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drawings/drawing7.xml" ContentType="application/vnd.openxmlformats-officedocument.drawing+xml"/>
  <Override PartName="/xl/pivotTables/pivotTable5.xml" ContentType="application/vnd.openxmlformats-officedocument.spreadsheetml.pivotTable+xml"/>
  <Override PartName="/xl/drawings/drawing8.xml" ContentType="application/vnd.openxmlformats-officedocument.drawing+xml"/>
  <Override PartName="/xl/drawings/drawing9.xml" ContentType="application/vnd.openxmlformats-officedocument.drawing+xml"/>
  <Override PartName="/xl/ctrlProps/ctrlProp5.xml" ContentType="application/vnd.ms-excel.controlproperties+xml"/>
  <Override PartName="/xl/ctrlProps/ctrlProp6.xml" ContentType="application/vnd.ms-excel.controlproperti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75dca8d026994efd" Type="http://schemas.microsoft.com/office/2006/relationships/ui/extensibility" Target="customUI/customUI.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MatildaFisherCIHT\Downloads\"/>
    </mc:Choice>
  </mc:AlternateContent>
  <xr:revisionPtr revIDLastSave="0" documentId="8_{90ABCBA9-7443-42D8-9160-CCEC421B550A}" xr6:coauthVersionLast="47" xr6:coauthVersionMax="47" xr10:uidLastSave="{00000000-0000-0000-0000-000000000000}"/>
  <bookViews>
    <workbookView xWindow="-120" yWindow="-120" windowWidth="29040" windowHeight="15840" firstSheet="1" activeTab="34" xr2:uid="{F3B7E6C7-69D2-472B-8E61-FB2A08DCF3BF}"/>
  </bookViews>
  <sheets>
    <sheet name="NamedRanges" sheetId="60" state="hidden" r:id="rId1"/>
    <sheet name="Version Control" sheetId="46" r:id="rId2"/>
    <sheet name="VBConstants" sheetId="59" state="veryHidden" r:id="rId3"/>
    <sheet name="Main Page" sheetId="45" r:id="rId4"/>
    <sheet name="Structures" sheetId="3" r:id="rId5"/>
    <sheet name="Elements" sheetId="4" r:id="rId6"/>
    <sheet name="Planned" sheetId="5" r:id="rId7"/>
    <sheet name="Routine" sheetId="6" r:id="rId8"/>
    <sheet name="Y0" sheetId="24" state="hidden" r:id="rId9"/>
    <sheet name="Value" sheetId="29" state="hidden" r:id="rId10"/>
    <sheet name="Y5" sheetId="40" state="hidden" r:id="rId11"/>
    <sheet name="Yn" sheetId="25" state="hidden" r:id="rId12"/>
    <sheet name="Value Dashboard" sheetId="49" state="hidden" r:id="rId13"/>
    <sheet name="Valuation Certificate" sheetId="61" state="hidden" r:id="rId14"/>
    <sheet name="SAMP Dashboard" sheetId="48" state="hidden" r:id="rId15"/>
    <sheet name="Project List" sheetId="57" state="hidden" r:id="rId16"/>
    <sheet name="Element List" sheetId="58" state="hidden" r:id="rId17"/>
    <sheet name="LAMP Dashboard" sheetId="47" state="hidden" r:id="rId18"/>
    <sheet name="LAMP Results" sheetId="7" state="hidden" r:id="rId19"/>
    <sheet name="ECS Profile" sheetId="8" state="hidden" r:id="rId20"/>
    <sheet name="Ref00" sheetId="10" state="hidden" r:id="rId21"/>
    <sheet name="Ref02i" sheetId="11" state="hidden" r:id="rId22"/>
    <sheet name="Ref02ii" sheetId="12" state="hidden" r:id="rId23"/>
    <sheet name="Ref03&amp;04i" sheetId="13" state="hidden" r:id="rId24"/>
    <sheet name="Ref03&amp;04ii" sheetId="14" r:id="rId25"/>
    <sheet name="Ref05&amp;07" sheetId="15" state="hidden" r:id="rId26"/>
    <sheet name="Ref06" sheetId="16" r:id="rId27"/>
    <sheet name="Ref07&amp;08" sheetId="17" state="hidden" r:id="rId28"/>
    <sheet name="Ref09" sheetId="18" state="hidden" r:id="rId29"/>
    <sheet name="Ref10" sheetId="19" state="hidden" r:id="rId30"/>
    <sheet name="Ref11i" sheetId="20" state="hidden" r:id="rId31"/>
    <sheet name="Ref11ii" sheetId="21" state="hidden" r:id="rId32"/>
    <sheet name="Ref12" sheetId="22" state="hidden" r:id="rId33"/>
    <sheet name="Ref14" sheetId="23" state="hidden" r:id="rId34"/>
    <sheet name="Ref15" sheetId="39" r:id="rId35"/>
    <sheet name="Ref98" sheetId="55" state="veryHidden" r:id="rId36"/>
    <sheet name="Ref99" sheetId="54" state="veryHidden" r:id="rId37"/>
  </sheets>
  <definedNames>
    <definedName name="_xlnm._FilterDatabase" localSheetId="19" hidden="1">'ECS Profile'!$A$4:$DW$4</definedName>
    <definedName name="_xlnm._FilterDatabase" localSheetId="5" hidden="1">Elements!$A$4:$AN$4</definedName>
    <definedName name="_xlnm._FilterDatabase" localSheetId="17" hidden="1">'LAMP Results'!$EW$6:$EX$107</definedName>
    <definedName name="_xlnm._FilterDatabase" localSheetId="18" hidden="1">'LAMP Results'!$A$4:$BH$4</definedName>
    <definedName name="_xlnm._FilterDatabase" localSheetId="6" hidden="1">Planned!$A$4:$T$4</definedName>
    <definedName name="_xlnm._FilterDatabase" localSheetId="21" hidden="1">Ref02i!$A$2:$W$78</definedName>
    <definedName name="_xlnm._FilterDatabase" localSheetId="22" hidden="1">Ref02ii!$A$2:$B$29283</definedName>
    <definedName name="_xlnm._FilterDatabase" localSheetId="23" hidden="1">'Ref03&amp;04i'!$A$2:$BY$131</definedName>
    <definedName name="_xlnm._FilterDatabase" localSheetId="24" hidden="1">'Ref03&amp;04ii'!$A$3:$AA$427</definedName>
    <definedName name="_xlnm._FilterDatabase" localSheetId="25" hidden="1">'Ref05&amp;07'!$A$2:$W$96</definedName>
    <definedName name="_xlnm._FilterDatabase" localSheetId="26" hidden="1">'Ref06'!$A$3:$P$3380</definedName>
    <definedName name="_xlnm._FilterDatabase" localSheetId="27" hidden="1">'Ref07&amp;08'!$A$2:$K$76</definedName>
    <definedName name="_xlnm._FilterDatabase" localSheetId="28" hidden="1">'Ref09'!$B$33:$I$109</definedName>
    <definedName name="_xlnm._FilterDatabase" localSheetId="31" hidden="1">'Ref09'!$C$33:$C$109</definedName>
    <definedName name="_xlnm._FilterDatabase" localSheetId="32" hidden="1">'Ref12'!$E$4:$H$25</definedName>
    <definedName name="_xlnm._FilterDatabase" localSheetId="33" hidden="1">'Ref14'!$A$2:$E$76</definedName>
    <definedName name="_xlnm._FilterDatabase" localSheetId="36" hidden="1">'Ref99'!$A$4:$A$4</definedName>
    <definedName name="_xlnm._FilterDatabase" localSheetId="7" hidden="1">Routine!$A$4:$I$4</definedName>
    <definedName name="_xlnm._FilterDatabase" localSheetId="14" hidden="1">'SAMP Dashboard'!$A$4:$U$4</definedName>
    <definedName name="_xlnm._FilterDatabase" localSheetId="4" hidden="1">Structures!$A$4:$BU$4</definedName>
    <definedName name="_xlnm._FilterDatabase" localSheetId="9" hidden="1">Value!$A$4:$BY$20</definedName>
    <definedName name="_xlnm._FilterDatabase" localSheetId="8" hidden="1">Y0!$A$4:$AM$4</definedName>
    <definedName name="_xlnm._FilterDatabase" localSheetId="10" hidden="1">'Y5'!$A$4:$GD$100</definedName>
    <definedName name="_xlnm._FilterDatabase" localSheetId="11" hidden="1">Yn!$A$4:$FP$4</definedName>
    <definedName name="anscount" hidden="1">3</definedName>
    <definedName name="ComponentMaterialLists_Matrix">'Ref03&amp;04i'!$C$107:$BX$131</definedName>
    <definedName name="ComponentMaterialLists_Matrix_StartCell">'Ref03&amp;04i'!$C$107</definedName>
    <definedName name="ConductingFULL">VBConstants!$G$8</definedName>
    <definedName name="DATAVALID">VBConstants!$B$19</definedName>
    <definedName name="DateWorkbankCalculated">'LAMP Results'!$BK$13</definedName>
    <definedName name="DefinedMainMultiplier">'Main Page'!$BA$48</definedName>
    <definedName name="DefinedNewBuildMultiplier">'Main Page'!$BA$50</definedName>
    <definedName name="ECS_RUN_DATE">VBConstants!$F$15</definedName>
    <definedName name="ECS_RUN_TIME">VBConstants!$F$16</definedName>
    <definedName name="ECS_RUN_USER">VBConstants!$F$17</definedName>
    <definedName name="Ele_ElementOnStructureNum">OFFSET(Elements!$N$4,1,0,ELROWCOUNT-4,1)</definedName>
    <definedName name="Ele_MaterialComponentType">OFFSET(Elements!$D$4,1,0,ELROWCOUNT-4,1)</definedName>
    <definedName name="Ele_NameofElement">OFFSET(Elements!$C$4,1,0,ELROWCOUNT-4,1)</definedName>
    <definedName name="Ele_Scenario">OFFSET(Elements!$AE$4,1,0,ELROWCOUNT-4,1)</definedName>
    <definedName name="Ele_StructureIdentifier">OFFSET(Elements!$B$4,1,0,ELROWCOUNT-4,1)</definedName>
    <definedName name="ELROWCOUNT">VBConstants!$B$5</definedName>
    <definedName name="EXPORT_LAMP">VBConstants!$B$9</definedName>
    <definedName name="FULL_END_DATE">VBConstants!$A$16</definedName>
    <definedName name="FULL_RUNTIME">VBConstants!$A$17</definedName>
    <definedName name="FULL_START_DATE">VBConstants!$A$15</definedName>
    <definedName name="ImportingAssets">VBConstants!$G$7</definedName>
    <definedName name="LAMP_AveAnnualExpen">'LAMP Results'!$BL$6</definedName>
    <definedName name="LAMP_DiscExpenditure">'LAMP Results'!$BL$7</definedName>
    <definedName name="LAMP_DiscPlannedMaint">'LAMP Results'!$BL$9</definedName>
    <definedName name="LAMP_DiscRoutineMaint">'LAMP Results'!$BL$11</definedName>
    <definedName name="LAMP_DiscWorkbank">'LAMP Results'!$BL$14</definedName>
    <definedName name="LAMP_Expenditure">'LAMP Results'!$BL$5</definedName>
    <definedName name="LAMP_PivotResults">'LAMP Results'!$A$4:$BH$127</definedName>
    <definedName name="LAMP_PlannedMaintenance">'LAMP Results'!$BL$8</definedName>
    <definedName name="LAMP_RoutineMaintenance">'LAMP Results'!$BL$10</definedName>
    <definedName name="LAMP_RUN_DATE">VBConstants!$D$15</definedName>
    <definedName name="LAMP_RUN_STATUS">VBConstants!$D$13</definedName>
    <definedName name="LAMP_RUN_TIME">VBConstants!$D$16</definedName>
    <definedName name="LAMP_RUN_USER">VBConstants!$D$17</definedName>
    <definedName name="LAMP_TotalBudget">'LAMP Results'!$BL$12</definedName>
    <definedName name="LAMP_Workbank">'LAMP Results'!$BL$13</definedName>
    <definedName name="LAMP_Years" localSheetId="18">'LAMP Results'!$A$5:$A$127</definedName>
    <definedName name="Main_AuthorityType">'Main Page'!$N$29</definedName>
    <definedName name="Main_DataInputDate">'Main Page'!$AO$18</definedName>
    <definedName name="Main_DeteriorationReductionFactor">'Main Page'!$CA$49</definedName>
    <definedName name="Main_InflationIndexMaintenance">'Main Page'!$AO$48</definedName>
    <definedName name="Main_InflationIndexNewBuild">'Main Page'!$AO$50</definedName>
    <definedName name="Main_InflationYear">'Main Page'!$AO$46</definedName>
    <definedName name="Main_NumberOfElements">'Main Page'!$L$38</definedName>
    <definedName name="Main_NumberOfStructures">'Main Page'!$L$36</definedName>
    <definedName name="Main_OrgName">'Main Page'!$N$27</definedName>
    <definedName name="Main_ScenarioToAnalyse">'Main Page'!$BU$31</definedName>
    <definedName name="Main_ValuationDate">'Main Page'!$AO$16</definedName>
    <definedName name="Main_y5AnnualBudget">'Main Page'!$BH$19</definedName>
    <definedName name="Main_ynNumberofYears">'Main Page'!$CB$16</definedName>
    <definedName name="MaintenanceActions">'Ref05&amp;07'!$B$4:$B$96</definedName>
    <definedName name="MntnceStrategyTypes">'Ref06'!$B$3:$E$3</definedName>
    <definedName name="MODE">VBConstants!$B$1</definedName>
    <definedName name="PlannedElem">'Ref98'!$N$3</definedName>
    <definedName name="Pln_ConditionAfterAllWork">OFFSET(Planned!$I$4,1,0,PLROWCOUNT-3,1)</definedName>
    <definedName name="Pln_ECSPlannedWorks">OFFSET(Planned!$J$4,1,0,PLROWCOUNT-3,1)</definedName>
    <definedName name="Pln_ElementIDsWithPlannedWork">OFFSET(Planned!$A$4,1,0,PLROWCOUNT-3,1)</definedName>
    <definedName name="Pln_MaintenanceAction">OFFSET(Planned!$G$4,1,0,PLROWCOUNT-3,1)</definedName>
    <definedName name="Pln_PlannedWorksCost">OFFSET(Planned!$H$4,1,0,PLROWCOUNT-3,1)</definedName>
    <definedName name="Pln_y5PlannedCode">OFFSET(Planned!$M$4,1,0,PLROWCOUNT-3,1)</definedName>
    <definedName name="Pln_y5PlannedWork">OFFSET(Planned!$L$4,1,0,PLROWCOUNT-3,1)</definedName>
    <definedName name="Pln_YearofWork">OFFSET(Planned!$F$4,1,0,PLROWCOUNT-3,1)</definedName>
    <definedName name="Pln_YearOfWorkMatrix">OFFSET(Planned!$A$4:$F$4,1,0,PLROWCOUNT-3,6)</definedName>
    <definedName name="Pln_ynPlannedCode">OFFSET(Planned!$N$4,1,0,PLROWCOUNT-3,1)</definedName>
    <definedName name="PLROWCOUNT">VBConstants!$B$7</definedName>
    <definedName name="Ref00_Condition">Ref00!$B$13:$B$29</definedName>
    <definedName name="Ref00_ECS">Ref00!$C$13:$C$29</definedName>
    <definedName name="Ref00_ElementImportanceTypes">Ref00!$B$32:$B$35</definedName>
    <definedName name="Ref00_ElementLifeTypes">Ref00!$B$48:$B$49</definedName>
    <definedName name="Ref00_SprayZoneProximity">Ref00!$B$8:$B$9</definedName>
    <definedName name="Ref00_StructureLocation">Ref00!$B$3:$B$5</definedName>
    <definedName name="Ref02i_ExposureScenarioID">Ref02i!$B$3:$B$76</definedName>
    <definedName name="Ref02ii_Exposure">Ref02ii!$B$4:$B$29283</definedName>
    <definedName name="Ref02ii_ExposureID">Ref02ii!$A$4:$A$29283</definedName>
    <definedName name="Ref0304i_MaterialType">'Ref03&amp;04i'!$B$3:$B$105</definedName>
    <definedName name="Ref0304ii_MaterialExposureCode">'Ref03&amp;04ii'!$Z$4:$Z$427</definedName>
    <definedName name="Ref0304ii_MeanTimetoFailure">'Ref03&amp;04ii'!$W$4:$W$427</definedName>
    <definedName name="Ref06_MaintenanceAction">OFFSET('Ref06'!$H$3,1,0,COUNTA('Ref06'!$H:$H)-COUNTA('Ref06'!$H$1:$H$2)+29,1)</definedName>
    <definedName name="Ref06_ScenarioCodes">'Ref06'!$M$4:$P$3380</definedName>
    <definedName name="Ref06_ScenarioName">'Ref06'!$M$3:$P$3</definedName>
    <definedName name="Ref10_DailyTrafficDelayRate">'Ref10'!$B$25:$C$27</definedName>
    <definedName name="Ref10_LengthGroupTrafficDelay">'Ref10'!$B$18:$B$20</definedName>
    <definedName name="Ref10_TrafficDelayDays">'Ref10'!$B$18:$H$20</definedName>
    <definedName name="Ref10_TrafficRestrictionCode">'Ref10'!$B$5:$D$11</definedName>
    <definedName name="Ref10_TrafficVolume">'Ref10'!$B$25:$B$27</definedName>
    <definedName name="Ref11i_ObstacleCrossed">Ref11i!$B$16:$B$32</definedName>
    <definedName name="Ref11i_Route">Ref11i!$B$36:$B$45</definedName>
    <definedName name="Ref11i_StructureType">Ref11i!$B$49:$B$69</definedName>
    <definedName name="Ref11i_Traffic">Ref11i!$B$10:$B$12</definedName>
    <definedName name="Ref11ii_ElementLists_Matrix">Ref11ii!$C$3:$W$38</definedName>
    <definedName name="Ref11ii_ElementLists_Matrix_StartCell">Ref11ii!$C$3</definedName>
    <definedName name="Ref12_GRCRates">'Ref12'!$B$5:$C$25</definedName>
    <definedName name="Ref14_EIF">'Ref14'!$D$3:$D$76</definedName>
    <definedName name="Ref14_ElementImportance">'Ref14'!$C$3:$C$76</definedName>
    <definedName name="Ref14_ElementLifeType">'Ref14'!$B$3:$B$76</definedName>
    <definedName name="Ref98_nYear_plus1">'Ref98'!$O$132</definedName>
    <definedName name="RIBBON">VBConstants!$B$11</definedName>
    <definedName name="RUN_TIME_15MIN">VBConstants!$J$16</definedName>
    <definedName name="RUN_TIME_1HR">VBConstants!$J$15</definedName>
    <definedName name="RunningAll">VBConstants!$G$6</definedName>
    <definedName name="SAMP_RUN_DATE">VBConstants!$C$15</definedName>
    <definedName name="SAMP_RUN_STATUS">VBConstants!$C$13</definedName>
    <definedName name="SAMP_RUN_TIME">VBConstants!$C$16</definedName>
    <definedName name="SAMP_RUN_USER">VBConstants!$C$17</definedName>
    <definedName name="SAVI_Model">TRUE</definedName>
    <definedName name="Str_AVFStructureType">OFFSET(Structures!$BA$4,1,0,STROWCOUNT-4,1)</definedName>
    <definedName name="Str_DimensionforSSCI">OFFSET(Structures!$AU$4,1,0,STROWCOUNT-4,1)</definedName>
    <definedName name="Str_DimensionforSSCIxAVF">OFFSET(Structures!$BC$4,1,0,STROWCOUNT-4,1)</definedName>
    <definedName name="Str_FirstElementID">OFFSET(Structures!$BE$4,1,0,STROWCOUNT-4,1)</definedName>
    <definedName name="Str_LastElementID">OFFSET(Structures!$BF$4,1,0,STROWCOUNT-4,1)</definedName>
    <definedName name="Str_LengthofStructure">OFFSET(Structures!$G$4,1,0,STROWCOUNT-4,1)</definedName>
    <definedName name="Str_NumberSpans">OFFSET(Structures!$J$4,1,0,STROWCOUNT-4,1)</definedName>
    <definedName name="Str_NumOfStructures">OFFSET(Structures!$F$4,1,0,STROWCOUNT-4,1)</definedName>
    <definedName name="Str_ObstacleCrossed">OFFSET(Structures!$O$4,1,0,STROWCOUNT-4,1)</definedName>
    <definedName name="Str_PriorityFactors">OFFSET(Structures!$A$4:$AZ$4,1,0,STROWCOUNT-4,52)</definedName>
    <definedName name="Str_PriorityScore">OFFSET(Structures!$AY$4,1,0,STROWCOUNT-4,1)</definedName>
    <definedName name="Str_RouteType">OFFSET(Structures!$L$4,1,0,STROWCOUNT-4,1)</definedName>
    <definedName name="Str_Sizing">OFFSET(Structures!$F$4:$I$4,1,0,STROWCOUNT-4,4)</definedName>
    <definedName name="Str_StructureID">OFFSET(Structures!$A$4,1,0,STROWCOUNT-4,1)</definedName>
    <definedName name="Str_StructureIdentifier">OFFSET(Structures!$B$4,1,0,STROWCOUNT-4,1)</definedName>
    <definedName name="Str_StructureReference">OFFSET(Structures!$C$4,1,0,STROWCOUNT-4,1)</definedName>
    <definedName name="Str_StructureType">OFFSET(Structures!$E$4,1,0,STROWCOUNT-4,1)</definedName>
    <definedName name="Str_TotalGRC">OFFSET(Structures!$AX$4,1,0,STROWCOUNT-4,1)</definedName>
    <definedName name="Str_TrafficOfStructure">OFFSET(Structures!$N$4,1,0,STROWCOUNT-4,1)</definedName>
    <definedName name="STROWCOUNT">VBConstants!$B$6</definedName>
    <definedName name="TestMode" localSheetId="2">VBConstants!$B$3</definedName>
    <definedName name="TR_Y5_A2BD">'Y5'!$A$4:$GD$93</definedName>
    <definedName name="TrafficManagement_On...">Ref00!$B$43:$B$45</definedName>
    <definedName name="TrafficManagement_Types">'Ref09'!$D$33:$I$33</definedName>
    <definedName name="Val_AnnualDepreciation">OFFSET(Value!$BG$4,1,0,ELROWCOUNT-4,1)</definedName>
    <definedName name="Val_DRC">OFFSET(Value!$BO$4,1,0,STROWCOUNT-4,1)</definedName>
    <definedName name="Val_ElementDepreciation">OFFSET(Value!$BH$5,0,0,ELROWCOUNT,1)</definedName>
    <definedName name="Val_ElementReplacementCost">OFFSET(Value!$Y$4,1,0,ELROWCOUNT-4,1)</definedName>
    <definedName name="Val_ExposureParameters">OFFSET(Value!$AB$4:$AT$4,1,0,STROWCOUNT,19)</definedName>
    <definedName name="Val_FactoredCost">OFFSET(Value!$BF$4,1,0,ELROWCOUNT-4,1)</definedName>
    <definedName name="Val_FactorGRCtoTERC">OFFSET(Value!$BB$4,1,0,STROWCOUNT-4,1)</definedName>
    <definedName name="Val_GRC">OFFSET(Value!$BA$4,1,0,STROWCOUNT-4,1)</definedName>
    <definedName name="Val_NumStructures">OFFSET(Value!$BU$4,1,0,STROWCOUNT-4,1)</definedName>
    <definedName name="Val_OriginalECS">OFFSET(Value!$C$4,1,0,ELROWCOUNT-4,1)</definedName>
    <definedName name="Val_PivotResults">OFFSET(Value!$BJ$4,0,0,STROWCOUNT-3,16)</definedName>
    <definedName name="Val_SCIAv">OFFSET(Value!$BR$4,1,0,STROWCOUNT-4,1)</definedName>
    <definedName name="Val_StructureType">OFFSET(Value!$BX$4,1,0,STROWCOUNT-4,1)</definedName>
    <definedName name="VALUE_RUN_DATE">VBConstants!$B$15</definedName>
    <definedName name="VALUE_RUN_STATUS">VBConstants!$B$13</definedName>
    <definedName name="VALUE_RUN_TIME">VBConstants!$B$16</definedName>
    <definedName name="VALUE_RUN_USER">VBConstants!$B$17</definedName>
    <definedName name="ViewAllTabs">VBConstants!$G$5</definedName>
    <definedName name="ViewAnalysisTabs">VBConstants!$G$4</definedName>
    <definedName name="ViewRefTabs">VBConstants!$G$3</definedName>
    <definedName name="y0_ECIwhereElementImportVH">OFFSET(Y0!$M$4,1,0,ELROWCOUNT-4,1)</definedName>
    <definedName name="y0_ECIxEIF">OFFSET(Y0!$K$4,1,0,ELROWCOUNT-4,1)</definedName>
    <definedName name="y0_ECSwhereElementImportVHandH">OFFSET(Y0!$L$4,1,0,ELROWCOUNT-4,1)</definedName>
    <definedName name="y0_EIF">OFFSET(Y0!$H$4,1,0,ELROWCOUNT-4,1)</definedName>
    <definedName name="y0_LengthGroup">OFFSET(Y0!$S$4,1,0,STROWCOUNT,1)</definedName>
    <definedName name="y0_QuantityKeyDimensionSSS">OFFSET(Y0!$AL$4,1,0,STROWCOUNT-4,1)</definedName>
    <definedName name="y0_QuantityKeyDimensionxAVFSSS">OFFSET(Y0!$AM$4,1,0,STROWCOUNT-4,1)</definedName>
    <definedName name="Y0_RUN_DATE">VBConstants!$E$15</definedName>
    <definedName name="Y0_RUN_TIME">VBConstants!$E$16</definedName>
    <definedName name="Y0_RUN_USER">VBConstants!$E$17</definedName>
    <definedName name="y0_SCIav">OFFSET(Y0!$AE$4,1,0,STROWCOUNT-4,1)</definedName>
    <definedName name="y0_SCIavDimensionforSSCI">OFFSET(Y0!$AG$4,1,0,STROWCOUNT-4,1)</definedName>
    <definedName name="y0_SCIavDimensionforSSCIxAVF">OFFSET(Y0!$AI$4,1,0,STROWCOUNT-4,1)</definedName>
    <definedName name="y0_SCIcritDimensionforSSCI">OFFSET(Y0!$AH$4,1,0,STROWCOUNT-4,1)</definedName>
    <definedName name="y0_SCIcritDimensionforSSCIxAVF">OFFSET(Y0!$AJ$4,1,0,STROWCOUNT-4,1)</definedName>
    <definedName name="y0_StructuresWithTrafficDelay">OFFSET(Y0!$Z$4,1,0,STROWCOUNT-4,1)</definedName>
    <definedName name="y0_TrafficDelayCost">OFFSET(Y0!$Y$4,1,0,STROWCOUNT,1)</definedName>
    <definedName name="y5_ALLElementPriorityScore">OFFSET('Y5'!$Q$4,1,0,ELROWCOUNT-4,1)</definedName>
    <definedName name="y5_ConsiderElementforScheme">OFFSET('Y5'!$AE$4,1,0,ELROWCOUNT-4,1)</definedName>
    <definedName name="y5_CostPrioritisedWorks">OFFSET('Y5'!$DH$4,1,0,STROWCOUNT-4,1)</definedName>
    <definedName name="y5_DESIREDElementPriorityScore">OFFSET('Y5'!$AF$4,1,0,ELROWCOUNT-4,1)</definedName>
    <definedName name="y5_ECIwhereElementImportVH">OFFSET('Y5'!$EL$4,1,0,ELROWCOUNT-4,1)</definedName>
    <definedName name="y5_ECIxEIF">OFFSET('Y5'!$EJ$4,1,0,ELROWCOUNT-4,1)</definedName>
    <definedName name="y5_ECSwhereElementImportVHorH">OFFSET('Y5'!$EK$4,1,0,ELROWCOUNT-4,1)</definedName>
    <definedName name="y5_EIF">OFFSET('Y5'!$EG$4,1,0,ELROWCOUNT-4,1)</definedName>
    <definedName name="y5_ElementPriorityRank">OFFSET('Y5'!$AC$4,1,0,ELROWCOUNT-4,1)</definedName>
    <definedName name="y5_ElementTotalCost">OFFSET('Y5'!$AB$4,1,0,ELROWCOUNT-4,1)</definedName>
    <definedName name="y5_ElementWorksCost">OFFSET('Y5'!$U$4,1,0,ELROWCOUNT-4,1)</definedName>
    <definedName name="y5_Expenditure">'Y5'!$GH$8</definedName>
    <definedName name="y5_ExposureParameters">OFFSET('Y5'!$AK$4:$BC$4,1,0,STROWCOUNT-4,19)</definedName>
    <definedName name="y5_fDPrioritisedWorks">OFFSET('Y5'!$DA$4,1,0,STROWCOUNT-4,1)</definedName>
    <definedName name="y5_fOPrioritisedWorks">OFFSET('Y5'!$CO$4,1,0,STROWCOUNT-4,1)</definedName>
    <definedName name="y5_fPPrioritisedWorks">OFFSET('Y5'!$CM$4,1,0,STROWCOUNT-4,1)</definedName>
    <definedName name="y5_LengthGroup">OFFSET('Y5'!$ER$4,1,0,STROWCOUNT-4,1)</definedName>
    <definedName name="y5_OriginalECS">OFFSET('Y5'!$C$4,1,0,ELROWCOUNT-4,1)</definedName>
    <definedName name="y5_PivotResults">OFFSET('Y5'!$FM$4:$GD$4,0,0,ELROWCOUNT-3,18)</definedName>
    <definedName name="y5_PlannedMaintenance">'Y5'!$GH$9</definedName>
    <definedName name="y5_PlannedYear">OFFSET('Y5'!$DK$4,1,0,STROWCOUNT-4,1)</definedName>
    <definedName name="y5_QuantityKeyDimensionSSS">OFFSET('Y5'!$FJ$4,1,0,STROWCOUNT-4,1)</definedName>
    <definedName name="y5_QuantityKeyDimensionxAVFSSS">OFFSET('Y5'!$FK$4,1,0,STROWCOUNT-4,1)</definedName>
    <definedName name="y5_QuantityofDimension">OFFSET('Y5'!$FE$4,1,0,STROWCOUNT-4,1)</definedName>
    <definedName name="y5_RemainingBudget">'Y5'!$GH$11</definedName>
    <definedName name="y5_RoutineMaintenance">'Y5'!$GH$10</definedName>
    <definedName name="y5_SCIAv">OFFSET('Y5'!$FC$4,1,0,STROWCOUNT-4,1)</definedName>
    <definedName name="y5_SCIavDimensionforSSCI">OFFSET('Y5'!$FE$4,1,0,STROWCOUNT-4,1)</definedName>
    <definedName name="y5_SCIavDimensionforSSCIxAVF">OFFSET('Y5'!$FG$4,1,0,STROWCOUNT-4,1)</definedName>
    <definedName name="y5_SCIcritDimensionforSSCI">OFFSET('Y5'!$FF$4,1,0,STROWCOUNT-4,1)</definedName>
    <definedName name="y5_SCIcritDimensionforSSCIxAVF">OFFSET('Y5'!$FH$4,1,0,STROWCOUNT-4,1)</definedName>
    <definedName name="y5_StructureIDPrioritisedWorks">OFFSET('Y5'!$CI$4,1,0,STROWCOUNT-4,1)</definedName>
    <definedName name="y5_StructureRankALLElements">OFFSET('Y5'!$BG$4,1,0,STROWCOUNT-4,1)</definedName>
    <definedName name="y5_StructureRankDESIREDElements">OFFSET('Y5'!$CG$4,1,0,STROWCOUNT-4,1)</definedName>
    <definedName name="y5_StructurestobeMaintained">OFFSET('Y5'!$DG$4,1,0,STROWCOUNT-4,1)</definedName>
    <definedName name="y5_StructuresWithTrafficDelays">OFFSET('Y5'!$EY$4,1,0,STROWCOUNT-4,1)</definedName>
    <definedName name="y5_SumofALLElementPriorityScores">OFFSET('Y5'!$BF$4,1,0,STROWCOUNT-4,1)</definedName>
    <definedName name="y5_SumofDESIREDElementPriorityScores">OFFSET('Y5'!$CF$4,1,0,STROWCOUNT-4,1)</definedName>
    <definedName name="y5_TMCode">OFFSET('Y5'!$V$4,1,0,ELROWCOUNT-4,1)</definedName>
    <definedName name="y5_TMDuration">OFFSET('Y5'!$W$4,1,0,ELROWCOUNT-4,1)</definedName>
    <definedName name="y5_TMTypes">OFFSET('Y5'!$CQ$4:$CY$4,1,0,STROWCOUNT-4,9)</definedName>
    <definedName name="y5_TotalBudget">'Y5'!$GH$6</definedName>
    <definedName name="y5_TotalElementMainCost">OFFSET('Y5'!$DX$4,1,0,ELROWCOUNT-4,1)</definedName>
    <definedName name="y5_TotalElementReplaceCost">OFFSET('Y5'!$DY$4,1,0,ELROWCOUNT-4,1)</definedName>
    <definedName name="y5_TrafficDelayCost">OFFSET('Y5'!$EX$4,1,0,STROWCOUNT-4,1)</definedName>
    <definedName name="yn_ALLElementPriorityScore">OFFSET(Yn!$Q$4,1,0,ELROWCOUNT,1)</definedName>
    <definedName name="yn_BudgetFromLastYear">Yn!$FT$15</definedName>
    <definedName name="yn_ConsiderElementforScheme">OFFSET(Yn!$AE$4,1,0,ELROWCOUNT-4,1)</definedName>
    <definedName name="yn_DESIREDElementPriorityScore">OFFSET(Yn!$AF$4,1,0,ELROWCOUNT-4,1)</definedName>
    <definedName name="yn_ECIwhereElementImportVH">OFFSET(Yn!$EQ$4,1,0,ELROWCOUNT-4,1)</definedName>
    <definedName name="yn_ECIxEIF">OFFSET(Yn!$EO$4,1,0,ELROWCOUNT-4,1)</definedName>
    <definedName name="yn_ECSwhereElementImportVHandH">OFFSET(Yn!$EP$4,1,0,ELROWCOUNT-4,1)</definedName>
    <definedName name="yn_EIF">OFFSET(Yn!$EL$4,1,0,ELROWCOUNT-4,1)</definedName>
    <definedName name="yn_ElementPriorityRank">OFFSET(Yn!$AC$4,1,0,ELROWCOUNT-4,1)</definedName>
    <definedName name="yn_ElementTotalCost">OFFSET(Yn!$AB$4,1,0,ELROWCOUNT-4,1)</definedName>
    <definedName name="yn_ElementWorksCost">OFFSET(Yn!$U$4,1,0,ELROWCOUNT-4,1)</definedName>
    <definedName name="yn_ExposureParameters">OFFSET(Yn!$AK$4:$BC$4,1,0,STROWCOUNT-4,19)</definedName>
    <definedName name="yn_fDPrioritisedWorks">OFFSET(Yn!$DA$4,1,0,STROWCOUNT-4,1)</definedName>
    <definedName name="yn_FiniteorIndefinite">OFFSET(Yn!$G$4,1,0,ELROWCOUNT-4,1)</definedName>
    <definedName name="yn_fOPrioritisedWorks">OFFSET(Yn!$CO$4,1,0,STROWCOUNT-4,1)</definedName>
    <definedName name="yn_fPPrioritisedWorks">OFFSET(Yn!$CM$4,1,0,STROWCOUNT-4,1)</definedName>
    <definedName name="yn_LengthGroup">OFFSET(Yn!$EW$4,1,0,STROWCOUNT-4,1)</definedName>
    <definedName name="yn_MaintenanceWorkCosts">OFFSET(Yn!$DV$4,1,0,ELROWCOUNT-4,1)</definedName>
    <definedName name="yn_OriginalECS">OFFSET(Yn!$C$4,1,0,ELROWCOUNT-4,1)</definedName>
    <definedName name="yn_PrioritisedWorksCost">OFFSET(Yn!$DH$4,1,0,STROWCOUNT-4,1)</definedName>
    <definedName name="yn_QuantityKeyDimensionSSS">OFFSET(Yn!$FO$4,1,0,STROWCOUNT-4,1)</definedName>
    <definedName name="yn_QuantityKeyDimensionxAVFSSS">OFFSET(Yn!$FP$4,1,0,STROWCOUNT-4,1)</definedName>
    <definedName name="yn_QuantityofDimension">OFFSET(Yn!$FJ$4,1,0,STROWCOUNT-4,1)</definedName>
    <definedName name="yn_RemainingBudgetLastYear">Yn!$FT$16</definedName>
    <definedName name="yn_ReplacementCosts">OFFSET(Yn!$DW$4,1,0,ELROWCOUNT-4,1)</definedName>
    <definedName name="yn_ResultantWorksCost">OFFSET(Yn!$DY$4,1,0,ELROWCOUNT-4,1)</definedName>
    <definedName name="yn_SCIAv">OFFSET(Yn!$FH$4,1,0,STROWCOUNT-4,1)</definedName>
    <definedName name="yn_SCIavDimensionforSSCI">OFFSET(Yn!$FJ$4,1,0,STROWCOUNT-4,1)</definedName>
    <definedName name="yn_SCIavDimensionforSSCIxAVF">OFFSET(Yn!$FL$4,1,0,STROWCOUNT-4,1)</definedName>
    <definedName name="yn_SCIcritDimensionforSSCI">OFFSET(Yn!$FK$4,1,0,STROWCOUNT-4,1)</definedName>
    <definedName name="yn_SCIcritDimensionforSSCIxAVF">OFFSET(Yn!$FM$4,1,0,STROWCOUNT-4,1)</definedName>
    <definedName name="yn_StructureIDPrioritisedWorks">OFFSET(Yn!$CI$4,1,0,STROWCOUNT-4,1)</definedName>
    <definedName name="yn_StructureRankALLElements">OFFSET(Yn!$BG$4,1,0,STROWCOUNT-4,1)</definedName>
    <definedName name="yn_StructureRankDESIREDElements">OFFSET(Yn!$CG$4,1,0,STROWCOUNT-4,1)</definedName>
    <definedName name="yn_StructurestobeMaintained">OFFSET(Yn!$DG$4,1,0,STROWCOUNT-4,1)</definedName>
    <definedName name="yn_StructuresWithTrafficDelays">OFFSET(Yn!$FD$4,1,0,STROWCOUNT-4,1)</definedName>
    <definedName name="yn_SumofALLElementPriorityScores">OFFSET(Yn!$BF$4,1,0,STROWCOUNT-4,1)</definedName>
    <definedName name="yn_SumofDESIREDElementPriorityScores">OFFSET(Yn!$CF$4,1,0,STROWCOUNT-4,1)</definedName>
    <definedName name="yn_TMCode">OFFSET(Yn!$V$4,1,0,ELROWCOUNT-4,1)</definedName>
    <definedName name="yn_TMDuration">OFFSET(Yn!$W$4,1,0,ELROWCOUNT-4,1)</definedName>
    <definedName name="yn_TMTypes">OFFSET(Yn!$CQ$4:$CY$4,1,0,STROWCOUNT-4,9)</definedName>
    <definedName name="yn_TotalSchemeCostALLElements">OFFSET(Yn!$CC$4,1,0,STROWCOUNT-4,1)</definedName>
    <definedName name="yn_TotalYearsOfAnalysis">Yn!$FT$6</definedName>
    <definedName name="yn_TrafficDelayCost">OFFSET(Yn!$FC$4,1,0,STROWCOUNT-4,1)</definedName>
    <definedName name="yn_YearofAnalysis">Yn!$FT$5</definedName>
    <definedName name="yn_YearsofAnalysis">Yn!$FT$5</definedName>
  </definedNames>
  <calcPr calcId="191029"/>
  <pivotCaches>
    <pivotCache cacheId="0" r:id="rId38"/>
    <pivotCache cacheId="1" r:id="rId39"/>
    <pivotCache cacheId="2"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8" i="39" l="1"/>
  <c r="AA104" i="4"/>
  <c r="AA103" i="4"/>
  <c r="AA102" i="4"/>
  <c r="AA101" i="4"/>
  <c r="AA100" i="4"/>
  <c r="AA99" i="4"/>
  <c r="AA98" i="4"/>
  <c r="AA97" i="4"/>
  <c r="AA96" i="4"/>
  <c r="AA95" i="4"/>
  <c r="AA94" i="4"/>
  <c r="AA93" i="4"/>
  <c r="AA92" i="4"/>
  <c r="AA91" i="4"/>
  <c r="AA90" i="4"/>
  <c r="AA89" i="4"/>
  <c r="AA88" i="4"/>
  <c r="AA87" i="4"/>
  <c r="AA86" i="4"/>
  <c r="AA85" i="4"/>
  <c r="AA84" i="4"/>
  <c r="AA83" i="4"/>
  <c r="AA82" i="4"/>
  <c r="AA81" i="4"/>
  <c r="AA80" i="4"/>
  <c r="AA79" i="4"/>
  <c r="AA78" i="4"/>
  <c r="AA77" i="4"/>
  <c r="AA76" i="4"/>
  <c r="AA75" i="4"/>
  <c r="AA74" i="4"/>
  <c r="AA73" i="4"/>
  <c r="AA72" i="4"/>
  <c r="AA71" i="4"/>
  <c r="AA70" i="4"/>
  <c r="AA69" i="4"/>
  <c r="AA68" i="4"/>
  <c r="AA67" i="4"/>
  <c r="AA66" i="4"/>
  <c r="AA65" i="4"/>
  <c r="AA64" i="4"/>
  <c r="AA63" i="4"/>
  <c r="AA62" i="4"/>
  <c r="AA61" i="4"/>
  <c r="AA60" i="4"/>
  <c r="AA59" i="4"/>
  <c r="AA58" i="4"/>
  <c r="AA57" i="4"/>
  <c r="AA56" i="4"/>
  <c r="AA55"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AA10" i="4"/>
  <c r="AA9" i="4"/>
  <c r="AA8" i="4"/>
  <c r="AA7" i="4"/>
  <c r="AA6" i="4"/>
  <c r="AA5" i="4"/>
  <c r="N104" i="4"/>
  <c r="Z104" i="4" s="1"/>
  <c r="N103" i="4"/>
  <c r="Z103" i="4" s="1"/>
  <c r="N102" i="4"/>
  <c r="Z102" i="4" s="1"/>
  <c r="N101" i="4"/>
  <c r="Z101" i="4" s="1"/>
  <c r="N100" i="4"/>
  <c r="Z100" i="4" s="1"/>
  <c r="N99" i="4"/>
  <c r="Z99" i="4" s="1"/>
  <c r="N98" i="4"/>
  <c r="Z98" i="4" s="1"/>
  <c r="N97" i="4"/>
  <c r="Z97" i="4" s="1"/>
  <c r="N96" i="4"/>
  <c r="Z96" i="4" s="1"/>
  <c r="N95" i="4"/>
  <c r="Z95" i="4" s="1"/>
  <c r="N94" i="4"/>
  <c r="Z94" i="4" s="1"/>
  <c r="N93" i="4"/>
  <c r="Z93" i="4" s="1"/>
  <c r="N92" i="4"/>
  <c r="Z92" i="4" s="1"/>
  <c r="N91" i="4"/>
  <c r="Z91" i="4" s="1"/>
  <c r="N90" i="4"/>
  <c r="Z90" i="4" s="1"/>
  <c r="N89" i="4"/>
  <c r="Z89" i="4" s="1"/>
  <c r="N88" i="4"/>
  <c r="Z88" i="4" s="1"/>
  <c r="N87" i="4"/>
  <c r="Z87" i="4" s="1"/>
  <c r="N86" i="4"/>
  <c r="Z86" i="4" s="1"/>
  <c r="N85" i="4"/>
  <c r="Z85" i="4" s="1"/>
  <c r="N84" i="4"/>
  <c r="Z84" i="4" s="1"/>
  <c r="N83" i="4"/>
  <c r="Z83" i="4" s="1"/>
  <c r="N82" i="4"/>
  <c r="Z82" i="4" s="1"/>
  <c r="N81" i="4"/>
  <c r="Z81" i="4" s="1"/>
  <c r="N80" i="4"/>
  <c r="Z80" i="4" s="1"/>
  <c r="N79" i="4"/>
  <c r="Z79" i="4" s="1"/>
  <c r="N78" i="4"/>
  <c r="Z78" i="4" s="1"/>
  <c r="N77" i="4"/>
  <c r="Z77" i="4" s="1"/>
  <c r="N76" i="4"/>
  <c r="Z76" i="4" s="1"/>
  <c r="N75" i="4"/>
  <c r="Z75" i="4" s="1"/>
  <c r="N74" i="4"/>
  <c r="Z74" i="4" s="1"/>
  <c r="N73" i="4"/>
  <c r="Z73" i="4" s="1"/>
  <c r="N72" i="4"/>
  <c r="Z72" i="4" s="1"/>
  <c r="N71" i="4"/>
  <c r="Z71" i="4" s="1"/>
  <c r="N70" i="4"/>
  <c r="Z70" i="4" s="1"/>
  <c r="N69" i="4"/>
  <c r="Z69" i="4" s="1"/>
  <c r="N68" i="4"/>
  <c r="Z68" i="4" s="1"/>
  <c r="N67" i="4"/>
  <c r="Z67" i="4" s="1"/>
  <c r="N66" i="4"/>
  <c r="Z66" i="4" s="1"/>
  <c r="N65" i="4"/>
  <c r="Z65" i="4" s="1"/>
  <c r="N64" i="4"/>
  <c r="Z64" i="4" s="1"/>
  <c r="N63" i="4"/>
  <c r="Z63" i="4" s="1"/>
  <c r="N62" i="4"/>
  <c r="Z62" i="4" s="1"/>
  <c r="N61" i="4"/>
  <c r="Z61" i="4" s="1"/>
  <c r="N60" i="4"/>
  <c r="Z60" i="4" s="1"/>
  <c r="N59" i="4"/>
  <c r="Z59" i="4" s="1"/>
  <c r="N58" i="4"/>
  <c r="Z58" i="4" s="1"/>
  <c r="N57" i="4"/>
  <c r="Z57" i="4" s="1"/>
  <c r="N56" i="4"/>
  <c r="Z56" i="4" s="1"/>
  <c r="N55" i="4"/>
  <c r="Z55" i="4" s="1"/>
  <c r="N54" i="4"/>
  <c r="Z54" i="4" s="1"/>
  <c r="N53" i="4"/>
  <c r="Z53" i="4" s="1"/>
  <c r="N52" i="4"/>
  <c r="Z52" i="4" s="1"/>
  <c r="N51" i="4"/>
  <c r="Z51" i="4" s="1"/>
  <c r="N50" i="4"/>
  <c r="Z50" i="4" s="1"/>
  <c r="N49" i="4"/>
  <c r="Z49" i="4" s="1"/>
  <c r="N48" i="4"/>
  <c r="Z48" i="4" s="1"/>
  <c r="N47" i="4"/>
  <c r="Z47" i="4" s="1"/>
  <c r="N46" i="4"/>
  <c r="Z46" i="4" s="1"/>
  <c r="N45" i="4"/>
  <c r="Z45" i="4" s="1"/>
  <c r="N44" i="4"/>
  <c r="Z44" i="4" s="1"/>
  <c r="N43" i="4"/>
  <c r="Z43" i="4" s="1"/>
  <c r="N42" i="4"/>
  <c r="Z42" i="4" s="1"/>
  <c r="N41" i="4"/>
  <c r="Z41" i="4" s="1"/>
  <c r="N40" i="4"/>
  <c r="Z40" i="4" s="1"/>
  <c r="N39" i="4"/>
  <c r="Z39" i="4" s="1"/>
  <c r="N38" i="4"/>
  <c r="Z38" i="4" s="1"/>
  <c r="N37" i="4"/>
  <c r="Z37" i="4" s="1"/>
  <c r="N36" i="4"/>
  <c r="Z36" i="4" s="1"/>
  <c r="N35" i="4"/>
  <c r="Z35" i="4" s="1"/>
  <c r="N34" i="4"/>
  <c r="Z34" i="4" s="1"/>
  <c r="N33" i="4"/>
  <c r="Z33" i="4" s="1"/>
  <c r="N32" i="4"/>
  <c r="Z32" i="4" s="1"/>
  <c r="N31" i="4"/>
  <c r="Z31" i="4" s="1"/>
  <c r="N30" i="4"/>
  <c r="Z30" i="4" s="1"/>
  <c r="N29" i="4"/>
  <c r="Z29" i="4" s="1"/>
  <c r="N28" i="4"/>
  <c r="Z28" i="4" s="1"/>
  <c r="N27" i="4"/>
  <c r="Z27" i="4" s="1"/>
  <c r="N26" i="4"/>
  <c r="Z26" i="4" s="1"/>
  <c r="N25" i="4"/>
  <c r="Z25" i="4" s="1"/>
  <c r="N24" i="4"/>
  <c r="Z24" i="4" s="1"/>
  <c r="N23" i="4"/>
  <c r="Z23" i="4" s="1"/>
  <c r="N22" i="4"/>
  <c r="Z22" i="4" s="1"/>
  <c r="N21" i="4"/>
  <c r="Z21" i="4" s="1"/>
  <c r="N20" i="4"/>
  <c r="Z20" i="4" s="1"/>
  <c r="N19" i="4"/>
  <c r="Z19" i="4" s="1"/>
  <c r="N18" i="4"/>
  <c r="Z18" i="4" s="1"/>
  <c r="N17" i="4"/>
  <c r="Z17" i="4" s="1"/>
  <c r="N16" i="4"/>
  <c r="Z16" i="4" s="1"/>
  <c r="N15" i="4"/>
  <c r="Z15" i="4" s="1"/>
  <c r="N14" i="4"/>
  <c r="Z14" i="4" s="1"/>
  <c r="N13" i="4"/>
  <c r="Z13" i="4" s="1"/>
  <c r="N12" i="4"/>
  <c r="Z12" i="4" s="1"/>
  <c r="N11" i="4"/>
  <c r="Z11" i="4" s="1"/>
  <c r="N10" i="4"/>
  <c r="Z10" i="4" s="1"/>
  <c r="N9" i="4"/>
  <c r="Z9" i="4" s="1"/>
  <c r="N8" i="4"/>
  <c r="Z8" i="4" s="1"/>
  <c r="N7" i="4"/>
  <c r="Z7" i="4" s="1"/>
  <c r="N6" i="4"/>
  <c r="Z6" i="4" s="1"/>
  <c r="N5" i="4"/>
  <c r="Z5" i="4" s="1"/>
  <c r="C18" i="39" l="1"/>
  <c r="E18" i="39" s="1"/>
  <c r="D18" i="39"/>
  <c r="C19" i="39"/>
  <c r="E19" i="39" s="1"/>
  <c r="D19" i="39"/>
  <c r="J17" i="39"/>
  <c r="C17" i="39" s="1"/>
  <c r="E17" i="39" s="1"/>
  <c r="D17" i="39" l="1"/>
  <c r="J16" i="39"/>
  <c r="BU1" i="3" l="1"/>
  <c r="BH1" i="3"/>
  <c r="BI1" i="3"/>
  <c r="J15" i="39"/>
  <c r="BJ1" i="3" l="1"/>
  <c r="C9" i="46" l="1"/>
  <c r="I6" i="45" s="1"/>
  <c r="W1" i="14" l="1"/>
  <c r="T2" i="14"/>
  <c r="C12" i="46" l="1"/>
  <c r="C23" i="39" l="1"/>
  <c r="AU46" i="45" s="1"/>
  <c r="D23" i="39"/>
  <c r="J12" i="39"/>
  <c r="J14" i="39" l="1"/>
  <c r="J23" i="39"/>
  <c r="J13" i="39"/>
  <c r="D9" i="39" l="1"/>
  <c r="D10" i="39" s="1"/>
  <c r="D11" i="39" s="1"/>
  <c r="D12" i="39" s="1"/>
  <c r="D13" i="39" s="1"/>
  <c r="D14" i="39" s="1"/>
  <c r="D15" i="39" s="1"/>
  <c r="D16" i="39" s="1"/>
  <c r="C9" i="39"/>
  <c r="C10" i="39" s="1"/>
  <c r="C11" i="39" s="1"/>
  <c r="C12" i="39" s="1"/>
  <c r="C13" i="39" s="1"/>
  <c r="E13" i="39" l="1"/>
  <c r="C14" i="39"/>
  <c r="N12" i="6"/>
  <c r="E14" i="39" l="1"/>
  <c r="C15" i="39"/>
  <c r="BQ1" i="3"/>
  <c r="BP1" i="3"/>
  <c r="E15" i="39" l="1"/>
  <c r="O12" i="39" s="1"/>
  <c r="C16" i="39"/>
  <c r="E16" i="39" s="1"/>
  <c r="AO16" i="45"/>
  <c r="B1" i="5" l="1"/>
  <c r="C1" i="5"/>
  <c r="D1" i="5"/>
  <c r="E1" i="5"/>
  <c r="J1" i="5"/>
  <c r="K1" i="5"/>
  <c r="L1" i="5"/>
  <c r="M1" i="5"/>
  <c r="N1" i="5"/>
  <c r="P1" i="5"/>
  <c r="Q1" i="5"/>
  <c r="R1" i="5"/>
  <c r="S1" i="5"/>
  <c r="T1" i="5"/>
  <c r="U1" i="5" l="1"/>
  <c r="Z1" i="14" l="1"/>
  <c r="X1" i="14"/>
  <c r="L38" i="45" l="1"/>
  <c r="Q4" i="3" a="1"/>
  <c r="S4" i="3" s="1"/>
  <c r="Q3" i="3" a="1"/>
  <c r="Q3" i="3" s="1"/>
  <c r="BN1" i="3"/>
  <c r="BM1" i="3"/>
  <c r="BL1" i="3"/>
  <c r="BK1" i="3"/>
  <c r="BA1" i="3"/>
  <c r="BB1" i="3" s="1"/>
  <c r="AY1" i="3"/>
  <c r="W3" i="3" a="1"/>
  <c r="AH3" i="3" a="1"/>
  <c r="AN3" i="3" s="1"/>
  <c r="AB3" i="3" a="1"/>
  <c r="AC3" i="3" s="1"/>
  <c r="W4" i="3" a="1"/>
  <c r="Y4" i="3" s="1"/>
  <c r="AB4" i="3" a="1"/>
  <c r="AB4" i="3" s="1"/>
  <c r="AH4" i="3" a="1"/>
  <c r="AJ4" i="3" s="1"/>
  <c r="AP1" i="3"/>
  <c r="AT1" i="3" s="1"/>
  <c r="AR1" i="3" l="1"/>
  <c r="AI4" i="3"/>
  <c r="V3" i="3"/>
  <c r="V4" i="3"/>
  <c r="U4" i="3"/>
  <c r="AG3" i="3"/>
  <c r="T4" i="3"/>
  <c r="R4" i="3"/>
  <c r="AM4" i="3"/>
  <c r="AO4" i="3"/>
  <c r="AJ3" i="3"/>
  <c r="Q4" i="3"/>
  <c r="AF4" i="3"/>
  <c r="AD3" i="3"/>
  <c r="Z3" i="3"/>
  <c r="X3" i="3"/>
  <c r="AE4" i="3"/>
  <c r="AD4" i="3"/>
  <c r="AF3" i="3"/>
  <c r="AB3" i="3"/>
  <c r="AC4" i="3"/>
  <c r="AK3" i="3"/>
  <c r="AI3" i="3"/>
  <c r="AG4" i="3"/>
  <c r="AE3" i="3"/>
  <c r="AA3" i="3"/>
  <c r="AS1" i="3"/>
  <c r="AQ1" i="3"/>
  <c r="W4" i="3"/>
  <c r="X4" i="3"/>
  <c r="Z4" i="3"/>
  <c r="AA4" i="3"/>
  <c r="AH4" i="3"/>
  <c r="AK4" i="3"/>
  <c r="AM3" i="3"/>
  <c r="AH3" i="3"/>
  <c r="AN4" i="3"/>
  <c r="AO3" i="3"/>
  <c r="Y3" i="3"/>
  <c r="AL4" i="3"/>
  <c r="AL3" i="3"/>
  <c r="W3" i="3"/>
  <c r="U3" i="3"/>
  <c r="T3" i="3"/>
  <c r="S3" i="3"/>
  <c r="R3" i="3"/>
  <c r="BS1" i="3"/>
  <c r="BR1" i="3"/>
  <c r="BO1" i="3"/>
  <c r="BD1" i="3"/>
  <c r="AO1" i="3"/>
  <c r="AN1" i="3"/>
  <c r="AM1" i="3"/>
  <c r="AL1" i="3"/>
  <c r="AK1" i="3"/>
  <c r="AJ1" i="3"/>
  <c r="AI1" i="3"/>
  <c r="AH1" i="3"/>
  <c r="BE1" i="3" l="1"/>
  <c r="BF1" i="3"/>
  <c r="AW1" i="3"/>
  <c r="BT1" i="3"/>
  <c r="AZ1" i="3" l="1"/>
  <c r="AU1" i="3"/>
  <c r="AV1" i="3" s="1"/>
  <c r="BC1" i="3" l="1"/>
  <c r="AX1" i="3"/>
  <c r="D6" i="61" l="1"/>
  <c r="D8" i="61"/>
  <c r="A1" i="40" l="1"/>
  <c r="AH1" i="40"/>
  <c r="AY1" i="40"/>
  <c r="AZ1" i="40"/>
  <c r="BA1" i="40"/>
  <c r="BB1" i="40"/>
  <c r="BC1" i="40"/>
  <c r="EN1" i="40" l="1"/>
  <c r="CE1" i="40"/>
  <c r="CH1" i="40" s="1"/>
  <c r="BE1" i="40"/>
  <c r="BH1" i="40" s="1"/>
  <c r="FA1" i="40"/>
  <c r="DM1" i="40"/>
  <c r="EG1" i="40" s="1"/>
  <c r="FM1" i="40"/>
  <c r="EK1" i="40" l="1"/>
  <c r="EI1" i="40"/>
  <c r="EJ1" i="40" s="1"/>
  <c r="EF1" i="40"/>
  <c r="EH1" i="40" s="1"/>
  <c r="EL1" i="40"/>
  <c r="AF11" i="61" l="1"/>
  <c r="O10" i="61"/>
  <c r="A8" i="45" l="1"/>
  <c r="BY19" i="45"/>
  <c r="BY20" i="45" s="1"/>
  <c r="BY21" i="45" s="1"/>
  <c r="BY22" i="45" s="1"/>
  <c r="BY23" i="45" s="1"/>
  <c r="BY24" i="45" s="1"/>
  <c r="BY25" i="45" s="1"/>
  <c r="BY26" i="45" s="1"/>
  <c r="L36" i="45"/>
  <c r="AO48" i="45"/>
  <c r="AO50" i="45"/>
  <c r="A17" i="59" l="1"/>
  <c r="AH1" i="4" l="1"/>
  <c r="AJ1" i="4"/>
  <c r="AI1" i="4"/>
  <c r="AG1" i="4"/>
  <c r="J47" i="45"/>
  <c r="J50" i="45" l="1"/>
  <c r="FT13" i="25" l="1"/>
  <c r="FT6" i="25"/>
  <c r="GH5" i="40"/>
  <c r="GH6" i="40" s="1"/>
  <c r="N15" i="55" l="1"/>
  <c r="P15" i="55" l="1"/>
  <c r="R15" i="55"/>
  <c r="AZ13" i="47"/>
  <c r="AZ12" i="47"/>
  <c r="AG13" i="47"/>
  <c r="AG12" i="47"/>
  <c r="BL7" i="7"/>
  <c r="B10" i="59"/>
  <c r="BK7" i="47" l="1"/>
  <c r="O13" i="61"/>
  <c r="AF13" i="61" l="1"/>
  <c r="E15" i="61"/>
  <c r="G3" i="4" l="1" a="1"/>
  <c r="G3" i="4" s="1"/>
  <c r="G4" i="4" a="1"/>
  <c r="G4" i="4" s="1"/>
  <c r="I3" i="4" l="1"/>
  <c r="L3" i="4"/>
  <c r="K3" i="4"/>
  <c r="J3" i="4"/>
  <c r="H3" i="4"/>
  <c r="L4" i="4"/>
  <c r="K4" i="4"/>
  <c r="J4" i="4"/>
  <c r="I4" i="4"/>
  <c r="H4" i="4"/>
  <c r="N132" i="55" l="1"/>
  <c r="P132" i="55" l="1"/>
  <c r="Q132" i="55" s="1"/>
  <c r="AQ12" i="47"/>
  <c r="O4" i="55" l="1"/>
  <c r="O5" i="55"/>
  <c r="O6" i="55"/>
  <c r="O3" i="55"/>
  <c r="BL5" i="7" l="1"/>
  <c r="BL6" i="7" l="1"/>
  <c r="AQ11" i="47" s="1"/>
  <c r="N3" i="16"/>
  <c r="O3" i="16"/>
  <c r="P3" i="16"/>
  <c r="M3" i="16"/>
  <c r="AM1" i="4" l="1"/>
  <c r="M1" i="4"/>
  <c r="AE1" i="4" s="1"/>
  <c r="AA1" i="4" l="1"/>
  <c r="AI1" i="40" l="1"/>
  <c r="AY1" i="25"/>
  <c r="P6" i="49" l="1"/>
  <c r="M132" i="55" l="1"/>
  <c r="BX1" i="29"/>
  <c r="BL8" i="7" l="1"/>
  <c r="AQ8" i="47" l="1"/>
  <c r="P1" i="16"/>
  <c r="O1" i="16"/>
  <c r="N1" i="16"/>
  <c r="M1" i="16"/>
  <c r="BL12" i="7" l="1"/>
  <c r="AQ6" i="47" s="1"/>
  <c r="BL10" i="7"/>
  <c r="AQ7" i="47"/>
  <c r="H10" i="47"/>
  <c r="H8" i="47"/>
  <c r="P8" i="49"/>
  <c r="G8" i="48"/>
  <c r="AQ13" i="47" l="1"/>
  <c r="AQ9" i="47"/>
  <c r="AQ10" i="47"/>
  <c r="J15" i="59" l="1"/>
  <c r="J16" i="59" s="1"/>
  <c r="N131" i="55" l="1"/>
  <c r="N130" i="55"/>
  <c r="N129" i="55"/>
  <c r="N128" i="55"/>
  <c r="N127" i="55"/>
  <c r="N126" i="55"/>
  <c r="N125" i="55"/>
  <c r="N124" i="55"/>
  <c r="N123" i="55"/>
  <c r="N122" i="55"/>
  <c r="N121" i="55"/>
  <c r="N120" i="55"/>
  <c r="N119" i="55"/>
  <c r="N118" i="55"/>
  <c r="N117" i="55"/>
  <c r="N116" i="55"/>
  <c r="N115" i="55"/>
  <c r="N114" i="55"/>
  <c r="N113" i="55"/>
  <c r="N112" i="55"/>
  <c r="N111" i="55"/>
  <c r="N110" i="55"/>
  <c r="N109" i="55"/>
  <c r="N108" i="55"/>
  <c r="N107" i="55"/>
  <c r="N106" i="55"/>
  <c r="N105" i="55"/>
  <c r="N104" i="55"/>
  <c r="N103" i="55"/>
  <c r="N102" i="55"/>
  <c r="N101" i="55"/>
  <c r="N100" i="55"/>
  <c r="N99" i="55"/>
  <c r="N98" i="55"/>
  <c r="N97" i="55"/>
  <c r="N96" i="55"/>
  <c r="N95" i="55"/>
  <c r="N94" i="55"/>
  <c r="N93" i="55"/>
  <c r="N92" i="55"/>
  <c r="N91" i="55"/>
  <c r="N90" i="55"/>
  <c r="N89" i="55"/>
  <c r="N88" i="55"/>
  <c r="N87" i="55"/>
  <c r="N86" i="55"/>
  <c r="N85" i="55"/>
  <c r="N84" i="55"/>
  <c r="N83" i="55"/>
  <c r="N82" i="55"/>
  <c r="N81" i="55"/>
  <c r="N80" i="55"/>
  <c r="N79" i="55"/>
  <c r="N78" i="55"/>
  <c r="N77" i="55"/>
  <c r="N76" i="55"/>
  <c r="N75" i="55"/>
  <c r="N74" i="55"/>
  <c r="N73" i="55"/>
  <c r="N72" i="55"/>
  <c r="N71" i="55"/>
  <c r="N70" i="55"/>
  <c r="N69" i="55"/>
  <c r="N68" i="55"/>
  <c r="N67" i="55"/>
  <c r="N66" i="55"/>
  <c r="N65" i="55"/>
  <c r="N64" i="55"/>
  <c r="N63" i="55"/>
  <c r="N62" i="55"/>
  <c r="N61" i="55"/>
  <c r="N60" i="55"/>
  <c r="N59" i="55"/>
  <c r="N58" i="55"/>
  <c r="N57" i="55"/>
  <c r="N56" i="55"/>
  <c r="N55" i="55"/>
  <c r="N54" i="55"/>
  <c r="N53" i="55"/>
  <c r="N52" i="55"/>
  <c r="N51" i="55"/>
  <c r="N50" i="55"/>
  <c r="N49" i="55"/>
  <c r="N48" i="55"/>
  <c r="N47" i="55"/>
  <c r="N46" i="55"/>
  <c r="N45" i="55"/>
  <c r="N44" i="55"/>
  <c r="N43" i="55"/>
  <c r="N42" i="55"/>
  <c r="N41" i="55"/>
  <c r="N40" i="55"/>
  <c r="N39" i="55"/>
  <c r="N38" i="55"/>
  <c r="N37" i="55"/>
  <c r="N36" i="55"/>
  <c r="N35" i="55"/>
  <c r="N34" i="55"/>
  <c r="N33" i="55"/>
  <c r="N32" i="55"/>
  <c r="N31" i="55"/>
  <c r="N30" i="55"/>
  <c r="N29" i="55"/>
  <c r="N28" i="55"/>
  <c r="N27" i="55"/>
  <c r="N26" i="55"/>
  <c r="N25" i="55"/>
  <c r="N24" i="55"/>
  <c r="N23" i="55"/>
  <c r="N22" i="55"/>
  <c r="N21" i="55"/>
  <c r="N20" i="55"/>
  <c r="N19" i="55"/>
  <c r="N18" i="55"/>
  <c r="N17" i="55"/>
  <c r="N16" i="55"/>
  <c r="N14" i="55"/>
  <c r="N13" i="55"/>
  <c r="D13" i="55"/>
  <c r="N12" i="55"/>
  <c r="D12" i="55"/>
  <c r="P6" i="55"/>
  <c r="P5" i="55"/>
  <c r="P4" i="55"/>
  <c r="P3" i="55"/>
  <c r="P71" i="55" l="1"/>
  <c r="R71" i="55"/>
  <c r="P83" i="55"/>
  <c r="R83" i="55"/>
  <c r="P95" i="55"/>
  <c r="R95" i="55"/>
  <c r="P107" i="55"/>
  <c r="R107" i="55"/>
  <c r="P119" i="55"/>
  <c r="R119" i="55"/>
  <c r="P131" i="55"/>
  <c r="R131" i="55"/>
  <c r="P12" i="55"/>
  <c r="R12" i="55"/>
  <c r="P24" i="55"/>
  <c r="R24" i="55"/>
  <c r="P36" i="55"/>
  <c r="R36" i="55"/>
  <c r="P48" i="55"/>
  <c r="R48" i="55"/>
  <c r="P60" i="55"/>
  <c r="R60" i="55"/>
  <c r="P72" i="55"/>
  <c r="R72" i="55"/>
  <c r="P84" i="55"/>
  <c r="R84" i="55"/>
  <c r="P96" i="55"/>
  <c r="R96" i="55"/>
  <c r="P108" i="55"/>
  <c r="R108" i="55"/>
  <c r="P120" i="55"/>
  <c r="R120" i="55"/>
  <c r="P35" i="55"/>
  <c r="R35" i="55"/>
  <c r="P49" i="55"/>
  <c r="R49" i="55"/>
  <c r="P109" i="55"/>
  <c r="R109" i="55"/>
  <c r="P38" i="55"/>
  <c r="R38" i="55"/>
  <c r="P110" i="55"/>
  <c r="R110" i="55"/>
  <c r="P39" i="55"/>
  <c r="R39" i="55"/>
  <c r="P87" i="55"/>
  <c r="R87" i="55"/>
  <c r="P16" i="55"/>
  <c r="R16" i="55"/>
  <c r="P28" i="55"/>
  <c r="R28" i="55"/>
  <c r="P40" i="55"/>
  <c r="R40" i="55"/>
  <c r="P52" i="55"/>
  <c r="R52" i="55"/>
  <c r="P64" i="55"/>
  <c r="R64" i="55"/>
  <c r="P76" i="55"/>
  <c r="R76" i="55"/>
  <c r="P88" i="55"/>
  <c r="R88" i="55"/>
  <c r="P100" i="55"/>
  <c r="R100" i="55"/>
  <c r="P112" i="55"/>
  <c r="R112" i="55"/>
  <c r="P124" i="55"/>
  <c r="R124" i="55"/>
  <c r="P59" i="55"/>
  <c r="R59" i="55"/>
  <c r="P61" i="55"/>
  <c r="R61" i="55"/>
  <c r="P86" i="55"/>
  <c r="R86" i="55"/>
  <c r="P63" i="55"/>
  <c r="R63" i="55"/>
  <c r="P41" i="55"/>
  <c r="R41" i="55"/>
  <c r="P53" i="55"/>
  <c r="R53" i="55"/>
  <c r="P65" i="55"/>
  <c r="R65" i="55"/>
  <c r="P77" i="55"/>
  <c r="R77" i="55"/>
  <c r="P89" i="55"/>
  <c r="R89" i="55"/>
  <c r="P101" i="55"/>
  <c r="R101" i="55"/>
  <c r="P113" i="55"/>
  <c r="R113" i="55"/>
  <c r="P125" i="55"/>
  <c r="R125" i="55"/>
  <c r="P23" i="55"/>
  <c r="R23" i="55"/>
  <c r="P25" i="55"/>
  <c r="R25" i="55"/>
  <c r="P73" i="55"/>
  <c r="R73" i="55"/>
  <c r="P26" i="55"/>
  <c r="R26" i="55"/>
  <c r="P122" i="55"/>
  <c r="R122" i="55"/>
  <c r="P51" i="55"/>
  <c r="R51" i="55"/>
  <c r="P123" i="55"/>
  <c r="R123" i="55"/>
  <c r="P30" i="55"/>
  <c r="R30" i="55"/>
  <c r="P42" i="55"/>
  <c r="R42" i="55"/>
  <c r="P54" i="55"/>
  <c r="R54" i="55"/>
  <c r="P66" i="55"/>
  <c r="R66" i="55"/>
  <c r="P78" i="55"/>
  <c r="R78" i="55"/>
  <c r="P90" i="55"/>
  <c r="R90" i="55"/>
  <c r="P102" i="55"/>
  <c r="R102" i="55"/>
  <c r="P114" i="55"/>
  <c r="R114" i="55"/>
  <c r="P126" i="55"/>
  <c r="R126" i="55"/>
  <c r="P85" i="55"/>
  <c r="R85" i="55"/>
  <c r="P13" i="55"/>
  <c r="Q13" i="55" s="1"/>
  <c r="R13" i="55"/>
  <c r="P74" i="55"/>
  <c r="R74" i="55"/>
  <c r="P75" i="55"/>
  <c r="R75" i="55"/>
  <c r="P43" i="55"/>
  <c r="R43" i="55"/>
  <c r="P79" i="55"/>
  <c r="R79" i="55"/>
  <c r="P127" i="55"/>
  <c r="R127" i="55"/>
  <c r="P20" i="55"/>
  <c r="R20" i="55"/>
  <c r="P32" i="55"/>
  <c r="R32" i="55"/>
  <c r="P44" i="55"/>
  <c r="R44" i="55"/>
  <c r="P56" i="55"/>
  <c r="R56" i="55"/>
  <c r="P68" i="55"/>
  <c r="R68" i="55"/>
  <c r="P80" i="55"/>
  <c r="R80" i="55"/>
  <c r="P92" i="55"/>
  <c r="R92" i="55"/>
  <c r="P104" i="55"/>
  <c r="R104" i="55"/>
  <c r="P116" i="55"/>
  <c r="R116" i="55"/>
  <c r="P128" i="55"/>
  <c r="R128" i="55"/>
  <c r="P47" i="55"/>
  <c r="R47" i="55"/>
  <c r="P37" i="55"/>
  <c r="R37" i="55"/>
  <c r="P97" i="55"/>
  <c r="R97" i="55"/>
  <c r="P50" i="55"/>
  <c r="R50" i="55"/>
  <c r="P98" i="55"/>
  <c r="R98" i="55"/>
  <c r="P27" i="55"/>
  <c r="R27" i="55"/>
  <c r="P99" i="55"/>
  <c r="R99" i="55"/>
  <c r="P17" i="55"/>
  <c r="R17" i="55"/>
  <c r="P18" i="55"/>
  <c r="R18" i="55"/>
  <c r="P19" i="55"/>
  <c r="R19" i="55"/>
  <c r="P55" i="55"/>
  <c r="R55" i="55"/>
  <c r="P103" i="55"/>
  <c r="R103" i="55"/>
  <c r="P33" i="55"/>
  <c r="R33" i="55"/>
  <c r="P45" i="55"/>
  <c r="R45" i="55"/>
  <c r="P57" i="55"/>
  <c r="R57" i="55"/>
  <c r="P69" i="55"/>
  <c r="R69" i="55"/>
  <c r="P81" i="55"/>
  <c r="R81" i="55"/>
  <c r="P93" i="55"/>
  <c r="R93" i="55"/>
  <c r="P105" i="55"/>
  <c r="R105" i="55"/>
  <c r="P117" i="55"/>
  <c r="R117" i="55"/>
  <c r="P129" i="55"/>
  <c r="R129" i="55"/>
  <c r="P121" i="55"/>
  <c r="R121" i="55"/>
  <c r="P62" i="55"/>
  <c r="R62" i="55"/>
  <c r="P14" i="55"/>
  <c r="R14" i="55"/>
  <c r="P111" i="55"/>
  <c r="R111" i="55"/>
  <c r="P29" i="55"/>
  <c r="R29" i="55"/>
  <c r="P31" i="55"/>
  <c r="R31" i="55"/>
  <c r="P67" i="55"/>
  <c r="R67" i="55"/>
  <c r="P91" i="55"/>
  <c r="R91" i="55"/>
  <c r="P115" i="55"/>
  <c r="R115" i="55"/>
  <c r="P21" i="55"/>
  <c r="R21" i="55"/>
  <c r="P22" i="55"/>
  <c r="R22" i="55"/>
  <c r="P34" i="55"/>
  <c r="R34" i="55"/>
  <c r="P46" i="55"/>
  <c r="R46" i="55"/>
  <c r="P58" i="55"/>
  <c r="R58" i="55"/>
  <c r="P70" i="55"/>
  <c r="R70" i="55"/>
  <c r="P82" i="55"/>
  <c r="R82" i="55"/>
  <c r="P94" i="55"/>
  <c r="R94" i="55"/>
  <c r="P106" i="55"/>
  <c r="R106" i="55"/>
  <c r="P118" i="55"/>
  <c r="R118" i="55"/>
  <c r="P130" i="55"/>
  <c r="R130" i="55"/>
  <c r="G9" i="49"/>
  <c r="G7" i="49"/>
  <c r="G7" i="48"/>
  <c r="H7" i="47"/>
  <c r="G6" i="49"/>
  <c r="G6" i="48"/>
  <c r="H6" i="47"/>
  <c r="Q14" i="55" l="1"/>
  <c r="Q15" i="55" s="1"/>
  <c r="Q16" i="55" s="1"/>
  <c r="Q17" i="55" s="1"/>
  <c r="Q18" i="55" s="1"/>
  <c r="Q19" i="55" s="1"/>
  <c r="Q20" i="55" s="1"/>
  <c r="Q21" i="55" s="1"/>
  <c r="AL19" i="61"/>
  <c r="AL18" i="61"/>
  <c r="H12" i="47"/>
  <c r="H13" i="47"/>
  <c r="G12" i="49"/>
  <c r="G11" i="49"/>
  <c r="G11" i="48"/>
  <c r="G10" i="48"/>
  <c r="Q22" i="55" l="1"/>
  <c r="Q23" i="55" s="1"/>
  <c r="Q24" i="55" s="1"/>
  <c r="Q25" i="55" s="1"/>
  <c r="Q26" i="55" s="1"/>
  <c r="Q27" i="55" s="1"/>
  <c r="Q28" i="55" s="1"/>
  <c r="Q29" i="55" s="1"/>
  <c r="Q30" i="55" s="1"/>
  <c r="Q31" i="55" s="1"/>
  <c r="Q32" i="55" s="1"/>
  <c r="Q33" i="55" s="1"/>
  <c r="Q34" i="55" s="1"/>
  <c r="Q35" i="55" s="1"/>
  <c r="Q36" i="55" s="1"/>
  <c r="Q37" i="55" s="1"/>
  <c r="Q38" i="55" s="1"/>
  <c r="Q39" i="55" s="1"/>
  <c r="Q40" i="55" s="1"/>
  <c r="Q41" i="55" s="1"/>
  <c r="Q42" i="55" s="1"/>
  <c r="Q43" i="55" s="1"/>
  <c r="Q44" i="55" s="1"/>
  <c r="Q45" i="55" s="1"/>
  <c r="Q46" i="55" s="1"/>
  <c r="Q47" i="55" s="1"/>
  <c r="Q48" i="55" s="1"/>
  <c r="Q49" i="55" s="1"/>
  <c r="Q50" i="55" s="1"/>
  <c r="Q51" i="55" s="1"/>
  <c r="Q52" i="55" s="1"/>
  <c r="Q53" i="55" s="1"/>
  <c r="Q54" i="55" s="1"/>
  <c r="Q55" i="55" s="1"/>
  <c r="Q56" i="55" s="1"/>
  <c r="Q57" i="55" s="1"/>
  <c r="Q58" i="55" s="1"/>
  <c r="Q59" i="55" s="1"/>
  <c r="Q60" i="55" s="1"/>
  <c r="Q61" i="55" s="1"/>
  <c r="Q62" i="55" s="1"/>
  <c r="Q63" i="55" s="1"/>
  <c r="Q64" i="55" s="1"/>
  <c r="Q65" i="55" s="1"/>
  <c r="Q66" i="55" s="1"/>
  <c r="Q67" i="55" s="1"/>
  <c r="Q68" i="55" s="1"/>
  <c r="Q69" i="55" s="1"/>
  <c r="Q70" i="55" s="1"/>
  <c r="Q71" i="55" s="1"/>
  <c r="Q72" i="55" s="1"/>
  <c r="Q73" i="55" s="1"/>
  <c r="Q74" i="55" s="1"/>
  <c r="Q75" i="55" s="1"/>
  <c r="Q76" i="55" s="1"/>
  <c r="Q77" i="55" s="1"/>
  <c r="Q78" i="55" s="1"/>
  <c r="Q79" i="55" s="1"/>
  <c r="Q80" i="55" s="1"/>
  <c r="Q81" i="55" s="1"/>
  <c r="Q82" i="55" s="1"/>
  <c r="Q83" i="55" s="1"/>
  <c r="Q84" i="55" s="1"/>
  <c r="Q85" i="55" s="1"/>
  <c r="Q86" i="55" s="1"/>
  <c r="Q87" i="55" s="1"/>
  <c r="Q88" i="55" s="1"/>
  <c r="Q89" i="55" s="1"/>
  <c r="Q90" i="55" s="1"/>
  <c r="Q91" i="55" s="1"/>
  <c r="Q92" i="55" s="1"/>
  <c r="Q93" i="55" s="1"/>
  <c r="Q94" i="55" s="1"/>
  <c r="Q95" i="55" s="1"/>
  <c r="Q96" i="55" s="1"/>
  <c r="Q97" i="55" s="1"/>
  <c r="Q98" i="55" s="1"/>
  <c r="Q99" i="55" s="1"/>
  <c r="Q100" i="55" s="1"/>
  <c r="Q101" i="55" s="1"/>
  <c r="Q102" i="55" s="1"/>
  <c r="Q103" i="55" s="1"/>
  <c r="Q104" i="55" s="1"/>
  <c r="Q105" i="55" s="1"/>
  <c r="Q106" i="55" s="1"/>
  <c r="Q107" i="55" s="1"/>
  <c r="Q108" i="55" s="1"/>
  <c r="Q109" i="55" s="1"/>
  <c r="Q110" i="55" s="1"/>
  <c r="Q111" i="55" s="1"/>
  <c r="Q112" i="55" s="1"/>
  <c r="Q113" i="55" s="1"/>
  <c r="Q114" i="55" s="1"/>
  <c r="Q115" i="55" s="1"/>
  <c r="Q116" i="55" s="1"/>
  <c r="Q117" i="55" s="1"/>
  <c r="Q118" i="55" s="1"/>
  <c r="Q119" i="55" s="1"/>
  <c r="Q120" i="55" s="1"/>
  <c r="Q121" i="55" s="1"/>
  <c r="Q122" i="55" s="1"/>
  <c r="Q123" i="55" s="1"/>
  <c r="Q124" i="55" s="1"/>
  <c r="Q125" i="55" s="1"/>
  <c r="Q126" i="55" s="1"/>
  <c r="Q127" i="55" s="1"/>
  <c r="Q128" i="55" s="1"/>
  <c r="Q129" i="55" s="1"/>
  <c r="Q130" i="55" s="1"/>
  <c r="Q131" i="55" s="1"/>
  <c r="BL14" i="7" l="1"/>
  <c r="BK12" i="47" s="1"/>
  <c r="BL9" i="7"/>
  <c r="C1" i="8"/>
  <c r="D1" i="8"/>
  <c r="A1" i="8"/>
  <c r="BK13" i="47" l="1"/>
  <c r="BK8" i="47"/>
  <c r="GH9" i="40"/>
  <c r="L1" i="40" l="1"/>
  <c r="K10" i="48"/>
  <c r="O1" i="4"/>
  <c r="DN1" i="40" l="1"/>
  <c r="P1" i="4"/>
  <c r="AN1" i="4" l="1"/>
  <c r="J49" i="45" s="1"/>
  <c r="R1" i="4"/>
  <c r="Q1" i="4"/>
  <c r="N1" i="4"/>
  <c r="AK1" i="4" s="1"/>
  <c r="AL1" i="4" s="1"/>
  <c r="J48" i="45" s="1"/>
  <c r="I1" i="40" l="1"/>
  <c r="J1" i="40" s="1"/>
  <c r="K1" i="40" s="1"/>
  <c r="G1" i="40"/>
  <c r="H1" i="40"/>
  <c r="I1" i="25"/>
  <c r="Z1" i="4"/>
  <c r="S1" i="4"/>
  <c r="T1" i="4"/>
  <c r="U1" i="4"/>
  <c r="V1" i="4"/>
  <c r="AB1" i="4"/>
  <c r="AC1" i="4" s="1"/>
  <c r="V1" i="40" l="1"/>
  <c r="S1" i="29"/>
  <c r="V1" i="25"/>
  <c r="AH1" i="25" l="1"/>
  <c r="BE1" i="25" l="1"/>
  <c r="FF1" i="25"/>
  <c r="ES1" i="25"/>
  <c r="CE1" i="25"/>
  <c r="CH1" i="25" s="1"/>
  <c r="J1" i="25" l="1"/>
  <c r="BY1" i="29" l="1"/>
  <c r="AS1" i="29"/>
  <c r="AR1" i="29"/>
  <c r="AQ1" i="29"/>
  <c r="AP1" i="29"/>
  <c r="K1" i="29"/>
  <c r="G1" i="29"/>
  <c r="F1" i="29"/>
  <c r="AA1" i="29"/>
  <c r="E1" i="29"/>
  <c r="A1" i="29"/>
  <c r="BD1" i="29" s="1"/>
  <c r="BJ1" i="29" l="1"/>
  <c r="AV1" i="29"/>
  <c r="A1" i="25"/>
  <c r="L1" i="25" l="1"/>
  <c r="DL1" i="25" s="1"/>
  <c r="DK1" i="25"/>
  <c r="O1" i="24"/>
  <c r="A1" i="24"/>
  <c r="H1" i="24" s="1"/>
  <c r="N3" i="55"/>
  <c r="I3" i="55"/>
  <c r="C2" i="55"/>
  <c r="D2" i="55" s="1"/>
  <c r="C3" i="55"/>
  <c r="EN1" i="25" l="1"/>
  <c r="EL1" i="25"/>
  <c r="EK1" i="25"/>
  <c r="EM1" i="25" s="1"/>
  <c r="M1" i="24"/>
  <c r="I2" i="55"/>
  <c r="J2" i="55" s="1"/>
  <c r="K8" i="48"/>
  <c r="EP1" i="25" l="1"/>
  <c r="EQ1" i="25"/>
  <c r="D1" i="23" l="1"/>
  <c r="E1" i="24"/>
  <c r="AY1" i="29" l="1"/>
  <c r="BU1" i="29" s="1"/>
  <c r="BV1" i="29"/>
  <c r="BW1" i="29"/>
  <c r="AT1" i="29"/>
  <c r="AZ1" i="25"/>
  <c r="BA1" i="25"/>
  <c r="BB1" i="25"/>
  <c r="BC1" i="25"/>
  <c r="BH1" i="25"/>
  <c r="B1" i="24"/>
  <c r="B1" i="40" s="1"/>
  <c r="M1" i="40" s="1"/>
  <c r="M48" i="49" l="1"/>
  <c r="M51" i="49"/>
  <c r="M42" i="49"/>
  <c r="M35" i="49"/>
  <c r="M49" i="49"/>
  <c r="M36" i="49"/>
  <c r="M34" i="49"/>
  <c r="M38" i="49"/>
  <c r="M46" i="49"/>
  <c r="M50" i="49"/>
  <c r="M47" i="49"/>
  <c r="M40" i="49"/>
  <c r="M37" i="49"/>
  <c r="M44" i="49"/>
  <c r="M41" i="49"/>
  <c r="M45" i="49"/>
  <c r="M43" i="49"/>
  <c r="M52" i="49"/>
  <c r="M53" i="49"/>
  <c r="M39" i="49"/>
  <c r="M54" i="49"/>
  <c r="S1" i="40"/>
  <c r="N1" i="40"/>
  <c r="CD9" i="29"/>
  <c r="CD11" i="29"/>
  <c r="CD14" i="29"/>
  <c r="CD10" i="29"/>
  <c r="CD12" i="29"/>
  <c r="CD8" i="29"/>
  <c r="CD13" i="29"/>
  <c r="M25" i="49"/>
  <c r="CB8" i="29"/>
  <c r="M26" i="49"/>
  <c r="M27" i="49"/>
  <c r="M21" i="49"/>
  <c r="M24" i="49"/>
  <c r="M22" i="49"/>
  <c r="M23" i="49"/>
  <c r="CB14" i="29"/>
  <c r="CB12" i="29"/>
  <c r="CB13" i="29"/>
  <c r="CB11" i="29"/>
  <c r="CB10" i="29"/>
  <c r="CB9" i="29"/>
  <c r="B1" i="25"/>
  <c r="B1" i="29"/>
  <c r="I1" i="29" s="1"/>
  <c r="C1" i="24"/>
  <c r="C1" i="40" s="1"/>
  <c r="EB1" i="40" l="1"/>
  <c r="M55" i="49"/>
  <c r="O1" i="40"/>
  <c r="X1" i="40"/>
  <c r="R1" i="40"/>
  <c r="W1" i="40"/>
  <c r="AC1" i="40"/>
  <c r="AD1" i="40"/>
  <c r="CD15" i="29"/>
  <c r="J1" i="24"/>
  <c r="F1" i="8"/>
  <c r="M1" i="25"/>
  <c r="C1" i="29"/>
  <c r="M28" i="49"/>
  <c r="C1" i="25"/>
  <c r="S1" i="25"/>
  <c r="EC1" i="25" s="1"/>
  <c r="D1" i="24"/>
  <c r="EA1" i="25" l="1"/>
  <c r="EB1" i="25"/>
  <c r="O1" i="29" l="1"/>
  <c r="T1" i="29" s="1"/>
  <c r="H1" i="29"/>
  <c r="D1" i="29"/>
  <c r="AB1" i="24"/>
  <c r="BT1" i="29"/>
  <c r="AJ1" i="40" l="1"/>
  <c r="FC1" i="40" s="1"/>
  <c r="Y1" i="29"/>
  <c r="BG1" i="29" s="1"/>
  <c r="AC1" i="24"/>
  <c r="AD1" i="24" s="1"/>
  <c r="AF1" i="24" s="1"/>
  <c r="G1" i="24"/>
  <c r="E1" i="40" s="1"/>
  <c r="W1" i="4"/>
  <c r="X1" i="4" s="1"/>
  <c r="K1" i="25"/>
  <c r="N1" i="25"/>
  <c r="O1" i="25" s="1"/>
  <c r="J1" i="29"/>
  <c r="AW1" i="29"/>
  <c r="AI1" i="25"/>
  <c r="BF1" i="25" s="1"/>
  <c r="L1" i="29"/>
  <c r="M1" i="29" s="1"/>
  <c r="AX1" i="29"/>
  <c r="AJ1" i="25"/>
  <c r="H1" i="25"/>
  <c r="G1" i="25"/>
  <c r="AE1" i="24" l="1"/>
  <c r="AK1" i="24" s="1"/>
  <c r="AL1" i="24" s="1"/>
  <c r="AM1" i="24" s="1"/>
  <c r="AJ1" i="24"/>
  <c r="AH1" i="24"/>
  <c r="CF1" i="25"/>
  <c r="CG1" i="25" s="1"/>
  <c r="FH1" i="25"/>
  <c r="FE1" i="40"/>
  <c r="FG1" i="40"/>
  <c r="BM1" i="29"/>
  <c r="AP1" i="40"/>
  <c r="AK1" i="40"/>
  <c r="AL1" i="40"/>
  <c r="AN1" i="40"/>
  <c r="AX1" i="40"/>
  <c r="AS1" i="40"/>
  <c r="AT1" i="40"/>
  <c r="CF1" i="40"/>
  <c r="CG1" i="40" s="1"/>
  <c r="AO1" i="40"/>
  <c r="AW1" i="40"/>
  <c r="AM1" i="40"/>
  <c r="AV1" i="40"/>
  <c r="BF1" i="40"/>
  <c r="BG1" i="40" s="1"/>
  <c r="AU1" i="40"/>
  <c r="AQ1" i="40"/>
  <c r="AR1" i="40"/>
  <c r="I1" i="24"/>
  <c r="E1" i="25"/>
  <c r="L1" i="24"/>
  <c r="ED1" i="25"/>
  <c r="EE1" i="25"/>
  <c r="X1" i="25"/>
  <c r="W1" i="25"/>
  <c r="X1" i="29"/>
  <c r="E1" i="8"/>
  <c r="AD1" i="25"/>
  <c r="BN1" i="29"/>
  <c r="BL1" i="29"/>
  <c r="BG1" i="25"/>
  <c r="AS1" i="25"/>
  <c r="AK1" i="25"/>
  <c r="AR1" i="25"/>
  <c r="AN1" i="25"/>
  <c r="AU1" i="25"/>
  <c r="AX1" i="25"/>
  <c r="AP1" i="25"/>
  <c r="AO1" i="25"/>
  <c r="AV1" i="25"/>
  <c r="AW1" i="25"/>
  <c r="AT1" i="25"/>
  <c r="AL1" i="25"/>
  <c r="AQ1" i="25"/>
  <c r="AM1" i="25"/>
  <c r="AC1" i="25"/>
  <c r="AZ1" i="29"/>
  <c r="AM1" i="29"/>
  <c r="AE1" i="29"/>
  <c r="AL1" i="29"/>
  <c r="AD1" i="29"/>
  <c r="AK1" i="29"/>
  <c r="AC1" i="29"/>
  <c r="AJ1" i="29"/>
  <c r="AB1" i="29"/>
  <c r="AO1" i="29"/>
  <c r="AG1" i="29"/>
  <c r="AN1" i="29"/>
  <c r="AI1" i="29"/>
  <c r="AH1" i="29"/>
  <c r="AF1" i="29"/>
  <c r="Y1" i="4"/>
  <c r="R1" i="25"/>
  <c r="P1" i="29"/>
  <c r="N1" i="29"/>
  <c r="BR1" i="29" l="1"/>
  <c r="AI1" i="24"/>
  <c r="AG1" i="24"/>
  <c r="FJ1" i="25"/>
  <c r="FL1" i="25"/>
  <c r="T1" i="40"/>
  <c r="U1" i="40" s="1"/>
  <c r="P1" i="24"/>
  <c r="Q1" i="29"/>
  <c r="R1" i="29" s="1"/>
  <c r="V1" i="29" s="1"/>
  <c r="T1" i="25"/>
  <c r="Y1" i="40" l="1"/>
  <c r="Z1" i="40"/>
  <c r="Q1" i="24"/>
  <c r="V1" i="24"/>
  <c r="R1" i="24"/>
  <c r="S1" i="24" s="1"/>
  <c r="U1" i="29"/>
  <c r="W1" i="29" s="1"/>
  <c r="U1" i="25"/>
  <c r="AA1" i="40" l="1"/>
  <c r="AB1" i="40" s="1"/>
  <c r="T1" i="24"/>
  <c r="U1" i="24" s="1"/>
  <c r="Y1" i="25"/>
  <c r="Z1" i="25"/>
  <c r="AA1" i="25" l="1"/>
  <c r="AB1" i="25" s="1"/>
  <c r="J50" i="20"/>
  <c r="J51" i="20"/>
  <c r="J52" i="20"/>
  <c r="J53" i="20"/>
  <c r="J54" i="20"/>
  <c r="J55" i="20"/>
  <c r="J56" i="20"/>
  <c r="J57" i="20"/>
  <c r="J58" i="20"/>
  <c r="J59" i="20"/>
  <c r="J60" i="20"/>
  <c r="J61" i="20"/>
  <c r="J62" i="20"/>
  <c r="J63" i="20"/>
  <c r="J64" i="20"/>
  <c r="J65" i="20"/>
  <c r="J66" i="20"/>
  <c r="J67" i="20"/>
  <c r="J68" i="20"/>
  <c r="J69" i="20"/>
  <c r="J49" i="20"/>
  <c r="G6" i="6" l="1"/>
  <c r="S13" i="55" s="1"/>
  <c r="G7" i="6"/>
  <c r="G8" i="6"/>
  <c r="S15" i="55" s="1"/>
  <c r="G9" i="6"/>
  <c r="S16" i="55" s="1"/>
  <c r="G10" i="6"/>
  <c r="S17" i="55" s="1"/>
  <c r="G11" i="6"/>
  <c r="S18" i="55" s="1"/>
  <c r="G12" i="6"/>
  <c r="S19" i="55" s="1"/>
  <c r="G13" i="6"/>
  <c r="S20" i="55" s="1"/>
  <c r="G14" i="6"/>
  <c r="S21" i="55" s="1"/>
  <c r="G15" i="6"/>
  <c r="S22" i="55" s="1"/>
  <c r="G16" i="6"/>
  <c r="S23" i="55" s="1"/>
  <c r="G17" i="6"/>
  <c r="S24" i="55" s="1"/>
  <c r="G18" i="6"/>
  <c r="S25" i="55" s="1"/>
  <c r="G19" i="6"/>
  <c r="S26" i="55" s="1"/>
  <c r="G20" i="6"/>
  <c r="S27" i="55" s="1"/>
  <c r="G21" i="6"/>
  <c r="S28" i="55" s="1"/>
  <c r="G22" i="6"/>
  <c r="S29" i="55" s="1"/>
  <c r="G23" i="6"/>
  <c r="S30" i="55" s="1"/>
  <c r="G24" i="6"/>
  <c r="S31" i="55" s="1"/>
  <c r="G25" i="6"/>
  <c r="S32" i="55" s="1"/>
  <c r="G26" i="6"/>
  <c r="S33" i="55" s="1"/>
  <c r="G27" i="6"/>
  <c r="S34" i="55" s="1"/>
  <c r="G28" i="6"/>
  <c r="S35" i="55" s="1"/>
  <c r="G29" i="6"/>
  <c r="S36" i="55" s="1"/>
  <c r="G30" i="6"/>
  <c r="S37" i="55" s="1"/>
  <c r="G31" i="6"/>
  <c r="S38" i="55" s="1"/>
  <c r="G32" i="6"/>
  <c r="S39" i="55" s="1"/>
  <c r="G33" i="6"/>
  <c r="S40" i="55" s="1"/>
  <c r="G34" i="6"/>
  <c r="S41" i="55" s="1"/>
  <c r="G35" i="6"/>
  <c r="S42" i="55" s="1"/>
  <c r="G36" i="6"/>
  <c r="S43" i="55" s="1"/>
  <c r="G37" i="6"/>
  <c r="S44" i="55" s="1"/>
  <c r="G38" i="6"/>
  <c r="S45" i="55" s="1"/>
  <c r="G39" i="6"/>
  <c r="S46" i="55" s="1"/>
  <c r="G40" i="6"/>
  <c r="S47" i="55" s="1"/>
  <c r="G41" i="6"/>
  <c r="S48" i="55" s="1"/>
  <c r="G42" i="6"/>
  <c r="S49" i="55" s="1"/>
  <c r="G43" i="6"/>
  <c r="S50" i="55" s="1"/>
  <c r="G44" i="6"/>
  <c r="S51" i="55" s="1"/>
  <c r="G45" i="6"/>
  <c r="S52" i="55" s="1"/>
  <c r="G46" i="6"/>
  <c r="S53" i="55" s="1"/>
  <c r="G47" i="6"/>
  <c r="S54" i="55" s="1"/>
  <c r="G48" i="6"/>
  <c r="S55" i="55" s="1"/>
  <c r="G49" i="6"/>
  <c r="S56" i="55" s="1"/>
  <c r="G50" i="6"/>
  <c r="S57" i="55" s="1"/>
  <c r="G51" i="6"/>
  <c r="S58" i="55" s="1"/>
  <c r="G52" i="6"/>
  <c r="S59" i="55" s="1"/>
  <c r="G53" i="6"/>
  <c r="S60" i="55" s="1"/>
  <c r="G54" i="6"/>
  <c r="S61" i="55" s="1"/>
  <c r="G55" i="6"/>
  <c r="S62" i="55" s="1"/>
  <c r="G56" i="6"/>
  <c r="S63" i="55" s="1"/>
  <c r="G57" i="6"/>
  <c r="S64" i="55" s="1"/>
  <c r="G58" i="6"/>
  <c r="S65" i="55" s="1"/>
  <c r="G59" i="6"/>
  <c r="S66" i="55" s="1"/>
  <c r="G60" i="6"/>
  <c r="S67" i="55" s="1"/>
  <c r="G61" i="6"/>
  <c r="S68" i="55" s="1"/>
  <c r="G62" i="6"/>
  <c r="S69" i="55" s="1"/>
  <c r="G63" i="6"/>
  <c r="S70" i="55" s="1"/>
  <c r="G64" i="6"/>
  <c r="S71" i="55" s="1"/>
  <c r="G65" i="6"/>
  <c r="S72" i="55" s="1"/>
  <c r="G66" i="6"/>
  <c r="S73" i="55" s="1"/>
  <c r="G67" i="6"/>
  <c r="S74" i="55" s="1"/>
  <c r="G68" i="6"/>
  <c r="S75" i="55" s="1"/>
  <c r="G69" i="6"/>
  <c r="S76" i="55" s="1"/>
  <c r="G70" i="6"/>
  <c r="S77" i="55" s="1"/>
  <c r="G71" i="6"/>
  <c r="S78" i="55" s="1"/>
  <c r="G72" i="6"/>
  <c r="S79" i="55" s="1"/>
  <c r="G73" i="6"/>
  <c r="S80" i="55" s="1"/>
  <c r="G74" i="6"/>
  <c r="S81" i="55" s="1"/>
  <c r="G75" i="6"/>
  <c r="S82" i="55" s="1"/>
  <c r="G76" i="6"/>
  <c r="S83" i="55" s="1"/>
  <c r="G77" i="6"/>
  <c r="S84" i="55" s="1"/>
  <c r="G78" i="6"/>
  <c r="S85" i="55" s="1"/>
  <c r="G79" i="6"/>
  <c r="S86" i="55" s="1"/>
  <c r="G80" i="6"/>
  <c r="S87" i="55" s="1"/>
  <c r="G81" i="6"/>
  <c r="S88" i="55" s="1"/>
  <c r="G82" i="6"/>
  <c r="S89" i="55" s="1"/>
  <c r="G83" i="6"/>
  <c r="S90" i="55" s="1"/>
  <c r="G84" i="6"/>
  <c r="S91" i="55" s="1"/>
  <c r="G85" i="6"/>
  <c r="S92" i="55" s="1"/>
  <c r="G86" i="6"/>
  <c r="S93" i="55" s="1"/>
  <c r="G87" i="6"/>
  <c r="S94" i="55" s="1"/>
  <c r="G88" i="6"/>
  <c r="S95" i="55" s="1"/>
  <c r="G89" i="6"/>
  <c r="S96" i="55" s="1"/>
  <c r="G90" i="6"/>
  <c r="S97" i="55" s="1"/>
  <c r="G91" i="6"/>
  <c r="S98" i="55" s="1"/>
  <c r="G92" i="6"/>
  <c r="S99" i="55" s="1"/>
  <c r="G93" i="6"/>
  <c r="S100" i="55" s="1"/>
  <c r="G94" i="6"/>
  <c r="S101" i="55" s="1"/>
  <c r="G95" i="6"/>
  <c r="S102" i="55" s="1"/>
  <c r="G96" i="6"/>
  <c r="S103" i="55" s="1"/>
  <c r="G97" i="6"/>
  <c r="S104" i="55" s="1"/>
  <c r="G98" i="6"/>
  <c r="S105" i="55" s="1"/>
  <c r="G99" i="6"/>
  <c r="S106" i="55" s="1"/>
  <c r="G100" i="6"/>
  <c r="S107" i="55" s="1"/>
  <c r="G101" i="6"/>
  <c r="S108" i="55" s="1"/>
  <c r="G102" i="6"/>
  <c r="S109" i="55" s="1"/>
  <c r="G103" i="6"/>
  <c r="S110" i="55" s="1"/>
  <c r="G104" i="6"/>
  <c r="S111" i="55" s="1"/>
  <c r="G105" i="6"/>
  <c r="S112" i="55" s="1"/>
  <c r="G106" i="6"/>
  <c r="S113" i="55" s="1"/>
  <c r="G107" i="6"/>
  <c r="S114" i="55" s="1"/>
  <c r="G108" i="6"/>
  <c r="S115" i="55" s="1"/>
  <c r="G109" i="6"/>
  <c r="S116" i="55" s="1"/>
  <c r="G110" i="6"/>
  <c r="S117" i="55" s="1"/>
  <c r="G111" i="6"/>
  <c r="S118" i="55" s="1"/>
  <c r="G112" i="6"/>
  <c r="S119" i="55" s="1"/>
  <c r="G113" i="6"/>
  <c r="S120" i="55" s="1"/>
  <c r="G114" i="6"/>
  <c r="S121" i="55" s="1"/>
  <c r="G115" i="6"/>
  <c r="S122" i="55" s="1"/>
  <c r="G116" i="6"/>
  <c r="S123" i="55" s="1"/>
  <c r="G117" i="6"/>
  <c r="S124" i="55" s="1"/>
  <c r="G118" i="6"/>
  <c r="S125" i="55" s="1"/>
  <c r="G119" i="6"/>
  <c r="S126" i="55" s="1"/>
  <c r="G120" i="6"/>
  <c r="S127" i="55" s="1"/>
  <c r="G121" i="6"/>
  <c r="S128" i="55" s="1"/>
  <c r="G122" i="6"/>
  <c r="S129" i="55" s="1"/>
  <c r="G123" i="6"/>
  <c r="S130" i="55" s="1"/>
  <c r="G124" i="6"/>
  <c r="S131" i="55" s="1"/>
  <c r="G5" i="6"/>
  <c r="S12" i="55" l="1"/>
  <c r="GH10" i="40"/>
  <c r="S14" i="55"/>
  <c r="FT14" i="25"/>
  <c r="BL11" i="7" l="1"/>
  <c r="BK9" i="47" s="1"/>
  <c r="AE1" i="40"/>
  <c r="K11" i="48"/>
  <c r="I9" i="6"/>
  <c r="BK10" i="47" l="1"/>
  <c r="I124" i="6"/>
  <c r="I123" i="6"/>
  <c r="I122" i="6"/>
  <c r="I121" i="6"/>
  <c r="I120" i="6"/>
  <c r="I119" i="6"/>
  <c r="I118" i="6"/>
  <c r="I117" i="6"/>
  <c r="I116" i="6"/>
  <c r="I115" i="6"/>
  <c r="I114" i="6"/>
  <c r="I113" i="6"/>
  <c r="I112" i="6"/>
  <c r="I111" i="6"/>
  <c r="I110" i="6"/>
  <c r="I109" i="6"/>
  <c r="I108" i="6"/>
  <c r="I107" i="6"/>
  <c r="I106" i="6"/>
  <c r="I105" i="6"/>
  <c r="I104" i="6"/>
  <c r="I103" i="6"/>
  <c r="I102" i="6"/>
  <c r="I101" i="6"/>
  <c r="I100" i="6"/>
  <c r="I99" i="6"/>
  <c r="I98" i="6"/>
  <c r="I97" i="6"/>
  <c r="I96" i="6"/>
  <c r="I95" i="6"/>
  <c r="I94" i="6"/>
  <c r="I93" i="6"/>
  <c r="I92" i="6"/>
  <c r="I91" i="6"/>
  <c r="I90" i="6"/>
  <c r="I89" i="6"/>
  <c r="I88" i="6"/>
  <c r="I87" i="6"/>
  <c r="I86" i="6"/>
  <c r="I85" i="6"/>
  <c r="I84" i="6"/>
  <c r="I83" i="6"/>
  <c r="I82" i="6"/>
  <c r="I81" i="6"/>
  <c r="I80" i="6"/>
  <c r="I79" i="6"/>
  <c r="I78" i="6"/>
  <c r="I77" i="6"/>
  <c r="I76" i="6"/>
  <c r="I75" i="6"/>
  <c r="I74" i="6"/>
  <c r="I73" i="6"/>
  <c r="I72" i="6"/>
  <c r="I71" i="6"/>
  <c r="I70" i="6"/>
  <c r="I69" i="6"/>
  <c r="I68" i="6"/>
  <c r="I67" i="6"/>
  <c r="I66" i="6"/>
  <c r="I65" i="6"/>
  <c r="I64" i="6"/>
  <c r="I63" i="6"/>
  <c r="I62" i="6"/>
  <c r="I61" i="6"/>
  <c r="I60" i="6"/>
  <c r="I59" i="6"/>
  <c r="I58" i="6"/>
  <c r="I57" i="6"/>
  <c r="I56" i="6"/>
  <c r="I55" i="6"/>
  <c r="I54" i="6"/>
  <c r="I53" i="6"/>
  <c r="I52" i="6"/>
  <c r="I51" i="6"/>
  <c r="I50" i="6"/>
  <c r="I49" i="6"/>
  <c r="I48" i="6"/>
  <c r="I47" i="6"/>
  <c r="I46" i="6"/>
  <c r="I45" i="6"/>
  <c r="I44"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I12" i="6"/>
  <c r="I11" i="6"/>
  <c r="I10" i="6"/>
  <c r="I8" i="6"/>
  <c r="I7" i="6"/>
  <c r="I6" i="6"/>
  <c r="I5" i="6"/>
  <c r="J51" i="45" l="1"/>
  <c r="F1" i="24"/>
  <c r="D1" i="40" s="1"/>
  <c r="T5" i="14"/>
  <c r="T13" i="14"/>
  <c r="T21" i="14"/>
  <c r="T29" i="14"/>
  <c r="T37" i="14"/>
  <c r="T45" i="14"/>
  <c r="T53" i="14"/>
  <c r="T61" i="14"/>
  <c r="T69" i="14"/>
  <c r="T77" i="14"/>
  <c r="T85" i="14"/>
  <c r="T93" i="14"/>
  <c r="T101" i="14"/>
  <c r="T109" i="14"/>
  <c r="T117" i="14"/>
  <c r="T125" i="14"/>
  <c r="T133" i="14"/>
  <c r="T141" i="14"/>
  <c r="T149" i="14"/>
  <c r="T157" i="14"/>
  <c r="T165" i="14"/>
  <c r="T173" i="14"/>
  <c r="T181" i="14"/>
  <c r="T189" i="14"/>
  <c r="T197" i="14"/>
  <c r="T205" i="14"/>
  <c r="T213" i="14"/>
  <c r="T221" i="14"/>
  <c r="T229" i="14"/>
  <c r="T237" i="14"/>
  <c r="T245" i="14"/>
  <c r="T253" i="14"/>
  <c r="T261" i="14"/>
  <c r="T269" i="14"/>
  <c r="T277" i="14"/>
  <c r="T285" i="14"/>
  <c r="T293" i="14"/>
  <c r="T301" i="14"/>
  <c r="T309" i="14"/>
  <c r="T317" i="14"/>
  <c r="T325" i="14"/>
  <c r="T333" i="14"/>
  <c r="T341" i="14"/>
  <c r="T349" i="14"/>
  <c r="T357" i="14"/>
  <c r="T365" i="14"/>
  <c r="T373" i="14"/>
  <c r="T381" i="14"/>
  <c r="T389" i="14"/>
  <c r="T397" i="14"/>
  <c r="T405" i="14"/>
  <c r="T413" i="14"/>
  <c r="T421" i="14"/>
  <c r="T366" i="14"/>
  <c r="T398" i="14"/>
  <c r="T414" i="14"/>
  <c r="T423" i="14"/>
  <c r="T395" i="14"/>
  <c r="T332" i="14"/>
  <c r="T6" i="14"/>
  <c r="T14" i="14"/>
  <c r="T22" i="14"/>
  <c r="T30" i="14"/>
  <c r="T38" i="14"/>
  <c r="T46" i="14"/>
  <c r="T54" i="14"/>
  <c r="T62" i="14"/>
  <c r="T70" i="14"/>
  <c r="T78" i="14"/>
  <c r="T86" i="14"/>
  <c r="T94" i="14"/>
  <c r="T102" i="14"/>
  <c r="T110" i="14"/>
  <c r="T118" i="14"/>
  <c r="T126" i="14"/>
  <c r="T134" i="14"/>
  <c r="T142" i="14"/>
  <c r="T150" i="14"/>
  <c r="T158" i="14"/>
  <c r="T166" i="14"/>
  <c r="T174" i="14"/>
  <c r="T182" i="14"/>
  <c r="T190" i="14"/>
  <c r="T198" i="14"/>
  <c r="T206" i="14"/>
  <c r="T214" i="14"/>
  <c r="T222" i="14"/>
  <c r="T230" i="14"/>
  <c r="T238" i="14"/>
  <c r="T246" i="14"/>
  <c r="T254" i="14"/>
  <c r="T262" i="14"/>
  <c r="T270" i="14"/>
  <c r="T278" i="14"/>
  <c r="T286" i="14"/>
  <c r="T294" i="14"/>
  <c r="T302" i="14"/>
  <c r="T310" i="14"/>
  <c r="T318" i="14"/>
  <c r="T326" i="14"/>
  <c r="T334" i="14"/>
  <c r="T342" i="14"/>
  <c r="T350" i="14"/>
  <c r="T358" i="14"/>
  <c r="T374" i="14"/>
  <c r="T382" i="14"/>
  <c r="T390" i="14"/>
  <c r="T406" i="14"/>
  <c r="T422" i="14"/>
  <c r="T410" i="14"/>
  <c r="T419" i="14"/>
  <c r="T380" i="14"/>
  <c r="T412" i="14"/>
  <c r="T7" i="14"/>
  <c r="T15" i="14"/>
  <c r="T23" i="14"/>
  <c r="T31" i="14"/>
  <c r="T39" i="14"/>
  <c r="T47" i="14"/>
  <c r="T55" i="14"/>
  <c r="T63" i="14"/>
  <c r="T71" i="14"/>
  <c r="T79" i="14"/>
  <c r="T87" i="14"/>
  <c r="T95" i="14"/>
  <c r="T103" i="14"/>
  <c r="T111" i="14"/>
  <c r="T119" i="14"/>
  <c r="T127" i="14"/>
  <c r="T135" i="14"/>
  <c r="T143" i="14"/>
  <c r="T151" i="14"/>
  <c r="T159" i="14"/>
  <c r="T167" i="14"/>
  <c r="T175" i="14"/>
  <c r="T183" i="14"/>
  <c r="T191" i="14"/>
  <c r="T199" i="14"/>
  <c r="T207" i="14"/>
  <c r="T215" i="14"/>
  <c r="T223" i="14"/>
  <c r="T231" i="14"/>
  <c r="T239" i="14"/>
  <c r="T247" i="14"/>
  <c r="T255" i="14"/>
  <c r="T263" i="14"/>
  <c r="T271" i="14"/>
  <c r="T279" i="14"/>
  <c r="T287" i="14"/>
  <c r="T295" i="14"/>
  <c r="T303" i="14"/>
  <c r="T311" i="14"/>
  <c r="T319" i="14"/>
  <c r="T327" i="14"/>
  <c r="T335" i="14"/>
  <c r="T343" i="14"/>
  <c r="T351" i="14"/>
  <c r="T359" i="14"/>
  <c r="T367" i="14"/>
  <c r="T375" i="14"/>
  <c r="T383" i="14"/>
  <c r="T391" i="14"/>
  <c r="T399" i="14"/>
  <c r="T407" i="14"/>
  <c r="T415" i="14"/>
  <c r="T379" i="14"/>
  <c r="T372" i="14"/>
  <c r="T4" i="14"/>
  <c r="T8" i="14"/>
  <c r="T16" i="14"/>
  <c r="T24" i="14"/>
  <c r="T32" i="14"/>
  <c r="T40" i="14"/>
  <c r="T48" i="14"/>
  <c r="T56" i="14"/>
  <c r="T64" i="14"/>
  <c r="T72" i="14"/>
  <c r="T80" i="14"/>
  <c r="T88" i="14"/>
  <c r="T96" i="14"/>
  <c r="T104" i="14"/>
  <c r="T112" i="14"/>
  <c r="T120" i="14"/>
  <c r="T128" i="14"/>
  <c r="T136" i="14"/>
  <c r="T144" i="14"/>
  <c r="T152" i="14"/>
  <c r="T160" i="14"/>
  <c r="T168" i="14"/>
  <c r="T176" i="14"/>
  <c r="T184" i="14"/>
  <c r="T192" i="14"/>
  <c r="T200" i="14"/>
  <c r="T208" i="14"/>
  <c r="T216" i="14"/>
  <c r="T224" i="14"/>
  <c r="T232" i="14"/>
  <c r="T240" i="14"/>
  <c r="T248" i="14"/>
  <c r="T256" i="14"/>
  <c r="T264" i="14"/>
  <c r="T272" i="14"/>
  <c r="T280" i="14"/>
  <c r="T288" i="14"/>
  <c r="T296" i="14"/>
  <c r="T304" i="14"/>
  <c r="T312" i="14"/>
  <c r="T320" i="14"/>
  <c r="T328" i="14"/>
  <c r="T336" i="14"/>
  <c r="T344" i="14"/>
  <c r="T352" i="14"/>
  <c r="T360" i="14"/>
  <c r="T368" i="14"/>
  <c r="T376" i="14"/>
  <c r="T384" i="14"/>
  <c r="T392" i="14"/>
  <c r="T400" i="14"/>
  <c r="T408" i="14"/>
  <c r="T416" i="14"/>
  <c r="T424" i="14"/>
  <c r="T386" i="14"/>
  <c r="T426" i="14"/>
  <c r="T316" i="14"/>
  <c r="T404" i="14"/>
  <c r="T9" i="14"/>
  <c r="T17" i="14"/>
  <c r="T25" i="14"/>
  <c r="T33" i="14"/>
  <c r="T41" i="14"/>
  <c r="T49" i="14"/>
  <c r="T57" i="14"/>
  <c r="T65" i="14"/>
  <c r="T73" i="14"/>
  <c r="T81" i="14"/>
  <c r="T89" i="14"/>
  <c r="T97" i="14"/>
  <c r="T105" i="14"/>
  <c r="T113" i="14"/>
  <c r="T121" i="14"/>
  <c r="T129" i="14"/>
  <c r="T137" i="14"/>
  <c r="T145" i="14"/>
  <c r="T153" i="14"/>
  <c r="T161" i="14"/>
  <c r="T169" i="14"/>
  <c r="T177" i="14"/>
  <c r="T185" i="14"/>
  <c r="T193" i="14"/>
  <c r="T201" i="14"/>
  <c r="T209" i="14"/>
  <c r="T217" i="14"/>
  <c r="T225" i="14"/>
  <c r="T233" i="14"/>
  <c r="T241" i="14"/>
  <c r="T249" i="14"/>
  <c r="T257" i="14"/>
  <c r="T265" i="14"/>
  <c r="T273" i="14"/>
  <c r="T281" i="14"/>
  <c r="T289" i="14"/>
  <c r="T297" i="14"/>
  <c r="T305" i="14"/>
  <c r="T313" i="14"/>
  <c r="T321" i="14"/>
  <c r="T329" i="14"/>
  <c r="T337" i="14"/>
  <c r="T345" i="14"/>
  <c r="T353" i="14"/>
  <c r="T361" i="14"/>
  <c r="T369" i="14"/>
  <c r="T377" i="14"/>
  <c r="T385" i="14"/>
  <c r="T393" i="14"/>
  <c r="T401" i="14"/>
  <c r="T409" i="14"/>
  <c r="T417" i="14"/>
  <c r="T425" i="14"/>
  <c r="T306" i="14"/>
  <c r="T338" i="14"/>
  <c r="T354" i="14"/>
  <c r="T370" i="14"/>
  <c r="T394" i="14"/>
  <c r="T402" i="14"/>
  <c r="T411" i="14"/>
  <c r="T356" i="14"/>
  <c r="T10" i="14"/>
  <c r="T18" i="14"/>
  <c r="T26" i="14"/>
  <c r="T34" i="14"/>
  <c r="T42" i="14"/>
  <c r="T50" i="14"/>
  <c r="T58" i="14"/>
  <c r="T66" i="14"/>
  <c r="T74" i="14"/>
  <c r="T82" i="14"/>
  <c r="T90" i="14"/>
  <c r="T98" i="14"/>
  <c r="T106" i="14"/>
  <c r="T114" i="14"/>
  <c r="T122" i="14"/>
  <c r="T130" i="14"/>
  <c r="T138" i="14"/>
  <c r="T146" i="14"/>
  <c r="T154" i="14"/>
  <c r="T162" i="14"/>
  <c r="T170" i="14"/>
  <c r="T178" i="14"/>
  <c r="T186" i="14"/>
  <c r="T194" i="14"/>
  <c r="T202" i="14"/>
  <c r="T210" i="14"/>
  <c r="T218" i="14"/>
  <c r="T226" i="14"/>
  <c r="T234" i="14"/>
  <c r="T242" i="14"/>
  <c r="T250" i="14"/>
  <c r="T258" i="14"/>
  <c r="T266" i="14"/>
  <c r="T274" i="14"/>
  <c r="T282" i="14"/>
  <c r="T290" i="14"/>
  <c r="T298" i="14"/>
  <c r="T314" i="14"/>
  <c r="T322" i="14"/>
  <c r="T330" i="14"/>
  <c r="T346" i="14"/>
  <c r="T362" i="14"/>
  <c r="T378" i="14"/>
  <c r="T418" i="14"/>
  <c r="T427" i="14"/>
  <c r="T364" i="14"/>
  <c r="T420" i="14"/>
  <c r="T11" i="14"/>
  <c r="T19" i="14"/>
  <c r="T27" i="14"/>
  <c r="T35" i="14"/>
  <c r="T43" i="14"/>
  <c r="T51" i="14"/>
  <c r="T59" i="14"/>
  <c r="T67" i="14"/>
  <c r="T75" i="14"/>
  <c r="T83" i="14"/>
  <c r="T91" i="14"/>
  <c r="T99" i="14"/>
  <c r="T107" i="14"/>
  <c r="T115" i="14"/>
  <c r="T123" i="14"/>
  <c r="T131" i="14"/>
  <c r="T139" i="14"/>
  <c r="T147" i="14"/>
  <c r="T155" i="14"/>
  <c r="T163" i="14"/>
  <c r="T171" i="14"/>
  <c r="T179" i="14"/>
  <c r="T187" i="14"/>
  <c r="T195" i="14"/>
  <c r="T203" i="14"/>
  <c r="T211" i="14"/>
  <c r="T219" i="14"/>
  <c r="T227" i="14"/>
  <c r="T235" i="14"/>
  <c r="T243" i="14"/>
  <c r="T251" i="14"/>
  <c r="T259" i="14"/>
  <c r="T267" i="14"/>
  <c r="T275" i="14"/>
  <c r="T283" i="14"/>
  <c r="T291" i="14"/>
  <c r="T299" i="14"/>
  <c r="T307" i="14"/>
  <c r="T315" i="14"/>
  <c r="T323" i="14"/>
  <c r="T331" i="14"/>
  <c r="T339" i="14"/>
  <c r="T347" i="14"/>
  <c r="T355" i="14"/>
  <c r="T363" i="14"/>
  <c r="T371" i="14"/>
  <c r="T387" i="14"/>
  <c r="T403" i="14"/>
  <c r="T340" i="14"/>
  <c r="T396" i="14"/>
  <c r="T12" i="14"/>
  <c r="T20" i="14"/>
  <c r="T28" i="14"/>
  <c r="T36" i="14"/>
  <c r="T44" i="14"/>
  <c r="T52" i="14"/>
  <c r="T60" i="14"/>
  <c r="T68" i="14"/>
  <c r="T76" i="14"/>
  <c r="T84" i="14"/>
  <c r="T92" i="14"/>
  <c r="T100" i="14"/>
  <c r="T108" i="14"/>
  <c r="T116" i="14"/>
  <c r="T124" i="14"/>
  <c r="T132" i="14"/>
  <c r="T140" i="14"/>
  <c r="T148" i="14"/>
  <c r="T156" i="14"/>
  <c r="T164" i="14"/>
  <c r="T172" i="14"/>
  <c r="T180" i="14"/>
  <c r="T188" i="14"/>
  <c r="T196" i="14"/>
  <c r="T204" i="14"/>
  <c r="T212" i="14"/>
  <c r="T220" i="14"/>
  <c r="T228" i="14"/>
  <c r="T236" i="14"/>
  <c r="T244" i="14"/>
  <c r="T252" i="14"/>
  <c r="T260" i="14"/>
  <c r="T268" i="14"/>
  <c r="T276" i="14"/>
  <c r="T284" i="14"/>
  <c r="T292" i="14"/>
  <c r="T300" i="14"/>
  <c r="T308" i="14"/>
  <c r="T324" i="14"/>
  <c r="T348" i="14"/>
  <c r="T388" i="14"/>
  <c r="F1" i="40" l="1"/>
  <c r="ED1" i="40"/>
  <c r="EE1" i="40" s="1"/>
  <c r="EC1" i="40"/>
  <c r="D1" i="25"/>
  <c r="DZ1" i="25" s="1"/>
  <c r="EF1" i="25" s="1"/>
  <c r="BX106" i="13"/>
  <c r="BW106" i="13"/>
  <c r="BV106" i="13"/>
  <c r="BU106" i="13"/>
  <c r="BT106" i="13"/>
  <c r="BS106" i="13"/>
  <c r="BR106" i="13"/>
  <c r="BQ106" i="13"/>
  <c r="BP106" i="13"/>
  <c r="BO106" i="13"/>
  <c r="BN106" i="13"/>
  <c r="BM106" i="13"/>
  <c r="BL106" i="13"/>
  <c r="BK106" i="13"/>
  <c r="BJ106" i="13"/>
  <c r="BI106" i="13"/>
  <c r="BH106" i="13"/>
  <c r="BG106" i="13"/>
  <c r="BF106" i="13"/>
  <c r="BE106" i="13"/>
  <c r="BD106" i="13"/>
  <c r="BC106" i="13"/>
  <c r="BB106" i="13"/>
  <c r="BA106" i="13"/>
  <c r="AZ106" i="13"/>
  <c r="AY106" i="13"/>
  <c r="AX106" i="13"/>
  <c r="AW106" i="13"/>
  <c r="AV106" i="13"/>
  <c r="AU106" i="13"/>
  <c r="AT106" i="13"/>
  <c r="AS106" i="13"/>
  <c r="AR106" i="13"/>
  <c r="AQ106" i="13"/>
  <c r="AP106" i="13"/>
  <c r="AO106" i="13"/>
  <c r="AN106" i="13"/>
  <c r="AM106" i="13"/>
  <c r="AL106" i="13"/>
  <c r="AK106" i="13"/>
  <c r="AJ106" i="13"/>
  <c r="AI106" i="13"/>
  <c r="AH106" i="13"/>
  <c r="AG106" i="13"/>
  <c r="AF106" i="13"/>
  <c r="AE106" i="13"/>
  <c r="AD106" i="13"/>
  <c r="AC106" i="13"/>
  <c r="AB106" i="13"/>
  <c r="AA106" i="13"/>
  <c r="Z106" i="13"/>
  <c r="Y106" i="13"/>
  <c r="X106" i="13"/>
  <c r="W106" i="13"/>
  <c r="V106" i="13"/>
  <c r="U106" i="13"/>
  <c r="T106" i="13"/>
  <c r="S106" i="13"/>
  <c r="R106" i="13"/>
  <c r="Q106" i="13"/>
  <c r="P106" i="13"/>
  <c r="O106" i="13"/>
  <c r="N106" i="13"/>
  <c r="M106" i="13"/>
  <c r="L106" i="13"/>
  <c r="K106" i="13"/>
  <c r="J106" i="13"/>
  <c r="I106" i="13"/>
  <c r="H106" i="13"/>
  <c r="G106" i="13"/>
  <c r="F106" i="13"/>
  <c r="E106" i="13"/>
  <c r="D106" i="13"/>
  <c r="C106" i="13"/>
  <c r="F1" i="25" l="1"/>
  <c r="EG1" i="25"/>
  <c r="EO1" i="25"/>
  <c r="I4" i="22"/>
  <c r="D25" i="19"/>
  <c r="EH1" i="25" l="1"/>
  <c r="EI1" i="25" s="1"/>
  <c r="EJ1" i="25" s="1"/>
  <c r="C27" i="19"/>
  <c r="C25" i="19"/>
  <c r="C26" i="19"/>
  <c r="C12" i="22"/>
  <c r="C20" i="22"/>
  <c r="C24" i="22"/>
  <c r="C19" i="22"/>
  <c r="C13" i="22"/>
  <c r="C21" i="22"/>
  <c r="C15" i="22"/>
  <c r="C8" i="22"/>
  <c r="C5" i="22"/>
  <c r="C6" i="22"/>
  <c r="C14" i="22"/>
  <c r="C22" i="22"/>
  <c r="C7" i="22"/>
  <c r="C23" i="22"/>
  <c r="C16" i="22"/>
  <c r="C17" i="22"/>
  <c r="C10" i="22"/>
  <c r="C25" i="22"/>
  <c r="C18" i="22"/>
  <c r="C11" i="22"/>
  <c r="C9" i="22"/>
  <c r="M3" i="15"/>
  <c r="J109" i="18"/>
  <c r="J74" i="15" l="1"/>
  <c r="H76" i="15"/>
  <c r="F75" i="15"/>
  <c r="I74" i="15"/>
  <c r="G76" i="15"/>
  <c r="E75" i="15"/>
  <c r="H74" i="15"/>
  <c r="F76" i="15"/>
  <c r="G74" i="15"/>
  <c r="E76" i="15"/>
  <c r="F74" i="15"/>
  <c r="J75" i="15"/>
  <c r="E74" i="15"/>
  <c r="I75" i="15"/>
  <c r="J76" i="15"/>
  <c r="H75" i="15"/>
  <c r="I76" i="15"/>
  <c r="G75" i="15"/>
  <c r="G108" i="18"/>
  <c r="I108" i="18"/>
  <c r="H108" i="18"/>
  <c r="F108" i="18"/>
  <c r="E108" i="18"/>
  <c r="D108" i="18"/>
  <c r="H5" i="15"/>
  <c r="I6" i="15"/>
  <c r="J7" i="15"/>
  <c r="E10" i="15"/>
  <c r="F11" i="15"/>
  <c r="G12" i="15"/>
  <c r="H13" i="15"/>
  <c r="I14" i="15"/>
  <c r="J15" i="15"/>
  <c r="E18" i="15"/>
  <c r="F19" i="15"/>
  <c r="G20" i="15"/>
  <c r="H21" i="15"/>
  <c r="I22" i="15"/>
  <c r="J23" i="15"/>
  <c r="E26" i="15"/>
  <c r="F27" i="15"/>
  <c r="G28" i="15"/>
  <c r="H29" i="15"/>
  <c r="I30" i="15"/>
  <c r="J31" i="15"/>
  <c r="E34" i="15"/>
  <c r="F35" i="15"/>
  <c r="G36" i="15"/>
  <c r="H37" i="15"/>
  <c r="I38" i="15"/>
  <c r="J39" i="15"/>
  <c r="E6" i="15"/>
  <c r="F7" i="15"/>
  <c r="G8" i="15"/>
  <c r="H9" i="15"/>
  <c r="I10" i="15"/>
  <c r="J11" i="15"/>
  <c r="E14" i="15"/>
  <c r="F15" i="15"/>
  <c r="G16" i="15"/>
  <c r="H17" i="15"/>
  <c r="I18" i="15"/>
  <c r="J19" i="15"/>
  <c r="E22" i="15"/>
  <c r="F23" i="15"/>
  <c r="G24" i="15"/>
  <c r="H25" i="15"/>
  <c r="I26" i="15"/>
  <c r="J27" i="15"/>
  <c r="E30" i="15"/>
  <c r="F31" i="15"/>
  <c r="G32" i="15"/>
  <c r="H33" i="15"/>
  <c r="I34" i="15"/>
  <c r="J35" i="15"/>
  <c r="E38" i="15"/>
  <c r="F39" i="15"/>
  <c r="G40" i="15"/>
  <c r="H41" i="15"/>
  <c r="G5" i="15"/>
  <c r="H8" i="15"/>
  <c r="H11" i="15"/>
  <c r="E13" i="15"/>
  <c r="J5" i="15"/>
  <c r="G7" i="15"/>
  <c r="J8" i="15"/>
  <c r="G10" i="15"/>
  <c r="G13" i="15"/>
  <c r="H16" i="15"/>
  <c r="H19" i="15"/>
  <c r="E21" i="15"/>
  <c r="H22" i="15"/>
  <c r="E24" i="15"/>
  <c r="I25" i="15"/>
  <c r="E27" i="15"/>
  <c r="I28" i="15"/>
  <c r="F30" i="15"/>
  <c r="I31" i="15"/>
  <c r="F33" i="15"/>
  <c r="J34" i="15"/>
  <c r="F36" i="15"/>
  <c r="J37" i="15"/>
  <c r="G39" i="15"/>
  <c r="J40" i="15"/>
  <c r="F42" i="15"/>
  <c r="G43" i="15"/>
  <c r="H44" i="15"/>
  <c r="I45" i="15"/>
  <c r="J46" i="15"/>
  <c r="E49" i="15"/>
  <c r="F50" i="15"/>
  <c r="G51" i="15"/>
  <c r="H7" i="15"/>
  <c r="E9" i="15"/>
  <c r="H10" i="15"/>
  <c r="E12" i="15"/>
  <c r="I13" i="15"/>
  <c r="E15" i="15"/>
  <c r="I16" i="15"/>
  <c r="F18" i="15"/>
  <c r="I19" i="15"/>
  <c r="F21" i="15"/>
  <c r="J22" i="15"/>
  <c r="F24" i="15"/>
  <c r="J25" i="15"/>
  <c r="G27" i="15"/>
  <c r="J28" i="15"/>
  <c r="G30" i="15"/>
  <c r="G33" i="15"/>
  <c r="H36" i="15"/>
  <c r="H39" i="15"/>
  <c r="E41" i="15"/>
  <c r="G42" i="15"/>
  <c r="H43" i="15"/>
  <c r="I44" i="15"/>
  <c r="J45" i="15"/>
  <c r="E48" i="15"/>
  <c r="F49" i="15"/>
  <c r="G50" i="15"/>
  <c r="H51" i="15"/>
  <c r="F6" i="15"/>
  <c r="I7" i="15"/>
  <c r="F9" i="15"/>
  <c r="J10" i="15"/>
  <c r="F12" i="15"/>
  <c r="J13" i="15"/>
  <c r="G15" i="15"/>
  <c r="J16" i="15"/>
  <c r="G18" i="15"/>
  <c r="G21" i="15"/>
  <c r="H24" i="15"/>
  <c r="H27" i="15"/>
  <c r="E29" i="15"/>
  <c r="H30" i="15"/>
  <c r="E32" i="15"/>
  <c r="I33" i="15"/>
  <c r="E35" i="15"/>
  <c r="I36" i="15"/>
  <c r="F38" i="15"/>
  <c r="I39" i="15"/>
  <c r="F41" i="15"/>
  <c r="H42" i="15"/>
  <c r="I43" i="15"/>
  <c r="J44" i="15"/>
  <c r="E47" i="15"/>
  <c r="F48" i="15"/>
  <c r="G49" i="15"/>
  <c r="H50" i="15"/>
  <c r="I51" i="15"/>
  <c r="J52" i="15"/>
  <c r="E55" i="15"/>
  <c r="F56" i="15"/>
  <c r="G57" i="15"/>
  <c r="H58" i="15"/>
  <c r="I59" i="15"/>
  <c r="J60" i="15"/>
  <c r="E63" i="15"/>
  <c r="F64" i="15"/>
  <c r="G65" i="15"/>
  <c r="F5" i="15"/>
  <c r="J6" i="15"/>
  <c r="F8" i="15"/>
  <c r="J9" i="15"/>
  <c r="G11" i="15"/>
  <c r="J12" i="15"/>
  <c r="G14" i="15"/>
  <c r="G17" i="15"/>
  <c r="H20" i="15"/>
  <c r="H23" i="15"/>
  <c r="E25" i="15"/>
  <c r="H26" i="15"/>
  <c r="E28" i="15"/>
  <c r="I29" i="15"/>
  <c r="E31" i="15"/>
  <c r="I32" i="15"/>
  <c r="F34" i="15"/>
  <c r="I35" i="15"/>
  <c r="F37" i="15"/>
  <c r="J38" i="15"/>
  <c r="F40" i="15"/>
  <c r="J41" i="15"/>
  <c r="E44" i="15"/>
  <c r="F45" i="15"/>
  <c r="G46" i="15"/>
  <c r="H47" i="15"/>
  <c r="I48" i="15"/>
  <c r="J49" i="15"/>
  <c r="E52" i="15"/>
  <c r="F53" i="15"/>
  <c r="G54" i="15"/>
  <c r="H55" i="15"/>
  <c r="I56" i="15"/>
  <c r="J57" i="15"/>
  <c r="E60" i="15"/>
  <c r="F61" i="15"/>
  <c r="G62" i="15"/>
  <c r="H63" i="15"/>
  <c r="I64" i="15"/>
  <c r="J65" i="15"/>
  <c r="I5" i="15"/>
  <c r="I9" i="15"/>
  <c r="E17" i="15"/>
  <c r="E20" i="15"/>
  <c r="E23" i="15"/>
  <c r="F26" i="15"/>
  <c r="F29" i="15"/>
  <c r="F32" i="15"/>
  <c r="G35" i="15"/>
  <c r="G38" i="15"/>
  <c r="G41" i="15"/>
  <c r="J43" i="15"/>
  <c r="E46" i="15"/>
  <c r="G48" i="15"/>
  <c r="I50" i="15"/>
  <c r="H52" i="15"/>
  <c r="E54" i="15"/>
  <c r="I55" i="15"/>
  <c r="E57" i="15"/>
  <c r="I58" i="15"/>
  <c r="F60" i="15"/>
  <c r="I61" i="15"/>
  <c r="F63" i="15"/>
  <c r="J64" i="15"/>
  <c r="F66" i="15"/>
  <c r="G67" i="15"/>
  <c r="H68" i="15"/>
  <c r="I69" i="15"/>
  <c r="J70" i="15"/>
  <c r="E73" i="15"/>
  <c r="I77" i="15"/>
  <c r="J78" i="15"/>
  <c r="E81" i="15"/>
  <c r="F82" i="15"/>
  <c r="G83" i="15"/>
  <c r="H84" i="15"/>
  <c r="I85" i="15"/>
  <c r="J86" i="15"/>
  <c r="E89" i="15"/>
  <c r="F90" i="15"/>
  <c r="G91" i="15"/>
  <c r="H92" i="15"/>
  <c r="I93" i="15"/>
  <c r="J94" i="15"/>
  <c r="G6" i="15"/>
  <c r="F10" i="15"/>
  <c r="F14" i="15"/>
  <c r="F17" i="15"/>
  <c r="F20" i="15"/>
  <c r="G23" i="15"/>
  <c r="G26" i="15"/>
  <c r="G29" i="15"/>
  <c r="H32" i="15"/>
  <c r="H35" i="15"/>
  <c r="H38" i="15"/>
  <c r="I41" i="15"/>
  <c r="F46" i="15"/>
  <c r="H48" i="15"/>
  <c r="J50" i="15"/>
  <c r="I52" i="15"/>
  <c r="F54" i="15"/>
  <c r="J55" i="15"/>
  <c r="F57" i="15"/>
  <c r="J58" i="15"/>
  <c r="H6" i="15"/>
  <c r="H14" i="15"/>
  <c r="I17" i="15"/>
  <c r="I20" i="15"/>
  <c r="I23" i="15"/>
  <c r="J26" i="15"/>
  <c r="J29" i="15"/>
  <c r="J32" i="15"/>
  <c r="F44" i="15"/>
  <c r="H46" i="15"/>
  <c r="J48" i="15"/>
  <c r="E51" i="15"/>
  <c r="H54" i="15"/>
  <c r="H57" i="15"/>
  <c r="E59" i="15"/>
  <c r="H60" i="15"/>
  <c r="E62" i="15"/>
  <c r="I63" i="15"/>
  <c r="E65" i="15"/>
  <c r="H66" i="15"/>
  <c r="I67" i="15"/>
  <c r="J68" i="15"/>
  <c r="E71" i="15"/>
  <c r="F72" i="15"/>
  <c r="G73" i="15"/>
  <c r="E79" i="15"/>
  <c r="F80" i="15"/>
  <c r="G81" i="15"/>
  <c r="H82" i="15"/>
  <c r="I83" i="15"/>
  <c r="J84" i="15"/>
  <c r="E87" i="15"/>
  <c r="F88" i="15"/>
  <c r="G89" i="15"/>
  <c r="H90" i="15"/>
  <c r="I91" i="15"/>
  <c r="J92" i="15"/>
  <c r="E7" i="15"/>
  <c r="E11" i="15"/>
  <c r="J14" i="15"/>
  <c r="J17" i="15"/>
  <c r="J20" i="15"/>
  <c r="E33" i="15"/>
  <c r="E36" i="15"/>
  <c r="E39" i="15"/>
  <c r="E42" i="15"/>
  <c r="G44" i="15"/>
  <c r="I46" i="15"/>
  <c r="F51" i="15"/>
  <c r="E53" i="15"/>
  <c r="I54" i="15"/>
  <c r="E56" i="15"/>
  <c r="I57" i="15"/>
  <c r="F59" i="15"/>
  <c r="I60" i="15"/>
  <c r="F62" i="15"/>
  <c r="J63" i="15"/>
  <c r="F65" i="15"/>
  <c r="I66" i="15"/>
  <c r="J67" i="15"/>
  <c r="E70" i="15"/>
  <c r="F71" i="15"/>
  <c r="G72" i="15"/>
  <c r="H73" i="15"/>
  <c r="E78" i="15"/>
  <c r="F79" i="15"/>
  <c r="I11" i="15"/>
  <c r="H15" i="15"/>
  <c r="H18" i="15"/>
  <c r="I21" i="15"/>
  <c r="I24" i="15"/>
  <c r="I27" i="15"/>
  <c r="J30" i="15"/>
  <c r="J33" i="15"/>
  <c r="J36" i="15"/>
  <c r="I42" i="15"/>
  <c r="F47" i="15"/>
  <c r="H49" i="15"/>
  <c r="J51" i="15"/>
  <c r="G53" i="15"/>
  <c r="J54" i="15"/>
  <c r="G56" i="15"/>
  <c r="G59" i="15"/>
  <c r="H62" i="15"/>
  <c r="H65" i="15"/>
  <c r="J66" i="15"/>
  <c r="E69" i="15"/>
  <c r="F70" i="15"/>
  <c r="F13" i="15"/>
  <c r="F22" i="15"/>
  <c r="I37" i="15"/>
  <c r="G45" i="15"/>
  <c r="G55" i="15"/>
  <c r="J59" i="15"/>
  <c r="J62" i="15"/>
  <c r="F68" i="15"/>
  <c r="H70" i="15"/>
  <c r="H72" i="15"/>
  <c r="J77" i="15"/>
  <c r="I79" i="15"/>
  <c r="F81" i="15"/>
  <c r="J82" i="15"/>
  <c r="F84" i="15"/>
  <c r="J85" i="15"/>
  <c r="G87" i="15"/>
  <c r="J88" i="15"/>
  <c r="G90" i="15"/>
  <c r="G93" i="15"/>
  <c r="I15" i="15"/>
  <c r="G22" i="15"/>
  <c r="G31" i="15"/>
  <c r="E40" i="15"/>
  <c r="H45" i="15"/>
  <c r="F52" i="15"/>
  <c r="H56" i="15"/>
  <c r="E66" i="15"/>
  <c r="G68" i="15"/>
  <c r="I70" i="15"/>
  <c r="I72" i="15"/>
  <c r="F78" i="15"/>
  <c r="J79" i="15"/>
  <c r="H81" i="15"/>
  <c r="G84" i="15"/>
  <c r="E86" i="15"/>
  <c r="H87" i="15"/>
  <c r="I90" i="15"/>
  <c r="E92" i="15"/>
  <c r="H93" i="15"/>
  <c r="E95" i="15"/>
  <c r="I8" i="15"/>
  <c r="J18" i="15"/>
  <c r="G25" i="15"/>
  <c r="G34" i="15"/>
  <c r="J42" i="15"/>
  <c r="J47" i="15"/>
  <c r="I53" i="15"/>
  <c r="E58" i="15"/>
  <c r="G61" i="15"/>
  <c r="G64" i="15"/>
  <c r="E67" i="15"/>
  <c r="G69" i="15"/>
  <c r="H71" i="15"/>
  <c r="F73" i="15"/>
  <c r="E77" i="15"/>
  <c r="I78" i="15"/>
  <c r="H80" i="15"/>
  <c r="H83" i="15"/>
  <c r="E85" i="15"/>
  <c r="H86" i="15"/>
  <c r="E88" i="15"/>
  <c r="I89" i="15"/>
  <c r="E91" i="15"/>
  <c r="I92" i="15"/>
  <c r="F94" i="15"/>
  <c r="H95" i="15"/>
  <c r="G9" i="15"/>
  <c r="E19" i="15"/>
  <c r="H34" i="15"/>
  <c r="E43" i="15"/>
  <c r="I49" i="15"/>
  <c r="J53" i="15"/>
  <c r="F58" i="15"/>
  <c r="H61" i="15"/>
  <c r="H64" i="15"/>
  <c r="F67" i="15"/>
  <c r="H69" i="15"/>
  <c r="I71" i="15"/>
  <c r="I73" i="15"/>
  <c r="F77" i="15"/>
  <c r="I80" i="15"/>
  <c r="E82" i="15"/>
  <c r="J83" i="15"/>
  <c r="F85" i="15"/>
  <c r="I86" i="15"/>
  <c r="G88" i="15"/>
  <c r="J89" i="15"/>
  <c r="F91" i="15"/>
  <c r="G94" i="15"/>
  <c r="I95" i="15"/>
  <c r="I12" i="15"/>
  <c r="H28" i="15"/>
  <c r="E45" i="15"/>
  <c r="F55" i="15"/>
  <c r="I62" i="15"/>
  <c r="E68" i="15"/>
  <c r="E72" i="15"/>
  <c r="H79" i="15"/>
  <c r="I82" i="15"/>
  <c r="H85" i="15"/>
  <c r="I88" i="15"/>
  <c r="J91" i="15"/>
  <c r="I94" i="15"/>
  <c r="E16" i="15"/>
  <c r="H31" i="15"/>
  <c r="G47" i="15"/>
  <c r="J56" i="15"/>
  <c r="G63" i="15"/>
  <c r="I68" i="15"/>
  <c r="J72" i="15"/>
  <c r="E80" i="15"/>
  <c r="E83" i="15"/>
  <c r="F86" i="15"/>
  <c r="F89" i="15"/>
  <c r="F92" i="15"/>
  <c r="F95" i="15"/>
  <c r="F16" i="15"/>
  <c r="I47" i="15"/>
  <c r="E64" i="15"/>
  <c r="F69" i="15"/>
  <c r="G80" i="15"/>
  <c r="F83" i="15"/>
  <c r="G86" i="15"/>
  <c r="H89" i="15"/>
  <c r="G92" i="15"/>
  <c r="G95" i="15"/>
  <c r="G19" i="15"/>
  <c r="E37" i="15"/>
  <c r="G58" i="15"/>
  <c r="J69" i="15"/>
  <c r="J73" i="15"/>
  <c r="G77" i="15"/>
  <c r="J80" i="15"/>
  <c r="E93" i="15"/>
  <c r="J95" i="15"/>
  <c r="E5" i="15"/>
  <c r="J24" i="15"/>
  <c r="H40" i="15"/>
  <c r="G52" i="15"/>
  <c r="G60" i="15"/>
  <c r="G66" i="15"/>
  <c r="G78" i="15"/>
  <c r="I81" i="15"/>
  <c r="I84" i="15"/>
  <c r="I87" i="15"/>
  <c r="J90" i="15"/>
  <c r="J93" i="15"/>
  <c r="H12" i="15"/>
  <c r="H53" i="15"/>
  <c r="G70" i="15"/>
  <c r="G79" i="15"/>
  <c r="J87" i="15"/>
  <c r="J96" i="15"/>
  <c r="E4" i="15"/>
  <c r="I65" i="15"/>
  <c r="F43" i="15"/>
  <c r="G4" i="15"/>
  <c r="F87" i="15"/>
  <c r="J21" i="15"/>
  <c r="G71" i="15"/>
  <c r="H88" i="15"/>
  <c r="E96" i="15"/>
  <c r="F96" i="15"/>
  <c r="G96" i="15"/>
  <c r="H96" i="15"/>
  <c r="H67" i="15"/>
  <c r="F25" i="15"/>
  <c r="H59" i="15"/>
  <c r="J71" i="15"/>
  <c r="J81" i="15"/>
  <c r="E90" i="15"/>
  <c r="J4" i="15"/>
  <c r="I40" i="15"/>
  <c r="G85" i="15"/>
  <c r="E8" i="15"/>
  <c r="F28" i="15"/>
  <c r="E61" i="15"/>
  <c r="G82" i="15"/>
  <c r="I4" i="15"/>
  <c r="F93" i="15"/>
  <c r="H4" i="15"/>
  <c r="E50" i="15"/>
  <c r="F4" i="15"/>
  <c r="G37" i="15"/>
  <c r="J61" i="15"/>
  <c r="E84" i="15"/>
  <c r="H91" i="15"/>
  <c r="H77" i="15"/>
  <c r="H78" i="15"/>
  <c r="I96" i="15"/>
  <c r="E94" i="15"/>
  <c r="H94" i="15"/>
  <c r="AD1" i="4" l="1"/>
  <c r="BA1" i="29"/>
  <c r="N35" i="49" s="1"/>
  <c r="P1" i="40" l="1"/>
  <c r="Q1" i="40" s="1"/>
  <c r="P1" i="25"/>
  <c r="Q1" i="25" s="1"/>
  <c r="N42" i="49"/>
  <c r="N41" i="49"/>
  <c r="N54" i="49"/>
  <c r="N43" i="49"/>
  <c r="N45" i="49"/>
  <c r="N48" i="49"/>
  <c r="N37" i="49"/>
  <c r="N36" i="49"/>
  <c r="N49" i="49"/>
  <c r="N34" i="49"/>
  <c r="N39" i="49"/>
  <c r="N53" i="49"/>
  <c r="N38" i="49"/>
  <c r="N51" i="49"/>
  <c r="N40" i="49"/>
  <c r="BK1" i="29"/>
  <c r="BB1" i="29"/>
  <c r="N46" i="49"/>
  <c r="N47" i="49"/>
  <c r="N44" i="49"/>
  <c r="BO1" i="29"/>
  <c r="N52" i="49"/>
  <c r="N50" i="49"/>
  <c r="AF1" i="40" l="1"/>
  <c r="K1" i="16"/>
  <c r="J1" i="16"/>
  <c r="Y1" i="14"/>
  <c r="N23" i="49" l="1"/>
  <c r="N27" i="49"/>
  <c r="N25" i="49"/>
  <c r="N24" i="49"/>
  <c r="N21" i="49"/>
  <c r="N26" i="49"/>
  <c r="N22" i="49"/>
  <c r="L1" i="16"/>
  <c r="BI1" i="40" l="1"/>
  <c r="N28" i="49"/>
  <c r="BE1" i="29"/>
  <c r="BH1" i="29" s="1"/>
  <c r="BJ1" i="40" l="1"/>
  <c r="BL1" i="40"/>
  <c r="BM1" i="40" s="1"/>
  <c r="BN1" i="40" s="1"/>
  <c r="BK1" i="40"/>
  <c r="BF1" i="29"/>
  <c r="BQ1" i="40" l="1"/>
  <c r="BR1" i="40" s="1"/>
  <c r="BS1" i="40" s="1"/>
  <c r="BT1" i="40" s="1"/>
  <c r="BX1" i="40"/>
  <c r="BY1" i="40"/>
  <c r="BU1" i="40"/>
  <c r="BV1" i="40" s="1"/>
  <c r="BW1" i="40" s="1"/>
  <c r="BO1" i="40"/>
  <c r="BP1" i="40" s="1"/>
  <c r="CI1" i="40"/>
  <c r="P10" i="49" l="1"/>
  <c r="W22" i="61"/>
  <c r="W21" i="61"/>
  <c r="BZ1" i="40"/>
  <c r="CA1" i="40" s="1"/>
  <c r="CB1" i="40" s="1"/>
  <c r="CC1" i="40" s="1"/>
  <c r="CJ1" i="40"/>
  <c r="DD1" i="40"/>
  <c r="CL1" i="40"/>
  <c r="CM1" i="40" s="1"/>
  <c r="CN1" i="40" s="1"/>
  <c r="CK1" i="40"/>
  <c r="O42" i="49"/>
  <c r="Q42" i="49" s="1"/>
  <c r="O34" i="49"/>
  <c r="Q34" i="49" s="1"/>
  <c r="O48" i="49"/>
  <c r="Q48" i="49" s="1"/>
  <c r="O47" i="49"/>
  <c r="Q47" i="49" s="1"/>
  <c r="O37" i="49"/>
  <c r="Q37" i="49" s="1"/>
  <c r="O38" i="49"/>
  <c r="Q38" i="49" s="1"/>
  <c r="O49" i="49"/>
  <c r="Q49" i="49" s="1"/>
  <c r="BP1" i="29"/>
  <c r="O40" i="49"/>
  <c r="Q40" i="49" s="1"/>
  <c r="O54" i="49"/>
  <c r="Q54" i="49" s="1"/>
  <c r="O53" i="49"/>
  <c r="Q53" i="49" s="1"/>
  <c r="O41" i="49"/>
  <c r="Q41" i="49" s="1"/>
  <c r="O43" i="49"/>
  <c r="Q43" i="49" s="1"/>
  <c r="O52" i="49"/>
  <c r="Q52" i="49" s="1"/>
  <c r="O44" i="49"/>
  <c r="Q44" i="49" s="1"/>
  <c r="O39" i="49"/>
  <c r="Q39" i="49" s="1"/>
  <c r="O46" i="49"/>
  <c r="Q46" i="49" s="1"/>
  <c r="O36" i="49"/>
  <c r="Q36" i="49" s="1"/>
  <c r="O51" i="49"/>
  <c r="Q51" i="49" s="1"/>
  <c r="BQ1" i="29"/>
  <c r="O35" i="49"/>
  <c r="Q35" i="49" s="1"/>
  <c r="O50" i="49"/>
  <c r="Q50" i="49" s="1"/>
  <c r="O45" i="49"/>
  <c r="Q45" i="49" s="1"/>
  <c r="O27" i="49"/>
  <c r="O23" i="49"/>
  <c r="O26" i="49"/>
  <c r="O22" i="49"/>
  <c r="O25" i="49"/>
  <c r="O21" i="49"/>
  <c r="Q21" i="49" s="1"/>
  <c r="O24" i="49"/>
  <c r="CU1" i="40" l="1"/>
  <c r="CV1" i="40" s="1"/>
  <c r="CW1" i="40" s="1"/>
  <c r="CX1" i="40"/>
  <c r="CQ1" i="40"/>
  <c r="CR1" i="40" s="1"/>
  <c r="CY1" i="40"/>
  <c r="CO1" i="40"/>
  <c r="CP1" i="40" s="1"/>
  <c r="P26" i="49"/>
  <c r="P23" i="49"/>
  <c r="P24" i="49"/>
  <c r="P27" i="49"/>
  <c r="P22" i="49"/>
  <c r="P25" i="49"/>
  <c r="O28" i="49"/>
  <c r="P21" i="49"/>
  <c r="CS1" i="40" l="1"/>
  <c r="CT1" i="40" s="1"/>
  <c r="P28" i="49"/>
  <c r="CZ1" i="40" l="1"/>
  <c r="DA1" i="40" s="1"/>
  <c r="DB1" i="40" s="1"/>
  <c r="DC1" i="40" s="1"/>
  <c r="DE1" i="40" s="1"/>
  <c r="B1" i="8"/>
  <c r="DF1" i="40" l="1"/>
  <c r="DI1" i="40"/>
  <c r="B19" i="59"/>
  <c r="K1" i="24" l="1"/>
  <c r="BS1" i="29" l="1"/>
  <c r="DG1" i="40" l="1"/>
  <c r="DK1" i="40"/>
  <c r="CE8" i="29"/>
  <c r="CF8" i="29" s="1"/>
  <c r="CG8" i="29" s="1"/>
  <c r="CH8" i="29" s="1"/>
  <c r="CE12" i="29"/>
  <c r="CF12" i="29" s="1"/>
  <c r="CG12" i="29" s="1"/>
  <c r="CH12" i="29" s="1"/>
  <c r="CI13" i="29"/>
  <c r="CE11" i="29"/>
  <c r="CF11" i="29" s="1"/>
  <c r="CG11" i="29" s="1"/>
  <c r="CH11" i="29" s="1"/>
  <c r="CE9" i="29"/>
  <c r="CF9" i="29" s="1"/>
  <c r="CG9" i="29" s="1"/>
  <c r="CH9" i="29" s="1"/>
  <c r="CI11" i="29"/>
  <c r="CI9" i="29"/>
  <c r="CI14" i="29"/>
  <c r="CI12" i="29"/>
  <c r="CE13" i="29"/>
  <c r="CF13" i="29" s="1"/>
  <c r="CG13" i="29" s="1"/>
  <c r="CI10" i="29"/>
  <c r="CI8" i="29"/>
  <c r="CE14" i="29"/>
  <c r="CF14" i="29" s="1"/>
  <c r="CG14" i="29" s="1"/>
  <c r="CH14" i="29" s="1"/>
  <c r="CE10" i="29"/>
  <c r="CF10" i="29" s="1"/>
  <c r="CG10" i="29" s="1"/>
  <c r="CH10" i="29" s="1"/>
  <c r="AV21" i="24"/>
  <c r="AV29" i="24" s="1"/>
  <c r="AV17" i="24"/>
  <c r="AQ17" i="24" s="1"/>
  <c r="AV14" i="24"/>
  <c r="AQ14" i="24" s="1"/>
  <c r="AV18" i="24"/>
  <c r="AQ18" i="24" s="1"/>
  <c r="AV16" i="24"/>
  <c r="AQ16" i="24" s="1"/>
  <c r="AV13" i="24"/>
  <c r="AQ13" i="24" s="1"/>
  <c r="AV19" i="24"/>
  <c r="AV15" i="24"/>
  <c r="AQ15" i="24" s="1"/>
  <c r="AV59" i="24"/>
  <c r="AV54" i="24"/>
  <c r="AV25" i="24"/>
  <c r="AV26" i="24"/>
  <c r="AV23" i="24"/>
  <c r="AV56" i="24"/>
  <c r="AV53" i="24"/>
  <c r="AV58" i="24"/>
  <c r="AV24" i="24"/>
  <c r="AV55" i="24"/>
  <c r="AV22" i="24"/>
  <c r="AV27" i="24"/>
  <c r="AV57" i="24"/>
  <c r="AV20" i="24"/>
  <c r="AQ19" i="24" s="1"/>
  <c r="EX85" i="7"/>
  <c r="EX32" i="7"/>
  <c r="EX84" i="7"/>
  <c r="EX10" i="7"/>
  <c r="EX31" i="7"/>
  <c r="EX91" i="7"/>
  <c r="EX9" i="7"/>
  <c r="EX54" i="7"/>
  <c r="EX98" i="7"/>
  <c r="EX72" i="7"/>
  <c r="EX93" i="7"/>
  <c r="EX29" i="7"/>
  <c r="EX101" i="7"/>
  <c r="EX7" i="7"/>
  <c r="EX67" i="7"/>
  <c r="EX96" i="7"/>
  <c r="EX30" i="7"/>
  <c r="EX74" i="7"/>
  <c r="EX95" i="7"/>
  <c r="EX36" i="7"/>
  <c r="EX73" i="7"/>
  <c r="EX107" i="7"/>
  <c r="EX43" i="7"/>
  <c r="EX25" i="7"/>
  <c r="EX70" i="7"/>
  <c r="EX59" i="7"/>
  <c r="EX71" i="7"/>
  <c r="EX12" i="7"/>
  <c r="EX49" i="7"/>
  <c r="EX94" i="7"/>
  <c r="EX19" i="7"/>
  <c r="EX48" i="7"/>
  <c r="EX100" i="7"/>
  <c r="EX26" i="7"/>
  <c r="EX47" i="7"/>
  <c r="EX21" i="7"/>
  <c r="EX89" i="7"/>
  <c r="EX63" i="7"/>
  <c r="EX68" i="7"/>
  <c r="EX50" i="7"/>
  <c r="EX24" i="7"/>
  <c r="EX76" i="7"/>
  <c r="EX37" i="7"/>
  <c r="EX23" i="7"/>
  <c r="EX83" i="7"/>
  <c r="EX53" i="7"/>
  <c r="EX46" i="7"/>
  <c r="EX90" i="7"/>
  <c r="EX45" i="7"/>
  <c r="EX52" i="7"/>
  <c r="EX42" i="7"/>
  <c r="EX16" i="7"/>
  <c r="EX88" i="7"/>
  <c r="EX22" i="7"/>
  <c r="EX66" i="7"/>
  <c r="EX87" i="7"/>
  <c r="EX28" i="7"/>
  <c r="EX65" i="7"/>
  <c r="EX61" i="7"/>
  <c r="EX35" i="7"/>
  <c r="EX64" i="7"/>
  <c r="EX69" i="7"/>
  <c r="EX106" i="7"/>
  <c r="EX80" i="7"/>
  <c r="EX14" i="7"/>
  <c r="EX41" i="7"/>
  <c r="EX86" i="7"/>
  <c r="EX11" i="7"/>
  <c r="EX40" i="7"/>
  <c r="EX92" i="7"/>
  <c r="EX18" i="7"/>
  <c r="EX39" i="7"/>
  <c r="EX99" i="7"/>
  <c r="EX17" i="7"/>
  <c r="EX62" i="7"/>
  <c r="EX51" i="7"/>
  <c r="EX33" i="7"/>
  <c r="EX78" i="7"/>
  <c r="EX105" i="7"/>
  <c r="EX15" i="7"/>
  <c r="EX75" i="7"/>
  <c r="EX104" i="7"/>
  <c r="EX38" i="7"/>
  <c r="EX82" i="7"/>
  <c r="EX103" i="7"/>
  <c r="EX44" i="7"/>
  <c r="EX81" i="7"/>
  <c r="EX55" i="7"/>
  <c r="EX77" i="7"/>
  <c r="EX97" i="7"/>
  <c r="EX58" i="7"/>
  <c r="EX79" i="7"/>
  <c r="EX20" i="7"/>
  <c r="EX57" i="7"/>
  <c r="EX102" i="7"/>
  <c r="EX27" i="7"/>
  <c r="EX56" i="7"/>
  <c r="EX13" i="7"/>
  <c r="EX34" i="7"/>
  <c r="EX8" i="7"/>
  <c r="EX60" i="7"/>
  <c r="CJ15" i="29" l="1"/>
  <c r="CJ10" i="29"/>
  <c r="CJ14" i="29"/>
  <c r="CJ11" i="29"/>
  <c r="CJ8" i="29"/>
  <c r="CJ12" i="29"/>
  <c r="CJ13" i="29"/>
  <c r="CJ9" i="29"/>
  <c r="DH1" i="40"/>
  <c r="DJ1" i="40" s="1"/>
  <c r="DO1" i="40"/>
  <c r="DP1" i="40" s="1"/>
  <c r="GA1" i="40" s="1"/>
  <c r="AV12" i="24"/>
  <c r="AQ12" i="24" s="1"/>
  <c r="AV72" i="24"/>
  <c r="AQ28" i="24" s="1"/>
  <c r="AV70" i="24"/>
  <c r="AQ26" i="24" s="1"/>
  <c r="AV69" i="24"/>
  <c r="AQ25" i="24" s="1"/>
  <c r="AV75" i="24"/>
  <c r="AV73" i="24"/>
  <c r="AQ29" i="24" s="1"/>
  <c r="AV71" i="24"/>
  <c r="AQ27" i="24" s="1"/>
  <c r="AV74" i="24"/>
  <c r="AQ30" i="24" s="1"/>
  <c r="CH13" i="29"/>
  <c r="CC12" i="29"/>
  <c r="CC14" i="29"/>
  <c r="CC11" i="29"/>
  <c r="CC13" i="29"/>
  <c r="CC8" i="29"/>
  <c r="CC9" i="29"/>
  <c r="CC10" i="29"/>
  <c r="CC15" i="29"/>
  <c r="AV5" i="24"/>
  <c r="AQ6" i="24" s="1"/>
  <c r="AV11" i="24"/>
  <c r="AV7" i="24"/>
  <c r="AQ8" i="24" s="1"/>
  <c r="AV10" i="24"/>
  <c r="AQ11" i="24" s="1"/>
  <c r="AV8" i="24"/>
  <c r="AQ9" i="24" s="1"/>
  <c r="AV6" i="24"/>
  <c r="AQ7" i="24" s="1"/>
  <c r="AV9" i="24"/>
  <c r="AQ10" i="24" s="1"/>
  <c r="AV31" i="24"/>
  <c r="AV35" i="24"/>
  <c r="AV30" i="24"/>
  <c r="AV34" i="24"/>
  <c r="AV33" i="24"/>
  <c r="AV32" i="24"/>
  <c r="AV28" i="24"/>
  <c r="AQ20" i="24" s="1"/>
  <c r="AV37" i="24"/>
  <c r="AV60" i="24"/>
  <c r="AQ24" i="24" s="1"/>
  <c r="I55" i="49"/>
  <c r="AV76" i="24" l="1"/>
  <c r="AQ31" i="24" s="1"/>
  <c r="DY1" i="40"/>
  <c r="GB1" i="40"/>
  <c r="DT1" i="40"/>
  <c r="FX1" i="40"/>
  <c r="GC1" i="40"/>
  <c r="FT1" i="40"/>
  <c r="GD1" i="40"/>
  <c r="DX1" i="40"/>
  <c r="DZ1" i="40"/>
  <c r="DV1" i="40"/>
  <c r="FP1" i="40"/>
  <c r="FZ1" i="40"/>
  <c r="FS1" i="40"/>
  <c r="FW1" i="40"/>
  <c r="DW1" i="40"/>
  <c r="DR1" i="40"/>
  <c r="FN1" i="40"/>
  <c r="FR1" i="40"/>
  <c r="FQ1" i="40"/>
  <c r="DU1" i="40"/>
  <c r="DS1" i="40"/>
  <c r="FU1" i="40"/>
  <c r="FY1" i="40"/>
  <c r="DQ1" i="40"/>
  <c r="FO1" i="40"/>
  <c r="FV1" i="40"/>
  <c r="H55" i="49"/>
  <c r="J50" i="49"/>
  <c r="J55" i="49"/>
  <c r="J49" i="49"/>
  <c r="J51" i="49"/>
  <c r="J54" i="49"/>
  <c r="J52" i="49"/>
  <c r="J53" i="49"/>
  <c r="J48" i="49"/>
  <c r="AV40" i="24"/>
  <c r="AV42" i="24"/>
  <c r="AV36" i="24"/>
  <c r="AQ21" i="24" s="1"/>
  <c r="AV38" i="24"/>
  <c r="AV43" i="24"/>
  <c r="AV41" i="24"/>
  <c r="AV39" i="24"/>
  <c r="AV45" i="24"/>
  <c r="CE15" i="29"/>
  <c r="O11" i="48" l="1"/>
  <c r="EA1" i="40"/>
  <c r="AV44" i="24"/>
  <c r="AQ22" i="24" s="1"/>
  <c r="AV49" i="24"/>
  <c r="AV50" i="24"/>
  <c r="AV48" i="24"/>
  <c r="AV51" i="24"/>
  <c r="AV46" i="24"/>
  <c r="AV47" i="24"/>
  <c r="AV61" i="24"/>
  <c r="J21" i="49"/>
  <c r="CF15" i="29"/>
  <c r="EO1" i="40" l="1"/>
  <c r="EQ1" i="40" s="1"/>
  <c r="ER1" i="40" s="1"/>
  <c r="ES1" i="40" s="1"/>
  <c r="AV66" i="24"/>
  <c r="AV62" i="24"/>
  <c r="AV52" i="24"/>
  <c r="AQ23" i="24" s="1"/>
  <c r="AV64" i="24"/>
  <c r="AV63" i="24"/>
  <c r="AV65" i="24"/>
  <c r="AV67" i="24"/>
  <c r="CG15" i="29"/>
  <c r="J22" i="49"/>
  <c r="FB1" i="40" l="1"/>
  <c r="FD1" i="40" s="1"/>
  <c r="EU1" i="40"/>
  <c r="EV1" i="40" s="1"/>
  <c r="EW1" i="40" s="1"/>
  <c r="EP1" i="40"/>
  <c r="ET1" i="40" s="1"/>
  <c r="AV68" i="24"/>
  <c r="J23" i="49"/>
  <c r="CH15" i="29"/>
  <c r="FF1" i="40" l="1"/>
  <c r="FH1" i="40"/>
  <c r="FI1" i="40"/>
  <c r="FJ1" i="40" s="1"/>
  <c r="FK1" i="40" s="1"/>
  <c r="EX1" i="40"/>
  <c r="EY1" i="40" s="1"/>
  <c r="J24" i="49"/>
  <c r="P49" i="49" l="1"/>
  <c r="P48" i="49"/>
  <c r="P38" i="49"/>
  <c r="P36" i="49"/>
  <c r="P46" i="49"/>
  <c r="P35" i="49"/>
  <c r="P51" i="49"/>
  <c r="P40" i="49"/>
  <c r="P47" i="49"/>
  <c r="P45" i="49"/>
  <c r="P41" i="49"/>
  <c r="P39" i="49"/>
  <c r="P54" i="49"/>
  <c r="O55" i="49"/>
  <c r="P43" i="49"/>
  <c r="P37" i="49"/>
  <c r="P42" i="49"/>
  <c r="N55" i="49"/>
  <c r="K7" i="49" s="1"/>
  <c r="P53" i="49"/>
  <c r="I48" i="49"/>
  <c r="P44" i="49"/>
  <c r="I50" i="49"/>
  <c r="H50" i="49"/>
  <c r="H54" i="49"/>
  <c r="P50" i="49"/>
  <c r="I53" i="49"/>
  <c r="I54" i="49"/>
  <c r="H51" i="49"/>
  <c r="I49" i="49"/>
  <c r="P52" i="49"/>
  <c r="P34" i="49"/>
  <c r="H49" i="49"/>
  <c r="H52" i="49"/>
  <c r="I51" i="49"/>
  <c r="I52" i="49"/>
  <c r="H53" i="49"/>
  <c r="H48" i="49"/>
  <c r="W18" i="61" l="1"/>
  <c r="K11" i="49"/>
  <c r="Q55" i="49"/>
  <c r="Q26" i="49"/>
  <c r="Q23" i="49"/>
  <c r="Q24" i="49"/>
  <c r="P55" i="49"/>
  <c r="CI15" i="29"/>
  <c r="Q25" i="49"/>
  <c r="Q22" i="49"/>
  <c r="CB15" i="29"/>
  <c r="Q27" i="49"/>
  <c r="W19" i="61" l="1"/>
  <c r="W20" i="61" s="1"/>
  <c r="J25" i="49"/>
  <c r="J26" i="49" s="1"/>
  <c r="Q28" i="49"/>
  <c r="N23" i="61" l="1"/>
  <c r="O9" i="48"/>
  <c r="O10" i="48"/>
  <c r="BI1" i="25" l="1"/>
  <c r="GM76" i="40" l="1"/>
  <c r="GH42" i="40" s="1"/>
  <c r="GM73" i="40"/>
  <c r="GH40" i="40" s="1"/>
  <c r="GM71" i="40"/>
  <c r="GH38" i="40" s="1"/>
  <c r="GM70" i="40"/>
  <c r="GH37" i="40" s="1"/>
  <c r="GM69" i="40"/>
  <c r="GH36" i="40" s="1"/>
  <c r="GM72" i="40"/>
  <c r="GH39" i="40" s="1"/>
  <c r="GM74" i="40"/>
  <c r="GH41" i="40" s="1"/>
  <c r="GM75" i="40"/>
  <c r="BK1" i="25"/>
  <c r="BL1" i="25"/>
  <c r="BJ1" i="25"/>
  <c r="BY1" i="25" l="1"/>
  <c r="BU1" i="25"/>
  <c r="BV1" i="25" s="1"/>
  <c r="BW1" i="25" s="1"/>
  <c r="BX1" i="25"/>
  <c r="BQ1" i="25"/>
  <c r="BR1" i="25" s="1"/>
  <c r="BO1" i="25"/>
  <c r="BP1" i="25" s="1"/>
  <c r="BM1" i="25"/>
  <c r="BN1" i="25" s="1"/>
  <c r="BS1" i="25" l="1"/>
  <c r="BT1" i="25" s="1"/>
  <c r="BZ1" i="25" l="1"/>
  <c r="CA1" i="25" l="1"/>
  <c r="CB1" i="25" s="1"/>
  <c r="CC1" i="25" s="1"/>
  <c r="FT10" i="25" s="1"/>
  <c r="W1" i="24" l="1"/>
  <c r="X1" i="24" s="1"/>
  <c r="Y1" i="24" l="1"/>
  <c r="AQ46" i="24" l="1"/>
  <c r="AQ43" i="24"/>
  <c r="AQ45" i="24"/>
  <c r="AQ42" i="24"/>
  <c r="AQ47" i="24"/>
  <c r="AQ48" i="24"/>
  <c r="AQ44" i="24"/>
  <c r="Z1" i="24"/>
  <c r="AQ32" i="24" s="1"/>
  <c r="AQ34" i="24" l="1"/>
  <c r="AQ35" i="24"/>
  <c r="AQ37" i="24"/>
  <c r="AQ33" i="24"/>
  <c r="AQ38" i="24"/>
  <c r="AQ36" i="24"/>
  <c r="AQ41" i="24"/>
  <c r="AQ40" i="24"/>
  <c r="AQ39" i="24"/>
  <c r="M70" i="55" l="1"/>
  <c r="O70" i="55" s="1"/>
  <c r="M90" i="55"/>
  <c r="O90" i="55" s="1"/>
  <c r="M104" i="55"/>
  <c r="O104" i="55" s="1"/>
  <c r="M46" i="55"/>
  <c r="O46" i="55" s="1"/>
  <c r="M93" i="55"/>
  <c r="O93" i="55" s="1"/>
  <c r="M56" i="55"/>
  <c r="O56" i="55" s="1"/>
  <c r="M49" i="55"/>
  <c r="O49" i="55" s="1"/>
  <c r="M80" i="55"/>
  <c r="O80" i="55" s="1"/>
  <c r="M33" i="55"/>
  <c r="O33" i="55" s="1"/>
  <c r="M127" i="55"/>
  <c r="O127" i="55" s="1"/>
  <c r="M78" i="55"/>
  <c r="O78" i="55" s="1"/>
  <c r="M68" i="55"/>
  <c r="O68" i="55" s="1"/>
  <c r="M53" i="55"/>
  <c r="O53" i="55" s="1"/>
  <c r="M129" i="55"/>
  <c r="O129" i="55" s="1"/>
  <c r="M62" i="55"/>
  <c r="O62" i="55" s="1"/>
  <c r="M88" i="55"/>
  <c r="O88" i="55" s="1"/>
  <c r="M61" i="55"/>
  <c r="O61" i="55" s="1"/>
  <c r="M39" i="55"/>
  <c r="O39" i="55" s="1"/>
  <c r="M102" i="55"/>
  <c r="O102" i="55" s="1"/>
  <c r="M111" i="55"/>
  <c r="O111" i="55" s="1"/>
  <c r="M115" i="55"/>
  <c r="O115" i="55" s="1"/>
  <c r="M92" i="55"/>
  <c r="O92" i="55" s="1"/>
  <c r="M72" i="55"/>
  <c r="O72" i="55" s="1"/>
  <c r="M76" i="55"/>
  <c r="O76" i="55" s="1"/>
  <c r="M82" i="55"/>
  <c r="O82" i="55" s="1"/>
  <c r="M116" i="55"/>
  <c r="O116" i="55" s="1"/>
  <c r="M87" i="55"/>
  <c r="O87" i="55" s="1"/>
  <c r="M101" i="55"/>
  <c r="O101" i="55" s="1"/>
  <c r="M86" i="55"/>
  <c r="O86" i="55" s="1"/>
  <c r="M58" i="55"/>
  <c r="O58" i="55" s="1"/>
  <c r="M124" i="55"/>
  <c r="O124" i="55" s="1"/>
  <c r="M42" i="55"/>
  <c r="O42" i="55" s="1"/>
  <c r="M120" i="55"/>
  <c r="O120" i="55" s="1"/>
  <c r="M99" i="55"/>
  <c r="O99" i="55" s="1"/>
  <c r="M41" i="55"/>
  <c r="O41" i="55" s="1"/>
  <c r="M69" i="55"/>
  <c r="O69" i="55" s="1"/>
  <c r="M108" i="55"/>
  <c r="O108" i="55" s="1"/>
  <c r="M60" i="55"/>
  <c r="O60" i="55" s="1"/>
  <c r="M45" i="55"/>
  <c r="O45" i="55" s="1"/>
  <c r="M118" i="55"/>
  <c r="O118" i="55" s="1"/>
  <c r="M122" i="55"/>
  <c r="O122" i="55" s="1"/>
  <c r="M65" i="55"/>
  <c r="O65" i="55" s="1"/>
  <c r="M128" i="55"/>
  <c r="O128" i="55" s="1"/>
  <c r="M95" i="55"/>
  <c r="O95" i="55" s="1"/>
  <c r="M67" i="55"/>
  <c r="O67" i="55" s="1"/>
  <c r="M125" i="55"/>
  <c r="O125" i="55" s="1"/>
  <c r="M59" i="55"/>
  <c r="O59" i="55" s="1"/>
  <c r="M123" i="55"/>
  <c r="O123" i="55" s="1"/>
  <c r="M106" i="55"/>
  <c r="O106" i="55" s="1"/>
  <c r="M113" i="55"/>
  <c r="O113" i="55" s="1"/>
  <c r="M52" i="55"/>
  <c r="O52" i="55" s="1"/>
  <c r="M51" i="55"/>
  <c r="O51" i="55" s="1"/>
  <c r="M35" i="55"/>
  <c r="O35" i="55" s="1"/>
  <c r="M107" i="55"/>
  <c r="O107" i="55" s="1"/>
  <c r="M100" i="55"/>
  <c r="O100" i="55" s="1"/>
  <c r="M55" i="55"/>
  <c r="O55" i="55" s="1"/>
  <c r="M114" i="55"/>
  <c r="O114" i="55" s="1"/>
  <c r="M40" i="55"/>
  <c r="O40" i="55" s="1"/>
  <c r="M97" i="55"/>
  <c r="O97" i="55" s="1"/>
  <c r="M130" i="55"/>
  <c r="O130" i="55" s="1"/>
  <c r="M43" i="55"/>
  <c r="O43" i="55" s="1"/>
  <c r="M34" i="55"/>
  <c r="O34" i="55" s="1"/>
  <c r="M44" i="55"/>
  <c r="O44" i="55" s="1"/>
  <c r="M121" i="55"/>
  <c r="O121" i="55" s="1"/>
  <c r="M91" i="55"/>
  <c r="O91" i="55" s="1"/>
  <c r="M57" i="55"/>
  <c r="O57" i="55" s="1"/>
  <c r="M71" i="55"/>
  <c r="O71" i="55" s="1"/>
  <c r="M36" i="55"/>
  <c r="O36" i="55" s="1"/>
  <c r="M66" i="55"/>
  <c r="O66" i="55" s="1"/>
  <c r="M32" i="55"/>
  <c r="O32" i="55" s="1"/>
  <c r="M73" i="55"/>
  <c r="O73" i="55" s="1"/>
  <c r="M83" i="55"/>
  <c r="O83" i="55" s="1"/>
  <c r="M126" i="55"/>
  <c r="O126" i="55" s="1"/>
  <c r="M75" i="55"/>
  <c r="O75" i="55" s="1"/>
  <c r="M109" i="55"/>
  <c r="O109" i="55" s="1"/>
  <c r="M119" i="55"/>
  <c r="O119" i="55" s="1"/>
  <c r="M48" i="55"/>
  <c r="O48" i="55" s="1"/>
  <c r="M94" i="55"/>
  <c r="O94" i="55" s="1"/>
  <c r="M103" i="55"/>
  <c r="O103" i="55" s="1"/>
  <c r="M110" i="55"/>
  <c r="O110" i="55" s="1"/>
  <c r="M131" i="55"/>
  <c r="O131" i="55" s="1"/>
  <c r="M112" i="55"/>
  <c r="O112" i="55" s="1"/>
  <c r="M79" i="55"/>
  <c r="O79" i="55" s="1"/>
  <c r="M54" i="55"/>
  <c r="O54" i="55" s="1"/>
  <c r="M38" i="55"/>
  <c r="O38" i="55" s="1"/>
  <c r="M117" i="55"/>
  <c r="O117" i="55" s="1"/>
  <c r="M63" i="55"/>
  <c r="O63" i="55" s="1"/>
  <c r="M105" i="55"/>
  <c r="O105" i="55" s="1"/>
  <c r="M81" i="55"/>
  <c r="O81" i="55" s="1"/>
  <c r="M84" i="55"/>
  <c r="O84" i="55" s="1"/>
  <c r="M64" i="55"/>
  <c r="O64" i="55" s="1"/>
  <c r="M96" i="55"/>
  <c r="O96" i="55" s="1"/>
  <c r="M89" i="55"/>
  <c r="O89" i="55" s="1"/>
  <c r="M77" i="55"/>
  <c r="O77" i="55" s="1"/>
  <c r="M50" i="55"/>
  <c r="O50" i="55" s="1"/>
  <c r="M47" i="55"/>
  <c r="O47" i="55" s="1"/>
  <c r="M37" i="55"/>
  <c r="O37" i="55" s="1"/>
  <c r="M98" i="55"/>
  <c r="O98" i="55" s="1"/>
  <c r="M85" i="55"/>
  <c r="O85" i="55" s="1"/>
  <c r="M74" i="55"/>
  <c r="O74" i="55" s="1"/>
  <c r="M30" i="55"/>
  <c r="O30" i="55" s="1"/>
  <c r="M28" i="55"/>
  <c r="O28" i="55" s="1"/>
  <c r="M27" i="55"/>
  <c r="O27" i="55" s="1"/>
  <c r="M16" i="55"/>
  <c r="O16" i="55" s="1"/>
  <c r="M19" i="55"/>
  <c r="O19" i="55" s="1"/>
  <c r="M23" i="55"/>
  <c r="O23" i="55" s="1"/>
  <c r="M24" i="55"/>
  <c r="O24" i="55" s="1"/>
  <c r="M13" i="55"/>
  <c r="O13" i="55" s="1"/>
  <c r="M22" i="55"/>
  <c r="O22" i="55" s="1"/>
  <c r="M25" i="55"/>
  <c r="O25" i="55" s="1"/>
  <c r="M18" i="55"/>
  <c r="O18" i="55" s="1"/>
  <c r="M26" i="55"/>
  <c r="O26" i="55" s="1"/>
  <c r="M20" i="55"/>
  <c r="O20" i="55" s="1"/>
  <c r="M21" i="55"/>
  <c r="O21" i="55" s="1"/>
  <c r="M14" i="55"/>
  <c r="O14" i="55" s="1"/>
  <c r="M29" i="55"/>
  <c r="O29" i="55" s="1"/>
  <c r="M15" i="55"/>
  <c r="O15" i="55" s="1"/>
  <c r="M31" i="55"/>
  <c r="O31" i="55" s="1"/>
  <c r="M17" i="55"/>
  <c r="O17" i="55" s="1"/>
  <c r="M12" i="55"/>
  <c r="O12" i="55" s="1"/>
  <c r="FT7" i="25" l="1"/>
  <c r="FT8" i="25" s="1"/>
  <c r="FT9" i="25" l="1"/>
  <c r="AE1" i="25" l="1"/>
  <c r="E12" i="55"/>
  <c r="AF1" i="25" l="1"/>
  <c r="GH12" i="40"/>
  <c r="GH13" i="40" s="1"/>
  <c r="F12" i="55"/>
  <c r="G12" i="55" s="1"/>
  <c r="H12" i="55" s="1"/>
  <c r="GM23" i="40" l="1"/>
  <c r="GM31" i="40" s="1"/>
  <c r="GM39" i="40" s="1"/>
  <c r="GM47" i="40" s="1"/>
  <c r="GM59" i="40"/>
  <c r="GM56" i="40"/>
  <c r="GM54" i="40"/>
  <c r="GM58" i="40"/>
  <c r="GM27" i="40"/>
  <c r="GM35" i="40" s="1"/>
  <c r="GM43" i="40" s="1"/>
  <c r="GM51" i="40" s="1"/>
  <c r="GM55" i="40"/>
  <c r="GM57" i="40"/>
  <c r="GM21" i="40"/>
  <c r="GM22" i="40"/>
  <c r="GM24" i="40"/>
  <c r="GM32" i="40" s="1"/>
  <c r="GM40" i="40" s="1"/>
  <c r="GM48" i="40" s="1"/>
  <c r="GM25" i="40"/>
  <c r="GM33" i="40" s="1"/>
  <c r="GM41" i="40" s="1"/>
  <c r="GM49" i="40" s="1"/>
  <c r="GM26" i="40"/>
  <c r="GM34" i="40" s="1"/>
  <c r="GM42" i="40" s="1"/>
  <c r="GM50" i="40" s="1"/>
  <c r="GM53" i="40"/>
  <c r="GH60" i="40"/>
  <c r="GH58" i="40" l="1"/>
  <c r="GH59" i="40"/>
  <c r="GH56" i="40"/>
  <c r="GH57" i="40"/>
  <c r="GH61" i="40"/>
  <c r="GH55" i="40"/>
  <c r="GM28" i="40"/>
  <c r="GH31" i="40" s="1"/>
  <c r="GM63" i="40"/>
  <c r="GM12" i="40"/>
  <c r="GH23" i="40" s="1"/>
  <c r="GM19" i="40"/>
  <c r="GM16" i="40"/>
  <c r="GH27" i="40" s="1"/>
  <c r="GM14" i="40"/>
  <c r="GH25" i="40" s="1"/>
  <c r="GM17" i="40"/>
  <c r="GH28" i="40" s="1"/>
  <c r="GM15" i="40"/>
  <c r="GH26" i="40" s="1"/>
  <c r="GM18" i="40"/>
  <c r="GH29" i="40" s="1"/>
  <c r="GM13" i="40"/>
  <c r="GH24" i="40" s="1"/>
  <c r="GM29" i="40"/>
  <c r="GM60" i="40"/>
  <c r="GH35" i="40" s="1"/>
  <c r="GM66" i="40"/>
  <c r="GM64" i="40"/>
  <c r="GM20" i="40"/>
  <c r="GH30" i="40" s="1"/>
  <c r="GM65" i="40"/>
  <c r="GM67" i="40"/>
  <c r="GM30" i="40"/>
  <c r="GM38" i="40" s="1"/>
  <c r="GM46" i="40" s="1"/>
  <c r="GM7" i="40"/>
  <c r="GH19" i="40" s="1"/>
  <c r="GM11" i="40"/>
  <c r="GM6" i="40"/>
  <c r="GH18" i="40" s="1"/>
  <c r="GM9" i="40"/>
  <c r="GH21" i="40" s="1"/>
  <c r="GM10" i="40"/>
  <c r="GH22" i="40" s="1"/>
  <c r="GM5" i="40"/>
  <c r="GH17" i="40" s="1"/>
  <c r="GM8" i="40"/>
  <c r="GH20" i="40" s="1"/>
  <c r="CI1" i="25" l="1"/>
  <c r="GH49" i="40"/>
  <c r="GH50" i="40"/>
  <c r="GH47" i="40"/>
  <c r="GH48" i="40"/>
  <c r="GH45" i="40"/>
  <c r="GH46" i="40"/>
  <c r="GH51" i="40"/>
  <c r="GH53" i="40"/>
  <c r="GH52" i="40"/>
  <c r="GH54" i="40"/>
  <c r="R11" i="48"/>
  <c r="R9" i="48"/>
  <c r="R10" i="48"/>
  <c r="GM36" i="40"/>
  <c r="GH32" i="40" s="1"/>
  <c r="GM37" i="40"/>
  <c r="GM62" i="40"/>
  <c r="DD1" i="25" l="1"/>
  <c r="CL1" i="25"/>
  <c r="CM1" i="25" s="1"/>
  <c r="CN1" i="25" s="1"/>
  <c r="CK1" i="25"/>
  <c r="CJ1" i="25"/>
  <c r="GM44" i="40"/>
  <c r="GH33" i="40" s="1"/>
  <c r="GM45" i="40"/>
  <c r="GM52" i="40" s="1"/>
  <c r="GH34" i="40" s="1"/>
  <c r="CY1" i="25" l="1"/>
  <c r="CU1" i="25"/>
  <c r="CV1" i="25" s="1"/>
  <c r="CW1" i="25" s="1"/>
  <c r="CQ1" i="25"/>
  <c r="CR1" i="25" s="1"/>
  <c r="CS1" i="25" s="1"/>
  <c r="CT1" i="25" s="1"/>
  <c r="CX1" i="25"/>
  <c r="CO1" i="25"/>
  <c r="CP1" i="25" s="1"/>
  <c r="GM68" i="40"/>
  <c r="GM61" i="40"/>
  <c r="B12" i="55"/>
  <c r="CZ1" i="25" l="1"/>
  <c r="DA1" i="25" s="1"/>
  <c r="DB1" i="25" s="1"/>
  <c r="DC1" i="25" s="1"/>
  <c r="DE1" i="25" s="1"/>
  <c r="DI1" i="25" s="1"/>
  <c r="C12" i="55"/>
  <c r="DF1" i="25" l="1"/>
  <c r="GH8" i="40"/>
  <c r="GH14" i="40"/>
  <c r="GH16" i="40" s="1"/>
  <c r="GH11" i="40" l="1"/>
  <c r="K9" i="48"/>
  <c r="GH15" i="40"/>
  <c r="K12" i="48" l="1"/>
  <c r="DG1" i="25" l="1"/>
  <c r="DH1" i="25" l="1"/>
  <c r="FT11" i="25" l="1"/>
  <c r="FT12" i="25" s="1"/>
  <c r="B13" i="55"/>
  <c r="DM1" i="25"/>
  <c r="DN1" i="25" s="1"/>
  <c r="DS1" i="25" s="1"/>
  <c r="E13" i="55" l="1"/>
  <c r="F13" i="55" s="1"/>
  <c r="G13" i="55" s="1"/>
  <c r="H13" i="55" s="1"/>
  <c r="FT16" i="25"/>
  <c r="FT21" i="25"/>
  <c r="C13" i="55"/>
  <c r="DT1" i="25"/>
  <c r="DW1" i="25"/>
  <c r="DV1" i="25"/>
  <c r="DP1" i="25"/>
  <c r="DQ1" i="25"/>
  <c r="DX1" i="25"/>
  <c r="DU1" i="25"/>
  <c r="DO1" i="25"/>
  <c r="DR1" i="25"/>
  <c r="DY1" i="25" l="1"/>
  <c r="FT17" i="25" l="1"/>
  <c r="FT18" i="25" s="1"/>
  <c r="FT19" i="25"/>
  <c r="FT20" i="25" s="1"/>
  <c r="ET1" i="25"/>
  <c r="EZ1" i="25" s="1"/>
  <c r="FA1" i="25" s="1"/>
  <c r="FB1" i="25" s="1"/>
  <c r="EV1" i="25" l="1"/>
  <c r="EW1" i="25" s="1"/>
  <c r="EX1" i="25" s="1"/>
  <c r="EU1" i="25"/>
  <c r="EY1" i="25" l="1"/>
  <c r="FC1" i="25" s="1"/>
  <c r="FD1" i="25" s="1"/>
  <c r="FG1" i="25"/>
  <c r="FI1" i="25" s="1"/>
  <c r="FK1" i="25" l="1"/>
  <c r="FM1" i="25"/>
  <c r="FN1" i="25"/>
  <c r="FO1" i="25" s="1"/>
  <c r="FP1" i="25" s="1"/>
  <c r="FY23" i="25"/>
  <c r="FY31" i="25" s="1"/>
  <c r="FY39" i="25" s="1"/>
  <c r="FY47" i="25" s="1"/>
  <c r="FT52" i="25"/>
  <c r="FT48" i="25"/>
  <c r="FT55" i="25"/>
  <c r="FT58" i="25"/>
  <c r="FY58" i="25"/>
  <c r="FT53" i="25"/>
  <c r="FT64" i="25"/>
  <c r="FT60" i="25"/>
  <c r="FT51" i="25"/>
  <c r="FY27" i="25"/>
  <c r="FY35" i="25" s="1"/>
  <c r="FY43" i="25" s="1"/>
  <c r="FY51" i="25" s="1"/>
  <c r="FT49" i="25"/>
  <c r="FT57" i="25"/>
  <c r="FT54" i="25"/>
  <c r="FT59" i="25"/>
  <c r="FT61" i="25"/>
  <c r="FY54" i="25"/>
  <c r="FY59" i="25"/>
  <c r="FY22" i="25"/>
  <c r="FY30" i="25" s="1"/>
  <c r="FY38" i="25" s="1"/>
  <c r="FY46" i="25" s="1"/>
  <c r="FT62" i="25"/>
  <c r="FY26" i="25"/>
  <c r="FY34" i="25" s="1"/>
  <c r="FY42" i="25" s="1"/>
  <c r="FY50" i="25" s="1"/>
  <c r="FY57" i="25"/>
  <c r="FT56" i="25"/>
  <c r="FT50" i="25"/>
  <c r="FY56" i="25"/>
  <c r="FT63" i="25"/>
  <c r="FY24" i="25"/>
  <c r="FY32" i="25" s="1"/>
  <c r="FY40" i="25" s="1"/>
  <c r="FY48" i="25" s="1"/>
  <c r="FY55" i="25"/>
  <c r="FY21" i="25"/>
  <c r="FY29" i="25" s="1"/>
  <c r="FY37" i="25" s="1"/>
  <c r="FY45" i="25" s="1"/>
  <c r="FY25" i="25"/>
  <c r="FY33" i="25" s="1"/>
  <c r="FY41" i="25" s="1"/>
  <c r="FY49" i="25" s="1"/>
  <c r="FY53" i="25"/>
  <c r="FY65" i="25" l="1"/>
  <c r="FY66" i="25"/>
  <c r="FY63" i="25"/>
  <c r="FY17" i="25"/>
  <c r="FT33" i="25" s="1"/>
  <c r="FY67" i="25"/>
  <c r="FY60" i="25"/>
  <c r="FT40" i="25" s="1"/>
  <c r="FY20" i="25"/>
  <c r="FT35" i="25" s="1"/>
  <c r="FY19" i="25"/>
  <c r="FY8" i="25"/>
  <c r="FT25" i="25" s="1"/>
  <c r="FY11" i="25"/>
  <c r="FY6" i="25"/>
  <c r="FT23" i="25" s="1"/>
  <c r="FY12" i="25"/>
  <c r="FT28" i="25" s="1"/>
  <c r="FY76" i="25"/>
  <c r="FT47" i="25" s="1"/>
  <c r="FY15" i="25"/>
  <c r="FT31" i="25" s="1"/>
  <c r="FY18" i="25"/>
  <c r="FT34" i="25" s="1"/>
  <c r="FY10" i="25"/>
  <c r="FT27" i="25" s="1"/>
  <c r="FY64" i="25"/>
  <c r="FY9" i="25"/>
  <c r="FT26" i="25" s="1"/>
  <c r="FY74" i="25"/>
  <c r="FT46" i="25" s="1"/>
  <c r="FY5" i="25"/>
  <c r="FT22" i="25" s="1"/>
  <c r="FY71" i="25"/>
  <c r="FT43" i="25" s="1"/>
  <c r="FY52" i="25"/>
  <c r="FT39" i="25" s="1"/>
  <c r="FY14" i="25"/>
  <c r="FT30" i="25" s="1"/>
  <c r="FY7" i="25"/>
  <c r="FT24" i="25" s="1"/>
  <c r="FY72" i="25"/>
  <c r="FT44" i="25" s="1"/>
  <c r="FY28" i="25"/>
  <c r="FT36" i="25" s="1"/>
  <c r="FY70" i="25"/>
  <c r="FT42" i="25" s="1"/>
  <c r="FY62" i="25"/>
  <c r="FY75" i="25"/>
  <c r="FY73" i="25"/>
  <c r="FT45" i="25" s="1"/>
  <c r="FY13" i="25"/>
  <c r="FT29" i="25" s="1"/>
  <c r="FY36" i="25"/>
  <c r="FT37" i="25" s="1"/>
  <c r="FY16" i="25"/>
  <c r="FT32" i="25" s="1"/>
  <c r="FY69" i="25"/>
  <c r="FT41" i="25" s="1"/>
  <c r="FY44" i="25"/>
  <c r="FT38" i="25" s="1"/>
  <c r="FY61" i="25"/>
  <c r="FY68"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Keith Harwood</author>
  </authors>
  <commentList>
    <comment ref="B4" authorId="0" shapeId="0" xr:uid="{1EA97FB8-98DF-431C-8D77-BC6CB479A8CE}">
      <text>
        <r>
          <rPr>
            <sz val="9"/>
            <color indexed="81"/>
            <rFont val="Tahoma"/>
            <family val="2"/>
          </rPr>
          <t>Must be unique</t>
        </r>
      </text>
    </comment>
    <comment ref="E4" authorId="0" shapeId="0" xr:uid="{C75D82FD-0ACC-458A-BCA9-FE6C26745C74}">
      <text>
        <r>
          <rPr>
            <b/>
            <sz val="9"/>
            <color indexed="81"/>
            <rFont val="Tahoma"/>
            <family val="2"/>
          </rPr>
          <t xml:space="preserve">Mandatory
</t>
        </r>
        <r>
          <rPr>
            <sz val="9"/>
            <color indexed="81"/>
            <rFont val="Tahoma"/>
            <family val="2"/>
          </rPr>
          <t>Select from dropdown</t>
        </r>
      </text>
    </comment>
    <comment ref="F4" authorId="0" shapeId="0" xr:uid="{12D569AF-35FF-492F-AEEC-AACC92171C3B}">
      <text>
        <r>
          <rPr>
            <b/>
            <sz val="9"/>
            <color indexed="81"/>
            <rFont val="Tahoma"/>
            <family val="2"/>
          </rPr>
          <t xml:space="preserve">Mandatory
</t>
        </r>
        <r>
          <rPr>
            <sz val="9"/>
            <color indexed="81"/>
            <rFont val="Tahoma"/>
            <family val="2"/>
          </rPr>
          <t>Minimum value is 1</t>
        </r>
      </text>
    </comment>
    <comment ref="G4" authorId="0" shapeId="0" xr:uid="{41F5B64F-F492-40C4-A6D5-157329B74F53}">
      <text>
        <r>
          <rPr>
            <sz val="9"/>
            <color indexed="81"/>
            <rFont val="Tahoma"/>
            <family val="2"/>
          </rPr>
          <t>Not required for cantilever road signs or high mast lighting</t>
        </r>
      </text>
    </comment>
    <comment ref="H4" authorId="0" shapeId="0" xr:uid="{445FC2A4-7B36-4531-89C3-8EFED2779CE1}">
      <text>
        <r>
          <rPr>
            <sz val="9"/>
            <color indexed="81"/>
            <rFont val="Tahoma"/>
            <family val="2"/>
          </rPr>
          <t>Not required for cantilever road signs, high mast lighting or retaining walls. If not known for sign/signal gantries, then assume average width is 7m</t>
        </r>
      </text>
    </comment>
    <comment ref="I4" authorId="0" shapeId="0" xr:uid="{87882D0D-768C-4185-9BD1-CA7FEB216651}">
      <text>
        <r>
          <rPr>
            <sz val="9"/>
            <color indexed="81"/>
            <rFont val="Tahoma"/>
            <family val="2"/>
          </rPr>
          <t>Not required for cantilever road signs, high mast lighting or structural earthworks. If not known then assume the following:
Bridges, Vehicular underpasses or tunnels, SIgn/signal gantries: 6m
Chambers/cellars/vaults, Culverts, pedestrian underpasses/subways: 3m
Retaining walls: 3m, Pipe subways: 2m</t>
        </r>
      </text>
    </comment>
    <comment ref="J4" authorId="0" shapeId="0" xr:uid="{04072AD2-9230-41E9-91AB-ABBB5B2280D2}">
      <text>
        <r>
          <rPr>
            <sz val="9"/>
            <color indexed="81"/>
            <rFont val="Tahoma"/>
            <family val="2"/>
          </rPr>
          <t>Not required for cantilever road signs, high mast lighting, retaining walls, sign/signal gantries or structural earthworks</t>
        </r>
      </text>
    </comment>
    <comment ref="K4" authorId="0" shapeId="0" xr:uid="{335AA7B8-F2EF-48D2-AEEB-0E7B02EEC747}">
      <text>
        <r>
          <rPr>
            <b/>
            <sz val="9"/>
            <color indexed="81"/>
            <rFont val="Tahoma"/>
            <family val="2"/>
          </rPr>
          <t xml:space="preserve">Mandatory
</t>
        </r>
        <r>
          <rPr>
            <sz val="9"/>
            <color indexed="81"/>
            <rFont val="Tahoma"/>
            <family val="2"/>
          </rPr>
          <t>Select from dropdown</t>
        </r>
      </text>
    </comment>
    <comment ref="L4" authorId="0" shapeId="0" xr:uid="{0D23083F-5C2B-4BD5-8715-3449ED9BD2C2}">
      <text>
        <r>
          <rPr>
            <b/>
            <sz val="9"/>
            <color indexed="81"/>
            <rFont val="Tahoma"/>
            <family val="2"/>
          </rPr>
          <t xml:space="preserve">Mandatory
</t>
        </r>
        <r>
          <rPr>
            <sz val="9"/>
            <color indexed="81"/>
            <rFont val="Tahoma"/>
            <family val="2"/>
          </rPr>
          <t>Select from dropdown</t>
        </r>
      </text>
    </comment>
    <comment ref="M4" authorId="0" shapeId="0" xr:uid="{A88188FA-69EA-4251-86D1-508AF3D2DE2F}">
      <text>
        <r>
          <rPr>
            <sz val="9"/>
            <color indexed="81"/>
            <rFont val="Tahoma"/>
            <family val="2"/>
          </rPr>
          <t>Yes = 1
No = 0 or blank</t>
        </r>
      </text>
    </comment>
    <comment ref="N4" authorId="0" shapeId="0" xr:uid="{99804269-5622-43A4-8741-F8BE1679444B}">
      <text>
        <r>
          <rPr>
            <b/>
            <sz val="9"/>
            <color indexed="81"/>
            <rFont val="Tahoma"/>
            <family val="2"/>
          </rPr>
          <t xml:space="preserve">Mandatory
</t>
        </r>
        <r>
          <rPr>
            <sz val="9"/>
            <color indexed="81"/>
            <rFont val="Tahoma"/>
            <family val="2"/>
          </rPr>
          <t>Select from dropdown</t>
        </r>
      </text>
    </comment>
    <comment ref="O4" authorId="0" shapeId="0" xr:uid="{45D87C8F-414B-4878-A5AB-1BF06E578437}">
      <text>
        <r>
          <rPr>
            <sz val="9"/>
            <color indexed="81"/>
            <rFont val="Tahoma"/>
            <family val="2"/>
          </rPr>
          <t>Select from drop-down menu. Not required for cantilever road signs, high mast lighting and sign/signal gantries</t>
        </r>
      </text>
    </comment>
    <comment ref="P4" authorId="0" shapeId="0" xr:uid="{E18DADF9-33F6-4282-AF2D-3C24AF381E80}">
      <text>
        <r>
          <rPr>
            <sz val="9"/>
            <color indexed="81"/>
            <rFont val="Tahoma"/>
            <family val="2"/>
          </rPr>
          <t>Yes = 1
No = 0 or blank</t>
        </r>
      </text>
    </comment>
    <comment ref="Q4" authorId="0" shapeId="0" xr:uid="{7DD1BC64-5062-4948-B7D3-61ABD989DCF7}">
      <text>
        <r>
          <rPr>
            <sz val="9"/>
            <color indexed="81"/>
            <rFont val="Tahoma"/>
            <family val="2"/>
          </rPr>
          <t>Priority Adjustment Factors
Yes = 1
No = 0 or blank</t>
        </r>
      </text>
    </comment>
    <comment ref="W4" authorId="0" shapeId="0" xr:uid="{DEA26786-C65F-4A93-986F-16C850F320B4}">
      <text>
        <r>
          <rPr>
            <sz val="9"/>
            <color indexed="81"/>
            <rFont val="Tahoma"/>
            <family val="2"/>
          </rPr>
          <t>Value Adjustment Factors
Yes = 1
No = 0 or blank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Keith Harwood</author>
  </authors>
  <commentList>
    <comment ref="B4" authorId="0" shapeId="0" xr:uid="{1D8BC44B-23A0-4028-8AD0-9476D97A91E9}">
      <text>
        <r>
          <rPr>
            <b/>
            <sz val="9"/>
            <color indexed="81"/>
            <rFont val="Tahoma"/>
            <family val="2"/>
          </rPr>
          <t>Mandatory</t>
        </r>
        <r>
          <rPr>
            <sz val="9"/>
            <color indexed="81"/>
            <rFont val="Tahoma"/>
            <family val="2"/>
          </rPr>
          <t xml:space="preserve">
Select from dropdown</t>
        </r>
      </text>
    </comment>
    <comment ref="C4" authorId="0" shapeId="0" xr:uid="{10537B86-071B-401F-8104-D53BDA27D443}">
      <text>
        <r>
          <rPr>
            <b/>
            <sz val="9"/>
            <color indexed="81"/>
            <rFont val="Tahoma"/>
            <family val="2"/>
          </rPr>
          <t>Mandatory</t>
        </r>
        <r>
          <rPr>
            <sz val="9"/>
            <color indexed="81"/>
            <rFont val="Tahoma"/>
            <family val="2"/>
          </rPr>
          <t xml:space="preserve">
Select from dropdown</t>
        </r>
      </text>
    </comment>
    <comment ref="D4" authorId="0" shapeId="0" xr:uid="{8B1DF189-8FFF-40A7-9B5E-5F932906DD6B}">
      <text>
        <r>
          <rPr>
            <b/>
            <sz val="9"/>
            <color indexed="81"/>
            <rFont val="Tahoma"/>
            <family val="2"/>
          </rPr>
          <t>Mandatory</t>
        </r>
        <r>
          <rPr>
            <sz val="9"/>
            <color indexed="81"/>
            <rFont val="Tahoma"/>
            <family val="2"/>
          </rPr>
          <t xml:space="preserve">
Select from dropdown</t>
        </r>
      </text>
    </comment>
    <comment ref="E4" authorId="0" shapeId="0" xr:uid="{DD951637-2B8C-413F-AC18-5947708CA965}">
      <text>
        <r>
          <rPr>
            <b/>
            <sz val="9"/>
            <color indexed="81"/>
            <rFont val="Tahoma"/>
            <family val="2"/>
          </rPr>
          <t xml:space="preserve">Mandatory
</t>
        </r>
        <r>
          <rPr>
            <sz val="9"/>
            <color indexed="81"/>
            <rFont val="Tahoma"/>
            <family val="2"/>
          </rPr>
          <t>Select from dropdown</t>
        </r>
      </text>
    </comment>
    <comment ref="F4" authorId="0" shapeId="0" xr:uid="{54FB32A6-1164-41A1-9952-2070556AD33E}">
      <text>
        <r>
          <rPr>
            <sz val="9"/>
            <color indexed="81"/>
            <rFont val="Tahoma"/>
            <family val="2"/>
          </rPr>
          <t>Select from dropdown.
For bridges, culverts, underpasses, subways and tunnels this relates to traffic on the obstacle crossed.</t>
        </r>
        <r>
          <rPr>
            <b/>
            <sz val="9"/>
            <color indexed="81"/>
            <rFont val="Tahoma"/>
            <family val="2"/>
          </rPr>
          <t xml:space="preserve">
</t>
        </r>
        <r>
          <rPr>
            <sz val="9"/>
            <color indexed="81"/>
            <rFont val="Tahoma"/>
            <family val="2"/>
          </rPr>
          <t>For cantilever signs, signal gantries and high mast lighting this relates to traffic on the route adjacent to the structure.
For chambers/cellars/vaults this is not applicable.
For retaining walls and structural earthworks  this relates to traffic on the routes adjacent to the top or foot of the wall or earthworks.
For spanning sign/signal gantries this relates to traffic on the route crossed.</t>
        </r>
      </text>
    </comment>
    <comment ref="G4" authorId="0" shapeId="0" xr:uid="{91F31FA0-DED0-4C15-A033-3D4F90EB05E0}">
      <text>
        <r>
          <rPr>
            <sz val="9"/>
            <color indexed="81"/>
            <rFont val="Tahoma"/>
            <family val="2"/>
          </rPr>
          <t>Priority Adjustment Factors
Yes = 1
No = 0 or blank</t>
        </r>
      </text>
    </comment>
    <comment ref="M4" authorId="0" shapeId="0" xr:uid="{0E3BB02A-4426-409A-B3D4-CDE3121A3A63}">
      <text>
        <r>
          <rPr>
            <sz val="9"/>
            <color indexed="81"/>
            <rFont val="Tahoma"/>
            <family val="2"/>
          </rPr>
          <t>Optional, to override the default value set in the main page</t>
        </r>
      </text>
    </comment>
  </commentList>
</comments>
</file>

<file path=xl/sharedStrings.xml><?xml version="1.0" encoding="utf-8"?>
<sst xmlns="http://schemas.openxmlformats.org/spreadsheetml/2006/main" count="87279" uniqueCount="5980">
  <si>
    <t>2's</t>
  </si>
  <si>
    <t>3's</t>
  </si>
  <si>
    <t>4's</t>
  </si>
  <si>
    <t>5's</t>
  </si>
  <si>
    <t>Spent</t>
  </si>
  <si>
    <t>Elements</t>
  </si>
  <si>
    <t>Schemes</t>
  </si>
  <si>
    <t>Budget</t>
  </si>
  <si>
    <t>Year</t>
  </si>
  <si>
    <t>Summary of condition for maintenance interventions</t>
  </si>
  <si>
    <t>Depreciated Replacement Cost</t>
  </si>
  <si>
    <t>Gross Replacement Cost</t>
  </si>
  <si>
    <t>Watercourse - non-navigable</t>
  </si>
  <si>
    <t>Low</t>
  </si>
  <si>
    <t>Footbridge</t>
  </si>
  <si>
    <t>Urban</t>
  </si>
  <si>
    <t>Bridge:  Pedestrian/Cycle (single span)</t>
  </si>
  <si>
    <t>Culvert (single cell)</t>
  </si>
  <si>
    <t>Land/Disused</t>
  </si>
  <si>
    <t>Local Road - unclassified</t>
  </si>
  <si>
    <t>Rural</t>
  </si>
  <si>
    <t>Chamber/Cellar/Vault</t>
  </si>
  <si>
    <t>Business and Community Premises</t>
  </si>
  <si>
    <t>Moderate</t>
  </si>
  <si>
    <t>Bridge:  Vehicular (single span)</t>
  </si>
  <si>
    <t>Other</t>
  </si>
  <si>
    <t>Retaining Wall (height &gt; 3m)</t>
  </si>
  <si>
    <t>Railway: Suburban, Tram, Underground</t>
  </si>
  <si>
    <t>Pedestrian subway</t>
  </si>
  <si>
    <t>Underpass (or Subway):  Pedestrian</t>
  </si>
  <si>
    <t>High</t>
  </si>
  <si>
    <t>Bridge:  Pedestrian/Cycle (multi-span)</t>
  </si>
  <si>
    <t>Bridge:  Vehicular (2 or 3 spans)</t>
  </si>
  <si>
    <t>Footway/cycleway</t>
  </si>
  <si>
    <t>Bridleway</t>
  </si>
  <si>
    <t>Residential Premises</t>
  </si>
  <si>
    <t>Underpass:  Vehicular</t>
  </si>
  <si>
    <t>Tunnel (cut and cover)</t>
  </si>
  <si>
    <t>Watercourse - navigable</t>
  </si>
  <si>
    <t>Culvert (multi-cell)</t>
  </si>
  <si>
    <t>Sign/Signal Gantry [cantilever]</t>
  </si>
  <si>
    <t>Bridge:  Vehicular (4 or more spans)</t>
  </si>
  <si>
    <t>Sign/Signal Gantry [spanning]</t>
  </si>
  <si>
    <t>Railway: Inter-City Line</t>
  </si>
  <si>
    <t>Bridle path</t>
  </si>
  <si>
    <t/>
  </si>
  <si>
    <t>Last element ID</t>
  </si>
  <si>
    <t>First element ID</t>
  </si>
  <si>
    <t>No of elements</t>
  </si>
  <si>
    <t>Quantity of Key Dimension for SSCI x AVF</t>
  </si>
  <si>
    <t>AVF Structure Type</t>
  </si>
  <si>
    <t>Total Gross Replacement Cost (£)</t>
  </si>
  <si>
    <t>Uplift Factor for Additional Factors Affecting Gross Replacement Cost</t>
  </si>
  <si>
    <t>Basic Gross Replacement Cost (£)</t>
  </si>
  <si>
    <t>ID of
Structure or Group of Structures
(in this model)</t>
  </si>
  <si>
    <t>Within 3 metres' proximity to spray zone</t>
  </si>
  <si>
    <t>2B</t>
  </si>
  <si>
    <t>Other/Unknown Embankment Material</t>
  </si>
  <si>
    <t>Br33.  Embankments</t>
  </si>
  <si>
    <t>Not within 3 metres' proximity to spray zone / Not applicable</t>
  </si>
  <si>
    <t>2E</t>
  </si>
  <si>
    <t>Other/Unknown Invert Material</t>
  </si>
  <si>
    <t>Br26.  Invert/River Bed</t>
  </si>
  <si>
    <t>4B</t>
  </si>
  <si>
    <t>Other/Unknown Handrail/Parapet/Safety Fence</t>
  </si>
  <si>
    <t>Br23.  Handrail/Parapets/Safety Fences</t>
  </si>
  <si>
    <t>1A</t>
  </si>
  <si>
    <t>Fabricated Steel, Rolled Steel, Steel, or Steel Plate</t>
  </si>
  <si>
    <t>Br22.  Access/Walkways/Gantries</t>
  </si>
  <si>
    <t>5E</t>
  </si>
  <si>
    <t>Other/Unknown Finish</t>
  </si>
  <si>
    <t>Br21.  Finishes:  Parapets/Safety Fences</t>
  </si>
  <si>
    <t>2C</t>
  </si>
  <si>
    <t>Other/Unknown Material</t>
  </si>
  <si>
    <t>Br14.  Bearing Plinth/Shelf</t>
  </si>
  <si>
    <t>3E</t>
  </si>
  <si>
    <t>Other/Unknown Bearing</t>
  </si>
  <si>
    <t>Br13.  Bearings</t>
  </si>
  <si>
    <t>Insitu Reinforced Concrete</t>
  </si>
  <si>
    <t>Br09.  Abutments (incl. Arch Springing)</t>
  </si>
  <si>
    <t>Foundation Material</t>
  </si>
  <si>
    <t>Br08.  Foundations</t>
  </si>
  <si>
    <t>Cast Iron or Wrought Iron</t>
  </si>
  <si>
    <t>Br05.  Tie Beam/Rod</t>
  </si>
  <si>
    <t>3C</t>
  </si>
  <si>
    <t>Insitu Mass Concrete or Precast Plain Concrete</t>
  </si>
  <si>
    <t>Br03.  Secondary Deck Element</t>
  </si>
  <si>
    <t>4E</t>
  </si>
  <si>
    <t>Br01.  Primary Deck Element</t>
  </si>
  <si>
    <t>Br29.  River Training Works</t>
  </si>
  <si>
    <t>Br19.  Finishes:  Deck Elements</t>
  </si>
  <si>
    <t>Other/Unknown Waterproofing</t>
  </si>
  <si>
    <t>Br17.  Waterproofing</t>
  </si>
  <si>
    <t>Br31.  Wing Walls</t>
  </si>
  <si>
    <t>3B</t>
  </si>
  <si>
    <t>Footway surfacing</t>
  </si>
  <si>
    <t>Br25.  Footway/verge/footbridge surfacing</t>
  </si>
  <si>
    <t>Brickwork</t>
  </si>
  <si>
    <t>Br10.  Spandrel Wall/Head Wall</t>
  </si>
  <si>
    <t>2D</t>
  </si>
  <si>
    <t>Rw16.  Invert/River Bed</t>
  </si>
  <si>
    <t>Carriageway surfacing</t>
  </si>
  <si>
    <t>Rw08.  Finishes:  Handrail/Parapet</t>
  </si>
  <si>
    <t>Other/Unknown Drainage System</t>
  </si>
  <si>
    <t>Rw05.  Drainage</t>
  </si>
  <si>
    <t>Rw04.  Parapet Beam/Plinth</t>
  </si>
  <si>
    <t>Rw02.  Primary Element</t>
  </si>
  <si>
    <t>Foundation material</t>
  </si>
  <si>
    <t>Rw01.  Foundations</t>
  </si>
  <si>
    <t>Br24.  Carriageway surfacing</t>
  </si>
  <si>
    <t>Rw09.  Handrail/Parapets/Safety Fences</t>
  </si>
  <si>
    <t>Br32.  Retaining Walls</t>
  </si>
  <si>
    <t>Br11.  Pier/Column</t>
  </si>
  <si>
    <t>Br35.  Approach Rails/Barriers/Walls</t>
  </si>
  <si>
    <t>Other/Unknown Expansion Joint</t>
  </si>
  <si>
    <t>Br18.  Expansion Joints</t>
  </si>
  <si>
    <t>Br16.  Substructure Drainage</t>
  </si>
  <si>
    <t>Br02.  Transverse Beams</t>
  </si>
  <si>
    <t>Other/Unknown Signs</t>
  </si>
  <si>
    <t>Br36.  Signs</t>
  </si>
  <si>
    <t>Br20.  Finishes:  Substructure Elements</t>
  </si>
  <si>
    <t>4D</t>
  </si>
  <si>
    <t>Buried Joint</t>
  </si>
  <si>
    <t>3D</t>
  </si>
  <si>
    <t>Br15.  Superstructure Drainage</t>
  </si>
  <si>
    <t>5B</t>
  </si>
  <si>
    <t>Rw07.  Finishes:  Wall</t>
  </si>
  <si>
    <t>Other/Unknown Revetment</t>
  </si>
  <si>
    <t>Br30.  Revetment/Batter Paving</t>
  </si>
  <si>
    <t>Br06.  Parapet Beam or Cantilever</t>
  </si>
  <si>
    <t>Br07.  Deck Bracing</t>
  </si>
  <si>
    <t>Br12.  Cross-Head/Capping Beam</t>
  </si>
  <si>
    <t>Movement/Expansion Joint</t>
  </si>
  <si>
    <t>Rw06.  Movement/Expansion Joints</t>
  </si>
  <si>
    <t>5C</t>
  </si>
  <si>
    <t>Asphaltic Plug Joint</t>
  </si>
  <si>
    <t>Br27.  Aprons</t>
  </si>
  <si>
    <t>Precast Prestressed Concrete (Pre-Tensioned)</t>
  </si>
  <si>
    <t>Corrugated Rolled Steel</t>
  </si>
  <si>
    <t>Nosing Joint</t>
  </si>
  <si>
    <t>4C</t>
  </si>
  <si>
    <t>5D</t>
  </si>
  <si>
    <t>Sg13.  Sign and Signal Supports</t>
  </si>
  <si>
    <t>Sg12.  Support to Longitudinal Connection</t>
  </si>
  <si>
    <t>Other/Unknown Base Connections</t>
  </si>
  <si>
    <t>Sg11.  Base Connections</t>
  </si>
  <si>
    <t>Sg06.  Finishes:  Columns/Supports</t>
  </si>
  <si>
    <t>Sg05.  Finishes:  Truss/Beam/Cantilever</t>
  </si>
  <si>
    <t>Sg04.  Columns/Supports/Legs</t>
  </si>
  <si>
    <t>Sg02.  Truss/Beams/Cantilevers</t>
  </si>
  <si>
    <t>Rw03.  Secondary Element</t>
  </si>
  <si>
    <t>Insitu Prestressed Concrete (Post-Tensioned)</t>
  </si>
  <si>
    <t>Elastomeric/Reinforced Elastomeric Joint</t>
  </si>
  <si>
    <t>Sg10.  Handrails</t>
  </si>
  <si>
    <t>Sg09.  Access Ladder</t>
  </si>
  <si>
    <t>Sg08.  Access Walkway/Deck</t>
  </si>
  <si>
    <t>Sg07.  Finishes:  Other Elements</t>
  </si>
  <si>
    <t>Sg03.  Transverse Members</t>
  </si>
  <si>
    <t>Br28.  Fenders/Cutwaters/Collision Protection</t>
  </si>
  <si>
    <t>Br04.  Half Joints/Hinge Joints</t>
  </si>
  <si>
    <t>Traffic Management Arrangement ID
(in this model)</t>
  </si>
  <si>
    <t>Traffic Management Required On…</t>
  </si>
  <si>
    <t>Position of Element in the List of Elements in the 'Reference_14' worksheet</t>
  </si>
  <si>
    <t>Year to Start Condition-Triggered Maintenance</t>
  </si>
  <si>
    <t>CHECK:  Valid Component/Material Type?</t>
  </si>
  <si>
    <t>CHECK:  Valid Element?</t>
  </si>
  <si>
    <t>CHECK:  Valid Structure or Group of Structures?</t>
  </si>
  <si>
    <t>CODE</t>
  </si>
  <si>
    <t>Component/Material Type</t>
  </si>
  <si>
    <t>Full Name of Element</t>
  </si>
  <si>
    <t>Other Regular Maintenance</t>
  </si>
  <si>
    <t>Structural Assessments</t>
  </si>
  <si>
    <t>Principal Inspections</t>
  </si>
  <si>
    <t>General Inspections</t>
  </si>
  <si>
    <t>Routine Maintenance</t>
  </si>
  <si>
    <t>Expenditure for the Year on…</t>
  </si>
  <si>
    <t>Tunnels and Vehicular Underpasses</t>
  </si>
  <si>
    <t>High Mast Lighting</t>
  </si>
  <si>
    <t>Sign/Signal Gantries</t>
  </si>
  <si>
    <t>Culverts</t>
  </si>
  <si>
    <t>Retaining Walls</t>
  </si>
  <si>
    <t>Bridges</t>
  </si>
  <si>
    <t>SSCIcrit</t>
  </si>
  <si>
    <t>SSCIav</t>
  </si>
  <si>
    <t>Condition-Triggered Maintenance (Capital)</t>
  </si>
  <si>
    <t>Traffic Delay Cost</t>
  </si>
  <si>
    <t>Expenditure</t>
  </si>
  <si>
    <t>Local Authority</t>
  </si>
  <si>
    <t>EIF</t>
  </si>
  <si>
    <t>Indefinite</t>
  </si>
  <si>
    <t>Finite</t>
  </si>
  <si>
    <t>Element Types based on Life</t>
  </si>
  <si>
    <t>Obstacle</t>
  </si>
  <si>
    <t>Route</t>
  </si>
  <si>
    <t>RouteAndObstacle</t>
  </si>
  <si>
    <t>Traffic Management Required on…</t>
  </si>
  <si>
    <t>Variable</t>
  </si>
  <si>
    <t>Constant</t>
  </si>
  <si>
    <t>Fixed</t>
  </si>
  <si>
    <t>Cost Type</t>
  </si>
  <si>
    <t>Very High</t>
  </si>
  <si>
    <t>Medium</t>
  </si>
  <si>
    <t>Element Importance</t>
  </si>
  <si>
    <t>Total Extent of Defects</t>
  </si>
  <si>
    <t>Extent for Severity 5</t>
  </si>
  <si>
    <t>Extent for Severity 4</t>
  </si>
  <si>
    <t>Extent for Severity 3</t>
  </si>
  <si>
    <t>Extent for Severity 2</t>
  </si>
  <si>
    <t>ECS</t>
  </si>
  <si>
    <t>Primary Condition (Severity and Defect)</t>
  </si>
  <si>
    <t>Extent of Severity within Primary Conditions</t>
  </si>
  <si>
    <t>Table C.11.F:  Element Condition Scores (ECS)</t>
  </si>
  <si>
    <t>Exposure Factor for Proximity to Traffic Spray Zone</t>
  </si>
  <si>
    <t>Proximity to Traffic Spray Zone</t>
  </si>
  <si>
    <t>Marine/Estuarial</t>
  </si>
  <si>
    <t>Exposure Factor for Location of Structure</t>
  </si>
  <si>
    <t>Location of Structure</t>
  </si>
  <si>
    <t>St08.  Subway:  Pipe</t>
  </si>
  <si>
    <t>St07.  Structural Earthworks - Reinforced/Strengthened Soil/Fill Structure</t>
  </si>
  <si>
    <t>St06.  Sign/Signal Gantry</t>
  </si>
  <si>
    <t>St05.  Retaining Wall</t>
  </si>
  <si>
    <t>St04.  High Mast Lighting</t>
  </si>
  <si>
    <t>St03.  Culvert</t>
  </si>
  <si>
    <t>St02.  Chamber/Cellar/Vault</t>
  </si>
  <si>
    <t>St01.  Cantilever Road Sign</t>
  </si>
  <si>
    <t>Rw17.  Aprons</t>
  </si>
  <si>
    <t>Element's Component/Material Type (Being Protected by Functioning Finishes)</t>
  </si>
  <si>
    <t>Element's Proximity to Traffic Spray Zone</t>
  </si>
  <si>
    <t>Is the Obstacle Crossed by / Route Adjacent to the Foot of the Structure salted?</t>
  </si>
  <si>
    <t>Is the Obstacle Crossed by / Route Adjacent to the Foot of the Structure a Watercourse?</t>
  </si>
  <si>
    <t>Traffic of the Route Supported by / Adjacent to (the Top of) / Crossed by the Structure</t>
  </si>
  <si>
    <t>Is the Route Supported by / Adjacent to (the Top of) / Crossed by the Structure salted?</t>
  </si>
  <si>
    <t>Location of the Structure</t>
  </si>
  <si>
    <t>Exposure Scenario ID
(in this model)</t>
  </si>
  <si>
    <t>Table C.2.A:  Default Exposure Classification for Bridge Elements, Table C.2.B:  Default Exposure Classification for Retaining Wall Elements, Table C.2.C:  Default Exposure Classification for Sign/Signal Gantry Elements, and Table C.2.D:  Default Exposure Classification for Groups/Structures</t>
  </si>
  <si>
    <t>Protected</t>
  </si>
  <si>
    <t>Mild</t>
  </si>
  <si>
    <t>Severe</t>
  </si>
  <si>
    <t>Exposure</t>
  </si>
  <si>
    <t>ID of Component/Material Types Allowed for the Element</t>
  </si>
  <si>
    <t>Weathering Steel</t>
  </si>
  <si>
    <t>Water Based Epoxy Sheen Finish</t>
  </si>
  <si>
    <t>Warning Signs</t>
  </si>
  <si>
    <t>Vinyl/Vinyl Copolymer Sheen Finish</t>
  </si>
  <si>
    <t>Vinyl/Vinyl Copolymer MIO Zinc Phosphate Finish</t>
  </si>
  <si>
    <t>Timber (Hardwood not Treated)</t>
  </si>
  <si>
    <t>Tiles</t>
  </si>
  <si>
    <t>Thixotropic Bitumen</t>
  </si>
  <si>
    <t>Stone Rip-Rap</t>
  </si>
  <si>
    <t>Stone Asphalt</t>
  </si>
  <si>
    <t>Steel Piles</t>
  </si>
  <si>
    <t>Steel Base Connections</t>
  </si>
  <si>
    <t>Steel</t>
  </si>
  <si>
    <t>Spray Systems</t>
  </si>
  <si>
    <t>Spherical</t>
  </si>
  <si>
    <t>Sliding Plate</t>
  </si>
  <si>
    <t>Single Element Elastomeric in Metal Runners</t>
  </si>
  <si>
    <t>Silicone Alkyd Finish</t>
  </si>
  <si>
    <t>Sign/Signal Gantry</t>
  </si>
  <si>
    <t>Sheet Systems</t>
  </si>
  <si>
    <t>Roller Shutter</t>
  </si>
  <si>
    <t>Roller</t>
  </si>
  <si>
    <t>Rocker</t>
  </si>
  <si>
    <t>Reinforced Soil</t>
  </si>
  <si>
    <t>Regulatory Signs</t>
  </si>
  <si>
    <t>Precast Reinforced Concrete</t>
  </si>
  <si>
    <t>Precast Concrete Blocks - Open Jointed or Interlocking</t>
  </si>
  <si>
    <t>Pot</t>
  </si>
  <si>
    <t>Polyurethane Gloss Finish</t>
  </si>
  <si>
    <t>Plastic (External)</t>
  </si>
  <si>
    <t>Plane Sliding</t>
  </si>
  <si>
    <t>Pitch Epoxy (Two-Pack) Polyamide Cured Finish</t>
  </si>
  <si>
    <t>Other (External) Drainage System</t>
  </si>
  <si>
    <t>Organic Modified Polysiloxane (Two-Pack) Gloss Finish</t>
  </si>
  <si>
    <t>Natural Invert</t>
  </si>
  <si>
    <t>Natural Embankment Material</t>
  </si>
  <si>
    <t>Multi Element Elastomeric in Metal Runners</t>
  </si>
  <si>
    <t>Moisture Cured Polyurethane Semi-Gloss Finish</t>
  </si>
  <si>
    <t>Moisture Cured Polyurethane Finish</t>
  </si>
  <si>
    <t>MIO Phenolic Finish</t>
  </si>
  <si>
    <t>MIO High Build Quick Drying Epoxy Finish</t>
  </si>
  <si>
    <t>Metal (External)</t>
  </si>
  <si>
    <t>Mastic Asphalt</t>
  </si>
  <si>
    <t>Masonry</t>
  </si>
  <si>
    <t>Iron Base Connections</t>
  </si>
  <si>
    <t>Internal Drainage System</t>
  </si>
  <si>
    <t>Information Signs</t>
  </si>
  <si>
    <t>High Build Epoxy Hydrocarbon Resin Modified Finish</t>
  </si>
  <si>
    <t>Hand-Placed Stone</t>
  </si>
  <si>
    <t>Grout-Filled Synthetic Mattresses</t>
  </si>
  <si>
    <t>Grouted Stone or Masonry</t>
  </si>
  <si>
    <t>Grease Paint</t>
  </si>
  <si>
    <t>Grassed Geotextile Mats</t>
  </si>
  <si>
    <t>Gabions</t>
  </si>
  <si>
    <t>Gabion Mesh Mattresses</t>
  </si>
  <si>
    <t>Extended Cure Epoxy MIO Finish</t>
  </si>
  <si>
    <t>Encased Steel</t>
  </si>
  <si>
    <t>Elastomeric/Rubber</t>
  </si>
  <si>
    <t>Direction Signs</t>
  </si>
  <si>
    <t>Concrete Pipe</t>
  </si>
  <si>
    <t>Concrete Insitu Slabs</t>
  </si>
  <si>
    <t>Concrete</t>
  </si>
  <si>
    <t>Clay Pipe</t>
  </si>
  <si>
    <t>Cladding</t>
  </si>
  <si>
    <t>Cantilever Road Sign</t>
  </si>
  <si>
    <t>Cantilever Comb and Tooth Joint</t>
  </si>
  <si>
    <t>Cable-Tied Block Mattresses</t>
  </si>
  <si>
    <t>Boarded Systems</t>
  </si>
  <si>
    <t>Blockwork, i.e. Masonry or Stone</t>
  </si>
  <si>
    <t>Anti-Graffiti Paint</t>
  </si>
  <si>
    <t>Aluminium</t>
  </si>
  <si>
    <t>Functioning Finishes Protect Component/Material Type from Deterioration?</t>
  </si>
  <si>
    <t>Component/Material Type ID
(in this model)</t>
  </si>
  <si>
    <t>[Applicable to Element = Component/Material Type ID from column A; Not Applicable to Element = (Blank)]</t>
  </si>
  <si>
    <t>Table C.3.A:  Deterioration Profile for Components, Table C.4.A:  Deterioration Profiles for Materials, and Table C.4.B:  Deterioration Profiles for Groups/Structures</t>
  </si>
  <si>
    <t>'Protected' refers to a finish 'freezing' deterioration of the component/material type.</t>
  </si>
  <si>
    <t>For waterproofing, exposure in column B should be left blank.</t>
  </si>
  <si>
    <t>CHECK:  Unambiguous Deterioration Rule?</t>
  </si>
  <si>
    <t>Mean Time to Failure</t>
  </si>
  <si>
    <t>Notes</t>
  </si>
  <si>
    <t>Mean Time to Failure (with Routine Maintenance)</t>
  </si>
  <si>
    <t>[Spare Maintenance Activity 138]</t>
  </si>
  <si>
    <t>[Spare Maintenance Activity 24]</t>
  </si>
  <si>
    <t>[Spare Maintenance Activity 23]</t>
  </si>
  <si>
    <t>[Spare Maintenance Activity 22]</t>
  </si>
  <si>
    <t>[Spare Maintenance Activity 21]</t>
  </si>
  <si>
    <t>[Spare Maintenance Activity 20]</t>
  </si>
  <si>
    <t>[Spare Maintenance Activity 19]</t>
  </si>
  <si>
    <t>[Spare Maintenance Activity 18]</t>
  </si>
  <si>
    <t>[Spare Maintenance Activity 17]</t>
  </si>
  <si>
    <t>[Spare Maintenance Activity 16]</t>
  </si>
  <si>
    <t>[Spare Maintenance Activity 15]</t>
  </si>
  <si>
    <t>[Spare Maintenance Activity 14]</t>
  </si>
  <si>
    <t>[Spare Maintenance Activity 13]</t>
  </si>
  <si>
    <t>[Spare Maintenance Activity 12]</t>
  </si>
  <si>
    <t>[Spare Maintenance Activity 11]</t>
  </si>
  <si>
    <t>[Spare Maintenance Activity 10]</t>
  </si>
  <si>
    <t>[Spare Maintenance Activity 9]</t>
  </si>
  <si>
    <t>[Spare Maintenance Activity 8]</t>
  </si>
  <si>
    <t>[Spare Maintenance Activity 7]</t>
  </si>
  <si>
    <t>[Spare Maintenance Activity 6]</t>
  </si>
  <si>
    <t>m2</t>
  </si>
  <si>
    <t>Footway surfacing: maintenance</t>
  </si>
  <si>
    <t>Carriageway surfacing: maintenance</t>
  </si>
  <si>
    <t>m</t>
  </si>
  <si>
    <t>Foundations: repair</t>
  </si>
  <si>
    <t>Includes removal of existing waterproofing system, deck preparation (including up-to 5% concrete repairs to the deck) and application of new waterproofing system. Also includes surfacing removal and reinstatement and reinstatement of kerbs/footways/paved areas and traffic signs and markings.</t>
  </si>
  <si>
    <t>Waterproofing: Replacement</t>
  </si>
  <si>
    <t>Structure replacement</t>
  </si>
  <si>
    <t>Strengthening of Other/Unknown Materials</t>
  </si>
  <si>
    <t>item</t>
  </si>
  <si>
    <t>Signs: Replacement</t>
  </si>
  <si>
    <t>Signs: Maintenance</t>
  </si>
  <si>
    <t>Sign/signal gantry: Replacement</t>
  </si>
  <si>
    <t>Sign/signal gantry: Maintenance</t>
  </si>
  <si>
    <t>Scour protection measures</t>
  </si>
  <si>
    <t>Scour or scour hole repair</t>
  </si>
  <si>
    <t>Revetments: Strengthening</t>
  </si>
  <si>
    <t>Revetments: Maintenance (Stone Rip-Rap)</t>
  </si>
  <si>
    <t>Revetments: Maintenance (Stone Asphalt)</t>
  </si>
  <si>
    <t>Revetments: Maintenance (Steel Piles)</t>
  </si>
  <si>
    <t>Revetments: Maintenance (Precast Concrete Blocks)</t>
  </si>
  <si>
    <t>Revetments: Maintenance (Other)</t>
  </si>
  <si>
    <t>Revetments: Maintenance (Hand-Placed Stone)</t>
  </si>
  <si>
    <t>Revetments: Maintenance (Grout-Filled Synthetic Mattresses)</t>
  </si>
  <si>
    <t>Revetments: Maintenance (Grouted Stone or Masonry)</t>
  </si>
  <si>
    <t>Revetments: Maintenance (Grassed Geotextile Mats)</t>
  </si>
  <si>
    <t>Revetments: Maintenance (Gabion Mesh Mattresses)</t>
  </si>
  <si>
    <t>Revetments: Maintenance (Concrete Insitu Slabs)</t>
  </si>
  <si>
    <t>Revetments: Maintenance (Cable-Tied Block Mattresses)</t>
  </si>
  <si>
    <t>Parapet: Replacement</t>
  </si>
  <si>
    <t>Parapet: Protection System Installation/Replacement</t>
  </si>
  <si>
    <t>Parapet: Maintenance (Timber)</t>
  </si>
  <si>
    <t>Based on standard intervention for material type; assume 25% of area is made up of material (i.e. 75% of area is free space)</t>
  </si>
  <si>
    <t>Parapet: Maintenance (Steel)</t>
  </si>
  <si>
    <t>Parapet: Maintenance (Other)</t>
  </si>
  <si>
    <t>Based on standard intervention for material type; assume 100% of area is made up of material</t>
  </si>
  <si>
    <t>Parapet: Maintenance (Masonry)</t>
  </si>
  <si>
    <t>Parapet: Maintenance (Concrete)</t>
  </si>
  <si>
    <t>Parapet: Maintenance (Aluminium)</t>
  </si>
  <si>
    <t>Movement/Exp Joint: Replacement</t>
  </si>
  <si>
    <t>Metalwork repair</t>
  </si>
  <si>
    <t>Metal strengthening measures</t>
  </si>
  <si>
    <t>Masonry strengthening measures</t>
  </si>
  <si>
    <t>Masonry repairs</t>
  </si>
  <si>
    <t>Maintenance/Repair of Other/Unknown Materials</t>
  </si>
  <si>
    <t>Invert Repair</t>
  </si>
  <si>
    <t>Interim Measures: Propping</t>
  </si>
  <si>
    <t>Interim Measures: Monitoring</t>
  </si>
  <si>
    <t>Interim Measures: Edge Protection</t>
  </si>
  <si>
    <t>High Mast Lighting: Replacement</t>
  </si>
  <si>
    <t>High Mast Lighting: Maintenance</t>
  </si>
  <si>
    <t>Applies to full element area</t>
  </si>
  <si>
    <t>Finishes: Wet/Dry surface preparation and re-application of finish</t>
  </si>
  <si>
    <t>Expansion Joint Replacement: Sliding Plate</t>
  </si>
  <si>
    <t>Expansion Joint Replacement: Single Element Elastomeric In Metal Runners</t>
  </si>
  <si>
    <t>Expansion Joint Replacement: Roller Shutter</t>
  </si>
  <si>
    <t>Expansion Joint Replacement: Other Expansion Joint</t>
  </si>
  <si>
    <t>Expansion Joint Replacement: Nosing Joint</t>
  </si>
  <si>
    <t>Expansion Joint Replacement: Multi Element Elastomeric In Metal Runners</t>
  </si>
  <si>
    <t>Expansion Joint Replacement: Elastomeric/Reinforced Elastomeric Joint</t>
  </si>
  <si>
    <t>Expansion Joint Replacement: Cantilever Comb and Tooth Joint</t>
  </si>
  <si>
    <t>Expansion Joint Replacement: Buried Joint</t>
  </si>
  <si>
    <t>Expansion Joint Replacement: Asphaltic Plug</t>
  </si>
  <si>
    <t>Embankments/Earthworks: Strengthening</t>
  </si>
  <si>
    <t>Embankments/Earthworks: Maintenance</t>
  </si>
  <si>
    <t>Element replacement</t>
  </si>
  <si>
    <t>Drainage: Replacement</t>
  </si>
  <si>
    <t>Drainage: Maintenance</t>
  </si>
  <si>
    <t>Corrugated Culvert: Relining (Strengthening)</t>
  </si>
  <si>
    <t>This maintenance activity cannot be applied if defects in Severity 4 or Severity 5 are present.</t>
  </si>
  <si>
    <t>Corrugated Culvert: Maintenance</t>
  </si>
  <si>
    <t>Concrete strengthening measures</t>
  </si>
  <si>
    <t>Concrete repairs</t>
  </si>
  <si>
    <t>Cathodic protection (Installation)</t>
  </si>
  <si>
    <t>Cantilever road sign: Strengthening</t>
  </si>
  <si>
    <t>Cantilever road sign: Replacement</t>
  </si>
  <si>
    <t>Cantilever road sign: Maintenance</t>
  </si>
  <si>
    <t>Bearings: Replacement</t>
  </si>
  <si>
    <t>A plate with 4 connections or less is considered as one item.</t>
  </si>
  <si>
    <t>Base Connections: Replacement</t>
  </si>
  <si>
    <t>Severity 5</t>
  </si>
  <si>
    <t>Severity 4</t>
  </si>
  <si>
    <t>Severity 3</t>
  </si>
  <si>
    <t>Severity 2</t>
  </si>
  <si>
    <t>Comments</t>
  </si>
  <si>
    <t>Work Rate (Units/hour)</t>
  </si>
  <si>
    <t>Variable Unit Rate</t>
  </si>
  <si>
    <t>Constant Unit Rate</t>
  </si>
  <si>
    <t>Fixed Rate</t>
  </si>
  <si>
    <t>Units
[must match the units of the elements to which the maintenance activity can be applied]</t>
  </si>
  <si>
    <t>Maintenance Activity</t>
  </si>
  <si>
    <t>Element Works Cost ID
(in this model)</t>
  </si>
  <si>
    <t>[Spare Intervention Rule 128]</t>
  </si>
  <si>
    <t>[Spare Intervention Rule 127]</t>
  </si>
  <si>
    <t>[Spare Intervention Rule 126]</t>
  </si>
  <si>
    <t>[Spare Intervention Rule 125]</t>
  </si>
  <si>
    <t>[Spare Intervention Rule 124]</t>
  </si>
  <si>
    <t>[Spare Intervention Rule 123]</t>
  </si>
  <si>
    <t>[Spare Intervention Rule 122]</t>
  </si>
  <si>
    <t>[Spare Intervention Rule 121]</t>
  </si>
  <si>
    <t>[Spare Intervention Rule 120]</t>
  </si>
  <si>
    <t>[Spare Intervention Rule 119]</t>
  </si>
  <si>
    <t>[Spare Intervention Rule 118]</t>
  </si>
  <si>
    <t>[Spare Intervention Rule 117]</t>
  </si>
  <si>
    <t>[Spare Intervention Rule 116]</t>
  </si>
  <si>
    <t>[Spare Intervention Rule 115]</t>
  </si>
  <si>
    <t>[Spare Intervention Rule 114]</t>
  </si>
  <si>
    <t>[Spare Intervention Rule 113]</t>
  </si>
  <si>
    <t>[Spare Intervention Rule 112]</t>
  </si>
  <si>
    <t>[Spare Intervention Rule 111]</t>
  </si>
  <si>
    <t>[Spare Intervention Rule 110]</t>
  </si>
  <si>
    <t>[Spare Intervention Rule 109]</t>
  </si>
  <si>
    <t>[Spare Intervention Rule 108]</t>
  </si>
  <si>
    <t>[Spare Intervention Rule 107]</t>
  </si>
  <si>
    <t>[Spare Intervention Rule 106]</t>
  </si>
  <si>
    <t>[Spare Intervention Rule 105]</t>
  </si>
  <si>
    <t>[Spare Intervention Rule 104]</t>
  </si>
  <si>
    <t>[Spare Intervention Rule 103]</t>
  </si>
  <si>
    <t>[Spare Intervention Rule 102]</t>
  </si>
  <si>
    <t>[Spare Intervention Rule 101]</t>
  </si>
  <si>
    <t>[Spare Intervention Rule 100]</t>
  </si>
  <si>
    <t>N/A</t>
  </si>
  <si>
    <t>Invert repair</t>
  </si>
  <si>
    <t>Corrugated culvert: Maintenance</t>
  </si>
  <si>
    <t>CHECK:  Unambiguous Intervention Rule?</t>
  </si>
  <si>
    <t>CHECK:  Valid Maintenance Action?</t>
  </si>
  <si>
    <t>Condition after Application</t>
  </si>
  <si>
    <t>Maintenance Action</t>
  </si>
  <si>
    <t>Applicable To</t>
  </si>
  <si>
    <t>Maintenance Strategy ID
(in this model)</t>
  </si>
  <si>
    <t>Number x Length x Average Width</t>
  </si>
  <si>
    <t>Number x Length</t>
  </si>
  <si>
    <t>Number x Length x Average Height</t>
  </si>
  <si>
    <t>Number</t>
  </si>
  <si>
    <t>element height = 10% of gantry height</t>
  </si>
  <si>
    <t>Number x Average Width x Average Height x 0.1</t>
  </si>
  <si>
    <t>4 columns; each support is a square plate with sides of 0.4m</t>
  </si>
  <si>
    <t>Number x 0.4 x 0.4 x 4</t>
  </si>
  <si>
    <t>2 bases</t>
  </si>
  <si>
    <t>Number x 2</t>
  </si>
  <si>
    <t>element height = 1.5m</t>
  </si>
  <si>
    <t>Number x Length x 1.5</t>
  </si>
  <si>
    <t>element width = 0.8m; 50% of area is free space</t>
  </si>
  <si>
    <t>Number x Average Height x 0.8 x 0.5 x 2</t>
  </si>
  <si>
    <t>element width = 0.8m</t>
  </si>
  <si>
    <t>Number x Length x 0.8</t>
  </si>
  <si>
    <t>Number x Length x Average Width x 0.25</t>
  </si>
  <si>
    <t>4 columns; column width = 0.3m</t>
  </si>
  <si>
    <t>Number x Average Height x 0.3 x 4</t>
  </si>
  <si>
    <t>slope of 1 vertical and 2 horizontal --&gt; sloping length is 5½; vertical height is Average Height x 1/3</t>
  </si>
  <si>
    <t>Number x Length x Average Height x 1/3 x 5½</t>
  </si>
  <si>
    <t>slope of 1 vertical and 2 horizontal --&gt; sloping length is 5½; vertical height is 2.0m</t>
  </si>
  <si>
    <t>Number x Length x 5½ x 2</t>
  </si>
  <si>
    <t>element size = 1/2 x size of embankment at foot of wall</t>
  </si>
  <si>
    <t>Number x Length x Average Height x 1/3 x 5½ x 1/2</t>
  </si>
  <si>
    <t>Number x Length x 2</t>
  </si>
  <si>
    <t>element height  = 1.5m</t>
  </si>
  <si>
    <t>Number x Average Height</t>
  </si>
  <si>
    <t>element width = 0.7m</t>
  </si>
  <si>
    <t>Number x Length x 0.7</t>
  </si>
  <si>
    <t>Number x (Number of Spans + 1) x 2</t>
  </si>
  <si>
    <t>element length = 20% of span length; element height = 1.5m; approach rails/barriers/walls on both sides of the bridge</t>
  </si>
  <si>
    <t>Number x Length x 0.2 x 1.5 x 2</t>
  </si>
  <si>
    <t>element length = 20% of span length; triangular area with sides of element length and Average Critical Headroom; embankments on both sides of the bridge</t>
  </si>
  <si>
    <t>Number x Length x Average Critical Headroom x 0.2 x 1/2 x 2</t>
  </si>
  <si>
    <t>element length = 3m</t>
  </si>
  <si>
    <t>Number x Average Critical Headroom x 3 x 4</t>
  </si>
  <si>
    <t>element length = 5m</t>
  </si>
  <si>
    <t>Number x Average Critical Headroom x 5 x 4</t>
  </si>
  <si>
    <t>slope of 2 vertical and 1 horizontal --&gt; sloping length is 5½/2; revetment/batter paving on both sides of the bridge</t>
  </si>
  <si>
    <t>Number x Average Width x Average Critical Headroom x 5½/2 x 2</t>
  </si>
  <si>
    <t>element height = 2.0m</t>
  </si>
  <si>
    <t>Number x Average Width x 2 x 2</t>
  </si>
  <si>
    <t>element height = 3.0m</t>
  </si>
  <si>
    <t>Number x Average Width x 3 x 2</t>
  </si>
  <si>
    <t>slope of 1 vertical and 2 horizontal --&gt; sloping length is 5½; vertical height is Average Critical Headroom x 2/3; aprons on both sides of the bridge</t>
  </si>
  <si>
    <t>Number x Average Width x Average Critical Headroom x 2/3 x 5½ x 2</t>
  </si>
  <si>
    <t>element length = 10% of span length; invert/river bed on both sides of the bridge</t>
  </si>
  <si>
    <t>Number x Length x Average Width x 0.1 x 2</t>
  </si>
  <si>
    <t>element height  = 1.5m; parapets/safety fences on both sides of the bridge</t>
  </si>
  <si>
    <t>Number x Length x 1.5 x 2</t>
  </si>
  <si>
    <t>element height  = 0.8m; access/walkways/gantries on both sides of the bridge</t>
  </si>
  <si>
    <t>Number x Length x 0.8 x 2</t>
  </si>
  <si>
    <t>Number x Average Critical Headroom x Average Width x (Number of Spans + 1)</t>
  </si>
  <si>
    <t>Number x Average Width x (Number of Spans + 1)</t>
  </si>
  <si>
    <t>Number x Average Critical Headroom x 2</t>
  </si>
  <si>
    <t>Number x Average Width x 0.7 x (Number of Spans + 1)</t>
  </si>
  <si>
    <t>element depth = 0.7m</t>
  </si>
  <si>
    <t>Number x Average Width x 0.7 x (Number of Spans - 1)</t>
  </si>
  <si>
    <t>average depth of maintenance ≤ 0.1m</t>
  </si>
  <si>
    <t>Number x Average Critical Headroom x Average Width x (Number of Spans - 1)</t>
  </si>
  <si>
    <t>Number x Average Critical Headroom x Length x 2/3</t>
  </si>
  <si>
    <t>Number x Average Critical Headroom x Average Width x 2</t>
  </si>
  <si>
    <t>Number x Length x 0.7 x 2</t>
  </si>
  <si>
    <t>element width = 1.0m</t>
  </si>
  <si>
    <t>Number x Average Width x 1 x 2</t>
  </si>
  <si>
    <t>Multiplier</t>
  </si>
  <si>
    <t>Assumptions for Element Size</t>
  </si>
  <si>
    <t>Units</t>
  </si>
  <si>
    <t>Element Size
[dimensions are those of the structure]</t>
  </si>
  <si>
    <t>Element Size Factors</t>
  </si>
  <si>
    <t>Table C.8.A:  Size Formulae for Bridge Elements, Table C.8.B:  Size Formulae for Retaining Wall Elements, Table C.8.C:  Size Formulae for Sign/Signal Gantry Elements, and Table C.8.D: Size Formulae for Groups/Structures</t>
  </si>
  <si>
    <t>Traffic Management Unit Cost (£/hour)</t>
  </si>
  <si>
    <t>Waterway Possession</t>
  </si>
  <si>
    <t>Shuttle Working / Lane Closure</t>
  </si>
  <si>
    <t>Retaining Wall TM</t>
  </si>
  <si>
    <t>Railway Possession</t>
  </si>
  <si>
    <t>Hardshoulder Closure</t>
  </si>
  <si>
    <t>Contraflow</t>
  </si>
  <si>
    <t>Traffic Management Required on…
[Route Supported by / Adjacent to (the Top of) / Crossed by the Structure = Route;
Obstacle Crossed by / Adjacent to (the Foot of) / the Structure = Obstacle;
Route Supported by / Adjacent to (the Top of) / Crossed by the Structure AND Obstacle Crossed by / Adjacent to (the Foot of) / the Structure = RouteAndObstacle]</t>
  </si>
  <si>
    <t>Table C.9.C:  Traffic Management Costs, Table C.9.E:  Bridge - Works Location and TM Arrangements, Table C.9.F:  Retaining Wall - Works Location and TM Arrangements, Table C.9.G:  Sign/Signal Gantry - Works Location and TM Arrangements, and Table C.9.H:  Groups/Structures - Works Location and TM Arrangements</t>
  </si>
  <si>
    <t>fD</t>
  </si>
  <si>
    <t>Total Works Cost + Traffic Management Cost + Preliminaries Cost + Other Cost Greater Than or Equal To…</t>
  </si>
  <si>
    <t>Table C.9.D:  Design Costs</t>
  </si>
  <si>
    <t>fO</t>
  </si>
  <si>
    <t>Total Works Cost Greater Than or Equal To…</t>
  </si>
  <si>
    <t>Table C.9.B:  Other Costs</t>
  </si>
  <si>
    <t>fP</t>
  </si>
  <si>
    <t>Table C.9.A:  Preliminaries</t>
  </si>
  <si>
    <r>
      <t>DC</t>
    </r>
    <r>
      <rPr>
        <sz val="10"/>
        <rFont val="Arial"/>
        <family val="2"/>
      </rPr>
      <t xml:space="preserve"> = Design Cost</t>
    </r>
  </si>
  <si>
    <r>
      <t>OC</t>
    </r>
    <r>
      <rPr>
        <sz val="10"/>
        <rFont val="Arial"/>
        <family val="2"/>
      </rPr>
      <t xml:space="preserve"> = Other Cost</t>
    </r>
  </si>
  <si>
    <r>
      <t>PC</t>
    </r>
    <r>
      <rPr>
        <sz val="10"/>
        <rFont val="Arial"/>
        <family val="2"/>
      </rPr>
      <t xml:space="preserve"> = Preliminaries Cost</t>
    </r>
  </si>
  <si>
    <r>
      <t>TMC</t>
    </r>
    <r>
      <rPr>
        <sz val="10"/>
        <rFont val="Arial"/>
        <family val="2"/>
      </rPr>
      <t xml:space="preserve"> = Traffic Management Cost</t>
    </r>
  </si>
  <si>
    <r>
      <rPr>
        <b/>
        <sz val="10"/>
        <rFont val="Symbol"/>
        <family val="1"/>
        <charset val="2"/>
      </rPr>
      <t>å</t>
    </r>
    <r>
      <rPr>
        <b/>
        <sz val="10"/>
        <rFont val="Arial"/>
        <family val="2"/>
      </rPr>
      <t>WC</t>
    </r>
    <r>
      <rPr>
        <sz val="10"/>
        <rFont val="Arial"/>
        <family val="2"/>
      </rPr>
      <t xml:space="preserve"> = Total Works Cost</t>
    </r>
  </si>
  <si>
    <r>
      <t>SC</t>
    </r>
    <r>
      <rPr>
        <sz val="10"/>
        <rFont val="Arial"/>
        <family val="2"/>
      </rPr>
      <t xml:space="preserve"> = Scheme Cost</t>
    </r>
  </si>
  <si>
    <t>Daily Traffic Delay Rates (£/Day)</t>
  </si>
  <si>
    <t>Category of Traffic Volume</t>
  </si>
  <si>
    <t>AVF_Tunnel</t>
  </si>
  <si>
    <t>AVF_HighMast</t>
  </si>
  <si>
    <t>AVF_SignGantry</t>
  </si>
  <si>
    <t>AVF_SmallCulvert</t>
  </si>
  <si>
    <t>AVF_RetainingWall</t>
  </si>
  <si>
    <t>AVF_Bridge</t>
  </si>
  <si>
    <t>Overseeing (Trunk Road) Authority</t>
  </si>
  <si>
    <t>AVF</t>
  </si>
  <si>
    <t>AVF Type</t>
  </si>
  <si>
    <t>Tunnel (bored)</t>
  </si>
  <si>
    <t>Subway:  Pipe</t>
  </si>
  <si>
    <t>Structural Earthworks - Reinforced/Strengthened Soil/Fill Structure (height ≤ 3m)</t>
  </si>
  <si>
    <t>Structural Earthworks - Reinforced/Strengthened Soil/Fill Structure (height &gt; 3m)</t>
  </si>
  <si>
    <t>Average Critical Headroom or Average Height of
Structure or Representative Structure for the Group</t>
  </si>
  <si>
    <t>Average Width of
Structure or Representative Structure for the Group</t>
  </si>
  <si>
    <t>Length of
Whole Structure or Whole Representative Structure for the Group</t>
  </si>
  <si>
    <t>Number of Structures in the Group</t>
  </si>
  <si>
    <t>Structure Type</t>
  </si>
  <si>
    <t>Table C.11.E:  Factor based on Structure Type</t>
  </si>
  <si>
    <t>Livestock bridge</t>
  </si>
  <si>
    <t>Aqueduct</t>
  </si>
  <si>
    <t>Local Road - C class</t>
  </si>
  <si>
    <t>Local Road - B class</t>
  </si>
  <si>
    <t>Local Road - A class</t>
  </si>
  <si>
    <t>Motorway</t>
  </si>
  <si>
    <t>Rf</t>
  </si>
  <si>
    <t>Route Supported</t>
  </si>
  <si>
    <t>Table C.11.D:  Factor based on Route Supported by or Adjacent to a Structure OR For Retaining Walls / Structural Earthworks, Route Adjacent to the Top of the Wall/Earthworks OR For Spanning Sign/Signal Gantries, Route Crossed</t>
  </si>
  <si>
    <t>Railway: Freight</t>
  </si>
  <si>
    <t>OBSf</t>
  </si>
  <si>
    <t>Obstacle Crossed OR For Retaining Walls / Structural Earthworks, Route Adjacent to the Foot of the Wall/Earthworks</t>
  </si>
  <si>
    <t>Table C.11.C:  Factor based on Obstacle Crossed OR For Retaining Walls / Structural Earthworks, Route Adjacent to the Foot of the Wall/Earthworks</t>
  </si>
  <si>
    <t>Exposure Factor for Traffic</t>
  </si>
  <si>
    <t>Tf</t>
  </si>
  <si>
    <t>Traffic</t>
  </si>
  <si>
    <t>Table C.11.B:  Factor based on Traffic</t>
  </si>
  <si>
    <t>Structure type</t>
  </si>
  <si>
    <t>f3</t>
  </si>
  <si>
    <t>Carrying, Crossing, Traffic</t>
  </si>
  <si>
    <t>f2</t>
  </si>
  <si>
    <t>Condition</t>
  </si>
  <si>
    <t>f1</t>
  </si>
  <si>
    <t>Priority = f1(ECI) + f2 (Rf + Tf + OBSf) + f3(STf)</t>
  </si>
  <si>
    <t>Table C.11.A:  Priority Weighting Coefficients</t>
  </si>
  <si>
    <t>ID of Elements Allowed for the Structure Type</t>
  </si>
  <si>
    <t>[Spare Adjustment Factor 6]</t>
  </si>
  <si>
    <t>[Spare Adjustment Factor 5]</t>
  </si>
  <si>
    <t>[Spare Adjustment Factor 4]</t>
  </si>
  <si>
    <t>[Spare Adjustment Factor 3]</t>
  </si>
  <si>
    <t>[Spare Adjustment Factor 2]</t>
  </si>
  <si>
    <t>[Spare Adjustment Factor 1]</t>
  </si>
  <si>
    <t>Based on engineering judgement</t>
  </si>
  <si>
    <t>Substandard Structure</t>
  </si>
  <si>
    <t>River, Coastal etc. Walls</t>
  </si>
  <si>
    <t>Environmentally Sensitive</t>
  </si>
  <si>
    <t>Conservation Area</t>
  </si>
  <si>
    <t>Heritage</t>
  </si>
  <si>
    <t>Obstacle (Tenanted/Business)</t>
  </si>
  <si>
    <t>Based on scheme data and engineering judgement</t>
  </si>
  <si>
    <t>Obstacle (Railway)</t>
  </si>
  <si>
    <t>Obstacle (Land/Disused)</t>
  </si>
  <si>
    <t>Obstacle (Watercourse - Non-Navigable)</t>
  </si>
  <si>
    <t>Obstacle (Footway/Cycleway)</t>
  </si>
  <si>
    <t>Route Supported - Unclassified</t>
  </si>
  <si>
    <t>Location - Rural</t>
  </si>
  <si>
    <t>Tunnel (&gt; 400m)</t>
  </si>
  <si>
    <t>Factor</t>
  </si>
  <si>
    <t>Factor Affecting Unit Cost</t>
  </si>
  <si>
    <t>Table C.12.B:  Adjustment Factors</t>
  </si>
  <si>
    <t>Same as pipe subway</t>
  </si>
  <si>
    <t>Relevant Dimension for Gross Replacement Cost?
[Yes = 1; No = (Blank)]</t>
  </si>
  <si>
    <t>Unit Cost
(£ / Dimension)</t>
  </si>
  <si>
    <t>Table C.12.A:  Replacement Unit Rates</t>
  </si>
  <si>
    <t>Finite or Indefinite Life?</t>
  </si>
  <si>
    <t>SCICrit x Quantity of Key Dimension for SSCI x AVF</t>
  </si>
  <si>
    <t>SCIAv x Quantity of Key Dimension for SSCI x AVF</t>
  </si>
  <si>
    <t>SCICrit</t>
  </si>
  <si>
    <t>SCIAv</t>
  </si>
  <si>
    <t>ECI, where Element Importance = "Very High"</t>
  </si>
  <si>
    <t>ECI*EIF</t>
  </si>
  <si>
    <t>End Precise ECS</t>
  </si>
  <si>
    <t>Start ECS</t>
  </si>
  <si>
    <t>Is the Obstacle Crossed / Adjacent to the Foot salted?</t>
  </si>
  <si>
    <t>Is the Obstacle Crossed / Adjacent to the Foot a Watercourse?</t>
  </si>
  <si>
    <t>Traffic of the Route Supported / Adjacent (to the Top) / Crossed</t>
  </si>
  <si>
    <t>Is the Route Supported / Adjacent (to the Top) / Crossed salted?</t>
  </si>
  <si>
    <t>Location</t>
  </si>
  <si>
    <t>Traffic Delay Cost (£)</t>
  </si>
  <si>
    <t>Total Scheme Cost (£)</t>
  </si>
  <si>
    <t>Sum of Design Costs (£)</t>
  </si>
  <si>
    <t>Traffic Management Costs (£)</t>
  </si>
  <si>
    <t>ObstacleRailway Possession</t>
  </si>
  <si>
    <t>ObstacleWaterway Possession</t>
  </si>
  <si>
    <t>ObstacleHardshoulder Closure</t>
  </si>
  <si>
    <t>ObstacleShuttle Working / Lane Closure</t>
  </si>
  <si>
    <t>ObstacleContraflow</t>
  </si>
  <si>
    <t>RouteAndObstacleRetaining Wall TM</t>
  </si>
  <si>
    <t>RouteHardshoulder Closure</t>
  </si>
  <si>
    <t>RouteShuttle Working / Lane Closure</t>
  </si>
  <si>
    <t>RouteContraflow</t>
  </si>
  <si>
    <t>Sum of Other Costs (£)</t>
  </si>
  <si>
    <t>Sum of Preliminaries Costs (£)</t>
  </si>
  <si>
    <t>Sum of Priority Scores for Elements Where Intervention is Desirable</t>
  </si>
  <si>
    <t>Duration of Traffic Management Arrangement (hours)</t>
  </si>
  <si>
    <t>Priority Score for Desirable Interventions</t>
  </si>
  <si>
    <t>Deteriorated Precise ECS</t>
  </si>
  <si>
    <t>Calculated Deterioration Rate</t>
  </si>
  <si>
    <t>TM Costs (£)</t>
  </si>
  <si>
    <t>TM CODE</t>
  </si>
  <si>
    <t>Element Works Cost (£)</t>
  </si>
  <si>
    <t>Works Cost Type</t>
  </si>
  <si>
    <t>Time to Failure (years)</t>
  </si>
  <si>
    <t>Full stock</t>
  </si>
  <si>
    <t>AVF_Other</t>
  </si>
  <si>
    <t>Tunnels and Vehicular U/P</t>
  </si>
  <si>
    <t>Depreciation</t>
  </si>
  <si>
    <t>DRC</t>
  </si>
  <si>
    <t>GRC</t>
  </si>
  <si>
    <t>Very Poor</t>
  </si>
  <si>
    <t>Poor</t>
  </si>
  <si>
    <t>Fair</t>
  </si>
  <si>
    <t>Good</t>
  </si>
  <si>
    <t>Very Good</t>
  </si>
  <si>
    <t>Condition Band</t>
  </si>
  <si>
    <t>Stock Condition</t>
  </si>
  <si>
    <t>Stock Condition Report</t>
  </si>
  <si>
    <t>DRC as % of GRC</t>
  </si>
  <si>
    <t>Grand Total</t>
  </si>
  <si>
    <t>Route Type Supported</t>
  </si>
  <si>
    <t>Obstacle Crossed</t>
  </si>
  <si>
    <t>Max ECI</t>
  </si>
  <si>
    <t>Accumulated depreciation</t>
  </si>
  <si>
    <t>ID of
Structure</t>
  </si>
  <si>
    <t>Element depreciation</t>
  </si>
  <si>
    <t>TERC factor</t>
  </si>
  <si>
    <t>TM Cost</t>
  </si>
  <si>
    <t>Quantity of Works</t>
  </si>
  <si>
    <t>Element Works Cost ID</t>
  </si>
  <si>
    <t>Full Stock</t>
  </si>
  <si>
    <t>Total Stock</t>
  </si>
  <si>
    <t>Indefinite Life Elements</t>
  </si>
  <si>
    <t>Cost of Condition-Triggered Maintenance</t>
  </si>
  <si>
    <t>Very good</t>
  </si>
  <si>
    <t>Finite Life Elements</t>
  </si>
  <si>
    <t>Count of safety and performance risk</t>
  </si>
  <si>
    <t>Very poor</t>
  </si>
  <si>
    <t>Budget remaining at end of year</t>
  </si>
  <si>
    <t>Budget remaining from last year</t>
  </si>
  <si>
    <t>Random Number</t>
  </si>
  <si>
    <t>Average</t>
  </si>
  <si>
    <t>f2 (Rf + Tf + OBSf) + f3 (STf)</t>
  </si>
  <si>
    <t>Table C.6.A:  Intervention Triggers and Effects for Materials and Components, and Table C.6.B:  Intervention Levels and Effects for Groups/Structures</t>
  </si>
  <si>
    <t>Rw18.  Signs</t>
  </si>
  <si>
    <t>Sg01.  Foundations</t>
  </si>
  <si>
    <t>CHECK:  Valid Condition?</t>
  </si>
  <si>
    <t>CHECK: Valid proximity?</t>
  </si>
  <si>
    <t>Structures</t>
  </si>
  <si>
    <t>Priority Factors</t>
  </si>
  <si>
    <t>NAME:</t>
  </si>
  <si>
    <t>VERSION:</t>
  </si>
  <si>
    <t>OWNER:</t>
  </si>
  <si>
    <t>PREPARED BY:</t>
  </si>
  <si>
    <t>DATE OF ISSUE:</t>
  </si>
  <si>
    <t>VERSION HISTORY:</t>
  </si>
  <si>
    <t>Version</t>
  </si>
  <si>
    <t>Purpose Description</t>
  </si>
  <si>
    <t>Date</t>
  </si>
  <si>
    <t>Total</t>
  </si>
  <si>
    <t>Stock</t>
  </si>
  <si>
    <t>SSCI Critical</t>
  </si>
  <si>
    <t>SSCI Average</t>
  </si>
  <si>
    <t>Asset Type</t>
  </si>
  <si>
    <t>Retaining Wall (height ≤ 3m)</t>
  </si>
  <si>
    <t>Structure Stock Condition Indices (SSCI)</t>
  </si>
  <si>
    <t xml:space="preserve">Good </t>
  </si>
  <si>
    <t>No. of assets</t>
  </si>
  <si>
    <t>Index</t>
  </si>
  <si>
    <t>Max. Row (Planned)</t>
  </si>
  <si>
    <t>Available for definition by the user</t>
  </si>
  <si>
    <t>Deterioration</t>
  </si>
  <si>
    <t xml:space="preserve">Are there any specific priorities/strategies for asset management planning? </t>
  </si>
  <si>
    <t>What is the annual budget?</t>
  </si>
  <si>
    <t>Long-term Asset Management Planning</t>
  </si>
  <si>
    <t>Short-term Asset Management Planning</t>
  </si>
  <si>
    <t>Valuation</t>
  </si>
  <si>
    <t>Routine maintenance</t>
  </si>
  <si>
    <t>Planned maintenance</t>
  </si>
  <si>
    <t>Element condition</t>
  </si>
  <si>
    <t>Element inventory</t>
  </si>
  <si>
    <t>Structure inventory</t>
  </si>
  <si>
    <t>Data validation</t>
  </si>
  <si>
    <t>Stock Summary</t>
  </si>
  <si>
    <t>What is the type of Authority?</t>
  </si>
  <si>
    <t>What is the name of your organisation?</t>
  </si>
  <si>
    <t>Organisation Details</t>
  </si>
  <si>
    <t>Annual Inflation Indexation</t>
  </si>
  <si>
    <t>Structure First element ID (in Priority Order)</t>
  </si>
  <si>
    <t>Structure Last element ID (in Priority Order)</t>
  </si>
  <si>
    <t>Carriageway Surfacing</t>
  </si>
  <si>
    <t>Footway Surfacing</t>
  </si>
  <si>
    <t>[Spare Deterioration Rule 422]</t>
  </si>
  <si>
    <t>[Spare Deterioration Rule 423]</t>
  </si>
  <si>
    <t>[Spare Deterioration Rule 424]</t>
  </si>
  <si>
    <t>Multiplier - New builds</t>
  </si>
  <si>
    <t>Name of
Structure</t>
  </si>
  <si>
    <t>Identifier of Structure</t>
  </si>
  <si>
    <t>Reference of Structure</t>
  </si>
  <si>
    <t>Length (m) of Structure</t>
  </si>
  <si>
    <t>Average Width (m) of Structure</t>
  </si>
  <si>
    <t>Average Critical Headroom (m) of Structure OR Average Height (m) of Structure</t>
  </si>
  <si>
    <t>Number of Spans of Structure</t>
  </si>
  <si>
    <t>Route Type Supported by or Adjacent to the Structure</t>
  </si>
  <si>
    <t>Traffic of Route Supported by or Adjacent to the Structure</t>
  </si>
  <si>
    <t>Obstacle Crossed, if appropriate</t>
  </si>
  <si>
    <t>Condition at last inspection</t>
  </si>
  <si>
    <t>Original Condition (Y0)</t>
  </si>
  <si>
    <t>Individual Structure State (ISS)
1 = State of Good Repair, 
0 = Not in state of good repair</t>
  </si>
  <si>
    <t xml:space="preserve">Quantity of Key Dimension for SSCI x AVF for structures in State of Good Repair </t>
  </si>
  <si>
    <t>SSS</t>
  </si>
  <si>
    <t>Structures Asset Valuation and Investment (SAVI) Tool</t>
  </si>
  <si>
    <t>Percentage</t>
  </si>
  <si>
    <t>Recalc_Budget</t>
  </si>
  <si>
    <t>Years</t>
  </si>
  <si>
    <t>User input</t>
  </si>
  <si>
    <t>2018/19</t>
  </si>
  <si>
    <t>2017/18</t>
  </si>
  <si>
    <t>2016/17</t>
  </si>
  <si>
    <t>2015/16</t>
  </si>
  <si>
    <t>2014/15</t>
  </si>
  <si>
    <t>2013/14</t>
  </si>
  <si>
    <t>2012/13</t>
  </si>
  <si>
    <t>2011/12</t>
  </si>
  <si>
    <t>Multiplier for Maintenance  Rates</t>
  </si>
  <si>
    <t>Multiplier for GRC Rates</t>
  </si>
  <si>
    <t>Prices Year</t>
  </si>
  <si>
    <t>Please select price base year</t>
  </si>
  <si>
    <t>Multiplier - Maintenance</t>
  </si>
  <si>
    <t>Table C.5.A:  Maintenance Options, and Table C.7.A:  Base Unit Rates</t>
  </si>
  <si>
    <t>Y5</t>
  </si>
  <si>
    <t>Yn</t>
  </si>
  <si>
    <t>Element type</t>
  </si>
  <si>
    <t>Values</t>
  </si>
  <si>
    <t>The short-term asset management plan considers a 5 year budget.</t>
  </si>
  <si>
    <t>To</t>
  </si>
  <si>
    <t>From</t>
  </si>
  <si>
    <t>Annual Budget</t>
  </si>
  <si>
    <r>
      <t xml:space="preserve">What is your </t>
    </r>
    <r>
      <rPr>
        <i/>
        <sz val="10"/>
        <rFont val="Arial"/>
        <family val="2"/>
      </rPr>
      <t>annual</t>
    </r>
    <r>
      <rPr>
        <sz val="10"/>
        <rFont val="Arial"/>
        <family val="2"/>
      </rPr>
      <t xml:space="preserve"> budget?</t>
    </r>
  </si>
  <si>
    <t>Consider extra priority for:</t>
  </si>
  <si>
    <t>High Importance Elmt</t>
  </si>
  <si>
    <t>Med or Low Imp Elmt</t>
  </si>
  <si>
    <t>No. of Structures:</t>
  </si>
  <si>
    <t>Years of Analysis:</t>
  </si>
  <si>
    <t>Organisation:</t>
  </si>
  <si>
    <t>Long-Term Asset Management Plan Dashboard</t>
  </si>
  <si>
    <t>Short-Term Asset Management Plan Dashboard</t>
  </si>
  <si>
    <t>Yes</t>
  </si>
  <si>
    <t>No</t>
  </si>
  <si>
    <t>Total budget:</t>
  </si>
  <si>
    <t>Authority type:</t>
  </si>
  <si>
    <t>Date of run:</t>
  </si>
  <si>
    <t>Spend</t>
  </si>
  <si>
    <t xml:space="preserve">To view the prioritised maintenance list, per element, click here: </t>
  </si>
  <si>
    <t xml:space="preserve">To view the prioritised maintenance list, per structure (i.e. the proposed list of individual projects), click here: </t>
  </si>
  <si>
    <t>Indexation used for valuation:</t>
  </si>
  <si>
    <t>Valuation Date (of the last run)</t>
  </si>
  <si>
    <t>Input Date (of valid inputs)</t>
  </si>
  <si>
    <t>Stock condition:</t>
  </si>
  <si>
    <t>Valuation Date:</t>
  </si>
  <si>
    <t>Interactive Stock Summary</t>
  </si>
  <si>
    <t>Average condition across the stock</t>
  </si>
  <si>
    <t>Valuation results per structure group</t>
  </si>
  <si>
    <t>Valuation results per structure type</t>
  </si>
  <si>
    <t>Average condition per structure type</t>
  </si>
  <si>
    <t>TOTAL CHECKS</t>
  </si>
  <si>
    <t>CHECK: structure type</t>
  </si>
  <si>
    <t>CHECK: quantity</t>
  </si>
  <si>
    <t>CHECK: length</t>
  </si>
  <si>
    <t>CHECK: width</t>
  </si>
  <si>
    <t>CHECK: headroom</t>
  </si>
  <si>
    <t>CHECK: spans</t>
  </si>
  <si>
    <t>CHECK: route supported</t>
  </si>
  <si>
    <t>CHECK: obstacle crossed</t>
  </si>
  <si>
    <t>CHECK: traffic</t>
  </si>
  <si>
    <t>CHECK: additional factors</t>
  </si>
  <si>
    <t>CHECK: for elements</t>
  </si>
  <si>
    <t>CHECK: Year of work</t>
  </si>
  <si>
    <t>CHECK: Maintenance Action</t>
  </si>
  <si>
    <t>CHECK: Condition After Work</t>
  </si>
  <si>
    <t>CHECK: Valid Expenditure</t>
  </si>
  <si>
    <t>Sum of Expenditure</t>
  </si>
  <si>
    <t>Sum of Priority Scores for ALL Elements With Intervention Identified</t>
  </si>
  <si>
    <t>Number x Length x Average Width x 0.3</t>
  </si>
  <si>
    <t>average depth of maintenance =2m</t>
  </si>
  <si>
    <t>Number x Length x Average Width x 0.7</t>
  </si>
  <si>
    <t>assume 1.5m wide footpath on each side of the bridge</t>
  </si>
  <si>
    <t>Number x Length x 1</t>
  </si>
  <si>
    <t>assume 1m wide foundation</t>
  </si>
  <si>
    <t>Number of Structures</t>
  </si>
  <si>
    <t>Material / Component Type</t>
  </si>
  <si>
    <t>Structure Name</t>
  </si>
  <si>
    <t>ID of Structure</t>
  </si>
  <si>
    <t>Current Equivalent Age (as %)</t>
  </si>
  <si>
    <t>Time from new to repair condition (years)</t>
  </si>
  <si>
    <t>Time from new to repair condition (as %)</t>
  </si>
  <si>
    <t>Current Equivalent Age (years)</t>
  </si>
  <si>
    <t>Factored Total Cost (reduced to GRC levels)</t>
  </si>
  <si>
    <t>Factor (GRC / TERC</t>
  </si>
  <si>
    <t>Element Replacement Cost (Total cost incl 2B factor)</t>
  </si>
  <si>
    <t>Total Element Replacement Cost (TERC)</t>
  </si>
  <si>
    <t>2B Factor</t>
  </si>
  <si>
    <t>CHECK: for structure</t>
  </si>
  <si>
    <t>AVF Factor</t>
  </si>
  <si>
    <t>Dimension Multiplier</t>
  </si>
  <si>
    <t>Carriageway surfacing: replacement</t>
  </si>
  <si>
    <t>Footway surfacing: replacement</t>
  </si>
  <si>
    <t>Maintenance activity</t>
  </si>
  <si>
    <t>Total Cost</t>
  </si>
  <si>
    <t xml:space="preserve"> TM cost</t>
  </si>
  <si>
    <t xml:space="preserve"> Add-on cost</t>
  </si>
  <si>
    <t xml:space="preserve"> Total Cost</t>
  </si>
  <si>
    <t>Year Structure is repaired</t>
  </si>
  <si>
    <t>No. Elements</t>
  </si>
  <si>
    <t>No. Structures</t>
  </si>
  <si>
    <t>Start Budget (defined by the user)</t>
  </si>
  <si>
    <t>Start Budget (defined by the user + remainder from last year)</t>
  </si>
  <si>
    <t>State of Good Repair</t>
  </si>
  <si>
    <t>Threshold</t>
  </si>
  <si>
    <t>Key Performance Indicators</t>
  </si>
  <si>
    <t>Stock Gross Replacement Cost:</t>
  </si>
  <si>
    <t>Stock Depreciated Replacement Cost:</t>
  </si>
  <si>
    <t>Number of rows</t>
  </si>
  <si>
    <t>Number of Elements</t>
  </si>
  <si>
    <t>Number of structures</t>
  </si>
  <si>
    <t>STEP 1: Calculate the cost to replace the element from current condition to replaced condition (either 1A or 2B depending on the element) (Column A to Y)</t>
  </si>
  <si>
    <t>Priority Factors (Present = 1; Not Present = 0)</t>
  </si>
  <si>
    <t>Element ID
(in this SAVI model)</t>
  </si>
  <si>
    <t>Element Size:  Multiplier</t>
  </si>
  <si>
    <t>Element Size: number of structures</t>
  </si>
  <si>
    <t>Element Size: length of structure</t>
  </si>
  <si>
    <t>Element Size: width of structure</t>
  </si>
  <si>
    <t>Element Size: headroom of structure</t>
  </si>
  <si>
    <t>Element Size: number of spans</t>
  </si>
  <si>
    <t>Element Size: offset number of spans</t>
  </si>
  <si>
    <t>Structure Size: number of structures</t>
  </si>
  <si>
    <t>Structure Size: length of structure</t>
  </si>
  <si>
    <t>Structure Size: width of structure</t>
  </si>
  <si>
    <t>Structure Size: headroom of structure</t>
  </si>
  <si>
    <t>Position of Element in 'Planned'</t>
  </si>
  <si>
    <t>Number of days</t>
  </si>
  <si>
    <t>Daily Traffic Delay Rate (£/Day)</t>
  </si>
  <si>
    <t>Length Group</t>
  </si>
  <si>
    <t>Element Condition Factor (ECF)</t>
  </si>
  <si>
    <t>Element Condition Index (ECI)</t>
  </si>
  <si>
    <t>Element Importance Factor (EIF)</t>
  </si>
  <si>
    <t>NOTE: THIS SECTION DOES NOT HAVE DRAG DOWN FORMULA</t>
  </si>
  <si>
    <t>Number of structures with traffic delay</t>
  </si>
  <si>
    <t>Exposure ID
(in this SAVI model)</t>
  </si>
  <si>
    <t>Priority Score for Structure (from highest priority to lowest)</t>
  </si>
  <si>
    <t>Structure Rank score</t>
  </si>
  <si>
    <t>Rank for Structure (based on priority score)</t>
  </si>
  <si>
    <t>Rank for Structure (from highest priority to lowest)</t>
  </si>
  <si>
    <t>Annual Budget (within the 5 years' run)</t>
  </si>
  <si>
    <t>Total Budget (for 5 years)</t>
  </si>
  <si>
    <t>Cost of Planned Maintenance</t>
  </si>
  <si>
    <t>Routine Maintenance (Revenue)</t>
  </si>
  <si>
    <t>STEP 2 (continued)</t>
  </si>
  <si>
    <t>STEP 3 (continued)</t>
  </si>
  <si>
    <t>STRUCTURES</t>
  </si>
  <si>
    <t>ELEMENTS</t>
  </si>
  <si>
    <t>PLANNED</t>
  </si>
  <si>
    <t>(Used for element prioritisation ONLY)</t>
  </si>
  <si>
    <t>ID of Structure or Group of Structures (in this SAVI model)</t>
  </si>
  <si>
    <t>Structure ID (in this SAVI model)</t>
  </si>
  <si>
    <t>Year of Work</t>
  </si>
  <si>
    <t>Position of Traffic Volume in 'Ref10'</t>
  </si>
  <si>
    <t>Position of Length Group in 'Ref10'</t>
  </si>
  <si>
    <t>Length (m)</t>
  </si>
  <si>
    <t>Position on Element Importance Type table in 'Ref00'</t>
  </si>
  <si>
    <t>Maintenance Action ID ("-10" = no applicable maintenance action)</t>
  </si>
  <si>
    <t>Element Works Cost ID ("-10"= no applicable maintenance action)</t>
  </si>
  <si>
    <t>Position of Condition in the List of Conditions in 'Ref00'</t>
  </si>
  <si>
    <t>STEP 1a: This section is used to calculate exposure ID, needed as part of STEP 1 (Column AA to AT)</t>
  </si>
  <si>
    <t>Marine/Estuarial = 1; Rural = 2; Urban = 3</t>
  </si>
  <si>
    <t>Yes = 1; No = 0</t>
  </si>
  <si>
    <t>Low = 1; Moderate = 2; High = 3</t>
  </si>
  <si>
    <t>STEP 2: Determine the structure replacement cost, and factor this against GRC (column AV to BB)</t>
  </si>
  <si>
    <r>
      <t xml:space="preserve">Condition or Presence of …?
</t>
    </r>
    <r>
      <rPr>
        <sz val="10"/>
        <rFont val="Calibri"/>
        <family val="2"/>
        <scheme val="minor"/>
      </rPr>
      <t>(Functioning = 2; Not Functioning = 1; Not Present = 0)</t>
    </r>
  </si>
  <si>
    <t>Number of...</t>
  </si>
  <si>
    <t>Total Number of Years in Analysis</t>
  </si>
  <si>
    <t>Base Priority Score</t>
  </si>
  <si>
    <t>Extra Priority Score</t>
  </si>
  <si>
    <t>Element Priority Score</t>
  </si>
  <si>
    <t>Elements Total Cost to Scheme</t>
  </si>
  <si>
    <t>Element Priority Rank</t>
  </si>
  <si>
    <t>Cumulative Costs So Far</t>
  </si>
  <si>
    <t>Consider For Scheme (1 = Yes, 0 = No)</t>
  </si>
  <si>
    <t>STEP 1a: This section calculates the exposure IDs, needed as part of STEP 1 (Column AG to BB)</t>
  </si>
  <si>
    <t>Original Element Condition Score (ECS) (Y0)</t>
  </si>
  <si>
    <t>Start ECS (Y0)</t>
  </si>
  <si>
    <t>Sum of Element Works Costs (£)</t>
  </si>
  <si>
    <t>Next Condition Score - Current Condition Score</t>
  </si>
  <si>
    <t>Resultant ECS with no maintenance</t>
  </si>
  <si>
    <t>Factor to determine whether a structure is maintained or replaced</t>
  </si>
  <si>
    <t>What future action is appropriate for the structure?</t>
  </si>
  <si>
    <t>Scheme Cost (£)</t>
  </si>
  <si>
    <t>Multiplier applied to Gross Replacement Cost</t>
  </si>
  <si>
    <t>Total Workbank (£) for ALL works</t>
  </si>
  <si>
    <t>Is there sufficient budget for works?
(Replace = 2, Maintain = 1; No action = 0)</t>
  </si>
  <si>
    <t>Work Cost (£) for PRIORITISED works</t>
  </si>
  <si>
    <t>Residual Workbank (£) - difference between repairing ALL and prioritised</t>
  </si>
  <si>
    <t>Planned Year in which Structure will be replaced or maintained</t>
  </si>
  <si>
    <t>Element's Condition-Triggered MAINTENANCE Work Cost (£)</t>
  </si>
  <si>
    <t>elrowcount</t>
  </si>
  <si>
    <t>strowcount</t>
  </si>
  <si>
    <t>Element's Condition-Triggered REPLACEMENT Work Cost (£)</t>
  </si>
  <si>
    <t>Element ID (in this SAVI model)</t>
  </si>
  <si>
    <t>Total Cost of Planned Works</t>
  </si>
  <si>
    <t>Condition after ALL Work on the Element is Completed in the Year</t>
  </si>
  <si>
    <t>Planned Maintenance (Capital)</t>
  </si>
  <si>
    <t>Element's PLANNED Work Cost (£)</t>
  </si>
  <si>
    <t>Is the Planned Work in the first 5 years?</t>
  </si>
  <si>
    <t>Works CODE y5</t>
  </si>
  <si>
    <t>Works CODE yn</t>
  </si>
  <si>
    <t>Element status
(Planned Work = 3; Replace = 2;  Maintain = 1; No action = 0)</t>
  </si>
  <si>
    <t>Does the element have works planned in the first 5 years?</t>
  </si>
  <si>
    <t>Element's Cost (£)</t>
  </si>
  <si>
    <t>ECS after ALL works completed</t>
  </si>
  <si>
    <t>Will the structure be replaced (based on condition triggered maintenance)?</t>
  </si>
  <si>
    <t>STEP 1: This section carries out the initial calculations, at element level, deciding what needs to be maintained. Elements are then prioritised (Column A to AE)</t>
  </si>
  <si>
    <t>STEP 2: This section calculates the cost of prioritised works at a structure level, based on ALL elements that require maintenance being maintained (column BD to CB)</t>
  </si>
  <si>
    <t>Max ECI, where Element Importance = "Very High"</t>
  </si>
  <si>
    <t>What is happening to the element?</t>
  </si>
  <si>
    <t>Preliminary Costs</t>
  </si>
  <si>
    <t>Other Costs</t>
  </si>
  <si>
    <t>Design Costs</t>
  </si>
  <si>
    <t>Traffic Management Costs</t>
  </si>
  <si>
    <t>Budget remaining at end of 5 year period</t>
  </si>
  <si>
    <t>STEP 4: Summarises at element level the resultant condition score following intervention (Column DL to EJ)</t>
  </si>
  <si>
    <t>(In current year of analysis)</t>
  </si>
  <si>
    <t>Does the element have works planned in this n year of analysis?</t>
  </si>
  <si>
    <t>Year of Analysis</t>
  </si>
  <si>
    <t>(Current run)</t>
  </si>
  <si>
    <t>Number of Structures in the condition band</t>
  </si>
  <si>
    <t>STEP 4: This section summarises at element level the cost of works and resultant condition score following intervention (Column DL to ER)</t>
  </si>
  <si>
    <r>
      <t xml:space="preserve">STEP 5: Determine traffic delay cost for each </t>
    </r>
    <r>
      <rPr>
        <b/>
        <sz val="10"/>
        <color theme="0"/>
        <rFont val="Calibri"/>
        <family val="2"/>
        <scheme val="minor"/>
      </rPr>
      <t>structure</t>
    </r>
    <r>
      <rPr>
        <sz val="10"/>
        <color theme="0"/>
        <rFont val="Calibri"/>
        <family val="2"/>
        <scheme val="minor"/>
      </rPr>
      <t xml:space="preserve"> (column ET to FE)</t>
    </r>
  </si>
  <si>
    <t>STEP 6: This section calculates the structure condition metrics, at the end of the years analysis (column FG to FO)</t>
  </si>
  <si>
    <t>STEP 7: This section collates results relating to cost and condition in one place (column FQ to FX)</t>
  </si>
  <si>
    <t>Considering a 5 year period</t>
  </si>
  <si>
    <t>Element Works Cost</t>
  </si>
  <si>
    <t>Add-on Cost</t>
  </si>
  <si>
    <t>Element Priority Score (condition triggered)</t>
  </si>
  <si>
    <t>Structure Priority Score (condition triggered)</t>
  </si>
  <si>
    <t>Remaining budget:</t>
  </si>
  <si>
    <t>Projected expenditure:</t>
  </si>
  <si>
    <t xml:space="preserve"> Add-on Cost</t>
  </si>
  <si>
    <t xml:space="preserve"> TM Cost</t>
  </si>
  <si>
    <t xml:space="preserve"> Element Works Cost</t>
  </si>
  <si>
    <t>Number of elements</t>
  </si>
  <si>
    <t>Name</t>
  </si>
  <si>
    <t>No. of Elements:</t>
  </si>
  <si>
    <t>(Tool) Mode</t>
  </si>
  <si>
    <t>Analyse</t>
  </si>
  <si>
    <t>TestMode</t>
  </si>
  <si>
    <t>plrowcount</t>
  </si>
  <si>
    <t>Export_LAMP</t>
  </si>
  <si>
    <t>Ribbon</t>
  </si>
  <si>
    <t>value_run_date</t>
  </si>
  <si>
    <t>samp_run_date</t>
  </si>
  <si>
    <t>lamp_run_date</t>
  </si>
  <si>
    <t>y0_run_date</t>
  </si>
  <si>
    <t>ECS_run_date</t>
  </si>
  <si>
    <t>DataValid</t>
  </si>
  <si>
    <t>Blue/White</t>
  </si>
  <si>
    <t>Orange/White</t>
  </si>
  <si>
    <t>EDIT</t>
  </si>
  <si>
    <t>DayDivider</t>
  </si>
  <si>
    <t>1Hr</t>
  </si>
  <si>
    <t>15min</t>
  </si>
  <si>
    <t>Value</t>
  </si>
  <si>
    <t>To analyse scenarios where deterioration rates are accelerated / decelerated, the mean time to failure may be adjusted by applying factors, either:</t>
  </si>
  <si>
    <t>1. apply a global factor to all component/material types</t>
  </si>
  <si>
    <t>2. apply factors selectively in column 'V' in Ref03&amp;04_ii</t>
  </si>
  <si>
    <t>Date data input:</t>
  </si>
  <si>
    <t>Length of Plan:</t>
  </si>
  <si>
    <t xml:space="preserve">Work Completed on </t>
  </si>
  <si>
    <t>Cost of the Short-term maintenance plan, by structure type</t>
  </si>
  <si>
    <t>Cost of the Short-term maintenance plan, by element type</t>
  </si>
  <si>
    <t>Interactive short-term maintenance plan, by structure type</t>
  </si>
  <si>
    <t>Interactive short-term maintenance plan, by element type</t>
  </si>
  <si>
    <t>Row Labels</t>
  </si>
  <si>
    <t xml:space="preserve">Expenditure </t>
  </si>
  <si>
    <t>Budget remaining at end of this year</t>
  </si>
  <si>
    <t>SPEND CHART 1</t>
  </si>
  <si>
    <t>SPEND CHART 2</t>
  </si>
  <si>
    <t>Condition Triggered - Finite Life Elements</t>
  </si>
  <si>
    <t>Condition Triggered - Indefinite Life Elements</t>
  </si>
  <si>
    <t>Planned Maintenance - Indefinite Life Elements</t>
  </si>
  <si>
    <t>Planned Maintenance - Finite Life Elements</t>
  </si>
  <si>
    <t>SPEND CHART 3</t>
  </si>
  <si>
    <t xml:space="preserve">Bridges </t>
  </si>
  <si>
    <t xml:space="preserve">Retaining Walls </t>
  </si>
  <si>
    <t xml:space="preserve">Culverts </t>
  </si>
  <si>
    <t xml:space="preserve">Sign/Signal Gantries </t>
  </si>
  <si>
    <t xml:space="preserve">High Mast Lighting </t>
  </si>
  <si>
    <t xml:space="preserve">Tunnels &amp; Veh. Underpasses </t>
  </si>
  <si>
    <t>Tunnels &amp; Veh. Underpasses</t>
  </si>
  <si>
    <t xml:space="preserve">Very poor </t>
  </si>
  <si>
    <t xml:space="preserve">Poor </t>
  </si>
  <si>
    <t xml:space="preserve">Fair </t>
  </si>
  <si>
    <t xml:space="preserve">Very Good </t>
  </si>
  <si>
    <t>KPI'S CHART 1</t>
  </si>
  <si>
    <t>KPI'S CHART 3</t>
  </si>
  <si>
    <t>Total Budget</t>
  </si>
  <si>
    <r>
      <t>SCI</t>
    </r>
    <r>
      <rPr>
        <b/>
        <vertAlign val="subscript"/>
        <sz val="10"/>
        <rFont val="Arial"/>
        <family val="2"/>
      </rPr>
      <t>Av</t>
    </r>
  </si>
  <si>
    <t>KPI'S CHART 2</t>
  </si>
  <si>
    <t xml:space="preserve">SCIAv            </t>
  </si>
  <si>
    <t xml:space="preserve">SCICrit              </t>
  </si>
  <si>
    <t>Is Route Type Supported by or Adjacent to the Structure salted? 
(1 = Yes; 0 = No)</t>
  </si>
  <si>
    <t>Is Obstacle Crossed salted? 
(1 = Yes; 0 = No)</t>
  </si>
  <si>
    <t>Number of Structures in the Group, if applicable</t>
  </si>
  <si>
    <t>Depreciation as % of GRC</t>
  </si>
  <si>
    <t>Exposure Affected by Condition of…?
(Yes = 1; No = 0)</t>
  </si>
  <si>
    <t>Exposure Affected by...?
(Yes = 1; No = 0)</t>
  </si>
  <si>
    <t>Exposure Criterion ID (in this SAVI model)</t>
  </si>
  <si>
    <t>Mean Time to Failure (with Routine Maintenance) (years)</t>
  </si>
  <si>
    <t>Fraction of Time to Failure to Reach Condition  --&gt;</t>
  </si>
  <si>
    <t>2010/11 BASELINE VALUES - DO NOT ALTER</t>
  </si>
  <si>
    <t>Is the Number of Structures in the Group included in the element size formula?
(Yes = 1; No = Blank)</t>
  </si>
  <si>
    <t>Is the Length of the Whole Structure or the Whole Representative Structure for the Group included in the element size formula?
(Yes = 1; No = Blank)</t>
  </si>
  <si>
    <t>Is the Average Width of the Structure or the Representative Structure for the Group included in the element size formula?
(Yes = 1; No = Blank)</t>
  </si>
  <si>
    <t>Is the Average Critical Headroom or Average Height of the Structure or the Representative Structure for the Group included in the element size formula?
(Yes = 1; No = Blank)</t>
  </si>
  <si>
    <t>Is the Number of Spans of the Structure or the Representative Structure for the Group included in the element size formula?
(Yes = 1; No = Blank)</t>
  </si>
  <si>
    <t>Offset to the Number of Spans of the Structure or the Representative Structure for the Group included in the element size formula
(e.g. if the formula contains "…(N - 2)…", then the offset would be -2)</t>
  </si>
  <si>
    <t>Permissible Traffic Management Arrangements
(must be in ascending alphabetical order;
Applicable = 1; Not Applicable = 0)</t>
  </si>
  <si>
    <t>Traffic Management Arrangement ID
(in this SAVI model)</t>
  </si>
  <si>
    <t>Structure Length (m) Greater Than or Equal to…
(must be in ascending order)</t>
  </si>
  <si>
    <t>ECS (at least one Element of "Very High" Importance) Greater Than or Equal to…
(must be in ascending order)</t>
  </si>
  <si>
    <t>Associated Traffic Management Arrangements
(Yes = 1; No = 0)</t>
  </si>
  <si>
    <t>Relevant Dimension for AVF?
(Yes = 1; No = Blank)</t>
  </si>
  <si>
    <t>STf
(enter a value between 1 and 10)</t>
  </si>
  <si>
    <t>Traffic Management Required?
(Yes = 1; No = Blank)</t>
  </si>
  <si>
    <t>Applicable to Structure Type = Element Type ID from column A; Not Applicable to Structure Type = (Blank)</t>
  </si>
  <si>
    <t>Inflation Index (Maintenance)</t>
  </si>
  <si>
    <t>Inflation Index (New Build)</t>
  </si>
  <si>
    <t>(Excel time value)</t>
  </si>
  <si>
    <t>(set run interval)</t>
  </si>
  <si>
    <t>Planned Maint. (Capital)</t>
  </si>
  <si>
    <t>Routine Maint. (Revenue)</t>
  </si>
  <si>
    <t>How many years to analyse? (max.120yrs)</t>
  </si>
  <si>
    <t>Does the element have works planned in this N-year?</t>
  </si>
  <si>
    <t>Transport for London</t>
  </si>
  <si>
    <t>SCIav</t>
  </si>
  <si>
    <t>SCIcrit</t>
  </si>
  <si>
    <t>Start Stock Condition</t>
  </si>
  <si>
    <t>Year 0</t>
  </si>
  <si>
    <t xml:space="preserve"> TM Cost      </t>
  </si>
  <si>
    <t>End Stock Condition</t>
  </si>
  <si>
    <t>Year 5</t>
  </si>
  <si>
    <t xml:space="preserve"> Elmnt Works Cost</t>
  </si>
  <si>
    <t>Works Cost</t>
  </si>
  <si>
    <t>2019/20</t>
  </si>
  <si>
    <t>2020/21</t>
  </si>
  <si>
    <t>2021/22</t>
  </si>
  <si>
    <t xml:space="preserve">Budget </t>
  </si>
  <si>
    <t>0-10m</t>
  </si>
  <si>
    <t>10-20m</t>
  </si>
  <si>
    <t>20m+</t>
  </si>
  <si>
    <t>Annual depreciation</t>
  </si>
  <si>
    <t>STEP 3: Factor down Element replacement cost (column BD to BH)</t>
  </si>
  <si>
    <t>Repair condition after intervention</t>
  </si>
  <si>
    <t>Time to Failure from new (years)</t>
  </si>
  <si>
    <t>STEP 4: Determine structure factored replacement cost and DRC (column BJ to BQ)</t>
  </si>
  <si>
    <t>STEP 5: This section collates results relating to condition in one place (Column BR to BY)</t>
  </si>
  <si>
    <t>Structural Earthworks (height &gt; 3m)</t>
  </si>
  <si>
    <t>Structural Earthworks (height ≤ 3m)</t>
  </si>
  <si>
    <t>Sign/Signal Gantry (cantilever)</t>
  </si>
  <si>
    <t>Sign/Signal Gantry (spanning)</t>
  </si>
  <si>
    <t>Note: This section is intended to be interactive, allowing users to compare various results. The table below is in active pivot table, and as such may expand/contract each analysis. As a consequence, the formatting of the dashboard may change.</t>
  </si>
  <si>
    <t>Workbank</t>
  </si>
  <si>
    <t>(those which require maintenance)</t>
  </si>
  <si>
    <t>Work Cost (£) for ALL works</t>
  </si>
  <si>
    <t>Workbank (cost of maintaining ALL elements)</t>
  </si>
  <si>
    <t xml:space="preserve">Workbank </t>
  </si>
  <si>
    <t>ViewRefTabs</t>
  </si>
  <si>
    <t>ViewAnalysisTabs</t>
  </si>
  <si>
    <t>ViewAllTabs</t>
  </si>
  <si>
    <t>Structure Size: Quantity of Key Dimension for SSCI</t>
  </si>
  <si>
    <t>Manually defined:</t>
  </si>
  <si>
    <t>Structure Stock State (SSS)</t>
  </si>
  <si>
    <t>SCIAv x Quantity of Key Dimension for SSCI</t>
  </si>
  <si>
    <t>SCICrit x Quantity of Key Dimension for SSCI</t>
  </si>
  <si>
    <t>STEP 7a: This section collates results together in one place, so they can be used to pivot tables on the Dashboard and Project / Element lists (column FJ to GA)</t>
  </si>
  <si>
    <t>STEP 7b: Collates results relating to y5 expenditure and condition (Column GC to GJ)</t>
  </si>
  <si>
    <t>ECS 4 or 5 for "Very High" and "High" importance</t>
  </si>
  <si>
    <t>Position of Structure Type in 'Ref10'</t>
  </si>
  <si>
    <t>Bridges, Culverts and Tunnels</t>
  </si>
  <si>
    <t>Sign Gantries, High Masts and Other</t>
  </si>
  <si>
    <t>ECS (at least one Element of "Very High" Importance) Greater Than or Equal to…</t>
  </si>
  <si>
    <t>Table C.10.A:  Traffic Restrictions Codes</t>
  </si>
  <si>
    <t>Table C.10.B:  Traffic Restrictions - Time over which a Traffic Restriction Applies (days)</t>
  </si>
  <si>
    <t>Table C.10.C:  Traffic Delay Costs</t>
  </si>
  <si>
    <t>ECS, where Element Importance = "Very High" or "High"</t>
  </si>
  <si>
    <t>ECS, where Element Importance = "Very High" and "High"</t>
  </si>
  <si>
    <t>STEP 4: Collates results relating to y0 condition (Column AN to AU)</t>
  </si>
  <si>
    <t>No. Structures at risk</t>
  </si>
  <si>
    <t>RISK CHART 1</t>
  </si>
  <si>
    <t>Risk</t>
  </si>
  <si>
    <t>Length 0-10m</t>
  </si>
  <si>
    <t>Length 10-20m</t>
  </si>
  <si>
    <t>Length 20m+</t>
  </si>
  <si>
    <t>RISK CHART 2</t>
  </si>
  <si>
    <t>RISK CHART 3</t>
  </si>
  <si>
    <t>CONDITION CHART 1</t>
  </si>
  <si>
    <t>CONDITION CHART 2</t>
  </si>
  <si>
    <t>Deterioration Curve value of Prior Condition Score</t>
  </si>
  <si>
    <t>Deterioration Curve value of Next Condition Score</t>
  </si>
  <si>
    <t>Deterioration Curve value of  Condition Score after the Next Condition Score</t>
  </si>
  <si>
    <t>Current deterioration rate</t>
  </si>
  <si>
    <t>Next deterioration rate</t>
  </si>
  <si>
    <t xml:space="preserve">SCIav </t>
  </si>
  <si>
    <t>No. structures</t>
  </si>
  <si>
    <t xml:space="preserve"> Depreciation                                 </t>
  </si>
  <si>
    <t>Mid Intervention (condition 4B)</t>
  </si>
  <si>
    <t>Late Intervention (condition 5B)</t>
  </si>
  <si>
    <t>User Defined (default, condition 4B)</t>
  </si>
  <si>
    <t>Discount Rate</t>
  </si>
  <si>
    <t>Discounted Expenditure</t>
  </si>
  <si>
    <t>Factored GRC (£)</t>
  </si>
  <si>
    <t>Discount Factor</t>
  </si>
  <si>
    <t>Discounted Expenditure:</t>
  </si>
  <si>
    <t>Position of Structure Type in 'Ref12'</t>
  </si>
  <si>
    <t>Arup in collaboration with Hertfordshire County Council</t>
  </si>
  <si>
    <t>The valuation of structure stock for purposes of Whole of Government Accounts (WGA) returns.</t>
  </si>
  <si>
    <t>This publication is licensed under the Open Government Licence v3.0 except where otherwise stated. To view this licence, visit:</t>
  </si>
  <si>
    <t>http://www.nationalarchives.gov.uk/doc/open-government-licence/version/3/</t>
  </si>
  <si>
    <t xml:space="preserve"> Element Condition Score</t>
  </si>
  <si>
    <t>Early Intervention (condition 2C-3C)</t>
  </si>
  <si>
    <t>Priority Factors (Present = 1; Not Present = 0) - user specified</t>
  </si>
  <si>
    <t>MainPage Banner validation if B1 this or that</t>
  </si>
  <si>
    <t>Last Year</t>
  </si>
  <si>
    <t>Factors Affecting Gross Replacement Cost (Present = 1; Not Present = 0)</t>
  </si>
  <si>
    <t>CONDITION CHART 3</t>
  </si>
  <si>
    <t>[Yes = 1; No = 0]</t>
  </si>
  <si>
    <t>This maintenance activity can only be selected by the user in the 'Planned' worksheet. This maintenance activity is not selected by the model (i.e. it is not used in the 'Ref06' worksheet).</t>
  </si>
  <si>
    <t>This maintenance activity cannot be applied if defects in Severity 3, Severity 4 or Severity 5 are present.  This maintenance activity can only be selected by the user in the 'Planned' worksheet. This maintenance activity is not selected by the model (i.e. it is not used in the 'Ref06' worksheet).</t>
  </si>
  <si>
    <t xml:space="preserve">
Intervention Threshold</t>
  </si>
  <si>
    <t>N</t>
  </si>
  <si>
    <t>Budget factor for element prioritisation</t>
  </si>
  <si>
    <t>Annual Depreciation:</t>
  </si>
  <si>
    <t>Accumulated. Depreciation:</t>
  </si>
  <si>
    <t>DRC as % of GRC:</t>
  </si>
  <si>
    <t>Depreciated Replacement Cost:</t>
  </si>
  <si>
    <t>Gross Replacement Cost:</t>
  </si>
  <si>
    <t>Date/time:</t>
  </si>
  <si>
    <t>User Name:</t>
  </si>
  <si>
    <t>No. of Structures</t>
  </si>
  <si>
    <t>No. of Elements</t>
  </si>
  <si>
    <t>Version:</t>
  </si>
  <si>
    <t>Ave. Annual Expenditure:</t>
  </si>
  <si>
    <t>Average Annual Expenditure</t>
  </si>
  <si>
    <t>Total Spend:</t>
  </si>
  <si>
    <t>Current file path</t>
  </si>
  <si>
    <t>Discounted Workbank in n-Year + 1</t>
  </si>
  <si>
    <t>Workbank in n-Year + 1</t>
  </si>
  <si>
    <t>Total Defined Budget:</t>
  </si>
  <si>
    <t>Expenditure:</t>
  </si>
  <si>
    <t>Planned Maint. (Capital):</t>
  </si>
  <si>
    <t>Routine Maint. (Revenue):</t>
  </si>
  <si>
    <t>Total Discounted Spend:</t>
  </si>
  <si>
    <t>Reported ECS at the End of Year…</t>
  </si>
  <si>
    <t>ECS Profile'!_FilterDatabase</t>
  </si>
  <si>
    <t>='ECS Profile'!$A$4:$DV$4</t>
  </si>
  <si>
    <t>Elements!_FilterDatabase</t>
  </si>
  <si>
    <t>=Elements!$A$4:$AL$4</t>
  </si>
  <si>
    <t>LAMP Dashboard'!_FilterDatabase</t>
  </si>
  <si>
    <t>='LAMP Results'!$EW$6:$EX$107</t>
  </si>
  <si>
    <t>LAMP Results'!_FilterDatabase</t>
  </si>
  <si>
    <t>='LAMP Results'!$A$4:$BH$4</t>
  </si>
  <si>
    <t>Planned!_FilterDatabase</t>
  </si>
  <si>
    <t>=Planned!$A$4:$T$4</t>
  </si>
  <si>
    <t>Ref02i!_FilterDatabase</t>
  </si>
  <si>
    <t>=Ref02i!$A$2:$W$78</t>
  </si>
  <si>
    <t>Ref02ii!_FilterDatabase</t>
  </si>
  <si>
    <t>=Ref02ii!$A$2:$B$29283</t>
  </si>
  <si>
    <t>Ref03&amp;04i'!_FilterDatabase</t>
  </si>
  <si>
    <t>='Ref03&amp;04i'!$A$2:$BY$131</t>
  </si>
  <si>
    <t>Ref03&amp;04ii'!_FilterDatabase</t>
  </si>
  <si>
    <t>='Ref03&amp;04ii'!$A$2:$AA$426</t>
  </si>
  <si>
    <t>Ref05&amp;07'!_FilterDatabase</t>
  </si>
  <si>
    <t>='Ref05&amp;07'!$A$2:$W$209</t>
  </si>
  <si>
    <t>Ref06'!_FilterDatabase</t>
  </si>
  <si>
    <t>='Ref06'!$A$3:$P$3380</t>
  </si>
  <si>
    <t>Ref07&amp;08'!_FilterDatabase</t>
  </si>
  <si>
    <t>='Ref07&amp;08'!$A$2:$K$76</t>
  </si>
  <si>
    <t>Ref09'!_FilterDatabase</t>
  </si>
  <si>
    <t>='Ref09'!$B$33:$I$109</t>
  </si>
  <si>
    <t>Ref11ii!_FilterDatabase</t>
  </si>
  <si>
    <t>='Ref09'!$C$33:$C$109</t>
  </si>
  <si>
    <t>Ref12'!_FilterDatabase</t>
  </si>
  <si>
    <t>='Ref12'!$E$4:$H$25</t>
  </si>
  <si>
    <t>Ref14'!_FilterDatabase</t>
  </si>
  <si>
    <t>='Ref14'!$A$2:$E$76</t>
  </si>
  <si>
    <t>Routine!_FilterDatabase</t>
  </si>
  <si>
    <t>=Routine!$A$4:$I$4</t>
  </si>
  <si>
    <t>SAMP Dashboard'!_FilterDatabase</t>
  </si>
  <si>
    <t>='SAMP Dashboard'!$A$4:$U$4</t>
  </si>
  <si>
    <t>Structures!_FilterDatabase</t>
  </si>
  <si>
    <t>=Structures!$A$4:$BS$4</t>
  </si>
  <si>
    <t>Value!_FilterDatabase</t>
  </si>
  <si>
    <t>=Value!$A$4:$BY$4</t>
  </si>
  <si>
    <t>Y0!_FilterDatabase</t>
  </si>
  <si>
    <t>=Y0!$A$4:$AL$4</t>
  </si>
  <si>
    <t>Y5'!_FilterDatabase</t>
  </si>
  <si>
    <t>='Y5'!$A$4:$GC$4</t>
  </si>
  <si>
    <t>Yn!_FilterDatabase</t>
  </si>
  <si>
    <t>=Yn!$A$4:$FO$4</t>
  </si>
  <si>
    <t>ComponentMaterialLists_Matrix</t>
  </si>
  <si>
    <t>='Ref03&amp;04i'!$C$107:$BX$131</t>
  </si>
  <si>
    <t>ComponentMaterialLists_Matrix_StartCell</t>
  </si>
  <si>
    <t>='Ref03&amp;04i'!$C$107</t>
  </si>
  <si>
    <t>DATAVALID</t>
  </si>
  <si>
    <t>=VBConstants!$B$19</t>
  </si>
  <si>
    <t>DefinedMainMultiplier</t>
  </si>
  <si>
    <t>='Main Page'!$BA$48</t>
  </si>
  <si>
    <t>DefinedNewBuildMultiplier</t>
  </si>
  <si>
    <t>='Main Page'!$BA$50</t>
  </si>
  <si>
    <t>ECS_RUN_DATE</t>
  </si>
  <si>
    <t>=VBConstants!$F$15</t>
  </si>
  <si>
    <t>ECS_RUN_TIME</t>
  </si>
  <si>
    <t>=VBConstants!$F$16</t>
  </si>
  <si>
    <t>ECS_RUN_USER</t>
  </si>
  <si>
    <t>=VBConstants!$F$17</t>
  </si>
  <si>
    <t>Ele_ElementOnStructureNum</t>
  </si>
  <si>
    <t>=OFFSET(Elements!$N$5,0,0,COUNTA(Elements!$N:$N)-COUNTA(Elements!$N$1:$N$4)+4,1)</t>
  </si>
  <si>
    <t>Ele_MaterialComponentType</t>
  </si>
  <si>
    <t>=OFFSET(Elements!$D$5,0,0,COUNTA(Elements!$D:$D)-COUNTA(Elements!$D$1:$D$4)+4,1)</t>
  </si>
  <si>
    <t>Ele_NameofElement</t>
  </si>
  <si>
    <t>=OFFSET(Elements!$C$5,0,0,COUNTA(Elements!$C:$C)-COUNTA(Elements!$C$3:$C$4)+4,1)</t>
  </si>
  <si>
    <t>Ele_Scenario</t>
  </si>
  <si>
    <t>=OFFSET(Elements!$M$5,0,0,COUNTA(Elements!$M:$M)-COUNTA(Elements!$M$1:$M$4)+4,1)</t>
  </si>
  <si>
    <t>Ele_StructureIdentifier</t>
  </si>
  <si>
    <t>=OFFSET(Elements!$B$5,0,0,COUNTA(Elements!$B:$B)-COUNTA(Elements!$B$3:$B$4)+4,1)</t>
  </si>
  <si>
    <t>ELROWCOUNT</t>
  </si>
  <si>
    <t>=VBConstants!$B$5</t>
  </si>
  <si>
    <t>EXPORT_LAMP</t>
  </si>
  <si>
    <t>=VBConstants!$B$9</t>
  </si>
  <si>
    <t>LAMP_AveAnnualExpen</t>
  </si>
  <si>
    <t>='LAMP Results'!$BL$6</t>
  </si>
  <si>
    <t>LAMP_DiscExpenditure</t>
  </si>
  <si>
    <t>='LAMP Results'!$BL$7</t>
  </si>
  <si>
    <t>LAMP_DiscWorkbank</t>
  </si>
  <si>
    <t>='LAMP Results'!$BL$12</t>
  </si>
  <si>
    <t>LAMP_Expenditure</t>
  </si>
  <si>
    <t>='LAMP Results'!$BL$5</t>
  </si>
  <si>
    <t>LAMP_PivotResults</t>
  </si>
  <si>
    <t>='LAMP Results'!$A$4:$BH$127</t>
  </si>
  <si>
    <t>LAMP_PlannedMaintenance</t>
  </si>
  <si>
    <t>='LAMP Results'!$BL$8</t>
  </si>
  <si>
    <t>LAMP_RoutineMaintenance</t>
  </si>
  <si>
    <t>='LAMP Results'!$BL$9</t>
  </si>
  <si>
    <t>LAMP_RUN_DATE</t>
  </si>
  <si>
    <t>=VBConstants!$D$15</t>
  </si>
  <si>
    <t>LAMP_RUN_STATUS</t>
  </si>
  <si>
    <t>=VBConstants!$D$13</t>
  </si>
  <si>
    <t>LAMP_RUN_TIME</t>
  </si>
  <si>
    <t>=VBConstants!$D$16</t>
  </si>
  <si>
    <t>LAMP_RUN_USER</t>
  </si>
  <si>
    <t>=VBConstants!$D$17</t>
  </si>
  <si>
    <t>LAMP_TotalBudget</t>
  </si>
  <si>
    <t>='LAMP Results'!$BL$10</t>
  </si>
  <si>
    <t>LAMP_Workbank</t>
  </si>
  <si>
    <t>='LAMP Results'!$BL$11</t>
  </si>
  <si>
    <t>LAMP Results'!LAMP_Years</t>
  </si>
  <si>
    <t>='LAMP Results'!$A$5:$A$127</t>
  </si>
  <si>
    <t>Main_AuthorityType</t>
  </si>
  <si>
    <t>='Main Page'!$N$29</t>
  </si>
  <si>
    <t>Main_DataInputDate</t>
  </si>
  <si>
    <t>='Main Page'!$AO$18</t>
  </si>
  <si>
    <t>Main_DeteriorationReductionFactor</t>
  </si>
  <si>
    <t>='Main Page'!$CA$49</t>
  </si>
  <si>
    <t>Main_InflationIndexMaintenance</t>
  </si>
  <si>
    <t>='Main Page'!$AO$48</t>
  </si>
  <si>
    <t>Main_InflationIndexNewBuild</t>
  </si>
  <si>
    <t>='Main Page'!$AO$50</t>
  </si>
  <si>
    <t>Main_InflationYear</t>
  </si>
  <si>
    <t>='Main Page'!$AO$46</t>
  </si>
  <si>
    <t>Main_NumberOfElements</t>
  </si>
  <si>
    <t>='Main Page'!$L$38</t>
  </si>
  <si>
    <t>Main_NumberOfStructures</t>
  </si>
  <si>
    <t>='Main Page'!$L$36</t>
  </si>
  <si>
    <t>Main_OrgName</t>
  </si>
  <si>
    <t>='Main Page'!$N$27</t>
  </si>
  <si>
    <t>Main_ScenarioToAnalyse</t>
  </si>
  <si>
    <t>='Main Page'!$BU$31</t>
  </si>
  <si>
    <t>Main_ValuationDate</t>
  </si>
  <si>
    <t>='Main Page'!$AO$16</t>
  </si>
  <si>
    <t>Main_y5AnnualBudget</t>
  </si>
  <si>
    <t>='Main Page'!$BH$19</t>
  </si>
  <si>
    <t>Main_ynNumberofYears</t>
  </si>
  <si>
    <t>='Main Page'!$CB$16</t>
  </si>
  <si>
    <t>MaintenanceActions</t>
  </si>
  <si>
    <t>='Ref05&amp;07'!$B$4:$B$209</t>
  </si>
  <si>
    <t>MntnceStrategyTypes</t>
  </si>
  <si>
    <t>='Ref06'!$B$3:$E$3</t>
  </si>
  <si>
    <t>MODE</t>
  </si>
  <si>
    <t>=VBConstants!$B$1</t>
  </si>
  <si>
    <t>PlannedElem</t>
  </si>
  <si>
    <t>='Ref98'!$N$3</t>
  </si>
  <si>
    <t>Pln_ECSPlannedWorks</t>
  </si>
  <si>
    <t>=OFFSET(Planned!$J$5,0,0,COUNTA(Planned!$J:$J)-COUNTA(Planned!$J$1:$J$4)+4,1)</t>
  </si>
  <si>
    <t>Pln_ElementIDsWithPlannedWork</t>
  </si>
  <si>
    <t>=OFFSET(Planned!$A$5,0,0,COUNTA(Planned!$A:$A)-COUNTA(Planned!$A$1:$A$4)+4,1)</t>
  </si>
  <si>
    <t>Pln_MaintenanceAction</t>
  </si>
  <si>
    <t>=OFFSET(Planned!$G$5,0,0,COUNTA(Planned!$G:$G)-COUNTA(Planned!$G$1:$G$4)+4,1)</t>
  </si>
  <si>
    <t>Pln_PlannedWorksCost</t>
  </si>
  <si>
    <t>=OFFSET(Planned!$H$5,0,0,COUNTA(Planned!$H:$H)-COUNTA(Planned!$H$1:$H$4)+4,1)</t>
  </si>
  <si>
    <t>Pln_y5PlannedCode</t>
  </si>
  <si>
    <t>=OFFSET(Planned!$M$5,0,0,COUNTA(Planned!$M:$M)-COUNTA(Planned!$M$1:$M$4)+4,1)</t>
  </si>
  <si>
    <t>Pln_y5PlannedWork</t>
  </si>
  <si>
    <t>=OFFSET(Planned!$L$5,0,0,COUNTA(Planned!$L:$L)-COUNTA(Planned!$L$1:$L$4)+4,1)</t>
  </si>
  <si>
    <t>Pln_YearofWork</t>
  </si>
  <si>
    <t>=OFFSET(Planned!$F$5,0,0,COUNTA(Planned!$F:$F)-COUNTA(Planned!$F$1:$F$4)+4,1)</t>
  </si>
  <si>
    <t>Pln_YearOfWorkMatrix</t>
  </si>
  <si>
    <t>=OFFSET(Planned!$A$5:$F$5,0,0,COUNTA(Planned!$A:$F)-COUNTA(Planned!$A$1:$F$4)+4,6)</t>
  </si>
  <si>
    <t>Pln_ynPlannedCode</t>
  </si>
  <si>
    <t>=OFFSET(Planned!$N$5,0,0,COUNTA(Planned!$N:$N)-COUNTA(Planned!$N$1:$N$4)+4,1)</t>
  </si>
  <si>
    <t>PLROWCOUNT</t>
  </si>
  <si>
    <t>=VBConstants!$B$7</t>
  </si>
  <si>
    <t>Ref00_Condition</t>
  </si>
  <si>
    <t>=Ref00!$B$13:$B$29</t>
  </si>
  <si>
    <t>Ref00_ECS</t>
  </si>
  <si>
    <t>=Ref00!$C$13:$C$29</t>
  </si>
  <si>
    <t>Ref00_ElementImportanceTypes</t>
  </si>
  <si>
    <t>=Ref00!$B$32:$B$35</t>
  </si>
  <si>
    <t>Ref00_ElementLifeTypes</t>
  </si>
  <si>
    <t>=Ref00!$B$48:$B$49</t>
  </si>
  <si>
    <t>Ref00_SprayZoneProximity</t>
  </si>
  <si>
    <t>=Ref00!$B$8:$B$9</t>
  </si>
  <si>
    <t>Ref00_StructureLocation</t>
  </si>
  <si>
    <t>=Ref00!$B$3:$B$5</t>
  </si>
  <si>
    <t>Ref02i_ExposureScenarioID</t>
  </si>
  <si>
    <t>=Ref02i!$B$3:$B$76</t>
  </si>
  <si>
    <t>Ref02ii_Exposure</t>
  </si>
  <si>
    <t>=Ref02ii!$B$4:$B$29283</t>
  </si>
  <si>
    <t>Ref02ii_ExposureID</t>
  </si>
  <si>
    <t>=Ref02ii!$A$4:$A$29283</t>
  </si>
  <si>
    <t>Ref0304i_MaterialType</t>
  </si>
  <si>
    <t>='Ref03&amp;04i'!$B$3:$B$105</t>
  </si>
  <si>
    <t>Ref0304ii_MaterialExposureCode</t>
  </si>
  <si>
    <t>='Ref03&amp;04ii'!$Z$3:$Z$426</t>
  </si>
  <si>
    <t>Ref0304ii_MeanTimetoFailure</t>
  </si>
  <si>
    <t>='Ref03&amp;04ii'!$W$3:$W$426</t>
  </si>
  <si>
    <t>Ref06_MaintenanceAction</t>
  </si>
  <si>
    <t>=OFFSET('Ref06'!$H$4,0,0,COUNTA('Ref06'!$H:$H)-COUNTA('Ref06'!$H$1:$H$3)+3,1)</t>
  </si>
  <si>
    <t>Ref06_ScenarioCodes</t>
  </si>
  <si>
    <t>='Ref06'!$M$4:$P$3380</t>
  </si>
  <si>
    <t>Ref06_ScenarioName</t>
  </si>
  <si>
    <t>='Ref06'!$M$3:$P$3</t>
  </si>
  <si>
    <t>Ref10_DailyTrafficDelayRate</t>
  </si>
  <si>
    <t>='Ref10'!$B$25:$C$27</t>
  </si>
  <si>
    <t>Ref10_LengthGroupTrafficDelay</t>
  </si>
  <si>
    <t>='Ref10'!$B$18:$B$20</t>
  </si>
  <si>
    <t>Ref10_TrafficDelayDays</t>
  </si>
  <si>
    <t>='Ref10'!$B$18:$H$20</t>
  </si>
  <si>
    <t>Ref10_TrafficRestrictionCode</t>
  </si>
  <si>
    <t>='Ref10'!$B$5:$D$11</t>
  </si>
  <si>
    <t>Ref10_TrafficVolume</t>
  </si>
  <si>
    <t>='Ref10'!$B$25:$B$27</t>
  </si>
  <si>
    <t>Ref11i_ObstacleCrossed</t>
  </si>
  <si>
    <t>=Ref11i!$B$16:$B$32</t>
  </si>
  <si>
    <t>Ref11i_Route</t>
  </si>
  <si>
    <t>=Ref11i!$B$36:$B$45</t>
  </si>
  <si>
    <t>Ref11i_StructureType</t>
  </si>
  <si>
    <t>=Ref11i!$B$49:$B$69</t>
  </si>
  <si>
    <t>Ref11i_Traffic</t>
  </si>
  <si>
    <t>=Ref11i!$B$10:$B$12</t>
  </si>
  <si>
    <t>Ref11ii_ElementLists_Matrix</t>
  </si>
  <si>
    <t>=Ref11ii!$C$3:$W$38</t>
  </si>
  <si>
    <t>Ref11ii_ElementLists_Matrix_StartCell</t>
  </si>
  <si>
    <t>=Ref11ii!$C$3</t>
  </si>
  <si>
    <t>Ref12_GRCRates</t>
  </si>
  <si>
    <t>='Ref12'!$B$5:$C$25</t>
  </si>
  <si>
    <t>Ref14_EIF</t>
  </si>
  <si>
    <t>='Ref14'!$D$3:$D$76</t>
  </si>
  <si>
    <t>Ref14_ElementImportance</t>
  </si>
  <si>
    <t>='Ref14'!$C$3:$C$76</t>
  </si>
  <si>
    <t>Ref14_ElementLifeType</t>
  </si>
  <si>
    <t>='Ref14'!$B$3:$B$76</t>
  </si>
  <si>
    <t>Ref98_nYear_plus1</t>
  </si>
  <si>
    <t>='Ref98'!$O$132</t>
  </si>
  <si>
    <t>RIBBON</t>
  </si>
  <si>
    <t>=VBConstants!$B$11</t>
  </si>
  <si>
    <t>RUN_TIME_15MIN</t>
  </si>
  <si>
    <t>=VBConstants!$J$16</t>
  </si>
  <si>
    <t>RUN_TIME_1HR</t>
  </si>
  <si>
    <t>=VBConstants!$J$15</t>
  </si>
  <si>
    <t>SAMP_RUN_DATE</t>
  </si>
  <si>
    <t>=VBConstants!$C$15</t>
  </si>
  <si>
    <t>SAMP_RUN_STATUS</t>
  </si>
  <si>
    <t>=VBConstants!$C$13</t>
  </si>
  <si>
    <t>SAMP_RUN_TIME</t>
  </si>
  <si>
    <t>=VBConstants!$C$16</t>
  </si>
  <si>
    <t>SAMP_RUN_USER</t>
  </si>
  <si>
    <t>=VBConstants!$C$17</t>
  </si>
  <si>
    <t>Str_AVFStructureType</t>
  </si>
  <si>
    <t>=OFFSET(Structures!$AZ$5,0,0,COUNTA(Structures!$AZ:$AZ)-COUNTA(Structures!$AZ$1:$AZ$4)+4,1)</t>
  </si>
  <si>
    <t>Str_DimensionforSSCI</t>
  </si>
  <si>
    <t>=OFFSET(Structures!$AU$5,0,0,COUNTA(Structures!$AU:$AU)-COUNTA(Structures!$AU$1:$AU$4)+4,1)</t>
  </si>
  <si>
    <t>Str_DimensionforSSCIxAVF</t>
  </si>
  <si>
    <t>=OFFSET(Structures!$BB$5,0,0,COUNTA(Structures!$BB:$BB)-COUNTA(Structures!$BB$1:$BB$4)+4,1)</t>
  </si>
  <si>
    <t>Str_FirstElementID</t>
  </si>
  <si>
    <t>=OFFSET(Structures!$BD$5,0,0,COUNTA(Structures!$BD:$BD)-COUNTA(Structures!$BD$1:$BD$4)+4,1)</t>
  </si>
  <si>
    <t>Str_LastElementID</t>
  </si>
  <si>
    <t>=OFFSET(Structures!$BE$5,0,0,COUNTA(Structures!$BE:$BE)-COUNTA(Structures!$BE$1:$BE$4)+4,1)</t>
  </si>
  <si>
    <t>Str_LengthofStructure</t>
  </si>
  <si>
    <t>=OFFSET(Structures!$G$5,0,0,COUNTA(Structures!$G:$G)-COUNTA(Structures!$G$1:$G$4)+4,1)</t>
  </si>
  <si>
    <t>Str_NumberSpans</t>
  </si>
  <si>
    <t>=OFFSET(Structures!$J$5,0,0,COUNTA(Structures!$J:$J)-COUNTA(Structures!$J$1:$J$4)+4,1)</t>
  </si>
  <si>
    <t>Str_NumOfStructures</t>
  </si>
  <si>
    <t>=OFFSET(Structures!$F$5,0,0,COUNTA(Structures!$F:$F)-COUNTA(Structures!$F$1:$F$4)+4,1)</t>
  </si>
  <si>
    <t>Str_ObstacleCrossed</t>
  </si>
  <si>
    <t>=OFFSET(Structures!$O$5,0,0,COUNTA(Structures!$O:$O)-COUNTA(Structures!$O$1:$O$4)+4,1)</t>
  </si>
  <si>
    <t>Str_PriorityScore</t>
  </si>
  <si>
    <t>=OFFSET(Structures!$AY$5,0,0,COUNTA(Structures!$AY:$AY)-COUNTA(Structures!$AY$1:$AY$4)+4,1)</t>
  </si>
  <si>
    <t>Str_RouteType</t>
  </si>
  <si>
    <t>=OFFSET(Structures!$L$5,0,0,COUNTA(Structures!$L:$L)-COUNTA(Structures!$L$1:$L$4)+4,1)</t>
  </si>
  <si>
    <t>Str_Sizing</t>
  </si>
  <si>
    <t>=OFFSET(Structures!$F$5:$I$5,0,0,COUNTA(Structures!$F:$I)-COUNTA(Structures!$F$1:$I$4)+4,4)</t>
  </si>
  <si>
    <t>Str_StructureID</t>
  </si>
  <si>
    <t>=OFFSET(Structures!$A$5,0,0,COUNTA(Structures!$A:$A)-COUNTA(Structures!$A$3:$A$4)+4,1)</t>
  </si>
  <si>
    <t>Str_StructureIdentifier</t>
  </si>
  <si>
    <t>=OFFSET(Structures!$B$5,0,0,COUNTA(Structures!$B:$B)-COUNTA(Structures!$B$3:$B$4)+4,1)</t>
  </si>
  <si>
    <t>Str_StructureReference</t>
  </si>
  <si>
    <t>=OFFSET(Structures!$C$5,0,0,COUNTA(Structures!$C:$C)-COUNTA(Structures!$C$2:$C$4)+4,1)</t>
  </si>
  <si>
    <t>Str_StructureType</t>
  </si>
  <si>
    <t>=OFFSET(Structures!$E$5,0,0,COUNTA(Structures!$E:$E)-COUNTA(Structures!$E$1:$E$4)+4,1)</t>
  </si>
  <si>
    <t>Str_TotalGRC</t>
  </si>
  <si>
    <t>=OFFSET(Structures!$AX$5,0,0,COUNTA(Structures!$AX:$AX)-COUNTA(Structures!$AX$1:$AX$4)+4,1)</t>
  </si>
  <si>
    <t>Str_TrafficOfStructure</t>
  </si>
  <si>
    <t>=OFFSET(Structures!$N$5,0,0,COUNTA(Structures!$N:$N)-COUNTA(Structures!$N$1:$N$4)+4,1)</t>
  </si>
  <si>
    <t>STROWCOUNT</t>
  </si>
  <si>
    <t>=VBConstants!$B$6</t>
  </si>
  <si>
    <t>StructureID_Unique</t>
  </si>
  <si>
    <t>=OFFSET(Structures!$B$5,0,0,2250-COUNTBLANK(Structures!$B$5:$B$5),1)</t>
  </si>
  <si>
    <t>VBConstants!TestMode</t>
  </si>
  <si>
    <t>=VBConstants!$B$3</t>
  </si>
  <si>
    <t>TR_Y5_A2BD</t>
  </si>
  <si>
    <t>='Y5'!$A$4:$GC$93</t>
  </si>
  <si>
    <t>TrafficManagement_On...</t>
  </si>
  <si>
    <t>=Ref00!$B$43:$B$45</t>
  </si>
  <si>
    <t>TrafficManagement_Types</t>
  </si>
  <si>
    <t>='Ref09'!$D$33:$I$33</t>
  </si>
  <si>
    <t>Val_AnnualDepreciation</t>
  </si>
  <si>
    <t>=OFFSET(Value!$BG$5,0,0,COUNTA(Value!$BG:$BG)-COUNTA(Value!$BG$1:$BG$4)+4,1)</t>
  </si>
  <si>
    <t>Val_DRC</t>
  </si>
  <si>
    <t>=OFFSET(Value!$BO$5,0,0,COUNTA(Value!$BO:$BO)-COUNTA(Value!$BO$1:$BO$4)+4,1)</t>
  </si>
  <si>
    <t>Val_ElementDepreciation</t>
  </si>
  <si>
    <t>=OFFSET(Value!$BH$5,0,0,COUNTA(Value!$BH:$BH)-COUNTA(Value!$BH$1:$BH$4)+4,1)</t>
  </si>
  <si>
    <t>Val_ElementReplacementCost</t>
  </si>
  <si>
    <t>=OFFSET(Value!$Y$5,0,0,COUNTA(Value!$Y:$Y)-COUNTA(Value!$Y$1:$Y$4)+4,1)</t>
  </si>
  <si>
    <t>Val_ExposureParameters</t>
  </si>
  <si>
    <t>=OFFSET(Value!$AB$5:$AT$5,0,0,COUNTA(Value!$AB:$AT)-COUNTA(Value!$AB$1:$AT$4)+4,19)</t>
  </si>
  <si>
    <t>Val_FactoredCost</t>
  </si>
  <si>
    <t>=OFFSET(Value!$BF$5,0,0,COUNTA(Value!$BF:$BF)-COUNTA(Value!$BF$1:$BF$4)+4,1)</t>
  </si>
  <si>
    <t>Val_FactorGRCtoTERC</t>
  </si>
  <si>
    <t>=OFFSET(Value!$BB$5,0,0,COUNTA(Value!$BB:$BB)-COUNTA(Value!$BB$1:$BB$4)+4,1)</t>
  </si>
  <si>
    <t>Val_GRC</t>
  </si>
  <si>
    <t>=OFFSET(Value!$BA$5,0,0,COUNTA(Value!$BA:$BA)-COUNTA(Value!$BA$1:$BA$4)+4,1)</t>
  </si>
  <si>
    <t>Val_NumStructures</t>
  </si>
  <si>
    <t>=OFFSET(Value!$BU$5,0,0,COUNTA(Value!$BU:$BU)-COUNTA(Value!$BU$1:$BU$4)+4,1)</t>
  </si>
  <si>
    <t>Val_OriginalECS</t>
  </si>
  <si>
    <t>=OFFSET(Value!$C$5,0,0,COUNTA(Value!$C:$C)-COUNTA(Value!$C$1:$C$4)+4,1)</t>
  </si>
  <si>
    <t>Val_PivotResults</t>
  </si>
  <si>
    <t>=OFFSET(Value!$BJ$4:$BY$4,0,0,COUNTA(Value!$BJ:$BY)-COUNTA(Value!$BJ$1:$BY$3)+3,15)</t>
  </si>
  <si>
    <t>Val_SCIAv</t>
  </si>
  <si>
    <t>=OFFSET(Value!$BR$5,0,0,COUNTA(Value!$BR:$BR)-COUNTA(Value!$BR$1:$BR$4)+4,1)</t>
  </si>
  <si>
    <t>Val_StructureType</t>
  </si>
  <si>
    <t>=OFFSET(Value!$BX$5,0,0,COUNTA(Value!$BX:$BX)-COUNTA(Value!$BX$1:$BX$4)+4,1)</t>
  </si>
  <si>
    <t>VALUE_RUN_DATE</t>
  </si>
  <si>
    <t>=VBConstants!$B$15</t>
  </si>
  <si>
    <t>VALUE_RUN_STATUS</t>
  </si>
  <si>
    <t>=VBConstants!$B$13</t>
  </si>
  <si>
    <t>VALUE_RUN_TIME</t>
  </si>
  <si>
    <t>=VBConstants!$B$16</t>
  </si>
  <si>
    <t>VALUE_RUN_USER</t>
  </si>
  <si>
    <t>=VBConstants!$B$17</t>
  </si>
  <si>
    <t>=VBConstants!$G$5</t>
  </si>
  <si>
    <t>=VBConstants!$G$4</t>
  </si>
  <si>
    <t>=VBConstants!$G$3</t>
  </si>
  <si>
    <t>y0_ECIwhereElementImportVH</t>
  </si>
  <si>
    <t>=OFFSET(Y0!$M$5,0,0,COUNTA(Y0!$M:$M)-COUNTA(Y0!$M$1:$M$4)+4,1)</t>
  </si>
  <si>
    <t>y0_ECIxEIF</t>
  </si>
  <si>
    <t>=OFFSET(Y0!$K$5,0,0,COUNTA(Y0!$K:$K)-COUNTA(Y0!$K$1:$K$4)+4,1)</t>
  </si>
  <si>
    <t>y0_ECSwhereElementImportVHandH</t>
  </si>
  <si>
    <t>=OFFSET(Y0!$L$5,0,0,COUNTA(Y0!$L:$L)-COUNTA(Y0!$L$1:$L$4)+4,1)</t>
  </si>
  <si>
    <t>y0_EIF</t>
  </si>
  <si>
    <t>=OFFSET(Y0!$H$5,0,0,COUNTA(Y0!$H:$H)-COUNTA(Y0!$H$1:$H$4)+4,1)</t>
  </si>
  <si>
    <t>y0_LengthGroup</t>
  </si>
  <si>
    <t>=OFFSET(Y0!$S$5,0,0,COUNTA(Y0!$S:$S)-COUNTA(Y0!$S$1:$S$4)+4,1)</t>
  </si>
  <si>
    <t>y0_QuantityKeyDimensionSSS</t>
  </si>
  <si>
    <t>=OFFSET(Y0!$AL$5,0,0,COUNTA(Y0!$AL:$AL)-COUNTA(Y0!$AL$1:$AL$4)+4,1)</t>
  </si>
  <si>
    <t>y0_RetainedValuesOnly</t>
  </si>
  <si>
    <t>=Y0!$AQ$5:$AQ$48</t>
  </si>
  <si>
    <t>Y0_RUN_DATE</t>
  </si>
  <si>
    <t>=VBConstants!$E$15</t>
  </si>
  <si>
    <t>Y0_RUN_TIME</t>
  </si>
  <si>
    <t>=VBConstants!$E$16</t>
  </si>
  <si>
    <t>Y0_RUN_USER</t>
  </si>
  <si>
    <t>=VBConstants!$E$17</t>
  </si>
  <si>
    <t>y0_SCIav</t>
  </si>
  <si>
    <t>=OFFSET(Y0!$AE$5,0,0,COUNTA(Y0!$AE:$AE)-COUNTA(Y0!$AE$1:$AE$4)+4,1)</t>
  </si>
  <si>
    <t>y0_SCIavDimensionforSSCI</t>
  </si>
  <si>
    <t>=OFFSET(Y0!$AG$5,0,0,COUNTA(Y0!$AG:$AG)-COUNTA(Y0!$AG$1:$AG$4)+4,1)</t>
  </si>
  <si>
    <t>y0_SCIavDimensionforSSCIxAVF</t>
  </si>
  <si>
    <t>=OFFSET(Y0!$AI$5,0,0,COUNTA(Y0!$AI:$AI)-COUNTA(Y0!$AI$1:$AI$4)+4,1)</t>
  </si>
  <si>
    <t>y0_SCIcritDimensionforSSCI</t>
  </si>
  <si>
    <t>=OFFSET(Y0!$AH$5,0,0,COUNTA(Y0!$AH:$AH)-COUNTA(Y0!$AH$1:$AH$4)+4,1)</t>
  </si>
  <si>
    <t>y0_SCIcritDimensionforSSCIxAVF</t>
  </si>
  <si>
    <t>=OFFSET(Y0!$AJ$5,0,0,COUNTA(Y0!$AJ:$AJ)-COUNTA(Y0!$AJ$1:$AJ$4)+4,1)</t>
  </si>
  <si>
    <t>y0_StructuresWithTrafficDelay</t>
  </si>
  <si>
    <t>=OFFSET(Y0!$Z$5,0,0,COUNTA(Y0!$Z:$Z)-COUNTA(Y0!$Z$1:$Z$4)+4,1)</t>
  </si>
  <si>
    <t>y0_TrafficDelayCost</t>
  </si>
  <si>
    <t>=OFFSET(Y0!$Y$5,0,0,COUNTA(Y0!$Y:$Y)-COUNTA(Y0!$Y$1:$Y$4)+4,1)</t>
  </si>
  <si>
    <t>y5_ALLElementPriorityScore</t>
  </si>
  <si>
    <t>=OFFSET('Y5'!$Q$5,0,0,COUNTA('Y5'!$Q:$Q)-COUNTA('Y5'!$Q$1:$Q$4)+4,1)</t>
  </si>
  <si>
    <t>y5_ConsiderElementforScheme</t>
  </si>
  <si>
    <t>=OFFSET('Y5'!$AE$5,0,0,COUNTA('Y5'!$AE:$AE)-COUNTA('Y5'!$AE$1:$AE$4)+4,1)</t>
  </si>
  <si>
    <t>y5_CostPrioritisedWorks</t>
  </si>
  <si>
    <t>=OFFSET('Y5'!$DH$5,0,0,COUNTA('Y5'!$DH:$DH)-COUNTA('Y5'!$DH$1:$DH$4)+4,1)</t>
  </si>
  <si>
    <t>y5_DESIREDElementPriorityScore</t>
  </si>
  <si>
    <t>=OFFSET('Y5'!$AF$5,0,0,COUNTA('Y5'!$AF:$AF)-COUNTA('Y5'!$AF$1:$AF$4)+4,1)</t>
  </si>
  <si>
    <t>y5_ECIwhereElementImportVH</t>
  </si>
  <si>
    <t>=OFFSET('Y5'!$EL$5,0,0,COUNTA('Y5'!$EL:$EL)-COUNTA('Y5'!$EL$1:$EL$4)+4,1)</t>
  </si>
  <si>
    <t>y5_ECIxEIF</t>
  </si>
  <si>
    <t>=OFFSET('Y5'!$EJ$5,0,0,COUNTA('Y5'!$EJ:$EJ)-COUNTA('Y5'!$EJ$1:$EJ$4)+4,1)</t>
  </si>
  <si>
    <t>y5_ECSwhereElementImportVHorH</t>
  </si>
  <si>
    <t>=OFFSET('Y5'!$EK$5,0,0,COUNTA('Y5'!$EK:$EK)-COUNTA('Y5'!$EK$1:$EK$4)+4,1)</t>
  </si>
  <si>
    <t>y5_EIF</t>
  </si>
  <si>
    <t>=OFFSET('Y5'!$EG$5,0,0,COUNTA('Y5'!$EG:$EG)-COUNTA('Y5'!$EG$1:$EG$4)+4,1)</t>
  </si>
  <si>
    <t>y5_ElementPriorityRank</t>
  </si>
  <si>
    <t>=OFFSET('Y5'!$AC$5,0,0,COUNTA('Y5'!$AC:$AC)-COUNTA('Y5'!$AC$1:$AC$4)+4,1)</t>
  </si>
  <si>
    <t>y5_ElementTotalCost</t>
  </si>
  <si>
    <t>=OFFSET('Y5'!$AB$5,0,0,COUNTA('Y5'!$AB:$AB)-COUNTA('Y5'!$AB$1:$AB$4)+4,1)</t>
  </si>
  <si>
    <t>y5_ElementWorksCost</t>
  </si>
  <si>
    <t>=OFFSET('Y5'!$U$5,0,0,COUNTA('Y5'!$U:$U)-COUNTA('Y5'!$U$1:$U$4)+4,1)</t>
  </si>
  <si>
    <t>y5_Expenditure</t>
  </si>
  <si>
    <t>='Y5'!$GH$8</t>
  </si>
  <si>
    <t>y5_ExposureParameters</t>
  </si>
  <si>
    <t>=OFFSET('Y5'!$AK$5:$BC$5,0,0,COUNTA('Y5'!$AK:$BC)-COUNTA('Y5'!$AK$1:$BC$4)+4,19)</t>
  </si>
  <si>
    <t>y5_fDPrioritisedWorks</t>
  </si>
  <si>
    <t>=OFFSET('Y5'!$DA$5,0,0,COUNTA('Y5'!$DA:$DA)-COUNTA('Y5'!$DA$1:$DA$4)+4,1)</t>
  </si>
  <si>
    <t>y5_fOPrioritisedWorks</t>
  </si>
  <si>
    <t>=OFFSET('Y5'!$CO$5,0,0,COUNTA('Y5'!$CO:$CO)-COUNTA('Y5'!$CO$1:$CO$4)+4,1)</t>
  </si>
  <si>
    <t>y5_fPPrioritisedWorks</t>
  </si>
  <si>
    <t>=OFFSET('Y5'!$CM$5,0,0,COUNTA('Y5'!$CM:$CM)-COUNTA('Y5'!$CM$1:$CM$4)+4,1)</t>
  </si>
  <si>
    <t>y5_LengthGroup</t>
  </si>
  <si>
    <t>=OFFSET('Y5'!$ER$5,0,0,COUNTA('Y5'!$ER:$ER)-COUNTA('Y5'!$ER$1:$ER$4)+4,1)</t>
  </si>
  <si>
    <t>y5_OriginalECS</t>
  </si>
  <si>
    <t>=OFFSET('Y5'!$C$5,0,0,COUNTA('Y5'!$C:$C)-COUNTA('Y5'!$C$1:$C$4)+4,1)</t>
  </si>
  <si>
    <t>y5_PivotResults</t>
  </si>
  <si>
    <t>=OFFSET('Y5'!$FL$4:$GC$4,0,0,COUNTA('Y5'!$FL:$GC)-COUNTA('Y5'!$FL$1:$GC$4)+4,18)</t>
  </si>
  <si>
    <t>y5_PlannedMaintenance</t>
  </si>
  <si>
    <t>='Y5'!$GH$9</t>
  </si>
  <si>
    <t>y5_PlannedYear</t>
  </si>
  <si>
    <t>=OFFSET('Y5'!$DK$5,0,0,COUNTA('Y5'!$DK:$DK)-COUNTA('Y5'!$DK$1:$DK$4)+4,1)</t>
  </si>
  <si>
    <t>y5_QuantityKeyDimensionSSS</t>
  </si>
  <si>
    <t>=OFFSET('Y5'!$FJ$5,0,0,COUNTA('Y5'!$FJ:$FJ)-COUNTA('Y5'!$FJ$1:$FJ$4)+4,1)</t>
  </si>
  <si>
    <t>y5_QuantityofDimension</t>
  </si>
  <si>
    <t>=OFFSET('Y5'!$FE$5,0,0,COUNTA('Y5'!$FE:$FE)-COUNTA('Y5'!$FE$1:$FE$4)+4,1)</t>
  </si>
  <si>
    <t>y5_RemainingBudget</t>
  </si>
  <si>
    <t>='Y5'!$GH$11</t>
  </si>
  <si>
    <t>y5_RetainedValuesOnly</t>
  </si>
  <si>
    <t>='Y5'!$GH$5:$GH$61</t>
  </si>
  <si>
    <t>y5_RoutineMaintenance</t>
  </si>
  <si>
    <t>='Y5'!$GH$10</t>
  </si>
  <si>
    <t>y5_SCIAv</t>
  </si>
  <si>
    <t>=OFFSET('Y5'!$FC$5,0,0,COUNTA('Y5'!$FC:$FC)-COUNTA('Y5'!$FC$1:$FC$4)+4,1)</t>
  </si>
  <si>
    <t>y5_SCIavDimensionforSSCI</t>
  </si>
  <si>
    <t>y5_SCIavDimensionforSSCIxAVF</t>
  </si>
  <si>
    <t>=OFFSET('Y5'!$FG$5,0,0,COUNTA('Y5'!$FG:$FG)-COUNTA('Y5'!$FG$1:$FG$4)+4,1)</t>
  </si>
  <si>
    <t>y5_SCIcritDimensionforSSCI</t>
  </si>
  <si>
    <t>=OFFSET('Y5'!$FF$5,0,0,COUNTA('Y5'!$FF:$FF)-COUNTA('Y5'!$FF$1:$FF$4)+4,1)</t>
  </si>
  <si>
    <t>y5_SCIcritDimensionforSSCIxAVF</t>
  </si>
  <si>
    <t>=OFFSET('Y5'!$FH$5,0,0,COUNTA('Y5'!$FH:$FH)-COUNTA('Y5'!$FH$1:$FH$4)+4,1)</t>
  </si>
  <si>
    <t>y5_StructureIDPrioritisedWorks</t>
  </si>
  <si>
    <t>=OFFSET('Y5'!$CI$5,0,0,COUNTA('Y5'!$CI:$CI)-COUNTA('Y5'!$CI$1:$CI$4)+4,1)</t>
  </si>
  <si>
    <t>y5_StructureRankALLElements</t>
  </si>
  <si>
    <t>=OFFSET('Y5'!$BG$5,0,0,COUNTA('Y5'!$BG:$BG)-COUNTA('Y5'!$BG$1:$BG$4)+4,1)</t>
  </si>
  <si>
    <t>y5_StructureRankDESIREDElements</t>
  </si>
  <si>
    <t>=OFFSET('Y5'!$CG$5,0,0,COUNTA('Y5'!$CG:$CG)-COUNTA('Y5'!$CG$1:$CG$4)+4,1)</t>
  </si>
  <si>
    <t>y5_StructurestobeMaintained</t>
  </si>
  <si>
    <t>=OFFSET('Y5'!$DG$5,0,0,COUNTA('Y5'!$DG:$DG)-COUNTA('Y5'!$DG$1:$DG$4)+4,1)</t>
  </si>
  <si>
    <t>y5_StructuresWithTrafficDelays</t>
  </si>
  <si>
    <t>=OFFSET('Y5'!$EY$5,0,0,COUNTA('Y5'!$EY:$EY)-COUNTA('Y5'!$EY$1:$EY$4)+4,1)</t>
  </si>
  <si>
    <t>y5_SumofALLElementPriorityScores</t>
  </si>
  <si>
    <t>=OFFSET('Y5'!$BF$5,0,0,COUNTA('Y5'!$BF:$BF)-COUNTA('Y5'!$BF$1:$BF$4)+4,1)</t>
  </si>
  <si>
    <t>y5_SumofDESIREDElementPriorityScores</t>
  </si>
  <si>
    <t>=OFFSET('Y5'!$CF$5,0,0,COUNTA('Y5'!$CF:$CF)-COUNTA('Y5'!$CF$1:$CF$4)+4,1)</t>
  </si>
  <si>
    <t>y5_TMCode</t>
  </si>
  <si>
    <t>=OFFSET('Y5'!$V$5,0,0,COUNTA('Y5'!$V:$V)-COUNTA('Y5'!$V$1:$V$4)+4,1)</t>
  </si>
  <si>
    <t>y5_TMDuration</t>
  </si>
  <si>
    <t>=OFFSET('Y5'!$W$5,0,0,COUNTA('Y5'!$W:$W)-COUNTA('Y5'!$W$1:$W$4)+4,1)</t>
  </si>
  <si>
    <t>y5_TMTypes</t>
  </si>
  <si>
    <t>=OFFSET('Y5'!$CQ$5:$CY$5,0,0,COUNTA('Y5'!$CQ:$CY)-COUNTA('Y5'!$CQ$1:$CY$4)+4,9)</t>
  </si>
  <si>
    <t>y5_TotalBudget</t>
  </si>
  <si>
    <t>='Y5'!$GH$6</t>
  </si>
  <si>
    <t>y5_TotalElementMainCost</t>
  </si>
  <si>
    <t>=OFFSET('Y5'!$DX$5,0,0,COUNTA('Y5'!$DX:$DX)-COUNTA('Y5'!$DX$1:$DX$4)+4,1)</t>
  </si>
  <si>
    <t>y5_TotalElementReplaceCost</t>
  </si>
  <si>
    <t>=OFFSET('Y5'!$DY$5,0,0,COUNTA('Y5'!$DY:$DY)-COUNTA('Y5'!$DY$1:$DY$4)+4,1)</t>
  </si>
  <si>
    <t>y5_TrafficDelayCost</t>
  </si>
  <si>
    <t>=OFFSET('Y5'!$EX$5,0,0,COUNTA('Y5'!$EX:$EX)-COUNTA('Y5'!$EX$1:$EX$4)+4,1)</t>
  </si>
  <si>
    <t>yn_ALLElementPriorityScore</t>
  </si>
  <si>
    <t>=OFFSET(Yn!$Q$5,0,0,COUNTA(Yn!$Q:$Q)-COUNTA(Yn!$Q$1:$Q$4)+4,1)</t>
  </si>
  <si>
    <t>yn_BudgetFromLastYear</t>
  </si>
  <si>
    <t>=Yn!$FS$15</t>
  </si>
  <si>
    <t>yn_ConsiderElementforScheme</t>
  </si>
  <si>
    <t>=OFFSET(Yn!$AE$5,0,0,COUNTA(Yn!$AE:$AE)-COUNTA(Yn!$AE$1:$AE$4)+4,1)</t>
  </si>
  <si>
    <t>yn_DESIREDElementPriorityScore</t>
  </si>
  <si>
    <t>=OFFSET(Yn!$AF$5,0,0,COUNTA(Yn!$AF:$AF)-COUNTA(Yn!$AF$1:$AF$4)+4,1)</t>
  </si>
  <si>
    <t>yn_ECIwhereElementImportVH</t>
  </si>
  <si>
    <t>=OFFSET(Yn!$EQ$5,0,0,COUNTA(Yn!$EQ:$EQ)-COUNTA(Yn!$EQ$1:$EQ$4)+4,1)</t>
  </si>
  <si>
    <t>yn_ECIxEIF</t>
  </si>
  <si>
    <t>=OFFSET(Yn!$EO$5,0,0,COUNTA(Yn!$EO:$EO)-COUNTA(Yn!$EO$1:$EO$4)+4,1)</t>
  </si>
  <si>
    <t>yn_ECSwhereElementImportVHandH</t>
  </si>
  <si>
    <t>=OFFSET(Yn!$EP$5,0,0,COUNTA(Yn!$EP:$EP)-COUNTA(Yn!$EP$1:$EP$4)+4,1)</t>
  </si>
  <si>
    <t>yn_EIF</t>
  </si>
  <si>
    <t>=OFFSET(Yn!$EL$5,0,0,COUNTA(Yn!$EL:$EL)-COUNTA(Yn!$EL$1:$EL$4)+4,1)</t>
  </si>
  <si>
    <t>yn_ElementPriorityRank</t>
  </si>
  <si>
    <t>=OFFSET(Yn!$AC$5,0,0,COUNTA(Yn!$AC:$AC)-COUNTA(Yn!$AC$1:$AC$4)+4,1)</t>
  </si>
  <si>
    <t>yn_ElementTotalCost</t>
  </si>
  <si>
    <t>=OFFSET(Yn!$AB$5,0,0,COUNTA(Yn!$AB:$AB)-COUNTA(Yn!$AB$1:$AB$4)+4,1)</t>
  </si>
  <si>
    <t>yn_ElementWorksCost</t>
  </si>
  <si>
    <t>=OFFSET(Yn!$U$5,0,0,COUNTA(Yn!$U:$U)-COUNTA(Yn!$U$1:$U$4)+4,1)</t>
  </si>
  <si>
    <t>yn_ExposureParameters</t>
  </si>
  <si>
    <t>=OFFSET(Yn!$AK$5:$BC$5,0,0,COUNTA(Yn!$AK:$BC)-COUNTA(Yn!$AK$1:$BC$4)+4,19)</t>
  </si>
  <si>
    <t>yn_fDPrioritisedWorks</t>
  </si>
  <si>
    <t>=OFFSET(Yn!$DA$5,0,0,COUNTA(Yn!$DA:$DA)-COUNTA(Yn!$DA$1:$DA$4)+4,1)</t>
  </si>
  <si>
    <t>yn_FiniteorIndefinite</t>
  </si>
  <si>
    <t>=OFFSET(Yn!$G$5,0,0,COUNTA(Yn!$G:$G)-COUNTA(Yn!$G$1:$G$4)+4,1)</t>
  </si>
  <si>
    <t>yn_fOPrioritisedWorks</t>
  </si>
  <si>
    <t>=OFFSET(Yn!$CO$5,0,0,COUNTA(Yn!$CO:$CO)-COUNTA(Yn!$CO$1:$CO$4)+4,1)</t>
  </si>
  <si>
    <t>yn_fPPrioritisedWorks</t>
  </si>
  <si>
    <t>=OFFSET(Yn!$CM$5,0,0,COUNTA(Yn!$CM:$CM)-COUNTA(Yn!$CM$1:$CM$4)+4,1)</t>
  </si>
  <si>
    <t>yn_LengthGroup</t>
  </si>
  <si>
    <t>=OFFSET(Yn!$EW$5,0,0,COUNTA(Yn!$EW:$EW)-COUNTA(Yn!$EW$1:$EW$4)+4,1)</t>
  </si>
  <si>
    <t>yn_MaintenanceWorkCosts</t>
  </si>
  <si>
    <t>=OFFSET(Yn!$DV$5,0,0,COUNTA(Yn!$DV:$DV)-COUNTA(Yn!$DV$1:$DV$4)+4,1)</t>
  </si>
  <si>
    <t>yn_OriginalECS</t>
  </si>
  <si>
    <t>=OFFSET(Yn!$C$5,0,0,COUNTA(Yn!$C:$C)-COUNTA(Yn!$C$1:$C$4)+4,1)</t>
  </si>
  <si>
    <t>yn_PrioritisedWorksCost</t>
  </si>
  <si>
    <t>=OFFSET(Yn!$DH$5,0,0,COUNTA(Yn!$DH:$DH)-COUNTA(Yn!$DH$1:$DH$4)+4,1)</t>
  </si>
  <si>
    <t>yn_QuantityKeyDimensionSSS</t>
  </si>
  <si>
    <t>=OFFSET(Yn!$FO$5,0,0,COUNTA(Yn!$FO:$FO)-COUNTA(Yn!$FO$1:$FO$4)+4,1)</t>
  </si>
  <si>
    <t>yn_QuantityofDimension</t>
  </si>
  <si>
    <t>=OFFSET(Yn!$FJ$5,0,0,COUNTA(Yn!$FJ:$FJ)-COUNTA(Yn!$FJ$1:$FJ$4)+4,1)</t>
  </si>
  <si>
    <t>yn_RemainingBudgetLastYear</t>
  </si>
  <si>
    <t>=Yn!$FT$16</t>
  </si>
  <si>
    <t>yn_ReplacementCosts</t>
  </si>
  <si>
    <t>=OFFSET(Yn!$DW$5,0,0,COUNTA(Yn!$DW:$DW)-COUNTA(Yn!$DW$1:$DW$4)+4,1)</t>
  </si>
  <si>
    <t>yn_ResultantWorksCost</t>
  </si>
  <si>
    <t>=OFFSET(Yn!$DY$5,0,0,COUNTA(Yn!$DY:$DY)-COUNTA(Yn!$DY$1:$DY$4)+4,1)</t>
  </si>
  <si>
    <t>yn_RetainedValuesOnly</t>
  </si>
  <si>
    <t>=Yn!$FT$5:$FT$64</t>
  </si>
  <si>
    <t>yn_SCIAv</t>
  </si>
  <si>
    <t>=OFFSET(Yn!$FH$5,0,0,COUNTA(Yn!$FH:$FH)-COUNTA(Yn!$FH$1:$FH$4)+4,1)</t>
  </si>
  <si>
    <t>yn_SCIavDimensionforSSCI</t>
  </si>
  <si>
    <t>yn_SCIavDimensionforSSCIxAVF</t>
  </si>
  <si>
    <t>=OFFSET(Yn!$FL$5,0,0,COUNTA(Yn!$FL:$FL)-COUNTA(Yn!$FL$1:$FL$4)+4,1)</t>
  </si>
  <si>
    <t>yn_SCIcritDimensionforSSCI</t>
  </si>
  <si>
    <t>=OFFSET(Yn!$FK$5,0,0,COUNTA(Yn!$FK:$FK)-COUNTA(Yn!$FK$1:$FK$4)+4,1)</t>
  </si>
  <si>
    <t>yn_SCIcritDimensionforSSCIxAVF</t>
  </si>
  <si>
    <t>=OFFSET(Yn!$FM$5,0,0,COUNTA(Yn!$FM:$FM)-COUNTA(Yn!$FM$1:$FM$4)+4,1)</t>
  </si>
  <si>
    <t>yn_StructureIDPrioritisedWorks</t>
  </si>
  <si>
    <t>=OFFSET(Yn!$CI$5,0,0,COUNTA(Yn!$CI:$CI)-COUNTA(Yn!$CI$1:$CI$4)+4,1)</t>
  </si>
  <si>
    <t>yn_StructureRankALLElements</t>
  </si>
  <si>
    <t>=OFFSET(Yn!$BG$5,0,0,COUNTA(Yn!$BG:$BG)-COUNTA(Yn!$BG$1:$BG$4)+4,1)</t>
  </si>
  <si>
    <t>yn_StructureRankDESIREDElements</t>
  </si>
  <si>
    <t>=OFFSET(Yn!$CG$5,0,0,COUNTA(Yn!$CG:$CG)-COUNTA(Yn!$CG$1:$CG$4)+4,1)</t>
  </si>
  <si>
    <t>yn_StructurestobeMaintained</t>
  </si>
  <si>
    <t>=OFFSET(Yn!$DG$5,0,0,COUNTA(Yn!$DG:$DG)-COUNTA(Yn!$DG$1:$DG$4)+4,1)</t>
  </si>
  <si>
    <t>yn_StructuresWithTrafficDelays</t>
  </si>
  <si>
    <t>=OFFSET(Yn!$FD$5,0,0,COUNTA(Yn!$FD:$FD)-COUNTA(Yn!$FD$1:$FD$4)+4,1)</t>
  </si>
  <si>
    <t>yn_SumofALLElementPriorityScores</t>
  </si>
  <si>
    <t>=OFFSET(Yn!$BF$5,0,0,COUNTA(Yn!$BF:$BF)-COUNTA(Yn!$BF$1:$BF$4)+4,1)</t>
  </si>
  <si>
    <t>yn_SumofDESIREDElementPriorityScores</t>
  </si>
  <si>
    <t>=OFFSET(Yn!$CF$5,0,0,COUNTA(Yn!$CF:$CF)-COUNTA(Yn!$CF$1:$CF$4)+4,1)</t>
  </si>
  <si>
    <t>yn_TMCode</t>
  </si>
  <si>
    <t>=OFFSET(Yn!$V$5,0,0,COUNTA(Yn!$V:$V)-COUNTA(Yn!$V$1:$V$4)+4,1)</t>
  </si>
  <si>
    <t>yn_TMDuration</t>
  </si>
  <si>
    <t>=OFFSET(Yn!$W$5,0,0,COUNTA(Yn!$W:$W)-COUNTA(Yn!$W$1:$W$4)+4,1)</t>
  </si>
  <si>
    <t>yn_TMTypes</t>
  </si>
  <si>
    <t>=OFFSET(Yn!$CQ$5:$CY$5,0,0,COUNTA(Yn!$CQ:$CY)-COUNTA(Yn!$CQ$1:$CY$4)+4,9)</t>
  </si>
  <si>
    <t>yn_TotalSchemeCostALLElements</t>
  </si>
  <si>
    <t>=OFFSET(Yn!$CC$5,0,0,COUNTA(Yn!$CC:$CC)-COUNTA(Yn!$CC$1:$CC$4)+4,1)</t>
  </si>
  <si>
    <t>yn_TotalYearsOfAnalysis</t>
  </si>
  <si>
    <t>=Yn!$FS$6</t>
  </si>
  <si>
    <t>yn_TrafficDelayCost</t>
  </si>
  <si>
    <t>=OFFSET(Yn!$FC$5,0,0,COUNTA(Yn!$FC:$FC)-COUNTA(Yn!$FC$1:$FC$4)+4,1)</t>
  </si>
  <si>
    <t>yn_YearofAnalysis</t>
  </si>
  <si>
    <t>=Yn!$FS$5</t>
  </si>
  <si>
    <t>yn_YearsofAnalysis</t>
  </si>
  <si>
    <t>Reference</t>
  </si>
  <si>
    <t>Additional Structure Priority Factor</t>
  </si>
  <si>
    <t>Additional Element Priority Factor</t>
  </si>
  <si>
    <t>Running_3_Analyses</t>
  </si>
  <si>
    <t>Poor condition, ECS4</t>
  </si>
  <si>
    <t>When to intervene:</t>
  </si>
  <si>
    <t>Planned</t>
  </si>
  <si>
    <t>Routine</t>
  </si>
  <si>
    <t>Discounted Planned Maintenance (Capital)</t>
  </si>
  <si>
    <t>Discounted Routine Maintenance (Revenue)</t>
  </si>
  <si>
    <t>Discounted Planned Maint. (Capital):</t>
  </si>
  <si>
    <t>Discounted Routine Maint. (Revenue):</t>
  </si>
  <si>
    <t>Inflation Indexation to Year:</t>
  </si>
  <si>
    <t xml:space="preserve">Quantity of Key Dimension for SSCI for structures in State of Good Repair </t>
  </si>
  <si>
    <t xml:space="preserve"> DRC as % of GRC</t>
  </si>
  <si>
    <t xml:space="preserve"> Full Stock</t>
  </si>
  <si>
    <t>Full Analysis Start &amp; End runtimes</t>
  </si>
  <si>
    <t>Develop a short-term asset management plan, including prioritisation and financial planning, for the structure stock.</t>
  </si>
  <si>
    <t>Develop a long-term asset management plan, including prioritisation and financial planning, for the structure stock.</t>
  </si>
  <si>
    <t>V. poor condition, ECS5</t>
  </si>
  <si>
    <t>Sum of    Full Stock</t>
  </si>
  <si>
    <t>From Yr</t>
  </si>
  <si>
    <t>To Yr</t>
  </si>
  <si>
    <t>Name of Structure</t>
  </si>
  <si>
    <t>Results</t>
  </si>
  <si>
    <t>UKRLG - UK Bridges Board</t>
  </si>
  <si>
    <t>Exposure Rule ID</t>
  </si>
  <si>
    <t>ImportingAssets</t>
  </si>
  <si>
    <t>ConductingFULL</t>
  </si>
  <si>
    <t>[Spare Maintenance Activity 1]</t>
  </si>
  <si>
    <t>[Spare Maintenance Activity 2]</t>
  </si>
  <si>
    <t>[Spare Maintenance Activity 3]</t>
  </si>
  <si>
    <t>[Spare Maintenance Activity 4]</t>
  </si>
  <si>
    <t>[Spare Maintenance Activity 5]</t>
  </si>
  <si>
    <t>[Spare Component/Material Type 1]</t>
  </si>
  <si>
    <t>[Spare Component/Material Type 2]</t>
  </si>
  <si>
    <t>[Spare Component/Material Type 3]</t>
  </si>
  <si>
    <t>Condition or Presence of …?
(Functioning = 2; Not Functioning = 1; Not Present = 0)</t>
  </si>
  <si>
    <t>Condition 
(at the START of N-YEAR of analysis)</t>
  </si>
  <si>
    <t xml:space="preserve"> Element Condition Score (at the START of N-YEAR of analysis)</t>
  </si>
  <si>
    <t>Start Precise ECS 
(at the START of N-YEAR of analysis)</t>
  </si>
  <si>
    <t>Element Condition Factor (ECF) (at the START of N-YEAR of analysis)</t>
  </si>
  <si>
    <t>Element Condition Index (ECI) (at the START of N-YEAR of analysis)</t>
  </si>
  <si>
    <t>End Precise ECS 
(at the END of N-YEAR of analysis)</t>
  </si>
  <si>
    <t xml:space="preserve"> Element Condition Score (at the END of N-YEAR of analysis)</t>
  </si>
  <si>
    <t>Condition 
(at the END of N-YEAR of analysis)</t>
  </si>
  <si>
    <t>STEP 5: Determine traffic delay cost for each structure (column EL to EW)</t>
  </si>
  <si>
    <t>STEP 6: Determine condition metrics for each structure (column EY to FH)</t>
  </si>
  <si>
    <t>STEP 1: Determine condition parameters at element level (Column A to M)</t>
  </si>
  <si>
    <t>STEP 2: Determine traffic delay cost for each structure (column O to Z)</t>
  </si>
  <si>
    <t>STEP 3: Determine condition metrics for each structure (column AB to AL)</t>
  </si>
  <si>
    <t>Rw10.  Carriageway:  Top of Wall</t>
  </si>
  <si>
    <t>Rw12.  Footway/Verge:  Top of Wall</t>
  </si>
  <si>
    <t>Rw14.  Embankment:  Top of Wall</t>
  </si>
  <si>
    <t>Rw11.  Carriageway:  Foot of Wall</t>
  </si>
  <si>
    <t>Rw13.  Footway/Verge:  Foot of Wall</t>
  </si>
  <si>
    <t>Rw15.  Embankment:  Foot of Wall</t>
  </si>
  <si>
    <t>(Priority Adjustment Factor 4)</t>
  </si>
  <si>
    <t>(Priority Adjustment Factor 5)</t>
  </si>
  <si>
    <t>(Priority Adjustment Factor 6)</t>
  </si>
  <si>
    <t>Element Size
(for units, please see the 'Reference_08' worksheet)</t>
  </si>
  <si>
    <t>ROADCON index</t>
  </si>
  <si>
    <t>ROCOS index</t>
  </si>
  <si>
    <t>interim index</t>
  </si>
  <si>
    <t>Table 15.1 Annual Indexation Rates</t>
  </si>
  <si>
    <t>Table 15.2 Factors for Replacement versus Repair</t>
  </si>
  <si>
    <t>Table 15.3 Thresholds for State of Good Repair Indicator</t>
  </si>
  <si>
    <t>Table 15.4 Discount Rates</t>
  </si>
  <si>
    <t>Intervention Threshold</t>
  </si>
  <si>
    <t xml:space="preserve"> </t>
  </si>
  <si>
    <t>The Structures Asset Valuation and Investment (SAVI) Tool is a decision support tool, enabling asset owners, operators and managers to understand the current state and value of their structures stock and plan associated management activities.
The Tool has three functions:
i)  Valuation of structures stock
ii)  Short-term asset management planning (SAMP)
iii)  Long-term asset management planning (LAMP)</t>
  </si>
  <si>
    <t>What is the SAVI Tool?</t>
  </si>
  <si>
    <t xml:space="preserve"> To value the structure stock, click Valuation on the SAVI ribbon</t>
  </si>
  <si>
    <t>To develop a short-term asset management plan, click Short-term AMP on the SAVI ribbon</t>
  </si>
  <si>
    <t>To develop a long-term asset management plan, click Long-term AMP on the SAVI ribbon</t>
  </si>
  <si>
    <t>Relevant Column Number in Matrix of Elements Allowed for the Structure</t>
  </si>
  <si>
    <t>Relevant Column Number in Matrix of Component/Material Types Allowed for the Element</t>
  </si>
  <si>
    <t>Note: a factor less than 1 represents a faster rate of deterioration, a factor greater than 1 represents a slower rate of deterioration.
This applies to the global factor, and the individual component/material factor</t>
  </si>
  <si>
    <t>Excluded from Valuation
(1 = excluded)</t>
  </si>
  <si>
    <t>Structure is in a 'State of Good Repair' if SCIav is greater than:</t>
  </si>
  <si>
    <t>Structure is in a 'State of Good Repair' if SCIcrit is greater than:</t>
  </si>
  <si>
    <t>Element ID
(in this model)</t>
  </si>
  <si>
    <t>Original Condition</t>
  </si>
  <si>
    <t>Original Element Condition Score (ECS)</t>
  </si>
  <si>
    <t>Next ECS</t>
  </si>
  <si>
    <t>Start ECS for prioritisation</t>
  </si>
  <si>
    <t>ECI x EIF</t>
  </si>
  <si>
    <t>ECS, where Element Importance = "Very High" &amp; "High"</t>
  </si>
  <si>
    <t>SCIav x Quantity of Key Dimension for SSCI</t>
  </si>
  <si>
    <t>SCIcrit x Quantity of Key Dimension for SSCI</t>
  </si>
  <si>
    <t>SCIav x Quantity of Key Dimension for SSCI x AVF</t>
  </si>
  <si>
    <t>SCIcrit x Quantity of Key Dimension for SSCI x AVF</t>
  </si>
  <si>
    <t>Individual Structure State (ISS) (1 = State of Good Repair, 0 = Not in state of good repair)</t>
  </si>
  <si>
    <t>CHECK: Valid element</t>
  </si>
  <si>
    <t>CHECK: Total Cost of Planned Works</t>
  </si>
  <si>
    <t>CHECK: location</t>
  </si>
  <si>
    <t>TOTAL CHECKS
Element Inventory</t>
  </si>
  <si>
    <t>TOTAL CHECKS
Element Condition</t>
  </si>
  <si>
    <t>Identifier of
Structure or Group of Structures</t>
  </si>
  <si>
    <t>Valuation Dashboard</t>
  </si>
  <si>
    <t>(Priority Adjustment Factor 2)</t>
  </si>
  <si>
    <t>(Priority Adjustment Factor 3)</t>
  </si>
  <si>
    <t>STEP 3: This section calculates the cost of prioritised works at a structure level, based on elements where intervention is desirable ONLY (column CD to DJ)</t>
  </si>
  <si>
    <t>STEP 3: This section calculates the cost of prioritised works at a structure level, based on elements where intervention is desirable ONLY (column CD to DI)</t>
  </si>
  <si>
    <t>Workbank / Total Scheme Cost (£) (the cost of maintaining all elements which require maintenance)</t>
  </si>
  <si>
    <t>SAVI is currently in Analysis Mode. To input or make any changes to data or parameters, please switch to Edit Data Mode via the SAVI Ribbon.</t>
  </si>
  <si>
    <t>SAVI is currently in Edit Data Mode. Input and changes to data or parameters are permitted. To run Analysis, please close Edit Data Mode via the SAVI Ribbon.</t>
  </si>
  <si>
    <t>No. of structures in the model</t>
  </si>
  <si>
    <t>No. of elements in the model</t>
  </si>
  <si>
    <t>Indexation from 2016/17 calculated using</t>
  </si>
  <si>
    <t>ROCOS Resource Cost Index of Road Construction: Combined</t>
  </si>
  <si>
    <t>Second quarter figures</t>
  </si>
  <si>
    <t>ROCOS value</t>
  </si>
  <si>
    <t>Change year on year</t>
  </si>
  <si>
    <t>ROCOS Index</t>
  </si>
  <si>
    <t>2019-20 Indexation added to Ref 15</t>
  </si>
  <si>
    <t>2022/23</t>
  </si>
  <si>
    <t>SAVI v1.01</t>
  </si>
  <si>
    <t>First release</t>
  </si>
  <si>
    <t>Updated to remove errors in Excel 64 bit</t>
  </si>
  <si>
    <t>Updated to remove Excel 2010 error (reported by West Sussex)</t>
  </si>
  <si>
    <t>Structure</t>
  </si>
  <si>
    <t>Valid</t>
  </si>
  <si>
    <t>Unambiguous</t>
  </si>
  <si>
    <t>AluminiumMild</t>
  </si>
  <si>
    <t>AluminiumModerate</t>
  </si>
  <si>
    <t>AluminiumSevere</t>
  </si>
  <si>
    <t>Anti-Graffiti PaintMild</t>
  </si>
  <si>
    <t>Anti-Graffiti PaintModerate</t>
  </si>
  <si>
    <t>Anti-Graffiti PaintSevere</t>
  </si>
  <si>
    <t>Asphaltic Plug JointMild</t>
  </si>
  <si>
    <t>Asphaltic Plug JointModerate</t>
  </si>
  <si>
    <t>Asphaltic Plug JointSevere</t>
  </si>
  <si>
    <t>Blockwork, i.e. Masonry or StoneMild</t>
  </si>
  <si>
    <t>Blockwork, i.e. Masonry or StoneModerate</t>
  </si>
  <si>
    <t>Blockwork, i.e. Masonry or StoneSevere</t>
  </si>
  <si>
    <t>BrickworkMild</t>
  </si>
  <si>
    <t>BrickworkModerate</t>
  </si>
  <si>
    <t>BrickworkSevere</t>
  </si>
  <si>
    <t>Buried JointMild</t>
  </si>
  <si>
    <t>Buried JointModerate</t>
  </si>
  <si>
    <t>Buried JointSevere</t>
  </si>
  <si>
    <t>Cable-Tied Block MattressesMild</t>
  </si>
  <si>
    <t>Cable-Tied Block MattressesModerate</t>
  </si>
  <si>
    <t>Cable-Tied Block MattressesSevere</t>
  </si>
  <si>
    <t>Cantilever Comb and Tooth JointProtected</t>
  </si>
  <si>
    <t>Cantilever Comb and Tooth JointMild</t>
  </si>
  <si>
    <t>Cantilever Comb and Tooth JointModerate</t>
  </si>
  <si>
    <t>Cantilever Comb and Tooth JointSevere</t>
  </si>
  <si>
    <t>Cantilever Road SignProtected</t>
  </si>
  <si>
    <t>Cantilever Road SignMild</t>
  </si>
  <si>
    <t>Cantilever Road SignModerate</t>
  </si>
  <si>
    <t>Cantilever Road SignSevere</t>
  </si>
  <si>
    <t>Carriageway SurfacingMild</t>
  </si>
  <si>
    <t>Carriageway SurfacingModerate</t>
  </si>
  <si>
    <t>Carriageway SurfacingSevere</t>
  </si>
  <si>
    <t>Cast Iron or Wrought IronProtected</t>
  </si>
  <si>
    <t>Cast Iron or Wrought IronMild</t>
  </si>
  <si>
    <t>Cast Iron or Wrought IronModerate</t>
  </si>
  <si>
    <t>Cast Iron or Wrought IronSevere</t>
  </si>
  <si>
    <t>CladdingMild</t>
  </si>
  <si>
    <t>CladdingModerate</t>
  </si>
  <si>
    <t>CladdingSevere</t>
  </si>
  <si>
    <t>Clay PipeMild</t>
  </si>
  <si>
    <t>Clay PipeModerate</t>
  </si>
  <si>
    <t>Clay PipeSevere</t>
  </si>
  <si>
    <t>ConcreteMild</t>
  </si>
  <si>
    <t>ConcreteModerate</t>
  </si>
  <si>
    <t>ConcreteSevere</t>
  </si>
  <si>
    <t>Concrete Insitu SlabsMild</t>
  </si>
  <si>
    <t>Concrete Insitu SlabsModerate</t>
  </si>
  <si>
    <t>Concrete Insitu SlabsSevere</t>
  </si>
  <si>
    <t>Concrete PipeMild</t>
  </si>
  <si>
    <t>Concrete PipeModerate</t>
  </si>
  <si>
    <t>Concrete PipeSevere</t>
  </si>
  <si>
    <t>Corrugated Rolled SteelProtected</t>
  </si>
  <si>
    <t>Corrugated Rolled SteelMild</t>
  </si>
  <si>
    <t>Corrugated Rolled SteelModerate</t>
  </si>
  <si>
    <t>Corrugated Rolled SteelSevere</t>
  </si>
  <si>
    <t>Direction SignsMild</t>
  </si>
  <si>
    <t>Direction SignsModerate</t>
  </si>
  <si>
    <t>Direction SignsSevere</t>
  </si>
  <si>
    <t>Elastomeric/Reinforced Elastomeric JointProtected</t>
  </si>
  <si>
    <t>Elastomeric/Reinforced Elastomeric JointMild</t>
  </si>
  <si>
    <t>Elastomeric/Reinforced Elastomeric JointModerate</t>
  </si>
  <si>
    <t>Elastomeric/Reinforced Elastomeric JointSevere</t>
  </si>
  <si>
    <t>Elastomeric/RubberMild</t>
  </si>
  <si>
    <t>Elastomeric/RubberModerate</t>
  </si>
  <si>
    <t>Elastomeric/RubberSevere</t>
  </si>
  <si>
    <t>Encased SteelMild</t>
  </si>
  <si>
    <t>Encased SteelModerate</t>
  </si>
  <si>
    <t>Encased SteelSevere</t>
  </si>
  <si>
    <t>Extended Cure Epoxy MIO FinishMild</t>
  </si>
  <si>
    <t>Extended Cure Epoxy MIO FinishModerate</t>
  </si>
  <si>
    <t>Extended Cure Epoxy MIO FinishSevere</t>
  </si>
  <si>
    <t>Fabricated Steel, Rolled Steel, Steel, or Steel PlateProtected</t>
  </si>
  <si>
    <t>Fabricated Steel, Rolled Steel, Steel, or Steel PlateMild</t>
  </si>
  <si>
    <t>Fabricated Steel, Rolled Steel, Steel, or Steel PlateModerate</t>
  </si>
  <si>
    <t>Fabricated Steel, Rolled Steel, Steel, or Steel PlateSevere</t>
  </si>
  <si>
    <t>Footway SurfacingMild</t>
  </si>
  <si>
    <t>Footway SurfacingModerate</t>
  </si>
  <si>
    <t>Footway SurfacingSevere</t>
  </si>
  <si>
    <t>Gabion Mesh MattressesMild</t>
  </si>
  <si>
    <t>Gabion Mesh MattressesModerate</t>
  </si>
  <si>
    <t>Gabion Mesh MattressesSevere</t>
  </si>
  <si>
    <t>GabionsMild</t>
  </si>
  <si>
    <t>GabionsModerate</t>
  </si>
  <si>
    <t>GabionsSevere</t>
  </si>
  <si>
    <t>Grassed Geotextile MatsMild</t>
  </si>
  <si>
    <t>Grassed Geotextile MatsModerate</t>
  </si>
  <si>
    <t>Grassed Geotextile MatsSevere</t>
  </si>
  <si>
    <t>Grease PaintMild</t>
  </si>
  <si>
    <t>Grease PaintModerate</t>
  </si>
  <si>
    <t>Grease PaintSevere</t>
  </si>
  <si>
    <t>Grouted Stone or MasonryMild</t>
  </si>
  <si>
    <t>Grouted Stone or MasonryModerate</t>
  </si>
  <si>
    <t>Grouted Stone or MasonrySevere</t>
  </si>
  <si>
    <t>Grout-Filled Synthetic MattressesMild</t>
  </si>
  <si>
    <t>Grout-Filled Synthetic MattressesModerate</t>
  </si>
  <si>
    <t>Grout-Filled Synthetic MattressesSevere</t>
  </si>
  <si>
    <t>Hand-Placed StoneMild</t>
  </si>
  <si>
    <t>Hand-Placed StoneModerate</t>
  </si>
  <si>
    <t>Hand-Placed StoneSevere</t>
  </si>
  <si>
    <t>High Build Epoxy Hydrocarbon Resin Modified FinishMild</t>
  </si>
  <si>
    <t>High Build Epoxy Hydrocarbon Resin Modified FinishModerate</t>
  </si>
  <si>
    <t>High Build Epoxy Hydrocarbon Resin Modified FinishSevere</t>
  </si>
  <si>
    <t>High Mast LightingProtected</t>
  </si>
  <si>
    <t>High Mast LightingMild</t>
  </si>
  <si>
    <t>High Mast LightingModerate</t>
  </si>
  <si>
    <t>High Mast LightingSevere</t>
  </si>
  <si>
    <t>Information SignsProtected</t>
  </si>
  <si>
    <t>Information SignsMild</t>
  </si>
  <si>
    <t>Information SignsModerate</t>
  </si>
  <si>
    <t>Information SignsSevere</t>
  </si>
  <si>
    <t>Insitu Mass Concrete or Precast Plain ConcreteMild</t>
  </si>
  <si>
    <t>Insitu Mass Concrete or Precast Plain ConcreteModerate</t>
  </si>
  <si>
    <t>Insitu Mass Concrete or Precast Plain ConcreteSevere</t>
  </si>
  <si>
    <t>Insitu Prestressed Concrete (Post-Tensioned)Mild</t>
  </si>
  <si>
    <t>Insitu Prestressed Concrete (Post-Tensioned)Moderate</t>
  </si>
  <si>
    <t>Insitu Prestressed Concrete (Post-Tensioned)Severe</t>
  </si>
  <si>
    <t>Insitu Reinforced ConcreteMild</t>
  </si>
  <si>
    <t>Insitu Reinforced ConcreteModerate</t>
  </si>
  <si>
    <t>Insitu Reinforced ConcreteSevere</t>
  </si>
  <si>
    <t>Internal Drainage SystemProtected</t>
  </si>
  <si>
    <t>Internal Drainage SystemMild</t>
  </si>
  <si>
    <t>Internal Drainage SystemModerate</t>
  </si>
  <si>
    <t>Internal Drainage SystemSevere</t>
  </si>
  <si>
    <t>Iron Base ConnectionsProtected</t>
  </si>
  <si>
    <t>Iron Base ConnectionsMild</t>
  </si>
  <si>
    <t>Iron Base ConnectionsModerate</t>
  </si>
  <si>
    <t>Iron Base ConnectionsSevere</t>
  </si>
  <si>
    <t>MasonryMild</t>
  </si>
  <si>
    <t>MasonryModerate</t>
  </si>
  <si>
    <t>MasonrySevere</t>
  </si>
  <si>
    <t>Metal (External)Protected</t>
  </si>
  <si>
    <t>Metal (External)Mild</t>
  </si>
  <si>
    <t>Metal (External)Moderate</t>
  </si>
  <si>
    <t>Metal (External)Severe</t>
  </si>
  <si>
    <t>MIO High Build Quick Drying Epoxy FinishMild</t>
  </si>
  <si>
    <t>MIO High Build Quick Drying Epoxy FinishModerate</t>
  </si>
  <si>
    <t>MIO High Build Quick Drying Epoxy FinishSevere</t>
  </si>
  <si>
    <t>MIO Phenolic FinishMild</t>
  </si>
  <si>
    <t>MIO Phenolic FinishModerate</t>
  </si>
  <si>
    <t>MIO Phenolic FinishSevere</t>
  </si>
  <si>
    <t>Moisture Cured Polyurethane FinishMild</t>
  </si>
  <si>
    <t>Moisture Cured Polyurethane FinishModerate</t>
  </si>
  <si>
    <t>Moisture Cured Polyurethane FinishSevere</t>
  </si>
  <si>
    <t>Moisture Cured Polyurethane Semi-Gloss FinishMild</t>
  </si>
  <si>
    <t>Moisture Cured Polyurethane Semi-Gloss FinishModerate</t>
  </si>
  <si>
    <t>Moisture Cured Polyurethane Semi-Gloss FinishSevere</t>
  </si>
  <si>
    <t>Movement/Expansion JointMild</t>
  </si>
  <si>
    <t>Movement/Expansion JointModerate</t>
  </si>
  <si>
    <t>Movement/Expansion JointSevere</t>
  </si>
  <si>
    <t>Multi Element Elastomeric in Metal RunnersProtected</t>
  </si>
  <si>
    <t>Multi Element Elastomeric in Metal RunnersMild</t>
  </si>
  <si>
    <t>Multi Element Elastomeric in Metal RunnersModerate</t>
  </si>
  <si>
    <t>Multi Element Elastomeric in Metal RunnersSevere</t>
  </si>
  <si>
    <t>Natural Embankment MaterialMild</t>
  </si>
  <si>
    <t>Natural Embankment MaterialModerate</t>
  </si>
  <si>
    <t>Natural Embankment MaterialSevere</t>
  </si>
  <si>
    <t>Natural InvertMild</t>
  </si>
  <si>
    <t>Natural InvertModerate</t>
  </si>
  <si>
    <t>Natural InvertSevere</t>
  </si>
  <si>
    <t>Nosing JointProtected</t>
  </si>
  <si>
    <t>Nosing JointMild</t>
  </si>
  <si>
    <t>Nosing JointModerate</t>
  </si>
  <si>
    <t>Nosing JointSevere</t>
  </si>
  <si>
    <t>Organic Modified Polysiloxane (Two-Pack) Gloss FinishMild</t>
  </si>
  <si>
    <t>Organic Modified Polysiloxane (Two-Pack) Gloss FinishModerate</t>
  </si>
  <si>
    <t>Organic Modified Polysiloxane (Two-Pack) Gloss FinishSevere</t>
  </si>
  <si>
    <t>Other (External) Drainage SystemProtected</t>
  </si>
  <si>
    <t>Other (External) Drainage SystemMild</t>
  </si>
  <si>
    <t>Other (External) Drainage SystemModerate</t>
  </si>
  <si>
    <t>Other (External) Drainage SystemSevere</t>
  </si>
  <si>
    <t>Other/Unknown Base ConnectionsProtected</t>
  </si>
  <si>
    <t>Other/Unknown Base ConnectionsMild</t>
  </si>
  <si>
    <t>Other/Unknown Base ConnectionsModerate</t>
  </si>
  <si>
    <t>Other/Unknown Base ConnectionsSevere</t>
  </si>
  <si>
    <t>Other/Unknown BearingProtected</t>
  </si>
  <si>
    <t>Other/Unknown BearingMild</t>
  </si>
  <si>
    <t>Other/Unknown BearingModerate</t>
  </si>
  <si>
    <t>Other/Unknown BearingSevere</t>
  </si>
  <si>
    <t>Other/Unknown Drainage SystemProtected</t>
  </si>
  <si>
    <t>Other/Unknown Drainage SystemMild</t>
  </si>
  <si>
    <t>Other/Unknown Drainage SystemModerate</t>
  </si>
  <si>
    <t>Other/Unknown Drainage SystemSevere</t>
  </si>
  <si>
    <t>Other/Unknown Embankment MaterialMild</t>
  </si>
  <si>
    <t>Other/Unknown Embankment MaterialModerate</t>
  </si>
  <si>
    <t>Other/Unknown Embankment MaterialSevere</t>
  </si>
  <si>
    <t>Other/Unknown Expansion JointProtected</t>
  </si>
  <si>
    <t>Other/Unknown Expansion JointMild</t>
  </si>
  <si>
    <t>Other/Unknown Expansion JointModerate</t>
  </si>
  <si>
    <t>Other/Unknown Expansion JointSevere</t>
  </si>
  <si>
    <t>Other/Unknown Handrail/Parapet/Safety FenceProtected</t>
  </si>
  <si>
    <t>Other/Unknown Handrail/Parapet/Safety FenceMild</t>
  </si>
  <si>
    <t>Other/Unknown Handrail/Parapet/Safety FenceModerate</t>
  </si>
  <si>
    <t>Other/Unknown Handrail/Parapet/Safety FenceSevere</t>
  </si>
  <si>
    <t>Other/Unknown Invert MaterialMild</t>
  </si>
  <si>
    <t>Other/Unknown Invert MaterialModerate</t>
  </si>
  <si>
    <t>Other/Unknown Invert MaterialSevere</t>
  </si>
  <si>
    <t>Other/Unknown MaterialMild</t>
  </si>
  <si>
    <t>Other/Unknown MaterialModerate</t>
  </si>
  <si>
    <t>Other/Unknown MaterialSevere</t>
  </si>
  <si>
    <t>Other/Unknown FinishMild</t>
  </si>
  <si>
    <t>Other/Unknown FinishModerate</t>
  </si>
  <si>
    <t>Other/Unknown FinishSevere</t>
  </si>
  <si>
    <t>Other/Unknown RevetmentMild</t>
  </si>
  <si>
    <t>Other/Unknown RevetmentModerate</t>
  </si>
  <si>
    <t>Other/Unknown RevetmentSevere</t>
  </si>
  <si>
    <t>Other/Unknown SignsProtected</t>
  </si>
  <si>
    <t>Other/Unknown SignsMild</t>
  </si>
  <si>
    <t>Other/Unknown SignsModerate</t>
  </si>
  <si>
    <t>Other/Unknown SignsSevere</t>
  </si>
  <si>
    <t>Pitch Epoxy (Two-Pack) Polyamide Cured FinishMild</t>
  </si>
  <si>
    <t>Pitch Epoxy (Two-Pack) Polyamide Cured FinishModerate</t>
  </si>
  <si>
    <t>Pitch Epoxy (Two-Pack) Polyamide Cured FinishSevere</t>
  </si>
  <si>
    <t>Plane SlidingProtected</t>
  </si>
  <si>
    <t>Plane SlidingMild</t>
  </si>
  <si>
    <t>Plane SlidingModerate</t>
  </si>
  <si>
    <t>Plane SlidingSevere</t>
  </si>
  <si>
    <t>Plastic (External)Mild</t>
  </si>
  <si>
    <t>Plastic (External)Moderate</t>
  </si>
  <si>
    <t>Plastic (External)Severe</t>
  </si>
  <si>
    <t>Polyurethane Gloss FinishMild</t>
  </si>
  <si>
    <t>Polyurethane Gloss FinishModerate</t>
  </si>
  <si>
    <t>Polyurethane Gloss FinishSevere</t>
  </si>
  <si>
    <t>PotProtected</t>
  </si>
  <si>
    <t>PotMild</t>
  </si>
  <si>
    <t>PotModerate</t>
  </si>
  <si>
    <t>PotSevere</t>
  </si>
  <si>
    <t>Precast Concrete Blocks - Open Jointed or InterlockingMild</t>
  </si>
  <si>
    <t>Precast Concrete Blocks - Open Jointed or InterlockingModerate</t>
  </si>
  <si>
    <t>Precast Concrete Blocks - Open Jointed or InterlockingSevere</t>
  </si>
  <si>
    <t>Precast Prestressed Concrete (Pre-Tensioned)Mild</t>
  </si>
  <si>
    <t>Precast Prestressed Concrete (Pre-Tensioned)Moderate</t>
  </si>
  <si>
    <t>Precast Prestressed Concrete (Pre-Tensioned)Severe</t>
  </si>
  <si>
    <t>Precast Reinforced ConcreteMild</t>
  </si>
  <si>
    <t>Precast Reinforced ConcreteModerate</t>
  </si>
  <si>
    <t>Precast Reinforced ConcreteSevere</t>
  </si>
  <si>
    <t>Regulatory SignsProtected</t>
  </si>
  <si>
    <t>Regulatory SignsMild</t>
  </si>
  <si>
    <t>Regulatory SignsModerate</t>
  </si>
  <si>
    <t>Regulatory SignsSevere</t>
  </si>
  <si>
    <t>Reinforced SoilMild</t>
  </si>
  <si>
    <t>Reinforced SoilModerate</t>
  </si>
  <si>
    <t>Reinforced SoilSevere</t>
  </si>
  <si>
    <t>RockerProtected</t>
  </si>
  <si>
    <t>RockerMild</t>
  </si>
  <si>
    <t>RockerModerate</t>
  </si>
  <si>
    <t>RockerSevere</t>
  </si>
  <si>
    <t>RollerProtected</t>
  </si>
  <si>
    <t>RollerMild</t>
  </si>
  <si>
    <t>RollerModerate</t>
  </si>
  <si>
    <t>RollerSevere</t>
  </si>
  <si>
    <t>Roller ShutterProtected</t>
  </si>
  <si>
    <t>Roller ShutterMild</t>
  </si>
  <si>
    <t>Roller ShutterModerate</t>
  </si>
  <si>
    <t>Roller ShutterSevere</t>
  </si>
  <si>
    <t>Sign/Signal GantryProtected</t>
  </si>
  <si>
    <t>Sign/Signal GantryMild</t>
  </si>
  <si>
    <t>Sign/Signal GantryModerate</t>
  </si>
  <si>
    <t>Sign/Signal GantrySevere</t>
  </si>
  <si>
    <t>Silicone Alkyd FinishMild</t>
  </si>
  <si>
    <t>Silicone Alkyd FinishModerate</t>
  </si>
  <si>
    <t>Silicone Alkyd FinishSevere</t>
  </si>
  <si>
    <t>Single Element Elastomeric in Metal RunnersProtected</t>
  </si>
  <si>
    <t>Single Element Elastomeric in Metal RunnersMild</t>
  </si>
  <si>
    <t>Single Element Elastomeric in Metal RunnersModerate</t>
  </si>
  <si>
    <t>Single Element Elastomeric in Metal RunnersSevere</t>
  </si>
  <si>
    <t>Sliding PlateProtected</t>
  </si>
  <si>
    <t>Sliding PlateMild</t>
  </si>
  <si>
    <t>Sliding PlateModerate</t>
  </si>
  <si>
    <t>Sliding PlateSevere</t>
  </si>
  <si>
    <t>SphericalProtected</t>
  </si>
  <si>
    <t>SphericalMild</t>
  </si>
  <si>
    <t>SphericalModerate</t>
  </si>
  <si>
    <t>SphericalSevere</t>
  </si>
  <si>
    <t>SteelProtected</t>
  </si>
  <si>
    <t>SteelMild</t>
  </si>
  <si>
    <t>SteelModerate</t>
  </si>
  <si>
    <t>SteelSevere</t>
  </si>
  <si>
    <t>Steel Base ConnectionsProtected</t>
  </si>
  <si>
    <t>Steel Base ConnectionsMild</t>
  </si>
  <si>
    <t>Steel Base ConnectionsModerate</t>
  </si>
  <si>
    <t>Steel Base ConnectionsSevere</t>
  </si>
  <si>
    <t>Steel PilesMild</t>
  </si>
  <si>
    <t>Steel PilesModerate</t>
  </si>
  <si>
    <t>Steel PilesSevere</t>
  </si>
  <si>
    <t>Stone AsphaltMild</t>
  </si>
  <si>
    <t>Stone AsphaltModerate</t>
  </si>
  <si>
    <t>Stone AsphaltSevere</t>
  </si>
  <si>
    <t>Stone Rip-RapMild</t>
  </si>
  <si>
    <t>Stone Rip-RapModerate</t>
  </si>
  <si>
    <t>Stone Rip-RapSevere</t>
  </si>
  <si>
    <t>Thixotropic BitumenMild</t>
  </si>
  <si>
    <t>Thixotropic BitumenModerate</t>
  </si>
  <si>
    <t>Thixotropic BitumenSevere</t>
  </si>
  <si>
    <t>TilesMild</t>
  </si>
  <si>
    <t>TilesModerate</t>
  </si>
  <si>
    <t>TilesSevere</t>
  </si>
  <si>
    <t>Timber (Hardwood not Treated)Mild</t>
  </si>
  <si>
    <t>Timber (Hardwood not Treated)Moderate</t>
  </si>
  <si>
    <t>Timber (Hardwood not Treated)Severe</t>
  </si>
  <si>
    <t>Vinyl/Vinyl Copolymer MIO Zinc Phosphate FinishMild</t>
  </si>
  <si>
    <t>Vinyl/Vinyl Copolymer MIO Zinc Phosphate FinishModerate</t>
  </si>
  <si>
    <t>Vinyl/Vinyl Copolymer MIO Zinc Phosphate FinishSevere</t>
  </si>
  <si>
    <t>Vinyl/Vinyl Copolymer Sheen FinishMild</t>
  </si>
  <si>
    <t>Vinyl/Vinyl Copolymer Sheen FinishModerate</t>
  </si>
  <si>
    <t>Vinyl/Vinyl Copolymer Sheen FinishSevere</t>
  </si>
  <si>
    <t>Warning SignsProtected</t>
  </si>
  <si>
    <t>Warning SignsMild</t>
  </si>
  <si>
    <t>Warning SignsModerate</t>
  </si>
  <si>
    <t>Warning SignsSevere</t>
  </si>
  <si>
    <t>Water Based Epoxy Sheen FinishMild</t>
  </si>
  <si>
    <t>Water Based Epoxy Sheen FinishModerate</t>
  </si>
  <si>
    <t>Water Based Epoxy Sheen FinishSevere</t>
  </si>
  <si>
    <t>Weathering SteelMild</t>
  </si>
  <si>
    <t>Weathering SteelModerate</t>
  </si>
  <si>
    <t>Weathering SteelSevere</t>
  </si>
  <si>
    <t>AluminiumAverage</t>
  </si>
  <si>
    <t>Anti-Graffiti PaintAverage</t>
  </si>
  <si>
    <t>Asphaltic Plug JointAverage</t>
  </si>
  <si>
    <t>Blockwork, i.e. Masonry or StoneAverage</t>
  </si>
  <si>
    <t>Boarded SystemsAverage</t>
  </si>
  <si>
    <t>BrickworkAverage</t>
  </si>
  <si>
    <t>Buried JointAverage</t>
  </si>
  <si>
    <t>Cable-Tied Block MattressesAverage</t>
  </si>
  <si>
    <t>Cantilever Comb and Tooth JointAverage</t>
  </si>
  <si>
    <t>Cantilever Road SignAverage</t>
  </si>
  <si>
    <t>Carriageway SurfacingAverage</t>
  </si>
  <si>
    <t>Cast Iron or Wrought IronAverage</t>
  </si>
  <si>
    <t>CladdingAverage</t>
  </si>
  <si>
    <t>Clay PipeAverage</t>
  </si>
  <si>
    <t>ConcreteAverage</t>
  </si>
  <si>
    <t>Concrete Insitu SlabsAverage</t>
  </si>
  <si>
    <t>Concrete PipeAverage</t>
  </si>
  <si>
    <t>Corrugated Rolled SteelAverage</t>
  </si>
  <si>
    <t>Direction SignsAverage</t>
  </si>
  <si>
    <t>Elastomeric/Reinforced Elastomeric JointAverage</t>
  </si>
  <si>
    <t>Elastomeric/RubberAverage</t>
  </si>
  <si>
    <t>Encased SteelAverage</t>
  </si>
  <si>
    <t>Extended Cure Epoxy MIO FinishAverage</t>
  </si>
  <si>
    <t>Fabricated Steel, Rolled Steel, Steel, or Steel PlateAverage</t>
  </si>
  <si>
    <t>Footway SurfacingAverage</t>
  </si>
  <si>
    <t>Foundation MaterialAverage</t>
  </si>
  <si>
    <t>Gabion Mesh MattressesAverage</t>
  </si>
  <si>
    <t>GabionsAverage</t>
  </si>
  <si>
    <t>Grassed Geotextile MatsAverage</t>
  </si>
  <si>
    <t>Grease PaintAverage</t>
  </si>
  <si>
    <t>Grouted Stone or MasonryAverage</t>
  </si>
  <si>
    <t>Grout-Filled Synthetic MattressesAverage</t>
  </si>
  <si>
    <t>Hand-Placed StoneAverage</t>
  </si>
  <si>
    <t>High Build Epoxy Hydrocarbon Resin Modified FinishAverage</t>
  </si>
  <si>
    <t>High Mast LightingAverage</t>
  </si>
  <si>
    <t>Information SignsAverage</t>
  </si>
  <si>
    <t>Insitu Mass Concrete or Precast Plain ConcreteAverage</t>
  </si>
  <si>
    <t>Insitu Prestressed Concrete (Post-Tensioned)Average</t>
  </si>
  <si>
    <t>Insitu Reinforced ConcreteAverage</t>
  </si>
  <si>
    <t>Internal Drainage SystemAverage</t>
  </si>
  <si>
    <t>Iron Base ConnectionsAverage</t>
  </si>
  <si>
    <t>MasonryAverage</t>
  </si>
  <si>
    <t>Mastic AsphaltAverage</t>
  </si>
  <si>
    <t>Metal (External)Average</t>
  </si>
  <si>
    <t>MIO High Build Quick Drying Epoxy FinishAverage</t>
  </si>
  <si>
    <t>MIO Phenolic FinishAverage</t>
  </si>
  <si>
    <t>Moisture Cured Polyurethane FinishAverage</t>
  </si>
  <si>
    <t>Moisture Cured Polyurethane Semi-Gloss FinishAverage</t>
  </si>
  <si>
    <t>Movement/Expansion JointAverage</t>
  </si>
  <si>
    <t>Multi Element Elastomeric in Metal RunnersAverage</t>
  </si>
  <si>
    <t>Natural Embankment MaterialAverage</t>
  </si>
  <si>
    <t>Natural InvertAverage</t>
  </si>
  <si>
    <t>Nosing JointAverage</t>
  </si>
  <si>
    <t>Organic Modified Polysiloxane (Two-Pack) Gloss FinishAverage</t>
  </si>
  <si>
    <t>Other (External) Drainage SystemAverage</t>
  </si>
  <si>
    <t>Other/Unknown Base ConnectionsAverage</t>
  </si>
  <si>
    <t>Other/Unknown BearingAverage</t>
  </si>
  <si>
    <t>Other/Unknown Drainage SystemAverage</t>
  </si>
  <si>
    <t>Other/Unknown Embankment MaterialAverage</t>
  </si>
  <si>
    <t>Other/Unknown Expansion JointAverage</t>
  </si>
  <si>
    <t>Other/Unknown Handrail/Parapet/Safety FenceAverage</t>
  </si>
  <si>
    <t>Other/Unknown Invert MaterialAverage</t>
  </si>
  <si>
    <t>Other/Unknown MaterialAverage</t>
  </si>
  <si>
    <t>Other/Unknown FinishAverage</t>
  </si>
  <si>
    <t>Other/Unknown RevetmentAverage</t>
  </si>
  <si>
    <t>Other/Unknown SignsAverage</t>
  </si>
  <si>
    <t>Other/Unknown WaterproofingAverage</t>
  </si>
  <si>
    <t>Pitch Epoxy (Two-Pack) Polyamide Cured FinishAverage</t>
  </si>
  <si>
    <t>Plane SlidingAverage</t>
  </si>
  <si>
    <t>Plastic (External)Average</t>
  </si>
  <si>
    <t>Polyurethane Gloss FinishAverage</t>
  </si>
  <si>
    <t>PotAverage</t>
  </si>
  <si>
    <t>Precast Concrete Blocks - Open Jointed or InterlockingAverage</t>
  </si>
  <si>
    <t>Precast Prestressed Concrete (Pre-Tensioned)Average</t>
  </si>
  <si>
    <t>Precast Reinforced ConcreteAverage</t>
  </si>
  <si>
    <t>Regulatory SignsAverage</t>
  </si>
  <si>
    <t>Reinforced SoilAverage</t>
  </si>
  <si>
    <t>RockerAverage</t>
  </si>
  <si>
    <t>RollerAverage</t>
  </si>
  <si>
    <t>Roller ShutterAverage</t>
  </si>
  <si>
    <t>Sheet SystemsAverage</t>
  </si>
  <si>
    <t>Sign/Signal GantryAverage</t>
  </si>
  <si>
    <t>Silicone Alkyd FinishAverage</t>
  </si>
  <si>
    <t>Single Element Elastomeric in Metal RunnersAverage</t>
  </si>
  <si>
    <t>Sliding PlateAverage</t>
  </si>
  <si>
    <t>SphericalAverage</t>
  </si>
  <si>
    <t>Spray SystemsAverage</t>
  </si>
  <si>
    <t>SteelAverage</t>
  </si>
  <si>
    <t>Steel Base ConnectionsAverage</t>
  </si>
  <si>
    <t>Steel PilesAverage</t>
  </si>
  <si>
    <t>Stone AsphaltAverage</t>
  </si>
  <si>
    <t>Stone Rip-RapAverage</t>
  </si>
  <si>
    <t>Thixotropic BitumenAverage</t>
  </si>
  <si>
    <t>TilesAverage</t>
  </si>
  <si>
    <t>Timber (Hardwood not Treated)Average</t>
  </si>
  <si>
    <t>Vinyl/Vinyl Copolymer MIO Zinc Phosphate FinishAverage</t>
  </si>
  <si>
    <t>Vinyl/Vinyl Copolymer Sheen FinishAverage</t>
  </si>
  <si>
    <t>Warning SignsAverage</t>
  </si>
  <si>
    <t>Water Based Epoxy Sheen FinishAverage</t>
  </si>
  <si>
    <t>Weathering SteelAverage</t>
  </si>
  <si>
    <t>The component/material type is not recognised.</t>
  </si>
  <si>
    <t>3CMIO Phenolic FinishMild</t>
  </si>
  <si>
    <t>N/AMIO Phenolic FinishMild</t>
  </si>
  <si>
    <t>3DMIO Phenolic FinishMild</t>
  </si>
  <si>
    <t>3EMIO Phenolic FinishMild</t>
  </si>
  <si>
    <t>4BMIO Phenolic FinishMild</t>
  </si>
  <si>
    <t>4CMIO Phenolic FinishMild</t>
  </si>
  <si>
    <t>4DMIO Phenolic FinishMild</t>
  </si>
  <si>
    <t>4EMIO Phenolic FinishMild</t>
  </si>
  <si>
    <t>5BMIO Phenolic FinishMild</t>
  </si>
  <si>
    <t>5CMIO Phenolic FinishMild</t>
  </si>
  <si>
    <t>5DMIO Phenolic FinishMild</t>
  </si>
  <si>
    <t>5EMIO Phenolic FinishMild</t>
  </si>
  <si>
    <t>3CMIO Phenolic FinishModerate</t>
  </si>
  <si>
    <t>N/AMIO Phenolic FinishModerate</t>
  </si>
  <si>
    <t>3DMIO Phenolic FinishModerate</t>
  </si>
  <si>
    <t>3EMIO Phenolic FinishModerate</t>
  </si>
  <si>
    <t>4BMIO Phenolic FinishModerate</t>
  </si>
  <si>
    <t>4CMIO Phenolic FinishModerate</t>
  </si>
  <si>
    <t>4DMIO Phenolic FinishModerate</t>
  </si>
  <si>
    <t>4EMIO Phenolic FinishModerate</t>
  </si>
  <si>
    <t>5BMIO Phenolic FinishModerate</t>
  </si>
  <si>
    <t>5CMIO Phenolic FinishModerate</t>
  </si>
  <si>
    <t>5DMIO Phenolic FinishModerate</t>
  </si>
  <si>
    <t>5EMIO Phenolic FinishModerate</t>
  </si>
  <si>
    <t>3CMIO Phenolic FinishSevere</t>
  </si>
  <si>
    <t>N/AMIO Phenolic FinishSevere</t>
  </si>
  <si>
    <t>3DMIO Phenolic FinishSevere</t>
  </si>
  <si>
    <t>3EMIO Phenolic FinishSevere</t>
  </si>
  <si>
    <t>4BMIO Phenolic FinishSevere</t>
  </si>
  <si>
    <t>4CMIO Phenolic FinishSevere</t>
  </si>
  <si>
    <t>4DMIO Phenolic FinishSevere</t>
  </si>
  <si>
    <t>4EMIO Phenolic FinishSevere</t>
  </si>
  <si>
    <t>5BMIO Phenolic FinishSevere</t>
  </si>
  <si>
    <t>5CMIO Phenolic FinishSevere</t>
  </si>
  <si>
    <t>5DMIO Phenolic FinishSevere</t>
  </si>
  <si>
    <t>5EMIO Phenolic FinishSevere</t>
  </si>
  <si>
    <t>3CSilicone Alkyd FinishMild</t>
  </si>
  <si>
    <t>N/ASilicone Alkyd FinishMild</t>
  </si>
  <si>
    <t>3DSilicone Alkyd FinishMild</t>
  </si>
  <si>
    <t>3ESilicone Alkyd FinishMild</t>
  </si>
  <si>
    <t>4BSilicone Alkyd FinishMild</t>
  </si>
  <si>
    <t>4CSilicone Alkyd FinishMild</t>
  </si>
  <si>
    <t>4DSilicone Alkyd FinishMild</t>
  </si>
  <si>
    <t>4ESilicone Alkyd FinishMild</t>
  </si>
  <si>
    <t>5BSilicone Alkyd FinishMild</t>
  </si>
  <si>
    <t>5CSilicone Alkyd FinishMild</t>
  </si>
  <si>
    <t>5DSilicone Alkyd FinishMild</t>
  </si>
  <si>
    <t>5ESilicone Alkyd FinishMild</t>
  </si>
  <si>
    <t>3CSilicone Alkyd FinishModerate</t>
  </si>
  <si>
    <t>N/ASilicone Alkyd FinishModerate</t>
  </si>
  <si>
    <t>3DSilicone Alkyd FinishModerate</t>
  </si>
  <si>
    <t>3ESilicone Alkyd FinishModerate</t>
  </si>
  <si>
    <t>4BSilicone Alkyd FinishModerate</t>
  </si>
  <si>
    <t>4CSilicone Alkyd FinishModerate</t>
  </si>
  <si>
    <t>4DSilicone Alkyd FinishModerate</t>
  </si>
  <si>
    <t>4ESilicone Alkyd FinishModerate</t>
  </si>
  <si>
    <t>5BSilicone Alkyd FinishModerate</t>
  </si>
  <si>
    <t>5CSilicone Alkyd FinishModerate</t>
  </si>
  <si>
    <t>5DSilicone Alkyd FinishModerate</t>
  </si>
  <si>
    <t>5ESilicone Alkyd FinishModerate</t>
  </si>
  <si>
    <t>3CSilicone Alkyd FinishSevere</t>
  </si>
  <si>
    <t>N/ASilicone Alkyd FinishSevere</t>
  </si>
  <si>
    <t>3DSilicone Alkyd FinishSevere</t>
  </si>
  <si>
    <t>3ESilicone Alkyd FinishSevere</t>
  </si>
  <si>
    <t>4BSilicone Alkyd FinishSevere</t>
  </si>
  <si>
    <t>4CSilicone Alkyd FinishSevere</t>
  </si>
  <si>
    <t>4DSilicone Alkyd FinishSevere</t>
  </si>
  <si>
    <t>4ESilicone Alkyd FinishSevere</t>
  </si>
  <si>
    <t>5BSilicone Alkyd FinishSevere</t>
  </si>
  <si>
    <t>5CSilicone Alkyd FinishSevere</t>
  </si>
  <si>
    <t>5DSilicone Alkyd FinishSevere</t>
  </si>
  <si>
    <t>5ESilicone Alkyd FinishSevere</t>
  </si>
  <si>
    <t>3CMIO High Build Quick Drying Epoxy FinishMild</t>
  </si>
  <si>
    <t>N/AMIO High Build Quick Drying Epoxy FinishMild</t>
  </si>
  <si>
    <t>3DMIO High Build Quick Drying Epoxy FinishMild</t>
  </si>
  <si>
    <t>3EMIO High Build Quick Drying Epoxy FinishMild</t>
  </si>
  <si>
    <t>4BMIO High Build Quick Drying Epoxy FinishMild</t>
  </si>
  <si>
    <t>4CMIO High Build Quick Drying Epoxy FinishMild</t>
  </si>
  <si>
    <t>4DMIO High Build Quick Drying Epoxy FinishMild</t>
  </si>
  <si>
    <t>4EMIO High Build Quick Drying Epoxy FinishMild</t>
  </si>
  <si>
    <t>5BMIO High Build Quick Drying Epoxy FinishMild</t>
  </si>
  <si>
    <t>5CMIO High Build Quick Drying Epoxy FinishMild</t>
  </si>
  <si>
    <t>5DMIO High Build Quick Drying Epoxy FinishMild</t>
  </si>
  <si>
    <t>5EMIO High Build Quick Drying Epoxy FinishMild</t>
  </si>
  <si>
    <t>3CMIO High Build Quick Drying Epoxy FinishModerate</t>
  </si>
  <si>
    <t>N/AMIO High Build Quick Drying Epoxy FinishModerate</t>
  </si>
  <si>
    <t>3DMIO High Build Quick Drying Epoxy FinishModerate</t>
  </si>
  <si>
    <t>3EMIO High Build Quick Drying Epoxy FinishModerate</t>
  </si>
  <si>
    <t>4BMIO High Build Quick Drying Epoxy FinishModerate</t>
  </si>
  <si>
    <t>4CMIO High Build Quick Drying Epoxy FinishModerate</t>
  </si>
  <si>
    <t>4DMIO High Build Quick Drying Epoxy FinishModerate</t>
  </si>
  <si>
    <t>4EMIO High Build Quick Drying Epoxy FinishModerate</t>
  </si>
  <si>
    <t>5BMIO High Build Quick Drying Epoxy FinishModerate</t>
  </si>
  <si>
    <t>5CMIO High Build Quick Drying Epoxy FinishModerate</t>
  </si>
  <si>
    <t>5DMIO High Build Quick Drying Epoxy FinishModerate</t>
  </si>
  <si>
    <t>5EMIO High Build Quick Drying Epoxy FinishModerate</t>
  </si>
  <si>
    <t>3CMIO High Build Quick Drying Epoxy FinishSevere</t>
  </si>
  <si>
    <t>N/AMIO High Build Quick Drying Epoxy FinishSevere</t>
  </si>
  <si>
    <t>3DMIO High Build Quick Drying Epoxy FinishSevere</t>
  </si>
  <si>
    <t>3EMIO High Build Quick Drying Epoxy FinishSevere</t>
  </si>
  <si>
    <t>4BMIO High Build Quick Drying Epoxy FinishSevere</t>
  </si>
  <si>
    <t>4CMIO High Build Quick Drying Epoxy FinishSevere</t>
  </si>
  <si>
    <t>4DMIO High Build Quick Drying Epoxy FinishSevere</t>
  </si>
  <si>
    <t>4EMIO High Build Quick Drying Epoxy FinishSevere</t>
  </si>
  <si>
    <t>5BMIO High Build Quick Drying Epoxy FinishSevere</t>
  </si>
  <si>
    <t>5CMIO High Build Quick Drying Epoxy FinishSevere</t>
  </si>
  <si>
    <t>5DMIO High Build Quick Drying Epoxy FinishSevere</t>
  </si>
  <si>
    <t>5EMIO High Build Quick Drying Epoxy FinishSevere</t>
  </si>
  <si>
    <t>3CWater Based Epoxy Sheen FinishMild</t>
  </si>
  <si>
    <t>N/AWater Based Epoxy Sheen FinishMild</t>
  </si>
  <si>
    <t>3DWater Based Epoxy Sheen FinishMild</t>
  </si>
  <si>
    <t>3EWater Based Epoxy Sheen FinishMild</t>
  </si>
  <si>
    <t>4BWater Based Epoxy Sheen FinishMild</t>
  </si>
  <si>
    <t>4CWater Based Epoxy Sheen FinishMild</t>
  </si>
  <si>
    <t>4DWater Based Epoxy Sheen FinishMild</t>
  </si>
  <si>
    <t>4EWater Based Epoxy Sheen FinishMild</t>
  </si>
  <si>
    <t>5BWater Based Epoxy Sheen FinishMild</t>
  </si>
  <si>
    <t>5CWater Based Epoxy Sheen FinishMild</t>
  </si>
  <si>
    <t>5DWater Based Epoxy Sheen FinishMild</t>
  </si>
  <si>
    <t>5EWater Based Epoxy Sheen FinishMild</t>
  </si>
  <si>
    <t>3CWater Based Epoxy Sheen FinishModerate</t>
  </si>
  <si>
    <t>N/AWater Based Epoxy Sheen FinishModerate</t>
  </si>
  <si>
    <t>3DWater Based Epoxy Sheen FinishModerate</t>
  </si>
  <si>
    <t>3EWater Based Epoxy Sheen FinishModerate</t>
  </si>
  <si>
    <t>4BWater Based Epoxy Sheen FinishModerate</t>
  </si>
  <si>
    <t>4CWater Based Epoxy Sheen FinishModerate</t>
  </si>
  <si>
    <t>4DWater Based Epoxy Sheen FinishModerate</t>
  </si>
  <si>
    <t>4EWater Based Epoxy Sheen FinishModerate</t>
  </si>
  <si>
    <t>5BWater Based Epoxy Sheen FinishModerate</t>
  </si>
  <si>
    <t>5CWater Based Epoxy Sheen FinishModerate</t>
  </si>
  <si>
    <t>5DWater Based Epoxy Sheen FinishModerate</t>
  </si>
  <si>
    <t>5EWater Based Epoxy Sheen FinishModerate</t>
  </si>
  <si>
    <t>3CWater Based Epoxy Sheen FinishSevere</t>
  </si>
  <si>
    <t>N/AWater Based Epoxy Sheen FinishSevere</t>
  </si>
  <si>
    <t>3DWater Based Epoxy Sheen FinishSevere</t>
  </si>
  <si>
    <t>3EWater Based Epoxy Sheen FinishSevere</t>
  </si>
  <si>
    <t>4BWater Based Epoxy Sheen FinishSevere</t>
  </si>
  <si>
    <t>4CWater Based Epoxy Sheen FinishSevere</t>
  </si>
  <si>
    <t>4DWater Based Epoxy Sheen FinishSevere</t>
  </si>
  <si>
    <t>4EWater Based Epoxy Sheen FinishSevere</t>
  </si>
  <si>
    <t>5BWater Based Epoxy Sheen FinishSevere</t>
  </si>
  <si>
    <t>5CWater Based Epoxy Sheen FinishSevere</t>
  </si>
  <si>
    <t>5DWater Based Epoxy Sheen FinishSevere</t>
  </si>
  <si>
    <t>5EWater Based Epoxy Sheen FinishSevere</t>
  </si>
  <si>
    <t>3CExtended Cure Epoxy MIO FinishMild</t>
  </si>
  <si>
    <t>N/AExtended Cure Epoxy MIO FinishMild</t>
  </si>
  <si>
    <t>3DExtended Cure Epoxy MIO FinishMild</t>
  </si>
  <si>
    <t>3EExtended Cure Epoxy MIO FinishMild</t>
  </si>
  <si>
    <t>4BExtended Cure Epoxy MIO FinishMild</t>
  </si>
  <si>
    <t>4CExtended Cure Epoxy MIO FinishMild</t>
  </si>
  <si>
    <t>4DExtended Cure Epoxy MIO FinishMild</t>
  </si>
  <si>
    <t>4EExtended Cure Epoxy MIO FinishMild</t>
  </si>
  <si>
    <t>5BExtended Cure Epoxy MIO FinishMild</t>
  </si>
  <si>
    <t>5CExtended Cure Epoxy MIO FinishMild</t>
  </si>
  <si>
    <t>5DExtended Cure Epoxy MIO FinishMild</t>
  </si>
  <si>
    <t>5EExtended Cure Epoxy MIO FinishMild</t>
  </si>
  <si>
    <t>3CExtended Cure Epoxy MIO FinishModerate</t>
  </si>
  <si>
    <t>N/AExtended Cure Epoxy MIO FinishModerate</t>
  </si>
  <si>
    <t>3DExtended Cure Epoxy MIO FinishModerate</t>
  </si>
  <si>
    <t>3EExtended Cure Epoxy MIO FinishModerate</t>
  </si>
  <si>
    <t>4BExtended Cure Epoxy MIO FinishModerate</t>
  </si>
  <si>
    <t>4CExtended Cure Epoxy MIO FinishModerate</t>
  </si>
  <si>
    <t>4DExtended Cure Epoxy MIO FinishModerate</t>
  </si>
  <si>
    <t>4EExtended Cure Epoxy MIO FinishModerate</t>
  </si>
  <si>
    <t>5BExtended Cure Epoxy MIO FinishModerate</t>
  </si>
  <si>
    <t>5CExtended Cure Epoxy MIO FinishModerate</t>
  </si>
  <si>
    <t>5DExtended Cure Epoxy MIO FinishModerate</t>
  </si>
  <si>
    <t>5EExtended Cure Epoxy MIO FinishModerate</t>
  </si>
  <si>
    <t>3CExtended Cure Epoxy MIO FinishSevere</t>
  </si>
  <si>
    <t>N/AExtended Cure Epoxy MIO FinishSevere</t>
  </si>
  <si>
    <t>3DExtended Cure Epoxy MIO FinishSevere</t>
  </si>
  <si>
    <t>3EExtended Cure Epoxy MIO FinishSevere</t>
  </si>
  <si>
    <t>4BExtended Cure Epoxy MIO FinishSevere</t>
  </si>
  <si>
    <t>4CExtended Cure Epoxy MIO FinishSevere</t>
  </si>
  <si>
    <t>4DExtended Cure Epoxy MIO FinishSevere</t>
  </si>
  <si>
    <t>4EExtended Cure Epoxy MIO FinishSevere</t>
  </si>
  <si>
    <t>5BExtended Cure Epoxy MIO FinishSevere</t>
  </si>
  <si>
    <t>5CExtended Cure Epoxy MIO FinishSevere</t>
  </si>
  <si>
    <t>5DExtended Cure Epoxy MIO FinishSevere</t>
  </si>
  <si>
    <t>5EExtended Cure Epoxy MIO FinishSevere</t>
  </si>
  <si>
    <t>3CVinyl/Vinyl Copolymer MIO Zinc Phosphate FinishMild</t>
  </si>
  <si>
    <t>N/AVinyl/Vinyl Copolymer MIO Zinc Phosphate FinishMild</t>
  </si>
  <si>
    <t>3DVinyl/Vinyl Copolymer MIO Zinc Phosphate FinishMild</t>
  </si>
  <si>
    <t>3EVinyl/Vinyl Copolymer MIO Zinc Phosphate FinishMild</t>
  </si>
  <si>
    <t>4BVinyl/Vinyl Copolymer MIO Zinc Phosphate FinishMild</t>
  </si>
  <si>
    <t>4CVinyl/Vinyl Copolymer MIO Zinc Phosphate FinishMild</t>
  </si>
  <si>
    <t>4DVinyl/Vinyl Copolymer MIO Zinc Phosphate FinishMild</t>
  </si>
  <si>
    <t>4EVinyl/Vinyl Copolymer MIO Zinc Phosphate FinishMild</t>
  </si>
  <si>
    <t>5BVinyl/Vinyl Copolymer MIO Zinc Phosphate FinishMild</t>
  </si>
  <si>
    <t>5CVinyl/Vinyl Copolymer MIO Zinc Phosphate FinishMild</t>
  </si>
  <si>
    <t>5DVinyl/Vinyl Copolymer MIO Zinc Phosphate FinishMild</t>
  </si>
  <si>
    <t>5EVinyl/Vinyl Copolymer MIO Zinc Phosphate FinishMild</t>
  </si>
  <si>
    <t>3CVinyl/Vinyl Copolymer MIO Zinc Phosphate FinishModerate</t>
  </si>
  <si>
    <t>N/AVinyl/Vinyl Copolymer MIO Zinc Phosphate FinishModerate</t>
  </si>
  <si>
    <t>3DVinyl/Vinyl Copolymer MIO Zinc Phosphate FinishModerate</t>
  </si>
  <si>
    <t>3EVinyl/Vinyl Copolymer MIO Zinc Phosphate FinishModerate</t>
  </si>
  <si>
    <t>4BVinyl/Vinyl Copolymer MIO Zinc Phosphate FinishModerate</t>
  </si>
  <si>
    <t>4CVinyl/Vinyl Copolymer MIO Zinc Phosphate FinishModerate</t>
  </si>
  <si>
    <t>4DVinyl/Vinyl Copolymer MIO Zinc Phosphate FinishModerate</t>
  </si>
  <si>
    <t>4EVinyl/Vinyl Copolymer MIO Zinc Phosphate FinishModerate</t>
  </si>
  <si>
    <t>5BVinyl/Vinyl Copolymer MIO Zinc Phosphate FinishModerate</t>
  </si>
  <si>
    <t>5CVinyl/Vinyl Copolymer MIO Zinc Phosphate FinishModerate</t>
  </si>
  <si>
    <t>5DVinyl/Vinyl Copolymer MIO Zinc Phosphate FinishModerate</t>
  </si>
  <si>
    <t>5EVinyl/Vinyl Copolymer MIO Zinc Phosphate FinishModerate</t>
  </si>
  <si>
    <t>3CVinyl/Vinyl Copolymer MIO Zinc Phosphate FinishSevere</t>
  </si>
  <si>
    <t>N/AVinyl/Vinyl Copolymer MIO Zinc Phosphate FinishSevere</t>
  </si>
  <si>
    <t>3DVinyl/Vinyl Copolymer MIO Zinc Phosphate FinishSevere</t>
  </si>
  <si>
    <t>3EVinyl/Vinyl Copolymer MIO Zinc Phosphate FinishSevere</t>
  </si>
  <si>
    <t>4BVinyl/Vinyl Copolymer MIO Zinc Phosphate FinishSevere</t>
  </si>
  <si>
    <t>4CVinyl/Vinyl Copolymer MIO Zinc Phosphate FinishSevere</t>
  </si>
  <si>
    <t>4DVinyl/Vinyl Copolymer MIO Zinc Phosphate FinishSevere</t>
  </si>
  <si>
    <t>4EVinyl/Vinyl Copolymer MIO Zinc Phosphate FinishSevere</t>
  </si>
  <si>
    <t>5BVinyl/Vinyl Copolymer MIO Zinc Phosphate FinishSevere</t>
  </si>
  <si>
    <t>5CVinyl/Vinyl Copolymer MIO Zinc Phosphate FinishSevere</t>
  </si>
  <si>
    <t>5DVinyl/Vinyl Copolymer MIO Zinc Phosphate FinishSevere</t>
  </si>
  <si>
    <t>5EVinyl/Vinyl Copolymer MIO Zinc Phosphate FinishSevere</t>
  </si>
  <si>
    <t>3CVinyl/Vinyl Copolymer Sheen FinishMild</t>
  </si>
  <si>
    <t>N/AVinyl/Vinyl Copolymer Sheen FinishMild</t>
  </si>
  <si>
    <t>3DVinyl/Vinyl Copolymer Sheen FinishMild</t>
  </si>
  <si>
    <t>3EVinyl/Vinyl Copolymer Sheen FinishMild</t>
  </si>
  <si>
    <t>4BVinyl/Vinyl Copolymer Sheen FinishMild</t>
  </si>
  <si>
    <t>4CVinyl/Vinyl Copolymer Sheen FinishMild</t>
  </si>
  <si>
    <t>4DVinyl/Vinyl Copolymer Sheen FinishMild</t>
  </si>
  <si>
    <t>4EVinyl/Vinyl Copolymer Sheen FinishMild</t>
  </si>
  <si>
    <t>5BVinyl/Vinyl Copolymer Sheen FinishMild</t>
  </si>
  <si>
    <t>5CVinyl/Vinyl Copolymer Sheen FinishMild</t>
  </si>
  <si>
    <t>5DVinyl/Vinyl Copolymer Sheen FinishMild</t>
  </si>
  <si>
    <t>5EVinyl/Vinyl Copolymer Sheen FinishMild</t>
  </si>
  <si>
    <t>3CVinyl/Vinyl Copolymer Sheen FinishModerate</t>
  </si>
  <si>
    <t>N/AVinyl/Vinyl Copolymer Sheen FinishModerate</t>
  </si>
  <si>
    <t>3DVinyl/Vinyl Copolymer Sheen FinishModerate</t>
  </si>
  <si>
    <t>3EVinyl/Vinyl Copolymer Sheen FinishModerate</t>
  </si>
  <si>
    <t>4BVinyl/Vinyl Copolymer Sheen FinishModerate</t>
  </si>
  <si>
    <t>4CVinyl/Vinyl Copolymer Sheen FinishModerate</t>
  </si>
  <si>
    <t>4DVinyl/Vinyl Copolymer Sheen FinishModerate</t>
  </si>
  <si>
    <t>4EVinyl/Vinyl Copolymer Sheen FinishModerate</t>
  </si>
  <si>
    <t>5BVinyl/Vinyl Copolymer Sheen FinishModerate</t>
  </si>
  <si>
    <t>5CVinyl/Vinyl Copolymer Sheen FinishModerate</t>
  </si>
  <si>
    <t>5DVinyl/Vinyl Copolymer Sheen FinishModerate</t>
  </si>
  <si>
    <t>5EVinyl/Vinyl Copolymer Sheen FinishModerate</t>
  </si>
  <si>
    <t>3CVinyl/Vinyl Copolymer Sheen FinishSevere</t>
  </si>
  <si>
    <t>N/AVinyl/Vinyl Copolymer Sheen FinishSevere</t>
  </si>
  <si>
    <t>3DVinyl/Vinyl Copolymer Sheen FinishSevere</t>
  </si>
  <si>
    <t>3EVinyl/Vinyl Copolymer Sheen FinishSevere</t>
  </si>
  <si>
    <t>4BVinyl/Vinyl Copolymer Sheen FinishSevere</t>
  </si>
  <si>
    <t>4CVinyl/Vinyl Copolymer Sheen FinishSevere</t>
  </si>
  <si>
    <t>4DVinyl/Vinyl Copolymer Sheen FinishSevere</t>
  </si>
  <si>
    <t>4EVinyl/Vinyl Copolymer Sheen FinishSevere</t>
  </si>
  <si>
    <t>5BVinyl/Vinyl Copolymer Sheen FinishSevere</t>
  </si>
  <si>
    <t>5CVinyl/Vinyl Copolymer Sheen FinishSevere</t>
  </si>
  <si>
    <t>5DVinyl/Vinyl Copolymer Sheen FinishSevere</t>
  </si>
  <si>
    <t>5EVinyl/Vinyl Copolymer Sheen FinishSevere</t>
  </si>
  <si>
    <t>3CThixotropic BitumenMild</t>
  </si>
  <si>
    <t>N/AThixotropic BitumenMild</t>
  </si>
  <si>
    <t>3DThixotropic BitumenMild</t>
  </si>
  <si>
    <t>3EThixotropic BitumenMild</t>
  </si>
  <si>
    <t>4BThixotropic BitumenMild</t>
  </si>
  <si>
    <t>4CThixotropic BitumenMild</t>
  </si>
  <si>
    <t>4DThixotropic BitumenMild</t>
  </si>
  <si>
    <t>4EThixotropic BitumenMild</t>
  </si>
  <si>
    <t>5BThixotropic BitumenMild</t>
  </si>
  <si>
    <t>5CThixotropic BitumenMild</t>
  </si>
  <si>
    <t>5DThixotropic BitumenMild</t>
  </si>
  <si>
    <t>5EThixotropic BitumenMild</t>
  </si>
  <si>
    <t>3CThixotropic BitumenModerate</t>
  </si>
  <si>
    <t>N/AThixotropic BitumenModerate</t>
  </si>
  <si>
    <t>3DThixotropic BitumenModerate</t>
  </si>
  <si>
    <t>3EThixotropic BitumenModerate</t>
  </si>
  <si>
    <t>4BThixotropic BitumenModerate</t>
  </si>
  <si>
    <t>4CThixotropic BitumenModerate</t>
  </si>
  <si>
    <t>4DThixotropic BitumenModerate</t>
  </si>
  <si>
    <t>4EThixotropic BitumenModerate</t>
  </si>
  <si>
    <t>5BThixotropic BitumenModerate</t>
  </si>
  <si>
    <t>5CThixotropic BitumenModerate</t>
  </si>
  <si>
    <t>5DThixotropic BitumenModerate</t>
  </si>
  <si>
    <t>5EThixotropic BitumenModerate</t>
  </si>
  <si>
    <t>3CThixotropic BitumenSevere</t>
  </si>
  <si>
    <t>N/AThixotropic BitumenSevere</t>
  </si>
  <si>
    <t>3DThixotropic BitumenSevere</t>
  </si>
  <si>
    <t>3EThixotropic BitumenSevere</t>
  </si>
  <si>
    <t>4BThixotropic BitumenSevere</t>
  </si>
  <si>
    <t>4CThixotropic BitumenSevere</t>
  </si>
  <si>
    <t>4DThixotropic BitumenSevere</t>
  </si>
  <si>
    <t>4EThixotropic BitumenSevere</t>
  </si>
  <si>
    <t>5BThixotropic BitumenSevere</t>
  </si>
  <si>
    <t>5CThixotropic BitumenSevere</t>
  </si>
  <si>
    <t>5DThixotropic BitumenSevere</t>
  </si>
  <si>
    <t>5EThixotropic BitumenSevere</t>
  </si>
  <si>
    <t>3CPitch Epoxy (Two-Pack) Polyamide Cured FinishMild</t>
  </si>
  <si>
    <t>N/APitch Epoxy (Two-Pack) Polyamide Cured FinishMild</t>
  </si>
  <si>
    <t>3DPitch Epoxy (Two-Pack) Polyamide Cured FinishMild</t>
  </si>
  <si>
    <t>3EPitch Epoxy (Two-Pack) Polyamide Cured FinishMild</t>
  </si>
  <si>
    <t>4BPitch Epoxy (Two-Pack) Polyamide Cured FinishMild</t>
  </si>
  <si>
    <t>4CPitch Epoxy (Two-Pack) Polyamide Cured FinishMild</t>
  </si>
  <si>
    <t>4DPitch Epoxy (Two-Pack) Polyamide Cured FinishMild</t>
  </si>
  <si>
    <t>4EPitch Epoxy (Two-Pack) Polyamide Cured FinishMild</t>
  </si>
  <si>
    <t>5BPitch Epoxy (Two-Pack) Polyamide Cured FinishMild</t>
  </si>
  <si>
    <t>5CPitch Epoxy (Two-Pack) Polyamide Cured FinishMild</t>
  </si>
  <si>
    <t>5DPitch Epoxy (Two-Pack) Polyamide Cured FinishMild</t>
  </si>
  <si>
    <t>5EPitch Epoxy (Two-Pack) Polyamide Cured FinishMild</t>
  </si>
  <si>
    <t>3CPitch Epoxy (Two-Pack) Polyamide Cured FinishModerate</t>
  </si>
  <si>
    <t>N/APitch Epoxy (Two-Pack) Polyamide Cured FinishModerate</t>
  </si>
  <si>
    <t>3DPitch Epoxy (Two-Pack) Polyamide Cured FinishModerate</t>
  </si>
  <si>
    <t>3EPitch Epoxy (Two-Pack) Polyamide Cured FinishModerate</t>
  </si>
  <si>
    <t>4BPitch Epoxy (Two-Pack) Polyamide Cured FinishModerate</t>
  </si>
  <si>
    <t>4CPitch Epoxy (Two-Pack) Polyamide Cured FinishModerate</t>
  </si>
  <si>
    <t>4DPitch Epoxy (Two-Pack) Polyamide Cured FinishModerate</t>
  </si>
  <si>
    <t>4EPitch Epoxy (Two-Pack) Polyamide Cured FinishModerate</t>
  </si>
  <si>
    <t>5BPitch Epoxy (Two-Pack) Polyamide Cured FinishModerate</t>
  </si>
  <si>
    <t>5CPitch Epoxy (Two-Pack) Polyamide Cured FinishModerate</t>
  </si>
  <si>
    <t>5DPitch Epoxy (Two-Pack) Polyamide Cured FinishModerate</t>
  </si>
  <si>
    <t>5EPitch Epoxy (Two-Pack) Polyamide Cured FinishModerate</t>
  </si>
  <si>
    <t>3CPitch Epoxy (Two-Pack) Polyamide Cured FinishSevere</t>
  </si>
  <si>
    <t>N/APitch Epoxy (Two-Pack) Polyamide Cured FinishSevere</t>
  </si>
  <si>
    <t>3DPitch Epoxy (Two-Pack) Polyamide Cured FinishSevere</t>
  </si>
  <si>
    <t>3EPitch Epoxy (Two-Pack) Polyamide Cured FinishSevere</t>
  </si>
  <si>
    <t>4BPitch Epoxy (Two-Pack) Polyamide Cured FinishSevere</t>
  </si>
  <si>
    <t>4CPitch Epoxy (Two-Pack) Polyamide Cured FinishSevere</t>
  </si>
  <si>
    <t>4DPitch Epoxy (Two-Pack) Polyamide Cured FinishSevere</t>
  </si>
  <si>
    <t>4EPitch Epoxy (Two-Pack) Polyamide Cured FinishSevere</t>
  </si>
  <si>
    <t>5BPitch Epoxy (Two-Pack) Polyamide Cured FinishSevere</t>
  </si>
  <si>
    <t>5CPitch Epoxy (Two-Pack) Polyamide Cured FinishSevere</t>
  </si>
  <si>
    <t>5DPitch Epoxy (Two-Pack) Polyamide Cured FinishSevere</t>
  </si>
  <si>
    <t>5EPitch Epoxy (Two-Pack) Polyamide Cured FinishSevere</t>
  </si>
  <si>
    <t>3CHigh Build Epoxy Hydrocarbon Resin Modified FinishMild</t>
  </si>
  <si>
    <t>N/AHigh Build Epoxy Hydrocarbon Resin Modified FinishMild</t>
  </si>
  <si>
    <t>3DHigh Build Epoxy Hydrocarbon Resin Modified FinishMild</t>
  </si>
  <si>
    <t>3EHigh Build Epoxy Hydrocarbon Resin Modified FinishMild</t>
  </si>
  <si>
    <t>4BHigh Build Epoxy Hydrocarbon Resin Modified FinishMild</t>
  </si>
  <si>
    <t>4CHigh Build Epoxy Hydrocarbon Resin Modified FinishMild</t>
  </si>
  <si>
    <t>4DHigh Build Epoxy Hydrocarbon Resin Modified FinishMild</t>
  </si>
  <si>
    <t>4EHigh Build Epoxy Hydrocarbon Resin Modified FinishMild</t>
  </si>
  <si>
    <t>5BHigh Build Epoxy Hydrocarbon Resin Modified FinishMild</t>
  </si>
  <si>
    <t>5CHigh Build Epoxy Hydrocarbon Resin Modified FinishMild</t>
  </si>
  <si>
    <t>5DHigh Build Epoxy Hydrocarbon Resin Modified FinishMild</t>
  </si>
  <si>
    <t>5EHigh Build Epoxy Hydrocarbon Resin Modified FinishMild</t>
  </si>
  <si>
    <t>3CHigh Build Epoxy Hydrocarbon Resin Modified FinishModerate</t>
  </si>
  <si>
    <t>N/AHigh Build Epoxy Hydrocarbon Resin Modified FinishModerate</t>
  </si>
  <si>
    <t>3DHigh Build Epoxy Hydrocarbon Resin Modified FinishModerate</t>
  </si>
  <si>
    <t>3EHigh Build Epoxy Hydrocarbon Resin Modified FinishModerate</t>
  </si>
  <si>
    <t>4BHigh Build Epoxy Hydrocarbon Resin Modified FinishModerate</t>
  </si>
  <si>
    <t>4CHigh Build Epoxy Hydrocarbon Resin Modified FinishModerate</t>
  </si>
  <si>
    <t>4DHigh Build Epoxy Hydrocarbon Resin Modified FinishModerate</t>
  </si>
  <si>
    <t>4EHigh Build Epoxy Hydrocarbon Resin Modified FinishModerate</t>
  </si>
  <si>
    <t>5BHigh Build Epoxy Hydrocarbon Resin Modified FinishModerate</t>
  </si>
  <si>
    <t>5CHigh Build Epoxy Hydrocarbon Resin Modified FinishModerate</t>
  </si>
  <si>
    <t>5DHigh Build Epoxy Hydrocarbon Resin Modified FinishModerate</t>
  </si>
  <si>
    <t>5EHigh Build Epoxy Hydrocarbon Resin Modified FinishModerate</t>
  </si>
  <si>
    <t>3CHigh Build Epoxy Hydrocarbon Resin Modified FinishSevere</t>
  </si>
  <si>
    <t>N/AHigh Build Epoxy Hydrocarbon Resin Modified FinishSevere</t>
  </si>
  <si>
    <t>3DHigh Build Epoxy Hydrocarbon Resin Modified FinishSevere</t>
  </si>
  <si>
    <t>3EHigh Build Epoxy Hydrocarbon Resin Modified FinishSevere</t>
  </si>
  <si>
    <t>4BHigh Build Epoxy Hydrocarbon Resin Modified FinishSevere</t>
  </si>
  <si>
    <t>4CHigh Build Epoxy Hydrocarbon Resin Modified FinishSevere</t>
  </si>
  <si>
    <t>4DHigh Build Epoxy Hydrocarbon Resin Modified FinishSevere</t>
  </si>
  <si>
    <t>4EHigh Build Epoxy Hydrocarbon Resin Modified FinishSevere</t>
  </si>
  <si>
    <t>5BHigh Build Epoxy Hydrocarbon Resin Modified FinishSevere</t>
  </si>
  <si>
    <t>5CHigh Build Epoxy Hydrocarbon Resin Modified FinishSevere</t>
  </si>
  <si>
    <t>5DHigh Build Epoxy Hydrocarbon Resin Modified FinishSevere</t>
  </si>
  <si>
    <t>5EHigh Build Epoxy Hydrocarbon Resin Modified FinishSevere</t>
  </si>
  <si>
    <t>3CMoisture Cured Polyurethane FinishMild</t>
  </si>
  <si>
    <t>N/AMoisture Cured Polyurethane FinishMild</t>
  </si>
  <si>
    <t>3DMoisture Cured Polyurethane FinishMild</t>
  </si>
  <si>
    <t>3EMoisture Cured Polyurethane FinishMild</t>
  </si>
  <si>
    <t>4BMoisture Cured Polyurethane FinishMild</t>
  </si>
  <si>
    <t>4CMoisture Cured Polyurethane FinishMild</t>
  </si>
  <si>
    <t>4DMoisture Cured Polyurethane FinishMild</t>
  </si>
  <si>
    <t>4EMoisture Cured Polyurethane FinishMild</t>
  </si>
  <si>
    <t>5BMoisture Cured Polyurethane FinishMild</t>
  </si>
  <si>
    <t>5CMoisture Cured Polyurethane FinishMild</t>
  </si>
  <si>
    <t>5DMoisture Cured Polyurethane FinishMild</t>
  </si>
  <si>
    <t>5EMoisture Cured Polyurethane FinishMild</t>
  </si>
  <si>
    <t>3CMoisture Cured Polyurethane FinishModerate</t>
  </si>
  <si>
    <t>N/AMoisture Cured Polyurethane FinishModerate</t>
  </si>
  <si>
    <t>3DMoisture Cured Polyurethane FinishModerate</t>
  </si>
  <si>
    <t>3EMoisture Cured Polyurethane FinishModerate</t>
  </si>
  <si>
    <t>4BMoisture Cured Polyurethane FinishModerate</t>
  </si>
  <si>
    <t>4CMoisture Cured Polyurethane FinishModerate</t>
  </si>
  <si>
    <t>4DMoisture Cured Polyurethane FinishModerate</t>
  </si>
  <si>
    <t>4EMoisture Cured Polyurethane FinishModerate</t>
  </si>
  <si>
    <t>5BMoisture Cured Polyurethane FinishModerate</t>
  </si>
  <si>
    <t>5CMoisture Cured Polyurethane FinishModerate</t>
  </si>
  <si>
    <t>5DMoisture Cured Polyurethane FinishModerate</t>
  </si>
  <si>
    <t>5EMoisture Cured Polyurethane FinishModerate</t>
  </si>
  <si>
    <t>3CMoisture Cured Polyurethane FinishSevere</t>
  </si>
  <si>
    <t>N/AMoisture Cured Polyurethane FinishSevere</t>
  </si>
  <si>
    <t>3DMoisture Cured Polyurethane FinishSevere</t>
  </si>
  <si>
    <t>3EMoisture Cured Polyurethane FinishSevere</t>
  </si>
  <si>
    <t>4BMoisture Cured Polyurethane FinishSevere</t>
  </si>
  <si>
    <t>4CMoisture Cured Polyurethane FinishSevere</t>
  </si>
  <si>
    <t>4DMoisture Cured Polyurethane FinishSevere</t>
  </si>
  <si>
    <t>4EMoisture Cured Polyurethane FinishSevere</t>
  </si>
  <si>
    <t>5BMoisture Cured Polyurethane FinishSevere</t>
  </si>
  <si>
    <t>5CMoisture Cured Polyurethane FinishSevere</t>
  </si>
  <si>
    <t>5DMoisture Cured Polyurethane FinishSevere</t>
  </si>
  <si>
    <t>5EMoisture Cured Polyurethane FinishSevere</t>
  </si>
  <si>
    <t>3CMoisture Cured Polyurethane Semi-Gloss FinishMild</t>
  </si>
  <si>
    <t>N/AMoisture Cured Polyurethane Semi-Gloss FinishMild</t>
  </si>
  <si>
    <t>3DMoisture Cured Polyurethane Semi-Gloss FinishMild</t>
  </si>
  <si>
    <t>3EMoisture Cured Polyurethane Semi-Gloss FinishMild</t>
  </si>
  <si>
    <t>4BMoisture Cured Polyurethane Semi-Gloss FinishMild</t>
  </si>
  <si>
    <t>4CMoisture Cured Polyurethane Semi-Gloss FinishMild</t>
  </si>
  <si>
    <t>4DMoisture Cured Polyurethane Semi-Gloss FinishMild</t>
  </si>
  <si>
    <t>4EMoisture Cured Polyurethane Semi-Gloss FinishMild</t>
  </si>
  <si>
    <t>5BMoisture Cured Polyurethane Semi-Gloss FinishMild</t>
  </si>
  <si>
    <t>5CMoisture Cured Polyurethane Semi-Gloss FinishMild</t>
  </si>
  <si>
    <t>5DMoisture Cured Polyurethane Semi-Gloss FinishMild</t>
  </si>
  <si>
    <t>5EMoisture Cured Polyurethane Semi-Gloss FinishMild</t>
  </si>
  <si>
    <t>3CMoisture Cured Polyurethane Semi-Gloss FinishModerate</t>
  </si>
  <si>
    <t>N/AMoisture Cured Polyurethane Semi-Gloss FinishModerate</t>
  </si>
  <si>
    <t>3DMoisture Cured Polyurethane Semi-Gloss FinishModerate</t>
  </si>
  <si>
    <t>3EMoisture Cured Polyurethane Semi-Gloss FinishModerate</t>
  </si>
  <si>
    <t>4BMoisture Cured Polyurethane Semi-Gloss FinishModerate</t>
  </si>
  <si>
    <t>4CMoisture Cured Polyurethane Semi-Gloss FinishModerate</t>
  </si>
  <si>
    <t>4DMoisture Cured Polyurethane Semi-Gloss FinishModerate</t>
  </si>
  <si>
    <t>4EMoisture Cured Polyurethane Semi-Gloss FinishModerate</t>
  </si>
  <si>
    <t>5BMoisture Cured Polyurethane Semi-Gloss FinishModerate</t>
  </si>
  <si>
    <t>5CMoisture Cured Polyurethane Semi-Gloss FinishModerate</t>
  </si>
  <si>
    <t>5DMoisture Cured Polyurethane Semi-Gloss FinishModerate</t>
  </si>
  <si>
    <t>5EMoisture Cured Polyurethane Semi-Gloss FinishModerate</t>
  </si>
  <si>
    <t>3CMoisture Cured Polyurethane Semi-Gloss FinishSevere</t>
  </si>
  <si>
    <t>N/AMoisture Cured Polyurethane Semi-Gloss FinishSevere</t>
  </si>
  <si>
    <t>3DMoisture Cured Polyurethane Semi-Gloss FinishSevere</t>
  </si>
  <si>
    <t>3EMoisture Cured Polyurethane Semi-Gloss FinishSevere</t>
  </si>
  <si>
    <t>4BMoisture Cured Polyurethane Semi-Gloss FinishSevere</t>
  </si>
  <si>
    <t>4CMoisture Cured Polyurethane Semi-Gloss FinishSevere</t>
  </si>
  <si>
    <t>4DMoisture Cured Polyurethane Semi-Gloss FinishSevere</t>
  </si>
  <si>
    <t>4EMoisture Cured Polyurethane Semi-Gloss FinishSevere</t>
  </si>
  <si>
    <t>5BMoisture Cured Polyurethane Semi-Gloss FinishSevere</t>
  </si>
  <si>
    <t>5CMoisture Cured Polyurethane Semi-Gloss FinishSevere</t>
  </si>
  <si>
    <t>5DMoisture Cured Polyurethane Semi-Gloss FinishSevere</t>
  </si>
  <si>
    <t>5EMoisture Cured Polyurethane Semi-Gloss FinishSevere</t>
  </si>
  <si>
    <t>3CPolyurethane Gloss FinishMild</t>
  </si>
  <si>
    <t>N/APolyurethane Gloss FinishMild</t>
  </si>
  <si>
    <t>3DPolyurethane Gloss FinishMild</t>
  </si>
  <si>
    <t>3EPolyurethane Gloss FinishMild</t>
  </si>
  <si>
    <t>4BPolyurethane Gloss FinishMild</t>
  </si>
  <si>
    <t>4CPolyurethane Gloss FinishMild</t>
  </si>
  <si>
    <t>4DPolyurethane Gloss FinishMild</t>
  </si>
  <si>
    <t>4EPolyurethane Gloss FinishMild</t>
  </si>
  <si>
    <t>5BPolyurethane Gloss FinishMild</t>
  </si>
  <si>
    <t>5CPolyurethane Gloss FinishMild</t>
  </si>
  <si>
    <t>5DPolyurethane Gloss FinishMild</t>
  </si>
  <si>
    <t>5EPolyurethane Gloss FinishMild</t>
  </si>
  <si>
    <t>3CPolyurethane Gloss FinishModerate</t>
  </si>
  <si>
    <t>N/APolyurethane Gloss FinishModerate</t>
  </si>
  <si>
    <t>3DPolyurethane Gloss FinishModerate</t>
  </si>
  <si>
    <t>3EPolyurethane Gloss FinishModerate</t>
  </si>
  <si>
    <t>4BPolyurethane Gloss FinishModerate</t>
  </si>
  <si>
    <t>4CPolyurethane Gloss FinishModerate</t>
  </si>
  <si>
    <t>4DPolyurethane Gloss FinishModerate</t>
  </si>
  <si>
    <t>4EPolyurethane Gloss FinishModerate</t>
  </si>
  <si>
    <t>5BPolyurethane Gloss FinishModerate</t>
  </si>
  <si>
    <t>5CPolyurethane Gloss FinishModerate</t>
  </si>
  <si>
    <t>5DPolyurethane Gloss FinishModerate</t>
  </si>
  <si>
    <t>5EPolyurethane Gloss FinishModerate</t>
  </si>
  <si>
    <t>3CPolyurethane Gloss FinishSevere</t>
  </si>
  <si>
    <t>N/APolyurethane Gloss FinishSevere</t>
  </si>
  <si>
    <t>3DPolyurethane Gloss FinishSevere</t>
  </si>
  <si>
    <t>3EPolyurethane Gloss FinishSevere</t>
  </si>
  <si>
    <t>4BPolyurethane Gloss FinishSevere</t>
  </si>
  <si>
    <t>4CPolyurethane Gloss FinishSevere</t>
  </si>
  <si>
    <t>4DPolyurethane Gloss FinishSevere</t>
  </si>
  <si>
    <t>4EPolyurethane Gloss FinishSevere</t>
  </si>
  <si>
    <t>5BPolyurethane Gloss FinishSevere</t>
  </si>
  <si>
    <t>5CPolyurethane Gloss FinishSevere</t>
  </si>
  <si>
    <t>5DPolyurethane Gloss FinishSevere</t>
  </si>
  <si>
    <t>5EPolyurethane Gloss FinishSevere</t>
  </si>
  <si>
    <t>3COrganic Modified Polysiloxane (Two-Pack) Gloss FinishMild</t>
  </si>
  <si>
    <t>N/AOrganic Modified Polysiloxane (Two-Pack) Gloss FinishMild</t>
  </si>
  <si>
    <t>3DOrganic Modified Polysiloxane (Two-Pack) Gloss FinishMild</t>
  </si>
  <si>
    <t>3EOrganic Modified Polysiloxane (Two-Pack) Gloss FinishMild</t>
  </si>
  <si>
    <t>4BOrganic Modified Polysiloxane (Two-Pack) Gloss FinishMild</t>
  </si>
  <si>
    <t>4COrganic Modified Polysiloxane (Two-Pack) Gloss FinishMild</t>
  </si>
  <si>
    <t>4DOrganic Modified Polysiloxane (Two-Pack) Gloss FinishMild</t>
  </si>
  <si>
    <t>4EOrganic Modified Polysiloxane (Two-Pack) Gloss FinishMild</t>
  </si>
  <si>
    <t>5BOrganic Modified Polysiloxane (Two-Pack) Gloss FinishMild</t>
  </si>
  <si>
    <t>5COrganic Modified Polysiloxane (Two-Pack) Gloss FinishMild</t>
  </si>
  <si>
    <t>5DOrganic Modified Polysiloxane (Two-Pack) Gloss FinishMild</t>
  </si>
  <si>
    <t>5EOrganic Modified Polysiloxane (Two-Pack) Gloss FinishMild</t>
  </si>
  <si>
    <t>3COrganic Modified Polysiloxane (Two-Pack) Gloss FinishModerate</t>
  </si>
  <si>
    <t>N/AOrganic Modified Polysiloxane (Two-Pack) Gloss FinishModerate</t>
  </si>
  <si>
    <t>3DOrganic Modified Polysiloxane (Two-Pack) Gloss FinishModerate</t>
  </si>
  <si>
    <t>3EOrganic Modified Polysiloxane (Two-Pack) Gloss FinishModerate</t>
  </si>
  <si>
    <t>4BOrganic Modified Polysiloxane (Two-Pack) Gloss FinishModerate</t>
  </si>
  <si>
    <t>4COrganic Modified Polysiloxane (Two-Pack) Gloss FinishModerate</t>
  </si>
  <si>
    <t>4DOrganic Modified Polysiloxane (Two-Pack) Gloss FinishModerate</t>
  </si>
  <si>
    <t>4EOrganic Modified Polysiloxane (Two-Pack) Gloss FinishModerate</t>
  </si>
  <si>
    <t>5BOrganic Modified Polysiloxane (Two-Pack) Gloss FinishModerate</t>
  </si>
  <si>
    <t>5COrganic Modified Polysiloxane (Two-Pack) Gloss FinishModerate</t>
  </si>
  <si>
    <t>5DOrganic Modified Polysiloxane (Two-Pack) Gloss FinishModerate</t>
  </si>
  <si>
    <t>5EOrganic Modified Polysiloxane (Two-Pack) Gloss FinishModerate</t>
  </si>
  <si>
    <t>3COrganic Modified Polysiloxane (Two-Pack) Gloss FinishSevere</t>
  </si>
  <si>
    <t>N/AOrganic Modified Polysiloxane (Two-Pack) Gloss FinishSevere</t>
  </si>
  <si>
    <t>3DOrganic Modified Polysiloxane (Two-Pack) Gloss FinishSevere</t>
  </si>
  <si>
    <t>3EOrganic Modified Polysiloxane (Two-Pack) Gloss FinishSevere</t>
  </si>
  <si>
    <t>4BOrganic Modified Polysiloxane (Two-Pack) Gloss FinishSevere</t>
  </si>
  <si>
    <t>4COrganic Modified Polysiloxane (Two-Pack) Gloss FinishSevere</t>
  </si>
  <si>
    <t>4DOrganic Modified Polysiloxane (Two-Pack) Gloss FinishSevere</t>
  </si>
  <si>
    <t>4EOrganic Modified Polysiloxane (Two-Pack) Gloss FinishSevere</t>
  </si>
  <si>
    <t>5BOrganic Modified Polysiloxane (Two-Pack) Gloss FinishSevere</t>
  </si>
  <si>
    <t>5COrganic Modified Polysiloxane (Two-Pack) Gloss FinishSevere</t>
  </si>
  <si>
    <t>5DOrganic Modified Polysiloxane (Two-Pack) Gloss FinishSevere</t>
  </si>
  <si>
    <t>5EOrganic Modified Polysiloxane (Two-Pack) Gloss FinishSevere</t>
  </si>
  <si>
    <t>3CGrease PaintMild</t>
  </si>
  <si>
    <t>N/AGrease PaintMild</t>
  </si>
  <si>
    <t>3DGrease PaintMild</t>
  </si>
  <si>
    <t>3EGrease PaintMild</t>
  </si>
  <si>
    <t>4BGrease PaintMild</t>
  </si>
  <si>
    <t>4CGrease PaintMild</t>
  </si>
  <si>
    <t>4DGrease PaintMild</t>
  </si>
  <si>
    <t>4EGrease PaintMild</t>
  </si>
  <si>
    <t>5BGrease PaintMild</t>
  </si>
  <si>
    <t>5CGrease PaintMild</t>
  </si>
  <si>
    <t>5DGrease PaintMild</t>
  </si>
  <si>
    <t>5EGrease PaintMild</t>
  </si>
  <si>
    <t>3CGrease PaintModerate</t>
  </si>
  <si>
    <t>N/AGrease PaintModerate</t>
  </si>
  <si>
    <t>3DGrease PaintModerate</t>
  </si>
  <si>
    <t>3EGrease PaintModerate</t>
  </si>
  <si>
    <t>4BGrease PaintModerate</t>
  </si>
  <si>
    <t>4CGrease PaintModerate</t>
  </si>
  <si>
    <t>4DGrease PaintModerate</t>
  </si>
  <si>
    <t>4EGrease PaintModerate</t>
  </si>
  <si>
    <t>5BGrease PaintModerate</t>
  </si>
  <si>
    <t>5CGrease PaintModerate</t>
  </si>
  <si>
    <t>5DGrease PaintModerate</t>
  </si>
  <si>
    <t>5EGrease PaintModerate</t>
  </si>
  <si>
    <t>3CGrease PaintSevere</t>
  </si>
  <si>
    <t>N/AGrease PaintSevere</t>
  </si>
  <si>
    <t>3DGrease PaintSevere</t>
  </si>
  <si>
    <t>3EGrease PaintSevere</t>
  </si>
  <si>
    <t>4BGrease PaintSevere</t>
  </si>
  <si>
    <t>4CGrease PaintSevere</t>
  </si>
  <si>
    <t>4DGrease PaintSevere</t>
  </si>
  <si>
    <t>4EGrease PaintSevere</t>
  </si>
  <si>
    <t>5BGrease PaintSevere</t>
  </si>
  <si>
    <t>5CGrease PaintSevere</t>
  </si>
  <si>
    <t>5DGrease PaintSevere</t>
  </si>
  <si>
    <t>5EGrease PaintSevere</t>
  </si>
  <si>
    <t>3CAnti-Graffiti PaintMild</t>
  </si>
  <si>
    <t>N/AAnti-Graffiti PaintMild</t>
  </si>
  <si>
    <t>3DAnti-Graffiti PaintMild</t>
  </si>
  <si>
    <t>3EAnti-Graffiti PaintMild</t>
  </si>
  <si>
    <t>4BAnti-Graffiti PaintMild</t>
  </si>
  <si>
    <t>4CAnti-Graffiti PaintMild</t>
  </si>
  <si>
    <t>4DAnti-Graffiti PaintMild</t>
  </si>
  <si>
    <t>4EAnti-Graffiti PaintMild</t>
  </si>
  <si>
    <t>5BAnti-Graffiti PaintMild</t>
  </si>
  <si>
    <t>5CAnti-Graffiti PaintMild</t>
  </si>
  <si>
    <t>5DAnti-Graffiti PaintMild</t>
  </si>
  <si>
    <t>5EAnti-Graffiti PaintMild</t>
  </si>
  <si>
    <t>3CAnti-Graffiti PaintModerate</t>
  </si>
  <si>
    <t>N/AAnti-Graffiti PaintModerate</t>
  </si>
  <si>
    <t>3DAnti-Graffiti PaintModerate</t>
  </si>
  <si>
    <t>3EAnti-Graffiti PaintModerate</t>
  </si>
  <si>
    <t>4BAnti-Graffiti PaintModerate</t>
  </si>
  <si>
    <t>4CAnti-Graffiti PaintModerate</t>
  </si>
  <si>
    <t>4DAnti-Graffiti PaintModerate</t>
  </si>
  <si>
    <t>4EAnti-Graffiti PaintModerate</t>
  </si>
  <si>
    <t>5BAnti-Graffiti PaintModerate</t>
  </si>
  <si>
    <t>5CAnti-Graffiti PaintModerate</t>
  </si>
  <si>
    <t>5DAnti-Graffiti PaintModerate</t>
  </si>
  <si>
    <t>5EAnti-Graffiti PaintModerate</t>
  </si>
  <si>
    <t>3CAnti-Graffiti PaintSevere</t>
  </si>
  <si>
    <t>N/AAnti-Graffiti PaintSevere</t>
  </si>
  <si>
    <t>3DAnti-Graffiti PaintSevere</t>
  </si>
  <si>
    <t>3EAnti-Graffiti PaintSevere</t>
  </si>
  <si>
    <t>4BAnti-Graffiti PaintSevere</t>
  </si>
  <si>
    <t>4CAnti-Graffiti PaintSevere</t>
  </si>
  <si>
    <t>4DAnti-Graffiti PaintSevere</t>
  </si>
  <si>
    <t>4EAnti-Graffiti PaintSevere</t>
  </si>
  <si>
    <t>5BAnti-Graffiti PaintSevere</t>
  </si>
  <si>
    <t>5CAnti-Graffiti PaintSevere</t>
  </si>
  <si>
    <t>5DAnti-Graffiti PaintSevere</t>
  </si>
  <si>
    <t>5EAnti-Graffiti PaintSevere</t>
  </si>
  <si>
    <t>3CCladdingMild</t>
  </si>
  <si>
    <t>N/ACladdingMild</t>
  </si>
  <si>
    <t>3DCladdingMild</t>
  </si>
  <si>
    <t>3ECladdingMild</t>
  </si>
  <si>
    <t>4BCladdingMild</t>
  </si>
  <si>
    <t>4CCladdingMild</t>
  </si>
  <si>
    <t>4DCladdingMild</t>
  </si>
  <si>
    <t>4ECladdingMild</t>
  </si>
  <si>
    <t>5BCladdingMild</t>
  </si>
  <si>
    <t>5CCladdingMild</t>
  </si>
  <si>
    <t>5DCladdingMild</t>
  </si>
  <si>
    <t>5ECladdingMild</t>
  </si>
  <si>
    <t>3CCladdingModerate</t>
  </si>
  <si>
    <t>N/ACladdingModerate</t>
  </si>
  <si>
    <t>3DCladdingModerate</t>
  </si>
  <si>
    <t>3ECladdingModerate</t>
  </si>
  <si>
    <t>4BCladdingModerate</t>
  </si>
  <si>
    <t>4CCladdingModerate</t>
  </si>
  <si>
    <t>4DCladdingModerate</t>
  </si>
  <si>
    <t>4ECladdingModerate</t>
  </si>
  <si>
    <t>5BCladdingModerate</t>
  </si>
  <si>
    <t>5CCladdingModerate</t>
  </si>
  <si>
    <t>5DCladdingModerate</t>
  </si>
  <si>
    <t>5ECladdingModerate</t>
  </si>
  <si>
    <t>3CCladdingSevere</t>
  </si>
  <si>
    <t>N/ACladdingSevere</t>
  </si>
  <si>
    <t>3DCladdingSevere</t>
  </si>
  <si>
    <t>3ECladdingSevere</t>
  </si>
  <si>
    <t>4BCladdingSevere</t>
  </si>
  <si>
    <t>4CCladdingSevere</t>
  </si>
  <si>
    <t>4DCladdingSevere</t>
  </si>
  <si>
    <t>4ECladdingSevere</t>
  </si>
  <si>
    <t>5BCladdingSevere</t>
  </si>
  <si>
    <t>5CCladdingSevere</t>
  </si>
  <si>
    <t>5DCladdingSevere</t>
  </si>
  <si>
    <t>5ECladdingSevere</t>
  </si>
  <si>
    <t>3CTilesMild</t>
  </si>
  <si>
    <t>N/ATilesMild</t>
  </si>
  <si>
    <t>3DTilesMild</t>
  </si>
  <si>
    <t>3ETilesMild</t>
  </si>
  <si>
    <t>4BTilesMild</t>
  </si>
  <si>
    <t>4CTilesMild</t>
  </si>
  <si>
    <t>4DTilesMild</t>
  </si>
  <si>
    <t>4ETilesMild</t>
  </si>
  <si>
    <t>5BTilesMild</t>
  </si>
  <si>
    <t>5CTilesMild</t>
  </si>
  <si>
    <t>5DTilesMild</t>
  </si>
  <si>
    <t>5ETilesMild</t>
  </si>
  <si>
    <t>3CTilesModerate</t>
  </si>
  <si>
    <t>N/ATilesModerate</t>
  </si>
  <si>
    <t>3DTilesModerate</t>
  </si>
  <si>
    <t>3ETilesModerate</t>
  </si>
  <si>
    <t>4BTilesModerate</t>
  </si>
  <si>
    <t>4CTilesModerate</t>
  </si>
  <si>
    <t>4DTilesModerate</t>
  </si>
  <si>
    <t>4ETilesModerate</t>
  </si>
  <si>
    <t>5BTilesModerate</t>
  </si>
  <si>
    <t>5CTilesModerate</t>
  </si>
  <si>
    <t>5DTilesModerate</t>
  </si>
  <si>
    <t>5ETilesModerate</t>
  </si>
  <si>
    <t>3CTilesSevere</t>
  </si>
  <si>
    <t>N/ATilesSevere</t>
  </si>
  <si>
    <t>3DTilesSevere</t>
  </si>
  <si>
    <t>3ETilesSevere</t>
  </si>
  <si>
    <t>4BTilesSevere</t>
  </si>
  <si>
    <t>4CTilesSevere</t>
  </si>
  <si>
    <t>4DTilesSevere</t>
  </si>
  <si>
    <t>4ETilesSevere</t>
  </si>
  <si>
    <t>5BTilesSevere</t>
  </si>
  <si>
    <t>5CTilesSevere</t>
  </si>
  <si>
    <t>5DTilesSevere</t>
  </si>
  <si>
    <t>5ETilesSevere</t>
  </si>
  <si>
    <t>3COther/Unknown FinishMild</t>
  </si>
  <si>
    <t>N/AOther/Unknown FinishMild</t>
  </si>
  <si>
    <t>3DOther/Unknown FinishMild</t>
  </si>
  <si>
    <t>3EOther/Unknown FinishMild</t>
  </si>
  <si>
    <t>4BOther/Unknown FinishMild</t>
  </si>
  <si>
    <t>4COther/Unknown FinishMild</t>
  </si>
  <si>
    <t>4DOther/Unknown FinishMild</t>
  </si>
  <si>
    <t>4EOther/Unknown FinishMild</t>
  </si>
  <si>
    <t>5BOther/Unknown FinishMild</t>
  </si>
  <si>
    <t>5COther/Unknown FinishMild</t>
  </si>
  <si>
    <t>5DOther/Unknown FinishMild</t>
  </si>
  <si>
    <t>5EOther/Unknown FinishMild</t>
  </si>
  <si>
    <t>3COther/Unknown FinishModerate</t>
  </si>
  <si>
    <t>N/AOther/Unknown FinishModerate</t>
  </si>
  <si>
    <t>3DOther/Unknown FinishModerate</t>
  </si>
  <si>
    <t>3EOther/Unknown FinishModerate</t>
  </si>
  <si>
    <t>4BOther/Unknown FinishModerate</t>
  </si>
  <si>
    <t>4COther/Unknown FinishModerate</t>
  </si>
  <si>
    <t>4DOther/Unknown FinishModerate</t>
  </si>
  <si>
    <t>4EOther/Unknown FinishModerate</t>
  </si>
  <si>
    <t>5BOther/Unknown FinishModerate</t>
  </si>
  <si>
    <t>5COther/Unknown FinishModerate</t>
  </si>
  <si>
    <t>5DOther/Unknown FinishModerate</t>
  </si>
  <si>
    <t>5EOther/Unknown FinishModerate</t>
  </si>
  <si>
    <t>3COther/Unknown FinishSevere</t>
  </si>
  <si>
    <t>N/AOther/Unknown FinishSevere</t>
  </si>
  <si>
    <t>3DOther/Unknown FinishSevere</t>
  </si>
  <si>
    <t>3EOther/Unknown FinishSevere</t>
  </si>
  <si>
    <t>4BOther/Unknown FinishSevere</t>
  </si>
  <si>
    <t>4COther/Unknown FinishSevere</t>
  </si>
  <si>
    <t>4DOther/Unknown FinishSevere</t>
  </si>
  <si>
    <t>4EOther/Unknown FinishSevere</t>
  </si>
  <si>
    <t>5BOther/Unknown FinishSevere</t>
  </si>
  <si>
    <t>5COther/Unknown FinishSevere</t>
  </si>
  <si>
    <t>5DOther/Unknown FinishSevere</t>
  </si>
  <si>
    <t>5EOther/Unknown FinishSevere</t>
  </si>
  <si>
    <t>3CInsitu Mass Concrete or Precast Plain ConcreteMild</t>
  </si>
  <si>
    <t>N/AInsitu Mass Concrete or Precast Plain ConcreteMild</t>
  </si>
  <si>
    <t>3DInsitu Mass Concrete or Precast Plain ConcreteMild</t>
  </si>
  <si>
    <t>3EInsitu Mass Concrete or Precast Plain ConcreteMild</t>
  </si>
  <si>
    <t>4BInsitu Mass Concrete or Precast Plain ConcreteMild</t>
  </si>
  <si>
    <t>4CInsitu Mass Concrete or Precast Plain ConcreteMild</t>
  </si>
  <si>
    <t>4DInsitu Mass Concrete or Precast Plain ConcreteMild</t>
  </si>
  <si>
    <t>4EInsitu Mass Concrete or Precast Plain ConcreteMild</t>
  </si>
  <si>
    <t>5BInsitu Mass Concrete or Precast Plain ConcreteMild</t>
  </si>
  <si>
    <t>5CInsitu Mass Concrete or Precast Plain ConcreteMild</t>
  </si>
  <si>
    <t>5DInsitu Mass Concrete or Precast Plain ConcreteMild</t>
  </si>
  <si>
    <t>5EInsitu Mass Concrete or Precast Plain ConcreteMild</t>
  </si>
  <si>
    <t>3CInsitu Mass Concrete or Precast Plain ConcreteModerate</t>
  </si>
  <si>
    <t>N/AInsitu Mass Concrete or Precast Plain ConcreteModerate</t>
  </si>
  <si>
    <t>3DInsitu Mass Concrete or Precast Plain ConcreteModerate</t>
  </si>
  <si>
    <t>3EInsitu Mass Concrete or Precast Plain ConcreteModerate</t>
  </si>
  <si>
    <t>4BInsitu Mass Concrete or Precast Plain ConcreteModerate</t>
  </si>
  <si>
    <t>4CInsitu Mass Concrete or Precast Plain ConcreteModerate</t>
  </si>
  <si>
    <t>4DInsitu Mass Concrete or Precast Plain ConcreteModerate</t>
  </si>
  <si>
    <t>4EInsitu Mass Concrete or Precast Plain ConcreteModerate</t>
  </si>
  <si>
    <t>5BInsitu Mass Concrete or Precast Plain ConcreteModerate</t>
  </si>
  <si>
    <t>5CInsitu Mass Concrete or Precast Plain ConcreteModerate</t>
  </si>
  <si>
    <t>5DInsitu Mass Concrete or Precast Plain ConcreteModerate</t>
  </si>
  <si>
    <t>5EInsitu Mass Concrete or Precast Plain ConcreteModerate</t>
  </si>
  <si>
    <t>3CInsitu Mass Concrete or Precast Plain ConcreteSevere</t>
  </si>
  <si>
    <t>N/AInsitu Mass Concrete or Precast Plain ConcreteSevere</t>
  </si>
  <si>
    <t>3DInsitu Mass Concrete or Precast Plain ConcreteSevere</t>
  </si>
  <si>
    <t>3EInsitu Mass Concrete or Precast Plain ConcreteSevere</t>
  </si>
  <si>
    <t>4BInsitu Mass Concrete or Precast Plain ConcreteSevere</t>
  </si>
  <si>
    <t>4CInsitu Mass Concrete or Precast Plain ConcreteSevere</t>
  </si>
  <si>
    <t>4DInsitu Mass Concrete or Precast Plain ConcreteSevere</t>
  </si>
  <si>
    <t>4EInsitu Mass Concrete or Precast Plain ConcreteSevere</t>
  </si>
  <si>
    <t>5BInsitu Mass Concrete or Precast Plain ConcreteSevere</t>
  </si>
  <si>
    <t>5CInsitu Mass Concrete or Precast Plain ConcreteSevere</t>
  </si>
  <si>
    <t>5DInsitu Mass Concrete or Precast Plain ConcreteSevere</t>
  </si>
  <si>
    <t>5EInsitu Mass Concrete or Precast Plain ConcreteSevere</t>
  </si>
  <si>
    <t>3CInsitu Prestressed Concrete (Post-Tensioned)Mild</t>
  </si>
  <si>
    <t>N/AInsitu Prestressed Concrete (Post-Tensioned)Mild</t>
  </si>
  <si>
    <t>3DInsitu Prestressed Concrete (Post-Tensioned)Mild</t>
  </si>
  <si>
    <t>3EInsitu Prestressed Concrete (Post-Tensioned)Mild</t>
  </si>
  <si>
    <t>4BInsitu Prestressed Concrete (Post-Tensioned)Mild</t>
  </si>
  <si>
    <t>4CInsitu Prestressed Concrete (Post-Tensioned)Mild</t>
  </si>
  <si>
    <t>4DInsitu Prestressed Concrete (Post-Tensioned)Mild</t>
  </si>
  <si>
    <t>4EInsitu Prestressed Concrete (Post-Tensioned)Mild</t>
  </si>
  <si>
    <t>5BInsitu Prestressed Concrete (Post-Tensioned)Mild</t>
  </si>
  <si>
    <t>5CInsitu Prestressed Concrete (Post-Tensioned)Mild</t>
  </si>
  <si>
    <t>5DInsitu Prestressed Concrete (Post-Tensioned)Mild</t>
  </si>
  <si>
    <t>5EInsitu Prestressed Concrete (Post-Tensioned)Mild</t>
  </si>
  <si>
    <t>3CInsitu Prestressed Concrete (Post-Tensioned)Moderate</t>
  </si>
  <si>
    <t>N/AInsitu Prestressed Concrete (Post-Tensioned)Moderate</t>
  </si>
  <si>
    <t>3DInsitu Prestressed Concrete (Post-Tensioned)Moderate</t>
  </si>
  <si>
    <t>3EInsitu Prestressed Concrete (Post-Tensioned)Moderate</t>
  </si>
  <si>
    <t>4BInsitu Prestressed Concrete (Post-Tensioned)Moderate</t>
  </si>
  <si>
    <t>4CInsitu Prestressed Concrete (Post-Tensioned)Moderate</t>
  </si>
  <si>
    <t>4DInsitu Prestressed Concrete (Post-Tensioned)Moderate</t>
  </si>
  <si>
    <t>4EInsitu Prestressed Concrete (Post-Tensioned)Moderate</t>
  </si>
  <si>
    <t>5BInsitu Prestressed Concrete (Post-Tensioned)Moderate</t>
  </si>
  <si>
    <t>5CInsitu Prestressed Concrete (Post-Tensioned)Moderate</t>
  </si>
  <si>
    <t>5DInsitu Prestressed Concrete (Post-Tensioned)Moderate</t>
  </si>
  <si>
    <t>5EInsitu Prestressed Concrete (Post-Tensioned)Moderate</t>
  </si>
  <si>
    <t>3CInsitu Prestressed Concrete (Post-Tensioned)Severe</t>
  </si>
  <si>
    <t>N/AInsitu Prestressed Concrete (Post-Tensioned)Severe</t>
  </si>
  <si>
    <t>3DInsitu Prestressed Concrete (Post-Tensioned)Severe</t>
  </si>
  <si>
    <t>3EInsitu Prestressed Concrete (Post-Tensioned)Severe</t>
  </si>
  <si>
    <t>4BInsitu Prestressed Concrete (Post-Tensioned)Severe</t>
  </si>
  <si>
    <t>4CInsitu Prestressed Concrete (Post-Tensioned)Severe</t>
  </si>
  <si>
    <t>4DInsitu Prestressed Concrete (Post-Tensioned)Severe</t>
  </si>
  <si>
    <t>4EInsitu Prestressed Concrete (Post-Tensioned)Severe</t>
  </si>
  <si>
    <t>5BInsitu Prestressed Concrete (Post-Tensioned)Severe</t>
  </si>
  <si>
    <t>5CInsitu Prestressed Concrete (Post-Tensioned)Severe</t>
  </si>
  <si>
    <t>5DInsitu Prestressed Concrete (Post-Tensioned)Severe</t>
  </si>
  <si>
    <t>5EInsitu Prestressed Concrete (Post-Tensioned)Severe</t>
  </si>
  <si>
    <t>3CInsitu Reinforced ConcreteMild</t>
  </si>
  <si>
    <t>N/AInsitu Reinforced ConcreteMild</t>
  </si>
  <si>
    <t>3DInsitu Reinforced ConcreteMild</t>
  </si>
  <si>
    <t>3EInsitu Reinforced ConcreteMild</t>
  </si>
  <si>
    <t>4BInsitu Reinforced ConcreteMild</t>
  </si>
  <si>
    <t>4CInsitu Reinforced ConcreteMild</t>
  </si>
  <si>
    <t>4DInsitu Reinforced ConcreteMild</t>
  </si>
  <si>
    <t>4EInsitu Reinforced ConcreteMild</t>
  </si>
  <si>
    <t>5BInsitu Reinforced ConcreteMild</t>
  </si>
  <si>
    <t>5CInsitu Reinforced ConcreteMild</t>
  </si>
  <si>
    <t>5DInsitu Reinforced ConcreteMild</t>
  </si>
  <si>
    <t>5EInsitu Reinforced ConcreteMild</t>
  </si>
  <si>
    <t>3CInsitu Reinforced ConcreteModerate</t>
  </si>
  <si>
    <t>N/AInsitu Reinforced ConcreteModerate</t>
  </si>
  <si>
    <t>3DInsitu Reinforced ConcreteModerate</t>
  </si>
  <si>
    <t>3EInsitu Reinforced ConcreteModerate</t>
  </si>
  <si>
    <t>4BInsitu Reinforced ConcreteModerate</t>
  </si>
  <si>
    <t>4CInsitu Reinforced ConcreteModerate</t>
  </si>
  <si>
    <t>4DInsitu Reinforced ConcreteModerate</t>
  </si>
  <si>
    <t>4EInsitu Reinforced ConcreteModerate</t>
  </si>
  <si>
    <t>5BInsitu Reinforced ConcreteModerate</t>
  </si>
  <si>
    <t>5CInsitu Reinforced ConcreteModerate</t>
  </si>
  <si>
    <t>5DInsitu Reinforced ConcreteModerate</t>
  </si>
  <si>
    <t>5EInsitu Reinforced ConcreteModerate</t>
  </si>
  <si>
    <t>3CInsitu Reinforced ConcreteSevere</t>
  </si>
  <si>
    <t>N/AInsitu Reinforced ConcreteSevere</t>
  </si>
  <si>
    <t>3DInsitu Reinforced ConcreteSevere</t>
  </si>
  <si>
    <t>3EInsitu Reinforced ConcreteSevere</t>
  </si>
  <si>
    <t>4BInsitu Reinforced ConcreteSevere</t>
  </si>
  <si>
    <t>4CInsitu Reinforced ConcreteSevere</t>
  </si>
  <si>
    <t>4DInsitu Reinforced ConcreteSevere</t>
  </si>
  <si>
    <t>4EInsitu Reinforced ConcreteSevere</t>
  </si>
  <si>
    <t>5BInsitu Reinforced ConcreteSevere</t>
  </si>
  <si>
    <t>5CInsitu Reinforced ConcreteSevere</t>
  </si>
  <si>
    <t>5DInsitu Reinforced ConcreteSevere</t>
  </si>
  <si>
    <t>5EInsitu Reinforced ConcreteSevere</t>
  </si>
  <si>
    <t>3CPrecast Prestressed Concrete (Pre-Tensioned)Mild</t>
  </si>
  <si>
    <t>N/APrecast Prestressed Concrete (Pre-Tensioned)Mild</t>
  </si>
  <si>
    <t>3DPrecast Prestressed Concrete (Pre-Tensioned)Mild</t>
  </si>
  <si>
    <t>3EPrecast Prestressed Concrete (Pre-Tensioned)Mild</t>
  </si>
  <si>
    <t>4BPrecast Prestressed Concrete (Pre-Tensioned)Mild</t>
  </si>
  <si>
    <t>4CPrecast Prestressed Concrete (Pre-Tensioned)Mild</t>
  </si>
  <si>
    <t>4DPrecast Prestressed Concrete (Pre-Tensioned)Mild</t>
  </si>
  <si>
    <t>4EPrecast Prestressed Concrete (Pre-Tensioned)Mild</t>
  </si>
  <si>
    <t>5BPrecast Prestressed Concrete (Pre-Tensioned)Mild</t>
  </si>
  <si>
    <t>5CPrecast Prestressed Concrete (Pre-Tensioned)Mild</t>
  </si>
  <si>
    <t>5DPrecast Prestressed Concrete (Pre-Tensioned)Mild</t>
  </si>
  <si>
    <t>5EPrecast Prestressed Concrete (Pre-Tensioned)Mild</t>
  </si>
  <si>
    <t>3CPrecast Prestressed Concrete (Pre-Tensioned)Moderate</t>
  </si>
  <si>
    <t>N/APrecast Prestressed Concrete (Pre-Tensioned)Moderate</t>
  </si>
  <si>
    <t>3DPrecast Prestressed Concrete (Pre-Tensioned)Moderate</t>
  </si>
  <si>
    <t>3EPrecast Prestressed Concrete (Pre-Tensioned)Moderate</t>
  </si>
  <si>
    <t>4BPrecast Prestressed Concrete (Pre-Tensioned)Moderate</t>
  </si>
  <si>
    <t>4CPrecast Prestressed Concrete (Pre-Tensioned)Moderate</t>
  </si>
  <si>
    <t>4DPrecast Prestressed Concrete (Pre-Tensioned)Moderate</t>
  </si>
  <si>
    <t>4EPrecast Prestressed Concrete (Pre-Tensioned)Moderate</t>
  </si>
  <si>
    <t>5BPrecast Prestressed Concrete (Pre-Tensioned)Moderate</t>
  </si>
  <si>
    <t>5CPrecast Prestressed Concrete (Pre-Tensioned)Moderate</t>
  </si>
  <si>
    <t>5DPrecast Prestressed Concrete (Pre-Tensioned)Moderate</t>
  </si>
  <si>
    <t>5EPrecast Prestressed Concrete (Pre-Tensioned)Moderate</t>
  </si>
  <si>
    <t>3CPrecast Prestressed Concrete (Pre-Tensioned)Severe</t>
  </si>
  <si>
    <t>N/APrecast Prestressed Concrete (Pre-Tensioned)Severe</t>
  </si>
  <si>
    <t>3DPrecast Prestressed Concrete (Pre-Tensioned)Severe</t>
  </si>
  <si>
    <t>3EPrecast Prestressed Concrete (Pre-Tensioned)Severe</t>
  </si>
  <si>
    <t>4BPrecast Prestressed Concrete (Pre-Tensioned)Severe</t>
  </si>
  <si>
    <t>4CPrecast Prestressed Concrete (Pre-Tensioned)Severe</t>
  </si>
  <si>
    <t>4DPrecast Prestressed Concrete (Pre-Tensioned)Severe</t>
  </si>
  <si>
    <t>4EPrecast Prestressed Concrete (Pre-Tensioned)Severe</t>
  </si>
  <si>
    <t>5BPrecast Prestressed Concrete (Pre-Tensioned)Severe</t>
  </si>
  <si>
    <t>5CPrecast Prestressed Concrete (Pre-Tensioned)Severe</t>
  </si>
  <si>
    <t>5DPrecast Prestressed Concrete (Pre-Tensioned)Severe</t>
  </si>
  <si>
    <t>5EPrecast Prestressed Concrete (Pre-Tensioned)Severe</t>
  </si>
  <si>
    <t>3CPrecast Reinforced ConcreteMild</t>
  </si>
  <si>
    <t>N/APrecast Reinforced ConcreteMild</t>
  </si>
  <si>
    <t>3DPrecast Reinforced ConcreteMild</t>
  </si>
  <si>
    <t>3EPrecast Reinforced ConcreteMild</t>
  </si>
  <si>
    <t>4BPrecast Reinforced ConcreteMild</t>
  </si>
  <si>
    <t>4CPrecast Reinforced ConcreteMild</t>
  </si>
  <si>
    <t>4DPrecast Reinforced ConcreteMild</t>
  </si>
  <si>
    <t>4EPrecast Reinforced ConcreteMild</t>
  </si>
  <si>
    <t>5BPrecast Reinforced ConcreteMild</t>
  </si>
  <si>
    <t>5CPrecast Reinforced ConcreteMild</t>
  </si>
  <si>
    <t>5DPrecast Reinforced ConcreteMild</t>
  </si>
  <si>
    <t>5EPrecast Reinforced ConcreteMild</t>
  </si>
  <si>
    <t>3CPrecast Reinforced ConcreteModerate</t>
  </si>
  <si>
    <t>N/APrecast Reinforced ConcreteModerate</t>
  </si>
  <si>
    <t>3DPrecast Reinforced ConcreteModerate</t>
  </si>
  <si>
    <t>3EPrecast Reinforced ConcreteModerate</t>
  </si>
  <si>
    <t>4BPrecast Reinforced ConcreteModerate</t>
  </si>
  <si>
    <t>4CPrecast Reinforced ConcreteModerate</t>
  </si>
  <si>
    <t>4DPrecast Reinforced ConcreteModerate</t>
  </si>
  <si>
    <t>4EPrecast Reinforced ConcreteModerate</t>
  </si>
  <si>
    <t>5BPrecast Reinforced ConcreteModerate</t>
  </si>
  <si>
    <t>5CPrecast Reinforced ConcreteModerate</t>
  </si>
  <si>
    <t>5DPrecast Reinforced ConcreteModerate</t>
  </si>
  <si>
    <t>5EPrecast Reinforced ConcreteModerate</t>
  </si>
  <si>
    <t>3CPrecast Reinforced ConcreteSevere</t>
  </si>
  <si>
    <t>N/APrecast Reinforced ConcreteSevere</t>
  </si>
  <si>
    <t>3DPrecast Reinforced ConcreteSevere</t>
  </si>
  <si>
    <t>3EPrecast Reinforced ConcreteSevere</t>
  </si>
  <si>
    <t>4BPrecast Reinforced ConcreteSevere</t>
  </si>
  <si>
    <t>4CPrecast Reinforced ConcreteSevere</t>
  </si>
  <si>
    <t>4DPrecast Reinforced ConcreteSevere</t>
  </si>
  <si>
    <t>4EPrecast Reinforced ConcreteSevere</t>
  </si>
  <si>
    <t>5BPrecast Reinforced ConcreteSevere</t>
  </si>
  <si>
    <t>5CPrecast Reinforced ConcreteSevere</t>
  </si>
  <si>
    <t>5DPrecast Reinforced ConcreteSevere</t>
  </si>
  <si>
    <t>5EPrecast Reinforced ConcreteSevere</t>
  </si>
  <si>
    <t>3CEncased SteelMild</t>
  </si>
  <si>
    <t>N/AEncased SteelMild</t>
  </si>
  <si>
    <t>3DEncased SteelMild</t>
  </si>
  <si>
    <t>3EEncased SteelMild</t>
  </si>
  <si>
    <t>4BEncased SteelMild</t>
  </si>
  <si>
    <t>4CEncased SteelMild</t>
  </si>
  <si>
    <t>4DEncased SteelMild</t>
  </si>
  <si>
    <t>4EEncased SteelMild</t>
  </si>
  <si>
    <t>5BEncased SteelMild</t>
  </si>
  <si>
    <t>5CEncased SteelMild</t>
  </si>
  <si>
    <t>5DEncased SteelMild</t>
  </si>
  <si>
    <t>5EEncased SteelMild</t>
  </si>
  <si>
    <t>3CEncased SteelModerate</t>
  </si>
  <si>
    <t>N/AEncased SteelModerate</t>
  </si>
  <si>
    <t>3DEncased SteelModerate</t>
  </si>
  <si>
    <t>3EEncased SteelModerate</t>
  </si>
  <si>
    <t>4BEncased SteelModerate</t>
  </si>
  <si>
    <t>4CEncased SteelModerate</t>
  </si>
  <si>
    <t>4DEncased SteelModerate</t>
  </si>
  <si>
    <t>4EEncased SteelModerate</t>
  </si>
  <si>
    <t>5BEncased SteelModerate</t>
  </si>
  <si>
    <t>5CEncased SteelModerate</t>
  </si>
  <si>
    <t>5DEncased SteelModerate</t>
  </si>
  <si>
    <t>5EEncased SteelModerate</t>
  </si>
  <si>
    <t>3CEncased SteelSevere</t>
  </si>
  <si>
    <t>N/AEncased SteelSevere</t>
  </si>
  <si>
    <t>3DEncased SteelSevere</t>
  </si>
  <si>
    <t>3EEncased SteelSevere</t>
  </si>
  <si>
    <t>4BEncased SteelSevere</t>
  </si>
  <si>
    <t>4CEncased SteelSevere</t>
  </si>
  <si>
    <t>4DEncased SteelSevere</t>
  </si>
  <si>
    <t>4EEncased SteelSevere</t>
  </si>
  <si>
    <t>5BEncased SteelSevere</t>
  </si>
  <si>
    <t>5CEncased SteelSevere</t>
  </si>
  <si>
    <t>5DEncased SteelSevere</t>
  </si>
  <si>
    <t>5EEncased SteelSevere</t>
  </si>
  <si>
    <t>3CCast Iron or Wrought IronMild</t>
  </si>
  <si>
    <t>N/ACast Iron or Wrought IronMild</t>
  </si>
  <si>
    <t>3DCast Iron or Wrought IronMild</t>
  </si>
  <si>
    <t>3ECast Iron or Wrought IronMild</t>
  </si>
  <si>
    <t>4BCast Iron or Wrought IronMild</t>
  </si>
  <si>
    <t>4CCast Iron or Wrought IronMild</t>
  </si>
  <si>
    <t>4DCast Iron or Wrought IronMild</t>
  </si>
  <si>
    <t>4ECast Iron or Wrought IronMild</t>
  </si>
  <si>
    <t>5BCast Iron or Wrought IronMild</t>
  </si>
  <si>
    <t>5CCast Iron or Wrought IronMild</t>
  </si>
  <si>
    <t>5DCast Iron or Wrought IronMild</t>
  </si>
  <si>
    <t>5ECast Iron or Wrought IronMild</t>
  </si>
  <si>
    <t>3CCast Iron or Wrought IronModerate</t>
  </si>
  <si>
    <t>N/ACast Iron or Wrought IronModerate</t>
  </si>
  <si>
    <t>3DCast Iron or Wrought IronModerate</t>
  </si>
  <si>
    <t>3ECast Iron or Wrought IronModerate</t>
  </si>
  <si>
    <t>4BCast Iron or Wrought IronModerate</t>
  </si>
  <si>
    <t>4CCast Iron or Wrought IronModerate</t>
  </si>
  <si>
    <t>4DCast Iron or Wrought IronModerate</t>
  </si>
  <si>
    <t>4ECast Iron or Wrought IronModerate</t>
  </si>
  <si>
    <t>5BCast Iron or Wrought IronModerate</t>
  </si>
  <si>
    <t>5CCast Iron or Wrought IronModerate</t>
  </si>
  <si>
    <t>5DCast Iron or Wrought IronModerate</t>
  </si>
  <si>
    <t>5ECast Iron or Wrought IronModerate</t>
  </si>
  <si>
    <t>3CCast Iron or Wrought IronSevere</t>
  </si>
  <si>
    <t>N/ACast Iron or Wrought IronSevere</t>
  </si>
  <si>
    <t>3DCast Iron or Wrought IronSevere</t>
  </si>
  <si>
    <t>3ECast Iron or Wrought IronSevere</t>
  </si>
  <si>
    <t>4BCast Iron or Wrought IronSevere</t>
  </si>
  <si>
    <t>4CCast Iron or Wrought IronSevere</t>
  </si>
  <si>
    <t>4DCast Iron or Wrought IronSevere</t>
  </si>
  <si>
    <t>4ECast Iron or Wrought IronSevere</t>
  </si>
  <si>
    <t>5BCast Iron or Wrought IronSevere</t>
  </si>
  <si>
    <t>5CCast Iron or Wrought IronSevere</t>
  </si>
  <si>
    <t>5DCast Iron or Wrought IronSevere</t>
  </si>
  <si>
    <t>5ECast Iron or Wrought IronSevere</t>
  </si>
  <si>
    <t>3CCorrugated Rolled SteelMild</t>
  </si>
  <si>
    <t>N/ACorrugated Rolled SteelMild</t>
  </si>
  <si>
    <t>3DCorrugated Rolled SteelMild</t>
  </si>
  <si>
    <t>3ECorrugated Rolled SteelMild</t>
  </si>
  <si>
    <t>4BCorrugated Rolled SteelMild</t>
  </si>
  <si>
    <t>4CCorrugated Rolled SteelMild</t>
  </si>
  <si>
    <t>4DCorrugated Rolled SteelMild</t>
  </si>
  <si>
    <t>4ECorrugated Rolled SteelMild</t>
  </si>
  <si>
    <t>5BCorrugated Rolled SteelMild</t>
  </si>
  <si>
    <t>5CCorrugated Rolled SteelMild</t>
  </si>
  <si>
    <t>5DCorrugated Rolled SteelMild</t>
  </si>
  <si>
    <t>5ECorrugated Rolled SteelMild</t>
  </si>
  <si>
    <t>3CCorrugated Rolled SteelModerate</t>
  </si>
  <si>
    <t>N/ACorrugated Rolled SteelModerate</t>
  </si>
  <si>
    <t>3DCorrugated Rolled SteelModerate</t>
  </si>
  <si>
    <t>3ECorrugated Rolled SteelModerate</t>
  </si>
  <si>
    <t>4BCorrugated Rolled SteelModerate</t>
  </si>
  <si>
    <t>4CCorrugated Rolled SteelModerate</t>
  </si>
  <si>
    <t>4DCorrugated Rolled SteelModerate</t>
  </si>
  <si>
    <t>4ECorrugated Rolled SteelModerate</t>
  </si>
  <si>
    <t>5BCorrugated Rolled SteelModerate</t>
  </si>
  <si>
    <t>5CCorrugated Rolled SteelModerate</t>
  </si>
  <si>
    <t>5DCorrugated Rolled SteelModerate</t>
  </si>
  <si>
    <t>5ECorrugated Rolled SteelModerate</t>
  </si>
  <si>
    <t>3CCorrugated Rolled SteelSevere</t>
  </si>
  <si>
    <t>N/ACorrugated Rolled SteelSevere</t>
  </si>
  <si>
    <t>3DCorrugated Rolled SteelSevere</t>
  </si>
  <si>
    <t>3ECorrugated Rolled SteelSevere</t>
  </si>
  <si>
    <t>4BCorrugated Rolled SteelSevere</t>
  </si>
  <si>
    <t>4CCorrugated Rolled SteelSevere</t>
  </si>
  <si>
    <t>4DCorrugated Rolled SteelSevere</t>
  </si>
  <si>
    <t>4ECorrugated Rolled SteelSevere</t>
  </si>
  <si>
    <t>5BCorrugated Rolled SteelSevere</t>
  </si>
  <si>
    <t>5CCorrugated Rolled SteelSevere</t>
  </si>
  <si>
    <t>5DCorrugated Rolled SteelSevere</t>
  </si>
  <si>
    <t>5ECorrugated Rolled SteelSevere</t>
  </si>
  <si>
    <t>3CWeathering SteelMild</t>
  </si>
  <si>
    <t>N/AWeathering SteelMild</t>
  </si>
  <si>
    <t>3DWeathering SteelMild</t>
  </si>
  <si>
    <t>3EWeathering SteelMild</t>
  </si>
  <si>
    <t>4BWeathering SteelMild</t>
  </si>
  <si>
    <t>4CWeathering SteelMild</t>
  </si>
  <si>
    <t>4DWeathering SteelMild</t>
  </si>
  <si>
    <t>4EWeathering SteelMild</t>
  </si>
  <si>
    <t>5BWeathering SteelMild</t>
  </si>
  <si>
    <t>5CWeathering SteelMild</t>
  </si>
  <si>
    <t>5DWeathering SteelMild</t>
  </si>
  <si>
    <t>5EWeathering SteelMild</t>
  </si>
  <si>
    <t>3CWeathering SteelModerate</t>
  </si>
  <si>
    <t>N/AWeathering SteelModerate</t>
  </si>
  <si>
    <t>3DWeathering SteelModerate</t>
  </si>
  <si>
    <t>3EWeathering SteelModerate</t>
  </si>
  <si>
    <t>4BWeathering SteelModerate</t>
  </si>
  <si>
    <t>4CWeathering SteelModerate</t>
  </si>
  <si>
    <t>4DWeathering SteelModerate</t>
  </si>
  <si>
    <t>4EWeathering SteelModerate</t>
  </si>
  <si>
    <t>5BWeathering SteelModerate</t>
  </si>
  <si>
    <t>5CWeathering SteelModerate</t>
  </si>
  <si>
    <t>5DWeathering SteelModerate</t>
  </si>
  <si>
    <t>5EWeathering SteelModerate</t>
  </si>
  <si>
    <t>3CWeathering SteelSevere</t>
  </si>
  <si>
    <t>N/AWeathering SteelSevere</t>
  </si>
  <si>
    <t>3DWeathering SteelSevere</t>
  </si>
  <si>
    <t>3EWeathering SteelSevere</t>
  </si>
  <si>
    <t>4BWeathering SteelSevere</t>
  </si>
  <si>
    <t>4CWeathering SteelSevere</t>
  </si>
  <si>
    <t>4DWeathering SteelSevere</t>
  </si>
  <si>
    <t>4EWeathering SteelSevere</t>
  </si>
  <si>
    <t>5BWeathering SteelSevere</t>
  </si>
  <si>
    <t>5CWeathering SteelSevere</t>
  </si>
  <si>
    <t>5DWeathering SteelSevere</t>
  </si>
  <si>
    <t>5EWeathering SteelSevere</t>
  </si>
  <si>
    <t>3CFabricated Steel, Rolled Steel, Steel, or Steel PlateMild</t>
  </si>
  <si>
    <t>N/AFabricated Steel, Rolled Steel, Steel, or Steel PlateMild</t>
  </si>
  <si>
    <t>3DFabricated Steel, Rolled Steel, Steel, or Steel PlateMild</t>
  </si>
  <si>
    <t>3EFabricated Steel, Rolled Steel, Steel, or Steel PlateMild</t>
  </si>
  <si>
    <t>4BFabricated Steel, Rolled Steel, Steel, or Steel PlateMild</t>
  </si>
  <si>
    <t>4CFabricated Steel, Rolled Steel, Steel, or Steel PlateMild</t>
  </si>
  <si>
    <t>4DFabricated Steel, Rolled Steel, Steel, or Steel PlateMild</t>
  </si>
  <si>
    <t>4EFabricated Steel, Rolled Steel, Steel, or Steel PlateMild</t>
  </si>
  <si>
    <t>5BFabricated Steel, Rolled Steel, Steel, or Steel PlateMild</t>
  </si>
  <si>
    <t>5CFabricated Steel, Rolled Steel, Steel, or Steel PlateMild</t>
  </si>
  <si>
    <t>5DFabricated Steel, Rolled Steel, Steel, or Steel PlateMild</t>
  </si>
  <si>
    <t>5EFabricated Steel, Rolled Steel, Steel, or Steel PlateMild</t>
  </si>
  <si>
    <t>3CFabricated Steel, Rolled Steel, Steel, or Steel PlateModerate</t>
  </si>
  <si>
    <t>N/AFabricated Steel, Rolled Steel, Steel, or Steel PlateModerate</t>
  </si>
  <si>
    <t>3DFabricated Steel, Rolled Steel, Steel, or Steel PlateModerate</t>
  </si>
  <si>
    <t>3EFabricated Steel, Rolled Steel, Steel, or Steel PlateModerate</t>
  </si>
  <si>
    <t>4BFabricated Steel, Rolled Steel, Steel, or Steel PlateModerate</t>
  </si>
  <si>
    <t>4CFabricated Steel, Rolled Steel, Steel, or Steel PlateModerate</t>
  </si>
  <si>
    <t>4DFabricated Steel, Rolled Steel, Steel, or Steel PlateModerate</t>
  </si>
  <si>
    <t>4EFabricated Steel, Rolled Steel, Steel, or Steel PlateModerate</t>
  </si>
  <si>
    <t>5BFabricated Steel, Rolled Steel, Steel, or Steel PlateModerate</t>
  </si>
  <si>
    <t>5CFabricated Steel, Rolled Steel, Steel, or Steel PlateModerate</t>
  </si>
  <si>
    <t>5DFabricated Steel, Rolled Steel, Steel, or Steel PlateModerate</t>
  </si>
  <si>
    <t>5EFabricated Steel, Rolled Steel, Steel, or Steel PlateModerate</t>
  </si>
  <si>
    <t>3CFabricated Steel, Rolled Steel, Steel, or Steel PlateSevere</t>
  </si>
  <si>
    <t>N/AFabricated Steel, Rolled Steel, Steel, or Steel PlateSevere</t>
  </si>
  <si>
    <t>3DFabricated Steel, Rolled Steel, Steel, or Steel PlateSevere</t>
  </si>
  <si>
    <t>3EFabricated Steel, Rolled Steel, Steel, or Steel PlateSevere</t>
  </si>
  <si>
    <t>4BFabricated Steel, Rolled Steel, Steel, or Steel PlateSevere</t>
  </si>
  <si>
    <t>4CFabricated Steel, Rolled Steel, Steel, or Steel PlateSevere</t>
  </si>
  <si>
    <t>4DFabricated Steel, Rolled Steel, Steel, or Steel PlateSevere</t>
  </si>
  <si>
    <t>4EFabricated Steel, Rolled Steel, Steel, or Steel PlateSevere</t>
  </si>
  <si>
    <t>5BFabricated Steel, Rolled Steel, Steel, or Steel PlateSevere</t>
  </si>
  <si>
    <t>5CFabricated Steel, Rolled Steel, Steel, or Steel PlateSevere</t>
  </si>
  <si>
    <t>5DFabricated Steel, Rolled Steel, Steel, or Steel PlateSevere</t>
  </si>
  <si>
    <t>5EFabricated Steel, Rolled Steel, Steel, or Steel PlateSevere</t>
  </si>
  <si>
    <t>3CBlockwork, i.e. Masonry or StoneMild</t>
  </si>
  <si>
    <t>N/ABlockwork, i.e. Masonry or StoneMild</t>
  </si>
  <si>
    <t>3DBlockwork, i.e. Masonry or StoneMild</t>
  </si>
  <si>
    <t>3EBlockwork, i.e. Masonry or StoneMild</t>
  </si>
  <si>
    <t>4BBlockwork, i.e. Masonry or StoneMild</t>
  </si>
  <si>
    <t>4CBlockwork, i.e. Masonry or StoneMild</t>
  </si>
  <si>
    <t>4DBlockwork, i.e. Masonry or StoneMild</t>
  </si>
  <si>
    <t>4EBlockwork, i.e. Masonry or StoneMild</t>
  </si>
  <si>
    <t>5BBlockwork, i.e. Masonry or StoneMild</t>
  </si>
  <si>
    <t>5CBlockwork, i.e. Masonry or StoneMild</t>
  </si>
  <si>
    <t>5DBlockwork, i.e. Masonry or StoneMild</t>
  </si>
  <si>
    <t>5EBlockwork, i.e. Masonry or StoneMild</t>
  </si>
  <si>
    <t>3CBlockwork, i.e. Masonry or StoneModerate</t>
  </si>
  <si>
    <t>N/ABlockwork, i.e. Masonry or StoneModerate</t>
  </si>
  <si>
    <t>3DBlockwork, i.e. Masonry or StoneModerate</t>
  </si>
  <si>
    <t>3EBlockwork, i.e. Masonry or StoneModerate</t>
  </si>
  <si>
    <t>4BBlockwork, i.e. Masonry or StoneModerate</t>
  </si>
  <si>
    <t>4CBlockwork, i.e. Masonry or StoneModerate</t>
  </si>
  <si>
    <t>4DBlockwork, i.e. Masonry or StoneModerate</t>
  </si>
  <si>
    <t>4EBlockwork, i.e. Masonry or StoneModerate</t>
  </si>
  <si>
    <t>5BBlockwork, i.e. Masonry or StoneModerate</t>
  </si>
  <si>
    <t>5CBlockwork, i.e. Masonry or StoneModerate</t>
  </si>
  <si>
    <t>5DBlockwork, i.e. Masonry or StoneModerate</t>
  </si>
  <si>
    <t>5EBlockwork, i.e. Masonry or StoneModerate</t>
  </si>
  <si>
    <t>3CBlockwork, i.e. Masonry or StoneSevere</t>
  </si>
  <si>
    <t>N/ABlockwork, i.e. Masonry or StoneSevere</t>
  </si>
  <si>
    <t>3DBlockwork, i.e. Masonry or StoneSevere</t>
  </si>
  <si>
    <t>3EBlockwork, i.e. Masonry or StoneSevere</t>
  </si>
  <si>
    <t>4BBlockwork, i.e. Masonry or StoneSevere</t>
  </si>
  <si>
    <t>4CBlockwork, i.e. Masonry or StoneSevere</t>
  </si>
  <si>
    <t>4DBlockwork, i.e. Masonry or StoneSevere</t>
  </si>
  <si>
    <t>4EBlockwork, i.e. Masonry or StoneSevere</t>
  </si>
  <si>
    <t>5BBlockwork, i.e. Masonry or StoneSevere</t>
  </si>
  <si>
    <t>5CBlockwork, i.e. Masonry or StoneSevere</t>
  </si>
  <si>
    <t>5DBlockwork, i.e. Masonry or StoneSevere</t>
  </si>
  <si>
    <t>5EBlockwork, i.e. Masonry or StoneSevere</t>
  </si>
  <si>
    <t>3CBrickworkMild</t>
  </si>
  <si>
    <t>N/ABrickworkMild</t>
  </si>
  <si>
    <t>3DBrickworkMild</t>
  </si>
  <si>
    <t>3EBrickworkMild</t>
  </si>
  <si>
    <t>4BBrickworkMild</t>
  </si>
  <si>
    <t>4CBrickworkMild</t>
  </si>
  <si>
    <t>4DBrickworkMild</t>
  </si>
  <si>
    <t>4EBrickworkMild</t>
  </si>
  <si>
    <t>5BBrickworkMild</t>
  </si>
  <si>
    <t>5CBrickworkMild</t>
  </si>
  <si>
    <t>5DBrickworkMild</t>
  </si>
  <si>
    <t>5EBrickworkMild</t>
  </si>
  <si>
    <t>3CBrickworkModerate</t>
  </si>
  <si>
    <t>N/ABrickworkModerate</t>
  </si>
  <si>
    <t>3DBrickworkModerate</t>
  </si>
  <si>
    <t>3EBrickworkModerate</t>
  </si>
  <si>
    <t>4BBrickworkModerate</t>
  </si>
  <si>
    <t>4CBrickworkModerate</t>
  </si>
  <si>
    <t>4DBrickworkModerate</t>
  </si>
  <si>
    <t>4EBrickworkModerate</t>
  </si>
  <si>
    <t>5BBrickworkModerate</t>
  </si>
  <si>
    <t>5CBrickworkModerate</t>
  </si>
  <si>
    <t>5DBrickworkModerate</t>
  </si>
  <si>
    <t>5EBrickworkModerate</t>
  </si>
  <si>
    <t>3CBrickworkSevere</t>
  </si>
  <si>
    <t>N/ABrickworkSevere</t>
  </si>
  <si>
    <t>3DBrickworkSevere</t>
  </si>
  <si>
    <t>3EBrickworkSevere</t>
  </si>
  <si>
    <t>4BBrickworkSevere</t>
  </si>
  <si>
    <t>4CBrickworkSevere</t>
  </si>
  <si>
    <t>4DBrickworkSevere</t>
  </si>
  <si>
    <t>4EBrickworkSevere</t>
  </si>
  <si>
    <t>5BBrickworkSevere</t>
  </si>
  <si>
    <t>5CBrickworkSevere</t>
  </si>
  <si>
    <t>5DBrickworkSevere</t>
  </si>
  <si>
    <t>5EBrickworkSevere</t>
  </si>
  <si>
    <t>3COther/Unknown MaterialMild</t>
  </si>
  <si>
    <t>N/AOther/Unknown MaterialMild</t>
  </si>
  <si>
    <t>3DOther/Unknown MaterialMild</t>
  </si>
  <si>
    <t>3EOther/Unknown MaterialMild</t>
  </si>
  <si>
    <t>4BOther/Unknown MaterialMild</t>
  </si>
  <si>
    <t>4COther/Unknown MaterialMild</t>
  </si>
  <si>
    <t>4DOther/Unknown MaterialMild</t>
  </si>
  <si>
    <t>4EOther/Unknown MaterialMild</t>
  </si>
  <si>
    <t>5BOther/Unknown MaterialMild</t>
  </si>
  <si>
    <t>5COther/Unknown MaterialMild</t>
  </si>
  <si>
    <t>5DOther/Unknown MaterialMild</t>
  </si>
  <si>
    <t>5EOther/Unknown MaterialMild</t>
  </si>
  <si>
    <t>3COther/Unknown MaterialModerate</t>
  </si>
  <si>
    <t>N/AOther/Unknown MaterialModerate</t>
  </si>
  <si>
    <t>3DOther/Unknown MaterialModerate</t>
  </si>
  <si>
    <t>3EOther/Unknown MaterialModerate</t>
  </si>
  <si>
    <t>4BOther/Unknown MaterialModerate</t>
  </si>
  <si>
    <t>4COther/Unknown MaterialModerate</t>
  </si>
  <si>
    <t>4DOther/Unknown MaterialModerate</t>
  </si>
  <si>
    <t>4EOther/Unknown MaterialModerate</t>
  </si>
  <si>
    <t>5BOther/Unknown MaterialModerate</t>
  </si>
  <si>
    <t>5COther/Unknown MaterialModerate</t>
  </si>
  <si>
    <t>5DOther/Unknown MaterialModerate</t>
  </si>
  <si>
    <t>5EOther/Unknown MaterialModerate</t>
  </si>
  <si>
    <t>3COther/Unknown MaterialSevere</t>
  </si>
  <si>
    <t>N/AOther/Unknown MaterialSevere</t>
  </si>
  <si>
    <t>3DOther/Unknown MaterialSevere</t>
  </si>
  <si>
    <t>3EOther/Unknown MaterialSevere</t>
  </si>
  <si>
    <t>4BOther/Unknown MaterialSevere</t>
  </si>
  <si>
    <t>4COther/Unknown MaterialSevere</t>
  </si>
  <si>
    <t>4DOther/Unknown MaterialSevere</t>
  </si>
  <si>
    <t>4EOther/Unknown MaterialSevere</t>
  </si>
  <si>
    <t>5BOther/Unknown MaterialSevere</t>
  </si>
  <si>
    <t>5COther/Unknown MaterialSevere</t>
  </si>
  <si>
    <t>5DOther/Unknown MaterialSevere</t>
  </si>
  <si>
    <t>5EOther/Unknown MaterialSevere</t>
  </si>
  <si>
    <t>3CNatural InvertMild</t>
  </si>
  <si>
    <t>N/ANatural InvertMild</t>
  </si>
  <si>
    <t>3DNatural InvertMild</t>
  </si>
  <si>
    <t>3ENatural InvertMild</t>
  </si>
  <si>
    <t>4BNatural InvertMild</t>
  </si>
  <si>
    <t>4CNatural InvertMild</t>
  </si>
  <si>
    <t>4DNatural InvertMild</t>
  </si>
  <si>
    <t>4ENatural InvertMild</t>
  </si>
  <si>
    <t>5BNatural InvertMild</t>
  </si>
  <si>
    <t>5CNatural InvertMild</t>
  </si>
  <si>
    <t>5DNatural InvertMild</t>
  </si>
  <si>
    <t>5ENatural InvertMild</t>
  </si>
  <si>
    <t>3CNatural InvertModerate</t>
  </si>
  <si>
    <t>N/ANatural InvertModerate</t>
  </si>
  <si>
    <t>3DNatural InvertModerate</t>
  </si>
  <si>
    <t>3ENatural InvertModerate</t>
  </si>
  <si>
    <t>4BNatural InvertModerate</t>
  </si>
  <si>
    <t>4CNatural InvertModerate</t>
  </si>
  <si>
    <t>4DNatural InvertModerate</t>
  </si>
  <si>
    <t>4ENatural InvertModerate</t>
  </si>
  <si>
    <t>5BNatural InvertModerate</t>
  </si>
  <si>
    <t>5CNatural InvertModerate</t>
  </si>
  <si>
    <t>5DNatural InvertModerate</t>
  </si>
  <si>
    <t>5ENatural InvertModerate</t>
  </si>
  <si>
    <t>3CNatural InvertSevere</t>
  </si>
  <si>
    <t>N/ANatural InvertSevere</t>
  </si>
  <si>
    <t>3DNatural InvertSevere</t>
  </si>
  <si>
    <t>3ENatural InvertSevere</t>
  </si>
  <si>
    <t>4BNatural InvertSevere</t>
  </si>
  <si>
    <t>4CNatural InvertSevere</t>
  </si>
  <si>
    <t>4DNatural InvertSevere</t>
  </si>
  <si>
    <t>4ENatural InvertSevere</t>
  </si>
  <si>
    <t>5BNatural InvertSevere</t>
  </si>
  <si>
    <t>5CNatural InvertSevere</t>
  </si>
  <si>
    <t>5DNatural InvertSevere</t>
  </si>
  <si>
    <t>5ENatural InvertSevere</t>
  </si>
  <si>
    <t>3COther/Unknown Invert MaterialMild</t>
  </si>
  <si>
    <t>N/AOther/Unknown Invert MaterialMild</t>
  </si>
  <si>
    <t>3DOther/Unknown Invert MaterialMild</t>
  </si>
  <si>
    <t>3EOther/Unknown Invert MaterialMild</t>
  </si>
  <si>
    <t>4BOther/Unknown Invert MaterialMild</t>
  </si>
  <si>
    <t>4COther/Unknown Invert MaterialMild</t>
  </si>
  <si>
    <t>4DOther/Unknown Invert MaterialMild</t>
  </si>
  <si>
    <t>4EOther/Unknown Invert MaterialMild</t>
  </si>
  <si>
    <t>5BOther/Unknown Invert MaterialMild</t>
  </si>
  <si>
    <t>5COther/Unknown Invert MaterialMild</t>
  </si>
  <si>
    <t>5DOther/Unknown Invert MaterialMild</t>
  </si>
  <si>
    <t>5EOther/Unknown Invert MaterialMild</t>
  </si>
  <si>
    <t>3COther/Unknown Invert MaterialModerate</t>
  </si>
  <si>
    <t>N/AOther/Unknown Invert MaterialModerate</t>
  </si>
  <si>
    <t>3DOther/Unknown Invert MaterialModerate</t>
  </si>
  <si>
    <t>3EOther/Unknown Invert MaterialModerate</t>
  </si>
  <si>
    <t>4BOther/Unknown Invert MaterialModerate</t>
  </si>
  <si>
    <t>4COther/Unknown Invert MaterialModerate</t>
  </si>
  <si>
    <t>4DOther/Unknown Invert MaterialModerate</t>
  </si>
  <si>
    <t>4EOther/Unknown Invert MaterialModerate</t>
  </si>
  <si>
    <t>5BOther/Unknown Invert MaterialModerate</t>
  </si>
  <si>
    <t>5COther/Unknown Invert MaterialModerate</t>
  </si>
  <si>
    <t>5DOther/Unknown Invert MaterialModerate</t>
  </si>
  <si>
    <t>5EOther/Unknown Invert MaterialModerate</t>
  </si>
  <si>
    <t>3COther/Unknown Invert MaterialSevere</t>
  </si>
  <si>
    <t>N/AOther/Unknown Invert MaterialSevere</t>
  </si>
  <si>
    <t>3DOther/Unknown Invert MaterialSevere</t>
  </si>
  <si>
    <t>3EOther/Unknown Invert MaterialSevere</t>
  </si>
  <si>
    <t>4BOther/Unknown Invert MaterialSevere</t>
  </si>
  <si>
    <t>4COther/Unknown Invert MaterialSevere</t>
  </si>
  <si>
    <t>4DOther/Unknown Invert MaterialSevere</t>
  </si>
  <si>
    <t>4EOther/Unknown Invert MaterialSevere</t>
  </si>
  <si>
    <t>5BOther/Unknown Invert MaterialSevere</t>
  </si>
  <si>
    <t>5COther/Unknown Invert MaterialSevere</t>
  </si>
  <si>
    <t>5DOther/Unknown Invert MaterialSevere</t>
  </si>
  <si>
    <t>5EOther/Unknown Invert MaterialSevere</t>
  </si>
  <si>
    <t>2CPlastic (External)Mild</t>
  </si>
  <si>
    <t>N/APlastic (External)Mild</t>
  </si>
  <si>
    <t>2DPlastic (External)Mild</t>
  </si>
  <si>
    <t>2EPlastic (External)Mild</t>
  </si>
  <si>
    <t>3BPlastic (External)Mild</t>
  </si>
  <si>
    <t>3CPlastic (External)Mild</t>
  </si>
  <si>
    <t>3DPlastic (External)Mild</t>
  </si>
  <si>
    <t>3EPlastic (External)Mild</t>
  </si>
  <si>
    <t>2CPlastic (External)Moderate</t>
  </si>
  <si>
    <t>N/APlastic (External)Moderate</t>
  </si>
  <si>
    <t>2DPlastic (External)Moderate</t>
  </si>
  <si>
    <t>2EPlastic (External)Moderate</t>
  </si>
  <si>
    <t>3BPlastic (External)Moderate</t>
  </si>
  <si>
    <t>3CPlastic (External)Moderate</t>
  </si>
  <si>
    <t>3DPlastic (External)Moderate</t>
  </si>
  <si>
    <t>3EPlastic (External)Moderate</t>
  </si>
  <si>
    <t>2CPlastic (External)Severe</t>
  </si>
  <si>
    <t>N/APlastic (External)Severe</t>
  </si>
  <si>
    <t>2DPlastic (External)Severe</t>
  </si>
  <si>
    <t>2EPlastic (External)Severe</t>
  </si>
  <si>
    <t>3BPlastic (External)Severe</t>
  </si>
  <si>
    <t>3CPlastic (External)Severe</t>
  </si>
  <si>
    <t>3DPlastic (External)Severe</t>
  </si>
  <si>
    <t>3EPlastic (External)Severe</t>
  </si>
  <si>
    <t>2CMetal (External)Mild</t>
  </si>
  <si>
    <t>N/AMetal (External)Mild</t>
  </si>
  <si>
    <t>2DMetal (External)Mild</t>
  </si>
  <si>
    <t>2EMetal (External)Mild</t>
  </si>
  <si>
    <t>3BMetal (External)Mild</t>
  </si>
  <si>
    <t>3CMetal (External)Mild</t>
  </si>
  <si>
    <t>3DMetal (External)Mild</t>
  </si>
  <si>
    <t>3EMetal (External)Mild</t>
  </si>
  <si>
    <t>2CMetal (External)Moderate</t>
  </si>
  <si>
    <t>N/AMetal (External)Moderate</t>
  </si>
  <si>
    <t>2DMetal (External)Moderate</t>
  </si>
  <si>
    <t>2EMetal (External)Moderate</t>
  </si>
  <si>
    <t>3BMetal (External)Moderate</t>
  </si>
  <si>
    <t>3CMetal (External)Moderate</t>
  </si>
  <si>
    <t>3DMetal (External)Moderate</t>
  </si>
  <si>
    <t>3EMetal (External)Moderate</t>
  </si>
  <si>
    <t>2CMetal (External)Severe</t>
  </si>
  <si>
    <t>N/AMetal (External)Severe</t>
  </si>
  <si>
    <t>2DMetal (External)Severe</t>
  </si>
  <si>
    <t>2EMetal (External)Severe</t>
  </si>
  <si>
    <t>3BMetal (External)Severe</t>
  </si>
  <si>
    <t>3CMetal (External)Severe</t>
  </si>
  <si>
    <t>3DMetal (External)Severe</t>
  </si>
  <si>
    <t>3EMetal (External)Severe</t>
  </si>
  <si>
    <t>2COther (External) Drainage SystemMild</t>
  </si>
  <si>
    <t>N/AOther (External) Drainage SystemMild</t>
  </si>
  <si>
    <t>2DOther (External) Drainage SystemMild</t>
  </si>
  <si>
    <t>2EOther (External) Drainage SystemMild</t>
  </si>
  <si>
    <t>3BOther (External) Drainage SystemMild</t>
  </si>
  <si>
    <t>3COther (External) Drainage SystemMild</t>
  </si>
  <si>
    <t>3DOther (External) Drainage SystemMild</t>
  </si>
  <si>
    <t>3EOther (External) Drainage SystemMild</t>
  </si>
  <si>
    <t>2COther (External) Drainage SystemModerate</t>
  </si>
  <si>
    <t>N/AOther (External) Drainage SystemModerate</t>
  </si>
  <si>
    <t>2DOther (External) Drainage SystemModerate</t>
  </si>
  <si>
    <t>2EOther (External) Drainage SystemModerate</t>
  </si>
  <si>
    <t>3BOther (External) Drainage SystemModerate</t>
  </si>
  <si>
    <t>3COther (External) Drainage SystemModerate</t>
  </si>
  <si>
    <t>3DOther (External) Drainage SystemModerate</t>
  </si>
  <si>
    <t>3EOther (External) Drainage SystemModerate</t>
  </si>
  <si>
    <t>2COther (External) Drainage SystemSevere</t>
  </si>
  <si>
    <t>N/AOther (External) Drainage SystemSevere</t>
  </si>
  <si>
    <t>2DOther (External) Drainage SystemSevere</t>
  </si>
  <si>
    <t>2EOther (External) Drainage SystemSevere</t>
  </si>
  <si>
    <t>3BOther (External) Drainage SystemSevere</t>
  </si>
  <si>
    <t>3COther (External) Drainage SystemSevere</t>
  </si>
  <si>
    <t>3DOther (External) Drainage SystemSevere</t>
  </si>
  <si>
    <t>3EOther (External) Drainage SystemSevere</t>
  </si>
  <si>
    <t>2CInternal Drainage SystemMild</t>
  </si>
  <si>
    <t>N/AInternal Drainage SystemMild</t>
  </si>
  <si>
    <t>2DInternal Drainage SystemMild</t>
  </si>
  <si>
    <t>2EInternal Drainage SystemMild</t>
  </si>
  <si>
    <t>3BInternal Drainage SystemMild</t>
  </si>
  <si>
    <t>3CInternal Drainage SystemMild</t>
  </si>
  <si>
    <t>3DInternal Drainage SystemMild</t>
  </si>
  <si>
    <t>3EInternal Drainage SystemMild</t>
  </si>
  <si>
    <t>2CInternal Drainage SystemModerate</t>
  </si>
  <si>
    <t>N/AInternal Drainage SystemModerate</t>
  </si>
  <si>
    <t>2DInternal Drainage SystemModerate</t>
  </si>
  <si>
    <t>2EInternal Drainage SystemModerate</t>
  </si>
  <si>
    <t>3BInternal Drainage SystemModerate</t>
  </si>
  <si>
    <t>3CInternal Drainage SystemModerate</t>
  </si>
  <si>
    <t>3DInternal Drainage SystemModerate</t>
  </si>
  <si>
    <t>3EInternal Drainage SystemModerate</t>
  </si>
  <si>
    <t>2CInternal Drainage SystemSevere</t>
  </si>
  <si>
    <t>N/AInternal Drainage SystemSevere</t>
  </si>
  <si>
    <t>2DInternal Drainage SystemSevere</t>
  </si>
  <si>
    <t>2EInternal Drainage SystemSevere</t>
  </si>
  <si>
    <t>3BInternal Drainage SystemSevere</t>
  </si>
  <si>
    <t>3CInternal Drainage SystemSevere</t>
  </si>
  <si>
    <t>3DInternal Drainage SystemSevere</t>
  </si>
  <si>
    <t>3EInternal Drainage SystemSevere</t>
  </si>
  <si>
    <t>2CClay PipeMild</t>
  </si>
  <si>
    <t>N/AClay PipeMild</t>
  </si>
  <si>
    <t>2DClay PipeMild</t>
  </si>
  <si>
    <t>2EClay PipeMild</t>
  </si>
  <si>
    <t>3BClay PipeMild</t>
  </si>
  <si>
    <t>3CClay PipeMild</t>
  </si>
  <si>
    <t>3DClay PipeMild</t>
  </si>
  <si>
    <t>3EClay PipeMild</t>
  </si>
  <si>
    <t>2CClay PipeModerate</t>
  </si>
  <si>
    <t>N/AClay PipeModerate</t>
  </si>
  <si>
    <t>2DClay PipeModerate</t>
  </si>
  <si>
    <t>2EClay PipeModerate</t>
  </si>
  <si>
    <t>3BClay PipeModerate</t>
  </si>
  <si>
    <t>3CClay PipeModerate</t>
  </si>
  <si>
    <t>3DClay PipeModerate</t>
  </si>
  <si>
    <t>3EClay PipeModerate</t>
  </si>
  <si>
    <t>2CClay PipeSevere</t>
  </si>
  <si>
    <t>N/AClay PipeSevere</t>
  </si>
  <si>
    <t>2DClay PipeSevere</t>
  </si>
  <si>
    <t>2EClay PipeSevere</t>
  </si>
  <si>
    <t>3BClay PipeSevere</t>
  </si>
  <si>
    <t>3CClay PipeSevere</t>
  </si>
  <si>
    <t>3DClay PipeSevere</t>
  </si>
  <si>
    <t>3EClay PipeSevere</t>
  </si>
  <si>
    <t>2CConcrete PipeMild</t>
  </si>
  <si>
    <t>N/AConcrete PipeMild</t>
  </si>
  <si>
    <t>2DConcrete PipeMild</t>
  </si>
  <si>
    <t>2EConcrete PipeMild</t>
  </si>
  <si>
    <t>3BConcrete PipeMild</t>
  </si>
  <si>
    <t>3CConcrete PipeMild</t>
  </si>
  <si>
    <t>3DConcrete PipeMild</t>
  </si>
  <si>
    <t>3EConcrete PipeMild</t>
  </si>
  <si>
    <t>2CConcrete PipeModerate</t>
  </si>
  <si>
    <t>N/AConcrete PipeModerate</t>
  </si>
  <si>
    <t>2DConcrete PipeModerate</t>
  </si>
  <si>
    <t>2EConcrete PipeModerate</t>
  </si>
  <si>
    <t>3BConcrete PipeModerate</t>
  </si>
  <si>
    <t>3CConcrete PipeModerate</t>
  </si>
  <si>
    <t>3DConcrete PipeModerate</t>
  </si>
  <si>
    <t>3EConcrete PipeModerate</t>
  </si>
  <si>
    <t>2CConcrete PipeSevere</t>
  </si>
  <si>
    <t>N/AConcrete PipeSevere</t>
  </si>
  <si>
    <t>2DConcrete PipeSevere</t>
  </si>
  <si>
    <t>2EConcrete PipeSevere</t>
  </si>
  <si>
    <t>3BConcrete PipeSevere</t>
  </si>
  <si>
    <t>3CConcrete PipeSevere</t>
  </si>
  <si>
    <t>3DConcrete PipeSevere</t>
  </si>
  <si>
    <t>3EConcrete PipeSevere</t>
  </si>
  <si>
    <t>2COther/Unknown Drainage SystemMild</t>
  </si>
  <si>
    <t>N/AOther/Unknown Drainage SystemMild</t>
  </si>
  <si>
    <t>2DOther/Unknown Drainage SystemMild</t>
  </si>
  <si>
    <t>2EOther/Unknown Drainage SystemMild</t>
  </si>
  <si>
    <t>3BOther/Unknown Drainage SystemMild</t>
  </si>
  <si>
    <t>3COther/Unknown Drainage SystemMild</t>
  </si>
  <si>
    <t>3DOther/Unknown Drainage SystemMild</t>
  </si>
  <si>
    <t>3EOther/Unknown Drainage SystemMild</t>
  </si>
  <si>
    <t>2COther/Unknown Drainage SystemModerate</t>
  </si>
  <si>
    <t>N/AOther/Unknown Drainage SystemModerate</t>
  </si>
  <si>
    <t>2DOther/Unknown Drainage SystemModerate</t>
  </si>
  <si>
    <t>2EOther/Unknown Drainage SystemModerate</t>
  </si>
  <si>
    <t>3BOther/Unknown Drainage SystemModerate</t>
  </si>
  <si>
    <t>3COther/Unknown Drainage SystemModerate</t>
  </si>
  <si>
    <t>3DOther/Unknown Drainage SystemModerate</t>
  </si>
  <si>
    <t>3EOther/Unknown Drainage SystemModerate</t>
  </si>
  <si>
    <t>2COther/Unknown Drainage SystemSevere</t>
  </si>
  <si>
    <t>N/AOther/Unknown Drainage SystemSevere</t>
  </si>
  <si>
    <t>2DOther/Unknown Drainage SystemSevere</t>
  </si>
  <si>
    <t>2EOther/Unknown Drainage SystemSevere</t>
  </si>
  <si>
    <t>3BOther/Unknown Drainage SystemSevere</t>
  </si>
  <si>
    <t>3COther/Unknown Drainage SystemSevere</t>
  </si>
  <si>
    <t>3DOther/Unknown Drainage SystemSevere</t>
  </si>
  <si>
    <t>3EOther/Unknown Drainage SystemSevere</t>
  </si>
  <si>
    <t>4BPlastic (External)Mild</t>
  </si>
  <si>
    <t>4CPlastic (External)Mild</t>
  </si>
  <si>
    <t>4DPlastic (External)Mild</t>
  </si>
  <si>
    <t>4EPlastic (External)Mild</t>
  </si>
  <si>
    <t>5BPlastic (External)Mild</t>
  </si>
  <si>
    <t>5CPlastic (External)Mild</t>
  </si>
  <si>
    <t>5DPlastic (External)Mild</t>
  </si>
  <si>
    <t>5EPlastic (External)Mild</t>
  </si>
  <si>
    <t>4BPlastic (External)Moderate</t>
  </si>
  <si>
    <t>4CPlastic (External)Moderate</t>
  </si>
  <si>
    <t>4DPlastic (External)Moderate</t>
  </si>
  <si>
    <t>4EPlastic (External)Moderate</t>
  </si>
  <si>
    <t>5BPlastic (External)Moderate</t>
  </si>
  <si>
    <t>5CPlastic (External)Moderate</t>
  </si>
  <si>
    <t>5DPlastic (External)Moderate</t>
  </si>
  <si>
    <t>5EPlastic (External)Moderate</t>
  </si>
  <si>
    <t>4BPlastic (External)Severe</t>
  </si>
  <si>
    <t>4CPlastic (External)Severe</t>
  </si>
  <si>
    <t>4DPlastic (External)Severe</t>
  </si>
  <si>
    <t>4EPlastic (External)Severe</t>
  </si>
  <si>
    <t>5BPlastic (External)Severe</t>
  </si>
  <si>
    <t>5CPlastic (External)Severe</t>
  </si>
  <si>
    <t>5DPlastic (External)Severe</t>
  </si>
  <si>
    <t>5EPlastic (External)Severe</t>
  </si>
  <si>
    <t>4BMetal (External)Mild</t>
  </si>
  <si>
    <t>4CMetal (External)Mild</t>
  </si>
  <si>
    <t>4DMetal (External)Mild</t>
  </si>
  <si>
    <t>4EMetal (External)Mild</t>
  </si>
  <si>
    <t>5BMetal (External)Mild</t>
  </si>
  <si>
    <t>5CMetal (External)Mild</t>
  </si>
  <si>
    <t>5DMetal (External)Mild</t>
  </si>
  <si>
    <t>5EMetal (External)Mild</t>
  </si>
  <si>
    <t>4BMetal (External)Moderate</t>
  </si>
  <si>
    <t>4CMetal (External)Moderate</t>
  </si>
  <si>
    <t>4DMetal (External)Moderate</t>
  </si>
  <si>
    <t>4EMetal (External)Moderate</t>
  </si>
  <si>
    <t>5BMetal (External)Moderate</t>
  </si>
  <si>
    <t>5CMetal (External)Moderate</t>
  </si>
  <si>
    <t>5DMetal (External)Moderate</t>
  </si>
  <si>
    <t>5EMetal (External)Moderate</t>
  </si>
  <si>
    <t>4BMetal (External)Severe</t>
  </si>
  <si>
    <t>4CMetal (External)Severe</t>
  </si>
  <si>
    <t>4DMetal (External)Severe</t>
  </si>
  <si>
    <t>4EMetal (External)Severe</t>
  </si>
  <si>
    <t>5BMetal (External)Severe</t>
  </si>
  <si>
    <t>5CMetal (External)Severe</t>
  </si>
  <si>
    <t>5DMetal (External)Severe</t>
  </si>
  <si>
    <t>5EMetal (External)Severe</t>
  </si>
  <si>
    <t>4BOther (External) Drainage SystemMild</t>
  </si>
  <si>
    <t>4COther (External) Drainage SystemMild</t>
  </si>
  <si>
    <t>4DOther (External) Drainage SystemMild</t>
  </si>
  <si>
    <t>4EOther (External) Drainage SystemMild</t>
  </si>
  <si>
    <t>5BOther (External) Drainage SystemMild</t>
  </si>
  <si>
    <t>5COther (External) Drainage SystemMild</t>
  </si>
  <si>
    <t>5DOther (External) Drainage SystemMild</t>
  </si>
  <si>
    <t>5EOther (External) Drainage SystemMild</t>
  </si>
  <si>
    <t>4BOther (External) Drainage SystemModerate</t>
  </si>
  <si>
    <t>4COther (External) Drainage SystemModerate</t>
  </si>
  <si>
    <t>4DOther (External) Drainage SystemModerate</t>
  </si>
  <si>
    <t>4EOther (External) Drainage SystemModerate</t>
  </si>
  <si>
    <t>5BOther (External) Drainage SystemModerate</t>
  </si>
  <si>
    <t>5COther (External) Drainage SystemModerate</t>
  </si>
  <si>
    <t>5DOther (External) Drainage SystemModerate</t>
  </si>
  <si>
    <t>5EOther (External) Drainage SystemModerate</t>
  </si>
  <si>
    <t>4BOther (External) Drainage SystemSevere</t>
  </si>
  <si>
    <t>4COther (External) Drainage SystemSevere</t>
  </si>
  <si>
    <t>4DOther (External) Drainage SystemSevere</t>
  </si>
  <si>
    <t>4EOther (External) Drainage SystemSevere</t>
  </si>
  <si>
    <t>5BOther (External) Drainage SystemSevere</t>
  </si>
  <si>
    <t>5COther (External) Drainage SystemSevere</t>
  </si>
  <si>
    <t>5DOther (External) Drainage SystemSevere</t>
  </si>
  <si>
    <t>5EOther (External) Drainage SystemSevere</t>
  </si>
  <si>
    <t>4BInternal Drainage SystemMild</t>
  </si>
  <si>
    <t>4CInternal Drainage SystemMild</t>
  </si>
  <si>
    <t>4DInternal Drainage SystemMild</t>
  </si>
  <si>
    <t>4EInternal Drainage SystemMild</t>
  </si>
  <si>
    <t>5BInternal Drainage SystemMild</t>
  </si>
  <si>
    <t>5CInternal Drainage SystemMild</t>
  </si>
  <si>
    <t>5DInternal Drainage SystemMild</t>
  </si>
  <si>
    <t>5EInternal Drainage SystemMild</t>
  </si>
  <si>
    <t>4BInternal Drainage SystemModerate</t>
  </si>
  <si>
    <t>4CInternal Drainage SystemModerate</t>
  </si>
  <si>
    <t>4DInternal Drainage SystemModerate</t>
  </si>
  <si>
    <t>4EInternal Drainage SystemModerate</t>
  </si>
  <si>
    <t>5BInternal Drainage SystemModerate</t>
  </si>
  <si>
    <t>5CInternal Drainage SystemModerate</t>
  </si>
  <si>
    <t>5DInternal Drainage SystemModerate</t>
  </si>
  <si>
    <t>5EInternal Drainage SystemModerate</t>
  </si>
  <si>
    <t>4BInternal Drainage SystemSevere</t>
  </si>
  <si>
    <t>4CInternal Drainage SystemSevere</t>
  </si>
  <si>
    <t>4DInternal Drainage SystemSevere</t>
  </si>
  <si>
    <t>4EInternal Drainage SystemSevere</t>
  </si>
  <si>
    <t>5BInternal Drainage SystemSevere</t>
  </si>
  <si>
    <t>5CInternal Drainage SystemSevere</t>
  </si>
  <si>
    <t>5DInternal Drainage SystemSevere</t>
  </si>
  <si>
    <t>5EInternal Drainage SystemSevere</t>
  </si>
  <si>
    <t>4BClay PipeMild</t>
  </si>
  <si>
    <t>4CClay PipeMild</t>
  </si>
  <si>
    <t>4DClay PipeMild</t>
  </si>
  <si>
    <t>4EClay PipeMild</t>
  </si>
  <si>
    <t>5BClay PipeMild</t>
  </si>
  <si>
    <t>5CClay PipeMild</t>
  </si>
  <si>
    <t>5DClay PipeMild</t>
  </si>
  <si>
    <t>5EClay PipeMild</t>
  </si>
  <si>
    <t>4BClay PipeModerate</t>
  </si>
  <si>
    <t>4CClay PipeModerate</t>
  </si>
  <si>
    <t>4DClay PipeModerate</t>
  </si>
  <si>
    <t>4EClay PipeModerate</t>
  </si>
  <si>
    <t>5BClay PipeModerate</t>
  </si>
  <si>
    <t>5CClay PipeModerate</t>
  </si>
  <si>
    <t>5DClay PipeModerate</t>
  </si>
  <si>
    <t>5EClay PipeModerate</t>
  </si>
  <si>
    <t>4BClay PipeSevere</t>
  </si>
  <si>
    <t>4CClay PipeSevere</t>
  </si>
  <si>
    <t>4DClay PipeSevere</t>
  </si>
  <si>
    <t>4EClay PipeSevere</t>
  </si>
  <si>
    <t>5BClay PipeSevere</t>
  </si>
  <si>
    <t>5CClay PipeSevere</t>
  </si>
  <si>
    <t>5DClay PipeSevere</t>
  </si>
  <si>
    <t>5EClay PipeSevere</t>
  </si>
  <si>
    <t>4BConcrete PipeMild</t>
  </si>
  <si>
    <t>4CConcrete PipeMild</t>
  </si>
  <si>
    <t>4DConcrete PipeMild</t>
  </si>
  <si>
    <t>4EConcrete PipeMild</t>
  </si>
  <si>
    <t>5BConcrete PipeMild</t>
  </si>
  <si>
    <t>5CConcrete PipeMild</t>
  </si>
  <si>
    <t>5DConcrete PipeMild</t>
  </si>
  <si>
    <t>5EConcrete PipeMild</t>
  </si>
  <si>
    <t>4BConcrete PipeModerate</t>
  </si>
  <si>
    <t>4CConcrete PipeModerate</t>
  </si>
  <si>
    <t>4DConcrete PipeModerate</t>
  </si>
  <si>
    <t>4EConcrete PipeModerate</t>
  </si>
  <si>
    <t>5BConcrete PipeModerate</t>
  </si>
  <si>
    <t>5CConcrete PipeModerate</t>
  </si>
  <si>
    <t>5DConcrete PipeModerate</t>
  </si>
  <si>
    <t>5EConcrete PipeModerate</t>
  </si>
  <si>
    <t>4BConcrete PipeSevere</t>
  </si>
  <si>
    <t>4CConcrete PipeSevere</t>
  </si>
  <si>
    <t>4DConcrete PipeSevere</t>
  </si>
  <si>
    <t>4EConcrete PipeSevere</t>
  </si>
  <si>
    <t>5BConcrete PipeSevere</t>
  </si>
  <si>
    <t>5CConcrete PipeSevere</t>
  </si>
  <si>
    <t>5DConcrete PipeSevere</t>
  </si>
  <si>
    <t>5EConcrete PipeSevere</t>
  </si>
  <si>
    <t>4BOther/Unknown Drainage SystemMild</t>
  </si>
  <si>
    <t>4COther/Unknown Drainage SystemMild</t>
  </si>
  <si>
    <t>4DOther/Unknown Drainage SystemMild</t>
  </si>
  <si>
    <t>4EOther/Unknown Drainage SystemMild</t>
  </si>
  <si>
    <t>5BOther/Unknown Drainage SystemMild</t>
  </si>
  <si>
    <t>5COther/Unknown Drainage SystemMild</t>
  </si>
  <si>
    <t>5DOther/Unknown Drainage SystemMild</t>
  </si>
  <si>
    <t>5EOther/Unknown Drainage SystemMild</t>
  </si>
  <si>
    <t>4BOther/Unknown Drainage SystemModerate</t>
  </si>
  <si>
    <t>4COther/Unknown Drainage SystemModerate</t>
  </si>
  <si>
    <t>4DOther/Unknown Drainage SystemModerate</t>
  </si>
  <si>
    <t>4EOther/Unknown Drainage SystemModerate</t>
  </si>
  <si>
    <t>5BOther/Unknown Drainage SystemModerate</t>
  </si>
  <si>
    <t>5COther/Unknown Drainage SystemModerate</t>
  </si>
  <si>
    <t>5DOther/Unknown Drainage SystemModerate</t>
  </si>
  <si>
    <t>5EOther/Unknown Drainage SystemModerate</t>
  </si>
  <si>
    <t>4BOther/Unknown Drainage SystemSevere</t>
  </si>
  <si>
    <t>4COther/Unknown Drainage SystemSevere</t>
  </si>
  <si>
    <t>4DOther/Unknown Drainage SystemSevere</t>
  </si>
  <si>
    <t>4EOther/Unknown Drainage SystemSevere</t>
  </si>
  <si>
    <t>5BOther/Unknown Drainage SystemSevere</t>
  </si>
  <si>
    <t>5COther/Unknown Drainage SystemSevere</t>
  </si>
  <si>
    <t>5DOther/Unknown Drainage SystemSevere</t>
  </si>
  <si>
    <t>5EOther/Unknown Drainage SystemSevere</t>
  </si>
  <si>
    <t>3CStone Rip-RapMild</t>
  </si>
  <si>
    <t>N/AStone Rip-RapMild</t>
  </si>
  <si>
    <t>3DStone Rip-RapMild</t>
  </si>
  <si>
    <t>3EStone Rip-RapMild</t>
  </si>
  <si>
    <t>4BStone Rip-RapMild</t>
  </si>
  <si>
    <t>4CStone Rip-RapMild</t>
  </si>
  <si>
    <t>4DStone Rip-RapMild</t>
  </si>
  <si>
    <t>4EStone Rip-RapMild</t>
  </si>
  <si>
    <t>5BStone Rip-RapMild</t>
  </si>
  <si>
    <t>5CStone Rip-RapMild</t>
  </si>
  <si>
    <t>5DStone Rip-RapMild</t>
  </si>
  <si>
    <t>5EStone Rip-RapMild</t>
  </si>
  <si>
    <t>3CStone Rip-RapModerate</t>
  </si>
  <si>
    <t>N/AStone Rip-RapModerate</t>
  </si>
  <si>
    <t>3DStone Rip-RapModerate</t>
  </si>
  <si>
    <t>3EStone Rip-RapModerate</t>
  </si>
  <si>
    <t>4BStone Rip-RapModerate</t>
  </si>
  <si>
    <t>4CStone Rip-RapModerate</t>
  </si>
  <si>
    <t>4DStone Rip-RapModerate</t>
  </si>
  <si>
    <t>4EStone Rip-RapModerate</t>
  </si>
  <si>
    <t>5BStone Rip-RapModerate</t>
  </si>
  <si>
    <t>5CStone Rip-RapModerate</t>
  </si>
  <si>
    <t>5DStone Rip-RapModerate</t>
  </si>
  <si>
    <t>5EStone Rip-RapModerate</t>
  </si>
  <si>
    <t>3CStone Rip-RapSevere</t>
  </si>
  <si>
    <t>N/AStone Rip-RapSevere</t>
  </si>
  <si>
    <t>3DStone Rip-RapSevere</t>
  </si>
  <si>
    <t>3EStone Rip-RapSevere</t>
  </si>
  <si>
    <t>4BStone Rip-RapSevere</t>
  </si>
  <si>
    <t>4CStone Rip-RapSevere</t>
  </si>
  <si>
    <t>4DStone Rip-RapSevere</t>
  </si>
  <si>
    <t>4EStone Rip-RapSevere</t>
  </si>
  <si>
    <t>5BStone Rip-RapSevere</t>
  </si>
  <si>
    <t>5CStone Rip-RapSevere</t>
  </si>
  <si>
    <t>5DStone Rip-RapSevere</t>
  </si>
  <si>
    <t>5EStone Rip-RapSevere</t>
  </si>
  <si>
    <t>3CHand-Placed StoneMild</t>
  </si>
  <si>
    <t>N/AHand-Placed StoneMild</t>
  </si>
  <si>
    <t>3DHand-Placed StoneMild</t>
  </si>
  <si>
    <t>3EHand-Placed StoneMild</t>
  </si>
  <si>
    <t>4BHand-Placed StoneMild</t>
  </si>
  <si>
    <t>4CHand-Placed StoneMild</t>
  </si>
  <si>
    <t>4DHand-Placed StoneMild</t>
  </si>
  <si>
    <t>4EHand-Placed StoneMild</t>
  </si>
  <si>
    <t>5BHand-Placed StoneMild</t>
  </si>
  <si>
    <t>5CHand-Placed StoneMild</t>
  </si>
  <si>
    <t>5DHand-Placed StoneMild</t>
  </si>
  <si>
    <t>5EHand-Placed StoneMild</t>
  </si>
  <si>
    <t>3CHand-Placed StoneModerate</t>
  </si>
  <si>
    <t>N/AHand-Placed StoneModerate</t>
  </si>
  <si>
    <t>3DHand-Placed StoneModerate</t>
  </si>
  <si>
    <t>3EHand-Placed StoneModerate</t>
  </si>
  <si>
    <t>4BHand-Placed StoneModerate</t>
  </si>
  <si>
    <t>4CHand-Placed StoneModerate</t>
  </si>
  <si>
    <t>4DHand-Placed StoneModerate</t>
  </si>
  <si>
    <t>4EHand-Placed StoneModerate</t>
  </si>
  <si>
    <t>5BHand-Placed StoneModerate</t>
  </si>
  <si>
    <t>5CHand-Placed StoneModerate</t>
  </si>
  <si>
    <t>5DHand-Placed StoneModerate</t>
  </si>
  <si>
    <t>5EHand-Placed StoneModerate</t>
  </si>
  <si>
    <t>3CHand-Placed StoneSevere</t>
  </si>
  <si>
    <t>N/AHand-Placed StoneSevere</t>
  </si>
  <si>
    <t>3DHand-Placed StoneSevere</t>
  </si>
  <si>
    <t>3EHand-Placed StoneSevere</t>
  </si>
  <si>
    <t>4BHand-Placed StoneSevere</t>
  </si>
  <si>
    <t>4CHand-Placed StoneSevere</t>
  </si>
  <si>
    <t>4DHand-Placed StoneSevere</t>
  </si>
  <si>
    <t>4EHand-Placed StoneSevere</t>
  </si>
  <si>
    <t>5BHand-Placed StoneSevere</t>
  </si>
  <si>
    <t>5CHand-Placed StoneSevere</t>
  </si>
  <si>
    <t>5DHand-Placed StoneSevere</t>
  </si>
  <si>
    <t>5EHand-Placed StoneSevere</t>
  </si>
  <si>
    <t>3CGrouted Stone or MasonryMild</t>
  </si>
  <si>
    <t>N/AGrouted Stone or MasonryMild</t>
  </si>
  <si>
    <t>3DGrouted Stone or MasonryMild</t>
  </si>
  <si>
    <t>3EGrouted Stone or MasonryMild</t>
  </si>
  <si>
    <t>4BGrouted Stone or MasonryMild</t>
  </si>
  <si>
    <t>4CGrouted Stone or MasonryMild</t>
  </si>
  <si>
    <t>4DGrouted Stone or MasonryMild</t>
  </si>
  <si>
    <t>4EGrouted Stone or MasonryMild</t>
  </si>
  <si>
    <t>5BGrouted Stone or MasonryMild</t>
  </si>
  <si>
    <t>5CGrouted Stone or MasonryMild</t>
  </si>
  <si>
    <t>5DGrouted Stone or MasonryMild</t>
  </si>
  <si>
    <t>5EGrouted Stone or MasonryMild</t>
  </si>
  <si>
    <t>3CGrouted Stone or MasonryModerate</t>
  </si>
  <si>
    <t>N/AGrouted Stone or MasonryModerate</t>
  </si>
  <si>
    <t>3DGrouted Stone or MasonryModerate</t>
  </si>
  <si>
    <t>3EGrouted Stone or MasonryModerate</t>
  </si>
  <si>
    <t>4BGrouted Stone or MasonryModerate</t>
  </si>
  <si>
    <t>4CGrouted Stone or MasonryModerate</t>
  </si>
  <si>
    <t>4DGrouted Stone or MasonryModerate</t>
  </si>
  <si>
    <t>4EGrouted Stone or MasonryModerate</t>
  </si>
  <si>
    <t>5BGrouted Stone or MasonryModerate</t>
  </si>
  <si>
    <t>5CGrouted Stone or MasonryModerate</t>
  </si>
  <si>
    <t>5DGrouted Stone or MasonryModerate</t>
  </si>
  <si>
    <t>5EGrouted Stone or MasonryModerate</t>
  </si>
  <si>
    <t>3CGrouted Stone or MasonrySevere</t>
  </si>
  <si>
    <t>N/AGrouted Stone or MasonrySevere</t>
  </si>
  <si>
    <t>3DGrouted Stone or MasonrySevere</t>
  </si>
  <si>
    <t>3EGrouted Stone or MasonrySevere</t>
  </si>
  <si>
    <t>4BGrouted Stone or MasonrySevere</t>
  </si>
  <si>
    <t>4CGrouted Stone or MasonrySevere</t>
  </si>
  <si>
    <t>4DGrouted Stone or MasonrySevere</t>
  </si>
  <si>
    <t>4EGrouted Stone or MasonrySevere</t>
  </si>
  <si>
    <t>5BGrouted Stone or MasonrySevere</t>
  </si>
  <si>
    <t>5CGrouted Stone or MasonrySevere</t>
  </si>
  <si>
    <t>5DGrouted Stone or MasonrySevere</t>
  </si>
  <si>
    <t>5EGrouted Stone or MasonrySevere</t>
  </si>
  <si>
    <t>3CGabion Mesh MattressesMild</t>
  </si>
  <si>
    <t>N/AGabion Mesh MattressesMild</t>
  </si>
  <si>
    <t>3DGabion Mesh MattressesMild</t>
  </si>
  <si>
    <t>3EGabion Mesh MattressesMild</t>
  </si>
  <si>
    <t>4BGabion Mesh MattressesMild</t>
  </si>
  <si>
    <t>4CGabion Mesh MattressesMild</t>
  </si>
  <si>
    <t>4DGabion Mesh MattressesMild</t>
  </si>
  <si>
    <t>4EGabion Mesh MattressesMild</t>
  </si>
  <si>
    <t>5BGabion Mesh MattressesMild</t>
  </si>
  <si>
    <t>5CGabion Mesh MattressesMild</t>
  </si>
  <si>
    <t>5DGabion Mesh MattressesMild</t>
  </si>
  <si>
    <t>5EGabion Mesh MattressesMild</t>
  </si>
  <si>
    <t>3CGabion Mesh MattressesModerate</t>
  </si>
  <si>
    <t>N/AGabion Mesh MattressesModerate</t>
  </si>
  <si>
    <t>3DGabion Mesh MattressesModerate</t>
  </si>
  <si>
    <t>3EGabion Mesh MattressesModerate</t>
  </si>
  <si>
    <t>4BGabion Mesh MattressesModerate</t>
  </si>
  <si>
    <t>4CGabion Mesh MattressesModerate</t>
  </si>
  <si>
    <t>4DGabion Mesh MattressesModerate</t>
  </si>
  <si>
    <t>4EGabion Mesh MattressesModerate</t>
  </si>
  <si>
    <t>5BGabion Mesh MattressesModerate</t>
  </si>
  <si>
    <t>5CGabion Mesh MattressesModerate</t>
  </si>
  <si>
    <t>5DGabion Mesh MattressesModerate</t>
  </si>
  <si>
    <t>5EGabion Mesh MattressesModerate</t>
  </si>
  <si>
    <t>3CGabion Mesh MattressesSevere</t>
  </si>
  <si>
    <t>N/AGabion Mesh MattressesSevere</t>
  </si>
  <si>
    <t>3DGabion Mesh MattressesSevere</t>
  </si>
  <si>
    <t>3EGabion Mesh MattressesSevere</t>
  </si>
  <si>
    <t>4BGabion Mesh MattressesSevere</t>
  </si>
  <si>
    <t>4CGabion Mesh MattressesSevere</t>
  </si>
  <si>
    <t>4DGabion Mesh MattressesSevere</t>
  </si>
  <si>
    <t>4EGabion Mesh MattressesSevere</t>
  </si>
  <si>
    <t>5BGabion Mesh MattressesSevere</t>
  </si>
  <si>
    <t>5CGabion Mesh MattressesSevere</t>
  </si>
  <si>
    <t>5DGabion Mesh MattressesSevere</t>
  </si>
  <si>
    <t>5EGabion Mesh MattressesSevere</t>
  </si>
  <si>
    <t>3CPrecast Concrete Blocks - Open Jointed or InterlockingMild</t>
  </si>
  <si>
    <t>N/APrecast Concrete Blocks - Open Jointed or InterlockingMild</t>
  </si>
  <si>
    <t>3DPrecast Concrete Blocks - Open Jointed or InterlockingMild</t>
  </si>
  <si>
    <t>3EPrecast Concrete Blocks - Open Jointed or InterlockingMild</t>
  </si>
  <si>
    <t>4BPrecast Concrete Blocks - Open Jointed or InterlockingMild</t>
  </si>
  <si>
    <t>4CPrecast Concrete Blocks - Open Jointed or InterlockingMild</t>
  </si>
  <si>
    <t>4DPrecast Concrete Blocks - Open Jointed or InterlockingMild</t>
  </si>
  <si>
    <t>4EPrecast Concrete Blocks - Open Jointed or InterlockingMild</t>
  </si>
  <si>
    <t>5BPrecast Concrete Blocks - Open Jointed or InterlockingMild</t>
  </si>
  <si>
    <t>5CPrecast Concrete Blocks - Open Jointed or InterlockingMild</t>
  </si>
  <si>
    <t>5DPrecast Concrete Blocks - Open Jointed or InterlockingMild</t>
  </si>
  <si>
    <t>5EPrecast Concrete Blocks - Open Jointed or InterlockingMild</t>
  </si>
  <si>
    <t>3CPrecast Concrete Blocks - Open Jointed or InterlockingModerate</t>
  </si>
  <si>
    <t>N/APrecast Concrete Blocks - Open Jointed or InterlockingModerate</t>
  </si>
  <si>
    <t>3DPrecast Concrete Blocks - Open Jointed or InterlockingModerate</t>
  </si>
  <si>
    <t>3EPrecast Concrete Blocks - Open Jointed or InterlockingModerate</t>
  </si>
  <si>
    <t>4BPrecast Concrete Blocks - Open Jointed or InterlockingModerate</t>
  </si>
  <si>
    <t>4CPrecast Concrete Blocks - Open Jointed or InterlockingModerate</t>
  </si>
  <si>
    <t>4DPrecast Concrete Blocks - Open Jointed or InterlockingModerate</t>
  </si>
  <si>
    <t>4EPrecast Concrete Blocks - Open Jointed or InterlockingModerate</t>
  </si>
  <si>
    <t>5BPrecast Concrete Blocks - Open Jointed or InterlockingModerate</t>
  </si>
  <si>
    <t>5CPrecast Concrete Blocks - Open Jointed or InterlockingModerate</t>
  </si>
  <si>
    <t>5DPrecast Concrete Blocks - Open Jointed or InterlockingModerate</t>
  </si>
  <si>
    <t>5EPrecast Concrete Blocks - Open Jointed or InterlockingModerate</t>
  </si>
  <si>
    <t>3CPrecast Concrete Blocks - Open Jointed or InterlockingSevere</t>
  </si>
  <si>
    <t>N/APrecast Concrete Blocks - Open Jointed or InterlockingSevere</t>
  </si>
  <si>
    <t>3DPrecast Concrete Blocks - Open Jointed or InterlockingSevere</t>
  </si>
  <si>
    <t>3EPrecast Concrete Blocks - Open Jointed or InterlockingSevere</t>
  </si>
  <si>
    <t>4BPrecast Concrete Blocks - Open Jointed or InterlockingSevere</t>
  </si>
  <si>
    <t>4CPrecast Concrete Blocks - Open Jointed or InterlockingSevere</t>
  </si>
  <si>
    <t>4DPrecast Concrete Blocks - Open Jointed or InterlockingSevere</t>
  </si>
  <si>
    <t>4EPrecast Concrete Blocks - Open Jointed or InterlockingSevere</t>
  </si>
  <si>
    <t>5BPrecast Concrete Blocks - Open Jointed or InterlockingSevere</t>
  </si>
  <si>
    <t>5CPrecast Concrete Blocks - Open Jointed or InterlockingSevere</t>
  </si>
  <si>
    <t>5DPrecast Concrete Blocks - Open Jointed or InterlockingSevere</t>
  </si>
  <si>
    <t>5EPrecast Concrete Blocks - Open Jointed or InterlockingSevere</t>
  </si>
  <si>
    <t>3CCable-Tied Block MattressesMild</t>
  </si>
  <si>
    <t>N/ACable-Tied Block MattressesMild</t>
  </si>
  <si>
    <t>3DCable-Tied Block MattressesMild</t>
  </si>
  <si>
    <t>3ECable-Tied Block MattressesMild</t>
  </si>
  <si>
    <t>4BCable-Tied Block MattressesMild</t>
  </si>
  <si>
    <t>4CCable-Tied Block MattressesMild</t>
  </si>
  <si>
    <t>4DCable-Tied Block MattressesMild</t>
  </si>
  <si>
    <t>4ECable-Tied Block MattressesMild</t>
  </si>
  <si>
    <t>5BCable-Tied Block MattressesMild</t>
  </si>
  <si>
    <t>5CCable-Tied Block MattressesMild</t>
  </si>
  <si>
    <t>5DCable-Tied Block MattressesMild</t>
  </si>
  <si>
    <t>5ECable-Tied Block MattressesMild</t>
  </si>
  <si>
    <t>3CCable-Tied Block MattressesModerate</t>
  </si>
  <si>
    <t>N/ACable-Tied Block MattressesModerate</t>
  </si>
  <si>
    <t>3DCable-Tied Block MattressesModerate</t>
  </si>
  <si>
    <t>3ECable-Tied Block MattressesModerate</t>
  </si>
  <si>
    <t>4BCable-Tied Block MattressesModerate</t>
  </si>
  <si>
    <t>4CCable-Tied Block MattressesModerate</t>
  </si>
  <si>
    <t>4DCable-Tied Block MattressesModerate</t>
  </si>
  <si>
    <t>4ECable-Tied Block MattressesModerate</t>
  </si>
  <si>
    <t>5BCable-Tied Block MattressesModerate</t>
  </si>
  <si>
    <t>5CCable-Tied Block MattressesModerate</t>
  </si>
  <si>
    <t>5DCable-Tied Block MattressesModerate</t>
  </si>
  <si>
    <t>5ECable-Tied Block MattressesModerate</t>
  </si>
  <si>
    <t>3CCable-Tied Block MattressesSevere</t>
  </si>
  <si>
    <t>N/ACable-Tied Block MattressesSevere</t>
  </si>
  <si>
    <t>3DCable-Tied Block MattressesSevere</t>
  </si>
  <si>
    <t>3ECable-Tied Block MattressesSevere</t>
  </si>
  <si>
    <t>4BCable-Tied Block MattressesSevere</t>
  </si>
  <si>
    <t>4CCable-Tied Block MattressesSevere</t>
  </si>
  <si>
    <t>4DCable-Tied Block MattressesSevere</t>
  </si>
  <si>
    <t>4ECable-Tied Block MattressesSevere</t>
  </si>
  <si>
    <t>5BCable-Tied Block MattressesSevere</t>
  </si>
  <si>
    <t>5CCable-Tied Block MattressesSevere</t>
  </si>
  <si>
    <t>5DCable-Tied Block MattressesSevere</t>
  </si>
  <si>
    <t>5ECable-Tied Block MattressesSevere</t>
  </si>
  <si>
    <t>3CConcrete Insitu SlabsMild</t>
  </si>
  <si>
    <t>N/AConcrete Insitu SlabsMild</t>
  </si>
  <si>
    <t>3DConcrete Insitu SlabsMild</t>
  </si>
  <si>
    <t>3EConcrete Insitu SlabsMild</t>
  </si>
  <si>
    <t>4BConcrete Insitu SlabsMild</t>
  </si>
  <si>
    <t>4CConcrete Insitu SlabsMild</t>
  </si>
  <si>
    <t>4DConcrete Insitu SlabsMild</t>
  </si>
  <si>
    <t>4EConcrete Insitu SlabsMild</t>
  </si>
  <si>
    <t>5BConcrete Insitu SlabsMild</t>
  </si>
  <si>
    <t>5CConcrete Insitu SlabsMild</t>
  </si>
  <si>
    <t>5DConcrete Insitu SlabsMild</t>
  </si>
  <si>
    <t>5EConcrete Insitu SlabsMild</t>
  </si>
  <si>
    <t>3CConcrete Insitu SlabsModerate</t>
  </si>
  <si>
    <t>N/AConcrete Insitu SlabsModerate</t>
  </si>
  <si>
    <t>3DConcrete Insitu SlabsModerate</t>
  </si>
  <si>
    <t>3EConcrete Insitu SlabsModerate</t>
  </si>
  <si>
    <t>4BConcrete Insitu SlabsModerate</t>
  </si>
  <si>
    <t>4CConcrete Insitu SlabsModerate</t>
  </si>
  <si>
    <t>4DConcrete Insitu SlabsModerate</t>
  </si>
  <si>
    <t>4EConcrete Insitu SlabsModerate</t>
  </si>
  <si>
    <t>5BConcrete Insitu SlabsModerate</t>
  </si>
  <si>
    <t>5CConcrete Insitu SlabsModerate</t>
  </si>
  <si>
    <t>5DConcrete Insitu SlabsModerate</t>
  </si>
  <si>
    <t>5EConcrete Insitu SlabsModerate</t>
  </si>
  <si>
    <t>3CConcrete Insitu SlabsSevere</t>
  </si>
  <si>
    <t>N/AConcrete Insitu SlabsSevere</t>
  </si>
  <si>
    <t>3DConcrete Insitu SlabsSevere</t>
  </si>
  <si>
    <t>3EConcrete Insitu SlabsSevere</t>
  </si>
  <si>
    <t>4BConcrete Insitu SlabsSevere</t>
  </si>
  <si>
    <t>4CConcrete Insitu SlabsSevere</t>
  </si>
  <si>
    <t>4DConcrete Insitu SlabsSevere</t>
  </si>
  <si>
    <t>4EConcrete Insitu SlabsSevere</t>
  </si>
  <si>
    <t>5BConcrete Insitu SlabsSevere</t>
  </si>
  <si>
    <t>5CConcrete Insitu SlabsSevere</t>
  </si>
  <si>
    <t>5DConcrete Insitu SlabsSevere</t>
  </si>
  <si>
    <t>5EConcrete Insitu SlabsSevere</t>
  </si>
  <si>
    <t>3CGrassed Geotextile MatsMild</t>
  </si>
  <si>
    <t>N/AGrassed Geotextile MatsMild</t>
  </si>
  <si>
    <t>3DGrassed Geotextile MatsMild</t>
  </si>
  <si>
    <t>3EGrassed Geotextile MatsMild</t>
  </si>
  <si>
    <t>4BGrassed Geotextile MatsMild</t>
  </si>
  <si>
    <t>4CGrassed Geotextile MatsMild</t>
  </si>
  <si>
    <t>4DGrassed Geotextile MatsMild</t>
  </si>
  <si>
    <t>4EGrassed Geotextile MatsMild</t>
  </si>
  <si>
    <t>5BGrassed Geotextile MatsMild</t>
  </si>
  <si>
    <t>5CGrassed Geotextile MatsMild</t>
  </si>
  <si>
    <t>5DGrassed Geotextile MatsMild</t>
  </si>
  <si>
    <t>5EGrassed Geotextile MatsMild</t>
  </si>
  <si>
    <t>3CGrassed Geotextile MatsModerate</t>
  </si>
  <si>
    <t>N/AGrassed Geotextile MatsModerate</t>
  </si>
  <si>
    <t>3DGrassed Geotextile MatsModerate</t>
  </si>
  <si>
    <t>3EGrassed Geotextile MatsModerate</t>
  </si>
  <si>
    <t>4BGrassed Geotextile MatsModerate</t>
  </si>
  <si>
    <t>4CGrassed Geotextile MatsModerate</t>
  </si>
  <si>
    <t>4DGrassed Geotextile MatsModerate</t>
  </si>
  <si>
    <t>4EGrassed Geotextile MatsModerate</t>
  </si>
  <si>
    <t>5BGrassed Geotextile MatsModerate</t>
  </si>
  <si>
    <t>5CGrassed Geotextile MatsModerate</t>
  </si>
  <si>
    <t>5DGrassed Geotextile MatsModerate</t>
  </si>
  <si>
    <t>5EGrassed Geotextile MatsModerate</t>
  </si>
  <si>
    <t>3CGrassed Geotextile MatsSevere</t>
  </si>
  <si>
    <t>N/AGrassed Geotextile MatsSevere</t>
  </si>
  <si>
    <t>3DGrassed Geotextile MatsSevere</t>
  </si>
  <si>
    <t>3EGrassed Geotextile MatsSevere</t>
  </si>
  <si>
    <t>4BGrassed Geotextile MatsSevere</t>
  </si>
  <si>
    <t>4CGrassed Geotextile MatsSevere</t>
  </si>
  <si>
    <t>4DGrassed Geotextile MatsSevere</t>
  </si>
  <si>
    <t>4EGrassed Geotextile MatsSevere</t>
  </si>
  <si>
    <t>5BGrassed Geotextile MatsSevere</t>
  </si>
  <si>
    <t>5CGrassed Geotextile MatsSevere</t>
  </si>
  <si>
    <t>5DGrassed Geotextile MatsSevere</t>
  </si>
  <si>
    <t>5EGrassed Geotextile MatsSevere</t>
  </si>
  <si>
    <t>3CGrout-Filled Synthetic MattressesMild</t>
  </si>
  <si>
    <t>N/AGrout-Filled Synthetic MattressesMild</t>
  </si>
  <si>
    <t>3DGrout-Filled Synthetic MattressesMild</t>
  </si>
  <si>
    <t>3EGrout-Filled Synthetic MattressesMild</t>
  </si>
  <si>
    <t>4BGrout-Filled Synthetic MattressesMild</t>
  </si>
  <si>
    <t>4CGrout-Filled Synthetic MattressesMild</t>
  </si>
  <si>
    <t>4DGrout-Filled Synthetic MattressesMild</t>
  </si>
  <si>
    <t>4EGrout-Filled Synthetic MattressesMild</t>
  </si>
  <si>
    <t>5BGrout-Filled Synthetic MattressesMild</t>
  </si>
  <si>
    <t>5CGrout-Filled Synthetic MattressesMild</t>
  </si>
  <si>
    <t>5DGrout-Filled Synthetic MattressesMild</t>
  </si>
  <si>
    <t>5EGrout-Filled Synthetic MattressesMild</t>
  </si>
  <si>
    <t>3CGrout-Filled Synthetic MattressesModerate</t>
  </si>
  <si>
    <t>N/AGrout-Filled Synthetic MattressesModerate</t>
  </si>
  <si>
    <t>3DGrout-Filled Synthetic MattressesModerate</t>
  </si>
  <si>
    <t>3EGrout-Filled Synthetic MattressesModerate</t>
  </si>
  <si>
    <t>4BGrout-Filled Synthetic MattressesModerate</t>
  </si>
  <si>
    <t>4CGrout-Filled Synthetic MattressesModerate</t>
  </si>
  <si>
    <t>4DGrout-Filled Synthetic MattressesModerate</t>
  </si>
  <si>
    <t>4EGrout-Filled Synthetic MattressesModerate</t>
  </si>
  <si>
    <t>5BGrout-Filled Synthetic MattressesModerate</t>
  </si>
  <si>
    <t>5CGrout-Filled Synthetic MattressesModerate</t>
  </si>
  <si>
    <t>5DGrout-Filled Synthetic MattressesModerate</t>
  </si>
  <si>
    <t>5EGrout-Filled Synthetic MattressesModerate</t>
  </si>
  <si>
    <t>3CGrout-Filled Synthetic MattressesSevere</t>
  </si>
  <si>
    <t>N/AGrout-Filled Synthetic MattressesSevere</t>
  </si>
  <si>
    <t>3DGrout-Filled Synthetic MattressesSevere</t>
  </si>
  <si>
    <t>3EGrout-Filled Synthetic MattressesSevere</t>
  </si>
  <si>
    <t>4BGrout-Filled Synthetic MattressesSevere</t>
  </si>
  <si>
    <t>4CGrout-Filled Synthetic MattressesSevere</t>
  </si>
  <si>
    <t>4DGrout-Filled Synthetic MattressesSevere</t>
  </si>
  <si>
    <t>4EGrout-Filled Synthetic MattressesSevere</t>
  </si>
  <si>
    <t>5BGrout-Filled Synthetic MattressesSevere</t>
  </si>
  <si>
    <t>5CGrout-Filled Synthetic MattressesSevere</t>
  </si>
  <si>
    <t>5DGrout-Filled Synthetic MattressesSevere</t>
  </si>
  <si>
    <t>5EGrout-Filled Synthetic MattressesSevere</t>
  </si>
  <si>
    <t>3CStone AsphaltMild</t>
  </si>
  <si>
    <t>N/AStone AsphaltMild</t>
  </si>
  <si>
    <t>3DStone AsphaltMild</t>
  </si>
  <si>
    <t>3EStone AsphaltMild</t>
  </si>
  <si>
    <t>4BStone AsphaltMild</t>
  </si>
  <si>
    <t>4CStone AsphaltMild</t>
  </si>
  <si>
    <t>4DStone AsphaltMild</t>
  </si>
  <si>
    <t>4EStone AsphaltMild</t>
  </si>
  <si>
    <t>5BStone AsphaltMild</t>
  </si>
  <si>
    <t>5CStone AsphaltMild</t>
  </si>
  <si>
    <t>5DStone AsphaltMild</t>
  </si>
  <si>
    <t>5EStone AsphaltMild</t>
  </si>
  <si>
    <t>3CStone AsphaltModerate</t>
  </si>
  <si>
    <t>N/AStone AsphaltModerate</t>
  </si>
  <si>
    <t>3DStone AsphaltModerate</t>
  </si>
  <si>
    <t>3EStone AsphaltModerate</t>
  </si>
  <si>
    <t>4BStone AsphaltModerate</t>
  </si>
  <si>
    <t>4CStone AsphaltModerate</t>
  </si>
  <si>
    <t>4DStone AsphaltModerate</t>
  </si>
  <si>
    <t>4EStone AsphaltModerate</t>
  </si>
  <si>
    <t>5BStone AsphaltModerate</t>
  </si>
  <si>
    <t>5CStone AsphaltModerate</t>
  </si>
  <si>
    <t>5DStone AsphaltModerate</t>
  </si>
  <si>
    <t>5EStone AsphaltModerate</t>
  </si>
  <si>
    <t>3CStone AsphaltSevere</t>
  </si>
  <si>
    <t>N/AStone AsphaltSevere</t>
  </si>
  <si>
    <t>3DStone AsphaltSevere</t>
  </si>
  <si>
    <t>3EStone AsphaltSevere</t>
  </si>
  <si>
    <t>4BStone AsphaltSevere</t>
  </si>
  <si>
    <t>4CStone AsphaltSevere</t>
  </si>
  <si>
    <t>4DStone AsphaltSevere</t>
  </si>
  <si>
    <t>4EStone AsphaltSevere</t>
  </si>
  <si>
    <t>5BStone AsphaltSevere</t>
  </si>
  <si>
    <t>5CStone AsphaltSevere</t>
  </si>
  <si>
    <t>5DStone AsphaltSevere</t>
  </si>
  <si>
    <t>5EStone AsphaltSevere</t>
  </si>
  <si>
    <t>3CSteel PilesMild</t>
  </si>
  <si>
    <t>N/ASteel PilesMild</t>
  </si>
  <si>
    <t>3DSteel PilesMild</t>
  </si>
  <si>
    <t>3ESteel PilesMild</t>
  </si>
  <si>
    <t>4BSteel PilesMild</t>
  </si>
  <si>
    <t>4CSteel PilesMild</t>
  </si>
  <si>
    <t>4DSteel PilesMild</t>
  </si>
  <si>
    <t>4ESteel PilesMild</t>
  </si>
  <si>
    <t>5BSteel PilesMild</t>
  </si>
  <si>
    <t>5CSteel PilesMild</t>
  </si>
  <si>
    <t>5DSteel PilesMild</t>
  </si>
  <si>
    <t>5ESteel PilesMild</t>
  </si>
  <si>
    <t>3CSteel PilesModerate</t>
  </si>
  <si>
    <t>N/ASteel PilesModerate</t>
  </si>
  <si>
    <t>3DSteel PilesModerate</t>
  </si>
  <si>
    <t>3ESteel PilesModerate</t>
  </si>
  <si>
    <t>4BSteel PilesModerate</t>
  </si>
  <si>
    <t>4CSteel PilesModerate</t>
  </si>
  <si>
    <t>4DSteel PilesModerate</t>
  </si>
  <si>
    <t>4ESteel PilesModerate</t>
  </si>
  <si>
    <t>5BSteel PilesModerate</t>
  </si>
  <si>
    <t>5CSteel PilesModerate</t>
  </si>
  <si>
    <t>5DSteel PilesModerate</t>
  </si>
  <si>
    <t>5ESteel PilesModerate</t>
  </si>
  <si>
    <t>3CSteel PilesSevere</t>
  </si>
  <si>
    <t>N/ASteel PilesSevere</t>
  </si>
  <si>
    <t>3DSteel PilesSevere</t>
  </si>
  <si>
    <t>3ESteel PilesSevere</t>
  </si>
  <si>
    <t>4BSteel PilesSevere</t>
  </si>
  <si>
    <t>4CSteel PilesSevere</t>
  </si>
  <si>
    <t>4DSteel PilesSevere</t>
  </si>
  <si>
    <t>4ESteel PilesSevere</t>
  </si>
  <si>
    <t>5BSteel PilesSevere</t>
  </si>
  <si>
    <t>5CSteel PilesSevere</t>
  </si>
  <si>
    <t>5DSteel PilesSevere</t>
  </si>
  <si>
    <t>5ESteel PilesSevere</t>
  </si>
  <si>
    <t>3COther/Unknown RevetmentMild</t>
  </si>
  <si>
    <t>N/AOther/Unknown RevetmentMild</t>
  </si>
  <si>
    <t>3DOther/Unknown RevetmentMild</t>
  </si>
  <si>
    <t>3EOther/Unknown RevetmentMild</t>
  </si>
  <si>
    <t>4BOther/Unknown RevetmentMild</t>
  </si>
  <si>
    <t>4COther/Unknown RevetmentMild</t>
  </si>
  <si>
    <t>4DOther/Unknown RevetmentMild</t>
  </si>
  <si>
    <t>4EOther/Unknown RevetmentMild</t>
  </si>
  <si>
    <t>5BOther/Unknown RevetmentMild</t>
  </si>
  <si>
    <t>5COther/Unknown RevetmentMild</t>
  </si>
  <si>
    <t>5DOther/Unknown RevetmentMild</t>
  </si>
  <si>
    <t>5EOther/Unknown RevetmentMild</t>
  </si>
  <si>
    <t>3COther/Unknown RevetmentModerate</t>
  </si>
  <si>
    <t>N/AOther/Unknown RevetmentModerate</t>
  </si>
  <si>
    <t>3DOther/Unknown RevetmentModerate</t>
  </si>
  <si>
    <t>3EOther/Unknown RevetmentModerate</t>
  </si>
  <si>
    <t>4BOther/Unknown RevetmentModerate</t>
  </si>
  <si>
    <t>4COther/Unknown RevetmentModerate</t>
  </si>
  <si>
    <t>4DOther/Unknown RevetmentModerate</t>
  </si>
  <si>
    <t>4EOther/Unknown RevetmentModerate</t>
  </si>
  <si>
    <t>5BOther/Unknown RevetmentModerate</t>
  </si>
  <si>
    <t>5COther/Unknown RevetmentModerate</t>
  </si>
  <si>
    <t>5DOther/Unknown RevetmentModerate</t>
  </si>
  <si>
    <t>5EOther/Unknown RevetmentModerate</t>
  </si>
  <si>
    <t>3COther/Unknown RevetmentSevere</t>
  </si>
  <si>
    <t>N/AOther/Unknown RevetmentSevere</t>
  </si>
  <si>
    <t>3DOther/Unknown RevetmentSevere</t>
  </si>
  <si>
    <t>3EOther/Unknown RevetmentSevere</t>
  </si>
  <si>
    <t>4BOther/Unknown RevetmentSevere</t>
  </si>
  <si>
    <t>4COther/Unknown RevetmentSevere</t>
  </si>
  <si>
    <t>4DOther/Unknown RevetmentSevere</t>
  </si>
  <si>
    <t>4EOther/Unknown RevetmentSevere</t>
  </si>
  <si>
    <t>5BOther/Unknown RevetmentSevere</t>
  </si>
  <si>
    <t>5COther/Unknown RevetmentSevere</t>
  </si>
  <si>
    <t>5DOther/Unknown RevetmentSevere</t>
  </si>
  <si>
    <t>5EOther/Unknown RevetmentSevere</t>
  </si>
  <si>
    <t>3CReinforced SoilMild</t>
  </si>
  <si>
    <t>N/AReinforced SoilMild</t>
  </si>
  <si>
    <t>3DReinforced SoilMild</t>
  </si>
  <si>
    <t>3EReinforced SoilMild</t>
  </si>
  <si>
    <t>4BReinforced SoilMild</t>
  </si>
  <si>
    <t>4CReinforced SoilMild</t>
  </si>
  <si>
    <t>4DReinforced SoilMild</t>
  </si>
  <si>
    <t>4EReinforced SoilMild</t>
  </si>
  <si>
    <t>5BReinforced SoilMild</t>
  </si>
  <si>
    <t>5CReinforced SoilMild</t>
  </si>
  <si>
    <t>5DReinforced SoilMild</t>
  </si>
  <si>
    <t>5EReinforced SoilMild</t>
  </si>
  <si>
    <t>3CReinforced SoilModerate</t>
  </si>
  <si>
    <t>N/AReinforced SoilModerate</t>
  </si>
  <si>
    <t>3DReinforced SoilModerate</t>
  </si>
  <si>
    <t>3EReinforced SoilModerate</t>
  </si>
  <si>
    <t>4BReinforced SoilModerate</t>
  </si>
  <si>
    <t>4CReinforced SoilModerate</t>
  </si>
  <si>
    <t>4DReinforced SoilModerate</t>
  </si>
  <si>
    <t>4EReinforced SoilModerate</t>
  </si>
  <si>
    <t>5BReinforced SoilModerate</t>
  </si>
  <si>
    <t>5CReinforced SoilModerate</t>
  </si>
  <si>
    <t>5DReinforced SoilModerate</t>
  </si>
  <si>
    <t>5EReinforced SoilModerate</t>
  </si>
  <si>
    <t>3CReinforced SoilSevere</t>
  </si>
  <si>
    <t>N/AReinforced SoilSevere</t>
  </si>
  <si>
    <t>3DReinforced SoilSevere</t>
  </si>
  <si>
    <t>3EReinforced SoilSevere</t>
  </si>
  <si>
    <t>4BReinforced SoilSevere</t>
  </si>
  <si>
    <t>4CReinforced SoilSevere</t>
  </si>
  <si>
    <t>4DReinforced SoilSevere</t>
  </si>
  <si>
    <t>4EReinforced SoilSevere</t>
  </si>
  <si>
    <t>5BReinforced SoilSevere</t>
  </si>
  <si>
    <t>5CReinforced SoilSevere</t>
  </si>
  <si>
    <t>5DReinforced SoilSevere</t>
  </si>
  <si>
    <t>5EReinforced SoilSevere</t>
  </si>
  <si>
    <t>3CNatural Embankment MaterialMild</t>
  </si>
  <si>
    <t>N/ANatural Embankment MaterialMild</t>
  </si>
  <si>
    <t>3DNatural Embankment MaterialMild</t>
  </si>
  <si>
    <t>3ENatural Embankment MaterialMild</t>
  </si>
  <si>
    <t>4BNatural Embankment MaterialMild</t>
  </si>
  <si>
    <t>4CNatural Embankment MaterialMild</t>
  </si>
  <si>
    <t>4DNatural Embankment MaterialMild</t>
  </si>
  <si>
    <t>4ENatural Embankment MaterialMild</t>
  </si>
  <si>
    <t>5BNatural Embankment MaterialMild</t>
  </si>
  <si>
    <t>5CNatural Embankment MaterialMild</t>
  </si>
  <si>
    <t>5DNatural Embankment MaterialMild</t>
  </si>
  <si>
    <t>5ENatural Embankment MaterialMild</t>
  </si>
  <si>
    <t>3CNatural Embankment MaterialModerate</t>
  </si>
  <si>
    <t>N/ANatural Embankment MaterialModerate</t>
  </si>
  <si>
    <t>3DNatural Embankment MaterialModerate</t>
  </si>
  <si>
    <t>3ENatural Embankment MaterialModerate</t>
  </si>
  <si>
    <t>4BNatural Embankment MaterialModerate</t>
  </si>
  <si>
    <t>4CNatural Embankment MaterialModerate</t>
  </si>
  <si>
    <t>4DNatural Embankment MaterialModerate</t>
  </si>
  <si>
    <t>4ENatural Embankment MaterialModerate</t>
  </si>
  <si>
    <t>5BNatural Embankment MaterialModerate</t>
  </si>
  <si>
    <t>5CNatural Embankment MaterialModerate</t>
  </si>
  <si>
    <t>5DNatural Embankment MaterialModerate</t>
  </si>
  <si>
    <t>5ENatural Embankment MaterialModerate</t>
  </si>
  <si>
    <t>3CNatural Embankment MaterialSevere</t>
  </si>
  <si>
    <t>N/ANatural Embankment MaterialSevere</t>
  </si>
  <si>
    <t>3DNatural Embankment MaterialSevere</t>
  </si>
  <si>
    <t>3ENatural Embankment MaterialSevere</t>
  </si>
  <si>
    <t>4BNatural Embankment MaterialSevere</t>
  </si>
  <si>
    <t>4CNatural Embankment MaterialSevere</t>
  </si>
  <si>
    <t>4DNatural Embankment MaterialSevere</t>
  </si>
  <si>
    <t>4ENatural Embankment MaterialSevere</t>
  </si>
  <si>
    <t>5BNatural Embankment MaterialSevere</t>
  </si>
  <si>
    <t>5CNatural Embankment MaterialSevere</t>
  </si>
  <si>
    <t>5DNatural Embankment MaterialSevere</t>
  </si>
  <si>
    <t>5ENatural Embankment MaterialSevere</t>
  </si>
  <si>
    <t>3CGabionsMild</t>
  </si>
  <si>
    <t>N/AGabionsMild</t>
  </si>
  <si>
    <t>3DGabionsMild</t>
  </si>
  <si>
    <t>3EGabionsMild</t>
  </si>
  <si>
    <t>4BGabionsMild</t>
  </si>
  <si>
    <t>4CGabionsMild</t>
  </si>
  <si>
    <t>4DGabionsMild</t>
  </si>
  <si>
    <t>4EGabionsMild</t>
  </si>
  <si>
    <t>5BGabionsMild</t>
  </si>
  <si>
    <t>5CGabionsMild</t>
  </si>
  <si>
    <t>5DGabionsMild</t>
  </si>
  <si>
    <t>5EGabionsMild</t>
  </si>
  <si>
    <t>3CGabionsModerate</t>
  </si>
  <si>
    <t>N/AGabionsModerate</t>
  </si>
  <si>
    <t>3DGabionsModerate</t>
  </si>
  <si>
    <t>3EGabionsModerate</t>
  </si>
  <si>
    <t>4BGabionsModerate</t>
  </si>
  <si>
    <t>4CGabionsModerate</t>
  </si>
  <si>
    <t>4DGabionsModerate</t>
  </si>
  <si>
    <t>4EGabionsModerate</t>
  </si>
  <si>
    <t>5BGabionsModerate</t>
  </si>
  <si>
    <t>5CGabionsModerate</t>
  </si>
  <si>
    <t>5DGabionsModerate</t>
  </si>
  <si>
    <t>5EGabionsModerate</t>
  </si>
  <si>
    <t>3CGabionsSevere</t>
  </si>
  <si>
    <t>N/AGabionsSevere</t>
  </si>
  <si>
    <t>3DGabionsSevere</t>
  </si>
  <si>
    <t>3EGabionsSevere</t>
  </si>
  <si>
    <t>4BGabionsSevere</t>
  </si>
  <si>
    <t>4CGabionsSevere</t>
  </si>
  <si>
    <t>4DGabionsSevere</t>
  </si>
  <si>
    <t>4EGabionsSevere</t>
  </si>
  <si>
    <t>5BGabionsSevere</t>
  </si>
  <si>
    <t>5CGabionsSevere</t>
  </si>
  <si>
    <t>5DGabionsSevere</t>
  </si>
  <si>
    <t>5EGabionsSevere</t>
  </si>
  <si>
    <t>3COther/Unknown Embankment MaterialMild</t>
  </si>
  <si>
    <t>N/AOther/Unknown Embankment MaterialMild</t>
  </si>
  <si>
    <t>3DOther/Unknown Embankment MaterialMild</t>
  </si>
  <si>
    <t>3EOther/Unknown Embankment MaterialMild</t>
  </si>
  <si>
    <t>4BOther/Unknown Embankment MaterialMild</t>
  </si>
  <si>
    <t>4COther/Unknown Embankment MaterialMild</t>
  </si>
  <si>
    <t>4DOther/Unknown Embankment MaterialMild</t>
  </si>
  <si>
    <t>4EOther/Unknown Embankment MaterialMild</t>
  </si>
  <si>
    <t>5BOther/Unknown Embankment MaterialMild</t>
  </si>
  <si>
    <t>5COther/Unknown Embankment MaterialMild</t>
  </si>
  <si>
    <t>5DOther/Unknown Embankment MaterialMild</t>
  </si>
  <si>
    <t>5EOther/Unknown Embankment MaterialMild</t>
  </si>
  <si>
    <t>3COther/Unknown Embankment MaterialModerate</t>
  </si>
  <si>
    <t>N/AOther/Unknown Embankment MaterialModerate</t>
  </si>
  <si>
    <t>3DOther/Unknown Embankment MaterialModerate</t>
  </si>
  <si>
    <t>3EOther/Unknown Embankment MaterialModerate</t>
  </si>
  <si>
    <t>4BOther/Unknown Embankment MaterialModerate</t>
  </si>
  <si>
    <t>4COther/Unknown Embankment MaterialModerate</t>
  </si>
  <si>
    <t>4DOther/Unknown Embankment MaterialModerate</t>
  </si>
  <si>
    <t>4EOther/Unknown Embankment MaterialModerate</t>
  </si>
  <si>
    <t>5BOther/Unknown Embankment MaterialModerate</t>
  </si>
  <si>
    <t>5COther/Unknown Embankment MaterialModerate</t>
  </si>
  <si>
    <t>5DOther/Unknown Embankment MaterialModerate</t>
  </si>
  <si>
    <t>5EOther/Unknown Embankment MaterialModerate</t>
  </si>
  <si>
    <t>3COther/Unknown Embankment MaterialSevere</t>
  </si>
  <si>
    <t>N/AOther/Unknown Embankment MaterialSevere</t>
  </si>
  <si>
    <t>3DOther/Unknown Embankment MaterialSevere</t>
  </si>
  <si>
    <t>3EOther/Unknown Embankment MaterialSevere</t>
  </si>
  <si>
    <t>4BOther/Unknown Embankment MaterialSevere</t>
  </si>
  <si>
    <t>4COther/Unknown Embankment MaterialSevere</t>
  </si>
  <si>
    <t>4DOther/Unknown Embankment MaterialSevere</t>
  </si>
  <si>
    <t>4EOther/Unknown Embankment MaterialSevere</t>
  </si>
  <si>
    <t>5BOther/Unknown Embankment MaterialSevere</t>
  </si>
  <si>
    <t>5COther/Unknown Embankment MaterialSevere</t>
  </si>
  <si>
    <t>5DOther/Unknown Embankment MaterialSevere</t>
  </si>
  <si>
    <t>5EOther/Unknown Embankment MaterialSevere</t>
  </si>
  <si>
    <t>2CRegulatory SignsMild</t>
  </si>
  <si>
    <t>N/ARegulatory SignsMild</t>
  </si>
  <si>
    <t>2DRegulatory SignsMild</t>
  </si>
  <si>
    <t>2ERegulatory SignsMild</t>
  </si>
  <si>
    <t>3BRegulatory SignsMild</t>
  </si>
  <si>
    <t>3CRegulatory SignsMild</t>
  </si>
  <si>
    <t>3DRegulatory SignsMild</t>
  </si>
  <si>
    <t>3ERegulatory SignsMild</t>
  </si>
  <si>
    <t>2CRegulatory SignsModerate</t>
  </si>
  <si>
    <t>N/ARegulatory SignsModerate</t>
  </si>
  <si>
    <t>2DRegulatory SignsModerate</t>
  </si>
  <si>
    <t>2ERegulatory SignsModerate</t>
  </si>
  <si>
    <t>3BRegulatory SignsModerate</t>
  </si>
  <si>
    <t>3CRegulatory SignsModerate</t>
  </si>
  <si>
    <t>3DRegulatory SignsModerate</t>
  </si>
  <si>
    <t>3ERegulatory SignsModerate</t>
  </si>
  <si>
    <t>2CRegulatory SignsSevere</t>
  </si>
  <si>
    <t>N/ARegulatory SignsSevere</t>
  </si>
  <si>
    <t>2DRegulatory SignsSevere</t>
  </si>
  <si>
    <t>2ERegulatory SignsSevere</t>
  </si>
  <si>
    <t>3BRegulatory SignsSevere</t>
  </si>
  <si>
    <t>3CRegulatory SignsSevere</t>
  </si>
  <si>
    <t>3DRegulatory SignsSevere</t>
  </si>
  <si>
    <t>3ERegulatory SignsSevere</t>
  </si>
  <si>
    <t>2CWarning SignsMild</t>
  </si>
  <si>
    <t>N/AWarning SignsMild</t>
  </si>
  <si>
    <t>2DWarning SignsMild</t>
  </si>
  <si>
    <t>2EWarning SignsMild</t>
  </si>
  <si>
    <t>3BWarning SignsMild</t>
  </si>
  <si>
    <t>3CWarning SignsMild</t>
  </si>
  <si>
    <t>3DWarning SignsMild</t>
  </si>
  <si>
    <t>3EWarning SignsMild</t>
  </si>
  <si>
    <t>2CWarning SignsModerate</t>
  </si>
  <si>
    <t>N/AWarning SignsModerate</t>
  </si>
  <si>
    <t>2DWarning SignsModerate</t>
  </si>
  <si>
    <t>2EWarning SignsModerate</t>
  </si>
  <si>
    <t>3BWarning SignsModerate</t>
  </si>
  <si>
    <t>3CWarning SignsModerate</t>
  </si>
  <si>
    <t>3DWarning SignsModerate</t>
  </si>
  <si>
    <t>3EWarning SignsModerate</t>
  </si>
  <si>
    <t>2CWarning SignsSevere</t>
  </si>
  <si>
    <t>N/AWarning SignsSevere</t>
  </si>
  <si>
    <t>2DWarning SignsSevere</t>
  </si>
  <si>
    <t>2EWarning SignsSevere</t>
  </si>
  <si>
    <t>3BWarning SignsSevere</t>
  </si>
  <si>
    <t>3CWarning SignsSevere</t>
  </si>
  <si>
    <t>3DWarning SignsSevere</t>
  </si>
  <si>
    <t>3EWarning SignsSevere</t>
  </si>
  <si>
    <t>2CDirection SignsMild</t>
  </si>
  <si>
    <t>N/ADirection SignsMild</t>
  </si>
  <si>
    <t>2DDirection SignsMild</t>
  </si>
  <si>
    <t>2EDirection SignsMild</t>
  </si>
  <si>
    <t>3BDirection SignsMild</t>
  </si>
  <si>
    <t>3CDirection SignsMild</t>
  </si>
  <si>
    <t>3DDirection SignsMild</t>
  </si>
  <si>
    <t>3EDirection SignsMild</t>
  </si>
  <si>
    <t>2CDirection SignsModerate</t>
  </si>
  <si>
    <t>N/ADirection SignsModerate</t>
  </si>
  <si>
    <t>2DDirection SignsModerate</t>
  </si>
  <si>
    <t>2EDirection SignsModerate</t>
  </si>
  <si>
    <t>3BDirection SignsModerate</t>
  </si>
  <si>
    <t>3CDirection SignsModerate</t>
  </si>
  <si>
    <t>3DDirection SignsModerate</t>
  </si>
  <si>
    <t>3EDirection SignsModerate</t>
  </si>
  <si>
    <t>2CDirection SignsSevere</t>
  </si>
  <si>
    <t>N/ADirection SignsSevere</t>
  </si>
  <si>
    <t>2DDirection SignsSevere</t>
  </si>
  <si>
    <t>2EDirection SignsSevere</t>
  </si>
  <si>
    <t>3BDirection SignsSevere</t>
  </si>
  <si>
    <t>3CDirection SignsSevere</t>
  </si>
  <si>
    <t>3DDirection SignsSevere</t>
  </si>
  <si>
    <t>3EDirection SignsSevere</t>
  </si>
  <si>
    <t>2CInformation SignsMild</t>
  </si>
  <si>
    <t>N/AInformation SignsMild</t>
  </si>
  <si>
    <t>2DInformation SignsMild</t>
  </si>
  <si>
    <t>2EInformation SignsMild</t>
  </si>
  <si>
    <t>3BInformation SignsMild</t>
  </si>
  <si>
    <t>3CInformation SignsMild</t>
  </si>
  <si>
    <t>3DInformation SignsMild</t>
  </si>
  <si>
    <t>3EInformation SignsMild</t>
  </si>
  <si>
    <t>2CInformation SignsModerate</t>
  </si>
  <si>
    <t>N/AInformation SignsModerate</t>
  </si>
  <si>
    <t>2DInformation SignsModerate</t>
  </si>
  <si>
    <t>2EInformation SignsModerate</t>
  </si>
  <si>
    <t>3BInformation SignsModerate</t>
  </si>
  <si>
    <t>3CInformation SignsModerate</t>
  </si>
  <si>
    <t>3DInformation SignsModerate</t>
  </si>
  <si>
    <t>3EInformation SignsModerate</t>
  </si>
  <si>
    <t>2CInformation SignsSevere</t>
  </si>
  <si>
    <t>N/AInformation SignsSevere</t>
  </si>
  <si>
    <t>2DInformation SignsSevere</t>
  </si>
  <si>
    <t>2EInformation SignsSevere</t>
  </si>
  <si>
    <t>3BInformation SignsSevere</t>
  </si>
  <si>
    <t>3CInformation SignsSevere</t>
  </si>
  <si>
    <t>3DInformation SignsSevere</t>
  </si>
  <si>
    <t>3EInformation SignsSevere</t>
  </si>
  <si>
    <t>2COther/Unknown SignsMild</t>
  </si>
  <si>
    <t>N/AOther/Unknown SignsMild</t>
  </si>
  <si>
    <t>2DOther/Unknown SignsMild</t>
  </si>
  <si>
    <t>2EOther/Unknown SignsMild</t>
  </si>
  <si>
    <t>3BOther/Unknown SignsMild</t>
  </si>
  <si>
    <t>3COther/Unknown SignsMild</t>
  </si>
  <si>
    <t>3DOther/Unknown SignsMild</t>
  </si>
  <si>
    <t>3EOther/Unknown SignsMild</t>
  </si>
  <si>
    <t>2COther/Unknown SignsModerate</t>
  </si>
  <si>
    <t>N/AOther/Unknown SignsModerate</t>
  </si>
  <si>
    <t>2DOther/Unknown SignsModerate</t>
  </si>
  <si>
    <t>2EOther/Unknown SignsModerate</t>
  </si>
  <si>
    <t>3BOther/Unknown SignsModerate</t>
  </si>
  <si>
    <t>3COther/Unknown SignsModerate</t>
  </si>
  <si>
    <t>3DOther/Unknown SignsModerate</t>
  </si>
  <si>
    <t>3EOther/Unknown SignsModerate</t>
  </si>
  <si>
    <t>2COther/Unknown SignsSevere</t>
  </si>
  <si>
    <t>N/AOther/Unknown SignsSevere</t>
  </si>
  <si>
    <t>2DOther/Unknown SignsSevere</t>
  </si>
  <si>
    <t>2EOther/Unknown SignsSevere</t>
  </si>
  <si>
    <t>3BOther/Unknown SignsSevere</t>
  </si>
  <si>
    <t>3COther/Unknown SignsSevere</t>
  </si>
  <si>
    <t>3DOther/Unknown SignsSevere</t>
  </si>
  <si>
    <t>3EOther/Unknown SignsSevere</t>
  </si>
  <si>
    <t>4BRegulatory SignsMild</t>
  </si>
  <si>
    <t>4CRegulatory SignsMild</t>
  </si>
  <si>
    <t>4DRegulatory SignsMild</t>
  </si>
  <si>
    <t>4ERegulatory SignsMild</t>
  </si>
  <si>
    <t>5BRegulatory SignsMild</t>
  </si>
  <si>
    <t>5CRegulatory SignsMild</t>
  </si>
  <si>
    <t>5DRegulatory SignsMild</t>
  </si>
  <si>
    <t>5ERegulatory SignsMild</t>
  </si>
  <si>
    <t>4BRegulatory SignsModerate</t>
  </si>
  <si>
    <t>4CRegulatory SignsModerate</t>
  </si>
  <si>
    <t>4DRegulatory SignsModerate</t>
  </si>
  <si>
    <t>4ERegulatory SignsModerate</t>
  </si>
  <si>
    <t>5BRegulatory SignsModerate</t>
  </si>
  <si>
    <t>5CRegulatory SignsModerate</t>
  </si>
  <si>
    <t>5DRegulatory SignsModerate</t>
  </si>
  <si>
    <t>5ERegulatory SignsModerate</t>
  </si>
  <si>
    <t>4BRegulatory SignsSevere</t>
  </si>
  <si>
    <t>4CRegulatory SignsSevere</t>
  </si>
  <si>
    <t>4DRegulatory SignsSevere</t>
  </si>
  <si>
    <t>4ERegulatory SignsSevere</t>
  </si>
  <si>
    <t>5BRegulatory SignsSevere</t>
  </si>
  <si>
    <t>5CRegulatory SignsSevere</t>
  </si>
  <si>
    <t>5DRegulatory SignsSevere</t>
  </si>
  <si>
    <t>5ERegulatory SignsSevere</t>
  </si>
  <si>
    <t>4BWarning SignsMild</t>
  </si>
  <si>
    <t>4CWarning SignsMild</t>
  </si>
  <si>
    <t>4DWarning SignsMild</t>
  </si>
  <si>
    <t>4EWarning SignsMild</t>
  </si>
  <si>
    <t>5BWarning SignsMild</t>
  </si>
  <si>
    <t>5CWarning SignsMild</t>
  </si>
  <si>
    <t>5DWarning SignsMild</t>
  </si>
  <si>
    <t>5EWarning SignsMild</t>
  </si>
  <si>
    <t>4BWarning SignsModerate</t>
  </si>
  <si>
    <t>4CWarning SignsModerate</t>
  </si>
  <si>
    <t>4DWarning SignsModerate</t>
  </si>
  <si>
    <t>4EWarning SignsModerate</t>
  </si>
  <si>
    <t>5BWarning SignsModerate</t>
  </si>
  <si>
    <t>5CWarning SignsModerate</t>
  </si>
  <si>
    <t>5DWarning SignsModerate</t>
  </si>
  <si>
    <t>5EWarning SignsModerate</t>
  </si>
  <si>
    <t>4BWarning SignsSevere</t>
  </si>
  <si>
    <t>4CWarning SignsSevere</t>
  </si>
  <si>
    <t>4DWarning SignsSevere</t>
  </si>
  <si>
    <t>4EWarning SignsSevere</t>
  </si>
  <si>
    <t>5BWarning SignsSevere</t>
  </si>
  <si>
    <t>5CWarning SignsSevere</t>
  </si>
  <si>
    <t>5DWarning SignsSevere</t>
  </si>
  <si>
    <t>5EWarning SignsSevere</t>
  </si>
  <si>
    <t>4BDirection SignsMild</t>
  </si>
  <si>
    <t>4CDirection SignsMild</t>
  </si>
  <si>
    <t>4DDirection SignsMild</t>
  </si>
  <si>
    <t>4EDirection SignsMild</t>
  </si>
  <si>
    <t>5BDirection SignsMild</t>
  </si>
  <si>
    <t>5CDirection SignsMild</t>
  </si>
  <si>
    <t>5DDirection SignsMild</t>
  </si>
  <si>
    <t>5EDirection SignsMild</t>
  </si>
  <si>
    <t>4BDirection SignsModerate</t>
  </si>
  <si>
    <t>4CDirection SignsModerate</t>
  </si>
  <si>
    <t>4DDirection SignsModerate</t>
  </si>
  <si>
    <t>4EDirection SignsModerate</t>
  </si>
  <si>
    <t>5BDirection SignsModerate</t>
  </si>
  <si>
    <t>5CDirection SignsModerate</t>
  </si>
  <si>
    <t>5DDirection SignsModerate</t>
  </si>
  <si>
    <t>5EDirection SignsModerate</t>
  </si>
  <si>
    <t>4BDirection SignsSevere</t>
  </si>
  <si>
    <t>4CDirection SignsSevere</t>
  </si>
  <si>
    <t>4DDirection SignsSevere</t>
  </si>
  <si>
    <t>4EDirection SignsSevere</t>
  </si>
  <si>
    <t>5BDirection SignsSevere</t>
  </si>
  <si>
    <t>5CDirection SignsSevere</t>
  </si>
  <si>
    <t>5DDirection SignsSevere</t>
  </si>
  <si>
    <t>5EDirection SignsSevere</t>
  </si>
  <si>
    <t>4BInformation SignsMild</t>
  </si>
  <si>
    <t>4CInformation SignsMild</t>
  </si>
  <si>
    <t>4DInformation SignsMild</t>
  </si>
  <si>
    <t>4EInformation SignsMild</t>
  </si>
  <si>
    <t>5BInformation SignsMild</t>
  </si>
  <si>
    <t>5CInformation SignsMild</t>
  </si>
  <si>
    <t>5DInformation SignsMild</t>
  </si>
  <si>
    <t>5EInformation SignsMild</t>
  </si>
  <si>
    <t>4BInformation SignsModerate</t>
  </si>
  <si>
    <t>4CInformation SignsModerate</t>
  </si>
  <si>
    <t>4DInformation SignsModerate</t>
  </si>
  <si>
    <t>4EInformation SignsModerate</t>
  </si>
  <si>
    <t>5BInformation SignsModerate</t>
  </si>
  <si>
    <t>5CInformation SignsModerate</t>
  </si>
  <si>
    <t>5DInformation SignsModerate</t>
  </si>
  <si>
    <t>5EInformation SignsModerate</t>
  </si>
  <si>
    <t>4BInformation SignsSevere</t>
  </si>
  <si>
    <t>4CInformation SignsSevere</t>
  </si>
  <si>
    <t>4DInformation SignsSevere</t>
  </si>
  <si>
    <t>4EInformation SignsSevere</t>
  </si>
  <si>
    <t>5BInformation SignsSevere</t>
  </si>
  <si>
    <t>5CInformation SignsSevere</t>
  </si>
  <si>
    <t>5DInformation SignsSevere</t>
  </si>
  <si>
    <t>5EInformation SignsSevere</t>
  </si>
  <si>
    <t>4BOther/Unknown SignsMild</t>
  </si>
  <si>
    <t>4COther/Unknown SignsMild</t>
  </si>
  <si>
    <t>4DOther/Unknown SignsMild</t>
  </si>
  <si>
    <t>4EOther/Unknown SignsMild</t>
  </si>
  <si>
    <t>5BOther/Unknown SignsMild</t>
  </si>
  <si>
    <t>5COther/Unknown SignsMild</t>
  </si>
  <si>
    <t>5DOther/Unknown SignsMild</t>
  </si>
  <si>
    <t>5EOther/Unknown SignsMild</t>
  </si>
  <si>
    <t>4BOther/Unknown SignsModerate</t>
  </si>
  <si>
    <t>4COther/Unknown SignsModerate</t>
  </si>
  <si>
    <t>4DOther/Unknown SignsModerate</t>
  </si>
  <si>
    <t>4EOther/Unknown SignsModerate</t>
  </si>
  <si>
    <t>5BOther/Unknown SignsModerate</t>
  </si>
  <si>
    <t>5COther/Unknown SignsModerate</t>
  </si>
  <si>
    <t>5DOther/Unknown SignsModerate</t>
  </si>
  <si>
    <t>5EOther/Unknown SignsModerate</t>
  </si>
  <si>
    <t>4BOther/Unknown SignsSevere</t>
  </si>
  <si>
    <t>4COther/Unknown SignsSevere</t>
  </si>
  <si>
    <t>4DOther/Unknown SignsSevere</t>
  </si>
  <si>
    <t>4EOther/Unknown SignsSevere</t>
  </si>
  <si>
    <t>5BOther/Unknown SignsSevere</t>
  </si>
  <si>
    <t>5COther/Unknown SignsSevere</t>
  </si>
  <si>
    <t>5DOther/Unknown SignsSevere</t>
  </si>
  <si>
    <t>5EOther/Unknown SignsSevere</t>
  </si>
  <si>
    <t>3CSteel Base ConnectionsMild</t>
  </si>
  <si>
    <t>N/ASteel Base ConnectionsMild</t>
  </si>
  <si>
    <t>3DSteel Base ConnectionsMild</t>
  </si>
  <si>
    <t>3ESteel Base ConnectionsMild</t>
  </si>
  <si>
    <t>4BSteel Base ConnectionsMild</t>
  </si>
  <si>
    <t>4CSteel Base ConnectionsMild</t>
  </si>
  <si>
    <t>4DSteel Base ConnectionsMild</t>
  </si>
  <si>
    <t>4ESteel Base ConnectionsMild</t>
  </si>
  <si>
    <t>5BSteel Base ConnectionsMild</t>
  </si>
  <si>
    <t>5CSteel Base ConnectionsMild</t>
  </si>
  <si>
    <t>5DSteel Base ConnectionsMild</t>
  </si>
  <si>
    <t>5ESteel Base ConnectionsMild</t>
  </si>
  <si>
    <t>3CSteel Base ConnectionsModerate</t>
  </si>
  <si>
    <t>N/ASteel Base ConnectionsModerate</t>
  </si>
  <si>
    <t>3DSteel Base ConnectionsModerate</t>
  </si>
  <si>
    <t>3ESteel Base ConnectionsModerate</t>
  </si>
  <si>
    <t>4BSteel Base ConnectionsModerate</t>
  </si>
  <si>
    <t>4CSteel Base ConnectionsModerate</t>
  </si>
  <si>
    <t>4DSteel Base ConnectionsModerate</t>
  </si>
  <si>
    <t>4ESteel Base ConnectionsModerate</t>
  </si>
  <si>
    <t>5BSteel Base ConnectionsModerate</t>
  </si>
  <si>
    <t>5CSteel Base ConnectionsModerate</t>
  </si>
  <si>
    <t>5DSteel Base ConnectionsModerate</t>
  </si>
  <si>
    <t>5ESteel Base ConnectionsModerate</t>
  </si>
  <si>
    <t>3CSteel Base ConnectionsSevere</t>
  </si>
  <si>
    <t>N/ASteel Base ConnectionsSevere</t>
  </si>
  <si>
    <t>3DSteel Base ConnectionsSevere</t>
  </si>
  <si>
    <t>3ESteel Base ConnectionsSevere</t>
  </si>
  <si>
    <t>4BSteel Base ConnectionsSevere</t>
  </si>
  <si>
    <t>4CSteel Base ConnectionsSevere</t>
  </si>
  <si>
    <t>4DSteel Base ConnectionsSevere</t>
  </si>
  <si>
    <t>4ESteel Base ConnectionsSevere</t>
  </si>
  <si>
    <t>5BSteel Base ConnectionsSevere</t>
  </si>
  <si>
    <t>5CSteel Base ConnectionsSevere</t>
  </si>
  <si>
    <t>5DSteel Base ConnectionsSevere</t>
  </si>
  <si>
    <t>5ESteel Base ConnectionsSevere</t>
  </si>
  <si>
    <t>3CIron Base ConnectionsMild</t>
  </si>
  <si>
    <t>N/AIron Base ConnectionsMild</t>
  </si>
  <si>
    <t>3DIron Base ConnectionsMild</t>
  </si>
  <si>
    <t>3EIron Base ConnectionsMild</t>
  </si>
  <si>
    <t>4BIron Base ConnectionsMild</t>
  </si>
  <si>
    <t>4CIron Base ConnectionsMild</t>
  </si>
  <si>
    <t>4DIron Base ConnectionsMild</t>
  </si>
  <si>
    <t>4EIron Base ConnectionsMild</t>
  </si>
  <si>
    <t>5BIron Base ConnectionsMild</t>
  </si>
  <si>
    <t>5CIron Base ConnectionsMild</t>
  </si>
  <si>
    <t>5DIron Base ConnectionsMild</t>
  </si>
  <si>
    <t>5EIron Base ConnectionsMild</t>
  </si>
  <si>
    <t>3CIron Base ConnectionsModerate</t>
  </si>
  <si>
    <t>N/AIron Base ConnectionsModerate</t>
  </si>
  <si>
    <t>3DIron Base ConnectionsModerate</t>
  </si>
  <si>
    <t>3EIron Base ConnectionsModerate</t>
  </si>
  <si>
    <t>4BIron Base ConnectionsModerate</t>
  </si>
  <si>
    <t>4CIron Base ConnectionsModerate</t>
  </si>
  <si>
    <t>4DIron Base ConnectionsModerate</t>
  </si>
  <si>
    <t>4EIron Base ConnectionsModerate</t>
  </si>
  <si>
    <t>5BIron Base ConnectionsModerate</t>
  </si>
  <si>
    <t>5CIron Base ConnectionsModerate</t>
  </si>
  <si>
    <t>5DIron Base ConnectionsModerate</t>
  </si>
  <si>
    <t>5EIron Base ConnectionsModerate</t>
  </si>
  <si>
    <t>3CIron Base ConnectionsSevere</t>
  </si>
  <si>
    <t>N/AIron Base ConnectionsSevere</t>
  </si>
  <si>
    <t>3DIron Base ConnectionsSevere</t>
  </si>
  <si>
    <t>3EIron Base ConnectionsSevere</t>
  </si>
  <si>
    <t>4BIron Base ConnectionsSevere</t>
  </si>
  <si>
    <t>4CIron Base ConnectionsSevere</t>
  </si>
  <si>
    <t>4DIron Base ConnectionsSevere</t>
  </si>
  <si>
    <t>4EIron Base ConnectionsSevere</t>
  </si>
  <si>
    <t>5BIron Base ConnectionsSevere</t>
  </si>
  <si>
    <t>5CIron Base ConnectionsSevere</t>
  </si>
  <si>
    <t>5DIron Base ConnectionsSevere</t>
  </si>
  <si>
    <t>5EIron Base ConnectionsSevere</t>
  </si>
  <si>
    <t>3COther/Unknown Base ConnectionsMild</t>
  </si>
  <si>
    <t>N/AOther/Unknown Base ConnectionsMild</t>
  </si>
  <si>
    <t>3DOther/Unknown Base ConnectionsMild</t>
  </si>
  <si>
    <t>3EOther/Unknown Base ConnectionsMild</t>
  </si>
  <si>
    <t>4BOther/Unknown Base ConnectionsMild</t>
  </si>
  <si>
    <t>4COther/Unknown Base ConnectionsMild</t>
  </si>
  <si>
    <t>4DOther/Unknown Base ConnectionsMild</t>
  </si>
  <si>
    <t>4EOther/Unknown Base ConnectionsMild</t>
  </si>
  <si>
    <t>5BOther/Unknown Base ConnectionsMild</t>
  </si>
  <si>
    <t>5COther/Unknown Base ConnectionsMild</t>
  </si>
  <si>
    <t>5DOther/Unknown Base ConnectionsMild</t>
  </si>
  <si>
    <t>5EOther/Unknown Base ConnectionsMild</t>
  </si>
  <si>
    <t>3COther/Unknown Base ConnectionsModerate</t>
  </si>
  <si>
    <t>N/AOther/Unknown Base ConnectionsModerate</t>
  </si>
  <si>
    <t>3DOther/Unknown Base ConnectionsModerate</t>
  </si>
  <si>
    <t>3EOther/Unknown Base ConnectionsModerate</t>
  </si>
  <si>
    <t>4BOther/Unknown Base ConnectionsModerate</t>
  </si>
  <si>
    <t>4COther/Unknown Base ConnectionsModerate</t>
  </si>
  <si>
    <t>4DOther/Unknown Base ConnectionsModerate</t>
  </si>
  <si>
    <t>4EOther/Unknown Base ConnectionsModerate</t>
  </si>
  <si>
    <t>5BOther/Unknown Base ConnectionsModerate</t>
  </si>
  <si>
    <t>5COther/Unknown Base ConnectionsModerate</t>
  </si>
  <si>
    <t>5DOther/Unknown Base ConnectionsModerate</t>
  </si>
  <si>
    <t>5EOther/Unknown Base ConnectionsModerate</t>
  </si>
  <si>
    <t>3COther/Unknown Base ConnectionsSevere</t>
  </si>
  <si>
    <t>N/AOther/Unknown Base ConnectionsSevere</t>
  </si>
  <si>
    <t>3DOther/Unknown Base ConnectionsSevere</t>
  </si>
  <si>
    <t>3EOther/Unknown Base ConnectionsSevere</t>
  </si>
  <si>
    <t>4BOther/Unknown Base ConnectionsSevere</t>
  </si>
  <si>
    <t>4COther/Unknown Base ConnectionsSevere</t>
  </si>
  <si>
    <t>4DOther/Unknown Base ConnectionsSevere</t>
  </si>
  <si>
    <t>4EOther/Unknown Base ConnectionsSevere</t>
  </si>
  <si>
    <t>5BOther/Unknown Base ConnectionsSevere</t>
  </si>
  <si>
    <t>5COther/Unknown Base ConnectionsSevere</t>
  </si>
  <si>
    <t>5DOther/Unknown Base ConnectionsSevere</t>
  </si>
  <si>
    <t>5EOther/Unknown Base ConnectionsSevere</t>
  </si>
  <si>
    <t>3CMovement/Expansion JointMild</t>
  </si>
  <si>
    <t>N/AMovement/Expansion JointMild</t>
  </si>
  <si>
    <t>3DMovement/Expansion JointMild</t>
  </si>
  <si>
    <t>3EMovement/Expansion JointMild</t>
  </si>
  <si>
    <t>4BMovement/Expansion JointMild</t>
  </si>
  <si>
    <t>4CMovement/Expansion JointMild</t>
  </si>
  <si>
    <t>4DMovement/Expansion JointMild</t>
  </si>
  <si>
    <t>4EMovement/Expansion JointMild</t>
  </si>
  <si>
    <t>5BMovement/Expansion JointMild</t>
  </si>
  <si>
    <t>5CMovement/Expansion JointMild</t>
  </si>
  <si>
    <t>5DMovement/Expansion JointMild</t>
  </si>
  <si>
    <t>5EMovement/Expansion JointMild</t>
  </si>
  <si>
    <t>3CMovement/Expansion JointModerate</t>
  </si>
  <si>
    <t>N/AMovement/Expansion JointModerate</t>
  </si>
  <si>
    <t>3DMovement/Expansion JointModerate</t>
  </si>
  <si>
    <t>3EMovement/Expansion JointModerate</t>
  </si>
  <si>
    <t>4BMovement/Expansion JointModerate</t>
  </si>
  <si>
    <t>4CMovement/Expansion JointModerate</t>
  </si>
  <si>
    <t>4DMovement/Expansion JointModerate</t>
  </si>
  <si>
    <t>4EMovement/Expansion JointModerate</t>
  </si>
  <si>
    <t>5BMovement/Expansion JointModerate</t>
  </si>
  <si>
    <t>5CMovement/Expansion JointModerate</t>
  </si>
  <si>
    <t>5DMovement/Expansion JointModerate</t>
  </si>
  <si>
    <t>5EMovement/Expansion JointModerate</t>
  </si>
  <si>
    <t>3CMovement/Expansion JointSevere</t>
  </si>
  <si>
    <t>N/AMovement/Expansion JointSevere</t>
  </si>
  <si>
    <t>3DMovement/Expansion JointSevere</t>
  </si>
  <si>
    <t>3EMovement/Expansion JointSevere</t>
  </si>
  <si>
    <t>4BMovement/Expansion JointSevere</t>
  </si>
  <si>
    <t>4CMovement/Expansion JointSevere</t>
  </si>
  <si>
    <t>4DMovement/Expansion JointSevere</t>
  </si>
  <si>
    <t>4EMovement/Expansion JointSevere</t>
  </si>
  <si>
    <t>5BMovement/Expansion JointSevere</t>
  </si>
  <si>
    <t>5CMovement/Expansion JointSevere</t>
  </si>
  <si>
    <t>5DMovement/Expansion JointSevere</t>
  </si>
  <si>
    <t>5EMovement/Expansion JointSevere</t>
  </si>
  <si>
    <t>3CBuried JointMild</t>
  </si>
  <si>
    <t>N/ABuried JointMild</t>
  </si>
  <si>
    <t>3DBuried JointMild</t>
  </si>
  <si>
    <t>3EBuried JointMild</t>
  </si>
  <si>
    <t>4BBuried JointMild</t>
  </si>
  <si>
    <t>4CBuried JointMild</t>
  </si>
  <si>
    <t>4DBuried JointMild</t>
  </si>
  <si>
    <t>4EBuried JointMild</t>
  </si>
  <si>
    <t>5BBuried JointMild</t>
  </si>
  <si>
    <t>5CBuried JointMild</t>
  </si>
  <si>
    <t>5DBuried JointMild</t>
  </si>
  <si>
    <t>5EBuried JointMild</t>
  </si>
  <si>
    <t>3CBuried JointModerate</t>
  </si>
  <si>
    <t>N/ABuried JointModerate</t>
  </si>
  <si>
    <t>3DBuried JointModerate</t>
  </si>
  <si>
    <t>3EBuried JointModerate</t>
  </si>
  <si>
    <t>4BBuried JointModerate</t>
  </si>
  <si>
    <t>4CBuried JointModerate</t>
  </si>
  <si>
    <t>4DBuried JointModerate</t>
  </si>
  <si>
    <t>4EBuried JointModerate</t>
  </si>
  <si>
    <t>5BBuried JointModerate</t>
  </si>
  <si>
    <t>5CBuried JointModerate</t>
  </si>
  <si>
    <t>5DBuried JointModerate</t>
  </si>
  <si>
    <t>5EBuried JointModerate</t>
  </si>
  <si>
    <t>3CBuried JointSevere</t>
  </si>
  <si>
    <t>N/ABuried JointSevere</t>
  </si>
  <si>
    <t>3DBuried JointSevere</t>
  </si>
  <si>
    <t>3EBuried JointSevere</t>
  </si>
  <si>
    <t>4BBuried JointSevere</t>
  </si>
  <si>
    <t>4CBuried JointSevere</t>
  </si>
  <si>
    <t>4DBuried JointSevere</t>
  </si>
  <si>
    <t>4EBuried JointSevere</t>
  </si>
  <si>
    <t>5BBuried JointSevere</t>
  </si>
  <si>
    <t>5CBuried JointSevere</t>
  </si>
  <si>
    <t>5DBuried JointSevere</t>
  </si>
  <si>
    <t>5EBuried JointSevere</t>
  </si>
  <si>
    <t>3CAsphaltic Plug JointMild</t>
  </si>
  <si>
    <t>N/AAsphaltic Plug JointMild</t>
  </si>
  <si>
    <t>3DAsphaltic Plug JointMild</t>
  </si>
  <si>
    <t>3EAsphaltic Plug JointMild</t>
  </si>
  <si>
    <t>4BAsphaltic Plug JointMild</t>
  </si>
  <si>
    <t>4CAsphaltic Plug JointMild</t>
  </si>
  <si>
    <t>4DAsphaltic Plug JointMild</t>
  </si>
  <si>
    <t>4EAsphaltic Plug JointMild</t>
  </si>
  <si>
    <t>5BAsphaltic Plug JointMild</t>
  </si>
  <si>
    <t>5CAsphaltic Plug JointMild</t>
  </si>
  <si>
    <t>5DAsphaltic Plug JointMild</t>
  </si>
  <si>
    <t>5EAsphaltic Plug JointMild</t>
  </si>
  <si>
    <t>3CAsphaltic Plug JointModerate</t>
  </si>
  <si>
    <t>N/AAsphaltic Plug JointModerate</t>
  </si>
  <si>
    <t>3DAsphaltic Plug JointModerate</t>
  </si>
  <si>
    <t>3EAsphaltic Plug JointModerate</t>
  </si>
  <si>
    <t>4BAsphaltic Plug JointModerate</t>
  </si>
  <si>
    <t>4CAsphaltic Plug JointModerate</t>
  </si>
  <si>
    <t>4DAsphaltic Plug JointModerate</t>
  </si>
  <si>
    <t>4EAsphaltic Plug JointModerate</t>
  </si>
  <si>
    <t>5BAsphaltic Plug JointModerate</t>
  </si>
  <si>
    <t>5CAsphaltic Plug JointModerate</t>
  </si>
  <si>
    <t>5DAsphaltic Plug JointModerate</t>
  </si>
  <si>
    <t>5EAsphaltic Plug JointModerate</t>
  </si>
  <si>
    <t>3CAsphaltic Plug JointSevere</t>
  </si>
  <si>
    <t>N/AAsphaltic Plug JointSevere</t>
  </si>
  <si>
    <t>3DAsphaltic Plug JointSevere</t>
  </si>
  <si>
    <t>3EAsphaltic Plug JointSevere</t>
  </si>
  <si>
    <t>4BAsphaltic Plug JointSevere</t>
  </si>
  <si>
    <t>4CAsphaltic Plug JointSevere</t>
  </si>
  <si>
    <t>4DAsphaltic Plug JointSevere</t>
  </si>
  <si>
    <t>4EAsphaltic Plug JointSevere</t>
  </si>
  <si>
    <t>5BAsphaltic Plug JointSevere</t>
  </si>
  <si>
    <t>5CAsphaltic Plug JointSevere</t>
  </si>
  <si>
    <t>5DAsphaltic Plug JointSevere</t>
  </si>
  <si>
    <t>5EAsphaltic Plug JointSevere</t>
  </si>
  <si>
    <t>3CNosing JointMild</t>
  </si>
  <si>
    <t>N/ANosing JointMild</t>
  </si>
  <si>
    <t>3DNosing JointMild</t>
  </si>
  <si>
    <t>3ENosing JointMild</t>
  </si>
  <si>
    <t>4BNosing JointMild</t>
  </si>
  <si>
    <t>4CNosing JointMild</t>
  </si>
  <si>
    <t>4DNosing JointMild</t>
  </si>
  <si>
    <t>4ENosing JointMild</t>
  </si>
  <si>
    <t>5BNosing JointMild</t>
  </si>
  <si>
    <t>5CNosing JointMild</t>
  </si>
  <si>
    <t>5DNosing JointMild</t>
  </si>
  <si>
    <t>5ENosing JointMild</t>
  </si>
  <si>
    <t>3CNosing JointModerate</t>
  </si>
  <si>
    <t>N/ANosing JointModerate</t>
  </si>
  <si>
    <t>3DNosing JointModerate</t>
  </si>
  <si>
    <t>3ENosing JointModerate</t>
  </si>
  <si>
    <t>4BNosing JointModerate</t>
  </si>
  <si>
    <t>4CNosing JointModerate</t>
  </si>
  <si>
    <t>4DNosing JointModerate</t>
  </si>
  <si>
    <t>4ENosing JointModerate</t>
  </si>
  <si>
    <t>5BNosing JointModerate</t>
  </si>
  <si>
    <t>5CNosing JointModerate</t>
  </si>
  <si>
    <t>5DNosing JointModerate</t>
  </si>
  <si>
    <t>5ENosing JointModerate</t>
  </si>
  <si>
    <t>3CNosing JointSevere</t>
  </si>
  <si>
    <t>N/ANosing JointSevere</t>
  </si>
  <si>
    <t>3DNosing JointSevere</t>
  </si>
  <si>
    <t>3ENosing JointSevere</t>
  </si>
  <si>
    <t>4BNosing JointSevere</t>
  </si>
  <si>
    <t>4CNosing JointSevere</t>
  </si>
  <si>
    <t>4DNosing JointSevere</t>
  </si>
  <si>
    <t>4ENosing JointSevere</t>
  </si>
  <si>
    <t>5BNosing JointSevere</t>
  </si>
  <si>
    <t>5CNosing JointSevere</t>
  </si>
  <si>
    <t>5DNosing JointSevere</t>
  </si>
  <si>
    <t>5ENosing JointSevere</t>
  </si>
  <si>
    <t>3CElastomeric/Reinforced Elastomeric JointMild</t>
  </si>
  <si>
    <t>N/AElastomeric/Reinforced Elastomeric JointMild</t>
  </si>
  <si>
    <t>3DElastomeric/Reinforced Elastomeric JointMild</t>
  </si>
  <si>
    <t>3EElastomeric/Reinforced Elastomeric JointMild</t>
  </si>
  <si>
    <t>4BElastomeric/Reinforced Elastomeric JointMild</t>
  </si>
  <si>
    <t>4CElastomeric/Reinforced Elastomeric JointMild</t>
  </si>
  <si>
    <t>4DElastomeric/Reinforced Elastomeric JointMild</t>
  </si>
  <si>
    <t>4EElastomeric/Reinforced Elastomeric JointMild</t>
  </si>
  <si>
    <t>5BElastomeric/Reinforced Elastomeric JointMild</t>
  </si>
  <si>
    <t>5CElastomeric/Reinforced Elastomeric JointMild</t>
  </si>
  <si>
    <t>5DElastomeric/Reinforced Elastomeric JointMild</t>
  </si>
  <si>
    <t>5EElastomeric/Reinforced Elastomeric JointMild</t>
  </si>
  <si>
    <t>3CElastomeric/Reinforced Elastomeric JointModerate</t>
  </si>
  <si>
    <t>N/AElastomeric/Reinforced Elastomeric JointModerate</t>
  </si>
  <si>
    <t>3DElastomeric/Reinforced Elastomeric JointModerate</t>
  </si>
  <si>
    <t>3EElastomeric/Reinforced Elastomeric JointModerate</t>
  </si>
  <si>
    <t>4BElastomeric/Reinforced Elastomeric JointModerate</t>
  </si>
  <si>
    <t>4CElastomeric/Reinforced Elastomeric JointModerate</t>
  </si>
  <si>
    <t>4DElastomeric/Reinforced Elastomeric JointModerate</t>
  </si>
  <si>
    <t>4EElastomeric/Reinforced Elastomeric JointModerate</t>
  </si>
  <si>
    <t>5BElastomeric/Reinforced Elastomeric JointModerate</t>
  </si>
  <si>
    <t>5CElastomeric/Reinforced Elastomeric JointModerate</t>
  </si>
  <si>
    <t>5DElastomeric/Reinforced Elastomeric JointModerate</t>
  </si>
  <si>
    <t>5EElastomeric/Reinforced Elastomeric JointModerate</t>
  </si>
  <si>
    <t>3CElastomeric/Reinforced Elastomeric JointSevere</t>
  </si>
  <si>
    <t>N/AElastomeric/Reinforced Elastomeric JointSevere</t>
  </si>
  <si>
    <t>3DElastomeric/Reinforced Elastomeric JointSevere</t>
  </si>
  <si>
    <t>3EElastomeric/Reinforced Elastomeric JointSevere</t>
  </si>
  <si>
    <t>4BElastomeric/Reinforced Elastomeric JointSevere</t>
  </si>
  <si>
    <t>4CElastomeric/Reinforced Elastomeric JointSevere</t>
  </si>
  <si>
    <t>4DElastomeric/Reinforced Elastomeric JointSevere</t>
  </si>
  <si>
    <t>4EElastomeric/Reinforced Elastomeric JointSevere</t>
  </si>
  <si>
    <t>5BElastomeric/Reinforced Elastomeric JointSevere</t>
  </si>
  <si>
    <t>5CElastomeric/Reinforced Elastomeric JointSevere</t>
  </si>
  <si>
    <t>5DElastomeric/Reinforced Elastomeric JointSevere</t>
  </si>
  <si>
    <t>5EElastomeric/Reinforced Elastomeric JointSevere</t>
  </si>
  <si>
    <t>3CSingle Element Elastomeric in Metal RunnersMild</t>
  </si>
  <si>
    <t>N/ASingle Element Elastomeric in Metal RunnersMild</t>
  </si>
  <si>
    <t>3DSingle Element Elastomeric in Metal RunnersMild</t>
  </si>
  <si>
    <t>3ESingle Element Elastomeric in Metal RunnersMild</t>
  </si>
  <si>
    <t>4BSingle Element Elastomeric in Metal RunnersMild</t>
  </si>
  <si>
    <t>4CSingle Element Elastomeric in Metal RunnersMild</t>
  </si>
  <si>
    <t>4DSingle Element Elastomeric in Metal RunnersMild</t>
  </si>
  <si>
    <t>4ESingle Element Elastomeric in Metal RunnersMild</t>
  </si>
  <si>
    <t>5BSingle Element Elastomeric in Metal RunnersMild</t>
  </si>
  <si>
    <t>5CSingle Element Elastomeric in Metal RunnersMild</t>
  </si>
  <si>
    <t>5DSingle Element Elastomeric in Metal RunnersMild</t>
  </si>
  <si>
    <t>5ESingle Element Elastomeric in Metal RunnersMild</t>
  </si>
  <si>
    <t>3CSingle Element Elastomeric in Metal RunnersModerate</t>
  </si>
  <si>
    <t>N/ASingle Element Elastomeric in Metal RunnersModerate</t>
  </si>
  <si>
    <t>3DSingle Element Elastomeric in Metal RunnersModerate</t>
  </si>
  <si>
    <t>3ESingle Element Elastomeric in Metal RunnersModerate</t>
  </si>
  <si>
    <t>4BSingle Element Elastomeric in Metal RunnersModerate</t>
  </si>
  <si>
    <t>4CSingle Element Elastomeric in Metal RunnersModerate</t>
  </si>
  <si>
    <t>4DSingle Element Elastomeric in Metal RunnersModerate</t>
  </si>
  <si>
    <t>4ESingle Element Elastomeric in Metal RunnersModerate</t>
  </si>
  <si>
    <t>5BSingle Element Elastomeric in Metal RunnersModerate</t>
  </si>
  <si>
    <t>5CSingle Element Elastomeric in Metal RunnersModerate</t>
  </si>
  <si>
    <t>5DSingle Element Elastomeric in Metal RunnersModerate</t>
  </si>
  <si>
    <t>5ESingle Element Elastomeric in Metal RunnersModerate</t>
  </si>
  <si>
    <t>3CSingle Element Elastomeric in Metal RunnersSevere</t>
  </si>
  <si>
    <t>N/ASingle Element Elastomeric in Metal RunnersSevere</t>
  </si>
  <si>
    <t>3DSingle Element Elastomeric in Metal RunnersSevere</t>
  </si>
  <si>
    <t>3ESingle Element Elastomeric in Metal RunnersSevere</t>
  </si>
  <si>
    <t>4BSingle Element Elastomeric in Metal RunnersSevere</t>
  </si>
  <si>
    <t>4CSingle Element Elastomeric in Metal RunnersSevere</t>
  </si>
  <si>
    <t>4DSingle Element Elastomeric in Metal RunnersSevere</t>
  </si>
  <si>
    <t>4ESingle Element Elastomeric in Metal RunnersSevere</t>
  </si>
  <si>
    <t>5BSingle Element Elastomeric in Metal RunnersSevere</t>
  </si>
  <si>
    <t>5CSingle Element Elastomeric in Metal RunnersSevere</t>
  </si>
  <si>
    <t>5DSingle Element Elastomeric in Metal RunnersSevere</t>
  </si>
  <si>
    <t>5ESingle Element Elastomeric in Metal RunnersSevere</t>
  </si>
  <si>
    <t>3CMulti Element Elastomeric in Metal RunnersMild</t>
  </si>
  <si>
    <t>N/AMulti Element Elastomeric in Metal RunnersMild</t>
  </si>
  <si>
    <t>3DMulti Element Elastomeric in Metal RunnersMild</t>
  </si>
  <si>
    <t>3EMulti Element Elastomeric in Metal RunnersMild</t>
  </si>
  <si>
    <t>4BMulti Element Elastomeric in Metal RunnersMild</t>
  </si>
  <si>
    <t>4CMulti Element Elastomeric in Metal RunnersMild</t>
  </si>
  <si>
    <t>4DMulti Element Elastomeric in Metal RunnersMild</t>
  </si>
  <si>
    <t>4EMulti Element Elastomeric in Metal RunnersMild</t>
  </si>
  <si>
    <t>5BMulti Element Elastomeric in Metal RunnersMild</t>
  </si>
  <si>
    <t>5CMulti Element Elastomeric in Metal RunnersMild</t>
  </si>
  <si>
    <t>5DMulti Element Elastomeric in Metal RunnersMild</t>
  </si>
  <si>
    <t>5EMulti Element Elastomeric in Metal RunnersMild</t>
  </si>
  <si>
    <t>3CMulti Element Elastomeric in Metal RunnersModerate</t>
  </si>
  <si>
    <t>N/AMulti Element Elastomeric in Metal RunnersModerate</t>
  </si>
  <si>
    <t>3DMulti Element Elastomeric in Metal RunnersModerate</t>
  </si>
  <si>
    <t>3EMulti Element Elastomeric in Metal RunnersModerate</t>
  </si>
  <si>
    <t>4BMulti Element Elastomeric in Metal RunnersModerate</t>
  </si>
  <si>
    <t>4CMulti Element Elastomeric in Metal RunnersModerate</t>
  </si>
  <si>
    <t>4DMulti Element Elastomeric in Metal RunnersModerate</t>
  </si>
  <si>
    <t>4EMulti Element Elastomeric in Metal RunnersModerate</t>
  </si>
  <si>
    <t>5BMulti Element Elastomeric in Metal RunnersModerate</t>
  </si>
  <si>
    <t>5CMulti Element Elastomeric in Metal RunnersModerate</t>
  </si>
  <si>
    <t>5DMulti Element Elastomeric in Metal RunnersModerate</t>
  </si>
  <si>
    <t>5EMulti Element Elastomeric in Metal RunnersModerate</t>
  </si>
  <si>
    <t>3CMulti Element Elastomeric in Metal RunnersSevere</t>
  </si>
  <si>
    <t>N/AMulti Element Elastomeric in Metal RunnersSevere</t>
  </si>
  <si>
    <t>3DMulti Element Elastomeric in Metal RunnersSevere</t>
  </si>
  <si>
    <t>3EMulti Element Elastomeric in Metal RunnersSevere</t>
  </si>
  <si>
    <t>4BMulti Element Elastomeric in Metal RunnersSevere</t>
  </si>
  <si>
    <t>4CMulti Element Elastomeric in Metal RunnersSevere</t>
  </si>
  <si>
    <t>4DMulti Element Elastomeric in Metal RunnersSevere</t>
  </si>
  <si>
    <t>4EMulti Element Elastomeric in Metal RunnersSevere</t>
  </si>
  <si>
    <t>5BMulti Element Elastomeric in Metal RunnersSevere</t>
  </si>
  <si>
    <t>5CMulti Element Elastomeric in Metal RunnersSevere</t>
  </si>
  <si>
    <t>5DMulti Element Elastomeric in Metal RunnersSevere</t>
  </si>
  <si>
    <t>5EMulti Element Elastomeric in Metal RunnersSevere</t>
  </si>
  <si>
    <t>3CCantilever Comb and Tooth JointMild</t>
  </si>
  <si>
    <t>N/ACantilever Comb and Tooth JointMild</t>
  </si>
  <si>
    <t>3DCantilever Comb and Tooth JointMild</t>
  </si>
  <si>
    <t>3ECantilever Comb and Tooth JointMild</t>
  </si>
  <si>
    <t>4BCantilever Comb and Tooth JointMild</t>
  </si>
  <si>
    <t>4CCantilever Comb and Tooth JointMild</t>
  </si>
  <si>
    <t>4DCantilever Comb and Tooth JointMild</t>
  </si>
  <si>
    <t>4ECantilever Comb and Tooth JointMild</t>
  </si>
  <si>
    <t>5BCantilever Comb and Tooth JointMild</t>
  </si>
  <si>
    <t>5CCantilever Comb and Tooth JointMild</t>
  </si>
  <si>
    <t>5DCantilever Comb and Tooth JointMild</t>
  </si>
  <si>
    <t>5ECantilever Comb and Tooth JointMild</t>
  </si>
  <si>
    <t>3CCantilever Comb and Tooth JointModerate</t>
  </si>
  <si>
    <t>N/ACantilever Comb and Tooth JointModerate</t>
  </si>
  <si>
    <t>3DCantilever Comb and Tooth JointModerate</t>
  </si>
  <si>
    <t>3ECantilever Comb and Tooth JointModerate</t>
  </si>
  <si>
    <t>4BCantilever Comb and Tooth JointModerate</t>
  </si>
  <si>
    <t>4CCantilever Comb and Tooth JointModerate</t>
  </si>
  <si>
    <t>4DCantilever Comb and Tooth JointModerate</t>
  </si>
  <si>
    <t>4ECantilever Comb and Tooth JointModerate</t>
  </si>
  <si>
    <t>5BCantilever Comb and Tooth JointModerate</t>
  </si>
  <si>
    <t>5CCantilever Comb and Tooth JointModerate</t>
  </si>
  <si>
    <t>5DCantilever Comb and Tooth JointModerate</t>
  </si>
  <si>
    <t>5ECantilever Comb and Tooth JointModerate</t>
  </si>
  <si>
    <t>3CCantilever Comb and Tooth JointSevere</t>
  </si>
  <si>
    <t>N/ACantilever Comb and Tooth JointSevere</t>
  </si>
  <si>
    <t>3DCantilever Comb and Tooth JointSevere</t>
  </si>
  <si>
    <t>3ECantilever Comb and Tooth JointSevere</t>
  </si>
  <si>
    <t>4BCantilever Comb and Tooth JointSevere</t>
  </si>
  <si>
    <t>4CCantilever Comb and Tooth JointSevere</t>
  </si>
  <si>
    <t>4DCantilever Comb and Tooth JointSevere</t>
  </si>
  <si>
    <t>4ECantilever Comb and Tooth JointSevere</t>
  </si>
  <si>
    <t>5BCantilever Comb and Tooth JointSevere</t>
  </si>
  <si>
    <t>5CCantilever Comb and Tooth JointSevere</t>
  </si>
  <si>
    <t>5DCantilever Comb and Tooth JointSevere</t>
  </si>
  <si>
    <t>5ECantilever Comb and Tooth JointSevere</t>
  </si>
  <si>
    <t>3CRoller ShutterMild</t>
  </si>
  <si>
    <t>N/ARoller ShutterMild</t>
  </si>
  <si>
    <t>3DRoller ShutterMild</t>
  </si>
  <si>
    <t>3ERoller ShutterMild</t>
  </si>
  <si>
    <t>4BRoller ShutterMild</t>
  </si>
  <si>
    <t>4CRoller ShutterMild</t>
  </si>
  <si>
    <t>4DRoller ShutterMild</t>
  </si>
  <si>
    <t>4ERoller ShutterMild</t>
  </si>
  <si>
    <t>5BRoller ShutterMild</t>
  </si>
  <si>
    <t>5CRoller ShutterMild</t>
  </si>
  <si>
    <t>5DRoller ShutterMild</t>
  </si>
  <si>
    <t>5ERoller ShutterMild</t>
  </si>
  <si>
    <t>3CRoller ShutterModerate</t>
  </si>
  <si>
    <t>N/ARoller ShutterModerate</t>
  </si>
  <si>
    <t>3DRoller ShutterModerate</t>
  </si>
  <si>
    <t>3ERoller ShutterModerate</t>
  </si>
  <si>
    <t>4BRoller ShutterModerate</t>
  </si>
  <si>
    <t>4CRoller ShutterModerate</t>
  </si>
  <si>
    <t>4DRoller ShutterModerate</t>
  </si>
  <si>
    <t>4ERoller ShutterModerate</t>
  </si>
  <si>
    <t>5BRoller ShutterModerate</t>
  </si>
  <si>
    <t>5CRoller ShutterModerate</t>
  </si>
  <si>
    <t>5DRoller ShutterModerate</t>
  </si>
  <si>
    <t>5ERoller ShutterModerate</t>
  </si>
  <si>
    <t>3CRoller ShutterSevere</t>
  </si>
  <si>
    <t>N/ARoller ShutterSevere</t>
  </si>
  <si>
    <t>3DRoller ShutterSevere</t>
  </si>
  <si>
    <t>3ERoller ShutterSevere</t>
  </si>
  <si>
    <t>4BRoller ShutterSevere</t>
  </si>
  <si>
    <t>4CRoller ShutterSevere</t>
  </si>
  <si>
    <t>4DRoller ShutterSevere</t>
  </si>
  <si>
    <t>4ERoller ShutterSevere</t>
  </si>
  <si>
    <t>5BRoller ShutterSevere</t>
  </si>
  <si>
    <t>5CRoller ShutterSevere</t>
  </si>
  <si>
    <t>5DRoller ShutterSevere</t>
  </si>
  <si>
    <t>5ERoller ShutterSevere</t>
  </si>
  <si>
    <t>3CSliding PlateMild</t>
  </si>
  <si>
    <t>N/ASliding PlateMild</t>
  </si>
  <si>
    <t>3DSliding PlateMild</t>
  </si>
  <si>
    <t>3ESliding PlateMild</t>
  </si>
  <si>
    <t>4BSliding PlateMild</t>
  </si>
  <si>
    <t>4CSliding PlateMild</t>
  </si>
  <si>
    <t>4DSliding PlateMild</t>
  </si>
  <si>
    <t>4ESliding PlateMild</t>
  </si>
  <si>
    <t>5BSliding PlateMild</t>
  </si>
  <si>
    <t>5CSliding PlateMild</t>
  </si>
  <si>
    <t>5DSliding PlateMild</t>
  </si>
  <si>
    <t>5ESliding PlateMild</t>
  </si>
  <si>
    <t>3CSliding PlateModerate</t>
  </si>
  <si>
    <t>N/ASliding PlateModerate</t>
  </si>
  <si>
    <t>3DSliding PlateModerate</t>
  </si>
  <si>
    <t>3ESliding PlateModerate</t>
  </si>
  <si>
    <t>4BSliding PlateModerate</t>
  </si>
  <si>
    <t>4CSliding PlateModerate</t>
  </si>
  <si>
    <t>4DSliding PlateModerate</t>
  </si>
  <si>
    <t>4ESliding PlateModerate</t>
  </si>
  <si>
    <t>5BSliding PlateModerate</t>
  </si>
  <si>
    <t>5CSliding PlateModerate</t>
  </si>
  <si>
    <t>5DSliding PlateModerate</t>
  </si>
  <si>
    <t>5ESliding PlateModerate</t>
  </si>
  <si>
    <t>3CSliding PlateSevere</t>
  </si>
  <si>
    <t>N/ASliding PlateSevere</t>
  </si>
  <si>
    <t>3DSliding PlateSevere</t>
  </si>
  <si>
    <t>3ESliding PlateSevere</t>
  </si>
  <si>
    <t>4BSliding PlateSevere</t>
  </si>
  <si>
    <t>4CSliding PlateSevere</t>
  </si>
  <si>
    <t>4DSliding PlateSevere</t>
  </si>
  <si>
    <t>4ESliding PlateSevere</t>
  </si>
  <si>
    <t>5BSliding PlateSevere</t>
  </si>
  <si>
    <t>5CSliding PlateSevere</t>
  </si>
  <si>
    <t>5DSliding PlateSevere</t>
  </si>
  <si>
    <t>5ESliding PlateSevere</t>
  </si>
  <si>
    <t>3COther/Unknown Expansion JointMild</t>
  </si>
  <si>
    <t>N/AOther/Unknown Expansion JointMild</t>
  </si>
  <si>
    <t>3DOther/Unknown Expansion JointMild</t>
  </si>
  <si>
    <t>3EOther/Unknown Expansion JointMild</t>
  </si>
  <si>
    <t>4BOther/Unknown Expansion JointMild</t>
  </si>
  <si>
    <t>4COther/Unknown Expansion JointMild</t>
  </si>
  <si>
    <t>4DOther/Unknown Expansion JointMild</t>
  </si>
  <si>
    <t>4EOther/Unknown Expansion JointMild</t>
  </si>
  <si>
    <t>5BOther/Unknown Expansion JointMild</t>
  </si>
  <si>
    <t>5COther/Unknown Expansion JointMild</t>
  </si>
  <si>
    <t>5DOther/Unknown Expansion JointMild</t>
  </si>
  <si>
    <t>5EOther/Unknown Expansion JointMild</t>
  </si>
  <si>
    <t>3COther/Unknown Expansion JointModerate</t>
  </si>
  <si>
    <t>N/AOther/Unknown Expansion JointModerate</t>
  </si>
  <si>
    <t>3DOther/Unknown Expansion JointModerate</t>
  </si>
  <si>
    <t>3EOther/Unknown Expansion JointModerate</t>
  </si>
  <si>
    <t>4BOther/Unknown Expansion JointModerate</t>
  </si>
  <si>
    <t>4COther/Unknown Expansion JointModerate</t>
  </si>
  <si>
    <t>4DOther/Unknown Expansion JointModerate</t>
  </si>
  <si>
    <t>4EOther/Unknown Expansion JointModerate</t>
  </si>
  <si>
    <t>5BOther/Unknown Expansion JointModerate</t>
  </si>
  <si>
    <t>5COther/Unknown Expansion JointModerate</t>
  </si>
  <si>
    <t>5DOther/Unknown Expansion JointModerate</t>
  </si>
  <si>
    <t>5EOther/Unknown Expansion JointModerate</t>
  </si>
  <si>
    <t>3COther/Unknown Expansion JointSevere</t>
  </si>
  <si>
    <t>N/AOther/Unknown Expansion JointSevere</t>
  </si>
  <si>
    <t>3DOther/Unknown Expansion JointSevere</t>
  </si>
  <si>
    <t>3EOther/Unknown Expansion JointSevere</t>
  </si>
  <si>
    <t>4BOther/Unknown Expansion JointSevere</t>
  </si>
  <si>
    <t>4COther/Unknown Expansion JointSevere</t>
  </si>
  <si>
    <t>4DOther/Unknown Expansion JointSevere</t>
  </si>
  <si>
    <t>4EOther/Unknown Expansion JointSevere</t>
  </si>
  <si>
    <t>5BOther/Unknown Expansion JointSevere</t>
  </si>
  <si>
    <t>5COther/Unknown Expansion JointSevere</t>
  </si>
  <si>
    <t>5DOther/Unknown Expansion JointSevere</t>
  </si>
  <si>
    <t>5EOther/Unknown Expansion JointSevere</t>
  </si>
  <si>
    <t>3CElastomeric/RubberMild</t>
  </si>
  <si>
    <t>N/AElastomeric/RubberMild</t>
  </si>
  <si>
    <t>3DElastomeric/RubberMild</t>
  </si>
  <si>
    <t>3EElastomeric/RubberMild</t>
  </si>
  <si>
    <t>4BElastomeric/RubberMild</t>
  </si>
  <si>
    <t>4CElastomeric/RubberMild</t>
  </si>
  <si>
    <t>4DElastomeric/RubberMild</t>
  </si>
  <si>
    <t>4EElastomeric/RubberMild</t>
  </si>
  <si>
    <t>5BElastomeric/RubberMild</t>
  </si>
  <si>
    <t>5CElastomeric/RubberMild</t>
  </si>
  <si>
    <t>5DElastomeric/RubberMild</t>
  </si>
  <si>
    <t>5EElastomeric/RubberMild</t>
  </si>
  <si>
    <t>3CElastomeric/RubberModerate</t>
  </si>
  <si>
    <t>N/AElastomeric/RubberModerate</t>
  </si>
  <si>
    <t>3DElastomeric/RubberModerate</t>
  </si>
  <si>
    <t>3EElastomeric/RubberModerate</t>
  </si>
  <si>
    <t>4BElastomeric/RubberModerate</t>
  </si>
  <si>
    <t>4CElastomeric/RubberModerate</t>
  </si>
  <si>
    <t>4DElastomeric/RubberModerate</t>
  </si>
  <si>
    <t>4EElastomeric/RubberModerate</t>
  </si>
  <si>
    <t>5BElastomeric/RubberModerate</t>
  </si>
  <si>
    <t>5CElastomeric/RubberModerate</t>
  </si>
  <si>
    <t>5DElastomeric/RubberModerate</t>
  </si>
  <si>
    <t>5EElastomeric/RubberModerate</t>
  </si>
  <si>
    <t>3CElastomeric/RubberSevere</t>
  </si>
  <si>
    <t>N/AElastomeric/RubberSevere</t>
  </si>
  <si>
    <t>3DElastomeric/RubberSevere</t>
  </si>
  <si>
    <t>3EElastomeric/RubberSevere</t>
  </si>
  <si>
    <t>4BElastomeric/RubberSevere</t>
  </si>
  <si>
    <t>4CElastomeric/RubberSevere</t>
  </si>
  <si>
    <t>4DElastomeric/RubberSevere</t>
  </si>
  <si>
    <t>4EElastomeric/RubberSevere</t>
  </si>
  <si>
    <t>5BElastomeric/RubberSevere</t>
  </si>
  <si>
    <t>5CElastomeric/RubberSevere</t>
  </si>
  <si>
    <t>5DElastomeric/RubberSevere</t>
  </si>
  <si>
    <t>5EElastomeric/RubberSevere</t>
  </si>
  <si>
    <t>3CPlane SlidingMild</t>
  </si>
  <si>
    <t>N/APlane SlidingMild</t>
  </si>
  <si>
    <t>3DPlane SlidingMild</t>
  </si>
  <si>
    <t>3EPlane SlidingMild</t>
  </si>
  <si>
    <t>4BPlane SlidingMild</t>
  </si>
  <si>
    <t>4CPlane SlidingMild</t>
  </si>
  <si>
    <t>4DPlane SlidingMild</t>
  </si>
  <si>
    <t>4EPlane SlidingMild</t>
  </si>
  <si>
    <t>5BPlane SlidingMild</t>
  </si>
  <si>
    <t>5CPlane SlidingMild</t>
  </si>
  <si>
    <t>5DPlane SlidingMild</t>
  </si>
  <si>
    <t>5EPlane SlidingMild</t>
  </si>
  <si>
    <t>3CPlane SlidingModerate</t>
  </si>
  <si>
    <t>N/APlane SlidingModerate</t>
  </si>
  <si>
    <t>3DPlane SlidingModerate</t>
  </si>
  <si>
    <t>3EPlane SlidingModerate</t>
  </si>
  <si>
    <t>4BPlane SlidingModerate</t>
  </si>
  <si>
    <t>4CPlane SlidingModerate</t>
  </si>
  <si>
    <t>4DPlane SlidingModerate</t>
  </si>
  <si>
    <t>4EPlane SlidingModerate</t>
  </si>
  <si>
    <t>5BPlane SlidingModerate</t>
  </si>
  <si>
    <t>5CPlane SlidingModerate</t>
  </si>
  <si>
    <t>5DPlane SlidingModerate</t>
  </si>
  <si>
    <t>5EPlane SlidingModerate</t>
  </si>
  <si>
    <t>3CPlane SlidingSevere</t>
  </si>
  <si>
    <t>N/APlane SlidingSevere</t>
  </si>
  <si>
    <t>3DPlane SlidingSevere</t>
  </si>
  <si>
    <t>3EPlane SlidingSevere</t>
  </si>
  <si>
    <t>4BPlane SlidingSevere</t>
  </si>
  <si>
    <t>4CPlane SlidingSevere</t>
  </si>
  <si>
    <t>4DPlane SlidingSevere</t>
  </si>
  <si>
    <t>4EPlane SlidingSevere</t>
  </si>
  <si>
    <t>5BPlane SlidingSevere</t>
  </si>
  <si>
    <t>5CPlane SlidingSevere</t>
  </si>
  <si>
    <t>5DPlane SlidingSevere</t>
  </si>
  <si>
    <t>5EPlane SlidingSevere</t>
  </si>
  <si>
    <t>3CRollerMild</t>
  </si>
  <si>
    <t>N/ARollerMild</t>
  </si>
  <si>
    <t>3DRollerMild</t>
  </si>
  <si>
    <t>3ERollerMild</t>
  </si>
  <si>
    <t>4BRollerMild</t>
  </si>
  <si>
    <t>4CRollerMild</t>
  </si>
  <si>
    <t>4DRollerMild</t>
  </si>
  <si>
    <t>4ERollerMild</t>
  </si>
  <si>
    <t>5BRollerMild</t>
  </si>
  <si>
    <t>5CRollerMild</t>
  </si>
  <si>
    <t>5DRollerMild</t>
  </si>
  <si>
    <t>5ERollerMild</t>
  </si>
  <si>
    <t>3CRollerModerate</t>
  </si>
  <si>
    <t>N/ARollerModerate</t>
  </si>
  <si>
    <t>3DRollerModerate</t>
  </si>
  <si>
    <t>3ERollerModerate</t>
  </si>
  <si>
    <t>4BRollerModerate</t>
  </si>
  <si>
    <t>4CRollerModerate</t>
  </si>
  <si>
    <t>4DRollerModerate</t>
  </si>
  <si>
    <t>4ERollerModerate</t>
  </si>
  <si>
    <t>5BRollerModerate</t>
  </si>
  <si>
    <t>5CRollerModerate</t>
  </si>
  <si>
    <t>5DRollerModerate</t>
  </si>
  <si>
    <t>5ERollerModerate</t>
  </si>
  <si>
    <t>3CRollerSevere</t>
  </si>
  <si>
    <t>N/ARollerSevere</t>
  </si>
  <si>
    <t>3DRollerSevere</t>
  </si>
  <si>
    <t>3ERollerSevere</t>
  </si>
  <si>
    <t>4BRollerSevere</t>
  </si>
  <si>
    <t>4CRollerSevere</t>
  </si>
  <si>
    <t>4DRollerSevere</t>
  </si>
  <si>
    <t>4ERollerSevere</t>
  </si>
  <si>
    <t>5BRollerSevere</t>
  </si>
  <si>
    <t>5CRollerSevere</t>
  </si>
  <si>
    <t>5DRollerSevere</t>
  </si>
  <si>
    <t>5ERollerSevere</t>
  </si>
  <si>
    <t>3CPotMild</t>
  </si>
  <si>
    <t>N/APotMild</t>
  </si>
  <si>
    <t>3DPotMild</t>
  </si>
  <si>
    <t>3EPotMild</t>
  </si>
  <si>
    <t>4BPotMild</t>
  </si>
  <si>
    <t>4CPotMild</t>
  </si>
  <si>
    <t>4DPotMild</t>
  </si>
  <si>
    <t>4EPotMild</t>
  </si>
  <si>
    <t>5BPotMild</t>
  </si>
  <si>
    <t>5CPotMild</t>
  </si>
  <si>
    <t>5DPotMild</t>
  </si>
  <si>
    <t>5EPotMild</t>
  </si>
  <si>
    <t>3CPotModerate</t>
  </si>
  <si>
    <t>N/APotModerate</t>
  </si>
  <si>
    <t>3DPotModerate</t>
  </si>
  <si>
    <t>3EPotModerate</t>
  </si>
  <si>
    <t>4BPotModerate</t>
  </si>
  <si>
    <t>4CPotModerate</t>
  </si>
  <si>
    <t>4DPotModerate</t>
  </si>
  <si>
    <t>4EPotModerate</t>
  </si>
  <si>
    <t>5BPotModerate</t>
  </si>
  <si>
    <t>5CPotModerate</t>
  </si>
  <si>
    <t>5DPotModerate</t>
  </si>
  <si>
    <t>5EPotModerate</t>
  </si>
  <si>
    <t>3CPotSevere</t>
  </si>
  <si>
    <t>N/APotSevere</t>
  </si>
  <si>
    <t>3DPotSevere</t>
  </si>
  <si>
    <t>3EPotSevere</t>
  </si>
  <si>
    <t>4BPotSevere</t>
  </si>
  <si>
    <t>4CPotSevere</t>
  </si>
  <si>
    <t>4DPotSevere</t>
  </si>
  <si>
    <t>4EPotSevere</t>
  </si>
  <si>
    <t>5BPotSevere</t>
  </si>
  <si>
    <t>5CPotSevere</t>
  </si>
  <si>
    <t>5DPotSevere</t>
  </si>
  <si>
    <t>5EPotSevere</t>
  </si>
  <si>
    <t>3CRockerMild</t>
  </si>
  <si>
    <t>N/ARockerMild</t>
  </si>
  <si>
    <t>3DRockerMild</t>
  </si>
  <si>
    <t>3ERockerMild</t>
  </si>
  <si>
    <t>4BRockerMild</t>
  </si>
  <si>
    <t>4CRockerMild</t>
  </si>
  <si>
    <t>4DRockerMild</t>
  </si>
  <si>
    <t>4ERockerMild</t>
  </si>
  <si>
    <t>5BRockerMild</t>
  </si>
  <si>
    <t>5CRockerMild</t>
  </si>
  <si>
    <t>5DRockerMild</t>
  </si>
  <si>
    <t>5ERockerMild</t>
  </si>
  <si>
    <t>3CRockerModerate</t>
  </si>
  <si>
    <t>N/ARockerModerate</t>
  </si>
  <si>
    <t>3DRockerModerate</t>
  </si>
  <si>
    <t>3ERockerModerate</t>
  </si>
  <si>
    <t>4BRockerModerate</t>
  </si>
  <si>
    <t>4CRockerModerate</t>
  </si>
  <si>
    <t>4DRockerModerate</t>
  </si>
  <si>
    <t>4ERockerModerate</t>
  </si>
  <si>
    <t>5BRockerModerate</t>
  </si>
  <si>
    <t>5CRockerModerate</t>
  </si>
  <si>
    <t>5DRockerModerate</t>
  </si>
  <si>
    <t>5ERockerModerate</t>
  </si>
  <si>
    <t>3CRockerSevere</t>
  </si>
  <si>
    <t>N/ARockerSevere</t>
  </si>
  <si>
    <t>3DRockerSevere</t>
  </si>
  <si>
    <t>3ERockerSevere</t>
  </si>
  <si>
    <t>4BRockerSevere</t>
  </si>
  <si>
    <t>4CRockerSevere</t>
  </si>
  <si>
    <t>4DRockerSevere</t>
  </si>
  <si>
    <t>4ERockerSevere</t>
  </si>
  <si>
    <t>5BRockerSevere</t>
  </si>
  <si>
    <t>5CRockerSevere</t>
  </si>
  <si>
    <t>5DRockerSevere</t>
  </si>
  <si>
    <t>5ERockerSevere</t>
  </si>
  <si>
    <t>3CSphericalMild</t>
  </si>
  <si>
    <t>N/ASphericalMild</t>
  </si>
  <si>
    <t>3DSphericalMild</t>
  </si>
  <si>
    <t>3ESphericalMild</t>
  </si>
  <si>
    <t>4BSphericalMild</t>
  </si>
  <si>
    <t>4CSphericalMild</t>
  </si>
  <si>
    <t>4DSphericalMild</t>
  </si>
  <si>
    <t>4ESphericalMild</t>
  </si>
  <si>
    <t>5BSphericalMild</t>
  </si>
  <si>
    <t>5CSphericalMild</t>
  </si>
  <si>
    <t>5DSphericalMild</t>
  </si>
  <si>
    <t>5ESphericalMild</t>
  </si>
  <si>
    <t>3CSphericalModerate</t>
  </si>
  <si>
    <t>N/ASphericalModerate</t>
  </si>
  <si>
    <t>3DSphericalModerate</t>
  </si>
  <si>
    <t>3ESphericalModerate</t>
  </si>
  <si>
    <t>4BSphericalModerate</t>
  </si>
  <si>
    <t>4CSphericalModerate</t>
  </si>
  <si>
    <t>4DSphericalModerate</t>
  </si>
  <si>
    <t>4ESphericalModerate</t>
  </si>
  <si>
    <t>5BSphericalModerate</t>
  </si>
  <si>
    <t>5CSphericalModerate</t>
  </si>
  <si>
    <t>5DSphericalModerate</t>
  </si>
  <si>
    <t>5ESphericalModerate</t>
  </si>
  <si>
    <t>3CSphericalSevere</t>
  </si>
  <si>
    <t>N/ASphericalSevere</t>
  </si>
  <si>
    <t>3DSphericalSevere</t>
  </si>
  <si>
    <t>3ESphericalSevere</t>
  </si>
  <si>
    <t>4BSphericalSevere</t>
  </si>
  <si>
    <t>4CSphericalSevere</t>
  </si>
  <si>
    <t>4DSphericalSevere</t>
  </si>
  <si>
    <t>4ESphericalSevere</t>
  </si>
  <si>
    <t>5BSphericalSevere</t>
  </si>
  <si>
    <t>5CSphericalSevere</t>
  </si>
  <si>
    <t>5DSphericalSevere</t>
  </si>
  <si>
    <t>5ESphericalSevere</t>
  </si>
  <si>
    <t>3COther/Unknown BearingMild</t>
  </si>
  <si>
    <t>N/AOther/Unknown BearingMild</t>
  </si>
  <si>
    <t>3DOther/Unknown BearingMild</t>
  </si>
  <si>
    <t>3EOther/Unknown BearingMild</t>
  </si>
  <si>
    <t>4BOther/Unknown BearingMild</t>
  </si>
  <si>
    <t>4COther/Unknown BearingMild</t>
  </si>
  <si>
    <t>4DOther/Unknown BearingMild</t>
  </si>
  <si>
    <t>4EOther/Unknown BearingMild</t>
  </si>
  <si>
    <t>5BOther/Unknown BearingMild</t>
  </si>
  <si>
    <t>5COther/Unknown BearingMild</t>
  </si>
  <si>
    <t>5DOther/Unknown BearingMild</t>
  </si>
  <si>
    <t>5EOther/Unknown BearingMild</t>
  </si>
  <si>
    <t>3COther/Unknown BearingModerate</t>
  </si>
  <si>
    <t>N/AOther/Unknown BearingModerate</t>
  </si>
  <si>
    <t>3DOther/Unknown BearingModerate</t>
  </si>
  <si>
    <t>3EOther/Unknown BearingModerate</t>
  </si>
  <si>
    <t>4BOther/Unknown BearingModerate</t>
  </si>
  <si>
    <t>4COther/Unknown BearingModerate</t>
  </si>
  <si>
    <t>4DOther/Unknown BearingModerate</t>
  </si>
  <si>
    <t>4EOther/Unknown BearingModerate</t>
  </si>
  <si>
    <t>5BOther/Unknown BearingModerate</t>
  </si>
  <si>
    <t>5COther/Unknown BearingModerate</t>
  </si>
  <si>
    <t>5DOther/Unknown BearingModerate</t>
  </si>
  <si>
    <t>5EOther/Unknown BearingModerate</t>
  </si>
  <si>
    <t>3COther/Unknown BearingSevere</t>
  </si>
  <si>
    <t>N/AOther/Unknown BearingSevere</t>
  </si>
  <si>
    <t>3DOther/Unknown BearingSevere</t>
  </si>
  <si>
    <t>3EOther/Unknown BearingSevere</t>
  </si>
  <si>
    <t>4BOther/Unknown BearingSevere</t>
  </si>
  <si>
    <t>4COther/Unknown BearingSevere</t>
  </si>
  <si>
    <t>4DOther/Unknown BearingSevere</t>
  </si>
  <si>
    <t>4EOther/Unknown BearingSevere</t>
  </si>
  <si>
    <t>5BOther/Unknown BearingSevere</t>
  </si>
  <si>
    <t>5COther/Unknown BearingSevere</t>
  </si>
  <si>
    <t>5DOther/Unknown BearingSevere</t>
  </si>
  <si>
    <t>5EOther/Unknown BearingSevere</t>
  </si>
  <si>
    <t>3CConcreteMild</t>
  </si>
  <si>
    <t>N/AConcreteMild</t>
  </si>
  <si>
    <t>3DConcreteMild</t>
  </si>
  <si>
    <t>3EConcreteMild</t>
  </si>
  <si>
    <t>3CConcreteModerate</t>
  </si>
  <si>
    <t>N/AConcreteModerate</t>
  </si>
  <si>
    <t>3DConcreteModerate</t>
  </si>
  <si>
    <t>3EConcreteModerate</t>
  </si>
  <si>
    <t>3CConcreteSevere</t>
  </si>
  <si>
    <t>N/AConcreteSevere</t>
  </si>
  <si>
    <t>3DConcreteSevere</t>
  </si>
  <si>
    <t>3EConcreteSevere</t>
  </si>
  <si>
    <t>3CSteelMild</t>
  </si>
  <si>
    <t>N/ASteelMild</t>
  </si>
  <si>
    <t>3DSteelMild</t>
  </si>
  <si>
    <t>3ESteelMild</t>
  </si>
  <si>
    <t>3CSteelModerate</t>
  </si>
  <si>
    <t>N/ASteelModerate</t>
  </si>
  <si>
    <t>3DSteelModerate</t>
  </si>
  <si>
    <t>3ESteelModerate</t>
  </si>
  <si>
    <t>3CSteelSevere</t>
  </si>
  <si>
    <t>N/ASteelSevere</t>
  </si>
  <si>
    <t>3DSteelSevere</t>
  </si>
  <si>
    <t>3ESteelSevere</t>
  </si>
  <si>
    <t>3CAluminiumMild</t>
  </si>
  <si>
    <t>N/AAluminiumMild</t>
  </si>
  <si>
    <t>3DAluminiumMild</t>
  </si>
  <si>
    <t>3EAluminiumMild</t>
  </si>
  <si>
    <t>3CAluminiumModerate</t>
  </si>
  <si>
    <t>N/AAluminiumModerate</t>
  </si>
  <si>
    <t>3DAluminiumModerate</t>
  </si>
  <si>
    <t>3EAluminiumModerate</t>
  </si>
  <si>
    <t>3CAluminiumSevere</t>
  </si>
  <si>
    <t>N/AAluminiumSevere</t>
  </si>
  <si>
    <t>3DAluminiumSevere</t>
  </si>
  <si>
    <t>3EAluminiumSevere</t>
  </si>
  <si>
    <t>3CMasonryMild</t>
  </si>
  <si>
    <t>N/AMasonryMild</t>
  </si>
  <si>
    <t>3DMasonryMild</t>
  </si>
  <si>
    <t>3EMasonryMild</t>
  </si>
  <si>
    <t>3CMasonryModerate</t>
  </si>
  <si>
    <t>N/AMasonryModerate</t>
  </si>
  <si>
    <t>3DMasonryModerate</t>
  </si>
  <si>
    <t>3EMasonryModerate</t>
  </si>
  <si>
    <t>3CMasonrySevere</t>
  </si>
  <si>
    <t>N/AMasonrySevere</t>
  </si>
  <si>
    <t>3DMasonrySevere</t>
  </si>
  <si>
    <t>3EMasonrySevere</t>
  </si>
  <si>
    <t>3CTimber (Hardwood not Treated)Mild</t>
  </si>
  <si>
    <t>N/ATimber (Hardwood not Treated)Mild</t>
  </si>
  <si>
    <t>3DTimber (Hardwood not Treated)Mild</t>
  </si>
  <si>
    <t>3ETimber (Hardwood not Treated)Mild</t>
  </si>
  <si>
    <t>3CTimber (Hardwood not Treated)Moderate</t>
  </si>
  <si>
    <t>N/ATimber (Hardwood not Treated)Moderate</t>
  </si>
  <si>
    <t>3DTimber (Hardwood not Treated)Moderate</t>
  </si>
  <si>
    <t>3ETimber (Hardwood not Treated)Moderate</t>
  </si>
  <si>
    <t>3CTimber (Hardwood not Treated)Severe</t>
  </si>
  <si>
    <t>N/ATimber (Hardwood not Treated)Severe</t>
  </si>
  <si>
    <t>3DTimber (Hardwood not Treated)Severe</t>
  </si>
  <si>
    <t>3ETimber (Hardwood not Treated)Severe</t>
  </si>
  <si>
    <t>3COther/Unknown Handrail/Parapet/Safety FenceMild</t>
  </si>
  <si>
    <t>N/AOther/Unknown Handrail/Parapet/Safety FenceMild</t>
  </si>
  <si>
    <t>3DOther/Unknown Handrail/Parapet/Safety FenceMild</t>
  </si>
  <si>
    <t>3EOther/Unknown Handrail/Parapet/Safety FenceMild</t>
  </si>
  <si>
    <t>3COther/Unknown Handrail/Parapet/Safety FenceModerate</t>
  </si>
  <si>
    <t>N/AOther/Unknown Handrail/Parapet/Safety FenceModerate</t>
  </si>
  <si>
    <t>3DOther/Unknown Handrail/Parapet/Safety FenceModerate</t>
  </si>
  <si>
    <t>3EOther/Unknown Handrail/Parapet/Safety FenceModerate</t>
  </si>
  <si>
    <t>3COther/Unknown Handrail/Parapet/Safety FenceSevere</t>
  </si>
  <si>
    <t>N/AOther/Unknown Handrail/Parapet/Safety FenceSevere</t>
  </si>
  <si>
    <t>3DOther/Unknown Handrail/Parapet/Safety FenceSevere</t>
  </si>
  <si>
    <t>3EOther/Unknown Handrail/Parapet/Safety FenceSevere</t>
  </si>
  <si>
    <t>4BConcreteMild</t>
  </si>
  <si>
    <t>4CConcreteMild</t>
  </si>
  <si>
    <t>4DConcreteMild</t>
  </si>
  <si>
    <t>4EConcreteMild</t>
  </si>
  <si>
    <t>5BConcreteMild</t>
  </si>
  <si>
    <t>5CConcreteMild</t>
  </si>
  <si>
    <t>5DConcreteMild</t>
  </si>
  <si>
    <t>5EConcreteMild</t>
  </si>
  <si>
    <t>4BConcreteModerate</t>
  </si>
  <si>
    <t>4CConcreteModerate</t>
  </si>
  <si>
    <t>4DConcreteModerate</t>
  </si>
  <si>
    <t>4EConcreteModerate</t>
  </si>
  <si>
    <t>5BConcreteModerate</t>
  </si>
  <si>
    <t>5CConcreteModerate</t>
  </si>
  <si>
    <t>5DConcreteModerate</t>
  </si>
  <si>
    <t>5EConcreteModerate</t>
  </si>
  <si>
    <t>4BConcreteSevere</t>
  </si>
  <si>
    <t>4CConcreteSevere</t>
  </si>
  <si>
    <t>4DConcreteSevere</t>
  </si>
  <si>
    <t>4EConcreteSevere</t>
  </si>
  <si>
    <t>5BConcreteSevere</t>
  </si>
  <si>
    <t>5CConcreteSevere</t>
  </si>
  <si>
    <t>5DConcreteSevere</t>
  </si>
  <si>
    <t>5EConcreteSevere</t>
  </si>
  <si>
    <t>4BSteelMild</t>
  </si>
  <si>
    <t>4CSteelMild</t>
  </si>
  <si>
    <t>4DSteelMild</t>
  </si>
  <si>
    <t>4ESteelMild</t>
  </si>
  <si>
    <t>5BSteelMild</t>
  </si>
  <si>
    <t>5CSteelMild</t>
  </si>
  <si>
    <t>5DSteelMild</t>
  </si>
  <si>
    <t>5ESteelMild</t>
  </si>
  <si>
    <t>4BSteelModerate</t>
  </si>
  <si>
    <t>4CSteelModerate</t>
  </si>
  <si>
    <t>4DSteelModerate</t>
  </si>
  <si>
    <t>4ESteelModerate</t>
  </si>
  <si>
    <t>5BSteelModerate</t>
  </si>
  <si>
    <t>5CSteelModerate</t>
  </si>
  <si>
    <t>5DSteelModerate</t>
  </si>
  <si>
    <t>5ESteelModerate</t>
  </si>
  <si>
    <t>4BSteelSevere</t>
  </si>
  <si>
    <t>4CSteelSevere</t>
  </si>
  <si>
    <t>4DSteelSevere</t>
  </si>
  <si>
    <t>4ESteelSevere</t>
  </si>
  <si>
    <t>5BSteelSevere</t>
  </si>
  <si>
    <t>5CSteelSevere</t>
  </si>
  <si>
    <t>5DSteelSevere</t>
  </si>
  <si>
    <t>5ESteelSevere</t>
  </si>
  <si>
    <t>4BAluminiumMild</t>
  </si>
  <si>
    <t>4CAluminiumMild</t>
  </si>
  <si>
    <t>4DAluminiumMild</t>
  </si>
  <si>
    <t>4EAluminiumMild</t>
  </si>
  <si>
    <t>5BAluminiumMild</t>
  </si>
  <si>
    <t>5CAluminiumMild</t>
  </si>
  <si>
    <t>5DAluminiumMild</t>
  </si>
  <si>
    <t>5EAluminiumMild</t>
  </si>
  <si>
    <t>4BAluminiumModerate</t>
  </si>
  <si>
    <t>4CAluminiumModerate</t>
  </si>
  <si>
    <t>4DAluminiumModerate</t>
  </si>
  <si>
    <t>4EAluminiumModerate</t>
  </si>
  <si>
    <t>5BAluminiumModerate</t>
  </si>
  <si>
    <t>5CAluminiumModerate</t>
  </si>
  <si>
    <t>5DAluminiumModerate</t>
  </si>
  <si>
    <t>5EAluminiumModerate</t>
  </si>
  <si>
    <t>4BAluminiumSevere</t>
  </si>
  <si>
    <t>4CAluminiumSevere</t>
  </si>
  <si>
    <t>4DAluminiumSevere</t>
  </si>
  <si>
    <t>4EAluminiumSevere</t>
  </si>
  <si>
    <t>5BAluminiumSevere</t>
  </si>
  <si>
    <t>5CAluminiumSevere</t>
  </si>
  <si>
    <t>5DAluminiumSevere</t>
  </si>
  <si>
    <t>5EAluminiumSevere</t>
  </si>
  <si>
    <t>4BMasonryMild</t>
  </si>
  <si>
    <t>4CMasonryMild</t>
  </si>
  <si>
    <t>4DMasonryMild</t>
  </si>
  <si>
    <t>4EMasonryMild</t>
  </si>
  <si>
    <t>5BMasonryMild</t>
  </si>
  <si>
    <t>5CMasonryMild</t>
  </si>
  <si>
    <t>5DMasonryMild</t>
  </si>
  <si>
    <t>5EMasonryMild</t>
  </si>
  <si>
    <t>4BMasonryModerate</t>
  </si>
  <si>
    <t>4CMasonryModerate</t>
  </si>
  <si>
    <t>4DMasonryModerate</t>
  </si>
  <si>
    <t>4EMasonryModerate</t>
  </si>
  <si>
    <t>5BMasonryModerate</t>
  </si>
  <si>
    <t>5CMasonryModerate</t>
  </si>
  <si>
    <t>5DMasonryModerate</t>
  </si>
  <si>
    <t>5EMasonryModerate</t>
  </si>
  <si>
    <t>4BMasonrySevere</t>
  </si>
  <si>
    <t>4CMasonrySevere</t>
  </si>
  <si>
    <t>4DMasonrySevere</t>
  </si>
  <si>
    <t>4EMasonrySevere</t>
  </si>
  <si>
    <t>5BMasonrySevere</t>
  </si>
  <si>
    <t>5CMasonrySevere</t>
  </si>
  <si>
    <t>5DMasonrySevere</t>
  </si>
  <si>
    <t>5EMasonrySevere</t>
  </si>
  <si>
    <t>4BTimber (Hardwood not Treated)Mild</t>
  </si>
  <si>
    <t>4CTimber (Hardwood not Treated)Mild</t>
  </si>
  <si>
    <t>4DTimber (Hardwood not Treated)Mild</t>
  </si>
  <si>
    <t>4ETimber (Hardwood not Treated)Mild</t>
  </si>
  <si>
    <t>5BTimber (Hardwood not Treated)Mild</t>
  </si>
  <si>
    <t>5CTimber (Hardwood not Treated)Mild</t>
  </si>
  <si>
    <t>5DTimber (Hardwood not Treated)Mild</t>
  </si>
  <si>
    <t>5ETimber (Hardwood not Treated)Mild</t>
  </si>
  <si>
    <t>4BTimber (Hardwood not Treated)Moderate</t>
  </si>
  <si>
    <t>4CTimber (Hardwood not Treated)Moderate</t>
  </si>
  <si>
    <t>4DTimber (Hardwood not Treated)Moderate</t>
  </si>
  <si>
    <t>4ETimber (Hardwood not Treated)Moderate</t>
  </si>
  <si>
    <t>5BTimber (Hardwood not Treated)Moderate</t>
  </si>
  <si>
    <t>5CTimber (Hardwood not Treated)Moderate</t>
  </si>
  <si>
    <t>5DTimber (Hardwood not Treated)Moderate</t>
  </si>
  <si>
    <t>5ETimber (Hardwood not Treated)Moderate</t>
  </si>
  <si>
    <t>4BTimber (Hardwood not Treated)Severe</t>
  </si>
  <si>
    <t>4CTimber (Hardwood not Treated)Severe</t>
  </si>
  <si>
    <t>4DTimber (Hardwood not Treated)Severe</t>
  </si>
  <si>
    <t>4ETimber (Hardwood not Treated)Severe</t>
  </si>
  <si>
    <t>5BTimber (Hardwood not Treated)Severe</t>
  </si>
  <si>
    <t>5CTimber (Hardwood not Treated)Severe</t>
  </si>
  <si>
    <t>5DTimber (Hardwood not Treated)Severe</t>
  </si>
  <si>
    <t>5ETimber (Hardwood not Treated)Severe</t>
  </si>
  <si>
    <t>4BOther/Unknown Handrail/Parapet/Safety FenceMild</t>
  </si>
  <si>
    <t>4COther/Unknown Handrail/Parapet/Safety FenceMild</t>
  </si>
  <si>
    <t>4DOther/Unknown Handrail/Parapet/Safety FenceMild</t>
  </si>
  <si>
    <t>4EOther/Unknown Handrail/Parapet/Safety FenceMild</t>
  </si>
  <si>
    <t>5BOther/Unknown Handrail/Parapet/Safety FenceMild</t>
  </si>
  <si>
    <t>5COther/Unknown Handrail/Parapet/Safety FenceMild</t>
  </si>
  <si>
    <t>5DOther/Unknown Handrail/Parapet/Safety FenceMild</t>
  </si>
  <si>
    <t>5EOther/Unknown Handrail/Parapet/Safety FenceMild</t>
  </si>
  <si>
    <t>4BOther/Unknown Handrail/Parapet/Safety FenceModerate</t>
  </si>
  <si>
    <t>4COther/Unknown Handrail/Parapet/Safety FenceModerate</t>
  </si>
  <si>
    <t>4DOther/Unknown Handrail/Parapet/Safety FenceModerate</t>
  </si>
  <si>
    <t>4EOther/Unknown Handrail/Parapet/Safety FenceModerate</t>
  </si>
  <si>
    <t>5BOther/Unknown Handrail/Parapet/Safety FenceModerate</t>
  </si>
  <si>
    <t>5COther/Unknown Handrail/Parapet/Safety FenceModerate</t>
  </si>
  <si>
    <t>5DOther/Unknown Handrail/Parapet/Safety FenceModerate</t>
  </si>
  <si>
    <t>5EOther/Unknown Handrail/Parapet/Safety FenceModerate</t>
  </si>
  <si>
    <t>4BOther/Unknown Handrail/Parapet/Safety FenceSevere</t>
  </si>
  <si>
    <t>4COther/Unknown Handrail/Parapet/Safety FenceSevere</t>
  </si>
  <si>
    <t>4DOther/Unknown Handrail/Parapet/Safety FenceSevere</t>
  </si>
  <si>
    <t>4EOther/Unknown Handrail/Parapet/Safety FenceSevere</t>
  </si>
  <si>
    <t>5BOther/Unknown Handrail/Parapet/Safety FenceSevere</t>
  </si>
  <si>
    <t>5COther/Unknown Handrail/Parapet/Safety FenceSevere</t>
  </si>
  <si>
    <t>5DOther/Unknown Handrail/Parapet/Safety FenceSevere</t>
  </si>
  <si>
    <t>5EOther/Unknown Handrail/Parapet/Safety FenceSevere</t>
  </si>
  <si>
    <t>3CMastic Asphalt</t>
  </si>
  <si>
    <t>N/AMastic Asphalt</t>
  </si>
  <si>
    <t>3DMastic Asphalt</t>
  </si>
  <si>
    <t>3EMastic Asphalt</t>
  </si>
  <si>
    <t>4BMastic Asphalt</t>
  </si>
  <si>
    <t>4CMastic Asphalt</t>
  </si>
  <si>
    <t>4DMastic Asphalt</t>
  </si>
  <si>
    <t>4EMastic Asphalt</t>
  </si>
  <si>
    <t>5BMastic Asphalt</t>
  </si>
  <si>
    <t>5CMastic Asphalt</t>
  </si>
  <si>
    <t>5DMastic Asphalt</t>
  </si>
  <si>
    <t>5EMastic Asphalt</t>
  </si>
  <si>
    <t>3CBoarded Systems</t>
  </si>
  <si>
    <t>N/ABoarded Systems</t>
  </si>
  <si>
    <t>3DBoarded Systems</t>
  </si>
  <si>
    <t>3EBoarded Systems</t>
  </si>
  <si>
    <t>4BBoarded Systems</t>
  </si>
  <si>
    <t>4CBoarded Systems</t>
  </si>
  <si>
    <t>4DBoarded Systems</t>
  </si>
  <si>
    <t>4EBoarded Systems</t>
  </si>
  <si>
    <t>5BBoarded Systems</t>
  </si>
  <si>
    <t>5CBoarded Systems</t>
  </si>
  <si>
    <t>5DBoarded Systems</t>
  </si>
  <si>
    <t>5EBoarded Systems</t>
  </si>
  <si>
    <t>3CSheet Systems</t>
  </si>
  <si>
    <t>N/ASheet Systems</t>
  </si>
  <si>
    <t>3DSheet Systems</t>
  </si>
  <si>
    <t>3ESheet Systems</t>
  </si>
  <si>
    <t>4BSheet Systems</t>
  </si>
  <si>
    <t>4CSheet Systems</t>
  </si>
  <si>
    <t>4DSheet Systems</t>
  </si>
  <si>
    <t>4ESheet Systems</t>
  </si>
  <si>
    <t>5BSheet Systems</t>
  </si>
  <si>
    <t>5CSheet Systems</t>
  </si>
  <si>
    <t>5DSheet Systems</t>
  </si>
  <si>
    <t>5ESheet Systems</t>
  </si>
  <si>
    <t>3CSpray Systems</t>
  </si>
  <si>
    <t>N/ASpray Systems</t>
  </si>
  <si>
    <t>3DSpray Systems</t>
  </si>
  <si>
    <t>3ESpray Systems</t>
  </si>
  <si>
    <t>4BSpray Systems</t>
  </si>
  <si>
    <t>4CSpray Systems</t>
  </si>
  <si>
    <t>4DSpray Systems</t>
  </si>
  <si>
    <t>4ESpray Systems</t>
  </si>
  <si>
    <t>5BSpray Systems</t>
  </si>
  <si>
    <t>5CSpray Systems</t>
  </si>
  <si>
    <t>5DSpray Systems</t>
  </si>
  <si>
    <t>5ESpray Systems</t>
  </si>
  <si>
    <t>3COther/Unknown Waterproofing</t>
  </si>
  <si>
    <t>N/AOther/Unknown Waterproofing</t>
  </si>
  <si>
    <t>3DOther/Unknown Waterproofing</t>
  </si>
  <si>
    <t>3EOther/Unknown Waterproofing</t>
  </si>
  <si>
    <t>4BOther/Unknown Waterproofing</t>
  </si>
  <si>
    <t>4COther/Unknown Waterproofing</t>
  </si>
  <si>
    <t>4DOther/Unknown Waterproofing</t>
  </si>
  <si>
    <t>4EOther/Unknown Waterproofing</t>
  </si>
  <si>
    <t>5BOther/Unknown Waterproofing</t>
  </si>
  <si>
    <t>5COther/Unknown Waterproofing</t>
  </si>
  <si>
    <t>5DOther/Unknown Waterproofing</t>
  </si>
  <si>
    <t>5EOther/Unknown Waterproofing</t>
  </si>
  <si>
    <t>2CCantilever Road SignMild</t>
  </si>
  <si>
    <t>N/ACantilever Road SignMild</t>
  </si>
  <si>
    <t>2DCantilever Road SignMild</t>
  </si>
  <si>
    <t>2ECantilever Road SignMild</t>
  </si>
  <si>
    <t>3BCantilever Road SignMild</t>
  </si>
  <si>
    <t>3CCantilever Road SignMild</t>
  </si>
  <si>
    <t>3DCantilever Road SignMild</t>
  </si>
  <si>
    <t>3ECantilever Road SignMild</t>
  </si>
  <si>
    <t>2CCantilever Road SignModerate</t>
  </si>
  <si>
    <t>N/ACantilever Road SignModerate</t>
  </si>
  <si>
    <t>2DCantilever Road SignModerate</t>
  </si>
  <si>
    <t>2ECantilever Road SignModerate</t>
  </si>
  <si>
    <t>3BCantilever Road SignModerate</t>
  </si>
  <si>
    <t>3CCantilever Road SignModerate</t>
  </si>
  <si>
    <t>3DCantilever Road SignModerate</t>
  </si>
  <si>
    <t>3ECantilever Road SignModerate</t>
  </si>
  <si>
    <t>2CCantilever Road SignSevere</t>
  </si>
  <si>
    <t>N/ACantilever Road SignSevere</t>
  </si>
  <si>
    <t>2DCantilever Road SignSevere</t>
  </si>
  <si>
    <t>2ECantilever Road SignSevere</t>
  </si>
  <si>
    <t>3BCantilever Road SignSevere</t>
  </si>
  <si>
    <t>3CCantilever Road SignSevere</t>
  </si>
  <si>
    <t>3DCantilever Road SignSevere</t>
  </si>
  <si>
    <t>3ECantilever Road SignSevere</t>
  </si>
  <si>
    <t>4BCantilever Road SignMild</t>
  </si>
  <si>
    <t>4CCantilever Road SignMild</t>
  </si>
  <si>
    <t>4DCantilever Road SignMild</t>
  </si>
  <si>
    <t>4ECantilever Road SignMild</t>
  </si>
  <si>
    <t>5BCantilever Road SignMild</t>
  </si>
  <si>
    <t>5CCantilever Road SignMild</t>
  </si>
  <si>
    <t>5DCantilever Road SignMild</t>
  </si>
  <si>
    <t>5ECantilever Road SignMild</t>
  </si>
  <si>
    <t>4BCantilever Road SignModerate</t>
  </si>
  <si>
    <t>4CCantilever Road SignModerate</t>
  </si>
  <si>
    <t>4DCantilever Road SignModerate</t>
  </si>
  <si>
    <t>4ECantilever Road SignModerate</t>
  </si>
  <si>
    <t>5BCantilever Road SignModerate</t>
  </si>
  <si>
    <t>5CCantilever Road SignModerate</t>
  </si>
  <si>
    <t>5DCantilever Road SignModerate</t>
  </si>
  <si>
    <t>5ECantilever Road SignModerate</t>
  </si>
  <si>
    <t>4BCantilever Road SignSevere</t>
  </si>
  <si>
    <t>4CCantilever Road SignSevere</t>
  </si>
  <si>
    <t>4DCantilever Road SignSevere</t>
  </si>
  <si>
    <t>4ECantilever Road SignSevere</t>
  </si>
  <si>
    <t>5BCantilever Road SignSevere</t>
  </si>
  <si>
    <t>5CCantilever Road SignSevere</t>
  </si>
  <si>
    <t>5DCantilever Road SignSevere</t>
  </si>
  <si>
    <t>5ECantilever Road SignSevere</t>
  </si>
  <si>
    <t>2CHigh Mast LightingMild</t>
  </si>
  <si>
    <t>N/AHigh Mast LightingMild</t>
  </si>
  <si>
    <t>2DHigh Mast LightingMild</t>
  </si>
  <si>
    <t>2EHigh Mast LightingMild</t>
  </si>
  <si>
    <t>3BHigh Mast LightingMild</t>
  </si>
  <si>
    <t>3CHigh Mast LightingMild</t>
  </si>
  <si>
    <t>3DHigh Mast LightingMild</t>
  </si>
  <si>
    <t>3EHigh Mast LightingMild</t>
  </si>
  <si>
    <t>2CHigh Mast LightingModerate</t>
  </si>
  <si>
    <t>N/AHigh Mast LightingModerate</t>
  </si>
  <si>
    <t>2DHigh Mast LightingModerate</t>
  </si>
  <si>
    <t>2EHigh Mast LightingModerate</t>
  </si>
  <si>
    <t>3BHigh Mast LightingModerate</t>
  </si>
  <si>
    <t>3CHigh Mast LightingModerate</t>
  </si>
  <si>
    <t>3DHigh Mast LightingModerate</t>
  </si>
  <si>
    <t>3EHigh Mast LightingModerate</t>
  </si>
  <si>
    <t>2CHigh Mast LightingSevere</t>
  </si>
  <si>
    <t>N/AHigh Mast LightingSevere</t>
  </si>
  <si>
    <t>2DHigh Mast LightingSevere</t>
  </si>
  <si>
    <t>2EHigh Mast LightingSevere</t>
  </si>
  <si>
    <t>3BHigh Mast LightingSevere</t>
  </si>
  <si>
    <t>3CHigh Mast LightingSevere</t>
  </si>
  <si>
    <t>3DHigh Mast LightingSevere</t>
  </si>
  <si>
    <t>3EHigh Mast LightingSevere</t>
  </si>
  <si>
    <t>2CSign/Signal GantryMild</t>
  </si>
  <si>
    <t>N/ASign/Signal GantryMild</t>
  </si>
  <si>
    <t>2DSign/Signal GantryMild</t>
  </si>
  <si>
    <t>2ESign/Signal GantryMild</t>
  </si>
  <si>
    <t>3BSign/Signal GantryMild</t>
  </si>
  <si>
    <t>3CSign/Signal GantryMild</t>
  </si>
  <si>
    <t>3DSign/Signal GantryMild</t>
  </si>
  <si>
    <t>3ESign/Signal GantryMild</t>
  </si>
  <si>
    <t>2CSign/Signal GantryModerate</t>
  </si>
  <si>
    <t>N/ASign/Signal GantryModerate</t>
  </si>
  <si>
    <t>2DSign/Signal GantryModerate</t>
  </si>
  <si>
    <t>2ESign/Signal GantryModerate</t>
  </si>
  <si>
    <t>3BSign/Signal GantryModerate</t>
  </si>
  <si>
    <t>3CSign/Signal GantryModerate</t>
  </si>
  <si>
    <t>3DSign/Signal GantryModerate</t>
  </si>
  <si>
    <t>3ESign/Signal GantryModerate</t>
  </si>
  <si>
    <t>2CSign/Signal GantrySevere</t>
  </si>
  <si>
    <t>N/ASign/Signal GantrySevere</t>
  </si>
  <si>
    <t>2DSign/Signal GantrySevere</t>
  </si>
  <si>
    <t>2ESign/Signal GantrySevere</t>
  </si>
  <si>
    <t>3BSign/Signal GantrySevere</t>
  </si>
  <si>
    <t>3CSign/Signal GantrySevere</t>
  </si>
  <si>
    <t>3DSign/Signal GantrySevere</t>
  </si>
  <si>
    <t>3ESign/Signal GantrySevere</t>
  </si>
  <si>
    <t>4BHigh Mast LightingMild</t>
  </si>
  <si>
    <t>4CHigh Mast LightingMild</t>
  </si>
  <si>
    <t>4DHigh Mast LightingMild</t>
  </si>
  <si>
    <t>4EHigh Mast LightingMild</t>
  </si>
  <si>
    <t>5BHigh Mast LightingMild</t>
  </si>
  <si>
    <t>5CHigh Mast LightingMild</t>
  </si>
  <si>
    <t>5DHigh Mast LightingMild</t>
  </si>
  <si>
    <t>5EHigh Mast LightingMild</t>
  </si>
  <si>
    <t>4BHigh Mast LightingModerate</t>
  </si>
  <si>
    <t>4CHigh Mast LightingModerate</t>
  </si>
  <si>
    <t>4DHigh Mast LightingModerate</t>
  </si>
  <si>
    <t>4EHigh Mast LightingModerate</t>
  </si>
  <si>
    <t>5BHigh Mast LightingModerate</t>
  </si>
  <si>
    <t>5CHigh Mast LightingModerate</t>
  </si>
  <si>
    <t>5DHigh Mast LightingModerate</t>
  </si>
  <si>
    <t>5EHigh Mast LightingModerate</t>
  </si>
  <si>
    <t>4BHigh Mast LightingSevere</t>
  </si>
  <si>
    <t>4CHigh Mast LightingSevere</t>
  </si>
  <si>
    <t>4DHigh Mast LightingSevere</t>
  </si>
  <si>
    <t>4EHigh Mast LightingSevere</t>
  </si>
  <si>
    <t>5BHigh Mast LightingSevere</t>
  </si>
  <si>
    <t>5CHigh Mast LightingSevere</t>
  </si>
  <si>
    <t>5DHigh Mast LightingSevere</t>
  </si>
  <si>
    <t>5EHigh Mast LightingSevere</t>
  </si>
  <si>
    <t>4BSign/Signal GantryMild</t>
  </si>
  <si>
    <t>4CSign/Signal GantryMild</t>
  </si>
  <si>
    <t>4DSign/Signal GantryMild</t>
  </si>
  <si>
    <t>4ESign/Signal GantryMild</t>
  </si>
  <si>
    <t>5BSign/Signal GantryMild</t>
  </si>
  <si>
    <t>5CSign/Signal GantryMild</t>
  </si>
  <si>
    <t>5DSign/Signal GantryMild</t>
  </si>
  <si>
    <t>5ESign/Signal GantryMild</t>
  </si>
  <si>
    <t>4BSign/Signal GantryModerate</t>
  </si>
  <si>
    <t>4CSign/Signal GantryModerate</t>
  </si>
  <si>
    <t>4DSign/Signal GantryModerate</t>
  </si>
  <si>
    <t>4ESign/Signal GantryModerate</t>
  </si>
  <si>
    <t>5BSign/Signal GantryModerate</t>
  </si>
  <si>
    <t>5CSign/Signal GantryModerate</t>
  </si>
  <si>
    <t>5DSign/Signal GantryModerate</t>
  </si>
  <si>
    <t>5ESign/Signal GantryModerate</t>
  </si>
  <si>
    <t>4BSign/Signal GantrySevere</t>
  </si>
  <si>
    <t>4CSign/Signal GantrySevere</t>
  </si>
  <si>
    <t>4DSign/Signal GantrySevere</t>
  </si>
  <si>
    <t>4ESign/Signal GantrySevere</t>
  </si>
  <si>
    <t>5BSign/Signal GantrySevere</t>
  </si>
  <si>
    <t>5CSign/Signal GantrySevere</t>
  </si>
  <si>
    <t>5DSign/Signal GantrySevere</t>
  </si>
  <si>
    <t>5ESign/Signal GantrySevere</t>
  </si>
  <si>
    <t>3CFoundation material</t>
  </si>
  <si>
    <t>N/AFoundation material</t>
  </si>
  <si>
    <t>3DFoundation material</t>
  </si>
  <si>
    <t>3EFoundation material</t>
  </si>
  <si>
    <t>4BFoundation material</t>
  </si>
  <si>
    <t>4CFoundation material</t>
  </si>
  <si>
    <t>4DFoundation material</t>
  </si>
  <si>
    <t>4EFoundation material</t>
  </si>
  <si>
    <t>5BFoundation material</t>
  </si>
  <si>
    <t>5CFoundation material</t>
  </si>
  <si>
    <t>5DFoundation material</t>
  </si>
  <si>
    <t>5EFoundation material</t>
  </si>
  <si>
    <t>3CCarriageway surfacingMild</t>
  </si>
  <si>
    <t>N/ACarriageway surfacingMild</t>
  </si>
  <si>
    <t>3DCarriageway surfacingMild</t>
  </si>
  <si>
    <t>3ECarriageway surfacingMild</t>
  </si>
  <si>
    <t>4BCarriageway surfacingMild</t>
  </si>
  <si>
    <t>4CCarriageway surfacingMild</t>
  </si>
  <si>
    <t>4DCarriageway surfacingMild</t>
  </si>
  <si>
    <t>4ECarriageway surfacingMild</t>
  </si>
  <si>
    <t>5BCarriageway surfacingMild</t>
  </si>
  <si>
    <t>5CCarriageway surfacingMild</t>
  </si>
  <si>
    <t>5DCarriageway surfacingMild</t>
  </si>
  <si>
    <t>5ECarriageway surfacingMild</t>
  </si>
  <si>
    <t>3CCarriageway surfacingModerate</t>
  </si>
  <si>
    <t>N/ACarriageway surfacingModerate</t>
  </si>
  <si>
    <t>3DCarriageway surfacingModerate</t>
  </si>
  <si>
    <t>3ECarriageway surfacingModerate</t>
  </si>
  <si>
    <t>4BCarriageway surfacingModerate</t>
  </si>
  <si>
    <t>4CCarriageway surfacingModerate</t>
  </si>
  <si>
    <t>4DCarriageway surfacingModerate</t>
  </si>
  <si>
    <t>4ECarriageway surfacingModerate</t>
  </si>
  <si>
    <t>5BCarriageway surfacingModerate</t>
  </si>
  <si>
    <t>5CCarriageway surfacingModerate</t>
  </si>
  <si>
    <t>5DCarriageway surfacingModerate</t>
  </si>
  <si>
    <t>5ECarriageway surfacingModerate</t>
  </si>
  <si>
    <t>3CCarriageway surfacingSevere</t>
  </si>
  <si>
    <t>N/ACarriageway surfacingSevere</t>
  </si>
  <si>
    <t>3DCarriageway surfacingSevere</t>
  </si>
  <si>
    <t>3ECarriageway surfacingSevere</t>
  </si>
  <si>
    <t>4BCarriageway surfacingSevere</t>
  </si>
  <si>
    <t>4CCarriageway surfacingSevere</t>
  </si>
  <si>
    <t>4DCarriageway surfacingSevere</t>
  </si>
  <si>
    <t>4ECarriageway surfacingSevere</t>
  </si>
  <si>
    <t>5BCarriageway surfacingSevere</t>
  </si>
  <si>
    <t>5CCarriageway surfacingSevere</t>
  </si>
  <si>
    <t>5DCarriageway surfacingSevere</t>
  </si>
  <si>
    <t>5ECarriageway surfacingSevere</t>
  </si>
  <si>
    <t>3CFootway surfacingMild</t>
  </si>
  <si>
    <t>N/AFootway surfacingMild</t>
  </si>
  <si>
    <t>3DFootway surfacingMild</t>
  </si>
  <si>
    <t>3EFootway surfacingMild</t>
  </si>
  <si>
    <t>4BFootway surfacingMild</t>
  </si>
  <si>
    <t>4CFootway surfacingMild</t>
  </si>
  <si>
    <t>4DFootway surfacingMild</t>
  </si>
  <si>
    <t>4EFootway surfacingMild</t>
  </si>
  <si>
    <t>5BFootway surfacingMild</t>
  </si>
  <si>
    <t>5CFootway surfacingMild</t>
  </si>
  <si>
    <t>5DFootway surfacingMild</t>
  </si>
  <si>
    <t>5EFootway surfacingMild</t>
  </si>
  <si>
    <t>3CFootway surfacingModerate</t>
  </si>
  <si>
    <t>N/AFootway surfacingModerate</t>
  </si>
  <si>
    <t>3DFootway surfacingModerate</t>
  </si>
  <si>
    <t>3EFootway surfacingModerate</t>
  </si>
  <si>
    <t>4BFootway surfacingModerate</t>
  </si>
  <si>
    <t>4CFootway surfacingModerate</t>
  </si>
  <si>
    <t>4DFootway surfacingModerate</t>
  </si>
  <si>
    <t>4EFootway surfacingModerate</t>
  </si>
  <si>
    <t>5BFootway surfacingModerate</t>
  </si>
  <si>
    <t>5CFootway surfacingModerate</t>
  </si>
  <si>
    <t>5DFootway surfacingModerate</t>
  </si>
  <si>
    <t>5EFootway surfacingModerate</t>
  </si>
  <si>
    <t>3CFootway surfacingSevere</t>
  </si>
  <si>
    <t>N/AFootway surfacingSevere</t>
  </si>
  <si>
    <t>3DFootway surfacingSevere</t>
  </si>
  <si>
    <t>3EFootway surfacingSevere</t>
  </si>
  <si>
    <t>4BFootway surfacingSevere</t>
  </si>
  <si>
    <t>4CFootway surfacingSevere</t>
  </si>
  <si>
    <t>4DFootway surfacingSevere</t>
  </si>
  <si>
    <t>4EFootway surfacingSevere</t>
  </si>
  <si>
    <t>5BFootway surfacingSevere</t>
  </si>
  <si>
    <t>5CFootway surfacingSevere</t>
  </si>
  <si>
    <t>5DFootway surfacingSevere</t>
  </si>
  <si>
    <t>5EFootway surfacingSevere</t>
  </si>
  <si>
    <t>The maintenance action is not recognised.</t>
  </si>
  <si>
    <t>(blank)</t>
  </si>
  <si>
    <t>Additional factor applied to individual component/material types to modify the Mean Time To Failure:</t>
  </si>
  <si>
    <t>Global factor applied to all component/material types to modify the Mean Time to Failure (from Main Page)</t>
  </si>
  <si>
    <t>SAVI v1.04</t>
  </si>
  <si>
    <t>20/21 Indexation, various updates!</t>
  </si>
  <si>
    <t>SAVI v1.05</t>
  </si>
  <si>
    <t>SAMPT/SAVI Version</t>
  </si>
  <si>
    <t>SAMPT v1.01</t>
  </si>
  <si>
    <t>SAMPT v1.02</t>
  </si>
  <si>
    <t>SAMPT v1.03</t>
  </si>
  <si>
    <t>SAMPT v2.01</t>
  </si>
  <si>
    <t>SAMPT v3.05</t>
  </si>
  <si>
    <t>SAMPT v3.06</t>
  </si>
  <si>
    <t>SAMPT v3.07</t>
  </si>
  <si>
    <t>SAMPT v3.08, SAVI v1.00</t>
  </si>
  <si>
    <t>21/22 Indexation</t>
  </si>
  <si>
    <t>2023/24</t>
  </si>
  <si>
    <t>2024/25</t>
  </si>
  <si>
    <t>SAVI v1.06</t>
  </si>
  <si>
    <t>CHECK: ID/data</t>
  </si>
  <si>
    <t>22/23 Indexation</t>
  </si>
  <si>
    <t>1.07b</t>
  </si>
  <si>
    <t>Fix bugs in error checking and lookups</t>
  </si>
  <si>
    <t>SAVI v1.08</t>
  </si>
  <si>
    <t>Indexation 2023-24</t>
  </si>
  <si>
    <t>SAVI v1.09</t>
  </si>
  <si>
    <t>Please define the values on Ref 15</t>
  </si>
  <si>
    <t>Indexation 2024-25</t>
  </si>
  <si>
    <t>(Priority Adjustment Factor 1)</t>
  </si>
  <si>
    <t>2025/26</t>
  </si>
  <si>
    <t>SAVI v1.10</t>
  </si>
  <si>
    <t>Indexation 2025-26</t>
  </si>
  <si>
    <t>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</si>
</sst>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quot;£&quot;#,##0\)"/>
    <numFmt numFmtId="165" formatCode="_(&quot;£&quot;* #,##0.00_);_(&quot;£&quot;* \(#,##0.00\);_(&quot;£&quot;* &quot;-&quot;??_);_(@_)"/>
    <numFmt numFmtId="166" formatCode="_(* #,##0.00_);_(* \(#,##0.00\);_(* &quot;-&quot;??_);_(@_)"/>
    <numFmt numFmtId="167" formatCode="&quot;£&quot;#,##0"/>
    <numFmt numFmtId="168" formatCode="0.0%"/>
    <numFmt numFmtId="169" formatCode="0.0"/>
    <numFmt numFmtId="170" formatCode="dd\-mmm\-yyyy\ \ \ hh:mm"/>
    <numFmt numFmtId="171" formatCode="#,##0.0"/>
    <numFmt numFmtId="172" formatCode="0.000"/>
    <numFmt numFmtId="173" formatCode="#,##0.0000"/>
    <numFmt numFmtId="174" formatCode="0.0000"/>
    <numFmt numFmtId="175" formatCode="_-* #,##0_-;\-* #,##0_-;_-* &quot;-&quot;??_-;_-@_-"/>
    <numFmt numFmtId="176" formatCode="_-[$£-809]* #,##0_-;\-[$£-809]* #,##0_-;_-[$£-809]* &quot;-&quot;??_-;_-@_-"/>
    <numFmt numFmtId="177" formatCode="_-&quot;£&quot;* #,##0_-;\-&quot;£&quot;* #,##0_-;_-&quot;£&quot;* &quot;-&quot;??_-;_-@_-"/>
    <numFmt numFmtId="178" formatCode="_-[$£-809]* #,##0.00_-;\-[$£-809]* #,##0.00_-;_-[$£-809]* &quot;-&quot;??_-;_-@_-"/>
    <numFmt numFmtId="179" formatCode="&quot;£&quot;#,##0.00"/>
    <numFmt numFmtId="180" formatCode="_(&quot;£&quot;* #,##0_);_(&quot;£&quot;* \(#,##0\);_(&quot;£&quot;* &quot;-&quot;??_);_(@_)"/>
    <numFmt numFmtId="181" formatCode="[$-809]dd\ mmmm\ yyyy;@"/>
  </numFmts>
  <fonts count="91"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1"/>
      <color theme="1"/>
      <name val="Calibri"/>
      <family val="2"/>
      <scheme val="minor"/>
    </font>
    <font>
      <sz val="11"/>
      <color rgb="FF006100"/>
      <name val="Calibri"/>
      <family val="2"/>
      <scheme val="minor"/>
    </font>
    <font>
      <sz val="11"/>
      <color rgb="FF3F3F76"/>
      <name val="Calibri"/>
      <family val="2"/>
      <scheme val="minor"/>
    </font>
    <font>
      <b/>
      <sz val="11"/>
      <color theme="0"/>
      <name val="Calibri"/>
      <family val="2"/>
      <scheme val="minor"/>
    </font>
    <font>
      <sz val="11"/>
      <color theme="0"/>
      <name val="Calibri"/>
      <family val="2"/>
      <scheme val="minor"/>
    </font>
    <font>
      <sz val="10"/>
      <name val="Arial"/>
      <family val="2"/>
    </font>
    <font>
      <b/>
      <sz val="10"/>
      <name val="Arial"/>
      <family val="2"/>
    </font>
    <font>
      <sz val="10"/>
      <color rgb="FFFF0000"/>
      <name val="Arial"/>
      <family val="2"/>
    </font>
    <font>
      <b/>
      <sz val="10"/>
      <name val="Symbol"/>
      <family val="1"/>
      <charset val="2"/>
    </font>
    <font>
      <sz val="11"/>
      <color rgb="FF9C0006"/>
      <name val="Calibri"/>
      <family val="2"/>
      <scheme val="minor"/>
    </font>
    <font>
      <sz val="11"/>
      <color rgb="FFFF0000"/>
      <name val="Calibri"/>
      <family val="2"/>
      <scheme val="minor"/>
    </font>
    <font>
      <sz val="10"/>
      <color rgb="FFFA7D00"/>
      <name val="Arial"/>
      <family val="2"/>
    </font>
    <font>
      <sz val="10"/>
      <color theme="0"/>
      <name val="Arial"/>
      <family val="2"/>
    </font>
    <font>
      <b/>
      <sz val="1"/>
      <name val="Arial"/>
      <family val="2"/>
    </font>
    <font>
      <b/>
      <i/>
      <sz val="1"/>
      <name val="Arial"/>
      <family val="2"/>
    </font>
    <font>
      <b/>
      <sz val="11"/>
      <color theme="1"/>
      <name val="Calibri"/>
      <family val="2"/>
      <scheme val="minor"/>
    </font>
    <font>
      <b/>
      <sz val="10"/>
      <color theme="0"/>
      <name val="Arial"/>
      <family val="2"/>
    </font>
    <font>
      <b/>
      <sz val="11"/>
      <name val="Arial"/>
      <family val="2"/>
    </font>
    <font>
      <i/>
      <sz val="10"/>
      <name val="Arial"/>
      <family val="2"/>
    </font>
    <font>
      <sz val="10"/>
      <color theme="0" tint="-0.34998626667073579"/>
      <name val="Arial"/>
      <family val="2"/>
    </font>
    <font>
      <b/>
      <sz val="22"/>
      <color theme="0"/>
      <name val="Arial"/>
      <family val="2"/>
    </font>
    <font>
      <b/>
      <sz val="22"/>
      <name val="Arial"/>
      <family val="2"/>
    </font>
    <font>
      <sz val="9"/>
      <name val="Arial"/>
      <family val="2"/>
    </font>
    <font>
      <b/>
      <i/>
      <sz val="10"/>
      <color theme="3" tint="0.79998168889431442"/>
      <name val="Arial"/>
      <family val="2"/>
    </font>
    <font>
      <i/>
      <sz val="10"/>
      <color theme="3" tint="0.79998168889431442"/>
      <name val="Arial"/>
      <family val="2"/>
    </font>
    <font>
      <b/>
      <sz val="10"/>
      <color theme="1"/>
      <name val="Arial"/>
      <family val="2"/>
    </font>
    <font>
      <b/>
      <sz val="10"/>
      <color rgb="FFFA7D00"/>
      <name val="Arial"/>
      <family val="2"/>
    </font>
    <font>
      <b/>
      <sz val="26"/>
      <name val="Arial"/>
      <family val="2"/>
    </font>
    <font>
      <b/>
      <sz val="30"/>
      <name val="Arial"/>
      <family val="2"/>
    </font>
    <font>
      <b/>
      <sz val="32"/>
      <name val="Arial"/>
      <family val="2"/>
    </font>
    <font>
      <sz val="12"/>
      <name val="Arial"/>
      <family val="2"/>
    </font>
    <font>
      <sz val="16"/>
      <name val="Arial"/>
      <family val="2"/>
    </font>
    <font>
      <b/>
      <sz val="16"/>
      <name val="Arial"/>
      <family val="2"/>
    </font>
    <font>
      <b/>
      <sz val="28"/>
      <name val="Arial"/>
      <family val="2"/>
    </font>
    <font>
      <b/>
      <i/>
      <sz val="10"/>
      <name val="Arial"/>
      <family val="2"/>
    </font>
    <font>
      <b/>
      <sz val="15"/>
      <color theme="3"/>
      <name val="Calibri"/>
      <family val="2"/>
      <scheme val="minor"/>
    </font>
    <font>
      <b/>
      <sz val="13"/>
      <color theme="3"/>
      <name val="Calibri"/>
      <family val="2"/>
      <scheme val="minor"/>
    </font>
    <font>
      <b/>
      <sz val="11"/>
      <color theme="3"/>
      <name val="Calibri"/>
      <family val="2"/>
      <scheme val="minor"/>
    </font>
    <font>
      <b/>
      <sz val="11"/>
      <color rgb="FF3F3F3F"/>
      <name val="Calibri"/>
      <family val="2"/>
      <scheme val="minor"/>
    </font>
    <font>
      <i/>
      <sz val="11"/>
      <color rgb="FF7F7F7F"/>
      <name val="Calibri"/>
      <family val="2"/>
      <scheme val="minor"/>
    </font>
    <font>
      <b/>
      <sz val="20"/>
      <name val="Arial"/>
      <family val="2"/>
    </font>
    <font>
      <b/>
      <i/>
      <sz val="9"/>
      <name val="Arial"/>
      <family val="2"/>
    </font>
    <font>
      <sz val="4"/>
      <name val="Arial"/>
      <family val="2"/>
    </font>
    <font>
      <i/>
      <sz val="4"/>
      <name val="Arial"/>
      <family val="2"/>
    </font>
    <font>
      <sz val="10"/>
      <color rgb="FFC00000"/>
      <name val="Arial"/>
      <family val="2"/>
    </font>
    <font>
      <sz val="10"/>
      <color rgb="FF00B0F0"/>
      <name val="Calibri"/>
      <family val="2"/>
      <scheme val="minor"/>
    </font>
    <font>
      <sz val="10"/>
      <name val="Calibri"/>
      <family val="2"/>
      <scheme val="minor"/>
    </font>
    <font>
      <b/>
      <sz val="10"/>
      <name val="Calibri"/>
      <family val="2"/>
      <scheme val="minor"/>
    </font>
    <font>
      <sz val="10"/>
      <color theme="1"/>
      <name val="Calibri"/>
      <family val="2"/>
      <scheme val="minor"/>
    </font>
    <font>
      <sz val="10"/>
      <color theme="0" tint="-0.249977111117893"/>
      <name val="Calibri"/>
      <family val="2"/>
      <scheme val="minor"/>
    </font>
    <font>
      <b/>
      <sz val="10"/>
      <color theme="1"/>
      <name val="Calibri"/>
      <family val="2"/>
      <scheme val="minor"/>
    </font>
    <font>
      <b/>
      <sz val="10"/>
      <color theme="0"/>
      <name val="Calibri"/>
      <family val="2"/>
      <scheme val="minor"/>
    </font>
    <font>
      <sz val="10"/>
      <color rgb="FF006100"/>
      <name val="Calibri"/>
      <family val="2"/>
      <scheme val="minor"/>
    </font>
    <font>
      <sz val="10"/>
      <color rgb="FFFF0000"/>
      <name val="Calibri"/>
      <family val="2"/>
      <scheme val="minor"/>
    </font>
    <font>
      <sz val="10"/>
      <color theme="0"/>
      <name val="Calibri"/>
      <family val="2"/>
      <scheme val="minor"/>
    </font>
    <font>
      <sz val="10"/>
      <color rgb="FFFFC000"/>
      <name val="Calibri"/>
      <family val="2"/>
      <scheme val="minor"/>
    </font>
    <font>
      <sz val="10"/>
      <color theme="5"/>
      <name val="Calibri"/>
      <family val="2"/>
      <scheme val="minor"/>
    </font>
    <font>
      <b/>
      <i/>
      <sz val="16"/>
      <color theme="0"/>
      <name val="Arial"/>
      <family val="2"/>
    </font>
    <font>
      <b/>
      <i/>
      <sz val="16"/>
      <name val="Arial"/>
      <family val="2"/>
    </font>
    <font>
      <sz val="10"/>
      <color theme="1"/>
      <name val="Calibri"/>
      <family val="2"/>
      <scheme val="minor"/>
    </font>
    <font>
      <sz val="11"/>
      <color theme="1"/>
      <name val="Arial"/>
      <family val="2"/>
    </font>
    <font>
      <sz val="20"/>
      <color theme="0"/>
      <name val="Arial"/>
      <family val="2"/>
    </font>
    <font>
      <b/>
      <vertAlign val="subscript"/>
      <sz val="10"/>
      <name val="Arial"/>
      <family val="2"/>
    </font>
    <font>
      <i/>
      <sz val="10"/>
      <name val="Calibri"/>
      <family val="2"/>
      <scheme val="minor"/>
    </font>
    <font>
      <i/>
      <sz val="10"/>
      <color theme="0" tint="-0.249977111117893"/>
      <name val="Calibri"/>
      <family val="2"/>
      <scheme val="minor"/>
    </font>
    <font>
      <b/>
      <sz val="11"/>
      <color rgb="FF0070C0"/>
      <name val="Calibri"/>
      <family val="2"/>
      <scheme val="minor"/>
    </font>
    <font>
      <u/>
      <sz val="11"/>
      <color theme="10"/>
      <name val="Calibri"/>
      <family val="2"/>
      <scheme val="minor"/>
    </font>
    <font>
      <u/>
      <sz val="10"/>
      <color theme="10"/>
      <name val="Arial"/>
      <family val="2"/>
    </font>
    <font>
      <sz val="9.5"/>
      <color theme="1"/>
      <name val="Arial"/>
      <family val="2"/>
    </font>
    <font>
      <b/>
      <u/>
      <sz val="16"/>
      <name val="Arial"/>
      <family val="2"/>
    </font>
    <font>
      <i/>
      <sz val="18"/>
      <name val="Arial"/>
      <family val="2"/>
    </font>
    <font>
      <b/>
      <i/>
      <sz val="18"/>
      <name val="Arial"/>
      <family val="2"/>
    </font>
    <font>
      <b/>
      <sz val="9"/>
      <color rgb="FFFF0000"/>
      <name val="Arial"/>
      <family val="2"/>
    </font>
    <font>
      <sz val="11"/>
      <color rgb="FF00B050"/>
      <name val="Calibri"/>
      <family val="2"/>
      <scheme val="minor"/>
    </font>
    <font>
      <sz val="11"/>
      <name val="Calibri"/>
      <family val="2"/>
      <scheme val="minor"/>
    </font>
    <font>
      <b/>
      <sz val="11"/>
      <color theme="1"/>
      <name val="Arial"/>
      <family val="2"/>
    </font>
    <font>
      <b/>
      <sz val="11"/>
      <name val="Calibri"/>
      <family val="2"/>
      <scheme val="minor"/>
    </font>
    <font>
      <sz val="10"/>
      <color theme="2" tint="-0.249977111117893"/>
      <name val="Calibri"/>
      <family val="2"/>
      <scheme val="minor"/>
    </font>
    <font>
      <sz val="9"/>
      <color indexed="81"/>
      <name val="Tahoma"/>
      <family val="2"/>
    </font>
    <font>
      <b/>
      <sz val="9"/>
      <color indexed="81"/>
      <name val="Tahoma"/>
      <family val="2"/>
    </font>
    <font>
      <sz val="8"/>
      <color rgb="FF000000"/>
      <name val="Calibri"/>
      <family val="2"/>
    </font>
    <font>
      <sz val="11"/>
      <color rgb="FF000000"/>
      <name val="Calibri"/>
      <family val="2"/>
    </font>
    <font>
      <sz val="9"/>
      <color rgb="FF000000"/>
      <name val="Arial"/>
      <family val="2"/>
    </font>
    <font>
      <sz val="8"/>
      <name val="Calibri"/>
      <family val="2"/>
      <scheme val="minor"/>
    </font>
    <font>
      <sz val="10"/>
      <color theme="1"/>
      <name val="Calibri"/>
      <family val="2"/>
      <scheme val="minor"/>
    </font>
    <font>
      <sz val="11"/>
      <color theme="1"/>
      <name val="Arial"/>
      <family val="2"/>
    </font>
    <font>
      <sz val="10"/>
      <color theme="1"/>
      <name val="Arial"/>
      <family val="2"/>
    </font>
  </fonts>
  <fills count="47">
    <fill>
      <patternFill patternType="none"/>
    </fill>
    <fill>
      <patternFill patternType="gray125"/>
    </fill>
    <fill>
      <patternFill patternType="solid">
        <fgColor rgb="FFC6EFCE"/>
      </patternFill>
    </fill>
    <fill>
      <patternFill patternType="solid">
        <fgColor rgb="FFFFCC99"/>
      </patternFill>
    </fill>
    <fill>
      <patternFill patternType="solid">
        <fgColor rgb="FFA5A5A5"/>
      </patternFill>
    </fill>
    <fill>
      <patternFill patternType="solid">
        <fgColor rgb="FFFFFFCC"/>
      </patternFill>
    </fill>
    <fill>
      <patternFill patternType="solid">
        <fgColor theme="4"/>
      </patternFill>
    </fill>
    <fill>
      <patternFill patternType="solid">
        <fgColor theme="0" tint="-0.249977111117893"/>
        <bgColor indexed="64"/>
      </patternFill>
    </fill>
    <fill>
      <patternFill patternType="solid">
        <fgColor rgb="FFFFC7CE"/>
      </patternFill>
    </fill>
    <fill>
      <patternFill patternType="solid">
        <fgColor theme="9" tint="0.39997558519241921"/>
        <bgColor indexed="65"/>
      </patternFill>
    </fill>
    <fill>
      <patternFill patternType="solid">
        <fgColor theme="5" tint="0.59999389629810485"/>
        <bgColor indexed="65"/>
      </patternFill>
    </fill>
    <fill>
      <patternFill patternType="solid">
        <fgColor theme="5"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59999389629810485"/>
        <bgColor indexed="65"/>
      </patternFill>
    </fill>
    <fill>
      <patternFill patternType="solid">
        <fgColor rgb="FFF2F2F2"/>
      </patternFill>
    </fill>
    <fill>
      <patternFill patternType="solid">
        <fgColor theme="4" tint="0.79998168889431442"/>
        <bgColor indexed="65"/>
      </patternFill>
    </fill>
    <fill>
      <patternFill patternType="solid">
        <fgColor theme="4" tint="-0.499984740745262"/>
        <bgColor indexed="64"/>
      </patternFill>
    </fill>
    <fill>
      <patternFill patternType="solid">
        <fgColor theme="5"/>
      </patternFill>
    </fill>
    <fill>
      <patternFill patternType="solid">
        <fgColor theme="6" tint="0.59999389629810485"/>
        <bgColor indexed="65"/>
      </patternFill>
    </fill>
    <fill>
      <patternFill patternType="solid">
        <fgColor theme="9" tint="0.59999389629810485"/>
        <bgColor indexed="65"/>
      </patternFill>
    </fill>
    <fill>
      <patternFill patternType="solid">
        <fgColor theme="5" tint="0.79998168889431442"/>
        <bgColor indexed="65"/>
      </patternFill>
    </fill>
    <fill>
      <patternFill patternType="solid">
        <fgColor theme="6"/>
      </patternFill>
    </fill>
    <fill>
      <patternFill patternType="solid">
        <fgColor theme="6" tint="0.79998168889431442"/>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patternFill>
    </fill>
    <fill>
      <patternFill patternType="solid">
        <fgColor theme="8" tint="0.79998168889431442"/>
        <bgColor indexed="65"/>
      </patternFill>
    </fill>
    <fill>
      <patternFill patternType="solid">
        <fgColor theme="9"/>
      </patternFill>
    </fill>
    <fill>
      <patternFill patternType="solid">
        <fgColor theme="9" tint="0.79998168889431442"/>
        <bgColor indexed="65"/>
      </patternFill>
    </fill>
    <fill>
      <patternFill patternType="solid">
        <fgColor theme="9" tint="0.39997558519241921"/>
        <bgColor indexed="64"/>
      </patternFill>
    </fill>
    <fill>
      <patternFill patternType="solid">
        <fgColor theme="1"/>
        <bgColor indexed="64"/>
      </patternFill>
    </fill>
    <fill>
      <patternFill patternType="solid">
        <fgColor theme="0"/>
        <bgColor indexed="64"/>
      </patternFill>
    </fill>
    <fill>
      <patternFill patternType="solid">
        <fgColor theme="5"/>
        <bgColor indexed="64"/>
      </patternFill>
    </fill>
    <fill>
      <patternFill patternType="solid">
        <fgColor rgb="FF7030A0"/>
        <bgColor indexed="64"/>
      </patternFill>
    </fill>
    <fill>
      <patternFill patternType="solid">
        <fgColor rgb="FF00B0F0"/>
        <bgColor indexed="64"/>
      </patternFill>
    </fill>
    <fill>
      <patternFill patternType="solid">
        <fgColor rgb="FF0070C0"/>
        <bgColor indexed="64"/>
      </patternFill>
    </fill>
    <fill>
      <patternFill patternType="solid">
        <fgColor theme="2"/>
        <bgColor indexed="64"/>
      </patternFill>
    </fill>
    <fill>
      <patternFill patternType="solid">
        <fgColor rgb="FFFFC000"/>
        <bgColor indexed="64"/>
      </patternFill>
    </fill>
    <fill>
      <patternFill patternType="solid">
        <fgColor theme="7" tint="0.59999389629810485"/>
        <bgColor indexed="64"/>
      </patternFill>
    </fill>
    <fill>
      <patternFill patternType="solid">
        <fgColor theme="0" tint="-0.34998626667073579"/>
        <bgColor indexed="64"/>
      </patternFill>
    </fill>
    <fill>
      <patternFill patternType="solid">
        <fgColor theme="4" tint="0.39997558519241921"/>
        <bgColor indexed="64"/>
      </patternFill>
    </fill>
    <fill>
      <patternFill patternType="solid">
        <fgColor rgb="FFE0C1FF"/>
        <bgColor indexed="64"/>
      </patternFill>
    </fill>
    <fill>
      <patternFill patternType="solid">
        <fgColor theme="9" tint="0.59996337778862885"/>
        <bgColor indexed="64"/>
      </patternFill>
    </fill>
    <fill>
      <patternFill patternType="solid">
        <fgColor rgb="FFFFCB97"/>
        <bgColor indexed="64"/>
      </patternFill>
    </fill>
    <fill>
      <patternFill patternType="solid">
        <fgColor theme="5" tint="0.59996337778862885"/>
        <bgColor indexed="64"/>
      </patternFill>
    </fill>
  </fills>
  <borders count="59">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bottom style="double">
        <color rgb="FFFF8001"/>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right style="thin">
        <color rgb="FF7F7F7F"/>
      </right>
      <top/>
      <bottom style="thin">
        <color rgb="FF7F7F7F"/>
      </bottom>
      <diagonal/>
    </border>
    <border>
      <left style="thin">
        <color rgb="FFB2B2B2"/>
      </left>
      <right style="thin">
        <color rgb="FFB2B2B2"/>
      </right>
      <top style="thin">
        <color rgb="FFB2B2B2"/>
      </top>
      <bottom/>
      <diagonal/>
    </border>
    <border>
      <left/>
      <right/>
      <top/>
      <bottom style="medium">
        <color indexed="64"/>
      </bottom>
      <diagonal/>
    </border>
    <border>
      <left style="medium">
        <color indexed="64"/>
      </left>
      <right/>
      <top/>
      <bottom style="medium">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style="thin">
        <color theme="2"/>
      </left>
      <right style="thin">
        <color theme="2"/>
      </right>
      <top style="thin">
        <color theme="2"/>
      </top>
      <bottom style="thin">
        <color theme="2"/>
      </bottom>
      <diagonal/>
    </border>
    <border>
      <left/>
      <right style="thin">
        <color theme="2"/>
      </right>
      <top/>
      <bottom/>
      <diagonal/>
    </border>
    <border>
      <left/>
      <right/>
      <top style="thin">
        <color theme="2"/>
      </top>
      <bottom style="thin">
        <color theme="2"/>
      </bottom>
      <diagonal/>
    </border>
    <border>
      <left style="thin">
        <color theme="2"/>
      </left>
      <right/>
      <top style="thin">
        <color theme="2"/>
      </top>
      <bottom style="thin">
        <color theme="2"/>
      </bottom>
      <diagonal/>
    </border>
    <border>
      <left/>
      <right style="thin">
        <color theme="2"/>
      </right>
      <top style="thin">
        <color theme="2"/>
      </top>
      <bottom style="thin">
        <color theme="2"/>
      </bottom>
      <diagonal/>
    </border>
    <border>
      <left style="thin">
        <color theme="2"/>
      </left>
      <right/>
      <top style="thin">
        <color theme="2"/>
      </top>
      <bottom style="thin">
        <color indexed="64"/>
      </bottom>
      <diagonal/>
    </border>
    <border>
      <left/>
      <right/>
      <top style="thin">
        <color theme="2"/>
      </top>
      <bottom style="thin">
        <color indexed="64"/>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style="thin">
        <color theme="2" tint="-9.9948118533890809E-2"/>
      </right>
      <top/>
      <bottom style="thin">
        <color theme="2" tint="-9.9948118533890809E-2"/>
      </bottom>
      <diagonal/>
    </border>
    <border>
      <left style="thin">
        <color theme="2" tint="-9.9948118533890809E-2"/>
      </left>
      <right style="thin">
        <color theme="2" tint="-9.9948118533890809E-2"/>
      </right>
      <top style="thin">
        <color theme="2" tint="-9.9948118533890809E-2"/>
      </top>
      <bottom/>
      <diagonal/>
    </border>
    <border>
      <left style="thin">
        <color theme="2" tint="-9.9948118533890809E-2"/>
      </left>
      <right style="thin">
        <color theme="2" tint="-9.9948118533890809E-2"/>
      </right>
      <top/>
      <bottom/>
      <diagonal/>
    </border>
    <border>
      <left style="thin">
        <color theme="2" tint="-9.9948118533890809E-2"/>
      </left>
      <right/>
      <top style="thin">
        <color theme="2" tint="-9.9948118533890809E-2"/>
      </top>
      <bottom style="thin">
        <color indexed="64"/>
      </bottom>
      <diagonal/>
    </border>
    <border>
      <left/>
      <right style="thin">
        <color theme="2" tint="-9.9948118533890809E-2"/>
      </right>
      <top style="thin">
        <color theme="2" tint="-9.9948118533890809E-2"/>
      </top>
      <bottom style="thin">
        <color indexed="64"/>
      </bottom>
      <diagonal/>
    </border>
    <border>
      <left style="thin">
        <color theme="2" tint="-9.9948118533890809E-2"/>
      </left>
      <right/>
      <top style="thin">
        <color theme="2" tint="-9.9948118533890809E-2"/>
      </top>
      <bottom style="thin">
        <color theme="2" tint="-9.9948118533890809E-2"/>
      </bottom>
      <diagonal/>
    </border>
    <border>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
      <left/>
      <right/>
      <top style="thin">
        <color theme="2" tint="-9.9948118533890809E-2"/>
      </top>
      <bottom/>
      <diagonal/>
    </border>
  </borders>
  <cellStyleXfs count="61">
    <xf numFmtId="0" fontId="0" fillId="0" borderId="0"/>
    <xf numFmtId="0" fontId="5" fillId="2" borderId="0" applyNumberFormat="0" applyBorder="0" applyAlignment="0" applyProtection="0"/>
    <xf numFmtId="0" fontId="6" fillId="3" borderId="1" applyNumberFormat="0" applyAlignment="0" applyProtection="0"/>
    <xf numFmtId="0" fontId="7" fillId="4" borderId="2" applyNumberFormat="0" applyAlignment="0" applyProtection="0"/>
    <xf numFmtId="0" fontId="8" fillId="6" borderId="0" applyNumberFormat="0" applyBorder="0" applyAlignment="0" applyProtection="0"/>
    <xf numFmtId="0" fontId="9" fillId="0" borderId="0"/>
    <xf numFmtId="0" fontId="9" fillId="0" borderId="0"/>
    <xf numFmtId="0" fontId="9" fillId="0" borderId="0"/>
    <xf numFmtId="0" fontId="9" fillId="5" borderId="3" applyNumberFormat="0" applyFont="0" applyAlignment="0" applyProtection="0"/>
    <xf numFmtId="0" fontId="9" fillId="0" borderId="0"/>
    <xf numFmtId="0" fontId="9" fillId="0" borderId="0"/>
    <xf numFmtId="0" fontId="13" fillId="8" borderId="0" applyNumberFormat="0" applyBorder="0" applyAlignment="0" applyProtection="0"/>
    <xf numFmtId="0" fontId="4" fillId="9" borderId="0" applyNumberFormat="0" applyBorder="0" applyAlignment="0" applyProtection="0"/>
    <xf numFmtId="0" fontId="15" fillId="0" borderId="17" applyNumberFormat="0" applyFill="0" applyAlignment="0" applyProtection="0"/>
    <xf numFmtId="166" fontId="4" fillId="0" borderId="0" applyFont="0" applyFill="0" applyBorder="0" applyAlignment="0" applyProtection="0"/>
    <xf numFmtId="9" fontId="4" fillId="0" borderId="0" applyFont="0" applyFill="0" applyBorder="0" applyAlignment="0" applyProtection="0"/>
    <xf numFmtId="0" fontId="3" fillId="10" borderId="0" applyNumberFormat="0" applyBorder="0" applyAlignment="0" applyProtection="0"/>
    <xf numFmtId="0" fontId="30" fillId="15" borderId="1" applyNumberFormat="0" applyAlignment="0" applyProtection="0"/>
    <xf numFmtId="169" fontId="52" fillId="44" borderId="42" applyProtection="0">
      <alignment horizontal="center" vertical="center" wrapText="1"/>
    </xf>
    <xf numFmtId="0" fontId="2" fillId="14" borderId="0" applyNumberFormat="0" applyBorder="0" applyAlignment="0" applyProtection="0"/>
    <xf numFmtId="0" fontId="2" fillId="10" borderId="0" applyNumberFormat="0" applyBorder="0" applyAlignment="0" applyProtection="0"/>
    <xf numFmtId="165" fontId="4" fillId="0" borderId="0" applyFont="0" applyFill="0" applyBorder="0" applyAlignment="0" applyProtection="0"/>
    <xf numFmtId="0" fontId="1" fillId="12" borderId="0" applyNumberFormat="0" applyBorder="0" applyAlignment="0" applyProtection="0"/>
    <xf numFmtId="0" fontId="4" fillId="19" borderId="0" applyNumberFormat="0" applyBorder="0" applyAlignment="0" applyProtection="0"/>
    <xf numFmtId="0" fontId="4" fillId="20" borderId="0" applyNumberFormat="0" applyBorder="0" applyAlignment="0" applyProtection="0"/>
    <xf numFmtId="0" fontId="39" fillId="0" borderId="21" applyNumberFormat="0" applyFill="0" applyAlignment="0" applyProtection="0"/>
    <xf numFmtId="0" fontId="40" fillId="0" borderId="22" applyNumberFormat="0" applyFill="0" applyAlignment="0" applyProtection="0"/>
    <xf numFmtId="0" fontId="41" fillId="0" borderId="23" applyNumberFormat="0" applyFill="0" applyAlignment="0" applyProtection="0"/>
    <xf numFmtId="0" fontId="41" fillId="0" borderId="0" applyNumberFormat="0" applyFill="0" applyBorder="0" applyAlignment="0" applyProtection="0"/>
    <xf numFmtId="0" fontId="42" fillId="15" borderId="24" applyNumberFormat="0" applyAlignment="0" applyProtection="0"/>
    <xf numFmtId="0" fontId="14" fillId="0" borderId="0" applyNumberFormat="0" applyFill="0" applyBorder="0" applyAlignment="0" applyProtection="0"/>
    <xf numFmtId="0" fontId="4" fillId="5" borderId="3" applyNumberFormat="0" applyFont="0" applyAlignment="0" applyProtection="0"/>
    <xf numFmtId="0" fontId="43" fillId="0" borderId="0" applyNumberFormat="0" applyFill="0" applyBorder="0" applyAlignment="0" applyProtection="0"/>
    <xf numFmtId="0" fontId="19" fillId="0" borderId="25" applyNumberFormat="0" applyFill="0" applyAlignment="0" applyProtection="0"/>
    <xf numFmtId="0" fontId="4" fillId="14" borderId="0" applyNumberFormat="0" applyBorder="0" applyAlignment="0" applyProtection="0"/>
    <xf numFmtId="0" fontId="4" fillId="21" borderId="0" applyNumberFormat="0" applyBorder="0" applyAlignment="0" applyProtection="0"/>
    <xf numFmtId="0" fontId="8" fillId="22" borderId="0" applyNumberFormat="0" applyBorder="0" applyAlignment="0" applyProtection="0"/>
    <xf numFmtId="0" fontId="4" fillId="23" borderId="0" applyNumberFormat="0" applyBorder="0" applyAlignment="0" applyProtection="0"/>
    <xf numFmtId="0" fontId="8" fillId="24"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8" fillId="27" borderId="0" applyNumberFormat="0" applyBorder="0" applyAlignment="0" applyProtection="0"/>
    <xf numFmtId="0" fontId="4" fillId="28" borderId="0" applyNumberFormat="0" applyBorder="0" applyAlignment="0" applyProtection="0"/>
    <xf numFmtId="0" fontId="8" fillId="29" borderId="0" applyNumberFormat="0" applyBorder="0" applyAlignment="0" applyProtection="0"/>
    <xf numFmtId="0" fontId="4" fillId="30" borderId="0" applyNumberFormat="0" applyBorder="0" applyAlignment="0" applyProtection="0"/>
    <xf numFmtId="0" fontId="8" fillId="18" borderId="0" applyNumberFormat="0" applyBorder="0" applyAlignment="0" applyProtection="0"/>
    <xf numFmtId="0" fontId="70" fillId="0" borderId="0" applyNumberFormat="0" applyFill="0" applyBorder="0" applyAlignment="0" applyProtection="0"/>
    <xf numFmtId="172" fontId="50" fillId="0" borderId="0" applyFont="0" applyFill="0" applyBorder="0" applyAlignment="0" applyProtection="0"/>
    <xf numFmtId="2" fontId="50" fillId="0" borderId="0" applyFont="0" applyFill="0" applyBorder="0" applyAlignment="0"/>
    <xf numFmtId="3" fontId="50" fillId="0" borderId="0" applyFont="0" applyFill="0" applyBorder="0" applyAlignment="0" applyProtection="0"/>
    <xf numFmtId="0" fontId="78" fillId="4" borderId="42" applyAlignment="0" applyProtection="0"/>
    <xf numFmtId="0" fontId="50" fillId="4" borderId="42" applyBorder="0" applyAlignment="0" applyProtection="0"/>
    <xf numFmtId="0" fontId="78" fillId="45" borderId="42" applyNumberFormat="0" applyAlignment="0" applyProtection="0"/>
    <xf numFmtId="0" fontId="50" fillId="4" borderId="42" applyAlignment="0" applyProtection="0"/>
    <xf numFmtId="0" fontId="58" fillId="32" borderId="16" applyNumberFormat="0" applyBorder="0">
      <alignment horizontal="center" vertical="center"/>
    </xf>
    <xf numFmtId="0" fontId="79" fillId="16" borderId="0" applyNumberFormat="0" applyFill="0" applyBorder="0" applyAlignment="0" applyProtection="0"/>
    <xf numFmtId="0" fontId="50" fillId="43" borderId="42" applyNumberFormat="0" applyAlignment="0">
      <alignment horizontal="left" vertical="center" wrapText="1"/>
    </xf>
    <xf numFmtId="0" fontId="50" fillId="43" borderId="44" applyNumberFormat="0" applyFill="0" applyAlignment="0">
      <alignment horizontal="left" vertical="center" wrapText="1"/>
    </xf>
    <xf numFmtId="169" fontId="54" fillId="44" borderId="49" applyNumberFormat="0" applyAlignment="0">
      <alignment horizontal="center" vertical="center" wrapText="1"/>
    </xf>
    <xf numFmtId="0" fontId="52" fillId="0" borderId="49" applyNumberFormat="0" applyAlignment="0">
      <alignment vertical="center"/>
    </xf>
    <xf numFmtId="0" fontId="67" fillId="7" borderId="49" applyNumberFormat="0" applyFont="0" applyAlignment="0">
      <alignment vertical="top" wrapText="1"/>
    </xf>
  </cellStyleXfs>
  <cellXfs count="611">
    <xf numFmtId="0" fontId="0" fillId="0" borderId="0" xfId="0"/>
    <xf numFmtId="0" fontId="9" fillId="0" borderId="0" xfId="5"/>
    <xf numFmtId="0" fontId="9" fillId="0" borderId="0" xfId="5" applyAlignment="1">
      <alignment vertical="center"/>
    </xf>
    <xf numFmtId="0" fontId="10" fillId="0" borderId="4" xfId="5" applyFont="1" applyBorder="1" applyAlignment="1">
      <alignment horizontal="center" vertical="center" wrapText="1"/>
    </xf>
    <xf numFmtId="2" fontId="9" fillId="0" borderId="4" xfId="5" applyNumberFormat="1" applyBorder="1" applyAlignment="1">
      <alignment horizontal="center" vertical="center" wrapText="1"/>
    </xf>
    <xf numFmtId="15" fontId="9" fillId="0" borderId="4" xfId="5" applyNumberFormat="1" applyBorder="1" applyAlignment="1">
      <alignment horizontal="center" vertical="center" wrapText="1"/>
    </xf>
    <xf numFmtId="0" fontId="9" fillId="12" borderId="0" xfId="5" applyFill="1"/>
    <xf numFmtId="0" fontId="10" fillId="12" borderId="0" xfId="5" applyFont="1" applyFill="1"/>
    <xf numFmtId="0" fontId="11" fillId="12" borderId="0" xfId="5" applyFont="1" applyFill="1"/>
    <xf numFmtId="0" fontId="9" fillId="12" borderId="0" xfId="5" applyFill="1" applyAlignment="1">
      <alignment horizontal="left"/>
    </xf>
    <xf numFmtId="0" fontId="22" fillId="0" borderId="0" xfId="5" applyFont="1"/>
    <xf numFmtId="22" fontId="28" fillId="12" borderId="0" xfId="5" applyNumberFormat="1" applyFont="1" applyFill="1"/>
    <xf numFmtId="0" fontId="9" fillId="12" borderId="0" xfId="5" applyFill="1" applyAlignment="1">
      <alignment vertical="top"/>
    </xf>
    <xf numFmtId="0" fontId="35" fillId="0" borderId="0" xfId="5" applyFont="1" applyAlignment="1">
      <alignment vertical="center"/>
    </xf>
    <xf numFmtId="0" fontId="36" fillId="0" borderId="0" xfId="5" applyFont="1" applyAlignment="1">
      <alignment vertical="center"/>
    </xf>
    <xf numFmtId="0" fontId="33" fillId="0" borderId="0" xfId="5" applyFont="1" applyAlignment="1">
      <alignment vertical="center"/>
    </xf>
    <xf numFmtId="0" fontId="46" fillId="0" borderId="0" xfId="5" applyFont="1"/>
    <xf numFmtId="0" fontId="47" fillId="0" borderId="0" xfId="5" applyFont="1"/>
    <xf numFmtId="0" fontId="46" fillId="0" borderId="0" xfId="5" applyFont="1" applyAlignment="1">
      <alignment horizontal="center"/>
    </xf>
    <xf numFmtId="0" fontId="50" fillId="0" borderId="0" xfId="5" applyFont="1"/>
    <xf numFmtId="0" fontId="50" fillId="0" borderId="0" xfId="5" quotePrefix="1" applyFont="1"/>
    <xf numFmtId="0" fontId="53" fillId="0" borderId="0" xfId="0" applyFont="1"/>
    <xf numFmtId="0" fontId="52" fillId="0" borderId="0" xfId="0" applyFont="1"/>
    <xf numFmtId="0" fontId="49" fillId="0" borderId="0" xfId="45" applyFont="1" applyFill="1"/>
    <xf numFmtId="0" fontId="52" fillId="9" borderId="4" xfId="12" applyFont="1" applyBorder="1" applyAlignment="1">
      <alignment horizontal="center" vertical="center" wrapText="1"/>
    </xf>
    <xf numFmtId="0" fontId="50" fillId="0" borderId="0" xfId="0" applyFont="1"/>
    <xf numFmtId="0" fontId="50" fillId="0" borderId="0" xfId="45" applyFont="1" applyFill="1"/>
    <xf numFmtId="0" fontId="50" fillId="0" borderId="0" xfId="5" applyFont="1" applyAlignment="1">
      <alignment vertical="center"/>
    </xf>
    <xf numFmtId="0" fontId="50" fillId="0" borderId="0" xfId="5" applyFont="1" applyAlignment="1">
      <alignment horizontal="left" vertical="center"/>
    </xf>
    <xf numFmtId="0" fontId="50" fillId="0" borderId="0" xfId="10" applyFont="1" applyAlignment="1">
      <alignment vertical="center"/>
    </xf>
    <xf numFmtId="22" fontId="50" fillId="0" borderId="0" xfId="10" applyNumberFormat="1" applyFont="1" applyAlignment="1">
      <alignment vertical="center"/>
    </xf>
    <xf numFmtId="0" fontId="50" fillId="0" borderId="0" xfId="10" applyFont="1" applyAlignment="1">
      <alignment horizontal="left" vertical="center"/>
    </xf>
    <xf numFmtId="168" fontId="50" fillId="0" borderId="0" xfId="5" applyNumberFormat="1" applyFont="1" applyAlignment="1">
      <alignment vertical="center"/>
    </xf>
    <xf numFmtId="0" fontId="55" fillId="0" borderId="0" xfId="3" applyFont="1" applyFill="1" applyBorder="1" applyAlignment="1">
      <alignment horizontal="left" vertical="center" wrapText="1"/>
    </xf>
    <xf numFmtId="169" fontId="50" fillId="0" borderId="0" xfId="12" applyNumberFormat="1" applyFont="1" applyFill="1" applyBorder="1" applyAlignment="1">
      <alignment vertical="center"/>
    </xf>
    <xf numFmtId="169" fontId="52" fillId="0" borderId="0" xfId="12" applyNumberFormat="1" applyFont="1" applyFill="1" applyBorder="1" applyAlignment="1">
      <alignment vertical="center"/>
    </xf>
    <xf numFmtId="168" fontId="50" fillId="0" borderId="0" xfId="12" applyNumberFormat="1" applyFont="1" applyFill="1" applyBorder="1" applyAlignment="1">
      <alignment vertical="center"/>
    </xf>
    <xf numFmtId="168" fontId="52" fillId="0" borderId="0" xfId="12" applyNumberFormat="1" applyFont="1" applyFill="1" applyBorder="1" applyAlignment="1">
      <alignment vertical="center"/>
    </xf>
    <xf numFmtId="0" fontId="55" fillId="0" borderId="0" xfId="3" applyFont="1" applyFill="1" applyBorder="1" applyAlignment="1">
      <alignment vertical="center" wrapText="1"/>
    </xf>
    <xf numFmtId="0" fontId="57" fillId="0" borderId="0" xfId="5" applyFont="1"/>
    <xf numFmtId="169" fontId="57" fillId="0" borderId="0" xfId="5" applyNumberFormat="1" applyFont="1"/>
    <xf numFmtId="0" fontId="50" fillId="0" borderId="0" xfId="5" applyFont="1" applyAlignment="1">
      <alignment horizontal="left"/>
    </xf>
    <xf numFmtId="0" fontId="50" fillId="0" borderId="0" xfId="5" applyFont="1" applyAlignment="1">
      <alignment wrapText="1"/>
    </xf>
    <xf numFmtId="0" fontId="57" fillId="0" borderId="0" xfId="5" applyFont="1" applyAlignment="1">
      <alignment horizontal="right"/>
    </xf>
    <xf numFmtId="1" fontId="51" fillId="0" borderId="0" xfId="5" applyNumberFormat="1" applyFont="1" applyAlignment="1">
      <alignment horizontal="center"/>
    </xf>
    <xf numFmtId="0" fontId="50" fillId="0" borderId="0" xfId="5" applyFont="1" applyAlignment="1">
      <alignment textRotation="255"/>
    </xf>
    <xf numFmtId="49" fontId="51" fillId="0" borderId="0" xfId="5" applyNumberFormat="1" applyFont="1" applyAlignment="1">
      <alignment horizontal="center" vertical="center" wrapText="1"/>
    </xf>
    <xf numFmtId="0" fontId="50" fillId="0" borderId="0" xfId="10" applyFont="1"/>
    <xf numFmtId="22" fontId="50" fillId="0" borderId="0" xfId="10" applyNumberFormat="1" applyFont="1"/>
    <xf numFmtId="0" fontId="50" fillId="0" borderId="0" xfId="10" applyFont="1" applyAlignment="1">
      <alignment horizontal="left"/>
    </xf>
    <xf numFmtId="0" fontId="50" fillId="0" borderId="0" xfId="1" applyFont="1" applyFill="1"/>
    <xf numFmtId="0" fontId="52" fillId="0" borderId="0" xfId="0" applyFont="1" applyAlignment="1">
      <alignment horizontal="left"/>
    </xf>
    <xf numFmtId="0" fontId="56" fillId="0" borderId="0" xfId="1" applyFont="1" applyFill="1"/>
    <xf numFmtId="0" fontId="53" fillId="0" borderId="0" xfId="45" applyFont="1" applyFill="1"/>
    <xf numFmtId="0" fontId="50" fillId="0" borderId="0" xfId="5" applyFont="1" applyAlignment="1">
      <alignment horizontal="center" vertical="center"/>
    </xf>
    <xf numFmtId="173" fontId="50" fillId="0" borderId="0" xfId="5" applyNumberFormat="1" applyFont="1"/>
    <xf numFmtId="0" fontId="50" fillId="0" borderId="0" xfId="5" applyFont="1" applyAlignment="1">
      <alignment textRotation="90"/>
    </xf>
    <xf numFmtId="174" fontId="50" fillId="0" borderId="0" xfId="5" quotePrefix="1" applyNumberFormat="1" applyFont="1"/>
    <xf numFmtId="22" fontId="50" fillId="0" borderId="0" xfId="5" applyNumberFormat="1" applyFont="1"/>
    <xf numFmtId="0" fontId="51" fillId="0" borderId="26" xfId="8" applyFont="1" applyFill="1" applyBorder="1" applyAlignment="1">
      <alignment horizontal="center" vertical="center" textRotation="90" wrapText="1"/>
    </xf>
    <xf numFmtId="0" fontId="53" fillId="0" borderId="0" xfId="13" applyFont="1" applyBorder="1"/>
    <xf numFmtId="0" fontId="50" fillId="7" borderId="4" xfId="5" applyFont="1" applyFill="1" applyBorder="1" applyAlignment="1">
      <alignment horizontal="center" vertical="center" wrapText="1"/>
    </xf>
    <xf numFmtId="0" fontId="59" fillId="0" borderId="0" xfId="5" applyFont="1"/>
    <xf numFmtId="3" fontId="52" fillId="0" borderId="0" xfId="0" applyNumberFormat="1" applyFont="1" applyAlignment="1">
      <alignment horizontal="left"/>
    </xf>
    <xf numFmtId="3" fontId="52" fillId="0" borderId="0" xfId="0" applyNumberFormat="1" applyFont="1"/>
    <xf numFmtId="0" fontId="60" fillId="0" borderId="0" xfId="5" applyFont="1"/>
    <xf numFmtId="2" fontId="50" fillId="0" borderId="0" xfId="5" applyNumberFormat="1" applyFont="1"/>
    <xf numFmtId="0" fontId="50" fillId="0" borderId="0" xfId="6" applyFont="1"/>
    <xf numFmtId="0" fontId="52" fillId="0" borderId="0" xfId="12" applyFont="1" applyFill="1" applyBorder="1"/>
    <xf numFmtId="3" fontId="52" fillId="0" borderId="0" xfId="18" applyNumberFormat="1" applyFill="1" applyBorder="1">
      <alignment horizontal="center" vertical="center" wrapText="1"/>
    </xf>
    <xf numFmtId="3" fontId="52" fillId="0" borderId="0" xfId="12" applyNumberFormat="1" applyFont="1" applyFill="1" applyBorder="1" applyAlignment="1">
      <alignment horizontal="right"/>
    </xf>
    <xf numFmtId="169" fontId="52" fillId="0" borderId="0" xfId="12" applyNumberFormat="1" applyFont="1" applyFill="1" applyBorder="1"/>
    <xf numFmtId="167" fontId="52" fillId="0" borderId="0" xfId="12" applyNumberFormat="1" applyFont="1" applyFill="1" applyBorder="1"/>
    <xf numFmtId="3" fontId="52" fillId="0" borderId="0" xfId="12" applyNumberFormat="1" applyFont="1" applyFill="1" applyBorder="1"/>
    <xf numFmtId="169" fontId="50" fillId="0" borderId="0" xfId="5" applyNumberFormat="1" applyFont="1"/>
    <xf numFmtId="169" fontId="52" fillId="0" borderId="0" xfId="0" applyNumberFormat="1" applyFont="1"/>
    <xf numFmtId="0" fontId="50" fillId="0" borderId="0" xfId="1" applyNumberFormat="1" applyFont="1" applyFill="1"/>
    <xf numFmtId="1" fontId="50" fillId="0" borderId="0" xfId="5" applyNumberFormat="1" applyFont="1"/>
    <xf numFmtId="167" fontId="50" fillId="0" borderId="0" xfId="21" applyNumberFormat="1" applyFont="1"/>
    <xf numFmtId="9" fontId="50" fillId="0" borderId="0" xfId="15" applyFont="1"/>
    <xf numFmtId="0" fontId="8" fillId="35" borderId="0" xfId="0" applyFont="1" applyFill="1"/>
    <xf numFmtId="0" fontId="8" fillId="36" borderId="0" xfId="0" applyFont="1" applyFill="1"/>
    <xf numFmtId="22" fontId="8" fillId="35" borderId="0" xfId="0" applyNumberFormat="1" applyFont="1" applyFill="1"/>
    <xf numFmtId="0" fontId="61" fillId="34" borderId="0" xfId="5" applyFont="1" applyFill="1" applyAlignment="1">
      <alignment vertical="center"/>
    </xf>
    <xf numFmtId="0" fontId="61" fillId="37" borderId="0" xfId="5" applyFont="1" applyFill="1" applyAlignment="1">
      <alignment vertical="center"/>
    </xf>
    <xf numFmtId="0" fontId="63" fillId="0" borderId="0" xfId="0" applyFont="1"/>
    <xf numFmtId="0" fontId="0" fillId="36" borderId="28" xfId="0" applyFill="1" applyBorder="1"/>
    <xf numFmtId="0" fontId="0" fillId="36" borderId="11" xfId="0" applyFill="1" applyBorder="1"/>
    <xf numFmtId="0" fontId="0" fillId="36" borderId="7" xfId="0" applyFill="1" applyBorder="1"/>
    <xf numFmtId="0" fontId="0" fillId="36" borderId="27" xfId="0" applyFill="1" applyBorder="1"/>
    <xf numFmtId="0" fontId="0" fillId="36" borderId="5" xfId="0" applyFill="1" applyBorder="1"/>
    <xf numFmtId="0" fontId="0" fillId="36" borderId="29" xfId="0" applyFill="1" applyBorder="1"/>
    <xf numFmtId="22" fontId="8" fillId="36" borderId="0" xfId="0" applyNumberFormat="1" applyFont="1" applyFill="1"/>
    <xf numFmtId="0" fontId="9" fillId="0" borderId="0" xfId="5" applyAlignment="1">
      <alignment horizontal="center"/>
    </xf>
    <xf numFmtId="0" fontId="10" fillId="12" borderId="0" xfId="5" applyFont="1" applyFill="1" applyAlignment="1">
      <alignment horizontal="left"/>
    </xf>
    <xf numFmtId="14" fontId="10" fillId="12" borderId="0" xfId="5" applyNumberFormat="1" applyFont="1" applyFill="1" applyAlignment="1">
      <alignment horizontal="left"/>
    </xf>
    <xf numFmtId="0" fontId="64" fillId="0" borderId="0" xfId="0" applyFont="1"/>
    <xf numFmtId="0" fontId="64" fillId="12" borderId="0" xfId="0" applyFont="1" applyFill="1"/>
    <xf numFmtId="0" fontId="46" fillId="0" borderId="0" xfId="0" applyFont="1"/>
    <xf numFmtId="0" fontId="1" fillId="0" borderId="0" xfId="0" applyFont="1"/>
    <xf numFmtId="0" fontId="22" fillId="12" borderId="0" xfId="5" applyFont="1" applyFill="1" applyAlignment="1">
      <alignment vertical="center" wrapText="1"/>
    </xf>
    <xf numFmtId="0" fontId="22" fillId="12" borderId="0" xfId="5" applyFont="1" applyFill="1" applyAlignment="1">
      <alignment horizontal="right" vertical="center"/>
    </xf>
    <xf numFmtId="1" fontId="63" fillId="0" borderId="0" xfId="0" applyNumberFormat="1" applyFont="1"/>
    <xf numFmtId="0" fontId="9" fillId="0" borderId="0" xfId="9"/>
    <xf numFmtId="9" fontId="10" fillId="0" borderId="0" xfId="9" applyNumberFormat="1" applyFont="1" applyAlignment="1">
      <alignment horizontal="center" vertical="center"/>
    </xf>
    <xf numFmtId="9" fontId="9" fillId="0" borderId="0" xfId="15" applyFont="1" applyFill="1" applyBorder="1" applyAlignment="1"/>
    <xf numFmtId="0" fontId="0" fillId="0" borderId="0" xfId="0" pivotButton="1"/>
    <xf numFmtId="0" fontId="0" fillId="0" borderId="0" xfId="0" applyAlignment="1">
      <alignment horizontal="left"/>
    </xf>
    <xf numFmtId="0" fontId="51" fillId="31" borderId="4" xfId="3" applyFont="1" applyFill="1" applyBorder="1" applyAlignment="1">
      <alignment horizontal="center" vertical="center" wrapText="1"/>
    </xf>
    <xf numFmtId="0" fontId="52" fillId="0" borderId="0" xfId="12" applyFont="1" applyFill="1"/>
    <xf numFmtId="0" fontId="23" fillId="0" borderId="0" xfId="5" applyFont="1"/>
    <xf numFmtId="0" fontId="50" fillId="0" borderId="0" xfId="7" applyFont="1"/>
    <xf numFmtId="0" fontId="56" fillId="2" borderId="0" xfId="1" applyFont="1"/>
    <xf numFmtId="0" fontId="68" fillId="0" borderId="0" xfId="13" applyFont="1" applyFill="1" applyBorder="1"/>
    <xf numFmtId="0" fontId="50" fillId="0" borderId="0" xfId="5" applyFont="1" applyAlignment="1">
      <alignment horizontal="center"/>
    </xf>
    <xf numFmtId="0" fontId="50" fillId="0" borderId="4" xfId="1" applyFont="1" applyFill="1" applyBorder="1"/>
    <xf numFmtId="0" fontId="50" fillId="0" borderId="4" xfId="5" applyFont="1" applyBorder="1"/>
    <xf numFmtId="167" fontId="50" fillId="0" borderId="4" xfId="12" applyNumberFormat="1" applyFont="1" applyFill="1" applyBorder="1" applyAlignment="1" applyProtection="1">
      <alignment vertical="center"/>
      <protection locked="0"/>
    </xf>
    <xf numFmtId="172" fontId="50" fillId="0" borderId="4" xfId="12" applyNumberFormat="1" applyFont="1" applyFill="1" applyBorder="1" applyAlignment="1" applyProtection="1">
      <alignment vertical="center"/>
      <protection locked="0"/>
    </xf>
    <xf numFmtId="0" fontId="51" fillId="0" borderId="0" xfId="4" applyFont="1" applyFill="1" applyBorder="1" applyAlignment="1">
      <alignment horizontal="left" vertical="center" wrapText="1"/>
    </xf>
    <xf numFmtId="0" fontId="51" fillId="0" borderId="0" xfId="4" applyFont="1" applyFill="1" applyBorder="1" applyAlignment="1">
      <alignment horizontal="left" vertical="center"/>
    </xf>
    <xf numFmtId="0" fontId="53" fillId="0" borderId="4" xfId="17" applyFont="1" applyFill="1" applyBorder="1" applyAlignment="1">
      <alignment wrapText="1"/>
    </xf>
    <xf numFmtId="167" fontId="53" fillId="0" borderId="4" xfId="17" applyNumberFormat="1" applyFont="1" applyFill="1" applyBorder="1"/>
    <xf numFmtId="0" fontId="53" fillId="0" borderId="4" xfId="17" applyFont="1" applyFill="1" applyBorder="1"/>
    <xf numFmtId="0" fontId="53" fillId="0" borderId="30" xfId="17" applyFont="1" applyFill="1" applyBorder="1" applyAlignment="1">
      <alignment wrapText="1"/>
    </xf>
    <xf numFmtId="0" fontId="53" fillId="0" borderId="1" xfId="17" applyFont="1" applyFill="1" applyAlignment="1">
      <alignment wrapText="1"/>
    </xf>
    <xf numFmtId="0" fontId="53" fillId="0" borderId="1" xfId="17" applyFont="1" applyFill="1"/>
    <xf numFmtId="167" fontId="53" fillId="0" borderId="1" xfId="17" applyNumberFormat="1" applyFont="1" applyFill="1"/>
    <xf numFmtId="0" fontId="53" fillId="0" borderId="30" xfId="17" applyFont="1" applyFill="1" applyBorder="1"/>
    <xf numFmtId="0" fontId="67" fillId="0" borderId="0" xfId="5" applyFont="1" applyAlignment="1">
      <alignment horizontal="center"/>
    </xf>
    <xf numFmtId="0" fontId="67" fillId="0" borderId="0" xfId="5" applyFont="1"/>
    <xf numFmtId="0" fontId="51" fillId="31" borderId="4" xfId="3" applyFont="1" applyFill="1" applyBorder="1" applyAlignment="1">
      <alignment horizontal="center"/>
    </xf>
    <xf numFmtId="0" fontId="51" fillId="0" borderId="0" xfId="5" applyFont="1" applyAlignment="1">
      <alignment horizontal="left" vertical="center"/>
    </xf>
    <xf numFmtId="0" fontId="50" fillId="0" borderId="0" xfId="5" applyFont="1" applyAlignment="1">
      <alignment vertical="center" wrapText="1"/>
    </xf>
    <xf numFmtId="0" fontId="50" fillId="0" borderId="33" xfId="1" applyFont="1" applyFill="1" applyBorder="1"/>
    <xf numFmtId="0" fontId="56" fillId="2" borderId="0" xfId="1" applyFont="1" applyAlignment="1">
      <alignment wrapText="1"/>
    </xf>
    <xf numFmtId="0" fontId="52" fillId="0" borderId="4" xfId="0" applyFont="1" applyBorder="1"/>
    <xf numFmtId="176" fontId="50" fillId="0" borderId="4" xfId="3" applyNumberFormat="1" applyFont="1" applyFill="1" applyBorder="1"/>
    <xf numFmtId="0" fontId="54" fillId="14" borderId="0" xfId="19" applyFont="1"/>
    <xf numFmtId="0" fontId="56" fillId="11" borderId="0" xfId="1" applyFont="1" applyFill="1" applyBorder="1" applyAlignment="1"/>
    <xf numFmtId="176" fontId="50" fillId="0" borderId="4" xfId="2" applyNumberFormat="1" applyFont="1" applyFill="1" applyBorder="1"/>
    <xf numFmtId="0" fontId="51" fillId="0" borderId="0" xfId="6" applyFont="1"/>
    <xf numFmtId="170" fontId="50" fillId="0" borderId="0" xfId="6" applyNumberFormat="1" applyFont="1" applyAlignment="1">
      <alignment horizontal="right"/>
    </xf>
    <xf numFmtId="0" fontId="51" fillId="31" borderId="4" xfId="3" applyFont="1" applyFill="1" applyBorder="1" applyAlignment="1">
      <alignment horizontal="right"/>
    </xf>
    <xf numFmtId="0" fontId="50" fillId="0" borderId="10" xfId="1" applyFont="1" applyFill="1" applyBorder="1"/>
    <xf numFmtId="14" fontId="0" fillId="0" borderId="0" xfId="0" applyNumberFormat="1"/>
    <xf numFmtId="20" fontId="0" fillId="0" borderId="0" xfId="0" applyNumberFormat="1"/>
    <xf numFmtId="0" fontId="9" fillId="0" borderId="4" xfId="5" applyBorder="1" applyAlignment="1">
      <alignment horizontal="left" vertical="center" wrapText="1"/>
    </xf>
    <xf numFmtId="169" fontId="10" fillId="12" borderId="0" xfId="5" applyNumberFormat="1" applyFont="1" applyFill="1" applyAlignment="1">
      <alignment horizontal="left"/>
    </xf>
    <xf numFmtId="168" fontId="10" fillId="12" borderId="0" xfId="15" applyNumberFormat="1" applyFont="1" applyFill="1" applyBorder="1" applyAlignment="1">
      <alignment horizontal="left"/>
    </xf>
    <xf numFmtId="177" fontId="10" fillId="12" borderId="0" xfId="21" applyNumberFormat="1" applyFont="1" applyFill="1" applyBorder="1" applyAlignment="1"/>
    <xf numFmtId="0" fontId="0" fillId="39" borderId="0" xfId="0" applyFill="1"/>
    <xf numFmtId="2" fontId="50" fillId="0" borderId="0" xfId="15" applyNumberFormat="1" applyFont="1"/>
    <xf numFmtId="178" fontId="50" fillId="0" borderId="0" xfId="15" applyNumberFormat="1" applyFont="1"/>
    <xf numFmtId="0" fontId="50" fillId="0" borderId="0" xfId="5" pivotButton="1" applyFont="1"/>
    <xf numFmtId="0" fontId="50" fillId="0" borderId="13" xfId="6" applyFont="1" applyBorder="1"/>
    <xf numFmtId="179" fontId="50" fillId="0" borderId="0" xfId="6" applyNumberFormat="1" applyFont="1"/>
    <xf numFmtId="0" fontId="57" fillId="0" borderId="0" xfId="5" applyFont="1" applyAlignment="1">
      <alignment wrapText="1"/>
    </xf>
    <xf numFmtId="1" fontId="4" fillId="19" borderId="4" xfId="23" applyNumberFormat="1" applyBorder="1" applyAlignment="1">
      <alignment horizontal="center" vertical="center"/>
    </xf>
    <xf numFmtId="0" fontId="0" fillId="40" borderId="0" xfId="0" applyFill="1"/>
    <xf numFmtId="175" fontId="11" fillId="0" borderId="0" xfId="14" applyNumberFormat="1" applyFont="1" applyFill="1" applyBorder="1" applyAlignment="1" applyProtection="1"/>
    <xf numFmtId="0" fontId="9" fillId="0" borderId="0" xfId="5" applyAlignment="1">
      <alignment horizontal="center" vertical="center"/>
    </xf>
    <xf numFmtId="0" fontId="22" fillId="12" borderId="0" xfId="5" applyFont="1" applyFill="1"/>
    <xf numFmtId="22" fontId="9" fillId="0" borderId="0" xfId="5" applyNumberFormat="1"/>
    <xf numFmtId="0" fontId="9" fillId="13" borderId="0" xfId="4" applyFont="1" applyFill="1" applyBorder="1" applyAlignment="1" applyProtection="1">
      <alignment vertical="center"/>
    </xf>
    <xf numFmtId="0" fontId="9" fillId="13" borderId="0" xfId="12" applyFont="1" applyFill="1" applyBorder="1" applyAlignment="1" applyProtection="1">
      <alignment vertical="center"/>
    </xf>
    <xf numFmtId="2" fontId="9" fillId="13" borderId="0" xfId="12" applyNumberFormat="1" applyFont="1" applyFill="1" applyBorder="1" applyAlignment="1" applyProtection="1">
      <alignment vertical="center"/>
    </xf>
    <xf numFmtId="0" fontId="29" fillId="14" borderId="0" xfId="19" applyFont="1" applyProtection="1"/>
    <xf numFmtId="0" fontId="2" fillId="14" borderId="0" xfId="19" applyBorder="1" applyAlignment="1" applyProtection="1">
      <alignment vertical="center"/>
    </xf>
    <xf numFmtId="2" fontId="2" fillId="14" borderId="0" xfId="19" applyNumberFormat="1" applyBorder="1" applyAlignment="1" applyProtection="1">
      <alignment vertical="center"/>
    </xf>
    <xf numFmtId="0" fontId="2" fillId="13" borderId="0" xfId="20" applyFill="1" applyBorder="1" applyAlignment="1" applyProtection="1">
      <alignment vertical="center"/>
    </xf>
    <xf numFmtId="0" fontId="2" fillId="13" borderId="0" xfId="20" applyFill="1" applyAlignment="1" applyProtection="1"/>
    <xf numFmtId="0" fontId="2" fillId="13" borderId="0" xfId="20" quotePrefix="1" applyFill="1" applyAlignment="1" applyProtection="1"/>
    <xf numFmtId="0" fontId="2" fillId="13" borderId="0" xfId="20" applyFill="1" applyBorder="1" applyProtection="1"/>
    <xf numFmtId="0" fontId="9" fillId="0" borderId="0" xfId="5" applyAlignment="1">
      <alignment horizontal="left"/>
    </xf>
    <xf numFmtId="168" fontId="50" fillId="0" borderId="4" xfId="15" applyNumberFormat="1" applyFont="1" applyBorder="1"/>
    <xf numFmtId="174" fontId="50" fillId="0" borderId="4" xfId="6" applyNumberFormat="1" applyFont="1" applyBorder="1"/>
    <xf numFmtId="0" fontId="64" fillId="0" borderId="0" xfId="0" applyFont="1" applyAlignment="1">
      <alignment wrapText="1"/>
    </xf>
    <xf numFmtId="0" fontId="38" fillId="38" borderId="4" xfId="5" applyFont="1" applyFill="1" applyBorder="1" applyAlignment="1">
      <alignment horizontal="center"/>
    </xf>
    <xf numFmtId="0" fontId="45" fillId="38" borderId="4" xfId="5" applyFont="1" applyFill="1" applyBorder="1" applyAlignment="1">
      <alignment horizontal="center"/>
    </xf>
    <xf numFmtId="0" fontId="9" fillId="38" borderId="18" xfId="5" applyFill="1" applyBorder="1"/>
    <xf numFmtId="3" fontId="9" fillId="38" borderId="18" xfId="5" applyNumberFormat="1" applyFill="1" applyBorder="1"/>
    <xf numFmtId="177" fontId="9" fillId="38" borderId="18" xfId="21" applyNumberFormat="1" applyFont="1" applyFill="1" applyBorder="1" applyProtection="1"/>
    <xf numFmtId="168" fontId="9" fillId="38" borderId="18" xfId="15" applyNumberFormat="1" applyFont="1" applyFill="1" applyBorder="1" applyProtection="1"/>
    <xf numFmtId="0" fontId="9" fillId="38" borderId="19" xfId="5" applyFill="1" applyBorder="1"/>
    <xf numFmtId="3" fontId="9" fillId="38" borderId="19" xfId="5" applyNumberFormat="1" applyFill="1" applyBorder="1"/>
    <xf numFmtId="177" fontId="9" fillId="38" borderId="19" xfId="21" applyNumberFormat="1" applyFont="1" applyFill="1" applyBorder="1" applyProtection="1"/>
    <xf numFmtId="168" fontId="9" fillId="38" borderId="19" xfId="15" applyNumberFormat="1" applyFont="1" applyFill="1" applyBorder="1" applyProtection="1"/>
    <xf numFmtId="0" fontId="9" fillId="38" borderId="20" xfId="5" applyFill="1" applyBorder="1"/>
    <xf numFmtId="3" fontId="9" fillId="38" borderId="20" xfId="5" applyNumberFormat="1" applyFill="1" applyBorder="1"/>
    <xf numFmtId="0" fontId="10" fillId="38" borderId="4" xfId="5" applyFont="1" applyFill="1" applyBorder="1"/>
    <xf numFmtId="3" fontId="10" fillId="38" borderId="4" xfId="5" applyNumberFormat="1" applyFont="1" applyFill="1" applyBorder="1"/>
    <xf numFmtId="0" fontId="10" fillId="38" borderId="4" xfId="21" applyNumberFormat="1" applyFont="1" applyFill="1" applyBorder="1" applyProtection="1"/>
    <xf numFmtId="177" fontId="10" fillId="38" borderId="4" xfId="21" applyNumberFormat="1" applyFont="1" applyFill="1" applyBorder="1" applyProtection="1"/>
    <xf numFmtId="168" fontId="10" fillId="38" borderId="4" xfId="15" applyNumberFormat="1" applyFont="1" applyFill="1" applyBorder="1" applyProtection="1"/>
    <xf numFmtId="169" fontId="9" fillId="38" borderId="18" xfId="5" applyNumberFormat="1" applyFill="1" applyBorder="1"/>
    <xf numFmtId="169" fontId="9" fillId="38" borderId="19" xfId="5" applyNumberFormat="1" applyFill="1" applyBorder="1"/>
    <xf numFmtId="169" fontId="9" fillId="38" borderId="20" xfId="5" applyNumberFormat="1" applyFill="1" applyBorder="1"/>
    <xf numFmtId="168" fontId="9" fillId="38" borderId="20" xfId="15" applyNumberFormat="1" applyFont="1" applyFill="1" applyBorder="1" applyProtection="1"/>
    <xf numFmtId="169" fontId="10" fillId="38" borderId="4" xfId="5" applyNumberFormat="1" applyFont="1" applyFill="1" applyBorder="1"/>
    <xf numFmtId="0" fontId="10" fillId="0" borderId="0" xfId="5" applyFont="1"/>
    <xf numFmtId="0" fontId="72" fillId="13" borderId="0" xfId="20" applyFont="1" applyFill="1" applyBorder="1" applyAlignment="1" applyProtection="1">
      <alignment vertical="center"/>
    </xf>
    <xf numFmtId="0" fontId="9" fillId="41" borderId="0" xfId="5" applyFill="1"/>
    <xf numFmtId="0" fontId="9" fillId="33" borderId="0" xfId="5" applyFill="1"/>
    <xf numFmtId="0" fontId="26" fillId="33" borderId="0" xfId="5" applyFont="1" applyFill="1"/>
    <xf numFmtId="0" fontId="26" fillId="33" borderId="0" xfId="5" applyFont="1" applyFill="1" applyAlignment="1">
      <alignment horizontal="left"/>
    </xf>
    <xf numFmtId="0" fontId="73" fillId="42" borderId="0" xfId="5" applyFont="1" applyFill="1" applyAlignment="1">
      <alignment vertical="center"/>
    </xf>
    <xf numFmtId="0" fontId="9" fillId="42" borderId="0" xfId="5" applyFill="1"/>
    <xf numFmtId="0" fontId="74" fillId="42" borderId="0" xfId="5" applyFont="1" applyFill="1" applyAlignment="1">
      <alignment vertical="center"/>
    </xf>
    <xf numFmtId="0" fontId="9" fillId="0" borderId="39" xfId="5" applyBorder="1"/>
    <xf numFmtId="0" fontId="9" fillId="0" borderId="38" xfId="5" applyBorder="1"/>
    <xf numFmtId="0" fontId="9" fillId="0" borderId="37" xfId="5" applyBorder="1"/>
    <xf numFmtId="0" fontId="9" fillId="0" borderId="35" xfId="5" applyBorder="1"/>
    <xf numFmtId="0" fontId="9" fillId="0" borderId="34" xfId="5" applyBorder="1"/>
    <xf numFmtId="0" fontId="9" fillId="0" borderId="11" xfId="5" applyBorder="1"/>
    <xf numFmtId="0" fontId="9" fillId="0" borderId="36" xfId="5" applyBorder="1"/>
    <xf numFmtId="0" fontId="9" fillId="0" borderId="28" xfId="5" applyBorder="1"/>
    <xf numFmtId="177" fontId="10" fillId="12" borderId="0" xfId="21" applyNumberFormat="1" applyFont="1" applyFill="1" applyBorder="1" applyAlignment="1">
      <alignment horizontal="left"/>
    </xf>
    <xf numFmtId="0" fontId="69" fillId="0" borderId="27" xfId="0" applyFont="1" applyBorder="1" applyProtection="1">
      <protection locked="0"/>
    </xf>
    <xf numFmtId="0" fontId="0" fillId="0" borderId="0" xfId="0" quotePrefix="1" applyProtection="1">
      <protection locked="0"/>
    </xf>
    <xf numFmtId="0" fontId="0" fillId="0" borderId="0" xfId="0" quotePrefix="1"/>
    <xf numFmtId="0" fontId="53" fillId="0" borderId="0" xfId="13" applyFont="1" applyBorder="1" applyAlignment="1">
      <alignment wrapText="1"/>
    </xf>
    <xf numFmtId="164" fontId="26" fillId="33" borderId="0" xfId="5" applyNumberFormat="1" applyFont="1" applyFill="1"/>
    <xf numFmtId="10" fontId="26" fillId="33" borderId="0" xfId="5" applyNumberFormat="1" applyFont="1" applyFill="1"/>
    <xf numFmtId="167" fontId="26" fillId="33" borderId="0" xfId="5" applyNumberFormat="1" applyFont="1" applyFill="1"/>
    <xf numFmtId="0" fontId="76" fillId="33" borderId="0" xfId="5" applyFont="1" applyFill="1"/>
    <xf numFmtId="2" fontId="26" fillId="33" borderId="0" xfId="5" applyNumberFormat="1" applyFont="1" applyFill="1" applyAlignment="1">
      <alignment shrinkToFit="1"/>
    </xf>
    <xf numFmtId="0" fontId="26" fillId="33" borderId="0" xfId="5" applyFont="1" applyFill="1" applyAlignment="1">
      <alignment shrinkToFit="1"/>
    </xf>
    <xf numFmtId="22" fontId="77" fillId="35" borderId="0" xfId="0" applyNumberFormat="1" applyFont="1" applyFill="1"/>
    <xf numFmtId="0" fontId="77" fillId="35" borderId="0" xfId="0" applyFont="1" applyFill="1"/>
    <xf numFmtId="0" fontId="53" fillId="0" borderId="0" xfId="45" applyFont="1" applyFill="1" applyAlignment="1">
      <alignment vertical="center"/>
    </xf>
    <xf numFmtId="172" fontId="50" fillId="0" borderId="0" xfId="47" applyFont="1"/>
    <xf numFmtId="2" fontId="50" fillId="0" borderId="0" xfId="48" applyFont="1"/>
    <xf numFmtId="2" fontId="50" fillId="0" borderId="0" xfId="48" quotePrefix="1" applyFont="1"/>
    <xf numFmtId="3" fontId="50" fillId="0" borderId="0" xfId="49" applyFont="1"/>
    <xf numFmtId="0" fontId="50" fillId="33" borderId="0" xfId="0" applyFont="1" applyFill="1"/>
    <xf numFmtId="2" fontId="50" fillId="0" borderId="0" xfId="48" applyFont="1" applyFill="1"/>
    <xf numFmtId="0" fontId="8" fillId="0" borderId="0" xfId="0" applyFont="1"/>
    <xf numFmtId="169" fontId="52" fillId="44" borderId="42" xfId="18">
      <alignment horizontal="center" vertical="center" wrapText="1"/>
    </xf>
    <xf numFmtId="0" fontId="50" fillId="4" borderId="42" xfId="53" applyAlignment="1">
      <alignment horizontal="center" vertical="center" wrapText="1"/>
    </xf>
    <xf numFmtId="0" fontId="58" fillId="32" borderId="16" xfId="54" applyBorder="1">
      <alignment horizontal="center" vertical="center"/>
    </xf>
    <xf numFmtId="0" fontId="58" fillId="32" borderId="0" xfId="54" applyBorder="1">
      <alignment horizontal="center" vertical="center"/>
    </xf>
    <xf numFmtId="0" fontId="58" fillId="32" borderId="16" xfId="54" applyBorder="1" applyAlignment="1">
      <alignment vertical="center"/>
    </xf>
    <xf numFmtId="0" fontId="58" fillId="32" borderId="0" xfId="54" applyBorder="1" applyAlignment="1">
      <alignment vertical="center"/>
    </xf>
    <xf numFmtId="0" fontId="1" fillId="12" borderId="0" xfId="22" applyProtection="1"/>
    <xf numFmtId="0" fontId="1" fillId="12" borderId="0" xfId="22" applyBorder="1" applyProtection="1"/>
    <xf numFmtId="0" fontId="29" fillId="12" borderId="0" xfId="22" applyFont="1" applyBorder="1" applyProtection="1"/>
    <xf numFmtId="14" fontId="1" fillId="12" borderId="0" xfId="22" applyNumberFormat="1" applyBorder="1" applyAlignment="1" applyProtection="1"/>
    <xf numFmtId="167" fontId="1" fillId="12" borderId="0" xfId="22" applyNumberFormat="1" applyProtection="1"/>
    <xf numFmtId="167" fontId="1" fillId="12" borderId="0" xfId="22" applyNumberFormat="1" applyBorder="1" applyAlignment="1" applyProtection="1"/>
    <xf numFmtId="0" fontId="1" fillId="12" borderId="0" xfId="22" applyBorder="1" applyAlignment="1" applyProtection="1">
      <alignment vertical="top" wrapText="1"/>
    </xf>
    <xf numFmtId="9" fontId="1" fillId="12" borderId="0" xfId="22" applyNumberFormat="1" applyBorder="1" applyAlignment="1" applyProtection="1"/>
    <xf numFmtId="0" fontId="29" fillId="12" borderId="0" xfId="22" applyFont="1" applyProtection="1"/>
    <xf numFmtId="0" fontId="29" fillId="12" borderId="0" xfId="22" applyFont="1" applyBorder="1" applyAlignment="1" applyProtection="1">
      <alignment vertical="center"/>
    </xf>
    <xf numFmtId="2" fontId="29" fillId="12" borderId="0" xfId="22" applyNumberFormat="1" applyFont="1" applyBorder="1" applyAlignment="1" applyProtection="1">
      <alignment vertical="center"/>
    </xf>
    <xf numFmtId="0" fontId="1" fillId="12" borderId="0" xfId="22" applyAlignment="1" applyProtection="1">
      <alignment horizontal="left"/>
    </xf>
    <xf numFmtId="0" fontId="79" fillId="12" borderId="0" xfId="22" applyFont="1" applyBorder="1" applyProtection="1"/>
    <xf numFmtId="14" fontId="1" fillId="12" borderId="0" xfId="22" applyNumberFormat="1" applyBorder="1" applyProtection="1"/>
    <xf numFmtId="175" fontId="1" fillId="12" borderId="0" xfId="22" applyNumberFormat="1" applyBorder="1" applyAlignment="1" applyProtection="1"/>
    <xf numFmtId="0" fontId="1" fillId="12" borderId="0" xfId="22" applyAlignment="1" applyProtection="1"/>
    <xf numFmtId="0" fontId="79" fillId="16" borderId="0" xfId="55" applyBorder="1" applyProtection="1"/>
    <xf numFmtId="0" fontId="50" fillId="43" borderId="42" xfId="56">
      <alignment horizontal="left" vertical="center" wrapText="1"/>
    </xf>
    <xf numFmtId="0" fontId="50" fillId="43" borderId="42" xfId="56" applyAlignment="1">
      <alignment horizontal="center" vertical="center" wrapText="1"/>
    </xf>
    <xf numFmtId="0" fontId="50" fillId="0" borderId="0" xfId="5" applyFont="1" applyAlignment="1">
      <alignment horizontal="center" vertical="center" wrapText="1"/>
    </xf>
    <xf numFmtId="1" fontId="50" fillId="0" borderId="0" xfId="12" applyNumberFormat="1" applyFont="1" applyFill="1" applyBorder="1" applyAlignment="1">
      <alignment vertical="center"/>
    </xf>
    <xf numFmtId="168" fontId="50" fillId="0" borderId="0" xfId="15" applyNumberFormat="1" applyFont="1" applyFill="1" applyBorder="1" applyAlignment="1">
      <alignment vertical="center"/>
    </xf>
    <xf numFmtId="169" fontId="50" fillId="0" borderId="44" xfId="57" applyNumberFormat="1" applyFill="1" applyAlignment="1">
      <alignment vertical="center"/>
    </xf>
    <xf numFmtId="171" fontId="50" fillId="0" borderId="44" xfId="57" applyNumberFormat="1" applyFill="1" applyAlignment="1">
      <alignment vertical="center"/>
    </xf>
    <xf numFmtId="3" fontId="50" fillId="0" borderId="44" xfId="57" applyNumberFormat="1" applyFill="1" applyAlignment="1">
      <alignment vertical="center"/>
    </xf>
    <xf numFmtId="168" fontId="50" fillId="0" borderId="44" xfId="57" applyNumberFormat="1" applyFill="1" applyAlignment="1">
      <alignment vertical="center"/>
    </xf>
    <xf numFmtId="167" fontId="50" fillId="0" borderId="44" xfId="57" applyNumberFormat="1" applyFill="1" applyAlignment="1">
      <alignment vertical="center"/>
    </xf>
    <xf numFmtId="49" fontId="50" fillId="43" borderId="42" xfId="56" applyNumberFormat="1" applyAlignment="1">
      <alignment horizontal="center" vertical="center" wrapText="1"/>
    </xf>
    <xf numFmtId="0" fontId="50" fillId="0" borderId="44" xfId="57" applyFill="1" applyAlignment="1">
      <alignment horizontal="left" wrapText="1"/>
    </xf>
    <xf numFmtId="0" fontId="50" fillId="0" borderId="44" xfId="57" applyFill="1" applyAlignment="1">
      <alignment horizontal="center"/>
    </xf>
    <xf numFmtId="169" fontId="50" fillId="0" borderId="44" xfId="57" quotePrefix="1" applyNumberFormat="1" applyFill="1" applyAlignment="1">
      <alignment horizontal="center" wrapText="1"/>
    </xf>
    <xf numFmtId="169" fontId="50" fillId="0" borderId="44" xfId="57" applyNumberFormat="1" applyFill="1" applyAlignment="1">
      <alignment horizontal="center"/>
    </xf>
    <xf numFmtId="3" fontId="50" fillId="0" borderId="44" xfId="57" applyNumberFormat="1" applyFill="1" applyAlignment="1">
      <alignment horizontal="center"/>
    </xf>
    <xf numFmtId="168" fontId="50" fillId="0" borderId="44" xfId="57" applyNumberFormat="1" applyFill="1" applyAlignment="1">
      <alignment horizontal="center"/>
    </xf>
    <xf numFmtId="3" fontId="50" fillId="0" borderId="44" xfId="57" quotePrefix="1" applyNumberFormat="1" applyFill="1" applyAlignment="1">
      <alignment horizontal="center" wrapText="1"/>
    </xf>
    <xf numFmtId="169" fontId="50" fillId="0" borderId="44" xfId="57" quotePrefix="1" applyNumberFormat="1" applyFill="1" applyAlignment="1">
      <alignment horizontal="center"/>
    </xf>
    <xf numFmtId="168" fontId="50" fillId="0" borderId="44" xfId="57" quotePrefix="1" applyNumberFormat="1" applyFill="1" applyAlignment="1">
      <alignment horizontal="center" wrapText="1"/>
    </xf>
    <xf numFmtId="0" fontId="50" fillId="43" borderId="42" xfId="56" applyAlignment="1">
      <alignment horizontal="left" wrapText="1"/>
    </xf>
    <xf numFmtId="2" fontId="50" fillId="0" borderId="0" xfId="1" applyNumberFormat="1" applyFont="1" applyFill="1" applyBorder="1"/>
    <xf numFmtId="1" fontId="50" fillId="0" borderId="0" xfId="12" applyNumberFormat="1" applyFont="1" applyFill="1" applyBorder="1"/>
    <xf numFmtId="0" fontId="51" fillId="0" borderId="0" xfId="0" applyFont="1" applyAlignment="1">
      <alignment horizontal="center" vertical="center"/>
    </xf>
    <xf numFmtId="0" fontId="50" fillId="31" borderId="0" xfId="3" applyFont="1" applyFill="1" applyBorder="1" applyAlignment="1">
      <alignment horizontal="left" vertical="center" wrapText="1"/>
    </xf>
    <xf numFmtId="169" fontId="52" fillId="33" borderId="0" xfId="12" applyNumberFormat="1" applyFont="1" applyFill="1" applyBorder="1" applyAlignment="1">
      <alignment vertical="center"/>
    </xf>
    <xf numFmtId="0" fontId="50" fillId="0" borderId="0" xfId="1" applyFont="1" applyFill="1" applyBorder="1" applyAlignment="1">
      <alignment vertical="center"/>
    </xf>
    <xf numFmtId="0" fontId="51" fillId="0" borderId="0" xfId="0" applyFont="1" applyAlignment="1">
      <alignment vertical="center"/>
    </xf>
    <xf numFmtId="0" fontId="50" fillId="0" borderId="0" xfId="3" applyFont="1" applyFill="1" applyBorder="1" applyAlignment="1">
      <alignment horizontal="left" vertical="center" wrapText="1"/>
    </xf>
    <xf numFmtId="0" fontId="50" fillId="43" borderId="42" xfId="56" applyAlignment="1">
      <alignment horizontal="left" vertical="center" wrapText="1"/>
    </xf>
    <xf numFmtId="2" fontId="50" fillId="0" borderId="44" xfId="57" applyNumberFormat="1" applyFill="1" applyAlignment="1"/>
    <xf numFmtId="169" fontId="50" fillId="0" borderId="44" xfId="57" applyNumberFormat="1" applyFill="1" applyAlignment="1"/>
    <xf numFmtId="1" fontId="50" fillId="0" borderId="44" xfId="57" applyNumberFormat="1" applyFill="1" applyAlignment="1"/>
    <xf numFmtId="9" fontId="50" fillId="0" borderId="44" xfId="57" applyNumberFormat="1" applyFill="1" applyAlignment="1"/>
    <xf numFmtId="2" fontId="50" fillId="0" borderId="44" xfId="57" applyNumberFormat="1" applyFill="1" applyAlignment="1">
      <alignment vertical="center"/>
    </xf>
    <xf numFmtId="0" fontId="50" fillId="43" borderId="45" xfId="56" applyBorder="1" applyAlignment="1">
      <alignment horizontal="center" vertical="center" wrapText="1"/>
    </xf>
    <xf numFmtId="1" fontId="50" fillId="0" borderId="0" xfId="1" applyNumberFormat="1" applyFont="1" applyFill="1" applyBorder="1"/>
    <xf numFmtId="3" fontId="50" fillId="0" borderId="0" xfId="12" applyNumberFormat="1" applyFont="1" applyFill="1" applyBorder="1"/>
    <xf numFmtId="169" fontId="50" fillId="33" borderId="44" xfId="57" applyNumberFormat="1" applyFill="1" applyAlignment="1">
      <alignment vertical="center"/>
    </xf>
    <xf numFmtId="168" fontId="50" fillId="33" borderId="44" xfId="57" applyNumberFormat="1" applyFill="1" applyAlignment="1">
      <alignment vertical="center"/>
    </xf>
    <xf numFmtId="49" fontId="54" fillId="0" borderId="0" xfId="12" applyNumberFormat="1" applyFont="1" applyFill="1" applyBorder="1" applyAlignment="1">
      <alignment horizontal="center" vertical="center" wrapText="1"/>
    </xf>
    <xf numFmtId="0" fontId="50" fillId="43" borderId="42" xfId="56" applyAlignment="1">
      <alignment wrapText="1"/>
    </xf>
    <xf numFmtId="2" fontId="50" fillId="0" borderId="44" xfId="57" quotePrefix="1" applyNumberFormat="1" applyFill="1" applyAlignment="1"/>
    <xf numFmtId="168" fontId="50" fillId="0" borderId="44" xfId="57" applyNumberFormat="1" applyFill="1" applyAlignment="1"/>
    <xf numFmtId="0" fontId="51" fillId="0" borderId="0" xfId="5" applyFont="1" applyAlignment="1">
      <alignment horizontal="center" vertical="center" wrapText="1"/>
    </xf>
    <xf numFmtId="0" fontId="50" fillId="0" borderId="0" xfId="3" applyFont="1" applyFill="1" applyBorder="1" applyAlignment="1">
      <alignment horizontal="left" wrapText="1"/>
    </xf>
    <xf numFmtId="1" fontId="50" fillId="43" borderId="42" xfId="56" applyNumberFormat="1" applyAlignment="1">
      <alignment horizontal="center" vertical="center"/>
    </xf>
    <xf numFmtId="22" fontId="50" fillId="43" borderId="42" xfId="56" applyNumberFormat="1" applyAlignment="1">
      <alignment horizontal="left" vertical="center" wrapText="1"/>
    </xf>
    <xf numFmtId="0" fontId="52" fillId="0" borderId="49" xfId="12" applyFont="1" applyFill="1" applyBorder="1" applyAlignment="1">
      <alignment vertical="center"/>
    </xf>
    <xf numFmtId="169" fontId="54" fillId="44" borderId="49" xfId="58">
      <alignment horizontal="center" vertical="center" wrapText="1"/>
    </xf>
    <xf numFmtId="0" fontId="52" fillId="0" borderId="49" xfId="59" applyAlignment="1"/>
    <xf numFmtId="3" fontId="52" fillId="0" borderId="49" xfId="59" applyNumberFormat="1" applyAlignment="1"/>
    <xf numFmtId="169" fontId="54" fillId="44" borderId="50" xfId="58" applyBorder="1">
      <alignment horizontal="center" vertical="center" wrapText="1"/>
    </xf>
    <xf numFmtId="0" fontId="52" fillId="0" borderId="49" xfId="59" applyAlignment="1">
      <alignment vertical="center"/>
    </xf>
    <xf numFmtId="0" fontId="52" fillId="0" borderId="51" xfId="59" applyBorder="1" applyAlignment="1">
      <alignment vertical="center"/>
    </xf>
    <xf numFmtId="0" fontId="54" fillId="44" borderId="50" xfId="58" applyNumberFormat="1" applyBorder="1" applyAlignment="1">
      <alignment horizontal="center" vertical="center" wrapText="1"/>
    </xf>
    <xf numFmtId="3" fontId="0" fillId="0" borderId="51" xfId="49" applyFont="1" applyBorder="1"/>
    <xf numFmtId="3" fontId="0" fillId="0" borderId="52" xfId="49" applyFont="1" applyBorder="1"/>
    <xf numFmtId="3" fontId="0" fillId="0" borderId="50" xfId="49" applyFont="1" applyBorder="1"/>
    <xf numFmtId="0" fontId="54" fillId="44" borderId="49" xfId="58" applyNumberFormat="1" applyAlignment="1">
      <alignment horizontal="center" vertical="center" wrapText="1"/>
    </xf>
    <xf numFmtId="0" fontId="67" fillId="7" borderId="49" xfId="60" applyFont="1" applyAlignment="1">
      <alignment horizontal="left" vertical="top" wrapText="1"/>
    </xf>
    <xf numFmtId="0" fontId="52" fillId="0" borderId="49" xfId="59" applyAlignment="1">
      <alignment horizontal="center" vertical="center" wrapText="1"/>
    </xf>
    <xf numFmtId="0" fontId="51" fillId="7" borderId="49" xfId="60" applyFont="1" applyAlignment="1">
      <alignment horizontal="center" vertical="center" wrapText="1"/>
    </xf>
    <xf numFmtId="0" fontId="52" fillId="0" borderId="49" xfId="59" applyAlignment="1">
      <alignment horizontal="left"/>
    </xf>
    <xf numFmtId="22" fontId="52" fillId="0" borderId="49" xfId="59" applyNumberFormat="1" applyAlignment="1"/>
    <xf numFmtId="0" fontId="51" fillId="7" borderId="49" xfId="60" applyFont="1" applyAlignment="1">
      <alignment horizontal="left" wrapText="1"/>
    </xf>
    <xf numFmtId="174" fontId="52" fillId="0" borderId="49" xfId="59" applyNumberFormat="1" applyAlignment="1"/>
    <xf numFmtId="0" fontId="52" fillId="0" borderId="49" xfId="59" applyAlignment="1">
      <alignment wrapText="1"/>
    </xf>
    <xf numFmtId="2" fontId="78" fillId="45" borderId="42" xfId="52" applyNumberFormat="1" applyAlignment="1">
      <alignment horizontal="center" vertical="center"/>
    </xf>
    <xf numFmtId="0" fontId="78" fillId="45" borderId="42" xfId="52" applyNumberFormat="1" applyAlignment="1">
      <alignment horizontal="center" vertical="center" wrapText="1"/>
    </xf>
    <xf numFmtId="0" fontId="52" fillId="0" borderId="49" xfId="59" applyAlignment="1">
      <alignment vertical="center" wrapText="1"/>
    </xf>
    <xf numFmtId="0" fontId="51" fillId="7" borderId="49" xfId="60" applyFont="1" applyAlignment="1">
      <alignment vertical="center" wrapText="1"/>
    </xf>
    <xf numFmtId="167" fontId="52" fillId="0" borderId="49" xfId="59" applyNumberFormat="1" applyAlignment="1">
      <alignment vertical="center"/>
    </xf>
    <xf numFmtId="0" fontId="52" fillId="0" borderId="49" xfId="59" applyNumberFormat="1" applyAlignment="1">
      <alignment vertical="center"/>
    </xf>
    <xf numFmtId="167" fontId="78" fillId="45" borderId="42" xfId="52" applyNumberFormat="1" applyAlignment="1" applyProtection="1">
      <alignment horizontal="center" vertical="center" wrapText="1"/>
      <protection locked="0"/>
    </xf>
    <xf numFmtId="167" fontId="54" fillId="44" borderId="49" xfId="58" applyNumberFormat="1" applyAlignment="1">
      <alignment horizontal="center" vertical="center" wrapText="1"/>
    </xf>
    <xf numFmtId="0" fontId="78" fillId="45" borderId="42" xfId="52" applyAlignment="1"/>
    <xf numFmtId="0" fontId="67" fillId="7" borderId="49" xfId="60" applyFont="1" applyAlignment="1">
      <alignment vertical="top" wrapText="1"/>
    </xf>
    <xf numFmtId="0" fontId="54" fillId="44" borderId="49" xfId="58" applyNumberFormat="1" applyAlignment="1">
      <alignment horizontal="center" vertical="center"/>
    </xf>
    <xf numFmtId="49" fontId="54" fillId="44" borderId="49" xfId="58" applyNumberFormat="1" applyAlignment="1">
      <alignment horizontal="center" vertical="center" wrapText="1"/>
    </xf>
    <xf numFmtId="3" fontId="52" fillId="0" borderId="49" xfId="59" applyNumberFormat="1" applyAlignment="1">
      <alignment horizontal="center"/>
    </xf>
    <xf numFmtId="4" fontId="52" fillId="0" borderId="49" xfId="59" applyNumberFormat="1" applyAlignment="1">
      <alignment horizontal="center"/>
    </xf>
    <xf numFmtId="169" fontId="52" fillId="0" borderId="49" xfId="59" applyNumberFormat="1" applyAlignment="1">
      <alignment vertical="center"/>
    </xf>
    <xf numFmtId="0" fontId="67" fillId="7" borderId="49" xfId="60" applyFont="1" applyAlignment="1">
      <alignment vertical="center"/>
    </xf>
    <xf numFmtId="0" fontId="50" fillId="7" borderId="49" xfId="60" applyFont="1" applyAlignment="1">
      <alignment vertical="center"/>
    </xf>
    <xf numFmtId="167" fontId="51" fillId="7" borderId="49" xfId="60" applyNumberFormat="1" applyFont="1" applyAlignment="1">
      <alignment vertical="center"/>
    </xf>
    <xf numFmtId="172" fontId="78" fillId="45" borderId="42" xfId="52" applyNumberFormat="1" applyAlignment="1">
      <alignment vertical="center"/>
    </xf>
    <xf numFmtId="3" fontId="52" fillId="0" borderId="49" xfId="59" applyNumberFormat="1" applyAlignment="1">
      <alignment vertical="center"/>
    </xf>
    <xf numFmtId="0" fontId="52" fillId="0" borderId="49" xfId="59" applyAlignment="1">
      <alignment horizontal="center"/>
    </xf>
    <xf numFmtId="171" fontId="54" fillId="44" borderId="49" xfId="58" applyNumberFormat="1" applyAlignment="1">
      <alignment vertical="center"/>
    </xf>
    <xf numFmtId="173" fontId="52" fillId="0" borderId="49" xfId="59" applyNumberFormat="1" applyAlignment="1">
      <alignment vertical="center"/>
    </xf>
    <xf numFmtId="171" fontId="52" fillId="0" borderId="49" xfId="59" applyNumberFormat="1" applyAlignment="1">
      <alignment vertical="center"/>
    </xf>
    <xf numFmtId="0" fontId="67" fillId="0" borderId="0" xfId="5" quotePrefix="1" applyFont="1" applyAlignment="1">
      <alignment horizontal="right" vertical="center"/>
    </xf>
    <xf numFmtId="0" fontId="67" fillId="0" borderId="0" xfId="5" applyFont="1" applyAlignment="1">
      <alignment horizontal="right" vertical="center"/>
    </xf>
    <xf numFmtId="169" fontId="52" fillId="44" borderId="49" xfId="58" applyNumberFormat="1" applyFont="1" applyAlignment="1">
      <alignment horizontal="right" vertical="center" wrapText="1"/>
    </xf>
    <xf numFmtId="49" fontId="52" fillId="0" borderId="49" xfId="59" applyNumberFormat="1" applyAlignment="1">
      <alignment vertical="center"/>
    </xf>
    <xf numFmtId="2" fontId="52" fillId="0" borderId="49" xfId="59" applyNumberFormat="1" applyAlignment="1">
      <alignment vertical="center"/>
    </xf>
    <xf numFmtId="1" fontId="52" fillId="0" borderId="49" xfId="59" applyNumberFormat="1" applyAlignment="1">
      <alignment horizontal="center" vertical="center"/>
    </xf>
    <xf numFmtId="0" fontId="52" fillId="0" borderId="49" xfId="59" applyAlignment="1">
      <alignment horizontal="center" vertical="center"/>
    </xf>
    <xf numFmtId="0" fontId="52" fillId="0" borderId="49" xfId="59" applyAlignment="1">
      <alignment horizontal="left" vertical="center" wrapText="1"/>
    </xf>
    <xf numFmtId="49" fontId="54" fillId="44" borderId="49" xfId="58" applyNumberFormat="1" applyAlignment="1">
      <alignment horizontal="center" vertical="center"/>
    </xf>
    <xf numFmtId="49" fontId="52" fillId="0" borderId="49" xfId="59" applyNumberFormat="1" applyAlignment="1"/>
    <xf numFmtId="2" fontId="52" fillId="0" borderId="49" xfId="59" applyNumberFormat="1" applyAlignment="1"/>
    <xf numFmtId="0" fontId="54" fillId="44" borderId="49" xfId="58" applyNumberFormat="1" applyAlignment="1"/>
    <xf numFmtId="0" fontId="52" fillId="0" borderId="49" xfId="59" quotePrefix="1" applyAlignment="1">
      <alignment vertical="center"/>
    </xf>
    <xf numFmtId="2" fontId="52" fillId="0" borderId="49" xfId="59" applyNumberFormat="1" applyAlignment="1">
      <alignment vertical="center" wrapText="1"/>
    </xf>
    <xf numFmtId="0" fontId="78" fillId="45" borderId="42" xfId="52" applyAlignment="1" applyProtection="1">
      <alignment vertical="center"/>
    </xf>
    <xf numFmtId="2" fontId="78" fillId="45" borderId="42" xfId="52" applyNumberFormat="1" applyAlignment="1" applyProtection="1">
      <alignment vertical="center"/>
      <protection locked="0"/>
    </xf>
    <xf numFmtId="0" fontId="80" fillId="45" borderId="42" xfId="52" applyFont="1" applyAlignment="1">
      <alignment horizontal="center" vertical="center" wrapText="1"/>
    </xf>
    <xf numFmtId="1" fontId="52" fillId="0" borderId="49" xfId="59" applyNumberFormat="1" applyAlignment="1"/>
    <xf numFmtId="169" fontId="54" fillId="44" borderId="49" xfId="58" applyAlignment="1">
      <alignment horizontal="center"/>
    </xf>
    <xf numFmtId="10" fontId="52" fillId="0" borderId="49" xfId="59" applyNumberFormat="1" applyAlignment="1"/>
    <xf numFmtId="169" fontId="52" fillId="0" borderId="49" xfId="59" applyNumberFormat="1" applyAlignment="1">
      <alignment horizontal="center" vertical="center" wrapText="1"/>
    </xf>
    <xf numFmtId="174" fontId="52" fillId="0" borderId="49" xfId="59" applyNumberFormat="1" applyAlignment="1">
      <alignment horizontal="center" vertical="center" wrapText="1"/>
    </xf>
    <xf numFmtId="169" fontId="52" fillId="0" borderId="49" xfId="59" applyNumberFormat="1" applyAlignment="1">
      <alignment horizontal="right"/>
    </xf>
    <xf numFmtId="0" fontId="81" fillId="0" borderId="49" xfId="59" applyFont="1" applyAlignment="1">
      <alignment horizontal="center" vertical="center" wrapText="1"/>
    </xf>
    <xf numFmtId="0" fontId="81" fillId="0" borderId="49" xfId="59" applyFont="1" applyAlignment="1"/>
    <xf numFmtId="0" fontId="81" fillId="0" borderId="49" xfId="59" applyFont="1" applyAlignment="1">
      <alignment vertical="center" wrapText="1"/>
    </xf>
    <xf numFmtId="0" fontId="81" fillId="0" borderId="49" xfId="59" applyFont="1" applyAlignment="1">
      <alignment vertical="center"/>
    </xf>
    <xf numFmtId="167" fontId="81" fillId="0" borderId="49" xfId="59" applyNumberFormat="1" applyFont="1" applyAlignment="1">
      <alignment vertical="center"/>
    </xf>
    <xf numFmtId="0" fontId="81" fillId="0" borderId="49" xfId="59" applyNumberFormat="1" applyFont="1" applyAlignment="1">
      <alignment vertical="center"/>
    </xf>
    <xf numFmtId="0" fontId="10" fillId="12" borderId="0" xfId="5" applyFont="1" applyFill="1" applyAlignment="1">
      <alignment horizontal="right"/>
    </xf>
    <xf numFmtId="14" fontId="10" fillId="12" borderId="0" xfId="5" applyNumberFormat="1" applyFont="1" applyFill="1" applyAlignment="1">
      <alignment horizontal="right"/>
    </xf>
    <xf numFmtId="180" fontId="10" fillId="12" borderId="0" xfId="21" applyNumberFormat="1" applyFont="1" applyFill="1" applyProtection="1"/>
    <xf numFmtId="0" fontId="50" fillId="0" borderId="0" xfId="19" applyFont="1" applyFill="1" applyProtection="1"/>
    <xf numFmtId="0" fontId="50" fillId="4" borderId="0" xfId="51" applyBorder="1" applyProtection="1"/>
    <xf numFmtId="0" fontId="50" fillId="4" borderId="0" xfId="51" quotePrefix="1" applyBorder="1" applyProtection="1"/>
    <xf numFmtId="169" fontId="52" fillId="44" borderId="42" xfId="18" applyProtection="1">
      <alignment horizontal="center" vertical="center" wrapText="1"/>
    </xf>
    <xf numFmtId="0" fontId="78" fillId="45" borderId="42" xfId="52" applyAlignment="1" applyProtection="1">
      <alignment horizontal="center" vertical="center" wrapText="1"/>
    </xf>
    <xf numFmtId="0" fontId="50" fillId="0" borderId="0" xfId="0" applyFont="1" applyAlignment="1">
      <alignment textRotation="90"/>
    </xf>
    <xf numFmtId="0" fontId="78" fillId="4" borderId="42" xfId="50" applyAlignment="1" applyProtection="1">
      <alignment horizontal="center" vertical="center" wrapText="1"/>
    </xf>
    <xf numFmtId="0" fontId="52" fillId="0" borderId="0" xfId="5" applyFont="1"/>
    <xf numFmtId="0" fontId="50" fillId="0" borderId="0" xfId="45" applyFont="1" applyFill="1" applyProtection="1"/>
    <xf numFmtId="0" fontId="50" fillId="4" borderId="0" xfId="51" applyBorder="1" applyAlignment="1" applyProtection="1">
      <alignment wrapText="1"/>
    </xf>
    <xf numFmtId="0" fontId="78" fillId="45" borderId="42" xfId="52" applyAlignment="1" applyProtection="1">
      <alignment horizontal="center" vertical="top" wrapText="1"/>
    </xf>
    <xf numFmtId="1" fontId="52" fillId="0" borderId="0" xfId="12" applyNumberFormat="1" applyFont="1" applyFill="1" applyBorder="1" applyProtection="1"/>
    <xf numFmtId="167" fontId="50" fillId="0" borderId="0" xfId="5" applyNumberFormat="1" applyFont="1"/>
    <xf numFmtId="0" fontId="50" fillId="7" borderId="49" xfId="60" applyFont="1" applyAlignment="1"/>
    <xf numFmtId="17" fontId="52" fillId="0" borderId="49" xfId="59" applyNumberFormat="1" applyAlignment="1"/>
    <xf numFmtId="169" fontId="52" fillId="0" borderId="49" xfId="59" quotePrefix="1" applyNumberFormat="1" applyAlignment="1">
      <alignment horizontal="center" vertical="center" wrapText="1"/>
    </xf>
    <xf numFmtId="0" fontId="10" fillId="0" borderId="0" xfId="5" applyFont="1" applyAlignment="1">
      <alignment horizontal="left" vertical="center"/>
    </xf>
    <xf numFmtId="169" fontId="54" fillId="44" borderId="42" xfId="18" applyFont="1">
      <alignment horizontal="center" vertical="center" wrapText="1"/>
    </xf>
    <xf numFmtId="15" fontId="9" fillId="0" borderId="0" xfId="5" applyNumberFormat="1" applyAlignment="1">
      <alignment horizontal="center" vertical="center"/>
    </xf>
    <xf numFmtId="15" fontId="10" fillId="0" borderId="4" xfId="5" applyNumberFormat="1" applyFont="1" applyBorder="1" applyAlignment="1">
      <alignment horizontal="center" vertical="center" wrapText="1"/>
    </xf>
    <xf numFmtId="15" fontId="36" fillId="0" borderId="0" xfId="5" applyNumberFormat="1" applyFont="1" applyAlignment="1">
      <alignment horizontal="center" vertical="center"/>
    </xf>
    <xf numFmtId="15" fontId="33" fillId="0" borderId="0" xfId="5" applyNumberFormat="1" applyFont="1" applyAlignment="1">
      <alignment horizontal="center" vertical="center"/>
    </xf>
    <xf numFmtId="0" fontId="35" fillId="0" borderId="0" xfId="5" applyFont="1" applyAlignment="1">
      <alignment horizontal="center" vertical="center"/>
    </xf>
    <xf numFmtId="0" fontId="10" fillId="0" borderId="0" xfId="5" applyFont="1" applyAlignment="1">
      <alignment horizontal="center" vertical="center"/>
    </xf>
    <xf numFmtId="0" fontId="10" fillId="0" borderId="4" xfId="5" applyFont="1" applyBorder="1" applyAlignment="1">
      <alignment horizontal="left" vertical="center" wrapText="1"/>
    </xf>
    <xf numFmtId="0" fontId="18" fillId="0" borderId="0" xfId="5" applyFont="1" applyAlignment="1">
      <alignment horizontal="left" vertical="center"/>
    </xf>
    <xf numFmtId="0" fontId="17" fillId="0" borderId="0" xfId="5" applyFont="1" applyAlignment="1">
      <alignment horizontal="left" vertical="center"/>
    </xf>
    <xf numFmtId="0" fontId="10" fillId="0" borderId="0" xfId="5" applyFont="1" applyAlignment="1">
      <alignment horizontal="center" vertical="center" wrapText="1"/>
    </xf>
    <xf numFmtId="15" fontId="10" fillId="0" borderId="0" xfId="5" applyNumberFormat="1" applyFont="1" applyAlignment="1">
      <alignment horizontal="center" vertical="center" wrapText="1"/>
    </xf>
    <xf numFmtId="2" fontId="9" fillId="0" borderId="0" xfId="5" applyNumberFormat="1" applyAlignment="1">
      <alignment horizontal="center" vertical="center" wrapText="1"/>
    </xf>
    <xf numFmtId="0" fontId="9" fillId="0" borderId="0" xfId="5" applyAlignment="1">
      <alignment horizontal="left" vertical="center" wrapText="1"/>
    </xf>
    <xf numFmtId="15" fontId="9" fillId="0" borderId="0" xfId="5" applyNumberFormat="1" applyAlignment="1">
      <alignment horizontal="center" vertical="center" wrapText="1"/>
    </xf>
    <xf numFmtId="0" fontId="9" fillId="0" borderId="4" xfId="5" applyBorder="1" applyAlignment="1">
      <alignment vertical="center"/>
    </xf>
    <xf numFmtId="15" fontId="9" fillId="0" borderId="4" xfId="5" applyNumberFormat="1" applyBorder="1" applyAlignment="1">
      <alignment horizontal="center" vertical="center"/>
    </xf>
    <xf numFmtId="2" fontId="54" fillId="44" borderId="49" xfId="58" applyNumberFormat="1" applyAlignment="1">
      <alignment horizontal="center" vertical="center" wrapText="1"/>
    </xf>
    <xf numFmtId="49" fontId="50" fillId="0" borderId="0" xfId="5" applyNumberFormat="1" applyFont="1"/>
    <xf numFmtId="0" fontId="78" fillId="45" borderId="42" xfId="52" applyNumberFormat="1" applyAlignment="1" applyProtection="1">
      <alignment horizontal="center" vertical="center" wrapText="1"/>
    </xf>
    <xf numFmtId="17" fontId="52" fillId="0" borderId="58" xfId="59" applyNumberFormat="1" applyBorder="1" applyAlignment="1"/>
    <xf numFmtId="0" fontId="52" fillId="0" borderId="58" xfId="59" applyBorder="1" applyAlignment="1"/>
    <xf numFmtId="0" fontId="1" fillId="12" borderId="0" xfId="22" applyBorder="1" applyAlignment="1" applyProtection="1">
      <alignment horizontal="left" vertical="top" wrapText="1"/>
    </xf>
    <xf numFmtId="0" fontId="31" fillId="0" borderId="0" xfId="5" applyFont="1"/>
    <xf numFmtId="0" fontId="32" fillId="0" borderId="0" xfId="5" applyFont="1"/>
    <xf numFmtId="0" fontId="11" fillId="0" borderId="0" xfId="5" applyFont="1"/>
    <xf numFmtId="0" fontId="25" fillId="0" borderId="0" xfId="5" applyFont="1" applyAlignment="1">
      <alignment vertical="center"/>
    </xf>
    <xf numFmtId="0" fontId="26" fillId="0" borderId="0" xfId="5" applyFont="1" applyAlignment="1">
      <alignment vertical="center"/>
    </xf>
    <xf numFmtId="0" fontId="34" fillId="0" borderId="0" xfId="5" applyFont="1" applyAlignment="1">
      <alignment horizontal="center" vertical="center"/>
    </xf>
    <xf numFmtId="0" fontId="24" fillId="0" borderId="0" xfId="5" applyFont="1" applyAlignment="1">
      <alignment horizontal="center" vertical="center"/>
    </xf>
    <xf numFmtId="0" fontId="16" fillId="0" borderId="0" xfId="5" applyFont="1"/>
    <xf numFmtId="0" fontId="23" fillId="0" borderId="0" xfId="5" applyFont="1" applyAlignment="1">
      <alignment horizontal="center"/>
    </xf>
    <xf numFmtId="0" fontId="28" fillId="0" borderId="0" xfId="5" applyFont="1"/>
    <xf numFmtId="0" fontId="28" fillId="12" borderId="0" xfId="5" applyFont="1" applyFill="1"/>
    <xf numFmtId="14" fontId="28" fillId="12" borderId="0" xfId="5" applyNumberFormat="1" applyFont="1" applyFill="1"/>
    <xf numFmtId="0" fontId="27" fillId="12" borderId="0" xfId="5" applyFont="1" applyFill="1"/>
    <xf numFmtId="0" fontId="21" fillId="12" borderId="0" xfId="5" applyFont="1" applyFill="1" applyAlignment="1">
      <alignment vertical="top"/>
    </xf>
    <xf numFmtId="22" fontId="9" fillId="0" borderId="0" xfId="5" applyNumberFormat="1" applyAlignment="1">
      <alignment horizontal="center"/>
    </xf>
    <xf numFmtId="0" fontId="9" fillId="12" borderId="0" xfId="5" applyFill="1" applyAlignment="1">
      <alignment vertical="top" wrapText="1"/>
    </xf>
    <xf numFmtId="0" fontId="23" fillId="0" borderId="0" xfId="5" applyFont="1" applyAlignment="1">
      <alignment horizontal="left"/>
    </xf>
    <xf numFmtId="169" fontId="9" fillId="0" borderId="0" xfId="5" applyNumberFormat="1" applyAlignment="1">
      <alignment horizontal="center"/>
    </xf>
    <xf numFmtId="0" fontId="48" fillId="12" borderId="0" xfId="5" applyFont="1" applyFill="1" applyAlignment="1">
      <alignment wrapText="1"/>
    </xf>
    <xf numFmtId="0" fontId="0" fillId="0" borderId="0" xfId="0" applyAlignment="1">
      <alignment wrapText="1"/>
    </xf>
    <xf numFmtId="0" fontId="9" fillId="13" borderId="0" xfId="5" applyFill="1"/>
    <xf numFmtId="14" fontId="9" fillId="0" borderId="0" xfId="5" applyNumberFormat="1"/>
    <xf numFmtId="0" fontId="11" fillId="13" borderId="0" xfId="5" applyFont="1" applyFill="1"/>
    <xf numFmtId="0" fontId="10" fillId="13" borderId="0" xfId="5" applyFont="1" applyFill="1"/>
    <xf numFmtId="14" fontId="9" fillId="0" borderId="0" xfId="5" applyNumberFormat="1" applyAlignment="1">
      <alignment horizontal="center"/>
    </xf>
    <xf numFmtId="0" fontId="22" fillId="0" borderId="0" xfId="5" applyFont="1" applyAlignment="1">
      <alignment horizontal="left"/>
    </xf>
    <xf numFmtId="0" fontId="22" fillId="12" borderId="0" xfId="5" applyFont="1" applyFill="1" applyAlignment="1">
      <alignment horizontal="left" vertical="top" wrapText="1"/>
    </xf>
    <xf numFmtId="0" fontId="21" fillId="12" borderId="0" xfId="5" applyFont="1" applyFill="1"/>
    <xf numFmtId="0" fontId="9" fillId="12" borderId="0" xfId="5" applyFill="1" applyAlignment="1">
      <alignment wrapText="1"/>
    </xf>
    <xf numFmtId="0" fontId="9" fillId="12" borderId="0" xfId="5" quotePrefix="1" applyFill="1" applyAlignment="1">
      <alignment horizontal="left"/>
    </xf>
    <xf numFmtId="0" fontId="10" fillId="12" borderId="0" xfId="5" applyFont="1" applyFill="1" applyAlignment="1">
      <alignment vertical="center"/>
    </xf>
    <xf numFmtId="0" fontId="20" fillId="12" borderId="0" xfId="5" applyFont="1" applyFill="1" applyAlignment="1">
      <alignment vertical="center"/>
    </xf>
    <xf numFmtId="0" fontId="16" fillId="12" borderId="0" xfId="5" applyFont="1" applyFill="1"/>
    <xf numFmtId="0" fontId="9" fillId="0" borderId="0" xfId="5" applyAlignment="1">
      <alignment wrapText="1"/>
    </xf>
    <xf numFmtId="0" fontId="88" fillId="0" borderId="0" xfId="0" pivotButton="1" applyFont="1"/>
    <xf numFmtId="0" fontId="88" fillId="0" borderId="0" xfId="0" applyFont="1"/>
    <xf numFmtId="0" fontId="88" fillId="0" borderId="0" xfId="0" applyFont="1" applyAlignment="1">
      <alignment horizontal="left"/>
    </xf>
    <xf numFmtId="167" fontId="88" fillId="0" borderId="0" xfId="0" applyNumberFormat="1" applyFont="1"/>
    <xf numFmtId="1" fontId="88" fillId="0" borderId="0" xfId="0" applyNumberFormat="1" applyFont="1"/>
    <xf numFmtId="9" fontId="88" fillId="0" borderId="0" xfId="0" applyNumberFormat="1" applyFont="1"/>
    <xf numFmtId="0" fontId="89" fillId="0" borderId="0" xfId="0" applyFont="1"/>
    <xf numFmtId="1" fontId="89" fillId="0" borderId="0" xfId="0" applyNumberFormat="1" applyFont="1"/>
    <xf numFmtId="167" fontId="89" fillId="0" borderId="0" xfId="0" applyNumberFormat="1" applyFont="1"/>
    <xf numFmtId="0" fontId="90" fillId="0" borderId="0" xfId="0" pivotButton="1" applyFont="1" applyAlignment="1">
      <alignment horizontal="center" vertical="center" wrapText="1"/>
    </xf>
    <xf numFmtId="165" fontId="90" fillId="0" borderId="0" xfId="0" applyNumberFormat="1" applyFont="1" applyAlignment="1">
      <alignment horizontal="center" vertical="center" wrapText="1"/>
    </xf>
    <xf numFmtId="0" fontId="90" fillId="0" borderId="0" xfId="0" applyFont="1"/>
    <xf numFmtId="167" fontId="90" fillId="0" borderId="0" xfId="0" applyNumberFormat="1" applyFont="1"/>
    <xf numFmtId="0" fontId="90" fillId="0" borderId="0" xfId="0" applyFont="1" applyAlignment="1">
      <alignment horizontal="center" vertical="center" wrapText="1"/>
    </xf>
    <xf numFmtId="0" fontId="89" fillId="0" borderId="0" xfId="0" pivotButton="1" applyFont="1" applyAlignment="1">
      <alignment horizontal="center" vertical="center"/>
    </xf>
    <xf numFmtId="0" fontId="89" fillId="0" borderId="0" xfId="0" pivotButton="1" applyFont="1"/>
    <xf numFmtId="165" fontId="89" fillId="0" borderId="0" xfId="0" applyNumberFormat="1" applyFont="1"/>
    <xf numFmtId="177" fontId="89" fillId="0" borderId="0" xfId="0" applyNumberFormat="1" applyFont="1"/>
    <xf numFmtId="168" fontId="89" fillId="0" borderId="0" xfId="0" applyNumberFormat="1" applyFont="1"/>
    <xf numFmtId="169" fontId="89" fillId="0" borderId="0" xfId="0" applyNumberFormat="1" applyFont="1"/>
    <xf numFmtId="2" fontId="9" fillId="0" borderId="4" xfId="5" applyNumberFormat="1" applyBorder="1" applyAlignment="1">
      <alignment horizontal="center" vertical="center"/>
    </xf>
    <xf numFmtId="2" fontId="9" fillId="0" borderId="4" xfId="5" quotePrefix="1" applyNumberFormat="1" applyBorder="1" applyAlignment="1">
      <alignment horizontal="center" vertical="center"/>
    </xf>
    <xf numFmtId="0" fontId="52" fillId="7" borderId="49" xfId="60" applyFont="1" applyAlignment="1">
      <alignment horizontal="left"/>
    </xf>
    <xf numFmtId="0" fontId="52" fillId="0" borderId="49" xfId="59" applyAlignment="1">
      <alignment horizontal="left" vertical="center" wrapText="1"/>
    </xf>
    <xf numFmtId="169" fontId="54" fillId="44" borderId="49" xfId="58" applyNumberFormat="1" applyAlignment="1">
      <alignment horizontal="center"/>
    </xf>
    <xf numFmtId="169" fontId="54" fillId="44" borderId="49" xfId="58" applyAlignment="1">
      <alignment horizontal="center"/>
    </xf>
    <xf numFmtId="169" fontId="78" fillId="45" borderId="42" xfId="52" applyNumberFormat="1" applyAlignment="1">
      <alignment horizontal="center" wrapText="1"/>
    </xf>
    <xf numFmtId="169" fontId="54" fillId="44" borderId="51" xfId="58" applyBorder="1" applyAlignment="1">
      <alignment horizontal="center" wrapText="1"/>
    </xf>
    <xf numFmtId="169" fontId="54" fillId="44" borderId="50" xfId="58" applyBorder="1" applyAlignment="1">
      <alignment horizontal="center" wrapText="1"/>
    </xf>
    <xf numFmtId="169" fontId="54" fillId="44" borderId="51" xfId="58" applyBorder="1" applyAlignment="1">
      <alignment horizontal="center"/>
    </xf>
    <xf numFmtId="169" fontId="54" fillId="44" borderId="50" xfId="58" applyBorder="1" applyAlignment="1">
      <alignment horizontal="center"/>
    </xf>
    <xf numFmtId="181" fontId="9" fillId="0" borderId="6" xfId="5" applyNumberFormat="1" applyBorder="1" applyAlignment="1">
      <alignment horizontal="left" vertical="center" wrapText="1"/>
    </xf>
    <xf numFmtId="181" fontId="9" fillId="0" borderId="8" xfId="5" applyNumberFormat="1" applyBorder="1" applyAlignment="1">
      <alignment horizontal="left" vertical="center" wrapText="1"/>
    </xf>
    <xf numFmtId="0" fontId="9" fillId="0" borderId="6" xfId="5" applyBorder="1" applyAlignment="1">
      <alignment horizontal="left" vertical="center" wrapText="1"/>
    </xf>
    <xf numFmtId="0" fontId="9" fillId="0" borderId="8" xfId="5" applyBorder="1" applyAlignment="1">
      <alignment horizontal="left" vertical="center" wrapText="1"/>
    </xf>
    <xf numFmtId="2" fontId="9" fillId="0" borderId="6" xfId="5" applyNumberFormat="1" applyBorder="1" applyAlignment="1">
      <alignment horizontal="left" vertical="center" wrapText="1"/>
    </xf>
    <xf numFmtId="0" fontId="71" fillId="12" borderId="0" xfId="46" applyFont="1" applyFill="1" applyBorder="1" applyAlignment="1" applyProtection="1">
      <alignment horizontal="center" vertical="top"/>
    </xf>
    <xf numFmtId="0" fontId="9" fillId="11" borderId="0" xfId="5" applyFill="1" applyAlignment="1" applyProtection="1">
      <alignment horizontal="center"/>
      <protection locked="0"/>
    </xf>
    <xf numFmtId="0" fontId="1" fillId="12" borderId="0" xfId="22" applyBorder="1" applyAlignment="1" applyProtection="1">
      <alignment horizontal="center"/>
    </xf>
    <xf numFmtId="0" fontId="9" fillId="12" borderId="0" xfId="5" applyFill="1" applyAlignment="1">
      <alignment horizontal="left" vertical="top" wrapText="1"/>
    </xf>
    <xf numFmtId="0" fontId="9" fillId="11" borderId="0" xfId="2" applyFont="1" applyFill="1" applyBorder="1" applyAlignment="1" applyProtection="1">
      <alignment horizontal="center"/>
      <protection locked="0"/>
    </xf>
    <xf numFmtId="2" fontId="3" fillId="10" borderId="0" xfId="16" applyNumberFormat="1" applyBorder="1" applyAlignment="1" applyProtection="1">
      <alignment horizontal="center" vertical="center"/>
      <protection locked="0"/>
    </xf>
    <xf numFmtId="0" fontId="29" fillId="12" borderId="0" xfId="22" applyFont="1" applyBorder="1" applyAlignment="1" applyProtection="1">
      <alignment horizontal="center" vertical="top" wrapText="1"/>
    </xf>
    <xf numFmtId="0" fontId="9" fillId="12" borderId="0" xfId="5" applyFill="1" applyAlignment="1">
      <alignment horizontal="center"/>
    </xf>
    <xf numFmtId="176" fontId="9" fillId="11" borderId="0" xfId="1" applyNumberFormat="1" applyFont="1" applyFill="1" applyBorder="1" applyAlignment="1" applyProtection="1">
      <alignment horizontal="center"/>
      <protection locked="0"/>
    </xf>
    <xf numFmtId="0" fontId="26" fillId="12" borderId="0" xfId="5" applyFont="1" applyFill="1" applyAlignment="1">
      <alignment horizontal="center"/>
    </xf>
    <xf numFmtId="22" fontId="9" fillId="0" borderId="0" xfId="5" applyNumberFormat="1" applyAlignment="1">
      <alignment horizontal="center"/>
    </xf>
    <xf numFmtId="0" fontId="9" fillId="0" borderId="0" xfId="5" applyAlignment="1">
      <alignment horizontal="center"/>
    </xf>
    <xf numFmtId="0" fontId="32" fillId="0" borderId="0" xfId="5" applyFont="1" applyAlignment="1">
      <alignment horizontal="center" vertical="center"/>
    </xf>
    <xf numFmtId="2" fontId="34" fillId="0" borderId="0" xfId="5" applyNumberFormat="1" applyFont="1" applyAlignment="1">
      <alignment horizontal="center" vertical="center"/>
    </xf>
    <xf numFmtId="0" fontId="1" fillId="12" borderId="0" xfId="22" applyBorder="1" applyAlignment="1" applyProtection="1">
      <alignment horizontal="left" vertical="top" wrapText="1"/>
    </xf>
    <xf numFmtId="0" fontId="62" fillId="0" borderId="0" xfId="5" applyFont="1" applyAlignment="1">
      <alignment horizontal="center" vertical="center"/>
    </xf>
    <xf numFmtId="14" fontId="9" fillId="11" borderId="0" xfId="5" applyNumberFormat="1" applyFill="1" applyAlignment="1" applyProtection="1">
      <alignment horizontal="center"/>
      <protection locked="0"/>
    </xf>
    <xf numFmtId="14" fontId="1" fillId="12" borderId="0" xfId="22" applyNumberFormat="1" applyBorder="1" applyAlignment="1" applyProtection="1">
      <alignment horizontal="center"/>
    </xf>
    <xf numFmtId="0" fontId="29" fillId="11" borderId="0" xfId="12" applyFont="1" applyFill="1" applyAlignment="1" applyProtection="1">
      <alignment horizontal="center"/>
      <protection locked="0"/>
    </xf>
    <xf numFmtId="0" fontId="79" fillId="12" borderId="0" xfId="22" applyFont="1" applyBorder="1" applyAlignment="1" applyProtection="1">
      <alignment horizontal="left" vertical="top" wrapText="1"/>
    </xf>
    <xf numFmtId="2" fontId="9" fillId="11" borderId="0" xfId="12" applyNumberFormat="1" applyFont="1" applyFill="1" applyBorder="1" applyAlignment="1" applyProtection="1">
      <alignment horizontal="center" vertical="center"/>
      <protection locked="0"/>
    </xf>
    <xf numFmtId="0" fontId="10" fillId="13" borderId="0" xfId="3" applyFont="1" applyFill="1" applyBorder="1" applyAlignment="1" applyProtection="1">
      <alignment horizontal="center" vertical="center" wrapText="1"/>
    </xf>
    <xf numFmtId="167" fontId="9" fillId="11" borderId="0" xfId="5" applyNumberFormat="1" applyFill="1" applyAlignment="1" applyProtection="1">
      <alignment horizontal="center"/>
      <protection locked="0"/>
    </xf>
    <xf numFmtId="172" fontId="1" fillId="12" borderId="0" xfId="22" applyNumberFormat="1" applyBorder="1" applyAlignment="1" applyProtection="1">
      <alignment horizontal="center"/>
    </xf>
    <xf numFmtId="0" fontId="1" fillId="12" borderId="0" xfId="22" applyBorder="1" applyAlignment="1" applyProtection="1">
      <alignment horizontal="center"/>
      <protection locked="0"/>
    </xf>
    <xf numFmtId="0" fontId="9" fillId="11" borderId="0" xfId="12" applyFont="1" applyFill="1" applyBorder="1" applyAlignment="1" applyProtection="1">
      <alignment horizontal="center" vertical="center"/>
      <protection locked="0"/>
    </xf>
    <xf numFmtId="0" fontId="1" fillId="10" borderId="0" xfId="16" applyFont="1" applyBorder="1" applyAlignment="1" applyProtection="1">
      <alignment horizontal="center" vertical="center"/>
      <protection locked="0"/>
    </xf>
    <xf numFmtId="0" fontId="3" fillId="10" borderId="0" xfId="16" applyBorder="1" applyAlignment="1" applyProtection="1">
      <alignment horizontal="center" vertical="center"/>
      <protection locked="0"/>
    </xf>
    <xf numFmtId="0" fontId="1" fillId="46" borderId="0" xfId="22" applyFill="1" applyBorder="1" applyAlignment="1" applyProtection="1">
      <alignment horizontal="center"/>
      <protection locked="0"/>
    </xf>
    <xf numFmtId="0" fontId="1" fillId="12" borderId="0" xfId="22" applyAlignment="1" applyProtection="1">
      <alignment horizontal="center"/>
    </xf>
    <xf numFmtId="0" fontId="50" fillId="4" borderId="42" xfId="53" applyAlignment="1" applyProtection="1">
      <alignment horizontal="center" vertical="center" shrinkToFit="1"/>
    </xf>
    <xf numFmtId="0" fontId="50" fillId="4" borderId="42" xfId="53" applyAlignment="1" applyProtection="1">
      <alignment horizontal="center"/>
    </xf>
    <xf numFmtId="0" fontId="58" fillId="32" borderId="6" xfId="54" applyBorder="1">
      <alignment horizontal="center" vertical="center"/>
    </xf>
    <xf numFmtId="0" fontId="58" fillId="32" borderId="12" xfId="54" applyBorder="1">
      <alignment horizontal="center" vertical="center"/>
    </xf>
    <xf numFmtId="0" fontId="58" fillId="32" borderId="8" xfId="54" applyBorder="1">
      <alignment horizontal="center" vertical="center"/>
    </xf>
    <xf numFmtId="0" fontId="58" fillId="32" borderId="14" xfId="54" applyBorder="1">
      <alignment horizontal="center" vertical="center"/>
    </xf>
    <xf numFmtId="0" fontId="58" fillId="32" borderId="13" xfId="54" applyBorder="1">
      <alignment horizontal="center" vertical="center"/>
    </xf>
    <xf numFmtId="0" fontId="58" fillId="32" borderId="9" xfId="54" applyBorder="1">
      <alignment horizontal="center" vertical="center"/>
    </xf>
    <xf numFmtId="169" fontId="52" fillId="44" borderId="42" xfId="18">
      <alignment horizontal="center" vertical="center" wrapText="1"/>
    </xf>
    <xf numFmtId="0" fontId="58" fillId="32" borderId="16" xfId="54" quotePrefix="1" applyBorder="1">
      <alignment horizontal="center" vertical="center"/>
    </xf>
    <xf numFmtId="0" fontId="58" fillId="32" borderId="0" xfId="54" quotePrefix="1" applyBorder="1">
      <alignment horizontal="center" vertical="center"/>
    </xf>
    <xf numFmtId="173" fontId="58" fillId="32" borderId="16" xfId="54" applyNumberFormat="1" applyBorder="1">
      <alignment horizontal="center" vertical="center"/>
    </xf>
    <xf numFmtId="173" fontId="58" fillId="32" borderId="0" xfId="54" applyNumberFormat="1" applyBorder="1">
      <alignment horizontal="center" vertical="center"/>
    </xf>
    <xf numFmtId="0" fontId="58" fillId="32" borderId="16" xfId="54" applyBorder="1">
      <alignment horizontal="center" vertical="center"/>
    </xf>
    <xf numFmtId="0" fontId="58" fillId="32" borderId="0" xfId="54" applyBorder="1">
      <alignment horizontal="center" vertical="center"/>
    </xf>
    <xf numFmtId="0" fontId="58" fillId="32" borderId="15" xfId="54" applyBorder="1">
      <alignment horizontal="center" vertical="center"/>
    </xf>
    <xf numFmtId="49" fontId="50" fillId="43" borderId="45" xfId="56" applyNumberFormat="1" applyBorder="1" applyAlignment="1">
      <alignment horizontal="center" vertical="center" wrapText="1"/>
    </xf>
    <xf numFmtId="49" fontId="50" fillId="43" borderId="46" xfId="56" applyNumberFormat="1" applyBorder="1" applyAlignment="1">
      <alignment horizontal="center" vertical="center" wrapText="1"/>
    </xf>
    <xf numFmtId="49" fontId="50" fillId="43" borderId="44" xfId="56" applyNumberFormat="1" applyBorder="1" applyAlignment="1">
      <alignment horizontal="center" vertical="center" wrapText="1"/>
    </xf>
    <xf numFmtId="0" fontId="51" fillId="7" borderId="6" xfId="5" applyFont="1" applyFill="1" applyBorder="1" applyAlignment="1">
      <alignment horizontal="center" vertical="center" wrapText="1"/>
    </xf>
    <xf numFmtId="0" fontId="51" fillId="7" borderId="12" xfId="5" applyFont="1" applyFill="1" applyBorder="1" applyAlignment="1">
      <alignment horizontal="center" vertical="center" wrapText="1"/>
    </xf>
    <xf numFmtId="0" fontId="51" fillId="7" borderId="8" xfId="5" applyFont="1" applyFill="1" applyBorder="1" applyAlignment="1">
      <alignment horizontal="center" vertical="center" wrapText="1"/>
    </xf>
    <xf numFmtId="0" fontId="50" fillId="4" borderId="47" xfId="53" applyBorder="1" applyAlignment="1">
      <alignment horizontal="center" wrapText="1"/>
    </xf>
    <xf numFmtId="0" fontId="50" fillId="4" borderId="48" xfId="53" applyBorder="1" applyAlignment="1">
      <alignment horizontal="center" wrapText="1"/>
    </xf>
    <xf numFmtId="0" fontId="50" fillId="4" borderId="42" xfId="53" applyAlignment="1">
      <alignment horizontal="center" vertical="center" wrapText="1"/>
    </xf>
    <xf numFmtId="0" fontId="58" fillId="32" borderId="43" xfId="54" applyBorder="1">
      <alignment horizontal="center" vertical="center"/>
    </xf>
    <xf numFmtId="177" fontId="44" fillId="12" borderId="0" xfId="5" applyNumberFormat="1" applyFont="1" applyFill="1" applyAlignment="1">
      <alignment horizontal="center"/>
    </xf>
    <xf numFmtId="0" fontId="65" fillId="17" borderId="0" xfId="0" applyFont="1" applyFill="1" applyAlignment="1">
      <alignment horizontal="center" vertical="center"/>
    </xf>
    <xf numFmtId="0" fontId="37" fillId="0" borderId="0" xfId="5" applyFont="1" applyAlignment="1">
      <alignment horizontal="center" vertical="center"/>
    </xf>
    <xf numFmtId="0" fontId="36" fillId="33" borderId="0" xfId="5" applyFont="1" applyFill="1" applyAlignment="1">
      <alignment horizontal="center" vertical="center"/>
    </xf>
    <xf numFmtId="0" fontId="75" fillId="33" borderId="0" xfId="5" applyFont="1" applyFill="1" applyAlignment="1">
      <alignment horizontal="center" vertical="center"/>
    </xf>
    <xf numFmtId="2" fontId="26" fillId="33" borderId="0" xfId="5" applyNumberFormat="1" applyFont="1" applyFill="1" applyAlignment="1">
      <alignment horizontal="left" shrinkToFit="1"/>
    </xf>
    <xf numFmtId="2" fontId="26" fillId="33" borderId="0" xfId="5" applyNumberFormat="1" applyFont="1" applyFill="1" applyAlignment="1">
      <alignment horizontal="center" shrinkToFit="1"/>
    </xf>
    <xf numFmtId="0" fontId="26" fillId="33" borderId="0" xfId="5" applyFont="1" applyFill="1" applyAlignment="1">
      <alignment horizontal="center" shrinkToFit="1"/>
    </xf>
    <xf numFmtId="22" fontId="26" fillId="33" borderId="0" xfId="5" applyNumberFormat="1" applyFont="1" applyFill="1" applyAlignment="1">
      <alignment horizontal="left" shrinkToFit="1"/>
    </xf>
    <xf numFmtId="164" fontId="26" fillId="33" borderId="0" xfId="5" applyNumberFormat="1" applyFont="1" applyFill="1" applyAlignment="1">
      <alignment horizontal="center"/>
    </xf>
    <xf numFmtId="167" fontId="26" fillId="33" borderId="0" xfId="5" applyNumberFormat="1" applyFont="1" applyFill="1" applyAlignment="1">
      <alignment horizontal="center"/>
    </xf>
    <xf numFmtId="0" fontId="26" fillId="33" borderId="0" xfId="5" applyFont="1" applyFill="1" applyAlignment="1">
      <alignment horizontal="right"/>
    </xf>
    <xf numFmtId="0" fontId="26" fillId="33" borderId="0" xfId="5" applyFont="1" applyFill="1" applyAlignment="1">
      <alignment horizontal="center"/>
    </xf>
    <xf numFmtId="10" fontId="26" fillId="33" borderId="0" xfId="5" applyNumberFormat="1" applyFont="1" applyFill="1" applyAlignment="1">
      <alignment horizontal="center"/>
    </xf>
    <xf numFmtId="0" fontId="22" fillId="0" borderId="0" xfId="5" applyFont="1" applyAlignment="1">
      <alignment horizontal="center"/>
    </xf>
    <xf numFmtId="177" fontId="10" fillId="12" borderId="0" xfId="21" applyNumberFormat="1" applyFont="1" applyFill="1" applyBorder="1" applyAlignment="1">
      <alignment horizontal="left"/>
    </xf>
    <xf numFmtId="0" fontId="10" fillId="12" borderId="0" xfId="5" applyFont="1" applyFill="1" applyAlignment="1">
      <alignment horizontal="left"/>
    </xf>
    <xf numFmtId="177" fontId="38" fillId="12" borderId="0" xfId="21" applyNumberFormat="1" applyFont="1" applyFill="1" applyBorder="1" applyAlignment="1">
      <alignment horizontal="left"/>
    </xf>
    <xf numFmtId="0" fontId="65" fillId="17" borderId="0" xfId="5" applyFont="1" applyFill="1" applyAlignment="1">
      <alignment horizontal="center" vertical="center" textRotation="90"/>
    </xf>
    <xf numFmtId="14" fontId="10" fillId="12" borderId="0" xfId="5" applyNumberFormat="1" applyFont="1" applyFill="1" applyAlignment="1">
      <alignment horizontal="left"/>
    </xf>
    <xf numFmtId="0" fontId="50" fillId="43" borderId="42" xfId="56" applyAlignment="1">
      <alignment horizontal="center" vertical="center" wrapText="1"/>
    </xf>
    <xf numFmtId="0" fontId="50" fillId="43" borderId="42" xfId="56" applyAlignment="1">
      <alignment horizontal="center" vertical="center"/>
    </xf>
    <xf numFmtId="1" fontId="50" fillId="43" borderId="45" xfId="56" applyNumberFormat="1" applyBorder="1" applyAlignment="1">
      <alignment horizontal="left"/>
    </xf>
    <xf numFmtId="1" fontId="50" fillId="43" borderId="44" xfId="56" applyNumberFormat="1" applyBorder="1" applyAlignment="1">
      <alignment horizontal="left"/>
    </xf>
    <xf numFmtId="1" fontId="50" fillId="43" borderId="46" xfId="56" applyNumberFormat="1" applyBorder="1" applyAlignment="1">
      <alignment horizontal="left"/>
    </xf>
    <xf numFmtId="9" fontId="67" fillId="7" borderId="49" xfId="29" applyNumberFormat="1" applyFont="1" applyFill="1" applyBorder="1" applyAlignment="1">
      <alignment horizontal="left" vertical="center" wrapText="1"/>
    </xf>
    <xf numFmtId="0" fontId="51" fillId="7" borderId="49" xfId="3" applyFont="1" applyFill="1" applyBorder="1" applyAlignment="1">
      <alignment horizontal="center" vertical="center"/>
    </xf>
    <xf numFmtId="0" fontId="51" fillId="7" borderId="49" xfId="3" applyFont="1" applyFill="1" applyBorder="1" applyAlignment="1">
      <alignment horizontal="center" vertical="center" wrapText="1"/>
    </xf>
    <xf numFmtId="0" fontId="67" fillId="7" borderId="49" xfId="4" applyFont="1" applyFill="1" applyBorder="1" applyAlignment="1">
      <alignment vertical="top" wrapText="1"/>
    </xf>
    <xf numFmtId="0" fontId="54" fillId="44" borderId="49" xfId="58" applyNumberFormat="1" applyAlignment="1">
      <alignment horizontal="center" vertical="center" wrapText="1"/>
    </xf>
    <xf numFmtId="0" fontId="67" fillId="7" borderId="49" xfId="60" applyFont="1" applyAlignment="1">
      <alignment horizontal="left" vertical="top" wrapText="1"/>
    </xf>
    <xf numFmtId="0" fontId="50" fillId="4" borderId="42" xfId="53" applyAlignment="1">
      <alignment horizontal="center" vertical="center" textRotation="90" wrapText="1"/>
    </xf>
    <xf numFmtId="0" fontId="51" fillId="7" borderId="49" xfId="60" applyFont="1" applyAlignment="1">
      <alignment horizontal="center" vertical="center" wrapText="1"/>
    </xf>
    <xf numFmtId="0" fontId="67" fillId="7" borderId="49" xfId="60" applyFont="1" applyAlignment="1">
      <alignment vertical="top" wrapText="1"/>
    </xf>
    <xf numFmtId="2" fontId="54" fillId="0" borderId="55" xfId="58" applyNumberFormat="1" applyFill="1" applyBorder="1" applyAlignment="1">
      <alignment horizontal="right" vertical="center" wrapText="1"/>
    </xf>
    <xf numFmtId="2" fontId="54" fillId="0" borderId="56" xfId="58" applyNumberFormat="1" applyFill="1" applyBorder="1" applyAlignment="1">
      <alignment horizontal="right" vertical="center" wrapText="1"/>
    </xf>
    <xf numFmtId="2" fontId="54" fillId="0" borderId="57" xfId="58" applyNumberFormat="1" applyFill="1" applyBorder="1" applyAlignment="1">
      <alignment horizontal="right" vertical="center" wrapText="1"/>
    </xf>
    <xf numFmtId="2" fontId="52" fillId="0" borderId="55" xfId="58" applyNumberFormat="1" applyFont="1" applyFill="1" applyBorder="1" applyAlignment="1">
      <alignment horizontal="left" vertical="center" wrapText="1"/>
    </xf>
    <xf numFmtId="2" fontId="52" fillId="0" borderId="57" xfId="58" applyNumberFormat="1" applyFont="1" applyFill="1" applyBorder="1" applyAlignment="1">
      <alignment horizontal="left" vertical="center" wrapText="1"/>
    </xf>
    <xf numFmtId="0" fontId="52" fillId="0" borderId="55" xfId="59" applyBorder="1" applyAlignment="1">
      <alignment horizontal="left" vertical="center" wrapText="1"/>
    </xf>
    <xf numFmtId="0" fontId="52" fillId="0" borderId="56" xfId="59" applyBorder="1" applyAlignment="1">
      <alignment horizontal="left" vertical="center" wrapText="1"/>
    </xf>
    <xf numFmtId="0" fontId="81" fillId="0" borderId="49" xfId="59" applyFont="1" applyAlignment="1">
      <alignment horizontal="center" vertical="center" wrapText="1"/>
    </xf>
    <xf numFmtId="0" fontId="67" fillId="7" borderId="49" xfId="60" applyFont="1" applyAlignment="1">
      <alignment horizontal="left" vertical="top"/>
    </xf>
    <xf numFmtId="49" fontId="51" fillId="7" borderId="49" xfId="60" applyNumberFormat="1" applyFont="1" applyAlignment="1">
      <alignment horizontal="center" vertical="center"/>
    </xf>
    <xf numFmtId="0" fontId="10" fillId="0" borderId="0" xfId="5" applyFont="1" applyAlignment="1">
      <alignment horizontal="left" vertical="center"/>
    </xf>
    <xf numFmtId="0" fontId="10" fillId="0" borderId="0" xfId="5" applyFont="1" applyAlignment="1">
      <alignment horizontal="left" vertical="center" wrapText="1"/>
    </xf>
    <xf numFmtId="0" fontId="10" fillId="0" borderId="0" xfId="5" applyFont="1" applyAlignment="1">
      <alignment horizontal="left"/>
    </xf>
    <xf numFmtId="0" fontId="67" fillId="7" borderId="49" xfId="60" applyFont="1" applyAlignment="1">
      <alignment vertical="center" wrapText="1"/>
    </xf>
    <xf numFmtId="0" fontId="54" fillId="44" borderId="53" xfId="58" applyNumberFormat="1" applyBorder="1" applyAlignment="1">
      <alignment horizontal="center" vertical="center" wrapText="1"/>
    </xf>
    <xf numFmtId="0" fontId="54" fillId="44" borderId="54" xfId="58" applyNumberFormat="1" applyBorder="1" applyAlignment="1">
      <alignment horizontal="center" vertical="center" wrapText="1"/>
    </xf>
    <xf numFmtId="169" fontId="52" fillId="44" borderId="42" xfId="18" applyAlignment="1">
      <alignment horizontal="left" vertical="center" wrapText="1"/>
    </xf>
    <xf numFmtId="0" fontId="67" fillId="7" borderId="49" xfId="60" applyFont="1" applyAlignment="1"/>
    <xf numFmtId="0" fontId="67" fillId="7" borderId="49" xfId="60" applyFont="1" applyAlignment="1">
      <alignment vertical="top"/>
    </xf>
    <xf numFmtId="49" fontId="54" fillId="44" borderId="49" xfId="58" applyNumberFormat="1" applyAlignment="1">
      <alignment horizontal="center" vertical="center"/>
    </xf>
    <xf numFmtId="0" fontId="54" fillId="44" borderId="49" xfId="58" applyNumberFormat="1" applyAlignment="1">
      <alignment horizontal="center" vertical="center" textRotation="90" wrapText="1"/>
    </xf>
    <xf numFmtId="0" fontId="53" fillId="0" borderId="31" xfId="17" applyFont="1" applyFill="1" applyBorder="1" applyAlignment="1">
      <alignment horizontal="center" vertical="center" wrapText="1"/>
    </xf>
    <xf numFmtId="0" fontId="53" fillId="0" borderId="32" xfId="17" applyFont="1" applyFill="1" applyBorder="1" applyAlignment="1">
      <alignment horizontal="center" vertical="center" wrapText="1"/>
    </xf>
    <xf numFmtId="0" fontId="53" fillId="0" borderId="40" xfId="17" applyFont="1" applyFill="1" applyBorder="1" applyAlignment="1">
      <alignment horizontal="center" vertical="center" wrapText="1"/>
    </xf>
    <xf numFmtId="0" fontId="53" fillId="0" borderId="41" xfId="17" applyFont="1" applyFill="1" applyBorder="1" applyAlignment="1">
      <alignment horizontal="center" vertical="center" wrapText="1"/>
    </xf>
    <xf numFmtId="0" fontId="67" fillId="7" borderId="49" xfId="60" applyFont="1" applyAlignment="1">
      <alignment vertical="center"/>
    </xf>
  </cellXfs>
  <cellStyles count="61">
    <cellStyle name="20% - Accent1 2 2" xfId="22" xr:uid="{00000000-0005-0000-0000-000002000000}"/>
    <cellStyle name="20% - Accent2" xfId="35" builtinId="34" customBuiltin="1"/>
    <cellStyle name="20% - Accent3" xfId="37" builtinId="38" customBuiltin="1"/>
    <cellStyle name="20% - Accent4" xfId="39" builtinId="42" customBuiltin="1"/>
    <cellStyle name="20% - Accent5" xfId="42" builtinId="46" customBuiltin="1"/>
    <cellStyle name="20% - Accent6" xfId="44" builtinId="50" customBuiltin="1"/>
    <cellStyle name="40% - Accent1" xfId="34" builtinId="31" customBuiltin="1"/>
    <cellStyle name="40% - Accent1 2" xfId="19" xr:uid="{00000000-0005-0000-0000-00000B000000}"/>
    <cellStyle name="40% - Accent2" xfId="16" builtinId="35"/>
    <cellStyle name="40% - Accent2 2" xfId="20" xr:uid="{00000000-0005-0000-0000-00000E000000}"/>
    <cellStyle name="40% - Accent3" xfId="23" builtinId="39" customBuiltin="1"/>
    <cellStyle name="40% - Accent4" xfId="40" builtinId="43" customBuiltin="1"/>
    <cellStyle name="40% - Accent6" xfId="24" builtinId="51" customBuiltin="1"/>
    <cellStyle name="60% - Accent6" xfId="12" builtinId="52"/>
    <cellStyle name="Accent1" xfId="4" builtinId="29" customBuiltin="1"/>
    <cellStyle name="Accent2 2" xfId="45" xr:uid="{00000000-0005-0000-0000-000023000000}"/>
    <cellStyle name="Accent3" xfId="36" builtinId="37" customBuiltin="1"/>
    <cellStyle name="Accent4" xfId="38" builtinId="41" customBuiltin="1"/>
    <cellStyle name="Accent5" xfId="41" builtinId="45" customBuiltin="1"/>
    <cellStyle name="Accent6" xfId="43" builtinId="49" customBuiltin="1"/>
    <cellStyle name="Bad" xfId="11" builtinId="27" customBuiltin="1"/>
    <cellStyle name="Calculation" xfId="17" builtinId="22"/>
    <cellStyle name="Check Cell" xfId="3" builtinId="23" customBuiltin="1"/>
    <cellStyle name="Comma" xfId="14" builtinId="3"/>
    <cellStyle name="Comma 0DP" xfId="49" xr:uid="{FFCC19EA-0D59-4401-93A3-B67C2F13B28B}"/>
    <cellStyle name="Currency" xfId="21" builtinId="4"/>
    <cellStyle name="Explanatory Text" xfId="32" builtinId="53" customBuiltin="1"/>
    <cellStyle name="Good" xfId="1" builtinId="26" customBuiltin="1"/>
    <cellStyle name="Heading 1" xfId="25" builtinId="16" customBuiltin="1"/>
    <cellStyle name="Heading 2" xfId="26" builtinId="17" customBuiltin="1"/>
    <cellStyle name="Heading 3" xfId="27" builtinId="18" customBuiltin="1"/>
    <cellStyle name="Heading 4" xfId="28" builtinId="19" customBuiltin="1"/>
    <cellStyle name="Hyperlink" xfId="46" builtinId="8"/>
    <cellStyle name="Input" xfId="2" builtinId="20" customBuiltin="1"/>
    <cellStyle name="Linked Cell" xfId="13" builtinId="24"/>
    <cellStyle name="Normal" xfId="0" builtinId="0"/>
    <cellStyle name="Normal 2" xfId="5" xr:uid="{00000000-0005-0000-0000-00003C000000}"/>
    <cellStyle name="Normal 2 5" xfId="9" xr:uid="{00000000-0005-0000-0000-00003E000000}"/>
    <cellStyle name="Normal 2DP" xfId="48" xr:uid="{0669A7C2-DFEF-4192-A53C-136256A0E700}"/>
    <cellStyle name="Normal 3DP" xfId="47" xr:uid="{D4EFF047-A3F1-44BE-858F-C3C7F903F068}"/>
    <cellStyle name="Normal 7" xfId="6" xr:uid="{00000000-0005-0000-0000-000041000000}"/>
    <cellStyle name="Normal_OMS" xfId="7" xr:uid="{00000000-0005-0000-0000-000042000000}"/>
    <cellStyle name="Normal_Y1" xfId="10" xr:uid="{00000000-0005-0000-0000-000043000000}"/>
    <cellStyle name="Note" xfId="31" builtinId="10" customBuiltin="1"/>
    <cellStyle name="Note 2" xfId="8" xr:uid="{00000000-0005-0000-0000-000045000000}"/>
    <cellStyle name="Output" xfId="29" builtinId="21" customBuiltin="1"/>
    <cellStyle name="Percent" xfId="15" builtinId="5"/>
    <cellStyle name="SAVErefTxt" xfId="59" xr:uid="{5603A6E5-90DC-49E4-A22D-49DA2B08E1A6}"/>
    <cellStyle name="SAVIbold" xfId="55" xr:uid="{276687E6-DC5C-4D6C-A024-A13A40767587}"/>
    <cellStyle name="SAVIcalculated" xfId="18" xr:uid="{00000000-0005-0000-0000-000020000000}"/>
    <cellStyle name="SAVIcheck" xfId="50" xr:uid="{25D0C76B-115E-4014-8326-B82152F8BB4F}"/>
    <cellStyle name="SAVIgrey" xfId="51" xr:uid="{0832FCAE-04B4-4B77-8144-C67B70F7149D}"/>
    <cellStyle name="SAVIinput" xfId="52" xr:uid="{BC9A001C-2FBA-406E-814E-EBC2A0015BD8}"/>
    <cellStyle name="SAVIrefGrey" xfId="60" xr:uid="{F41695D3-C427-4330-A4C3-F6837DCBDC85}"/>
    <cellStyle name="SAVIrefHdr" xfId="58" xr:uid="{8C678B34-91BE-424F-A285-C0331222198E}"/>
    <cellStyle name="SAVIsteps" xfId="54" xr:uid="{9ECC3953-DBAF-4064-9358-8F8B30FDDE3A}"/>
    <cellStyle name="SAVIsumm" xfId="57" xr:uid="{F65C75AE-060F-44A7-B88F-DFD9BEA0E647}"/>
    <cellStyle name="SAVIsummary" xfId="56" xr:uid="{39A387DD-158D-423F-A9AE-413ADE6CDE1D}"/>
    <cellStyle name="SAVItopline" xfId="53" xr:uid="{26D9D765-684D-4694-81CF-560A2065EE1C}"/>
    <cellStyle name="Total" xfId="33" builtinId="25" customBuiltin="1"/>
    <cellStyle name="Warning Text" xfId="30" builtinId="11" customBuiltin="1"/>
  </cellStyles>
  <dxfs count="328">
    <dxf>
      <fill>
        <patternFill>
          <bgColor rgb="FFF5B38B"/>
        </patternFill>
      </fill>
    </dxf>
    <dxf>
      <fill>
        <patternFill>
          <bgColor rgb="FFFF5353"/>
        </patternFill>
      </fill>
    </dxf>
    <dxf>
      <fill>
        <patternFill>
          <bgColor theme="7" tint="0.59996337778862885"/>
        </patternFill>
      </fill>
    </dxf>
    <dxf>
      <fill>
        <patternFill>
          <bgColor theme="9" tint="0.79998168889431442"/>
        </patternFill>
      </fill>
    </dxf>
    <dxf>
      <fill>
        <patternFill>
          <bgColor theme="9" tint="0.39994506668294322"/>
        </patternFill>
      </fill>
    </dxf>
    <dxf>
      <numFmt numFmtId="13" formatCode="0%"/>
    </dxf>
    <dxf>
      <font>
        <sz val="10"/>
      </font>
    </dxf>
    <dxf>
      <font>
        <sz val="10"/>
      </font>
    </dxf>
    <dxf>
      <font>
        <sz val="10"/>
      </font>
    </dxf>
    <dxf>
      <font>
        <name val="Calibri"/>
        <scheme val="minor"/>
      </font>
    </dxf>
    <dxf>
      <font>
        <name val="Calibri"/>
        <scheme val="minor"/>
      </font>
    </dxf>
    <dxf>
      <font>
        <name val="Calibri"/>
        <scheme val="minor"/>
      </font>
    </dxf>
    <dxf>
      <numFmt numFmtId="1" formatCode="0"/>
    </dxf>
    <dxf>
      <font>
        <sz val="10"/>
      </font>
    </dxf>
    <dxf>
      <font>
        <sz val="10"/>
      </font>
    </dxf>
    <dxf>
      <font>
        <name val="Calibri"/>
        <scheme val="minor"/>
      </font>
    </dxf>
    <dxf>
      <font>
        <name val="Calibri"/>
        <scheme val="minor"/>
      </font>
    </dxf>
    <dxf>
      <numFmt numFmtId="167" formatCode="&quot;£&quot;#,##0"/>
    </dxf>
    <dxf>
      <font>
        <sz val="10"/>
      </font>
    </dxf>
    <dxf>
      <font>
        <sz val="10"/>
      </font>
    </dxf>
    <dxf>
      <font>
        <name val="Calibri"/>
        <scheme val="minor"/>
      </font>
    </dxf>
    <dxf>
      <font>
        <name val="Calibri"/>
        <scheme val="minor"/>
      </font>
    </dxf>
    <dxf>
      <numFmt numFmtId="1" formatCode="0"/>
    </dxf>
    <dxf>
      <font>
        <sz val="10"/>
      </font>
    </dxf>
    <dxf>
      <font>
        <sz val="10"/>
      </font>
    </dxf>
    <dxf>
      <font>
        <name val="Calibri"/>
        <scheme val="minor"/>
      </font>
    </dxf>
    <dxf>
      <font>
        <name val="Calibri"/>
        <scheme val="minor"/>
      </font>
    </dxf>
    <dxf>
      <numFmt numFmtId="167" formatCode="&quot;£&quot;#,##0"/>
    </dxf>
    <dxf>
      <font>
        <sz val="10"/>
      </font>
    </dxf>
    <dxf>
      <font>
        <sz val="10"/>
      </font>
    </dxf>
    <dxf>
      <font>
        <name val="Calibri"/>
        <scheme val="minor"/>
      </font>
    </dxf>
    <dxf>
      <font>
        <name val="Calibri"/>
        <scheme val="minor"/>
      </font>
    </dxf>
    <dxf>
      <numFmt numFmtId="1" formatCode="0"/>
    </dxf>
    <dxf>
      <font>
        <sz val="10"/>
      </font>
    </dxf>
    <dxf>
      <font>
        <sz val="10"/>
      </font>
    </dxf>
    <dxf>
      <font>
        <name val="Calibri"/>
        <scheme val="minor"/>
      </font>
    </dxf>
    <dxf>
      <font>
        <name val="Calibri"/>
        <scheme val="minor"/>
      </font>
    </dxf>
    <dxf>
      <numFmt numFmtId="167" formatCode="&quot;£&quot;#,##0"/>
    </dxf>
    <dxf>
      <numFmt numFmtId="167" formatCode="&quot;£&quot;#,##0"/>
    </dxf>
    <dxf>
      <numFmt numFmtId="167" formatCode="&quot;£&quot;#,##0"/>
    </dxf>
    <dxf>
      <numFmt numFmtId="167" formatCode="&quot;£&quot;#,##0"/>
    </dxf>
    <dxf>
      <numFmt numFmtId="177" formatCode="_-&quot;£&quot;* #,##0_-;\-&quot;£&quot;* #,##0_-;_-&quot;£&quot;* &quot;-&quot;??_-;_-@_-"/>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0" formatCode="General"/>
      <alignment horizontal="center" vertical="center" wrapText="1"/>
    </dxf>
    <dxf>
      <numFmt numFmtId="165" formatCode="_(&quot;£&quot;* #,##0.00_);_(&quot;£&quot;* \(#,##0.00\);_(&quot;£&quot;* &quot;-&quot;??_);_(@_)"/>
    </dxf>
    <dxf>
      <numFmt numFmtId="2" formatCode="0.00"/>
    </dxf>
    <dxf>
      <alignment horizontal="center" vertical="center" wrapText="1"/>
    </dxf>
    <dxf>
      <alignment horizontal="center" vertical="center" wrapText="1"/>
    </dxf>
    <dxf>
      <alignment horizontal="center" vertical="center" wrapText="1"/>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alignment horizontal="center" vertical="center" wrapText="1"/>
    </dxf>
    <dxf>
      <font>
        <b/>
      </font>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wrapText="1"/>
    </dxf>
    <dxf>
      <alignment wrapText="1"/>
    </dxf>
    <dxf>
      <alignment wrapText="1"/>
    </dxf>
    <dxf>
      <alignment wrapText="1"/>
    </dxf>
    <dxf>
      <numFmt numFmtId="167" formatCode="&quot;£&quot;#,##0"/>
    </dxf>
    <dxf>
      <numFmt numFmtId="167" formatCode="&quot;£&quot;#,##0"/>
    </dxf>
    <dxf>
      <numFmt numFmtId="167" formatCode="&quot;£&quot;#,##0"/>
    </dxf>
    <dxf>
      <numFmt numFmtId="167" formatCode="&quot;£&quot;#,##0"/>
    </dxf>
    <dxf>
      <numFmt numFmtId="177" formatCode="_-&quot;£&quot;* #,##0_-;\-&quot;£&quot;* #,##0_-;_-&quot;£&quot;* &quot;-&quot;??_-;_-@_-"/>
    </dxf>
    <dxf>
      <numFmt numFmtId="165" formatCode="_(&quot;£&quot;* #,##0.00_);_(&quot;£&quot;* \(#,##0.00\);_(&quot;£&quot;* &quot;-&quot;??_);_(@_)"/>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5" formatCode="_(&quot;£&quot;* #,##0.00_);_(&quot;£&quot;* \(#,##0.00\);_(&quot;£&quot;* &quot;-&quot;??_);_(@_)"/>
    </dxf>
    <dxf>
      <alignment horizontal="center" vertical="center" wrapText="1"/>
    </dxf>
    <dxf>
      <alignment horizontal="right"/>
    </dxf>
    <dxf>
      <alignment horizontal="center" vertical="center" wrapText="1"/>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alignment horizontal="center" vertical="center" wrapText="1"/>
    </dxf>
    <dxf>
      <font>
        <b/>
      </font>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wrapText="1"/>
    </dxf>
    <dxf>
      <alignment wrapText="1"/>
    </dxf>
    <dxf>
      <alignment wrapText="1"/>
    </dxf>
    <dxf>
      <alignment wrapText="1"/>
    </dxf>
    <dxf>
      <numFmt numFmtId="167" formatCode="&quot;£&quot;#,##0"/>
    </dxf>
    <dxf>
      <numFmt numFmtId="167" formatCode="&quot;£&quot;#,##0"/>
    </dxf>
    <dxf>
      <numFmt numFmtId="167" formatCode="&quot;£&quot;#,##0"/>
    </dxf>
    <dxf>
      <numFmt numFmtId="167" formatCode="&quot;£&quot;#,##0"/>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 formatCode="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77" formatCode="_-&quot;£&quot;* #,##0_-;\-&quot;£&quot;* #,##0_-;_-&quot;£&quot;* &quot;-&quot;??_-;_-@_-"/>
    </dxf>
    <dxf>
      <numFmt numFmtId="182" formatCode="_-&quot;£&quot;* #,##0.0_-;\-&quot;£&quot;* #,##0.0_-;_-&quot;£&quot;* &quot;-&quot;??_-;_-@_-"/>
    </dxf>
    <dxf>
      <numFmt numFmtId="165" formatCode="_(&quot;£&quot;* #,##0.00_);_(&quot;£&quot;* \(#,##0.00\);_(&quot;£&quot;* &quot;-&quot;??_);_(@_)"/>
    </dxf>
    <dxf>
      <numFmt numFmtId="167" formatCode="&quot;£&quot;#,##0"/>
    </dxf>
    <dxf>
      <numFmt numFmtId="167" formatCode="&quot;£&quot;#,##0"/>
    </dxf>
    <dxf>
      <numFmt numFmtId="167" formatCode="&quot;£&quot;#,##0"/>
    </dxf>
    <dxf>
      <numFmt numFmtId="167" formatCode="&quot;£&quot;#,##0"/>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77" formatCode="_-&quot;£&quot;* #,##0_-;\-&quot;£&quot;* #,##0_-;_-&quot;£&quot;* &quot;-&quot;??_-;_-@_-"/>
    </dxf>
    <dxf>
      <numFmt numFmtId="182" formatCode="_-&quot;£&quot;* #,##0.0_-;\-&quot;£&quot;* #,##0.0_-;_-&quot;£&quot;* &quot;-&quot;??_-;_-@_-"/>
    </dxf>
    <dxf>
      <numFmt numFmtId="165" formatCode="_(&quot;£&quot;* #,##0.00_);_(&quot;£&quot;* \(#,##0.00\);_(&quot;£&quot;* &quot;-&quot;??_);_(@_)"/>
    </dxf>
    <dxf>
      <protection locked="1"/>
    </dxf>
    <dxf>
      <protection locked="1"/>
    </dxf>
    <dxf>
      <protection locked="1"/>
    </dxf>
    <dxf>
      <protection locked="1"/>
    </dxf>
    <dxf>
      <protection locked="1"/>
    </dxf>
    <dxf>
      <numFmt numFmtId="177" formatCode="_-&quot;£&quot;* #,##0_-;\-&quot;£&quot;* #,##0_-;_-&quot;£&quot;* &quot;-&quot;??_-;_-@_-"/>
    </dxf>
    <dxf>
      <numFmt numFmtId="168" formatCode="0.0%"/>
    </dxf>
    <dxf>
      <numFmt numFmtId="169" formatCode="0.0"/>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5" formatCode="_(&quot;£&quot;* #,##0.00_);_(&quot;£&quot;* \(#,##0.00\);_(&quot;£&quot;* &quot;-&quot;??_);_(@_)"/>
    </dxf>
    <dxf>
      <numFmt numFmtId="165" formatCode="_(&quot;£&quot;* #,##0.00_);_(&quot;£&quot;* \(#,##0.00\);_(&quot;£&quot;* &quot;-&quot;??_);_(@_)"/>
    </dxf>
    <dxf>
      <alignment vertical="center"/>
    </dxf>
    <dxf>
      <alignment horizontal="center"/>
    </dxf>
    <dxf>
      <alignment vertical="center"/>
    </dxf>
    <dxf>
      <alignment vertical="center"/>
    </dxf>
    <dxf>
      <alignment vertical="center"/>
    </dxf>
    <dxf>
      <alignment horizontal="center"/>
    </dxf>
    <dxf>
      <alignment horizontal="center"/>
    </dxf>
    <dxf>
      <alignment horizontal="center"/>
    </dxf>
    <dxf>
      <alignment wrapText="1"/>
    </dxf>
    <dxf>
      <alignment wrapText="1"/>
    </dxf>
    <dxf>
      <alignment wrapText="1"/>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strike val="0"/>
        <color theme="0"/>
      </font>
      <fill>
        <patternFill>
          <bgColor rgb="FF0070C0"/>
        </patternFill>
      </fill>
    </dxf>
    <dxf>
      <font>
        <b/>
        <i/>
        <strike val="0"/>
        <color theme="0"/>
      </font>
      <fill>
        <patternFill>
          <bgColor theme="5"/>
        </patternFill>
      </fill>
    </dxf>
    <dxf>
      <font>
        <strike val="0"/>
      </font>
      <fill>
        <patternFill>
          <bgColor theme="5" tint="0.59996337778862885"/>
        </patternFill>
      </fill>
    </dxf>
    <dxf>
      <fill>
        <patternFill>
          <bgColor theme="4" tint="0.79998168889431442"/>
        </patternFill>
      </fill>
    </dxf>
    <dxf>
      <fill>
        <patternFill>
          <bgColor theme="4" tint="0.79998168889431442"/>
        </patternFill>
      </fill>
    </dxf>
    <dxf>
      <font>
        <strike val="0"/>
      </font>
      <fill>
        <patternFill>
          <bgColor theme="5" tint="0.59996337778862885"/>
        </patternFill>
      </fill>
    </dxf>
    <dxf>
      <font>
        <b/>
        <i val="0"/>
        <color rgb="FF00B050"/>
      </font>
    </dxf>
    <dxf>
      <font>
        <b/>
        <i val="0"/>
        <color rgb="FFFF0000"/>
      </font>
    </dxf>
    <dxf>
      <font>
        <strike val="0"/>
      </font>
      <fill>
        <patternFill>
          <bgColor rgb="FF92D050"/>
        </patternFill>
      </fill>
    </dxf>
    <dxf>
      <font>
        <b/>
        <i val="0"/>
        <strike val="0"/>
      </font>
      <fill>
        <patternFill>
          <bgColor rgb="FFFF0000"/>
        </patternFill>
      </fill>
    </dxf>
  </dxfs>
  <tableStyles count="0" defaultTableStyle="TableStyleMedium2" defaultPivotStyle="PivotStyleLight16"/>
  <colors>
    <mruColors>
      <color rgb="FFE0C1FF"/>
      <color rgb="FFFFFF85"/>
      <color rgb="FFFFFFA3"/>
      <color rgb="FFFFCB97"/>
      <color rgb="FFFFDBB7"/>
      <color rgb="FFCC99FF"/>
      <color rgb="FFF5B38B"/>
      <color rgb="FFFF5353"/>
      <color rgb="FFFF8F8F"/>
      <color rgb="FFF29E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3.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20" Type="http://schemas.openxmlformats.org/officeDocument/2006/relationships/worksheet" Target="worksheets/sheet20.xml"/><Relationship Id="rId41"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30594760825219"/>
          <c:y val="0.14491201463915976"/>
          <c:w val="0.30099779173952945"/>
          <c:h val="0.70599102599453534"/>
        </c:manualLayout>
      </c:layout>
      <c:pieChart>
        <c:varyColors val="1"/>
        <c:ser>
          <c:idx val="0"/>
          <c:order val="0"/>
          <c:dPt>
            <c:idx val="0"/>
            <c:bubble3D val="0"/>
            <c:spPr>
              <a:solidFill>
                <a:schemeClr val="accent1"/>
              </a:solidFill>
              <a:ln>
                <a:noFill/>
              </a:ln>
              <a:effectLst/>
            </c:spPr>
            <c:extLst>
              <c:ext xmlns:c16="http://schemas.microsoft.com/office/drawing/2014/chart" uri="{C3380CC4-5D6E-409C-BE32-E72D297353CC}">
                <c16:uniqueId val="{00000001-2B2C-4035-A02C-1817C20258F9}"/>
              </c:ext>
            </c:extLst>
          </c:dPt>
          <c:dPt>
            <c:idx val="1"/>
            <c:bubble3D val="0"/>
            <c:spPr>
              <a:solidFill>
                <a:schemeClr val="accent3"/>
              </a:solidFill>
              <a:ln>
                <a:noFill/>
              </a:ln>
              <a:effectLst/>
            </c:spPr>
            <c:extLst>
              <c:ext xmlns:c16="http://schemas.microsoft.com/office/drawing/2014/chart" uri="{C3380CC4-5D6E-409C-BE32-E72D297353CC}">
                <c16:uniqueId val="{00000003-2B2C-4035-A02C-1817C20258F9}"/>
              </c:ext>
            </c:extLst>
          </c:dPt>
          <c:dPt>
            <c:idx val="2"/>
            <c:bubble3D val="0"/>
            <c:spPr>
              <a:solidFill>
                <a:schemeClr val="accent5"/>
              </a:solidFill>
              <a:ln>
                <a:noFill/>
              </a:ln>
              <a:effectLst/>
            </c:spPr>
            <c:extLst>
              <c:ext xmlns:c16="http://schemas.microsoft.com/office/drawing/2014/chart" uri="{C3380CC4-5D6E-409C-BE32-E72D297353CC}">
                <c16:uniqueId val="{00000005-2B2C-4035-A02C-1817C20258F9}"/>
              </c:ext>
            </c:extLst>
          </c:dPt>
          <c:dPt>
            <c:idx val="3"/>
            <c:bubble3D val="0"/>
            <c:spPr>
              <a:solidFill>
                <a:schemeClr val="accent1">
                  <a:lumMod val="60000"/>
                </a:schemeClr>
              </a:solidFill>
              <a:ln>
                <a:noFill/>
              </a:ln>
              <a:effectLst/>
            </c:spPr>
            <c:extLst>
              <c:ext xmlns:c16="http://schemas.microsoft.com/office/drawing/2014/chart" uri="{C3380CC4-5D6E-409C-BE32-E72D297353CC}">
                <c16:uniqueId val="{00000007-2B2C-4035-A02C-1817C20258F9}"/>
              </c:ext>
            </c:extLst>
          </c:dPt>
          <c:dPt>
            <c:idx val="4"/>
            <c:bubble3D val="0"/>
            <c:spPr>
              <a:solidFill>
                <a:schemeClr val="accent3">
                  <a:lumMod val="60000"/>
                </a:schemeClr>
              </a:solidFill>
              <a:ln>
                <a:noFill/>
              </a:ln>
              <a:effectLst/>
            </c:spPr>
            <c:extLst>
              <c:ext xmlns:c16="http://schemas.microsoft.com/office/drawing/2014/chart" uri="{C3380CC4-5D6E-409C-BE32-E72D297353CC}">
                <c16:uniqueId val="{00000009-8A9A-4DD5-B55A-3C809E7493DA}"/>
              </c:ext>
            </c:extLst>
          </c:dPt>
          <c:dPt>
            <c:idx val="5"/>
            <c:bubble3D val="0"/>
            <c:spPr>
              <a:solidFill>
                <a:schemeClr val="accent5">
                  <a:lumMod val="60000"/>
                </a:schemeClr>
              </a:solidFill>
              <a:ln>
                <a:noFill/>
              </a:ln>
              <a:effectLst/>
            </c:spPr>
            <c:extLst>
              <c:ext xmlns:c16="http://schemas.microsoft.com/office/drawing/2014/chart" uri="{C3380CC4-5D6E-409C-BE32-E72D297353CC}">
                <c16:uniqueId val="{0000000B-8A9A-4DD5-B55A-3C809E7493DA}"/>
              </c:ext>
            </c:extLst>
          </c:dPt>
          <c:dPt>
            <c:idx val="6"/>
            <c:bubble3D val="0"/>
            <c:spPr>
              <a:solidFill>
                <a:schemeClr val="accent1">
                  <a:lumMod val="80000"/>
                  <a:lumOff val="20000"/>
                </a:schemeClr>
              </a:solidFill>
              <a:ln>
                <a:noFill/>
              </a:ln>
              <a:effectLst/>
            </c:spPr>
            <c:extLst>
              <c:ext xmlns:c16="http://schemas.microsoft.com/office/drawing/2014/chart" uri="{C3380CC4-5D6E-409C-BE32-E72D297353CC}">
                <c16:uniqueId val="{0000000D-8A9A-4DD5-B55A-3C809E7493DA}"/>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extLst>
          </c:dLbls>
          <c:cat>
            <c:strRef>
              <c:f>Value!$CA$8:$CA$14</c:f>
              <c:strCache>
                <c:ptCount val="7"/>
                <c:pt idx="0">
                  <c:v>Bridges</c:v>
                </c:pt>
                <c:pt idx="1">
                  <c:v>Retaining Walls</c:v>
                </c:pt>
                <c:pt idx="2">
                  <c:v>Culverts</c:v>
                </c:pt>
                <c:pt idx="3">
                  <c:v>Sign/Signal Gantries</c:v>
                </c:pt>
                <c:pt idx="4">
                  <c:v>High Mast Lighting</c:v>
                </c:pt>
                <c:pt idx="5">
                  <c:v>Tunnels and Vehicular U/P</c:v>
                </c:pt>
                <c:pt idx="6">
                  <c:v>Other</c:v>
                </c:pt>
              </c:strCache>
            </c:strRef>
          </c:cat>
          <c:val>
            <c:numRef>
              <c:f>Value!$CB$8:$CB$14</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2B2C-4035-A02C-1817C20258F9}"/>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48922991607680327"/>
          <c:y val="0.11679675614774469"/>
          <c:w val="0.39966688538932638"/>
          <c:h val="0.77212239155779017"/>
        </c:manualLayout>
      </c:layout>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noFill/>
    <a:ln w="6350"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710110567493587"/>
          <c:y val="0.18883677863648871"/>
          <c:w val="0.36683463729695176"/>
          <c:h val="0.62224438542921889"/>
        </c:manualLayout>
      </c:layout>
      <c:pieChart>
        <c:varyColors val="1"/>
        <c:ser>
          <c:idx val="0"/>
          <c:order val="0"/>
          <c:dPt>
            <c:idx val="0"/>
            <c:bubble3D val="0"/>
            <c:spPr>
              <a:solidFill>
                <a:schemeClr val="accent6"/>
              </a:solidFill>
              <a:ln>
                <a:noFill/>
              </a:ln>
              <a:effectLst/>
            </c:spPr>
            <c:extLst>
              <c:ext xmlns:c16="http://schemas.microsoft.com/office/drawing/2014/chart" uri="{C3380CC4-5D6E-409C-BE32-E72D297353CC}">
                <c16:uniqueId val="{00000001-F292-4187-873E-794C87B91362}"/>
              </c:ext>
            </c:extLst>
          </c:dPt>
          <c:dPt>
            <c:idx val="1"/>
            <c:bubble3D val="0"/>
            <c:spPr>
              <a:solidFill>
                <a:schemeClr val="accent6">
                  <a:lumMod val="60000"/>
                  <a:lumOff val="40000"/>
                </a:schemeClr>
              </a:solidFill>
              <a:ln>
                <a:noFill/>
              </a:ln>
              <a:effectLst/>
            </c:spPr>
            <c:extLst>
              <c:ext xmlns:c16="http://schemas.microsoft.com/office/drawing/2014/chart" uri="{C3380CC4-5D6E-409C-BE32-E72D297353CC}">
                <c16:uniqueId val="{00000003-F292-4187-873E-794C87B91362}"/>
              </c:ext>
            </c:extLst>
          </c:dPt>
          <c:dPt>
            <c:idx val="2"/>
            <c:bubble3D val="0"/>
            <c:spPr>
              <a:solidFill>
                <a:schemeClr val="accent4"/>
              </a:solidFill>
              <a:ln>
                <a:noFill/>
              </a:ln>
              <a:effectLst/>
            </c:spPr>
            <c:extLst>
              <c:ext xmlns:c16="http://schemas.microsoft.com/office/drawing/2014/chart" uri="{C3380CC4-5D6E-409C-BE32-E72D297353CC}">
                <c16:uniqueId val="{00000005-F292-4187-873E-794C87B91362}"/>
              </c:ext>
            </c:extLst>
          </c:dPt>
          <c:dPt>
            <c:idx val="3"/>
            <c:bubble3D val="0"/>
            <c:spPr>
              <a:solidFill>
                <a:schemeClr val="accent2"/>
              </a:solidFill>
              <a:ln>
                <a:noFill/>
              </a:ln>
              <a:effectLst/>
            </c:spPr>
            <c:extLst>
              <c:ext xmlns:c16="http://schemas.microsoft.com/office/drawing/2014/chart" uri="{C3380CC4-5D6E-409C-BE32-E72D297353CC}">
                <c16:uniqueId val="{00000007-F292-4187-873E-794C87B91362}"/>
              </c:ext>
            </c:extLst>
          </c:dPt>
          <c:dPt>
            <c:idx val="4"/>
            <c:bubble3D val="0"/>
            <c:spPr>
              <a:solidFill>
                <a:srgbClr val="C00000"/>
              </a:solidFill>
              <a:ln>
                <a:noFill/>
              </a:ln>
              <a:effectLst/>
            </c:spPr>
            <c:extLst>
              <c:ext xmlns:c16="http://schemas.microsoft.com/office/drawing/2014/chart" uri="{C3380CC4-5D6E-409C-BE32-E72D297353CC}">
                <c16:uniqueId val="{00000009-F292-4187-873E-794C87B91362}"/>
              </c:ext>
            </c:extLst>
          </c:dPt>
          <c:dPt>
            <c:idx val="5"/>
            <c:bubble3D val="0"/>
            <c:spPr>
              <a:solidFill>
                <a:schemeClr val="accent4">
                  <a:lumMod val="60000"/>
                </a:schemeClr>
              </a:solidFill>
              <a:ln>
                <a:noFill/>
              </a:ln>
              <a:effectLst/>
            </c:spPr>
            <c:extLst>
              <c:ext xmlns:c16="http://schemas.microsoft.com/office/drawing/2014/chart" uri="{C3380CC4-5D6E-409C-BE32-E72D297353CC}">
                <c16:uniqueId val="{0000000B-F292-4187-873E-794C87B91362}"/>
              </c:ext>
            </c:extLst>
          </c:dPt>
          <c:dPt>
            <c:idx val="6"/>
            <c:bubble3D val="0"/>
            <c:spPr>
              <a:solidFill>
                <a:schemeClr val="accent6">
                  <a:lumMod val="80000"/>
                  <a:lumOff val="20000"/>
                </a:schemeClr>
              </a:solidFill>
              <a:ln>
                <a:noFill/>
              </a:ln>
              <a:effectLst/>
            </c:spPr>
            <c:extLst>
              <c:ext xmlns:c16="http://schemas.microsoft.com/office/drawing/2014/chart" uri="{C3380CC4-5D6E-409C-BE32-E72D297353CC}">
                <c16:uniqueId val="{0000000D-F292-4187-873E-794C87B91362}"/>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0"/>
            <c:showSerName val="0"/>
            <c:showPercent val="0"/>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extLst>
          </c:dLbls>
          <c:cat>
            <c:strRef>
              <c:f>'Value Dashboard'!$I$21:$I$25</c:f>
              <c:strCache>
                <c:ptCount val="5"/>
                <c:pt idx="0">
                  <c:v>Very Good</c:v>
                </c:pt>
                <c:pt idx="1">
                  <c:v>Good </c:v>
                </c:pt>
                <c:pt idx="2">
                  <c:v>Fair</c:v>
                </c:pt>
                <c:pt idx="3">
                  <c:v>Poor</c:v>
                </c:pt>
                <c:pt idx="4">
                  <c:v>Very Poor</c:v>
                </c:pt>
              </c:strCache>
            </c:strRef>
          </c:cat>
          <c:val>
            <c:numRef>
              <c:f>'Value Dashboard'!$J$21:$J$25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E-F292-4187-873E-794C87B91362}"/>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2908030673755344"/>
          <c:y val="0.25955094655711836"/>
          <c:w val="0.29104525436271023"/>
          <c:h val="0.383335088191365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noFill/>
    <a:ln w="6350" cap="flat" cmpd="sng" algn="ctr">
      <a:noFill/>
      <a:prstDash val="solid"/>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Value!$CE$7</c:f>
              <c:strCache>
                <c:ptCount val="1"/>
                <c:pt idx="0">
                  <c:v>Very Good</c:v>
                </c:pt>
              </c:strCache>
            </c:strRef>
          </c:tx>
          <c:spPr>
            <a:solidFill>
              <a:schemeClr val="accent6"/>
            </a:solidFill>
            <a:ln>
              <a:noFill/>
            </a:ln>
            <a:effectLst/>
          </c:spPr>
          <c:invertIfNegative val="0"/>
          <c:dLbls>
            <c:numFmt formatCode="General" sourceLinked="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Value!$CA$8:$CA$15</c:f>
              <c:strCache>
                <c:ptCount val="8"/>
                <c:pt idx="0">
                  <c:v>Bridges</c:v>
                </c:pt>
                <c:pt idx="1">
                  <c:v>Retaining Walls</c:v>
                </c:pt>
                <c:pt idx="2">
                  <c:v>Culverts</c:v>
                </c:pt>
                <c:pt idx="3">
                  <c:v>Sign/Signal Gantries</c:v>
                </c:pt>
                <c:pt idx="4">
                  <c:v>High Mast Lighting</c:v>
                </c:pt>
                <c:pt idx="5">
                  <c:v>Tunnels and Vehicular U/P</c:v>
                </c:pt>
                <c:pt idx="6">
                  <c:v>Other</c:v>
                </c:pt>
                <c:pt idx="7">
                  <c:v>Full stock</c:v>
                </c:pt>
              </c:strCache>
            </c:strRef>
          </c:cat>
          <c:val>
            <c:numRef>
              <c:f>Value!$CE$8:$CE$15</c:f>
              <c:numCache>
                <c:formatCode>General</c:formatCode>
                <c:ptCount val="8"/>
                <c:pt idx="0">
                  <c:v>0</c:v>
                </c:pt>
                <c:pt idx="1">
                  <c:v>0</c:v>
                </c:pt>
                <c:pt idx="2">
                  <c:v>0</c:v>
                </c:pt>
                <c:pt idx="3">
                  <c:v>0</c:v>
                </c:pt>
                <c:pt idx="4">
                  <c:v>0</c:v>
                </c:pt>
                <c:pt idx="5">
                  <c:v>0</c:v>
                </c:pt>
                <c:pt idx="6">
                  <c:v>0</c:v>
                </c:pt>
                <c:pt idx="7" formatCode="#,##0">
                  <c:v>0</c:v>
                </c:pt>
              </c:numCache>
            </c:numRef>
          </c:val>
          <c:extLst>
            <c:ext xmlns:c16="http://schemas.microsoft.com/office/drawing/2014/chart" uri="{C3380CC4-5D6E-409C-BE32-E72D297353CC}">
              <c16:uniqueId val="{00000000-B73B-41DF-B825-324FF04F27A5}"/>
            </c:ext>
          </c:extLst>
        </c:ser>
        <c:ser>
          <c:idx val="1"/>
          <c:order val="1"/>
          <c:tx>
            <c:strRef>
              <c:f>Value!$CF$7</c:f>
              <c:strCache>
                <c:ptCount val="1"/>
                <c:pt idx="0">
                  <c:v>Good</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Value!$CA$8:$CA$15</c:f>
              <c:strCache>
                <c:ptCount val="8"/>
                <c:pt idx="0">
                  <c:v>Bridges</c:v>
                </c:pt>
                <c:pt idx="1">
                  <c:v>Retaining Walls</c:v>
                </c:pt>
                <c:pt idx="2">
                  <c:v>Culverts</c:v>
                </c:pt>
                <c:pt idx="3">
                  <c:v>Sign/Signal Gantries</c:v>
                </c:pt>
                <c:pt idx="4">
                  <c:v>High Mast Lighting</c:v>
                </c:pt>
                <c:pt idx="5">
                  <c:v>Tunnels and Vehicular U/P</c:v>
                </c:pt>
                <c:pt idx="6">
                  <c:v>Other</c:v>
                </c:pt>
                <c:pt idx="7">
                  <c:v>Full stock</c:v>
                </c:pt>
              </c:strCache>
            </c:strRef>
          </c:cat>
          <c:val>
            <c:numRef>
              <c:f>Value!$CF$8:$CF$15</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73B-41DF-B825-324FF04F27A5}"/>
            </c:ext>
          </c:extLst>
        </c:ser>
        <c:ser>
          <c:idx val="2"/>
          <c:order val="2"/>
          <c:tx>
            <c:strRef>
              <c:f>Value!$CG$7</c:f>
              <c:strCache>
                <c:ptCount val="1"/>
                <c:pt idx="0">
                  <c:v>Fair</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Value!$CA$8:$CA$15</c:f>
              <c:strCache>
                <c:ptCount val="8"/>
                <c:pt idx="0">
                  <c:v>Bridges</c:v>
                </c:pt>
                <c:pt idx="1">
                  <c:v>Retaining Walls</c:v>
                </c:pt>
                <c:pt idx="2">
                  <c:v>Culverts</c:v>
                </c:pt>
                <c:pt idx="3">
                  <c:v>Sign/Signal Gantries</c:v>
                </c:pt>
                <c:pt idx="4">
                  <c:v>High Mast Lighting</c:v>
                </c:pt>
                <c:pt idx="5">
                  <c:v>Tunnels and Vehicular U/P</c:v>
                </c:pt>
                <c:pt idx="6">
                  <c:v>Other</c:v>
                </c:pt>
                <c:pt idx="7">
                  <c:v>Full stock</c:v>
                </c:pt>
              </c:strCache>
            </c:strRef>
          </c:cat>
          <c:val>
            <c:numRef>
              <c:f>Value!$CG$8:$CG$15</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73B-41DF-B825-324FF04F27A5}"/>
            </c:ext>
          </c:extLst>
        </c:ser>
        <c:ser>
          <c:idx val="4"/>
          <c:order val="3"/>
          <c:tx>
            <c:strRef>
              <c:f>Value!$CH$7</c:f>
              <c:strCache>
                <c:ptCount val="1"/>
                <c:pt idx="0">
                  <c:v>Poor</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Value!$CA$8:$CA$15</c:f>
              <c:strCache>
                <c:ptCount val="8"/>
                <c:pt idx="0">
                  <c:v>Bridges</c:v>
                </c:pt>
                <c:pt idx="1">
                  <c:v>Retaining Walls</c:v>
                </c:pt>
                <c:pt idx="2">
                  <c:v>Culverts</c:v>
                </c:pt>
                <c:pt idx="3">
                  <c:v>Sign/Signal Gantries</c:v>
                </c:pt>
                <c:pt idx="4">
                  <c:v>High Mast Lighting</c:v>
                </c:pt>
                <c:pt idx="5">
                  <c:v>Tunnels and Vehicular U/P</c:v>
                </c:pt>
                <c:pt idx="6">
                  <c:v>Other</c:v>
                </c:pt>
                <c:pt idx="7">
                  <c:v>Full stock</c:v>
                </c:pt>
              </c:strCache>
            </c:strRef>
          </c:cat>
          <c:val>
            <c:numRef>
              <c:f>Value!$CH$8:$CH$15</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B73B-41DF-B825-324FF04F27A5}"/>
            </c:ext>
          </c:extLst>
        </c:ser>
        <c:ser>
          <c:idx val="5"/>
          <c:order val="4"/>
          <c:tx>
            <c:strRef>
              <c:f>Value!$CI$7</c:f>
              <c:strCache>
                <c:ptCount val="1"/>
                <c:pt idx="0">
                  <c:v>Very Poor</c:v>
                </c:pt>
              </c:strCache>
            </c:strRef>
          </c:tx>
          <c:spPr>
            <a:solidFill>
              <a:srgbClr val="C00000"/>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Value!$CA$8:$CA$15</c:f>
              <c:strCache>
                <c:ptCount val="8"/>
                <c:pt idx="0">
                  <c:v>Bridges</c:v>
                </c:pt>
                <c:pt idx="1">
                  <c:v>Retaining Walls</c:v>
                </c:pt>
                <c:pt idx="2">
                  <c:v>Culverts</c:v>
                </c:pt>
                <c:pt idx="3">
                  <c:v>Sign/Signal Gantries</c:v>
                </c:pt>
                <c:pt idx="4">
                  <c:v>High Mast Lighting</c:v>
                </c:pt>
                <c:pt idx="5">
                  <c:v>Tunnels and Vehicular U/P</c:v>
                </c:pt>
                <c:pt idx="6">
                  <c:v>Other</c:v>
                </c:pt>
                <c:pt idx="7">
                  <c:v>Full stock</c:v>
                </c:pt>
              </c:strCache>
            </c:strRef>
          </c:cat>
          <c:val>
            <c:numRef>
              <c:f>Value!$CI$8:$CI$15</c:f>
              <c:numCache>
                <c:formatCode>General</c:formatCode>
                <c:ptCount val="8"/>
                <c:pt idx="0">
                  <c:v>0</c:v>
                </c:pt>
                <c:pt idx="1">
                  <c:v>0</c:v>
                </c:pt>
                <c:pt idx="2">
                  <c:v>0</c:v>
                </c:pt>
                <c:pt idx="3">
                  <c:v>0</c:v>
                </c:pt>
                <c:pt idx="4">
                  <c:v>0</c:v>
                </c:pt>
                <c:pt idx="5">
                  <c:v>0</c:v>
                </c:pt>
                <c:pt idx="6">
                  <c:v>0</c:v>
                </c:pt>
                <c:pt idx="7" formatCode="#,##0">
                  <c:v>0</c:v>
                </c:pt>
              </c:numCache>
            </c:numRef>
          </c:val>
          <c:extLst>
            <c:ext xmlns:c16="http://schemas.microsoft.com/office/drawing/2014/chart" uri="{C3380CC4-5D6E-409C-BE32-E72D297353CC}">
              <c16:uniqueId val="{00000004-B73B-41DF-B825-324FF04F27A5}"/>
            </c:ext>
          </c:extLst>
        </c:ser>
        <c:dLbls>
          <c:showLegendKey val="0"/>
          <c:showVal val="0"/>
          <c:showCatName val="0"/>
          <c:showSerName val="0"/>
          <c:showPercent val="0"/>
          <c:showBubbleSize val="0"/>
        </c:dLbls>
        <c:gapWidth val="150"/>
        <c:overlap val="100"/>
        <c:axId val="201549688"/>
        <c:axId val="201550080"/>
      </c:barChart>
      <c:catAx>
        <c:axId val="201549688"/>
        <c:scaling>
          <c:orientation val="minMax"/>
        </c:scaling>
        <c:delete val="0"/>
        <c:axPos val="b"/>
        <c:title>
          <c:tx>
            <c:rich>
              <a:bodyPr rot="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NZ" b="1"/>
                  <a:t>Structure Type</a:t>
                </a:r>
              </a:p>
            </c:rich>
          </c:tx>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01550080"/>
        <c:crosses val="autoZero"/>
        <c:auto val="1"/>
        <c:lblAlgn val="ctr"/>
        <c:lblOffset val="100"/>
        <c:noMultiLvlLbl val="0"/>
      </c:catAx>
      <c:valAx>
        <c:axId val="2015500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NZ" sz="1000" b="1"/>
                  <a:t>Percentage of structures</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01549688"/>
        <c:crosses val="autoZero"/>
        <c:crossBetween val="between"/>
      </c:valAx>
      <c:spPr>
        <a:noFill/>
        <a:ln>
          <a:noFill/>
        </a:ln>
        <a:effectLst/>
      </c:spPr>
    </c:plotArea>
    <c:legend>
      <c:legendPos val="b"/>
      <c:layout>
        <c:manualLayout>
          <c:xMode val="edge"/>
          <c:yMode val="edge"/>
          <c:x val="0.27655886324651957"/>
          <c:y val="0.8839099866388288"/>
          <c:w val="0.46798701400136067"/>
          <c:h val="7.1353162912939624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noFill/>
    <a:ln w="9525" cap="flat" cmpd="sng" algn="ctr">
      <a:noFill/>
      <a:round/>
    </a:ln>
    <a:effectLst/>
  </c:spPr>
  <c:txPr>
    <a:bodyPr/>
    <a:lstStyle/>
    <a:p>
      <a:pPr>
        <a:defRPr>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baseline="0">
                <a:solidFill>
                  <a:schemeClr val="tx1"/>
                </a:solidFill>
                <a:latin typeface="Arial" panose="020B0604020202020204" pitchFamily="34" charset="0"/>
                <a:ea typeface="+mn-ea"/>
                <a:cs typeface="Arial" panose="020B0604020202020204" pitchFamily="34" charset="0"/>
              </a:defRPr>
            </a:pPr>
            <a:r>
              <a:rPr lang="en-GB" sz="1100"/>
              <a:t>Valuation by Structure Type</a:t>
            </a:r>
          </a:p>
        </c:rich>
      </c:tx>
      <c:layout>
        <c:manualLayout>
          <c:xMode val="edge"/>
          <c:yMode val="edge"/>
          <c:x val="0.16302491517814011"/>
          <c:y val="2.6651437273938702E-2"/>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25993744210233183"/>
          <c:y val="0.17896849894237898"/>
          <c:w val="0.49949099780059902"/>
          <c:h val="0.39803319002448112"/>
        </c:manualLayout>
      </c:layout>
      <c:pieChart>
        <c:varyColors val="1"/>
        <c:ser>
          <c:idx val="0"/>
          <c:order val="0"/>
          <c:dPt>
            <c:idx val="0"/>
            <c:bubble3D val="0"/>
            <c:spPr>
              <a:solidFill>
                <a:schemeClr val="accent1"/>
              </a:solidFill>
              <a:ln>
                <a:noFill/>
              </a:ln>
              <a:effectLst/>
            </c:spPr>
            <c:extLst>
              <c:ext xmlns:c16="http://schemas.microsoft.com/office/drawing/2014/chart" uri="{C3380CC4-5D6E-409C-BE32-E72D297353CC}">
                <c16:uniqueId val="{00000001-D1B9-495A-A6C3-7A639B704C2F}"/>
              </c:ext>
            </c:extLst>
          </c:dPt>
          <c:dPt>
            <c:idx val="1"/>
            <c:bubble3D val="0"/>
            <c:spPr>
              <a:solidFill>
                <a:schemeClr val="accent3"/>
              </a:solidFill>
              <a:ln>
                <a:noFill/>
              </a:ln>
              <a:effectLst/>
            </c:spPr>
            <c:extLst>
              <c:ext xmlns:c16="http://schemas.microsoft.com/office/drawing/2014/chart" uri="{C3380CC4-5D6E-409C-BE32-E72D297353CC}">
                <c16:uniqueId val="{00000003-D1B9-495A-A6C3-7A639B704C2F}"/>
              </c:ext>
            </c:extLst>
          </c:dPt>
          <c:dPt>
            <c:idx val="2"/>
            <c:bubble3D val="0"/>
            <c:spPr>
              <a:solidFill>
                <a:schemeClr val="accent5"/>
              </a:solidFill>
              <a:ln>
                <a:noFill/>
              </a:ln>
              <a:effectLst/>
            </c:spPr>
            <c:extLst>
              <c:ext xmlns:c16="http://schemas.microsoft.com/office/drawing/2014/chart" uri="{C3380CC4-5D6E-409C-BE32-E72D297353CC}">
                <c16:uniqueId val="{00000005-D1B9-495A-A6C3-7A639B704C2F}"/>
              </c:ext>
            </c:extLst>
          </c:dPt>
          <c:dPt>
            <c:idx val="3"/>
            <c:bubble3D val="0"/>
            <c:spPr>
              <a:solidFill>
                <a:schemeClr val="accent1">
                  <a:lumMod val="60000"/>
                </a:schemeClr>
              </a:solidFill>
              <a:ln>
                <a:noFill/>
              </a:ln>
              <a:effectLst/>
            </c:spPr>
            <c:extLst>
              <c:ext xmlns:c16="http://schemas.microsoft.com/office/drawing/2014/chart" uri="{C3380CC4-5D6E-409C-BE32-E72D297353CC}">
                <c16:uniqueId val="{00000007-D1B9-495A-A6C3-7A639B704C2F}"/>
              </c:ext>
            </c:extLst>
          </c:dPt>
          <c:dPt>
            <c:idx val="4"/>
            <c:bubble3D val="0"/>
            <c:spPr>
              <a:solidFill>
                <a:schemeClr val="accent3">
                  <a:lumMod val="60000"/>
                </a:schemeClr>
              </a:solidFill>
              <a:ln>
                <a:noFill/>
              </a:ln>
              <a:effectLst/>
            </c:spPr>
            <c:extLst>
              <c:ext xmlns:c16="http://schemas.microsoft.com/office/drawing/2014/chart" uri="{C3380CC4-5D6E-409C-BE32-E72D297353CC}">
                <c16:uniqueId val="{00000009-D1B9-495A-A6C3-7A639B704C2F}"/>
              </c:ext>
            </c:extLst>
          </c:dPt>
          <c:dPt>
            <c:idx val="5"/>
            <c:bubble3D val="0"/>
            <c:spPr>
              <a:solidFill>
                <a:schemeClr val="accent5">
                  <a:lumMod val="60000"/>
                </a:schemeClr>
              </a:solidFill>
              <a:ln>
                <a:noFill/>
              </a:ln>
              <a:effectLst/>
            </c:spPr>
            <c:extLst>
              <c:ext xmlns:c16="http://schemas.microsoft.com/office/drawing/2014/chart" uri="{C3380CC4-5D6E-409C-BE32-E72D297353CC}">
                <c16:uniqueId val="{0000000B-D1B9-495A-A6C3-7A639B704C2F}"/>
              </c:ext>
            </c:extLst>
          </c:dPt>
          <c:dPt>
            <c:idx val="6"/>
            <c:bubble3D val="0"/>
            <c:spPr>
              <a:solidFill>
                <a:schemeClr val="accent1">
                  <a:lumMod val="80000"/>
                  <a:lumOff val="20000"/>
                </a:schemeClr>
              </a:solidFill>
              <a:ln>
                <a:noFill/>
              </a:ln>
              <a:effectLst/>
            </c:spPr>
            <c:extLst>
              <c:ext xmlns:c16="http://schemas.microsoft.com/office/drawing/2014/chart" uri="{C3380CC4-5D6E-409C-BE32-E72D297353CC}">
                <c16:uniqueId val="{00000003-3EBB-4D0C-856D-4515889C4152}"/>
              </c:ext>
            </c:extLst>
          </c:dPt>
          <c:dLbls>
            <c:dLbl>
              <c:idx val="0"/>
              <c:numFmt formatCode="&quot;£&quot;0.0,,&quot;M&quot;" sourceLinked="0"/>
              <c:spPr>
                <a:noFill/>
                <a:ln>
                  <a:noFill/>
                </a:ln>
                <a:effectLst/>
              </c:spPr>
              <c:txPr>
                <a:bodyPr rot="0" spcFirstLastPara="1" vertOverflow="clip" horzOverflow="clip" vert="horz" wrap="square" lIns="36000" tIns="36000" rIns="36000" bIns="3600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1"/>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1-D1B9-495A-A6C3-7A639B704C2F}"/>
                </c:ext>
              </c:extLst>
            </c:dLbl>
            <c:numFmt formatCode="&quot;£&quot;0.0,,&quot;M&quot;" sourceLinked="0"/>
            <c:spPr>
              <a:noFill/>
              <a:ln>
                <a:noFill/>
              </a:ln>
              <a:effectLst/>
            </c:spPr>
            <c:txPr>
              <a:bodyPr rot="0" spcFirstLastPara="1" vertOverflow="clip" horzOverflow="clip" vert="horz" wrap="square" lIns="36000" tIns="36000" rIns="36000" bIns="36000" anchor="t" anchorCtr="0">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1"/>
            <c:showVal val="1"/>
            <c:showCatName val="0"/>
            <c:showSerName val="0"/>
            <c:showPercent val="0"/>
            <c:showBubbleSize val="0"/>
            <c:separator> </c:separator>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'Value Dashboard'!$L$21:$L$27</c:f>
              <c:strCache>
                <c:ptCount val="7"/>
                <c:pt idx="0">
                  <c:v>Bridges</c:v>
                </c:pt>
                <c:pt idx="1">
                  <c:v>Retaining Walls</c:v>
                </c:pt>
                <c:pt idx="2">
                  <c:v>Culverts</c:v>
                </c:pt>
                <c:pt idx="3">
                  <c:v>Sign/Signal Gantries</c:v>
                </c:pt>
                <c:pt idx="4">
                  <c:v>High Mast Lighting</c:v>
                </c:pt>
                <c:pt idx="5">
                  <c:v>Tunnels and Vehicular U/P</c:v>
                </c:pt>
                <c:pt idx="6">
                  <c:v>Other</c:v>
                </c:pt>
              </c:strCache>
            </c:strRef>
          </c:cat>
          <c:val>
            <c:numRef>
              <c:f>'Value Dashboard'!$N$21:$N$27</c:f>
              <c:numCache>
                <c:formatCode>_-"£"* #,##0_-;\-"£"* #,##0_-;_-"£"* "-"??_-;_-@_-</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3EBB-4D0C-856D-4515889C4152}"/>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16518952718130039"/>
          <c:y val="0.63004196803891943"/>
          <c:w val="0.75347758999612247"/>
          <c:h val="0.28848994226399366"/>
        </c:manualLayout>
      </c:layout>
      <c:overlay val="0"/>
      <c:spPr>
        <a:noFill/>
        <a:ln>
          <a:noFill/>
        </a:ln>
        <a:effectLst/>
      </c:spPr>
      <c:txPr>
        <a:bodyPr rot="0" spcFirstLastPara="1" vertOverflow="ellipsis" vert="horz" wrap="square" anchor="ctr" anchorCtr="1"/>
        <a:lstStyle/>
        <a:p>
          <a:pPr>
            <a:defRPr lang="en-GB"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noFill/>
    <a:ln w="6350" cap="flat" cmpd="sng" algn="ctr">
      <a:noFill/>
      <a:prstDash val="solid"/>
      <a:round/>
    </a:ln>
    <a:effectLst/>
  </c:spPr>
  <c:txPr>
    <a:bodyPr anchor="t" anchorCtr="0"/>
    <a:lstStyle/>
    <a:p>
      <a:pPr>
        <a:defRPr sz="9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baseline="0">
                <a:solidFill>
                  <a:schemeClr val="tx1"/>
                </a:solidFill>
                <a:latin typeface="Arial" panose="020B0604020202020204" pitchFamily="34" charset="0"/>
                <a:ea typeface="+mn-ea"/>
                <a:cs typeface="Arial" panose="020B0604020202020204" pitchFamily="34" charset="0"/>
              </a:defRPr>
            </a:pPr>
            <a:r>
              <a:rPr lang="en-GB" sz="1100"/>
              <a:t>Valuation by </a:t>
            </a:r>
            <a:r>
              <a:rPr lang="en-GB" sz="1100" baseline="0"/>
              <a:t>Bridges Type</a:t>
            </a:r>
            <a:endParaRPr lang="en-GB" sz="1100"/>
          </a:p>
        </c:rich>
      </c:tx>
      <c:layout>
        <c:manualLayout>
          <c:xMode val="edge"/>
          <c:yMode val="edge"/>
          <c:x val="0.22810406046964618"/>
          <c:y val="6.8875206333241207E-2"/>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Arial" panose="020B0604020202020204" pitchFamily="34" charset="0"/>
              <a:ea typeface="+mn-ea"/>
              <a:cs typeface="Arial" panose="020B0604020202020204" pitchFamily="34" charset="0"/>
            </a:defRPr>
          </a:pPr>
          <a:endParaRPr lang="en-GB"/>
        </a:p>
      </c:txPr>
    </c:title>
    <c:autoTitleDeleted val="0"/>
    <c:plotArea>
      <c:layout>
        <c:manualLayout>
          <c:layoutTarget val="inner"/>
          <c:xMode val="edge"/>
          <c:yMode val="edge"/>
          <c:x val="0.28046911441327382"/>
          <c:y val="0.20706539385674394"/>
          <c:w val="0.48983216699202115"/>
          <c:h val="0.45071939132260175"/>
        </c:manualLayout>
      </c:layout>
      <c:pieChart>
        <c:varyColors val="1"/>
        <c:ser>
          <c:idx val="0"/>
          <c:order val="0"/>
          <c:dPt>
            <c:idx val="0"/>
            <c:bubble3D val="0"/>
            <c:spPr>
              <a:solidFill>
                <a:schemeClr val="accent1"/>
              </a:solidFill>
              <a:ln>
                <a:noFill/>
              </a:ln>
              <a:effectLst/>
            </c:spPr>
            <c:extLst>
              <c:ext xmlns:c16="http://schemas.microsoft.com/office/drawing/2014/chart" uri="{C3380CC4-5D6E-409C-BE32-E72D297353CC}">
                <c16:uniqueId val="{00000001-07A4-46B5-A20E-8F3E0E7D9BF5}"/>
              </c:ext>
            </c:extLst>
          </c:dPt>
          <c:dPt>
            <c:idx val="1"/>
            <c:bubble3D val="0"/>
            <c:spPr>
              <a:solidFill>
                <a:schemeClr val="accent3"/>
              </a:solidFill>
              <a:ln>
                <a:noFill/>
              </a:ln>
              <a:effectLst/>
            </c:spPr>
            <c:extLst>
              <c:ext xmlns:c16="http://schemas.microsoft.com/office/drawing/2014/chart" uri="{C3380CC4-5D6E-409C-BE32-E72D297353CC}">
                <c16:uniqueId val="{00000003-07A4-46B5-A20E-8F3E0E7D9BF5}"/>
              </c:ext>
            </c:extLst>
          </c:dPt>
          <c:dPt>
            <c:idx val="2"/>
            <c:bubble3D val="0"/>
            <c:spPr>
              <a:solidFill>
                <a:schemeClr val="accent5"/>
              </a:solidFill>
              <a:ln>
                <a:noFill/>
              </a:ln>
              <a:effectLst/>
            </c:spPr>
            <c:extLst>
              <c:ext xmlns:c16="http://schemas.microsoft.com/office/drawing/2014/chart" uri="{C3380CC4-5D6E-409C-BE32-E72D297353CC}">
                <c16:uniqueId val="{00000005-07A4-46B5-A20E-8F3E0E7D9BF5}"/>
              </c:ext>
            </c:extLst>
          </c:dPt>
          <c:dPt>
            <c:idx val="3"/>
            <c:bubble3D val="0"/>
            <c:spPr>
              <a:solidFill>
                <a:schemeClr val="accent1">
                  <a:lumMod val="60000"/>
                </a:schemeClr>
              </a:solidFill>
              <a:ln>
                <a:noFill/>
              </a:ln>
              <a:effectLst/>
            </c:spPr>
            <c:extLst>
              <c:ext xmlns:c16="http://schemas.microsoft.com/office/drawing/2014/chart" uri="{C3380CC4-5D6E-409C-BE32-E72D297353CC}">
                <c16:uniqueId val="{00000007-07A4-46B5-A20E-8F3E0E7D9BF5}"/>
              </c:ext>
            </c:extLst>
          </c:dPt>
          <c:dPt>
            <c:idx val="4"/>
            <c:bubble3D val="0"/>
            <c:spPr>
              <a:solidFill>
                <a:schemeClr val="accent3">
                  <a:lumMod val="60000"/>
                </a:schemeClr>
              </a:solidFill>
              <a:ln>
                <a:noFill/>
              </a:ln>
              <a:effectLst/>
            </c:spPr>
            <c:extLst>
              <c:ext xmlns:c16="http://schemas.microsoft.com/office/drawing/2014/chart" uri="{C3380CC4-5D6E-409C-BE32-E72D297353CC}">
                <c16:uniqueId val="{00000009-07A4-46B5-A20E-8F3E0E7D9BF5}"/>
              </c:ext>
            </c:extLst>
          </c:dPt>
          <c:dLbls>
            <c:numFmt formatCode="&quot;£&quot;0.0,,&quot;M&quot;" sourceLinked="0"/>
            <c:spPr>
              <a:noFill/>
              <a:ln>
                <a:noFill/>
              </a:ln>
              <a:effectLst/>
            </c:spPr>
            <c:txPr>
              <a:bodyPr rot="0" spcFirstLastPara="1" vertOverflow="overflow" horzOverflow="overflow" vert="horz" wrap="square"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1"/>
            <c:showVal val="1"/>
            <c:showCatName val="0"/>
            <c:showSerName val="0"/>
            <c:showPercent val="0"/>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extLst>
          </c:dLbls>
          <c:cat>
            <c:strRef>
              <c:f>'Value Dashboard'!$L$34:$L$38</c:f>
              <c:strCache>
                <c:ptCount val="5"/>
                <c:pt idx="0">
                  <c:v>Bridge:  Vehicular (single span)</c:v>
                </c:pt>
                <c:pt idx="1">
                  <c:v>Bridge:  Vehicular (2 or 3 spans)</c:v>
                </c:pt>
                <c:pt idx="2">
                  <c:v>Bridge:  Vehicular (4 or more spans)</c:v>
                </c:pt>
                <c:pt idx="3">
                  <c:v>Bridge:  Pedestrian/Cycle (single span)</c:v>
                </c:pt>
                <c:pt idx="4">
                  <c:v>Bridge:  Pedestrian/Cycle (multi-span)</c:v>
                </c:pt>
              </c:strCache>
            </c:strRef>
          </c:cat>
          <c:val>
            <c:numRef>
              <c:f>'Value Dashboard'!$N$34:$N$38</c:f>
              <c:numCache>
                <c:formatCode>_-"£"* #,##0_-;\-"£"* #,##0_-;_-"£"* "-"??_-;_-@_-</c:formatCode>
                <c:ptCount val="5"/>
                <c:pt idx="0">
                  <c:v>0</c:v>
                </c:pt>
                <c:pt idx="1">
                  <c:v>0</c:v>
                </c:pt>
                <c:pt idx="2">
                  <c:v>0</c:v>
                </c:pt>
                <c:pt idx="3">
                  <c:v>0</c:v>
                </c:pt>
                <c:pt idx="4">
                  <c:v>0</c:v>
                </c:pt>
              </c:numCache>
            </c:numRef>
          </c:val>
          <c:extLst>
            <c:ext xmlns:c16="http://schemas.microsoft.com/office/drawing/2014/chart" uri="{C3380CC4-5D6E-409C-BE32-E72D297353CC}">
              <c16:uniqueId val="{0000000A-07A4-46B5-A20E-8F3E0E7D9BF5}"/>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4.6966099131819421E-2"/>
          <c:y val="0.7481039054484403"/>
          <c:w val="0.91823081549274632"/>
          <c:h val="0.22278278191581499"/>
        </c:manualLayout>
      </c:layout>
      <c:overlay val="0"/>
      <c:spPr>
        <a:noFill/>
        <a:ln>
          <a:noFill/>
        </a:ln>
        <a:effectLst/>
      </c:spPr>
      <c:txPr>
        <a:bodyPr rot="0" spcFirstLastPara="1" vertOverflow="ellipsis" vert="horz" wrap="square" anchor="t" anchorCtr="0"/>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noFill/>
    <a:ln w="6350" cap="flat" cmpd="sng" algn="ctr">
      <a:noFill/>
      <a:prstDash val="solid"/>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305940960686825"/>
          <c:y val="0.31521627501587768"/>
          <c:w val="0.30099779173952945"/>
          <c:h val="0.70599102599453534"/>
        </c:manualLayout>
      </c:layout>
      <c:pieChart>
        <c:varyColors val="1"/>
        <c:ser>
          <c:idx val="0"/>
          <c:order val="0"/>
          <c:dPt>
            <c:idx val="0"/>
            <c:bubble3D val="0"/>
            <c:spPr>
              <a:solidFill>
                <a:schemeClr val="accent1"/>
              </a:solidFill>
              <a:ln>
                <a:noFill/>
              </a:ln>
              <a:effectLst/>
            </c:spPr>
            <c:extLst>
              <c:ext xmlns:c16="http://schemas.microsoft.com/office/drawing/2014/chart" uri="{C3380CC4-5D6E-409C-BE32-E72D297353CC}">
                <c16:uniqueId val="{00000001-13F2-43DE-A3F3-BD2B5AA1DA79}"/>
              </c:ext>
            </c:extLst>
          </c:dPt>
          <c:dPt>
            <c:idx val="1"/>
            <c:bubble3D val="0"/>
            <c:spPr>
              <a:solidFill>
                <a:schemeClr val="accent3"/>
              </a:solidFill>
              <a:ln>
                <a:noFill/>
              </a:ln>
              <a:effectLst/>
            </c:spPr>
            <c:extLst>
              <c:ext xmlns:c16="http://schemas.microsoft.com/office/drawing/2014/chart" uri="{C3380CC4-5D6E-409C-BE32-E72D297353CC}">
                <c16:uniqueId val="{00000003-13F2-43DE-A3F3-BD2B5AA1DA79}"/>
              </c:ext>
            </c:extLst>
          </c:dPt>
          <c:dPt>
            <c:idx val="2"/>
            <c:bubble3D val="0"/>
            <c:spPr>
              <a:solidFill>
                <a:schemeClr val="accent5"/>
              </a:solidFill>
              <a:ln>
                <a:noFill/>
              </a:ln>
              <a:effectLst/>
            </c:spPr>
            <c:extLst>
              <c:ext xmlns:c16="http://schemas.microsoft.com/office/drawing/2014/chart" uri="{C3380CC4-5D6E-409C-BE32-E72D297353CC}">
                <c16:uniqueId val="{00000005-13F2-43DE-A3F3-BD2B5AA1DA79}"/>
              </c:ext>
            </c:extLst>
          </c:dPt>
          <c:dPt>
            <c:idx val="3"/>
            <c:bubble3D val="0"/>
            <c:spPr>
              <a:solidFill>
                <a:schemeClr val="accent1">
                  <a:lumMod val="60000"/>
                </a:schemeClr>
              </a:solidFill>
              <a:ln>
                <a:noFill/>
              </a:ln>
              <a:effectLst/>
            </c:spPr>
            <c:extLst>
              <c:ext xmlns:c16="http://schemas.microsoft.com/office/drawing/2014/chart" uri="{C3380CC4-5D6E-409C-BE32-E72D297353CC}">
                <c16:uniqueId val="{00000007-13F2-43DE-A3F3-BD2B5AA1DA79}"/>
              </c:ext>
            </c:extLst>
          </c:dPt>
          <c:dPt>
            <c:idx val="4"/>
            <c:bubble3D val="0"/>
            <c:spPr>
              <a:solidFill>
                <a:schemeClr val="accent3">
                  <a:lumMod val="60000"/>
                </a:schemeClr>
              </a:solidFill>
              <a:ln>
                <a:noFill/>
              </a:ln>
              <a:effectLst/>
            </c:spPr>
            <c:extLst>
              <c:ext xmlns:c16="http://schemas.microsoft.com/office/drawing/2014/chart" uri="{C3380CC4-5D6E-409C-BE32-E72D297353CC}">
                <c16:uniqueId val="{00000009-2EE1-46AD-A8B7-05E9C0C7D0F3}"/>
              </c:ext>
            </c:extLst>
          </c:dPt>
          <c:dPt>
            <c:idx val="5"/>
            <c:bubble3D val="0"/>
            <c:spPr>
              <a:solidFill>
                <a:schemeClr val="accent5">
                  <a:lumMod val="60000"/>
                </a:schemeClr>
              </a:solidFill>
              <a:ln>
                <a:noFill/>
              </a:ln>
              <a:effectLst/>
            </c:spPr>
            <c:extLst>
              <c:ext xmlns:c16="http://schemas.microsoft.com/office/drawing/2014/chart" uri="{C3380CC4-5D6E-409C-BE32-E72D297353CC}">
                <c16:uniqueId val="{0000000B-2EE1-46AD-A8B7-05E9C0C7D0F3}"/>
              </c:ext>
            </c:extLst>
          </c:dPt>
          <c:dPt>
            <c:idx val="6"/>
            <c:bubble3D val="0"/>
            <c:spPr>
              <a:solidFill>
                <a:schemeClr val="accent1">
                  <a:lumMod val="80000"/>
                  <a:lumOff val="20000"/>
                </a:schemeClr>
              </a:solidFill>
              <a:ln>
                <a:noFill/>
              </a:ln>
              <a:effectLst/>
            </c:spPr>
            <c:extLst>
              <c:ext xmlns:c16="http://schemas.microsoft.com/office/drawing/2014/chart" uri="{C3380CC4-5D6E-409C-BE32-E72D297353CC}">
                <c16:uniqueId val="{0000000D-2EE1-46AD-A8B7-05E9C0C7D0F3}"/>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extLst>
          </c:dLbls>
          <c:cat>
            <c:strRef>
              <c:f>Value!$CA$8:$CA$14</c:f>
              <c:strCache>
                <c:ptCount val="7"/>
                <c:pt idx="0">
                  <c:v>Bridges</c:v>
                </c:pt>
                <c:pt idx="1">
                  <c:v>Retaining Walls</c:v>
                </c:pt>
                <c:pt idx="2">
                  <c:v>Culverts</c:v>
                </c:pt>
                <c:pt idx="3">
                  <c:v>Sign/Signal Gantries</c:v>
                </c:pt>
                <c:pt idx="4">
                  <c:v>High Mast Lighting</c:v>
                </c:pt>
                <c:pt idx="5">
                  <c:v>Tunnels and Vehicular U/P</c:v>
                </c:pt>
                <c:pt idx="6">
                  <c:v>Other</c:v>
                </c:pt>
              </c:strCache>
            </c:strRef>
          </c:cat>
          <c:val>
            <c:numRef>
              <c:f>Value!$CB$8:$CB$14</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13F2-43DE-A3F3-BD2B5AA1DA79}"/>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4927267305195332"/>
          <c:y val="3.8471863997020184E-2"/>
          <c:w val="0.49090135493532266"/>
          <c:h val="0.9533723144822932"/>
        </c:manualLayout>
      </c:layout>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noFill/>
    <a:ln w="6350"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r>
              <a:rPr lang="en-US"/>
              <a:t>SCIav</a:t>
            </a:r>
            <a:r>
              <a:rPr lang="en-US" baseline="0"/>
              <a:t> </a:t>
            </a:r>
            <a:r>
              <a:rPr lang="en-US"/>
              <a:t>Histogram </a:t>
            </a:r>
          </a:p>
        </c:rich>
      </c:tx>
      <c:layout>
        <c:manualLayout>
          <c:xMode val="edge"/>
          <c:yMode val="edge"/>
          <c:x val="0.29765134768431584"/>
          <c:y val="3.2382216187723946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21112032311489495"/>
          <c:y val="0.18084420296903031"/>
          <c:w val="0.72148184107479318"/>
          <c:h val="0.58095203893267333"/>
        </c:manualLayout>
      </c:layout>
      <c:barChart>
        <c:barDir val="col"/>
        <c:grouping val="clustered"/>
        <c:varyColors val="0"/>
        <c:ser>
          <c:idx val="0"/>
          <c:order val="0"/>
          <c:tx>
            <c:strRef>
              <c:f>'LAMP Results'!$EX$6</c:f>
              <c:strCache>
                <c:ptCount val="1"/>
                <c:pt idx="0">
                  <c:v>SCIAv</c:v>
                </c:pt>
              </c:strCache>
            </c:strRef>
          </c:tx>
          <c:spPr>
            <a:solidFill>
              <a:srgbClr val="0070C0"/>
            </a:solidFill>
            <a:ln>
              <a:noFill/>
            </a:ln>
            <a:effectLst/>
          </c:spPr>
          <c:invertIfNegative val="1"/>
          <c:cat>
            <c:numRef>
              <c:f>'LAMP Results'!$EW$7:$EW$107</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cat>
          <c:val>
            <c:numRef>
              <c:f>'LAMP Results'!$EX$7:$EX$107</c:f>
              <c:numCache>
                <c:formatCode>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20FF-4536-9CC0-10C69FA17B29}"/>
            </c:ext>
          </c:extLst>
        </c:ser>
        <c:dLbls>
          <c:showLegendKey val="0"/>
          <c:showVal val="0"/>
          <c:showCatName val="0"/>
          <c:showSerName val="0"/>
          <c:showPercent val="0"/>
          <c:showBubbleSize val="0"/>
        </c:dLbls>
        <c:gapWidth val="40"/>
        <c:axId val="337073208"/>
        <c:axId val="337073600"/>
      </c:barChart>
      <c:catAx>
        <c:axId val="3370732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r>
                  <a:rPr lang="en-NZ"/>
                  <a:t>SCIav (%)</a:t>
                </a:r>
              </a:p>
            </c:rich>
          </c:tx>
          <c:layout>
            <c:manualLayout>
              <c:xMode val="edge"/>
              <c:yMode val="edge"/>
              <c:x val="0.45160327929678734"/>
              <c:y val="0.9028718183527633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General" sourceLinked="1"/>
        <c:majorTickMark val="out"/>
        <c:minorTickMark val="none"/>
        <c:tickLblPos val="nextTo"/>
        <c:spPr>
          <a:noFill/>
          <a:ln w="6350" cap="flat" cmpd="sng" algn="ctr">
            <a:solidFill>
              <a:schemeClr val="tx1">
                <a:tint val="75000"/>
              </a:schemeClr>
            </a:solidFill>
            <a:prstDash val="solid"/>
            <a:round/>
          </a:ln>
          <a:effectLst/>
        </c:spPr>
        <c:txPr>
          <a:bodyPr rot="-60000000" spcFirstLastPara="1" vertOverflow="ellipsis" vert="horz" wrap="square" anchor="ctr" anchorCtr="1"/>
          <a:lstStyle/>
          <a:p>
            <a:pPr>
              <a:defRPr sz="8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337073600"/>
        <c:crosses val="autoZero"/>
        <c:auto val="1"/>
        <c:lblAlgn val="ctr"/>
        <c:lblOffset val="100"/>
        <c:tickLblSkip val="10"/>
        <c:tickMarkSkip val="10"/>
        <c:noMultiLvlLbl val="0"/>
      </c:catAx>
      <c:valAx>
        <c:axId val="337073600"/>
        <c:scaling>
          <c:orientation val="minMax"/>
          <c:max val="1"/>
          <c:min val="0"/>
        </c:scaling>
        <c:delete val="0"/>
        <c:axPos val="l"/>
        <c:majorGridlines>
          <c:spPr>
            <a:ln w="6350" cap="flat" cmpd="sng" algn="ctr">
              <a:solidFill>
                <a:schemeClr val="tx1">
                  <a:tint val="7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r>
                  <a:rPr lang="en-NZ"/>
                  <a:t>% of Structures</a:t>
                </a:r>
              </a:p>
            </c:rich>
          </c:tx>
          <c:layout>
            <c:manualLayout>
              <c:xMode val="edge"/>
              <c:yMode val="edge"/>
              <c:x val="2.5576410217427164E-3"/>
              <c:y val="0.2555261213572256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 sourceLinked="0"/>
        <c:majorTickMark val="out"/>
        <c:minorTickMark val="none"/>
        <c:tickLblPos val="nextTo"/>
        <c:spPr>
          <a:noFill/>
          <a:ln w="6350" cap="flat" cmpd="sng" algn="ctr">
            <a:solidFill>
              <a:schemeClr val="tx1">
                <a:tint val="75000"/>
              </a:schemeClr>
            </a:solidFill>
            <a:prstDash val="solid"/>
            <a:round/>
          </a:ln>
          <a:effectLst/>
        </c:spPr>
        <c:txPr>
          <a:bodyPr rot="-60000000" spcFirstLastPara="1" vertOverflow="ellipsis" vert="horz" wrap="square" anchor="ctr" anchorCtr="1"/>
          <a:lstStyle/>
          <a:p>
            <a:pPr>
              <a:defRPr sz="8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337073208"/>
        <c:crosses val="autoZero"/>
        <c:crossBetween val="between"/>
      </c:valAx>
      <c:spPr>
        <a:solidFill>
          <a:schemeClr val="bg1"/>
        </a:solidFill>
        <a:ln>
          <a:noFill/>
        </a:ln>
        <a:effectLst/>
      </c:spPr>
    </c:plotArea>
    <c:plotVisOnly val="1"/>
    <c:dispBlanksAs val="gap"/>
    <c:showDLblsOverMax val="0"/>
  </c:chart>
  <c:spPr>
    <a:noFill/>
    <a:ln w="6350" cap="flat" cmpd="sng" algn="ctr">
      <a:noFill/>
      <a:prstDash val="solid"/>
      <a:round/>
    </a:ln>
    <a:effectLst/>
  </c:spPr>
  <c:txPr>
    <a:bodyPr/>
    <a:lstStyle/>
    <a:p>
      <a:pPr>
        <a:defRPr sz="1000" b="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[SAVI v1.10 blank.xlsm]SAMP Dashboard!PivotTable1</c:name>
    <c:fmtId val="1"/>
  </c:pivotSource>
  <c:chart>
    <c:autoTitleDeleted val="1"/>
    <c:pivotFmts>
      <c:pivotFmt>
        <c:idx val="0"/>
        <c:spPr>
          <a:solidFill>
            <a:schemeClr val="accent2"/>
          </a:solidFill>
          <a:ln w="19050">
            <a:solidFill>
              <a:schemeClr val="lt1"/>
            </a:solidFill>
          </a:ln>
          <a:effectLst/>
        </c:spPr>
        <c:marker>
          <c:symbol val="none"/>
        </c:marker>
      </c:pivotFmt>
      <c:pivotFmt>
        <c:idx val="1"/>
        <c:spPr>
          <a:solidFill>
            <a:schemeClr val="accent2"/>
          </a:solidFill>
          <a:ln w="19050">
            <a:solidFill>
              <a:schemeClr val="lt1"/>
            </a:solidFill>
          </a:ln>
          <a:effectLst/>
        </c:spPr>
        <c:marker>
          <c:symbol val="none"/>
        </c:marker>
      </c:pivotFmt>
      <c:pivotFmt>
        <c:idx val="2"/>
        <c:spPr>
          <a:solidFill>
            <a:schemeClr val="accent2"/>
          </a:solidFill>
          <a:ln w="19050">
            <a:solidFill>
              <a:schemeClr val="lt1"/>
            </a:solidFill>
          </a:ln>
          <a:effectLst/>
        </c:spPr>
        <c:marker>
          <c:symbol val="none"/>
        </c:marker>
      </c:pivotFmt>
      <c:pivotFmt>
        <c:idx val="3"/>
        <c:spPr>
          <a:solidFill>
            <a:schemeClr val="accent2"/>
          </a:solidFill>
          <a:ln w="19050">
            <a:solidFill>
              <a:schemeClr val="lt1"/>
            </a:solidFill>
          </a:ln>
          <a:effectLst/>
        </c:spPr>
        <c:marker>
          <c:symbol val="none"/>
        </c:marker>
      </c:pivotFmt>
      <c:pivotFmt>
        <c:idx val="4"/>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w="19050">
            <a:solidFill>
              <a:schemeClr val="lt1"/>
            </a:solidFill>
          </a:ln>
          <a:effectLst/>
        </c:spPr>
        <c:marker>
          <c:symbol val="none"/>
        </c:marker>
      </c:pivotFmt>
      <c:pivotFmt>
        <c:idx val="6"/>
        <c:spPr>
          <a:solidFill>
            <a:schemeClr val="accent2"/>
          </a:solidFill>
          <a:ln w="19050">
            <a:solidFill>
              <a:schemeClr val="lt1"/>
            </a:solidFill>
          </a:ln>
          <a:effectLst/>
        </c:spPr>
        <c:marker>
          <c:symbol val="none"/>
        </c:marker>
      </c:pivotFmt>
      <c:pivotFmt>
        <c:idx val="7"/>
        <c:spPr>
          <a:solidFill>
            <a:schemeClr val="accent2"/>
          </a:solidFill>
          <a:ln w="19050">
            <a:solidFill>
              <a:schemeClr val="lt1"/>
            </a:solidFill>
          </a:ln>
          <a:effectLst/>
        </c:spPr>
        <c:marker>
          <c:symbol val="none"/>
        </c:marker>
      </c:pivotFmt>
      <c:pivotFmt>
        <c:idx val="8"/>
        <c:spPr>
          <a:solidFill>
            <a:schemeClr val="accent2"/>
          </a:solidFill>
          <a:ln w="19050">
            <a:solidFill>
              <a:schemeClr val="lt1"/>
            </a:solidFill>
          </a:ln>
          <a:effectLst/>
        </c:spPr>
      </c:pivotFmt>
      <c:pivotFmt>
        <c:idx val="9"/>
        <c:spPr>
          <a:solidFill>
            <a:schemeClr val="accent2"/>
          </a:solidFill>
          <a:ln w="19050">
            <a:solidFill>
              <a:schemeClr val="lt1"/>
            </a:solidFill>
          </a:ln>
          <a:effectLst/>
        </c:spPr>
      </c:pivotFmt>
      <c:pivotFmt>
        <c:idx val="10"/>
        <c:spPr>
          <a:solidFill>
            <a:schemeClr val="accent2"/>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2"/>
          </a:solidFill>
          <a:ln w="19050">
            <a:solidFill>
              <a:schemeClr val="lt1"/>
            </a:solidFill>
          </a:ln>
          <a:effectLst/>
        </c:spPr>
      </c:pivotFmt>
      <c:pivotFmt>
        <c:idx val="13"/>
        <c:spPr>
          <a:solidFill>
            <a:schemeClr val="accent2"/>
          </a:solidFill>
          <a:ln w="19050">
            <a:solidFill>
              <a:schemeClr val="lt1"/>
            </a:solidFill>
          </a:ln>
          <a:effectLst/>
        </c:spPr>
      </c:pivotFmt>
      <c:pivotFmt>
        <c:idx val="14"/>
        <c:spPr>
          <a:solidFill>
            <a:schemeClr val="accent2"/>
          </a:solidFill>
          <a:ln w="19050">
            <a:solidFill>
              <a:schemeClr val="lt1"/>
            </a:solidFill>
          </a:ln>
          <a:effectLst/>
        </c:spPr>
      </c:pivotFmt>
      <c:pivotFmt>
        <c:idx val="15"/>
        <c:spPr>
          <a:solidFill>
            <a:schemeClr val="accent2"/>
          </a:solidFill>
          <a:ln w="19050">
            <a:solidFill>
              <a:schemeClr val="lt1"/>
            </a:solidFill>
          </a:ln>
          <a:effectLst/>
        </c:spPr>
      </c:pivotFmt>
      <c:pivotFmt>
        <c:idx val="16"/>
        <c:spPr>
          <a:solidFill>
            <a:schemeClr val="accent2"/>
          </a:solidFill>
          <a:ln w="19050">
            <a:solidFill>
              <a:schemeClr val="lt1"/>
            </a:solidFill>
          </a:ln>
          <a:effectLst/>
        </c:spPr>
      </c:pivotFmt>
      <c:pivotFmt>
        <c:idx val="17"/>
        <c:spPr>
          <a:solidFill>
            <a:schemeClr val="accent2"/>
          </a:solidFill>
          <a:ln w="19050">
            <a:solidFill>
              <a:schemeClr val="lt1"/>
            </a:solidFill>
          </a:ln>
          <a:effectLst/>
        </c:spPr>
      </c:pivotFmt>
      <c:pivotFmt>
        <c:idx val="18"/>
        <c:spPr>
          <a:solidFill>
            <a:schemeClr val="accent2"/>
          </a:solidFill>
          <a:ln w="19050">
            <a:solidFill>
              <a:schemeClr val="lt1"/>
            </a:solidFill>
          </a:ln>
          <a:effectLst/>
        </c:spPr>
      </c:pivotFmt>
      <c:pivotFmt>
        <c:idx val="19"/>
        <c:spPr>
          <a:solidFill>
            <a:schemeClr val="accent2"/>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2"/>
          </a:solidFill>
          <a:ln w="19050">
            <a:solidFill>
              <a:schemeClr val="lt1"/>
            </a:solidFill>
          </a:ln>
          <a:effectLst/>
        </c:spPr>
      </c:pivotFmt>
      <c:pivotFmt>
        <c:idx val="22"/>
        <c:spPr>
          <a:solidFill>
            <a:schemeClr val="accent2"/>
          </a:solidFill>
          <a:ln w="19050">
            <a:solidFill>
              <a:schemeClr val="lt1"/>
            </a:solidFill>
          </a:ln>
          <a:effectLst/>
        </c:spPr>
      </c:pivotFmt>
      <c:pivotFmt>
        <c:idx val="23"/>
        <c:spPr>
          <a:solidFill>
            <a:schemeClr val="accent2"/>
          </a:solidFill>
          <a:ln w="19050">
            <a:solidFill>
              <a:schemeClr val="lt1"/>
            </a:solidFill>
          </a:ln>
          <a:effectLst/>
        </c:spPr>
      </c:pivotFmt>
      <c:pivotFmt>
        <c:idx val="24"/>
        <c:spPr>
          <a:solidFill>
            <a:schemeClr val="accent2"/>
          </a:solidFill>
          <a:ln w="19050">
            <a:solidFill>
              <a:schemeClr val="lt1"/>
            </a:solidFill>
          </a:ln>
          <a:effectLst/>
        </c:spPr>
      </c:pivotFmt>
      <c:pivotFmt>
        <c:idx val="25"/>
        <c:spPr>
          <a:solidFill>
            <a:schemeClr val="accent2"/>
          </a:solidFill>
          <a:ln w="19050">
            <a:solidFill>
              <a:schemeClr val="lt1"/>
            </a:solidFill>
          </a:ln>
          <a:effectLst/>
        </c:spPr>
      </c:pivotFmt>
      <c:pivotFmt>
        <c:idx val="26"/>
        <c:spPr>
          <a:solidFill>
            <a:schemeClr val="accent2"/>
          </a:solidFill>
          <a:ln w="19050">
            <a:solidFill>
              <a:schemeClr val="lt1"/>
            </a:solidFill>
          </a:ln>
          <a:effectLst/>
        </c:spPr>
      </c:pivotFmt>
      <c:pivotFmt>
        <c:idx val="27"/>
        <c:spPr>
          <a:solidFill>
            <a:schemeClr val="accent2"/>
          </a:solidFill>
          <a:ln w="19050">
            <a:solidFill>
              <a:schemeClr val="lt1"/>
            </a:solidFill>
          </a:ln>
          <a:effectLst/>
        </c:spPr>
      </c:pivotFmt>
      <c:pivotFmt>
        <c:idx val="28"/>
        <c:spPr>
          <a:solidFill>
            <a:schemeClr val="accent2"/>
          </a:solidFill>
          <a:ln w="19050">
            <a:solidFill>
              <a:schemeClr val="lt1"/>
            </a:solidFill>
          </a:ln>
          <a:effectLst/>
        </c:spPr>
      </c:pivotFmt>
      <c:pivotFmt>
        <c:idx val="29"/>
        <c:spPr>
          <a:solidFill>
            <a:schemeClr val="accent2"/>
          </a:solidFill>
          <a:ln w="19050">
            <a:solidFill>
              <a:schemeClr val="lt1"/>
            </a:solidFill>
          </a:ln>
          <a:effectLst/>
        </c:spPr>
      </c:pivotFmt>
      <c:pivotFmt>
        <c:idx val="30"/>
        <c:spPr>
          <a:solidFill>
            <a:schemeClr val="accent2"/>
          </a:solidFill>
          <a:ln w="19050">
            <a:solidFill>
              <a:schemeClr val="lt1"/>
            </a:solidFill>
          </a:ln>
          <a:effectLst/>
        </c:spPr>
      </c:pivotFmt>
      <c:pivotFmt>
        <c:idx val="31"/>
        <c:spPr>
          <a:solidFill>
            <a:schemeClr val="accent2"/>
          </a:solidFill>
          <a:ln w="19050">
            <a:solidFill>
              <a:schemeClr val="lt1"/>
            </a:solidFill>
          </a:ln>
          <a:effectLst/>
        </c:spPr>
      </c:pivotFmt>
      <c:pivotFmt>
        <c:idx val="32"/>
        <c:spPr>
          <a:solidFill>
            <a:schemeClr val="accent2"/>
          </a:solidFill>
          <a:ln w="19050">
            <a:solidFill>
              <a:schemeClr val="lt1"/>
            </a:solidFill>
          </a:ln>
          <a:effectLst/>
        </c:spPr>
      </c:pivotFmt>
      <c:pivotFmt>
        <c:idx val="33"/>
        <c:spPr>
          <a:solidFill>
            <a:schemeClr val="accent2"/>
          </a:solidFill>
          <a:ln w="19050">
            <a:solidFill>
              <a:schemeClr val="lt1"/>
            </a:solidFill>
          </a:ln>
          <a:effectLst/>
        </c:spPr>
      </c:pivotFmt>
      <c:pivotFmt>
        <c:idx val="34"/>
        <c:spPr>
          <a:solidFill>
            <a:schemeClr val="accent2"/>
          </a:solidFill>
          <a:ln w="19050">
            <a:solidFill>
              <a:schemeClr val="lt1"/>
            </a:solidFill>
          </a:ln>
          <a:effectLst/>
        </c:spPr>
      </c:pivotFmt>
      <c:pivotFmt>
        <c:idx val="35"/>
        <c:spPr>
          <a:solidFill>
            <a:schemeClr val="accent2"/>
          </a:solidFill>
          <a:ln w="19050">
            <a:solidFill>
              <a:schemeClr val="lt1"/>
            </a:solidFill>
          </a:ln>
          <a:effectLst/>
        </c:spPr>
      </c:pivotFmt>
      <c:pivotFmt>
        <c:idx val="36"/>
        <c:spPr>
          <a:solidFill>
            <a:schemeClr val="accent2"/>
          </a:solidFill>
          <a:ln w="19050">
            <a:solidFill>
              <a:schemeClr val="lt1"/>
            </a:solidFill>
          </a:ln>
          <a:effectLst/>
        </c:spPr>
      </c:pivotFmt>
      <c:pivotFmt>
        <c:idx val="37"/>
        <c:spPr>
          <a:solidFill>
            <a:schemeClr val="accent2"/>
          </a:solidFill>
          <a:ln w="19050">
            <a:solidFill>
              <a:schemeClr val="lt1"/>
            </a:solidFill>
          </a:ln>
          <a:effectLst/>
        </c:spPr>
      </c:pivotFmt>
      <c:pivotFmt>
        <c:idx val="38"/>
        <c:spPr>
          <a:solidFill>
            <a:schemeClr val="accent2"/>
          </a:solidFill>
          <a:ln w="19050">
            <a:solidFill>
              <a:schemeClr val="lt1"/>
            </a:solidFill>
          </a:ln>
          <a:effectLst/>
        </c:spPr>
      </c:pivotFmt>
      <c:pivotFmt>
        <c:idx val="39"/>
        <c:spPr>
          <a:solidFill>
            <a:schemeClr val="accent2"/>
          </a:solidFill>
          <a:ln w="19050">
            <a:solidFill>
              <a:schemeClr val="lt1"/>
            </a:solidFill>
          </a:ln>
          <a:effectLst/>
        </c:spPr>
      </c:pivotFmt>
      <c:pivotFmt>
        <c:idx val="40"/>
        <c:spPr>
          <a:solidFill>
            <a:schemeClr val="accent2"/>
          </a:solidFill>
          <a:ln w="19050">
            <a:solidFill>
              <a:schemeClr val="lt1"/>
            </a:solidFill>
          </a:ln>
          <a:effectLst/>
        </c:spPr>
      </c:pivotFmt>
      <c:pivotFmt>
        <c:idx val="41"/>
        <c:spPr>
          <a:solidFill>
            <a:schemeClr val="accent2"/>
          </a:solidFill>
          <a:ln w="19050">
            <a:solidFill>
              <a:schemeClr val="lt1"/>
            </a:solidFill>
          </a:ln>
          <a:effectLst/>
        </c:spPr>
      </c:pivotFmt>
      <c:pivotFmt>
        <c:idx val="42"/>
        <c:spPr>
          <a:solidFill>
            <a:schemeClr val="accent2"/>
          </a:solidFill>
          <a:ln w="19050">
            <a:solidFill>
              <a:schemeClr val="lt1"/>
            </a:solidFill>
          </a:ln>
          <a:effectLst/>
        </c:spPr>
      </c:pivotFmt>
      <c:pivotFmt>
        <c:idx val="43"/>
        <c:spPr>
          <a:solidFill>
            <a:schemeClr val="accent2"/>
          </a:solidFill>
          <a:ln w="19050">
            <a:solidFill>
              <a:schemeClr val="lt1"/>
            </a:solidFill>
          </a:ln>
          <a:effectLst/>
        </c:spPr>
      </c:pivotFmt>
      <c:pivotFmt>
        <c:idx val="44"/>
        <c:spPr>
          <a:solidFill>
            <a:schemeClr val="accent2"/>
          </a:solidFill>
          <a:ln w="19050">
            <a:solidFill>
              <a:schemeClr val="lt1"/>
            </a:solidFill>
          </a:ln>
          <a:effectLst/>
        </c:spPr>
      </c:pivotFmt>
      <c:pivotFmt>
        <c:idx val="45"/>
        <c:spPr>
          <a:solidFill>
            <a:schemeClr val="accent2"/>
          </a:solidFill>
          <a:ln w="19050">
            <a:solidFill>
              <a:schemeClr val="lt1"/>
            </a:solidFill>
          </a:ln>
          <a:effectLst/>
        </c:spPr>
      </c:pivotFmt>
      <c:pivotFmt>
        <c:idx val="46"/>
        <c:spPr>
          <a:solidFill>
            <a:schemeClr val="accent2"/>
          </a:solidFill>
          <a:ln w="19050">
            <a:solidFill>
              <a:schemeClr val="lt1"/>
            </a:solidFill>
          </a:ln>
          <a:effectLst/>
        </c:spPr>
      </c:pivotFmt>
      <c:pivotFmt>
        <c:idx val="47"/>
        <c:spPr>
          <a:solidFill>
            <a:schemeClr val="accent2"/>
          </a:solidFill>
          <a:ln w="19050">
            <a:solidFill>
              <a:schemeClr val="lt1"/>
            </a:solidFill>
          </a:ln>
          <a:effectLst/>
        </c:spPr>
      </c:pivotFmt>
      <c:pivotFmt>
        <c:idx val="48"/>
        <c:spPr>
          <a:solidFill>
            <a:schemeClr val="accent2"/>
          </a:solidFill>
          <a:ln w="19050">
            <a:solidFill>
              <a:schemeClr val="lt1"/>
            </a:solidFill>
          </a:ln>
          <a:effectLst/>
        </c:spPr>
      </c:pivotFmt>
      <c:pivotFmt>
        <c:idx val="49"/>
        <c:spPr>
          <a:solidFill>
            <a:schemeClr val="accent2"/>
          </a:solidFill>
          <a:ln w="19050">
            <a:solidFill>
              <a:schemeClr val="lt1"/>
            </a:solidFill>
          </a:ln>
          <a:effectLst/>
        </c:spPr>
      </c:pivotFmt>
      <c:pivotFmt>
        <c:idx val="50"/>
        <c:spPr>
          <a:solidFill>
            <a:schemeClr val="accent2"/>
          </a:solidFill>
          <a:ln w="19050">
            <a:solidFill>
              <a:schemeClr val="lt1"/>
            </a:solidFill>
          </a:ln>
          <a:effectLst/>
        </c:spPr>
      </c:pivotFmt>
      <c:pivotFmt>
        <c:idx val="51"/>
        <c:spPr>
          <a:solidFill>
            <a:schemeClr val="accent2"/>
          </a:solidFill>
          <a:ln w="19050">
            <a:solidFill>
              <a:schemeClr val="lt1"/>
            </a:solidFill>
          </a:ln>
          <a:effectLst/>
        </c:spPr>
      </c:pivotFmt>
      <c:pivotFmt>
        <c:idx val="52"/>
        <c:spPr>
          <a:solidFill>
            <a:schemeClr val="accent2"/>
          </a:solidFill>
          <a:ln w="19050">
            <a:solidFill>
              <a:schemeClr val="lt1"/>
            </a:solidFill>
          </a:ln>
          <a:effectLst/>
        </c:spPr>
      </c:pivotFmt>
      <c:pivotFmt>
        <c:idx val="53"/>
        <c:spPr>
          <a:solidFill>
            <a:schemeClr val="accent2"/>
          </a:solidFill>
          <a:ln w="19050">
            <a:solidFill>
              <a:schemeClr val="lt1"/>
            </a:solidFill>
          </a:ln>
          <a:effectLst/>
        </c:spPr>
      </c:pivotFmt>
      <c:pivotFmt>
        <c:idx val="54"/>
        <c:spPr>
          <a:solidFill>
            <a:schemeClr val="accent2"/>
          </a:solidFill>
          <a:ln w="19050">
            <a:solidFill>
              <a:schemeClr val="lt1"/>
            </a:solidFill>
          </a:ln>
          <a:effectLst/>
        </c:spPr>
      </c:pivotFmt>
      <c:pivotFmt>
        <c:idx val="55"/>
        <c:spPr>
          <a:solidFill>
            <a:schemeClr val="accent2"/>
          </a:solidFill>
          <a:ln w="19050">
            <a:solidFill>
              <a:schemeClr val="lt1"/>
            </a:solidFill>
          </a:ln>
          <a:effectLst/>
        </c:spPr>
      </c:pivotFmt>
      <c:pivotFmt>
        <c:idx val="56"/>
        <c:spPr>
          <a:solidFill>
            <a:schemeClr val="accent2"/>
          </a:solidFill>
          <a:ln w="19050">
            <a:solidFill>
              <a:schemeClr val="lt1"/>
            </a:solidFill>
          </a:ln>
          <a:effectLst/>
        </c:spPr>
      </c:pivotFmt>
      <c:pivotFmt>
        <c:idx val="57"/>
        <c:spPr>
          <a:solidFill>
            <a:schemeClr val="accent2"/>
          </a:solidFill>
          <a:ln w="19050">
            <a:solidFill>
              <a:schemeClr val="lt1"/>
            </a:solidFill>
          </a:ln>
          <a:effectLst/>
        </c:spPr>
      </c:pivotFmt>
      <c:pivotFmt>
        <c:idx val="58"/>
        <c:spPr>
          <a:solidFill>
            <a:schemeClr val="accent2"/>
          </a:solidFill>
          <a:ln w="19050">
            <a:solidFill>
              <a:schemeClr val="lt1"/>
            </a:solidFill>
          </a:ln>
          <a:effectLst/>
        </c:spPr>
      </c:pivotFmt>
      <c:pivotFmt>
        <c:idx val="59"/>
        <c:spPr>
          <a:solidFill>
            <a:schemeClr val="accent2"/>
          </a:solidFill>
          <a:ln w="19050">
            <a:solidFill>
              <a:schemeClr val="lt1"/>
            </a:solidFill>
          </a:ln>
          <a:effectLst/>
        </c:spPr>
      </c:pivotFmt>
      <c:pivotFmt>
        <c:idx val="60"/>
        <c:spPr>
          <a:solidFill>
            <a:schemeClr val="accent2"/>
          </a:solidFill>
          <a:ln w="19050">
            <a:solidFill>
              <a:schemeClr val="lt1"/>
            </a:solidFill>
          </a:ln>
          <a:effectLst/>
        </c:spPr>
      </c:pivotFmt>
      <c:pivotFmt>
        <c:idx val="61"/>
        <c:spPr>
          <a:solidFill>
            <a:schemeClr val="accent2"/>
          </a:solidFill>
          <a:ln w="19050">
            <a:solidFill>
              <a:schemeClr val="lt1"/>
            </a:solidFill>
          </a:ln>
          <a:effectLst/>
        </c:spPr>
      </c:pivotFmt>
      <c:pivotFmt>
        <c:idx val="62"/>
        <c:spPr>
          <a:solidFill>
            <a:schemeClr val="accent2"/>
          </a:solidFill>
          <a:ln w="19050">
            <a:solidFill>
              <a:schemeClr val="lt1"/>
            </a:solidFill>
          </a:ln>
          <a:effectLst/>
        </c:spPr>
      </c:pivotFmt>
      <c:pivotFmt>
        <c:idx val="63"/>
        <c:spPr>
          <a:solidFill>
            <a:schemeClr val="accent2"/>
          </a:solidFill>
          <a:ln w="19050">
            <a:solidFill>
              <a:schemeClr val="lt1"/>
            </a:solidFill>
          </a:ln>
          <a:effectLst/>
        </c:spPr>
      </c:pivotFmt>
      <c:pivotFmt>
        <c:idx val="64"/>
        <c:spPr>
          <a:solidFill>
            <a:schemeClr val="accent2"/>
          </a:solidFill>
          <a:ln w="19050">
            <a:solidFill>
              <a:schemeClr val="lt1"/>
            </a:solidFill>
          </a:ln>
          <a:effectLst/>
        </c:spPr>
      </c:pivotFmt>
      <c:pivotFmt>
        <c:idx val="65"/>
        <c:spPr>
          <a:solidFill>
            <a:schemeClr val="accent2"/>
          </a:solidFill>
          <a:ln w="19050">
            <a:solidFill>
              <a:schemeClr val="lt1"/>
            </a:solidFill>
          </a:ln>
          <a:effectLst/>
        </c:spPr>
      </c:pivotFmt>
      <c:pivotFmt>
        <c:idx val="66"/>
        <c:spPr>
          <a:solidFill>
            <a:schemeClr val="accent2"/>
          </a:solidFill>
          <a:ln w="19050">
            <a:solidFill>
              <a:schemeClr val="lt1"/>
            </a:solidFill>
          </a:ln>
          <a:effectLst/>
        </c:spPr>
      </c:pivotFmt>
      <c:pivotFmt>
        <c:idx val="67"/>
        <c:spPr>
          <a:solidFill>
            <a:schemeClr val="accent2"/>
          </a:solidFill>
          <a:ln w="19050">
            <a:solidFill>
              <a:schemeClr val="lt1"/>
            </a:solidFill>
          </a:ln>
          <a:effectLst/>
        </c:spPr>
      </c:pivotFmt>
      <c:pivotFmt>
        <c:idx val="68"/>
        <c:spPr>
          <a:solidFill>
            <a:schemeClr val="accent2"/>
          </a:solidFill>
          <a:ln w="19050">
            <a:solidFill>
              <a:schemeClr val="lt1"/>
            </a:solidFill>
          </a:ln>
          <a:effectLst/>
        </c:spPr>
      </c:pivotFmt>
      <c:pivotFmt>
        <c:idx val="69"/>
        <c:spPr>
          <a:solidFill>
            <a:schemeClr val="accent2"/>
          </a:solidFill>
          <a:ln w="19050">
            <a:solidFill>
              <a:schemeClr val="lt1"/>
            </a:solidFill>
          </a:ln>
          <a:effectLst/>
        </c:spPr>
      </c:pivotFmt>
      <c:pivotFmt>
        <c:idx val="70"/>
        <c:spPr>
          <a:solidFill>
            <a:schemeClr val="accent2"/>
          </a:solidFill>
          <a:ln w="19050">
            <a:solidFill>
              <a:schemeClr val="lt1"/>
            </a:solidFill>
          </a:ln>
          <a:effectLst/>
        </c:spPr>
      </c:pivotFmt>
      <c:pivotFmt>
        <c:idx val="71"/>
        <c:spPr>
          <a:solidFill>
            <a:schemeClr val="accent2"/>
          </a:solidFill>
          <a:ln w="19050">
            <a:solidFill>
              <a:schemeClr val="lt1"/>
            </a:solidFill>
          </a:ln>
          <a:effectLst/>
        </c:spPr>
      </c:pivotFmt>
      <c:pivotFmt>
        <c:idx val="72"/>
        <c:spPr>
          <a:solidFill>
            <a:schemeClr val="accent2"/>
          </a:solidFill>
          <a:ln w="19050">
            <a:solidFill>
              <a:schemeClr val="lt1"/>
            </a:solidFill>
          </a:ln>
          <a:effectLst/>
        </c:spPr>
      </c:pivotFmt>
      <c:pivotFmt>
        <c:idx val="73"/>
        <c:spPr>
          <a:solidFill>
            <a:schemeClr val="accent2"/>
          </a:solidFill>
          <a:ln w="19050">
            <a:solidFill>
              <a:schemeClr val="lt1"/>
            </a:solidFill>
          </a:ln>
          <a:effectLst/>
        </c:spPr>
      </c:pivotFmt>
      <c:pivotFmt>
        <c:idx val="74"/>
        <c:spPr>
          <a:solidFill>
            <a:schemeClr val="accent2"/>
          </a:solidFill>
          <a:ln w="19050">
            <a:solidFill>
              <a:schemeClr val="lt1"/>
            </a:solidFill>
          </a:ln>
          <a:effectLst/>
        </c:spPr>
      </c:pivotFmt>
      <c:pivotFmt>
        <c:idx val="75"/>
        <c:spPr>
          <a:solidFill>
            <a:schemeClr val="accent2"/>
          </a:solidFill>
          <a:ln w="19050">
            <a:solidFill>
              <a:schemeClr val="lt1"/>
            </a:solidFill>
          </a:ln>
          <a:effectLst/>
        </c:spPr>
      </c:pivotFmt>
      <c:pivotFmt>
        <c:idx val="76"/>
        <c:spPr>
          <a:solidFill>
            <a:schemeClr val="accent2"/>
          </a:solidFill>
          <a:ln w="19050">
            <a:solidFill>
              <a:schemeClr val="lt1"/>
            </a:solidFill>
          </a:ln>
          <a:effectLst/>
        </c:spPr>
      </c:pivotFmt>
      <c:pivotFmt>
        <c:idx val="77"/>
        <c:spPr>
          <a:solidFill>
            <a:schemeClr val="accent2"/>
          </a:solidFill>
          <a:ln w="19050">
            <a:solidFill>
              <a:schemeClr val="lt1"/>
            </a:solidFill>
          </a:ln>
          <a:effectLst/>
        </c:spPr>
      </c:pivotFmt>
      <c:pivotFmt>
        <c:idx val="78"/>
        <c:spPr>
          <a:solidFill>
            <a:schemeClr val="accent2"/>
          </a:solidFill>
          <a:ln w="19050">
            <a:solidFill>
              <a:schemeClr val="lt1"/>
            </a:solidFill>
          </a:ln>
          <a:effectLst/>
        </c:spPr>
      </c:pivotFmt>
      <c:pivotFmt>
        <c:idx val="79"/>
        <c:spPr>
          <a:solidFill>
            <a:schemeClr val="accent2"/>
          </a:solidFill>
          <a:ln w="19050">
            <a:solidFill>
              <a:schemeClr val="lt1"/>
            </a:solidFill>
          </a:ln>
          <a:effectLst/>
        </c:spPr>
      </c:pivotFmt>
      <c:pivotFmt>
        <c:idx val="80"/>
        <c:spPr>
          <a:solidFill>
            <a:schemeClr val="accent2"/>
          </a:solidFill>
          <a:ln w="19050">
            <a:solidFill>
              <a:schemeClr val="lt1"/>
            </a:solidFill>
          </a:ln>
          <a:effectLst/>
        </c:spPr>
      </c:pivotFmt>
      <c:pivotFmt>
        <c:idx val="81"/>
        <c:spPr>
          <a:solidFill>
            <a:schemeClr val="accent2"/>
          </a:solidFill>
          <a:ln w="19050">
            <a:solidFill>
              <a:schemeClr val="lt1"/>
            </a:solidFill>
          </a:ln>
          <a:effectLst/>
        </c:spPr>
      </c:pivotFmt>
      <c:pivotFmt>
        <c:idx val="82"/>
        <c:spPr>
          <a:solidFill>
            <a:schemeClr val="accent2"/>
          </a:solidFill>
          <a:ln w="19050">
            <a:solidFill>
              <a:schemeClr val="lt1"/>
            </a:solidFill>
          </a:ln>
          <a:effectLst/>
        </c:spPr>
      </c:pivotFmt>
      <c:pivotFmt>
        <c:idx val="83"/>
        <c:spPr>
          <a:solidFill>
            <a:schemeClr val="accent2"/>
          </a:solidFill>
          <a:ln w="19050">
            <a:solidFill>
              <a:schemeClr val="lt1"/>
            </a:solidFill>
          </a:ln>
          <a:effectLst/>
        </c:spPr>
      </c:pivotFmt>
      <c:pivotFmt>
        <c:idx val="84"/>
        <c:spPr>
          <a:solidFill>
            <a:schemeClr val="accent2"/>
          </a:solidFill>
          <a:ln w="19050">
            <a:solidFill>
              <a:schemeClr val="lt1"/>
            </a:solidFill>
          </a:ln>
          <a:effectLst/>
        </c:spPr>
      </c:pivotFmt>
      <c:pivotFmt>
        <c:idx val="85"/>
        <c:spPr>
          <a:solidFill>
            <a:schemeClr val="accent2"/>
          </a:solidFill>
          <a:ln w="19050">
            <a:solidFill>
              <a:schemeClr val="lt1"/>
            </a:solidFill>
          </a:ln>
          <a:effectLst/>
        </c:spPr>
      </c:pivotFmt>
      <c:pivotFmt>
        <c:idx val="86"/>
        <c:spPr>
          <a:solidFill>
            <a:schemeClr val="accent2"/>
          </a:solidFill>
          <a:ln w="19050">
            <a:solidFill>
              <a:schemeClr val="lt1"/>
            </a:solidFill>
          </a:ln>
          <a:effectLst/>
        </c:spPr>
      </c:pivotFmt>
      <c:pivotFmt>
        <c:idx val="87"/>
        <c:spPr>
          <a:solidFill>
            <a:schemeClr val="accent2"/>
          </a:solidFill>
          <a:ln w="19050">
            <a:solidFill>
              <a:schemeClr val="lt1"/>
            </a:solidFill>
          </a:ln>
          <a:effectLst/>
        </c:spPr>
      </c:pivotFmt>
      <c:pivotFmt>
        <c:idx val="88"/>
        <c:spPr>
          <a:solidFill>
            <a:schemeClr val="accent2"/>
          </a:solidFill>
          <a:ln w="19050">
            <a:solidFill>
              <a:schemeClr val="lt1"/>
            </a:solidFill>
          </a:ln>
          <a:effectLst/>
        </c:spPr>
      </c:pivotFmt>
      <c:pivotFmt>
        <c:idx val="89"/>
        <c:spPr>
          <a:solidFill>
            <a:schemeClr val="accent2"/>
          </a:solidFill>
          <a:ln w="19050">
            <a:solidFill>
              <a:schemeClr val="lt1"/>
            </a:solidFill>
          </a:ln>
          <a:effectLst/>
        </c:spPr>
      </c:pivotFmt>
      <c:pivotFmt>
        <c:idx val="90"/>
        <c:spPr>
          <a:solidFill>
            <a:schemeClr val="accent2"/>
          </a:solidFill>
          <a:ln w="19050">
            <a:solidFill>
              <a:schemeClr val="lt1"/>
            </a:solidFill>
          </a:ln>
          <a:effectLst/>
        </c:spPr>
      </c:pivotFmt>
      <c:pivotFmt>
        <c:idx val="91"/>
        <c:spPr>
          <a:solidFill>
            <a:schemeClr val="accent2"/>
          </a:solidFill>
          <a:ln w="19050">
            <a:solidFill>
              <a:schemeClr val="lt1"/>
            </a:solidFill>
          </a:ln>
          <a:effectLst/>
        </c:spPr>
      </c:pivotFmt>
      <c:pivotFmt>
        <c:idx val="92"/>
        <c:spPr>
          <a:solidFill>
            <a:schemeClr val="accent2"/>
          </a:solidFill>
          <a:ln w="19050">
            <a:solidFill>
              <a:schemeClr val="lt1"/>
            </a:solidFill>
          </a:ln>
          <a:effectLst/>
        </c:spPr>
      </c:pivotFmt>
      <c:pivotFmt>
        <c:idx val="93"/>
        <c:spPr>
          <a:solidFill>
            <a:schemeClr val="accent2"/>
          </a:solidFill>
          <a:ln w="19050">
            <a:solidFill>
              <a:schemeClr val="lt1"/>
            </a:solidFill>
          </a:ln>
          <a:effectLst/>
        </c:spPr>
      </c:pivotFmt>
      <c:pivotFmt>
        <c:idx val="94"/>
        <c:spPr>
          <a:solidFill>
            <a:schemeClr val="accent2"/>
          </a:solidFill>
          <a:ln w="19050">
            <a:solidFill>
              <a:schemeClr val="lt1"/>
            </a:solidFill>
          </a:ln>
          <a:effectLst/>
        </c:spPr>
      </c:pivotFmt>
      <c:pivotFmt>
        <c:idx val="95"/>
        <c:spPr>
          <a:solidFill>
            <a:schemeClr val="accent2"/>
          </a:solidFill>
          <a:ln w="19050">
            <a:solidFill>
              <a:schemeClr val="lt1"/>
            </a:solidFill>
          </a:ln>
          <a:effectLst/>
        </c:spPr>
      </c:pivotFmt>
      <c:pivotFmt>
        <c:idx val="96"/>
        <c:spPr>
          <a:solidFill>
            <a:schemeClr val="accent2"/>
          </a:solidFill>
          <a:ln w="19050">
            <a:solidFill>
              <a:schemeClr val="lt1"/>
            </a:solidFill>
          </a:ln>
          <a:effectLst/>
        </c:spPr>
      </c:pivotFmt>
      <c:pivotFmt>
        <c:idx val="97"/>
        <c:spPr>
          <a:solidFill>
            <a:schemeClr val="accent2"/>
          </a:solidFill>
          <a:ln w="19050">
            <a:solidFill>
              <a:schemeClr val="lt1"/>
            </a:solidFill>
          </a:ln>
          <a:effectLst/>
        </c:spPr>
      </c:pivotFmt>
      <c:pivotFmt>
        <c:idx val="98"/>
        <c:spPr>
          <a:solidFill>
            <a:schemeClr val="accent2"/>
          </a:solidFill>
          <a:ln w="19050">
            <a:solidFill>
              <a:schemeClr val="lt1"/>
            </a:solidFill>
          </a:ln>
          <a:effectLst/>
        </c:spPr>
      </c:pivotFmt>
      <c:pivotFmt>
        <c:idx val="99"/>
        <c:spPr>
          <a:solidFill>
            <a:schemeClr val="accent2"/>
          </a:solidFill>
          <a:ln w="19050">
            <a:solidFill>
              <a:schemeClr val="lt1"/>
            </a:solidFill>
          </a:ln>
          <a:effectLst/>
        </c:spPr>
      </c:pivotFmt>
      <c:pivotFmt>
        <c:idx val="100"/>
        <c:spPr>
          <a:solidFill>
            <a:schemeClr val="accent2"/>
          </a:solidFill>
          <a:ln w="19050">
            <a:solidFill>
              <a:schemeClr val="lt1"/>
            </a:solidFill>
          </a:ln>
          <a:effectLst/>
        </c:spPr>
      </c:pivotFmt>
      <c:pivotFmt>
        <c:idx val="101"/>
        <c:spPr>
          <a:solidFill>
            <a:schemeClr val="accent2"/>
          </a:solidFill>
          <a:ln w="19050">
            <a:solidFill>
              <a:schemeClr val="lt1"/>
            </a:solidFill>
          </a:ln>
          <a:effectLst/>
        </c:spPr>
      </c:pivotFmt>
      <c:pivotFmt>
        <c:idx val="102"/>
        <c:spPr>
          <a:solidFill>
            <a:schemeClr val="accent2"/>
          </a:solidFill>
          <a:ln w="19050">
            <a:solidFill>
              <a:schemeClr val="lt1"/>
            </a:solidFill>
          </a:ln>
          <a:effectLst/>
        </c:spPr>
      </c:pivotFmt>
      <c:pivotFmt>
        <c:idx val="103"/>
        <c:spPr>
          <a:solidFill>
            <a:schemeClr val="accent2"/>
          </a:solidFill>
          <a:ln w="19050">
            <a:solidFill>
              <a:schemeClr val="lt1"/>
            </a:solidFill>
          </a:ln>
          <a:effectLst/>
        </c:spPr>
      </c:pivotFmt>
      <c:pivotFmt>
        <c:idx val="104"/>
        <c:spPr>
          <a:solidFill>
            <a:schemeClr val="accent2"/>
          </a:solidFill>
          <a:ln w="19050">
            <a:solidFill>
              <a:schemeClr val="lt1"/>
            </a:solidFill>
          </a:ln>
          <a:effectLst/>
        </c:spPr>
      </c:pivotFmt>
      <c:pivotFmt>
        <c:idx val="105"/>
        <c:spPr>
          <a:solidFill>
            <a:schemeClr val="accent2"/>
          </a:solidFill>
          <a:ln w="19050">
            <a:solidFill>
              <a:schemeClr val="lt1"/>
            </a:solidFill>
          </a:ln>
          <a:effectLst/>
        </c:spPr>
      </c:pivotFmt>
      <c:pivotFmt>
        <c:idx val="106"/>
        <c:spPr>
          <a:solidFill>
            <a:schemeClr val="accent2"/>
          </a:solidFill>
          <a:ln w="19050">
            <a:solidFill>
              <a:schemeClr val="lt1"/>
            </a:solidFill>
          </a:ln>
          <a:effectLst/>
        </c:spPr>
      </c:pivotFmt>
      <c:pivotFmt>
        <c:idx val="107"/>
        <c:spPr>
          <a:solidFill>
            <a:schemeClr val="accent2"/>
          </a:solidFill>
          <a:ln w="19050">
            <a:solidFill>
              <a:schemeClr val="lt1"/>
            </a:solidFill>
          </a:ln>
          <a:effectLst/>
        </c:spPr>
      </c:pivotFmt>
      <c:pivotFmt>
        <c:idx val="108"/>
        <c:spPr>
          <a:solidFill>
            <a:schemeClr val="accent2"/>
          </a:solidFill>
          <a:ln w="19050">
            <a:solidFill>
              <a:schemeClr val="lt1"/>
            </a:solidFill>
          </a:ln>
          <a:effectLst/>
        </c:spPr>
      </c:pivotFmt>
      <c:pivotFmt>
        <c:idx val="109"/>
        <c:spPr>
          <a:solidFill>
            <a:schemeClr val="accent2"/>
          </a:solidFill>
          <a:ln w="19050">
            <a:solidFill>
              <a:schemeClr val="lt1"/>
            </a:solidFill>
          </a:ln>
          <a:effectLst/>
        </c:spPr>
      </c:pivotFmt>
      <c:pivotFmt>
        <c:idx val="110"/>
        <c:spPr>
          <a:solidFill>
            <a:schemeClr val="accent2"/>
          </a:solidFill>
          <a:ln w="19050">
            <a:solidFill>
              <a:schemeClr val="lt1"/>
            </a:solidFill>
          </a:ln>
          <a:effectLst/>
        </c:spPr>
      </c:pivotFmt>
      <c:pivotFmt>
        <c:idx val="111"/>
        <c:spPr>
          <a:solidFill>
            <a:schemeClr val="accent2"/>
          </a:solidFill>
          <a:ln w="19050">
            <a:solidFill>
              <a:schemeClr val="lt1"/>
            </a:solidFill>
          </a:ln>
          <a:effectLst/>
        </c:spPr>
      </c:pivotFmt>
      <c:pivotFmt>
        <c:idx val="112"/>
        <c:spPr>
          <a:solidFill>
            <a:schemeClr val="accent2"/>
          </a:solidFill>
          <a:ln w="19050">
            <a:solidFill>
              <a:schemeClr val="lt1"/>
            </a:solidFill>
          </a:ln>
          <a:effectLst/>
        </c:spPr>
      </c:pivotFmt>
      <c:pivotFmt>
        <c:idx val="113"/>
        <c:spPr>
          <a:solidFill>
            <a:schemeClr val="accent2"/>
          </a:solidFill>
          <a:ln w="19050">
            <a:solidFill>
              <a:schemeClr val="lt1"/>
            </a:solidFill>
          </a:ln>
          <a:effectLst/>
        </c:spPr>
      </c:pivotFmt>
      <c:pivotFmt>
        <c:idx val="114"/>
        <c:spPr>
          <a:solidFill>
            <a:schemeClr val="accent2"/>
          </a:solidFill>
          <a:ln w="19050">
            <a:solidFill>
              <a:schemeClr val="lt1"/>
            </a:solidFill>
          </a:ln>
          <a:effectLst/>
        </c:spPr>
      </c:pivotFmt>
      <c:pivotFmt>
        <c:idx val="115"/>
        <c:spPr>
          <a:solidFill>
            <a:schemeClr val="accent2"/>
          </a:solidFill>
          <a:ln w="19050">
            <a:solidFill>
              <a:schemeClr val="lt1"/>
            </a:solidFill>
          </a:ln>
          <a:effectLst/>
        </c:spPr>
      </c:pivotFmt>
      <c:pivotFmt>
        <c:idx val="116"/>
        <c:spPr>
          <a:solidFill>
            <a:schemeClr val="accent2"/>
          </a:solidFill>
          <a:ln w="19050">
            <a:solidFill>
              <a:schemeClr val="lt1"/>
            </a:solidFill>
          </a:ln>
          <a:effectLst/>
        </c:spPr>
      </c:pivotFmt>
      <c:pivotFmt>
        <c:idx val="117"/>
        <c:spPr>
          <a:solidFill>
            <a:schemeClr val="accent2"/>
          </a:solidFill>
          <a:ln w="19050">
            <a:solidFill>
              <a:schemeClr val="lt1"/>
            </a:solidFill>
          </a:ln>
          <a:effectLst/>
        </c:spPr>
      </c:pivotFmt>
      <c:pivotFmt>
        <c:idx val="118"/>
        <c:spPr>
          <a:solidFill>
            <a:schemeClr val="accent2"/>
          </a:solidFill>
          <a:ln w="19050">
            <a:solidFill>
              <a:schemeClr val="lt1"/>
            </a:solidFill>
          </a:ln>
          <a:effectLst/>
        </c:spPr>
      </c:pivotFmt>
      <c:pivotFmt>
        <c:idx val="119"/>
        <c:spPr>
          <a:solidFill>
            <a:schemeClr val="accent2"/>
          </a:solidFill>
          <a:ln w="19050">
            <a:solidFill>
              <a:schemeClr val="lt1"/>
            </a:solidFill>
          </a:ln>
          <a:effectLst/>
        </c:spPr>
      </c:pivotFmt>
      <c:pivotFmt>
        <c:idx val="120"/>
        <c:spPr>
          <a:solidFill>
            <a:schemeClr val="accent2"/>
          </a:solidFill>
          <a:ln w="19050">
            <a:solidFill>
              <a:schemeClr val="lt1"/>
            </a:solidFill>
          </a:ln>
          <a:effectLst/>
        </c:spPr>
      </c:pivotFmt>
      <c:pivotFmt>
        <c:idx val="121"/>
        <c:spPr>
          <a:solidFill>
            <a:schemeClr val="accent2"/>
          </a:solidFill>
          <a:ln w="19050">
            <a:solidFill>
              <a:schemeClr val="lt1"/>
            </a:solidFill>
          </a:ln>
          <a:effectLst/>
        </c:spPr>
      </c:pivotFmt>
      <c:pivotFmt>
        <c:idx val="122"/>
        <c:spPr>
          <a:solidFill>
            <a:schemeClr val="accent2"/>
          </a:solidFill>
          <a:ln w="19050">
            <a:solidFill>
              <a:schemeClr val="lt1"/>
            </a:solidFill>
          </a:ln>
          <a:effectLst/>
        </c:spPr>
      </c:pivotFmt>
      <c:pivotFmt>
        <c:idx val="123"/>
        <c:spPr>
          <a:solidFill>
            <a:schemeClr val="accent2"/>
          </a:solidFill>
          <a:ln w="19050">
            <a:solidFill>
              <a:schemeClr val="lt1"/>
            </a:solidFill>
          </a:ln>
          <a:effectLst/>
        </c:spPr>
      </c:pivotFmt>
      <c:pivotFmt>
        <c:idx val="124"/>
        <c:spPr>
          <a:solidFill>
            <a:schemeClr val="accent2"/>
          </a:solidFill>
          <a:ln w="19050">
            <a:solidFill>
              <a:schemeClr val="lt1"/>
            </a:solidFill>
          </a:ln>
          <a:effectLst/>
        </c:spPr>
      </c:pivotFmt>
      <c:pivotFmt>
        <c:idx val="125"/>
        <c:spPr>
          <a:solidFill>
            <a:schemeClr val="accent2"/>
          </a:solidFill>
          <a:ln w="19050">
            <a:solidFill>
              <a:schemeClr val="lt1"/>
            </a:solidFill>
          </a:ln>
          <a:effectLst/>
        </c:spPr>
      </c:pivotFmt>
      <c:pivotFmt>
        <c:idx val="126"/>
        <c:spPr>
          <a:solidFill>
            <a:schemeClr val="accent2"/>
          </a:solidFill>
          <a:ln w="19050">
            <a:solidFill>
              <a:schemeClr val="lt1"/>
            </a:solidFill>
          </a:ln>
          <a:effectLst/>
        </c:spPr>
      </c:pivotFmt>
      <c:pivotFmt>
        <c:idx val="127"/>
        <c:spPr>
          <a:solidFill>
            <a:schemeClr val="accent2"/>
          </a:solidFill>
          <a:ln w="19050">
            <a:solidFill>
              <a:schemeClr val="lt1"/>
            </a:solidFill>
          </a:ln>
          <a:effectLst/>
        </c:spPr>
      </c:pivotFmt>
      <c:pivotFmt>
        <c:idx val="128"/>
        <c:spPr>
          <a:solidFill>
            <a:schemeClr val="accent2"/>
          </a:solidFill>
          <a:ln w="19050">
            <a:solidFill>
              <a:schemeClr val="lt1"/>
            </a:solidFill>
          </a:ln>
          <a:effectLst/>
        </c:spPr>
      </c:pivotFmt>
      <c:pivotFmt>
        <c:idx val="129"/>
        <c:spPr>
          <a:solidFill>
            <a:schemeClr val="accent2"/>
          </a:solidFill>
          <a:ln w="19050">
            <a:solidFill>
              <a:schemeClr val="lt1"/>
            </a:solidFill>
          </a:ln>
          <a:effectLst/>
        </c:spPr>
      </c:pivotFmt>
      <c:pivotFmt>
        <c:idx val="130"/>
        <c:spPr>
          <a:solidFill>
            <a:schemeClr val="accent2"/>
          </a:solidFill>
          <a:ln w="19050">
            <a:solidFill>
              <a:schemeClr val="lt1"/>
            </a:solidFill>
          </a:ln>
          <a:effectLst/>
        </c:spPr>
      </c:pivotFmt>
      <c:pivotFmt>
        <c:idx val="131"/>
        <c:spPr>
          <a:solidFill>
            <a:schemeClr val="accent2"/>
          </a:solidFill>
          <a:ln w="19050">
            <a:solidFill>
              <a:schemeClr val="lt1"/>
            </a:solidFill>
          </a:ln>
          <a:effectLst/>
        </c:spPr>
      </c:pivotFmt>
      <c:pivotFmt>
        <c:idx val="132"/>
        <c:spPr>
          <a:solidFill>
            <a:schemeClr val="accent2"/>
          </a:solidFill>
          <a:ln w="19050">
            <a:solidFill>
              <a:schemeClr val="lt1"/>
            </a:solidFill>
          </a:ln>
          <a:effectLst/>
        </c:spPr>
      </c:pivotFmt>
      <c:pivotFmt>
        <c:idx val="133"/>
        <c:spPr>
          <a:solidFill>
            <a:schemeClr val="accent2"/>
          </a:solidFill>
          <a:ln w="19050">
            <a:solidFill>
              <a:schemeClr val="lt1"/>
            </a:solidFill>
          </a:ln>
          <a:effectLst/>
        </c:spPr>
      </c:pivotFmt>
      <c:pivotFmt>
        <c:idx val="134"/>
        <c:spPr>
          <a:solidFill>
            <a:schemeClr val="accent2"/>
          </a:solidFill>
          <a:ln w="19050">
            <a:solidFill>
              <a:schemeClr val="lt1"/>
            </a:solidFill>
          </a:ln>
          <a:effectLst/>
        </c:spPr>
      </c:pivotFmt>
      <c:pivotFmt>
        <c:idx val="135"/>
        <c:spPr>
          <a:solidFill>
            <a:schemeClr val="accent2"/>
          </a:solidFill>
          <a:ln w="19050">
            <a:solidFill>
              <a:schemeClr val="lt1"/>
            </a:solidFill>
          </a:ln>
          <a:effectLst/>
        </c:spPr>
      </c:pivotFmt>
      <c:pivotFmt>
        <c:idx val="136"/>
        <c:spPr>
          <a:solidFill>
            <a:schemeClr val="accent2"/>
          </a:solidFill>
          <a:ln w="19050">
            <a:solidFill>
              <a:schemeClr val="lt1"/>
            </a:solidFill>
          </a:ln>
          <a:effectLst/>
        </c:spPr>
      </c:pivotFmt>
      <c:pivotFmt>
        <c:idx val="137"/>
        <c:spPr>
          <a:solidFill>
            <a:schemeClr val="accent2"/>
          </a:solidFill>
          <a:ln w="19050">
            <a:solidFill>
              <a:schemeClr val="lt1"/>
            </a:solidFill>
          </a:ln>
          <a:effectLst/>
        </c:spPr>
      </c:pivotFmt>
      <c:pivotFmt>
        <c:idx val="138"/>
        <c:spPr>
          <a:solidFill>
            <a:schemeClr val="accent2"/>
          </a:solidFill>
          <a:ln w="19050">
            <a:solidFill>
              <a:schemeClr val="lt1"/>
            </a:solidFill>
          </a:ln>
          <a:effectLst/>
        </c:spPr>
      </c:pivotFmt>
      <c:pivotFmt>
        <c:idx val="139"/>
        <c:spPr>
          <a:solidFill>
            <a:schemeClr val="accent2"/>
          </a:solidFill>
          <a:ln w="19050">
            <a:solidFill>
              <a:schemeClr val="lt1"/>
            </a:solidFill>
          </a:ln>
          <a:effectLst/>
        </c:spPr>
      </c:pivotFmt>
      <c:pivotFmt>
        <c:idx val="140"/>
        <c:spPr>
          <a:solidFill>
            <a:schemeClr val="accent2"/>
          </a:solidFill>
          <a:ln w="19050">
            <a:solidFill>
              <a:schemeClr val="lt1"/>
            </a:solidFill>
          </a:ln>
          <a:effectLst/>
        </c:spPr>
        <c:marker>
          <c:symbol val="none"/>
        </c:marker>
      </c:pivotFmt>
      <c:pivotFmt>
        <c:idx val="141"/>
        <c:spPr>
          <a:solidFill>
            <a:schemeClr val="accent2"/>
          </a:solidFill>
          <a:ln w="19050">
            <a:solidFill>
              <a:schemeClr val="lt1"/>
            </a:solidFill>
          </a:ln>
          <a:effectLst/>
        </c:spPr>
        <c:marker>
          <c:symbol val="none"/>
        </c:marker>
      </c:pivotFmt>
      <c:pivotFmt>
        <c:idx val="142"/>
        <c:spPr>
          <a:solidFill>
            <a:schemeClr val="accent2"/>
          </a:solidFill>
          <a:ln w="19050">
            <a:solidFill>
              <a:schemeClr val="lt1"/>
            </a:solidFill>
          </a:ln>
          <a:effectLst/>
        </c:spPr>
        <c:marker>
          <c:symbol val="none"/>
        </c:marker>
      </c:pivotFmt>
      <c:pivotFmt>
        <c:idx val="143"/>
        <c:spPr>
          <a:solidFill>
            <a:schemeClr val="accent2"/>
          </a:solidFill>
          <a:ln w="19050">
            <a:solidFill>
              <a:schemeClr val="lt1"/>
            </a:solidFill>
          </a:ln>
          <a:effectLst/>
        </c:spPr>
        <c:marker>
          <c:symbol val="none"/>
        </c:marker>
      </c:pivotFmt>
      <c:pivotFmt>
        <c:idx val="144"/>
        <c:spPr>
          <a:solidFill>
            <a:schemeClr val="accent2"/>
          </a:solidFill>
          <a:ln w="19050">
            <a:solidFill>
              <a:schemeClr val="lt1"/>
            </a:solidFill>
          </a:ln>
          <a:effectLst/>
        </c:spPr>
      </c:pivotFmt>
      <c:pivotFmt>
        <c:idx val="145"/>
        <c:spPr>
          <a:solidFill>
            <a:schemeClr val="accent2"/>
          </a:solidFill>
          <a:ln w="19050">
            <a:solidFill>
              <a:schemeClr val="lt1"/>
            </a:solidFill>
          </a:ln>
          <a:effectLst/>
        </c:spPr>
      </c:pivotFmt>
      <c:pivotFmt>
        <c:idx val="146"/>
        <c:spPr>
          <a:solidFill>
            <a:schemeClr val="accent2"/>
          </a:solidFill>
          <a:ln w="19050">
            <a:solidFill>
              <a:schemeClr val="lt1"/>
            </a:solidFill>
          </a:ln>
          <a:effectLst/>
        </c:spPr>
      </c:pivotFmt>
      <c:pivotFmt>
        <c:idx val="147"/>
        <c:spPr>
          <a:solidFill>
            <a:schemeClr val="accent2"/>
          </a:solidFill>
          <a:ln w="19050">
            <a:solidFill>
              <a:schemeClr val="lt1"/>
            </a:solidFill>
          </a:ln>
          <a:effectLst/>
        </c:spPr>
      </c:pivotFmt>
      <c:pivotFmt>
        <c:idx val="148"/>
        <c:spPr>
          <a:solidFill>
            <a:schemeClr val="accent2"/>
          </a:solidFill>
          <a:ln w="19050">
            <a:solidFill>
              <a:schemeClr val="lt1"/>
            </a:solidFill>
          </a:ln>
          <a:effectLst/>
        </c:spPr>
      </c:pivotFmt>
      <c:pivotFmt>
        <c:idx val="149"/>
        <c:spPr>
          <a:solidFill>
            <a:schemeClr val="accent2"/>
          </a:solidFill>
          <a:ln w="19050">
            <a:solidFill>
              <a:schemeClr val="lt1"/>
            </a:solidFill>
          </a:ln>
          <a:effectLst/>
        </c:spPr>
      </c:pivotFmt>
      <c:pivotFmt>
        <c:idx val="150"/>
        <c:spPr>
          <a:solidFill>
            <a:schemeClr val="accent2"/>
          </a:solidFill>
          <a:ln w="19050">
            <a:solidFill>
              <a:schemeClr val="lt1"/>
            </a:solidFill>
          </a:ln>
          <a:effectLst/>
        </c:spPr>
      </c:pivotFmt>
      <c:pivotFmt>
        <c:idx val="151"/>
        <c:spPr>
          <a:solidFill>
            <a:schemeClr val="accent2"/>
          </a:solidFill>
          <a:ln w="19050">
            <a:solidFill>
              <a:schemeClr val="lt1"/>
            </a:solidFill>
          </a:ln>
          <a:effectLst/>
        </c:spPr>
      </c:pivotFmt>
      <c:pivotFmt>
        <c:idx val="152"/>
        <c:spPr>
          <a:solidFill>
            <a:schemeClr val="accent2"/>
          </a:solidFill>
          <a:ln w="19050">
            <a:solidFill>
              <a:schemeClr val="lt1"/>
            </a:solidFill>
          </a:ln>
          <a:effectLst/>
        </c:spPr>
      </c:pivotFmt>
      <c:pivotFmt>
        <c:idx val="153"/>
        <c:spPr>
          <a:solidFill>
            <a:schemeClr val="accent2"/>
          </a:solidFill>
          <a:ln w="19050">
            <a:solidFill>
              <a:schemeClr val="lt1"/>
            </a:solidFill>
          </a:ln>
          <a:effectLst/>
        </c:spPr>
      </c:pivotFmt>
      <c:pivotFmt>
        <c:idx val="154"/>
        <c:spPr>
          <a:solidFill>
            <a:schemeClr val="accent2"/>
          </a:solidFill>
          <a:ln w="19050">
            <a:solidFill>
              <a:schemeClr val="lt1"/>
            </a:solidFill>
          </a:ln>
          <a:effectLst/>
        </c:spPr>
      </c:pivotFmt>
      <c:pivotFmt>
        <c:idx val="155"/>
        <c:spPr>
          <a:solidFill>
            <a:schemeClr val="accent2"/>
          </a:solidFill>
          <a:ln w="19050">
            <a:solidFill>
              <a:schemeClr val="lt1"/>
            </a:solidFill>
          </a:ln>
          <a:effectLst/>
        </c:spPr>
      </c:pivotFmt>
      <c:pivotFmt>
        <c:idx val="156"/>
        <c:spPr>
          <a:solidFill>
            <a:schemeClr val="accent2"/>
          </a:solidFill>
          <a:ln w="19050">
            <a:solidFill>
              <a:schemeClr val="lt1"/>
            </a:solidFill>
          </a:ln>
          <a:effectLst/>
        </c:spPr>
      </c:pivotFmt>
      <c:pivotFmt>
        <c:idx val="157"/>
        <c:spPr>
          <a:solidFill>
            <a:schemeClr val="accent2"/>
          </a:solidFill>
          <a:ln w="19050">
            <a:solidFill>
              <a:schemeClr val="lt1"/>
            </a:solidFill>
          </a:ln>
          <a:effectLst/>
        </c:spPr>
      </c:pivotFmt>
      <c:pivotFmt>
        <c:idx val="158"/>
        <c:spPr>
          <a:solidFill>
            <a:schemeClr val="accent2"/>
          </a:solidFill>
          <a:ln w="19050">
            <a:solidFill>
              <a:schemeClr val="lt1"/>
            </a:solidFill>
          </a:ln>
          <a:effectLst/>
        </c:spPr>
      </c:pivotFmt>
      <c:pivotFmt>
        <c:idx val="159"/>
        <c:spPr>
          <a:solidFill>
            <a:schemeClr val="accent2"/>
          </a:solidFill>
          <a:ln w="19050">
            <a:solidFill>
              <a:schemeClr val="lt1"/>
            </a:solidFill>
          </a:ln>
          <a:effectLst/>
        </c:spPr>
      </c:pivotFmt>
      <c:pivotFmt>
        <c:idx val="160"/>
        <c:spPr>
          <a:solidFill>
            <a:schemeClr val="accent2"/>
          </a:solidFill>
          <a:ln w="19050">
            <a:solidFill>
              <a:schemeClr val="lt1"/>
            </a:solidFill>
          </a:ln>
          <a:effectLst/>
        </c:spPr>
      </c:pivotFmt>
      <c:pivotFmt>
        <c:idx val="161"/>
        <c:spPr>
          <a:solidFill>
            <a:schemeClr val="accent2"/>
          </a:solidFill>
          <a:ln w="19050">
            <a:solidFill>
              <a:schemeClr val="lt1"/>
            </a:solidFill>
          </a:ln>
          <a:effectLst/>
        </c:spPr>
      </c:pivotFmt>
      <c:pivotFmt>
        <c:idx val="162"/>
        <c:spPr>
          <a:solidFill>
            <a:schemeClr val="accent2"/>
          </a:solidFill>
          <a:ln w="19050">
            <a:solidFill>
              <a:schemeClr val="lt1"/>
            </a:solidFill>
          </a:ln>
          <a:effectLst/>
        </c:spPr>
      </c:pivotFmt>
      <c:pivotFmt>
        <c:idx val="163"/>
        <c:spPr>
          <a:solidFill>
            <a:schemeClr val="accent2"/>
          </a:solidFill>
          <a:ln w="19050">
            <a:solidFill>
              <a:schemeClr val="lt1"/>
            </a:solidFill>
          </a:ln>
          <a:effectLst/>
        </c:spPr>
      </c:pivotFmt>
      <c:pivotFmt>
        <c:idx val="164"/>
        <c:spPr>
          <a:solidFill>
            <a:schemeClr val="accent2"/>
          </a:solidFill>
          <a:ln w="19050">
            <a:solidFill>
              <a:schemeClr val="lt1"/>
            </a:solidFill>
          </a:ln>
          <a:effectLst/>
        </c:spPr>
      </c:pivotFmt>
      <c:pivotFmt>
        <c:idx val="165"/>
        <c:spPr>
          <a:solidFill>
            <a:schemeClr val="accent2"/>
          </a:solidFill>
          <a:ln w="19050">
            <a:solidFill>
              <a:schemeClr val="lt1"/>
            </a:solidFill>
          </a:ln>
          <a:effectLst/>
        </c:spPr>
      </c:pivotFmt>
      <c:pivotFmt>
        <c:idx val="166"/>
        <c:spPr>
          <a:solidFill>
            <a:schemeClr val="accent2"/>
          </a:solidFill>
          <a:ln w="19050">
            <a:solidFill>
              <a:schemeClr val="lt1"/>
            </a:solidFill>
          </a:ln>
          <a:effectLst/>
        </c:spPr>
      </c:pivotFmt>
      <c:pivotFmt>
        <c:idx val="167"/>
        <c:spPr>
          <a:solidFill>
            <a:schemeClr val="accent2"/>
          </a:solidFill>
          <a:ln w="19050">
            <a:solidFill>
              <a:schemeClr val="lt1"/>
            </a:solidFill>
          </a:ln>
          <a:effectLst/>
        </c:spPr>
      </c:pivotFmt>
      <c:pivotFmt>
        <c:idx val="168"/>
        <c:spPr>
          <a:solidFill>
            <a:schemeClr val="accent2"/>
          </a:solidFill>
          <a:ln w="19050">
            <a:solidFill>
              <a:schemeClr val="lt1"/>
            </a:solidFill>
          </a:ln>
          <a:effectLst/>
        </c:spPr>
      </c:pivotFmt>
      <c:pivotFmt>
        <c:idx val="169"/>
        <c:spPr>
          <a:solidFill>
            <a:schemeClr val="accent2"/>
          </a:solidFill>
          <a:ln w="19050">
            <a:solidFill>
              <a:schemeClr val="lt1"/>
            </a:solidFill>
          </a:ln>
          <a:effectLst/>
        </c:spPr>
      </c:pivotFmt>
      <c:pivotFmt>
        <c:idx val="170"/>
        <c:spPr>
          <a:solidFill>
            <a:schemeClr val="accent2"/>
          </a:solidFill>
          <a:ln w="19050">
            <a:solidFill>
              <a:schemeClr val="lt1"/>
            </a:solidFill>
          </a:ln>
          <a:effectLst/>
        </c:spPr>
      </c:pivotFmt>
      <c:pivotFmt>
        <c:idx val="171"/>
        <c:spPr>
          <a:solidFill>
            <a:schemeClr val="accent2"/>
          </a:solidFill>
          <a:ln w="19050">
            <a:solidFill>
              <a:schemeClr val="lt1"/>
            </a:solidFill>
          </a:ln>
          <a:effectLst/>
        </c:spPr>
      </c:pivotFmt>
      <c:pivotFmt>
        <c:idx val="172"/>
        <c:spPr>
          <a:solidFill>
            <a:schemeClr val="accent2"/>
          </a:solidFill>
          <a:ln w="19050">
            <a:solidFill>
              <a:schemeClr val="lt1"/>
            </a:solidFill>
          </a:ln>
          <a:effectLst/>
        </c:spPr>
      </c:pivotFmt>
      <c:pivotFmt>
        <c:idx val="173"/>
        <c:spPr>
          <a:solidFill>
            <a:schemeClr val="accent2"/>
          </a:solidFill>
          <a:ln w="19050">
            <a:solidFill>
              <a:schemeClr val="lt1"/>
            </a:solidFill>
          </a:ln>
          <a:effectLst/>
        </c:spPr>
      </c:pivotFmt>
      <c:pivotFmt>
        <c:idx val="174"/>
        <c:spPr>
          <a:solidFill>
            <a:schemeClr val="accent2"/>
          </a:solidFill>
          <a:ln w="19050">
            <a:solidFill>
              <a:schemeClr val="lt1"/>
            </a:solidFill>
          </a:ln>
          <a:effectLst/>
        </c:spPr>
      </c:pivotFmt>
      <c:pivotFmt>
        <c:idx val="175"/>
        <c:spPr>
          <a:solidFill>
            <a:schemeClr val="accent2"/>
          </a:solidFill>
          <a:ln w="19050">
            <a:solidFill>
              <a:schemeClr val="lt1"/>
            </a:solidFill>
          </a:ln>
          <a:effectLst/>
        </c:spPr>
      </c:pivotFmt>
      <c:pivotFmt>
        <c:idx val="176"/>
        <c:spPr>
          <a:solidFill>
            <a:schemeClr val="accent2"/>
          </a:solidFill>
          <a:ln w="19050">
            <a:solidFill>
              <a:schemeClr val="lt1"/>
            </a:solidFill>
          </a:ln>
          <a:effectLst/>
        </c:spPr>
      </c:pivotFmt>
      <c:pivotFmt>
        <c:idx val="177"/>
        <c:spPr>
          <a:solidFill>
            <a:schemeClr val="accent2"/>
          </a:solidFill>
          <a:ln w="19050">
            <a:solidFill>
              <a:schemeClr val="lt1"/>
            </a:solidFill>
          </a:ln>
          <a:effectLst/>
        </c:spPr>
      </c:pivotFmt>
      <c:pivotFmt>
        <c:idx val="178"/>
        <c:spPr>
          <a:solidFill>
            <a:schemeClr val="accent2"/>
          </a:solidFill>
          <a:ln w="19050">
            <a:solidFill>
              <a:schemeClr val="lt1"/>
            </a:solidFill>
          </a:ln>
          <a:effectLst/>
        </c:spPr>
      </c:pivotFmt>
      <c:pivotFmt>
        <c:idx val="179"/>
        <c:spPr>
          <a:solidFill>
            <a:schemeClr val="accent2"/>
          </a:solidFill>
          <a:ln w="19050">
            <a:solidFill>
              <a:schemeClr val="lt1"/>
            </a:solidFill>
          </a:ln>
          <a:effectLst/>
        </c:spPr>
      </c:pivotFmt>
      <c:pivotFmt>
        <c:idx val="180"/>
        <c:spPr>
          <a:solidFill>
            <a:schemeClr val="accent2"/>
          </a:solidFill>
          <a:ln w="19050">
            <a:solidFill>
              <a:schemeClr val="lt1"/>
            </a:solidFill>
          </a:ln>
          <a:effectLst/>
        </c:spPr>
      </c:pivotFmt>
      <c:pivotFmt>
        <c:idx val="181"/>
        <c:spPr>
          <a:solidFill>
            <a:schemeClr val="accent2"/>
          </a:solidFill>
          <a:ln w="19050">
            <a:solidFill>
              <a:schemeClr val="lt1"/>
            </a:solidFill>
          </a:ln>
          <a:effectLst/>
        </c:spPr>
      </c:pivotFmt>
      <c:pivotFmt>
        <c:idx val="182"/>
        <c:spPr>
          <a:solidFill>
            <a:schemeClr val="accent2"/>
          </a:solidFill>
          <a:ln w="19050">
            <a:solidFill>
              <a:schemeClr val="lt1"/>
            </a:solidFill>
          </a:ln>
          <a:effectLst/>
        </c:spPr>
      </c:pivotFmt>
      <c:pivotFmt>
        <c:idx val="183"/>
        <c:spPr>
          <a:solidFill>
            <a:schemeClr val="accent2"/>
          </a:solidFill>
          <a:ln w="19050">
            <a:solidFill>
              <a:schemeClr val="lt1"/>
            </a:solidFill>
          </a:ln>
          <a:effectLst/>
        </c:spPr>
      </c:pivotFmt>
      <c:pivotFmt>
        <c:idx val="184"/>
        <c:spPr>
          <a:solidFill>
            <a:schemeClr val="accent2"/>
          </a:solidFill>
          <a:ln w="19050">
            <a:solidFill>
              <a:schemeClr val="lt1"/>
            </a:solidFill>
          </a:ln>
          <a:effectLst/>
        </c:spPr>
      </c:pivotFmt>
      <c:pivotFmt>
        <c:idx val="185"/>
        <c:spPr>
          <a:solidFill>
            <a:schemeClr val="accent2"/>
          </a:solidFill>
          <a:ln w="19050">
            <a:solidFill>
              <a:schemeClr val="lt1"/>
            </a:solidFill>
          </a:ln>
          <a:effectLst/>
        </c:spPr>
      </c:pivotFmt>
      <c:pivotFmt>
        <c:idx val="186"/>
        <c:spPr>
          <a:solidFill>
            <a:schemeClr val="accent2"/>
          </a:solidFill>
          <a:ln w="19050">
            <a:solidFill>
              <a:schemeClr val="lt1"/>
            </a:solidFill>
          </a:ln>
          <a:effectLst/>
        </c:spPr>
      </c:pivotFmt>
      <c:pivotFmt>
        <c:idx val="187"/>
        <c:spPr>
          <a:solidFill>
            <a:schemeClr val="accent2"/>
          </a:solidFill>
          <a:ln w="19050">
            <a:solidFill>
              <a:schemeClr val="lt1"/>
            </a:solidFill>
          </a:ln>
          <a:effectLst/>
        </c:spPr>
      </c:pivotFmt>
      <c:pivotFmt>
        <c:idx val="188"/>
        <c:spPr>
          <a:solidFill>
            <a:schemeClr val="accent2"/>
          </a:solidFill>
          <a:ln w="19050">
            <a:solidFill>
              <a:schemeClr val="lt1"/>
            </a:solidFill>
          </a:ln>
          <a:effectLst/>
        </c:spPr>
      </c:pivotFmt>
      <c:pivotFmt>
        <c:idx val="189"/>
        <c:spPr>
          <a:solidFill>
            <a:schemeClr val="accent2"/>
          </a:solidFill>
          <a:ln w="19050">
            <a:solidFill>
              <a:schemeClr val="lt1"/>
            </a:solidFill>
          </a:ln>
          <a:effectLst/>
        </c:spPr>
      </c:pivotFmt>
      <c:pivotFmt>
        <c:idx val="190"/>
        <c:spPr>
          <a:solidFill>
            <a:schemeClr val="accent2"/>
          </a:solidFill>
          <a:ln w="19050">
            <a:solidFill>
              <a:schemeClr val="lt1"/>
            </a:solidFill>
          </a:ln>
          <a:effectLst/>
        </c:spPr>
      </c:pivotFmt>
      <c:pivotFmt>
        <c:idx val="191"/>
        <c:spPr>
          <a:solidFill>
            <a:schemeClr val="accent2"/>
          </a:solidFill>
          <a:ln w="19050">
            <a:solidFill>
              <a:schemeClr val="lt1"/>
            </a:solidFill>
          </a:ln>
          <a:effectLst/>
        </c:spPr>
      </c:pivotFmt>
      <c:pivotFmt>
        <c:idx val="192"/>
        <c:spPr>
          <a:solidFill>
            <a:schemeClr val="accent2"/>
          </a:solidFill>
          <a:ln w="19050">
            <a:solidFill>
              <a:schemeClr val="lt1"/>
            </a:solidFill>
          </a:ln>
          <a:effectLst/>
        </c:spPr>
      </c:pivotFmt>
      <c:pivotFmt>
        <c:idx val="193"/>
        <c:spPr>
          <a:solidFill>
            <a:schemeClr val="accent2"/>
          </a:solidFill>
          <a:ln w="19050">
            <a:solidFill>
              <a:schemeClr val="lt1"/>
            </a:solidFill>
          </a:ln>
          <a:effectLst/>
        </c:spPr>
      </c:pivotFmt>
      <c:pivotFmt>
        <c:idx val="194"/>
        <c:spPr>
          <a:solidFill>
            <a:schemeClr val="accent2"/>
          </a:solidFill>
          <a:ln w="19050">
            <a:solidFill>
              <a:schemeClr val="lt1"/>
            </a:solidFill>
          </a:ln>
          <a:effectLst/>
        </c:spPr>
      </c:pivotFmt>
      <c:pivotFmt>
        <c:idx val="195"/>
        <c:spPr>
          <a:solidFill>
            <a:schemeClr val="accent2"/>
          </a:solidFill>
          <a:ln w="19050">
            <a:solidFill>
              <a:schemeClr val="lt1"/>
            </a:solidFill>
          </a:ln>
          <a:effectLst/>
        </c:spPr>
      </c:pivotFmt>
      <c:pivotFmt>
        <c:idx val="196"/>
        <c:spPr>
          <a:solidFill>
            <a:schemeClr val="accent2"/>
          </a:solidFill>
          <a:ln w="19050">
            <a:solidFill>
              <a:schemeClr val="lt1"/>
            </a:solidFill>
          </a:ln>
          <a:effectLst/>
        </c:spPr>
      </c:pivotFmt>
      <c:pivotFmt>
        <c:idx val="197"/>
        <c:spPr>
          <a:solidFill>
            <a:schemeClr val="accent2"/>
          </a:solidFill>
          <a:ln w="19050">
            <a:solidFill>
              <a:schemeClr val="lt1"/>
            </a:solidFill>
          </a:ln>
          <a:effectLst/>
        </c:spPr>
      </c:pivotFmt>
      <c:pivotFmt>
        <c:idx val="198"/>
        <c:spPr>
          <a:solidFill>
            <a:schemeClr val="accent2"/>
          </a:solidFill>
          <a:ln w="19050">
            <a:solidFill>
              <a:schemeClr val="lt1"/>
            </a:solidFill>
          </a:ln>
          <a:effectLst/>
        </c:spPr>
      </c:pivotFmt>
      <c:pivotFmt>
        <c:idx val="199"/>
        <c:spPr>
          <a:solidFill>
            <a:schemeClr val="accent2"/>
          </a:solidFill>
          <a:ln w="19050">
            <a:solidFill>
              <a:schemeClr val="lt1"/>
            </a:solidFill>
          </a:ln>
          <a:effectLst/>
        </c:spPr>
      </c:pivotFmt>
      <c:pivotFmt>
        <c:idx val="200"/>
        <c:spPr>
          <a:solidFill>
            <a:schemeClr val="accent2"/>
          </a:solidFill>
          <a:ln w="19050">
            <a:solidFill>
              <a:schemeClr val="lt1"/>
            </a:solidFill>
          </a:ln>
          <a:effectLst/>
        </c:spPr>
      </c:pivotFmt>
      <c:pivotFmt>
        <c:idx val="201"/>
        <c:spPr>
          <a:solidFill>
            <a:schemeClr val="accent2"/>
          </a:solidFill>
          <a:ln w="19050">
            <a:solidFill>
              <a:schemeClr val="lt1"/>
            </a:solidFill>
          </a:ln>
          <a:effectLst/>
        </c:spPr>
      </c:pivotFmt>
      <c:pivotFmt>
        <c:idx val="202"/>
        <c:spPr>
          <a:solidFill>
            <a:schemeClr val="accent2"/>
          </a:solidFill>
          <a:ln w="19050">
            <a:solidFill>
              <a:schemeClr val="lt1"/>
            </a:solidFill>
          </a:ln>
          <a:effectLst/>
        </c:spPr>
      </c:pivotFmt>
      <c:pivotFmt>
        <c:idx val="203"/>
        <c:spPr>
          <a:solidFill>
            <a:schemeClr val="accent2"/>
          </a:solidFill>
          <a:ln w="19050">
            <a:solidFill>
              <a:schemeClr val="lt1"/>
            </a:solidFill>
          </a:ln>
          <a:effectLst/>
        </c:spPr>
      </c:pivotFmt>
      <c:pivotFmt>
        <c:idx val="204"/>
        <c:spPr>
          <a:solidFill>
            <a:schemeClr val="accent2"/>
          </a:solidFill>
          <a:ln w="19050">
            <a:solidFill>
              <a:schemeClr val="lt1"/>
            </a:solidFill>
          </a:ln>
          <a:effectLst/>
        </c:spPr>
      </c:pivotFmt>
      <c:pivotFmt>
        <c:idx val="205"/>
        <c:spPr>
          <a:solidFill>
            <a:schemeClr val="accent2"/>
          </a:solidFill>
          <a:ln w="19050">
            <a:solidFill>
              <a:schemeClr val="lt1"/>
            </a:solidFill>
          </a:ln>
          <a:effectLst/>
        </c:spPr>
      </c:pivotFmt>
      <c:pivotFmt>
        <c:idx val="206"/>
        <c:spPr>
          <a:solidFill>
            <a:schemeClr val="accent2"/>
          </a:solidFill>
          <a:ln w="19050">
            <a:solidFill>
              <a:schemeClr val="lt1"/>
            </a:solidFill>
          </a:ln>
          <a:effectLst/>
        </c:spPr>
      </c:pivotFmt>
      <c:pivotFmt>
        <c:idx val="207"/>
        <c:spPr>
          <a:solidFill>
            <a:schemeClr val="accent2"/>
          </a:solidFill>
          <a:ln w="19050">
            <a:solidFill>
              <a:schemeClr val="lt1"/>
            </a:solidFill>
          </a:ln>
          <a:effectLst/>
        </c:spPr>
      </c:pivotFmt>
      <c:pivotFmt>
        <c:idx val="208"/>
        <c:spPr>
          <a:solidFill>
            <a:schemeClr val="accent2"/>
          </a:solidFill>
          <a:ln w="19050">
            <a:solidFill>
              <a:schemeClr val="lt1"/>
            </a:solidFill>
          </a:ln>
          <a:effectLst/>
        </c:spPr>
      </c:pivotFmt>
      <c:pivotFmt>
        <c:idx val="209"/>
        <c:spPr>
          <a:solidFill>
            <a:schemeClr val="accent2"/>
          </a:solidFill>
          <a:ln w="19050">
            <a:solidFill>
              <a:schemeClr val="lt1"/>
            </a:solidFill>
          </a:ln>
          <a:effectLst/>
        </c:spPr>
      </c:pivotFmt>
      <c:pivotFmt>
        <c:idx val="210"/>
        <c:spPr>
          <a:solidFill>
            <a:schemeClr val="accent2"/>
          </a:solidFill>
          <a:ln w="19050">
            <a:solidFill>
              <a:schemeClr val="lt1"/>
            </a:solidFill>
          </a:ln>
          <a:effectLst/>
        </c:spPr>
      </c:pivotFmt>
      <c:pivotFmt>
        <c:idx val="211"/>
        <c:spPr>
          <a:solidFill>
            <a:schemeClr val="accent2"/>
          </a:solidFill>
          <a:ln w="19050">
            <a:solidFill>
              <a:schemeClr val="lt1"/>
            </a:solidFill>
          </a:ln>
          <a:effectLst/>
        </c:spPr>
      </c:pivotFmt>
      <c:pivotFmt>
        <c:idx val="212"/>
        <c:spPr>
          <a:solidFill>
            <a:schemeClr val="accent2"/>
          </a:solidFill>
          <a:ln w="19050">
            <a:solidFill>
              <a:schemeClr val="lt1"/>
            </a:solidFill>
          </a:ln>
          <a:effectLst/>
        </c:spPr>
      </c:pivotFmt>
      <c:pivotFmt>
        <c:idx val="213"/>
        <c:spPr>
          <a:solidFill>
            <a:schemeClr val="accent2"/>
          </a:solidFill>
          <a:ln w="19050">
            <a:solidFill>
              <a:schemeClr val="lt1"/>
            </a:solidFill>
          </a:ln>
          <a:effectLst/>
        </c:spPr>
      </c:pivotFmt>
      <c:pivotFmt>
        <c:idx val="214"/>
        <c:spPr>
          <a:solidFill>
            <a:schemeClr val="accent2"/>
          </a:solidFill>
          <a:ln w="19050">
            <a:solidFill>
              <a:schemeClr val="lt1"/>
            </a:solidFill>
          </a:ln>
          <a:effectLst/>
        </c:spPr>
      </c:pivotFmt>
      <c:pivotFmt>
        <c:idx val="215"/>
        <c:spPr>
          <a:solidFill>
            <a:schemeClr val="accent2"/>
          </a:solidFill>
          <a:ln w="19050">
            <a:solidFill>
              <a:schemeClr val="lt1"/>
            </a:solidFill>
          </a:ln>
          <a:effectLst/>
        </c:spPr>
      </c:pivotFmt>
      <c:pivotFmt>
        <c:idx val="216"/>
        <c:spPr>
          <a:solidFill>
            <a:schemeClr val="accent2"/>
          </a:solidFill>
          <a:ln w="19050">
            <a:solidFill>
              <a:schemeClr val="lt1"/>
            </a:solidFill>
          </a:ln>
          <a:effectLst/>
        </c:spPr>
      </c:pivotFmt>
      <c:pivotFmt>
        <c:idx val="217"/>
        <c:spPr>
          <a:solidFill>
            <a:schemeClr val="accent2"/>
          </a:solidFill>
          <a:ln w="19050">
            <a:solidFill>
              <a:schemeClr val="lt1"/>
            </a:solidFill>
          </a:ln>
          <a:effectLst/>
        </c:spPr>
      </c:pivotFmt>
      <c:pivotFmt>
        <c:idx val="218"/>
        <c:spPr>
          <a:solidFill>
            <a:schemeClr val="accent2"/>
          </a:solidFill>
          <a:ln w="19050">
            <a:solidFill>
              <a:schemeClr val="lt1"/>
            </a:solidFill>
          </a:ln>
          <a:effectLst/>
        </c:spPr>
      </c:pivotFmt>
      <c:pivotFmt>
        <c:idx val="219"/>
        <c:spPr>
          <a:solidFill>
            <a:schemeClr val="accent2"/>
          </a:solidFill>
          <a:ln w="19050">
            <a:solidFill>
              <a:schemeClr val="lt1"/>
            </a:solidFill>
          </a:ln>
          <a:effectLst/>
        </c:spPr>
      </c:pivotFmt>
      <c:pivotFmt>
        <c:idx val="220"/>
        <c:spPr>
          <a:solidFill>
            <a:schemeClr val="accent2"/>
          </a:solidFill>
          <a:ln w="19050">
            <a:solidFill>
              <a:schemeClr val="lt1"/>
            </a:solidFill>
          </a:ln>
          <a:effectLst/>
        </c:spPr>
      </c:pivotFmt>
      <c:pivotFmt>
        <c:idx val="221"/>
        <c:spPr>
          <a:solidFill>
            <a:schemeClr val="accent2"/>
          </a:solidFill>
          <a:ln w="19050">
            <a:solidFill>
              <a:schemeClr val="lt1"/>
            </a:solidFill>
          </a:ln>
          <a:effectLst/>
        </c:spPr>
      </c:pivotFmt>
      <c:pivotFmt>
        <c:idx val="222"/>
        <c:spPr>
          <a:solidFill>
            <a:schemeClr val="accent2"/>
          </a:solidFill>
          <a:ln w="19050">
            <a:solidFill>
              <a:schemeClr val="lt1"/>
            </a:solidFill>
          </a:ln>
          <a:effectLst/>
        </c:spPr>
      </c:pivotFmt>
      <c:pivotFmt>
        <c:idx val="223"/>
        <c:spPr>
          <a:solidFill>
            <a:schemeClr val="accent2"/>
          </a:solidFill>
          <a:ln w="19050">
            <a:solidFill>
              <a:schemeClr val="lt1"/>
            </a:solidFill>
          </a:ln>
          <a:effectLst/>
        </c:spPr>
      </c:pivotFmt>
      <c:pivotFmt>
        <c:idx val="224"/>
        <c:spPr>
          <a:solidFill>
            <a:schemeClr val="accent2"/>
          </a:solidFill>
          <a:ln w="19050">
            <a:solidFill>
              <a:schemeClr val="lt1"/>
            </a:solidFill>
          </a:ln>
          <a:effectLst/>
        </c:spPr>
      </c:pivotFmt>
      <c:pivotFmt>
        <c:idx val="225"/>
        <c:spPr>
          <a:solidFill>
            <a:schemeClr val="accent2"/>
          </a:solidFill>
          <a:ln w="19050">
            <a:solidFill>
              <a:schemeClr val="lt1"/>
            </a:solidFill>
          </a:ln>
          <a:effectLst/>
        </c:spPr>
      </c:pivotFmt>
      <c:pivotFmt>
        <c:idx val="226"/>
        <c:spPr>
          <a:solidFill>
            <a:schemeClr val="accent2"/>
          </a:solidFill>
          <a:ln w="19050">
            <a:solidFill>
              <a:schemeClr val="lt1"/>
            </a:solidFill>
          </a:ln>
          <a:effectLst/>
        </c:spPr>
      </c:pivotFmt>
      <c:pivotFmt>
        <c:idx val="227"/>
        <c:spPr>
          <a:solidFill>
            <a:schemeClr val="accent2"/>
          </a:solidFill>
          <a:ln w="19050">
            <a:solidFill>
              <a:schemeClr val="lt1"/>
            </a:solidFill>
          </a:ln>
          <a:effectLst/>
        </c:spPr>
      </c:pivotFmt>
      <c:pivotFmt>
        <c:idx val="228"/>
        <c:spPr>
          <a:solidFill>
            <a:schemeClr val="accent2"/>
          </a:solidFill>
          <a:ln w="19050">
            <a:solidFill>
              <a:schemeClr val="lt1"/>
            </a:solidFill>
          </a:ln>
          <a:effectLst/>
        </c:spPr>
      </c:pivotFmt>
      <c:pivotFmt>
        <c:idx val="229"/>
        <c:spPr>
          <a:solidFill>
            <a:schemeClr val="accent2"/>
          </a:solidFill>
          <a:ln w="19050">
            <a:solidFill>
              <a:schemeClr val="lt1"/>
            </a:solidFill>
          </a:ln>
          <a:effectLst/>
        </c:spPr>
      </c:pivotFmt>
      <c:pivotFmt>
        <c:idx val="230"/>
        <c:spPr>
          <a:solidFill>
            <a:schemeClr val="accent2"/>
          </a:solidFill>
          <a:ln w="19050">
            <a:solidFill>
              <a:schemeClr val="lt1"/>
            </a:solidFill>
          </a:ln>
          <a:effectLst/>
        </c:spPr>
      </c:pivotFmt>
      <c:pivotFmt>
        <c:idx val="231"/>
        <c:spPr>
          <a:solidFill>
            <a:schemeClr val="accent2"/>
          </a:solidFill>
          <a:ln w="19050">
            <a:solidFill>
              <a:schemeClr val="lt1"/>
            </a:solidFill>
          </a:ln>
          <a:effectLst/>
        </c:spPr>
      </c:pivotFmt>
      <c:pivotFmt>
        <c:idx val="232"/>
        <c:spPr>
          <a:solidFill>
            <a:schemeClr val="accent2"/>
          </a:solidFill>
          <a:ln w="19050">
            <a:solidFill>
              <a:schemeClr val="lt1"/>
            </a:solidFill>
          </a:ln>
          <a:effectLst/>
        </c:spPr>
      </c:pivotFmt>
      <c:pivotFmt>
        <c:idx val="233"/>
        <c:spPr>
          <a:solidFill>
            <a:schemeClr val="accent2"/>
          </a:solidFill>
          <a:ln w="19050">
            <a:solidFill>
              <a:schemeClr val="lt1"/>
            </a:solidFill>
          </a:ln>
          <a:effectLst/>
        </c:spPr>
      </c:pivotFmt>
      <c:pivotFmt>
        <c:idx val="234"/>
        <c:spPr>
          <a:solidFill>
            <a:schemeClr val="accent2"/>
          </a:solidFill>
          <a:ln w="19050">
            <a:solidFill>
              <a:schemeClr val="lt1"/>
            </a:solidFill>
          </a:ln>
          <a:effectLst/>
        </c:spPr>
      </c:pivotFmt>
      <c:pivotFmt>
        <c:idx val="235"/>
        <c:spPr>
          <a:solidFill>
            <a:schemeClr val="accent2"/>
          </a:solidFill>
          <a:ln w="19050">
            <a:solidFill>
              <a:schemeClr val="lt1"/>
            </a:solidFill>
          </a:ln>
          <a:effectLst/>
        </c:spPr>
      </c:pivotFmt>
      <c:pivotFmt>
        <c:idx val="236"/>
        <c:spPr>
          <a:solidFill>
            <a:schemeClr val="accent2"/>
          </a:solidFill>
          <a:ln w="19050">
            <a:solidFill>
              <a:schemeClr val="lt1"/>
            </a:solidFill>
          </a:ln>
          <a:effectLst/>
        </c:spPr>
      </c:pivotFmt>
      <c:pivotFmt>
        <c:idx val="237"/>
        <c:spPr>
          <a:solidFill>
            <a:schemeClr val="accent2"/>
          </a:solidFill>
          <a:ln w="19050">
            <a:solidFill>
              <a:schemeClr val="lt1"/>
            </a:solidFill>
          </a:ln>
          <a:effectLst/>
        </c:spPr>
      </c:pivotFmt>
      <c:pivotFmt>
        <c:idx val="238"/>
        <c:spPr>
          <a:solidFill>
            <a:schemeClr val="accent2"/>
          </a:solidFill>
          <a:ln w="19050">
            <a:solidFill>
              <a:schemeClr val="lt1"/>
            </a:solidFill>
          </a:ln>
          <a:effectLst/>
        </c:spPr>
      </c:pivotFmt>
      <c:pivotFmt>
        <c:idx val="239"/>
        <c:spPr>
          <a:solidFill>
            <a:schemeClr val="accent2"/>
          </a:solidFill>
          <a:ln w="19050">
            <a:solidFill>
              <a:schemeClr val="lt1"/>
            </a:solidFill>
          </a:ln>
          <a:effectLst/>
        </c:spPr>
      </c:pivotFmt>
      <c:pivotFmt>
        <c:idx val="240"/>
        <c:spPr>
          <a:solidFill>
            <a:schemeClr val="accent2"/>
          </a:solidFill>
          <a:ln w="19050">
            <a:solidFill>
              <a:schemeClr val="lt1"/>
            </a:solidFill>
          </a:ln>
          <a:effectLst/>
        </c:spPr>
      </c:pivotFmt>
      <c:pivotFmt>
        <c:idx val="241"/>
        <c:spPr>
          <a:solidFill>
            <a:schemeClr val="accent2"/>
          </a:solidFill>
          <a:ln w="19050">
            <a:solidFill>
              <a:schemeClr val="lt1"/>
            </a:solidFill>
          </a:ln>
          <a:effectLst/>
        </c:spPr>
      </c:pivotFmt>
      <c:pivotFmt>
        <c:idx val="242"/>
        <c:spPr>
          <a:solidFill>
            <a:schemeClr val="accent2"/>
          </a:solidFill>
          <a:ln w="19050">
            <a:solidFill>
              <a:schemeClr val="lt1"/>
            </a:solidFill>
          </a:ln>
          <a:effectLst/>
        </c:spPr>
      </c:pivotFmt>
      <c:pivotFmt>
        <c:idx val="243"/>
        <c:spPr>
          <a:solidFill>
            <a:schemeClr val="accent2"/>
          </a:solidFill>
          <a:ln w="19050">
            <a:solidFill>
              <a:schemeClr val="lt1"/>
            </a:solidFill>
          </a:ln>
          <a:effectLst/>
        </c:spPr>
      </c:pivotFmt>
      <c:pivotFmt>
        <c:idx val="244"/>
        <c:spPr>
          <a:solidFill>
            <a:schemeClr val="accent2"/>
          </a:solidFill>
          <a:ln w="19050">
            <a:solidFill>
              <a:schemeClr val="lt1"/>
            </a:solidFill>
          </a:ln>
          <a:effectLst/>
        </c:spPr>
      </c:pivotFmt>
      <c:pivotFmt>
        <c:idx val="245"/>
        <c:spPr>
          <a:solidFill>
            <a:schemeClr val="accent2"/>
          </a:solidFill>
          <a:ln w="19050">
            <a:solidFill>
              <a:schemeClr val="lt1"/>
            </a:solidFill>
          </a:ln>
          <a:effectLst/>
        </c:spPr>
      </c:pivotFmt>
      <c:pivotFmt>
        <c:idx val="246"/>
        <c:spPr>
          <a:solidFill>
            <a:schemeClr val="accent2"/>
          </a:solidFill>
          <a:ln w="19050">
            <a:solidFill>
              <a:schemeClr val="lt1"/>
            </a:solidFill>
          </a:ln>
          <a:effectLst/>
        </c:spPr>
      </c:pivotFmt>
      <c:pivotFmt>
        <c:idx val="247"/>
        <c:spPr>
          <a:solidFill>
            <a:schemeClr val="accent2"/>
          </a:solidFill>
          <a:ln w="19050">
            <a:solidFill>
              <a:schemeClr val="lt1"/>
            </a:solidFill>
          </a:ln>
          <a:effectLst/>
        </c:spPr>
      </c:pivotFmt>
      <c:pivotFmt>
        <c:idx val="248"/>
        <c:spPr>
          <a:solidFill>
            <a:schemeClr val="accent2"/>
          </a:solidFill>
          <a:ln w="19050">
            <a:solidFill>
              <a:schemeClr val="lt1"/>
            </a:solidFill>
          </a:ln>
          <a:effectLst/>
        </c:spPr>
      </c:pivotFmt>
      <c:pivotFmt>
        <c:idx val="249"/>
        <c:spPr>
          <a:solidFill>
            <a:schemeClr val="accent2"/>
          </a:solidFill>
          <a:ln w="19050">
            <a:solidFill>
              <a:schemeClr val="lt1"/>
            </a:solidFill>
          </a:ln>
          <a:effectLst/>
        </c:spPr>
      </c:pivotFmt>
      <c:pivotFmt>
        <c:idx val="250"/>
        <c:spPr>
          <a:solidFill>
            <a:schemeClr val="accent2"/>
          </a:solidFill>
          <a:ln w="19050">
            <a:solidFill>
              <a:schemeClr val="lt1"/>
            </a:solidFill>
          </a:ln>
          <a:effectLst/>
        </c:spPr>
      </c:pivotFmt>
      <c:pivotFmt>
        <c:idx val="251"/>
        <c:spPr>
          <a:solidFill>
            <a:schemeClr val="accent2"/>
          </a:solidFill>
          <a:ln w="19050">
            <a:solidFill>
              <a:schemeClr val="lt1"/>
            </a:solidFill>
          </a:ln>
          <a:effectLst/>
        </c:spPr>
      </c:pivotFmt>
      <c:pivotFmt>
        <c:idx val="252"/>
        <c:spPr>
          <a:solidFill>
            <a:schemeClr val="accent2"/>
          </a:solidFill>
          <a:ln w="19050">
            <a:solidFill>
              <a:schemeClr val="lt1"/>
            </a:solidFill>
          </a:ln>
          <a:effectLst/>
        </c:spPr>
      </c:pivotFmt>
      <c:pivotFmt>
        <c:idx val="253"/>
        <c:spPr>
          <a:solidFill>
            <a:schemeClr val="accent2"/>
          </a:solidFill>
          <a:ln w="19050">
            <a:solidFill>
              <a:schemeClr val="lt1"/>
            </a:solidFill>
          </a:ln>
          <a:effectLst/>
        </c:spPr>
      </c:pivotFmt>
      <c:pivotFmt>
        <c:idx val="254"/>
        <c:spPr>
          <a:solidFill>
            <a:schemeClr val="accent2"/>
          </a:solidFill>
          <a:ln w="19050">
            <a:solidFill>
              <a:schemeClr val="lt1"/>
            </a:solidFill>
          </a:ln>
          <a:effectLst/>
        </c:spPr>
      </c:pivotFmt>
      <c:pivotFmt>
        <c:idx val="255"/>
        <c:spPr>
          <a:solidFill>
            <a:schemeClr val="accent2"/>
          </a:solidFill>
          <a:ln w="19050">
            <a:solidFill>
              <a:schemeClr val="lt1"/>
            </a:solidFill>
          </a:ln>
          <a:effectLst/>
        </c:spPr>
      </c:pivotFmt>
      <c:pivotFmt>
        <c:idx val="256"/>
        <c:spPr>
          <a:solidFill>
            <a:schemeClr val="accent2"/>
          </a:solidFill>
          <a:ln w="19050">
            <a:solidFill>
              <a:schemeClr val="lt1"/>
            </a:solidFill>
          </a:ln>
          <a:effectLst/>
        </c:spPr>
      </c:pivotFmt>
      <c:pivotFmt>
        <c:idx val="257"/>
        <c:spPr>
          <a:solidFill>
            <a:schemeClr val="accent2"/>
          </a:solidFill>
          <a:ln w="19050">
            <a:solidFill>
              <a:schemeClr val="lt1"/>
            </a:solidFill>
          </a:ln>
          <a:effectLst/>
        </c:spPr>
      </c:pivotFmt>
      <c:pivotFmt>
        <c:idx val="258"/>
        <c:spPr>
          <a:solidFill>
            <a:schemeClr val="accent2"/>
          </a:solidFill>
          <a:ln w="19050">
            <a:solidFill>
              <a:schemeClr val="lt1"/>
            </a:solidFill>
          </a:ln>
          <a:effectLst/>
        </c:spPr>
      </c:pivotFmt>
      <c:pivotFmt>
        <c:idx val="259"/>
        <c:spPr>
          <a:solidFill>
            <a:schemeClr val="accent2"/>
          </a:solidFill>
          <a:ln w="19050">
            <a:solidFill>
              <a:schemeClr val="lt1"/>
            </a:solidFill>
          </a:ln>
          <a:effectLst/>
        </c:spPr>
      </c:pivotFmt>
      <c:pivotFmt>
        <c:idx val="260"/>
        <c:spPr>
          <a:solidFill>
            <a:schemeClr val="accent2"/>
          </a:solidFill>
          <a:ln w="19050">
            <a:solidFill>
              <a:schemeClr val="lt1"/>
            </a:solidFill>
          </a:ln>
          <a:effectLst/>
        </c:spPr>
      </c:pivotFmt>
      <c:pivotFmt>
        <c:idx val="261"/>
        <c:spPr>
          <a:solidFill>
            <a:schemeClr val="accent2"/>
          </a:solidFill>
          <a:ln w="19050">
            <a:solidFill>
              <a:schemeClr val="lt1"/>
            </a:solidFill>
          </a:ln>
          <a:effectLst/>
        </c:spPr>
      </c:pivotFmt>
      <c:pivotFmt>
        <c:idx val="262"/>
        <c:spPr>
          <a:solidFill>
            <a:schemeClr val="accent2"/>
          </a:solidFill>
          <a:ln w="19050">
            <a:solidFill>
              <a:schemeClr val="lt1"/>
            </a:solidFill>
          </a:ln>
          <a:effectLst/>
        </c:spPr>
      </c:pivotFmt>
      <c:pivotFmt>
        <c:idx val="263"/>
        <c:spPr>
          <a:solidFill>
            <a:schemeClr val="accent2"/>
          </a:solidFill>
          <a:ln w="19050">
            <a:solidFill>
              <a:schemeClr val="lt1"/>
            </a:solidFill>
          </a:ln>
          <a:effectLst/>
        </c:spPr>
      </c:pivotFmt>
      <c:pivotFmt>
        <c:idx val="264"/>
        <c:spPr>
          <a:solidFill>
            <a:schemeClr val="accent2"/>
          </a:solidFill>
          <a:ln w="19050">
            <a:solidFill>
              <a:schemeClr val="lt1"/>
            </a:solidFill>
          </a:ln>
          <a:effectLst/>
        </c:spPr>
      </c:pivotFmt>
      <c:pivotFmt>
        <c:idx val="265"/>
        <c:spPr>
          <a:solidFill>
            <a:schemeClr val="accent2"/>
          </a:solidFill>
          <a:ln w="19050">
            <a:solidFill>
              <a:schemeClr val="lt1"/>
            </a:solidFill>
          </a:ln>
          <a:effectLst/>
        </c:spPr>
      </c:pivotFmt>
      <c:pivotFmt>
        <c:idx val="266"/>
        <c:spPr>
          <a:solidFill>
            <a:schemeClr val="accent2"/>
          </a:solidFill>
          <a:ln w="19050">
            <a:solidFill>
              <a:schemeClr val="lt1"/>
            </a:solidFill>
          </a:ln>
          <a:effectLst/>
        </c:spPr>
      </c:pivotFmt>
      <c:pivotFmt>
        <c:idx val="267"/>
        <c:spPr>
          <a:solidFill>
            <a:schemeClr val="accent2"/>
          </a:solidFill>
          <a:ln w="19050">
            <a:solidFill>
              <a:schemeClr val="lt1"/>
            </a:solidFill>
          </a:ln>
          <a:effectLst/>
        </c:spPr>
      </c:pivotFmt>
      <c:pivotFmt>
        <c:idx val="268"/>
        <c:spPr>
          <a:solidFill>
            <a:schemeClr val="accent2"/>
          </a:solidFill>
          <a:ln w="19050">
            <a:solidFill>
              <a:schemeClr val="lt1"/>
            </a:solidFill>
          </a:ln>
          <a:effectLst/>
        </c:spPr>
      </c:pivotFmt>
      <c:pivotFmt>
        <c:idx val="269"/>
        <c:spPr>
          <a:solidFill>
            <a:schemeClr val="accent2"/>
          </a:solidFill>
          <a:ln w="19050">
            <a:solidFill>
              <a:schemeClr val="lt1"/>
            </a:solidFill>
          </a:ln>
          <a:effectLst/>
        </c:spPr>
      </c:pivotFmt>
      <c:pivotFmt>
        <c:idx val="270"/>
        <c:spPr>
          <a:solidFill>
            <a:schemeClr val="accent2"/>
          </a:solidFill>
          <a:ln w="19050">
            <a:solidFill>
              <a:schemeClr val="lt1"/>
            </a:solidFill>
          </a:ln>
          <a:effectLst/>
        </c:spPr>
      </c:pivotFmt>
      <c:pivotFmt>
        <c:idx val="271"/>
        <c:spPr>
          <a:solidFill>
            <a:schemeClr val="accent2"/>
          </a:solidFill>
          <a:ln w="19050">
            <a:solidFill>
              <a:schemeClr val="lt1"/>
            </a:solidFill>
          </a:ln>
          <a:effectLst/>
        </c:spPr>
      </c:pivotFmt>
      <c:pivotFmt>
        <c:idx val="272"/>
        <c:spPr>
          <a:solidFill>
            <a:schemeClr val="accent2"/>
          </a:solidFill>
          <a:ln w="19050">
            <a:solidFill>
              <a:schemeClr val="lt1"/>
            </a:solidFill>
          </a:ln>
          <a:effectLst/>
        </c:spPr>
      </c:pivotFmt>
      <c:pivotFmt>
        <c:idx val="273"/>
        <c:spPr>
          <a:solidFill>
            <a:schemeClr val="accent2"/>
          </a:solidFill>
          <a:ln w="19050">
            <a:solidFill>
              <a:schemeClr val="lt1"/>
            </a:solidFill>
          </a:ln>
          <a:effectLst/>
        </c:spPr>
      </c:pivotFmt>
      <c:pivotFmt>
        <c:idx val="274"/>
        <c:spPr>
          <a:solidFill>
            <a:schemeClr val="accent2"/>
          </a:solidFill>
          <a:ln w="19050">
            <a:solidFill>
              <a:schemeClr val="lt1"/>
            </a:solidFill>
          </a:ln>
          <a:effectLst/>
        </c:spPr>
      </c:pivotFmt>
      <c:pivotFmt>
        <c:idx val="275"/>
        <c:spPr>
          <a:solidFill>
            <a:schemeClr val="accent2"/>
          </a:solidFill>
          <a:ln w="19050">
            <a:solidFill>
              <a:schemeClr val="lt1"/>
            </a:solidFill>
          </a:ln>
          <a:effectLst/>
        </c:spPr>
      </c:pivotFmt>
      <c:pivotFmt>
        <c:idx val="276"/>
        <c:spPr>
          <a:solidFill>
            <a:schemeClr val="accent2"/>
          </a:solidFill>
          <a:ln w="19050">
            <a:solidFill>
              <a:schemeClr val="lt1"/>
            </a:solidFill>
          </a:ln>
          <a:effectLst/>
        </c:spPr>
        <c:marker>
          <c:symbol val="none"/>
        </c:marker>
      </c:pivotFmt>
      <c:pivotFmt>
        <c:idx val="277"/>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8"/>
        <c:spPr>
          <a:solidFill>
            <a:schemeClr val="accent2"/>
          </a:solidFill>
          <a:ln w="19050">
            <a:solidFill>
              <a:schemeClr val="lt1"/>
            </a:solidFill>
          </a:ln>
          <a:effectLst/>
        </c:spPr>
        <c:marker>
          <c:symbol val="none"/>
        </c:marker>
      </c:pivotFmt>
      <c:pivotFmt>
        <c:idx val="279"/>
        <c:spPr>
          <a:solidFill>
            <a:schemeClr val="accent2"/>
          </a:solidFill>
          <a:ln w="19050">
            <a:solidFill>
              <a:schemeClr val="lt1"/>
            </a:solidFill>
          </a:ln>
          <a:effectLst/>
        </c:spPr>
        <c:marker>
          <c:symbol val="none"/>
        </c:marker>
      </c:pivotFmt>
      <c:pivotFmt>
        <c:idx val="280"/>
        <c:spPr>
          <a:solidFill>
            <a:schemeClr val="accent2"/>
          </a:solidFill>
          <a:ln w="19050">
            <a:solidFill>
              <a:schemeClr val="lt1"/>
            </a:solidFill>
          </a:ln>
          <a:effectLst/>
        </c:spPr>
      </c:pivotFmt>
      <c:pivotFmt>
        <c:idx val="281"/>
        <c:spPr>
          <a:solidFill>
            <a:schemeClr val="accent2"/>
          </a:solidFill>
          <a:ln w="19050">
            <a:solidFill>
              <a:schemeClr val="lt1"/>
            </a:solidFill>
          </a:ln>
          <a:effectLst/>
        </c:spPr>
      </c:pivotFmt>
      <c:pivotFmt>
        <c:idx val="282"/>
        <c:spPr>
          <a:solidFill>
            <a:schemeClr val="accent2"/>
          </a:solidFill>
          <a:ln w="19050">
            <a:solidFill>
              <a:schemeClr val="lt1"/>
            </a:solidFill>
          </a:ln>
          <a:effectLst/>
        </c:spPr>
      </c:pivotFmt>
      <c:pivotFmt>
        <c:idx val="283"/>
        <c:spPr>
          <a:solidFill>
            <a:schemeClr val="accent2"/>
          </a:solidFill>
          <a:ln w="19050">
            <a:solidFill>
              <a:schemeClr val="lt1"/>
            </a:solidFill>
          </a:ln>
          <a:effectLst/>
        </c:spPr>
      </c:pivotFmt>
      <c:pivotFmt>
        <c:idx val="284"/>
        <c:spPr>
          <a:solidFill>
            <a:schemeClr val="accent2"/>
          </a:solidFill>
          <a:ln w="19050">
            <a:solidFill>
              <a:schemeClr val="lt1"/>
            </a:solidFill>
          </a:ln>
          <a:effectLst/>
        </c:spPr>
      </c:pivotFmt>
      <c:pivotFmt>
        <c:idx val="285"/>
        <c:spPr>
          <a:solidFill>
            <a:schemeClr val="accent2"/>
          </a:solidFill>
          <a:ln w="19050">
            <a:solidFill>
              <a:schemeClr val="lt1"/>
            </a:solidFill>
          </a:ln>
          <a:effectLst/>
        </c:spPr>
      </c:pivotFmt>
      <c:pivotFmt>
        <c:idx val="286"/>
        <c:spPr>
          <a:solidFill>
            <a:schemeClr val="accent2"/>
          </a:solidFill>
          <a:ln w="19050">
            <a:solidFill>
              <a:schemeClr val="lt1"/>
            </a:solidFill>
          </a:ln>
          <a:effectLst/>
        </c:spPr>
      </c:pivotFmt>
      <c:pivotFmt>
        <c:idx val="287"/>
        <c:spPr>
          <a:solidFill>
            <a:schemeClr val="accent2"/>
          </a:solidFill>
          <a:ln w="19050">
            <a:solidFill>
              <a:schemeClr val="lt1"/>
            </a:solidFill>
          </a:ln>
          <a:effectLst/>
        </c:spPr>
      </c:pivotFmt>
      <c:pivotFmt>
        <c:idx val="288"/>
        <c:spPr>
          <a:solidFill>
            <a:schemeClr val="accent2"/>
          </a:solidFill>
          <a:ln w="19050">
            <a:solidFill>
              <a:schemeClr val="lt1"/>
            </a:solidFill>
          </a:ln>
          <a:effectLst/>
        </c:spPr>
      </c:pivotFmt>
      <c:pivotFmt>
        <c:idx val="289"/>
        <c:spPr>
          <a:solidFill>
            <a:schemeClr val="accent2"/>
          </a:solidFill>
          <a:ln w="19050">
            <a:solidFill>
              <a:schemeClr val="lt1"/>
            </a:solidFill>
          </a:ln>
          <a:effectLst/>
        </c:spPr>
      </c:pivotFmt>
      <c:pivotFmt>
        <c:idx val="290"/>
        <c:spPr>
          <a:solidFill>
            <a:schemeClr val="accent2"/>
          </a:solidFill>
          <a:ln w="19050">
            <a:solidFill>
              <a:schemeClr val="lt1"/>
            </a:solidFill>
          </a:ln>
          <a:effectLst/>
        </c:spPr>
      </c:pivotFmt>
      <c:pivotFmt>
        <c:idx val="291"/>
        <c:spPr>
          <a:solidFill>
            <a:schemeClr val="accent2"/>
          </a:solidFill>
          <a:ln w="19050">
            <a:solidFill>
              <a:schemeClr val="lt1"/>
            </a:solidFill>
          </a:ln>
          <a:effectLst/>
        </c:spPr>
      </c:pivotFmt>
      <c:pivotFmt>
        <c:idx val="292"/>
        <c:spPr>
          <a:solidFill>
            <a:schemeClr val="accent2"/>
          </a:solidFill>
          <a:ln w="19050">
            <a:solidFill>
              <a:schemeClr val="lt1"/>
            </a:solidFill>
          </a:ln>
          <a:effectLst/>
        </c:spPr>
      </c:pivotFmt>
      <c:pivotFmt>
        <c:idx val="293"/>
        <c:spPr>
          <a:solidFill>
            <a:schemeClr val="accent2"/>
          </a:solidFill>
          <a:ln w="19050">
            <a:solidFill>
              <a:schemeClr val="lt1"/>
            </a:solidFill>
          </a:ln>
          <a:effectLst/>
        </c:spPr>
      </c:pivotFmt>
      <c:pivotFmt>
        <c:idx val="294"/>
        <c:spPr>
          <a:solidFill>
            <a:schemeClr val="accent2"/>
          </a:solidFill>
          <a:ln w="19050">
            <a:solidFill>
              <a:schemeClr val="lt1"/>
            </a:solidFill>
          </a:ln>
          <a:effectLst/>
        </c:spPr>
      </c:pivotFmt>
      <c:pivotFmt>
        <c:idx val="295"/>
        <c:spPr>
          <a:solidFill>
            <a:schemeClr val="accent2"/>
          </a:solidFill>
          <a:ln w="19050">
            <a:solidFill>
              <a:schemeClr val="lt1"/>
            </a:solidFill>
          </a:ln>
          <a:effectLst/>
        </c:spPr>
      </c:pivotFmt>
      <c:pivotFmt>
        <c:idx val="296"/>
        <c:spPr>
          <a:solidFill>
            <a:schemeClr val="accent2"/>
          </a:solidFill>
          <a:ln w="19050">
            <a:solidFill>
              <a:schemeClr val="lt1"/>
            </a:solidFill>
          </a:ln>
          <a:effectLst/>
        </c:spPr>
      </c:pivotFmt>
      <c:pivotFmt>
        <c:idx val="297"/>
        <c:spPr>
          <a:solidFill>
            <a:schemeClr val="accent2"/>
          </a:solidFill>
          <a:ln w="19050">
            <a:solidFill>
              <a:schemeClr val="lt1"/>
            </a:solidFill>
          </a:ln>
          <a:effectLst/>
        </c:spPr>
      </c:pivotFmt>
      <c:pivotFmt>
        <c:idx val="298"/>
        <c:spPr>
          <a:solidFill>
            <a:schemeClr val="accent2"/>
          </a:solidFill>
          <a:ln w="19050">
            <a:solidFill>
              <a:schemeClr val="lt1"/>
            </a:solidFill>
          </a:ln>
          <a:effectLst/>
        </c:spPr>
      </c:pivotFmt>
      <c:pivotFmt>
        <c:idx val="299"/>
        <c:spPr>
          <a:solidFill>
            <a:schemeClr val="accent2"/>
          </a:solidFill>
          <a:ln w="19050">
            <a:solidFill>
              <a:schemeClr val="lt1"/>
            </a:solidFill>
          </a:ln>
          <a:effectLst/>
        </c:spPr>
      </c:pivotFmt>
      <c:pivotFmt>
        <c:idx val="300"/>
        <c:spPr>
          <a:solidFill>
            <a:schemeClr val="accent2"/>
          </a:solidFill>
          <a:ln w="19050">
            <a:solidFill>
              <a:schemeClr val="lt1"/>
            </a:solidFill>
          </a:ln>
          <a:effectLst/>
        </c:spPr>
      </c:pivotFmt>
      <c:pivotFmt>
        <c:idx val="301"/>
        <c:spPr>
          <a:solidFill>
            <a:schemeClr val="accent2"/>
          </a:solidFill>
          <a:ln w="19050">
            <a:solidFill>
              <a:schemeClr val="lt1"/>
            </a:solidFill>
          </a:ln>
          <a:effectLst/>
        </c:spPr>
      </c:pivotFmt>
      <c:pivotFmt>
        <c:idx val="302"/>
        <c:spPr>
          <a:solidFill>
            <a:schemeClr val="accent2"/>
          </a:solidFill>
          <a:ln w="19050">
            <a:solidFill>
              <a:schemeClr val="lt1"/>
            </a:solidFill>
          </a:ln>
          <a:effectLst/>
        </c:spPr>
      </c:pivotFmt>
      <c:pivotFmt>
        <c:idx val="303"/>
        <c:spPr>
          <a:solidFill>
            <a:schemeClr val="accent2"/>
          </a:solidFill>
          <a:ln w="19050">
            <a:solidFill>
              <a:schemeClr val="lt1"/>
            </a:solidFill>
          </a:ln>
          <a:effectLst/>
        </c:spPr>
      </c:pivotFmt>
      <c:pivotFmt>
        <c:idx val="304"/>
        <c:spPr>
          <a:solidFill>
            <a:schemeClr val="accent2"/>
          </a:solidFill>
          <a:ln w="19050">
            <a:solidFill>
              <a:schemeClr val="lt1"/>
            </a:solidFill>
          </a:ln>
          <a:effectLst/>
        </c:spPr>
      </c:pivotFmt>
      <c:pivotFmt>
        <c:idx val="305"/>
        <c:spPr>
          <a:solidFill>
            <a:schemeClr val="accent2"/>
          </a:solidFill>
          <a:ln w="19050">
            <a:solidFill>
              <a:schemeClr val="lt1"/>
            </a:solidFill>
          </a:ln>
          <a:effectLst/>
        </c:spPr>
      </c:pivotFmt>
      <c:pivotFmt>
        <c:idx val="306"/>
        <c:spPr>
          <a:solidFill>
            <a:schemeClr val="accent2"/>
          </a:solidFill>
          <a:ln w="19050">
            <a:solidFill>
              <a:schemeClr val="lt1"/>
            </a:solidFill>
          </a:ln>
          <a:effectLst/>
        </c:spPr>
      </c:pivotFmt>
      <c:pivotFmt>
        <c:idx val="307"/>
        <c:spPr>
          <a:solidFill>
            <a:schemeClr val="accent2"/>
          </a:solidFill>
          <a:ln w="19050">
            <a:solidFill>
              <a:schemeClr val="lt1"/>
            </a:solidFill>
          </a:ln>
          <a:effectLst/>
        </c:spPr>
      </c:pivotFmt>
      <c:pivotFmt>
        <c:idx val="308"/>
        <c:spPr>
          <a:solidFill>
            <a:schemeClr val="accent2"/>
          </a:solidFill>
          <a:ln w="19050">
            <a:solidFill>
              <a:schemeClr val="lt1"/>
            </a:solidFill>
          </a:ln>
          <a:effectLst/>
        </c:spPr>
      </c:pivotFmt>
      <c:pivotFmt>
        <c:idx val="309"/>
        <c:spPr>
          <a:solidFill>
            <a:schemeClr val="accent2"/>
          </a:solidFill>
          <a:ln w="19050">
            <a:solidFill>
              <a:schemeClr val="lt1"/>
            </a:solidFill>
          </a:ln>
          <a:effectLst/>
        </c:spPr>
      </c:pivotFmt>
      <c:pivotFmt>
        <c:idx val="310"/>
        <c:spPr>
          <a:solidFill>
            <a:schemeClr val="accent2"/>
          </a:solidFill>
          <a:ln w="19050">
            <a:solidFill>
              <a:schemeClr val="lt1"/>
            </a:solidFill>
          </a:ln>
          <a:effectLst/>
        </c:spPr>
      </c:pivotFmt>
      <c:pivotFmt>
        <c:idx val="311"/>
        <c:spPr>
          <a:solidFill>
            <a:schemeClr val="accent2"/>
          </a:solidFill>
          <a:ln w="19050">
            <a:solidFill>
              <a:schemeClr val="lt1"/>
            </a:solidFill>
          </a:ln>
          <a:effectLst/>
        </c:spPr>
      </c:pivotFmt>
      <c:pivotFmt>
        <c:idx val="312"/>
        <c:spPr>
          <a:solidFill>
            <a:schemeClr val="accent2"/>
          </a:solidFill>
          <a:ln w="19050">
            <a:solidFill>
              <a:schemeClr val="lt1"/>
            </a:solidFill>
          </a:ln>
          <a:effectLst/>
        </c:spPr>
      </c:pivotFmt>
      <c:pivotFmt>
        <c:idx val="313"/>
        <c:spPr>
          <a:solidFill>
            <a:schemeClr val="accent2"/>
          </a:solidFill>
          <a:ln w="19050">
            <a:solidFill>
              <a:schemeClr val="lt1"/>
            </a:solidFill>
          </a:ln>
          <a:effectLst/>
        </c:spPr>
      </c:pivotFmt>
      <c:pivotFmt>
        <c:idx val="314"/>
        <c:spPr>
          <a:solidFill>
            <a:schemeClr val="accent2"/>
          </a:solidFill>
          <a:ln w="19050">
            <a:solidFill>
              <a:schemeClr val="lt1"/>
            </a:solidFill>
          </a:ln>
          <a:effectLst/>
        </c:spPr>
      </c:pivotFmt>
      <c:pivotFmt>
        <c:idx val="315"/>
        <c:spPr>
          <a:solidFill>
            <a:schemeClr val="accent2"/>
          </a:solidFill>
          <a:ln w="19050">
            <a:solidFill>
              <a:schemeClr val="lt1"/>
            </a:solidFill>
          </a:ln>
          <a:effectLst/>
        </c:spPr>
      </c:pivotFmt>
      <c:pivotFmt>
        <c:idx val="316"/>
        <c:spPr>
          <a:solidFill>
            <a:schemeClr val="accent2"/>
          </a:solidFill>
          <a:ln w="19050">
            <a:solidFill>
              <a:schemeClr val="lt1"/>
            </a:solidFill>
          </a:ln>
          <a:effectLst/>
        </c:spPr>
      </c:pivotFmt>
      <c:pivotFmt>
        <c:idx val="317"/>
        <c:spPr>
          <a:solidFill>
            <a:schemeClr val="accent2"/>
          </a:solidFill>
          <a:ln w="19050">
            <a:solidFill>
              <a:schemeClr val="lt1"/>
            </a:solidFill>
          </a:ln>
          <a:effectLst/>
        </c:spPr>
      </c:pivotFmt>
      <c:pivotFmt>
        <c:idx val="318"/>
        <c:spPr>
          <a:solidFill>
            <a:schemeClr val="accent2"/>
          </a:solidFill>
          <a:ln w="19050">
            <a:solidFill>
              <a:schemeClr val="lt1"/>
            </a:solidFill>
          </a:ln>
          <a:effectLst/>
        </c:spPr>
      </c:pivotFmt>
      <c:pivotFmt>
        <c:idx val="319"/>
        <c:spPr>
          <a:solidFill>
            <a:schemeClr val="accent2"/>
          </a:solidFill>
          <a:ln w="19050">
            <a:solidFill>
              <a:schemeClr val="lt1"/>
            </a:solidFill>
          </a:ln>
          <a:effectLst/>
        </c:spPr>
      </c:pivotFmt>
      <c:pivotFmt>
        <c:idx val="320"/>
        <c:spPr>
          <a:solidFill>
            <a:schemeClr val="accent2"/>
          </a:solidFill>
          <a:ln w="19050">
            <a:solidFill>
              <a:schemeClr val="lt1"/>
            </a:solidFill>
          </a:ln>
          <a:effectLst/>
        </c:spPr>
      </c:pivotFmt>
      <c:pivotFmt>
        <c:idx val="321"/>
        <c:spPr>
          <a:solidFill>
            <a:schemeClr val="accent2"/>
          </a:solidFill>
          <a:ln w="19050">
            <a:solidFill>
              <a:schemeClr val="lt1"/>
            </a:solidFill>
          </a:ln>
          <a:effectLst/>
        </c:spPr>
      </c:pivotFmt>
      <c:pivotFmt>
        <c:idx val="322"/>
        <c:spPr>
          <a:solidFill>
            <a:schemeClr val="accent2"/>
          </a:solidFill>
          <a:ln w="19050">
            <a:solidFill>
              <a:schemeClr val="lt1"/>
            </a:solidFill>
          </a:ln>
          <a:effectLst/>
        </c:spPr>
      </c:pivotFmt>
      <c:pivotFmt>
        <c:idx val="323"/>
        <c:spPr>
          <a:solidFill>
            <a:schemeClr val="accent2"/>
          </a:solidFill>
          <a:ln w="19050">
            <a:solidFill>
              <a:schemeClr val="lt1"/>
            </a:solidFill>
          </a:ln>
          <a:effectLst/>
        </c:spPr>
      </c:pivotFmt>
      <c:pivotFmt>
        <c:idx val="324"/>
        <c:spPr>
          <a:solidFill>
            <a:schemeClr val="accent2"/>
          </a:solidFill>
          <a:ln w="19050">
            <a:solidFill>
              <a:schemeClr val="lt1"/>
            </a:solidFill>
          </a:ln>
          <a:effectLst/>
        </c:spPr>
      </c:pivotFmt>
      <c:pivotFmt>
        <c:idx val="325"/>
        <c:spPr>
          <a:solidFill>
            <a:schemeClr val="accent2"/>
          </a:solidFill>
          <a:ln w="19050">
            <a:solidFill>
              <a:schemeClr val="lt1"/>
            </a:solidFill>
          </a:ln>
          <a:effectLst/>
        </c:spPr>
      </c:pivotFmt>
      <c:pivotFmt>
        <c:idx val="326"/>
        <c:spPr>
          <a:solidFill>
            <a:schemeClr val="accent2"/>
          </a:solidFill>
          <a:ln w="19050">
            <a:solidFill>
              <a:schemeClr val="lt1"/>
            </a:solidFill>
          </a:ln>
          <a:effectLst/>
        </c:spPr>
      </c:pivotFmt>
      <c:pivotFmt>
        <c:idx val="327"/>
        <c:spPr>
          <a:solidFill>
            <a:schemeClr val="accent2"/>
          </a:solidFill>
          <a:ln w="19050">
            <a:solidFill>
              <a:schemeClr val="lt1"/>
            </a:solidFill>
          </a:ln>
          <a:effectLst/>
        </c:spPr>
      </c:pivotFmt>
      <c:pivotFmt>
        <c:idx val="328"/>
        <c:spPr>
          <a:solidFill>
            <a:schemeClr val="accent2"/>
          </a:solidFill>
          <a:ln w="19050">
            <a:solidFill>
              <a:schemeClr val="lt1"/>
            </a:solidFill>
          </a:ln>
          <a:effectLst/>
        </c:spPr>
      </c:pivotFmt>
      <c:pivotFmt>
        <c:idx val="329"/>
        <c:spPr>
          <a:solidFill>
            <a:schemeClr val="accent2"/>
          </a:solidFill>
          <a:ln w="19050">
            <a:solidFill>
              <a:schemeClr val="lt1"/>
            </a:solidFill>
          </a:ln>
          <a:effectLst/>
        </c:spPr>
      </c:pivotFmt>
      <c:pivotFmt>
        <c:idx val="330"/>
        <c:spPr>
          <a:solidFill>
            <a:schemeClr val="accent2"/>
          </a:solidFill>
          <a:ln w="19050">
            <a:solidFill>
              <a:schemeClr val="lt1"/>
            </a:solidFill>
          </a:ln>
          <a:effectLst/>
        </c:spPr>
      </c:pivotFmt>
      <c:pivotFmt>
        <c:idx val="331"/>
        <c:spPr>
          <a:solidFill>
            <a:schemeClr val="accent2"/>
          </a:solidFill>
          <a:ln w="19050">
            <a:solidFill>
              <a:schemeClr val="lt1"/>
            </a:solidFill>
          </a:ln>
          <a:effectLst/>
        </c:spPr>
      </c:pivotFmt>
      <c:pivotFmt>
        <c:idx val="332"/>
        <c:spPr>
          <a:solidFill>
            <a:schemeClr val="accent2"/>
          </a:solidFill>
          <a:ln w="19050">
            <a:solidFill>
              <a:schemeClr val="lt1"/>
            </a:solidFill>
          </a:ln>
          <a:effectLst/>
        </c:spPr>
      </c:pivotFmt>
      <c:pivotFmt>
        <c:idx val="333"/>
        <c:spPr>
          <a:solidFill>
            <a:schemeClr val="accent2"/>
          </a:solidFill>
          <a:ln w="19050">
            <a:solidFill>
              <a:schemeClr val="lt1"/>
            </a:solidFill>
          </a:ln>
          <a:effectLst/>
        </c:spPr>
      </c:pivotFmt>
      <c:pivotFmt>
        <c:idx val="334"/>
        <c:spPr>
          <a:solidFill>
            <a:schemeClr val="accent2"/>
          </a:solidFill>
          <a:ln w="19050">
            <a:solidFill>
              <a:schemeClr val="lt1"/>
            </a:solidFill>
          </a:ln>
          <a:effectLst/>
        </c:spPr>
      </c:pivotFmt>
      <c:pivotFmt>
        <c:idx val="335"/>
        <c:spPr>
          <a:solidFill>
            <a:schemeClr val="accent2"/>
          </a:solidFill>
          <a:ln w="19050">
            <a:solidFill>
              <a:schemeClr val="lt1"/>
            </a:solidFill>
          </a:ln>
          <a:effectLst/>
        </c:spPr>
      </c:pivotFmt>
      <c:pivotFmt>
        <c:idx val="336"/>
        <c:spPr>
          <a:solidFill>
            <a:schemeClr val="accent2"/>
          </a:solidFill>
          <a:ln w="19050">
            <a:solidFill>
              <a:schemeClr val="lt1"/>
            </a:solidFill>
          </a:ln>
          <a:effectLst/>
        </c:spPr>
      </c:pivotFmt>
      <c:pivotFmt>
        <c:idx val="337"/>
        <c:spPr>
          <a:solidFill>
            <a:schemeClr val="accent2"/>
          </a:solidFill>
          <a:ln w="19050">
            <a:solidFill>
              <a:schemeClr val="lt1"/>
            </a:solidFill>
          </a:ln>
          <a:effectLst/>
        </c:spPr>
      </c:pivotFmt>
      <c:pivotFmt>
        <c:idx val="338"/>
        <c:spPr>
          <a:solidFill>
            <a:schemeClr val="accent2"/>
          </a:solidFill>
          <a:ln w="19050">
            <a:solidFill>
              <a:schemeClr val="lt1"/>
            </a:solidFill>
          </a:ln>
          <a:effectLst/>
        </c:spPr>
      </c:pivotFmt>
      <c:pivotFmt>
        <c:idx val="339"/>
        <c:spPr>
          <a:solidFill>
            <a:schemeClr val="accent2"/>
          </a:solidFill>
          <a:ln w="19050">
            <a:solidFill>
              <a:schemeClr val="lt1"/>
            </a:solidFill>
          </a:ln>
          <a:effectLst/>
        </c:spPr>
      </c:pivotFmt>
      <c:pivotFmt>
        <c:idx val="340"/>
        <c:spPr>
          <a:solidFill>
            <a:schemeClr val="accent2"/>
          </a:solidFill>
          <a:ln w="19050">
            <a:solidFill>
              <a:schemeClr val="lt1"/>
            </a:solidFill>
          </a:ln>
          <a:effectLst/>
        </c:spPr>
      </c:pivotFmt>
      <c:pivotFmt>
        <c:idx val="341"/>
        <c:spPr>
          <a:solidFill>
            <a:schemeClr val="accent2"/>
          </a:solidFill>
          <a:ln w="19050">
            <a:solidFill>
              <a:schemeClr val="lt1"/>
            </a:solidFill>
          </a:ln>
          <a:effectLst/>
        </c:spPr>
      </c:pivotFmt>
      <c:pivotFmt>
        <c:idx val="342"/>
        <c:spPr>
          <a:solidFill>
            <a:schemeClr val="accent2"/>
          </a:solidFill>
          <a:ln w="19050">
            <a:solidFill>
              <a:schemeClr val="lt1"/>
            </a:solidFill>
          </a:ln>
          <a:effectLst/>
        </c:spPr>
      </c:pivotFmt>
      <c:pivotFmt>
        <c:idx val="343"/>
        <c:spPr>
          <a:solidFill>
            <a:schemeClr val="accent2"/>
          </a:solidFill>
          <a:ln w="19050">
            <a:solidFill>
              <a:schemeClr val="lt1"/>
            </a:solidFill>
          </a:ln>
          <a:effectLst/>
        </c:spPr>
      </c:pivotFmt>
      <c:pivotFmt>
        <c:idx val="344"/>
        <c:spPr>
          <a:solidFill>
            <a:schemeClr val="accent2"/>
          </a:solidFill>
          <a:ln w="19050">
            <a:solidFill>
              <a:schemeClr val="lt1"/>
            </a:solidFill>
          </a:ln>
          <a:effectLst/>
        </c:spPr>
      </c:pivotFmt>
      <c:pivotFmt>
        <c:idx val="345"/>
        <c:spPr>
          <a:solidFill>
            <a:schemeClr val="accent2"/>
          </a:solidFill>
          <a:ln w="19050">
            <a:solidFill>
              <a:schemeClr val="lt1"/>
            </a:solidFill>
          </a:ln>
          <a:effectLst/>
        </c:spPr>
      </c:pivotFmt>
      <c:pivotFmt>
        <c:idx val="346"/>
        <c:spPr>
          <a:solidFill>
            <a:schemeClr val="accent2"/>
          </a:solidFill>
          <a:ln w="19050">
            <a:solidFill>
              <a:schemeClr val="lt1"/>
            </a:solidFill>
          </a:ln>
          <a:effectLst/>
        </c:spPr>
      </c:pivotFmt>
      <c:pivotFmt>
        <c:idx val="347"/>
        <c:spPr>
          <a:solidFill>
            <a:schemeClr val="accent2"/>
          </a:solidFill>
          <a:ln w="19050">
            <a:solidFill>
              <a:schemeClr val="lt1"/>
            </a:solidFill>
          </a:ln>
          <a:effectLst/>
        </c:spPr>
      </c:pivotFmt>
      <c:pivotFmt>
        <c:idx val="348"/>
        <c:spPr>
          <a:solidFill>
            <a:schemeClr val="accent2"/>
          </a:solidFill>
          <a:ln w="19050">
            <a:solidFill>
              <a:schemeClr val="lt1"/>
            </a:solidFill>
          </a:ln>
          <a:effectLst/>
        </c:spPr>
      </c:pivotFmt>
      <c:pivotFmt>
        <c:idx val="349"/>
        <c:spPr>
          <a:solidFill>
            <a:schemeClr val="accent2"/>
          </a:solidFill>
          <a:ln w="19050">
            <a:solidFill>
              <a:schemeClr val="lt1"/>
            </a:solidFill>
          </a:ln>
          <a:effectLst/>
        </c:spPr>
      </c:pivotFmt>
      <c:pivotFmt>
        <c:idx val="350"/>
        <c:spPr>
          <a:solidFill>
            <a:schemeClr val="accent2"/>
          </a:solidFill>
          <a:ln w="19050">
            <a:solidFill>
              <a:schemeClr val="lt1"/>
            </a:solidFill>
          </a:ln>
          <a:effectLst/>
        </c:spPr>
      </c:pivotFmt>
      <c:pivotFmt>
        <c:idx val="351"/>
        <c:spPr>
          <a:solidFill>
            <a:schemeClr val="accent2"/>
          </a:solidFill>
          <a:ln w="19050">
            <a:solidFill>
              <a:schemeClr val="lt1"/>
            </a:solidFill>
          </a:ln>
          <a:effectLst/>
        </c:spPr>
      </c:pivotFmt>
      <c:pivotFmt>
        <c:idx val="352"/>
        <c:spPr>
          <a:solidFill>
            <a:schemeClr val="accent2"/>
          </a:solidFill>
          <a:ln w="19050">
            <a:solidFill>
              <a:schemeClr val="lt1"/>
            </a:solidFill>
          </a:ln>
          <a:effectLst/>
        </c:spPr>
      </c:pivotFmt>
      <c:pivotFmt>
        <c:idx val="353"/>
        <c:spPr>
          <a:solidFill>
            <a:schemeClr val="accent2"/>
          </a:solidFill>
          <a:ln w="19050">
            <a:solidFill>
              <a:schemeClr val="lt1"/>
            </a:solidFill>
          </a:ln>
          <a:effectLst/>
        </c:spPr>
      </c:pivotFmt>
      <c:pivotFmt>
        <c:idx val="354"/>
        <c:spPr>
          <a:solidFill>
            <a:schemeClr val="accent2"/>
          </a:solidFill>
          <a:ln w="19050">
            <a:solidFill>
              <a:schemeClr val="lt1"/>
            </a:solidFill>
          </a:ln>
          <a:effectLst/>
        </c:spPr>
      </c:pivotFmt>
      <c:pivotFmt>
        <c:idx val="355"/>
        <c:spPr>
          <a:solidFill>
            <a:schemeClr val="accent2"/>
          </a:solidFill>
          <a:ln w="19050">
            <a:solidFill>
              <a:schemeClr val="lt1"/>
            </a:solidFill>
          </a:ln>
          <a:effectLst/>
        </c:spPr>
      </c:pivotFmt>
      <c:pivotFmt>
        <c:idx val="356"/>
        <c:spPr>
          <a:solidFill>
            <a:schemeClr val="accent2"/>
          </a:solidFill>
          <a:ln w="19050">
            <a:solidFill>
              <a:schemeClr val="lt1"/>
            </a:solidFill>
          </a:ln>
          <a:effectLst/>
        </c:spPr>
      </c:pivotFmt>
      <c:pivotFmt>
        <c:idx val="357"/>
        <c:spPr>
          <a:solidFill>
            <a:schemeClr val="accent2"/>
          </a:solidFill>
          <a:ln w="19050">
            <a:solidFill>
              <a:schemeClr val="lt1"/>
            </a:solidFill>
          </a:ln>
          <a:effectLst/>
        </c:spPr>
      </c:pivotFmt>
      <c:pivotFmt>
        <c:idx val="358"/>
        <c:spPr>
          <a:solidFill>
            <a:schemeClr val="accent2"/>
          </a:solidFill>
          <a:ln w="19050">
            <a:solidFill>
              <a:schemeClr val="lt1"/>
            </a:solidFill>
          </a:ln>
          <a:effectLst/>
        </c:spPr>
      </c:pivotFmt>
      <c:pivotFmt>
        <c:idx val="359"/>
        <c:spPr>
          <a:solidFill>
            <a:schemeClr val="accent2"/>
          </a:solidFill>
          <a:ln w="19050">
            <a:solidFill>
              <a:schemeClr val="lt1"/>
            </a:solidFill>
          </a:ln>
          <a:effectLst/>
        </c:spPr>
      </c:pivotFmt>
      <c:pivotFmt>
        <c:idx val="360"/>
        <c:spPr>
          <a:solidFill>
            <a:schemeClr val="accent2"/>
          </a:solidFill>
          <a:ln w="19050">
            <a:solidFill>
              <a:schemeClr val="lt1"/>
            </a:solidFill>
          </a:ln>
          <a:effectLst/>
        </c:spPr>
      </c:pivotFmt>
      <c:pivotFmt>
        <c:idx val="361"/>
        <c:spPr>
          <a:solidFill>
            <a:schemeClr val="accent2"/>
          </a:solidFill>
          <a:ln w="19050">
            <a:solidFill>
              <a:schemeClr val="lt1"/>
            </a:solidFill>
          </a:ln>
          <a:effectLst/>
        </c:spPr>
      </c:pivotFmt>
      <c:pivotFmt>
        <c:idx val="362"/>
        <c:spPr>
          <a:solidFill>
            <a:schemeClr val="accent2"/>
          </a:solidFill>
          <a:ln w="19050">
            <a:solidFill>
              <a:schemeClr val="lt1"/>
            </a:solidFill>
          </a:ln>
          <a:effectLst/>
        </c:spPr>
      </c:pivotFmt>
      <c:pivotFmt>
        <c:idx val="363"/>
        <c:spPr>
          <a:solidFill>
            <a:schemeClr val="accent2"/>
          </a:solidFill>
          <a:ln w="19050">
            <a:solidFill>
              <a:schemeClr val="lt1"/>
            </a:solidFill>
          </a:ln>
          <a:effectLst/>
        </c:spPr>
      </c:pivotFmt>
      <c:pivotFmt>
        <c:idx val="364"/>
        <c:spPr>
          <a:solidFill>
            <a:schemeClr val="accent2"/>
          </a:solidFill>
          <a:ln w="19050">
            <a:solidFill>
              <a:schemeClr val="lt1"/>
            </a:solidFill>
          </a:ln>
          <a:effectLst/>
        </c:spPr>
      </c:pivotFmt>
      <c:pivotFmt>
        <c:idx val="365"/>
        <c:spPr>
          <a:solidFill>
            <a:schemeClr val="accent2"/>
          </a:solidFill>
          <a:ln w="19050">
            <a:solidFill>
              <a:schemeClr val="lt1"/>
            </a:solidFill>
          </a:ln>
          <a:effectLst/>
        </c:spPr>
      </c:pivotFmt>
      <c:pivotFmt>
        <c:idx val="366"/>
        <c:spPr>
          <a:solidFill>
            <a:schemeClr val="accent2"/>
          </a:solidFill>
          <a:ln w="19050">
            <a:solidFill>
              <a:schemeClr val="lt1"/>
            </a:solidFill>
          </a:ln>
          <a:effectLst/>
        </c:spPr>
      </c:pivotFmt>
      <c:pivotFmt>
        <c:idx val="367"/>
        <c:spPr>
          <a:solidFill>
            <a:schemeClr val="accent2"/>
          </a:solidFill>
          <a:ln w="19050">
            <a:solidFill>
              <a:schemeClr val="lt1"/>
            </a:solidFill>
          </a:ln>
          <a:effectLst/>
        </c:spPr>
      </c:pivotFmt>
      <c:pivotFmt>
        <c:idx val="368"/>
        <c:spPr>
          <a:solidFill>
            <a:schemeClr val="accent2"/>
          </a:solidFill>
          <a:ln w="19050">
            <a:solidFill>
              <a:schemeClr val="lt1"/>
            </a:solidFill>
          </a:ln>
          <a:effectLst/>
        </c:spPr>
      </c:pivotFmt>
      <c:pivotFmt>
        <c:idx val="369"/>
        <c:spPr>
          <a:solidFill>
            <a:schemeClr val="accent2"/>
          </a:solidFill>
          <a:ln w="19050">
            <a:solidFill>
              <a:schemeClr val="lt1"/>
            </a:solidFill>
          </a:ln>
          <a:effectLst/>
        </c:spPr>
      </c:pivotFmt>
      <c:pivotFmt>
        <c:idx val="370"/>
        <c:spPr>
          <a:solidFill>
            <a:schemeClr val="accent2"/>
          </a:solidFill>
          <a:ln w="19050">
            <a:solidFill>
              <a:schemeClr val="lt1"/>
            </a:solidFill>
          </a:ln>
          <a:effectLst/>
        </c:spPr>
      </c:pivotFmt>
      <c:pivotFmt>
        <c:idx val="371"/>
        <c:spPr>
          <a:solidFill>
            <a:schemeClr val="accent2"/>
          </a:solidFill>
          <a:ln w="19050">
            <a:solidFill>
              <a:schemeClr val="lt1"/>
            </a:solidFill>
          </a:ln>
          <a:effectLst/>
        </c:spPr>
      </c:pivotFmt>
      <c:pivotFmt>
        <c:idx val="372"/>
        <c:spPr>
          <a:solidFill>
            <a:schemeClr val="accent2"/>
          </a:solidFill>
          <a:ln w="19050">
            <a:solidFill>
              <a:schemeClr val="lt1"/>
            </a:solidFill>
          </a:ln>
          <a:effectLst/>
        </c:spPr>
      </c:pivotFmt>
      <c:pivotFmt>
        <c:idx val="373"/>
        <c:spPr>
          <a:solidFill>
            <a:schemeClr val="accent2"/>
          </a:solidFill>
          <a:ln w="19050">
            <a:solidFill>
              <a:schemeClr val="lt1"/>
            </a:solidFill>
          </a:ln>
          <a:effectLst/>
        </c:spPr>
      </c:pivotFmt>
      <c:pivotFmt>
        <c:idx val="374"/>
        <c:spPr>
          <a:solidFill>
            <a:schemeClr val="accent2"/>
          </a:solidFill>
          <a:ln w="19050">
            <a:solidFill>
              <a:schemeClr val="lt1"/>
            </a:solidFill>
          </a:ln>
          <a:effectLst/>
        </c:spPr>
      </c:pivotFmt>
      <c:pivotFmt>
        <c:idx val="375"/>
        <c:spPr>
          <a:solidFill>
            <a:schemeClr val="accent2"/>
          </a:solidFill>
          <a:ln w="19050">
            <a:solidFill>
              <a:schemeClr val="lt1"/>
            </a:solidFill>
          </a:ln>
          <a:effectLst/>
        </c:spPr>
      </c:pivotFmt>
      <c:pivotFmt>
        <c:idx val="376"/>
        <c:spPr>
          <a:solidFill>
            <a:schemeClr val="accent2"/>
          </a:solidFill>
          <a:ln w="19050">
            <a:solidFill>
              <a:schemeClr val="lt1"/>
            </a:solidFill>
          </a:ln>
          <a:effectLst/>
        </c:spPr>
      </c:pivotFmt>
      <c:pivotFmt>
        <c:idx val="377"/>
        <c:spPr>
          <a:solidFill>
            <a:schemeClr val="accent2"/>
          </a:solidFill>
          <a:ln w="19050">
            <a:solidFill>
              <a:schemeClr val="lt1"/>
            </a:solidFill>
          </a:ln>
          <a:effectLst/>
        </c:spPr>
      </c:pivotFmt>
      <c:pivotFmt>
        <c:idx val="378"/>
        <c:spPr>
          <a:solidFill>
            <a:schemeClr val="accent2"/>
          </a:solidFill>
          <a:ln w="19050">
            <a:solidFill>
              <a:schemeClr val="lt1"/>
            </a:solidFill>
          </a:ln>
          <a:effectLst/>
        </c:spPr>
      </c:pivotFmt>
      <c:pivotFmt>
        <c:idx val="379"/>
        <c:spPr>
          <a:solidFill>
            <a:schemeClr val="accent2"/>
          </a:solidFill>
          <a:ln w="19050">
            <a:solidFill>
              <a:schemeClr val="lt1"/>
            </a:solidFill>
          </a:ln>
          <a:effectLst/>
        </c:spPr>
      </c:pivotFmt>
      <c:pivotFmt>
        <c:idx val="380"/>
        <c:spPr>
          <a:solidFill>
            <a:schemeClr val="accent2"/>
          </a:solidFill>
          <a:ln w="19050">
            <a:solidFill>
              <a:schemeClr val="lt1"/>
            </a:solidFill>
          </a:ln>
          <a:effectLst/>
        </c:spPr>
      </c:pivotFmt>
      <c:pivotFmt>
        <c:idx val="381"/>
        <c:spPr>
          <a:solidFill>
            <a:schemeClr val="accent2"/>
          </a:solidFill>
          <a:ln w="19050">
            <a:solidFill>
              <a:schemeClr val="lt1"/>
            </a:solidFill>
          </a:ln>
          <a:effectLst/>
        </c:spPr>
      </c:pivotFmt>
      <c:pivotFmt>
        <c:idx val="382"/>
        <c:spPr>
          <a:solidFill>
            <a:schemeClr val="accent2"/>
          </a:solidFill>
          <a:ln w="19050">
            <a:solidFill>
              <a:schemeClr val="lt1"/>
            </a:solidFill>
          </a:ln>
          <a:effectLst/>
        </c:spPr>
      </c:pivotFmt>
      <c:pivotFmt>
        <c:idx val="383"/>
        <c:spPr>
          <a:solidFill>
            <a:schemeClr val="accent2"/>
          </a:solidFill>
          <a:ln w="19050">
            <a:solidFill>
              <a:schemeClr val="lt1"/>
            </a:solidFill>
          </a:ln>
          <a:effectLst/>
        </c:spPr>
      </c:pivotFmt>
      <c:pivotFmt>
        <c:idx val="384"/>
        <c:spPr>
          <a:solidFill>
            <a:schemeClr val="accent2"/>
          </a:solidFill>
          <a:ln w="19050">
            <a:solidFill>
              <a:schemeClr val="lt1"/>
            </a:solidFill>
          </a:ln>
          <a:effectLst/>
        </c:spPr>
      </c:pivotFmt>
      <c:pivotFmt>
        <c:idx val="385"/>
        <c:spPr>
          <a:solidFill>
            <a:schemeClr val="accent2"/>
          </a:solidFill>
          <a:ln w="19050">
            <a:solidFill>
              <a:schemeClr val="lt1"/>
            </a:solidFill>
          </a:ln>
          <a:effectLst/>
        </c:spPr>
      </c:pivotFmt>
      <c:pivotFmt>
        <c:idx val="386"/>
        <c:spPr>
          <a:solidFill>
            <a:schemeClr val="accent2"/>
          </a:solidFill>
          <a:ln w="19050">
            <a:solidFill>
              <a:schemeClr val="lt1"/>
            </a:solidFill>
          </a:ln>
          <a:effectLst/>
        </c:spPr>
      </c:pivotFmt>
      <c:pivotFmt>
        <c:idx val="387"/>
        <c:spPr>
          <a:solidFill>
            <a:schemeClr val="accent2"/>
          </a:solidFill>
          <a:ln w="19050">
            <a:solidFill>
              <a:schemeClr val="lt1"/>
            </a:solidFill>
          </a:ln>
          <a:effectLst/>
        </c:spPr>
      </c:pivotFmt>
      <c:pivotFmt>
        <c:idx val="388"/>
        <c:spPr>
          <a:solidFill>
            <a:schemeClr val="accent2"/>
          </a:solidFill>
          <a:ln w="19050">
            <a:solidFill>
              <a:schemeClr val="lt1"/>
            </a:solidFill>
          </a:ln>
          <a:effectLst/>
        </c:spPr>
      </c:pivotFmt>
      <c:pivotFmt>
        <c:idx val="389"/>
        <c:spPr>
          <a:solidFill>
            <a:schemeClr val="accent2"/>
          </a:solidFill>
          <a:ln w="19050">
            <a:solidFill>
              <a:schemeClr val="lt1"/>
            </a:solidFill>
          </a:ln>
          <a:effectLst/>
        </c:spPr>
      </c:pivotFmt>
      <c:pivotFmt>
        <c:idx val="390"/>
        <c:spPr>
          <a:solidFill>
            <a:schemeClr val="accent2"/>
          </a:solidFill>
          <a:ln w="19050">
            <a:solidFill>
              <a:schemeClr val="lt1"/>
            </a:solidFill>
          </a:ln>
          <a:effectLst/>
        </c:spPr>
      </c:pivotFmt>
      <c:pivotFmt>
        <c:idx val="391"/>
        <c:spPr>
          <a:solidFill>
            <a:schemeClr val="accent2"/>
          </a:solidFill>
          <a:ln w="19050">
            <a:solidFill>
              <a:schemeClr val="lt1"/>
            </a:solidFill>
          </a:ln>
          <a:effectLst/>
        </c:spPr>
      </c:pivotFmt>
      <c:pivotFmt>
        <c:idx val="392"/>
        <c:spPr>
          <a:solidFill>
            <a:schemeClr val="accent2"/>
          </a:solidFill>
          <a:ln w="19050">
            <a:solidFill>
              <a:schemeClr val="lt1"/>
            </a:solidFill>
          </a:ln>
          <a:effectLst/>
        </c:spPr>
      </c:pivotFmt>
      <c:pivotFmt>
        <c:idx val="393"/>
        <c:spPr>
          <a:solidFill>
            <a:schemeClr val="accent2"/>
          </a:solidFill>
          <a:ln w="19050">
            <a:solidFill>
              <a:schemeClr val="lt1"/>
            </a:solidFill>
          </a:ln>
          <a:effectLst/>
        </c:spPr>
      </c:pivotFmt>
      <c:pivotFmt>
        <c:idx val="394"/>
        <c:spPr>
          <a:solidFill>
            <a:schemeClr val="accent2"/>
          </a:solidFill>
          <a:ln w="19050">
            <a:solidFill>
              <a:schemeClr val="lt1"/>
            </a:solidFill>
          </a:ln>
          <a:effectLst/>
        </c:spPr>
      </c:pivotFmt>
      <c:pivotFmt>
        <c:idx val="395"/>
        <c:spPr>
          <a:solidFill>
            <a:schemeClr val="accent2"/>
          </a:solidFill>
          <a:ln w="19050">
            <a:solidFill>
              <a:schemeClr val="lt1"/>
            </a:solidFill>
          </a:ln>
          <a:effectLst/>
        </c:spPr>
      </c:pivotFmt>
      <c:pivotFmt>
        <c:idx val="396"/>
        <c:spPr>
          <a:solidFill>
            <a:schemeClr val="accent2"/>
          </a:solidFill>
          <a:ln w="19050">
            <a:solidFill>
              <a:schemeClr val="lt1"/>
            </a:solidFill>
          </a:ln>
          <a:effectLst/>
        </c:spPr>
      </c:pivotFmt>
      <c:pivotFmt>
        <c:idx val="397"/>
        <c:spPr>
          <a:solidFill>
            <a:schemeClr val="accent2"/>
          </a:solidFill>
          <a:ln w="19050">
            <a:solidFill>
              <a:schemeClr val="lt1"/>
            </a:solidFill>
          </a:ln>
          <a:effectLst/>
        </c:spPr>
      </c:pivotFmt>
      <c:pivotFmt>
        <c:idx val="398"/>
        <c:spPr>
          <a:solidFill>
            <a:schemeClr val="accent2"/>
          </a:solidFill>
          <a:ln w="19050">
            <a:solidFill>
              <a:schemeClr val="lt1"/>
            </a:solidFill>
          </a:ln>
          <a:effectLst/>
        </c:spPr>
      </c:pivotFmt>
      <c:pivotFmt>
        <c:idx val="399"/>
        <c:spPr>
          <a:solidFill>
            <a:schemeClr val="accent2"/>
          </a:solidFill>
          <a:ln w="19050">
            <a:solidFill>
              <a:schemeClr val="lt1"/>
            </a:solidFill>
          </a:ln>
          <a:effectLst/>
        </c:spPr>
      </c:pivotFmt>
      <c:pivotFmt>
        <c:idx val="400"/>
        <c:spPr>
          <a:solidFill>
            <a:schemeClr val="accent2"/>
          </a:solidFill>
          <a:ln w="19050">
            <a:solidFill>
              <a:schemeClr val="lt1"/>
            </a:solidFill>
          </a:ln>
          <a:effectLst/>
        </c:spPr>
      </c:pivotFmt>
      <c:pivotFmt>
        <c:idx val="401"/>
        <c:spPr>
          <a:solidFill>
            <a:schemeClr val="accent2"/>
          </a:solidFill>
          <a:ln w="19050">
            <a:solidFill>
              <a:schemeClr val="lt1"/>
            </a:solidFill>
          </a:ln>
          <a:effectLst/>
        </c:spPr>
      </c:pivotFmt>
      <c:pivotFmt>
        <c:idx val="402"/>
        <c:spPr>
          <a:solidFill>
            <a:schemeClr val="accent2"/>
          </a:solidFill>
          <a:ln w="19050">
            <a:solidFill>
              <a:schemeClr val="lt1"/>
            </a:solidFill>
          </a:ln>
          <a:effectLst/>
        </c:spPr>
      </c:pivotFmt>
      <c:pivotFmt>
        <c:idx val="403"/>
        <c:spPr>
          <a:solidFill>
            <a:schemeClr val="accent2"/>
          </a:solidFill>
          <a:ln w="19050">
            <a:solidFill>
              <a:schemeClr val="lt1"/>
            </a:solidFill>
          </a:ln>
          <a:effectLst/>
        </c:spPr>
      </c:pivotFmt>
      <c:pivotFmt>
        <c:idx val="404"/>
        <c:spPr>
          <a:solidFill>
            <a:schemeClr val="accent2"/>
          </a:solidFill>
          <a:ln w="19050">
            <a:solidFill>
              <a:schemeClr val="lt1"/>
            </a:solidFill>
          </a:ln>
          <a:effectLst/>
        </c:spPr>
      </c:pivotFmt>
      <c:pivotFmt>
        <c:idx val="405"/>
        <c:spPr>
          <a:solidFill>
            <a:schemeClr val="accent2"/>
          </a:solidFill>
          <a:ln w="19050">
            <a:solidFill>
              <a:schemeClr val="lt1"/>
            </a:solidFill>
          </a:ln>
          <a:effectLst/>
        </c:spPr>
      </c:pivotFmt>
      <c:pivotFmt>
        <c:idx val="406"/>
        <c:spPr>
          <a:solidFill>
            <a:schemeClr val="accent2"/>
          </a:solidFill>
          <a:ln w="19050">
            <a:solidFill>
              <a:schemeClr val="lt1"/>
            </a:solidFill>
          </a:ln>
          <a:effectLst/>
        </c:spPr>
      </c:pivotFmt>
      <c:pivotFmt>
        <c:idx val="407"/>
        <c:spPr>
          <a:solidFill>
            <a:schemeClr val="accent2"/>
          </a:solidFill>
          <a:ln w="19050">
            <a:solidFill>
              <a:schemeClr val="lt1"/>
            </a:solidFill>
          </a:ln>
          <a:effectLst/>
        </c:spPr>
      </c:pivotFmt>
      <c:pivotFmt>
        <c:idx val="408"/>
        <c:spPr>
          <a:solidFill>
            <a:schemeClr val="accent2"/>
          </a:solidFill>
          <a:ln w="19050">
            <a:solidFill>
              <a:schemeClr val="lt1"/>
            </a:solidFill>
          </a:ln>
          <a:effectLst/>
        </c:spPr>
      </c:pivotFmt>
      <c:pivotFmt>
        <c:idx val="409"/>
        <c:spPr>
          <a:solidFill>
            <a:schemeClr val="accent2"/>
          </a:solidFill>
          <a:ln w="19050">
            <a:solidFill>
              <a:schemeClr val="lt1"/>
            </a:solidFill>
          </a:ln>
          <a:effectLst/>
        </c:spPr>
      </c:pivotFmt>
      <c:pivotFmt>
        <c:idx val="410"/>
        <c:spPr>
          <a:solidFill>
            <a:schemeClr val="accent2"/>
          </a:solidFill>
          <a:ln w="19050">
            <a:solidFill>
              <a:schemeClr val="lt1"/>
            </a:solidFill>
          </a:ln>
          <a:effectLst/>
        </c:spPr>
      </c:pivotFmt>
      <c:pivotFmt>
        <c:idx val="411"/>
        <c:spPr>
          <a:solidFill>
            <a:schemeClr val="accent2"/>
          </a:solidFill>
          <a:ln w="19050">
            <a:solidFill>
              <a:schemeClr val="lt1"/>
            </a:solidFill>
          </a:ln>
          <a:effectLst/>
        </c:spPr>
      </c:pivotFmt>
      <c:pivotFmt>
        <c:idx val="412"/>
        <c:spPr>
          <a:solidFill>
            <a:schemeClr val="accent2"/>
          </a:solidFill>
          <a:ln w="19050">
            <a:solidFill>
              <a:schemeClr val="lt1"/>
            </a:solidFill>
          </a:ln>
          <a:effectLst/>
        </c:spPr>
      </c:pivotFmt>
      <c:pivotFmt>
        <c:idx val="413"/>
        <c:spPr>
          <a:solidFill>
            <a:schemeClr val="accent2"/>
          </a:solidFill>
          <a:ln w="19050">
            <a:solidFill>
              <a:schemeClr val="lt1"/>
            </a:solidFill>
          </a:ln>
          <a:effectLst/>
        </c:spPr>
      </c:pivotFmt>
      <c:pivotFmt>
        <c:idx val="414"/>
        <c:spPr>
          <a:solidFill>
            <a:schemeClr val="accent2"/>
          </a:solidFill>
          <a:ln w="19050">
            <a:solidFill>
              <a:schemeClr val="lt1"/>
            </a:solidFill>
          </a:ln>
          <a:effectLst/>
        </c:spPr>
      </c:pivotFmt>
      <c:pivotFmt>
        <c:idx val="415"/>
        <c:spPr>
          <a:solidFill>
            <a:schemeClr val="accent2"/>
          </a:solidFill>
          <a:ln w="19050">
            <a:solidFill>
              <a:schemeClr val="lt1"/>
            </a:solidFill>
          </a:ln>
          <a:effectLst/>
        </c:spPr>
      </c:pivotFmt>
      <c:pivotFmt>
        <c:idx val="416"/>
        <c:spPr>
          <a:solidFill>
            <a:schemeClr val="accent2"/>
          </a:solidFill>
          <a:ln w="19050">
            <a:solidFill>
              <a:schemeClr val="lt1"/>
            </a:solidFill>
          </a:ln>
          <a:effectLst/>
        </c:spPr>
      </c:pivotFmt>
      <c:pivotFmt>
        <c:idx val="417"/>
        <c:spPr>
          <a:solidFill>
            <a:schemeClr val="accent2"/>
          </a:solidFill>
          <a:ln w="19050">
            <a:solidFill>
              <a:schemeClr val="lt1"/>
            </a:solidFill>
          </a:ln>
          <a:effectLst/>
        </c:spPr>
      </c:pivotFmt>
      <c:pivotFmt>
        <c:idx val="418"/>
        <c:spPr>
          <a:solidFill>
            <a:schemeClr val="accent2"/>
          </a:solidFill>
          <a:ln w="19050">
            <a:solidFill>
              <a:schemeClr val="lt1"/>
            </a:solidFill>
          </a:ln>
          <a:effectLst/>
        </c:spPr>
      </c:pivotFmt>
      <c:pivotFmt>
        <c:idx val="419"/>
        <c:spPr>
          <a:solidFill>
            <a:schemeClr val="accent2"/>
          </a:solidFill>
          <a:ln w="19050">
            <a:solidFill>
              <a:schemeClr val="lt1"/>
            </a:solidFill>
          </a:ln>
          <a:effectLst/>
        </c:spPr>
      </c:pivotFmt>
      <c:pivotFmt>
        <c:idx val="420"/>
        <c:spPr>
          <a:solidFill>
            <a:schemeClr val="accent2"/>
          </a:solidFill>
          <a:ln w="19050">
            <a:solidFill>
              <a:schemeClr val="lt1"/>
            </a:solidFill>
          </a:ln>
          <a:effectLst/>
        </c:spPr>
      </c:pivotFmt>
      <c:pivotFmt>
        <c:idx val="421"/>
        <c:spPr>
          <a:solidFill>
            <a:schemeClr val="accent2"/>
          </a:solidFill>
          <a:ln w="19050">
            <a:solidFill>
              <a:schemeClr val="lt1"/>
            </a:solidFill>
          </a:ln>
          <a:effectLst/>
        </c:spPr>
      </c:pivotFmt>
      <c:pivotFmt>
        <c:idx val="422"/>
        <c:spPr>
          <a:solidFill>
            <a:schemeClr val="accent2"/>
          </a:solidFill>
          <a:ln w="19050">
            <a:solidFill>
              <a:schemeClr val="lt1"/>
            </a:solidFill>
          </a:ln>
          <a:effectLst/>
        </c:spPr>
      </c:pivotFmt>
      <c:pivotFmt>
        <c:idx val="423"/>
        <c:spPr>
          <a:solidFill>
            <a:schemeClr val="accent2"/>
          </a:solidFill>
          <a:ln w="19050">
            <a:solidFill>
              <a:schemeClr val="lt1"/>
            </a:solidFill>
          </a:ln>
          <a:effectLst/>
        </c:spPr>
      </c:pivotFmt>
      <c:pivotFmt>
        <c:idx val="424"/>
        <c:spPr>
          <a:solidFill>
            <a:schemeClr val="accent2"/>
          </a:solidFill>
          <a:ln w="19050">
            <a:solidFill>
              <a:schemeClr val="lt1"/>
            </a:solidFill>
          </a:ln>
          <a:effectLst/>
        </c:spPr>
      </c:pivotFmt>
      <c:pivotFmt>
        <c:idx val="425"/>
        <c:spPr>
          <a:solidFill>
            <a:schemeClr val="accent2"/>
          </a:solidFill>
          <a:ln w="19050">
            <a:solidFill>
              <a:schemeClr val="lt1"/>
            </a:solidFill>
          </a:ln>
          <a:effectLst/>
        </c:spPr>
      </c:pivotFmt>
      <c:pivotFmt>
        <c:idx val="426"/>
        <c:spPr>
          <a:solidFill>
            <a:schemeClr val="accent2"/>
          </a:solidFill>
          <a:ln w="19050">
            <a:solidFill>
              <a:schemeClr val="lt1"/>
            </a:solidFill>
          </a:ln>
          <a:effectLst/>
        </c:spPr>
      </c:pivotFmt>
      <c:pivotFmt>
        <c:idx val="427"/>
        <c:spPr>
          <a:solidFill>
            <a:schemeClr val="accent2"/>
          </a:solidFill>
          <a:ln w="19050">
            <a:solidFill>
              <a:schemeClr val="lt1"/>
            </a:solidFill>
          </a:ln>
          <a:effectLst/>
        </c:spPr>
      </c:pivotFmt>
      <c:pivotFmt>
        <c:idx val="428"/>
        <c:spPr>
          <a:solidFill>
            <a:schemeClr val="accent2"/>
          </a:solidFill>
          <a:ln w="19050">
            <a:solidFill>
              <a:schemeClr val="lt1"/>
            </a:solidFill>
          </a:ln>
          <a:effectLst/>
        </c:spPr>
      </c:pivotFmt>
      <c:pivotFmt>
        <c:idx val="429"/>
        <c:spPr>
          <a:solidFill>
            <a:schemeClr val="accent2"/>
          </a:solidFill>
          <a:ln w="19050">
            <a:solidFill>
              <a:schemeClr val="lt1"/>
            </a:solidFill>
          </a:ln>
          <a:effectLst/>
        </c:spPr>
      </c:pivotFmt>
      <c:pivotFmt>
        <c:idx val="430"/>
        <c:spPr>
          <a:solidFill>
            <a:schemeClr val="accent2"/>
          </a:solidFill>
          <a:ln w="19050">
            <a:solidFill>
              <a:schemeClr val="lt1"/>
            </a:solidFill>
          </a:ln>
          <a:effectLst/>
        </c:spPr>
      </c:pivotFmt>
      <c:pivotFmt>
        <c:idx val="431"/>
        <c:spPr>
          <a:solidFill>
            <a:schemeClr val="accent2"/>
          </a:solidFill>
          <a:ln w="19050">
            <a:solidFill>
              <a:schemeClr val="lt1"/>
            </a:solidFill>
          </a:ln>
          <a:effectLst/>
        </c:spPr>
      </c:pivotFmt>
      <c:pivotFmt>
        <c:idx val="432"/>
        <c:spPr>
          <a:solidFill>
            <a:schemeClr val="accent2"/>
          </a:solidFill>
          <a:ln w="19050">
            <a:solidFill>
              <a:schemeClr val="lt1"/>
            </a:solidFill>
          </a:ln>
          <a:effectLst/>
        </c:spPr>
      </c:pivotFmt>
      <c:pivotFmt>
        <c:idx val="433"/>
        <c:spPr>
          <a:solidFill>
            <a:schemeClr val="accent2"/>
          </a:solidFill>
          <a:ln w="19050">
            <a:solidFill>
              <a:schemeClr val="lt1"/>
            </a:solidFill>
          </a:ln>
          <a:effectLst/>
        </c:spPr>
      </c:pivotFmt>
      <c:pivotFmt>
        <c:idx val="434"/>
        <c:spPr>
          <a:solidFill>
            <a:schemeClr val="accent2"/>
          </a:solidFill>
          <a:ln w="19050">
            <a:solidFill>
              <a:schemeClr val="lt1"/>
            </a:solidFill>
          </a:ln>
          <a:effectLst/>
        </c:spPr>
      </c:pivotFmt>
      <c:pivotFmt>
        <c:idx val="435"/>
        <c:spPr>
          <a:solidFill>
            <a:schemeClr val="accent2"/>
          </a:solidFill>
          <a:ln w="19050">
            <a:solidFill>
              <a:schemeClr val="lt1"/>
            </a:solidFill>
          </a:ln>
          <a:effectLst/>
        </c:spPr>
      </c:pivotFmt>
      <c:pivotFmt>
        <c:idx val="436"/>
        <c:spPr>
          <a:solidFill>
            <a:schemeClr val="accent2"/>
          </a:solidFill>
          <a:ln w="19050">
            <a:solidFill>
              <a:schemeClr val="lt1"/>
            </a:solidFill>
          </a:ln>
          <a:effectLst/>
        </c:spPr>
      </c:pivotFmt>
      <c:pivotFmt>
        <c:idx val="437"/>
        <c:spPr>
          <a:solidFill>
            <a:schemeClr val="accent2"/>
          </a:solidFill>
          <a:ln w="19050">
            <a:solidFill>
              <a:schemeClr val="lt1"/>
            </a:solidFill>
          </a:ln>
          <a:effectLst/>
        </c:spPr>
      </c:pivotFmt>
      <c:pivotFmt>
        <c:idx val="438"/>
        <c:spPr>
          <a:solidFill>
            <a:schemeClr val="accent2"/>
          </a:solidFill>
          <a:ln w="19050">
            <a:solidFill>
              <a:schemeClr val="lt1"/>
            </a:solidFill>
          </a:ln>
          <a:effectLst/>
        </c:spPr>
      </c:pivotFmt>
      <c:pivotFmt>
        <c:idx val="439"/>
        <c:spPr>
          <a:solidFill>
            <a:schemeClr val="accent2"/>
          </a:solidFill>
          <a:ln w="19050">
            <a:solidFill>
              <a:schemeClr val="lt1"/>
            </a:solidFill>
          </a:ln>
          <a:effectLst/>
        </c:spPr>
      </c:pivotFmt>
      <c:pivotFmt>
        <c:idx val="440"/>
        <c:spPr>
          <a:solidFill>
            <a:schemeClr val="accent2"/>
          </a:solidFill>
          <a:ln w="19050">
            <a:solidFill>
              <a:schemeClr val="lt1"/>
            </a:solidFill>
          </a:ln>
          <a:effectLst/>
        </c:spPr>
      </c:pivotFmt>
      <c:pivotFmt>
        <c:idx val="441"/>
        <c:spPr>
          <a:solidFill>
            <a:schemeClr val="accent2"/>
          </a:solidFill>
          <a:ln w="19050">
            <a:solidFill>
              <a:schemeClr val="lt1"/>
            </a:solidFill>
          </a:ln>
          <a:effectLst/>
        </c:spPr>
      </c:pivotFmt>
      <c:pivotFmt>
        <c:idx val="442"/>
        <c:spPr>
          <a:solidFill>
            <a:schemeClr val="accent2"/>
          </a:solidFill>
          <a:ln w="19050">
            <a:solidFill>
              <a:schemeClr val="lt1"/>
            </a:solidFill>
          </a:ln>
          <a:effectLst/>
        </c:spPr>
      </c:pivotFmt>
      <c:pivotFmt>
        <c:idx val="443"/>
        <c:spPr>
          <a:solidFill>
            <a:schemeClr val="accent2"/>
          </a:solidFill>
          <a:ln w="19050">
            <a:solidFill>
              <a:schemeClr val="lt1"/>
            </a:solidFill>
          </a:ln>
          <a:effectLst/>
        </c:spPr>
      </c:pivotFmt>
      <c:pivotFmt>
        <c:idx val="444"/>
        <c:spPr>
          <a:solidFill>
            <a:schemeClr val="accent2"/>
          </a:solidFill>
          <a:ln w="19050">
            <a:solidFill>
              <a:schemeClr val="lt1"/>
            </a:solidFill>
          </a:ln>
          <a:effectLst/>
        </c:spPr>
      </c:pivotFmt>
      <c:pivotFmt>
        <c:idx val="445"/>
        <c:spPr>
          <a:solidFill>
            <a:schemeClr val="accent2"/>
          </a:solidFill>
          <a:ln w="19050">
            <a:solidFill>
              <a:schemeClr val="lt1"/>
            </a:solidFill>
          </a:ln>
          <a:effectLst/>
        </c:spPr>
      </c:pivotFmt>
      <c:pivotFmt>
        <c:idx val="446"/>
        <c:spPr>
          <a:solidFill>
            <a:schemeClr val="accent2"/>
          </a:solidFill>
          <a:ln w="19050">
            <a:solidFill>
              <a:schemeClr val="lt1"/>
            </a:solidFill>
          </a:ln>
          <a:effectLst/>
        </c:spPr>
      </c:pivotFmt>
      <c:pivotFmt>
        <c:idx val="447"/>
        <c:spPr>
          <a:solidFill>
            <a:schemeClr val="accent2"/>
          </a:solidFill>
          <a:ln w="19050">
            <a:solidFill>
              <a:schemeClr val="lt1"/>
            </a:solidFill>
          </a:ln>
          <a:effectLst/>
        </c:spPr>
      </c:pivotFmt>
      <c:pivotFmt>
        <c:idx val="448"/>
        <c:spPr>
          <a:solidFill>
            <a:schemeClr val="accent2"/>
          </a:solidFill>
          <a:ln w="19050">
            <a:solidFill>
              <a:schemeClr val="lt1"/>
            </a:solidFill>
          </a:ln>
          <a:effectLst/>
        </c:spPr>
      </c:pivotFmt>
      <c:pivotFmt>
        <c:idx val="449"/>
        <c:spPr>
          <a:solidFill>
            <a:schemeClr val="accent2"/>
          </a:solidFill>
          <a:ln w="19050">
            <a:solidFill>
              <a:schemeClr val="lt1"/>
            </a:solidFill>
          </a:ln>
          <a:effectLst/>
        </c:spPr>
      </c:pivotFmt>
      <c:pivotFmt>
        <c:idx val="450"/>
        <c:spPr>
          <a:solidFill>
            <a:schemeClr val="accent2"/>
          </a:solidFill>
          <a:ln w="19050">
            <a:solidFill>
              <a:schemeClr val="lt1"/>
            </a:solidFill>
          </a:ln>
          <a:effectLst/>
        </c:spPr>
      </c:pivotFmt>
      <c:pivotFmt>
        <c:idx val="451"/>
        <c:spPr>
          <a:solidFill>
            <a:schemeClr val="accent2"/>
          </a:solidFill>
          <a:ln w="19050">
            <a:solidFill>
              <a:schemeClr val="lt1"/>
            </a:solidFill>
          </a:ln>
          <a:effectLst/>
        </c:spPr>
      </c:pivotFmt>
      <c:pivotFmt>
        <c:idx val="452"/>
        <c:spPr>
          <a:solidFill>
            <a:schemeClr val="accent2"/>
          </a:solidFill>
          <a:ln w="19050">
            <a:solidFill>
              <a:schemeClr val="lt1"/>
            </a:solidFill>
          </a:ln>
          <a:effectLst/>
        </c:spPr>
      </c:pivotFmt>
      <c:pivotFmt>
        <c:idx val="453"/>
        <c:spPr>
          <a:solidFill>
            <a:schemeClr val="accent2"/>
          </a:solidFill>
          <a:ln w="19050">
            <a:solidFill>
              <a:schemeClr val="lt1"/>
            </a:solidFill>
          </a:ln>
          <a:effectLst/>
        </c:spPr>
      </c:pivotFmt>
      <c:pivotFmt>
        <c:idx val="454"/>
        <c:spPr>
          <a:solidFill>
            <a:schemeClr val="accent2"/>
          </a:solidFill>
          <a:ln w="19050">
            <a:solidFill>
              <a:schemeClr val="lt1"/>
            </a:solidFill>
          </a:ln>
          <a:effectLst/>
        </c:spPr>
      </c:pivotFmt>
      <c:pivotFmt>
        <c:idx val="455"/>
        <c:spPr>
          <a:solidFill>
            <a:schemeClr val="accent2"/>
          </a:solidFill>
          <a:ln w="19050">
            <a:solidFill>
              <a:schemeClr val="lt1"/>
            </a:solidFill>
          </a:ln>
          <a:effectLst/>
        </c:spPr>
      </c:pivotFmt>
      <c:pivotFmt>
        <c:idx val="456"/>
        <c:spPr>
          <a:solidFill>
            <a:schemeClr val="accent2"/>
          </a:solidFill>
          <a:ln w="19050">
            <a:solidFill>
              <a:schemeClr val="lt1"/>
            </a:solidFill>
          </a:ln>
          <a:effectLst/>
        </c:spPr>
      </c:pivotFmt>
      <c:pivotFmt>
        <c:idx val="457"/>
        <c:spPr>
          <a:solidFill>
            <a:schemeClr val="accent2"/>
          </a:solidFill>
          <a:ln w="19050">
            <a:solidFill>
              <a:schemeClr val="lt1"/>
            </a:solidFill>
          </a:ln>
          <a:effectLst/>
        </c:spPr>
      </c:pivotFmt>
      <c:pivotFmt>
        <c:idx val="458"/>
        <c:spPr>
          <a:solidFill>
            <a:schemeClr val="accent2"/>
          </a:solidFill>
          <a:ln w="19050">
            <a:solidFill>
              <a:schemeClr val="lt1"/>
            </a:solidFill>
          </a:ln>
          <a:effectLst/>
        </c:spPr>
      </c:pivotFmt>
      <c:pivotFmt>
        <c:idx val="459"/>
        <c:spPr>
          <a:solidFill>
            <a:schemeClr val="accent2"/>
          </a:solidFill>
          <a:ln w="19050">
            <a:solidFill>
              <a:schemeClr val="lt1"/>
            </a:solidFill>
          </a:ln>
          <a:effectLst/>
        </c:spPr>
      </c:pivotFmt>
      <c:pivotFmt>
        <c:idx val="460"/>
        <c:spPr>
          <a:solidFill>
            <a:schemeClr val="accent2"/>
          </a:solidFill>
          <a:ln w="19050">
            <a:solidFill>
              <a:schemeClr val="lt1"/>
            </a:solidFill>
          </a:ln>
          <a:effectLst/>
        </c:spPr>
      </c:pivotFmt>
      <c:pivotFmt>
        <c:idx val="461"/>
        <c:spPr>
          <a:solidFill>
            <a:schemeClr val="accent2"/>
          </a:solidFill>
          <a:ln w="19050">
            <a:solidFill>
              <a:schemeClr val="lt1"/>
            </a:solidFill>
          </a:ln>
          <a:effectLst/>
        </c:spPr>
      </c:pivotFmt>
      <c:pivotFmt>
        <c:idx val="462"/>
        <c:spPr>
          <a:solidFill>
            <a:schemeClr val="accent2"/>
          </a:solidFill>
          <a:ln w="19050">
            <a:solidFill>
              <a:schemeClr val="lt1"/>
            </a:solidFill>
          </a:ln>
          <a:effectLst/>
        </c:spPr>
      </c:pivotFmt>
      <c:pivotFmt>
        <c:idx val="463"/>
        <c:spPr>
          <a:solidFill>
            <a:schemeClr val="accent2"/>
          </a:solidFill>
          <a:ln w="19050">
            <a:solidFill>
              <a:schemeClr val="lt1"/>
            </a:solidFill>
          </a:ln>
          <a:effectLst/>
        </c:spPr>
      </c:pivotFmt>
      <c:pivotFmt>
        <c:idx val="464"/>
        <c:spPr>
          <a:solidFill>
            <a:schemeClr val="accent2"/>
          </a:solidFill>
          <a:ln w="19050">
            <a:solidFill>
              <a:schemeClr val="lt1"/>
            </a:solidFill>
          </a:ln>
          <a:effectLst/>
        </c:spPr>
      </c:pivotFmt>
      <c:pivotFmt>
        <c:idx val="465"/>
        <c:spPr>
          <a:solidFill>
            <a:schemeClr val="accent2"/>
          </a:solidFill>
          <a:ln w="19050">
            <a:solidFill>
              <a:schemeClr val="lt1"/>
            </a:solidFill>
          </a:ln>
          <a:effectLst/>
        </c:spPr>
      </c:pivotFmt>
      <c:pivotFmt>
        <c:idx val="466"/>
        <c:spPr>
          <a:solidFill>
            <a:schemeClr val="accent2"/>
          </a:solidFill>
          <a:ln w="19050">
            <a:solidFill>
              <a:schemeClr val="lt1"/>
            </a:solidFill>
          </a:ln>
          <a:effectLst/>
        </c:spPr>
      </c:pivotFmt>
      <c:pivotFmt>
        <c:idx val="467"/>
        <c:spPr>
          <a:solidFill>
            <a:schemeClr val="accent2"/>
          </a:solidFill>
          <a:ln w="19050">
            <a:solidFill>
              <a:schemeClr val="lt1"/>
            </a:solidFill>
          </a:ln>
          <a:effectLst/>
        </c:spPr>
      </c:pivotFmt>
      <c:pivotFmt>
        <c:idx val="468"/>
        <c:spPr>
          <a:solidFill>
            <a:schemeClr val="accent2"/>
          </a:solidFill>
          <a:ln w="19050">
            <a:solidFill>
              <a:schemeClr val="lt1"/>
            </a:solidFill>
          </a:ln>
          <a:effectLst/>
        </c:spPr>
      </c:pivotFmt>
      <c:pivotFmt>
        <c:idx val="469"/>
        <c:spPr>
          <a:solidFill>
            <a:schemeClr val="accent2"/>
          </a:solidFill>
          <a:ln w="19050">
            <a:solidFill>
              <a:schemeClr val="lt1"/>
            </a:solidFill>
          </a:ln>
          <a:effectLst/>
        </c:spPr>
      </c:pivotFmt>
      <c:pivotFmt>
        <c:idx val="470"/>
        <c:spPr>
          <a:solidFill>
            <a:schemeClr val="accent2"/>
          </a:solidFill>
          <a:ln w="19050">
            <a:solidFill>
              <a:schemeClr val="lt1"/>
            </a:solidFill>
          </a:ln>
          <a:effectLst/>
        </c:spPr>
      </c:pivotFmt>
      <c:pivotFmt>
        <c:idx val="471"/>
        <c:spPr>
          <a:solidFill>
            <a:schemeClr val="accent2"/>
          </a:solidFill>
          <a:ln w="19050">
            <a:solidFill>
              <a:schemeClr val="lt1"/>
            </a:solidFill>
          </a:ln>
          <a:effectLst/>
        </c:spPr>
      </c:pivotFmt>
      <c:pivotFmt>
        <c:idx val="472"/>
        <c:spPr>
          <a:solidFill>
            <a:schemeClr val="accent2"/>
          </a:solidFill>
          <a:ln w="19050">
            <a:solidFill>
              <a:schemeClr val="lt1"/>
            </a:solidFill>
          </a:ln>
          <a:effectLst/>
        </c:spPr>
      </c:pivotFmt>
      <c:pivotFmt>
        <c:idx val="473"/>
        <c:spPr>
          <a:solidFill>
            <a:schemeClr val="accent2"/>
          </a:solidFill>
          <a:ln w="19050">
            <a:solidFill>
              <a:schemeClr val="lt1"/>
            </a:solidFill>
          </a:ln>
          <a:effectLst/>
        </c:spPr>
      </c:pivotFmt>
      <c:pivotFmt>
        <c:idx val="474"/>
        <c:spPr>
          <a:solidFill>
            <a:schemeClr val="accent2"/>
          </a:solidFill>
          <a:ln w="19050">
            <a:solidFill>
              <a:schemeClr val="lt1"/>
            </a:solidFill>
          </a:ln>
          <a:effectLst/>
        </c:spPr>
      </c:pivotFmt>
      <c:pivotFmt>
        <c:idx val="475"/>
        <c:spPr>
          <a:solidFill>
            <a:schemeClr val="accent2"/>
          </a:solidFill>
          <a:ln w="19050">
            <a:solidFill>
              <a:schemeClr val="lt1"/>
            </a:solidFill>
          </a:ln>
          <a:effectLst/>
        </c:spPr>
      </c:pivotFmt>
      <c:pivotFmt>
        <c:idx val="476"/>
        <c:spPr>
          <a:solidFill>
            <a:schemeClr val="accent2"/>
          </a:solidFill>
          <a:ln w="19050">
            <a:solidFill>
              <a:schemeClr val="lt1"/>
            </a:solidFill>
          </a:ln>
          <a:effectLst/>
        </c:spPr>
      </c:pivotFmt>
      <c:pivotFmt>
        <c:idx val="477"/>
        <c:spPr>
          <a:solidFill>
            <a:schemeClr val="accent2"/>
          </a:solidFill>
          <a:ln w="19050">
            <a:solidFill>
              <a:schemeClr val="lt1"/>
            </a:solidFill>
          </a:ln>
          <a:effectLst/>
        </c:spPr>
      </c:pivotFmt>
      <c:pivotFmt>
        <c:idx val="478"/>
        <c:spPr>
          <a:solidFill>
            <a:schemeClr val="accent2"/>
          </a:solidFill>
          <a:ln w="19050">
            <a:solidFill>
              <a:schemeClr val="lt1"/>
            </a:solidFill>
          </a:ln>
          <a:effectLst/>
        </c:spPr>
      </c:pivotFmt>
      <c:pivotFmt>
        <c:idx val="479"/>
        <c:spPr>
          <a:solidFill>
            <a:schemeClr val="accent2"/>
          </a:solidFill>
          <a:ln w="19050">
            <a:solidFill>
              <a:schemeClr val="lt1"/>
            </a:solidFill>
          </a:ln>
          <a:effectLst/>
        </c:spPr>
      </c:pivotFmt>
      <c:pivotFmt>
        <c:idx val="48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1"/>
        <c:spPr>
          <a:solidFill>
            <a:schemeClr val="accent2"/>
          </a:solidFill>
          <a:ln w="19050">
            <a:solidFill>
              <a:schemeClr val="lt1"/>
            </a:solidFill>
          </a:ln>
          <a:effectLst/>
        </c:spPr>
      </c:pivotFmt>
      <c:pivotFmt>
        <c:idx val="482"/>
        <c:spPr>
          <a:solidFill>
            <a:schemeClr val="accent2"/>
          </a:solidFill>
          <a:ln w="19050">
            <a:solidFill>
              <a:schemeClr val="lt1"/>
            </a:solidFill>
          </a:ln>
          <a:effectLst/>
        </c:spPr>
      </c:pivotFmt>
      <c:pivotFmt>
        <c:idx val="483"/>
        <c:spPr>
          <a:solidFill>
            <a:schemeClr val="accent2"/>
          </a:solidFill>
          <a:ln w="19050">
            <a:solidFill>
              <a:schemeClr val="lt1"/>
            </a:solidFill>
          </a:ln>
          <a:effectLst/>
        </c:spPr>
      </c:pivotFmt>
      <c:pivotFmt>
        <c:idx val="484"/>
        <c:spPr>
          <a:solidFill>
            <a:schemeClr val="accent2"/>
          </a:solidFill>
          <a:ln w="19050">
            <a:solidFill>
              <a:schemeClr val="lt1"/>
            </a:solidFill>
          </a:ln>
          <a:effectLst/>
        </c:spPr>
      </c:pivotFmt>
      <c:pivotFmt>
        <c:idx val="485"/>
        <c:spPr>
          <a:solidFill>
            <a:schemeClr val="accent2"/>
          </a:solidFill>
          <a:ln w="19050">
            <a:solidFill>
              <a:schemeClr val="lt1"/>
            </a:solidFill>
          </a:ln>
          <a:effectLst/>
        </c:spPr>
      </c:pivotFmt>
      <c:pivotFmt>
        <c:idx val="486"/>
        <c:spPr>
          <a:solidFill>
            <a:schemeClr val="accent2"/>
          </a:solidFill>
          <a:ln w="19050">
            <a:solidFill>
              <a:schemeClr val="lt1"/>
            </a:solidFill>
          </a:ln>
          <a:effectLst/>
        </c:spPr>
      </c:pivotFmt>
      <c:pivotFmt>
        <c:idx val="487"/>
        <c:spPr>
          <a:solidFill>
            <a:schemeClr val="accent2"/>
          </a:solidFill>
          <a:ln w="19050">
            <a:solidFill>
              <a:schemeClr val="lt1"/>
            </a:solidFill>
          </a:ln>
          <a:effectLst/>
        </c:spPr>
      </c:pivotFmt>
      <c:pivotFmt>
        <c:idx val="488"/>
        <c:spPr>
          <a:solidFill>
            <a:schemeClr val="accent2"/>
          </a:solidFill>
          <a:ln w="19050">
            <a:solidFill>
              <a:schemeClr val="lt1"/>
            </a:solidFill>
          </a:ln>
          <a:effectLst/>
        </c:spPr>
      </c:pivotFmt>
      <c:pivotFmt>
        <c:idx val="489"/>
        <c:spPr>
          <a:solidFill>
            <a:schemeClr val="accent2"/>
          </a:solidFill>
          <a:ln w="19050">
            <a:solidFill>
              <a:schemeClr val="lt1"/>
            </a:solidFill>
          </a:ln>
          <a:effectLst/>
        </c:spPr>
      </c:pivotFmt>
      <c:pivotFmt>
        <c:idx val="490"/>
        <c:spPr>
          <a:solidFill>
            <a:schemeClr val="accent2"/>
          </a:solidFill>
          <a:ln w="19050">
            <a:solidFill>
              <a:schemeClr val="lt1"/>
            </a:solidFill>
          </a:ln>
          <a:effectLst/>
        </c:spPr>
      </c:pivotFmt>
      <c:pivotFmt>
        <c:idx val="491"/>
        <c:spPr>
          <a:solidFill>
            <a:schemeClr val="accent2"/>
          </a:solidFill>
          <a:ln w="19050">
            <a:solidFill>
              <a:schemeClr val="lt1"/>
            </a:solidFill>
          </a:ln>
          <a:effectLst/>
        </c:spPr>
      </c:pivotFmt>
      <c:pivotFmt>
        <c:idx val="492"/>
        <c:spPr>
          <a:solidFill>
            <a:schemeClr val="accent2"/>
          </a:solidFill>
          <a:ln w="19050">
            <a:solidFill>
              <a:schemeClr val="lt1"/>
            </a:solidFill>
          </a:ln>
          <a:effectLst/>
        </c:spPr>
      </c:pivotFmt>
      <c:pivotFmt>
        <c:idx val="493"/>
        <c:spPr>
          <a:solidFill>
            <a:schemeClr val="accent2"/>
          </a:solidFill>
          <a:ln w="19050">
            <a:solidFill>
              <a:schemeClr val="lt1"/>
            </a:solidFill>
          </a:ln>
          <a:effectLst/>
        </c:spPr>
      </c:pivotFmt>
      <c:pivotFmt>
        <c:idx val="494"/>
        <c:spPr>
          <a:solidFill>
            <a:schemeClr val="accent2"/>
          </a:solidFill>
          <a:ln w="19050">
            <a:solidFill>
              <a:schemeClr val="lt1"/>
            </a:solidFill>
          </a:ln>
          <a:effectLst/>
        </c:spPr>
      </c:pivotFmt>
      <c:pivotFmt>
        <c:idx val="495"/>
        <c:spPr>
          <a:solidFill>
            <a:schemeClr val="accent2"/>
          </a:solidFill>
          <a:ln w="19050">
            <a:solidFill>
              <a:schemeClr val="lt1"/>
            </a:solidFill>
          </a:ln>
          <a:effectLst/>
        </c:spPr>
      </c:pivotFmt>
      <c:pivotFmt>
        <c:idx val="496"/>
        <c:spPr>
          <a:solidFill>
            <a:schemeClr val="accent2"/>
          </a:solidFill>
          <a:ln w="19050">
            <a:solidFill>
              <a:schemeClr val="lt1"/>
            </a:solidFill>
          </a:ln>
          <a:effectLst/>
        </c:spPr>
      </c:pivotFmt>
      <c:pivotFmt>
        <c:idx val="497"/>
        <c:spPr>
          <a:solidFill>
            <a:schemeClr val="accent2"/>
          </a:solidFill>
          <a:ln w="19050">
            <a:solidFill>
              <a:schemeClr val="lt1"/>
            </a:solidFill>
          </a:ln>
          <a:effectLst/>
        </c:spPr>
      </c:pivotFmt>
      <c:pivotFmt>
        <c:idx val="498"/>
        <c:spPr>
          <a:solidFill>
            <a:schemeClr val="accent2"/>
          </a:solidFill>
          <a:ln w="19050">
            <a:solidFill>
              <a:schemeClr val="lt1"/>
            </a:solidFill>
          </a:ln>
          <a:effectLst/>
        </c:spPr>
      </c:pivotFmt>
      <c:pivotFmt>
        <c:idx val="499"/>
        <c:spPr>
          <a:solidFill>
            <a:schemeClr val="accent2"/>
          </a:solidFill>
          <a:ln w="19050">
            <a:solidFill>
              <a:schemeClr val="lt1"/>
            </a:solidFill>
          </a:ln>
          <a:effectLst/>
        </c:spPr>
      </c:pivotFmt>
      <c:pivotFmt>
        <c:idx val="500"/>
        <c:spPr>
          <a:solidFill>
            <a:schemeClr val="accent2"/>
          </a:solidFill>
          <a:ln w="19050">
            <a:solidFill>
              <a:schemeClr val="lt1"/>
            </a:solidFill>
          </a:ln>
          <a:effectLst/>
        </c:spPr>
      </c:pivotFmt>
      <c:pivotFmt>
        <c:idx val="501"/>
        <c:spPr>
          <a:solidFill>
            <a:schemeClr val="accent2"/>
          </a:solidFill>
          <a:ln w="19050">
            <a:solidFill>
              <a:schemeClr val="lt1"/>
            </a:solidFill>
          </a:ln>
          <a:effectLst/>
        </c:spPr>
      </c:pivotFmt>
      <c:pivotFmt>
        <c:idx val="502"/>
        <c:spPr>
          <a:solidFill>
            <a:schemeClr val="accent2"/>
          </a:solidFill>
          <a:ln w="19050">
            <a:solidFill>
              <a:schemeClr val="lt1"/>
            </a:solidFill>
          </a:ln>
          <a:effectLst/>
        </c:spPr>
      </c:pivotFmt>
      <c:pivotFmt>
        <c:idx val="503"/>
        <c:spPr>
          <a:solidFill>
            <a:schemeClr val="accent2"/>
          </a:solidFill>
          <a:ln w="19050">
            <a:solidFill>
              <a:schemeClr val="lt1"/>
            </a:solidFill>
          </a:ln>
          <a:effectLst/>
        </c:spPr>
      </c:pivotFmt>
      <c:pivotFmt>
        <c:idx val="504"/>
        <c:spPr>
          <a:solidFill>
            <a:schemeClr val="accent2"/>
          </a:solidFill>
          <a:ln w="19050">
            <a:solidFill>
              <a:schemeClr val="lt1"/>
            </a:solidFill>
          </a:ln>
          <a:effectLst/>
        </c:spPr>
      </c:pivotFmt>
      <c:pivotFmt>
        <c:idx val="505"/>
        <c:spPr>
          <a:solidFill>
            <a:schemeClr val="accent2"/>
          </a:solidFill>
          <a:ln w="19050">
            <a:solidFill>
              <a:schemeClr val="lt1"/>
            </a:solidFill>
          </a:ln>
          <a:effectLst/>
        </c:spPr>
      </c:pivotFmt>
      <c:pivotFmt>
        <c:idx val="506"/>
        <c:spPr>
          <a:solidFill>
            <a:schemeClr val="accent2"/>
          </a:solidFill>
          <a:ln w="19050">
            <a:solidFill>
              <a:schemeClr val="lt1"/>
            </a:solidFill>
          </a:ln>
          <a:effectLst/>
        </c:spPr>
      </c:pivotFmt>
      <c:pivotFmt>
        <c:idx val="507"/>
        <c:spPr>
          <a:solidFill>
            <a:schemeClr val="accent2"/>
          </a:solidFill>
          <a:ln w="19050">
            <a:solidFill>
              <a:schemeClr val="lt1"/>
            </a:solidFill>
          </a:ln>
          <a:effectLst/>
        </c:spPr>
      </c:pivotFmt>
      <c:pivotFmt>
        <c:idx val="508"/>
        <c:spPr>
          <a:solidFill>
            <a:schemeClr val="accent2"/>
          </a:solidFill>
          <a:ln w="19050">
            <a:solidFill>
              <a:schemeClr val="lt1"/>
            </a:solidFill>
          </a:ln>
          <a:effectLst/>
        </c:spPr>
      </c:pivotFmt>
      <c:pivotFmt>
        <c:idx val="509"/>
        <c:spPr>
          <a:solidFill>
            <a:schemeClr val="accent2"/>
          </a:solidFill>
          <a:ln w="19050">
            <a:solidFill>
              <a:schemeClr val="lt1"/>
            </a:solidFill>
          </a:ln>
          <a:effectLst/>
        </c:spPr>
      </c:pivotFmt>
      <c:pivotFmt>
        <c:idx val="510"/>
        <c:spPr>
          <a:solidFill>
            <a:schemeClr val="accent2"/>
          </a:solidFill>
          <a:ln w="19050">
            <a:solidFill>
              <a:schemeClr val="lt1"/>
            </a:solidFill>
          </a:ln>
          <a:effectLst/>
        </c:spPr>
      </c:pivotFmt>
      <c:pivotFmt>
        <c:idx val="511"/>
        <c:spPr>
          <a:solidFill>
            <a:schemeClr val="accent2"/>
          </a:solidFill>
          <a:ln w="19050">
            <a:solidFill>
              <a:schemeClr val="lt1"/>
            </a:solidFill>
          </a:ln>
          <a:effectLst/>
        </c:spPr>
      </c:pivotFmt>
      <c:pivotFmt>
        <c:idx val="512"/>
        <c:spPr>
          <a:solidFill>
            <a:schemeClr val="accent2"/>
          </a:solidFill>
          <a:ln w="19050">
            <a:solidFill>
              <a:schemeClr val="lt1"/>
            </a:solidFill>
          </a:ln>
          <a:effectLst/>
        </c:spPr>
      </c:pivotFmt>
      <c:pivotFmt>
        <c:idx val="513"/>
        <c:spPr>
          <a:solidFill>
            <a:schemeClr val="accent2"/>
          </a:solidFill>
          <a:ln w="19050">
            <a:solidFill>
              <a:schemeClr val="lt1"/>
            </a:solidFill>
          </a:ln>
          <a:effectLst/>
        </c:spPr>
      </c:pivotFmt>
      <c:pivotFmt>
        <c:idx val="514"/>
        <c:spPr>
          <a:solidFill>
            <a:schemeClr val="accent2"/>
          </a:solidFill>
          <a:ln w="19050">
            <a:solidFill>
              <a:schemeClr val="lt1"/>
            </a:solidFill>
          </a:ln>
          <a:effectLst/>
        </c:spPr>
      </c:pivotFmt>
      <c:pivotFmt>
        <c:idx val="515"/>
        <c:spPr>
          <a:solidFill>
            <a:schemeClr val="accent2"/>
          </a:solidFill>
          <a:ln w="19050">
            <a:solidFill>
              <a:schemeClr val="lt1"/>
            </a:solidFill>
          </a:ln>
          <a:effectLst/>
        </c:spPr>
      </c:pivotFmt>
      <c:pivotFmt>
        <c:idx val="516"/>
        <c:spPr>
          <a:solidFill>
            <a:schemeClr val="accent2"/>
          </a:solidFill>
          <a:ln w="19050">
            <a:solidFill>
              <a:schemeClr val="lt1"/>
            </a:solidFill>
          </a:ln>
          <a:effectLst/>
        </c:spPr>
      </c:pivotFmt>
      <c:pivotFmt>
        <c:idx val="517"/>
        <c:spPr>
          <a:solidFill>
            <a:schemeClr val="accent2"/>
          </a:solidFill>
          <a:ln w="19050">
            <a:solidFill>
              <a:schemeClr val="lt1"/>
            </a:solidFill>
          </a:ln>
          <a:effectLst/>
        </c:spPr>
      </c:pivotFmt>
      <c:pivotFmt>
        <c:idx val="518"/>
        <c:spPr>
          <a:solidFill>
            <a:schemeClr val="accent2"/>
          </a:solidFill>
          <a:ln w="19050">
            <a:solidFill>
              <a:schemeClr val="lt1"/>
            </a:solidFill>
          </a:ln>
          <a:effectLst/>
        </c:spPr>
      </c:pivotFmt>
      <c:pivotFmt>
        <c:idx val="519"/>
        <c:spPr>
          <a:solidFill>
            <a:schemeClr val="accent2"/>
          </a:solidFill>
          <a:ln w="19050">
            <a:solidFill>
              <a:schemeClr val="lt1"/>
            </a:solidFill>
          </a:ln>
          <a:effectLst/>
        </c:spPr>
      </c:pivotFmt>
      <c:pivotFmt>
        <c:idx val="520"/>
        <c:spPr>
          <a:solidFill>
            <a:schemeClr val="accent2"/>
          </a:solidFill>
          <a:ln w="19050">
            <a:solidFill>
              <a:schemeClr val="lt1"/>
            </a:solidFill>
          </a:ln>
          <a:effectLst/>
        </c:spPr>
      </c:pivotFmt>
      <c:pivotFmt>
        <c:idx val="521"/>
        <c:spPr>
          <a:solidFill>
            <a:schemeClr val="accent2"/>
          </a:solidFill>
          <a:ln w="19050">
            <a:solidFill>
              <a:schemeClr val="lt1"/>
            </a:solidFill>
          </a:ln>
          <a:effectLst/>
        </c:spPr>
      </c:pivotFmt>
      <c:pivotFmt>
        <c:idx val="522"/>
        <c:spPr>
          <a:solidFill>
            <a:schemeClr val="accent2"/>
          </a:solidFill>
          <a:ln w="19050">
            <a:solidFill>
              <a:schemeClr val="lt1"/>
            </a:solidFill>
          </a:ln>
          <a:effectLst/>
        </c:spPr>
      </c:pivotFmt>
      <c:pivotFmt>
        <c:idx val="523"/>
        <c:spPr>
          <a:solidFill>
            <a:schemeClr val="accent2"/>
          </a:solidFill>
          <a:ln w="19050">
            <a:solidFill>
              <a:schemeClr val="lt1"/>
            </a:solidFill>
          </a:ln>
          <a:effectLst/>
        </c:spPr>
      </c:pivotFmt>
      <c:pivotFmt>
        <c:idx val="524"/>
        <c:spPr>
          <a:solidFill>
            <a:schemeClr val="accent2"/>
          </a:solidFill>
          <a:ln w="19050">
            <a:solidFill>
              <a:schemeClr val="lt1"/>
            </a:solidFill>
          </a:ln>
          <a:effectLst/>
        </c:spPr>
      </c:pivotFmt>
      <c:pivotFmt>
        <c:idx val="525"/>
        <c:spPr>
          <a:solidFill>
            <a:schemeClr val="accent2"/>
          </a:solidFill>
          <a:ln w="19050">
            <a:solidFill>
              <a:schemeClr val="lt1"/>
            </a:solidFill>
          </a:ln>
          <a:effectLst/>
        </c:spPr>
      </c:pivotFmt>
      <c:pivotFmt>
        <c:idx val="526"/>
        <c:spPr>
          <a:solidFill>
            <a:schemeClr val="accent2"/>
          </a:solidFill>
          <a:ln w="19050">
            <a:solidFill>
              <a:schemeClr val="lt1"/>
            </a:solidFill>
          </a:ln>
          <a:effectLst/>
        </c:spPr>
      </c:pivotFmt>
      <c:pivotFmt>
        <c:idx val="527"/>
        <c:spPr>
          <a:solidFill>
            <a:schemeClr val="accent2"/>
          </a:solidFill>
          <a:ln w="19050">
            <a:solidFill>
              <a:schemeClr val="lt1"/>
            </a:solidFill>
          </a:ln>
          <a:effectLst/>
        </c:spPr>
      </c:pivotFmt>
      <c:pivotFmt>
        <c:idx val="528"/>
        <c:spPr>
          <a:solidFill>
            <a:schemeClr val="accent2"/>
          </a:solidFill>
          <a:ln w="19050">
            <a:solidFill>
              <a:schemeClr val="lt1"/>
            </a:solidFill>
          </a:ln>
          <a:effectLst/>
        </c:spPr>
      </c:pivotFmt>
      <c:pivotFmt>
        <c:idx val="529"/>
        <c:spPr>
          <a:solidFill>
            <a:schemeClr val="accent2"/>
          </a:solidFill>
          <a:ln w="19050">
            <a:solidFill>
              <a:schemeClr val="lt1"/>
            </a:solidFill>
          </a:ln>
          <a:effectLst/>
        </c:spPr>
      </c:pivotFmt>
      <c:pivotFmt>
        <c:idx val="530"/>
        <c:spPr>
          <a:solidFill>
            <a:schemeClr val="accent2"/>
          </a:solidFill>
          <a:ln w="19050">
            <a:solidFill>
              <a:schemeClr val="lt1"/>
            </a:solidFill>
          </a:ln>
          <a:effectLst/>
        </c:spPr>
      </c:pivotFmt>
      <c:pivotFmt>
        <c:idx val="531"/>
        <c:spPr>
          <a:solidFill>
            <a:schemeClr val="accent2"/>
          </a:solidFill>
          <a:ln w="19050">
            <a:solidFill>
              <a:schemeClr val="lt1"/>
            </a:solidFill>
          </a:ln>
          <a:effectLst/>
        </c:spPr>
      </c:pivotFmt>
      <c:pivotFmt>
        <c:idx val="532"/>
        <c:spPr>
          <a:solidFill>
            <a:schemeClr val="accent2"/>
          </a:solidFill>
          <a:ln w="19050">
            <a:solidFill>
              <a:schemeClr val="lt1"/>
            </a:solidFill>
          </a:ln>
          <a:effectLst/>
        </c:spPr>
      </c:pivotFmt>
      <c:pivotFmt>
        <c:idx val="533"/>
        <c:spPr>
          <a:solidFill>
            <a:schemeClr val="accent2"/>
          </a:solidFill>
          <a:ln w="19050">
            <a:solidFill>
              <a:schemeClr val="lt1"/>
            </a:solidFill>
          </a:ln>
          <a:effectLst/>
        </c:spPr>
      </c:pivotFmt>
      <c:pivotFmt>
        <c:idx val="534"/>
        <c:spPr>
          <a:solidFill>
            <a:schemeClr val="accent2"/>
          </a:solidFill>
          <a:ln w="19050">
            <a:solidFill>
              <a:schemeClr val="lt1"/>
            </a:solidFill>
          </a:ln>
          <a:effectLst/>
        </c:spPr>
      </c:pivotFmt>
      <c:pivotFmt>
        <c:idx val="535"/>
        <c:spPr>
          <a:solidFill>
            <a:schemeClr val="accent2"/>
          </a:solidFill>
          <a:ln w="19050">
            <a:solidFill>
              <a:schemeClr val="lt1"/>
            </a:solidFill>
          </a:ln>
          <a:effectLst/>
        </c:spPr>
      </c:pivotFmt>
      <c:pivotFmt>
        <c:idx val="536"/>
        <c:spPr>
          <a:solidFill>
            <a:schemeClr val="accent2"/>
          </a:solidFill>
          <a:ln w="19050">
            <a:solidFill>
              <a:schemeClr val="lt1"/>
            </a:solidFill>
          </a:ln>
          <a:effectLst/>
        </c:spPr>
      </c:pivotFmt>
      <c:pivotFmt>
        <c:idx val="537"/>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2"/>
          </a:solidFill>
          <a:ln w="19050">
            <a:solidFill>
              <a:schemeClr val="lt1"/>
            </a:solidFill>
          </a:ln>
          <a:effectLst/>
        </c:spPr>
        <c:marker>
          <c:symbol val="none"/>
        </c:marker>
      </c:pivotFmt>
      <c:pivotFmt>
        <c:idx val="539"/>
        <c:spPr>
          <a:solidFill>
            <a:schemeClr val="accent2"/>
          </a:solidFill>
          <a:ln w="19050">
            <a:solidFill>
              <a:schemeClr val="lt1"/>
            </a:solidFill>
          </a:ln>
          <a:effectLst/>
        </c:spPr>
        <c:marker>
          <c:symbol val="none"/>
        </c:marker>
      </c:pivotFmt>
      <c:pivotFmt>
        <c:idx val="540"/>
        <c:spPr>
          <a:solidFill>
            <a:schemeClr val="accent2"/>
          </a:solidFill>
          <a:ln w="19050">
            <a:solidFill>
              <a:schemeClr val="lt1"/>
            </a:solidFill>
          </a:ln>
          <a:effectLst/>
        </c:spPr>
        <c:marker>
          <c:symbol val="none"/>
        </c:marker>
      </c:pivotFmt>
      <c:pivotFmt>
        <c:idx val="54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1"/>
          <c:showVal val="1"/>
          <c:showCatName val="0"/>
          <c:showSerName val="0"/>
          <c:showPercent val="0"/>
          <c:showBubbleSize val="0"/>
          <c:extLst>
            <c:ext xmlns:c15="http://schemas.microsoft.com/office/drawing/2012/chart" uri="{CE6537A1-D6FC-4f65-9D91-7224C49458BB}"/>
          </c:extLst>
        </c:dLbl>
      </c:pivotFmt>
      <c:pivotFmt>
        <c:idx val="542"/>
        <c:spPr>
          <a:solidFill>
            <a:schemeClr val="accent2"/>
          </a:solidFill>
          <a:ln w="19050">
            <a:solidFill>
              <a:schemeClr val="lt1"/>
            </a:solidFill>
          </a:ln>
          <a:effectLst/>
        </c:spPr>
      </c:pivotFmt>
      <c:pivotFmt>
        <c:idx val="543"/>
        <c:spPr>
          <a:solidFill>
            <a:schemeClr val="accent2"/>
          </a:solidFill>
          <a:ln w="19050">
            <a:solidFill>
              <a:schemeClr val="lt1"/>
            </a:solidFill>
          </a:ln>
          <a:effectLst/>
        </c:spPr>
      </c:pivotFmt>
      <c:pivotFmt>
        <c:idx val="544"/>
        <c:spPr>
          <a:solidFill>
            <a:schemeClr val="accent2"/>
          </a:solidFill>
          <a:ln w="19050">
            <a:solidFill>
              <a:schemeClr val="lt1"/>
            </a:solidFill>
          </a:ln>
          <a:effectLst/>
        </c:spPr>
      </c:pivotFmt>
      <c:pivotFmt>
        <c:idx val="545"/>
        <c:spPr>
          <a:solidFill>
            <a:schemeClr val="accent2"/>
          </a:solidFill>
          <a:ln w="19050">
            <a:solidFill>
              <a:schemeClr val="lt1"/>
            </a:solidFill>
          </a:ln>
          <a:effectLst/>
        </c:spPr>
      </c:pivotFmt>
      <c:pivotFmt>
        <c:idx val="546"/>
        <c:spPr>
          <a:solidFill>
            <a:schemeClr val="accent2"/>
          </a:solidFill>
          <a:ln w="19050">
            <a:solidFill>
              <a:schemeClr val="lt1"/>
            </a:solidFill>
          </a:ln>
          <a:effectLst/>
        </c:spPr>
      </c:pivotFmt>
      <c:pivotFmt>
        <c:idx val="547"/>
        <c:spPr>
          <a:solidFill>
            <a:schemeClr val="accent2"/>
          </a:solidFill>
          <a:ln w="19050">
            <a:solidFill>
              <a:schemeClr val="lt1"/>
            </a:solidFill>
          </a:ln>
          <a:effectLst/>
        </c:spPr>
      </c:pivotFmt>
      <c:pivotFmt>
        <c:idx val="548"/>
        <c:spPr>
          <a:solidFill>
            <a:schemeClr val="accent2"/>
          </a:solidFill>
          <a:ln w="19050">
            <a:solidFill>
              <a:schemeClr val="lt1"/>
            </a:solidFill>
          </a:ln>
          <a:effectLst/>
        </c:spPr>
      </c:pivotFmt>
      <c:pivotFmt>
        <c:idx val="549"/>
        <c:spPr>
          <a:solidFill>
            <a:schemeClr val="accent2"/>
          </a:solidFill>
          <a:ln w="19050">
            <a:solidFill>
              <a:schemeClr val="lt1"/>
            </a:solidFill>
          </a:ln>
          <a:effectLst/>
        </c:spPr>
      </c:pivotFmt>
      <c:pivotFmt>
        <c:idx val="550"/>
        <c:spPr>
          <a:solidFill>
            <a:schemeClr val="accent2"/>
          </a:solidFill>
          <a:ln w="19050">
            <a:solidFill>
              <a:schemeClr val="lt1"/>
            </a:solidFill>
          </a:ln>
          <a:effectLst/>
        </c:spPr>
      </c:pivotFmt>
      <c:pivotFmt>
        <c:idx val="551"/>
        <c:spPr>
          <a:solidFill>
            <a:schemeClr val="accent2"/>
          </a:solidFill>
          <a:ln w="19050">
            <a:solidFill>
              <a:schemeClr val="lt1"/>
            </a:solidFill>
          </a:ln>
          <a:effectLst/>
        </c:spPr>
      </c:pivotFmt>
      <c:pivotFmt>
        <c:idx val="552"/>
        <c:spPr>
          <a:solidFill>
            <a:schemeClr val="accent2"/>
          </a:solidFill>
          <a:ln w="19050">
            <a:solidFill>
              <a:schemeClr val="lt1"/>
            </a:solidFill>
          </a:ln>
          <a:effectLst/>
        </c:spPr>
      </c:pivotFmt>
      <c:pivotFmt>
        <c:idx val="553"/>
        <c:spPr>
          <a:solidFill>
            <a:schemeClr val="accent2"/>
          </a:solidFill>
          <a:ln w="19050">
            <a:solidFill>
              <a:schemeClr val="lt1"/>
            </a:solidFill>
          </a:ln>
          <a:effectLst/>
        </c:spPr>
      </c:pivotFmt>
      <c:pivotFmt>
        <c:idx val="554"/>
        <c:spPr>
          <a:solidFill>
            <a:schemeClr val="accent2"/>
          </a:solidFill>
          <a:ln w="19050">
            <a:solidFill>
              <a:schemeClr val="lt1"/>
            </a:solidFill>
          </a:ln>
          <a:effectLst/>
        </c:spPr>
      </c:pivotFmt>
      <c:pivotFmt>
        <c:idx val="555"/>
        <c:spPr>
          <a:solidFill>
            <a:schemeClr val="accent2"/>
          </a:solidFill>
          <a:ln w="19050">
            <a:solidFill>
              <a:schemeClr val="lt1"/>
            </a:solidFill>
          </a:ln>
          <a:effectLst/>
        </c:spPr>
      </c:pivotFmt>
      <c:pivotFmt>
        <c:idx val="556"/>
        <c:spPr>
          <a:solidFill>
            <a:schemeClr val="accent2"/>
          </a:solidFill>
          <a:ln w="19050">
            <a:solidFill>
              <a:schemeClr val="lt1"/>
            </a:solidFill>
          </a:ln>
          <a:effectLst/>
        </c:spPr>
      </c:pivotFmt>
      <c:pivotFmt>
        <c:idx val="557"/>
        <c:spPr>
          <a:solidFill>
            <a:schemeClr val="accent2"/>
          </a:solidFill>
          <a:ln w="19050">
            <a:solidFill>
              <a:schemeClr val="lt1"/>
            </a:solidFill>
          </a:ln>
          <a:effectLst/>
        </c:spPr>
      </c:pivotFmt>
      <c:pivotFmt>
        <c:idx val="558"/>
        <c:spPr>
          <a:solidFill>
            <a:schemeClr val="accent2"/>
          </a:solidFill>
          <a:ln w="19050">
            <a:solidFill>
              <a:schemeClr val="lt1"/>
            </a:solidFill>
          </a:ln>
          <a:effectLst/>
        </c:spPr>
      </c:pivotFmt>
      <c:pivotFmt>
        <c:idx val="559"/>
        <c:spPr>
          <a:solidFill>
            <a:schemeClr val="accent2"/>
          </a:solidFill>
          <a:ln w="19050">
            <a:solidFill>
              <a:schemeClr val="lt1"/>
            </a:solidFill>
          </a:ln>
          <a:effectLst/>
        </c:spPr>
      </c:pivotFmt>
      <c:pivotFmt>
        <c:idx val="560"/>
        <c:spPr>
          <a:solidFill>
            <a:schemeClr val="accent2"/>
          </a:solidFill>
          <a:ln w="19050">
            <a:solidFill>
              <a:schemeClr val="lt1"/>
            </a:solidFill>
          </a:ln>
          <a:effectLst/>
        </c:spPr>
      </c:pivotFmt>
      <c:pivotFmt>
        <c:idx val="561"/>
        <c:spPr>
          <a:solidFill>
            <a:schemeClr val="accent2"/>
          </a:solidFill>
          <a:ln w="19050">
            <a:solidFill>
              <a:schemeClr val="lt1"/>
            </a:solidFill>
          </a:ln>
          <a:effectLst/>
        </c:spPr>
      </c:pivotFmt>
      <c:pivotFmt>
        <c:idx val="562"/>
        <c:spPr>
          <a:solidFill>
            <a:schemeClr val="accent2"/>
          </a:solidFill>
          <a:ln w="19050">
            <a:solidFill>
              <a:schemeClr val="lt1"/>
            </a:solidFill>
          </a:ln>
          <a:effectLst/>
        </c:spPr>
      </c:pivotFmt>
      <c:pivotFmt>
        <c:idx val="563"/>
        <c:spPr>
          <a:solidFill>
            <a:schemeClr val="accent2"/>
          </a:solidFill>
          <a:ln w="19050">
            <a:solidFill>
              <a:schemeClr val="lt1"/>
            </a:solidFill>
          </a:ln>
          <a:effectLst/>
        </c:spPr>
      </c:pivotFmt>
      <c:pivotFmt>
        <c:idx val="564"/>
        <c:spPr>
          <a:solidFill>
            <a:schemeClr val="accent2"/>
          </a:solidFill>
          <a:ln w="19050">
            <a:solidFill>
              <a:schemeClr val="lt1"/>
            </a:solidFill>
          </a:ln>
          <a:effectLst/>
        </c:spPr>
      </c:pivotFmt>
      <c:pivotFmt>
        <c:idx val="565"/>
        <c:spPr>
          <a:solidFill>
            <a:schemeClr val="accent2"/>
          </a:solidFill>
          <a:ln w="19050">
            <a:solidFill>
              <a:schemeClr val="lt1"/>
            </a:solidFill>
          </a:ln>
          <a:effectLst/>
        </c:spPr>
      </c:pivotFmt>
      <c:pivotFmt>
        <c:idx val="566"/>
        <c:spPr>
          <a:solidFill>
            <a:schemeClr val="accent2"/>
          </a:solidFill>
          <a:ln w="19050">
            <a:solidFill>
              <a:schemeClr val="lt1"/>
            </a:solidFill>
          </a:ln>
          <a:effectLst/>
        </c:spPr>
      </c:pivotFmt>
      <c:pivotFmt>
        <c:idx val="567"/>
        <c:spPr>
          <a:solidFill>
            <a:schemeClr val="accent2"/>
          </a:solidFill>
          <a:ln w="19050">
            <a:solidFill>
              <a:schemeClr val="lt1"/>
            </a:solidFill>
          </a:ln>
          <a:effectLst/>
        </c:spPr>
      </c:pivotFmt>
      <c:pivotFmt>
        <c:idx val="568"/>
        <c:spPr>
          <a:solidFill>
            <a:schemeClr val="accent2"/>
          </a:solidFill>
          <a:ln w="19050">
            <a:solidFill>
              <a:schemeClr val="lt1"/>
            </a:solidFill>
          </a:ln>
          <a:effectLst/>
        </c:spPr>
      </c:pivotFmt>
      <c:pivotFmt>
        <c:idx val="569"/>
        <c:spPr>
          <a:solidFill>
            <a:schemeClr val="accent2"/>
          </a:solidFill>
          <a:ln w="19050">
            <a:solidFill>
              <a:schemeClr val="lt1"/>
            </a:solidFill>
          </a:ln>
          <a:effectLst/>
        </c:spPr>
      </c:pivotFmt>
      <c:pivotFmt>
        <c:idx val="570"/>
        <c:spPr>
          <a:solidFill>
            <a:schemeClr val="accent2"/>
          </a:solidFill>
          <a:ln w="19050">
            <a:solidFill>
              <a:schemeClr val="lt1"/>
            </a:solidFill>
          </a:ln>
          <a:effectLst/>
        </c:spPr>
      </c:pivotFmt>
      <c:pivotFmt>
        <c:idx val="571"/>
        <c:spPr>
          <a:solidFill>
            <a:schemeClr val="accent2"/>
          </a:solidFill>
          <a:ln w="19050">
            <a:solidFill>
              <a:schemeClr val="lt1"/>
            </a:solidFill>
          </a:ln>
          <a:effectLst/>
        </c:spPr>
      </c:pivotFmt>
      <c:pivotFmt>
        <c:idx val="572"/>
        <c:spPr>
          <a:solidFill>
            <a:schemeClr val="accent2"/>
          </a:solidFill>
          <a:ln w="19050">
            <a:solidFill>
              <a:schemeClr val="lt1"/>
            </a:solidFill>
          </a:ln>
          <a:effectLst/>
        </c:spPr>
      </c:pivotFmt>
      <c:pivotFmt>
        <c:idx val="573"/>
        <c:spPr>
          <a:solidFill>
            <a:schemeClr val="accent2"/>
          </a:solidFill>
          <a:ln w="19050">
            <a:solidFill>
              <a:schemeClr val="lt1"/>
            </a:solidFill>
          </a:ln>
          <a:effectLst/>
        </c:spPr>
      </c:pivotFmt>
      <c:pivotFmt>
        <c:idx val="574"/>
        <c:spPr>
          <a:solidFill>
            <a:schemeClr val="accent2"/>
          </a:solidFill>
          <a:ln w="19050">
            <a:solidFill>
              <a:schemeClr val="lt1"/>
            </a:solidFill>
          </a:ln>
          <a:effectLst/>
        </c:spPr>
      </c:pivotFmt>
      <c:pivotFmt>
        <c:idx val="575"/>
        <c:spPr>
          <a:solidFill>
            <a:schemeClr val="accent2"/>
          </a:solidFill>
          <a:ln w="19050">
            <a:solidFill>
              <a:schemeClr val="lt1"/>
            </a:solidFill>
          </a:ln>
          <a:effectLst/>
        </c:spPr>
      </c:pivotFmt>
      <c:pivotFmt>
        <c:idx val="576"/>
        <c:spPr>
          <a:solidFill>
            <a:schemeClr val="accent2"/>
          </a:solidFill>
          <a:ln w="19050">
            <a:solidFill>
              <a:schemeClr val="lt1"/>
            </a:solidFill>
          </a:ln>
          <a:effectLst/>
        </c:spPr>
      </c:pivotFmt>
      <c:pivotFmt>
        <c:idx val="577"/>
        <c:spPr>
          <a:solidFill>
            <a:schemeClr val="accent2"/>
          </a:solidFill>
          <a:ln w="19050">
            <a:solidFill>
              <a:schemeClr val="lt1"/>
            </a:solidFill>
          </a:ln>
          <a:effectLst/>
        </c:spPr>
      </c:pivotFmt>
      <c:pivotFmt>
        <c:idx val="578"/>
        <c:spPr>
          <a:solidFill>
            <a:schemeClr val="accent2"/>
          </a:solidFill>
          <a:ln w="19050">
            <a:solidFill>
              <a:schemeClr val="lt1"/>
            </a:solidFill>
          </a:ln>
          <a:effectLst/>
        </c:spPr>
      </c:pivotFmt>
      <c:pivotFmt>
        <c:idx val="579"/>
        <c:spPr>
          <a:solidFill>
            <a:schemeClr val="accent2"/>
          </a:solidFill>
          <a:ln w="19050">
            <a:solidFill>
              <a:schemeClr val="lt1"/>
            </a:solidFill>
          </a:ln>
          <a:effectLst/>
        </c:spPr>
      </c:pivotFmt>
      <c:pivotFmt>
        <c:idx val="580"/>
        <c:spPr>
          <a:solidFill>
            <a:schemeClr val="accent2"/>
          </a:solidFill>
          <a:ln w="19050">
            <a:solidFill>
              <a:schemeClr val="lt1"/>
            </a:solidFill>
          </a:ln>
          <a:effectLst/>
        </c:spPr>
      </c:pivotFmt>
      <c:pivotFmt>
        <c:idx val="581"/>
        <c:spPr>
          <a:solidFill>
            <a:schemeClr val="accent2"/>
          </a:solidFill>
          <a:ln w="19050">
            <a:solidFill>
              <a:schemeClr val="lt1"/>
            </a:solidFill>
          </a:ln>
          <a:effectLst/>
        </c:spPr>
      </c:pivotFmt>
      <c:pivotFmt>
        <c:idx val="582"/>
        <c:spPr>
          <a:solidFill>
            <a:schemeClr val="accent2"/>
          </a:solidFill>
          <a:ln w="19050">
            <a:solidFill>
              <a:schemeClr val="lt1"/>
            </a:solidFill>
          </a:ln>
          <a:effectLst/>
        </c:spPr>
      </c:pivotFmt>
      <c:pivotFmt>
        <c:idx val="583"/>
        <c:spPr>
          <a:solidFill>
            <a:schemeClr val="accent2"/>
          </a:solidFill>
          <a:ln w="19050">
            <a:solidFill>
              <a:schemeClr val="lt1"/>
            </a:solidFill>
          </a:ln>
          <a:effectLst/>
        </c:spPr>
      </c:pivotFmt>
      <c:pivotFmt>
        <c:idx val="584"/>
        <c:spPr>
          <a:solidFill>
            <a:schemeClr val="accent2"/>
          </a:solidFill>
          <a:ln w="19050">
            <a:solidFill>
              <a:schemeClr val="lt1"/>
            </a:solidFill>
          </a:ln>
          <a:effectLst/>
        </c:spPr>
      </c:pivotFmt>
      <c:pivotFmt>
        <c:idx val="585"/>
        <c:spPr>
          <a:solidFill>
            <a:schemeClr val="accent2"/>
          </a:solidFill>
          <a:ln w="19050">
            <a:solidFill>
              <a:schemeClr val="lt1"/>
            </a:solidFill>
          </a:ln>
          <a:effectLst/>
        </c:spPr>
      </c:pivotFmt>
      <c:pivotFmt>
        <c:idx val="586"/>
        <c:spPr>
          <a:solidFill>
            <a:schemeClr val="accent2"/>
          </a:solidFill>
          <a:ln w="19050">
            <a:solidFill>
              <a:schemeClr val="lt1"/>
            </a:solidFill>
          </a:ln>
          <a:effectLst/>
        </c:spPr>
      </c:pivotFmt>
      <c:pivotFmt>
        <c:idx val="587"/>
        <c:spPr>
          <a:solidFill>
            <a:schemeClr val="accent2"/>
          </a:solidFill>
          <a:ln w="19050">
            <a:solidFill>
              <a:schemeClr val="lt1"/>
            </a:solidFill>
          </a:ln>
          <a:effectLst/>
        </c:spPr>
      </c:pivotFmt>
      <c:pivotFmt>
        <c:idx val="588"/>
        <c:spPr>
          <a:solidFill>
            <a:schemeClr val="accent2"/>
          </a:solidFill>
          <a:ln w="19050">
            <a:solidFill>
              <a:schemeClr val="lt1"/>
            </a:solidFill>
          </a:ln>
          <a:effectLst/>
        </c:spPr>
      </c:pivotFmt>
      <c:pivotFmt>
        <c:idx val="589"/>
        <c:spPr>
          <a:solidFill>
            <a:schemeClr val="accent2"/>
          </a:solidFill>
          <a:ln w="19050">
            <a:solidFill>
              <a:schemeClr val="lt1"/>
            </a:solidFill>
          </a:ln>
          <a:effectLst/>
        </c:spPr>
      </c:pivotFmt>
      <c:pivotFmt>
        <c:idx val="590"/>
        <c:spPr>
          <a:solidFill>
            <a:schemeClr val="accent2"/>
          </a:solidFill>
          <a:ln w="19050">
            <a:solidFill>
              <a:schemeClr val="lt1"/>
            </a:solidFill>
          </a:ln>
          <a:effectLst/>
        </c:spPr>
      </c:pivotFmt>
      <c:pivotFmt>
        <c:idx val="591"/>
        <c:spPr>
          <a:solidFill>
            <a:schemeClr val="accent2"/>
          </a:solidFill>
          <a:ln w="19050">
            <a:solidFill>
              <a:schemeClr val="lt1"/>
            </a:solidFill>
          </a:ln>
          <a:effectLst/>
        </c:spPr>
      </c:pivotFmt>
      <c:pivotFmt>
        <c:idx val="592"/>
        <c:spPr>
          <a:solidFill>
            <a:schemeClr val="accent2"/>
          </a:solidFill>
          <a:ln w="19050">
            <a:solidFill>
              <a:schemeClr val="lt1"/>
            </a:solidFill>
          </a:ln>
          <a:effectLst/>
        </c:spPr>
      </c:pivotFmt>
      <c:pivotFmt>
        <c:idx val="593"/>
        <c:spPr>
          <a:solidFill>
            <a:schemeClr val="accent2"/>
          </a:solidFill>
          <a:ln w="19050">
            <a:solidFill>
              <a:schemeClr val="lt1"/>
            </a:solidFill>
          </a:ln>
          <a:effectLst/>
        </c:spPr>
      </c:pivotFmt>
      <c:pivotFmt>
        <c:idx val="594"/>
        <c:spPr>
          <a:solidFill>
            <a:schemeClr val="accent2"/>
          </a:solidFill>
          <a:ln w="19050">
            <a:solidFill>
              <a:schemeClr val="lt1"/>
            </a:solidFill>
          </a:ln>
          <a:effectLst/>
        </c:spPr>
      </c:pivotFmt>
      <c:pivotFmt>
        <c:idx val="595"/>
        <c:spPr>
          <a:solidFill>
            <a:schemeClr val="accent2"/>
          </a:solidFill>
          <a:ln w="19050">
            <a:solidFill>
              <a:schemeClr val="lt1"/>
            </a:solidFill>
          </a:ln>
          <a:effectLst/>
        </c:spPr>
      </c:pivotFmt>
      <c:pivotFmt>
        <c:idx val="596"/>
        <c:spPr>
          <a:solidFill>
            <a:schemeClr val="accent2"/>
          </a:solidFill>
          <a:ln w="19050">
            <a:solidFill>
              <a:schemeClr val="lt1"/>
            </a:solidFill>
          </a:ln>
          <a:effectLst/>
        </c:spPr>
      </c:pivotFmt>
      <c:pivotFmt>
        <c:idx val="597"/>
        <c:spPr>
          <a:solidFill>
            <a:schemeClr val="accent2"/>
          </a:solidFill>
          <a:ln w="19050">
            <a:solidFill>
              <a:schemeClr val="lt1"/>
            </a:solidFill>
          </a:ln>
          <a:effectLst/>
        </c:spPr>
      </c:pivotFmt>
      <c:pivotFmt>
        <c:idx val="598"/>
        <c:spPr>
          <a:solidFill>
            <a:schemeClr val="accent2"/>
          </a:solidFill>
          <a:ln w="19050">
            <a:solidFill>
              <a:schemeClr val="lt1"/>
            </a:solidFill>
          </a:ln>
          <a:effectLst/>
        </c:spPr>
      </c:pivotFmt>
      <c:pivotFmt>
        <c:idx val="599"/>
        <c:spPr>
          <a:solidFill>
            <a:schemeClr val="accent2"/>
          </a:solidFill>
          <a:ln w="19050">
            <a:solidFill>
              <a:schemeClr val="lt1"/>
            </a:solidFill>
          </a:ln>
          <a:effectLst/>
        </c:spPr>
      </c:pivotFmt>
      <c:pivotFmt>
        <c:idx val="600"/>
        <c:spPr>
          <a:solidFill>
            <a:schemeClr val="accent2"/>
          </a:solidFill>
          <a:ln w="19050">
            <a:solidFill>
              <a:schemeClr val="lt1"/>
            </a:solidFill>
          </a:ln>
          <a:effectLst/>
        </c:spPr>
      </c:pivotFmt>
      <c:pivotFmt>
        <c:idx val="601"/>
        <c:spPr>
          <a:solidFill>
            <a:schemeClr val="accent2"/>
          </a:solidFill>
          <a:ln w="19050">
            <a:solidFill>
              <a:schemeClr val="lt1"/>
            </a:solidFill>
          </a:ln>
          <a:effectLst/>
        </c:spPr>
      </c:pivotFmt>
      <c:pivotFmt>
        <c:idx val="602"/>
        <c:spPr>
          <a:solidFill>
            <a:schemeClr val="accent2"/>
          </a:solidFill>
          <a:ln w="19050">
            <a:solidFill>
              <a:schemeClr val="lt1"/>
            </a:solidFill>
          </a:ln>
          <a:effectLst/>
        </c:spPr>
      </c:pivotFmt>
      <c:pivotFmt>
        <c:idx val="603"/>
        <c:spPr>
          <a:solidFill>
            <a:schemeClr val="accent2"/>
          </a:solidFill>
          <a:ln w="19050">
            <a:solidFill>
              <a:schemeClr val="lt1"/>
            </a:solidFill>
          </a:ln>
          <a:effectLst/>
        </c:spPr>
      </c:pivotFmt>
      <c:pivotFmt>
        <c:idx val="604"/>
        <c:spPr>
          <a:solidFill>
            <a:schemeClr val="accent2"/>
          </a:solidFill>
          <a:ln w="19050">
            <a:solidFill>
              <a:schemeClr val="lt1"/>
            </a:solidFill>
          </a:ln>
          <a:effectLst/>
        </c:spPr>
      </c:pivotFmt>
      <c:pivotFmt>
        <c:idx val="605"/>
        <c:spPr>
          <a:solidFill>
            <a:schemeClr val="accent2"/>
          </a:solidFill>
          <a:ln w="19050">
            <a:solidFill>
              <a:schemeClr val="lt1"/>
            </a:solidFill>
          </a:ln>
          <a:effectLst/>
        </c:spPr>
      </c:pivotFmt>
      <c:pivotFmt>
        <c:idx val="606"/>
        <c:spPr>
          <a:solidFill>
            <a:schemeClr val="accent2"/>
          </a:solidFill>
          <a:ln w="19050">
            <a:solidFill>
              <a:schemeClr val="lt1"/>
            </a:solidFill>
          </a:ln>
          <a:effectLst/>
        </c:spPr>
      </c:pivotFmt>
      <c:pivotFmt>
        <c:idx val="607"/>
        <c:spPr>
          <a:solidFill>
            <a:schemeClr val="accent2"/>
          </a:solidFill>
          <a:ln w="19050">
            <a:solidFill>
              <a:schemeClr val="lt1"/>
            </a:solidFill>
          </a:ln>
          <a:effectLst/>
        </c:spPr>
      </c:pivotFmt>
      <c:pivotFmt>
        <c:idx val="608"/>
        <c:spPr>
          <a:solidFill>
            <a:schemeClr val="accent2"/>
          </a:solidFill>
          <a:ln w="19050">
            <a:solidFill>
              <a:schemeClr val="lt1"/>
            </a:solidFill>
          </a:ln>
          <a:effectLst/>
        </c:spPr>
      </c:pivotFmt>
      <c:pivotFmt>
        <c:idx val="609"/>
        <c:spPr>
          <a:solidFill>
            <a:schemeClr val="accent2"/>
          </a:solidFill>
          <a:ln w="19050">
            <a:solidFill>
              <a:schemeClr val="lt1"/>
            </a:solidFill>
          </a:ln>
          <a:effectLst/>
        </c:spPr>
      </c:pivotFmt>
      <c:pivotFmt>
        <c:idx val="610"/>
        <c:spPr>
          <a:solidFill>
            <a:schemeClr val="accent2"/>
          </a:solidFill>
          <a:ln w="19050">
            <a:solidFill>
              <a:schemeClr val="lt1"/>
            </a:solidFill>
          </a:ln>
          <a:effectLst/>
        </c:spPr>
      </c:pivotFmt>
      <c:pivotFmt>
        <c:idx val="611"/>
        <c:spPr>
          <a:solidFill>
            <a:schemeClr val="accent2"/>
          </a:solidFill>
          <a:ln w="19050">
            <a:solidFill>
              <a:schemeClr val="lt1"/>
            </a:solidFill>
          </a:ln>
          <a:effectLst/>
        </c:spPr>
      </c:pivotFmt>
      <c:pivotFmt>
        <c:idx val="612"/>
        <c:spPr>
          <a:solidFill>
            <a:schemeClr val="accent2"/>
          </a:solidFill>
          <a:ln w="19050">
            <a:solidFill>
              <a:schemeClr val="lt1"/>
            </a:solidFill>
          </a:ln>
          <a:effectLst/>
        </c:spPr>
      </c:pivotFmt>
      <c:pivotFmt>
        <c:idx val="613"/>
        <c:spPr>
          <a:solidFill>
            <a:schemeClr val="accent2"/>
          </a:solidFill>
          <a:ln w="19050">
            <a:solidFill>
              <a:schemeClr val="lt1"/>
            </a:solidFill>
          </a:ln>
          <a:effectLst/>
        </c:spPr>
      </c:pivotFmt>
      <c:pivotFmt>
        <c:idx val="614"/>
        <c:spPr>
          <a:solidFill>
            <a:schemeClr val="accent2"/>
          </a:solidFill>
          <a:ln w="19050">
            <a:solidFill>
              <a:schemeClr val="lt1"/>
            </a:solidFill>
          </a:ln>
          <a:effectLst/>
        </c:spPr>
      </c:pivotFmt>
      <c:pivotFmt>
        <c:idx val="615"/>
        <c:spPr>
          <a:solidFill>
            <a:schemeClr val="accent2"/>
          </a:solidFill>
          <a:ln w="19050">
            <a:solidFill>
              <a:schemeClr val="lt1"/>
            </a:solidFill>
          </a:ln>
          <a:effectLst/>
        </c:spPr>
      </c:pivotFmt>
      <c:pivotFmt>
        <c:idx val="616"/>
        <c:spPr>
          <a:solidFill>
            <a:schemeClr val="accent2"/>
          </a:solidFill>
          <a:ln w="19050">
            <a:solidFill>
              <a:schemeClr val="lt1"/>
            </a:solidFill>
          </a:ln>
          <a:effectLst/>
        </c:spPr>
      </c:pivotFmt>
      <c:pivotFmt>
        <c:idx val="617"/>
        <c:spPr>
          <a:solidFill>
            <a:schemeClr val="accent2"/>
          </a:solidFill>
          <a:ln w="19050">
            <a:solidFill>
              <a:schemeClr val="lt1"/>
            </a:solidFill>
          </a:ln>
          <a:effectLst/>
        </c:spPr>
      </c:pivotFmt>
      <c:pivotFmt>
        <c:idx val="618"/>
        <c:spPr>
          <a:solidFill>
            <a:schemeClr val="accent2"/>
          </a:solidFill>
          <a:ln w="19050">
            <a:solidFill>
              <a:schemeClr val="lt1"/>
            </a:solidFill>
          </a:ln>
          <a:effectLst/>
        </c:spPr>
      </c:pivotFmt>
      <c:pivotFmt>
        <c:idx val="619"/>
        <c:spPr>
          <a:solidFill>
            <a:schemeClr val="accent2"/>
          </a:solidFill>
          <a:ln w="19050">
            <a:solidFill>
              <a:schemeClr val="lt1"/>
            </a:solidFill>
          </a:ln>
          <a:effectLst/>
        </c:spPr>
      </c:pivotFmt>
      <c:pivotFmt>
        <c:idx val="620"/>
        <c:spPr>
          <a:solidFill>
            <a:schemeClr val="accent2"/>
          </a:solidFill>
          <a:ln w="19050">
            <a:solidFill>
              <a:schemeClr val="lt1"/>
            </a:solidFill>
          </a:ln>
          <a:effectLst/>
        </c:spPr>
      </c:pivotFmt>
      <c:pivotFmt>
        <c:idx val="621"/>
        <c:spPr>
          <a:solidFill>
            <a:schemeClr val="accent2"/>
          </a:solidFill>
          <a:ln w="19050">
            <a:solidFill>
              <a:schemeClr val="lt1"/>
            </a:solidFill>
          </a:ln>
          <a:effectLst/>
        </c:spPr>
      </c:pivotFmt>
      <c:pivotFmt>
        <c:idx val="622"/>
        <c:spPr>
          <a:solidFill>
            <a:schemeClr val="accent2"/>
          </a:solidFill>
          <a:ln w="19050">
            <a:solidFill>
              <a:schemeClr val="lt1"/>
            </a:solidFill>
          </a:ln>
          <a:effectLst/>
        </c:spPr>
      </c:pivotFmt>
      <c:pivotFmt>
        <c:idx val="623"/>
        <c:spPr>
          <a:solidFill>
            <a:schemeClr val="accent2"/>
          </a:solidFill>
          <a:ln w="19050">
            <a:solidFill>
              <a:schemeClr val="lt1"/>
            </a:solidFill>
          </a:ln>
          <a:effectLst/>
        </c:spPr>
      </c:pivotFmt>
      <c:pivotFmt>
        <c:idx val="624"/>
        <c:spPr>
          <a:solidFill>
            <a:schemeClr val="accent2"/>
          </a:solidFill>
          <a:ln w="19050">
            <a:solidFill>
              <a:schemeClr val="lt1"/>
            </a:solidFill>
          </a:ln>
          <a:effectLst/>
        </c:spPr>
      </c:pivotFmt>
      <c:pivotFmt>
        <c:idx val="625"/>
        <c:spPr>
          <a:solidFill>
            <a:schemeClr val="accent2"/>
          </a:solidFill>
          <a:ln w="19050">
            <a:solidFill>
              <a:schemeClr val="lt1"/>
            </a:solidFill>
          </a:ln>
          <a:effectLst/>
        </c:spPr>
      </c:pivotFmt>
      <c:pivotFmt>
        <c:idx val="626"/>
        <c:spPr>
          <a:solidFill>
            <a:schemeClr val="accent2"/>
          </a:solidFill>
          <a:ln w="19050">
            <a:solidFill>
              <a:schemeClr val="lt1"/>
            </a:solidFill>
          </a:ln>
          <a:effectLst/>
        </c:spPr>
      </c:pivotFmt>
      <c:pivotFmt>
        <c:idx val="627"/>
        <c:spPr>
          <a:solidFill>
            <a:schemeClr val="accent2"/>
          </a:solidFill>
          <a:ln w="19050">
            <a:solidFill>
              <a:schemeClr val="lt1"/>
            </a:solidFill>
          </a:ln>
          <a:effectLst/>
        </c:spPr>
      </c:pivotFmt>
      <c:pivotFmt>
        <c:idx val="628"/>
        <c:spPr>
          <a:solidFill>
            <a:schemeClr val="accent2"/>
          </a:solidFill>
          <a:ln w="19050">
            <a:solidFill>
              <a:schemeClr val="lt1"/>
            </a:solidFill>
          </a:ln>
          <a:effectLst/>
        </c:spPr>
      </c:pivotFmt>
      <c:pivotFmt>
        <c:idx val="629"/>
        <c:spPr>
          <a:solidFill>
            <a:schemeClr val="accent2"/>
          </a:solidFill>
          <a:ln w="19050">
            <a:solidFill>
              <a:schemeClr val="lt1"/>
            </a:solidFill>
          </a:ln>
          <a:effectLst/>
        </c:spPr>
      </c:pivotFmt>
      <c:pivotFmt>
        <c:idx val="630"/>
        <c:spPr>
          <a:solidFill>
            <a:schemeClr val="accent2"/>
          </a:solidFill>
          <a:ln w="19050">
            <a:solidFill>
              <a:schemeClr val="lt1"/>
            </a:solidFill>
          </a:ln>
          <a:effectLst/>
        </c:spPr>
      </c:pivotFmt>
      <c:pivotFmt>
        <c:idx val="631"/>
        <c:spPr>
          <a:solidFill>
            <a:schemeClr val="accent2"/>
          </a:solidFill>
          <a:ln w="19050">
            <a:solidFill>
              <a:schemeClr val="lt1"/>
            </a:solidFill>
          </a:ln>
          <a:effectLst/>
        </c:spPr>
      </c:pivotFmt>
      <c:pivotFmt>
        <c:idx val="632"/>
        <c:spPr>
          <a:solidFill>
            <a:schemeClr val="accent2"/>
          </a:solidFill>
          <a:ln w="19050">
            <a:solidFill>
              <a:schemeClr val="lt1"/>
            </a:solidFill>
          </a:ln>
          <a:effectLst/>
        </c:spPr>
      </c:pivotFmt>
      <c:pivotFmt>
        <c:idx val="633"/>
        <c:spPr>
          <a:solidFill>
            <a:schemeClr val="accent2"/>
          </a:solidFill>
          <a:ln w="19050">
            <a:solidFill>
              <a:schemeClr val="lt1"/>
            </a:solidFill>
          </a:ln>
          <a:effectLst/>
        </c:spPr>
      </c:pivotFmt>
      <c:pivotFmt>
        <c:idx val="634"/>
        <c:spPr>
          <a:solidFill>
            <a:schemeClr val="accent2"/>
          </a:solidFill>
          <a:ln w="19050">
            <a:solidFill>
              <a:schemeClr val="lt1"/>
            </a:solidFill>
          </a:ln>
          <a:effectLst/>
        </c:spPr>
      </c:pivotFmt>
      <c:pivotFmt>
        <c:idx val="635"/>
        <c:spPr>
          <a:solidFill>
            <a:schemeClr val="accent2"/>
          </a:solidFill>
          <a:ln w="19050">
            <a:solidFill>
              <a:schemeClr val="lt1"/>
            </a:solidFill>
          </a:ln>
          <a:effectLst/>
        </c:spPr>
      </c:pivotFmt>
      <c:pivotFmt>
        <c:idx val="636"/>
        <c:spPr>
          <a:solidFill>
            <a:schemeClr val="accent2"/>
          </a:solidFill>
          <a:ln w="19050">
            <a:solidFill>
              <a:schemeClr val="lt1"/>
            </a:solidFill>
          </a:ln>
          <a:effectLst/>
        </c:spPr>
      </c:pivotFmt>
      <c:pivotFmt>
        <c:idx val="637"/>
        <c:spPr>
          <a:solidFill>
            <a:schemeClr val="accent2"/>
          </a:solidFill>
          <a:ln w="19050">
            <a:solidFill>
              <a:schemeClr val="lt1"/>
            </a:solidFill>
          </a:ln>
          <a:effectLst/>
        </c:spPr>
      </c:pivotFmt>
      <c:pivotFmt>
        <c:idx val="638"/>
        <c:spPr>
          <a:solidFill>
            <a:schemeClr val="accent2"/>
          </a:solidFill>
          <a:ln w="19050">
            <a:solidFill>
              <a:schemeClr val="lt1"/>
            </a:solidFill>
          </a:ln>
          <a:effectLst/>
        </c:spPr>
      </c:pivotFmt>
      <c:pivotFmt>
        <c:idx val="639"/>
        <c:spPr>
          <a:solidFill>
            <a:schemeClr val="accent2"/>
          </a:solidFill>
          <a:ln w="19050">
            <a:solidFill>
              <a:schemeClr val="lt1"/>
            </a:solidFill>
          </a:ln>
          <a:effectLst/>
        </c:spPr>
      </c:pivotFmt>
      <c:pivotFmt>
        <c:idx val="640"/>
        <c:spPr>
          <a:solidFill>
            <a:schemeClr val="accent2"/>
          </a:solidFill>
          <a:ln w="19050">
            <a:solidFill>
              <a:schemeClr val="lt1"/>
            </a:solidFill>
          </a:ln>
          <a:effectLst/>
        </c:spPr>
      </c:pivotFmt>
      <c:pivotFmt>
        <c:idx val="641"/>
        <c:spPr>
          <a:solidFill>
            <a:schemeClr val="accent2"/>
          </a:solidFill>
          <a:ln w="19050">
            <a:solidFill>
              <a:schemeClr val="lt1"/>
            </a:solidFill>
          </a:ln>
          <a:effectLst/>
        </c:spPr>
      </c:pivotFmt>
      <c:pivotFmt>
        <c:idx val="642"/>
        <c:spPr>
          <a:solidFill>
            <a:schemeClr val="accent2"/>
          </a:solidFill>
          <a:ln w="19050">
            <a:solidFill>
              <a:schemeClr val="lt1"/>
            </a:solidFill>
          </a:ln>
          <a:effectLst/>
        </c:spPr>
      </c:pivotFmt>
      <c:pivotFmt>
        <c:idx val="643"/>
        <c:spPr>
          <a:solidFill>
            <a:schemeClr val="accent2"/>
          </a:solidFill>
          <a:ln w="19050">
            <a:solidFill>
              <a:schemeClr val="lt1"/>
            </a:solidFill>
          </a:ln>
          <a:effectLst/>
        </c:spPr>
      </c:pivotFmt>
      <c:pivotFmt>
        <c:idx val="644"/>
        <c:spPr>
          <a:solidFill>
            <a:schemeClr val="accent2"/>
          </a:solidFill>
          <a:ln w="19050">
            <a:solidFill>
              <a:schemeClr val="lt1"/>
            </a:solidFill>
          </a:ln>
          <a:effectLst/>
        </c:spPr>
      </c:pivotFmt>
      <c:pivotFmt>
        <c:idx val="645"/>
        <c:spPr>
          <a:solidFill>
            <a:schemeClr val="accent2"/>
          </a:solidFill>
          <a:ln w="19050">
            <a:solidFill>
              <a:schemeClr val="lt1"/>
            </a:solidFill>
          </a:ln>
          <a:effectLst/>
        </c:spPr>
      </c:pivotFmt>
      <c:pivotFmt>
        <c:idx val="646"/>
        <c:spPr>
          <a:solidFill>
            <a:schemeClr val="accent2"/>
          </a:solidFill>
          <a:ln w="19050">
            <a:solidFill>
              <a:schemeClr val="lt1"/>
            </a:solidFill>
          </a:ln>
          <a:effectLst/>
        </c:spPr>
      </c:pivotFmt>
      <c:pivotFmt>
        <c:idx val="647"/>
        <c:spPr>
          <a:solidFill>
            <a:schemeClr val="accent2"/>
          </a:solidFill>
          <a:ln w="19050">
            <a:solidFill>
              <a:schemeClr val="lt1"/>
            </a:solidFill>
          </a:ln>
          <a:effectLst/>
        </c:spPr>
      </c:pivotFmt>
      <c:pivotFmt>
        <c:idx val="648"/>
        <c:spPr>
          <a:solidFill>
            <a:schemeClr val="accent2"/>
          </a:solidFill>
          <a:ln w="19050">
            <a:solidFill>
              <a:schemeClr val="lt1"/>
            </a:solidFill>
          </a:ln>
          <a:effectLst/>
        </c:spPr>
      </c:pivotFmt>
      <c:pivotFmt>
        <c:idx val="649"/>
        <c:spPr>
          <a:solidFill>
            <a:schemeClr val="accent2"/>
          </a:solidFill>
          <a:ln w="19050">
            <a:solidFill>
              <a:schemeClr val="lt1"/>
            </a:solidFill>
          </a:ln>
          <a:effectLst/>
        </c:spPr>
      </c:pivotFmt>
      <c:pivotFmt>
        <c:idx val="650"/>
        <c:spPr>
          <a:solidFill>
            <a:schemeClr val="accent2"/>
          </a:solidFill>
          <a:ln w="19050">
            <a:solidFill>
              <a:schemeClr val="lt1"/>
            </a:solidFill>
          </a:ln>
          <a:effectLst/>
        </c:spPr>
      </c:pivotFmt>
      <c:pivotFmt>
        <c:idx val="651"/>
        <c:spPr>
          <a:solidFill>
            <a:schemeClr val="accent2"/>
          </a:solidFill>
          <a:ln w="19050">
            <a:solidFill>
              <a:schemeClr val="lt1"/>
            </a:solidFill>
          </a:ln>
          <a:effectLst/>
        </c:spPr>
      </c:pivotFmt>
      <c:pivotFmt>
        <c:idx val="652"/>
        <c:spPr>
          <a:solidFill>
            <a:schemeClr val="accent2"/>
          </a:solidFill>
          <a:ln w="19050">
            <a:solidFill>
              <a:schemeClr val="lt1"/>
            </a:solidFill>
          </a:ln>
          <a:effectLst/>
        </c:spPr>
      </c:pivotFmt>
      <c:pivotFmt>
        <c:idx val="653"/>
        <c:spPr>
          <a:solidFill>
            <a:schemeClr val="accent2"/>
          </a:solidFill>
          <a:ln w="19050">
            <a:solidFill>
              <a:schemeClr val="lt1"/>
            </a:solidFill>
          </a:ln>
          <a:effectLst/>
        </c:spPr>
      </c:pivotFmt>
      <c:pivotFmt>
        <c:idx val="654"/>
        <c:spPr>
          <a:solidFill>
            <a:schemeClr val="accent2"/>
          </a:solidFill>
          <a:ln w="19050">
            <a:solidFill>
              <a:schemeClr val="lt1"/>
            </a:solidFill>
          </a:ln>
          <a:effectLst/>
        </c:spPr>
      </c:pivotFmt>
      <c:pivotFmt>
        <c:idx val="655"/>
        <c:spPr>
          <a:solidFill>
            <a:schemeClr val="accent2"/>
          </a:solidFill>
          <a:ln w="19050">
            <a:solidFill>
              <a:schemeClr val="lt1"/>
            </a:solidFill>
          </a:ln>
          <a:effectLst/>
        </c:spPr>
      </c:pivotFmt>
      <c:pivotFmt>
        <c:idx val="656"/>
        <c:spPr>
          <a:solidFill>
            <a:schemeClr val="accent2"/>
          </a:solidFill>
          <a:ln w="19050">
            <a:solidFill>
              <a:schemeClr val="lt1"/>
            </a:solidFill>
          </a:ln>
          <a:effectLst/>
        </c:spPr>
      </c:pivotFmt>
      <c:pivotFmt>
        <c:idx val="657"/>
        <c:spPr>
          <a:solidFill>
            <a:schemeClr val="accent2"/>
          </a:solidFill>
          <a:ln w="19050">
            <a:solidFill>
              <a:schemeClr val="lt1"/>
            </a:solidFill>
          </a:ln>
          <a:effectLst/>
        </c:spPr>
      </c:pivotFmt>
      <c:pivotFmt>
        <c:idx val="658"/>
        <c:spPr>
          <a:solidFill>
            <a:schemeClr val="accent2"/>
          </a:solidFill>
          <a:ln w="19050">
            <a:solidFill>
              <a:schemeClr val="lt1"/>
            </a:solidFill>
          </a:ln>
          <a:effectLst/>
        </c:spPr>
      </c:pivotFmt>
      <c:pivotFmt>
        <c:idx val="659"/>
        <c:spPr>
          <a:solidFill>
            <a:schemeClr val="accent2"/>
          </a:solidFill>
          <a:ln w="19050">
            <a:solidFill>
              <a:schemeClr val="lt1"/>
            </a:solidFill>
          </a:ln>
          <a:effectLst/>
        </c:spPr>
      </c:pivotFmt>
      <c:pivotFmt>
        <c:idx val="660"/>
        <c:spPr>
          <a:solidFill>
            <a:schemeClr val="accent2"/>
          </a:solidFill>
          <a:ln w="19050">
            <a:solidFill>
              <a:schemeClr val="lt1"/>
            </a:solidFill>
          </a:ln>
          <a:effectLst/>
        </c:spPr>
      </c:pivotFmt>
      <c:pivotFmt>
        <c:idx val="661"/>
        <c:spPr>
          <a:solidFill>
            <a:schemeClr val="accent2"/>
          </a:solidFill>
          <a:ln w="19050">
            <a:solidFill>
              <a:schemeClr val="lt1"/>
            </a:solidFill>
          </a:ln>
          <a:effectLst/>
        </c:spPr>
      </c:pivotFmt>
      <c:pivotFmt>
        <c:idx val="662"/>
        <c:spPr>
          <a:solidFill>
            <a:schemeClr val="accent2"/>
          </a:solidFill>
          <a:ln w="19050">
            <a:solidFill>
              <a:schemeClr val="lt1"/>
            </a:solidFill>
          </a:ln>
          <a:effectLst/>
        </c:spPr>
      </c:pivotFmt>
      <c:pivotFmt>
        <c:idx val="663"/>
        <c:spPr>
          <a:solidFill>
            <a:schemeClr val="accent2"/>
          </a:solidFill>
          <a:ln w="19050">
            <a:solidFill>
              <a:schemeClr val="lt1"/>
            </a:solidFill>
          </a:ln>
          <a:effectLst/>
        </c:spPr>
      </c:pivotFmt>
      <c:pivotFmt>
        <c:idx val="664"/>
        <c:spPr>
          <a:solidFill>
            <a:schemeClr val="accent2"/>
          </a:solidFill>
          <a:ln w="19050">
            <a:solidFill>
              <a:schemeClr val="lt1"/>
            </a:solidFill>
          </a:ln>
          <a:effectLst/>
        </c:spPr>
      </c:pivotFmt>
      <c:pivotFmt>
        <c:idx val="665"/>
        <c:spPr>
          <a:solidFill>
            <a:schemeClr val="accent2"/>
          </a:solidFill>
          <a:ln w="19050">
            <a:solidFill>
              <a:schemeClr val="lt1"/>
            </a:solidFill>
          </a:ln>
          <a:effectLst/>
        </c:spPr>
      </c:pivotFmt>
      <c:pivotFmt>
        <c:idx val="666"/>
        <c:spPr>
          <a:solidFill>
            <a:schemeClr val="accent2"/>
          </a:solidFill>
          <a:ln w="19050">
            <a:solidFill>
              <a:schemeClr val="lt1"/>
            </a:solidFill>
          </a:ln>
          <a:effectLst/>
        </c:spPr>
      </c:pivotFmt>
      <c:pivotFmt>
        <c:idx val="667"/>
        <c:spPr>
          <a:solidFill>
            <a:schemeClr val="accent2"/>
          </a:solidFill>
          <a:ln w="19050">
            <a:solidFill>
              <a:schemeClr val="lt1"/>
            </a:solidFill>
          </a:ln>
          <a:effectLst/>
        </c:spPr>
      </c:pivotFmt>
      <c:pivotFmt>
        <c:idx val="668"/>
        <c:spPr>
          <a:solidFill>
            <a:schemeClr val="accent2"/>
          </a:solidFill>
          <a:ln w="19050">
            <a:solidFill>
              <a:schemeClr val="lt1"/>
            </a:solidFill>
          </a:ln>
          <a:effectLst/>
        </c:spPr>
      </c:pivotFmt>
      <c:pivotFmt>
        <c:idx val="669"/>
        <c:spPr>
          <a:solidFill>
            <a:schemeClr val="accent2"/>
          </a:solidFill>
          <a:ln w="19050">
            <a:solidFill>
              <a:schemeClr val="lt1"/>
            </a:solidFill>
          </a:ln>
          <a:effectLst/>
        </c:spPr>
      </c:pivotFmt>
      <c:pivotFmt>
        <c:idx val="670"/>
        <c:spPr>
          <a:solidFill>
            <a:schemeClr val="accent2"/>
          </a:solidFill>
          <a:ln w="19050">
            <a:solidFill>
              <a:schemeClr val="lt1"/>
            </a:solidFill>
          </a:ln>
          <a:effectLst/>
        </c:spPr>
      </c:pivotFmt>
      <c:pivotFmt>
        <c:idx val="671"/>
        <c:spPr>
          <a:solidFill>
            <a:schemeClr val="accent2"/>
          </a:solidFill>
          <a:ln w="19050">
            <a:solidFill>
              <a:schemeClr val="lt1"/>
            </a:solidFill>
          </a:ln>
          <a:effectLst/>
        </c:spPr>
      </c:pivotFmt>
      <c:pivotFmt>
        <c:idx val="672"/>
        <c:spPr>
          <a:solidFill>
            <a:schemeClr val="accent2"/>
          </a:solidFill>
          <a:ln w="19050">
            <a:solidFill>
              <a:schemeClr val="lt1"/>
            </a:solidFill>
          </a:ln>
          <a:effectLst/>
        </c:spPr>
      </c:pivotFmt>
      <c:pivotFmt>
        <c:idx val="673"/>
        <c:spPr>
          <a:solidFill>
            <a:schemeClr val="accent2"/>
          </a:solidFill>
          <a:ln w="19050">
            <a:solidFill>
              <a:schemeClr val="lt1"/>
            </a:solidFill>
          </a:ln>
          <a:effectLst/>
        </c:spPr>
      </c:pivotFmt>
      <c:pivotFmt>
        <c:idx val="674"/>
        <c:spPr>
          <a:solidFill>
            <a:schemeClr val="accent2"/>
          </a:solidFill>
          <a:ln w="19050">
            <a:solidFill>
              <a:schemeClr val="lt1"/>
            </a:solidFill>
          </a:ln>
          <a:effectLst/>
        </c:spPr>
      </c:pivotFmt>
      <c:pivotFmt>
        <c:idx val="675"/>
        <c:spPr>
          <a:solidFill>
            <a:schemeClr val="accent2"/>
          </a:solidFill>
          <a:ln w="19050">
            <a:solidFill>
              <a:schemeClr val="lt1"/>
            </a:solidFill>
          </a:ln>
          <a:effectLst/>
        </c:spPr>
      </c:pivotFmt>
      <c:pivotFmt>
        <c:idx val="676"/>
        <c:spPr>
          <a:solidFill>
            <a:schemeClr val="accent2"/>
          </a:solidFill>
          <a:ln w="19050">
            <a:solidFill>
              <a:schemeClr val="lt1"/>
            </a:solidFill>
          </a:ln>
          <a:effectLst/>
        </c:spPr>
      </c:pivotFmt>
      <c:pivotFmt>
        <c:idx val="677"/>
        <c:spPr>
          <a:solidFill>
            <a:schemeClr val="accent2"/>
          </a:solidFill>
          <a:ln w="19050">
            <a:solidFill>
              <a:schemeClr val="lt1"/>
            </a:solidFill>
          </a:ln>
          <a:effectLst/>
        </c:spPr>
      </c:pivotFmt>
      <c:pivotFmt>
        <c:idx val="678"/>
        <c:spPr>
          <a:solidFill>
            <a:schemeClr val="accent2"/>
          </a:solidFill>
          <a:ln w="19050">
            <a:solidFill>
              <a:schemeClr val="lt1"/>
            </a:solidFill>
          </a:ln>
          <a:effectLst/>
        </c:spPr>
      </c:pivotFmt>
      <c:pivotFmt>
        <c:idx val="679"/>
        <c:spPr>
          <a:solidFill>
            <a:schemeClr val="accent2"/>
          </a:solidFill>
          <a:ln w="19050">
            <a:solidFill>
              <a:schemeClr val="lt1"/>
            </a:solidFill>
          </a:ln>
          <a:effectLst/>
        </c:spPr>
      </c:pivotFmt>
      <c:pivotFmt>
        <c:idx val="680"/>
        <c:spPr>
          <a:solidFill>
            <a:schemeClr val="accent2"/>
          </a:solidFill>
          <a:ln w="19050">
            <a:solidFill>
              <a:schemeClr val="lt1"/>
            </a:solidFill>
          </a:ln>
          <a:effectLst/>
        </c:spPr>
      </c:pivotFmt>
      <c:pivotFmt>
        <c:idx val="681"/>
        <c:spPr>
          <a:solidFill>
            <a:schemeClr val="accent2"/>
          </a:solidFill>
          <a:ln w="19050">
            <a:solidFill>
              <a:schemeClr val="lt1"/>
            </a:solidFill>
          </a:ln>
          <a:effectLst/>
        </c:spPr>
      </c:pivotFmt>
      <c:pivotFmt>
        <c:idx val="682"/>
        <c:spPr>
          <a:solidFill>
            <a:schemeClr val="accent2"/>
          </a:solidFill>
          <a:ln w="19050">
            <a:solidFill>
              <a:schemeClr val="lt1"/>
            </a:solidFill>
          </a:ln>
          <a:effectLst/>
        </c:spPr>
      </c:pivotFmt>
      <c:pivotFmt>
        <c:idx val="683"/>
        <c:spPr>
          <a:solidFill>
            <a:schemeClr val="accent2"/>
          </a:solidFill>
          <a:ln w="19050">
            <a:solidFill>
              <a:schemeClr val="lt1"/>
            </a:solidFill>
          </a:ln>
          <a:effectLst/>
        </c:spPr>
      </c:pivotFmt>
      <c:pivotFmt>
        <c:idx val="684"/>
        <c:spPr>
          <a:solidFill>
            <a:schemeClr val="accent2"/>
          </a:solidFill>
          <a:ln w="19050">
            <a:solidFill>
              <a:schemeClr val="lt1"/>
            </a:solidFill>
          </a:ln>
          <a:effectLst/>
        </c:spPr>
      </c:pivotFmt>
      <c:pivotFmt>
        <c:idx val="685"/>
        <c:spPr>
          <a:solidFill>
            <a:schemeClr val="accent2"/>
          </a:solidFill>
          <a:ln w="19050">
            <a:solidFill>
              <a:schemeClr val="lt1"/>
            </a:solidFill>
          </a:ln>
          <a:effectLst/>
        </c:spPr>
      </c:pivotFmt>
      <c:pivotFmt>
        <c:idx val="686"/>
        <c:spPr>
          <a:solidFill>
            <a:schemeClr val="accent2"/>
          </a:solidFill>
          <a:ln w="19050">
            <a:solidFill>
              <a:schemeClr val="lt1"/>
            </a:solidFill>
          </a:ln>
          <a:effectLst/>
        </c:spPr>
      </c:pivotFmt>
      <c:pivotFmt>
        <c:idx val="687"/>
        <c:spPr>
          <a:solidFill>
            <a:schemeClr val="accent2"/>
          </a:solidFill>
          <a:ln w="19050">
            <a:solidFill>
              <a:schemeClr val="lt1"/>
            </a:solidFill>
          </a:ln>
          <a:effectLst/>
        </c:spPr>
      </c:pivotFmt>
      <c:pivotFmt>
        <c:idx val="688"/>
        <c:spPr>
          <a:solidFill>
            <a:schemeClr val="accent2"/>
          </a:solidFill>
          <a:ln w="19050">
            <a:solidFill>
              <a:schemeClr val="lt1"/>
            </a:solidFill>
          </a:ln>
          <a:effectLst/>
        </c:spPr>
      </c:pivotFmt>
      <c:pivotFmt>
        <c:idx val="689"/>
        <c:spPr>
          <a:solidFill>
            <a:schemeClr val="accent2"/>
          </a:solidFill>
          <a:ln w="19050">
            <a:solidFill>
              <a:schemeClr val="lt1"/>
            </a:solidFill>
          </a:ln>
          <a:effectLst/>
        </c:spPr>
      </c:pivotFmt>
      <c:pivotFmt>
        <c:idx val="690"/>
        <c:spPr>
          <a:solidFill>
            <a:schemeClr val="accent2"/>
          </a:solidFill>
          <a:ln w="19050">
            <a:solidFill>
              <a:schemeClr val="lt1"/>
            </a:solidFill>
          </a:ln>
          <a:effectLst/>
        </c:spPr>
      </c:pivotFmt>
      <c:pivotFmt>
        <c:idx val="691"/>
        <c:spPr>
          <a:solidFill>
            <a:schemeClr val="accent2"/>
          </a:solidFill>
          <a:ln w="19050">
            <a:solidFill>
              <a:schemeClr val="lt1"/>
            </a:solidFill>
          </a:ln>
          <a:effectLst/>
        </c:spPr>
      </c:pivotFmt>
      <c:pivotFmt>
        <c:idx val="692"/>
        <c:spPr>
          <a:solidFill>
            <a:schemeClr val="accent2"/>
          </a:solidFill>
          <a:ln w="19050">
            <a:solidFill>
              <a:schemeClr val="lt1"/>
            </a:solidFill>
          </a:ln>
          <a:effectLst/>
        </c:spPr>
      </c:pivotFmt>
      <c:pivotFmt>
        <c:idx val="693"/>
        <c:spPr>
          <a:solidFill>
            <a:schemeClr val="accent2"/>
          </a:solidFill>
          <a:ln w="19050">
            <a:solidFill>
              <a:schemeClr val="lt1"/>
            </a:solidFill>
          </a:ln>
          <a:effectLst/>
        </c:spPr>
      </c:pivotFmt>
      <c:pivotFmt>
        <c:idx val="694"/>
        <c:spPr>
          <a:solidFill>
            <a:schemeClr val="accent2"/>
          </a:solidFill>
          <a:ln w="19050">
            <a:solidFill>
              <a:schemeClr val="lt1"/>
            </a:solidFill>
          </a:ln>
          <a:effectLst/>
        </c:spPr>
      </c:pivotFmt>
      <c:pivotFmt>
        <c:idx val="695"/>
        <c:spPr>
          <a:solidFill>
            <a:schemeClr val="accent2"/>
          </a:solidFill>
          <a:ln w="19050">
            <a:solidFill>
              <a:schemeClr val="lt1"/>
            </a:solidFill>
          </a:ln>
          <a:effectLst/>
        </c:spPr>
      </c:pivotFmt>
      <c:pivotFmt>
        <c:idx val="696"/>
        <c:spPr>
          <a:solidFill>
            <a:schemeClr val="accent2"/>
          </a:solidFill>
          <a:ln w="19050">
            <a:solidFill>
              <a:schemeClr val="lt1"/>
            </a:solidFill>
          </a:ln>
          <a:effectLst/>
        </c:spPr>
      </c:pivotFmt>
      <c:pivotFmt>
        <c:idx val="697"/>
        <c:spPr>
          <a:solidFill>
            <a:schemeClr val="accent2"/>
          </a:solidFill>
          <a:ln w="19050">
            <a:solidFill>
              <a:schemeClr val="lt1"/>
            </a:solidFill>
          </a:ln>
          <a:effectLst/>
        </c:spPr>
      </c:pivotFmt>
      <c:pivotFmt>
        <c:idx val="698"/>
        <c:spPr>
          <a:solidFill>
            <a:schemeClr val="accent2"/>
          </a:solidFill>
          <a:ln w="19050">
            <a:solidFill>
              <a:schemeClr val="lt1"/>
            </a:solidFill>
          </a:ln>
          <a:effectLst/>
        </c:spPr>
      </c:pivotFmt>
      <c:pivotFmt>
        <c:idx val="699"/>
        <c:spPr>
          <a:solidFill>
            <a:schemeClr val="accent2"/>
          </a:solidFill>
          <a:ln w="19050">
            <a:solidFill>
              <a:schemeClr val="lt1"/>
            </a:solidFill>
          </a:ln>
          <a:effectLst/>
        </c:spPr>
      </c:pivotFmt>
      <c:pivotFmt>
        <c:idx val="700"/>
        <c:spPr>
          <a:solidFill>
            <a:schemeClr val="accent2"/>
          </a:solidFill>
          <a:ln w="19050">
            <a:solidFill>
              <a:schemeClr val="lt1"/>
            </a:solidFill>
          </a:ln>
          <a:effectLst/>
        </c:spPr>
      </c:pivotFmt>
      <c:pivotFmt>
        <c:idx val="701"/>
        <c:spPr>
          <a:solidFill>
            <a:schemeClr val="accent2"/>
          </a:solidFill>
          <a:ln w="19050">
            <a:solidFill>
              <a:schemeClr val="lt1"/>
            </a:solidFill>
          </a:ln>
          <a:effectLst/>
        </c:spPr>
      </c:pivotFmt>
      <c:pivotFmt>
        <c:idx val="702"/>
        <c:spPr>
          <a:solidFill>
            <a:schemeClr val="accent2"/>
          </a:solidFill>
          <a:ln w="19050">
            <a:solidFill>
              <a:schemeClr val="lt1"/>
            </a:solidFill>
          </a:ln>
          <a:effectLst/>
        </c:spPr>
      </c:pivotFmt>
      <c:pivotFmt>
        <c:idx val="703"/>
        <c:spPr>
          <a:solidFill>
            <a:schemeClr val="accent2"/>
          </a:solidFill>
          <a:ln w="19050">
            <a:solidFill>
              <a:schemeClr val="lt1"/>
            </a:solidFill>
          </a:ln>
          <a:effectLst/>
        </c:spPr>
      </c:pivotFmt>
      <c:pivotFmt>
        <c:idx val="704"/>
        <c:spPr>
          <a:solidFill>
            <a:schemeClr val="accent2"/>
          </a:solidFill>
          <a:ln w="19050">
            <a:solidFill>
              <a:schemeClr val="lt1"/>
            </a:solidFill>
          </a:ln>
          <a:effectLst/>
        </c:spPr>
      </c:pivotFmt>
      <c:pivotFmt>
        <c:idx val="705"/>
        <c:spPr>
          <a:solidFill>
            <a:schemeClr val="accent2"/>
          </a:solidFill>
          <a:ln w="19050">
            <a:solidFill>
              <a:schemeClr val="lt1"/>
            </a:solidFill>
          </a:ln>
          <a:effectLst/>
        </c:spPr>
      </c:pivotFmt>
      <c:pivotFmt>
        <c:idx val="706"/>
        <c:spPr>
          <a:solidFill>
            <a:schemeClr val="accent2"/>
          </a:solidFill>
          <a:ln w="19050">
            <a:solidFill>
              <a:schemeClr val="lt1"/>
            </a:solidFill>
          </a:ln>
          <a:effectLst/>
        </c:spPr>
      </c:pivotFmt>
      <c:pivotFmt>
        <c:idx val="707"/>
        <c:spPr>
          <a:solidFill>
            <a:schemeClr val="accent2"/>
          </a:solidFill>
          <a:ln w="19050">
            <a:solidFill>
              <a:schemeClr val="lt1"/>
            </a:solidFill>
          </a:ln>
          <a:effectLst/>
        </c:spPr>
      </c:pivotFmt>
      <c:pivotFmt>
        <c:idx val="708"/>
        <c:spPr>
          <a:solidFill>
            <a:schemeClr val="accent2"/>
          </a:solidFill>
          <a:ln w="19050">
            <a:solidFill>
              <a:schemeClr val="lt1"/>
            </a:solidFill>
          </a:ln>
          <a:effectLst/>
        </c:spPr>
      </c:pivotFmt>
      <c:pivotFmt>
        <c:idx val="709"/>
        <c:spPr>
          <a:solidFill>
            <a:schemeClr val="accent2"/>
          </a:solidFill>
          <a:ln w="19050">
            <a:solidFill>
              <a:schemeClr val="lt1"/>
            </a:solidFill>
          </a:ln>
          <a:effectLst/>
        </c:spPr>
      </c:pivotFmt>
      <c:pivotFmt>
        <c:idx val="710"/>
        <c:spPr>
          <a:solidFill>
            <a:schemeClr val="accent2"/>
          </a:solidFill>
          <a:ln w="19050">
            <a:solidFill>
              <a:schemeClr val="lt1"/>
            </a:solidFill>
          </a:ln>
          <a:effectLst/>
        </c:spPr>
      </c:pivotFmt>
      <c:pivotFmt>
        <c:idx val="711"/>
        <c:spPr>
          <a:solidFill>
            <a:schemeClr val="accent2"/>
          </a:solidFill>
          <a:ln w="19050">
            <a:solidFill>
              <a:schemeClr val="lt1"/>
            </a:solidFill>
          </a:ln>
          <a:effectLst/>
        </c:spPr>
      </c:pivotFmt>
      <c:pivotFmt>
        <c:idx val="712"/>
        <c:spPr>
          <a:solidFill>
            <a:schemeClr val="accent2"/>
          </a:solidFill>
          <a:ln w="19050">
            <a:solidFill>
              <a:schemeClr val="lt1"/>
            </a:solidFill>
          </a:ln>
          <a:effectLst/>
        </c:spPr>
      </c:pivotFmt>
      <c:pivotFmt>
        <c:idx val="713"/>
        <c:spPr>
          <a:solidFill>
            <a:schemeClr val="accent2"/>
          </a:solidFill>
          <a:ln w="19050">
            <a:solidFill>
              <a:schemeClr val="lt1"/>
            </a:solidFill>
          </a:ln>
          <a:effectLst/>
        </c:spPr>
      </c:pivotFmt>
      <c:pivotFmt>
        <c:idx val="714"/>
        <c:spPr>
          <a:solidFill>
            <a:schemeClr val="accent2"/>
          </a:solidFill>
          <a:ln w="19050">
            <a:solidFill>
              <a:schemeClr val="lt1"/>
            </a:solidFill>
          </a:ln>
          <a:effectLst/>
        </c:spPr>
      </c:pivotFmt>
      <c:pivotFmt>
        <c:idx val="715"/>
        <c:spPr>
          <a:solidFill>
            <a:schemeClr val="accent2"/>
          </a:solidFill>
          <a:ln w="19050">
            <a:solidFill>
              <a:schemeClr val="lt1"/>
            </a:solidFill>
          </a:ln>
          <a:effectLst/>
        </c:spPr>
      </c:pivotFmt>
      <c:pivotFmt>
        <c:idx val="716"/>
        <c:spPr>
          <a:solidFill>
            <a:schemeClr val="accent2"/>
          </a:solidFill>
          <a:ln w="19050">
            <a:solidFill>
              <a:schemeClr val="lt1"/>
            </a:solidFill>
          </a:ln>
          <a:effectLst/>
        </c:spPr>
      </c:pivotFmt>
      <c:pivotFmt>
        <c:idx val="717"/>
        <c:spPr>
          <a:solidFill>
            <a:schemeClr val="accent2"/>
          </a:solidFill>
          <a:ln w="19050">
            <a:solidFill>
              <a:schemeClr val="lt1"/>
            </a:solidFill>
          </a:ln>
          <a:effectLst/>
        </c:spPr>
      </c:pivotFmt>
      <c:pivotFmt>
        <c:idx val="718"/>
        <c:spPr>
          <a:solidFill>
            <a:schemeClr val="accent2"/>
          </a:solidFill>
          <a:ln w="19050">
            <a:solidFill>
              <a:schemeClr val="lt1"/>
            </a:solidFill>
          </a:ln>
          <a:effectLst/>
        </c:spPr>
      </c:pivotFmt>
      <c:pivotFmt>
        <c:idx val="719"/>
        <c:spPr>
          <a:solidFill>
            <a:schemeClr val="accent2"/>
          </a:solidFill>
          <a:ln w="19050">
            <a:solidFill>
              <a:schemeClr val="lt1"/>
            </a:solidFill>
          </a:ln>
          <a:effectLst/>
        </c:spPr>
      </c:pivotFmt>
      <c:pivotFmt>
        <c:idx val="720"/>
        <c:spPr>
          <a:solidFill>
            <a:schemeClr val="accent2"/>
          </a:solidFill>
          <a:ln w="19050">
            <a:solidFill>
              <a:schemeClr val="lt1"/>
            </a:solidFill>
          </a:ln>
          <a:effectLst/>
        </c:spPr>
      </c:pivotFmt>
      <c:pivotFmt>
        <c:idx val="721"/>
        <c:spPr>
          <a:solidFill>
            <a:schemeClr val="accent2"/>
          </a:solidFill>
          <a:ln w="19050">
            <a:solidFill>
              <a:schemeClr val="lt1"/>
            </a:solidFill>
          </a:ln>
          <a:effectLst/>
        </c:spPr>
      </c:pivotFmt>
      <c:pivotFmt>
        <c:idx val="722"/>
        <c:spPr>
          <a:solidFill>
            <a:schemeClr val="accent2"/>
          </a:solidFill>
          <a:ln w="19050">
            <a:solidFill>
              <a:schemeClr val="lt1"/>
            </a:solidFill>
          </a:ln>
          <a:effectLst/>
        </c:spPr>
      </c:pivotFmt>
      <c:pivotFmt>
        <c:idx val="723"/>
        <c:spPr>
          <a:solidFill>
            <a:schemeClr val="accent2"/>
          </a:solidFill>
          <a:ln w="19050">
            <a:solidFill>
              <a:schemeClr val="lt1"/>
            </a:solidFill>
          </a:ln>
          <a:effectLst/>
        </c:spPr>
      </c:pivotFmt>
      <c:pivotFmt>
        <c:idx val="724"/>
        <c:spPr>
          <a:solidFill>
            <a:schemeClr val="accent2"/>
          </a:solidFill>
          <a:ln w="19050">
            <a:solidFill>
              <a:schemeClr val="lt1"/>
            </a:solidFill>
          </a:ln>
          <a:effectLst/>
        </c:spPr>
      </c:pivotFmt>
      <c:pivotFmt>
        <c:idx val="725"/>
        <c:spPr>
          <a:solidFill>
            <a:schemeClr val="accent2"/>
          </a:solidFill>
          <a:ln w="19050">
            <a:solidFill>
              <a:schemeClr val="lt1"/>
            </a:solidFill>
          </a:ln>
          <a:effectLst/>
        </c:spPr>
      </c:pivotFmt>
      <c:pivotFmt>
        <c:idx val="726"/>
        <c:spPr>
          <a:solidFill>
            <a:schemeClr val="accent2"/>
          </a:solidFill>
          <a:ln w="19050">
            <a:solidFill>
              <a:schemeClr val="lt1"/>
            </a:solidFill>
          </a:ln>
          <a:effectLst/>
        </c:spPr>
      </c:pivotFmt>
      <c:pivotFmt>
        <c:idx val="727"/>
        <c:spPr>
          <a:solidFill>
            <a:schemeClr val="accent2"/>
          </a:solidFill>
          <a:ln w="19050">
            <a:solidFill>
              <a:schemeClr val="lt1"/>
            </a:solidFill>
          </a:ln>
          <a:effectLst/>
        </c:spPr>
      </c:pivotFmt>
      <c:pivotFmt>
        <c:idx val="728"/>
        <c:spPr>
          <a:solidFill>
            <a:schemeClr val="accent2"/>
          </a:solidFill>
          <a:ln w="19050">
            <a:solidFill>
              <a:schemeClr val="lt1"/>
            </a:solidFill>
          </a:ln>
          <a:effectLst/>
        </c:spPr>
      </c:pivotFmt>
      <c:pivotFmt>
        <c:idx val="729"/>
        <c:spPr>
          <a:solidFill>
            <a:schemeClr val="accent2"/>
          </a:solidFill>
          <a:ln w="19050">
            <a:solidFill>
              <a:schemeClr val="lt1"/>
            </a:solidFill>
          </a:ln>
          <a:effectLst/>
        </c:spPr>
      </c:pivotFmt>
      <c:pivotFmt>
        <c:idx val="730"/>
        <c:spPr>
          <a:solidFill>
            <a:schemeClr val="accent2"/>
          </a:solidFill>
          <a:ln w="19050">
            <a:solidFill>
              <a:schemeClr val="lt1"/>
            </a:solidFill>
          </a:ln>
          <a:effectLst/>
        </c:spPr>
      </c:pivotFmt>
      <c:pivotFmt>
        <c:idx val="731"/>
        <c:spPr>
          <a:solidFill>
            <a:schemeClr val="accent2"/>
          </a:solidFill>
          <a:ln w="19050">
            <a:solidFill>
              <a:schemeClr val="lt1"/>
            </a:solidFill>
          </a:ln>
          <a:effectLst/>
        </c:spPr>
      </c:pivotFmt>
      <c:pivotFmt>
        <c:idx val="732"/>
        <c:spPr>
          <a:solidFill>
            <a:schemeClr val="accent2"/>
          </a:solidFill>
          <a:ln w="19050">
            <a:solidFill>
              <a:schemeClr val="lt1"/>
            </a:solidFill>
          </a:ln>
          <a:effectLst/>
        </c:spPr>
      </c:pivotFmt>
      <c:pivotFmt>
        <c:idx val="733"/>
        <c:spPr>
          <a:solidFill>
            <a:schemeClr val="accent2"/>
          </a:solidFill>
          <a:ln w="19050">
            <a:solidFill>
              <a:schemeClr val="lt1"/>
            </a:solidFill>
          </a:ln>
          <a:effectLst/>
        </c:spPr>
      </c:pivotFmt>
      <c:pivotFmt>
        <c:idx val="734"/>
        <c:spPr>
          <a:solidFill>
            <a:schemeClr val="accent2"/>
          </a:solidFill>
          <a:ln w="19050">
            <a:solidFill>
              <a:schemeClr val="lt1"/>
            </a:solidFill>
          </a:ln>
          <a:effectLst/>
        </c:spPr>
      </c:pivotFmt>
      <c:pivotFmt>
        <c:idx val="735"/>
        <c:spPr>
          <a:solidFill>
            <a:schemeClr val="accent2"/>
          </a:solidFill>
          <a:ln w="19050">
            <a:solidFill>
              <a:schemeClr val="lt1"/>
            </a:solidFill>
          </a:ln>
          <a:effectLst/>
        </c:spPr>
      </c:pivotFmt>
      <c:pivotFmt>
        <c:idx val="736"/>
        <c:spPr>
          <a:solidFill>
            <a:schemeClr val="accent2"/>
          </a:solidFill>
          <a:ln w="19050">
            <a:solidFill>
              <a:schemeClr val="lt1"/>
            </a:solidFill>
          </a:ln>
          <a:effectLst/>
        </c:spPr>
      </c:pivotFmt>
      <c:pivotFmt>
        <c:idx val="737"/>
        <c:spPr>
          <a:solidFill>
            <a:schemeClr val="accent2"/>
          </a:solidFill>
          <a:ln w="19050">
            <a:solidFill>
              <a:schemeClr val="lt1"/>
            </a:solidFill>
          </a:ln>
          <a:effectLst/>
        </c:spPr>
      </c:pivotFmt>
      <c:pivotFmt>
        <c:idx val="738"/>
        <c:spPr>
          <a:solidFill>
            <a:schemeClr val="accent2"/>
          </a:solidFill>
          <a:ln w="19050">
            <a:solidFill>
              <a:schemeClr val="lt1"/>
            </a:solidFill>
          </a:ln>
          <a:effectLst/>
        </c:spPr>
      </c:pivotFmt>
      <c:pivotFmt>
        <c:idx val="739"/>
        <c:spPr>
          <a:solidFill>
            <a:schemeClr val="accent2"/>
          </a:solidFill>
          <a:ln w="19050">
            <a:solidFill>
              <a:schemeClr val="lt1"/>
            </a:solidFill>
          </a:ln>
          <a:effectLst/>
        </c:spPr>
      </c:pivotFmt>
      <c:pivotFmt>
        <c:idx val="740"/>
        <c:spPr>
          <a:solidFill>
            <a:schemeClr val="accent2"/>
          </a:solidFill>
          <a:ln w="19050">
            <a:solidFill>
              <a:schemeClr val="lt1"/>
            </a:solidFill>
          </a:ln>
          <a:effectLst/>
        </c:spPr>
      </c:pivotFmt>
      <c:pivotFmt>
        <c:idx val="741"/>
        <c:spPr>
          <a:solidFill>
            <a:schemeClr val="accent2"/>
          </a:solidFill>
          <a:ln w="19050">
            <a:solidFill>
              <a:schemeClr val="lt1"/>
            </a:solidFill>
          </a:ln>
          <a:effectLst/>
        </c:spPr>
      </c:pivotFmt>
      <c:pivotFmt>
        <c:idx val="742"/>
        <c:spPr>
          <a:solidFill>
            <a:schemeClr val="accent2"/>
          </a:solidFill>
          <a:ln w="19050">
            <a:solidFill>
              <a:schemeClr val="lt1"/>
            </a:solidFill>
          </a:ln>
          <a:effectLst/>
        </c:spPr>
      </c:pivotFmt>
      <c:pivotFmt>
        <c:idx val="743"/>
        <c:spPr>
          <a:solidFill>
            <a:schemeClr val="accent2"/>
          </a:solidFill>
          <a:ln w="19050">
            <a:solidFill>
              <a:schemeClr val="lt1"/>
            </a:solidFill>
          </a:ln>
          <a:effectLst/>
        </c:spPr>
      </c:pivotFmt>
      <c:pivotFmt>
        <c:idx val="744"/>
        <c:spPr>
          <a:solidFill>
            <a:schemeClr val="accent2"/>
          </a:solidFill>
          <a:ln w="19050">
            <a:solidFill>
              <a:schemeClr val="lt1"/>
            </a:solidFill>
          </a:ln>
          <a:effectLst/>
        </c:spPr>
      </c:pivotFmt>
      <c:pivotFmt>
        <c:idx val="745"/>
        <c:spPr>
          <a:solidFill>
            <a:schemeClr val="accent2"/>
          </a:solidFill>
          <a:ln w="19050">
            <a:solidFill>
              <a:schemeClr val="lt1"/>
            </a:solidFill>
          </a:ln>
          <a:effectLst/>
        </c:spPr>
      </c:pivotFmt>
      <c:pivotFmt>
        <c:idx val="746"/>
        <c:spPr>
          <a:solidFill>
            <a:schemeClr val="accent2"/>
          </a:solidFill>
          <a:ln w="19050">
            <a:solidFill>
              <a:schemeClr val="lt1"/>
            </a:solidFill>
          </a:ln>
          <a:effectLst/>
        </c:spPr>
      </c:pivotFmt>
      <c:pivotFmt>
        <c:idx val="747"/>
        <c:spPr>
          <a:solidFill>
            <a:schemeClr val="accent2"/>
          </a:solidFill>
          <a:ln w="19050">
            <a:solidFill>
              <a:schemeClr val="lt1"/>
            </a:solidFill>
          </a:ln>
          <a:effectLst/>
        </c:spPr>
      </c:pivotFmt>
      <c:pivotFmt>
        <c:idx val="748"/>
        <c:spPr>
          <a:solidFill>
            <a:schemeClr val="accent2"/>
          </a:solidFill>
          <a:ln w="19050">
            <a:solidFill>
              <a:schemeClr val="lt1"/>
            </a:solidFill>
          </a:ln>
          <a:effectLst/>
        </c:spPr>
      </c:pivotFmt>
      <c:pivotFmt>
        <c:idx val="749"/>
        <c:spPr>
          <a:solidFill>
            <a:schemeClr val="accent2"/>
          </a:solidFill>
          <a:ln w="19050">
            <a:solidFill>
              <a:schemeClr val="lt1"/>
            </a:solidFill>
          </a:ln>
          <a:effectLst/>
        </c:spPr>
      </c:pivotFmt>
      <c:pivotFmt>
        <c:idx val="750"/>
        <c:spPr>
          <a:solidFill>
            <a:schemeClr val="accent2"/>
          </a:solidFill>
          <a:ln w="19050">
            <a:solidFill>
              <a:schemeClr val="lt1"/>
            </a:solidFill>
          </a:ln>
          <a:effectLst/>
        </c:spPr>
      </c:pivotFmt>
      <c:pivotFmt>
        <c:idx val="751"/>
        <c:spPr>
          <a:solidFill>
            <a:schemeClr val="accent2"/>
          </a:solidFill>
          <a:ln w="19050">
            <a:solidFill>
              <a:schemeClr val="lt1"/>
            </a:solidFill>
          </a:ln>
          <a:effectLst/>
        </c:spPr>
      </c:pivotFmt>
      <c:pivotFmt>
        <c:idx val="752"/>
        <c:spPr>
          <a:solidFill>
            <a:schemeClr val="accent2"/>
          </a:solidFill>
          <a:ln w="19050">
            <a:solidFill>
              <a:schemeClr val="lt1"/>
            </a:solidFill>
          </a:ln>
          <a:effectLst/>
        </c:spPr>
      </c:pivotFmt>
      <c:pivotFmt>
        <c:idx val="753"/>
        <c:spPr>
          <a:solidFill>
            <a:schemeClr val="accent2"/>
          </a:solidFill>
          <a:ln w="19050">
            <a:solidFill>
              <a:schemeClr val="lt1"/>
            </a:solidFill>
          </a:ln>
          <a:effectLst/>
        </c:spPr>
      </c:pivotFmt>
      <c:pivotFmt>
        <c:idx val="754"/>
        <c:spPr>
          <a:solidFill>
            <a:schemeClr val="accent2"/>
          </a:solidFill>
          <a:ln w="19050">
            <a:solidFill>
              <a:schemeClr val="lt1"/>
            </a:solidFill>
          </a:ln>
          <a:effectLst/>
        </c:spPr>
      </c:pivotFmt>
      <c:pivotFmt>
        <c:idx val="755"/>
        <c:spPr>
          <a:solidFill>
            <a:schemeClr val="accent2"/>
          </a:solidFill>
          <a:ln w="19050">
            <a:solidFill>
              <a:schemeClr val="lt1"/>
            </a:solidFill>
          </a:ln>
          <a:effectLst/>
        </c:spPr>
      </c:pivotFmt>
      <c:pivotFmt>
        <c:idx val="756"/>
        <c:spPr>
          <a:solidFill>
            <a:schemeClr val="accent2"/>
          </a:solidFill>
          <a:ln w="19050">
            <a:solidFill>
              <a:schemeClr val="lt1"/>
            </a:solidFill>
          </a:ln>
          <a:effectLst/>
        </c:spPr>
      </c:pivotFmt>
      <c:pivotFmt>
        <c:idx val="757"/>
        <c:spPr>
          <a:solidFill>
            <a:schemeClr val="accent2"/>
          </a:solidFill>
          <a:ln w="19050">
            <a:solidFill>
              <a:schemeClr val="lt1"/>
            </a:solidFill>
          </a:ln>
          <a:effectLst/>
        </c:spPr>
      </c:pivotFmt>
      <c:pivotFmt>
        <c:idx val="758"/>
        <c:spPr>
          <a:solidFill>
            <a:schemeClr val="accent2"/>
          </a:solidFill>
          <a:ln w="19050">
            <a:solidFill>
              <a:schemeClr val="lt1"/>
            </a:solidFill>
          </a:ln>
          <a:effectLst/>
        </c:spPr>
      </c:pivotFmt>
      <c:pivotFmt>
        <c:idx val="759"/>
        <c:spPr>
          <a:solidFill>
            <a:schemeClr val="accent2"/>
          </a:solidFill>
          <a:ln w="19050">
            <a:solidFill>
              <a:schemeClr val="lt1"/>
            </a:solidFill>
          </a:ln>
          <a:effectLst/>
        </c:spPr>
      </c:pivotFmt>
      <c:pivotFmt>
        <c:idx val="760"/>
        <c:spPr>
          <a:solidFill>
            <a:schemeClr val="accent2"/>
          </a:solidFill>
          <a:ln w="19050">
            <a:solidFill>
              <a:schemeClr val="lt1"/>
            </a:solidFill>
          </a:ln>
          <a:effectLst/>
        </c:spPr>
      </c:pivotFmt>
      <c:pivotFmt>
        <c:idx val="761"/>
        <c:spPr>
          <a:solidFill>
            <a:schemeClr val="accent2"/>
          </a:solidFill>
          <a:ln w="19050">
            <a:solidFill>
              <a:schemeClr val="lt1"/>
            </a:solidFill>
          </a:ln>
          <a:effectLst/>
        </c:spPr>
      </c:pivotFmt>
      <c:pivotFmt>
        <c:idx val="762"/>
        <c:spPr>
          <a:solidFill>
            <a:schemeClr val="accent2"/>
          </a:solidFill>
          <a:ln w="19050">
            <a:solidFill>
              <a:schemeClr val="lt1"/>
            </a:solidFill>
          </a:ln>
          <a:effectLst/>
        </c:spPr>
      </c:pivotFmt>
      <c:pivotFmt>
        <c:idx val="763"/>
        <c:spPr>
          <a:solidFill>
            <a:schemeClr val="accent2"/>
          </a:solidFill>
          <a:ln w="19050">
            <a:solidFill>
              <a:schemeClr val="lt1"/>
            </a:solidFill>
          </a:ln>
          <a:effectLst/>
        </c:spPr>
      </c:pivotFmt>
      <c:pivotFmt>
        <c:idx val="764"/>
        <c:spPr>
          <a:solidFill>
            <a:schemeClr val="accent2"/>
          </a:solidFill>
          <a:ln w="19050">
            <a:solidFill>
              <a:schemeClr val="lt1"/>
            </a:solidFill>
          </a:ln>
          <a:effectLst/>
        </c:spPr>
      </c:pivotFmt>
      <c:pivotFmt>
        <c:idx val="765"/>
        <c:spPr>
          <a:solidFill>
            <a:schemeClr val="accent2"/>
          </a:solidFill>
          <a:ln w="19050">
            <a:solidFill>
              <a:schemeClr val="lt1"/>
            </a:solidFill>
          </a:ln>
          <a:effectLst/>
        </c:spPr>
      </c:pivotFmt>
      <c:pivotFmt>
        <c:idx val="766"/>
        <c:spPr>
          <a:solidFill>
            <a:schemeClr val="accent2"/>
          </a:solidFill>
          <a:ln w="19050">
            <a:solidFill>
              <a:schemeClr val="lt1"/>
            </a:solidFill>
          </a:ln>
          <a:effectLst/>
        </c:spPr>
      </c:pivotFmt>
      <c:pivotFmt>
        <c:idx val="767"/>
        <c:spPr>
          <a:solidFill>
            <a:schemeClr val="accent2"/>
          </a:solidFill>
          <a:ln w="19050">
            <a:solidFill>
              <a:schemeClr val="lt1"/>
            </a:solidFill>
          </a:ln>
          <a:effectLst/>
        </c:spPr>
      </c:pivotFmt>
      <c:pivotFmt>
        <c:idx val="768"/>
        <c:spPr>
          <a:solidFill>
            <a:schemeClr val="accent2"/>
          </a:solidFill>
          <a:ln w="19050">
            <a:solidFill>
              <a:schemeClr val="lt1"/>
            </a:solidFill>
          </a:ln>
          <a:effectLst/>
        </c:spPr>
      </c:pivotFmt>
      <c:pivotFmt>
        <c:idx val="769"/>
        <c:spPr>
          <a:solidFill>
            <a:schemeClr val="accent2"/>
          </a:solidFill>
          <a:ln w="19050">
            <a:solidFill>
              <a:schemeClr val="lt1"/>
            </a:solidFill>
          </a:ln>
          <a:effectLst/>
        </c:spPr>
      </c:pivotFmt>
      <c:pivotFmt>
        <c:idx val="770"/>
        <c:spPr>
          <a:solidFill>
            <a:schemeClr val="accent2"/>
          </a:solidFill>
          <a:ln w="19050">
            <a:solidFill>
              <a:schemeClr val="lt1"/>
            </a:solidFill>
          </a:ln>
          <a:effectLst/>
        </c:spPr>
      </c:pivotFmt>
      <c:pivotFmt>
        <c:idx val="771"/>
        <c:spPr>
          <a:solidFill>
            <a:schemeClr val="accent2"/>
          </a:solidFill>
          <a:ln w="19050">
            <a:solidFill>
              <a:schemeClr val="lt1"/>
            </a:solidFill>
          </a:ln>
          <a:effectLst/>
        </c:spPr>
      </c:pivotFmt>
      <c:pivotFmt>
        <c:idx val="772"/>
        <c:spPr>
          <a:solidFill>
            <a:schemeClr val="accent2"/>
          </a:solidFill>
          <a:ln w="19050">
            <a:solidFill>
              <a:schemeClr val="lt1"/>
            </a:solidFill>
          </a:ln>
          <a:effectLst/>
        </c:spPr>
      </c:pivotFmt>
      <c:pivotFmt>
        <c:idx val="773"/>
        <c:spPr>
          <a:solidFill>
            <a:schemeClr val="accent2"/>
          </a:solidFill>
          <a:ln w="19050">
            <a:solidFill>
              <a:schemeClr val="lt1"/>
            </a:solidFill>
          </a:ln>
          <a:effectLst/>
        </c:spPr>
      </c:pivotFmt>
      <c:pivotFmt>
        <c:idx val="774"/>
        <c:spPr>
          <a:solidFill>
            <a:schemeClr val="accent2"/>
          </a:solidFill>
          <a:ln w="19050">
            <a:solidFill>
              <a:schemeClr val="lt1"/>
            </a:solidFill>
          </a:ln>
          <a:effectLst/>
        </c:spPr>
      </c:pivotFmt>
      <c:pivotFmt>
        <c:idx val="775"/>
        <c:spPr>
          <a:solidFill>
            <a:schemeClr val="accent2"/>
          </a:solidFill>
          <a:ln w="19050">
            <a:solidFill>
              <a:schemeClr val="lt1"/>
            </a:solidFill>
          </a:ln>
          <a:effectLst/>
        </c:spPr>
      </c:pivotFmt>
      <c:pivotFmt>
        <c:idx val="776"/>
        <c:spPr>
          <a:solidFill>
            <a:schemeClr val="accent2"/>
          </a:solidFill>
          <a:ln w="19050">
            <a:solidFill>
              <a:schemeClr val="lt1"/>
            </a:solidFill>
          </a:ln>
          <a:effectLst/>
        </c:spPr>
      </c:pivotFmt>
      <c:pivotFmt>
        <c:idx val="777"/>
        <c:spPr>
          <a:solidFill>
            <a:schemeClr val="accent2"/>
          </a:solidFill>
          <a:ln w="19050">
            <a:solidFill>
              <a:schemeClr val="lt1"/>
            </a:solidFill>
          </a:ln>
          <a:effectLst/>
        </c:spPr>
      </c:pivotFmt>
      <c:pivotFmt>
        <c:idx val="778"/>
        <c:spPr>
          <a:solidFill>
            <a:schemeClr val="accent2"/>
          </a:solidFill>
          <a:ln w="19050">
            <a:solidFill>
              <a:schemeClr val="lt1"/>
            </a:solidFill>
          </a:ln>
          <a:effectLst/>
        </c:spPr>
      </c:pivotFmt>
      <c:pivotFmt>
        <c:idx val="779"/>
        <c:spPr>
          <a:solidFill>
            <a:schemeClr val="accent2"/>
          </a:solidFill>
          <a:ln w="19050">
            <a:solidFill>
              <a:schemeClr val="lt1"/>
            </a:solidFill>
          </a:ln>
          <a:effectLst/>
        </c:spPr>
      </c:pivotFmt>
      <c:pivotFmt>
        <c:idx val="780"/>
        <c:spPr>
          <a:solidFill>
            <a:schemeClr val="accent2"/>
          </a:solidFill>
          <a:ln w="19050">
            <a:solidFill>
              <a:schemeClr val="lt1"/>
            </a:solidFill>
          </a:ln>
          <a:effectLst/>
        </c:spPr>
      </c:pivotFmt>
      <c:pivotFmt>
        <c:idx val="781"/>
        <c:spPr>
          <a:solidFill>
            <a:schemeClr val="accent2"/>
          </a:solidFill>
          <a:ln w="19050">
            <a:solidFill>
              <a:schemeClr val="lt1"/>
            </a:solidFill>
          </a:ln>
          <a:effectLst/>
        </c:spPr>
      </c:pivotFmt>
      <c:pivotFmt>
        <c:idx val="782"/>
        <c:spPr>
          <a:solidFill>
            <a:schemeClr val="accent2"/>
          </a:solidFill>
          <a:ln w="19050">
            <a:solidFill>
              <a:schemeClr val="lt1"/>
            </a:solidFill>
          </a:ln>
          <a:effectLst/>
        </c:spPr>
      </c:pivotFmt>
      <c:pivotFmt>
        <c:idx val="783"/>
        <c:spPr>
          <a:solidFill>
            <a:schemeClr val="accent2"/>
          </a:solidFill>
          <a:ln w="19050">
            <a:solidFill>
              <a:schemeClr val="lt1"/>
            </a:solidFill>
          </a:ln>
          <a:effectLst/>
        </c:spPr>
      </c:pivotFmt>
      <c:pivotFmt>
        <c:idx val="784"/>
        <c:spPr>
          <a:solidFill>
            <a:schemeClr val="accent2"/>
          </a:solidFill>
          <a:ln w="19050">
            <a:solidFill>
              <a:schemeClr val="lt1"/>
            </a:solidFill>
          </a:ln>
          <a:effectLst/>
        </c:spPr>
      </c:pivotFmt>
      <c:pivotFmt>
        <c:idx val="785"/>
        <c:spPr>
          <a:solidFill>
            <a:schemeClr val="accent2"/>
          </a:solidFill>
          <a:ln w="19050">
            <a:solidFill>
              <a:schemeClr val="lt1"/>
            </a:solidFill>
          </a:ln>
          <a:effectLst/>
        </c:spPr>
      </c:pivotFmt>
      <c:pivotFmt>
        <c:idx val="786"/>
        <c:spPr>
          <a:solidFill>
            <a:schemeClr val="accent2"/>
          </a:solidFill>
          <a:ln w="19050">
            <a:solidFill>
              <a:schemeClr val="lt1"/>
            </a:solidFill>
          </a:ln>
          <a:effectLst/>
        </c:spPr>
      </c:pivotFmt>
      <c:pivotFmt>
        <c:idx val="787"/>
        <c:spPr>
          <a:solidFill>
            <a:schemeClr val="accent2"/>
          </a:solidFill>
          <a:ln w="19050">
            <a:solidFill>
              <a:schemeClr val="lt1"/>
            </a:solidFill>
          </a:ln>
          <a:effectLst/>
        </c:spPr>
      </c:pivotFmt>
      <c:pivotFmt>
        <c:idx val="788"/>
        <c:spPr>
          <a:solidFill>
            <a:schemeClr val="accent2"/>
          </a:solidFill>
          <a:ln w="19050">
            <a:solidFill>
              <a:schemeClr val="lt1"/>
            </a:solidFill>
          </a:ln>
          <a:effectLst/>
        </c:spPr>
      </c:pivotFmt>
      <c:pivotFmt>
        <c:idx val="789"/>
        <c:spPr>
          <a:solidFill>
            <a:schemeClr val="accent2"/>
          </a:solidFill>
          <a:ln w="19050">
            <a:solidFill>
              <a:schemeClr val="lt1"/>
            </a:solidFill>
          </a:ln>
          <a:effectLst/>
        </c:spPr>
      </c:pivotFmt>
      <c:pivotFmt>
        <c:idx val="790"/>
        <c:spPr>
          <a:solidFill>
            <a:schemeClr val="accent2"/>
          </a:solidFill>
          <a:ln w="19050">
            <a:solidFill>
              <a:schemeClr val="lt1"/>
            </a:solidFill>
          </a:ln>
          <a:effectLst/>
        </c:spPr>
      </c:pivotFmt>
      <c:pivotFmt>
        <c:idx val="791"/>
        <c:spPr>
          <a:solidFill>
            <a:schemeClr val="accent2"/>
          </a:solidFill>
          <a:ln w="19050">
            <a:solidFill>
              <a:schemeClr val="lt1"/>
            </a:solidFill>
          </a:ln>
          <a:effectLst/>
        </c:spPr>
      </c:pivotFmt>
      <c:pivotFmt>
        <c:idx val="792"/>
        <c:spPr>
          <a:solidFill>
            <a:schemeClr val="accent2"/>
          </a:solidFill>
          <a:ln w="19050">
            <a:solidFill>
              <a:schemeClr val="lt1"/>
            </a:solidFill>
          </a:ln>
          <a:effectLst/>
        </c:spPr>
      </c:pivotFmt>
      <c:pivotFmt>
        <c:idx val="793"/>
        <c:spPr>
          <a:solidFill>
            <a:schemeClr val="accent2"/>
          </a:solidFill>
          <a:ln w="19050">
            <a:solidFill>
              <a:schemeClr val="lt1"/>
            </a:solidFill>
          </a:ln>
          <a:effectLst/>
        </c:spPr>
      </c:pivotFmt>
      <c:pivotFmt>
        <c:idx val="794"/>
        <c:spPr>
          <a:solidFill>
            <a:schemeClr val="accent2"/>
          </a:solidFill>
          <a:ln w="19050">
            <a:solidFill>
              <a:schemeClr val="lt1"/>
            </a:solidFill>
          </a:ln>
          <a:effectLst/>
        </c:spPr>
      </c:pivotFmt>
      <c:pivotFmt>
        <c:idx val="795"/>
        <c:spPr>
          <a:solidFill>
            <a:schemeClr val="accent2"/>
          </a:solidFill>
          <a:ln w="19050">
            <a:solidFill>
              <a:schemeClr val="lt1"/>
            </a:solidFill>
          </a:ln>
          <a:effectLst/>
        </c:spPr>
      </c:pivotFmt>
      <c:pivotFmt>
        <c:idx val="796"/>
        <c:spPr>
          <a:solidFill>
            <a:schemeClr val="accent2"/>
          </a:solidFill>
          <a:ln w="19050">
            <a:solidFill>
              <a:schemeClr val="lt1"/>
            </a:solidFill>
          </a:ln>
          <a:effectLst/>
        </c:spPr>
      </c:pivotFmt>
      <c:pivotFmt>
        <c:idx val="797"/>
        <c:spPr>
          <a:solidFill>
            <a:schemeClr val="accent2"/>
          </a:solidFill>
          <a:ln w="19050">
            <a:solidFill>
              <a:schemeClr val="lt1"/>
            </a:solidFill>
          </a:ln>
          <a:effectLst/>
        </c:spPr>
      </c:pivotFmt>
      <c:pivotFmt>
        <c:idx val="798"/>
        <c:spPr>
          <a:solidFill>
            <a:schemeClr val="accent2"/>
          </a:solidFill>
          <a:ln w="19050">
            <a:solidFill>
              <a:schemeClr val="lt1"/>
            </a:solidFill>
          </a:ln>
          <a:effectLst/>
        </c:spPr>
      </c:pivotFmt>
      <c:pivotFmt>
        <c:idx val="799"/>
        <c:spPr>
          <a:solidFill>
            <a:schemeClr val="accent2"/>
          </a:solidFill>
          <a:ln w="19050">
            <a:solidFill>
              <a:schemeClr val="lt1"/>
            </a:solidFill>
          </a:ln>
          <a:effectLst/>
        </c:spPr>
      </c:pivotFmt>
      <c:pivotFmt>
        <c:idx val="800"/>
        <c:spPr>
          <a:solidFill>
            <a:schemeClr val="accent2"/>
          </a:solidFill>
          <a:ln w="19050">
            <a:solidFill>
              <a:schemeClr val="lt1"/>
            </a:solidFill>
          </a:ln>
          <a:effectLst/>
        </c:spPr>
      </c:pivotFmt>
      <c:pivotFmt>
        <c:idx val="801"/>
        <c:spPr>
          <a:solidFill>
            <a:schemeClr val="accent2"/>
          </a:solidFill>
          <a:ln w="19050">
            <a:solidFill>
              <a:schemeClr val="lt1"/>
            </a:solidFill>
          </a:ln>
          <a:effectLst/>
        </c:spPr>
      </c:pivotFmt>
      <c:pivotFmt>
        <c:idx val="802"/>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4"/>
        <c:spPr>
          <a:solidFill>
            <a:schemeClr val="accent2"/>
          </a:solidFill>
          <a:ln w="19050">
            <a:solidFill>
              <a:schemeClr val="lt1"/>
            </a:solidFill>
          </a:ln>
          <a:effectLst/>
        </c:spPr>
      </c:pivotFmt>
      <c:pivotFmt>
        <c:idx val="805"/>
        <c:spPr>
          <a:solidFill>
            <a:schemeClr val="accent2"/>
          </a:solidFill>
          <a:ln w="19050">
            <a:solidFill>
              <a:schemeClr val="lt1"/>
            </a:solidFill>
          </a:ln>
          <a:effectLst/>
        </c:spPr>
      </c:pivotFmt>
      <c:pivotFmt>
        <c:idx val="806"/>
        <c:spPr>
          <a:solidFill>
            <a:schemeClr val="accent2"/>
          </a:solidFill>
          <a:ln w="19050">
            <a:solidFill>
              <a:schemeClr val="lt1"/>
            </a:solidFill>
          </a:ln>
          <a:effectLst/>
        </c:spPr>
      </c:pivotFmt>
      <c:pivotFmt>
        <c:idx val="807"/>
        <c:spPr>
          <a:solidFill>
            <a:schemeClr val="accent2"/>
          </a:solidFill>
          <a:ln w="19050">
            <a:solidFill>
              <a:schemeClr val="lt1"/>
            </a:solidFill>
          </a:ln>
          <a:effectLst/>
        </c:spPr>
      </c:pivotFmt>
      <c:pivotFmt>
        <c:idx val="808"/>
        <c:spPr>
          <a:solidFill>
            <a:schemeClr val="accent2"/>
          </a:solidFill>
          <a:ln w="19050">
            <a:solidFill>
              <a:schemeClr val="lt1"/>
            </a:solidFill>
          </a:ln>
          <a:effectLst/>
        </c:spPr>
      </c:pivotFmt>
      <c:pivotFmt>
        <c:idx val="809"/>
        <c:spPr>
          <a:solidFill>
            <a:schemeClr val="accent2"/>
          </a:solidFill>
          <a:ln w="19050">
            <a:solidFill>
              <a:schemeClr val="lt1"/>
            </a:solidFill>
          </a:ln>
          <a:effectLst/>
        </c:spPr>
      </c:pivotFmt>
      <c:pivotFmt>
        <c:idx val="810"/>
        <c:spPr>
          <a:solidFill>
            <a:schemeClr val="accent2"/>
          </a:solidFill>
          <a:ln w="19050">
            <a:solidFill>
              <a:schemeClr val="lt1"/>
            </a:solidFill>
          </a:ln>
          <a:effectLst/>
        </c:spPr>
      </c:pivotFmt>
      <c:pivotFmt>
        <c:idx val="811"/>
        <c:spPr>
          <a:solidFill>
            <a:schemeClr val="accent2"/>
          </a:solidFill>
          <a:ln w="19050">
            <a:solidFill>
              <a:schemeClr val="lt1"/>
            </a:solidFill>
          </a:ln>
          <a:effectLst/>
        </c:spPr>
      </c:pivotFmt>
      <c:pivotFmt>
        <c:idx val="812"/>
        <c:spPr>
          <a:solidFill>
            <a:schemeClr val="accent2"/>
          </a:solidFill>
          <a:ln w="19050">
            <a:solidFill>
              <a:schemeClr val="lt1"/>
            </a:solidFill>
          </a:ln>
          <a:effectLst/>
        </c:spPr>
      </c:pivotFmt>
      <c:pivotFmt>
        <c:idx val="813"/>
        <c:spPr>
          <a:solidFill>
            <a:schemeClr val="accent2"/>
          </a:solidFill>
          <a:ln w="19050">
            <a:solidFill>
              <a:schemeClr val="lt1"/>
            </a:solidFill>
          </a:ln>
          <a:effectLst/>
        </c:spPr>
      </c:pivotFmt>
      <c:pivotFmt>
        <c:idx val="814"/>
        <c:spPr>
          <a:solidFill>
            <a:schemeClr val="accent2"/>
          </a:solidFill>
          <a:ln w="19050">
            <a:solidFill>
              <a:schemeClr val="lt1"/>
            </a:solidFill>
          </a:ln>
          <a:effectLst/>
        </c:spPr>
      </c:pivotFmt>
      <c:pivotFmt>
        <c:idx val="815"/>
        <c:spPr>
          <a:solidFill>
            <a:schemeClr val="accent2"/>
          </a:solidFill>
          <a:ln w="19050">
            <a:solidFill>
              <a:schemeClr val="lt1"/>
            </a:solidFill>
          </a:ln>
          <a:effectLst/>
        </c:spPr>
      </c:pivotFmt>
      <c:pivotFmt>
        <c:idx val="816"/>
        <c:spPr>
          <a:solidFill>
            <a:schemeClr val="accent2"/>
          </a:solidFill>
          <a:ln w="19050">
            <a:solidFill>
              <a:schemeClr val="lt1"/>
            </a:solidFill>
          </a:ln>
          <a:effectLst/>
        </c:spPr>
      </c:pivotFmt>
      <c:pivotFmt>
        <c:idx val="817"/>
        <c:spPr>
          <a:solidFill>
            <a:schemeClr val="accent2"/>
          </a:solidFill>
          <a:ln w="19050">
            <a:solidFill>
              <a:schemeClr val="lt1"/>
            </a:solidFill>
          </a:ln>
          <a:effectLst/>
        </c:spPr>
      </c:pivotFmt>
      <c:pivotFmt>
        <c:idx val="818"/>
        <c:spPr>
          <a:solidFill>
            <a:schemeClr val="accent2"/>
          </a:solidFill>
          <a:ln w="19050">
            <a:solidFill>
              <a:schemeClr val="lt1"/>
            </a:solidFill>
          </a:ln>
          <a:effectLst/>
        </c:spPr>
      </c:pivotFmt>
      <c:pivotFmt>
        <c:idx val="819"/>
        <c:spPr>
          <a:solidFill>
            <a:schemeClr val="accent2"/>
          </a:solidFill>
          <a:ln w="19050">
            <a:solidFill>
              <a:schemeClr val="lt1"/>
            </a:solidFill>
          </a:ln>
          <a:effectLst/>
        </c:spPr>
      </c:pivotFmt>
      <c:pivotFmt>
        <c:idx val="820"/>
        <c:spPr>
          <a:solidFill>
            <a:schemeClr val="accent2"/>
          </a:solidFill>
          <a:ln w="19050">
            <a:solidFill>
              <a:schemeClr val="lt1"/>
            </a:solidFill>
          </a:ln>
          <a:effectLst/>
        </c:spPr>
      </c:pivotFmt>
      <c:pivotFmt>
        <c:idx val="821"/>
        <c:spPr>
          <a:solidFill>
            <a:schemeClr val="accent2"/>
          </a:solidFill>
          <a:ln w="19050">
            <a:solidFill>
              <a:schemeClr val="lt1"/>
            </a:solidFill>
          </a:ln>
          <a:effectLst/>
        </c:spPr>
      </c:pivotFmt>
      <c:pivotFmt>
        <c:idx val="822"/>
        <c:spPr>
          <a:solidFill>
            <a:schemeClr val="accent2"/>
          </a:solidFill>
          <a:ln w="19050">
            <a:solidFill>
              <a:schemeClr val="lt1"/>
            </a:solidFill>
          </a:ln>
          <a:effectLst/>
        </c:spPr>
      </c:pivotFmt>
      <c:pivotFmt>
        <c:idx val="823"/>
        <c:spPr>
          <a:solidFill>
            <a:schemeClr val="accent2"/>
          </a:solidFill>
          <a:ln w="19050">
            <a:solidFill>
              <a:schemeClr val="lt1"/>
            </a:solidFill>
          </a:ln>
          <a:effectLst/>
        </c:spPr>
      </c:pivotFmt>
      <c:pivotFmt>
        <c:idx val="824"/>
        <c:spPr>
          <a:solidFill>
            <a:schemeClr val="accent2"/>
          </a:solidFill>
          <a:ln w="19050">
            <a:solidFill>
              <a:schemeClr val="lt1"/>
            </a:solidFill>
          </a:ln>
          <a:effectLst/>
        </c:spPr>
      </c:pivotFmt>
      <c:pivotFmt>
        <c:idx val="825"/>
        <c:spPr>
          <a:solidFill>
            <a:schemeClr val="accent2"/>
          </a:solidFill>
          <a:ln w="19050">
            <a:solidFill>
              <a:schemeClr val="lt1"/>
            </a:solidFill>
          </a:ln>
          <a:effectLst/>
        </c:spPr>
      </c:pivotFmt>
      <c:pivotFmt>
        <c:idx val="826"/>
        <c:spPr>
          <a:solidFill>
            <a:schemeClr val="accent2"/>
          </a:solidFill>
          <a:ln w="19050">
            <a:solidFill>
              <a:schemeClr val="lt1"/>
            </a:solidFill>
          </a:ln>
          <a:effectLst/>
        </c:spPr>
      </c:pivotFmt>
      <c:pivotFmt>
        <c:idx val="827"/>
        <c:spPr>
          <a:solidFill>
            <a:schemeClr val="accent2"/>
          </a:solidFill>
          <a:ln w="19050">
            <a:solidFill>
              <a:schemeClr val="lt1"/>
            </a:solidFill>
          </a:ln>
          <a:effectLst/>
        </c:spPr>
      </c:pivotFmt>
      <c:pivotFmt>
        <c:idx val="828"/>
        <c:spPr>
          <a:solidFill>
            <a:schemeClr val="accent2"/>
          </a:solidFill>
          <a:ln w="19050">
            <a:solidFill>
              <a:schemeClr val="lt1"/>
            </a:solidFill>
          </a:ln>
          <a:effectLst/>
        </c:spPr>
      </c:pivotFmt>
      <c:pivotFmt>
        <c:idx val="829"/>
        <c:spPr>
          <a:solidFill>
            <a:schemeClr val="accent2"/>
          </a:solidFill>
          <a:ln w="19050">
            <a:solidFill>
              <a:schemeClr val="lt1"/>
            </a:solidFill>
          </a:ln>
          <a:effectLst/>
        </c:spPr>
      </c:pivotFmt>
      <c:pivotFmt>
        <c:idx val="830"/>
        <c:spPr>
          <a:solidFill>
            <a:schemeClr val="accent2"/>
          </a:solidFill>
          <a:ln w="19050">
            <a:solidFill>
              <a:schemeClr val="lt1"/>
            </a:solidFill>
          </a:ln>
          <a:effectLst/>
        </c:spPr>
      </c:pivotFmt>
      <c:pivotFmt>
        <c:idx val="831"/>
        <c:spPr>
          <a:solidFill>
            <a:schemeClr val="accent2"/>
          </a:solidFill>
          <a:ln w="19050">
            <a:solidFill>
              <a:schemeClr val="lt1"/>
            </a:solidFill>
          </a:ln>
          <a:effectLst/>
        </c:spPr>
      </c:pivotFmt>
      <c:pivotFmt>
        <c:idx val="832"/>
        <c:spPr>
          <a:solidFill>
            <a:schemeClr val="accent2"/>
          </a:solidFill>
          <a:ln w="19050">
            <a:solidFill>
              <a:schemeClr val="lt1"/>
            </a:solidFill>
          </a:ln>
          <a:effectLst/>
        </c:spPr>
      </c:pivotFmt>
      <c:pivotFmt>
        <c:idx val="833"/>
        <c:spPr>
          <a:solidFill>
            <a:schemeClr val="accent2"/>
          </a:solidFill>
          <a:ln w="19050">
            <a:solidFill>
              <a:schemeClr val="lt1"/>
            </a:solidFill>
          </a:ln>
          <a:effectLst/>
        </c:spPr>
      </c:pivotFmt>
      <c:pivotFmt>
        <c:idx val="834"/>
        <c:spPr>
          <a:solidFill>
            <a:schemeClr val="accent2"/>
          </a:solidFill>
          <a:ln w="19050">
            <a:solidFill>
              <a:schemeClr val="lt1"/>
            </a:solidFill>
          </a:ln>
          <a:effectLst/>
        </c:spPr>
      </c:pivotFmt>
      <c:pivotFmt>
        <c:idx val="835"/>
        <c:spPr>
          <a:solidFill>
            <a:schemeClr val="accent2"/>
          </a:solidFill>
          <a:ln w="19050">
            <a:solidFill>
              <a:schemeClr val="lt1"/>
            </a:solidFill>
          </a:ln>
          <a:effectLst/>
        </c:spPr>
      </c:pivotFmt>
      <c:pivotFmt>
        <c:idx val="836"/>
        <c:spPr>
          <a:solidFill>
            <a:schemeClr val="accent2"/>
          </a:solidFill>
          <a:ln w="19050">
            <a:solidFill>
              <a:schemeClr val="lt1"/>
            </a:solidFill>
          </a:ln>
          <a:effectLst/>
        </c:spPr>
      </c:pivotFmt>
      <c:pivotFmt>
        <c:idx val="837"/>
        <c:spPr>
          <a:solidFill>
            <a:schemeClr val="accent2"/>
          </a:solidFill>
          <a:ln w="19050">
            <a:solidFill>
              <a:schemeClr val="lt1"/>
            </a:solidFill>
          </a:ln>
          <a:effectLst/>
        </c:spPr>
      </c:pivotFmt>
      <c:pivotFmt>
        <c:idx val="838"/>
        <c:spPr>
          <a:solidFill>
            <a:schemeClr val="accent2"/>
          </a:solidFill>
          <a:ln w="19050">
            <a:solidFill>
              <a:schemeClr val="lt1"/>
            </a:solidFill>
          </a:ln>
          <a:effectLst/>
        </c:spPr>
      </c:pivotFmt>
      <c:pivotFmt>
        <c:idx val="839"/>
        <c:spPr>
          <a:solidFill>
            <a:schemeClr val="accent2"/>
          </a:solidFill>
          <a:ln w="19050">
            <a:solidFill>
              <a:schemeClr val="lt1"/>
            </a:solidFill>
          </a:ln>
          <a:effectLst/>
        </c:spPr>
      </c:pivotFmt>
      <c:pivotFmt>
        <c:idx val="840"/>
        <c:spPr>
          <a:solidFill>
            <a:schemeClr val="accent2"/>
          </a:solidFill>
          <a:ln w="19050">
            <a:solidFill>
              <a:schemeClr val="lt1"/>
            </a:solidFill>
          </a:ln>
          <a:effectLst/>
        </c:spPr>
      </c:pivotFmt>
      <c:pivotFmt>
        <c:idx val="841"/>
        <c:spPr>
          <a:solidFill>
            <a:schemeClr val="accent2"/>
          </a:solidFill>
          <a:ln w="19050">
            <a:solidFill>
              <a:schemeClr val="lt1"/>
            </a:solidFill>
          </a:ln>
          <a:effectLst/>
        </c:spPr>
      </c:pivotFmt>
      <c:pivotFmt>
        <c:idx val="842"/>
        <c:spPr>
          <a:solidFill>
            <a:schemeClr val="accent2"/>
          </a:solidFill>
          <a:ln w="19050">
            <a:solidFill>
              <a:schemeClr val="lt1"/>
            </a:solidFill>
          </a:ln>
          <a:effectLst/>
        </c:spPr>
      </c:pivotFmt>
      <c:pivotFmt>
        <c:idx val="843"/>
        <c:spPr>
          <a:solidFill>
            <a:schemeClr val="accent2"/>
          </a:solidFill>
          <a:ln w="19050">
            <a:solidFill>
              <a:schemeClr val="lt1"/>
            </a:solidFill>
          </a:ln>
          <a:effectLst/>
        </c:spPr>
      </c:pivotFmt>
      <c:pivotFmt>
        <c:idx val="844"/>
        <c:spPr>
          <a:solidFill>
            <a:schemeClr val="accent2"/>
          </a:solidFill>
          <a:ln w="19050">
            <a:solidFill>
              <a:schemeClr val="lt1"/>
            </a:solidFill>
          </a:ln>
          <a:effectLst/>
        </c:spPr>
      </c:pivotFmt>
      <c:pivotFmt>
        <c:idx val="845"/>
        <c:spPr>
          <a:solidFill>
            <a:schemeClr val="accent2"/>
          </a:solidFill>
          <a:ln w="19050">
            <a:solidFill>
              <a:schemeClr val="lt1"/>
            </a:solidFill>
          </a:ln>
          <a:effectLst/>
        </c:spPr>
      </c:pivotFmt>
      <c:pivotFmt>
        <c:idx val="846"/>
        <c:spPr>
          <a:solidFill>
            <a:schemeClr val="accent2"/>
          </a:solidFill>
          <a:ln w="19050">
            <a:solidFill>
              <a:schemeClr val="lt1"/>
            </a:solidFill>
          </a:ln>
          <a:effectLst/>
        </c:spPr>
      </c:pivotFmt>
      <c:pivotFmt>
        <c:idx val="847"/>
        <c:spPr>
          <a:solidFill>
            <a:schemeClr val="accent2"/>
          </a:solidFill>
          <a:ln w="19050">
            <a:solidFill>
              <a:schemeClr val="lt1"/>
            </a:solidFill>
          </a:ln>
          <a:effectLst/>
        </c:spPr>
      </c:pivotFmt>
      <c:pivotFmt>
        <c:idx val="848"/>
        <c:spPr>
          <a:solidFill>
            <a:schemeClr val="accent2"/>
          </a:solidFill>
          <a:ln w="19050">
            <a:solidFill>
              <a:schemeClr val="lt1"/>
            </a:solidFill>
          </a:ln>
          <a:effectLst/>
        </c:spPr>
      </c:pivotFmt>
      <c:pivotFmt>
        <c:idx val="849"/>
        <c:spPr>
          <a:solidFill>
            <a:schemeClr val="accent2"/>
          </a:solidFill>
          <a:ln w="19050">
            <a:solidFill>
              <a:schemeClr val="lt1"/>
            </a:solidFill>
          </a:ln>
          <a:effectLst/>
        </c:spPr>
      </c:pivotFmt>
      <c:pivotFmt>
        <c:idx val="850"/>
        <c:spPr>
          <a:solidFill>
            <a:schemeClr val="accent2"/>
          </a:solidFill>
          <a:ln w="19050">
            <a:solidFill>
              <a:schemeClr val="lt1"/>
            </a:solidFill>
          </a:ln>
          <a:effectLst/>
        </c:spPr>
      </c:pivotFmt>
      <c:pivotFmt>
        <c:idx val="851"/>
        <c:spPr>
          <a:solidFill>
            <a:schemeClr val="accent2"/>
          </a:solidFill>
          <a:ln w="19050">
            <a:solidFill>
              <a:schemeClr val="lt1"/>
            </a:solidFill>
          </a:ln>
          <a:effectLst/>
        </c:spPr>
      </c:pivotFmt>
      <c:pivotFmt>
        <c:idx val="852"/>
        <c:spPr>
          <a:solidFill>
            <a:schemeClr val="accent2"/>
          </a:solidFill>
          <a:ln w="19050">
            <a:solidFill>
              <a:schemeClr val="lt1"/>
            </a:solidFill>
          </a:ln>
          <a:effectLst/>
        </c:spPr>
      </c:pivotFmt>
      <c:pivotFmt>
        <c:idx val="853"/>
        <c:spPr>
          <a:solidFill>
            <a:schemeClr val="accent2"/>
          </a:solidFill>
          <a:ln w="19050">
            <a:solidFill>
              <a:schemeClr val="lt1"/>
            </a:solidFill>
          </a:ln>
          <a:effectLst/>
        </c:spPr>
      </c:pivotFmt>
      <c:pivotFmt>
        <c:idx val="854"/>
        <c:spPr>
          <a:solidFill>
            <a:schemeClr val="accent2"/>
          </a:solidFill>
          <a:ln w="19050">
            <a:solidFill>
              <a:schemeClr val="lt1"/>
            </a:solidFill>
          </a:ln>
          <a:effectLst/>
        </c:spPr>
      </c:pivotFmt>
      <c:pivotFmt>
        <c:idx val="855"/>
        <c:spPr>
          <a:solidFill>
            <a:schemeClr val="accent2"/>
          </a:solidFill>
          <a:ln w="19050">
            <a:solidFill>
              <a:schemeClr val="lt1"/>
            </a:solidFill>
          </a:ln>
          <a:effectLst/>
        </c:spPr>
      </c:pivotFmt>
      <c:pivotFmt>
        <c:idx val="856"/>
        <c:spPr>
          <a:solidFill>
            <a:schemeClr val="accent2"/>
          </a:solidFill>
          <a:ln w="19050">
            <a:solidFill>
              <a:schemeClr val="lt1"/>
            </a:solidFill>
          </a:ln>
          <a:effectLst/>
        </c:spPr>
      </c:pivotFmt>
      <c:pivotFmt>
        <c:idx val="857"/>
        <c:spPr>
          <a:solidFill>
            <a:schemeClr val="accent2"/>
          </a:solidFill>
          <a:ln w="19050">
            <a:solidFill>
              <a:schemeClr val="lt1"/>
            </a:solidFill>
          </a:ln>
          <a:effectLst/>
        </c:spPr>
      </c:pivotFmt>
      <c:pivotFmt>
        <c:idx val="858"/>
        <c:spPr>
          <a:solidFill>
            <a:schemeClr val="accent2"/>
          </a:solidFill>
          <a:ln w="19050">
            <a:solidFill>
              <a:schemeClr val="lt1"/>
            </a:solidFill>
          </a:ln>
          <a:effectLst/>
        </c:spPr>
      </c:pivotFmt>
      <c:pivotFmt>
        <c:idx val="859"/>
        <c:spPr>
          <a:solidFill>
            <a:schemeClr val="accent2"/>
          </a:solidFill>
          <a:ln w="19050">
            <a:solidFill>
              <a:schemeClr val="lt1"/>
            </a:solidFill>
          </a:ln>
          <a:effectLst/>
        </c:spPr>
      </c:pivotFmt>
      <c:pivotFmt>
        <c:idx val="860"/>
        <c:spPr>
          <a:solidFill>
            <a:schemeClr val="accent2"/>
          </a:solidFill>
          <a:ln w="19050">
            <a:solidFill>
              <a:schemeClr val="lt1"/>
            </a:solidFill>
          </a:ln>
          <a:effectLst/>
        </c:spPr>
      </c:pivotFmt>
      <c:pivotFmt>
        <c:idx val="861"/>
        <c:spPr>
          <a:solidFill>
            <a:schemeClr val="accent2"/>
          </a:solidFill>
          <a:ln w="19050">
            <a:solidFill>
              <a:schemeClr val="lt1"/>
            </a:solidFill>
          </a:ln>
          <a:effectLst/>
        </c:spPr>
      </c:pivotFmt>
      <c:pivotFmt>
        <c:idx val="862"/>
        <c:spPr>
          <a:solidFill>
            <a:schemeClr val="accent2"/>
          </a:solidFill>
          <a:ln w="19050">
            <a:solidFill>
              <a:schemeClr val="lt1"/>
            </a:solidFill>
          </a:ln>
          <a:effectLst/>
        </c:spPr>
      </c:pivotFmt>
      <c:pivotFmt>
        <c:idx val="863"/>
        <c:spPr>
          <a:solidFill>
            <a:schemeClr val="accent2"/>
          </a:solidFill>
          <a:ln w="19050">
            <a:solidFill>
              <a:schemeClr val="lt1"/>
            </a:solidFill>
          </a:ln>
          <a:effectLst/>
        </c:spPr>
      </c:pivotFmt>
      <c:pivotFmt>
        <c:idx val="864"/>
        <c:spPr>
          <a:solidFill>
            <a:schemeClr val="accent2"/>
          </a:solidFill>
          <a:ln w="19050">
            <a:solidFill>
              <a:schemeClr val="lt1"/>
            </a:solidFill>
          </a:ln>
          <a:effectLst/>
        </c:spPr>
      </c:pivotFmt>
      <c:pivotFmt>
        <c:idx val="865"/>
        <c:spPr>
          <a:solidFill>
            <a:schemeClr val="accent2"/>
          </a:solidFill>
          <a:ln w="19050">
            <a:solidFill>
              <a:schemeClr val="lt1"/>
            </a:solidFill>
          </a:ln>
          <a:effectLst/>
        </c:spPr>
      </c:pivotFmt>
      <c:pivotFmt>
        <c:idx val="866"/>
        <c:spPr>
          <a:solidFill>
            <a:schemeClr val="accent2"/>
          </a:solidFill>
          <a:ln w="19050">
            <a:solidFill>
              <a:schemeClr val="lt1"/>
            </a:solidFill>
          </a:ln>
          <a:effectLst/>
        </c:spPr>
      </c:pivotFmt>
      <c:pivotFmt>
        <c:idx val="867"/>
        <c:spPr>
          <a:solidFill>
            <a:schemeClr val="accent2"/>
          </a:solidFill>
          <a:ln w="19050">
            <a:solidFill>
              <a:schemeClr val="lt1"/>
            </a:solidFill>
          </a:ln>
          <a:effectLst/>
        </c:spPr>
      </c:pivotFmt>
      <c:pivotFmt>
        <c:idx val="868"/>
        <c:spPr>
          <a:solidFill>
            <a:schemeClr val="accent2"/>
          </a:solidFill>
          <a:ln w="19050">
            <a:solidFill>
              <a:schemeClr val="lt1"/>
            </a:solidFill>
          </a:ln>
          <a:effectLst/>
        </c:spPr>
      </c:pivotFmt>
      <c:pivotFmt>
        <c:idx val="869"/>
        <c:spPr>
          <a:solidFill>
            <a:schemeClr val="accent2"/>
          </a:solidFill>
          <a:ln w="19050">
            <a:solidFill>
              <a:schemeClr val="lt1"/>
            </a:solidFill>
          </a:ln>
          <a:effectLst/>
        </c:spPr>
      </c:pivotFmt>
      <c:pivotFmt>
        <c:idx val="87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1"/>
        <c:spPr>
          <a:solidFill>
            <a:schemeClr val="accent2"/>
          </a:solidFill>
          <a:ln w="19050">
            <a:solidFill>
              <a:schemeClr val="lt1"/>
            </a:solidFill>
          </a:ln>
          <a:effectLst/>
        </c:spPr>
      </c:pivotFmt>
      <c:pivotFmt>
        <c:idx val="872"/>
        <c:spPr>
          <a:solidFill>
            <a:schemeClr val="accent2"/>
          </a:solidFill>
          <a:ln w="19050">
            <a:solidFill>
              <a:schemeClr val="lt1"/>
            </a:solidFill>
          </a:ln>
          <a:effectLst/>
        </c:spPr>
      </c:pivotFmt>
      <c:pivotFmt>
        <c:idx val="873"/>
        <c:spPr>
          <a:solidFill>
            <a:schemeClr val="accent2"/>
          </a:solidFill>
          <a:ln w="19050">
            <a:solidFill>
              <a:schemeClr val="lt1"/>
            </a:solidFill>
          </a:ln>
          <a:effectLst/>
        </c:spPr>
      </c:pivotFmt>
      <c:pivotFmt>
        <c:idx val="874"/>
        <c:spPr>
          <a:solidFill>
            <a:schemeClr val="accent2"/>
          </a:solidFill>
          <a:ln w="19050">
            <a:solidFill>
              <a:schemeClr val="lt1"/>
            </a:solidFill>
          </a:ln>
          <a:effectLst/>
        </c:spPr>
      </c:pivotFmt>
      <c:pivotFmt>
        <c:idx val="875"/>
        <c:spPr>
          <a:solidFill>
            <a:schemeClr val="accent2"/>
          </a:solidFill>
          <a:ln w="19050">
            <a:solidFill>
              <a:schemeClr val="lt1"/>
            </a:solidFill>
          </a:ln>
          <a:effectLst/>
        </c:spPr>
      </c:pivotFmt>
      <c:pivotFmt>
        <c:idx val="876"/>
        <c:spPr>
          <a:solidFill>
            <a:schemeClr val="accent2"/>
          </a:solidFill>
          <a:ln w="19050">
            <a:solidFill>
              <a:schemeClr val="lt1"/>
            </a:solidFill>
          </a:ln>
          <a:effectLst/>
        </c:spPr>
      </c:pivotFmt>
      <c:pivotFmt>
        <c:idx val="877"/>
        <c:spPr>
          <a:solidFill>
            <a:schemeClr val="accent2"/>
          </a:solidFill>
          <a:ln w="19050">
            <a:solidFill>
              <a:schemeClr val="lt1"/>
            </a:solidFill>
          </a:ln>
          <a:effectLst/>
        </c:spPr>
      </c:pivotFmt>
      <c:pivotFmt>
        <c:idx val="878"/>
        <c:spPr>
          <a:solidFill>
            <a:schemeClr val="accent2"/>
          </a:solidFill>
          <a:ln w="19050">
            <a:solidFill>
              <a:schemeClr val="lt1"/>
            </a:solidFill>
          </a:ln>
          <a:effectLst/>
        </c:spPr>
      </c:pivotFmt>
      <c:pivotFmt>
        <c:idx val="879"/>
        <c:spPr>
          <a:solidFill>
            <a:schemeClr val="accent2"/>
          </a:solidFill>
          <a:ln w="19050">
            <a:solidFill>
              <a:schemeClr val="lt1"/>
            </a:solidFill>
          </a:ln>
          <a:effectLst/>
        </c:spPr>
      </c:pivotFmt>
      <c:pivotFmt>
        <c:idx val="880"/>
        <c:spPr>
          <a:solidFill>
            <a:schemeClr val="accent2"/>
          </a:solidFill>
          <a:ln w="19050">
            <a:solidFill>
              <a:schemeClr val="lt1"/>
            </a:solidFill>
          </a:ln>
          <a:effectLst/>
        </c:spPr>
      </c:pivotFmt>
      <c:pivotFmt>
        <c:idx val="881"/>
        <c:spPr>
          <a:solidFill>
            <a:schemeClr val="accent2"/>
          </a:solidFill>
          <a:ln w="19050">
            <a:solidFill>
              <a:schemeClr val="lt1"/>
            </a:solidFill>
          </a:ln>
          <a:effectLst/>
        </c:spPr>
      </c:pivotFmt>
      <c:pivotFmt>
        <c:idx val="882"/>
        <c:spPr>
          <a:solidFill>
            <a:schemeClr val="accent2"/>
          </a:solidFill>
          <a:ln w="19050">
            <a:solidFill>
              <a:schemeClr val="lt1"/>
            </a:solidFill>
          </a:ln>
          <a:effectLst/>
        </c:spPr>
      </c:pivotFmt>
      <c:pivotFmt>
        <c:idx val="883"/>
        <c:spPr>
          <a:solidFill>
            <a:schemeClr val="accent2"/>
          </a:solidFill>
          <a:ln w="19050">
            <a:solidFill>
              <a:schemeClr val="lt1"/>
            </a:solidFill>
          </a:ln>
          <a:effectLst/>
        </c:spPr>
      </c:pivotFmt>
      <c:pivotFmt>
        <c:idx val="884"/>
        <c:spPr>
          <a:solidFill>
            <a:schemeClr val="accent2"/>
          </a:solidFill>
          <a:ln w="19050">
            <a:solidFill>
              <a:schemeClr val="lt1"/>
            </a:solidFill>
          </a:ln>
          <a:effectLst/>
        </c:spPr>
      </c:pivotFmt>
      <c:pivotFmt>
        <c:idx val="885"/>
        <c:spPr>
          <a:solidFill>
            <a:schemeClr val="accent2"/>
          </a:solidFill>
          <a:ln w="19050">
            <a:solidFill>
              <a:schemeClr val="lt1"/>
            </a:solidFill>
          </a:ln>
          <a:effectLst/>
        </c:spPr>
      </c:pivotFmt>
      <c:pivotFmt>
        <c:idx val="886"/>
        <c:spPr>
          <a:solidFill>
            <a:schemeClr val="accent2"/>
          </a:solidFill>
          <a:ln w="19050">
            <a:solidFill>
              <a:schemeClr val="lt1"/>
            </a:solidFill>
          </a:ln>
          <a:effectLst/>
        </c:spPr>
      </c:pivotFmt>
      <c:pivotFmt>
        <c:idx val="887"/>
        <c:spPr>
          <a:solidFill>
            <a:schemeClr val="accent2"/>
          </a:solidFill>
          <a:ln w="19050">
            <a:solidFill>
              <a:schemeClr val="lt1"/>
            </a:solidFill>
          </a:ln>
          <a:effectLst/>
        </c:spPr>
      </c:pivotFmt>
      <c:pivotFmt>
        <c:idx val="888"/>
        <c:spPr>
          <a:solidFill>
            <a:schemeClr val="accent2"/>
          </a:solidFill>
          <a:ln w="19050">
            <a:solidFill>
              <a:schemeClr val="lt1"/>
            </a:solidFill>
          </a:ln>
          <a:effectLst/>
        </c:spPr>
      </c:pivotFmt>
      <c:pivotFmt>
        <c:idx val="889"/>
        <c:spPr>
          <a:solidFill>
            <a:schemeClr val="accent2"/>
          </a:solidFill>
          <a:ln w="19050">
            <a:solidFill>
              <a:schemeClr val="lt1"/>
            </a:solidFill>
          </a:ln>
          <a:effectLst/>
        </c:spPr>
      </c:pivotFmt>
      <c:pivotFmt>
        <c:idx val="890"/>
        <c:spPr>
          <a:solidFill>
            <a:schemeClr val="accent2"/>
          </a:solidFill>
          <a:ln w="19050">
            <a:solidFill>
              <a:schemeClr val="lt1"/>
            </a:solidFill>
          </a:ln>
          <a:effectLst/>
        </c:spPr>
      </c:pivotFmt>
      <c:pivotFmt>
        <c:idx val="891"/>
        <c:spPr>
          <a:solidFill>
            <a:schemeClr val="accent2"/>
          </a:solidFill>
          <a:ln w="19050">
            <a:solidFill>
              <a:schemeClr val="lt1"/>
            </a:solidFill>
          </a:ln>
          <a:effectLst/>
        </c:spPr>
      </c:pivotFmt>
      <c:pivotFmt>
        <c:idx val="892"/>
        <c:spPr>
          <a:solidFill>
            <a:schemeClr val="accent2"/>
          </a:solidFill>
          <a:ln w="19050">
            <a:solidFill>
              <a:schemeClr val="lt1"/>
            </a:solidFill>
          </a:ln>
          <a:effectLst/>
        </c:spPr>
      </c:pivotFmt>
      <c:pivotFmt>
        <c:idx val="893"/>
        <c:spPr>
          <a:solidFill>
            <a:schemeClr val="accent2"/>
          </a:solidFill>
          <a:ln w="19050">
            <a:solidFill>
              <a:schemeClr val="lt1"/>
            </a:solidFill>
          </a:ln>
          <a:effectLst/>
        </c:spPr>
      </c:pivotFmt>
      <c:pivotFmt>
        <c:idx val="894"/>
        <c:spPr>
          <a:solidFill>
            <a:schemeClr val="accent2"/>
          </a:solidFill>
          <a:ln w="19050">
            <a:solidFill>
              <a:schemeClr val="lt1"/>
            </a:solidFill>
          </a:ln>
          <a:effectLst/>
        </c:spPr>
      </c:pivotFmt>
      <c:pivotFmt>
        <c:idx val="895"/>
        <c:spPr>
          <a:solidFill>
            <a:schemeClr val="accent2"/>
          </a:solidFill>
          <a:ln w="19050">
            <a:solidFill>
              <a:schemeClr val="lt1"/>
            </a:solidFill>
          </a:ln>
          <a:effectLst/>
        </c:spPr>
      </c:pivotFmt>
      <c:pivotFmt>
        <c:idx val="896"/>
        <c:spPr>
          <a:solidFill>
            <a:schemeClr val="accent2"/>
          </a:solidFill>
          <a:ln w="19050">
            <a:solidFill>
              <a:schemeClr val="lt1"/>
            </a:solidFill>
          </a:ln>
          <a:effectLst/>
        </c:spPr>
      </c:pivotFmt>
      <c:pivotFmt>
        <c:idx val="897"/>
        <c:spPr>
          <a:solidFill>
            <a:schemeClr val="accent2"/>
          </a:solidFill>
          <a:ln w="19050">
            <a:solidFill>
              <a:schemeClr val="lt1"/>
            </a:solidFill>
          </a:ln>
          <a:effectLst/>
        </c:spPr>
      </c:pivotFmt>
      <c:pivotFmt>
        <c:idx val="898"/>
        <c:spPr>
          <a:solidFill>
            <a:schemeClr val="accent2"/>
          </a:solidFill>
          <a:ln w="19050">
            <a:solidFill>
              <a:schemeClr val="lt1"/>
            </a:solidFill>
          </a:ln>
          <a:effectLst/>
        </c:spPr>
      </c:pivotFmt>
      <c:pivotFmt>
        <c:idx val="899"/>
        <c:spPr>
          <a:solidFill>
            <a:schemeClr val="accent2"/>
          </a:solidFill>
          <a:ln w="19050">
            <a:solidFill>
              <a:schemeClr val="lt1"/>
            </a:solidFill>
          </a:ln>
          <a:effectLst/>
        </c:spPr>
      </c:pivotFmt>
      <c:pivotFmt>
        <c:idx val="900"/>
        <c:spPr>
          <a:solidFill>
            <a:schemeClr val="accent2"/>
          </a:solidFill>
          <a:ln w="19050">
            <a:solidFill>
              <a:schemeClr val="lt1"/>
            </a:solidFill>
          </a:ln>
          <a:effectLst/>
        </c:spPr>
      </c:pivotFmt>
      <c:pivotFmt>
        <c:idx val="901"/>
        <c:spPr>
          <a:solidFill>
            <a:schemeClr val="accent2"/>
          </a:solidFill>
          <a:ln w="19050">
            <a:solidFill>
              <a:schemeClr val="lt1"/>
            </a:solidFill>
          </a:ln>
          <a:effectLst/>
        </c:spPr>
      </c:pivotFmt>
      <c:pivotFmt>
        <c:idx val="902"/>
        <c:spPr>
          <a:solidFill>
            <a:schemeClr val="accent2"/>
          </a:solidFill>
          <a:ln w="19050">
            <a:solidFill>
              <a:schemeClr val="lt1"/>
            </a:solidFill>
          </a:ln>
          <a:effectLst/>
        </c:spPr>
      </c:pivotFmt>
      <c:pivotFmt>
        <c:idx val="903"/>
        <c:spPr>
          <a:solidFill>
            <a:schemeClr val="accent2"/>
          </a:solidFill>
          <a:ln w="19050">
            <a:solidFill>
              <a:schemeClr val="lt1"/>
            </a:solidFill>
          </a:ln>
          <a:effectLst/>
        </c:spPr>
      </c:pivotFmt>
      <c:pivotFmt>
        <c:idx val="904"/>
        <c:spPr>
          <a:solidFill>
            <a:schemeClr val="accent2"/>
          </a:solidFill>
          <a:ln w="19050">
            <a:solidFill>
              <a:schemeClr val="lt1"/>
            </a:solidFill>
          </a:ln>
          <a:effectLst/>
        </c:spPr>
      </c:pivotFmt>
      <c:pivotFmt>
        <c:idx val="905"/>
        <c:spPr>
          <a:solidFill>
            <a:schemeClr val="accent2"/>
          </a:solidFill>
          <a:ln w="19050">
            <a:solidFill>
              <a:schemeClr val="lt1"/>
            </a:solidFill>
          </a:ln>
          <a:effectLst/>
        </c:spPr>
      </c:pivotFmt>
      <c:pivotFmt>
        <c:idx val="906"/>
        <c:spPr>
          <a:solidFill>
            <a:schemeClr val="accent2"/>
          </a:solidFill>
          <a:ln w="19050">
            <a:solidFill>
              <a:schemeClr val="lt1"/>
            </a:solidFill>
          </a:ln>
          <a:effectLst/>
        </c:spPr>
      </c:pivotFmt>
      <c:pivotFmt>
        <c:idx val="907"/>
        <c:spPr>
          <a:solidFill>
            <a:schemeClr val="accent2"/>
          </a:solidFill>
          <a:ln w="19050">
            <a:solidFill>
              <a:schemeClr val="lt1"/>
            </a:solidFill>
          </a:ln>
          <a:effectLst/>
        </c:spPr>
      </c:pivotFmt>
      <c:pivotFmt>
        <c:idx val="908"/>
        <c:spPr>
          <a:solidFill>
            <a:schemeClr val="accent2"/>
          </a:solidFill>
          <a:ln w="19050">
            <a:solidFill>
              <a:schemeClr val="lt1"/>
            </a:solidFill>
          </a:ln>
          <a:effectLst/>
        </c:spPr>
      </c:pivotFmt>
      <c:pivotFmt>
        <c:idx val="909"/>
        <c:spPr>
          <a:solidFill>
            <a:schemeClr val="accent2"/>
          </a:solidFill>
          <a:ln w="19050">
            <a:solidFill>
              <a:schemeClr val="lt1"/>
            </a:solidFill>
          </a:ln>
          <a:effectLst/>
        </c:spPr>
      </c:pivotFmt>
      <c:pivotFmt>
        <c:idx val="910"/>
        <c:spPr>
          <a:solidFill>
            <a:schemeClr val="accent2"/>
          </a:solidFill>
          <a:ln w="19050">
            <a:solidFill>
              <a:schemeClr val="lt1"/>
            </a:solidFill>
          </a:ln>
          <a:effectLst/>
        </c:spPr>
      </c:pivotFmt>
      <c:pivotFmt>
        <c:idx val="911"/>
        <c:spPr>
          <a:solidFill>
            <a:schemeClr val="accent2"/>
          </a:solidFill>
          <a:ln w="19050">
            <a:solidFill>
              <a:schemeClr val="lt1"/>
            </a:solidFill>
          </a:ln>
          <a:effectLst/>
        </c:spPr>
      </c:pivotFmt>
      <c:pivotFmt>
        <c:idx val="912"/>
        <c:spPr>
          <a:solidFill>
            <a:schemeClr val="accent2"/>
          </a:solidFill>
          <a:ln w="19050">
            <a:solidFill>
              <a:schemeClr val="lt1"/>
            </a:solidFill>
          </a:ln>
          <a:effectLst/>
        </c:spPr>
      </c:pivotFmt>
      <c:pivotFmt>
        <c:idx val="913"/>
        <c:spPr>
          <a:solidFill>
            <a:schemeClr val="accent2"/>
          </a:solidFill>
          <a:ln w="19050">
            <a:solidFill>
              <a:schemeClr val="lt1"/>
            </a:solidFill>
          </a:ln>
          <a:effectLst/>
        </c:spPr>
      </c:pivotFmt>
      <c:pivotFmt>
        <c:idx val="914"/>
        <c:spPr>
          <a:solidFill>
            <a:schemeClr val="accent2"/>
          </a:solidFill>
          <a:ln w="19050">
            <a:solidFill>
              <a:schemeClr val="lt1"/>
            </a:solidFill>
          </a:ln>
          <a:effectLst/>
        </c:spPr>
      </c:pivotFmt>
      <c:pivotFmt>
        <c:idx val="915"/>
        <c:spPr>
          <a:solidFill>
            <a:schemeClr val="accent2"/>
          </a:solidFill>
          <a:ln w="19050">
            <a:solidFill>
              <a:schemeClr val="lt1"/>
            </a:solidFill>
          </a:ln>
          <a:effectLst/>
        </c:spPr>
      </c:pivotFmt>
      <c:pivotFmt>
        <c:idx val="916"/>
        <c:spPr>
          <a:solidFill>
            <a:schemeClr val="accent2"/>
          </a:solidFill>
          <a:ln w="19050">
            <a:solidFill>
              <a:schemeClr val="lt1"/>
            </a:solidFill>
          </a:ln>
          <a:effectLst/>
        </c:spPr>
      </c:pivotFmt>
      <c:pivotFmt>
        <c:idx val="917"/>
        <c:spPr>
          <a:solidFill>
            <a:schemeClr val="accent2"/>
          </a:solidFill>
          <a:ln w="19050">
            <a:solidFill>
              <a:schemeClr val="lt1"/>
            </a:solidFill>
          </a:ln>
          <a:effectLst/>
        </c:spPr>
      </c:pivotFmt>
      <c:pivotFmt>
        <c:idx val="918"/>
        <c:spPr>
          <a:solidFill>
            <a:schemeClr val="accent2"/>
          </a:solidFill>
          <a:ln w="19050">
            <a:solidFill>
              <a:schemeClr val="lt1"/>
            </a:solidFill>
          </a:ln>
          <a:effectLst/>
        </c:spPr>
      </c:pivotFmt>
      <c:pivotFmt>
        <c:idx val="919"/>
        <c:spPr>
          <a:solidFill>
            <a:schemeClr val="accent2"/>
          </a:solidFill>
          <a:ln w="19050">
            <a:solidFill>
              <a:schemeClr val="lt1"/>
            </a:solidFill>
          </a:ln>
          <a:effectLst/>
        </c:spPr>
      </c:pivotFmt>
      <c:pivotFmt>
        <c:idx val="920"/>
        <c:spPr>
          <a:solidFill>
            <a:schemeClr val="accent2"/>
          </a:solidFill>
          <a:ln w="19050">
            <a:solidFill>
              <a:schemeClr val="lt1"/>
            </a:solidFill>
          </a:ln>
          <a:effectLst/>
        </c:spPr>
      </c:pivotFmt>
      <c:pivotFmt>
        <c:idx val="921"/>
        <c:spPr>
          <a:solidFill>
            <a:schemeClr val="accent2"/>
          </a:solidFill>
          <a:ln w="19050">
            <a:solidFill>
              <a:schemeClr val="lt1"/>
            </a:solidFill>
          </a:ln>
          <a:effectLst/>
        </c:spPr>
      </c:pivotFmt>
      <c:pivotFmt>
        <c:idx val="922"/>
        <c:spPr>
          <a:solidFill>
            <a:schemeClr val="accent2"/>
          </a:solidFill>
          <a:ln w="19050">
            <a:solidFill>
              <a:schemeClr val="lt1"/>
            </a:solidFill>
          </a:ln>
          <a:effectLst/>
        </c:spPr>
      </c:pivotFmt>
      <c:pivotFmt>
        <c:idx val="923"/>
        <c:spPr>
          <a:solidFill>
            <a:schemeClr val="accent2"/>
          </a:solidFill>
          <a:ln w="19050">
            <a:solidFill>
              <a:schemeClr val="lt1"/>
            </a:solidFill>
          </a:ln>
          <a:effectLst/>
        </c:spPr>
      </c:pivotFmt>
      <c:pivotFmt>
        <c:idx val="924"/>
        <c:spPr>
          <a:solidFill>
            <a:schemeClr val="accent2"/>
          </a:solidFill>
          <a:ln w="19050">
            <a:solidFill>
              <a:schemeClr val="lt1"/>
            </a:solidFill>
          </a:ln>
          <a:effectLst/>
        </c:spPr>
      </c:pivotFmt>
      <c:pivotFmt>
        <c:idx val="925"/>
        <c:spPr>
          <a:solidFill>
            <a:schemeClr val="accent2"/>
          </a:solidFill>
          <a:ln w="19050">
            <a:solidFill>
              <a:schemeClr val="lt1"/>
            </a:solidFill>
          </a:ln>
          <a:effectLst/>
        </c:spPr>
      </c:pivotFmt>
      <c:pivotFmt>
        <c:idx val="926"/>
        <c:spPr>
          <a:solidFill>
            <a:schemeClr val="accent2"/>
          </a:solidFill>
          <a:ln w="19050">
            <a:solidFill>
              <a:schemeClr val="lt1"/>
            </a:solidFill>
          </a:ln>
          <a:effectLst/>
        </c:spPr>
      </c:pivotFmt>
      <c:pivotFmt>
        <c:idx val="927"/>
        <c:spPr>
          <a:solidFill>
            <a:schemeClr val="accent2"/>
          </a:solidFill>
          <a:ln w="19050">
            <a:solidFill>
              <a:schemeClr val="lt1"/>
            </a:solidFill>
          </a:ln>
          <a:effectLst/>
        </c:spPr>
      </c:pivotFmt>
      <c:pivotFmt>
        <c:idx val="928"/>
        <c:spPr>
          <a:solidFill>
            <a:schemeClr val="accent2"/>
          </a:solidFill>
          <a:ln w="19050">
            <a:solidFill>
              <a:schemeClr val="lt1"/>
            </a:solidFill>
          </a:ln>
          <a:effectLst/>
        </c:spPr>
      </c:pivotFmt>
      <c:pivotFmt>
        <c:idx val="929"/>
        <c:spPr>
          <a:solidFill>
            <a:schemeClr val="accent2"/>
          </a:solidFill>
          <a:ln w="19050">
            <a:solidFill>
              <a:schemeClr val="lt1"/>
            </a:solidFill>
          </a:ln>
          <a:effectLst/>
        </c:spPr>
      </c:pivotFmt>
      <c:pivotFmt>
        <c:idx val="930"/>
        <c:spPr>
          <a:solidFill>
            <a:schemeClr val="accent2"/>
          </a:solidFill>
          <a:ln w="19050">
            <a:solidFill>
              <a:schemeClr val="lt1"/>
            </a:solidFill>
          </a:ln>
          <a:effectLst/>
        </c:spPr>
      </c:pivotFmt>
      <c:pivotFmt>
        <c:idx val="931"/>
        <c:spPr>
          <a:solidFill>
            <a:schemeClr val="accent2"/>
          </a:solidFill>
          <a:ln w="19050">
            <a:solidFill>
              <a:schemeClr val="lt1"/>
            </a:solidFill>
          </a:ln>
          <a:effectLst/>
        </c:spPr>
      </c:pivotFmt>
      <c:pivotFmt>
        <c:idx val="932"/>
        <c:spPr>
          <a:solidFill>
            <a:schemeClr val="accent2"/>
          </a:solidFill>
          <a:ln w="19050">
            <a:solidFill>
              <a:schemeClr val="lt1"/>
            </a:solidFill>
          </a:ln>
          <a:effectLst/>
        </c:spPr>
      </c:pivotFmt>
      <c:pivotFmt>
        <c:idx val="933"/>
        <c:spPr>
          <a:solidFill>
            <a:schemeClr val="accent2"/>
          </a:solidFill>
          <a:ln w="19050">
            <a:solidFill>
              <a:schemeClr val="lt1"/>
            </a:solidFill>
          </a:ln>
          <a:effectLst/>
        </c:spPr>
      </c:pivotFmt>
      <c:pivotFmt>
        <c:idx val="934"/>
        <c:spPr>
          <a:solidFill>
            <a:schemeClr val="accent2"/>
          </a:solidFill>
          <a:ln w="19050">
            <a:solidFill>
              <a:schemeClr val="lt1"/>
            </a:solidFill>
          </a:ln>
          <a:effectLst/>
        </c:spPr>
      </c:pivotFmt>
      <c:pivotFmt>
        <c:idx val="935"/>
        <c:spPr>
          <a:solidFill>
            <a:schemeClr val="accent2"/>
          </a:solidFill>
          <a:ln w="19050">
            <a:solidFill>
              <a:schemeClr val="lt1"/>
            </a:solidFill>
          </a:ln>
          <a:effectLst/>
        </c:spPr>
      </c:pivotFmt>
      <c:pivotFmt>
        <c:idx val="936"/>
        <c:spPr>
          <a:solidFill>
            <a:schemeClr val="accent2"/>
          </a:solidFill>
          <a:ln w="19050">
            <a:solidFill>
              <a:schemeClr val="lt1"/>
            </a:solidFill>
          </a:ln>
          <a:effectLst/>
        </c:spPr>
      </c:pivotFmt>
      <c:pivotFmt>
        <c:idx val="937"/>
        <c:spPr>
          <a:solidFill>
            <a:schemeClr val="accent2"/>
          </a:solidFill>
          <a:ln w="19050">
            <a:solidFill>
              <a:schemeClr val="lt1"/>
            </a:solidFill>
          </a:ln>
          <a:effectLst/>
        </c:spPr>
      </c:pivotFmt>
      <c:pivotFmt>
        <c:idx val="938"/>
        <c:spPr>
          <a:solidFill>
            <a:schemeClr val="accent2"/>
          </a:solidFill>
          <a:ln w="19050">
            <a:solidFill>
              <a:schemeClr val="lt1"/>
            </a:solidFill>
          </a:ln>
          <a:effectLst/>
        </c:spPr>
      </c:pivotFmt>
      <c:pivotFmt>
        <c:idx val="939"/>
        <c:spPr>
          <a:solidFill>
            <a:schemeClr val="accent2"/>
          </a:solidFill>
          <a:ln w="19050">
            <a:solidFill>
              <a:schemeClr val="lt1"/>
            </a:solidFill>
          </a:ln>
          <a:effectLst/>
        </c:spPr>
      </c:pivotFmt>
      <c:pivotFmt>
        <c:idx val="940"/>
        <c:spPr>
          <a:solidFill>
            <a:schemeClr val="accent2"/>
          </a:solidFill>
          <a:ln w="19050">
            <a:solidFill>
              <a:schemeClr val="lt1"/>
            </a:solidFill>
          </a:ln>
          <a:effectLst/>
        </c:spPr>
      </c:pivotFmt>
      <c:pivotFmt>
        <c:idx val="941"/>
        <c:spPr>
          <a:solidFill>
            <a:schemeClr val="accent2"/>
          </a:solidFill>
          <a:ln w="19050">
            <a:solidFill>
              <a:schemeClr val="lt1"/>
            </a:solidFill>
          </a:ln>
          <a:effectLst/>
        </c:spPr>
      </c:pivotFmt>
      <c:pivotFmt>
        <c:idx val="942"/>
        <c:spPr>
          <a:solidFill>
            <a:schemeClr val="accent2"/>
          </a:solidFill>
          <a:ln w="19050">
            <a:solidFill>
              <a:schemeClr val="lt1"/>
            </a:solidFill>
          </a:ln>
          <a:effectLst/>
        </c:spPr>
      </c:pivotFmt>
      <c:pivotFmt>
        <c:idx val="943"/>
        <c:spPr>
          <a:solidFill>
            <a:schemeClr val="accent2"/>
          </a:solidFill>
          <a:ln w="19050">
            <a:solidFill>
              <a:schemeClr val="lt1"/>
            </a:solidFill>
          </a:ln>
          <a:effectLst/>
        </c:spPr>
      </c:pivotFmt>
      <c:pivotFmt>
        <c:idx val="944"/>
        <c:spPr>
          <a:solidFill>
            <a:schemeClr val="accent2"/>
          </a:solidFill>
          <a:ln w="19050">
            <a:solidFill>
              <a:schemeClr val="lt1"/>
            </a:solidFill>
          </a:ln>
          <a:effectLst/>
        </c:spPr>
      </c:pivotFmt>
      <c:pivotFmt>
        <c:idx val="945"/>
        <c:spPr>
          <a:solidFill>
            <a:schemeClr val="accent2"/>
          </a:solidFill>
          <a:ln w="19050">
            <a:solidFill>
              <a:schemeClr val="lt1"/>
            </a:solidFill>
          </a:ln>
          <a:effectLst/>
        </c:spPr>
      </c:pivotFmt>
      <c:pivotFmt>
        <c:idx val="946"/>
        <c:spPr>
          <a:solidFill>
            <a:schemeClr val="accent2"/>
          </a:solidFill>
          <a:ln w="19050">
            <a:solidFill>
              <a:schemeClr val="lt1"/>
            </a:solidFill>
          </a:ln>
          <a:effectLst/>
        </c:spPr>
      </c:pivotFmt>
      <c:pivotFmt>
        <c:idx val="947"/>
        <c:spPr>
          <a:solidFill>
            <a:schemeClr val="accent2"/>
          </a:solidFill>
          <a:ln w="19050">
            <a:solidFill>
              <a:schemeClr val="lt1"/>
            </a:solidFill>
          </a:ln>
          <a:effectLst/>
        </c:spPr>
      </c:pivotFmt>
      <c:pivotFmt>
        <c:idx val="948"/>
        <c:spPr>
          <a:solidFill>
            <a:schemeClr val="accent2"/>
          </a:solidFill>
          <a:ln w="19050">
            <a:solidFill>
              <a:schemeClr val="lt1"/>
            </a:solidFill>
          </a:ln>
          <a:effectLst/>
        </c:spPr>
      </c:pivotFmt>
      <c:pivotFmt>
        <c:idx val="949"/>
        <c:spPr>
          <a:solidFill>
            <a:schemeClr val="accent2"/>
          </a:solidFill>
          <a:ln w="19050">
            <a:solidFill>
              <a:schemeClr val="lt1"/>
            </a:solidFill>
          </a:ln>
          <a:effectLst/>
        </c:spPr>
      </c:pivotFmt>
      <c:pivotFmt>
        <c:idx val="950"/>
        <c:spPr>
          <a:solidFill>
            <a:schemeClr val="accent2"/>
          </a:solidFill>
          <a:ln w="19050">
            <a:solidFill>
              <a:schemeClr val="lt1"/>
            </a:solidFill>
          </a:ln>
          <a:effectLst/>
        </c:spPr>
      </c:pivotFmt>
      <c:pivotFmt>
        <c:idx val="951"/>
        <c:spPr>
          <a:solidFill>
            <a:schemeClr val="accent2"/>
          </a:solidFill>
          <a:ln w="19050">
            <a:solidFill>
              <a:schemeClr val="lt1"/>
            </a:solidFill>
          </a:ln>
          <a:effectLst/>
        </c:spPr>
      </c:pivotFmt>
      <c:pivotFmt>
        <c:idx val="952"/>
        <c:spPr>
          <a:solidFill>
            <a:schemeClr val="accent2"/>
          </a:solidFill>
          <a:ln w="19050">
            <a:solidFill>
              <a:schemeClr val="lt1"/>
            </a:solidFill>
          </a:ln>
          <a:effectLst/>
        </c:spPr>
      </c:pivotFmt>
      <c:pivotFmt>
        <c:idx val="953"/>
        <c:spPr>
          <a:solidFill>
            <a:schemeClr val="accent2"/>
          </a:solidFill>
          <a:ln w="19050">
            <a:solidFill>
              <a:schemeClr val="lt1"/>
            </a:solidFill>
          </a:ln>
          <a:effectLst/>
        </c:spPr>
      </c:pivotFmt>
      <c:pivotFmt>
        <c:idx val="954"/>
        <c:spPr>
          <a:solidFill>
            <a:schemeClr val="accent2"/>
          </a:solidFill>
          <a:ln w="19050">
            <a:solidFill>
              <a:schemeClr val="lt1"/>
            </a:solidFill>
          </a:ln>
          <a:effectLst/>
        </c:spPr>
      </c:pivotFmt>
      <c:pivotFmt>
        <c:idx val="955"/>
        <c:spPr>
          <a:solidFill>
            <a:schemeClr val="accent2"/>
          </a:solidFill>
          <a:ln w="19050">
            <a:solidFill>
              <a:schemeClr val="lt1"/>
            </a:solidFill>
          </a:ln>
          <a:effectLst/>
        </c:spPr>
      </c:pivotFmt>
      <c:pivotFmt>
        <c:idx val="956"/>
        <c:spPr>
          <a:solidFill>
            <a:schemeClr val="accent2"/>
          </a:solidFill>
          <a:ln w="19050">
            <a:solidFill>
              <a:schemeClr val="lt1"/>
            </a:solidFill>
          </a:ln>
          <a:effectLst/>
        </c:spPr>
      </c:pivotFmt>
      <c:pivotFmt>
        <c:idx val="957"/>
        <c:spPr>
          <a:solidFill>
            <a:schemeClr val="accent2"/>
          </a:solidFill>
          <a:ln w="19050">
            <a:solidFill>
              <a:schemeClr val="lt1"/>
            </a:solidFill>
          </a:ln>
          <a:effectLst/>
        </c:spPr>
      </c:pivotFmt>
      <c:pivotFmt>
        <c:idx val="958"/>
        <c:spPr>
          <a:solidFill>
            <a:schemeClr val="accent2"/>
          </a:solidFill>
          <a:ln w="19050">
            <a:solidFill>
              <a:schemeClr val="lt1"/>
            </a:solidFill>
          </a:ln>
          <a:effectLst/>
        </c:spPr>
      </c:pivotFmt>
      <c:pivotFmt>
        <c:idx val="959"/>
        <c:spPr>
          <a:solidFill>
            <a:schemeClr val="accent2"/>
          </a:solidFill>
          <a:ln w="19050">
            <a:solidFill>
              <a:schemeClr val="lt1"/>
            </a:solidFill>
          </a:ln>
          <a:effectLst/>
        </c:spPr>
      </c:pivotFmt>
      <c:pivotFmt>
        <c:idx val="960"/>
        <c:spPr>
          <a:solidFill>
            <a:schemeClr val="accent2"/>
          </a:solidFill>
          <a:ln w="19050">
            <a:solidFill>
              <a:schemeClr val="lt1"/>
            </a:solidFill>
          </a:ln>
          <a:effectLst/>
        </c:spPr>
      </c:pivotFmt>
      <c:pivotFmt>
        <c:idx val="961"/>
        <c:spPr>
          <a:solidFill>
            <a:schemeClr val="accent2"/>
          </a:solidFill>
          <a:ln w="19050">
            <a:solidFill>
              <a:schemeClr val="lt1"/>
            </a:solidFill>
          </a:ln>
          <a:effectLst/>
        </c:spPr>
      </c:pivotFmt>
      <c:pivotFmt>
        <c:idx val="962"/>
        <c:spPr>
          <a:solidFill>
            <a:schemeClr val="accent2"/>
          </a:solidFill>
          <a:ln w="19050">
            <a:solidFill>
              <a:schemeClr val="lt1"/>
            </a:solidFill>
          </a:ln>
          <a:effectLst/>
        </c:spPr>
      </c:pivotFmt>
      <c:pivotFmt>
        <c:idx val="963"/>
        <c:spPr>
          <a:solidFill>
            <a:schemeClr val="accent2"/>
          </a:solidFill>
          <a:ln w="19050">
            <a:solidFill>
              <a:schemeClr val="lt1"/>
            </a:solidFill>
          </a:ln>
          <a:effectLst/>
        </c:spPr>
      </c:pivotFmt>
      <c:pivotFmt>
        <c:idx val="964"/>
        <c:spPr>
          <a:solidFill>
            <a:schemeClr val="accent2"/>
          </a:solidFill>
          <a:ln w="19050">
            <a:solidFill>
              <a:schemeClr val="lt1"/>
            </a:solidFill>
          </a:ln>
          <a:effectLst/>
        </c:spPr>
      </c:pivotFmt>
      <c:pivotFmt>
        <c:idx val="965"/>
        <c:spPr>
          <a:solidFill>
            <a:schemeClr val="accent2"/>
          </a:solidFill>
          <a:ln w="19050">
            <a:solidFill>
              <a:schemeClr val="lt1"/>
            </a:solidFill>
          </a:ln>
          <a:effectLst/>
        </c:spPr>
      </c:pivotFmt>
      <c:pivotFmt>
        <c:idx val="966"/>
        <c:spPr>
          <a:solidFill>
            <a:schemeClr val="accent2"/>
          </a:solidFill>
          <a:ln w="19050">
            <a:solidFill>
              <a:schemeClr val="lt1"/>
            </a:solidFill>
          </a:ln>
          <a:effectLst/>
        </c:spPr>
      </c:pivotFmt>
      <c:pivotFmt>
        <c:idx val="967"/>
        <c:spPr>
          <a:solidFill>
            <a:schemeClr val="accent2"/>
          </a:solidFill>
          <a:ln w="19050">
            <a:solidFill>
              <a:schemeClr val="lt1"/>
            </a:solidFill>
          </a:ln>
          <a:effectLst/>
        </c:spPr>
      </c:pivotFmt>
      <c:pivotFmt>
        <c:idx val="968"/>
        <c:spPr>
          <a:solidFill>
            <a:schemeClr val="accent2"/>
          </a:solidFill>
          <a:ln w="19050">
            <a:solidFill>
              <a:schemeClr val="lt1"/>
            </a:solidFill>
          </a:ln>
          <a:effectLst/>
        </c:spPr>
      </c:pivotFmt>
      <c:pivotFmt>
        <c:idx val="969"/>
        <c:spPr>
          <a:solidFill>
            <a:schemeClr val="accent2"/>
          </a:solidFill>
          <a:ln w="19050">
            <a:solidFill>
              <a:schemeClr val="lt1"/>
            </a:solidFill>
          </a:ln>
          <a:effectLst/>
        </c:spPr>
      </c:pivotFmt>
      <c:pivotFmt>
        <c:idx val="970"/>
        <c:spPr>
          <a:solidFill>
            <a:schemeClr val="accent2"/>
          </a:solidFill>
          <a:ln w="19050">
            <a:solidFill>
              <a:schemeClr val="lt1"/>
            </a:solidFill>
          </a:ln>
          <a:effectLst/>
        </c:spPr>
      </c:pivotFmt>
      <c:pivotFmt>
        <c:idx val="971"/>
        <c:spPr>
          <a:solidFill>
            <a:schemeClr val="accent2"/>
          </a:solidFill>
          <a:ln w="19050">
            <a:solidFill>
              <a:schemeClr val="lt1"/>
            </a:solidFill>
          </a:ln>
          <a:effectLst/>
        </c:spPr>
      </c:pivotFmt>
      <c:pivotFmt>
        <c:idx val="972"/>
        <c:spPr>
          <a:solidFill>
            <a:schemeClr val="accent2"/>
          </a:solidFill>
          <a:ln w="19050">
            <a:solidFill>
              <a:schemeClr val="lt1"/>
            </a:solidFill>
          </a:ln>
          <a:effectLst/>
        </c:spPr>
      </c:pivotFmt>
      <c:pivotFmt>
        <c:idx val="973"/>
        <c:spPr>
          <a:solidFill>
            <a:schemeClr val="accent2"/>
          </a:solidFill>
          <a:ln w="19050">
            <a:solidFill>
              <a:schemeClr val="lt1"/>
            </a:solidFill>
          </a:ln>
          <a:effectLst/>
        </c:spPr>
      </c:pivotFmt>
      <c:pivotFmt>
        <c:idx val="974"/>
        <c:spPr>
          <a:solidFill>
            <a:schemeClr val="accent2"/>
          </a:solidFill>
          <a:ln w="19050">
            <a:solidFill>
              <a:schemeClr val="lt1"/>
            </a:solidFill>
          </a:ln>
          <a:effectLst/>
        </c:spPr>
      </c:pivotFmt>
      <c:pivotFmt>
        <c:idx val="975"/>
        <c:spPr>
          <a:solidFill>
            <a:schemeClr val="accent2"/>
          </a:solidFill>
          <a:ln w="19050">
            <a:solidFill>
              <a:schemeClr val="lt1"/>
            </a:solidFill>
          </a:ln>
          <a:effectLst/>
        </c:spPr>
      </c:pivotFmt>
      <c:pivotFmt>
        <c:idx val="976"/>
        <c:spPr>
          <a:solidFill>
            <a:schemeClr val="accent2"/>
          </a:solidFill>
          <a:ln w="19050">
            <a:solidFill>
              <a:schemeClr val="lt1"/>
            </a:solidFill>
          </a:ln>
          <a:effectLst/>
        </c:spPr>
      </c:pivotFmt>
      <c:pivotFmt>
        <c:idx val="977"/>
        <c:spPr>
          <a:solidFill>
            <a:schemeClr val="accent2"/>
          </a:solidFill>
          <a:ln w="19050">
            <a:solidFill>
              <a:schemeClr val="lt1"/>
            </a:solidFill>
          </a:ln>
          <a:effectLst/>
        </c:spPr>
      </c:pivotFmt>
      <c:pivotFmt>
        <c:idx val="978"/>
        <c:spPr>
          <a:solidFill>
            <a:schemeClr val="accent2"/>
          </a:solidFill>
          <a:ln w="19050">
            <a:solidFill>
              <a:schemeClr val="lt1"/>
            </a:solidFill>
          </a:ln>
          <a:effectLst/>
        </c:spPr>
      </c:pivotFmt>
      <c:pivotFmt>
        <c:idx val="979"/>
        <c:spPr>
          <a:solidFill>
            <a:schemeClr val="accent2"/>
          </a:solidFill>
          <a:ln w="19050">
            <a:solidFill>
              <a:schemeClr val="lt1"/>
            </a:solidFill>
          </a:ln>
          <a:effectLst/>
        </c:spPr>
      </c:pivotFmt>
      <c:pivotFmt>
        <c:idx val="980"/>
        <c:spPr>
          <a:solidFill>
            <a:schemeClr val="accent2"/>
          </a:solidFill>
          <a:ln w="19050">
            <a:solidFill>
              <a:schemeClr val="lt1"/>
            </a:solidFill>
          </a:ln>
          <a:effectLst/>
        </c:spPr>
      </c:pivotFmt>
      <c:pivotFmt>
        <c:idx val="981"/>
        <c:spPr>
          <a:solidFill>
            <a:schemeClr val="accent2"/>
          </a:solidFill>
          <a:ln w="19050">
            <a:solidFill>
              <a:schemeClr val="lt1"/>
            </a:solidFill>
          </a:ln>
          <a:effectLst/>
        </c:spPr>
      </c:pivotFmt>
      <c:pivotFmt>
        <c:idx val="982"/>
        <c:spPr>
          <a:solidFill>
            <a:schemeClr val="accent2"/>
          </a:solidFill>
          <a:ln w="19050">
            <a:solidFill>
              <a:schemeClr val="lt1"/>
            </a:solidFill>
          </a:ln>
          <a:effectLst/>
        </c:spPr>
      </c:pivotFmt>
      <c:pivotFmt>
        <c:idx val="983"/>
        <c:spPr>
          <a:solidFill>
            <a:schemeClr val="accent2"/>
          </a:solidFill>
          <a:ln w="19050">
            <a:solidFill>
              <a:schemeClr val="lt1"/>
            </a:solidFill>
          </a:ln>
          <a:effectLst/>
        </c:spPr>
      </c:pivotFmt>
      <c:pivotFmt>
        <c:idx val="984"/>
        <c:spPr>
          <a:solidFill>
            <a:schemeClr val="accent2"/>
          </a:solidFill>
          <a:ln w="19050">
            <a:solidFill>
              <a:schemeClr val="lt1"/>
            </a:solidFill>
          </a:ln>
          <a:effectLst/>
        </c:spPr>
      </c:pivotFmt>
      <c:pivotFmt>
        <c:idx val="985"/>
        <c:spPr>
          <a:solidFill>
            <a:schemeClr val="accent2"/>
          </a:solidFill>
          <a:ln w="19050">
            <a:solidFill>
              <a:schemeClr val="lt1"/>
            </a:solidFill>
          </a:ln>
          <a:effectLst/>
        </c:spPr>
      </c:pivotFmt>
      <c:pivotFmt>
        <c:idx val="986"/>
        <c:spPr>
          <a:solidFill>
            <a:schemeClr val="accent2"/>
          </a:solidFill>
          <a:ln w="19050">
            <a:solidFill>
              <a:schemeClr val="lt1"/>
            </a:solidFill>
          </a:ln>
          <a:effectLst/>
        </c:spPr>
      </c:pivotFmt>
      <c:pivotFmt>
        <c:idx val="987"/>
        <c:spPr>
          <a:solidFill>
            <a:schemeClr val="accent2"/>
          </a:solidFill>
          <a:ln w="19050">
            <a:solidFill>
              <a:schemeClr val="lt1"/>
            </a:solidFill>
          </a:ln>
          <a:effectLst/>
        </c:spPr>
      </c:pivotFmt>
      <c:pivotFmt>
        <c:idx val="988"/>
        <c:spPr>
          <a:solidFill>
            <a:schemeClr val="accent2"/>
          </a:solidFill>
          <a:ln w="19050">
            <a:solidFill>
              <a:schemeClr val="lt1"/>
            </a:solidFill>
          </a:ln>
          <a:effectLst/>
        </c:spPr>
      </c:pivotFmt>
      <c:pivotFmt>
        <c:idx val="989"/>
        <c:spPr>
          <a:solidFill>
            <a:schemeClr val="accent2"/>
          </a:solidFill>
          <a:ln w="19050">
            <a:solidFill>
              <a:schemeClr val="lt1"/>
            </a:solidFill>
          </a:ln>
          <a:effectLst/>
        </c:spPr>
      </c:pivotFmt>
      <c:pivotFmt>
        <c:idx val="990"/>
        <c:spPr>
          <a:solidFill>
            <a:schemeClr val="accent2"/>
          </a:solidFill>
          <a:ln w="19050">
            <a:solidFill>
              <a:schemeClr val="lt1"/>
            </a:solidFill>
          </a:ln>
          <a:effectLst/>
        </c:spPr>
      </c:pivotFmt>
      <c:pivotFmt>
        <c:idx val="991"/>
        <c:spPr>
          <a:solidFill>
            <a:schemeClr val="accent2"/>
          </a:solidFill>
          <a:ln w="19050">
            <a:solidFill>
              <a:schemeClr val="lt1"/>
            </a:solidFill>
          </a:ln>
          <a:effectLst/>
        </c:spPr>
      </c:pivotFmt>
      <c:pivotFmt>
        <c:idx val="992"/>
        <c:spPr>
          <a:solidFill>
            <a:schemeClr val="accent2"/>
          </a:solidFill>
          <a:ln w="19050">
            <a:solidFill>
              <a:schemeClr val="lt1"/>
            </a:solidFill>
          </a:ln>
          <a:effectLst/>
        </c:spPr>
      </c:pivotFmt>
      <c:pivotFmt>
        <c:idx val="993"/>
        <c:spPr>
          <a:solidFill>
            <a:schemeClr val="accent2"/>
          </a:solidFill>
          <a:ln w="19050">
            <a:solidFill>
              <a:schemeClr val="lt1"/>
            </a:solidFill>
          </a:ln>
          <a:effectLst/>
        </c:spPr>
      </c:pivotFmt>
      <c:pivotFmt>
        <c:idx val="994"/>
        <c:spPr>
          <a:solidFill>
            <a:schemeClr val="accent2"/>
          </a:solidFill>
          <a:ln w="19050">
            <a:solidFill>
              <a:schemeClr val="lt1"/>
            </a:solidFill>
          </a:ln>
          <a:effectLst/>
        </c:spPr>
      </c:pivotFmt>
      <c:pivotFmt>
        <c:idx val="995"/>
        <c:spPr>
          <a:solidFill>
            <a:schemeClr val="accent2"/>
          </a:solidFill>
          <a:ln w="19050">
            <a:solidFill>
              <a:schemeClr val="lt1"/>
            </a:solidFill>
          </a:ln>
          <a:effectLst/>
        </c:spPr>
      </c:pivotFmt>
      <c:pivotFmt>
        <c:idx val="996"/>
        <c:spPr>
          <a:solidFill>
            <a:schemeClr val="accent2"/>
          </a:solidFill>
          <a:ln w="19050">
            <a:solidFill>
              <a:schemeClr val="lt1"/>
            </a:solidFill>
          </a:ln>
          <a:effectLst/>
        </c:spPr>
      </c:pivotFmt>
      <c:pivotFmt>
        <c:idx val="997"/>
        <c:spPr>
          <a:solidFill>
            <a:schemeClr val="accent2"/>
          </a:solidFill>
          <a:ln w="19050">
            <a:solidFill>
              <a:schemeClr val="lt1"/>
            </a:solidFill>
          </a:ln>
          <a:effectLst/>
        </c:spPr>
      </c:pivotFmt>
      <c:pivotFmt>
        <c:idx val="998"/>
        <c:spPr>
          <a:solidFill>
            <a:schemeClr val="accent2"/>
          </a:solidFill>
          <a:ln w="19050">
            <a:solidFill>
              <a:schemeClr val="lt1"/>
            </a:solidFill>
          </a:ln>
          <a:effectLst/>
        </c:spPr>
      </c:pivotFmt>
      <c:pivotFmt>
        <c:idx val="999"/>
        <c:spPr>
          <a:solidFill>
            <a:schemeClr val="accent2"/>
          </a:solidFill>
          <a:ln w="19050">
            <a:solidFill>
              <a:schemeClr val="lt1"/>
            </a:solidFill>
          </a:ln>
          <a:effectLst/>
        </c:spPr>
      </c:pivotFmt>
      <c:pivotFmt>
        <c:idx val="1000"/>
        <c:spPr>
          <a:solidFill>
            <a:schemeClr val="accent2"/>
          </a:solidFill>
          <a:ln w="19050">
            <a:solidFill>
              <a:schemeClr val="lt1"/>
            </a:solidFill>
          </a:ln>
          <a:effectLst/>
        </c:spPr>
      </c:pivotFmt>
      <c:pivotFmt>
        <c:idx val="1001"/>
        <c:spPr>
          <a:solidFill>
            <a:schemeClr val="accent2"/>
          </a:solidFill>
          <a:ln w="19050">
            <a:solidFill>
              <a:schemeClr val="lt1"/>
            </a:solidFill>
          </a:ln>
          <a:effectLst/>
        </c:spPr>
      </c:pivotFmt>
      <c:pivotFmt>
        <c:idx val="1002"/>
        <c:spPr>
          <a:solidFill>
            <a:schemeClr val="accent2"/>
          </a:solidFill>
          <a:ln w="19050">
            <a:solidFill>
              <a:schemeClr val="lt1"/>
            </a:solidFill>
          </a:ln>
          <a:effectLst/>
        </c:spPr>
      </c:pivotFmt>
      <c:pivotFmt>
        <c:idx val="1003"/>
        <c:spPr>
          <a:solidFill>
            <a:schemeClr val="accent2"/>
          </a:solidFill>
          <a:ln w="19050">
            <a:solidFill>
              <a:schemeClr val="lt1"/>
            </a:solidFill>
          </a:ln>
          <a:effectLst/>
        </c:spPr>
      </c:pivotFmt>
      <c:pivotFmt>
        <c:idx val="1004"/>
        <c:spPr>
          <a:solidFill>
            <a:schemeClr val="accent2"/>
          </a:solidFill>
          <a:ln w="19050">
            <a:solidFill>
              <a:schemeClr val="lt1"/>
            </a:solidFill>
          </a:ln>
          <a:effectLst/>
        </c:spPr>
      </c:pivotFmt>
      <c:pivotFmt>
        <c:idx val="1005"/>
        <c:spPr>
          <a:solidFill>
            <a:schemeClr val="accent2"/>
          </a:solidFill>
          <a:ln w="19050">
            <a:solidFill>
              <a:schemeClr val="lt1"/>
            </a:solidFill>
          </a:ln>
          <a:effectLst/>
        </c:spPr>
      </c:pivotFmt>
      <c:pivotFmt>
        <c:idx val="1006"/>
        <c:spPr>
          <a:solidFill>
            <a:schemeClr val="accent2"/>
          </a:solidFill>
          <a:ln w="19050">
            <a:solidFill>
              <a:schemeClr val="lt1"/>
            </a:solidFill>
          </a:ln>
          <a:effectLst/>
        </c:spPr>
      </c:pivotFmt>
      <c:pivotFmt>
        <c:idx val="1007"/>
        <c:spPr>
          <a:solidFill>
            <a:schemeClr val="accent2"/>
          </a:solidFill>
          <a:ln w="19050">
            <a:solidFill>
              <a:schemeClr val="lt1"/>
            </a:solidFill>
          </a:ln>
          <a:effectLst/>
        </c:spPr>
      </c:pivotFmt>
      <c:pivotFmt>
        <c:idx val="1008"/>
        <c:spPr>
          <a:solidFill>
            <a:schemeClr val="accent2"/>
          </a:solidFill>
          <a:ln w="19050">
            <a:solidFill>
              <a:schemeClr val="lt1"/>
            </a:solidFill>
          </a:ln>
          <a:effectLst/>
        </c:spPr>
      </c:pivotFmt>
      <c:pivotFmt>
        <c:idx val="1009"/>
        <c:spPr>
          <a:solidFill>
            <a:schemeClr val="accent2"/>
          </a:solidFill>
          <a:ln w="19050">
            <a:solidFill>
              <a:schemeClr val="lt1"/>
            </a:solidFill>
          </a:ln>
          <a:effectLst/>
        </c:spPr>
      </c:pivotFmt>
      <c:pivotFmt>
        <c:idx val="1010"/>
        <c:spPr>
          <a:solidFill>
            <a:schemeClr val="accent2"/>
          </a:solidFill>
          <a:ln w="19050">
            <a:solidFill>
              <a:schemeClr val="lt1"/>
            </a:solidFill>
          </a:ln>
          <a:effectLst/>
        </c:spPr>
      </c:pivotFmt>
      <c:pivotFmt>
        <c:idx val="1011"/>
        <c:spPr>
          <a:solidFill>
            <a:schemeClr val="accent2"/>
          </a:solidFill>
          <a:ln w="19050">
            <a:solidFill>
              <a:schemeClr val="lt1"/>
            </a:solidFill>
          </a:ln>
          <a:effectLst/>
        </c:spPr>
      </c:pivotFmt>
      <c:pivotFmt>
        <c:idx val="1012"/>
        <c:spPr>
          <a:solidFill>
            <a:schemeClr val="accent2"/>
          </a:solidFill>
          <a:ln w="19050">
            <a:solidFill>
              <a:schemeClr val="lt1"/>
            </a:solidFill>
          </a:ln>
          <a:effectLst/>
        </c:spPr>
      </c:pivotFmt>
      <c:pivotFmt>
        <c:idx val="1013"/>
        <c:spPr>
          <a:solidFill>
            <a:schemeClr val="accent2"/>
          </a:solidFill>
          <a:ln w="19050">
            <a:solidFill>
              <a:schemeClr val="lt1"/>
            </a:solidFill>
          </a:ln>
          <a:effectLst/>
        </c:spPr>
      </c:pivotFmt>
      <c:pivotFmt>
        <c:idx val="1014"/>
        <c:spPr>
          <a:solidFill>
            <a:schemeClr val="accent2"/>
          </a:solidFill>
          <a:ln w="19050">
            <a:solidFill>
              <a:schemeClr val="lt1"/>
            </a:solidFill>
          </a:ln>
          <a:effectLst/>
        </c:spPr>
      </c:pivotFmt>
      <c:pivotFmt>
        <c:idx val="1015"/>
        <c:spPr>
          <a:solidFill>
            <a:schemeClr val="accent2"/>
          </a:solidFill>
          <a:ln w="19050">
            <a:solidFill>
              <a:schemeClr val="lt1"/>
            </a:solidFill>
          </a:ln>
          <a:effectLst/>
        </c:spPr>
      </c:pivotFmt>
      <c:pivotFmt>
        <c:idx val="1016"/>
        <c:spPr>
          <a:solidFill>
            <a:schemeClr val="accent2"/>
          </a:solidFill>
          <a:ln w="19050">
            <a:solidFill>
              <a:schemeClr val="lt1"/>
            </a:solidFill>
          </a:ln>
          <a:effectLst/>
        </c:spPr>
      </c:pivotFmt>
      <c:pivotFmt>
        <c:idx val="1017"/>
        <c:spPr>
          <a:solidFill>
            <a:schemeClr val="accent2"/>
          </a:solidFill>
          <a:ln w="19050">
            <a:solidFill>
              <a:schemeClr val="lt1"/>
            </a:solidFill>
          </a:ln>
          <a:effectLst/>
        </c:spPr>
      </c:pivotFmt>
      <c:pivotFmt>
        <c:idx val="1018"/>
        <c:spPr>
          <a:solidFill>
            <a:schemeClr val="accent2"/>
          </a:solidFill>
          <a:ln w="19050">
            <a:solidFill>
              <a:schemeClr val="lt1"/>
            </a:solidFill>
          </a:ln>
          <a:effectLst/>
        </c:spPr>
      </c:pivotFmt>
      <c:pivotFmt>
        <c:idx val="1019"/>
        <c:spPr>
          <a:solidFill>
            <a:schemeClr val="accent2"/>
          </a:solidFill>
          <a:ln w="19050">
            <a:solidFill>
              <a:schemeClr val="lt1"/>
            </a:solidFill>
          </a:ln>
          <a:effectLst/>
        </c:spPr>
      </c:pivotFmt>
      <c:pivotFmt>
        <c:idx val="1020"/>
        <c:spPr>
          <a:solidFill>
            <a:schemeClr val="accent2"/>
          </a:solidFill>
          <a:ln w="19050">
            <a:solidFill>
              <a:schemeClr val="lt1"/>
            </a:solidFill>
          </a:ln>
          <a:effectLst/>
        </c:spPr>
      </c:pivotFmt>
      <c:pivotFmt>
        <c:idx val="1021"/>
        <c:spPr>
          <a:solidFill>
            <a:schemeClr val="accent2"/>
          </a:solidFill>
          <a:ln w="19050">
            <a:solidFill>
              <a:schemeClr val="lt1"/>
            </a:solidFill>
          </a:ln>
          <a:effectLst/>
        </c:spPr>
      </c:pivotFmt>
      <c:pivotFmt>
        <c:idx val="1022"/>
        <c:spPr>
          <a:solidFill>
            <a:schemeClr val="accent2"/>
          </a:solidFill>
          <a:ln w="19050">
            <a:solidFill>
              <a:schemeClr val="lt1"/>
            </a:solidFill>
          </a:ln>
          <a:effectLst/>
        </c:spPr>
      </c:pivotFmt>
      <c:pivotFmt>
        <c:idx val="1023"/>
        <c:spPr>
          <a:solidFill>
            <a:schemeClr val="accent2"/>
          </a:solidFill>
          <a:ln w="19050">
            <a:solidFill>
              <a:schemeClr val="lt1"/>
            </a:solidFill>
          </a:ln>
          <a:effectLst/>
        </c:spPr>
      </c:pivotFmt>
      <c:pivotFmt>
        <c:idx val="1024"/>
        <c:spPr>
          <a:solidFill>
            <a:schemeClr val="accent2"/>
          </a:solidFill>
          <a:ln w="19050">
            <a:solidFill>
              <a:schemeClr val="lt1"/>
            </a:solidFill>
          </a:ln>
          <a:effectLst/>
        </c:spPr>
      </c:pivotFmt>
      <c:pivotFmt>
        <c:idx val="1025"/>
        <c:spPr>
          <a:solidFill>
            <a:schemeClr val="accent2"/>
          </a:solidFill>
          <a:ln w="19050">
            <a:solidFill>
              <a:schemeClr val="lt1"/>
            </a:solidFill>
          </a:ln>
          <a:effectLst/>
        </c:spPr>
      </c:pivotFmt>
      <c:pivotFmt>
        <c:idx val="1026"/>
        <c:spPr>
          <a:solidFill>
            <a:schemeClr val="accent2"/>
          </a:solidFill>
          <a:ln w="19050">
            <a:solidFill>
              <a:schemeClr val="lt1"/>
            </a:solidFill>
          </a:ln>
          <a:effectLst/>
        </c:spPr>
      </c:pivotFmt>
      <c:pivotFmt>
        <c:idx val="1027"/>
        <c:spPr>
          <a:solidFill>
            <a:schemeClr val="accent2"/>
          </a:solidFill>
          <a:ln w="19050">
            <a:solidFill>
              <a:schemeClr val="lt1"/>
            </a:solidFill>
          </a:ln>
          <a:effectLst/>
        </c:spPr>
      </c:pivotFmt>
      <c:pivotFmt>
        <c:idx val="1028"/>
        <c:spPr>
          <a:solidFill>
            <a:schemeClr val="accent2"/>
          </a:solidFill>
          <a:ln w="19050">
            <a:solidFill>
              <a:schemeClr val="lt1"/>
            </a:solidFill>
          </a:ln>
          <a:effectLst/>
        </c:spPr>
      </c:pivotFmt>
      <c:pivotFmt>
        <c:idx val="1029"/>
        <c:spPr>
          <a:solidFill>
            <a:schemeClr val="accent2"/>
          </a:solidFill>
          <a:ln w="19050">
            <a:solidFill>
              <a:schemeClr val="lt1"/>
            </a:solidFill>
          </a:ln>
          <a:effectLst/>
        </c:spPr>
      </c:pivotFmt>
      <c:pivotFmt>
        <c:idx val="1030"/>
        <c:spPr>
          <a:solidFill>
            <a:schemeClr val="accent2"/>
          </a:solidFill>
          <a:ln w="19050">
            <a:solidFill>
              <a:schemeClr val="lt1"/>
            </a:solidFill>
          </a:ln>
          <a:effectLst/>
        </c:spPr>
      </c:pivotFmt>
      <c:pivotFmt>
        <c:idx val="1031"/>
        <c:spPr>
          <a:solidFill>
            <a:schemeClr val="accent2"/>
          </a:solidFill>
          <a:ln w="19050">
            <a:solidFill>
              <a:schemeClr val="lt1"/>
            </a:solidFill>
          </a:ln>
          <a:effectLst/>
        </c:spPr>
      </c:pivotFmt>
      <c:pivotFmt>
        <c:idx val="1032"/>
        <c:spPr>
          <a:solidFill>
            <a:schemeClr val="accent2"/>
          </a:solidFill>
          <a:ln w="19050">
            <a:solidFill>
              <a:schemeClr val="lt1"/>
            </a:solidFill>
          </a:ln>
          <a:effectLst/>
        </c:spPr>
      </c:pivotFmt>
      <c:pivotFmt>
        <c:idx val="1033"/>
        <c:spPr>
          <a:solidFill>
            <a:schemeClr val="accent2"/>
          </a:solidFill>
          <a:ln w="19050">
            <a:solidFill>
              <a:schemeClr val="lt1"/>
            </a:solidFill>
          </a:ln>
          <a:effectLst/>
        </c:spPr>
      </c:pivotFmt>
      <c:pivotFmt>
        <c:idx val="1034"/>
        <c:spPr>
          <a:solidFill>
            <a:schemeClr val="accent2"/>
          </a:solidFill>
          <a:ln w="19050">
            <a:solidFill>
              <a:schemeClr val="lt1"/>
            </a:solidFill>
          </a:ln>
          <a:effectLst/>
        </c:spPr>
      </c:pivotFmt>
      <c:pivotFmt>
        <c:idx val="1035"/>
        <c:spPr>
          <a:solidFill>
            <a:schemeClr val="accent2"/>
          </a:solidFill>
          <a:ln w="19050">
            <a:solidFill>
              <a:schemeClr val="lt1"/>
            </a:solidFill>
          </a:ln>
          <a:effectLst/>
        </c:spPr>
      </c:pivotFmt>
      <c:pivotFmt>
        <c:idx val="1036"/>
        <c:spPr>
          <a:solidFill>
            <a:schemeClr val="accent2"/>
          </a:solidFill>
          <a:ln w="19050">
            <a:solidFill>
              <a:schemeClr val="lt1"/>
            </a:solidFill>
          </a:ln>
          <a:effectLst/>
        </c:spPr>
      </c:pivotFmt>
      <c:pivotFmt>
        <c:idx val="1037"/>
        <c:spPr>
          <a:solidFill>
            <a:schemeClr val="accent2"/>
          </a:solidFill>
          <a:ln w="19050">
            <a:solidFill>
              <a:schemeClr val="lt1"/>
            </a:solidFill>
          </a:ln>
          <a:effectLst/>
        </c:spPr>
      </c:pivotFmt>
      <c:pivotFmt>
        <c:idx val="1038"/>
        <c:spPr>
          <a:solidFill>
            <a:schemeClr val="accent2"/>
          </a:solidFill>
          <a:ln w="19050">
            <a:solidFill>
              <a:schemeClr val="lt1"/>
            </a:solidFill>
          </a:ln>
          <a:effectLst/>
        </c:spPr>
      </c:pivotFmt>
      <c:pivotFmt>
        <c:idx val="1039"/>
        <c:spPr>
          <a:solidFill>
            <a:schemeClr val="accent2"/>
          </a:solidFill>
          <a:ln w="19050">
            <a:solidFill>
              <a:schemeClr val="lt1"/>
            </a:solidFill>
          </a:ln>
          <a:effectLst/>
        </c:spPr>
      </c:pivotFmt>
      <c:pivotFmt>
        <c:idx val="1040"/>
        <c:spPr>
          <a:solidFill>
            <a:schemeClr val="accent2"/>
          </a:solidFill>
          <a:ln w="19050">
            <a:solidFill>
              <a:schemeClr val="lt1"/>
            </a:solidFill>
          </a:ln>
          <a:effectLst/>
        </c:spPr>
      </c:pivotFmt>
      <c:pivotFmt>
        <c:idx val="1041"/>
        <c:spPr>
          <a:solidFill>
            <a:schemeClr val="accent2"/>
          </a:solidFill>
          <a:ln w="19050">
            <a:solidFill>
              <a:schemeClr val="lt1"/>
            </a:solidFill>
          </a:ln>
          <a:effectLst/>
        </c:spPr>
      </c:pivotFmt>
      <c:pivotFmt>
        <c:idx val="1042"/>
        <c:spPr>
          <a:solidFill>
            <a:schemeClr val="accent2"/>
          </a:solidFill>
          <a:ln w="19050">
            <a:solidFill>
              <a:schemeClr val="lt1"/>
            </a:solidFill>
          </a:ln>
          <a:effectLst/>
        </c:spPr>
      </c:pivotFmt>
      <c:pivotFmt>
        <c:idx val="1043"/>
        <c:spPr>
          <a:solidFill>
            <a:schemeClr val="accent2"/>
          </a:solidFill>
          <a:ln w="19050">
            <a:solidFill>
              <a:schemeClr val="lt1"/>
            </a:solidFill>
          </a:ln>
          <a:effectLst/>
        </c:spPr>
      </c:pivotFmt>
      <c:pivotFmt>
        <c:idx val="1044"/>
        <c:spPr>
          <a:solidFill>
            <a:schemeClr val="accent2"/>
          </a:solidFill>
          <a:ln w="19050">
            <a:solidFill>
              <a:schemeClr val="lt1"/>
            </a:solidFill>
          </a:ln>
          <a:effectLst/>
        </c:spPr>
      </c:pivotFmt>
      <c:pivotFmt>
        <c:idx val="1045"/>
        <c:spPr>
          <a:solidFill>
            <a:schemeClr val="accent2"/>
          </a:solidFill>
          <a:ln w="19050">
            <a:solidFill>
              <a:schemeClr val="lt1"/>
            </a:solidFill>
          </a:ln>
          <a:effectLst/>
        </c:spPr>
      </c:pivotFmt>
      <c:pivotFmt>
        <c:idx val="1046"/>
        <c:spPr>
          <a:solidFill>
            <a:schemeClr val="accent2"/>
          </a:solidFill>
          <a:ln w="19050">
            <a:solidFill>
              <a:schemeClr val="lt1"/>
            </a:solidFill>
          </a:ln>
          <a:effectLst/>
        </c:spPr>
      </c:pivotFmt>
      <c:pivotFmt>
        <c:idx val="1047"/>
        <c:spPr>
          <a:solidFill>
            <a:schemeClr val="accent2"/>
          </a:solidFill>
          <a:ln w="19050">
            <a:solidFill>
              <a:schemeClr val="lt1"/>
            </a:solidFill>
          </a:ln>
          <a:effectLst/>
        </c:spPr>
      </c:pivotFmt>
      <c:pivotFmt>
        <c:idx val="1048"/>
        <c:spPr>
          <a:solidFill>
            <a:schemeClr val="accent2"/>
          </a:solidFill>
          <a:ln w="19050">
            <a:solidFill>
              <a:schemeClr val="lt1"/>
            </a:solidFill>
          </a:ln>
          <a:effectLst/>
        </c:spPr>
      </c:pivotFmt>
      <c:pivotFmt>
        <c:idx val="1049"/>
        <c:spPr>
          <a:solidFill>
            <a:schemeClr val="accent2"/>
          </a:solidFill>
          <a:ln w="19050">
            <a:solidFill>
              <a:schemeClr val="lt1"/>
            </a:solidFill>
          </a:ln>
          <a:effectLst/>
        </c:spPr>
      </c:pivotFmt>
      <c:pivotFmt>
        <c:idx val="1050"/>
        <c:spPr>
          <a:solidFill>
            <a:schemeClr val="accent2"/>
          </a:solidFill>
          <a:ln w="19050">
            <a:solidFill>
              <a:schemeClr val="lt1"/>
            </a:solidFill>
          </a:ln>
          <a:effectLst/>
        </c:spPr>
      </c:pivotFmt>
      <c:pivotFmt>
        <c:idx val="1051"/>
        <c:spPr>
          <a:solidFill>
            <a:schemeClr val="accent2"/>
          </a:solidFill>
          <a:ln w="19050">
            <a:solidFill>
              <a:schemeClr val="lt1"/>
            </a:solidFill>
          </a:ln>
          <a:effectLst/>
        </c:spPr>
      </c:pivotFmt>
      <c:pivotFmt>
        <c:idx val="1052"/>
        <c:spPr>
          <a:solidFill>
            <a:schemeClr val="accent2"/>
          </a:solidFill>
          <a:ln w="19050">
            <a:solidFill>
              <a:schemeClr val="lt1"/>
            </a:solidFill>
          </a:ln>
          <a:effectLst/>
        </c:spPr>
      </c:pivotFmt>
      <c:pivotFmt>
        <c:idx val="1053"/>
        <c:spPr>
          <a:solidFill>
            <a:schemeClr val="accent2"/>
          </a:solidFill>
          <a:ln w="19050">
            <a:solidFill>
              <a:schemeClr val="lt1"/>
            </a:solidFill>
          </a:ln>
          <a:effectLst/>
        </c:spPr>
      </c:pivotFmt>
      <c:pivotFmt>
        <c:idx val="1054"/>
        <c:spPr>
          <a:solidFill>
            <a:schemeClr val="accent2"/>
          </a:solidFill>
          <a:ln w="19050">
            <a:solidFill>
              <a:schemeClr val="lt1"/>
            </a:solidFill>
          </a:ln>
          <a:effectLst/>
        </c:spPr>
      </c:pivotFmt>
      <c:pivotFmt>
        <c:idx val="1055"/>
        <c:spPr>
          <a:solidFill>
            <a:schemeClr val="accent2"/>
          </a:solidFill>
          <a:ln w="19050">
            <a:solidFill>
              <a:schemeClr val="lt1"/>
            </a:solidFill>
          </a:ln>
          <a:effectLst/>
        </c:spPr>
      </c:pivotFmt>
      <c:pivotFmt>
        <c:idx val="1056"/>
        <c:spPr>
          <a:solidFill>
            <a:schemeClr val="accent2"/>
          </a:solidFill>
          <a:ln w="19050">
            <a:solidFill>
              <a:schemeClr val="lt1"/>
            </a:solidFill>
          </a:ln>
          <a:effectLst/>
        </c:spPr>
      </c:pivotFmt>
      <c:pivotFmt>
        <c:idx val="1057"/>
        <c:spPr>
          <a:solidFill>
            <a:schemeClr val="accent2"/>
          </a:solidFill>
          <a:ln w="19050">
            <a:solidFill>
              <a:schemeClr val="lt1"/>
            </a:solidFill>
          </a:ln>
          <a:effectLst/>
        </c:spPr>
      </c:pivotFmt>
      <c:pivotFmt>
        <c:idx val="1058"/>
        <c:spPr>
          <a:solidFill>
            <a:schemeClr val="accent2"/>
          </a:solidFill>
          <a:ln w="19050">
            <a:solidFill>
              <a:schemeClr val="lt1"/>
            </a:solidFill>
          </a:ln>
          <a:effectLst/>
        </c:spPr>
      </c:pivotFmt>
      <c:pivotFmt>
        <c:idx val="1059"/>
        <c:spPr>
          <a:solidFill>
            <a:schemeClr val="accent2"/>
          </a:solidFill>
          <a:ln w="19050">
            <a:solidFill>
              <a:schemeClr val="lt1"/>
            </a:solidFill>
          </a:ln>
          <a:effectLst/>
        </c:spPr>
      </c:pivotFmt>
      <c:pivotFmt>
        <c:idx val="1060"/>
        <c:spPr>
          <a:solidFill>
            <a:schemeClr val="accent2"/>
          </a:solidFill>
          <a:ln w="19050">
            <a:solidFill>
              <a:schemeClr val="lt1"/>
            </a:solidFill>
          </a:ln>
          <a:effectLst/>
        </c:spPr>
      </c:pivotFmt>
    </c:pivotFmts>
    <c:plotArea>
      <c:layout>
        <c:manualLayout>
          <c:layoutTarget val="inner"/>
          <c:xMode val="edge"/>
          <c:yMode val="edge"/>
          <c:x val="0.10951032546913257"/>
          <c:y val="8.1109481318598908E-2"/>
          <c:w val="0.37537959414874833"/>
          <c:h val="0.82523773298773184"/>
        </c:manualLayout>
      </c:layout>
      <c:pieChart>
        <c:varyColors val="1"/>
        <c:ser>
          <c:idx val="0"/>
          <c:order val="0"/>
          <c:tx>
            <c:strRef>
              <c:f>'SAMP Dashboard'!$P$50:$P$51</c:f>
              <c:strCache>
                <c:ptCount val="1"/>
                <c:pt idx="0">
                  <c:v> Total Cost</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756-4292-9B70-89B27D365A0C}"/>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D756-4292-9B70-89B27D365A0C}"/>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D756-4292-9B70-89B27D365A0C}"/>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D756-4292-9B70-89B27D365A0C}"/>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D756-4292-9B70-89B27D365A0C}"/>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B-D756-4292-9B70-89B27D365A0C}"/>
              </c:ext>
            </c:extLst>
          </c:dPt>
          <c:dPt>
            <c:idx val="6"/>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0D-D756-4292-9B70-89B27D365A0C}"/>
              </c:ext>
            </c:extLst>
          </c:dPt>
          <c:dPt>
            <c:idx val="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0F-D756-4292-9B70-89B27D365A0C}"/>
              </c:ext>
            </c:extLst>
          </c:dPt>
          <c:dPt>
            <c:idx val="8"/>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11-D756-4292-9B70-89B27D365A0C}"/>
              </c:ext>
            </c:extLst>
          </c:dPt>
          <c:dPt>
            <c:idx val="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13-D756-4292-9B70-89B27D365A0C}"/>
              </c:ext>
            </c:extLst>
          </c:dPt>
          <c:dPt>
            <c:idx val="10"/>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15-D756-4292-9B70-89B27D365A0C}"/>
              </c:ext>
            </c:extLst>
          </c:dPt>
          <c:dPt>
            <c:idx val="1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17-D756-4292-9B70-89B27D365A0C}"/>
              </c:ext>
            </c:extLst>
          </c:dPt>
          <c:dPt>
            <c:idx val="1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19-D756-4292-9B70-89B27D365A0C}"/>
              </c:ext>
            </c:extLst>
          </c:dPt>
          <c:dPt>
            <c:idx val="1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B-D756-4292-9B70-89B27D365A0C}"/>
              </c:ext>
            </c:extLst>
          </c:dPt>
          <c:dPt>
            <c:idx val="14"/>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1D-D756-4292-9B70-89B27D365A0C}"/>
              </c:ext>
            </c:extLst>
          </c:dPt>
          <c:dPt>
            <c:idx val="1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1F-D756-4292-9B70-89B27D365A0C}"/>
              </c:ext>
            </c:extLst>
          </c:dPt>
          <c:dPt>
            <c:idx val="16"/>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21-D756-4292-9B70-89B27D365A0C}"/>
              </c:ext>
            </c:extLst>
          </c:dPt>
          <c:dPt>
            <c:idx val="1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23-D756-4292-9B70-89B27D365A0C}"/>
              </c:ext>
            </c:extLst>
          </c:dPt>
          <c:dPt>
            <c:idx val="18"/>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25-D756-4292-9B70-89B27D365A0C}"/>
              </c:ext>
            </c:extLst>
          </c:dPt>
          <c:dPt>
            <c:idx val="1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27-D756-4292-9B70-89B27D365A0C}"/>
              </c:ext>
            </c:extLst>
          </c:dPt>
          <c:dPt>
            <c:idx val="20"/>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29-D756-4292-9B70-89B27D365A0C}"/>
              </c:ext>
            </c:extLst>
          </c:dPt>
          <c:dPt>
            <c:idx val="2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2B-D756-4292-9B70-89B27D365A0C}"/>
              </c:ext>
            </c:extLst>
          </c:dPt>
          <c:dPt>
            <c:idx val="22"/>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2D-D756-4292-9B70-89B27D365A0C}"/>
              </c:ext>
            </c:extLst>
          </c:dPt>
          <c:dPt>
            <c:idx val="2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2F-D756-4292-9B70-89B27D365A0C}"/>
              </c:ext>
            </c:extLst>
          </c:dPt>
          <c:dPt>
            <c:idx val="24"/>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31-D756-4292-9B70-89B27D365A0C}"/>
              </c:ext>
            </c:extLst>
          </c:dPt>
          <c:dPt>
            <c:idx val="2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33-8D78-4A8F-AD2A-4A88E97BB147}"/>
              </c:ext>
            </c:extLst>
          </c:dPt>
          <c:dPt>
            <c:idx val="26"/>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35-8D78-4A8F-AD2A-4A88E97BB147}"/>
              </c:ext>
            </c:extLst>
          </c:dPt>
          <c:dPt>
            <c:idx val="27"/>
            <c:bubble3D val="0"/>
            <c:spPr>
              <a:solidFill>
                <a:schemeClr val="accent2"/>
              </a:solidFill>
              <a:ln w="19050">
                <a:solidFill>
                  <a:schemeClr val="lt1"/>
                </a:solidFill>
              </a:ln>
              <a:effectLst/>
            </c:spPr>
            <c:extLst>
              <c:ext xmlns:c16="http://schemas.microsoft.com/office/drawing/2014/chart" uri="{C3380CC4-5D6E-409C-BE32-E72D297353CC}">
                <c16:uniqueId val="{00000037-8D78-4A8F-AD2A-4A88E97BB147}"/>
              </c:ext>
            </c:extLst>
          </c:dPt>
          <c:dPt>
            <c:idx val="28"/>
            <c:bubble3D val="0"/>
            <c:spPr>
              <a:solidFill>
                <a:schemeClr val="accent4"/>
              </a:solidFill>
              <a:ln w="19050">
                <a:solidFill>
                  <a:schemeClr val="lt1"/>
                </a:solidFill>
              </a:ln>
              <a:effectLst/>
            </c:spPr>
            <c:extLst>
              <c:ext xmlns:c16="http://schemas.microsoft.com/office/drawing/2014/chart" uri="{C3380CC4-5D6E-409C-BE32-E72D297353CC}">
                <c16:uniqueId val="{00000039-8D78-4A8F-AD2A-4A88E97BB147}"/>
              </c:ext>
            </c:extLst>
          </c:dPt>
          <c:dPt>
            <c:idx val="29"/>
            <c:bubble3D val="0"/>
            <c:spPr>
              <a:solidFill>
                <a:schemeClr val="accent6"/>
              </a:solidFill>
              <a:ln w="19050">
                <a:solidFill>
                  <a:schemeClr val="lt1"/>
                </a:solidFill>
              </a:ln>
              <a:effectLst/>
            </c:spPr>
            <c:extLst>
              <c:ext xmlns:c16="http://schemas.microsoft.com/office/drawing/2014/chart" uri="{C3380CC4-5D6E-409C-BE32-E72D297353CC}">
                <c16:uniqueId val="{0000003B-8D78-4A8F-AD2A-4A88E97BB147}"/>
              </c:ext>
            </c:extLst>
          </c:dPt>
          <c:dPt>
            <c:idx val="30"/>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D-8D78-4A8F-AD2A-4A88E97BB147}"/>
              </c:ext>
            </c:extLst>
          </c:dPt>
          <c:dPt>
            <c:idx val="3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3F-8D78-4A8F-AD2A-4A88E97BB147}"/>
              </c:ext>
            </c:extLst>
          </c:dPt>
          <c:dPt>
            <c:idx val="32"/>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41-8D78-4A8F-AD2A-4A88E97BB147}"/>
              </c:ext>
            </c:extLst>
          </c:dPt>
          <c:dPt>
            <c:idx val="3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43-8D78-4A8F-AD2A-4A88E97BB147}"/>
              </c:ext>
            </c:extLst>
          </c:dPt>
          <c:dPt>
            <c:idx val="34"/>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45-8D78-4A8F-AD2A-4A88E97BB147}"/>
              </c:ext>
            </c:extLst>
          </c:dPt>
          <c:dPt>
            <c:idx val="3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47-8D78-4A8F-AD2A-4A88E97BB147}"/>
              </c:ext>
            </c:extLst>
          </c:dPt>
          <c:dPt>
            <c:idx val="36"/>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49-8D78-4A8F-AD2A-4A88E97BB147}"/>
              </c:ext>
            </c:extLst>
          </c:dPt>
          <c:dPt>
            <c:idx val="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4B-8D78-4A8F-AD2A-4A88E97BB147}"/>
              </c:ext>
            </c:extLst>
          </c:dPt>
          <c:dPt>
            <c:idx val="38"/>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4D-8D78-4A8F-AD2A-4A88E97BB147}"/>
              </c:ext>
            </c:extLst>
          </c:dPt>
          <c:dPt>
            <c:idx val="3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4F-8D78-4A8F-AD2A-4A88E97BB147}"/>
              </c:ext>
            </c:extLst>
          </c:dPt>
          <c:dPt>
            <c:idx val="40"/>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51-8D78-4A8F-AD2A-4A88E97BB147}"/>
              </c:ext>
            </c:extLst>
          </c:dPt>
          <c:dPt>
            <c:idx val="4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53-8D78-4A8F-AD2A-4A88E97BB147}"/>
              </c:ext>
            </c:extLst>
          </c:dPt>
          <c:dPt>
            <c:idx val="42"/>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55-8D78-4A8F-AD2A-4A88E97BB147}"/>
              </c:ext>
            </c:extLst>
          </c:dPt>
          <c:dPt>
            <c:idx val="4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57-8D78-4A8F-AD2A-4A88E97BB147}"/>
              </c:ext>
            </c:extLst>
          </c:dPt>
          <c:dPt>
            <c:idx val="44"/>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59-8D78-4A8F-AD2A-4A88E97BB147}"/>
              </c:ext>
            </c:extLst>
          </c:dPt>
          <c:dPt>
            <c:idx val="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5B-8D78-4A8F-AD2A-4A88E97BB147}"/>
              </c:ext>
            </c:extLst>
          </c:dPt>
          <c:dPt>
            <c:idx val="46"/>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5D-282C-47C2-9B73-15C6F94585D9}"/>
              </c:ext>
            </c:extLst>
          </c:dPt>
          <c:dPt>
            <c:idx val="4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F-282C-47C2-9B73-15C6F94585D9}"/>
              </c:ext>
            </c:extLst>
          </c:dPt>
          <c:dPt>
            <c:idx val="48"/>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61-282C-47C2-9B73-15C6F94585D9}"/>
              </c:ext>
            </c:extLst>
          </c:dPt>
          <c:dPt>
            <c:idx val="4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63-282C-47C2-9B73-15C6F94585D9}"/>
              </c:ext>
            </c:extLst>
          </c:dPt>
          <c:dPt>
            <c:idx val="50"/>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65-282C-47C2-9B73-15C6F94585D9}"/>
              </c:ext>
            </c:extLst>
          </c:dPt>
          <c:dPt>
            <c:idx val="5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7-282C-47C2-9B73-15C6F94585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1"/>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'SAMP Dashboard'!$O$52</c:f>
              <c:strCache>
                <c:ptCount val="1"/>
                <c:pt idx="0">
                  <c:v>(blank)</c:v>
                </c:pt>
              </c:strCache>
            </c:strRef>
          </c:cat>
          <c:val>
            <c:numRef>
              <c:f>'SAMP Dashboard'!$P$52</c:f>
              <c:numCache>
                <c:formatCode>"£"#,##0</c:formatCode>
                <c:ptCount val="1"/>
              </c:numCache>
            </c:numRef>
          </c:val>
          <c:extLst>
            <c:ext xmlns:c16="http://schemas.microsoft.com/office/drawing/2014/chart" uri="{C3380CC4-5D6E-409C-BE32-E72D297353CC}">
              <c16:uniqueId val="{00000163-5E28-4875-97B2-F222F0E0621C}"/>
            </c:ext>
          </c:extLst>
        </c:ser>
        <c:ser>
          <c:idx val="1"/>
          <c:order val="1"/>
          <c:tx>
            <c:strRef>
              <c:f>'SAMP Dashboard'!$Q$50:$Q$51</c:f>
              <c:strCache>
                <c:ptCount val="1"/>
                <c:pt idx="0">
                  <c:v>Works Cost</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33-D756-4292-9B70-89B27D365A0C}"/>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35-D756-4292-9B70-89B27D365A0C}"/>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37-D756-4292-9B70-89B27D365A0C}"/>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9-D756-4292-9B70-89B27D365A0C}"/>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3B-D756-4292-9B70-89B27D365A0C}"/>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3D-D756-4292-9B70-89B27D365A0C}"/>
              </c:ext>
            </c:extLst>
          </c:dPt>
          <c:dPt>
            <c:idx val="6"/>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3F-D756-4292-9B70-89B27D365A0C}"/>
              </c:ext>
            </c:extLst>
          </c:dPt>
          <c:dPt>
            <c:idx val="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41-D756-4292-9B70-89B27D365A0C}"/>
              </c:ext>
            </c:extLst>
          </c:dPt>
          <c:dPt>
            <c:idx val="8"/>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43-D756-4292-9B70-89B27D365A0C}"/>
              </c:ext>
            </c:extLst>
          </c:dPt>
          <c:dPt>
            <c:idx val="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45-D756-4292-9B70-89B27D365A0C}"/>
              </c:ext>
            </c:extLst>
          </c:dPt>
          <c:dPt>
            <c:idx val="10"/>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47-D756-4292-9B70-89B27D365A0C}"/>
              </c:ext>
            </c:extLst>
          </c:dPt>
          <c:dPt>
            <c:idx val="1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49-D756-4292-9B70-89B27D365A0C}"/>
              </c:ext>
            </c:extLst>
          </c:dPt>
          <c:dPt>
            <c:idx val="1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4B-D756-4292-9B70-89B27D365A0C}"/>
              </c:ext>
            </c:extLst>
          </c:dPt>
          <c:dPt>
            <c:idx val="1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D-D756-4292-9B70-89B27D365A0C}"/>
              </c:ext>
            </c:extLst>
          </c:dPt>
          <c:dPt>
            <c:idx val="14"/>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4F-D756-4292-9B70-89B27D365A0C}"/>
              </c:ext>
            </c:extLst>
          </c:dPt>
          <c:dPt>
            <c:idx val="1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51-D756-4292-9B70-89B27D365A0C}"/>
              </c:ext>
            </c:extLst>
          </c:dPt>
          <c:dPt>
            <c:idx val="16"/>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53-D756-4292-9B70-89B27D365A0C}"/>
              </c:ext>
            </c:extLst>
          </c:dPt>
          <c:dPt>
            <c:idx val="1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55-D756-4292-9B70-89B27D365A0C}"/>
              </c:ext>
            </c:extLst>
          </c:dPt>
          <c:dPt>
            <c:idx val="18"/>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57-D756-4292-9B70-89B27D365A0C}"/>
              </c:ext>
            </c:extLst>
          </c:dPt>
          <c:dPt>
            <c:idx val="1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59-D756-4292-9B70-89B27D365A0C}"/>
              </c:ext>
            </c:extLst>
          </c:dPt>
          <c:dPt>
            <c:idx val="20"/>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B-D756-4292-9B70-89B27D365A0C}"/>
              </c:ext>
            </c:extLst>
          </c:dPt>
          <c:dPt>
            <c:idx val="2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D-D756-4292-9B70-89B27D365A0C}"/>
              </c:ext>
            </c:extLst>
          </c:dPt>
          <c:dPt>
            <c:idx val="22"/>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F-D756-4292-9B70-89B27D365A0C}"/>
              </c:ext>
            </c:extLst>
          </c:dPt>
          <c:dPt>
            <c:idx val="2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61-D756-4292-9B70-89B27D365A0C}"/>
              </c:ext>
            </c:extLst>
          </c:dPt>
          <c:dPt>
            <c:idx val="24"/>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D756-4292-9B70-89B27D365A0C}"/>
              </c:ext>
            </c:extLst>
          </c:dPt>
          <c:dPt>
            <c:idx val="2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8F-8D78-4A8F-AD2A-4A88E97BB147}"/>
              </c:ext>
            </c:extLst>
          </c:dPt>
          <c:dPt>
            <c:idx val="26"/>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91-8D78-4A8F-AD2A-4A88E97BB147}"/>
              </c:ext>
            </c:extLst>
          </c:dPt>
          <c:dPt>
            <c:idx val="27"/>
            <c:bubble3D val="0"/>
            <c:spPr>
              <a:solidFill>
                <a:schemeClr val="accent2"/>
              </a:solidFill>
              <a:ln w="19050">
                <a:solidFill>
                  <a:schemeClr val="lt1"/>
                </a:solidFill>
              </a:ln>
              <a:effectLst/>
            </c:spPr>
            <c:extLst>
              <c:ext xmlns:c16="http://schemas.microsoft.com/office/drawing/2014/chart" uri="{C3380CC4-5D6E-409C-BE32-E72D297353CC}">
                <c16:uniqueId val="{00000093-8D78-4A8F-AD2A-4A88E97BB147}"/>
              </c:ext>
            </c:extLst>
          </c:dPt>
          <c:dPt>
            <c:idx val="28"/>
            <c:bubble3D val="0"/>
            <c:spPr>
              <a:solidFill>
                <a:schemeClr val="accent4"/>
              </a:solidFill>
              <a:ln w="19050">
                <a:solidFill>
                  <a:schemeClr val="lt1"/>
                </a:solidFill>
              </a:ln>
              <a:effectLst/>
            </c:spPr>
            <c:extLst>
              <c:ext xmlns:c16="http://schemas.microsoft.com/office/drawing/2014/chart" uri="{C3380CC4-5D6E-409C-BE32-E72D297353CC}">
                <c16:uniqueId val="{00000095-8D78-4A8F-AD2A-4A88E97BB147}"/>
              </c:ext>
            </c:extLst>
          </c:dPt>
          <c:dPt>
            <c:idx val="29"/>
            <c:bubble3D val="0"/>
            <c:spPr>
              <a:solidFill>
                <a:schemeClr val="accent6"/>
              </a:solidFill>
              <a:ln w="19050">
                <a:solidFill>
                  <a:schemeClr val="lt1"/>
                </a:solidFill>
              </a:ln>
              <a:effectLst/>
            </c:spPr>
            <c:extLst>
              <c:ext xmlns:c16="http://schemas.microsoft.com/office/drawing/2014/chart" uri="{C3380CC4-5D6E-409C-BE32-E72D297353CC}">
                <c16:uniqueId val="{00000097-8D78-4A8F-AD2A-4A88E97BB147}"/>
              </c:ext>
            </c:extLst>
          </c:dPt>
          <c:dPt>
            <c:idx val="30"/>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99-8D78-4A8F-AD2A-4A88E97BB147}"/>
              </c:ext>
            </c:extLst>
          </c:dPt>
          <c:dPt>
            <c:idx val="3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9B-8D78-4A8F-AD2A-4A88E97BB147}"/>
              </c:ext>
            </c:extLst>
          </c:dPt>
          <c:dPt>
            <c:idx val="32"/>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9D-8D78-4A8F-AD2A-4A88E97BB147}"/>
              </c:ext>
            </c:extLst>
          </c:dPt>
          <c:dPt>
            <c:idx val="3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9F-8D78-4A8F-AD2A-4A88E97BB147}"/>
              </c:ext>
            </c:extLst>
          </c:dPt>
          <c:dPt>
            <c:idx val="34"/>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A1-8D78-4A8F-AD2A-4A88E97BB147}"/>
              </c:ext>
            </c:extLst>
          </c:dPt>
          <c:dPt>
            <c:idx val="3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A3-8D78-4A8F-AD2A-4A88E97BB147}"/>
              </c:ext>
            </c:extLst>
          </c:dPt>
          <c:dPt>
            <c:idx val="36"/>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A5-8D78-4A8F-AD2A-4A88E97BB147}"/>
              </c:ext>
            </c:extLst>
          </c:dPt>
          <c:dPt>
            <c:idx val="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A7-8D78-4A8F-AD2A-4A88E97BB147}"/>
              </c:ext>
            </c:extLst>
          </c:dPt>
          <c:dPt>
            <c:idx val="38"/>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A9-8D78-4A8F-AD2A-4A88E97BB147}"/>
              </c:ext>
            </c:extLst>
          </c:dPt>
          <c:dPt>
            <c:idx val="3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AB-8D78-4A8F-AD2A-4A88E97BB147}"/>
              </c:ext>
            </c:extLst>
          </c:dPt>
          <c:dPt>
            <c:idx val="40"/>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D-8D78-4A8F-AD2A-4A88E97BB147}"/>
              </c:ext>
            </c:extLst>
          </c:dPt>
          <c:dPt>
            <c:idx val="4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F-8D78-4A8F-AD2A-4A88E97BB147}"/>
              </c:ext>
            </c:extLst>
          </c:dPt>
          <c:dPt>
            <c:idx val="42"/>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B1-8D78-4A8F-AD2A-4A88E97BB147}"/>
              </c:ext>
            </c:extLst>
          </c:dPt>
          <c:dPt>
            <c:idx val="4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B3-8D78-4A8F-AD2A-4A88E97BB147}"/>
              </c:ext>
            </c:extLst>
          </c:dPt>
          <c:dPt>
            <c:idx val="44"/>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5-8D78-4A8F-AD2A-4A88E97BB147}"/>
              </c:ext>
            </c:extLst>
          </c:dPt>
          <c:dPt>
            <c:idx val="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8D78-4A8F-AD2A-4A88E97BB147}"/>
              </c:ext>
            </c:extLst>
          </c:dPt>
          <c:dPt>
            <c:idx val="46"/>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C5-282C-47C2-9B73-15C6F94585D9}"/>
              </c:ext>
            </c:extLst>
          </c:dPt>
          <c:dPt>
            <c:idx val="4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C7-282C-47C2-9B73-15C6F94585D9}"/>
              </c:ext>
            </c:extLst>
          </c:dPt>
          <c:dPt>
            <c:idx val="48"/>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9-282C-47C2-9B73-15C6F94585D9}"/>
              </c:ext>
            </c:extLst>
          </c:dPt>
          <c:dPt>
            <c:idx val="4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B-282C-47C2-9B73-15C6F94585D9}"/>
              </c:ext>
            </c:extLst>
          </c:dPt>
          <c:dPt>
            <c:idx val="50"/>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D-282C-47C2-9B73-15C6F94585D9}"/>
              </c:ext>
            </c:extLst>
          </c:dPt>
          <c:dPt>
            <c:idx val="5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282C-47C2-9B73-15C6F94585D9}"/>
              </c:ext>
            </c:extLst>
          </c:dPt>
          <c:cat>
            <c:strRef>
              <c:f>'SAMP Dashboard'!$O$52</c:f>
              <c:strCache>
                <c:ptCount val="1"/>
                <c:pt idx="0">
                  <c:v>(blank)</c:v>
                </c:pt>
              </c:strCache>
            </c:strRef>
          </c:cat>
          <c:val>
            <c:numRef>
              <c:f>'SAMP Dashboard'!$Q$52</c:f>
              <c:numCache>
                <c:formatCode>"£"#,##0</c:formatCode>
                <c:ptCount val="1"/>
              </c:numCache>
            </c:numRef>
          </c:val>
          <c:extLst>
            <c:ext xmlns:c16="http://schemas.microsoft.com/office/drawing/2014/chart" uri="{C3380CC4-5D6E-409C-BE32-E72D297353CC}">
              <c16:uniqueId val="{00000164-5E28-4875-97B2-F222F0E0621C}"/>
            </c:ext>
          </c:extLst>
        </c:ser>
        <c:ser>
          <c:idx val="2"/>
          <c:order val="2"/>
          <c:tx>
            <c:strRef>
              <c:f>'SAMP Dashboard'!$R$50:$R$51</c:f>
              <c:strCache>
                <c:ptCount val="1"/>
                <c:pt idx="0">
                  <c:v> TM Cost      </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65-D756-4292-9B70-89B27D365A0C}"/>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67-D756-4292-9B70-89B27D365A0C}"/>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69-D756-4292-9B70-89B27D365A0C}"/>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6B-D756-4292-9B70-89B27D365A0C}"/>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6D-D756-4292-9B70-89B27D365A0C}"/>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6F-D756-4292-9B70-89B27D365A0C}"/>
              </c:ext>
            </c:extLst>
          </c:dPt>
          <c:dPt>
            <c:idx val="6"/>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71-D756-4292-9B70-89B27D365A0C}"/>
              </c:ext>
            </c:extLst>
          </c:dPt>
          <c:dPt>
            <c:idx val="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73-D756-4292-9B70-89B27D365A0C}"/>
              </c:ext>
            </c:extLst>
          </c:dPt>
          <c:dPt>
            <c:idx val="8"/>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75-D756-4292-9B70-89B27D365A0C}"/>
              </c:ext>
            </c:extLst>
          </c:dPt>
          <c:dPt>
            <c:idx val="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77-D756-4292-9B70-89B27D365A0C}"/>
              </c:ext>
            </c:extLst>
          </c:dPt>
          <c:dPt>
            <c:idx val="10"/>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79-D756-4292-9B70-89B27D365A0C}"/>
              </c:ext>
            </c:extLst>
          </c:dPt>
          <c:dPt>
            <c:idx val="1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7B-D756-4292-9B70-89B27D365A0C}"/>
              </c:ext>
            </c:extLst>
          </c:dPt>
          <c:dPt>
            <c:idx val="1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7D-D756-4292-9B70-89B27D365A0C}"/>
              </c:ext>
            </c:extLst>
          </c:dPt>
          <c:dPt>
            <c:idx val="1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7F-D756-4292-9B70-89B27D365A0C}"/>
              </c:ext>
            </c:extLst>
          </c:dPt>
          <c:dPt>
            <c:idx val="14"/>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81-D756-4292-9B70-89B27D365A0C}"/>
              </c:ext>
            </c:extLst>
          </c:dPt>
          <c:dPt>
            <c:idx val="1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83-D756-4292-9B70-89B27D365A0C}"/>
              </c:ext>
            </c:extLst>
          </c:dPt>
          <c:dPt>
            <c:idx val="16"/>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85-D756-4292-9B70-89B27D365A0C}"/>
              </c:ext>
            </c:extLst>
          </c:dPt>
          <c:dPt>
            <c:idx val="1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87-D756-4292-9B70-89B27D365A0C}"/>
              </c:ext>
            </c:extLst>
          </c:dPt>
          <c:dPt>
            <c:idx val="18"/>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89-D756-4292-9B70-89B27D365A0C}"/>
              </c:ext>
            </c:extLst>
          </c:dPt>
          <c:dPt>
            <c:idx val="1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8B-D756-4292-9B70-89B27D365A0C}"/>
              </c:ext>
            </c:extLst>
          </c:dPt>
          <c:dPt>
            <c:idx val="20"/>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8D-D756-4292-9B70-89B27D365A0C}"/>
              </c:ext>
            </c:extLst>
          </c:dPt>
          <c:dPt>
            <c:idx val="2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8F-D756-4292-9B70-89B27D365A0C}"/>
              </c:ext>
            </c:extLst>
          </c:dPt>
          <c:dPt>
            <c:idx val="22"/>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91-D756-4292-9B70-89B27D365A0C}"/>
              </c:ext>
            </c:extLst>
          </c:dPt>
          <c:dPt>
            <c:idx val="2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93-D756-4292-9B70-89B27D365A0C}"/>
              </c:ext>
            </c:extLst>
          </c:dPt>
          <c:dPt>
            <c:idx val="24"/>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95-D756-4292-9B70-89B27D365A0C}"/>
              </c:ext>
            </c:extLst>
          </c:dPt>
          <c:dPt>
            <c:idx val="2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EB-8D78-4A8F-AD2A-4A88E97BB147}"/>
              </c:ext>
            </c:extLst>
          </c:dPt>
          <c:dPt>
            <c:idx val="26"/>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ED-8D78-4A8F-AD2A-4A88E97BB147}"/>
              </c:ext>
            </c:extLst>
          </c:dPt>
          <c:dPt>
            <c:idx val="27"/>
            <c:bubble3D val="0"/>
            <c:spPr>
              <a:solidFill>
                <a:schemeClr val="accent2"/>
              </a:solidFill>
              <a:ln w="19050">
                <a:solidFill>
                  <a:schemeClr val="lt1"/>
                </a:solidFill>
              </a:ln>
              <a:effectLst/>
            </c:spPr>
            <c:extLst>
              <c:ext xmlns:c16="http://schemas.microsoft.com/office/drawing/2014/chart" uri="{C3380CC4-5D6E-409C-BE32-E72D297353CC}">
                <c16:uniqueId val="{000000EF-8D78-4A8F-AD2A-4A88E97BB147}"/>
              </c:ext>
            </c:extLst>
          </c:dPt>
          <c:dPt>
            <c:idx val="28"/>
            <c:bubble3D val="0"/>
            <c:spPr>
              <a:solidFill>
                <a:schemeClr val="accent4"/>
              </a:solidFill>
              <a:ln w="19050">
                <a:solidFill>
                  <a:schemeClr val="lt1"/>
                </a:solidFill>
              </a:ln>
              <a:effectLst/>
            </c:spPr>
            <c:extLst>
              <c:ext xmlns:c16="http://schemas.microsoft.com/office/drawing/2014/chart" uri="{C3380CC4-5D6E-409C-BE32-E72D297353CC}">
                <c16:uniqueId val="{000000F1-8D78-4A8F-AD2A-4A88E97BB147}"/>
              </c:ext>
            </c:extLst>
          </c:dPt>
          <c:dPt>
            <c:idx val="29"/>
            <c:bubble3D val="0"/>
            <c:spPr>
              <a:solidFill>
                <a:schemeClr val="accent6"/>
              </a:solidFill>
              <a:ln w="19050">
                <a:solidFill>
                  <a:schemeClr val="lt1"/>
                </a:solidFill>
              </a:ln>
              <a:effectLst/>
            </c:spPr>
            <c:extLst>
              <c:ext xmlns:c16="http://schemas.microsoft.com/office/drawing/2014/chart" uri="{C3380CC4-5D6E-409C-BE32-E72D297353CC}">
                <c16:uniqueId val="{000000F3-8D78-4A8F-AD2A-4A88E97BB147}"/>
              </c:ext>
            </c:extLst>
          </c:dPt>
          <c:dPt>
            <c:idx val="30"/>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F5-8D78-4A8F-AD2A-4A88E97BB147}"/>
              </c:ext>
            </c:extLst>
          </c:dPt>
          <c:dPt>
            <c:idx val="3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F7-8D78-4A8F-AD2A-4A88E97BB147}"/>
              </c:ext>
            </c:extLst>
          </c:dPt>
          <c:dPt>
            <c:idx val="32"/>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F9-8D78-4A8F-AD2A-4A88E97BB147}"/>
              </c:ext>
            </c:extLst>
          </c:dPt>
          <c:dPt>
            <c:idx val="3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B-8D78-4A8F-AD2A-4A88E97BB147}"/>
              </c:ext>
            </c:extLst>
          </c:dPt>
          <c:dPt>
            <c:idx val="34"/>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D-8D78-4A8F-AD2A-4A88E97BB147}"/>
              </c:ext>
            </c:extLst>
          </c:dPt>
          <c:dPt>
            <c:idx val="3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F-8D78-4A8F-AD2A-4A88E97BB147}"/>
              </c:ext>
            </c:extLst>
          </c:dPt>
          <c:dPt>
            <c:idx val="36"/>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01-8D78-4A8F-AD2A-4A88E97BB147}"/>
              </c:ext>
            </c:extLst>
          </c:dPt>
          <c:dPt>
            <c:idx val="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8D78-4A8F-AD2A-4A88E97BB147}"/>
              </c:ext>
            </c:extLst>
          </c:dPt>
          <c:dPt>
            <c:idx val="38"/>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5-8D78-4A8F-AD2A-4A88E97BB147}"/>
              </c:ext>
            </c:extLst>
          </c:dPt>
          <c:dPt>
            <c:idx val="3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7-8D78-4A8F-AD2A-4A88E97BB147}"/>
              </c:ext>
            </c:extLst>
          </c:dPt>
          <c:dPt>
            <c:idx val="40"/>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9-8D78-4A8F-AD2A-4A88E97BB147}"/>
              </c:ext>
            </c:extLst>
          </c:dPt>
          <c:dPt>
            <c:idx val="4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0B-8D78-4A8F-AD2A-4A88E97BB147}"/>
              </c:ext>
            </c:extLst>
          </c:dPt>
          <c:dPt>
            <c:idx val="42"/>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0D-8D78-4A8F-AD2A-4A88E97BB147}"/>
              </c:ext>
            </c:extLst>
          </c:dPt>
          <c:dPt>
            <c:idx val="4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0F-8D78-4A8F-AD2A-4A88E97BB147}"/>
              </c:ext>
            </c:extLst>
          </c:dPt>
          <c:dPt>
            <c:idx val="44"/>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1-8D78-4A8F-AD2A-4A88E97BB147}"/>
              </c:ext>
            </c:extLst>
          </c:dPt>
          <c:dPt>
            <c:idx val="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13-8D78-4A8F-AD2A-4A88E97BB147}"/>
              </c:ext>
            </c:extLst>
          </c:dPt>
          <c:dPt>
            <c:idx val="46"/>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D-282C-47C2-9B73-15C6F94585D9}"/>
              </c:ext>
            </c:extLst>
          </c:dPt>
          <c:dPt>
            <c:idx val="4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F-282C-47C2-9B73-15C6F94585D9}"/>
              </c:ext>
            </c:extLst>
          </c:dPt>
          <c:dPt>
            <c:idx val="48"/>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31-282C-47C2-9B73-15C6F94585D9}"/>
              </c:ext>
            </c:extLst>
          </c:dPt>
          <c:dPt>
            <c:idx val="4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282C-47C2-9B73-15C6F94585D9}"/>
              </c:ext>
            </c:extLst>
          </c:dPt>
          <c:dPt>
            <c:idx val="50"/>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5-282C-47C2-9B73-15C6F94585D9}"/>
              </c:ext>
            </c:extLst>
          </c:dPt>
          <c:dPt>
            <c:idx val="5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7-282C-47C2-9B73-15C6F94585D9}"/>
              </c:ext>
            </c:extLst>
          </c:dPt>
          <c:cat>
            <c:strRef>
              <c:f>'SAMP Dashboard'!$O$52</c:f>
              <c:strCache>
                <c:ptCount val="1"/>
                <c:pt idx="0">
                  <c:v>(blank)</c:v>
                </c:pt>
              </c:strCache>
            </c:strRef>
          </c:cat>
          <c:val>
            <c:numRef>
              <c:f>'SAMP Dashboard'!$R$52</c:f>
              <c:numCache>
                <c:formatCode>"£"#,##0</c:formatCode>
                <c:ptCount val="1"/>
              </c:numCache>
            </c:numRef>
          </c:val>
          <c:extLst>
            <c:ext xmlns:c16="http://schemas.microsoft.com/office/drawing/2014/chart" uri="{C3380CC4-5D6E-409C-BE32-E72D297353CC}">
              <c16:uniqueId val="{00000165-5E28-4875-97B2-F222F0E0621C}"/>
            </c:ext>
          </c:extLst>
        </c:ser>
        <c:ser>
          <c:idx val="3"/>
          <c:order val="3"/>
          <c:tx>
            <c:strRef>
              <c:f>'SAMP Dashboard'!$S$50:$S$51</c:f>
              <c:strCache>
                <c:ptCount val="1"/>
                <c:pt idx="0">
                  <c:v> Add-on Cost</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97-D756-4292-9B70-89B27D365A0C}"/>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99-D756-4292-9B70-89B27D365A0C}"/>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9B-D756-4292-9B70-89B27D365A0C}"/>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9D-D756-4292-9B70-89B27D365A0C}"/>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9F-D756-4292-9B70-89B27D365A0C}"/>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A1-D756-4292-9B70-89B27D365A0C}"/>
              </c:ext>
            </c:extLst>
          </c:dPt>
          <c:dPt>
            <c:idx val="6"/>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A3-D756-4292-9B70-89B27D365A0C}"/>
              </c:ext>
            </c:extLst>
          </c:dPt>
          <c:dPt>
            <c:idx val="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A5-D756-4292-9B70-89B27D365A0C}"/>
              </c:ext>
            </c:extLst>
          </c:dPt>
          <c:dPt>
            <c:idx val="8"/>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A7-D756-4292-9B70-89B27D365A0C}"/>
              </c:ext>
            </c:extLst>
          </c:dPt>
          <c:dPt>
            <c:idx val="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A9-D756-4292-9B70-89B27D365A0C}"/>
              </c:ext>
            </c:extLst>
          </c:dPt>
          <c:dPt>
            <c:idx val="10"/>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AB-D756-4292-9B70-89B27D365A0C}"/>
              </c:ext>
            </c:extLst>
          </c:dPt>
          <c:dPt>
            <c:idx val="1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AD-D756-4292-9B70-89B27D365A0C}"/>
              </c:ext>
            </c:extLst>
          </c:dPt>
          <c:dPt>
            <c:idx val="1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AF-D756-4292-9B70-89B27D365A0C}"/>
              </c:ext>
            </c:extLst>
          </c:dPt>
          <c:dPt>
            <c:idx val="1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B1-D756-4292-9B70-89B27D365A0C}"/>
              </c:ext>
            </c:extLst>
          </c:dPt>
          <c:dPt>
            <c:idx val="14"/>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B3-D756-4292-9B70-89B27D365A0C}"/>
              </c:ext>
            </c:extLst>
          </c:dPt>
          <c:dPt>
            <c:idx val="1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B5-D756-4292-9B70-89B27D365A0C}"/>
              </c:ext>
            </c:extLst>
          </c:dPt>
          <c:dPt>
            <c:idx val="16"/>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B7-D756-4292-9B70-89B27D365A0C}"/>
              </c:ext>
            </c:extLst>
          </c:dPt>
          <c:dPt>
            <c:idx val="1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9-D756-4292-9B70-89B27D365A0C}"/>
              </c:ext>
            </c:extLst>
          </c:dPt>
          <c:dPt>
            <c:idx val="18"/>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B-D756-4292-9B70-89B27D365A0C}"/>
              </c:ext>
            </c:extLst>
          </c:dPt>
          <c:dPt>
            <c:idx val="1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D-D756-4292-9B70-89B27D365A0C}"/>
              </c:ext>
            </c:extLst>
          </c:dPt>
          <c:dPt>
            <c:idx val="20"/>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D756-4292-9B70-89B27D365A0C}"/>
              </c:ext>
            </c:extLst>
          </c:dPt>
          <c:dPt>
            <c:idx val="2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1-D756-4292-9B70-89B27D365A0C}"/>
              </c:ext>
            </c:extLst>
          </c:dPt>
          <c:dPt>
            <c:idx val="22"/>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3-D756-4292-9B70-89B27D365A0C}"/>
              </c:ext>
            </c:extLst>
          </c:dPt>
          <c:dPt>
            <c:idx val="2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5-D756-4292-9B70-89B27D365A0C}"/>
              </c:ext>
            </c:extLst>
          </c:dPt>
          <c:dPt>
            <c:idx val="24"/>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7-D756-4292-9B70-89B27D365A0C}"/>
              </c:ext>
            </c:extLst>
          </c:dPt>
          <c:dPt>
            <c:idx val="2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47-8D78-4A8F-AD2A-4A88E97BB147}"/>
              </c:ext>
            </c:extLst>
          </c:dPt>
          <c:dPt>
            <c:idx val="26"/>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9-8D78-4A8F-AD2A-4A88E97BB147}"/>
              </c:ext>
            </c:extLst>
          </c:dPt>
          <c:dPt>
            <c:idx val="27"/>
            <c:bubble3D val="0"/>
            <c:spPr>
              <a:solidFill>
                <a:schemeClr val="accent2"/>
              </a:solidFill>
              <a:ln w="19050">
                <a:solidFill>
                  <a:schemeClr val="lt1"/>
                </a:solidFill>
              </a:ln>
              <a:effectLst/>
            </c:spPr>
            <c:extLst>
              <c:ext xmlns:c16="http://schemas.microsoft.com/office/drawing/2014/chart" uri="{C3380CC4-5D6E-409C-BE32-E72D297353CC}">
                <c16:uniqueId val="{0000014B-8D78-4A8F-AD2A-4A88E97BB147}"/>
              </c:ext>
            </c:extLst>
          </c:dPt>
          <c:dPt>
            <c:idx val="28"/>
            <c:bubble3D val="0"/>
            <c:spPr>
              <a:solidFill>
                <a:schemeClr val="accent4"/>
              </a:solidFill>
              <a:ln w="19050">
                <a:solidFill>
                  <a:schemeClr val="lt1"/>
                </a:solidFill>
              </a:ln>
              <a:effectLst/>
            </c:spPr>
            <c:extLst>
              <c:ext xmlns:c16="http://schemas.microsoft.com/office/drawing/2014/chart" uri="{C3380CC4-5D6E-409C-BE32-E72D297353CC}">
                <c16:uniqueId val="{0000014D-8D78-4A8F-AD2A-4A88E97BB147}"/>
              </c:ext>
            </c:extLst>
          </c:dPt>
          <c:dPt>
            <c:idx val="29"/>
            <c:bubble3D val="0"/>
            <c:spPr>
              <a:solidFill>
                <a:schemeClr val="accent6"/>
              </a:solidFill>
              <a:ln w="19050">
                <a:solidFill>
                  <a:schemeClr val="lt1"/>
                </a:solidFill>
              </a:ln>
              <a:effectLst/>
            </c:spPr>
            <c:extLst>
              <c:ext xmlns:c16="http://schemas.microsoft.com/office/drawing/2014/chart" uri="{C3380CC4-5D6E-409C-BE32-E72D297353CC}">
                <c16:uniqueId val="{0000014F-8D78-4A8F-AD2A-4A88E97BB147}"/>
              </c:ext>
            </c:extLst>
          </c:dPt>
          <c:dPt>
            <c:idx val="30"/>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1-8D78-4A8F-AD2A-4A88E97BB147}"/>
              </c:ext>
            </c:extLst>
          </c:dPt>
          <c:dPt>
            <c:idx val="3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3-8D78-4A8F-AD2A-4A88E97BB147}"/>
              </c:ext>
            </c:extLst>
          </c:dPt>
          <c:dPt>
            <c:idx val="32"/>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5-8D78-4A8F-AD2A-4A88E97BB147}"/>
              </c:ext>
            </c:extLst>
          </c:dPt>
          <c:dPt>
            <c:idx val="3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7-8D78-4A8F-AD2A-4A88E97BB147}"/>
              </c:ext>
            </c:extLst>
          </c:dPt>
          <c:dPt>
            <c:idx val="34"/>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59-8D78-4A8F-AD2A-4A88E97BB147}"/>
              </c:ext>
            </c:extLst>
          </c:dPt>
          <c:dPt>
            <c:idx val="3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5B-8D78-4A8F-AD2A-4A88E97BB147}"/>
              </c:ext>
            </c:extLst>
          </c:dPt>
          <c:dPt>
            <c:idx val="36"/>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5D-8D78-4A8F-AD2A-4A88E97BB147}"/>
              </c:ext>
            </c:extLst>
          </c:dPt>
          <c:dPt>
            <c:idx val="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5F-8D78-4A8F-AD2A-4A88E97BB147}"/>
              </c:ext>
            </c:extLst>
          </c:dPt>
          <c:dPt>
            <c:idx val="38"/>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61-8D78-4A8F-AD2A-4A88E97BB147}"/>
              </c:ext>
            </c:extLst>
          </c:dPt>
          <c:dPt>
            <c:idx val="3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63-8D78-4A8F-AD2A-4A88E97BB147}"/>
              </c:ext>
            </c:extLst>
          </c:dPt>
          <c:dPt>
            <c:idx val="40"/>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65-8D78-4A8F-AD2A-4A88E97BB147}"/>
              </c:ext>
            </c:extLst>
          </c:dPt>
          <c:dPt>
            <c:idx val="4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67-8D78-4A8F-AD2A-4A88E97BB147}"/>
              </c:ext>
            </c:extLst>
          </c:dPt>
          <c:dPt>
            <c:idx val="42"/>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69-8D78-4A8F-AD2A-4A88E97BB147}"/>
              </c:ext>
            </c:extLst>
          </c:dPt>
          <c:dPt>
            <c:idx val="4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6B-8D78-4A8F-AD2A-4A88E97BB147}"/>
              </c:ext>
            </c:extLst>
          </c:dPt>
          <c:dPt>
            <c:idx val="44"/>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6D-8D78-4A8F-AD2A-4A88E97BB147}"/>
              </c:ext>
            </c:extLst>
          </c:dPt>
          <c:dPt>
            <c:idx val="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6F-8D78-4A8F-AD2A-4A88E97BB147}"/>
              </c:ext>
            </c:extLst>
          </c:dPt>
          <c:dPt>
            <c:idx val="46"/>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5-282C-47C2-9B73-15C6F94585D9}"/>
              </c:ext>
            </c:extLst>
          </c:dPt>
          <c:dPt>
            <c:idx val="4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282C-47C2-9B73-15C6F94585D9}"/>
              </c:ext>
            </c:extLst>
          </c:dPt>
          <c:dPt>
            <c:idx val="48"/>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9-282C-47C2-9B73-15C6F94585D9}"/>
              </c:ext>
            </c:extLst>
          </c:dPt>
          <c:dPt>
            <c:idx val="4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B-282C-47C2-9B73-15C6F94585D9}"/>
              </c:ext>
            </c:extLst>
          </c:dPt>
          <c:dPt>
            <c:idx val="50"/>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9D-282C-47C2-9B73-15C6F94585D9}"/>
              </c:ext>
            </c:extLst>
          </c:dPt>
          <c:dPt>
            <c:idx val="5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9F-282C-47C2-9B73-15C6F94585D9}"/>
              </c:ext>
            </c:extLst>
          </c:dPt>
          <c:cat>
            <c:strRef>
              <c:f>'SAMP Dashboard'!$O$52</c:f>
              <c:strCache>
                <c:ptCount val="1"/>
                <c:pt idx="0">
                  <c:v>(blank)</c:v>
                </c:pt>
              </c:strCache>
            </c:strRef>
          </c:cat>
          <c:val>
            <c:numRef>
              <c:f>'SAMP Dashboard'!$S$52</c:f>
              <c:numCache>
                <c:formatCode>"£"#,##0</c:formatCode>
                <c:ptCount val="1"/>
              </c:numCache>
            </c:numRef>
          </c:val>
          <c:extLst>
            <c:ext xmlns:c16="http://schemas.microsoft.com/office/drawing/2014/chart" uri="{C3380CC4-5D6E-409C-BE32-E72D297353CC}">
              <c16:uniqueId val="{00000166-5E28-4875-97B2-F222F0E0621C}"/>
            </c:ext>
          </c:extLst>
        </c:ser>
        <c:ser>
          <c:idx val="4"/>
          <c:order val="4"/>
          <c:tx>
            <c:strRef>
              <c:f>'SAMP Dashboard'!$T$50:$T$51</c:f>
              <c:strCache>
                <c:ptCount val="1"/>
                <c:pt idx="0">
                  <c:v>No. Elements</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C9-D756-4292-9B70-89B27D365A0C}"/>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CB-D756-4292-9B70-89B27D365A0C}"/>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CD-D756-4292-9B70-89B27D365A0C}"/>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CF-D756-4292-9B70-89B27D365A0C}"/>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D1-D756-4292-9B70-89B27D365A0C}"/>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D3-D756-4292-9B70-89B27D365A0C}"/>
              </c:ext>
            </c:extLst>
          </c:dPt>
          <c:dPt>
            <c:idx val="6"/>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D5-D756-4292-9B70-89B27D365A0C}"/>
              </c:ext>
            </c:extLst>
          </c:dPt>
          <c:dPt>
            <c:idx val="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D7-D756-4292-9B70-89B27D365A0C}"/>
              </c:ext>
            </c:extLst>
          </c:dPt>
          <c:dPt>
            <c:idx val="8"/>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D9-D756-4292-9B70-89B27D365A0C}"/>
              </c:ext>
            </c:extLst>
          </c:dPt>
          <c:dPt>
            <c:idx val="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DB-D756-4292-9B70-89B27D365A0C}"/>
              </c:ext>
            </c:extLst>
          </c:dPt>
          <c:dPt>
            <c:idx val="10"/>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DD-D756-4292-9B70-89B27D365A0C}"/>
              </c:ext>
            </c:extLst>
          </c:dPt>
          <c:dPt>
            <c:idx val="1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DF-D756-4292-9B70-89B27D365A0C}"/>
              </c:ext>
            </c:extLst>
          </c:dPt>
          <c:dPt>
            <c:idx val="1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E1-D756-4292-9B70-89B27D365A0C}"/>
              </c:ext>
            </c:extLst>
          </c:dPt>
          <c:dPt>
            <c:idx val="1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E3-D756-4292-9B70-89B27D365A0C}"/>
              </c:ext>
            </c:extLst>
          </c:dPt>
          <c:dPt>
            <c:idx val="14"/>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E5-D756-4292-9B70-89B27D365A0C}"/>
              </c:ext>
            </c:extLst>
          </c:dPt>
          <c:dPt>
            <c:idx val="1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E7-D756-4292-9B70-89B27D365A0C}"/>
              </c:ext>
            </c:extLst>
          </c:dPt>
          <c:dPt>
            <c:idx val="16"/>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E9-D756-4292-9B70-89B27D365A0C}"/>
              </c:ext>
            </c:extLst>
          </c:dPt>
          <c:dPt>
            <c:idx val="1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EB-D756-4292-9B70-89B27D365A0C}"/>
              </c:ext>
            </c:extLst>
          </c:dPt>
          <c:dPt>
            <c:idx val="18"/>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ED-D756-4292-9B70-89B27D365A0C}"/>
              </c:ext>
            </c:extLst>
          </c:dPt>
          <c:dPt>
            <c:idx val="1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EF-D756-4292-9B70-89B27D365A0C}"/>
              </c:ext>
            </c:extLst>
          </c:dPt>
          <c:dPt>
            <c:idx val="20"/>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F1-D756-4292-9B70-89B27D365A0C}"/>
              </c:ext>
            </c:extLst>
          </c:dPt>
          <c:dPt>
            <c:idx val="2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F3-D756-4292-9B70-89B27D365A0C}"/>
              </c:ext>
            </c:extLst>
          </c:dPt>
          <c:dPt>
            <c:idx val="22"/>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F5-D756-4292-9B70-89B27D365A0C}"/>
              </c:ext>
            </c:extLst>
          </c:dPt>
          <c:dPt>
            <c:idx val="2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F7-D756-4292-9B70-89B27D365A0C}"/>
              </c:ext>
            </c:extLst>
          </c:dPt>
          <c:dPt>
            <c:idx val="24"/>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F9-D756-4292-9B70-89B27D365A0C}"/>
              </c:ext>
            </c:extLst>
          </c:dPt>
          <c:dPt>
            <c:idx val="2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3-8D78-4A8F-AD2A-4A88E97BB147}"/>
              </c:ext>
            </c:extLst>
          </c:dPt>
          <c:dPt>
            <c:idx val="26"/>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5-8D78-4A8F-AD2A-4A88E97BB147}"/>
              </c:ext>
            </c:extLst>
          </c:dPt>
          <c:dPt>
            <c:idx val="27"/>
            <c:bubble3D val="0"/>
            <c:spPr>
              <a:solidFill>
                <a:schemeClr val="accent2"/>
              </a:solidFill>
              <a:ln w="19050">
                <a:solidFill>
                  <a:schemeClr val="lt1"/>
                </a:solidFill>
              </a:ln>
              <a:effectLst/>
            </c:spPr>
            <c:extLst>
              <c:ext xmlns:c16="http://schemas.microsoft.com/office/drawing/2014/chart" uri="{C3380CC4-5D6E-409C-BE32-E72D297353CC}">
                <c16:uniqueId val="{000001A7-8D78-4A8F-AD2A-4A88E97BB147}"/>
              </c:ext>
            </c:extLst>
          </c:dPt>
          <c:dPt>
            <c:idx val="28"/>
            <c:bubble3D val="0"/>
            <c:spPr>
              <a:solidFill>
                <a:schemeClr val="accent4"/>
              </a:solidFill>
              <a:ln w="19050">
                <a:solidFill>
                  <a:schemeClr val="lt1"/>
                </a:solidFill>
              </a:ln>
              <a:effectLst/>
            </c:spPr>
            <c:extLst>
              <c:ext xmlns:c16="http://schemas.microsoft.com/office/drawing/2014/chart" uri="{C3380CC4-5D6E-409C-BE32-E72D297353CC}">
                <c16:uniqueId val="{000001A9-8D78-4A8F-AD2A-4A88E97BB147}"/>
              </c:ext>
            </c:extLst>
          </c:dPt>
          <c:dPt>
            <c:idx val="29"/>
            <c:bubble3D val="0"/>
            <c:spPr>
              <a:solidFill>
                <a:schemeClr val="accent6"/>
              </a:solidFill>
              <a:ln w="19050">
                <a:solidFill>
                  <a:schemeClr val="lt1"/>
                </a:solidFill>
              </a:ln>
              <a:effectLst/>
            </c:spPr>
            <c:extLst>
              <c:ext xmlns:c16="http://schemas.microsoft.com/office/drawing/2014/chart" uri="{C3380CC4-5D6E-409C-BE32-E72D297353CC}">
                <c16:uniqueId val="{000001AB-8D78-4A8F-AD2A-4A88E97BB147}"/>
              </c:ext>
            </c:extLst>
          </c:dPt>
          <c:dPt>
            <c:idx val="30"/>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AD-8D78-4A8F-AD2A-4A88E97BB147}"/>
              </c:ext>
            </c:extLst>
          </c:dPt>
          <c:dPt>
            <c:idx val="3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AF-8D78-4A8F-AD2A-4A88E97BB147}"/>
              </c:ext>
            </c:extLst>
          </c:dPt>
          <c:dPt>
            <c:idx val="32"/>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B1-8D78-4A8F-AD2A-4A88E97BB147}"/>
              </c:ext>
            </c:extLst>
          </c:dPt>
          <c:dPt>
            <c:idx val="3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B3-8D78-4A8F-AD2A-4A88E97BB147}"/>
              </c:ext>
            </c:extLst>
          </c:dPt>
          <c:dPt>
            <c:idx val="34"/>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B5-8D78-4A8F-AD2A-4A88E97BB147}"/>
              </c:ext>
            </c:extLst>
          </c:dPt>
          <c:dPt>
            <c:idx val="3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B7-8D78-4A8F-AD2A-4A88E97BB147}"/>
              </c:ext>
            </c:extLst>
          </c:dPt>
          <c:dPt>
            <c:idx val="36"/>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B9-8D78-4A8F-AD2A-4A88E97BB147}"/>
              </c:ext>
            </c:extLst>
          </c:dPt>
          <c:dPt>
            <c:idx val="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BB-8D78-4A8F-AD2A-4A88E97BB147}"/>
              </c:ext>
            </c:extLst>
          </c:dPt>
          <c:dPt>
            <c:idx val="38"/>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BD-8D78-4A8F-AD2A-4A88E97BB147}"/>
              </c:ext>
            </c:extLst>
          </c:dPt>
          <c:dPt>
            <c:idx val="3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BF-8D78-4A8F-AD2A-4A88E97BB147}"/>
              </c:ext>
            </c:extLst>
          </c:dPt>
          <c:dPt>
            <c:idx val="40"/>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C1-8D78-4A8F-AD2A-4A88E97BB147}"/>
              </c:ext>
            </c:extLst>
          </c:dPt>
          <c:dPt>
            <c:idx val="4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C3-8D78-4A8F-AD2A-4A88E97BB147}"/>
              </c:ext>
            </c:extLst>
          </c:dPt>
          <c:dPt>
            <c:idx val="42"/>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C5-8D78-4A8F-AD2A-4A88E97BB147}"/>
              </c:ext>
            </c:extLst>
          </c:dPt>
          <c:dPt>
            <c:idx val="4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C7-8D78-4A8F-AD2A-4A88E97BB147}"/>
              </c:ext>
            </c:extLst>
          </c:dPt>
          <c:dPt>
            <c:idx val="44"/>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C9-8D78-4A8F-AD2A-4A88E97BB147}"/>
              </c:ext>
            </c:extLst>
          </c:dPt>
          <c:dPt>
            <c:idx val="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CB-8D78-4A8F-AD2A-4A88E97BB147}"/>
              </c:ext>
            </c:extLst>
          </c:dPt>
          <c:dPt>
            <c:idx val="46"/>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D-282C-47C2-9B73-15C6F94585D9}"/>
              </c:ext>
            </c:extLst>
          </c:dPt>
          <c:dPt>
            <c:idx val="4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FF-282C-47C2-9B73-15C6F94585D9}"/>
              </c:ext>
            </c:extLst>
          </c:dPt>
          <c:dPt>
            <c:idx val="48"/>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1-282C-47C2-9B73-15C6F94585D9}"/>
              </c:ext>
            </c:extLst>
          </c:dPt>
          <c:dPt>
            <c:idx val="4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3-282C-47C2-9B73-15C6F94585D9}"/>
              </c:ext>
            </c:extLst>
          </c:dPt>
          <c:dPt>
            <c:idx val="50"/>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5-282C-47C2-9B73-15C6F94585D9}"/>
              </c:ext>
            </c:extLst>
          </c:dPt>
          <c:dPt>
            <c:idx val="5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207-282C-47C2-9B73-15C6F94585D9}"/>
              </c:ext>
            </c:extLst>
          </c:dPt>
          <c:cat>
            <c:strRef>
              <c:f>'SAMP Dashboard'!$O$52</c:f>
              <c:strCache>
                <c:ptCount val="1"/>
                <c:pt idx="0">
                  <c:v>(blank)</c:v>
                </c:pt>
              </c:strCache>
            </c:strRef>
          </c:cat>
          <c:val>
            <c:numRef>
              <c:f>'SAMP Dashboard'!$T$52</c:f>
              <c:numCache>
                <c:formatCode>0</c:formatCode>
                <c:ptCount val="1"/>
              </c:numCache>
            </c:numRef>
          </c:val>
          <c:extLst>
            <c:ext xmlns:c16="http://schemas.microsoft.com/office/drawing/2014/chart" uri="{C3380CC4-5D6E-409C-BE32-E72D297353CC}">
              <c16:uniqueId val="{00000167-5E28-4875-97B2-F222F0E0621C}"/>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1008747043486522"/>
          <c:y val="2.6235819605297379E-2"/>
          <c:w val="0.25750575451663454"/>
          <c:h val="0.907082136060006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no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83351737357217"/>
          <c:y val="0.28741037816601489"/>
          <c:w val="0.35085511164723571"/>
          <c:h val="0.56537994052610829"/>
        </c:manualLayout>
      </c:layout>
      <c:pieChart>
        <c:varyColors val="1"/>
        <c:ser>
          <c:idx val="0"/>
          <c:order val="0"/>
          <c:dPt>
            <c:idx val="0"/>
            <c:bubble3D val="0"/>
            <c:spPr>
              <a:solidFill>
                <a:schemeClr val="accent6"/>
              </a:solidFill>
              <a:ln>
                <a:noFill/>
              </a:ln>
              <a:effectLst/>
            </c:spPr>
            <c:extLst>
              <c:ext xmlns:c16="http://schemas.microsoft.com/office/drawing/2014/chart" uri="{C3380CC4-5D6E-409C-BE32-E72D297353CC}">
                <c16:uniqueId val="{00000001-493C-42DE-8F76-18A6F1C59E8D}"/>
              </c:ext>
            </c:extLst>
          </c:dPt>
          <c:dPt>
            <c:idx val="1"/>
            <c:bubble3D val="0"/>
            <c:spPr>
              <a:solidFill>
                <a:schemeClr val="accent6">
                  <a:lumMod val="60000"/>
                  <a:lumOff val="40000"/>
                </a:schemeClr>
              </a:solidFill>
              <a:ln>
                <a:noFill/>
              </a:ln>
              <a:effectLst/>
            </c:spPr>
            <c:extLst>
              <c:ext xmlns:c16="http://schemas.microsoft.com/office/drawing/2014/chart" uri="{C3380CC4-5D6E-409C-BE32-E72D297353CC}">
                <c16:uniqueId val="{00000003-493C-42DE-8F76-18A6F1C59E8D}"/>
              </c:ext>
            </c:extLst>
          </c:dPt>
          <c:dPt>
            <c:idx val="2"/>
            <c:bubble3D val="0"/>
            <c:spPr>
              <a:solidFill>
                <a:schemeClr val="accent4"/>
              </a:solidFill>
              <a:ln>
                <a:noFill/>
              </a:ln>
              <a:effectLst/>
            </c:spPr>
            <c:extLst>
              <c:ext xmlns:c16="http://schemas.microsoft.com/office/drawing/2014/chart" uri="{C3380CC4-5D6E-409C-BE32-E72D297353CC}">
                <c16:uniqueId val="{00000005-493C-42DE-8F76-18A6F1C59E8D}"/>
              </c:ext>
            </c:extLst>
          </c:dPt>
          <c:dPt>
            <c:idx val="3"/>
            <c:bubble3D val="0"/>
            <c:spPr>
              <a:solidFill>
                <a:schemeClr val="accent2"/>
              </a:solidFill>
              <a:ln>
                <a:noFill/>
              </a:ln>
              <a:effectLst/>
            </c:spPr>
            <c:extLst>
              <c:ext xmlns:c16="http://schemas.microsoft.com/office/drawing/2014/chart" uri="{C3380CC4-5D6E-409C-BE32-E72D297353CC}">
                <c16:uniqueId val="{00000007-493C-42DE-8F76-18A6F1C59E8D}"/>
              </c:ext>
            </c:extLst>
          </c:dPt>
          <c:dPt>
            <c:idx val="4"/>
            <c:bubble3D val="0"/>
            <c:spPr>
              <a:solidFill>
                <a:srgbClr val="C00000"/>
              </a:solidFill>
              <a:ln>
                <a:noFill/>
              </a:ln>
              <a:effectLst/>
            </c:spPr>
            <c:extLst>
              <c:ext xmlns:c16="http://schemas.microsoft.com/office/drawing/2014/chart" uri="{C3380CC4-5D6E-409C-BE32-E72D297353CC}">
                <c16:uniqueId val="{00000009-493C-42DE-8F76-18A6F1C59E8D}"/>
              </c:ext>
            </c:extLst>
          </c:dPt>
          <c:dPt>
            <c:idx val="5"/>
            <c:bubble3D val="0"/>
            <c:spPr>
              <a:solidFill>
                <a:schemeClr val="accent4">
                  <a:lumMod val="60000"/>
                </a:schemeClr>
              </a:solidFill>
              <a:ln>
                <a:noFill/>
              </a:ln>
              <a:effectLst/>
            </c:spPr>
            <c:extLst>
              <c:ext xmlns:c16="http://schemas.microsoft.com/office/drawing/2014/chart" uri="{C3380CC4-5D6E-409C-BE32-E72D297353CC}">
                <c16:uniqueId val="{0000000B-493C-42DE-8F76-18A6F1C59E8D}"/>
              </c:ext>
            </c:extLst>
          </c:dPt>
          <c:dPt>
            <c:idx val="6"/>
            <c:bubble3D val="0"/>
            <c:spPr>
              <a:solidFill>
                <a:schemeClr val="accent6">
                  <a:lumMod val="80000"/>
                  <a:lumOff val="20000"/>
                </a:schemeClr>
              </a:solidFill>
              <a:ln>
                <a:noFill/>
              </a:ln>
              <a:effectLst/>
            </c:spPr>
            <c:extLst>
              <c:ext xmlns:c16="http://schemas.microsoft.com/office/drawing/2014/chart" uri="{C3380CC4-5D6E-409C-BE32-E72D297353CC}">
                <c16:uniqueId val="{0000000D-493C-42DE-8F76-18A6F1C59E8D}"/>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extLst>
          </c:dLbls>
          <c:cat>
            <c:strRef>
              <c:f>'Y5'!$GF$31:$GF$35</c:f>
              <c:strCache>
                <c:ptCount val="5"/>
                <c:pt idx="0">
                  <c:v>Very good</c:v>
                </c:pt>
                <c:pt idx="1">
                  <c:v>Good</c:v>
                </c:pt>
                <c:pt idx="2">
                  <c:v>Fair</c:v>
                </c:pt>
                <c:pt idx="3">
                  <c:v>Poor</c:v>
                </c:pt>
                <c:pt idx="4">
                  <c:v>Very poor</c:v>
                </c:pt>
              </c:strCache>
            </c:strRef>
          </c:cat>
          <c:val>
            <c:numRef>
              <c:f>Y0!$AQ$20:$AQ$24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E-493C-42DE-8F76-18A6F1C59E8D}"/>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0643470774176897"/>
          <c:y val="0.33394215707068142"/>
          <c:w val="0.28550760452159613"/>
          <c:h val="0.37696120698140478"/>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noFill/>
    <a:ln w="6350" cap="flat" cmpd="sng" algn="ctr">
      <a:noFill/>
      <a:prstDash val="solid"/>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81616492853648"/>
          <c:y val="0.29620689263627276"/>
          <c:w val="0.25910557790445682"/>
          <c:h val="0.68080496245231803"/>
        </c:manualLayout>
      </c:layout>
      <c:pieChart>
        <c:varyColors val="1"/>
        <c:ser>
          <c:idx val="0"/>
          <c:order val="0"/>
          <c:dPt>
            <c:idx val="0"/>
            <c:bubble3D val="0"/>
            <c:spPr>
              <a:solidFill>
                <a:schemeClr val="accent1"/>
              </a:solidFill>
              <a:ln>
                <a:noFill/>
              </a:ln>
              <a:effectLst/>
            </c:spPr>
            <c:extLst>
              <c:ext xmlns:c16="http://schemas.microsoft.com/office/drawing/2014/chart" uri="{C3380CC4-5D6E-409C-BE32-E72D297353CC}">
                <c16:uniqueId val="{00000001-BF1E-4C1C-BEFD-C823CFCA78D9}"/>
              </c:ext>
            </c:extLst>
          </c:dPt>
          <c:dPt>
            <c:idx val="1"/>
            <c:bubble3D val="0"/>
            <c:spPr>
              <a:solidFill>
                <a:schemeClr val="accent3"/>
              </a:solidFill>
              <a:ln>
                <a:noFill/>
              </a:ln>
              <a:effectLst/>
            </c:spPr>
            <c:extLst>
              <c:ext xmlns:c16="http://schemas.microsoft.com/office/drawing/2014/chart" uri="{C3380CC4-5D6E-409C-BE32-E72D297353CC}">
                <c16:uniqueId val="{00000003-BF1E-4C1C-BEFD-C823CFCA78D9}"/>
              </c:ext>
            </c:extLst>
          </c:dPt>
          <c:dPt>
            <c:idx val="2"/>
            <c:bubble3D val="0"/>
            <c:spPr>
              <a:solidFill>
                <a:schemeClr val="accent5"/>
              </a:solidFill>
              <a:ln>
                <a:noFill/>
              </a:ln>
              <a:effectLst/>
            </c:spPr>
            <c:extLst>
              <c:ext xmlns:c16="http://schemas.microsoft.com/office/drawing/2014/chart" uri="{C3380CC4-5D6E-409C-BE32-E72D297353CC}">
                <c16:uniqueId val="{00000005-BF1E-4C1C-BEFD-C823CFCA78D9}"/>
              </c:ext>
            </c:extLst>
          </c:dPt>
          <c:dPt>
            <c:idx val="3"/>
            <c:bubble3D val="0"/>
            <c:spPr>
              <a:solidFill>
                <a:schemeClr val="accent1">
                  <a:lumMod val="60000"/>
                </a:schemeClr>
              </a:solidFill>
              <a:ln>
                <a:noFill/>
              </a:ln>
              <a:effectLst/>
            </c:spPr>
            <c:extLst>
              <c:ext xmlns:c16="http://schemas.microsoft.com/office/drawing/2014/chart" uri="{C3380CC4-5D6E-409C-BE32-E72D297353CC}">
                <c16:uniqueId val="{00000007-BF1E-4C1C-BEFD-C823CFCA78D9}"/>
              </c:ext>
            </c:extLst>
          </c:dPt>
          <c:dPt>
            <c:idx val="4"/>
            <c:bubble3D val="0"/>
            <c:spPr>
              <a:solidFill>
                <a:schemeClr val="accent3">
                  <a:lumMod val="60000"/>
                </a:schemeClr>
              </a:solidFill>
              <a:ln>
                <a:noFill/>
              </a:ln>
              <a:effectLst/>
            </c:spPr>
            <c:extLst>
              <c:ext xmlns:c16="http://schemas.microsoft.com/office/drawing/2014/chart" uri="{C3380CC4-5D6E-409C-BE32-E72D297353CC}">
                <c16:uniqueId val="{00000009-7045-421B-A3AA-3D1E31D8E23F}"/>
              </c:ext>
            </c:extLst>
          </c:dPt>
          <c:dPt>
            <c:idx val="5"/>
            <c:bubble3D val="0"/>
            <c:spPr>
              <a:solidFill>
                <a:schemeClr val="accent5">
                  <a:lumMod val="60000"/>
                </a:schemeClr>
              </a:solidFill>
              <a:ln>
                <a:noFill/>
              </a:ln>
              <a:effectLst/>
            </c:spPr>
            <c:extLst>
              <c:ext xmlns:c16="http://schemas.microsoft.com/office/drawing/2014/chart" uri="{C3380CC4-5D6E-409C-BE32-E72D297353CC}">
                <c16:uniqueId val="{0000000B-7045-421B-A3AA-3D1E31D8E23F}"/>
              </c:ext>
            </c:extLst>
          </c:dPt>
          <c:dPt>
            <c:idx val="6"/>
            <c:bubble3D val="0"/>
            <c:spPr>
              <a:solidFill>
                <a:schemeClr val="accent1">
                  <a:lumMod val="80000"/>
                  <a:lumOff val="20000"/>
                </a:schemeClr>
              </a:solidFill>
              <a:ln>
                <a:noFill/>
              </a:ln>
              <a:effectLst/>
            </c:spPr>
            <c:extLst>
              <c:ext xmlns:c16="http://schemas.microsoft.com/office/drawing/2014/chart" uri="{C3380CC4-5D6E-409C-BE32-E72D297353CC}">
                <c16:uniqueId val="{0000000D-7045-421B-A3AA-3D1E31D8E23F}"/>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extLst>
          </c:dLbls>
          <c:cat>
            <c:strRef>
              <c:f>Value!$CA$8:$CA$14</c:f>
              <c:strCache>
                <c:ptCount val="7"/>
                <c:pt idx="0">
                  <c:v>Bridges</c:v>
                </c:pt>
                <c:pt idx="1">
                  <c:v>Retaining Walls</c:v>
                </c:pt>
                <c:pt idx="2">
                  <c:v>Culverts</c:v>
                </c:pt>
                <c:pt idx="3">
                  <c:v>Sign/Signal Gantries</c:v>
                </c:pt>
                <c:pt idx="4">
                  <c:v>High Mast Lighting</c:v>
                </c:pt>
                <c:pt idx="5">
                  <c:v>Tunnels and Vehicular U/P</c:v>
                </c:pt>
                <c:pt idx="6">
                  <c:v>Other</c:v>
                </c:pt>
              </c:strCache>
            </c:strRef>
          </c:cat>
          <c:val>
            <c:numRef>
              <c:f>Value!$CB$8:$CB$14</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BF1E-4C1C-BEFD-C823CFCA78D9}"/>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42755257690851201"/>
          <c:y val="0.15887296850343469"/>
          <c:w val="0.51888486344219342"/>
          <c:h val="0.78006494604117038"/>
        </c:manualLayout>
      </c:layout>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noFill/>
    <a:ln w="6350"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[SAVI v1.10 blank.xlsm]SAMP Dashboard!PivotTable3</c:name>
    <c:fmtId val="8"/>
  </c:pivotSource>
  <c:chart>
    <c:autoTitleDeleted val="1"/>
    <c:pivotFmts>
      <c:pivotFmt>
        <c:idx val="0"/>
        <c:spPr>
          <a:solidFill>
            <a:schemeClr val="accent2"/>
          </a:solidFill>
          <a:ln w="19050">
            <a:solidFill>
              <a:schemeClr val="lt1"/>
            </a:solidFill>
          </a:ln>
          <a:effectLst/>
        </c:spPr>
        <c:marker>
          <c:symbol val="none"/>
        </c:marker>
      </c:pivotFmt>
      <c:pivotFmt>
        <c:idx val="1"/>
        <c:spPr>
          <a:solidFill>
            <a:schemeClr val="accent2"/>
          </a:solidFill>
          <a:ln w="19050">
            <a:solidFill>
              <a:schemeClr val="lt1"/>
            </a:solidFill>
          </a:ln>
          <a:effectLst/>
        </c:spPr>
        <c:marker>
          <c:symbol val="none"/>
        </c:marker>
      </c:pivotFmt>
      <c:pivotFmt>
        <c:idx val="2"/>
        <c:spPr>
          <a:solidFill>
            <a:schemeClr val="accent2"/>
          </a:solidFill>
          <a:ln w="19050">
            <a:solidFill>
              <a:schemeClr val="lt1"/>
            </a:solidFill>
          </a:ln>
          <a:effectLst/>
        </c:spPr>
        <c:marker>
          <c:symbol val="none"/>
        </c:marker>
      </c:pivotFmt>
      <c:pivotFmt>
        <c:idx val="3"/>
        <c:spPr>
          <a:solidFill>
            <a:schemeClr val="accent2"/>
          </a:solidFill>
          <a:ln w="19050">
            <a:solidFill>
              <a:schemeClr val="lt1"/>
            </a:solidFill>
          </a:ln>
          <a:effectLst/>
        </c:spPr>
        <c:marker>
          <c:symbol val="none"/>
        </c:marker>
      </c:pivotFmt>
      <c:pivotFmt>
        <c:idx val="4"/>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w="19050">
            <a:solidFill>
              <a:schemeClr val="lt1"/>
            </a:solidFill>
          </a:ln>
          <a:effectLst/>
        </c:spPr>
        <c:dLbl>
          <c:idx val="0"/>
          <c:layout>
            <c:manualLayout>
              <c:x val="-2.9213300921147639E-3"/>
              <c:y val="-3.0321621731184818E-2"/>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w="19050">
            <a:solidFill>
              <a:schemeClr val="lt1"/>
            </a:solidFill>
          </a:ln>
          <a:effectLst/>
        </c:spPr>
        <c:marker>
          <c:symbol val="none"/>
        </c:marker>
      </c:pivotFmt>
      <c:pivotFmt>
        <c:idx val="7"/>
        <c:spPr>
          <a:solidFill>
            <a:schemeClr val="accent2"/>
          </a:solidFill>
          <a:ln w="19050">
            <a:solidFill>
              <a:schemeClr val="lt1"/>
            </a:solidFill>
          </a:ln>
          <a:effectLst/>
        </c:spPr>
        <c:marker>
          <c:symbol val="none"/>
        </c:marker>
      </c:pivotFmt>
      <c:pivotFmt>
        <c:idx val="8"/>
        <c:spPr>
          <a:solidFill>
            <a:schemeClr val="accent2"/>
          </a:solidFill>
          <a:ln w="19050">
            <a:solidFill>
              <a:schemeClr val="lt1"/>
            </a:solidFill>
          </a:ln>
          <a:effectLst/>
        </c:spPr>
        <c:marker>
          <c:symbol val="none"/>
        </c:marker>
      </c:pivotFmt>
      <c:pivotFmt>
        <c:idx val="9"/>
        <c:spPr>
          <a:solidFill>
            <a:schemeClr val="accent2"/>
          </a:solidFill>
          <a:ln w="19050">
            <a:solidFill>
              <a:schemeClr val="lt1"/>
            </a:solidFill>
          </a:ln>
          <a:effectLst/>
        </c:spPr>
      </c:pivotFmt>
      <c:pivotFmt>
        <c:idx val="10"/>
        <c:spPr>
          <a:solidFill>
            <a:schemeClr val="accent2"/>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2"/>
          </a:solidFill>
          <a:ln w="19050">
            <a:solidFill>
              <a:schemeClr val="lt1"/>
            </a:solidFill>
          </a:ln>
          <a:effectLst/>
        </c:spPr>
      </c:pivotFmt>
      <c:pivotFmt>
        <c:idx val="13"/>
        <c:spPr>
          <a:solidFill>
            <a:schemeClr val="accent2"/>
          </a:solidFill>
          <a:ln w="19050">
            <a:solidFill>
              <a:schemeClr val="lt1"/>
            </a:solidFill>
          </a:ln>
          <a:effectLst/>
        </c:spPr>
      </c:pivotFmt>
      <c:pivotFmt>
        <c:idx val="14"/>
        <c:spPr>
          <a:solidFill>
            <a:schemeClr val="accent2"/>
          </a:solidFill>
          <a:ln w="19050">
            <a:solidFill>
              <a:schemeClr val="lt1"/>
            </a:solidFill>
          </a:ln>
          <a:effectLst/>
        </c:spPr>
      </c:pivotFmt>
      <c:pivotFmt>
        <c:idx val="15"/>
        <c:spPr>
          <a:solidFill>
            <a:schemeClr val="accent2"/>
          </a:solidFill>
          <a:ln w="19050">
            <a:solidFill>
              <a:schemeClr val="lt1"/>
            </a:solidFill>
          </a:ln>
          <a:effectLst/>
        </c:spPr>
      </c:pivotFmt>
      <c:pivotFmt>
        <c:idx val="16"/>
        <c:spPr>
          <a:solidFill>
            <a:schemeClr val="accent2"/>
          </a:solidFill>
          <a:ln w="19050">
            <a:solidFill>
              <a:schemeClr val="lt1"/>
            </a:solidFill>
          </a:ln>
          <a:effectLst/>
        </c:spPr>
      </c:pivotFmt>
      <c:pivotFmt>
        <c:idx val="17"/>
        <c:spPr>
          <a:solidFill>
            <a:schemeClr val="accent2"/>
          </a:solidFill>
          <a:ln w="19050">
            <a:solidFill>
              <a:schemeClr val="lt1"/>
            </a:solidFill>
          </a:ln>
          <a:effectLst/>
        </c:spPr>
      </c:pivotFmt>
      <c:pivotFmt>
        <c:idx val="18"/>
        <c:spPr>
          <a:solidFill>
            <a:schemeClr val="accent2"/>
          </a:solidFill>
          <a:ln w="19050">
            <a:solidFill>
              <a:schemeClr val="lt1"/>
            </a:solidFill>
          </a:ln>
          <a:effectLst/>
        </c:spPr>
      </c:pivotFmt>
      <c:pivotFmt>
        <c:idx val="19"/>
        <c:spPr>
          <a:solidFill>
            <a:schemeClr val="accent2"/>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2"/>
          </a:solidFill>
          <a:ln w="19050">
            <a:solidFill>
              <a:schemeClr val="lt1"/>
            </a:solidFill>
          </a:ln>
          <a:effectLst/>
        </c:spPr>
      </c:pivotFmt>
      <c:pivotFmt>
        <c:idx val="22"/>
        <c:spPr>
          <a:solidFill>
            <a:schemeClr val="accent2"/>
          </a:solidFill>
          <a:ln w="19050">
            <a:solidFill>
              <a:schemeClr val="lt1"/>
            </a:solidFill>
          </a:ln>
          <a:effectLst/>
        </c:spPr>
      </c:pivotFmt>
      <c:pivotFmt>
        <c:idx val="23"/>
        <c:spPr>
          <a:solidFill>
            <a:schemeClr val="accent2"/>
          </a:solidFill>
          <a:ln w="19050">
            <a:solidFill>
              <a:schemeClr val="lt1"/>
            </a:solidFill>
          </a:ln>
          <a:effectLst/>
        </c:spPr>
      </c:pivotFmt>
      <c:pivotFmt>
        <c:idx val="24"/>
        <c:spPr>
          <a:solidFill>
            <a:schemeClr val="accent2"/>
          </a:solidFill>
          <a:ln w="19050">
            <a:solidFill>
              <a:schemeClr val="lt1"/>
            </a:solidFill>
          </a:ln>
          <a:effectLst/>
        </c:spPr>
      </c:pivotFmt>
      <c:pivotFmt>
        <c:idx val="25"/>
        <c:spPr>
          <a:solidFill>
            <a:schemeClr val="accent2"/>
          </a:solidFill>
          <a:ln w="19050">
            <a:solidFill>
              <a:schemeClr val="lt1"/>
            </a:solidFill>
          </a:ln>
          <a:effectLst/>
        </c:spPr>
      </c:pivotFmt>
      <c:pivotFmt>
        <c:idx val="26"/>
        <c:spPr>
          <a:solidFill>
            <a:schemeClr val="accent2"/>
          </a:solidFill>
          <a:ln w="19050">
            <a:solidFill>
              <a:schemeClr val="lt1"/>
            </a:solidFill>
          </a:ln>
          <a:effectLst/>
        </c:spPr>
      </c:pivotFmt>
      <c:pivotFmt>
        <c:idx val="27"/>
        <c:spPr>
          <a:solidFill>
            <a:schemeClr val="accent2"/>
          </a:solidFill>
          <a:ln w="19050">
            <a:solidFill>
              <a:schemeClr val="lt1"/>
            </a:solidFill>
          </a:ln>
          <a:effectLst/>
        </c:spPr>
      </c:pivotFmt>
      <c:pivotFmt>
        <c:idx val="28"/>
        <c:spPr>
          <a:solidFill>
            <a:schemeClr val="accent2"/>
          </a:solidFill>
          <a:ln w="19050">
            <a:solidFill>
              <a:schemeClr val="lt1"/>
            </a:solidFill>
          </a:ln>
          <a:effectLst/>
        </c:spPr>
      </c:pivotFmt>
      <c:pivotFmt>
        <c:idx val="29"/>
        <c:spPr>
          <a:solidFill>
            <a:schemeClr val="accent2"/>
          </a:solidFill>
          <a:ln w="19050">
            <a:solidFill>
              <a:schemeClr val="lt1"/>
            </a:solidFill>
          </a:ln>
          <a:effectLst/>
        </c:spPr>
      </c:pivotFmt>
      <c:pivotFmt>
        <c:idx val="30"/>
        <c:spPr>
          <a:solidFill>
            <a:schemeClr val="accent2"/>
          </a:solidFill>
          <a:ln w="19050">
            <a:solidFill>
              <a:schemeClr val="lt1"/>
            </a:solidFill>
          </a:ln>
          <a:effectLst/>
        </c:spPr>
      </c:pivotFmt>
      <c:pivotFmt>
        <c:idx val="31"/>
        <c:spPr>
          <a:solidFill>
            <a:schemeClr val="accent2"/>
          </a:solidFill>
          <a:ln w="19050">
            <a:solidFill>
              <a:schemeClr val="lt1"/>
            </a:solidFill>
          </a:ln>
          <a:effectLst/>
        </c:spPr>
      </c:pivotFmt>
      <c:pivotFmt>
        <c:idx val="32"/>
        <c:spPr>
          <a:solidFill>
            <a:schemeClr val="accent2"/>
          </a:solidFill>
          <a:ln w="19050">
            <a:solidFill>
              <a:schemeClr val="lt1"/>
            </a:solidFill>
          </a:ln>
          <a:effectLst/>
        </c:spPr>
      </c:pivotFmt>
      <c:pivotFmt>
        <c:idx val="33"/>
        <c:spPr>
          <a:solidFill>
            <a:schemeClr val="accent2"/>
          </a:solidFill>
          <a:ln w="19050">
            <a:solidFill>
              <a:schemeClr val="lt1"/>
            </a:solidFill>
          </a:ln>
          <a:effectLst/>
        </c:spPr>
      </c:pivotFmt>
      <c:pivotFmt>
        <c:idx val="34"/>
        <c:spPr>
          <a:solidFill>
            <a:schemeClr val="accent2"/>
          </a:solidFill>
          <a:ln w="19050">
            <a:solidFill>
              <a:schemeClr val="lt1"/>
            </a:solidFill>
          </a:ln>
          <a:effectLst/>
        </c:spPr>
      </c:pivotFmt>
      <c:pivotFmt>
        <c:idx val="35"/>
        <c:spPr>
          <a:solidFill>
            <a:schemeClr val="accent2"/>
          </a:solidFill>
          <a:ln w="19050">
            <a:solidFill>
              <a:schemeClr val="lt1"/>
            </a:solidFill>
          </a:ln>
          <a:effectLst/>
        </c:spPr>
      </c:pivotFmt>
      <c:pivotFmt>
        <c:idx val="36"/>
        <c:spPr>
          <a:solidFill>
            <a:schemeClr val="accent2"/>
          </a:solidFill>
          <a:ln w="19050">
            <a:solidFill>
              <a:schemeClr val="lt1"/>
            </a:solidFill>
          </a:ln>
          <a:effectLst/>
        </c:spPr>
      </c:pivotFmt>
      <c:pivotFmt>
        <c:idx val="37"/>
        <c:spPr>
          <a:solidFill>
            <a:schemeClr val="accent2"/>
          </a:solidFill>
          <a:ln w="19050">
            <a:solidFill>
              <a:schemeClr val="lt1"/>
            </a:solidFill>
          </a:ln>
          <a:effectLst/>
        </c:spPr>
      </c:pivotFmt>
      <c:pivotFmt>
        <c:idx val="38"/>
        <c:spPr>
          <a:solidFill>
            <a:schemeClr val="accent2"/>
          </a:solidFill>
          <a:ln w="19050">
            <a:solidFill>
              <a:schemeClr val="lt1"/>
            </a:solidFill>
          </a:ln>
          <a:effectLst/>
        </c:spPr>
      </c:pivotFmt>
      <c:pivotFmt>
        <c:idx val="39"/>
        <c:spPr>
          <a:solidFill>
            <a:schemeClr val="accent2"/>
          </a:solidFill>
          <a:ln w="19050">
            <a:solidFill>
              <a:schemeClr val="lt1"/>
            </a:solidFill>
          </a:ln>
          <a:effectLst/>
        </c:spPr>
      </c:pivotFmt>
      <c:pivotFmt>
        <c:idx val="40"/>
        <c:spPr>
          <a:solidFill>
            <a:schemeClr val="accent2"/>
          </a:solidFill>
          <a:ln w="19050">
            <a:solidFill>
              <a:schemeClr val="lt1"/>
            </a:solidFill>
          </a:ln>
          <a:effectLst/>
        </c:spPr>
      </c:pivotFmt>
      <c:pivotFmt>
        <c:idx val="41"/>
        <c:spPr>
          <a:solidFill>
            <a:schemeClr val="accent2"/>
          </a:solidFill>
          <a:ln w="19050">
            <a:solidFill>
              <a:schemeClr val="lt1"/>
            </a:solidFill>
          </a:ln>
          <a:effectLst/>
        </c:spPr>
      </c:pivotFmt>
      <c:pivotFmt>
        <c:idx val="42"/>
        <c:spPr>
          <a:solidFill>
            <a:schemeClr val="accent2"/>
          </a:solidFill>
          <a:ln w="19050">
            <a:solidFill>
              <a:schemeClr val="lt1"/>
            </a:solidFill>
          </a:ln>
          <a:effectLst/>
        </c:spPr>
      </c:pivotFmt>
      <c:pivotFmt>
        <c:idx val="43"/>
        <c:spPr>
          <a:solidFill>
            <a:schemeClr val="accent2"/>
          </a:solidFill>
          <a:ln w="19050">
            <a:solidFill>
              <a:schemeClr val="lt1"/>
            </a:solidFill>
          </a:ln>
          <a:effectLst/>
        </c:spPr>
      </c:pivotFmt>
      <c:pivotFmt>
        <c:idx val="44"/>
        <c:spPr>
          <a:solidFill>
            <a:schemeClr val="accent2"/>
          </a:solidFill>
          <a:ln w="19050">
            <a:solidFill>
              <a:schemeClr val="lt1"/>
            </a:solidFill>
          </a:ln>
          <a:effectLst/>
        </c:spPr>
      </c:pivotFmt>
      <c:pivotFmt>
        <c:idx val="45"/>
        <c:spPr>
          <a:solidFill>
            <a:schemeClr val="accent2"/>
          </a:solidFill>
          <a:ln w="19050">
            <a:solidFill>
              <a:schemeClr val="lt1"/>
            </a:solidFill>
          </a:ln>
          <a:effectLst/>
        </c:spPr>
      </c:pivotFmt>
      <c:pivotFmt>
        <c:idx val="46"/>
        <c:spPr>
          <a:solidFill>
            <a:schemeClr val="accent2"/>
          </a:solidFill>
          <a:ln w="19050">
            <a:solidFill>
              <a:schemeClr val="lt1"/>
            </a:solidFill>
          </a:ln>
          <a:effectLst/>
        </c:spPr>
      </c:pivotFmt>
      <c:pivotFmt>
        <c:idx val="47"/>
        <c:spPr>
          <a:solidFill>
            <a:schemeClr val="accent2"/>
          </a:solidFill>
          <a:ln w="19050">
            <a:solidFill>
              <a:schemeClr val="lt1"/>
            </a:solidFill>
          </a:ln>
          <a:effectLst/>
        </c:spPr>
      </c:pivotFmt>
      <c:pivotFmt>
        <c:idx val="48"/>
        <c:spPr>
          <a:solidFill>
            <a:schemeClr val="accent2"/>
          </a:solidFill>
          <a:ln w="19050">
            <a:solidFill>
              <a:schemeClr val="lt1"/>
            </a:solidFill>
          </a:ln>
          <a:effectLst/>
        </c:spPr>
      </c:pivotFmt>
      <c:pivotFmt>
        <c:idx val="49"/>
        <c:spPr>
          <a:solidFill>
            <a:schemeClr val="accent2"/>
          </a:solidFill>
          <a:ln w="19050">
            <a:solidFill>
              <a:schemeClr val="lt1"/>
            </a:solidFill>
          </a:ln>
          <a:effectLst/>
        </c:spPr>
      </c:pivotFmt>
      <c:pivotFmt>
        <c:idx val="50"/>
        <c:spPr>
          <a:solidFill>
            <a:schemeClr val="accent2"/>
          </a:solidFill>
          <a:ln w="19050">
            <a:solidFill>
              <a:schemeClr val="lt1"/>
            </a:solidFill>
          </a:ln>
          <a:effectLst/>
        </c:spPr>
      </c:pivotFmt>
      <c:pivotFmt>
        <c:idx val="51"/>
        <c:spPr>
          <a:solidFill>
            <a:schemeClr val="accent2"/>
          </a:solidFill>
          <a:ln w="19050">
            <a:solidFill>
              <a:schemeClr val="lt1"/>
            </a:solidFill>
          </a:ln>
          <a:effectLst/>
        </c:spPr>
      </c:pivotFmt>
      <c:pivotFmt>
        <c:idx val="52"/>
        <c:spPr>
          <a:solidFill>
            <a:schemeClr val="accent2"/>
          </a:solidFill>
          <a:ln w="19050">
            <a:solidFill>
              <a:schemeClr val="lt1"/>
            </a:solidFill>
          </a:ln>
          <a:effectLst/>
        </c:spPr>
      </c:pivotFmt>
      <c:pivotFmt>
        <c:idx val="53"/>
        <c:spPr>
          <a:solidFill>
            <a:schemeClr val="accent2"/>
          </a:solidFill>
          <a:ln w="19050">
            <a:solidFill>
              <a:schemeClr val="lt1"/>
            </a:solidFill>
          </a:ln>
          <a:effectLst/>
        </c:spPr>
      </c:pivotFmt>
      <c:pivotFmt>
        <c:idx val="54"/>
        <c:spPr>
          <a:solidFill>
            <a:schemeClr val="accent2"/>
          </a:solidFill>
          <a:ln w="19050">
            <a:solidFill>
              <a:schemeClr val="lt1"/>
            </a:solidFill>
          </a:ln>
          <a:effectLst/>
        </c:spPr>
      </c:pivotFmt>
      <c:pivotFmt>
        <c:idx val="55"/>
        <c:spPr>
          <a:solidFill>
            <a:schemeClr val="accent2"/>
          </a:solidFill>
          <a:ln w="19050">
            <a:solidFill>
              <a:schemeClr val="lt1"/>
            </a:solidFill>
          </a:ln>
          <a:effectLst/>
        </c:spPr>
      </c:pivotFmt>
      <c:pivotFmt>
        <c:idx val="56"/>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2"/>
          </a:solidFill>
          <a:ln w="19050">
            <a:solidFill>
              <a:schemeClr val="lt1"/>
            </a:solidFill>
          </a:ln>
          <a:effectLst/>
        </c:spPr>
      </c:pivotFmt>
      <c:pivotFmt>
        <c:idx val="58"/>
        <c:spPr>
          <a:solidFill>
            <a:schemeClr val="accent2"/>
          </a:solidFill>
          <a:ln w="19050">
            <a:solidFill>
              <a:schemeClr val="lt1"/>
            </a:solidFill>
          </a:ln>
          <a:effectLst/>
        </c:spPr>
      </c:pivotFmt>
      <c:pivotFmt>
        <c:idx val="59"/>
        <c:spPr>
          <a:solidFill>
            <a:schemeClr val="accent2"/>
          </a:solidFill>
          <a:ln w="19050">
            <a:solidFill>
              <a:schemeClr val="lt1"/>
            </a:solidFill>
          </a:ln>
          <a:effectLst/>
        </c:spPr>
      </c:pivotFmt>
      <c:pivotFmt>
        <c:idx val="60"/>
        <c:spPr>
          <a:solidFill>
            <a:schemeClr val="accent2"/>
          </a:solidFill>
          <a:ln w="19050">
            <a:solidFill>
              <a:schemeClr val="lt1"/>
            </a:solidFill>
          </a:ln>
          <a:effectLst/>
        </c:spPr>
      </c:pivotFmt>
      <c:pivotFmt>
        <c:idx val="61"/>
        <c:spPr>
          <a:solidFill>
            <a:schemeClr val="accent2"/>
          </a:solidFill>
          <a:ln w="19050">
            <a:solidFill>
              <a:schemeClr val="lt1"/>
            </a:solidFill>
          </a:ln>
          <a:effectLst/>
        </c:spPr>
      </c:pivotFmt>
      <c:pivotFmt>
        <c:idx val="62"/>
        <c:spPr>
          <a:solidFill>
            <a:schemeClr val="accent2"/>
          </a:solidFill>
          <a:ln w="19050">
            <a:solidFill>
              <a:schemeClr val="lt1"/>
            </a:solidFill>
          </a:ln>
          <a:effectLst/>
        </c:spPr>
      </c:pivotFmt>
      <c:pivotFmt>
        <c:idx val="63"/>
        <c:spPr>
          <a:solidFill>
            <a:schemeClr val="accent2"/>
          </a:solidFill>
          <a:ln w="19050">
            <a:solidFill>
              <a:schemeClr val="lt1"/>
            </a:solidFill>
          </a:ln>
          <a:effectLst/>
        </c:spPr>
        <c:dLbl>
          <c:idx val="0"/>
          <c:layout>
            <c:manualLayout>
              <c:x val="-2.9213300921147639E-3"/>
              <c:y val="-3.0321621731184818E-2"/>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2"/>
          </a:solidFill>
          <a:ln w="19050">
            <a:solidFill>
              <a:schemeClr val="lt1"/>
            </a:solidFill>
          </a:ln>
          <a:effectLst/>
        </c:spPr>
      </c:pivotFmt>
      <c:pivotFmt>
        <c:idx val="65"/>
        <c:spPr>
          <a:solidFill>
            <a:schemeClr val="accent2"/>
          </a:solidFill>
          <a:ln w="19050">
            <a:solidFill>
              <a:schemeClr val="lt1"/>
            </a:solidFill>
          </a:ln>
          <a:effectLst/>
        </c:spPr>
      </c:pivotFmt>
      <c:pivotFmt>
        <c:idx val="66"/>
        <c:spPr>
          <a:solidFill>
            <a:schemeClr val="accent2"/>
          </a:solidFill>
          <a:ln w="19050">
            <a:solidFill>
              <a:schemeClr val="lt1"/>
            </a:solidFill>
          </a:ln>
          <a:effectLst/>
        </c:spPr>
      </c:pivotFmt>
      <c:pivotFmt>
        <c:idx val="67"/>
        <c:spPr>
          <a:solidFill>
            <a:schemeClr val="accent2"/>
          </a:solidFill>
          <a:ln w="19050">
            <a:solidFill>
              <a:schemeClr val="lt1"/>
            </a:solidFill>
          </a:ln>
          <a:effectLst/>
        </c:spPr>
      </c:pivotFmt>
      <c:pivotFmt>
        <c:idx val="68"/>
        <c:spPr>
          <a:solidFill>
            <a:schemeClr val="accent2"/>
          </a:solidFill>
          <a:ln w="19050">
            <a:solidFill>
              <a:schemeClr val="lt1"/>
            </a:solidFill>
          </a:ln>
          <a:effectLst/>
        </c:spPr>
      </c:pivotFmt>
      <c:pivotFmt>
        <c:idx val="69"/>
        <c:spPr>
          <a:solidFill>
            <a:schemeClr val="accent2"/>
          </a:solidFill>
          <a:ln w="19050">
            <a:solidFill>
              <a:schemeClr val="lt1"/>
            </a:solidFill>
          </a:ln>
          <a:effectLst/>
        </c:spPr>
        <c:marker>
          <c:symbol val="none"/>
        </c:marker>
      </c:pivotFmt>
      <c:pivotFmt>
        <c:idx val="70"/>
        <c:spPr>
          <a:solidFill>
            <a:schemeClr val="accent2"/>
          </a:solidFill>
          <a:ln w="19050">
            <a:solidFill>
              <a:schemeClr val="lt1"/>
            </a:solidFill>
          </a:ln>
          <a:effectLst/>
        </c:spPr>
      </c:pivotFmt>
      <c:pivotFmt>
        <c:idx val="71"/>
        <c:spPr>
          <a:solidFill>
            <a:schemeClr val="accent2"/>
          </a:solidFill>
          <a:ln w="19050">
            <a:solidFill>
              <a:schemeClr val="lt1"/>
            </a:solidFill>
          </a:ln>
          <a:effectLst/>
        </c:spPr>
      </c:pivotFmt>
      <c:pivotFmt>
        <c:idx val="72"/>
        <c:spPr>
          <a:solidFill>
            <a:schemeClr val="accent2"/>
          </a:solidFill>
          <a:ln w="19050">
            <a:solidFill>
              <a:schemeClr val="lt1"/>
            </a:solidFill>
          </a:ln>
          <a:effectLst/>
        </c:spPr>
      </c:pivotFmt>
      <c:pivotFmt>
        <c:idx val="73"/>
        <c:spPr>
          <a:solidFill>
            <a:schemeClr val="accent2"/>
          </a:solidFill>
          <a:ln w="19050">
            <a:solidFill>
              <a:schemeClr val="lt1"/>
            </a:solidFill>
          </a:ln>
          <a:effectLst/>
        </c:spPr>
      </c:pivotFmt>
      <c:pivotFmt>
        <c:idx val="74"/>
        <c:spPr>
          <a:solidFill>
            <a:schemeClr val="accent2"/>
          </a:solidFill>
          <a:ln w="19050">
            <a:solidFill>
              <a:schemeClr val="lt1"/>
            </a:solidFill>
          </a:ln>
          <a:effectLst/>
        </c:spPr>
      </c:pivotFmt>
      <c:pivotFmt>
        <c:idx val="75"/>
        <c:spPr>
          <a:solidFill>
            <a:schemeClr val="accent2"/>
          </a:solidFill>
          <a:ln w="19050">
            <a:solidFill>
              <a:schemeClr val="lt1"/>
            </a:solidFill>
          </a:ln>
          <a:effectLst/>
        </c:spPr>
      </c:pivotFmt>
      <c:pivotFmt>
        <c:idx val="76"/>
        <c:spPr>
          <a:solidFill>
            <a:schemeClr val="accent2"/>
          </a:solidFill>
          <a:ln w="19050">
            <a:solidFill>
              <a:schemeClr val="lt1"/>
            </a:solidFill>
          </a:ln>
          <a:effectLst/>
        </c:spPr>
      </c:pivotFmt>
      <c:pivotFmt>
        <c:idx val="77"/>
        <c:spPr>
          <a:solidFill>
            <a:schemeClr val="accent2"/>
          </a:solidFill>
          <a:ln w="19050">
            <a:solidFill>
              <a:schemeClr val="lt1"/>
            </a:solidFill>
          </a:ln>
          <a:effectLst/>
        </c:spPr>
      </c:pivotFmt>
      <c:pivotFmt>
        <c:idx val="78"/>
        <c:spPr>
          <a:solidFill>
            <a:schemeClr val="accent2"/>
          </a:solidFill>
          <a:ln w="19050">
            <a:solidFill>
              <a:schemeClr val="lt1"/>
            </a:solidFill>
          </a:ln>
          <a:effectLst/>
        </c:spPr>
      </c:pivotFmt>
      <c:pivotFmt>
        <c:idx val="79"/>
        <c:spPr>
          <a:solidFill>
            <a:schemeClr val="accent2"/>
          </a:solidFill>
          <a:ln w="19050">
            <a:solidFill>
              <a:schemeClr val="lt1"/>
            </a:solidFill>
          </a:ln>
          <a:effectLst/>
        </c:spPr>
      </c:pivotFmt>
      <c:pivotFmt>
        <c:idx val="80"/>
        <c:spPr>
          <a:solidFill>
            <a:schemeClr val="accent2"/>
          </a:solidFill>
          <a:ln w="19050">
            <a:solidFill>
              <a:schemeClr val="lt1"/>
            </a:solidFill>
          </a:ln>
          <a:effectLst/>
        </c:spPr>
      </c:pivotFmt>
      <c:pivotFmt>
        <c:idx val="81"/>
        <c:spPr>
          <a:solidFill>
            <a:schemeClr val="accent2"/>
          </a:solidFill>
          <a:ln w="19050">
            <a:solidFill>
              <a:schemeClr val="lt1"/>
            </a:solidFill>
          </a:ln>
          <a:effectLst/>
        </c:spPr>
      </c:pivotFmt>
      <c:pivotFmt>
        <c:idx val="82"/>
        <c:spPr>
          <a:solidFill>
            <a:schemeClr val="accent2"/>
          </a:solidFill>
          <a:ln w="19050">
            <a:solidFill>
              <a:schemeClr val="lt1"/>
            </a:solidFill>
          </a:ln>
          <a:effectLst/>
        </c:spPr>
        <c:marker>
          <c:symbol val="none"/>
        </c:marker>
      </c:pivotFmt>
      <c:pivotFmt>
        <c:idx val="83"/>
        <c:spPr>
          <a:solidFill>
            <a:schemeClr val="accent2"/>
          </a:solidFill>
          <a:ln w="19050">
            <a:solidFill>
              <a:schemeClr val="lt1"/>
            </a:solidFill>
          </a:ln>
          <a:effectLst/>
        </c:spPr>
      </c:pivotFmt>
      <c:pivotFmt>
        <c:idx val="84"/>
        <c:spPr>
          <a:solidFill>
            <a:schemeClr val="accent2"/>
          </a:solidFill>
          <a:ln w="19050">
            <a:solidFill>
              <a:schemeClr val="lt1"/>
            </a:solidFill>
          </a:ln>
          <a:effectLst/>
        </c:spPr>
      </c:pivotFmt>
      <c:pivotFmt>
        <c:idx val="85"/>
        <c:spPr>
          <a:solidFill>
            <a:schemeClr val="accent2"/>
          </a:solidFill>
          <a:ln w="19050">
            <a:solidFill>
              <a:schemeClr val="lt1"/>
            </a:solidFill>
          </a:ln>
          <a:effectLst/>
        </c:spPr>
      </c:pivotFmt>
      <c:pivotFmt>
        <c:idx val="86"/>
        <c:spPr>
          <a:solidFill>
            <a:schemeClr val="accent2"/>
          </a:solidFill>
          <a:ln w="19050">
            <a:solidFill>
              <a:schemeClr val="lt1"/>
            </a:solidFill>
          </a:ln>
          <a:effectLst/>
        </c:spPr>
      </c:pivotFmt>
      <c:pivotFmt>
        <c:idx val="87"/>
        <c:spPr>
          <a:solidFill>
            <a:schemeClr val="accent2"/>
          </a:solidFill>
          <a:ln w="19050">
            <a:solidFill>
              <a:schemeClr val="lt1"/>
            </a:solidFill>
          </a:ln>
          <a:effectLst/>
        </c:spPr>
      </c:pivotFmt>
      <c:pivotFmt>
        <c:idx val="88"/>
        <c:spPr>
          <a:solidFill>
            <a:schemeClr val="accent2"/>
          </a:solidFill>
          <a:ln w="19050">
            <a:solidFill>
              <a:schemeClr val="lt1"/>
            </a:solidFill>
          </a:ln>
          <a:effectLst/>
        </c:spPr>
      </c:pivotFmt>
      <c:pivotFmt>
        <c:idx val="89"/>
        <c:spPr>
          <a:solidFill>
            <a:schemeClr val="accent2"/>
          </a:solidFill>
          <a:ln w="19050">
            <a:solidFill>
              <a:schemeClr val="lt1"/>
            </a:solidFill>
          </a:ln>
          <a:effectLst/>
        </c:spPr>
      </c:pivotFmt>
      <c:pivotFmt>
        <c:idx val="90"/>
        <c:spPr>
          <a:solidFill>
            <a:schemeClr val="accent2"/>
          </a:solidFill>
          <a:ln w="19050">
            <a:solidFill>
              <a:schemeClr val="lt1"/>
            </a:solidFill>
          </a:ln>
          <a:effectLst/>
        </c:spPr>
      </c:pivotFmt>
      <c:pivotFmt>
        <c:idx val="91"/>
        <c:spPr>
          <a:solidFill>
            <a:schemeClr val="accent2"/>
          </a:solidFill>
          <a:ln w="19050">
            <a:solidFill>
              <a:schemeClr val="lt1"/>
            </a:solidFill>
          </a:ln>
          <a:effectLst/>
        </c:spPr>
      </c:pivotFmt>
      <c:pivotFmt>
        <c:idx val="92"/>
        <c:spPr>
          <a:solidFill>
            <a:schemeClr val="accent2"/>
          </a:solidFill>
          <a:ln w="19050">
            <a:solidFill>
              <a:schemeClr val="lt1"/>
            </a:solidFill>
          </a:ln>
          <a:effectLst/>
        </c:spPr>
      </c:pivotFmt>
      <c:pivotFmt>
        <c:idx val="93"/>
        <c:spPr>
          <a:solidFill>
            <a:schemeClr val="accent2"/>
          </a:solidFill>
          <a:ln w="19050">
            <a:solidFill>
              <a:schemeClr val="lt1"/>
            </a:solidFill>
          </a:ln>
          <a:effectLst/>
        </c:spPr>
      </c:pivotFmt>
      <c:pivotFmt>
        <c:idx val="94"/>
        <c:spPr>
          <a:solidFill>
            <a:schemeClr val="accent2"/>
          </a:solidFill>
          <a:ln w="19050">
            <a:solidFill>
              <a:schemeClr val="lt1"/>
            </a:solidFill>
          </a:ln>
          <a:effectLst/>
        </c:spPr>
      </c:pivotFmt>
      <c:pivotFmt>
        <c:idx val="95"/>
        <c:spPr>
          <a:solidFill>
            <a:schemeClr val="accent2"/>
          </a:solidFill>
          <a:ln w="19050">
            <a:solidFill>
              <a:schemeClr val="lt1"/>
            </a:solidFill>
          </a:ln>
          <a:effectLst/>
        </c:spPr>
        <c:marker>
          <c:symbol val="none"/>
        </c:marker>
      </c:pivotFmt>
      <c:pivotFmt>
        <c:idx val="96"/>
        <c:spPr>
          <a:solidFill>
            <a:schemeClr val="accent2"/>
          </a:solidFill>
          <a:ln w="19050">
            <a:solidFill>
              <a:schemeClr val="lt1"/>
            </a:solidFill>
          </a:ln>
          <a:effectLst/>
        </c:spPr>
      </c:pivotFmt>
      <c:pivotFmt>
        <c:idx val="97"/>
        <c:spPr>
          <a:solidFill>
            <a:schemeClr val="accent2"/>
          </a:solidFill>
          <a:ln w="19050">
            <a:solidFill>
              <a:schemeClr val="lt1"/>
            </a:solidFill>
          </a:ln>
          <a:effectLst/>
        </c:spPr>
      </c:pivotFmt>
      <c:pivotFmt>
        <c:idx val="98"/>
        <c:spPr>
          <a:solidFill>
            <a:schemeClr val="accent2"/>
          </a:solidFill>
          <a:ln w="19050">
            <a:solidFill>
              <a:schemeClr val="lt1"/>
            </a:solidFill>
          </a:ln>
          <a:effectLst/>
        </c:spPr>
      </c:pivotFmt>
      <c:pivotFmt>
        <c:idx val="99"/>
        <c:spPr>
          <a:solidFill>
            <a:schemeClr val="accent2"/>
          </a:solidFill>
          <a:ln w="19050">
            <a:solidFill>
              <a:schemeClr val="lt1"/>
            </a:solidFill>
          </a:ln>
          <a:effectLst/>
        </c:spPr>
      </c:pivotFmt>
      <c:pivotFmt>
        <c:idx val="100"/>
        <c:spPr>
          <a:solidFill>
            <a:schemeClr val="accent2"/>
          </a:solidFill>
          <a:ln w="19050">
            <a:solidFill>
              <a:schemeClr val="lt1"/>
            </a:solidFill>
          </a:ln>
          <a:effectLst/>
        </c:spPr>
      </c:pivotFmt>
      <c:pivotFmt>
        <c:idx val="101"/>
        <c:spPr>
          <a:solidFill>
            <a:schemeClr val="accent2"/>
          </a:solidFill>
          <a:ln w="19050">
            <a:solidFill>
              <a:schemeClr val="lt1"/>
            </a:solidFill>
          </a:ln>
          <a:effectLst/>
        </c:spPr>
      </c:pivotFmt>
      <c:pivotFmt>
        <c:idx val="102"/>
        <c:spPr>
          <a:solidFill>
            <a:schemeClr val="accent2"/>
          </a:solidFill>
          <a:ln w="19050">
            <a:solidFill>
              <a:schemeClr val="lt1"/>
            </a:solidFill>
          </a:ln>
          <a:effectLst/>
        </c:spPr>
      </c:pivotFmt>
      <c:pivotFmt>
        <c:idx val="103"/>
        <c:spPr>
          <a:solidFill>
            <a:schemeClr val="accent2"/>
          </a:solidFill>
          <a:ln w="19050">
            <a:solidFill>
              <a:schemeClr val="lt1"/>
            </a:solidFill>
          </a:ln>
          <a:effectLst/>
        </c:spPr>
      </c:pivotFmt>
      <c:pivotFmt>
        <c:idx val="104"/>
        <c:spPr>
          <a:solidFill>
            <a:schemeClr val="accent2"/>
          </a:solidFill>
          <a:ln w="19050">
            <a:solidFill>
              <a:schemeClr val="lt1"/>
            </a:solidFill>
          </a:ln>
          <a:effectLst/>
        </c:spPr>
      </c:pivotFmt>
      <c:pivotFmt>
        <c:idx val="105"/>
        <c:spPr>
          <a:solidFill>
            <a:schemeClr val="accent2"/>
          </a:solidFill>
          <a:ln w="19050">
            <a:solidFill>
              <a:schemeClr val="lt1"/>
            </a:solidFill>
          </a:ln>
          <a:effectLst/>
        </c:spPr>
      </c:pivotFmt>
      <c:pivotFmt>
        <c:idx val="106"/>
        <c:spPr>
          <a:solidFill>
            <a:schemeClr val="accent2"/>
          </a:solidFill>
          <a:ln w="19050">
            <a:solidFill>
              <a:schemeClr val="lt1"/>
            </a:solidFill>
          </a:ln>
          <a:effectLst/>
        </c:spPr>
      </c:pivotFmt>
      <c:pivotFmt>
        <c:idx val="107"/>
        <c:spPr>
          <a:solidFill>
            <a:schemeClr val="accent2"/>
          </a:solidFill>
          <a:ln w="19050">
            <a:solidFill>
              <a:schemeClr val="lt1"/>
            </a:solidFill>
          </a:ln>
          <a:effectLst/>
        </c:spPr>
      </c:pivotFmt>
      <c:pivotFmt>
        <c:idx val="108"/>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2"/>
          </a:solidFill>
          <a:ln w="19050">
            <a:solidFill>
              <a:schemeClr val="lt1"/>
            </a:solidFill>
          </a:ln>
          <a:effectLst/>
        </c:spPr>
      </c:pivotFmt>
      <c:pivotFmt>
        <c:idx val="110"/>
        <c:spPr>
          <a:solidFill>
            <a:schemeClr val="accent2"/>
          </a:solidFill>
          <a:ln w="19050">
            <a:solidFill>
              <a:schemeClr val="lt1"/>
            </a:solidFill>
          </a:ln>
          <a:effectLst/>
        </c:spPr>
      </c:pivotFmt>
      <c:pivotFmt>
        <c:idx val="111"/>
        <c:spPr>
          <a:solidFill>
            <a:schemeClr val="accent2"/>
          </a:solidFill>
          <a:ln w="19050">
            <a:solidFill>
              <a:schemeClr val="lt1"/>
            </a:solidFill>
          </a:ln>
          <a:effectLst/>
        </c:spPr>
      </c:pivotFmt>
      <c:pivotFmt>
        <c:idx val="112"/>
        <c:spPr>
          <a:solidFill>
            <a:schemeClr val="accent2"/>
          </a:solidFill>
          <a:ln w="19050">
            <a:solidFill>
              <a:schemeClr val="lt1"/>
            </a:solidFill>
          </a:ln>
          <a:effectLst/>
        </c:spPr>
      </c:pivotFmt>
      <c:pivotFmt>
        <c:idx val="113"/>
        <c:spPr>
          <a:solidFill>
            <a:schemeClr val="accent2"/>
          </a:solidFill>
          <a:ln w="19050">
            <a:solidFill>
              <a:schemeClr val="lt1"/>
            </a:solidFill>
          </a:ln>
          <a:effectLst/>
        </c:spPr>
      </c:pivotFmt>
      <c:pivotFmt>
        <c:idx val="114"/>
        <c:spPr>
          <a:solidFill>
            <a:schemeClr val="accent2"/>
          </a:solidFill>
          <a:ln w="19050">
            <a:solidFill>
              <a:schemeClr val="lt1"/>
            </a:solidFill>
          </a:ln>
          <a:effectLst/>
        </c:spPr>
      </c:pivotFmt>
      <c:pivotFmt>
        <c:idx val="115"/>
        <c:spPr>
          <a:solidFill>
            <a:schemeClr val="accent2"/>
          </a:solidFill>
          <a:ln w="19050">
            <a:solidFill>
              <a:schemeClr val="lt1"/>
            </a:solidFill>
          </a:ln>
          <a:effectLst/>
        </c:spPr>
        <c:dLbl>
          <c:idx val="0"/>
          <c:layout>
            <c:manualLayout>
              <c:x val="-2.9213300921147639E-3"/>
              <c:y val="-3.0321621731184818E-2"/>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6"/>
        <c:spPr>
          <a:solidFill>
            <a:schemeClr val="accent2"/>
          </a:solidFill>
          <a:ln w="19050">
            <a:solidFill>
              <a:schemeClr val="lt1"/>
            </a:solidFill>
          </a:ln>
          <a:effectLst/>
        </c:spPr>
      </c:pivotFmt>
      <c:pivotFmt>
        <c:idx val="117"/>
        <c:spPr>
          <a:solidFill>
            <a:schemeClr val="accent2"/>
          </a:solidFill>
          <a:ln w="19050">
            <a:solidFill>
              <a:schemeClr val="lt1"/>
            </a:solidFill>
          </a:ln>
          <a:effectLst/>
        </c:spPr>
      </c:pivotFmt>
      <c:pivotFmt>
        <c:idx val="118"/>
        <c:spPr>
          <a:solidFill>
            <a:schemeClr val="accent2"/>
          </a:solidFill>
          <a:ln w="19050">
            <a:solidFill>
              <a:schemeClr val="lt1"/>
            </a:solidFill>
          </a:ln>
          <a:effectLst/>
        </c:spPr>
      </c:pivotFmt>
      <c:pivotFmt>
        <c:idx val="119"/>
        <c:spPr>
          <a:solidFill>
            <a:schemeClr val="accent2"/>
          </a:solidFill>
          <a:ln w="19050">
            <a:solidFill>
              <a:schemeClr val="lt1"/>
            </a:solidFill>
          </a:ln>
          <a:effectLst/>
        </c:spPr>
      </c:pivotFmt>
      <c:pivotFmt>
        <c:idx val="120"/>
        <c:spPr>
          <a:solidFill>
            <a:schemeClr val="accent2"/>
          </a:solidFill>
          <a:ln w="19050">
            <a:solidFill>
              <a:schemeClr val="lt1"/>
            </a:solidFill>
          </a:ln>
          <a:effectLst/>
        </c:spPr>
      </c:pivotFmt>
      <c:pivotFmt>
        <c:idx val="121"/>
        <c:spPr>
          <a:solidFill>
            <a:schemeClr val="accent2"/>
          </a:solidFill>
          <a:ln w="19050">
            <a:solidFill>
              <a:schemeClr val="lt1"/>
            </a:solidFill>
          </a:ln>
          <a:effectLst/>
        </c:spPr>
        <c:marker>
          <c:symbol val="none"/>
        </c:marker>
      </c:pivotFmt>
      <c:pivotFmt>
        <c:idx val="122"/>
        <c:spPr>
          <a:solidFill>
            <a:schemeClr val="accent2"/>
          </a:solidFill>
          <a:ln w="19050">
            <a:solidFill>
              <a:schemeClr val="lt1"/>
            </a:solidFill>
          </a:ln>
          <a:effectLst/>
        </c:spPr>
      </c:pivotFmt>
      <c:pivotFmt>
        <c:idx val="123"/>
        <c:spPr>
          <a:solidFill>
            <a:schemeClr val="accent2"/>
          </a:solidFill>
          <a:ln w="19050">
            <a:solidFill>
              <a:schemeClr val="lt1"/>
            </a:solidFill>
          </a:ln>
          <a:effectLst/>
        </c:spPr>
      </c:pivotFmt>
      <c:pivotFmt>
        <c:idx val="124"/>
        <c:spPr>
          <a:solidFill>
            <a:schemeClr val="accent2"/>
          </a:solidFill>
          <a:ln w="19050">
            <a:solidFill>
              <a:schemeClr val="lt1"/>
            </a:solidFill>
          </a:ln>
          <a:effectLst/>
        </c:spPr>
      </c:pivotFmt>
      <c:pivotFmt>
        <c:idx val="125"/>
        <c:spPr>
          <a:solidFill>
            <a:schemeClr val="accent2"/>
          </a:solidFill>
          <a:ln w="19050">
            <a:solidFill>
              <a:schemeClr val="lt1"/>
            </a:solidFill>
          </a:ln>
          <a:effectLst/>
        </c:spPr>
      </c:pivotFmt>
      <c:pivotFmt>
        <c:idx val="126"/>
        <c:spPr>
          <a:solidFill>
            <a:schemeClr val="accent2"/>
          </a:solidFill>
          <a:ln w="19050">
            <a:solidFill>
              <a:schemeClr val="lt1"/>
            </a:solidFill>
          </a:ln>
          <a:effectLst/>
        </c:spPr>
      </c:pivotFmt>
      <c:pivotFmt>
        <c:idx val="127"/>
        <c:spPr>
          <a:solidFill>
            <a:schemeClr val="accent2"/>
          </a:solidFill>
          <a:ln w="19050">
            <a:solidFill>
              <a:schemeClr val="lt1"/>
            </a:solidFill>
          </a:ln>
          <a:effectLst/>
        </c:spPr>
      </c:pivotFmt>
      <c:pivotFmt>
        <c:idx val="128"/>
        <c:spPr>
          <a:solidFill>
            <a:schemeClr val="accent2"/>
          </a:solidFill>
          <a:ln w="19050">
            <a:solidFill>
              <a:schemeClr val="lt1"/>
            </a:solidFill>
          </a:ln>
          <a:effectLst/>
        </c:spPr>
      </c:pivotFmt>
      <c:pivotFmt>
        <c:idx val="129"/>
        <c:spPr>
          <a:solidFill>
            <a:schemeClr val="accent2"/>
          </a:solidFill>
          <a:ln w="19050">
            <a:solidFill>
              <a:schemeClr val="lt1"/>
            </a:solidFill>
          </a:ln>
          <a:effectLst/>
        </c:spPr>
      </c:pivotFmt>
      <c:pivotFmt>
        <c:idx val="130"/>
        <c:spPr>
          <a:solidFill>
            <a:schemeClr val="accent2"/>
          </a:solidFill>
          <a:ln w="19050">
            <a:solidFill>
              <a:schemeClr val="lt1"/>
            </a:solidFill>
          </a:ln>
          <a:effectLst/>
        </c:spPr>
      </c:pivotFmt>
      <c:pivotFmt>
        <c:idx val="131"/>
        <c:spPr>
          <a:solidFill>
            <a:schemeClr val="accent2"/>
          </a:solidFill>
          <a:ln w="19050">
            <a:solidFill>
              <a:schemeClr val="lt1"/>
            </a:solidFill>
          </a:ln>
          <a:effectLst/>
        </c:spPr>
      </c:pivotFmt>
      <c:pivotFmt>
        <c:idx val="132"/>
        <c:spPr>
          <a:solidFill>
            <a:schemeClr val="accent2"/>
          </a:solidFill>
          <a:ln w="19050">
            <a:solidFill>
              <a:schemeClr val="lt1"/>
            </a:solidFill>
          </a:ln>
          <a:effectLst/>
        </c:spPr>
      </c:pivotFmt>
      <c:pivotFmt>
        <c:idx val="133"/>
        <c:spPr>
          <a:solidFill>
            <a:schemeClr val="accent2"/>
          </a:solidFill>
          <a:ln w="19050">
            <a:solidFill>
              <a:schemeClr val="lt1"/>
            </a:solidFill>
          </a:ln>
          <a:effectLst/>
        </c:spPr>
      </c:pivotFmt>
      <c:pivotFmt>
        <c:idx val="134"/>
        <c:spPr>
          <a:solidFill>
            <a:schemeClr val="accent2"/>
          </a:solidFill>
          <a:ln w="19050">
            <a:solidFill>
              <a:schemeClr val="lt1"/>
            </a:solidFill>
          </a:ln>
          <a:effectLst/>
        </c:spPr>
        <c:marker>
          <c:symbol val="none"/>
        </c:marker>
      </c:pivotFmt>
      <c:pivotFmt>
        <c:idx val="135"/>
        <c:spPr>
          <a:solidFill>
            <a:schemeClr val="accent2"/>
          </a:solidFill>
          <a:ln w="19050">
            <a:solidFill>
              <a:schemeClr val="lt1"/>
            </a:solidFill>
          </a:ln>
          <a:effectLst/>
        </c:spPr>
      </c:pivotFmt>
      <c:pivotFmt>
        <c:idx val="136"/>
        <c:spPr>
          <a:solidFill>
            <a:schemeClr val="accent2"/>
          </a:solidFill>
          <a:ln w="19050">
            <a:solidFill>
              <a:schemeClr val="lt1"/>
            </a:solidFill>
          </a:ln>
          <a:effectLst/>
        </c:spPr>
      </c:pivotFmt>
      <c:pivotFmt>
        <c:idx val="137"/>
        <c:spPr>
          <a:solidFill>
            <a:schemeClr val="accent2"/>
          </a:solidFill>
          <a:ln w="19050">
            <a:solidFill>
              <a:schemeClr val="lt1"/>
            </a:solidFill>
          </a:ln>
          <a:effectLst/>
        </c:spPr>
      </c:pivotFmt>
      <c:pivotFmt>
        <c:idx val="138"/>
        <c:spPr>
          <a:solidFill>
            <a:schemeClr val="accent2"/>
          </a:solidFill>
          <a:ln w="19050">
            <a:solidFill>
              <a:schemeClr val="lt1"/>
            </a:solidFill>
          </a:ln>
          <a:effectLst/>
        </c:spPr>
      </c:pivotFmt>
      <c:pivotFmt>
        <c:idx val="139"/>
        <c:spPr>
          <a:solidFill>
            <a:schemeClr val="accent2"/>
          </a:solidFill>
          <a:ln w="19050">
            <a:solidFill>
              <a:schemeClr val="lt1"/>
            </a:solidFill>
          </a:ln>
          <a:effectLst/>
        </c:spPr>
      </c:pivotFmt>
      <c:pivotFmt>
        <c:idx val="140"/>
        <c:spPr>
          <a:solidFill>
            <a:schemeClr val="accent2"/>
          </a:solidFill>
          <a:ln w="19050">
            <a:solidFill>
              <a:schemeClr val="lt1"/>
            </a:solidFill>
          </a:ln>
          <a:effectLst/>
        </c:spPr>
      </c:pivotFmt>
      <c:pivotFmt>
        <c:idx val="141"/>
        <c:spPr>
          <a:solidFill>
            <a:schemeClr val="accent2"/>
          </a:solidFill>
          <a:ln w="19050">
            <a:solidFill>
              <a:schemeClr val="lt1"/>
            </a:solidFill>
          </a:ln>
          <a:effectLst/>
        </c:spPr>
      </c:pivotFmt>
      <c:pivotFmt>
        <c:idx val="142"/>
        <c:spPr>
          <a:solidFill>
            <a:schemeClr val="accent2"/>
          </a:solidFill>
          <a:ln w="19050">
            <a:solidFill>
              <a:schemeClr val="lt1"/>
            </a:solidFill>
          </a:ln>
          <a:effectLst/>
        </c:spPr>
      </c:pivotFmt>
      <c:pivotFmt>
        <c:idx val="143"/>
        <c:spPr>
          <a:solidFill>
            <a:schemeClr val="accent2"/>
          </a:solidFill>
          <a:ln w="19050">
            <a:solidFill>
              <a:schemeClr val="lt1"/>
            </a:solidFill>
          </a:ln>
          <a:effectLst/>
        </c:spPr>
      </c:pivotFmt>
      <c:pivotFmt>
        <c:idx val="144"/>
        <c:spPr>
          <a:solidFill>
            <a:schemeClr val="accent2"/>
          </a:solidFill>
          <a:ln w="19050">
            <a:solidFill>
              <a:schemeClr val="lt1"/>
            </a:solidFill>
          </a:ln>
          <a:effectLst/>
        </c:spPr>
      </c:pivotFmt>
      <c:pivotFmt>
        <c:idx val="145"/>
        <c:spPr>
          <a:solidFill>
            <a:schemeClr val="accent2"/>
          </a:solidFill>
          <a:ln w="19050">
            <a:solidFill>
              <a:schemeClr val="lt1"/>
            </a:solidFill>
          </a:ln>
          <a:effectLst/>
        </c:spPr>
      </c:pivotFmt>
      <c:pivotFmt>
        <c:idx val="146"/>
        <c:spPr>
          <a:solidFill>
            <a:schemeClr val="accent2"/>
          </a:solidFill>
          <a:ln w="19050">
            <a:solidFill>
              <a:schemeClr val="lt1"/>
            </a:solidFill>
          </a:ln>
          <a:effectLst/>
        </c:spPr>
      </c:pivotFmt>
      <c:pivotFmt>
        <c:idx val="147"/>
        <c:spPr>
          <a:solidFill>
            <a:schemeClr val="accent2"/>
          </a:solidFill>
          <a:ln w="19050">
            <a:solidFill>
              <a:schemeClr val="lt1"/>
            </a:solidFill>
          </a:ln>
          <a:effectLst/>
        </c:spPr>
        <c:marker>
          <c:symbol val="none"/>
        </c:marker>
      </c:pivotFmt>
      <c:pivotFmt>
        <c:idx val="148"/>
        <c:spPr>
          <a:solidFill>
            <a:schemeClr val="accent2"/>
          </a:solidFill>
          <a:ln w="19050">
            <a:solidFill>
              <a:schemeClr val="lt1"/>
            </a:solidFill>
          </a:ln>
          <a:effectLst/>
        </c:spPr>
      </c:pivotFmt>
      <c:pivotFmt>
        <c:idx val="149"/>
        <c:spPr>
          <a:solidFill>
            <a:schemeClr val="accent2"/>
          </a:solidFill>
          <a:ln w="19050">
            <a:solidFill>
              <a:schemeClr val="lt1"/>
            </a:solidFill>
          </a:ln>
          <a:effectLst/>
        </c:spPr>
      </c:pivotFmt>
      <c:pivotFmt>
        <c:idx val="150"/>
        <c:spPr>
          <a:solidFill>
            <a:schemeClr val="accent2"/>
          </a:solidFill>
          <a:ln w="19050">
            <a:solidFill>
              <a:schemeClr val="lt1"/>
            </a:solidFill>
          </a:ln>
          <a:effectLst/>
        </c:spPr>
      </c:pivotFmt>
      <c:pivotFmt>
        <c:idx val="151"/>
        <c:spPr>
          <a:solidFill>
            <a:schemeClr val="accent2"/>
          </a:solidFill>
          <a:ln w="19050">
            <a:solidFill>
              <a:schemeClr val="lt1"/>
            </a:solidFill>
          </a:ln>
          <a:effectLst/>
        </c:spPr>
      </c:pivotFmt>
      <c:pivotFmt>
        <c:idx val="152"/>
        <c:spPr>
          <a:solidFill>
            <a:schemeClr val="accent2"/>
          </a:solidFill>
          <a:ln w="19050">
            <a:solidFill>
              <a:schemeClr val="lt1"/>
            </a:solidFill>
          </a:ln>
          <a:effectLst/>
        </c:spPr>
      </c:pivotFmt>
      <c:pivotFmt>
        <c:idx val="153"/>
        <c:spPr>
          <a:solidFill>
            <a:schemeClr val="accent2"/>
          </a:solidFill>
          <a:ln w="19050">
            <a:solidFill>
              <a:schemeClr val="lt1"/>
            </a:solidFill>
          </a:ln>
          <a:effectLst/>
        </c:spPr>
      </c:pivotFmt>
      <c:pivotFmt>
        <c:idx val="154"/>
        <c:spPr>
          <a:solidFill>
            <a:schemeClr val="accent2"/>
          </a:solidFill>
          <a:ln w="19050">
            <a:solidFill>
              <a:schemeClr val="lt1"/>
            </a:solidFill>
          </a:ln>
          <a:effectLst/>
        </c:spPr>
      </c:pivotFmt>
      <c:pivotFmt>
        <c:idx val="155"/>
        <c:spPr>
          <a:solidFill>
            <a:schemeClr val="accent2"/>
          </a:solidFill>
          <a:ln w="19050">
            <a:solidFill>
              <a:schemeClr val="lt1"/>
            </a:solidFill>
          </a:ln>
          <a:effectLst/>
        </c:spPr>
      </c:pivotFmt>
      <c:pivotFmt>
        <c:idx val="156"/>
        <c:spPr>
          <a:solidFill>
            <a:schemeClr val="accent2"/>
          </a:solidFill>
          <a:ln w="19050">
            <a:solidFill>
              <a:schemeClr val="lt1"/>
            </a:solidFill>
          </a:ln>
          <a:effectLst/>
        </c:spPr>
      </c:pivotFmt>
      <c:pivotFmt>
        <c:idx val="157"/>
        <c:spPr>
          <a:solidFill>
            <a:schemeClr val="accent2"/>
          </a:solidFill>
          <a:ln w="19050">
            <a:solidFill>
              <a:schemeClr val="lt1"/>
            </a:solidFill>
          </a:ln>
          <a:effectLst/>
        </c:spPr>
      </c:pivotFmt>
      <c:pivotFmt>
        <c:idx val="158"/>
        <c:spPr>
          <a:solidFill>
            <a:schemeClr val="accent2"/>
          </a:solidFill>
          <a:ln w="19050">
            <a:solidFill>
              <a:schemeClr val="lt1"/>
            </a:solidFill>
          </a:ln>
          <a:effectLst/>
        </c:spPr>
      </c:pivotFmt>
      <c:pivotFmt>
        <c:idx val="159"/>
        <c:spPr>
          <a:solidFill>
            <a:schemeClr val="accent2"/>
          </a:solidFill>
          <a:ln w="19050">
            <a:solidFill>
              <a:schemeClr val="lt1"/>
            </a:solidFill>
          </a:ln>
          <a:effectLst/>
        </c:spPr>
      </c:pivotFmt>
      <c:pivotFmt>
        <c:idx val="16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1"/>
        <c:spPr>
          <a:solidFill>
            <a:schemeClr val="accent2"/>
          </a:solidFill>
          <a:ln w="19050">
            <a:solidFill>
              <a:schemeClr val="lt1"/>
            </a:solidFill>
          </a:ln>
          <a:effectLst/>
        </c:spPr>
        <c:marker>
          <c:symbol val="none"/>
        </c:marker>
      </c:pivotFmt>
      <c:pivotFmt>
        <c:idx val="162"/>
        <c:spPr>
          <a:solidFill>
            <a:schemeClr val="accent2"/>
          </a:solidFill>
          <a:ln w="19050">
            <a:solidFill>
              <a:schemeClr val="lt1"/>
            </a:solidFill>
          </a:ln>
          <a:effectLst/>
        </c:spPr>
        <c:marker>
          <c:symbol val="none"/>
        </c:marker>
      </c:pivotFmt>
      <c:pivotFmt>
        <c:idx val="16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4"/>
        <c:spPr>
          <a:solidFill>
            <a:schemeClr val="accent2"/>
          </a:solidFill>
          <a:ln w="19050">
            <a:solidFill>
              <a:schemeClr val="lt1"/>
            </a:solidFill>
          </a:ln>
          <a:effectLst/>
        </c:spPr>
        <c:marker>
          <c:symbol val="none"/>
        </c:marker>
      </c:pivotFmt>
      <c:pivotFmt>
        <c:idx val="165"/>
        <c:spPr>
          <a:solidFill>
            <a:schemeClr val="accent2"/>
          </a:solidFill>
          <a:ln w="19050">
            <a:solidFill>
              <a:schemeClr val="lt1"/>
            </a:solidFill>
          </a:ln>
          <a:effectLst/>
        </c:spPr>
        <c:marker>
          <c:symbol val="none"/>
        </c:marker>
      </c:pivotFmt>
      <c:pivotFmt>
        <c:idx val="166"/>
        <c:spPr>
          <a:solidFill>
            <a:schemeClr val="accent2"/>
          </a:solidFill>
          <a:ln w="19050">
            <a:solidFill>
              <a:schemeClr val="lt1"/>
            </a:solidFill>
          </a:ln>
          <a:effectLst/>
        </c:spPr>
        <c:marker>
          <c:symbol val="none"/>
        </c:marker>
      </c:pivotFmt>
      <c:pivotFmt>
        <c:idx val="167"/>
        <c:spPr>
          <a:solidFill>
            <a:schemeClr val="accent2"/>
          </a:solidFill>
          <a:ln w="19050">
            <a:solidFill>
              <a:schemeClr val="lt1"/>
            </a:solidFill>
          </a:ln>
          <a:effectLst/>
        </c:spPr>
        <c:marker>
          <c:symbol val="none"/>
        </c:marker>
      </c:pivotFmt>
      <c:pivotFmt>
        <c:idx val="168"/>
        <c:spPr>
          <a:solidFill>
            <a:schemeClr val="accent2"/>
          </a:solidFill>
          <a:ln w="19050">
            <a:solidFill>
              <a:schemeClr val="lt1"/>
            </a:solidFill>
          </a:ln>
          <a:effectLst/>
        </c:spPr>
        <c:marker>
          <c:symbol val="none"/>
        </c:marker>
      </c:pivotFmt>
      <c:pivotFmt>
        <c:idx val="169"/>
        <c:spPr>
          <a:solidFill>
            <a:schemeClr val="accent2"/>
          </a:solidFill>
          <a:ln w="19050">
            <a:solidFill>
              <a:schemeClr val="lt1"/>
            </a:solidFill>
          </a:ln>
          <a:effectLst/>
        </c:spPr>
        <c:marker>
          <c:symbol val="none"/>
        </c:marker>
      </c:pivotFmt>
      <c:pivotFmt>
        <c:idx val="17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1"/>
        <c:spPr>
          <a:solidFill>
            <a:schemeClr val="accent2"/>
          </a:solidFill>
          <a:ln w="19050">
            <a:solidFill>
              <a:schemeClr val="lt1"/>
            </a:solidFill>
          </a:ln>
          <a:effectLst/>
        </c:spPr>
        <c:marker>
          <c:symbol val="none"/>
        </c:marker>
      </c:pivotFmt>
      <c:pivotFmt>
        <c:idx val="172"/>
        <c:spPr>
          <a:solidFill>
            <a:schemeClr val="accent2"/>
          </a:solidFill>
          <a:ln w="19050">
            <a:solidFill>
              <a:schemeClr val="lt1"/>
            </a:solidFill>
          </a:ln>
          <a:effectLst/>
        </c:spPr>
      </c:pivotFmt>
      <c:pivotFmt>
        <c:idx val="173"/>
        <c:spPr>
          <a:solidFill>
            <a:schemeClr val="accent2"/>
          </a:solidFill>
          <a:ln w="19050">
            <a:solidFill>
              <a:schemeClr val="lt1"/>
            </a:solidFill>
          </a:ln>
          <a:effectLst/>
        </c:spPr>
      </c:pivotFmt>
      <c:pivotFmt>
        <c:idx val="174"/>
        <c:spPr>
          <a:solidFill>
            <a:schemeClr val="accent2"/>
          </a:solidFill>
          <a:ln w="19050">
            <a:solidFill>
              <a:schemeClr val="lt1"/>
            </a:solidFill>
          </a:ln>
          <a:effectLst/>
        </c:spPr>
      </c:pivotFmt>
      <c:pivotFmt>
        <c:idx val="175"/>
        <c:spPr>
          <a:solidFill>
            <a:schemeClr val="accent2"/>
          </a:solidFill>
          <a:ln w="19050">
            <a:solidFill>
              <a:schemeClr val="lt1"/>
            </a:solidFill>
          </a:ln>
          <a:effectLst/>
        </c:spPr>
      </c:pivotFmt>
      <c:pivotFmt>
        <c:idx val="176"/>
        <c:spPr>
          <a:solidFill>
            <a:schemeClr val="accent2"/>
          </a:solidFill>
          <a:ln w="19050">
            <a:solidFill>
              <a:schemeClr val="lt1"/>
            </a:solidFill>
          </a:ln>
          <a:effectLst/>
        </c:spPr>
      </c:pivotFmt>
      <c:pivotFmt>
        <c:idx val="177"/>
        <c:spPr>
          <a:solidFill>
            <a:schemeClr val="accent2"/>
          </a:solidFill>
          <a:ln w="19050">
            <a:solidFill>
              <a:schemeClr val="lt1"/>
            </a:solidFill>
          </a:ln>
          <a:effectLst/>
        </c:spPr>
      </c:pivotFmt>
      <c:pivotFmt>
        <c:idx val="178"/>
        <c:spPr>
          <a:solidFill>
            <a:schemeClr val="accent2"/>
          </a:solidFill>
          <a:ln w="19050">
            <a:solidFill>
              <a:schemeClr val="lt1"/>
            </a:solidFill>
          </a:ln>
          <a:effectLst/>
        </c:spPr>
      </c:pivotFmt>
      <c:pivotFmt>
        <c:idx val="179"/>
        <c:spPr>
          <a:solidFill>
            <a:schemeClr val="accent2"/>
          </a:solidFill>
          <a:ln w="19050">
            <a:solidFill>
              <a:schemeClr val="lt1"/>
            </a:solidFill>
          </a:ln>
          <a:effectLst/>
        </c:spPr>
      </c:pivotFmt>
      <c:pivotFmt>
        <c:idx val="180"/>
        <c:spPr>
          <a:solidFill>
            <a:schemeClr val="accent2"/>
          </a:solidFill>
          <a:ln w="19050">
            <a:solidFill>
              <a:schemeClr val="lt1"/>
            </a:solidFill>
          </a:ln>
          <a:effectLst/>
        </c:spPr>
      </c:pivotFmt>
      <c:pivotFmt>
        <c:idx val="181"/>
        <c:spPr>
          <a:solidFill>
            <a:schemeClr val="accent2"/>
          </a:solidFill>
          <a:ln w="19050">
            <a:solidFill>
              <a:schemeClr val="lt1"/>
            </a:solidFill>
          </a:ln>
          <a:effectLst/>
        </c:spPr>
      </c:pivotFmt>
      <c:pivotFmt>
        <c:idx val="182"/>
        <c:spPr>
          <a:solidFill>
            <a:schemeClr val="accent2"/>
          </a:solidFill>
          <a:ln w="19050">
            <a:solidFill>
              <a:schemeClr val="lt1"/>
            </a:solidFill>
          </a:ln>
          <a:effectLst/>
        </c:spPr>
      </c:pivotFmt>
      <c:pivotFmt>
        <c:idx val="183"/>
        <c:spPr>
          <a:solidFill>
            <a:schemeClr val="accent2"/>
          </a:solidFill>
          <a:ln w="19050">
            <a:solidFill>
              <a:schemeClr val="lt1"/>
            </a:solidFill>
          </a:ln>
          <a:effectLst/>
        </c:spPr>
      </c:pivotFmt>
      <c:pivotFmt>
        <c:idx val="184"/>
        <c:spPr>
          <a:solidFill>
            <a:schemeClr val="accent2"/>
          </a:solidFill>
          <a:ln w="19050">
            <a:solidFill>
              <a:schemeClr val="lt1"/>
            </a:solidFill>
          </a:ln>
          <a:effectLst/>
        </c:spPr>
      </c:pivotFmt>
      <c:pivotFmt>
        <c:idx val="185"/>
        <c:spPr>
          <a:solidFill>
            <a:schemeClr val="accent2"/>
          </a:solidFill>
          <a:ln w="19050">
            <a:solidFill>
              <a:schemeClr val="lt1"/>
            </a:solidFill>
          </a:ln>
          <a:effectLst/>
        </c:spPr>
      </c:pivotFmt>
      <c:pivotFmt>
        <c:idx val="186"/>
        <c:spPr>
          <a:solidFill>
            <a:schemeClr val="accent2"/>
          </a:solidFill>
          <a:ln w="19050">
            <a:solidFill>
              <a:schemeClr val="lt1"/>
            </a:solidFill>
          </a:ln>
          <a:effectLst/>
        </c:spPr>
      </c:pivotFmt>
      <c:pivotFmt>
        <c:idx val="187"/>
        <c:spPr>
          <a:solidFill>
            <a:schemeClr val="accent2"/>
          </a:solidFill>
          <a:ln w="19050">
            <a:solidFill>
              <a:schemeClr val="lt1"/>
            </a:solidFill>
          </a:ln>
          <a:effectLst/>
        </c:spPr>
      </c:pivotFmt>
      <c:pivotFmt>
        <c:idx val="188"/>
        <c:spPr>
          <a:solidFill>
            <a:schemeClr val="accent2"/>
          </a:solidFill>
          <a:ln w="19050">
            <a:solidFill>
              <a:schemeClr val="lt1"/>
            </a:solidFill>
          </a:ln>
          <a:effectLst/>
        </c:spPr>
      </c:pivotFmt>
      <c:pivotFmt>
        <c:idx val="189"/>
        <c:spPr>
          <a:solidFill>
            <a:schemeClr val="accent2"/>
          </a:solidFill>
          <a:ln w="19050">
            <a:solidFill>
              <a:schemeClr val="lt1"/>
            </a:solidFill>
          </a:ln>
          <a:effectLst/>
        </c:spPr>
      </c:pivotFmt>
      <c:pivotFmt>
        <c:idx val="190"/>
        <c:spPr>
          <a:solidFill>
            <a:schemeClr val="accent2"/>
          </a:solidFill>
          <a:ln w="19050">
            <a:solidFill>
              <a:schemeClr val="lt1"/>
            </a:solidFill>
          </a:ln>
          <a:effectLst/>
        </c:spPr>
      </c:pivotFmt>
      <c:pivotFmt>
        <c:idx val="191"/>
        <c:spPr>
          <a:solidFill>
            <a:schemeClr val="accent2"/>
          </a:solidFill>
          <a:ln w="19050">
            <a:solidFill>
              <a:schemeClr val="lt1"/>
            </a:solidFill>
          </a:ln>
          <a:effectLst/>
        </c:spPr>
      </c:pivotFmt>
      <c:pivotFmt>
        <c:idx val="192"/>
        <c:spPr>
          <a:solidFill>
            <a:schemeClr val="accent2"/>
          </a:solidFill>
          <a:ln w="19050">
            <a:solidFill>
              <a:schemeClr val="lt1"/>
            </a:solidFill>
          </a:ln>
          <a:effectLst/>
        </c:spPr>
      </c:pivotFmt>
      <c:pivotFmt>
        <c:idx val="193"/>
        <c:spPr>
          <a:solidFill>
            <a:schemeClr val="accent2"/>
          </a:solidFill>
          <a:ln w="19050">
            <a:solidFill>
              <a:schemeClr val="lt1"/>
            </a:solidFill>
          </a:ln>
          <a:effectLst/>
        </c:spPr>
      </c:pivotFmt>
      <c:pivotFmt>
        <c:idx val="194"/>
        <c:spPr>
          <a:solidFill>
            <a:schemeClr val="accent2"/>
          </a:solidFill>
          <a:ln w="19050">
            <a:solidFill>
              <a:schemeClr val="lt1"/>
            </a:solidFill>
          </a:ln>
          <a:effectLst/>
        </c:spPr>
      </c:pivotFmt>
      <c:pivotFmt>
        <c:idx val="195"/>
        <c:spPr>
          <a:solidFill>
            <a:schemeClr val="accent2"/>
          </a:solidFill>
          <a:ln w="19050">
            <a:solidFill>
              <a:schemeClr val="lt1"/>
            </a:solidFill>
          </a:ln>
          <a:effectLst/>
        </c:spPr>
      </c:pivotFmt>
      <c:pivotFmt>
        <c:idx val="196"/>
        <c:spPr>
          <a:solidFill>
            <a:schemeClr val="accent2"/>
          </a:solidFill>
          <a:ln w="19050">
            <a:solidFill>
              <a:schemeClr val="lt1"/>
            </a:solidFill>
          </a:ln>
          <a:effectLst/>
        </c:spPr>
      </c:pivotFmt>
      <c:pivotFmt>
        <c:idx val="197"/>
        <c:spPr>
          <a:solidFill>
            <a:schemeClr val="accent2"/>
          </a:solidFill>
          <a:ln w="19050">
            <a:solidFill>
              <a:schemeClr val="lt1"/>
            </a:solidFill>
          </a:ln>
          <a:effectLst/>
        </c:spPr>
      </c:pivotFmt>
      <c:pivotFmt>
        <c:idx val="198"/>
        <c:spPr>
          <a:solidFill>
            <a:schemeClr val="accent2"/>
          </a:solidFill>
          <a:ln w="19050">
            <a:solidFill>
              <a:schemeClr val="lt1"/>
            </a:solidFill>
          </a:ln>
          <a:effectLst/>
        </c:spPr>
      </c:pivotFmt>
      <c:pivotFmt>
        <c:idx val="199"/>
        <c:spPr>
          <a:solidFill>
            <a:schemeClr val="accent2"/>
          </a:solidFill>
          <a:ln w="19050">
            <a:solidFill>
              <a:schemeClr val="lt1"/>
            </a:solidFill>
          </a:ln>
          <a:effectLst/>
        </c:spPr>
      </c:pivotFmt>
      <c:pivotFmt>
        <c:idx val="200"/>
        <c:spPr>
          <a:solidFill>
            <a:schemeClr val="accent2"/>
          </a:solidFill>
          <a:ln w="19050">
            <a:solidFill>
              <a:schemeClr val="lt1"/>
            </a:solidFill>
          </a:ln>
          <a:effectLst/>
        </c:spPr>
      </c:pivotFmt>
      <c:pivotFmt>
        <c:idx val="201"/>
        <c:spPr>
          <a:solidFill>
            <a:schemeClr val="accent2"/>
          </a:solidFill>
          <a:ln w="19050">
            <a:solidFill>
              <a:schemeClr val="lt1"/>
            </a:solidFill>
          </a:ln>
          <a:effectLst/>
        </c:spPr>
      </c:pivotFmt>
      <c:pivotFmt>
        <c:idx val="202"/>
        <c:spPr>
          <a:solidFill>
            <a:schemeClr val="accent2"/>
          </a:solidFill>
          <a:ln w="19050">
            <a:solidFill>
              <a:schemeClr val="lt1"/>
            </a:solidFill>
          </a:ln>
          <a:effectLst/>
        </c:spPr>
      </c:pivotFmt>
      <c:pivotFmt>
        <c:idx val="203"/>
        <c:spPr>
          <a:solidFill>
            <a:schemeClr val="accent2"/>
          </a:solidFill>
          <a:ln w="19050">
            <a:solidFill>
              <a:schemeClr val="lt1"/>
            </a:solidFill>
          </a:ln>
          <a:effectLst/>
        </c:spPr>
      </c:pivotFmt>
      <c:pivotFmt>
        <c:idx val="204"/>
        <c:spPr>
          <a:solidFill>
            <a:schemeClr val="accent2"/>
          </a:solidFill>
          <a:ln w="19050">
            <a:solidFill>
              <a:schemeClr val="lt1"/>
            </a:solidFill>
          </a:ln>
          <a:effectLst/>
        </c:spPr>
      </c:pivotFmt>
      <c:pivotFmt>
        <c:idx val="205"/>
        <c:spPr>
          <a:solidFill>
            <a:schemeClr val="accent2"/>
          </a:solidFill>
          <a:ln w="19050">
            <a:solidFill>
              <a:schemeClr val="lt1"/>
            </a:solidFill>
          </a:ln>
          <a:effectLst/>
        </c:spPr>
      </c:pivotFmt>
      <c:pivotFmt>
        <c:idx val="206"/>
        <c:spPr>
          <a:solidFill>
            <a:schemeClr val="accent2"/>
          </a:solidFill>
          <a:ln w="19050">
            <a:solidFill>
              <a:schemeClr val="lt1"/>
            </a:solidFill>
          </a:ln>
          <a:effectLst/>
        </c:spPr>
      </c:pivotFmt>
      <c:pivotFmt>
        <c:idx val="207"/>
        <c:spPr>
          <a:solidFill>
            <a:schemeClr val="accent2"/>
          </a:solidFill>
          <a:ln w="19050">
            <a:solidFill>
              <a:schemeClr val="lt1"/>
            </a:solidFill>
          </a:ln>
          <a:effectLst/>
        </c:spPr>
      </c:pivotFmt>
      <c:pivotFmt>
        <c:idx val="208"/>
        <c:spPr>
          <a:solidFill>
            <a:schemeClr val="accent2"/>
          </a:solidFill>
          <a:ln w="19050">
            <a:solidFill>
              <a:schemeClr val="lt1"/>
            </a:solidFill>
          </a:ln>
          <a:effectLst/>
        </c:spPr>
      </c:pivotFmt>
      <c:pivotFmt>
        <c:idx val="209"/>
        <c:spPr>
          <a:solidFill>
            <a:schemeClr val="accent2"/>
          </a:solidFill>
          <a:ln w="19050">
            <a:solidFill>
              <a:schemeClr val="lt1"/>
            </a:solidFill>
          </a:ln>
          <a:effectLst/>
        </c:spPr>
      </c:pivotFmt>
      <c:pivotFmt>
        <c:idx val="210"/>
        <c:spPr>
          <a:solidFill>
            <a:schemeClr val="accent2"/>
          </a:solidFill>
          <a:ln w="19050">
            <a:solidFill>
              <a:schemeClr val="lt1"/>
            </a:solidFill>
          </a:ln>
          <a:effectLst/>
        </c:spPr>
      </c:pivotFmt>
      <c:pivotFmt>
        <c:idx val="211"/>
        <c:spPr>
          <a:solidFill>
            <a:schemeClr val="accent2"/>
          </a:solidFill>
          <a:ln w="19050">
            <a:solidFill>
              <a:schemeClr val="lt1"/>
            </a:solidFill>
          </a:ln>
          <a:effectLst/>
        </c:spPr>
      </c:pivotFmt>
      <c:pivotFmt>
        <c:idx val="212"/>
        <c:spPr>
          <a:solidFill>
            <a:schemeClr val="accent2"/>
          </a:solidFill>
          <a:ln w="19050">
            <a:solidFill>
              <a:schemeClr val="lt1"/>
            </a:solidFill>
          </a:ln>
          <a:effectLst/>
        </c:spPr>
      </c:pivotFmt>
      <c:pivotFmt>
        <c:idx val="213"/>
        <c:spPr>
          <a:solidFill>
            <a:schemeClr val="accent2"/>
          </a:solidFill>
          <a:ln w="19050">
            <a:solidFill>
              <a:schemeClr val="lt1"/>
            </a:solidFill>
          </a:ln>
          <a:effectLst/>
        </c:spPr>
      </c:pivotFmt>
      <c:pivotFmt>
        <c:idx val="214"/>
        <c:spPr>
          <a:solidFill>
            <a:schemeClr val="accent2"/>
          </a:solidFill>
          <a:ln w="19050">
            <a:solidFill>
              <a:schemeClr val="lt1"/>
            </a:solidFill>
          </a:ln>
          <a:effectLst/>
        </c:spPr>
        <c:marker>
          <c:symbol val="none"/>
        </c:marker>
      </c:pivotFmt>
      <c:pivotFmt>
        <c:idx val="215"/>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6"/>
        <c:spPr>
          <a:solidFill>
            <a:schemeClr val="accent2"/>
          </a:solidFill>
          <a:ln w="19050">
            <a:solidFill>
              <a:schemeClr val="lt1"/>
            </a:solidFill>
          </a:ln>
          <a:effectLst/>
        </c:spPr>
      </c:pivotFmt>
      <c:pivotFmt>
        <c:idx val="217"/>
        <c:spPr>
          <a:solidFill>
            <a:schemeClr val="accent2"/>
          </a:solidFill>
          <a:ln w="19050">
            <a:solidFill>
              <a:schemeClr val="lt1"/>
            </a:solidFill>
          </a:ln>
          <a:effectLst/>
        </c:spPr>
      </c:pivotFmt>
      <c:pivotFmt>
        <c:idx val="218"/>
        <c:spPr>
          <a:solidFill>
            <a:schemeClr val="accent2"/>
          </a:solidFill>
          <a:ln w="19050">
            <a:solidFill>
              <a:schemeClr val="lt1"/>
            </a:solidFill>
          </a:ln>
          <a:effectLst/>
        </c:spPr>
      </c:pivotFmt>
      <c:pivotFmt>
        <c:idx val="219"/>
        <c:spPr>
          <a:solidFill>
            <a:schemeClr val="accent2"/>
          </a:solidFill>
          <a:ln w="19050">
            <a:solidFill>
              <a:schemeClr val="lt1"/>
            </a:solidFill>
          </a:ln>
          <a:effectLst/>
        </c:spPr>
      </c:pivotFmt>
      <c:pivotFmt>
        <c:idx val="220"/>
        <c:spPr>
          <a:solidFill>
            <a:schemeClr val="accent2"/>
          </a:solidFill>
          <a:ln w="19050">
            <a:solidFill>
              <a:schemeClr val="lt1"/>
            </a:solidFill>
          </a:ln>
          <a:effectLst/>
        </c:spPr>
      </c:pivotFmt>
      <c:pivotFmt>
        <c:idx val="221"/>
        <c:spPr>
          <a:solidFill>
            <a:schemeClr val="accent2"/>
          </a:solidFill>
          <a:ln w="19050">
            <a:solidFill>
              <a:schemeClr val="lt1"/>
            </a:solidFill>
          </a:ln>
          <a:effectLst/>
        </c:spPr>
      </c:pivotFmt>
      <c:pivotFmt>
        <c:idx val="222"/>
        <c:spPr>
          <a:solidFill>
            <a:schemeClr val="accent2"/>
          </a:solidFill>
          <a:ln w="19050">
            <a:solidFill>
              <a:schemeClr val="lt1"/>
            </a:solidFill>
          </a:ln>
          <a:effectLst/>
        </c:spPr>
      </c:pivotFmt>
      <c:pivotFmt>
        <c:idx val="223"/>
        <c:spPr>
          <a:solidFill>
            <a:schemeClr val="accent2"/>
          </a:solidFill>
          <a:ln w="19050">
            <a:solidFill>
              <a:schemeClr val="lt1"/>
            </a:solidFill>
          </a:ln>
          <a:effectLst/>
        </c:spPr>
      </c:pivotFmt>
      <c:pivotFmt>
        <c:idx val="224"/>
        <c:spPr>
          <a:solidFill>
            <a:schemeClr val="accent2"/>
          </a:solidFill>
          <a:ln w="19050">
            <a:solidFill>
              <a:schemeClr val="lt1"/>
            </a:solidFill>
          </a:ln>
          <a:effectLst/>
        </c:spPr>
      </c:pivotFmt>
      <c:pivotFmt>
        <c:idx val="225"/>
        <c:spPr>
          <a:solidFill>
            <a:schemeClr val="accent2"/>
          </a:solidFill>
          <a:ln w="19050">
            <a:solidFill>
              <a:schemeClr val="lt1"/>
            </a:solidFill>
          </a:ln>
          <a:effectLst/>
        </c:spPr>
      </c:pivotFmt>
      <c:pivotFmt>
        <c:idx val="226"/>
        <c:spPr>
          <a:solidFill>
            <a:schemeClr val="accent2"/>
          </a:solidFill>
          <a:ln w="19050">
            <a:solidFill>
              <a:schemeClr val="lt1"/>
            </a:solidFill>
          </a:ln>
          <a:effectLst/>
        </c:spPr>
      </c:pivotFmt>
      <c:pivotFmt>
        <c:idx val="227"/>
        <c:spPr>
          <a:solidFill>
            <a:schemeClr val="accent2"/>
          </a:solidFill>
          <a:ln w="19050">
            <a:solidFill>
              <a:schemeClr val="lt1"/>
            </a:solidFill>
          </a:ln>
          <a:effectLst/>
        </c:spPr>
      </c:pivotFmt>
      <c:pivotFmt>
        <c:idx val="228"/>
        <c:spPr>
          <a:solidFill>
            <a:schemeClr val="accent2"/>
          </a:solidFill>
          <a:ln w="19050">
            <a:solidFill>
              <a:schemeClr val="lt1"/>
            </a:solidFill>
          </a:ln>
          <a:effectLst/>
        </c:spPr>
      </c:pivotFmt>
      <c:pivotFmt>
        <c:idx val="229"/>
        <c:spPr>
          <a:solidFill>
            <a:schemeClr val="accent2"/>
          </a:solidFill>
          <a:ln w="19050">
            <a:solidFill>
              <a:schemeClr val="lt1"/>
            </a:solidFill>
          </a:ln>
          <a:effectLst/>
        </c:spPr>
      </c:pivotFmt>
      <c:pivotFmt>
        <c:idx val="230"/>
        <c:spPr>
          <a:solidFill>
            <a:schemeClr val="accent2"/>
          </a:solidFill>
          <a:ln w="19050">
            <a:solidFill>
              <a:schemeClr val="lt1"/>
            </a:solidFill>
          </a:ln>
          <a:effectLst/>
        </c:spPr>
      </c:pivotFmt>
      <c:pivotFmt>
        <c:idx val="231"/>
        <c:spPr>
          <a:solidFill>
            <a:schemeClr val="accent2"/>
          </a:solidFill>
          <a:ln w="19050">
            <a:solidFill>
              <a:schemeClr val="lt1"/>
            </a:solidFill>
          </a:ln>
          <a:effectLst/>
        </c:spPr>
      </c:pivotFmt>
      <c:pivotFmt>
        <c:idx val="232"/>
        <c:spPr>
          <a:solidFill>
            <a:schemeClr val="accent2"/>
          </a:solidFill>
          <a:ln w="19050">
            <a:solidFill>
              <a:schemeClr val="lt1"/>
            </a:solidFill>
          </a:ln>
          <a:effectLst/>
        </c:spPr>
      </c:pivotFmt>
      <c:pivotFmt>
        <c:idx val="233"/>
        <c:spPr>
          <a:solidFill>
            <a:schemeClr val="accent2"/>
          </a:solidFill>
          <a:ln w="19050">
            <a:solidFill>
              <a:schemeClr val="lt1"/>
            </a:solidFill>
          </a:ln>
          <a:effectLst/>
        </c:spPr>
      </c:pivotFmt>
      <c:pivotFmt>
        <c:idx val="234"/>
        <c:spPr>
          <a:solidFill>
            <a:schemeClr val="accent2"/>
          </a:solidFill>
          <a:ln w="19050">
            <a:solidFill>
              <a:schemeClr val="lt1"/>
            </a:solidFill>
          </a:ln>
          <a:effectLst/>
        </c:spPr>
      </c:pivotFmt>
      <c:pivotFmt>
        <c:idx val="235"/>
        <c:spPr>
          <a:solidFill>
            <a:schemeClr val="accent2"/>
          </a:solidFill>
          <a:ln w="19050">
            <a:solidFill>
              <a:schemeClr val="lt1"/>
            </a:solidFill>
          </a:ln>
          <a:effectLst/>
        </c:spPr>
      </c:pivotFmt>
      <c:pivotFmt>
        <c:idx val="236"/>
        <c:spPr>
          <a:solidFill>
            <a:schemeClr val="accent2"/>
          </a:solidFill>
          <a:ln w="19050">
            <a:solidFill>
              <a:schemeClr val="lt1"/>
            </a:solidFill>
          </a:ln>
          <a:effectLst/>
        </c:spPr>
      </c:pivotFmt>
      <c:pivotFmt>
        <c:idx val="237"/>
        <c:spPr>
          <a:solidFill>
            <a:schemeClr val="accent2"/>
          </a:solidFill>
          <a:ln w="19050">
            <a:solidFill>
              <a:schemeClr val="lt1"/>
            </a:solidFill>
          </a:ln>
          <a:effectLst/>
        </c:spPr>
      </c:pivotFmt>
      <c:pivotFmt>
        <c:idx val="238"/>
        <c:spPr>
          <a:solidFill>
            <a:schemeClr val="accent2"/>
          </a:solidFill>
          <a:ln w="19050">
            <a:solidFill>
              <a:schemeClr val="lt1"/>
            </a:solidFill>
          </a:ln>
          <a:effectLst/>
        </c:spPr>
      </c:pivotFmt>
      <c:pivotFmt>
        <c:idx val="239"/>
        <c:spPr>
          <a:solidFill>
            <a:schemeClr val="accent2"/>
          </a:solidFill>
          <a:ln w="19050">
            <a:solidFill>
              <a:schemeClr val="lt1"/>
            </a:solidFill>
          </a:ln>
          <a:effectLst/>
        </c:spPr>
      </c:pivotFmt>
      <c:pivotFmt>
        <c:idx val="240"/>
        <c:spPr>
          <a:solidFill>
            <a:schemeClr val="accent2"/>
          </a:solidFill>
          <a:ln w="19050">
            <a:solidFill>
              <a:schemeClr val="lt1"/>
            </a:solidFill>
          </a:ln>
          <a:effectLst/>
        </c:spPr>
      </c:pivotFmt>
      <c:pivotFmt>
        <c:idx val="241"/>
        <c:spPr>
          <a:solidFill>
            <a:schemeClr val="accent2"/>
          </a:solidFill>
          <a:ln w="19050">
            <a:solidFill>
              <a:schemeClr val="lt1"/>
            </a:solidFill>
          </a:ln>
          <a:effectLst/>
        </c:spPr>
      </c:pivotFmt>
      <c:pivotFmt>
        <c:idx val="242"/>
        <c:spPr>
          <a:solidFill>
            <a:schemeClr val="accent2"/>
          </a:solidFill>
          <a:ln w="19050">
            <a:solidFill>
              <a:schemeClr val="lt1"/>
            </a:solidFill>
          </a:ln>
          <a:effectLst/>
        </c:spPr>
      </c:pivotFmt>
      <c:pivotFmt>
        <c:idx val="243"/>
        <c:spPr>
          <a:solidFill>
            <a:schemeClr val="accent2"/>
          </a:solidFill>
          <a:ln w="19050">
            <a:solidFill>
              <a:schemeClr val="lt1"/>
            </a:solidFill>
          </a:ln>
          <a:effectLst/>
        </c:spPr>
      </c:pivotFmt>
      <c:pivotFmt>
        <c:idx val="244"/>
        <c:spPr>
          <a:solidFill>
            <a:schemeClr val="accent2"/>
          </a:solidFill>
          <a:ln w="19050">
            <a:solidFill>
              <a:schemeClr val="lt1"/>
            </a:solidFill>
          </a:ln>
          <a:effectLst/>
        </c:spPr>
      </c:pivotFmt>
      <c:pivotFmt>
        <c:idx val="245"/>
        <c:spPr>
          <a:solidFill>
            <a:schemeClr val="accent2"/>
          </a:solidFill>
          <a:ln w="19050">
            <a:solidFill>
              <a:schemeClr val="lt1"/>
            </a:solidFill>
          </a:ln>
          <a:effectLst/>
        </c:spPr>
      </c:pivotFmt>
      <c:pivotFmt>
        <c:idx val="246"/>
        <c:spPr>
          <a:solidFill>
            <a:schemeClr val="accent2"/>
          </a:solidFill>
          <a:ln w="19050">
            <a:solidFill>
              <a:schemeClr val="lt1"/>
            </a:solidFill>
          </a:ln>
          <a:effectLst/>
        </c:spPr>
      </c:pivotFmt>
      <c:pivotFmt>
        <c:idx val="247"/>
        <c:spPr>
          <a:solidFill>
            <a:schemeClr val="accent2"/>
          </a:solidFill>
          <a:ln w="19050">
            <a:solidFill>
              <a:schemeClr val="lt1"/>
            </a:solidFill>
          </a:ln>
          <a:effectLst/>
        </c:spPr>
      </c:pivotFmt>
      <c:pivotFmt>
        <c:idx val="248"/>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9"/>
        <c:spPr>
          <a:solidFill>
            <a:schemeClr val="accent2"/>
          </a:solidFill>
          <a:ln w="19050">
            <a:solidFill>
              <a:schemeClr val="lt1"/>
            </a:solidFill>
          </a:ln>
          <a:effectLst/>
        </c:spPr>
      </c:pivotFmt>
      <c:pivotFmt>
        <c:idx val="250"/>
        <c:spPr>
          <a:solidFill>
            <a:schemeClr val="accent2"/>
          </a:solidFill>
          <a:ln w="19050">
            <a:solidFill>
              <a:schemeClr val="lt1"/>
            </a:solidFill>
          </a:ln>
          <a:effectLst/>
        </c:spPr>
      </c:pivotFmt>
      <c:pivotFmt>
        <c:idx val="251"/>
        <c:spPr>
          <a:solidFill>
            <a:schemeClr val="accent2"/>
          </a:solidFill>
          <a:ln w="19050">
            <a:solidFill>
              <a:schemeClr val="lt1"/>
            </a:solidFill>
          </a:ln>
          <a:effectLst/>
        </c:spPr>
      </c:pivotFmt>
      <c:pivotFmt>
        <c:idx val="252"/>
        <c:spPr>
          <a:solidFill>
            <a:schemeClr val="accent2"/>
          </a:solidFill>
          <a:ln w="19050">
            <a:solidFill>
              <a:schemeClr val="lt1"/>
            </a:solidFill>
          </a:ln>
          <a:effectLst/>
        </c:spPr>
      </c:pivotFmt>
      <c:pivotFmt>
        <c:idx val="253"/>
        <c:spPr>
          <a:solidFill>
            <a:schemeClr val="accent2"/>
          </a:solidFill>
          <a:ln w="19050">
            <a:solidFill>
              <a:schemeClr val="lt1"/>
            </a:solidFill>
          </a:ln>
          <a:effectLst/>
        </c:spPr>
      </c:pivotFmt>
      <c:pivotFmt>
        <c:idx val="254"/>
        <c:spPr>
          <a:solidFill>
            <a:schemeClr val="accent2"/>
          </a:solidFill>
          <a:ln w="19050">
            <a:solidFill>
              <a:schemeClr val="lt1"/>
            </a:solidFill>
          </a:ln>
          <a:effectLst/>
        </c:spPr>
      </c:pivotFmt>
      <c:pivotFmt>
        <c:idx val="255"/>
        <c:spPr>
          <a:solidFill>
            <a:schemeClr val="accent2"/>
          </a:solidFill>
          <a:ln w="19050">
            <a:solidFill>
              <a:schemeClr val="lt1"/>
            </a:solidFill>
          </a:ln>
          <a:effectLst/>
        </c:spPr>
      </c:pivotFmt>
      <c:pivotFmt>
        <c:idx val="256"/>
        <c:spPr>
          <a:solidFill>
            <a:schemeClr val="accent2"/>
          </a:solidFill>
          <a:ln w="19050">
            <a:solidFill>
              <a:schemeClr val="lt1"/>
            </a:solidFill>
          </a:ln>
          <a:effectLst/>
        </c:spPr>
      </c:pivotFmt>
      <c:pivotFmt>
        <c:idx val="257"/>
        <c:spPr>
          <a:solidFill>
            <a:schemeClr val="accent2"/>
          </a:solidFill>
          <a:ln w="19050">
            <a:solidFill>
              <a:schemeClr val="lt1"/>
            </a:solidFill>
          </a:ln>
          <a:effectLst/>
        </c:spPr>
      </c:pivotFmt>
      <c:pivotFmt>
        <c:idx val="258"/>
        <c:spPr>
          <a:solidFill>
            <a:schemeClr val="accent2"/>
          </a:solidFill>
          <a:ln w="19050">
            <a:solidFill>
              <a:schemeClr val="lt1"/>
            </a:solidFill>
          </a:ln>
          <a:effectLst/>
        </c:spPr>
      </c:pivotFmt>
      <c:pivotFmt>
        <c:idx val="259"/>
        <c:spPr>
          <a:solidFill>
            <a:schemeClr val="accent2"/>
          </a:solidFill>
          <a:ln w="19050">
            <a:solidFill>
              <a:schemeClr val="lt1"/>
            </a:solidFill>
          </a:ln>
          <a:effectLst/>
        </c:spPr>
      </c:pivotFmt>
      <c:pivotFmt>
        <c:idx val="260"/>
        <c:spPr>
          <a:solidFill>
            <a:schemeClr val="accent2"/>
          </a:solidFill>
          <a:ln w="19050">
            <a:solidFill>
              <a:schemeClr val="lt1"/>
            </a:solidFill>
          </a:ln>
          <a:effectLst/>
        </c:spPr>
      </c:pivotFmt>
      <c:pivotFmt>
        <c:idx val="261"/>
        <c:spPr>
          <a:solidFill>
            <a:schemeClr val="accent2"/>
          </a:solidFill>
          <a:ln w="19050">
            <a:solidFill>
              <a:schemeClr val="lt1"/>
            </a:solidFill>
          </a:ln>
          <a:effectLst/>
        </c:spPr>
      </c:pivotFmt>
      <c:pivotFmt>
        <c:idx val="262"/>
        <c:spPr>
          <a:solidFill>
            <a:schemeClr val="accent2"/>
          </a:solidFill>
          <a:ln w="19050">
            <a:solidFill>
              <a:schemeClr val="lt1"/>
            </a:solidFill>
          </a:ln>
          <a:effectLst/>
        </c:spPr>
        <c:marker>
          <c:symbol val="none"/>
        </c:marker>
      </c:pivotFmt>
      <c:pivotFmt>
        <c:idx val="26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4"/>
        <c:spPr>
          <a:solidFill>
            <a:schemeClr val="accent2"/>
          </a:solidFill>
          <a:ln w="19050">
            <a:solidFill>
              <a:schemeClr val="lt1"/>
            </a:solidFill>
          </a:ln>
          <a:effectLst/>
        </c:spPr>
        <c:marker>
          <c:symbol val="none"/>
        </c:marker>
      </c:pivotFmt>
      <c:pivotFmt>
        <c:idx val="265"/>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8"/>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Lst>
        </c:dLbl>
      </c:pivotFmt>
      <c:pivotFmt>
        <c:idx val="269"/>
        <c:spPr>
          <a:solidFill>
            <a:schemeClr val="accent2"/>
          </a:solidFill>
          <a:ln w="19050">
            <a:solidFill>
              <a:schemeClr val="lt1"/>
            </a:solidFill>
          </a:ln>
          <a:effectLst/>
        </c:spPr>
      </c:pivotFmt>
      <c:pivotFmt>
        <c:idx val="270"/>
        <c:spPr>
          <a:solidFill>
            <a:schemeClr val="accent2"/>
          </a:solidFill>
          <a:ln w="19050">
            <a:solidFill>
              <a:schemeClr val="lt1"/>
            </a:solidFill>
          </a:ln>
          <a:effectLst/>
        </c:spPr>
      </c:pivotFmt>
      <c:pivotFmt>
        <c:idx val="271"/>
        <c:spPr>
          <a:solidFill>
            <a:schemeClr val="accent2"/>
          </a:solidFill>
          <a:ln w="19050">
            <a:solidFill>
              <a:schemeClr val="lt1"/>
            </a:solidFill>
          </a:ln>
          <a:effectLst/>
        </c:spPr>
      </c:pivotFmt>
      <c:pivotFmt>
        <c:idx val="272"/>
        <c:spPr>
          <a:solidFill>
            <a:schemeClr val="accent2"/>
          </a:solidFill>
          <a:ln w="19050">
            <a:solidFill>
              <a:schemeClr val="lt1"/>
            </a:solidFill>
          </a:ln>
          <a:effectLst/>
        </c:spPr>
      </c:pivotFmt>
      <c:pivotFmt>
        <c:idx val="273"/>
        <c:spPr>
          <a:solidFill>
            <a:schemeClr val="accent2"/>
          </a:solidFill>
          <a:ln w="19050">
            <a:solidFill>
              <a:schemeClr val="lt1"/>
            </a:solidFill>
          </a:ln>
          <a:effectLst/>
        </c:spPr>
      </c:pivotFmt>
      <c:pivotFmt>
        <c:idx val="274"/>
        <c:spPr>
          <a:solidFill>
            <a:schemeClr val="accent2"/>
          </a:solidFill>
          <a:ln w="19050">
            <a:solidFill>
              <a:schemeClr val="lt1"/>
            </a:solidFill>
          </a:ln>
          <a:effectLst/>
        </c:spPr>
      </c:pivotFmt>
      <c:pivotFmt>
        <c:idx val="275"/>
        <c:spPr>
          <a:solidFill>
            <a:schemeClr val="accent2"/>
          </a:solidFill>
          <a:ln w="19050">
            <a:solidFill>
              <a:schemeClr val="lt1"/>
            </a:solidFill>
          </a:ln>
          <a:effectLst/>
        </c:spPr>
      </c:pivotFmt>
      <c:pivotFmt>
        <c:idx val="276"/>
        <c:spPr>
          <a:solidFill>
            <a:schemeClr val="accent2"/>
          </a:solidFill>
          <a:ln w="19050">
            <a:solidFill>
              <a:schemeClr val="lt1"/>
            </a:solidFill>
          </a:ln>
          <a:effectLst/>
        </c:spPr>
      </c:pivotFmt>
      <c:pivotFmt>
        <c:idx val="277"/>
        <c:spPr>
          <a:solidFill>
            <a:schemeClr val="accent2"/>
          </a:solidFill>
          <a:ln w="19050">
            <a:solidFill>
              <a:schemeClr val="lt1"/>
            </a:solidFill>
          </a:ln>
          <a:effectLst/>
        </c:spPr>
      </c:pivotFmt>
      <c:pivotFmt>
        <c:idx val="278"/>
        <c:spPr>
          <a:solidFill>
            <a:schemeClr val="accent2"/>
          </a:solidFill>
          <a:ln w="19050">
            <a:solidFill>
              <a:schemeClr val="lt1"/>
            </a:solidFill>
          </a:ln>
          <a:effectLst/>
        </c:spPr>
      </c:pivotFmt>
      <c:pivotFmt>
        <c:idx val="279"/>
        <c:spPr>
          <a:solidFill>
            <a:schemeClr val="accent2"/>
          </a:solidFill>
          <a:ln w="19050">
            <a:solidFill>
              <a:schemeClr val="lt1"/>
            </a:solidFill>
          </a:ln>
          <a:effectLst/>
        </c:spPr>
      </c:pivotFmt>
      <c:pivotFmt>
        <c:idx val="280"/>
        <c:spPr>
          <a:solidFill>
            <a:schemeClr val="accent2"/>
          </a:solidFill>
          <a:ln w="19050">
            <a:solidFill>
              <a:schemeClr val="lt1"/>
            </a:solidFill>
          </a:ln>
          <a:effectLst/>
        </c:spPr>
      </c:pivotFmt>
      <c:pivotFmt>
        <c:idx val="281"/>
        <c:spPr>
          <a:solidFill>
            <a:schemeClr val="accent2"/>
          </a:solidFill>
          <a:ln w="19050">
            <a:solidFill>
              <a:schemeClr val="lt1"/>
            </a:solidFill>
          </a:ln>
          <a:effectLst/>
        </c:spPr>
      </c:pivotFmt>
      <c:pivotFmt>
        <c:idx val="282"/>
        <c:spPr>
          <a:solidFill>
            <a:schemeClr val="accent2"/>
          </a:solidFill>
          <a:ln w="19050">
            <a:solidFill>
              <a:schemeClr val="lt1"/>
            </a:solidFill>
          </a:ln>
          <a:effectLst/>
        </c:spPr>
      </c:pivotFmt>
      <c:pivotFmt>
        <c:idx val="283"/>
        <c:spPr>
          <a:solidFill>
            <a:schemeClr val="accent2"/>
          </a:solidFill>
          <a:ln w="19050">
            <a:solidFill>
              <a:schemeClr val="lt1"/>
            </a:solidFill>
          </a:ln>
          <a:effectLst/>
        </c:spPr>
      </c:pivotFmt>
      <c:pivotFmt>
        <c:idx val="284"/>
        <c:spPr>
          <a:solidFill>
            <a:schemeClr val="accent2"/>
          </a:solidFill>
          <a:ln w="19050">
            <a:solidFill>
              <a:schemeClr val="lt1"/>
            </a:solidFill>
          </a:ln>
          <a:effectLst/>
        </c:spPr>
      </c:pivotFmt>
      <c:pivotFmt>
        <c:idx val="285"/>
        <c:spPr>
          <a:solidFill>
            <a:schemeClr val="accent2"/>
          </a:solidFill>
          <a:ln w="19050">
            <a:solidFill>
              <a:schemeClr val="lt1"/>
            </a:solidFill>
          </a:ln>
          <a:effectLst/>
        </c:spPr>
      </c:pivotFmt>
      <c:pivotFmt>
        <c:idx val="286"/>
        <c:spPr>
          <a:solidFill>
            <a:schemeClr val="accent2"/>
          </a:solidFill>
          <a:ln w="19050">
            <a:solidFill>
              <a:schemeClr val="lt1"/>
            </a:solidFill>
          </a:ln>
          <a:effectLst/>
        </c:spPr>
      </c:pivotFmt>
      <c:pivotFmt>
        <c:idx val="287"/>
        <c:spPr>
          <a:solidFill>
            <a:schemeClr val="accent2"/>
          </a:solidFill>
          <a:ln w="19050">
            <a:solidFill>
              <a:schemeClr val="lt1"/>
            </a:solidFill>
          </a:ln>
          <a:effectLst/>
        </c:spPr>
      </c:pivotFmt>
      <c:pivotFmt>
        <c:idx val="288"/>
        <c:spPr>
          <a:solidFill>
            <a:schemeClr val="accent2"/>
          </a:solidFill>
          <a:ln w="19050">
            <a:solidFill>
              <a:schemeClr val="lt1"/>
            </a:solidFill>
          </a:ln>
          <a:effectLst/>
        </c:spPr>
      </c:pivotFmt>
      <c:pivotFmt>
        <c:idx val="289"/>
        <c:spPr>
          <a:solidFill>
            <a:schemeClr val="accent2"/>
          </a:solidFill>
          <a:ln w="19050">
            <a:solidFill>
              <a:schemeClr val="lt1"/>
            </a:solidFill>
          </a:ln>
          <a:effectLst/>
        </c:spPr>
      </c:pivotFmt>
      <c:pivotFmt>
        <c:idx val="290"/>
        <c:spPr>
          <a:solidFill>
            <a:schemeClr val="accent2"/>
          </a:solidFill>
          <a:ln w="19050">
            <a:solidFill>
              <a:schemeClr val="lt1"/>
            </a:solidFill>
          </a:ln>
          <a:effectLst/>
        </c:spPr>
      </c:pivotFmt>
      <c:pivotFmt>
        <c:idx val="291"/>
        <c:spPr>
          <a:solidFill>
            <a:schemeClr val="accent2"/>
          </a:solidFill>
          <a:ln w="19050">
            <a:solidFill>
              <a:schemeClr val="lt1"/>
            </a:solidFill>
          </a:ln>
          <a:effectLst/>
        </c:spPr>
      </c:pivotFmt>
      <c:pivotFmt>
        <c:idx val="292"/>
        <c:spPr>
          <a:solidFill>
            <a:schemeClr val="accent2"/>
          </a:solidFill>
          <a:ln w="19050">
            <a:solidFill>
              <a:schemeClr val="lt1"/>
            </a:solidFill>
          </a:ln>
          <a:effectLst/>
        </c:spPr>
      </c:pivotFmt>
      <c:pivotFmt>
        <c:idx val="293"/>
        <c:spPr>
          <a:solidFill>
            <a:schemeClr val="accent2"/>
          </a:solidFill>
          <a:ln w="19050">
            <a:solidFill>
              <a:schemeClr val="lt1"/>
            </a:solidFill>
          </a:ln>
          <a:effectLst/>
        </c:spPr>
      </c:pivotFmt>
      <c:pivotFmt>
        <c:idx val="294"/>
        <c:spPr>
          <a:solidFill>
            <a:schemeClr val="accent2"/>
          </a:solidFill>
          <a:ln w="19050">
            <a:solidFill>
              <a:schemeClr val="lt1"/>
            </a:solidFill>
          </a:ln>
          <a:effectLst/>
        </c:spPr>
      </c:pivotFmt>
      <c:pivotFmt>
        <c:idx val="295"/>
        <c:spPr>
          <a:solidFill>
            <a:schemeClr val="accent2"/>
          </a:solidFill>
          <a:ln w="19050">
            <a:solidFill>
              <a:schemeClr val="lt1"/>
            </a:solidFill>
          </a:ln>
          <a:effectLst/>
        </c:spPr>
      </c:pivotFmt>
      <c:pivotFmt>
        <c:idx val="296"/>
        <c:spPr>
          <a:solidFill>
            <a:schemeClr val="accent2"/>
          </a:solidFill>
          <a:ln w="19050">
            <a:solidFill>
              <a:schemeClr val="lt1"/>
            </a:solidFill>
          </a:ln>
          <a:effectLst/>
        </c:spPr>
      </c:pivotFmt>
      <c:pivotFmt>
        <c:idx val="297"/>
        <c:spPr>
          <a:solidFill>
            <a:schemeClr val="accent2"/>
          </a:solidFill>
          <a:ln w="19050">
            <a:solidFill>
              <a:schemeClr val="lt1"/>
            </a:solidFill>
          </a:ln>
          <a:effectLst/>
        </c:spPr>
      </c:pivotFmt>
      <c:pivotFmt>
        <c:idx val="298"/>
        <c:spPr>
          <a:solidFill>
            <a:schemeClr val="accent2"/>
          </a:solidFill>
          <a:ln w="19050">
            <a:solidFill>
              <a:schemeClr val="lt1"/>
            </a:solidFill>
          </a:ln>
          <a:effectLst/>
        </c:spPr>
      </c:pivotFmt>
      <c:pivotFmt>
        <c:idx val="299"/>
        <c:spPr>
          <a:solidFill>
            <a:schemeClr val="accent2"/>
          </a:solidFill>
          <a:ln w="19050">
            <a:solidFill>
              <a:schemeClr val="lt1"/>
            </a:solidFill>
          </a:ln>
          <a:effectLst/>
        </c:spPr>
      </c:pivotFmt>
      <c:pivotFmt>
        <c:idx val="300"/>
        <c:spPr>
          <a:solidFill>
            <a:schemeClr val="accent2"/>
          </a:solidFill>
          <a:ln w="19050">
            <a:solidFill>
              <a:schemeClr val="lt1"/>
            </a:solidFill>
          </a:ln>
          <a:effectLst/>
        </c:spPr>
      </c:pivotFmt>
      <c:pivotFmt>
        <c:idx val="301"/>
        <c:spPr>
          <a:solidFill>
            <a:schemeClr val="accent2"/>
          </a:solidFill>
          <a:ln w="19050">
            <a:solidFill>
              <a:schemeClr val="lt1"/>
            </a:solidFill>
          </a:ln>
          <a:effectLst/>
        </c:spPr>
      </c:pivotFmt>
      <c:pivotFmt>
        <c:idx val="302"/>
        <c:spPr>
          <a:solidFill>
            <a:schemeClr val="accent2"/>
          </a:solidFill>
          <a:ln w="19050">
            <a:solidFill>
              <a:schemeClr val="lt1"/>
            </a:solidFill>
          </a:ln>
          <a:effectLst/>
        </c:spPr>
      </c:pivotFmt>
      <c:pivotFmt>
        <c:idx val="303"/>
        <c:spPr>
          <a:solidFill>
            <a:schemeClr val="accent2"/>
          </a:solidFill>
          <a:ln w="19050">
            <a:solidFill>
              <a:schemeClr val="lt1"/>
            </a:solidFill>
          </a:ln>
          <a:effectLst/>
        </c:spPr>
      </c:pivotFmt>
      <c:pivotFmt>
        <c:idx val="304"/>
        <c:spPr>
          <a:solidFill>
            <a:schemeClr val="accent2"/>
          </a:solidFill>
          <a:ln w="19050">
            <a:solidFill>
              <a:schemeClr val="lt1"/>
            </a:solidFill>
          </a:ln>
          <a:effectLst/>
        </c:spPr>
      </c:pivotFmt>
      <c:pivotFmt>
        <c:idx val="305"/>
        <c:spPr>
          <a:solidFill>
            <a:schemeClr val="accent2"/>
          </a:solidFill>
          <a:ln w="19050">
            <a:solidFill>
              <a:schemeClr val="lt1"/>
            </a:solidFill>
          </a:ln>
          <a:effectLst/>
        </c:spPr>
      </c:pivotFmt>
      <c:pivotFmt>
        <c:idx val="306"/>
        <c:spPr>
          <a:solidFill>
            <a:schemeClr val="accent2"/>
          </a:solidFill>
          <a:ln w="19050">
            <a:solidFill>
              <a:schemeClr val="lt1"/>
            </a:solidFill>
          </a:ln>
          <a:effectLst/>
        </c:spPr>
      </c:pivotFmt>
      <c:pivotFmt>
        <c:idx val="307"/>
        <c:spPr>
          <a:solidFill>
            <a:schemeClr val="accent2"/>
          </a:solidFill>
          <a:ln w="19050">
            <a:solidFill>
              <a:schemeClr val="lt1"/>
            </a:solidFill>
          </a:ln>
          <a:effectLst/>
        </c:spPr>
      </c:pivotFmt>
      <c:pivotFmt>
        <c:idx val="308"/>
        <c:spPr>
          <a:solidFill>
            <a:schemeClr val="accent2"/>
          </a:solidFill>
          <a:ln w="19050">
            <a:solidFill>
              <a:schemeClr val="lt1"/>
            </a:solidFill>
          </a:ln>
          <a:effectLst/>
        </c:spPr>
      </c:pivotFmt>
      <c:pivotFmt>
        <c:idx val="309"/>
        <c:spPr>
          <a:solidFill>
            <a:schemeClr val="accent2"/>
          </a:solidFill>
          <a:ln w="19050">
            <a:solidFill>
              <a:schemeClr val="lt1"/>
            </a:solidFill>
          </a:ln>
          <a:effectLst/>
        </c:spPr>
      </c:pivotFmt>
      <c:pivotFmt>
        <c:idx val="310"/>
        <c:spPr>
          <a:solidFill>
            <a:schemeClr val="accent2"/>
          </a:solidFill>
          <a:ln w="19050">
            <a:solidFill>
              <a:schemeClr val="lt1"/>
            </a:solidFill>
          </a:ln>
          <a:effectLst/>
        </c:spPr>
      </c:pivotFmt>
      <c:pivotFmt>
        <c:idx val="311"/>
        <c:spPr>
          <a:solidFill>
            <a:schemeClr val="accent2"/>
          </a:solidFill>
          <a:ln w="19050">
            <a:solidFill>
              <a:schemeClr val="lt1"/>
            </a:solidFill>
          </a:ln>
          <a:effectLst/>
        </c:spPr>
      </c:pivotFmt>
      <c:pivotFmt>
        <c:idx val="312"/>
        <c:spPr>
          <a:solidFill>
            <a:schemeClr val="accent2"/>
          </a:solidFill>
          <a:ln w="19050">
            <a:solidFill>
              <a:schemeClr val="lt1"/>
            </a:solidFill>
          </a:ln>
          <a:effectLst/>
        </c:spPr>
      </c:pivotFmt>
      <c:pivotFmt>
        <c:idx val="313"/>
        <c:spPr>
          <a:solidFill>
            <a:schemeClr val="accent2"/>
          </a:solidFill>
          <a:ln w="19050">
            <a:solidFill>
              <a:schemeClr val="lt1"/>
            </a:solidFill>
          </a:ln>
          <a:effectLst/>
        </c:spPr>
      </c:pivotFmt>
      <c:pivotFmt>
        <c:idx val="314"/>
        <c:spPr>
          <a:solidFill>
            <a:schemeClr val="accent2"/>
          </a:solidFill>
          <a:ln w="19050">
            <a:solidFill>
              <a:schemeClr val="lt1"/>
            </a:solidFill>
          </a:ln>
          <a:effectLst/>
        </c:spPr>
      </c:pivotFmt>
      <c:pivotFmt>
        <c:idx val="315"/>
        <c:spPr>
          <a:solidFill>
            <a:schemeClr val="accent2"/>
          </a:solidFill>
          <a:ln w="19050">
            <a:solidFill>
              <a:schemeClr val="lt1"/>
            </a:solidFill>
          </a:ln>
          <a:effectLst/>
        </c:spPr>
      </c:pivotFmt>
      <c:pivotFmt>
        <c:idx val="316"/>
        <c:spPr>
          <a:solidFill>
            <a:schemeClr val="accent2"/>
          </a:solidFill>
          <a:ln w="19050">
            <a:solidFill>
              <a:schemeClr val="lt1"/>
            </a:solidFill>
          </a:ln>
          <a:effectLst/>
        </c:spPr>
      </c:pivotFmt>
      <c:pivotFmt>
        <c:idx val="317"/>
        <c:spPr>
          <a:solidFill>
            <a:schemeClr val="accent2"/>
          </a:solidFill>
          <a:ln w="19050">
            <a:solidFill>
              <a:schemeClr val="lt1"/>
            </a:solidFill>
          </a:ln>
          <a:effectLst/>
        </c:spPr>
      </c:pivotFmt>
      <c:pivotFmt>
        <c:idx val="318"/>
        <c:spPr>
          <a:solidFill>
            <a:schemeClr val="accent2"/>
          </a:solidFill>
          <a:ln w="19050">
            <a:solidFill>
              <a:schemeClr val="lt1"/>
            </a:solidFill>
          </a:ln>
          <a:effectLst/>
        </c:spPr>
      </c:pivotFmt>
      <c:pivotFmt>
        <c:idx val="319"/>
        <c:spPr>
          <a:solidFill>
            <a:schemeClr val="accent2"/>
          </a:solidFill>
          <a:ln w="19050">
            <a:solidFill>
              <a:schemeClr val="lt1"/>
            </a:solidFill>
          </a:ln>
          <a:effectLst/>
        </c:spPr>
      </c:pivotFmt>
      <c:pivotFmt>
        <c:idx val="320"/>
        <c:spPr>
          <a:solidFill>
            <a:schemeClr val="accent2"/>
          </a:solidFill>
          <a:ln w="19050">
            <a:solidFill>
              <a:schemeClr val="lt1"/>
            </a:solidFill>
          </a:ln>
          <a:effectLst/>
        </c:spPr>
      </c:pivotFmt>
      <c:pivotFmt>
        <c:idx val="321"/>
        <c:spPr>
          <a:solidFill>
            <a:schemeClr val="accent2"/>
          </a:solidFill>
          <a:ln w="19050">
            <a:solidFill>
              <a:schemeClr val="lt1"/>
            </a:solidFill>
          </a:ln>
          <a:effectLst/>
        </c:spPr>
      </c:pivotFmt>
      <c:pivotFmt>
        <c:idx val="322"/>
        <c:spPr>
          <a:solidFill>
            <a:schemeClr val="accent2"/>
          </a:solidFill>
          <a:ln w="19050">
            <a:solidFill>
              <a:schemeClr val="lt1"/>
            </a:solidFill>
          </a:ln>
          <a:effectLst/>
        </c:spPr>
      </c:pivotFmt>
      <c:pivotFmt>
        <c:idx val="323"/>
        <c:spPr>
          <a:solidFill>
            <a:schemeClr val="accent2"/>
          </a:solidFill>
          <a:ln w="19050">
            <a:solidFill>
              <a:schemeClr val="lt1"/>
            </a:solidFill>
          </a:ln>
          <a:effectLst/>
        </c:spPr>
      </c:pivotFmt>
      <c:pivotFmt>
        <c:idx val="324"/>
        <c:spPr>
          <a:solidFill>
            <a:schemeClr val="accent2"/>
          </a:solidFill>
          <a:ln w="19050">
            <a:solidFill>
              <a:schemeClr val="lt1"/>
            </a:solidFill>
          </a:ln>
          <a:effectLst/>
        </c:spPr>
      </c:pivotFmt>
      <c:pivotFmt>
        <c:idx val="325"/>
        <c:spPr>
          <a:solidFill>
            <a:schemeClr val="accent2"/>
          </a:solidFill>
          <a:ln w="19050">
            <a:solidFill>
              <a:schemeClr val="lt1"/>
            </a:solidFill>
          </a:ln>
          <a:effectLst/>
        </c:spPr>
      </c:pivotFmt>
      <c:pivotFmt>
        <c:idx val="326"/>
        <c:spPr>
          <a:solidFill>
            <a:schemeClr val="accent2"/>
          </a:solidFill>
          <a:ln w="19050">
            <a:solidFill>
              <a:schemeClr val="lt1"/>
            </a:solidFill>
          </a:ln>
          <a:effectLst/>
        </c:spPr>
      </c:pivotFmt>
      <c:pivotFmt>
        <c:idx val="327"/>
        <c:spPr>
          <a:solidFill>
            <a:schemeClr val="accent2"/>
          </a:solidFill>
          <a:ln w="19050">
            <a:solidFill>
              <a:schemeClr val="lt1"/>
            </a:solidFill>
          </a:ln>
          <a:effectLst/>
        </c:spPr>
      </c:pivotFmt>
      <c:pivotFmt>
        <c:idx val="328"/>
        <c:spPr>
          <a:solidFill>
            <a:schemeClr val="accent2"/>
          </a:solidFill>
          <a:ln w="19050">
            <a:solidFill>
              <a:schemeClr val="lt1"/>
            </a:solidFill>
          </a:ln>
          <a:effectLst/>
        </c:spPr>
      </c:pivotFmt>
      <c:pivotFmt>
        <c:idx val="329"/>
        <c:spPr>
          <a:solidFill>
            <a:schemeClr val="accent2"/>
          </a:solidFill>
          <a:ln w="19050">
            <a:solidFill>
              <a:schemeClr val="lt1"/>
            </a:solidFill>
          </a:ln>
          <a:effectLst/>
        </c:spPr>
      </c:pivotFmt>
      <c:pivotFmt>
        <c:idx val="330"/>
        <c:spPr>
          <a:solidFill>
            <a:schemeClr val="accent2"/>
          </a:solidFill>
          <a:ln w="19050">
            <a:solidFill>
              <a:schemeClr val="lt1"/>
            </a:solidFill>
          </a:ln>
          <a:effectLst/>
        </c:spPr>
      </c:pivotFmt>
      <c:pivotFmt>
        <c:idx val="331"/>
        <c:spPr>
          <a:solidFill>
            <a:schemeClr val="accent2"/>
          </a:solidFill>
          <a:ln w="19050">
            <a:solidFill>
              <a:schemeClr val="lt1"/>
            </a:solidFill>
          </a:ln>
          <a:effectLst/>
        </c:spPr>
      </c:pivotFmt>
      <c:pivotFmt>
        <c:idx val="332"/>
        <c:spPr>
          <a:solidFill>
            <a:schemeClr val="accent2"/>
          </a:solidFill>
          <a:ln w="19050">
            <a:solidFill>
              <a:schemeClr val="lt1"/>
            </a:solidFill>
          </a:ln>
          <a:effectLst/>
        </c:spPr>
      </c:pivotFmt>
      <c:pivotFmt>
        <c:idx val="333"/>
        <c:spPr>
          <a:solidFill>
            <a:schemeClr val="accent2"/>
          </a:solidFill>
          <a:ln w="19050">
            <a:solidFill>
              <a:schemeClr val="lt1"/>
            </a:solidFill>
          </a:ln>
          <a:effectLst/>
        </c:spPr>
      </c:pivotFmt>
      <c:pivotFmt>
        <c:idx val="334"/>
        <c:spPr>
          <a:solidFill>
            <a:schemeClr val="accent2"/>
          </a:solidFill>
          <a:ln w="19050">
            <a:solidFill>
              <a:schemeClr val="lt1"/>
            </a:solidFill>
          </a:ln>
          <a:effectLst/>
        </c:spPr>
      </c:pivotFmt>
      <c:pivotFmt>
        <c:idx val="335"/>
        <c:spPr>
          <a:solidFill>
            <a:schemeClr val="accent2"/>
          </a:solidFill>
          <a:ln w="19050">
            <a:solidFill>
              <a:schemeClr val="lt1"/>
            </a:solidFill>
          </a:ln>
          <a:effectLst/>
        </c:spPr>
      </c:pivotFmt>
      <c:pivotFmt>
        <c:idx val="336"/>
        <c:spPr>
          <a:solidFill>
            <a:schemeClr val="accent2"/>
          </a:solidFill>
          <a:ln w="19050">
            <a:solidFill>
              <a:schemeClr val="lt1"/>
            </a:solidFill>
          </a:ln>
          <a:effectLst/>
        </c:spPr>
      </c:pivotFmt>
      <c:pivotFmt>
        <c:idx val="337"/>
        <c:spPr>
          <a:solidFill>
            <a:schemeClr val="accent2"/>
          </a:solidFill>
          <a:ln w="19050">
            <a:solidFill>
              <a:schemeClr val="lt1"/>
            </a:solidFill>
          </a:ln>
          <a:effectLst/>
        </c:spPr>
      </c:pivotFmt>
      <c:pivotFmt>
        <c:idx val="338"/>
        <c:spPr>
          <a:solidFill>
            <a:schemeClr val="accent2"/>
          </a:solidFill>
          <a:ln w="19050">
            <a:solidFill>
              <a:schemeClr val="lt1"/>
            </a:solidFill>
          </a:ln>
          <a:effectLst/>
        </c:spPr>
      </c:pivotFmt>
      <c:pivotFmt>
        <c:idx val="339"/>
        <c:spPr>
          <a:solidFill>
            <a:schemeClr val="accent2"/>
          </a:solidFill>
          <a:ln w="19050">
            <a:solidFill>
              <a:schemeClr val="lt1"/>
            </a:solidFill>
          </a:ln>
          <a:effectLst/>
        </c:spPr>
      </c:pivotFmt>
      <c:pivotFmt>
        <c:idx val="340"/>
        <c:spPr>
          <a:solidFill>
            <a:schemeClr val="accent2"/>
          </a:solidFill>
          <a:ln w="19050">
            <a:solidFill>
              <a:schemeClr val="lt1"/>
            </a:solidFill>
          </a:ln>
          <a:effectLst/>
        </c:spPr>
      </c:pivotFmt>
      <c:pivotFmt>
        <c:idx val="341"/>
        <c:spPr>
          <a:solidFill>
            <a:schemeClr val="accent2"/>
          </a:solidFill>
          <a:ln w="19050">
            <a:solidFill>
              <a:schemeClr val="lt1"/>
            </a:solidFill>
          </a:ln>
          <a:effectLst/>
        </c:spPr>
      </c:pivotFmt>
      <c:pivotFmt>
        <c:idx val="342"/>
        <c:spPr>
          <a:solidFill>
            <a:schemeClr val="accent2"/>
          </a:solidFill>
          <a:ln w="19050">
            <a:solidFill>
              <a:schemeClr val="lt1"/>
            </a:solidFill>
          </a:ln>
          <a:effectLst/>
        </c:spPr>
      </c:pivotFmt>
      <c:pivotFmt>
        <c:idx val="343"/>
        <c:spPr>
          <a:solidFill>
            <a:schemeClr val="accent2"/>
          </a:solidFill>
          <a:ln w="19050">
            <a:solidFill>
              <a:schemeClr val="lt1"/>
            </a:solidFill>
          </a:ln>
          <a:effectLst/>
        </c:spPr>
      </c:pivotFmt>
      <c:pivotFmt>
        <c:idx val="344"/>
        <c:spPr>
          <a:solidFill>
            <a:schemeClr val="accent2"/>
          </a:solidFill>
          <a:ln w="19050">
            <a:solidFill>
              <a:schemeClr val="lt1"/>
            </a:solidFill>
          </a:ln>
          <a:effectLst/>
        </c:spPr>
      </c:pivotFmt>
      <c:pivotFmt>
        <c:idx val="345"/>
        <c:spPr>
          <a:solidFill>
            <a:schemeClr val="accent2"/>
          </a:solidFill>
          <a:ln w="19050">
            <a:solidFill>
              <a:schemeClr val="lt1"/>
            </a:solidFill>
          </a:ln>
          <a:effectLst/>
        </c:spPr>
      </c:pivotFmt>
      <c:pivotFmt>
        <c:idx val="346"/>
        <c:spPr>
          <a:solidFill>
            <a:schemeClr val="accent2"/>
          </a:solidFill>
          <a:ln w="19050">
            <a:solidFill>
              <a:schemeClr val="lt1"/>
            </a:solidFill>
          </a:ln>
          <a:effectLst/>
        </c:spPr>
      </c:pivotFmt>
      <c:pivotFmt>
        <c:idx val="347"/>
        <c:spPr>
          <a:solidFill>
            <a:schemeClr val="accent2"/>
          </a:solidFill>
          <a:ln w="19050">
            <a:solidFill>
              <a:schemeClr val="lt1"/>
            </a:solidFill>
          </a:ln>
          <a:effectLst/>
        </c:spPr>
      </c:pivotFmt>
      <c:pivotFmt>
        <c:idx val="348"/>
        <c:spPr>
          <a:solidFill>
            <a:schemeClr val="accent2"/>
          </a:solidFill>
          <a:ln w="19050">
            <a:solidFill>
              <a:schemeClr val="lt1"/>
            </a:solidFill>
          </a:ln>
          <a:effectLst/>
        </c:spPr>
      </c:pivotFmt>
      <c:pivotFmt>
        <c:idx val="349"/>
        <c:spPr>
          <a:solidFill>
            <a:schemeClr val="accent2"/>
          </a:solidFill>
          <a:ln w="19050">
            <a:solidFill>
              <a:schemeClr val="lt1"/>
            </a:solidFill>
          </a:ln>
          <a:effectLst/>
        </c:spPr>
      </c:pivotFmt>
      <c:pivotFmt>
        <c:idx val="350"/>
        <c:spPr>
          <a:solidFill>
            <a:schemeClr val="accent2"/>
          </a:solidFill>
          <a:ln w="19050">
            <a:solidFill>
              <a:schemeClr val="lt1"/>
            </a:solidFill>
          </a:ln>
          <a:effectLst/>
        </c:spPr>
      </c:pivotFmt>
      <c:pivotFmt>
        <c:idx val="351"/>
        <c:spPr>
          <a:solidFill>
            <a:schemeClr val="accent2"/>
          </a:solidFill>
          <a:ln w="19050">
            <a:solidFill>
              <a:schemeClr val="lt1"/>
            </a:solidFill>
          </a:ln>
          <a:effectLst/>
        </c:spPr>
      </c:pivotFmt>
      <c:pivotFmt>
        <c:idx val="352"/>
        <c:spPr>
          <a:solidFill>
            <a:schemeClr val="accent2"/>
          </a:solidFill>
          <a:ln w="19050">
            <a:solidFill>
              <a:schemeClr val="lt1"/>
            </a:solidFill>
          </a:ln>
          <a:effectLst/>
        </c:spPr>
      </c:pivotFmt>
      <c:pivotFmt>
        <c:idx val="353"/>
        <c:spPr>
          <a:solidFill>
            <a:schemeClr val="accent2"/>
          </a:solidFill>
          <a:ln w="19050">
            <a:solidFill>
              <a:schemeClr val="lt1"/>
            </a:solidFill>
          </a:ln>
          <a:effectLst/>
        </c:spPr>
      </c:pivotFmt>
      <c:pivotFmt>
        <c:idx val="354"/>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2"/>
          </a:solidFill>
          <a:ln w="19050">
            <a:solidFill>
              <a:schemeClr val="lt1"/>
            </a:solidFill>
          </a:ln>
          <a:effectLst/>
        </c:spPr>
      </c:pivotFmt>
      <c:pivotFmt>
        <c:idx val="356"/>
        <c:spPr>
          <a:solidFill>
            <a:schemeClr val="accent2"/>
          </a:solidFill>
          <a:ln w="19050">
            <a:solidFill>
              <a:schemeClr val="lt1"/>
            </a:solidFill>
          </a:ln>
          <a:effectLst/>
        </c:spPr>
      </c:pivotFmt>
      <c:pivotFmt>
        <c:idx val="357"/>
        <c:spPr>
          <a:solidFill>
            <a:schemeClr val="accent2"/>
          </a:solidFill>
          <a:ln w="19050">
            <a:solidFill>
              <a:schemeClr val="lt1"/>
            </a:solidFill>
          </a:ln>
          <a:effectLst/>
        </c:spPr>
      </c:pivotFmt>
      <c:pivotFmt>
        <c:idx val="358"/>
        <c:spPr>
          <a:solidFill>
            <a:schemeClr val="accent2"/>
          </a:solidFill>
          <a:ln w="19050">
            <a:solidFill>
              <a:schemeClr val="lt1"/>
            </a:solidFill>
          </a:ln>
          <a:effectLst/>
        </c:spPr>
      </c:pivotFmt>
      <c:pivotFmt>
        <c:idx val="359"/>
        <c:spPr>
          <a:solidFill>
            <a:schemeClr val="accent2"/>
          </a:solidFill>
          <a:ln w="19050">
            <a:solidFill>
              <a:schemeClr val="lt1"/>
            </a:solidFill>
          </a:ln>
          <a:effectLst/>
        </c:spPr>
      </c:pivotFmt>
      <c:pivotFmt>
        <c:idx val="360"/>
        <c:spPr>
          <a:solidFill>
            <a:schemeClr val="accent2"/>
          </a:solidFill>
          <a:ln w="19050">
            <a:solidFill>
              <a:schemeClr val="lt1"/>
            </a:solidFill>
          </a:ln>
          <a:effectLst/>
        </c:spPr>
      </c:pivotFmt>
      <c:pivotFmt>
        <c:idx val="361"/>
        <c:spPr>
          <a:solidFill>
            <a:schemeClr val="accent2"/>
          </a:solidFill>
          <a:ln w="19050">
            <a:solidFill>
              <a:schemeClr val="lt1"/>
            </a:solidFill>
          </a:ln>
          <a:effectLst/>
        </c:spPr>
      </c:pivotFmt>
      <c:pivotFmt>
        <c:idx val="362"/>
        <c:spPr>
          <a:solidFill>
            <a:schemeClr val="accent2"/>
          </a:solidFill>
          <a:ln w="19050">
            <a:solidFill>
              <a:schemeClr val="lt1"/>
            </a:solidFill>
          </a:ln>
          <a:effectLst/>
        </c:spPr>
      </c:pivotFmt>
      <c:pivotFmt>
        <c:idx val="363"/>
        <c:spPr>
          <a:solidFill>
            <a:schemeClr val="accent2"/>
          </a:solidFill>
          <a:ln w="19050">
            <a:solidFill>
              <a:schemeClr val="lt1"/>
            </a:solidFill>
          </a:ln>
          <a:effectLst/>
        </c:spPr>
      </c:pivotFmt>
      <c:pivotFmt>
        <c:idx val="364"/>
        <c:spPr>
          <a:solidFill>
            <a:schemeClr val="accent2"/>
          </a:solidFill>
          <a:ln w="19050">
            <a:solidFill>
              <a:schemeClr val="lt1"/>
            </a:solidFill>
          </a:ln>
          <a:effectLst/>
        </c:spPr>
      </c:pivotFmt>
      <c:pivotFmt>
        <c:idx val="365"/>
        <c:spPr>
          <a:solidFill>
            <a:schemeClr val="accent2"/>
          </a:solidFill>
          <a:ln w="19050">
            <a:solidFill>
              <a:schemeClr val="lt1"/>
            </a:solidFill>
          </a:ln>
          <a:effectLst/>
        </c:spPr>
      </c:pivotFmt>
      <c:pivotFmt>
        <c:idx val="366"/>
        <c:spPr>
          <a:solidFill>
            <a:schemeClr val="accent2"/>
          </a:solidFill>
          <a:ln w="19050">
            <a:solidFill>
              <a:schemeClr val="lt1"/>
            </a:solidFill>
          </a:ln>
          <a:effectLst/>
        </c:spPr>
      </c:pivotFmt>
      <c:pivotFmt>
        <c:idx val="367"/>
        <c:spPr>
          <a:solidFill>
            <a:schemeClr val="accent2"/>
          </a:solidFill>
          <a:ln w="19050">
            <a:solidFill>
              <a:schemeClr val="lt1"/>
            </a:solidFill>
          </a:ln>
          <a:effectLst/>
        </c:spPr>
      </c:pivotFmt>
      <c:pivotFmt>
        <c:idx val="368"/>
        <c:spPr>
          <a:solidFill>
            <a:schemeClr val="accent2"/>
          </a:solidFill>
          <a:ln w="19050">
            <a:solidFill>
              <a:schemeClr val="lt1"/>
            </a:solidFill>
          </a:ln>
          <a:effectLst/>
        </c:spPr>
      </c:pivotFmt>
      <c:pivotFmt>
        <c:idx val="369"/>
        <c:spPr>
          <a:solidFill>
            <a:schemeClr val="accent2"/>
          </a:solidFill>
          <a:ln w="19050">
            <a:solidFill>
              <a:schemeClr val="lt1"/>
            </a:solidFill>
          </a:ln>
          <a:effectLst/>
        </c:spPr>
      </c:pivotFmt>
      <c:pivotFmt>
        <c:idx val="370"/>
        <c:spPr>
          <a:solidFill>
            <a:schemeClr val="accent2"/>
          </a:solidFill>
          <a:ln w="19050">
            <a:solidFill>
              <a:schemeClr val="lt1"/>
            </a:solidFill>
          </a:ln>
          <a:effectLst/>
        </c:spPr>
      </c:pivotFmt>
      <c:pivotFmt>
        <c:idx val="371"/>
        <c:spPr>
          <a:solidFill>
            <a:schemeClr val="accent2"/>
          </a:solidFill>
          <a:ln w="19050">
            <a:solidFill>
              <a:schemeClr val="lt1"/>
            </a:solidFill>
          </a:ln>
          <a:effectLst/>
        </c:spPr>
      </c:pivotFmt>
      <c:pivotFmt>
        <c:idx val="372"/>
        <c:spPr>
          <a:solidFill>
            <a:schemeClr val="accent2"/>
          </a:solidFill>
          <a:ln w="19050">
            <a:solidFill>
              <a:schemeClr val="lt1"/>
            </a:solidFill>
          </a:ln>
          <a:effectLst/>
        </c:spPr>
      </c:pivotFmt>
      <c:pivotFmt>
        <c:idx val="373"/>
        <c:spPr>
          <a:solidFill>
            <a:schemeClr val="accent2"/>
          </a:solidFill>
          <a:ln w="19050">
            <a:solidFill>
              <a:schemeClr val="lt1"/>
            </a:solidFill>
          </a:ln>
          <a:effectLst/>
        </c:spPr>
      </c:pivotFmt>
      <c:pivotFmt>
        <c:idx val="374"/>
        <c:spPr>
          <a:solidFill>
            <a:schemeClr val="accent2"/>
          </a:solidFill>
          <a:ln w="19050">
            <a:solidFill>
              <a:schemeClr val="lt1"/>
            </a:solidFill>
          </a:ln>
          <a:effectLst/>
        </c:spPr>
      </c:pivotFmt>
      <c:pivotFmt>
        <c:idx val="375"/>
        <c:spPr>
          <a:solidFill>
            <a:schemeClr val="accent2"/>
          </a:solidFill>
          <a:ln w="19050">
            <a:solidFill>
              <a:schemeClr val="lt1"/>
            </a:solidFill>
          </a:ln>
          <a:effectLst/>
        </c:spPr>
      </c:pivotFmt>
      <c:pivotFmt>
        <c:idx val="376"/>
        <c:spPr>
          <a:solidFill>
            <a:schemeClr val="accent2"/>
          </a:solidFill>
          <a:ln w="19050">
            <a:solidFill>
              <a:schemeClr val="lt1"/>
            </a:solidFill>
          </a:ln>
          <a:effectLst/>
        </c:spPr>
      </c:pivotFmt>
      <c:pivotFmt>
        <c:idx val="377"/>
        <c:spPr>
          <a:solidFill>
            <a:schemeClr val="accent2"/>
          </a:solidFill>
          <a:ln w="19050">
            <a:solidFill>
              <a:schemeClr val="lt1"/>
            </a:solidFill>
          </a:ln>
          <a:effectLst/>
        </c:spPr>
      </c:pivotFmt>
      <c:pivotFmt>
        <c:idx val="378"/>
        <c:spPr>
          <a:solidFill>
            <a:schemeClr val="accent2"/>
          </a:solidFill>
          <a:ln w="19050">
            <a:solidFill>
              <a:schemeClr val="lt1"/>
            </a:solidFill>
          </a:ln>
          <a:effectLst/>
        </c:spPr>
      </c:pivotFmt>
      <c:pivotFmt>
        <c:idx val="379"/>
        <c:spPr>
          <a:solidFill>
            <a:schemeClr val="accent2"/>
          </a:solidFill>
          <a:ln w="19050">
            <a:solidFill>
              <a:schemeClr val="lt1"/>
            </a:solidFill>
          </a:ln>
          <a:effectLst/>
        </c:spPr>
      </c:pivotFmt>
      <c:pivotFmt>
        <c:idx val="380"/>
        <c:spPr>
          <a:solidFill>
            <a:schemeClr val="accent2"/>
          </a:solidFill>
          <a:ln w="19050">
            <a:solidFill>
              <a:schemeClr val="lt1"/>
            </a:solidFill>
          </a:ln>
          <a:effectLst/>
        </c:spPr>
      </c:pivotFmt>
      <c:pivotFmt>
        <c:idx val="381"/>
        <c:spPr>
          <a:solidFill>
            <a:schemeClr val="accent2"/>
          </a:solidFill>
          <a:ln w="19050">
            <a:solidFill>
              <a:schemeClr val="lt1"/>
            </a:solidFill>
          </a:ln>
          <a:effectLst/>
        </c:spPr>
      </c:pivotFmt>
      <c:pivotFmt>
        <c:idx val="382"/>
        <c:spPr>
          <a:solidFill>
            <a:schemeClr val="accent2"/>
          </a:solidFill>
          <a:ln w="19050">
            <a:solidFill>
              <a:schemeClr val="lt1"/>
            </a:solidFill>
          </a:ln>
          <a:effectLst/>
        </c:spPr>
      </c:pivotFmt>
      <c:pivotFmt>
        <c:idx val="383"/>
        <c:spPr>
          <a:solidFill>
            <a:schemeClr val="accent2"/>
          </a:solidFill>
          <a:ln w="19050">
            <a:solidFill>
              <a:schemeClr val="lt1"/>
            </a:solidFill>
          </a:ln>
          <a:effectLst/>
        </c:spPr>
      </c:pivotFmt>
      <c:pivotFmt>
        <c:idx val="384"/>
        <c:spPr>
          <a:solidFill>
            <a:schemeClr val="accent2"/>
          </a:solidFill>
          <a:ln w="19050">
            <a:solidFill>
              <a:schemeClr val="lt1"/>
            </a:solidFill>
          </a:ln>
          <a:effectLst/>
        </c:spPr>
      </c:pivotFmt>
      <c:pivotFmt>
        <c:idx val="385"/>
        <c:spPr>
          <a:solidFill>
            <a:schemeClr val="accent2"/>
          </a:solidFill>
          <a:ln w="19050">
            <a:solidFill>
              <a:schemeClr val="lt1"/>
            </a:solidFill>
          </a:ln>
          <a:effectLst/>
        </c:spPr>
      </c:pivotFmt>
      <c:pivotFmt>
        <c:idx val="386"/>
        <c:spPr>
          <a:solidFill>
            <a:schemeClr val="accent2"/>
          </a:solidFill>
          <a:ln w="19050">
            <a:solidFill>
              <a:schemeClr val="lt1"/>
            </a:solidFill>
          </a:ln>
          <a:effectLst/>
        </c:spPr>
      </c:pivotFmt>
      <c:pivotFmt>
        <c:idx val="387"/>
        <c:spPr>
          <a:solidFill>
            <a:schemeClr val="accent2"/>
          </a:solidFill>
          <a:ln w="19050">
            <a:solidFill>
              <a:schemeClr val="lt1"/>
            </a:solidFill>
          </a:ln>
          <a:effectLst/>
        </c:spPr>
      </c:pivotFmt>
      <c:pivotFmt>
        <c:idx val="388"/>
        <c:spPr>
          <a:solidFill>
            <a:schemeClr val="accent2"/>
          </a:solidFill>
          <a:ln w="19050">
            <a:solidFill>
              <a:schemeClr val="lt1"/>
            </a:solidFill>
          </a:ln>
          <a:effectLst/>
        </c:spPr>
      </c:pivotFmt>
      <c:pivotFmt>
        <c:idx val="389"/>
        <c:spPr>
          <a:solidFill>
            <a:schemeClr val="accent2"/>
          </a:solidFill>
          <a:ln w="19050">
            <a:solidFill>
              <a:schemeClr val="lt1"/>
            </a:solidFill>
          </a:ln>
          <a:effectLst/>
        </c:spPr>
      </c:pivotFmt>
      <c:pivotFmt>
        <c:idx val="390"/>
        <c:spPr>
          <a:solidFill>
            <a:schemeClr val="accent2"/>
          </a:solidFill>
          <a:ln w="19050">
            <a:solidFill>
              <a:schemeClr val="lt1"/>
            </a:solidFill>
          </a:ln>
          <a:effectLst/>
        </c:spPr>
      </c:pivotFmt>
      <c:pivotFmt>
        <c:idx val="391"/>
        <c:spPr>
          <a:solidFill>
            <a:schemeClr val="accent2"/>
          </a:solidFill>
          <a:ln w="19050">
            <a:solidFill>
              <a:schemeClr val="lt1"/>
            </a:solidFill>
          </a:ln>
          <a:effectLst/>
        </c:spPr>
      </c:pivotFmt>
      <c:pivotFmt>
        <c:idx val="392"/>
        <c:spPr>
          <a:solidFill>
            <a:schemeClr val="accent2"/>
          </a:solidFill>
          <a:ln w="19050">
            <a:solidFill>
              <a:schemeClr val="lt1"/>
            </a:solidFill>
          </a:ln>
          <a:effectLst/>
        </c:spPr>
      </c:pivotFmt>
      <c:pivotFmt>
        <c:idx val="393"/>
        <c:spPr>
          <a:solidFill>
            <a:schemeClr val="accent2"/>
          </a:solidFill>
          <a:ln w="19050">
            <a:solidFill>
              <a:schemeClr val="lt1"/>
            </a:solidFill>
          </a:ln>
          <a:effectLst/>
        </c:spPr>
      </c:pivotFmt>
      <c:pivotFmt>
        <c:idx val="394"/>
        <c:spPr>
          <a:solidFill>
            <a:schemeClr val="accent2"/>
          </a:solidFill>
          <a:ln w="19050">
            <a:solidFill>
              <a:schemeClr val="lt1"/>
            </a:solidFill>
          </a:ln>
          <a:effectLst/>
        </c:spPr>
      </c:pivotFmt>
      <c:pivotFmt>
        <c:idx val="395"/>
        <c:spPr>
          <a:solidFill>
            <a:schemeClr val="accent2"/>
          </a:solidFill>
          <a:ln w="19050">
            <a:solidFill>
              <a:schemeClr val="lt1"/>
            </a:solidFill>
          </a:ln>
          <a:effectLst/>
        </c:spPr>
      </c:pivotFmt>
      <c:pivotFmt>
        <c:idx val="396"/>
        <c:spPr>
          <a:solidFill>
            <a:schemeClr val="accent2"/>
          </a:solidFill>
          <a:ln w="19050">
            <a:solidFill>
              <a:schemeClr val="lt1"/>
            </a:solidFill>
          </a:ln>
          <a:effectLst/>
        </c:spPr>
      </c:pivotFmt>
      <c:pivotFmt>
        <c:idx val="397"/>
        <c:spPr>
          <a:solidFill>
            <a:schemeClr val="accent2"/>
          </a:solidFill>
          <a:ln w="19050">
            <a:solidFill>
              <a:schemeClr val="lt1"/>
            </a:solidFill>
          </a:ln>
          <a:effectLst/>
        </c:spPr>
      </c:pivotFmt>
      <c:pivotFmt>
        <c:idx val="398"/>
        <c:spPr>
          <a:solidFill>
            <a:schemeClr val="accent2"/>
          </a:solidFill>
          <a:ln w="19050">
            <a:solidFill>
              <a:schemeClr val="lt1"/>
            </a:solidFill>
          </a:ln>
          <a:effectLst/>
        </c:spPr>
      </c:pivotFmt>
      <c:pivotFmt>
        <c:idx val="399"/>
        <c:spPr>
          <a:solidFill>
            <a:schemeClr val="accent2"/>
          </a:solidFill>
          <a:ln w="19050">
            <a:solidFill>
              <a:schemeClr val="lt1"/>
            </a:solidFill>
          </a:ln>
          <a:effectLst/>
        </c:spPr>
      </c:pivotFmt>
      <c:pivotFmt>
        <c:idx val="400"/>
        <c:spPr>
          <a:solidFill>
            <a:schemeClr val="accent2"/>
          </a:solidFill>
          <a:ln w="19050">
            <a:solidFill>
              <a:schemeClr val="lt1"/>
            </a:solidFill>
          </a:ln>
          <a:effectLst/>
        </c:spPr>
      </c:pivotFmt>
      <c:pivotFmt>
        <c:idx val="401"/>
        <c:spPr>
          <a:solidFill>
            <a:schemeClr val="accent2"/>
          </a:solidFill>
          <a:ln w="19050">
            <a:solidFill>
              <a:schemeClr val="lt1"/>
            </a:solidFill>
          </a:ln>
          <a:effectLst/>
        </c:spPr>
      </c:pivotFmt>
      <c:pivotFmt>
        <c:idx val="402"/>
        <c:spPr>
          <a:solidFill>
            <a:schemeClr val="accent2"/>
          </a:solidFill>
          <a:ln w="19050">
            <a:solidFill>
              <a:schemeClr val="lt1"/>
            </a:solidFill>
          </a:ln>
          <a:effectLst/>
        </c:spPr>
      </c:pivotFmt>
      <c:pivotFmt>
        <c:idx val="403"/>
        <c:spPr>
          <a:solidFill>
            <a:schemeClr val="accent2"/>
          </a:solidFill>
          <a:ln w="19050">
            <a:solidFill>
              <a:schemeClr val="lt1"/>
            </a:solidFill>
          </a:ln>
          <a:effectLst/>
        </c:spPr>
      </c:pivotFmt>
      <c:pivotFmt>
        <c:idx val="404"/>
        <c:spPr>
          <a:solidFill>
            <a:schemeClr val="accent2"/>
          </a:solidFill>
          <a:ln w="19050">
            <a:solidFill>
              <a:schemeClr val="lt1"/>
            </a:solidFill>
          </a:ln>
          <a:effectLst/>
        </c:spPr>
      </c:pivotFmt>
      <c:pivotFmt>
        <c:idx val="405"/>
        <c:spPr>
          <a:solidFill>
            <a:schemeClr val="accent2"/>
          </a:solidFill>
          <a:ln w="19050">
            <a:solidFill>
              <a:schemeClr val="lt1"/>
            </a:solidFill>
          </a:ln>
          <a:effectLst/>
        </c:spPr>
      </c:pivotFmt>
      <c:pivotFmt>
        <c:idx val="406"/>
        <c:spPr>
          <a:solidFill>
            <a:schemeClr val="accent2"/>
          </a:solidFill>
          <a:ln w="19050">
            <a:solidFill>
              <a:schemeClr val="lt1"/>
            </a:solidFill>
          </a:ln>
          <a:effectLst/>
        </c:spPr>
      </c:pivotFmt>
      <c:pivotFmt>
        <c:idx val="407"/>
        <c:spPr>
          <a:solidFill>
            <a:schemeClr val="accent2"/>
          </a:solidFill>
          <a:ln w="19050">
            <a:solidFill>
              <a:schemeClr val="lt1"/>
            </a:solidFill>
          </a:ln>
          <a:effectLst/>
        </c:spPr>
      </c:pivotFmt>
      <c:pivotFmt>
        <c:idx val="408"/>
        <c:spPr>
          <a:solidFill>
            <a:schemeClr val="accent2"/>
          </a:solidFill>
          <a:ln w="19050">
            <a:solidFill>
              <a:schemeClr val="lt1"/>
            </a:solidFill>
          </a:ln>
          <a:effectLst/>
        </c:spPr>
      </c:pivotFmt>
      <c:pivotFmt>
        <c:idx val="409"/>
        <c:spPr>
          <a:solidFill>
            <a:schemeClr val="accent2"/>
          </a:solidFill>
          <a:ln w="19050">
            <a:solidFill>
              <a:schemeClr val="lt1"/>
            </a:solidFill>
          </a:ln>
          <a:effectLst/>
        </c:spPr>
      </c:pivotFmt>
      <c:pivotFmt>
        <c:idx val="410"/>
        <c:spPr>
          <a:solidFill>
            <a:schemeClr val="accent2"/>
          </a:solidFill>
          <a:ln w="19050">
            <a:solidFill>
              <a:schemeClr val="lt1"/>
            </a:solidFill>
          </a:ln>
          <a:effectLst/>
        </c:spPr>
      </c:pivotFmt>
      <c:pivotFmt>
        <c:idx val="411"/>
        <c:spPr>
          <a:solidFill>
            <a:schemeClr val="accent2"/>
          </a:solidFill>
          <a:ln w="19050">
            <a:solidFill>
              <a:schemeClr val="lt1"/>
            </a:solidFill>
          </a:ln>
          <a:effectLst/>
        </c:spPr>
      </c:pivotFmt>
      <c:pivotFmt>
        <c:idx val="412"/>
        <c:spPr>
          <a:solidFill>
            <a:schemeClr val="accent2"/>
          </a:solidFill>
          <a:ln w="19050">
            <a:solidFill>
              <a:schemeClr val="lt1"/>
            </a:solidFill>
          </a:ln>
          <a:effectLst/>
        </c:spPr>
      </c:pivotFmt>
      <c:pivotFmt>
        <c:idx val="413"/>
        <c:spPr>
          <a:solidFill>
            <a:schemeClr val="accent2"/>
          </a:solidFill>
          <a:ln w="19050">
            <a:solidFill>
              <a:schemeClr val="lt1"/>
            </a:solidFill>
          </a:ln>
          <a:effectLst/>
        </c:spPr>
      </c:pivotFmt>
      <c:pivotFmt>
        <c:idx val="414"/>
        <c:spPr>
          <a:solidFill>
            <a:schemeClr val="accent2"/>
          </a:solidFill>
          <a:ln w="19050">
            <a:solidFill>
              <a:schemeClr val="lt1"/>
            </a:solidFill>
          </a:ln>
          <a:effectLst/>
        </c:spPr>
      </c:pivotFmt>
      <c:pivotFmt>
        <c:idx val="415"/>
        <c:spPr>
          <a:solidFill>
            <a:schemeClr val="accent2"/>
          </a:solidFill>
          <a:ln w="19050">
            <a:solidFill>
              <a:schemeClr val="lt1"/>
            </a:solidFill>
          </a:ln>
          <a:effectLst/>
        </c:spPr>
      </c:pivotFmt>
      <c:pivotFmt>
        <c:idx val="416"/>
        <c:spPr>
          <a:solidFill>
            <a:schemeClr val="accent2"/>
          </a:solidFill>
          <a:ln w="19050">
            <a:solidFill>
              <a:schemeClr val="lt1"/>
            </a:solidFill>
          </a:ln>
          <a:effectLst/>
        </c:spPr>
      </c:pivotFmt>
      <c:pivotFmt>
        <c:idx val="417"/>
        <c:spPr>
          <a:solidFill>
            <a:schemeClr val="accent2"/>
          </a:solidFill>
          <a:ln w="19050">
            <a:solidFill>
              <a:schemeClr val="lt1"/>
            </a:solidFill>
          </a:ln>
          <a:effectLst/>
        </c:spPr>
      </c:pivotFmt>
      <c:pivotFmt>
        <c:idx val="418"/>
        <c:spPr>
          <a:solidFill>
            <a:schemeClr val="accent2"/>
          </a:solidFill>
          <a:ln w="19050">
            <a:solidFill>
              <a:schemeClr val="lt1"/>
            </a:solidFill>
          </a:ln>
          <a:effectLst/>
        </c:spPr>
      </c:pivotFmt>
      <c:pivotFmt>
        <c:idx val="419"/>
        <c:spPr>
          <a:solidFill>
            <a:schemeClr val="accent2"/>
          </a:solidFill>
          <a:ln w="19050">
            <a:solidFill>
              <a:schemeClr val="lt1"/>
            </a:solidFill>
          </a:ln>
          <a:effectLst/>
        </c:spPr>
      </c:pivotFmt>
      <c:pivotFmt>
        <c:idx val="420"/>
        <c:spPr>
          <a:solidFill>
            <a:schemeClr val="accent2"/>
          </a:solidFill>
          <a:ln w="19050">
            <a:solidFill>
              <a:schemeClr val="lt1"/>
            </a:solidFill>
          </a:ln>
          <a:effectLst/>
        </c:spPr>
      </c:pivotFmt>
    </c:pivotFmts>
    <c:plotArea>
      <c:layout>
        <c:manualLayout>
          <c:layoutTarget val="inner"/>
          <c:xMode val="edge"/>
          <c:yMode val="edge"/>
          <c:x val="0.18505233656043626"/>
          <c:y val="8.1673340475056158E-2"/>
          <c:w val="0.35264604681647427"/>
          <c:h val="0.85172985438243698"/>
        </c:manualLayout>
      </c:layout>
      <c:pieChart>
        <c:varyColors val="1"/>
        <c:ser>
          <c:idx val="0"/>
          <c:order val="0"/>
          <c:tx>
            <c:strRef>
              <c:f>'SAMP Dashboard'!$H$50:$H$51</c:f>
              <c:strCache>
                <c:ptCount val="1"/>
                <c:pt idx="0">
                  <c:v> Total Cost</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4ECB-4746-84E0-93DE0C5BBFC6}"/>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4ECB-4746-84E0-93DE0C5BBFC6}"/>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4ECB-4746-84E0-93DE0C5BBFC6}"/>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4ECB-4746-84E0-93DE0C5BBFC6}"/>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4ECB-4746-84E0-93DE0C5BBFC6}"/>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B-4ECB-4746-84E0-93DE0C5BBFC6}"/>
              </c:ext>
            </c:extLst>
          </c:dPt>
          <c:dPt>
            <c:idx val="6"/>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0D-4ECB-4746-84E0-93DE0C5BBFC6}"/>
              </c:ext>
            </c:extLst>
          </c:dPt>
          <c:dPt>
            <c:idx val="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0F-4ECB-4746-84E0-93DE0C5BBFC6}"/>
              </c:ext>
            </c:extLst>
          </c:dPt>
          <c:dPt>
            <c:idx val="8"/>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11-4ECB-4746-84E0-93DE0C5BBFC6}"/>
              </c:ext>
            </c:extLst>
          </c:dPt>
          <c:dPt>
            <c:idx val="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13-4ECB-4746-84E0-93DE0C5BBFC6}"/>
              </c:ext>
            </c:extLst>
          </c:dPt>
          <c:dPt>
            <c:idx val="10"/>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15-4ECB-4746-84E0-93DE0C5BBFC6}"/>
              </c:ext>
            </c:extLst>
          </c:dPt>
          <c:dPt>
            <c:idx val="1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17-4ECB-4746-84E0-93DE0C5BBFC6}"/>
              </c:ext>
            </c:extLst>
          </c:dPt>
          <c:dPt>
            <c:idx val="1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19-6941-46FF-ABE8-3DE7D72773F5}"/>
              </c:ext>
            </c:extLst>
          </c:dPt>
          <c:dPt>
            <c:idx val="1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B-3913-4729-A9F9-77AF965DBDA2}"/>
              </c:ext>
            </c:extLst>
          </c:dPt>
          <c:dPt>
            <c:idx val="14"/>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1D-3913-4729-A9F9-77AF965DBDA2}"/>
              </c:ext>
            </c:extLst>
          </c:dPt>
          <c:dPt>
            <c:idx val="1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1F-A894-43C0-9D7B-63E079DF714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bestFit"/>
            <c:showLegendKey val="1"/>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'SAMP Dashboard'!$G$52</c:f>
              <c:strCache>
                <c:ptCount val="1"/>
                <c:pt idx="0">
                  <c:v>(blank)</c:v>
                </c:pt>
              </c:strCache>
            </c:strRef>
          </c:cat>
          <c:val>
            <c:numRef>
              <c:f>'SAMP Dashboard'!$H$52</c:f>
              <c:numCache>
                <c:formatCode>"£"#,##0</c:formatCode>
                <c:ptCount val="1"/>
              </c:numCache>
            </c:numRef>
          </c:val>
          <c:extLst>
            <c:ext xmlns:c16="http://schemas.microsoft.com/office/drawing/2014/chart" uri="{C3380CC4-5D6E-409C-BE32-E72D297353CC}">
              <c16:uniqueId val="{00000084-0945-4406-88F3-BFB05F8A8525}"/>
            </c:ext>
          </c:extLst>
        </c:ser>
        <c:ser>
          <c:idx val="1"/>
          <c:order val="1"/>
          <c:tx>
            <c:strRef>
              <c:f>'SAMP Dashboard'!$I$50:$I$51</c:f>
              <c:strCache>
                <c:ptCount val="1"/>
                <c:pt idx="0">
                  <c:v> Elmnt Works Cost</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19-4ECB-4746-84E0-93DE0C5BBFC6}"/>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1B-4ECB-4746-84E0-93DE0C5BBFC6}"/>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1D-4ECB-4746-84E0-93DE0C5BBFC6}"/>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1F-4ECB-4746-84E0-93DE0C5BBFC6}"/>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21-4ECB-4746-84E0-93DE0C5BBFC6}"/>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23-4ECB-4746-84E0-93DE0C5BBFC6}"/>
              </c:ext>
            </c:extLst>
          </c:dPt>
          <c:dPt>
            <c:idx val="6"/>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25-4ECB-4746-84E0-93DE0C5BBFC6}"/>
              </c:ext>
            </c:extLst>
          </c:dPt>
          <c:dPt>
            <c:idx val="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27-4ECB-4746-84E0-93DE0C5BBFC6}"/>
              </c:ext>
            </c:extLst>
          </c:dPt>
          <c:dPt>
            <c:idx val="8"/>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9-4ECB-4746-84E0-93DE0C5BBFC6}"/>
              </c:ext>
            </c:extLst>
          </c:dPt>
          <c:dPt>
            <c:idx val="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B-4ECB-4746-84E0-93DE0C5BBFC6}"/>
              </c:ext>
            </c:extLst>
          </c:dPt>
          <c:dPt>
            <c:idx val="10"/>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D-4ECB-4746-84E0-93DE0C5BBFC6}"/>
              </c:ext>
            </c:extLst>
          </c:dPt>
          <c:dPt>
            <c:idx val="1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4ECB-4746-84E0-93DE0C5BBFC6}"/>
              </c:ext>
            </c:extLst>
          </c:dPt>
          <c:dPt>
            <c:idx val="1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6941-46FF-ABE8-3DE7D72773F5}"/>
              </c:ext>
            </c:extLst>
          </c:dPt>
          <c:dPt>
            <c:idx val="1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9-3913-4729-A9F9-77AF965DBDA2}"/>
              </c:ext>
            </c:extLst>
          </c:dPt>
          <c:dPt>
            <c:idx val="14"/>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3913-4729-A9F9-77AF965DBDA2}"/>
              </c:ext>
            </c:extLst>
          </c:dPt>
          <c:dPt>
            <c:idx val="1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A894-43C0-9D7B-63E079DF7141}"/>
              </c:ext>
            </c:extLst>
          </c:dPt>
          <c:cat>
            <c:strRef>
              <c:f>'SAMP Dashboard'!$G$52</c:f>
              <c:strCache>
                <c:ptCount val="1"/>
                <c:pt idx="0">
                  <c:v>(blank)</c:v>
                </c:pt>
              </c:strCache>
            </c:strRef>
          </c:cat>
          <c:val>
            <c:numRef>
              <c:f>'SAMP Dashboard'!$I$52</c:f>
              <c:numCache>
                <c:formatCode>"£"#,##0</c:formatCode>
                <c:ptCount val="1"/>
              </c:numCache>
            </c:numRef>
          </c:val>
          <c:extLst>
            <c:ext xmlns:c16="http://schemas.microsoft.com/office/drawing/2014/chart" uri="{C3380CC4-5D6E-409C-BE32-E72D297353CC}">
              <c16:uniqueId val="{00000085-0945-4406-88F3-BFB05F8A8525}"/>
            </c:ext>
          </c:extLst>
        </c:ser>
        <c:ser>
          <c:idx val="2"/>
          <c:order val="2"/>
          <c:tx>
            <c:strRef>
              <c:f>'SAMP Dashboard'!$J$50:$J$51</c:f>
              <c:strCache>
                <c:ptCount val="1"/>
                <c:pt idx="0">
                  <c:v> TM cost</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31-4ECB-4746-84E0-93DE0C5BBFC6}"/>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33-4ECB-4746-84E0-93DE0C5BBFC6}"/>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35-4ECB-4746-84E0-93DE0C5BBFC6}"/>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7-4ECB-4746-84E0-93DE0C5BBFC6}"/>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39-4ECB-4746-84E0-93DE0C5BBFC6}"/>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3B-4ECB-4746-84E0-93DE0C5BBFC6}"/>
              </c:ext>
            </c:extLst>
          </c:dPt>
          <c:dPt>
            <c:idx val="6"/>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3D-4ECB-4746-84E0-93DE0C5BBFC6}"/>
              </c:ext>
            </c:extLst>
          </c:dPt>
          <c:dPt>
            <c:idx val="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3F-4ECB-4746-84E0-93DE0C5BBFC6}"/>
              </c:ext>
            </c:extLst>
          </c:dPt>
          <c:dPt>
            <c:idx val="8"/>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41-4ECB-4746-84E0-93DE0C5BBFC6}"/>
              </c:ext>
            </c:extLst>
          </c:dPt>
          <c:dPt>
            <c:idx val="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43-4ECB-4746-84E0-93DE0C5BBFC6}"/>
              </c:ext>
            </c:extLst>
          </c:dPt>
          <c:dPt>
            <c:idx val="10"/>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45-4ECB-4746-84E0-93DE0C5BBFC6}"/>
              </c:ext>
            </c:extLst>
          </c:dPt>
          <c:dPt>
            <c:idx val="1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47-4ECB-4746-84E0-93DE0C5BBFC6}"/>
              </c:ext>
            </c:extLst>
          </c:dPt>
          <c:dPt>
            <c:idx val="1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4D-6941-46FF-ABE8-3DE7D72773F5}"/>
              </c:ext>
            </c:extLst>
          </c:dPt>
          <c:dPt>
            <c:idx val="1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57-3913-4729-A9F9-77AF965DBDA2}"/>
              </c:ext>
            </c:extLst>
          </c:dPt>
          <c:dPt>
            <c:idx val="14"/>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59-3913-4729-A9F9-77AF965DBDA2}"/>
              </c:ext>
            </c:extLst>
          </c:dPt>
          <c:dPt>
            <c:idx val="1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5F-A894-43C0-9D7B-63E079DF7141}"/>
              </c:ext>
            </c:extLst>
          </c:dPt>
          <c:cat>
            <c:strRef>
              <c:f>'SAMP Dashboard'!$G$52</c:f>
              <c:strCache>
                <c:ptCount val="1"/>
                <c:pt idx="0">
                  <c:v>(blank)</c:v>
                </c:pt>
              </c:strCache>
            </c:strRef>
          </c:cat>
          <c:val>
            <c:numRef>
              <c:f>'SAMP Dashboard'!$J$52</c:f>
              <c:numCache>
                <c:formatCode>"£"#,##0</c:formatCode>
                <c:ptCount val="1"/>
              </c:numCache>
            </c:numRef>
          </c:val>
          <c:extLst>
            <c:ext xmlns:c16="http://schemas.microsoft.com/office/drawing/2014/chart" uri="{C3380CC4-5D6E-409C-BE32-E72D297353CC}">
              <c16:uniqueId val="{00000086-0945-4406-88F3-BFB05F8A8525}"/>
            </c:ext>
          </c:extLst>
        </c:ser>
        <c:ser>
          <c:idx val="3"/>
          <c:order val="3"/>
          <c:tx>
            <c:strRef>
              <c:f>'SAMP Dashboard'!$K$50:$K$51</c:f>
              <c:strCache>
                <c:ptCount val="1"/>
                <c:pt idx="0">
                  <c:v> Add-on cost</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49-4ECB-4746-84E0-93DE0C5BBFC6}"/>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4B-4ECB-4746-84E0-93DE0C5BBFC6}"/>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4D-4ECB-4746-84E0-93DE0C5BBFC6}"/>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4F-4ECB-4746-84E0-93DE0C5BBFC6}"/>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51-4ECB-4746-84E0-93DE0C5BBFC6}"/>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53-4ECB-4746-84E0-93DE0C5BBFC6}"/>
              </c:ext>
            </c:extLst>
          </c:dPt>
          <c:dPt>
            <c:idx val="6"/>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55-4ECB-4746-84E0-93DE0C5BBFC6}"/>
              </c:ext>
            </c:extLst>
          </c:dPt>
          <c:dPt>
            <c:idx val="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57-4ECB-4746-84E0-93DE0C5BBFC6}"/>
              </c:ext>
            </c:extLst>
          </c:dPt>
          <c:dPt>
            <c:idx val="8"/>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59-4ECB-4746-84E0-93DE0C5BBFC6}"/>
              </c:ext>
            </c:extLst>
          </c:dPt>
          <c:dPt>
            <c:idx val="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5B-4ECB-4746-84E0-93DE0C5BBFC6}"/>
              </c:ext>
            </c:extLst>
          </c:dPt>
          <c:dPt>
            <c:idx val="10"/>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5D-4ECB-4746-84E0-93DE0C5BBFC6}"/>
              </c:ext>
            </c:extLst>
          </c:dPt>
          <c:dPt>
            <c:idx val="1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5F-4ECB-4746-84E0-93DE0C5BBFC6}"/>
              </c:ext>
            </c:extLst>
          </c:dPt>
          <c:dPt>
            <c:idx val="1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67-6941-46FF-ABE8-3DE7D72773F5}"/>
              </c:ext>
            </c:extLst>
          </c:dPt>
          <c:dPt>
            <c:idx val="1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75-3913-4729-A9F9-77AF965DBDA2}"/>
              </c:ext>
            </c:extLst>
          </c:dPt>
          <c:dPt>
            <c:idx val="14"/>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77-3913-4729-A9F9-77AF965DBDA2}"/>
              </c:ext>
            </c:extLst>
          </c:dPt>
          <c:dPt>
            <c:idx val="1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7F-A894-43C0-9D7B-63E079DF7141}"/>
              </c:ext>
            </c:extLst>
          </c:dPt>
          <c:cat>
            <c:strRef>
              <c:f>'SAMP Dashboard'!$G$52</c:f>
              <c:strCache>
                <c:ptCount val="1"/>
                <c:pt idx="0">
                  <c:v>(blank)</c:v>
                </c:pt>
              </c:strCache>
            </c:strRef>
          </c:cat>
          <c:val>
            <c:numRef>
              <c:f>'SAMP Dashboard'!$K$52</c:f>
              <c:numCache>
                <c:formatCode>"£"#,##0</c:formatCode>
                <c:ptCount val="1"/>
              </c:numCache>
            </c:numRef>
          </c:val>
          <c:extLst>
            <c:ext xmlns:c16="http://schemas.microsoft.com/office/drawing/2014/chart" uri="{C3380CC4-5D6E-409C-BE32-E72D297353CC}">
              <c16:uniqueId val="{00000087-0945-4406-88F3-BFB05F8A8525}"/>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1498701342525008"/>
          <c:y val="0"/>
          <c:w val="0.23919648382742989"/>
          <c:h val="0.5959982649978018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no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470069322202029"/>
          <c:y val="0.23546090722872945"/>
          <c:w val="0.35085511164723571"/>
          <c:h val="0.56537994052610829"/>
        </c:manualLayout>
      </c:layout>
      <c:pieChart>
        <c:varyColors val="1"/>
        <c:ser>
          <c:idx val="0"/>
          <c:order val="0"/>
          <c:dPt>
            <c:idx val="0"/>
            <c:bubble3D val="0"/>
            <c:spPr>
              <a:solidFill>
                <a:schemeClr val="accent6"/>
              </a:solidFill>
              <a:ln>
                <a:noFill/>
              </a:ln>
              <a:effectLst/>
            </c:spPr>
            <c:extLst>
              <c:ext xmlns:c16="http://schemas.microsoft.com/office/drawing/2014/chart" uri="{C3380CC4-5D6E-409C-BE32-E72D297353CC}">
                <c16:uniqueId val="{00000001-DE43-446E-B0F4-21BFE5DCF7C9}"/>
              </c:ext>
            </c:extLst>
          </c:dPt>
          <c:dPt>
            <c:idx val="1"/>
            <c:bubble3D val="0"/>
            <c:spPr>
              <a:solidFill>
                <a:schemeClr val="accent5"/>
              </a:solidFill>
              <a:ln>
                <a:noFill/>
              </a:ln>
              <a:effectLst/>
            </c:spPr>
            <c:extLst>
              <c:ext xmlns:c16="http://schemas.microsoft.com/office/drawing/2014/chart" uri="{C3380CC4-5D6E-409C-BE32-E72D297353CC}">
                <c16:uniqueId val="{00000003-DE43-446E-B0F4-21BFE5DCF7C9}"/>
              </c:ext>
            </c:extLst>
          </c:dPt>
          <c:dPt>
            <c:idx val="2"/>
            <c:bubble3D val="0"/>
            <c:spPr>
              <a:solidFill>
                <a:schemeClr val="accent4"/>
              </a:solidFill>
              <a:ln>
                <a:noFill/>
              </a:ln>
              <a:effectLst/>
            </c:spPr>
            <c:extLst>
              <c:ext xmlns:c16="http://schemas.microsoft.com/office/drawing/2014/chart" uri="{C3380CC4-5D6E-409C-BE32-E72D297353CC}">
                <c16:uniqueId val="{00000005-DE43-446E-B0F4-21BFE5DCF7C9}"/>
              </c:ext>
            </c:extLst>
          </c:dPt>
          <c:dPt>
            <c:idx val="3"/>
            <c:bubble3D val="0"/>
            <c:spPr>
              <a:solidFill>
                <a:schemeClr val="accent6">
                  <a:lumMod val="60000"/>
                </a:schemeClr>
              </a:solidFill>
              <a:ln>
                <a:noFill/>
              </a:ln>
              <a:effectLst/>
            </c:spPr>
            <c:extLst>
              <c:ext xmlns:c16="http://schemas.microsoft.com/office/drawing/2014/chart" uri="{C3380CC4-5D6E-409C-BE32-E72D297353CC}">
                <c16:uniqueId val="{00000007-DE43-446E-B0F4-21BFE5DCF7C9}"/>
              </c:ext>
            </c:extLst>
          </c:dPt>
          <c:dPt>
            <c:idx val="4"/>
            <c:bubble3D val="0"/>
            <c:spPr>
              <a:solidFill>
                <a:schemeClr val="accent5">
                  <a:lumMod val="60000"/>
                </a:schemeClr>
              </a:solidFill>
              <a:ln>
                <a:noFill/>
              </a:ln>
              <a:effectLst/>
            </c:spPr>
            <c:extLst>
              <c:ext xmlns:c16="http://schemas.microsoft.com/office/drawing/2014/chart" uri="{C3380CC4-5D6E-409C-BE32-E72D297353CC}">
                <c16:uniqueId val="{00000009-DE43-446E-B0F4-21BFE5DCF7C9}"/>
              </c:ext>
            </c:extLst>
          </c:dPt>
          <c:dPt>
            <c:idx val="5"/>
            <c:bubble3D val="0"/>
            <c:spPr>
              <a:solidFill>
                <a:schemeClr val="accent4">
                  <a:lumMod val="60000"/>
                </a:schemeClr>
              </a:solidFill>
              <a:ln>
                <a:noFill/>
              </a:ln>
              <a:effectLst/>
            </c:spPr>
            <c:extLst>
              <c:ext xmlns:c16="http://schemas.microsoft.com/office/drawing/2014/chart" uri="{C3380CC4-5D6E-409C-BE32-E72D297353CC}">
                <c16:uniqueId val="{0000000B-DE43-446E-B0F4-21BFE5DCF7C9}"/>
              </c:ext>
            </c:extLst>
          </c:dPt>
          <c:dPt>
            <c:idx val="6"/>
            <c:bubble3D val="0"/>
            <c:spPr>
              <a:solidFill>
                <a:schemeClr val="accent6">
                  <a:lumMod val="80000"/>
                  <a:lumOff val="20000"/>
                </a:schemeClr>
              </a:solidFill>
              <a:ln>
                <a:noFill/>
              </a:ln>
              <a:effectLst/>
            </c:spPr>
            <c:extLst>
              <c:ext xmlns:c16="http://schemas.microsoft.com/office/drawing/2014/chart" uri="{C3380CC4-5D6E-409C-BE32-E72D297353CC}">
                <c16:uniqueId val="{0000000D-DE43-446E-B0F4-21BFE5DCF7C9}"/>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extLst>
          </c:dLbls>
          <c:cat>
            <c:strRef>
              <c:f>'Y5'!$GF$31:$GF$35</c:f>
              <c:strCache>
                <c:ptCount val="5"/>
                <c:pt idx="0">
                  <c:v>Very good</c:v>
                </c:pt>
                <c:pt idx="1">
                  <c:v>Good</c:v>
                </c:pt>
                <c:pt idx="2">
                  <c:v>Fair</c:v>
                </c:pt>
                <c:pt idx="3">
                  <c:v>Poor</c:v>
                </c:pt>
                <c:pt idx="4">
                  <c:v>Very poor</c:v>
                </c:pt>
              </c:strCache>
            </c:strRef>
          </c:cat>
          <c:val>
            <c:numRef>
              <c:f>'Y5'!$GH$31:$GH$35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E-DE43-446E-B0F4-21BFE5DCF7C9}"/>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0614503477577806"/>
          <c:y val="0.33937548448837729"/>
          <c:w val="0.28550760452159613"/>
          <c:h val="0.37696120698140478"/>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noFill/>
    <a:ln w="6350" cap="flat" cmpd="sng" algn="ctr">
      <a:noFill/>
      <a:prstDash val="solid"/>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[SAVI v1.10 blank.xlsm]LAMP Results!PivotTable4</c:name>
    <c:fmtId val="6"/>
  </c:pivotSource>
  <c:chart>
    <c:title>
      <c:tx>
        <c:rich>
          <a:bodyPr rot="0" spcFirstLastPara="1" vertOverflow="ellipsis" vert="horz" wrap="square" anchor="ctr" anchorCtr="1"/>
          <a:lstStyle/>
          <a:p>
            <a:pPr>
              <a:defRPr sz="1200" b="0" i="0" u="none" strike="noStrike" kern="1200" baseline="0">
                <a:solidFill>
                  <a:srgbClr val="000000"/>
                </a:solidFill>
                <a:latin typeface="Arial" panose="020B0604020202020204" pitchFamily="34" charset="0"/>
                <a:ea typeface="Arial"/>
                <a:cs typeface="Arial" panose="020B0604020202020204" pitchFamily="34" charset="0"/>
              </a:defRPr>
            </a:pPr>
            <a:r>
              <a:rPr lang="en-GB"/>
              <a:t>Average Condition (SCIav) by Structure Type</a:t>
            </a:r>
          </a:p>
        </c:rich>
      </c:tx>
      <c:layout>
        <c:manualLayout>
          <c:xMode val="edge"/>
          <c:yMode val="edge"/>
          <c:x val="0.22977022637087544"/>
          <c:y val="4.6746856347098624E-2"/>
        </c:manualLayout>
      </c:layout>
      <c:overlay val="0"/>
      <c:spPr>
        <a:noFill/>
        <a:ln w="25400">
          <a:noFill/>
        </a:ln>
        <a:effectLst/>
      </c:spPr>
      <c:txPr>
        <a:bodyPr rot="0" spcFirstLastPara="1" vertOverflow="ellipsis" vert="horz" wrap="square" anchor="ctr" anchorCtr="1"/>
        <a:lstStyle/>
        <a:p>
          <a:pPr>
            <a:defRPr sz="12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13"/>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14"/>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15"/>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16"/>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17"/>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18"/>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19"/>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20"/>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21"/>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22"/>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23"/>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24"/>
        <c:spPr>
          <a:solidFill>
            <a:schemeClr val="accent1"/>
          </a:solidFill>
          <a:ln w="19050" cap="rnd" cmpd="sng" algn="ctr">
            <a:solidFill>
              <a:schemeClr val="accent1"/>
            </a:solidFill>
            <a:prstDash val="solid"/>
            <a:round/>
          </a:ln>
          <a:effectLst/>
        </c:spPr>
        <c:marker>
          <c:spPr>
            <a:solidFill>
              <a:schemeClr val="accent1"/>
            </a:solidFill>
            <a:ln w="6350" cap="flat" cmpd="sng" algn="ctr">
              <a:solidFill>
                <a:schemeClr val="accent1"/>
              </a:solidFill>
              <a:prstDash val="solid"/>
              <a:round/>
            </a:ln>
            <a:effectLst/>
          </c:spPr>
        </c:marker>
      </c:pivotFmt>
      <c:pivotFmt>
        <c:idx val="25"/>
        <c:spPr>
          <a:ln w="19050" cap="rnd" cmpd="sng" algn="ctr">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19050" cap="rnd" cmpd="sng" algn="ctr">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19050" cap="rnd" cmpd="sng" algn="ctr">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19050" cap="rnd" cmpd="sng" algn="ctr">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19050" cap="rnd" cmpd="sng" algn="ctr">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19050" cap="rnd" cmpd="sng" algn="ctr">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769363166953527"/>
          <c:y val="0.14719513022361802"/>
          <c:w val="0.76405717884563551"/>
          <c:h val="0.59536607288315146"/>
        </c:manualLayout>
      </c:layout>
      <c:lineChart>
        <c:grouping val="standard"/>
        <c:varyColors val="0"/>
        <c:ser>
          <c:idx val="0"/>
          <c:order val="0"/>
          <c:tx>
            <c:strRef>
              <c:f>'LAMP Results'!$DK$6</c:f>
              <c:strCache>
                <c:ptCount val="1"/>
                <c:pt idx="0">
                  <c:v>Bridges </c:v>
                </c:pt>
              </c:strCache>
            </c:strRef>
          </c:tx>
          <c:spPr>
            <a:ln w="19050" cap="rnd" cmpd="sng" algn="ctr">
              <a:solidFill>
                <a:schemeClr val="accent1"/>
              </a:solidFill>
              <a:prstDash val="solid"/>
              <a:round/>
            </a:ln>
            <a:effectLst/>
          </c:spPr>
          <c:marker>
            <c:symbol val="none"/>
          </c:marker>
          <c:cat>
            <c:strRef>
              <c:f>'LAMP Results'!$DJ$7</c:f>
              <c:strCache>
                <c:ptCount val="1"/>
                <c:pt idx="0">
                  <c:v>0</c:v>
                </c:pt>
              </c:strCache>
            </c:strRef>
          </c:cat>
          <c:val>
            <c:numRef>
              <c:f>'LAMP Results'!$DK$7</c:f>
              <c:numCache>
                <c:formatCode>0</c:formatCode>
                <c:ptCount val="1"/>
                <c:pt idx="0">
                  <c:v>87.307424385278225</c:v>
                </c:pt>
              </c:numCache>
            </c:numRef>
          </c:val>
          <c:smooth val="0"/>
          <c:extLst>
            <c:ext xmlns:c16="http://schemas.microsoft.com/office/drawing/2014/chart" uri="{C3380CC4-5D6E-409C-BE32-E72D297353CC}">
              <c16:uniqueId val="{00000009-BA43-4D39-B97E-75A6BF8237F8}"/>
            </c:ext>
          </c:extLst>
        </c:ser>
        <c:ser>
          <c:idx val="1"/>
          <c:order val="1"/>
          <c:tx>
            <c:strRef>
              <c:f>'LAMP Results'!$DL$6</c:f>
              <c:strCache>
                <c:ptCount val="1"/>
                <c:pt idx="0">
                  <c:v>Retaining Walls </c:v>
                </c:pt>
              </c:strCache>
            </c:strRef>
          </c:tx>
          <c:spPr>
            <a:ln w="19050" cap="rnd" cmpd="sng" algn="ctr">
              <a:solidFill>
                <a:schemeClr val="accent3"/>
              </a:solidFill>
              <a:prstDash val="solid"/>
              <a:round/>
            </a:ln>
            <a:effectLst/>
          </c:spPr>
          <c:marker>
            <c:symbol val="none"/>
          </c:marker>
          <c:cat>
            <c:strRef>
              <c:f>'LAMP Results'!$DJ$7</c:f>
              <c:strCache>
                <c:ptCount val="1"/>
                <c:pt idx="0">
                  <c:v>0</c:v>
                </c:pt>
              </c:strCache>
            </c:strRef>
          </c:cat>
          <c:val>
            <c:numRef>
              <c:f>'LAMP Results'!$DL$7</c:f>
              <c:numCache>
                <c:formatCode>0</c:formatCode>
                <c:ptCount val="1"/>
                <c:pt idx="0">
                  <c:v>88.362922389435553</c:v>
                </c:pt>
              </c:numCache>
            </c:numRef>
          </c:val>
          <c:smooth val="0"/>
          <c:extLst>
            <c:ext xmlns:c16="http://schemas.microsoft.com/office/drawing/2014/chart" uri="{C3380CC4-5D6E-409C-BE32-E72D297353CC}">
              <c16:uniqueId val="{0000000A-BA43-4D39-B97E-75A6BF8237F8}"/>
            </c:ext>
          </c:extLst>
        </c:ser>
        <c:ser>
          <c:idx val="2"/>
          <c:order val="2"/>
          <c:tx>
            <c:strRef>
              <c:f>'LAMP Results'!$DM$6</c:f>
              <c:strCache>
                <c:ptCount val="1"/>
                <c:pt idx="0">
                  <c:v>Culverts </c:v>
                </c:pt>
              </c:strCache>
            </c:strRef>
          </c:tx>
          <c:spPr>
            <a:ln w="19050" cap="rnd" cmpd="sng" algn="ctr">
              <a:solidFill>
                <a:schemeClr val="accent5"/>
              </a:solidFill>
              <a:prstDash val="solid"/>
              <a:round/>
            </a:ln>
            <a:effectLst/>
          </c:spPr>
          <c:marker>
            <c:symbol val="none"/>
          </c:marker>
          <c:cat>
            <c:strRef>
              <c:f>'LAMP Results'!$DJ$7</c:f>
              <c:strCache>
                <c:ptCount val="1"/>
                <c:pt idx="0">
                  <c:v>0</c:v>
                </c:pt>
              </c:strCache>
            </c:strRef>
          </c:cat>
          <c:val>
            <c:numRef>
              <c:f>'LAMP Results'!$DM$7</c:f>
              <c:numCache>
                <c:formatCode>0</c:formatCode>
                <c:ptCount val="1"/>
                <c:pt idx="0">
                  <c:v>90.25698924444859</c:v>
                </c:pt>
              </c:numCache>
            </c:numRef>
          </c:val>
          <c:smooth val="0"/>
          <c:extLst>
            <c:ext xmlns:c16="http://schemas.microsoft.com/office/drawing/2014/chart" uri="{C3380CC4-5D6E-409C-BE32-E72D297353CC}">
              <c16:uniqueId val="{0000000B-BA43-4D39-B97E-75A6BF8237F8}"/>
            </c:ext>
          </c:extLst>
        </c:ser>
        <c:ser>
          <c:idx val="3"/>
          <c:order val="3"/>
          <c:tx>
            <c:strRef>
              <c:f>'LAMP Results'!$DN$6</c:f>
              <c:strCache>
                <c:ptCount val="1"/>
                <c:pt idx="0">
                  <c:v>Sign/Signal Gantries </c:v>
                </c:pt>
              </c:strCache>
            </c:strRef>
          </c:tx>
          <c:spPr>
            <a:ln w="19050" cap="rnd" cmpd="sng" algn="ctr">
              <a:solidFill>
                <a:schemeClr val="accent1">
                  <a:lumMod val="60000"/>
                </a:schemeClr>
              </a:solidFill>
              <a:prstDash val="solid"/>
              <a:round/>
            </a:ln>
            <a:effectLst/>
          </c:spPr>
          <c:marker>
            <c:symbol val="none"/>
          </c:marker>
          <c:cat>
            <c:strRef>
              <c:f>'LAMP Results'!$DJ$7</c:f>
              <c:strCache>
                <c:ptCount val="1"/>
                <c:pt idx="0">
                  <c:v>0</c:v>
                </c:pt>
              </c:strCache>
            </c:strRef>
          </c:cat>
          <c:val>
            <c:numRef>
              <c:f>'LAMP Results'!$DN$7</c:f>
              <c:numCache>
                <c:formatCode>0</c:formatCode>
                <c:ptCount val="1"/>
                <c:pt idx="0">
                  <c:v>93.245700210511913</c:v>
                </c:pt>
              </c:numCache>
            </c:numRef>
          </c:val>
          <c:smooth val="0"/>
          <c:extLst>
            <c:ext xmlns:c16="http://schemas.microsoft.com/office/drawing/2014/chart" uri="{C3380CC4-5D6E-409C-BE32-E72D297353CC}">
              <c16:uniqueId val="{0000000C-BA43-4D39-B97E-75A6BF8237F8}"/>
            </c:ext>
          </c:extLst>
        </c:ser>
        <c:ser>
          <c:idx val="4"/>
          <c:order val="4"/>
          <c:tx>
            <c:strRef>
              <c:f>'LAMP Results'!$DO$6</c:f>
              <c:strCache>
                <c:ptCount val="1"/>
                <c:pt idx="0">
                  <c:v>High Mast Lighting </c:v>
                </c:pt>
              </c:strCache>
            </c:strRef>
          </c:tx>
          <c:spPr>
            <a:ln w="19050" cap="rnd" cmpd="sng" algn="ctr">
              <a:solidFill>
                <a:schemeClr val="accent3">
                  <a:lumMod val="60000"/>
                </a:schemeClr>
              </a:solidFill>
              <a:prstDash val="solid"/>
              <a:round/>
            </a:ln>
            <a:effectLst/>
          </c:spPr>
          <c:marker>
            <c:symbol val="none"/>
          </c:marker>
          <c:cat>
            <c:strRef>
              <c:f>'LAMP Results'!$DJ$7</c:f>
              <c:strCache>
                <c:ptCount val="1"/>
                <c:pt idx="0">
                  <c:v>0</c:v>
                </c:pt>
              </c:strCache>
            </c:strRef>
          </c:cat>
          <c:val>
            <c:numRef>
              <c:f>'LAMP Results'!$DO$7</c:f>
              <c:numCache>
                <c:formatCode>0</c:formatCode>
                <c:ptCount val="1"/>
                <c:pt idx="0">
                  <c:v>58</c:v>
                </c:pt>
              </c:numCache>
            </c:numRef>
          </c:val>
          <c:smooth val="0"/>
          <c:extLst>
            <c:ext xmlns:c16="http://schemas.microsoft.com/office/drawing/2014/chart" uri="{C3380CC4-5D6E-409C-BE32-E72D297353CC}">
              <c16:uniqueId val="{0000000D-BA43-4D39-B97E-75A6BF8237F8}"/>
            </c:ext>
          </c:extLst>
        </c:ser>
        <c:ser>
          <c:idx val="5"/>
          <c:order val="5"/>
          <c:tx>
            <c:strRef>
              <c:f>'LAMP Results'!$DP$6</c:f>
              <c:strCache>
                <c:ptCount val="1"/>
                <c:pt idx="0">
                  <c:v>Tunnels &amp; Veh. Underpasses </c:v>
                </c:pt>
              </c:strCache>
            </c:strRef>
          </c:tx>
          <c:spPr>
            <a:ln w="19050" cap="rnd" cmpd="sng" algn="ctr">
              <a:solidFill>
                <a:schemeClr val="accent5">
                  <a:lumMod val="60000"/>
                </a:schemeClr>
              </a:solidFill>
              <a:prstDash val="solid"/>
              <a:round/>
            </a:ln>
            <a:effectLst/>
          </c:spPr>
          <c:marker>
            <c:symbol val="none"/>
          </c:marker>
          <c:cat>
            <c:strRef>
              <c:f>'LAMP Results'!$DJ$7</c:f>
              <c:strCache>
                <c:ptCount val="1"/>
                <c:pt idx="0">
                  <c:v>0</c:v>
                </c:pt>
              </c:strCache>
            </c:strRef>
          </c:cat>
          <c:val>
            <c:numRef>
              <c:f>'LAMP Results'!$DP$7</c:f>
              <c:numCache>
                <c:formatCode>0</c:formatCode>
                <c:ptCount val="1"/>
                <c:pt idx="0">
                  <c:v>76.247713153021692</c:v>
                </c:pt>
              </c:numCache>
            </c:numRef>
          </c:val>
          <c:smooth val="0"/>
          <c:extLst>
            <c:ext xmlns:c16="http://schemas.microsoft.com/office/drawing/2014/chart" uri="{C3380CC4-5D6E-409C-BE32-E72D297353CC}">
              <c16:uniqueId val="{0000000E-BA43-4D39-B97E-75A6BF8237F8}"/>
            </c:ext>
          </c:extLst>
        </c:ser>
        <c:dLbls>
          <c:showLegendKey val="0"/>
          <c:showVal val="0"/>
          <c:showCatName val="0"/>
          <c:showSerName val="0"/>
          <c:showPercent val="0"/>
          <c:showBubbleSize val="0"/>
        </c:dLbls>
        <c:smooth val="0"/>
        <c:axId val="528211488"/>
        <c:axId val="528211880"/>
      </c:lineChart>
      <c:catAx>
        <c:axId val="528211488"/>
        <c:scaling>
          <c:orientation val="minMax"/>
        </c:scaling>
        <c:delete val="0"/>
        <c:axPos val="b"/>
        <c:title>
          <c:tx>
            <c:rich>
              <a:bodyPr rot="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r>
                  <a:rPr lang="en-GB"/>
                  <a:t>Year</a:t>
                </a:r>
              </a:p>
            </c:rich>
          </c:tx>
          <c:layout>
            <c:manualLayout>
              <c:xMode val="edge"/>
              <c:yMode val="edge"/>
              <c:x val="0.47333989879507138"/>
              <c:y val="0.80098806677451961"/>
            </c:manualLayout>
          </c:layout>
          <c:overlay val="0"/>
          <c:spPr>
            <a:noFill/>
            <a:ln w="25400">
              <a:noFill/>
            </a:ln>
            <a:effectLst/>
          </c:spPr>
          <c:txPr>
            <a:bodyPr rot="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title>
        <c:numFmt formatCode="0" sourceLinked="0"/>
        <c:majorTickMark val="none"/>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crossAx val="528211880"/>
        <c:crosses val="autoZero"/>
        <c:auto val="1"/>
        <c:lblAlgn val="ctr"/>
        <c:lblOffset val="100"/>
        <c:tickMarkSkip val="1"/>
        <c:noMultiLvlLbl val="0"/>
      </c:catAx>
      <c:valAx>
        <c:axId val="528211880"/>
        <c:scaling>
          <c:orientation val="minMax"/>
          <c:max val="100.5"/>
          <c:min val="0"/>
        </c:scaling>
        <c:delete val="0"/>
        <c:axPos val="l"/>
        <c:majorGridlines>
          <c:spPr>
            <a:ln w="3175" cap="flat" cmpd="sng" algn="ctr">
              <a:solidFill>
                <a:srgbClr val="C0C0C0"/>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r>
                  <a:rPr lang="en-GB"/>
                  <a:t>Condition (SSCIav) at Year End, after Works</a:t>
                </a:r>
              </a:p>
            </c:rich>
          </c:tx>
          <c:layout>
            <c:manualLayout>
              <c:xMode val="edge"/>
              <c:yMode val="edge"/>
              <c:x val="3.4562346033162383E-2"/>
              <c:y val="0.11649423045491109"/>
            </c:manualLayout>
          </c:layout>
          <c:overlay val="0"/>
          <c:spPr>
            <a:noFill/>
            <a:ln w="25400">
              <a:noFill/>
            </a:ln>
            <a:effectLst/>
          </c:spPr>
          <c:txPr>
            <a:bodyPr rot="-540000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title>
        <c:numFmt formatCode="#,##0" sourceLinked="0"/>
        <c:majorTickMark val="cross"/>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crossAx val="528211488"/>
        <c:crosses val="autoZero"/>
        <c:crossBetween val="between"/>
        <c:majorUnit val="10"/>
        <c:minorUnit val="5"/>
      </c:valAx>
      <c:spPr>
        <a:solidFill>
          <a:sysClr val="window" lastClr="FFFFFF"/>
        </a:solidFill>
        <a:ln w="9525">
          <a:solidFill>
            <a:srgbClr val="000000"/>
          </a:solidFill>
          <a:prstDash val="solid"/>
        </a:ln>
        <a:effectLst/>
      </c:spPr>
    </c:plotArea>
    <c:legend>
      <c:legendPos val="b"/>
      <c:layout>
        <c:manualLayout>
          <c:xMode val="edge"/>
          <c:yMode val="edge"/>
          <c:x val="0.2133906332087171"/>
          <c:y val="0.8477123794384116"/>
          <c:w val="0.65728055268070962"/>
          <c:h val="0.12351753193171516"/>
        </c:manualLayout>
      </c:layout>
      <c:overlay val="0"/>
      <c:spPr>
        <a:noFill/>
        <a:ln w="3175">
          <a:noFill/>
          <a:prstDash val="solid"/>
        </a:ln>
        <a:effectLst/>
      </c:spPr>
      <c:txPr>
        <a:bodyPr rot="0" spcFirstLastPara="1" vertOverflow="ellipsis" vert="horz" wrap="square" anchor="ctr" anchorCtr="1"/>
        <a:lstStyle/>
        <a:p>
          <a:pPr>
            <a:defRPr sz="8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legend>
    <c:plotVisOnly val="1"/>
    <c:dispBlanksAs val="gap"/>
    <c:showDLblsOverMax val="0"/>
  </c:chart>
  <c:spPr>
    <a:noFill/>
    <a:ln w="3175" cap="flat" cmpd="sng" algn="ctr">
      <a:noFill/>
      <a:prstDash val="solid"/>
      <a:round/>
    </a:ln>
    <a:effectLst/>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[SAVI v1.10 blank.xlsm]LAMP Results!PivotTable5</c:name>
    <c:fmtId val="6"/>
  </c:pivotSource>
  <c:chart>
    <c:title>
      <c:tx>
        <c:rich>
          <a:bodyPr rot="0" spcFirstLastPara="1" vertOverflow="ellipsis" vert="horz" wrap="square" anchor="ctr" anchorCtr="1"/>
          <a:lstStyle/>
          <a:p>
            <a:pPr>
              <a:defRPr sz="1200" b="0" i="0" u="none" strike="noStrike" kern="1200" baseline="0">
                <a:solidFill>
                  <a:srgbClr val="000000"/>
                </a:solidFill>
                <a:latin typeface="Arial" panose="020B0604020202020204" pitchFamily="34" charset="0"/>
                <a:ea typeface="Arial"/>
                <a:cs typeface="Arial" panose="020B0604020202020204" pitchFamily="34" charset="0"/>
              </a:defRPr>
            </a:pPr>
            <a:r>
              <a:rPr lang="en-GB"/>
              <a:t>Critical Condition (SCIcrit) by Structure Type</a:t>
            </a:r>
          </a:p>
        </c:rich>
      </c:tx>
      <c:layout>
        <c:manualLayout>
          <c:xMode val="edge"/>
          <c:yMode val="edge"/>
          <c:x val="0.21267890707447903"/>
          <c:y val="5.0024902624353489E-2"/>
        </c:manualLayout>
      </c:layout>
      <c:overlay val="0"/>
      <c:spPr>
        <a:noFill/>
        <a:ln w="25400">
          <a:noFill/>
        </a:ln>
        <a:effectLst/>
      </c:spPr>
      <c:txPr>
        <a:bodyPr rot="0" spcFirstLastPara="1" vertOverflow="ellipsis" vert="horz" wrap="square" anchor="ctr" anchorCtr="1"/>
        <a:lstStyle/>
        <a:p>
          <a:pPr>
            <a:defRPr sz="12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title>
    <c:autoTitleDeleted val="0"/>
    <c:pivotFmts>
      <c:pivotFmt>
        <c:idx val="0"/>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1"/>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2"/>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3"/>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4"/>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5"/>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6"/>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7"/>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8"/>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9"/>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10"/>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11"/>
        <c:spPr>
          <a:solidFill>
            <a:schemeClr val="accent1"/>
          </a:solidFill>
          <a:ln>
            <a:noFill/>
          </a:ln>
          <a:effectLst/>
        </c:spPr>
        <c:marker>
          <c:spPr>
            <a:solidFill>
              <a:schemeClr val="accent1"/>
            </a:solidFill>
            <a:ln w="6350" cap="flat" cmpd="sng" algn="ctr">
              <a:solidFill>
                <a:schemeClr val="accent1"/>
              </a:solidFill>
              <a:prstDash val="solid"/>
              <a:round/>
            </a:ln>
            <a:effectLst/>
          </c:spPr>
        </c:marker>
      </c:pivotFmt>
      <c:pivotFmt>
        <c:idx val="12"/>
        <c:spPr>
          <a:ln w="19050" cap="rnd" cmpd="sng" algn="ctr">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19050" cap="rnd" cmpd="sng" algn="ctr">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19050" cap="rnd" cmpd="sng" algn="ctr">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19050" cap="rnd" cmpd="sng" algn="ctr">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19050" cap="rnd" cmpd="sng" algn="ctr">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19050" cap="rnd" cmpd="sng" algn="ctr">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pivotFmt>
    </c:pivotFmts>
    <c:plotArea>
      <c:layout>
        <c:manualLayout>
          <c:layoutTarget val="inner"/>
          <c:xMode val="edge"/>
          <c:yMode val="edge"/>
          <c:x val="0.12301478446671665"/>
          <c:y val="0.14390401077284334"/>
          <c:w val="0.81684217136789639"/>
          <c:h val="0.59427314556836042"/>
        </c:manualLayout>
      </c:layout>
      <c:lineChart>
        <c:grouping val="standard"/>
        <c:varyColors val="0"/>
        <c:ser>
          <c:idx val="0"/>
          <c:order val="0"/>
          <c:tx>
            <c:strRef>
              <c:f>'LAMP Results'!$DT$6</c:f>
              <c:strCache>
                <c:ptCount val="1"/>
                <c:pt idx="0">
                  <c:v>Bridges </c:v>
                </c:pt>
              </c:strCache>
            </c:strRef>
          </c:tx>
          <c:spPr>
            <a:ln w="19050" cap="rnd" cmpd="sng" algn="ctr">
              <a:solidFill>
                <a:schemeClr val="accent1"/>
              </a:solidFill>
              <a:prstDash val="solid"/>
              <a:round/>
            </a:ln>
            <a:effectLst/>
          </c:spPr>
          <c:marker>
            <c:symbol val="none"/>
          </c:marker>
          <c:cat>
            <c:strRef>
              <c:f>'LAMP Results'!$DS$7</c:f>
              <c:strCache>
                <c:ptCount val="1"/>
                <c:pt idx="0">
                  <c:v>0</c:v>
                </c:pt>
              </c:strCache>
            </c:strRef>
          </c:cat>
          <c:val>
            <c:numRef>
              <c:f>'LAMP Results'!$DT$7</c:f>
              <c:numCache>
                <c:formatCode>0</c:formatCode>
                <c:ptCount val="1"/>
                <c:pt idx="0">
                  <c:v>78.096645435392546</c:v>
                </c:pt>
              </c:numCache>
            </c:numRef>
          </c:val>
          <c:smooth val="0"/>
          <c:extLst>
            <c:ext xmlns:c16="http://schemas.microsoft.com/office/drawing/2014/chart" uri="{C3380CC4-5D6E-409C-BE32-E72D297353CC}">
              <c16:uniqueId val="{00000000-9833-4768-BF17-139B28C9BC34}"/>
            </c:ext>
          </c:extLst>
        </c:ser>
        <c:ser>
          <c:idx val="1"/>
          <c:order val="1"/>
          <c:tx>
            <c:strRef>
              <c:f>'LAMP Results'!$DU$6</c:f>
              <c:strCache>
                <c:ptCount val="1"/>
                <c:pt idx="0">
                  <c:v>Retaining Walls </c:v>
                </c:pt>
              </c:strCache>
            </c:strRef>
          </c:tx>
          <c:spPr>
            <a:ln w="19050" cap="rnd" cmpd="sng" algn="ctr">
              <a:solidFill>
                <a:schemeClr val="accent3"/>
              </a:solidFill>
              <a:prstDash val="solid"/>
              <a:round/>
            </a:ln>
            <a:effectLst/>
          </c:spPr>
          <c:marker>
            <c:symbol val="none"/>
          </c:marker>
          <c:cat>
            <c:strRef>
              <c:f>'LAMP Results'!$DS$7</c:f>
              <c:strCache>
                <c:ptCount val="1"/>
                <c:pt idx="0">
                  <c:v>0</c:v>
                </c:pt>
              </c:strCache>
            </c:strRef>
          </c:cat>
          <c:val>
            <c:numRef>
              <c:f>'LAMP Results'!$DU$7</c:f>
              <c:numCache>
                <c:formatCode>0</c:formatCode>
                <c:ptCount val="1"/>
                <c:pt idx="0">
                  <c:v>84.836398265009933</c:v>
                </c:pt>
              </c:numCache>
            </c:numRef>
          </c:val>
          <c:smooth val="0"/>
          <c:extLst>
            <c:ext xmlns:c16="http://schemas.microsoft.com/office/drawing/2014/chart" uri="{C3380CC4-5D6E-409C-BE32-E72D297353CC}">
              <c16:uniqueId val="{00000001-9833-4768-BF17-139B28C9BC34}"/>
            </c:ext>
          </c:extLst>
        </c:ser>
        <c:ser>
          <c:idx val="2"/>
          <c:order val="2"/>
          <c:tx>
            <c:strRef>
              <c:f>'LAMP Results'!$DV$6</c:f>
              <c:strCache>
                <c:ptCount val="1"/>
                <c:pt idx="0">
                  <c:v>Culverts </c:v>
                </c:pt>
              </c:strCache>
            </c:strRef>
          </c:tx>
          <c:spPr>
            <a:ln w="19050" cap="rnd" cmpd="sng" algn="ctr">
              <a:solidFill>
                <a:schemeClr val="accent5"/>
              </a:solidFill>
              <a:prstDash val="solid"/>
              <a:round/>
            </a:ln>
            <a:effectLst/>
          </c:spPr>
          <c:marker>
            <c:symbol val="none"/>
          </c:marker>
          <c:cat>
            <c:strRef>
              <c:f>'LAMP Results'!$DS$7</c:f>
              <c:strCache>
                <c:ptCount val="1"/>
                <c:pt idx="0">
                  <c:v>0</c:v>
                </c:pt>
              </c:strCache>
            </c:strRef>
          </c:cat>
          <c:val>
            <c:numRef>
              <c:f>'LAMP Results'!$DV$7</c:f>
              <c:numCache>
                <c:formatCode>0</c:formatCode>
                <c:ptCount val="1"/>
                <c:pt idx="0">
                  <c:v>87.027971521651551</c:v>
                </c:pt>
              </c:numCache>
            </c:numRef>
          </c:val>
          <c:smooth val="0"/>
          <c:extLst>
            <c:ext xmlns:c16="http://schemas.microsoft.com/office/drawing/2014/chart" uri="{C3380CC4-5D6E-409C-BE32-E72D297353CC}">
              <c16:uniqueId val="{00000002-9833-4768-BF17-139B28C9BC34}"/>
            </c:ext>
          </c:extLst>
        </c:ser>
        <c:ser>
          <c:idx val="3"/>
          <c:order val="3"/>
          <c:tx>
            <c:strRef>
              <c:f>'LAMP Results'!$DW$6</c:f>
              <c:strCache>
                <c:ptCount val="1"/>
                <c:pt idx="0">
                  <c:v>Sign/Signal Gantries </c:v>
                </c:pt>
              </c:strCache>
            </c:strRef>
          </c:tx>
          <c:spPr>
            <a:ln w="19050" cap="rnd" cmpd="sng" algn="ctr">
              <a:solidFill>
                <a:schemeClr val="accent1">
                  <a:lumMod val="60000"/>
                </a:schemeClr>
              </a:solidFill>
              <a:prstDash val="solid"/>
              <a:round/>
            </a:ln>
            <a:effectLst/>
          </c:spPr>
          <c:marker>
            <c:symbol val="none"/>
          </c:marker>
          <c:cat>
            <c:strRef>
              <c:f>'LAMP Results'!$DS$7</c:f>
              <c:strCache>
                <c:ptCount val="1"/>
                <c:pt idx="0">
                  <c:v>0</c:v>
                </c:pt>
              </c:strCache>
            </c:strRef>
          </c:cat>
          <c:val>
            <c:numRef>
              <c:f>'LAMP Results'!$DW$7</c:f>
              <c:numCache>
                <c:formatCode>0</c:formatCode>
                <c:ptCount val="1"/>
                <c:pt idx="0">
                  <c:v>82.97687861271676</c:v>
                </c:pt>
              </c:numCache>
            </c:numRef>
          </c:val>
          <c:smooth val="0"/>
          <c:extLst>
            <c:ext xmlns:c16="http://schemas.microsoft.com/office/drawing/2014/chart" uri="{C3380CC4-5D6E-409C-BE32-E72D297353CC}">
              <c16:uniqueId val="{00000003-9833-4768-BF17-139B28C9BC34}"/>
            </c:ext>
          </c:extLst>
        </c:ser>
        <c:ser>
          <c:idx val="4"/>
          <c:order val="4"/>
          <c:tx>
            <c:strRef>
              <c:f>'LAMP Results'!$DX$6</c:f>
              <c:strCache>
                <c:ptCount val="1"/>
                <c:pt idx="0">
                  <c:v>High Mast Lighting </c:v>
                </c:pt>
              </c:strCache>
            </c:strRef>
          </c:tx>
          <c:spPr>
            <a:ln w="19050" cap="rnd" cmpd="sng" algn="ctr">
              <a:solidFill>
                <a:schemeClr val="accent3">
                  <a:lumMod val="60000"/>
                </a:schemeClr>
              </a:solidFill>
              <a:prstDash val="solid"/>
              <a:round/>
            </a:ln>
            <a:effectLst/>
          </c:spPr>
          <c:marker>
            <c:symbol val="none"/>
          </c:marker>
          <c:cat>
            <c:strRef>
              <c:f>'LAMP Results'!$DS$7</c:f>
              <c:strCache>
                <c:ptCount val="1"/>
                <c:pt idx="0">
                  <c:v>0</c:v>
                </c:pt>
              </c:strCache>
            </c:strRef>
          </c:cat>
          <c:val>
            <c:numRef>
              <c:f>'LAMP Results'!$DX$7</c:f>
              <c:numCache>
                <c:formatCode>0</c:formatCode>
                <c:ptCount val="1"/>
                <c:pt idx="0">
                  <c:v>58</c:v>
                </c:pt>
              </c:numCache>
            </c:numRef>
          </c:val>
          <c:smooth val="0"/>
          <c:extLst>
            <c:ext xmlns:c16="http://schemas.microsoft.com/office/drawing/2014/chart" uri="{C3380CC4-5D6E-409C-BE32-E72D297353CC}">
              <c16:uniqueId val="{00000004-9833-4768-BF17-139B28C9BC34}"/>
            </c:ext>
          </c:extLst>
        </c:ser>
        <c:ser>
          <c:idx val="5"/>
          <c:order val="5"/>
          <c:tx>
            <c:strRef>
              <c:f>'LAMP Results'!$DY$6</c:f>
              <c:strCache>
                <c:ptCount val="1"/>
                <c:pt idx="0">
                  <c:v>Tunnels &amp; Veh. Underpasses</c:v>
                </c:pt>
              </c:strCache>
            </c:strRef>
          </c:tx>
          <c:spPr>
            <a:ln w="19050" cap="rnd" cmpd="sng" algn="ctr">
              <a:solidFill>
                <a:schemeClr val="accent5">
                  <a:lumMod val="60000"/>
                </a:schemeClr>
              </a:solidFill>
              <a:prstDash val="solid"/>
              <a:round/>
            </a:ln>
            <a:effectLst/>
          </c:spPr>
          <c:marker>
            <c:symbol val="none"/>
          </c:marker>
          <c:cat>
            <c:strRef>
              <c:f>'LAMP Results'!$DS$7</c:f>
              <c:strCache>
                <c:ptCount val="1"/>
                <c:pt idx="0">
                  <c:v>0</c:v>
                </c:pt>
              </c:strCache>
            </c:strRef>
          </c:cat>
          <c:val>
            <c:numRef>
              <c:f>'LAMP Results'!$DY$7</c:f>
              <c:numCache>
                <c:formatCode>0</c:formatCode>
                <c:ptCount val="1"/>
                <c:pt idx="0">
                  <c:v>75.954059751399285</c:v>
                </c:pt>
              </c:numCache>
            </c:numRef>
          </c:val>
          <c:smooth val="0"/>
          <c:extLst>
            <c:ext xmlns:c16="http://schemas.microsoft.com/office/drawing/2014/chart" uri="{C3380CC4-5D6E-409C-BE32-E72D297353CC}">
              <c16:uniqueId val="{00000005-9833-4768-BF17-139B28C9BC34}"/>
            </c:ext>
          </c:extLst>
        </c:ser>
        <c:dLbls>
          <c:showLegendKey val="0"/>
          <c:showVal val="0"/>
          <c:showCatName val="0"/>
          <c:showSerName val="0"/>
          <c:showPercent val="0"/>
          <c:showBubbleSize val="0"/>
        </c:dLbls>
        <c:smooth val="0"/>
        <c:axId val="632019712"/>
        <c:axId val="632020104"/>
      </c:lineChart>
      <c:catAx>
        <c:axId val="632019712"/>
        <c:scaling>
          <c:orientation val="minMax"/>
        </c:scaling>
        <c:delete val="0"/>
        <c:axPos val="b"/>
        <c:title>
          <c:tx>
            <c:rich>
              <a:bodyPr rot="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r>
                  <a:rPr lang="en-GB"/>
                  <a:t>Year</a:t>
                </a:r>
              </a:p>
            </c:rich>
          </c:tx>
          <c:layout>
            <c:manualLayout>
              <c:xMode val="edge"/>
              <c:yMode val="edge"/>
              <c:x val="0.48039875176282576"/>
              <c:y val="0.79684088680584042"/>
            </c:manualLayout>
          </c:layout>
          <c:overlay val="0"/>
          <c:spPr>
            <a:noFill/>
            <a:ln w="25400">
              <a:noFill/>
            </a:ln>
            <a:effectLst/>
          </c:spPr>
          <c:txPr>
            <a:bodyPr rot="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title>
        <c:numFmt formatCode="0" sourceLinked="0"/>
        <c:majorTickMark val="none"/>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crossAx val="632020104"/>
        <c:crosses val="autoZero"/>
        <c:auto val="0"/>
        <c:lblAlgn val="ctr"/>
        <c:lblOffset val="100"/>
        <c:tickMarkSkip val="1"/>
        <c:noMultiLvlLbl val="0"/>
      </c:catAx>
      <c:valAx>
        <c:axId val="632020104"/>
        <c:scaling>
          <c:orientation val="minMax"/>
          <c:max val="100.5"/>
          <c:min val="0"/>
        </c:scaling>
        <c:delete val="0"/>
        <c:axPos val="l"/>
        <c:majorGridlines>
          <c:spPr>
            <a:ln w="3175" cap="flat" cmpd="sng" algn="ctr">
              <a:solidFill>
                <a:srgbClr val="C0C0C0"/>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r>
                  <a:rPr lang="en-GB"/>
                  <a:t>Condition (SSCIcrit) at Year End, after Works</a:t>
                </a:r>
              </a:p>
            </c:rich>
          </c:tx>
          <c:layout>
            <c:manualLayout>
              <c:xMode val="edge"/>
              <c:yMode val="edge"/>
              <c:x val="4.9162588520278751E-3"/>
              <c:y val="8.1704768117919394E-2"/>
            </c:manualLayout>
          </c:layout>
          <c:overlay val="0"/>
          <c:spPr>
            <a:noFill/>
            <a:ln w="25400">
              <a:noFill/>
            </a:ln>
            <a:effectLst/>
          </c:spPr>
          <c:txPr>
            <a:bodyPr rot="-540000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title>
        <c:numFmt formatCode="#,##0" sourceLinked="0"/>
        <c:majorTickMark val="cross"/>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crossAx val="632019712"/>
        <c:crosses val="autoZero"/>
        <c:crossBetween val="between"/>
        <c:majorUnit val="10"/>
        <c:minorUnit val="5"/>
      </c:valAx>
      <c:spPr>
        <a:solidFill>
          <a:sysClr val="window" lastClr="FFFFFF"/>
        </a:solidFill>
        <a:ln w="9525">
          <a:solidFill>
            <a:srgbClr val="000000"/>
          </a:solidFill>
          <a:prstDash val="solid"/>
        </a:ln>
        <a:effectLst/>
      </c:spPr>
    </c:plotArea>
    <c:legend>
      <c:legendPos val="b"/>
      <c:layout>
        <c:manualLayout>
          <c:xMode val="edge"/>
          <c:yMode val="edge"/>
          <c:x val="0.22836315089025089"/>
          <c:y val="0.85078256996807322"/>
          <c:w val="0.6477488514431311"/>
          <c:h val="0.11161646745064592"/>
        </c:manualLayout>
      </c:layout>
      <c:overlay val="0"/>
      <c:spPr>
        <a:noFill/>
        <a:ln w="3175">
          <a:noFill/>
          <a:prstDash val="solid"/>
        </a:ln>
        <a:effectLst/>
      </c:spPr>
      <c:txPr>
        <a:bodyPr rot="0" spcFirstLastPara="1" vertOverflow="ellipsis" vert="horz" wrap="square" anchor="ctr" anchorCtr="1"/>
        <a:lstStyle/>
        <a:p>
          <a:pPr>
            <a:defRPr sz="8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legend>
    <c:plotVisOnly val="1"/>
    <c:dispBlanksAs val="gap"/>
    <c:showDLblsOverMax val="0"/>
  </c:chart>
  <c:spPr>
    <a:noFill/>
    <a:ln w="3175" cap="flat" cmpd="sng" algn="ctr">
      <a:noFill/>
      <a:prstDash val="solid"/>
      <a:round/>
    </a:ln>
    <a:effectLst/>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[SAVI v1.10 blank.xlsm]LAMP Results!PivotTable6</c:name>
    <c:fmtId val="6"/>
  </c:pivotSource>
  <c:chart>
    <c:title>
      <c:tx>
        <c:rich>
          <a:bodyPr rot="0" spcFirstLastPara="1" vertOverflow="ellipsis" vert="horz" wrap="square" anchor="ctr" anchorCtr="1"/>
          <a:lstStyle/>
          <a:p>
            <a:pPr>
              <a:defRPr sz="1200" b="0" i="0" u="none" strike="noStrike" kern="1200" baseline="0">
                <a:solidFill>
                  <a:srgbClr val="000000"/>
                </a:solidFill>
                <a:latin typeface="Arial" panose="020B0604020202020204" pitchFamily="34" charset="0"/>
                <a:ea typeface="Arial"/>
                <a:cs typeface="Arial" panose="020B0604020202020204" pitchFamily="34" charset="0"/>
              </a:defRPr>
            </a:pPr>
            <a:r>
              <a:rPr lang="en-GB"/>
              <a:t>Budget,</a:t>
            </a:r>
            <a:r>
              <a:rPr lang="en-GB" baseline="0"/>
              <a:t> Expenditure and Workbank</a:t>
            </a:r>
            <a:endParaRPr lang="en-GB"/>
          </a:p>
        </c:rich>
      </c:tx>
      <c:layout>
        <c:manualLayout>
          <c:xMode val="edge"/>
          <c:yMode val="edge"/>
          <c:x val="0.31868557412210763"/>
          <c:y val="4.0187394811525667E-2"/>
        </c:manualLayout>
      </c:layout>
      <c:overlay val="0"/>
      <c:spPr>
        <a:noFill/>
        <a:ln w="25400">
          <a:noFill/>
        </a:ln>
        <a:effectLst/>
      </c:spPr>
      <c:txPr>
        <a:bodyPr rot="0" spcFirstLastPara="1" vertOverflow="ellipsis" vert="horz" wrap="square" anchor="ctr" anchorCtr="1"/>
        <a:lstStyle/>
        <a:p>
          <a:pPr>
            <a:defRPr sz="1200" b="0" i="0" u="none" strike="noStrike" kern="1200" baseline="0">
              <a:solidFill>
                <a:srgbClr val="000000"/>
              </a:solidFill>
              <a:latin typeface="Arial" panose="020B0604020202020204" pitchFamily="34" charset="0"/>
              <a:ea typeface="Arial"/>
              <a:cs typeface="Arial" panose="020B0604020202020204" pitchFamily="34" charset="0"/>
            </a:defRPr>
          </a:pPr>
          <a:endParaRPr lang="en-GB"/>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2"/>
          </a:solidFill>
          <a:ln>
            <a:noFill/>
          </a:ln>
          <a:effectLst/>
        </c:spPr>
        <c:marker>
          <c:symbol val="none"/>
        </c:marker>
      </c:pivotFmt>
      <c:pivotFmt>
        <c:idx val="3"/>
        <c:spPr>
          <a:solidFill>
            <a:schemeClr val="accent2"/>
          </a:solidFill>
          <a:ln>
            <a:noFill/>
          </a:ln>
          <a:effectLst/>
        </c:spPr>
        <c:marker>
          <c:symbol val="none"/>
        </c:marker>
      </c:pivotFmt>
      <c:pivotFmt>
        <c:idx val="4"/>
        <c:spPr>
          <a:solidFill>
            <a:schemeClr val="accent2"/>
          </a:solidFill>
          <a:ln>
            <a:noFill/>
          </a:ln>
          <a:effectLst/>
        </c:spPr>
        <c:marker>
          <c:symbol val="none"/>
        </c:marker>
      </c:pivotFmt>
      <c:pivotFmt>
        <c:idx val="5"/>
        <c:spPr>
          <a:solidFill>
            <a:schemeClr val="accent2"/>
          </a:solidFill>
          <a:ln>
            <a:noFill/>
          </a:ln>
          <a:effectLst/>
        </c:spPr>
        <c:marker>
          <c:symbol val="none"/>
        </c:marker>
      </c:pivotFmt>
      <c:pivotFmt>
        <c:idx val="6"/>
        <c:spPr>
          <a:solidFill>
            <a:schemeClr val="accent2"/>
          </a:solidFill>
          <a:ln>
            <a:noFill/>
          </a:ln>
          <a:effectLst/>
        </c:spPr>
        <c:marker>
          <c:symbol val="none"/>
        </c:marker>
      </c:pivotFmt>
      <c:pivotFmt>
        <c:idx val="7"/>
        <c:spPr>
          <a:solidFill>
            <a:schemeClr val="accent2"/>
          </a:solidFill>
          <a:ln>
            <a:noFill/>
          </a:ln>
          <a:effectLst/>
        </c:spPr>
        <c:marker>
          <c:symbol val="none"/>
        </c:marker>
      </c:pivotFmt>
      <c:pivotFmt>
        <c:idx val="8"/>
        <c:spPr>
          <a:solidFill>
            <a:schemeClr val="accent2"/>
          </a:solidFill>
          <a:ln>
            <a:noFill/>
          </a:ln>
          <a:effectLst/>
        </c:spPr>
        <c:marker>
          <c:symbol val="none"/>
        </c:marker>
      </c:pivotFmt>
      <c:pivotFmt>
        <c:idx val="9"/>
        <c:spPr>
          <a:solidFill>
            <a:schemeClr val="accent6">
              <a:lumMod val="50000"/>
            </a:schemeClr>
          </a:solidFill>
          <a:ln>
            <a:noFill/>
          </a:ln>
          <a:effectLst/>
        </c:spPr>
        <c:marker>
          <c:symbol val="none"/>
        </c:marker>
      </c:pivotFmt>
      <c:pivotFmt>
        <c:idx val="10"/>
        <c:spPr>
          <a:solidFill>
            <a:schemeClr val="accent6"/>
          </a:solidFill>
          <a:ln>
            <a:noFill/>
          </a:ln>
          <a:effectLst/>
        </c:spPr>
        <c:marker>
          <c:symbol val="none"/>
        </c:marker>
      </c:pivotFmt>
      <c:pivotFmt>
        <c:idx val="11"/>
        <c:spPr>
          <a:solidFill>
            <a:schemeClr val="accent2"/>
          </a:solidFill>
          <a:ln>
            <a:noFill/>
          </a:ln>
          <a:effectLst/>
        </c:spPr>
        <c:marker>
          <c:symbol val="none"/>
        </c:marker>
      </c:pivotFmt>
      <c:pivotFmt>
        <c:idx val="12"/>
        <c:spPr>
          <a:solidFill>
            <a:schemeClr val="accent6">
              <a:lumMod val="40000"/>
              <a:lumOff val="60000"/>
            </a:schemeClr>
          </a:solidFill>
          <a:ln>
            <a:noFill/>
          </a:ln>
          <a:effectLst/>
        </c:spPr>
        <c:marker>
          <c:symbol val="none"/>
        </c:marker>
      </c:pivotFmt>
      <c:pivotFmt>
        <c:idx val="13"/>
        <c:spPr>
          <a:ln w="19050" cap="rnd" cmpd="sng" algn="ctr">
            <a:solidFill>
              <a:srgbClr val="CC99FF"/>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19050" cap="rnd" cmpd="sng" algn="ctr">
            <a:solidFill>
              <a:schemeClr val="accent4"/>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19050" cap="rnd" cmpd="sng" algn="ctr">
            <a:solidFill>
              <a:schemeClr val="accent6"/>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982649388207974"/>
          <c:y val="0.12608176841768004"/>
          <c:w val="0.78239509516870254"/>
          <c:h val="0.60332305866627822"/>
        </c:manualLayout>
      </c:layout>
      <c:lineChart>
        <c:grouping val="standard"/>
        <c:varyColors val="0"/>
        <c:ser>
          <c:idx val="0"/>
          <c:order val="0"/>
          <c:tx>
            <c:strRef>
              <c:f>'LAMP Results'!$BW$6</c:f>
              <c:strCache>
                <c:ptCount val="1"/>
                <c:pt idx="0">
                  <c:v>Expenditure </c:v>
                </c:pt>
              </c:strCache>
            </c:strRef>
          </c:tx>
          <c:spPr>
            <a:ln w="19050" cap="rnd" cmpd="sng" algn="ctr">
              <a:solidFill>
                <a:schemeClr val="accent4"/>
              </a:solidFill>
              <a:prstDash val="solid"/>
              <a:round/>
            </a:ln>
            <a:effectLst/>
          </c:spPr>
          <c:marker>
            <c:symbol val="none"/>
          </c:marker>
          <c:cat>
            <c:strRef>
              <c:f>'LAMP Results'!$BV$7</c:f>
              <c:strCache>
                <c:ptCount val="1"/>
                <c:pt idx="0">
                  <c:v>0</c:v>
                </c:pt>
              </c:strCache>
            </c:strRef>
          </c:cat>
          <c:val>
            <c:numRef>
              <c:f>'LAMP Results'!$BW$7</c:f>
              <c:numCache>
                <c:formatCode>"£"#,##0</c:formatCode>
                <c:ptCount val="1"/>
              </c:numCache>
            </c:numRef>
          </c:val>
          <c:smooth val="0"/>
          <c:extLst>
            <c:ext xmlns:c16="http://schemas.microsoft.com/office/drawing/2014/chart" uri="{C3380CC4-5D6E-409C-BE32-E72D297353CC}">
              <c16:uniqueId val="{00000003-29F3-4BA7-ACB9-A59630A0ABCC}"/>
            </c:ext>
          </c:extLst>
        </c:ser>
        <c:ser>
          <c:idx val="1"/>
          <c:order val="1"/>
          <c:tx>
            <c:strRef>
              <c:f>'LAMP Results'!$BX$6</c:f>
              <c:strCache>
                <c:ptCount val="1"/>
                <c:pt idx="0">
                  <c:v>Budget</c:v>
                </c:pt>
              </c:strCache>
            </c:strRef>
          </c:tx>
          <c:spPr>
            <a:ln w="19050" cap="rnd" cmpd="sng" algn="ctr">
              <a:solidFill>
                <a:schemeClr val="accent6"/>
              </a:solidFill>
              <a:prstDash val="solid"/>
              <a:round/>
            </a:ln>
            <a:effectLst/>
          </c:spPr>
          <c:marker>
            <c:symbol val="none"/>
          </c:marker>
          <c:cat>
            <c:strRef>
              <c:f>'LAMP Results'!$BV$7</c:f>
              <c:strCache>
                <c:ptCount val="1"/>
                <c:pt idx="0">
                  <c:v>0</c:v>
                </c:pt>
              </c:strCache>
            </c:strRef>
          </c:cat>
          <c:val>
            <c:numRef>
              <c:f>'LAMP Results'!$BX$7</c:f>
              <c:numCache>
                <c:formatCode>"£"#,##0</c:formatCode>
                <c:ptCount val="1"/>
              </c:numCache>
            </c:numRef>
          </c:val>
          <c:smooth val="0"/>
          <c:extLst>
            <c:ext xmlns:c16="http://schemas.microsoft.com/office/drawing/2014/chart" uri="{C3380CC4-5D6E-409C-BE32-E72D297353CC}">
              <c16:uniqueId val="{00000004-29F3-4BA7-ACB9-A59630A0ABCC}"/>
            </c:ext>
          </c:extLst>
        </c:ser>
        <c:ser>
          <c:idx val="2"/>
          <c:order val="2"/>
          <c:tx>
            <c:strRef>
              <c:f>'LAMP Results'!$BY$6</c:f>
              <c:strCache>
                <c:ptCount val="1"/>
                <c:pt idx="0">
                  <c:v>Workbank </c:v>
                </c:pt>
              </c:strCache>
            </c:strRef>
          </c:tx>
          <c:spPr>
            <a:ln w="19050" cap="rnd" cmpd="sng" algn="ctr">
              <a:solidFill>
                <a:srgbClr val="CC99FF"/>
              </a:solidFill>
              <a:prstDash val="solid"/>
              <a:round/>
            </a:ln>
            <a:effectLst/>
          </c:spPr>
          <c:marker>
            <c:symbol val="none"/>
          </c:marker>
          <c:cat>
            <c:strRef>
              <c:f>'LAMP Results'!$BV$7</c:f>
              <c:strCache>
                <c:ptCount val="1"/>
                <c:pt idx="0">
                  <c:v>0</c:v>
                </c:pt>
              </c:strCache>
            </c:strRef>
          </c:cat>
          <c:val>
            <c:numRef>
              <c:f>'LAMP Results'!$BY$7</c:f>
              <c:numCache>
                <c:formatCode>"£"#,##0</c:formatCode>
                <c:ptCount val="1"/>
              </c:numCache>
            </c:numRef>
          </c:val>
          <c:smooth val="0"/>
          <c:extLst>
            <c:ext xmlns:c16="http://schemas.microsoft.com/office/drawing/2014/chart" uri="{C3380CC4-5D6E-409C-BE32-E72D297353CC}">
              <c16:uniqueId val="{00000005-29F3-4BA7-ACB9-A59630A0ABCC}"/>
            </c:ext>
          </c:extLst>
        </c:ser>
        <c:dLbls>
          <c:showLegendKey val="0"/>
          <c:showVal val="0"/>
          <c:showCatName val="0"/>
          <c:showSerName val="0"/>
          <c:showPercent val="0"/>
          <c:showBubbleSize val="0"/>
        </c:dLbls>
        <c:smooth val="0"/>
        <c:axId val="632020888"/>
        <c:axId val="530864720"/>
      </c:lineChart>
      <c:catAx>
        <c:axId val="632020888"/>
        <c:scaling>
          <c:orientation val="minMax"/>
        </c:scaling>
        <c:delete val="0"/>
        <c:axPos val="b"/>
        <c:title>
          <c:tx>
            <c:rich>
              <a:bodyPr rot="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r>
                  <a:rPr lang="en-GB"/>
                  <a:t>Year</a:t>
                </a:r>
              </a:p>
            </c:rich>
          </c:tx>
          <c:layout>
            <c:manualLayout>
              <c:xMode val="edge"/>
              <c:yMode val="edge"/>
              <c:x val="0.52417904782076274"/>
              <c:y val="0.79785135876845914"/>
            </c:manualLayout>
          </c:layout>
          <c:overlay val="0"/>
          <c:spPr>
            <a:noFill/>
            <a:ln w="25400">
              <a:noFill/>
            </a:ln>
            <a:effectLst/>
          </c:spPr>
          <c:txPr>
            <a:bodyPr rot="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title>
        <c:numFmt formatCode="General" sourceLinked="1"/>
        <c:majorTickMark val="none"/>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crossAx val="530864720"/>
        <c:crosses val="autoZero"/>
        <c:auto val="1"/>
        <c:lblAlgn val="ctr"/>
        <c:lblOffset val="100"/>
        <c:tickMarkSkip val="1"/>
        <c:noMultiLvlLbl val="0"/>
      </c:catAx>
      <c:valAx>
        <c:axId val="530864720"/>
        <c:scaling>
          <c:orientation val="minMax"/>
        </c:scaling>
        <c:delete val="0"/>
        <c:axPos val="l"/>
        <c:majorGridlines>
          <c:spPr>
            <a:ln w="3175" cap="flat" cmpd="sng" algn="ctr">
              <a:solidFill>
                <a:srgbClr val="C0C0C0"/>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r>
                  <a:rPr lang="en-GB"/>
                  <a:t>Budget,</a:t>
                </a:r>
                <a:r>
                  <a:rPr lang="en-GB" baseline="0"/>
                  <a:t> </a:t>
                </a:r>
                <a:r>
                  <a:rPr lang="en-GB"/>
                  <a:t>Expenditure &amp; Workbank (£M)</a:t>
                </a:r>
              </a:p>
            </c:rich>
          </c:tx>
          <c:layout>
            <c:manualLayout>
              <c:xMode val="edge"/>
              <c:yMode val="edge"/>
              <c:x val="5.7887084769577025E-2"/>
              <c:y val="0.13219372107723401"/>
            </c:manualLayout>
          </c:layout>
          <c:overlay val="0"/>
          <c:spPr>
            <a:noFill/>
            <a:ln w="25400">
              <a:noFill/>
            </a:ln>
            <a:effectLst/>
          </c:spPr>
          <c:txPr>
            <a:bodyPr rot="-540000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title>
        <c:numFmt formatCode="#,##0.0" sourceLinked="0"/>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crossAx val="632020888"/>
        <c:crosses val="autoZero"/>
        <c:crossBetween val="between"/>
        <c:dispUnits>
          <c:builtInUnit val="millions"/>
        </c:dispUnits>
      </c:valAx>
      <c:spPr>
        <a:solidFill>
          <a:sysClr val="window" lastClr="FFFFFF"/>
        </a:solidFill>
        <a:ln w="9525">
          <a:solidFill>
            <a:sysClr val="windowText" lastClr="000000"/>
          </a:solidFill>
          <a:prstDash val="solid"/>
        </a:ln>
        <a:effectLst/>
      </c:spPr>
    </c:plotArea>
    <c:legend>
      <c:legendPos val="b"/>
      <c:layout>
        <c:manualLayout>
          <c:xMode val="edge"/>
          <c:yMode val="edge"/>
          <c:x val="0.28786344363186311"/>
          <c:y val="0.86654832161950757"/>
          <c:w val="0.50795918536906448"/>
          <c:h val="4.6936910920470219E-2"/>
        </c:manualLayout>
      </c:layout>
      <c:overlay val="0"/>
      <c:spPr>
        <a:noFill/>
        <a:ln w="3175">
          <a:noFill/>
          <a:prstDash val="solid"/>
        </a:ln>
        <a:effectLst/>
      </c:spPr>
      <c:txPr>
        <a:bodyPr rot="0" spcFirstLastPara="1" vertOverflow="ellipsis" vert="horz" wrap="square" anchor="ctr" anchorCtr="1"/>
        <a:lstStyle/>
        <a:p>
          <a:pPr>
            <a:defRPr sz="8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legend>
    <c:plotVisOnly val="1"/>
    <c:dispBlanksAs val="gap"/>
    <c:showDLblsOverMax val="0"/>
  </c:chart>
  <c:spPr>
    <a:noFill/>
    <a:ln w="3175" cap="flat" cmpd="sng" algn="ctr">
      <a:noFill/>
      <a:prstDash val="solid"/>
      <a:round/>
    </a:ln>
    <a:effectLst/>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[SAVI v1.10 blank.xlsm]LAMP Results!PivotTable7</c:name>
    <c:fmtId val="6"/>
  </c:pivotSource>
  <c:chart>
    <c:title>
      <c:tx>
        <c:rich>
          <a:bodyPr rot="0" spcFirstLastPara="1" vertOverflow="ellipsis" vert="horz" wrap="square" anchor="ctr" anchorCtr="1"/>
          <a:lstStyle/>
          <a:p>
            <a:pPr>
              <a:defRPr sz="1200" b="0" i="0" u="none" strike="noStrike" kern="1200" baseline="0">
                <a:solidFill>
                  <a:srgbClr val="000000"/>
                </a:solidFill>
                <a:latin typeface="Arial" panose="020B0604020202020204" pitchFamily="34" charset="0"/>
                <a:ea typeface="Arial"/>
                <a:cs typeface="Arial" panose="020B0604020202020204" pitchFamily="34" charset="0"/>
              </a:defRPr>
            </a:pPr>
            <a:r>
              <a:rPr lang="en-GB"/>
              <a:t>Expenditure by Type of Element Life</a:t>
            </a:r>
          </a:p>
        </c:rich>
      </c:tx>
      <c:layout>
        <c:manualLayout>
          <c:xMode val="edge"/>
          <c:yMode val="edge"/>
          <c:x val="0.3366361302396052"/>
          <c:y val="5.7990241188289215E-2"/>
        </c:manualLayout>
      </c:layout>
      <c:overlay val="0"/>
      <c:spPr>
        <a:noFill/>
        <a:ln w="25400">
          <a:noFill/>
        </a:ln>
        <a:effectLst/>
      </c:spPr>
      <c:txPr>
        <a:bodyPr rot="0" spcFirstLastPara="1" vertOverflow="ellipsis" vert="horz" wrap="square" anchor="ctr" anchorCtr="1"/>
        <a:lstStyle/>
        <a:p>
          <a:pPr>
            <a:defRPr sz="12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2"/>
          </a:solidFill>
          <a:ln>
            <a:noFill/>
          </a:ln>
          <a:effectLst/>
        </c:spPr>
        <c:marker>
          <c:symbol val="none"/>
        </c:marker>
      </c:pivotFmt>
      <c:pivotFmt>
        <c:idx val="3"/>
        <c:spPr>
          <a:solidFill>
            <a:schemeClr val="accent2"/>
          </a:solidFill>
          <a:ln>
            <a:noFill/>
          </a:ln>
          <a:effectLst/>
        </c:spPr>
        <c:marker>
          <c:symbol val="none"/>
        </c:marker>
      </c:pivotFmt>
      <c:pivotFmt>
        <c:idx val="4"/>
        <c:spPr>
          <a:solidFill>
            <a:schemeClr val="accent2"/>
          </a:solidFill>
          <a:ln>
            <a:noFill/>
          </a:ln>
          <a:effectLst/>
        </c:spPr>
        <c:marker>
          <c:symbol val="none"/>
        </c:marker>
      </c:pivotFmt>
      <c:pivotFmt>
        <c:idx val="5"/>
        <c:spPr>
          <a:solidFill>
            <a:schemeClr val="accent2"/>
          </a:solidFill>
          <a:ln>
            <a:noFill/>
          </a:ln>
          <a:effectLst/>
        </c:spPr>
        <c:marker>
          <c:symbol val="none"/>
        </c:marker>
      </c:pivotFmt>
      <c:pivotFmt>
        <c:idx val="6"/>
        <c:spPr>
          <a:solidFill>
            <a:schemeClr val="accent2"/>
          </a:solidFill>
          <a:ln>
            <a:noFill/>
          </a:ln>
          <a:effectLst/>
        </c:spPr>
        <c:marker>
          <c:symbol val="none"/>
        </c:marker>
      </c:pivotFmt>
      <c:pivotFmt>
        <c:idx val="7"/>
        <c:spPr>
          <a:solidFill>
            <a:schemeClr val="accent2"/>
          </a:solidFill>
          <a:ln>
            <a:noFill/>
          </a:ln>
          <a:effectLst/>
        </c:spPr>
        <c:marker>
          <c:symbol val="none"/>
        </c:marker>
      </c:pivotFmt>
      <c:pivotFmt>
        <c:idx val="8"/>
        <c:spPr>
          <a:solidFill>
            <a:schemeClr val="accent2"/>
          </a:solidFill>
          <a:ln>
            <a:noFill/>
          </a:ln>
          <a:effectLst/>
        </c:spPr>
        <c:marker>
          <c:symbol val="none"/>
        </c:marker>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693798432517541"/>
          <c:y val="0.15584923252517838"/>
          <c:w val="0.70407452925246172"/>
          <c:h val="0.59385350327004016"/>
        </c:manualLayout>
      </c:layout>
      <c:barChart>
        <c:barDir val="col"/>
        <c:grouping val="stacked"/>
        <c:varyColors val="0"/>
        <c:ser>
          <c:idx val="0"/>
          <c:order val="0"/>
          <c:tx>
            <c:strRef>
              <c:f>'LAMP Results'!$CC$6</c:f>
              <c:strCache>
                <c:ptCount val="1"/>
                <c:pt idx="0">
                  <c:v>Planned Maintenance - Finite Life Elements</c:v>
                </c:pt>
              </c:strCache>
            </c:strRef>
          </c:tx>
          <c:spPr>
            <a:solidFill>
              <a:schemeClr val="accent2"/>
            </a:solidFill>
            <a:ln>
              <a:noFill/>
            </a:ln>
            <a:effectLst/>
          </c:spPr>
          <c:invertIfNegative val="0"/>
          <c:cat>
            <c:strRef>
              <c:f>'LAMP Results'!$CB$7</c:f>
              <c:strCache>
                <c:ptCount val="1"/>
                <c:pt idx="0">
                  <c:v>0</c:v>
                </c:pt>
              </c:strCache>
            </c:strRef>
          </c:cat>
          <c:val>
            <c:numRef>
              <c:f>'LAMP Results'!$CC$7</c:f>
              <c:numCache>
                <c:formatCode>"£"#,##0</c:formatCode>
                <c:ptCount val="1"/>
              </c:numCache>
            </c:numRef>
          </c:val>
          <c:extLst>
            <c:ext xmlns:c16="http://schemas.microsoft.com/office/drawing/2014/chart" uri="{C3380CC4-5D6E-409C-BE32-E72D297353CC}">
              <c16:uniqueId val="{00000004-40DA-48C2-BB44-8006183914D0}"/>
            </c:ext>
          </c:extLst>
        </c:ser>
        <c:ser>
          <c:idx val="1"/>
          <c:order val="1"/>
          <c:tx>
            <c:strRef>
              <c:f>'LAMP Results'!$CD$6</c:f>
              <c:strCache>
                <c:ptCount val="1"/>
                <c:pt idx="0">
                  <c:v>Planned Maintenance - Indefinite Life Elements</c:v>
                </c:pt>
              </c:strCache>
            </c:strRef>
          </c:tx>
          <c:spPr>
            <a:solidFill>
              <a:schemeClr val="accent4"/>
            </a:solidFill>
            <a:ln>
              <a:noFill/>
            </a:ln>
            <a:effectLst/>
          </c:spPr>
          <c:invertIfNegative val="0"/>
          <c:cat>
            <c:strRef>
              <c:f>'LAMP Results'!$CB$7</c:f>
              <c:strCache>
                <c:ptCount val="1"/>
                <c:pt idx="0">
                  <c:v>0</c:v>
                </c:pt>
              </c:strCache>
            </c:strRef>
          </c:cat>
          <c:val>
            <c:numRef>
              <c:f>'LAMP Results'!$CD$7</c:f>
              <c:numCache>
                <c:formatCode>"£"#,##0</c:formatCode>
                <c:ptCount val="1"/>
              </c:numCache>
            </c:numRef>
          </c:val>
          <c:extLst>
            <c:ext xmlns:c16="http://schemas.microsoft.com/office/drawing/2014/chart" uri="{C3380CC4-5D6E-409C-BE32-E72D297353CC}">
              <c16:uniqueId val="{00000005-40DA-48C2-BB44-8006183914D0}"/>
            </c:ext>
          </c:extLst>
        </c:ser>
        <c:ser>
          <c:idx val="2"/>
          <c:order val="2"/>
          <c:tx>
            <c:strRef>
              <c:f>'LAMP Results'!$CE$6</c:f>
              <c:strCache>
                <c:ptCount val="1"/>
                <c:pt idx="0">
                  <c:v>Condition Triggered - Finite Life Elements</c:v>
                </c:pt>
              </c:strCache>
            </c:strRef>
          </c:tx>
          <c:spPr>
            <a:solidFill>
              <a:schemeClr val="accent6"/>
            </a:solidFill>
            <a:ln>
              <a:noFill/>
            </a:ln>
            <a:effectLst/>
          </c:spPr>
          <c:invertIfNegative val="0"/>
          <c:cat>
            <c:strRef>
              <c:f>'LAMP Results'!$CB$7</c:f>
              <c:strCache>
                <c:ptCount val="1"/>
                <c:pt idx="0">
                  <c:v>0</c:v>
                </c:pt>
              </c:strCache>
            </c:strRef>
          </c:cat>
          <c:val>
            <c:numRef>
              <c:f>'LAMP Results'!$CE$7</c:f>
              <c:numCache>
                <c:formatCode>"£"#,##0</c:formatCode>
                <c:ptCount val="1"/>
              </c:numCache>
            </c:numRef>
          </c:val>
          <c:extLst>
            <c:ext xmlns:c16="http://schemas.microsoft.com/office/drawing/2014/chart" uri="{C3380CC4-5D6E-409C-BE32-E72D297353CC}">
              <c16:uniqueId val="{00000006-40DA-48C2-BB44-8006183914D0}"/>
            </c:ext>
          </c:extLst>
        </c:ser>
        <c:ser>
          <c:idx val="3"/>
          <c:order val="3"/>
          <c:tx>
            <c:strRef>
              <c:f>'LAMP Results'!$CF$6</c:f>
              <c:strCache>
                <c:ptCount val="1"/>
                <c:pt idx="0">
                  <c:v>Condition Triggered - Indefinite Life Elements</c:v>
                </c:pt>
              </c:strCache>
            </c:strRef>
          </c:tx>
          <c:spPr>
            <a:solidFill>
              <a:schemeClr val="accent2">
                <a:lumMod val="60000"/>
              </a:schemeClr>
            </a:solidFill>
            <a:ln>
              <a:noFill/>
            </a:ln>
            <a:effectLst/>
          </c:spPr>
          <c:invertIfNegative val="0"/>
          <c:cat>
            <c:strRef>
              <c:f>'LAMP Results'!$CB$7</c:f>
              <c:strCache>
                <c:ptCount val="1"/>
                <c:pt idx="0">
                  <c:v>0</c:v>
                </c:pt>
              </c:strCache>
            </c:strRef>
          </c:cat>
          <c:val>
            <c:numRef>
              <c:f>'LAMP Results'!$CF$7</c:f>
              <c:numCache>
                <c:formatCode>"£"#,##0</c:formatCode>
                <c:ptCount val="1"/>
              </c:numCache>
            </c:numRef>
          </c:val>
          <c:extLst>
            <c:ext xmlns:c16="http://schemas.microsoft.com/office/drawing/2014/chart" uri="{C3380CC4-5D6E-409C-BE32-E72D297353CC}">
              <c16:uniqueId val="{00000007-40DA-48C2-BB44-8006183914D0}"/>
            </c:ext>
          </c:extLst>
        </c:ser>
        <c:dLbls>
          <c:showLegendKey val="0"/>
          <c:showVal val="0"/>
          <c:showCatName val="0"/>
          <c:showSerName val="0"/>
          <c:showPercent val="0"/>
          <c:showBubbleSize val="0"/>
        </c:dLbls>
        <c:gapWidth val="100"/>
        <c:overlap val="100"/>
        <c:axId val="530853392"/>
        <c:axId val="530853784"/>
      </c:barChart>
      <c:catAx>
        <c:axId val="530853392"/>
        <c:scaling>
          <c:orientation val="minMax"/>
        </c:scaling>
        <c:delete val="0"/>
        <c:axPos val="b"/>
        <c:title>
          <c:tx>
            <c:rich>
              <a:bodyPr rot="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r>
                  <a:rPr lang="en-GB"/>
                  <a:t>Year</a:t>
                </a:r>
              </a:p>
            </c:rich>
          </c:tx>
          <c:layout>
            <c:manualLayout>
              <c:xMode val="edge"/>
              <c:yMode val="edge"/>
              <c:x val="0.54159386340430238"/>
              <c:y val="0.79144002336317132"/>
            </c:manualLayout>
          </c:layout>
          <c:overlay val="0"/>
          <c:spPr>
            <a:noFill/>
            <a:ln w="25400">
              <a:noFill/>
            </a:ln>
            <a:effectLst/>
          </c:spPr>
          <c:txPr>
            <a:bodyPr rot="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title>
        <c:numFmt formatCode="General" sourceLinked="1"/>
        <c:majorTickMark val="none"/>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crossAx val="530853784"/>
        <c:crosses val="autoZero"/>
        <c:auto val="1"/>
        <c:lblAlgn val="ctr"/>
        <c:lblOffset val="100"/>
        <c:tickMarkSkip val="1"/>
        <c:noMultiLvlLbl val="0"/>
      </c:catAx>
      <c:valAx>
        <c:axId val="530853784"/>
        <c:scaling>
          <c:orientation val="minMax"/>
        </c:scaling>
        <c:delete val="0"/>
        <c:axPos val="l"/>
        <c:majorGridlines>
          <c:spPr>
            <a:ln w="3175" cap="flat" cmpd="sng" algn="ctr">
              <a:solidFill>
                <a:srgbClr val="C0C0C0"/>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r>
                  <a:rPr lang="en-GB"/>
                  <a:t>Expenditure (£M)</a:t>
                </a:r>
              </a:p>
            </c:rich>
          </c:tx>
          <c:layout>
            <c:manualLayout>
              <c:xMode val="edge"/>
              <c:yMode val="edge"/>
              <c:x val="0.12567602735961445"/>
              <c:y val="0.30870442498883366"/>
            </c:manualLayout>
          </c:layout>
          <c:overlay val="0"/>
          <c:spPr>
            <a:noFill/>
            <a:ln w="25400">
              <a:noFill/>
            </a:ln>
            <a:effectLst/>
          </c:spPr>
          <c:txPr>
            <a:bodyPr rot="-540000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title>
        <c:numFmt formatCode="#,##0.0" sourceLinked="0"/>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crossAx val="530853392"/>
        <c:crosses val="autoZero"/>
        <c:crossBetween val="between"/>
        <c:dispUnits>
          <c:builtInUnit val="millions"/>
        </c:dispUnits>
      </c:valAx>
      <c:spPr>
        <a:solidFill>
          <a:srgbClr val="FFFFFF"/>
        </a:solidFill>
        <a:ln w="9525">
          <a:solidFill>
            <a:sysClr val="windowText" lastClr="000000"/>
          </a:solidFill>
          <a:prstDash val="solid"/>
        </a:ln>
        <a:effectLst/>
      </c:spPr>
    </c:plotArea>
    <c:legend>
      <c:legendPos val="b"/>
      <c:layout>
        <c:manualLayout>
          <c:xMode val="edge"/>
          <c:yMode val="edge"/>
          <c:x val="0.1377372428083006"/>
          <c:y val="0.87506286757092155"/>
          <c:w val="0.72721653418165444"/>
          <c:h val="8.8883989893836626E-2"/>
        </c:manualLayout>
      </c:layout>
      <c:overlay val="0"/>
      <c:spPr>
        <a:noFill/>
        <a:ln w="3175">
          <a:noFill/>
          <a:prstDash val="solid"/>
        </a:ln>
        <a:effectLst/>
      </c:spPr>
      <c:txPr>
        <a:bodyPr rot="0" spcFirstLastPara="1" vertOverflow="ellipsis" vert="horz" wrap="square" anchor="ctr" anchorCtr="1"/>
        <a:lstStyle/>
        <a:p>
          <a:pPr>
            <a:defRPr sz="8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legend>
    <c:plotVisOnly val="1"/>
    <c:dispBlanksAs val="gap"/>
    <c:showDLblsOverMax val="0"/>
  </c:chart>
  <c:spPr>
    <a:noFill/>
    <a:ln w="3175" cap="flat" cmpd="sng" algn="ctr">
      <a:noFill/>
      <a:prstDash val="solid"/>
      <a:round/>
    </a:ln>
    <a:effectLst/>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rgbClr val="000000"/>
                </a:solidFill>
                <a:latin typeface=""/>
                <a:ea typeface="Arial"/>
                <a:cs typeface="Arial"/>
              </a:defRPr>
            </a:pPr>
            <a:r>
              <a:rPr lang="en-GB" b="1"/>
              <a:t>Shortfall of Condition-Triggered Maintenance (Capital)</a:t>
            </a:r>
          </a:p>
        </c:rich>
      </c:tx>
      <c:overlay val="0"/>
      <c:spPr>
        <a:noFill/>
        <a:ln w="25400">
          <a:noFill/>
        </a:ln>
        <a:effectLst/>
      </c:spPr>
      <c:txPr>
        <a:bodyPr rot="0" spcFirstLastPara="1" vertOverflow="ellipsis" vert="horz" wrap="square" anchor="ctr" anchorCtr="1"/>
        <a:lstStyle/>
        <a:p>
          <a:pPr>
            <a:defRPr sz="1200" b="1" i="0" u="none" strike="noStrike" kern="1200" baseline="0">
              <a:solidFill>
                <a:srgbClr val="000000"/>
              </a:solidFill>
              <a:latin typeface=""/>
              <a:ea typeface="Arial"/>
              <a:cs typeface="Arial"/>
            </a:defRPr>
          </a:pPr>
          <a:endParaRPr lang="en-US"/>
        </a:p>
      </c:txPr>
    </c:title>
    <c:autoTitleDeleted val="0"/>
    <c:pivotFmts>
      <c:pivotFmt>
        <c:idx val="0"/>
        <c:spPr>
          <a:solidFill>
            <a:schemeClr val="accent1"/>
          </a:solidFill>
          <a:ln>
            <a:noFill/>
          </a:ln>
          <a:effectLst/>
        </c:spPr>
        <c:marker>
          <c:symbol val="none"/>
        </c:marker>
      </c:pivotFmt>
    </c:pivotFmts>
    <c:plotArea>
      <c:layout>
        <c:manualLayout>
          <c:layoutTarget val="inner"/>
          <c:xMode val="edge"/>
          <c:yMode val="edge"/>
          <c:x val="0.21718044881753396"/>
          <c:y val="0.13538481878728784"/>
          <c:w val="0.70362627790175936"/>
          <c:h val="0.59341451711512549"/>
        </c:manualLayout>
      </c:layout>
      <c:barChart>
        <c:barDir val="col"/>
        <c:grouping val="stacked"/>
        <c:varyColors val="0"/>
        <c:dLbls>
          <c:showLegendKey val="0"/>
          <c:showVal val="0"/>
          <c:showCatName val="0"/>
          <c:showSerName val="0"/>
          <c:showPercent val="0"/>
          <c:showBubbleSize val="0"/>
        </c:dLbls>
        <c:gapWidth val="100"/>
        <c:overlap val="100"/>
        <c:axId val="631626624"/>
        <c:axId val="631627016"/>
      </c:barChart>
      <c:catAx>
        <c:axId val="631626624"/>
        <c:scaling>
          <c:orientation val="minMax"/>
        </c:scaling>
        <c:delete val="0"/>
        <c:axPos val="b"/>
        <c:title>
          <c:tx>
            <c:rich>
              <a:bodyPr rot="0" spcFirstLastPara="1" vertOverflow="ellipsis" vert="horz" wrap="square" anchor="ctr" anchorCtr="1"/>
              <a:lstStyle/>
              <a:p>
                <a:pPr>
                  <a:defRPr sz="1000" b="1" i="0" u="none" strike="noStrike" kern="1200" baseline="0">
                    <a:solidFill>
                      <a:srgbClr val="000000"/>
                    </a:solidFill>
                    <a:latin typeface=""/>
                    <a:ea typeface="Arial"/>
                    <a:cs typeface="Arial"/>
                  </a:defRPr>
                </a:pPr>
                <a:r>
                  <a:rPr lang="en-GB" b="1"/>
                  <a:t>Year</a:t>
                </a:r>
              </a:p>
            </c:rich>
          </c:tx>
          <c:layout>
            <c:manualLayout>
              <c:xMode val="edge"/>
              <c:yMode val="edge"/>
              <c:x val="0.49913940518368682"/>
              <c:y val="0.82231828282751851"/>
            </c:manualLayout>
          </c:layout>
          <c:overlay val="0"/>
          <c:spPr>
            <a:noFill/>
            <a:ln w="25400">
              <a:noFill/>
            </a:ln>
            <a:effectLst/>
          </c:spPr>
          <c:txPr>
            <a:bodyPr rot="0" spcFirstLastPara="1" vertOverflow="ellipsis" vert="horz" wrap="square" anchor="ctr" anchorCtr="1"/>
            <a:lstStyle/>
            <a:p>
              <a:pPr>
                <a:defRPr sz="1000" b="1" i="0" u="none" strike="noStrike" kern="1200" baseline="0">
                  <a:solidFill>
                    <a:srgbClr val="000000"/>
                  </a:solidFill>
                  <a:latin typeface=""/>
                  <a:ea typeface="Arial"/>
                  <a:cs typeface="Arial"/>
                </a:defRPr>
              </a:pPr>
              <a:endParaRPr lang="en-US"/>
            </a:p>
          </c:txPr>
        </c:title>
        <c:numFmt formatCode="General" sourceLinked="1"/>
        <c:majorTickMark val="none"/>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000" b="0" i="0" u="none" strike="noStrike" kern="1200" baseline="0">
                <a:solidFill>
                  <a:srgbClr val="000000"/>
                </a:solidFill>
                <a:latin typeface=""/>
                <a:ea typeface="Arial"/>
                <a:cs typeface="Arial"/>
              </a:defRPr>
            </a:pPr>
            <a:endParaRPr lang="en-US"/>
          </a:p>
        </c:txPr>
        <c:crossAx val="631627016"/>
        <c:crosses val="autoZero"/>
        <c:auto val="1"/>
        <c:lblAlgn val="ctr"/>
        <c:lblOffset val="100"/>
        <c:tickMarkSkip val="1"/>
        <c:noMultiLvlLbl val="0"/>
      </c:catAx>
      <c:valAx>
        <c:axId val="631627016"/>
        <c:scaling>
          <c:orientation val="minMax"/>
        </c:scaling>
        <c:delete val="0"/>
        <c:axPos val="l"/>
        <c:majorGridlines>
          <c:spPr>
            <a:ln w="3175" cap="flat" cmpd="sng" algn="ctr">
              <a:solidFill>
                <a:srgbClr val="C0C0C0"/>
              </a:solidFill>
              <a:prstDash val="solid"/>
              <a:round/>
            </a:ln>
            <a:effectLst/>
          </c:spPr>
        </c:majorGridlines>
        <c:title>
          <c:tx>
            <c:rich>
              <a:bodyPr rot="-5400000" spcFirstLastPara="1" vertOverflow="ellipsis" vert="horz" wrap="square" anchor="ctr" anchorCtr="1"/>
              <a:lstStyle/>
              <a:p>
                <a:pPr>
                  <a:defRPr sz="1000" b="1" i="0" u="none" strike="noStrike" kern="1200" baseline="0">
                    <a:solidFill>
                      <a:srgbClr val="000000"/>
                    </a:solidFill>
                    <a:latin typeface=""/>
                    <a:ea typeface="Arial"/>
                    <a:cs typeface="Arial"/>
                  </a:defRPr>
                </a:pPr>
                <a:r>
                  <a:rPr lang="en-GB" b="1"/>
                  <a:t>Shortfall (£)</a:t>
                </a:r>
              </a:p>
            </c:rich>
          </c:tx>
          <c:layout>
            <c:manualLayout>
              <c:xMode val="edge"/>
              <c:yMode val="edge"/>
              <c:x val="0.10810847977983282"/>
              <c:y val="0.3272150329036258"/>
            </c:manualLayout>
          </c:layout>
          <c:overlay val="0"/>
          <c:spPr>
            <a:noFill/>
            <a:ln w="25400">
              <a:noFill/>
            </a:ln>
            <a:effectLst/>
          </c:spPr>
          <c:txPr>
            <a:bodyPr rot="-5400000" spcFirstLastPara="1" vertOverflow="ellipsis" vert="horz" wrap="square" anchor="ctr" anchorCtr="1"/>
            <a:lstStyle/>
            <a:p>
              <a:pPr>
                <a:defRPr sz="1000" b="1" i="0" u="none" strike="noStrike" kern="1200" baseline="0">
                  <a:solidFill>
                    <a:srgbClr val="000000"/>
                  </a:solidFill>
                  <a:latin typeface=""/>
                  <a:ea typeface="Arial"/>
                  <a:cs typeface="Arial"/>
                </a:defRPr>
              </a:pPr>
              <a:endParaRPr lang="en-US"/>
            </a:p>
          </c:txPr>
        </c:title>
        <c:numFmt formatCode="#,##0" sourceLinked="0"/>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000" b="0" i="0" u="none" strike="noStrike" kern="1200" baseline="0">
                <a:solidFill>
                  <a:srgbClr val="000000"/>
                </a:solidFill>
                <a:latin typeface=""/>
                <a:ea typeface="Arial"/>
                <a:cs typeface="Arial"/>
              </a:defRPr>
            </a:pPr>
            <a:endParaRPr lang="en-US"/>
          </a:p>
        </c:txPr>
        <c:crossAx val="631626624"/>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rgbClr val="000000"/>
                    </a:solidFill>
                    <a:latin typeface=""/>
                    <a:ea typeface="Arial"/>
                    <a:cs typeface="Arial"/>
                  </a:defRPr>
                </a:pPr>
                <a:endParaRPr lang="en-US"/>
              </a:p>
            </c:txPr>
          </c:dispUnitsLbl>
        </c:dispUnits>
      </c:valAx>
      <c:spPr>
        <a:solidFill>
          <a:srgbClr val="FFFFFF"/>
        </a:solidFill>
        <a:ln w="12700">
          <a:solidFill>
            <a:srgbClr val="000000"/>
          </a:solidFill>
          <a:prstDash val="solid"/>
        </a:ln>
        <a:effectLst/>
      </c:spPr>
    </c:plotArea>
    <c:legend>
      <c:legendPos val="b"/>
      <c:layout>
        <c:manualLayout>
          <c:xMode val="edge"/>
          <c:yMode val="edge"/>
          <c:x val="0.13801316251595017"/>
          <c:y val="0.86675704450239954"/>
          <c:w val="0.11363816919272399"/>
          <c:h val="5.8673800926637917E-2"/>
        </c:manualLayout>
      </c:layout>
      <c:overlay val="0"/>
      <c:spPr>
        <a:noFill/>
        <a:ln>
          <a:noFill/>
        </a:ln>
        <a:effectLst/>
      </c:spPr>
      <c:txPr>
        <a:bodyPr rot="0" spcFirstLastPara="1" vertOverflow="ellipsis" vert="horz" wrap="square" anchor="ctr" anchorCtr="1"/>
        <a:lstStyle/>
        <a:p>
          <a:pPr>
            <a:defRPr sz="1000" b="0" i="0" u="none" strike="noStrike" kern="1200" baseline="0">
              <a:solidFill>
                <a:srgbClr val="000000"/>
              </a:solidFill>
              <a:latin typeface=""/>
              <a:ea typeface="Arial"/>
              <a:cs typeface="Arial"/>
            </a:defRPr>
          </a:pPr>
          <a:endParaRPr lang="en-US"/>
        </a:p>
      </c:txPr>
    </c:legend>
    <c:plotVisOnly val="1"/>
    <c:dispBlanksAs val="gap"/>
    <c:showDLblsOverMax val="0"/>
  </c:chart>
  <c:spPr>
    <a:noFill/>
    <a:ln w="3175" cap="flat" cmpd="sng" algn="ctr">
      <a:noFill/>
      <a:prstDash val="solid"/>
      <a:round/>
    </a:ln>
    <a:effectLst/>
  </c:spPr>
  <c:txPr>
    <a:bodyPr/>
    <a:lstStyle/>
    <a:p>
      <a:pPr>
        <a:defRPr sz="1000" b="0" i="0" u="none" strike="noStrike" baseline="0">
          <a:solidFill>
            <a:srgbClr val="000000"/>
          </a:solidFill>
          <a:latin typeface=""/>
          <a:ea typeface="Arial"/>
          <a:cs typeface="Arial"/>
        </a:defRPr>
      </a:pPr>
      <a:endParaRPr lang="en-US"/>
    </a:p>
  </c:txPr>
  <c:printSettings>
    <c:headerFooter/>
    <c:pageMargins b="0.75" l="0.7" r="0.7" t="0.75" header="0.3" footer="0.3"/>
    <c:pageSetup/>
  </c:printSettings>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[SAVI v1.10 blank.xlsm]LAMP Results!PivotTable9</c:name>
    <c:fmtId val="6"/>
  </c:pivotSource>
  <c:chart>
    <c:title>
      <c:tx>
        <c:rich>
          <a:bodyPr rot="0" spcFirstLastPara="1" vertOverflow="ellipsis" vert="horz" wrap="square" anchor="ctr" anchorCtr="1"/>
          <a:lstStyle/>
          <a:p>
            <a:pPr>
              <a:defRPr sz="1200" b="0" i="0" u="none" strike="noStrike" kern="1200" baseline="0">
                <a:solidFill>
                  <a:srgbClr val="000000"/>
                </a:solidFill>
                <a:latin typeface="Arial" panose="020B0604020202020204" pitchFamily="34" charset="0"/>
                <a:ea typeface="Arial"/>
                <a:cs typeface="Arial" panose="020B0604020202020204" pitchFamily="34" charset="0"/>
              </a:defRPr>
            </a:pPr>
            <a:r>
              <a:rPr lang="en-GB"/>
              <a:t>Structures with Safety or Performance at Risk and Traffic Delay Cost</a:t>
            </a:r>
          </a:p>
        </c:rich>
      </c:tx>
      <c:layout>
        <c:manualLayout>
          <c:xMode val="edge"/>
          <c:yMode val="edge"/>
          <c:x val="0.14155256720330919"/>
          <c:y val="5.3987947828300256E-2"/>
        </c:manualLayout>
      </c:layout>
      <c:overlay val="0"/>
      <c:spPr>
        <a:noFill/>
        <a:ln w="25400">
          <a:noFill/>
        </a:ln>
        <a:effectLst/>
      </c:spPr>
      <c:txPr>
        <a:bodyPr rot="0" spcFirstLastPara="1" vertOverflow="ellipsis" vert="horz" wrap="square" anchor="ctr" anchorCtr="1"/>
        <a:lstStyle/>
        <a:p>
          <a:pPr>
            <a:defRPr sz="12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title>
    <c:autoTitleDeleted val="0"/>
    <c:pivotFmts>
      <c:pivotFmt>
        <c:idx val="0"/>
        <c:spPr>
          <a:solidFill>
            <a:schemeClr val="accent2"/>
          </a:solidFill>
          <a:ln w="19050" cap="rnd" cmpd="sng" algn="ctr">
            <a:solidFill>
              <a:schemeClr val="accent2"/>
            </a:solidFill>
            <a:prstDash val="solid"/>
            <a:round/>
          </a:ln>
          <a:effectLst/>
        </c:spPr>
        <c:marker>
          <c:spPr>
            <a:solidFill>
              <a:schemeClr val="accent2"/>
            </a:solidFill>
            <a:ln w="6350" cap="flat" cmpd="sng" algn="ctr">
              <a:solidFill>
                <a:schemeClr val="accent2"/>
              </a:solidFill>
              <a:prstDash val="solid"/>
              <a:round/>
            </a:ln>
            <a:effectLst/>
          </c:spPr>
        </c:marker>
      </c:pivotFmt>
      <c:pivotFmt>
        <c:idx val="1"/>
        <c:spPr>
          <a:solidFill>
            <a:schemeClr val="accent2"/>
          </a:solidFill>
          <a:ln>
            <a:noFill/>
          </a:ln>
          <a:effectLst/>
        </c:spPr>
        <c:marker>
          <c:symbol val="none"/>
        </c:marker>
      </c:pivotFmt>
      <c:pivotFmt>
        <c:idx val="2"/>
        <c:spPr>
          <a:solidFill>
            <a:schemeClr val="accent2"/>
          </a:solidFill>
          <a:ln w="19050" cap="rnd" cmpd="sng" algn="ctr">
            <a:solidFill>
              <a:schemeClr val="accent2"/>
            </a:solidFill>
            <a:prstDash val="solid"/>
            <a:round/>
          </a:ln>
          <a:effectLst/>
        </c:spPr>
        <c:marker>
          <c:spPr>
            <a:solidFill>
              <a:schemeClr val="accent2"/>
            </a:solidFill>
            <a:ln w="6350" cap="flat" cmpd="sng" algn="ctr">
              <a:solidFill>
                <a:schemeClr val="accent2"/>
              </a:solidFill>
              <a:prstDash val="solid"/>
              <a:round/>
            </a:ln>
            <a:effectLst/>
          </c:spPr>
        </c:marker>
      </c:pivotFmt>
      <c:pivotFmt>
        <c:idx val="3"/>
        <c:spPr>
          <a:solidFill>
            <a:schemeClr val="accent2"/>
          </a:solidFill>
          <a:ln w="19050" cap="rnd" cmpd="sng" algn="ctr">
            <a:solidFill>
              <a:schemeClr val="accent2">
                <a:lumMod val="75000"/>
              </a:schemeClr>
            </a:solidFill>
            <a:prstDash val="solid"/>
            <a:round/>
          </a:ln>
          <a:effectLst/>
        </c:spPr>
        <c:marker>
          <c:spPr>
            <a:solidFill>
              <a:schemeClr val="accent2">
                <a:lumMod val="75000"/>
              </a:schemeClr>
            </a:solidFill>
            <a:ln w="6350" cap="flat" cmpd="sng" algn="ctr">
              <a:solidFill>
                <a:schemeClr val="accent2">
                  <a:lumMod val="75000"/>
                </a:schemeClr>
              </a:solidFill>
              <a:prstDash val="solid"/>
              <a:round/>
            </a:ln>
            <a:effectLst/>
          </c:spPr>
        </c:marker>
      </c:pivotFmt>
      <c:pivotFmt>
        <c:idx val="4"/>
        <c:spPr>
          <a:solidFill>
            <a:schemeClr val="accent2">
              <a:lumMod val="60000"/>
              <a:lumOff val="40000"/>
            </a:schemeClr>
          </a:solidFill>
          <a:ln>
            <a:noFill/>
          </a:ln>
          <a:effectLst/>
        </c:spPr>
        <c:marker>
          <c:symbol val="none"/>
        </c:marker>
      </c:pivotFmt>
      <c:pivotFmt>
        <c:idx val="5"/>
        <c:spPr>
          <a:solidFill>
            <a:schemeClr val="accent2"/>
          </a:solidFill>
          <a:ln>
            <a:noFill/>
          </a:ln>
          <a:effectLst/>
        </c:spPr>
        <c:marker>
          <c:symbol val="none"/>
        </c:marker>
      </c:pivotFmt>
      <c:pivotFmt>
        <c:idx val="6"/>
        <c:spPr>
          <a:solidFill>
            <a:schemeClr val="accent2"/>
          </a:solidFill>
          <a:ln>
            <a:noFill/>
          </a:ln>
          <a:effectLst/>
        </c:spPr>
        <c:marker>
          <c:symbol val="none"/>
        </c:marker>
      </c:pivotFmt>
      <c:pivotFmt>
        <c:idx val="7"/>
        <c:spPr>
          <a:solidFill>
            <a:schemeClr val="accent2"/>
          </a:solidFill>
          <a:ln w="19050" cap="rnd" cmpd="sng" algn="ctr">
            <a:solidFill>
              <a:schemeClr val="accent2"/>
            </a:solidFill>
            <a:prstDash val="solid"/>
            <a:round/>
          </a:ln>
          <a:effectLst/>
        </c:spPr>
        <c:marker>
          <c:symbol val="none"/>
        </c:marker>
      </c:pivotFmt>
      <c:pivotFmt>
        <c:idx val="8"/>
        <c:spPr>
          <a:ln w="19050" cap="rnd" cmpd="sng" algn="ctr">
            <a:solidFill>
              <a:schemeClr val="accent2"/>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589313445157894"/>
          <c:y val="0.16010402244750851"/>
          <c:w val="0.6940919145561707"/>
          <c:h val="0.57871174447759355"/>
        </c:manualLayout>
      </c:layout>
      <c:barChart>
        <c:barDir val="col"/>
        <c:grouping val="clustered"/>
        <c:varyColors val="0"/>
        <c:ser>
          <c:idx val="0"/>
          <c:order val="0"/>
          <c:tx>
            <c:strRef>
              <c:f>'LAMP Results'!$CJ$6</c:f>
              <c:strCache>
                <c:ptCount val="1"/>
                <c:pt idx="0">
                  <c:v>Traffic Delay Cost</c:v>
                </c:pt>
              </c:strCache>
            </c:strRef>
          </c:tx>
          <c:spPr>
            <a:solidFill>
              <a:schemeClr val="accent2"/>
            </a:solidFill>
            <a:ln>
              <a:noFill/>
            </a:ln>
            <a:effectLst/>
          </c:spPr>
          <c:invertIfNegative val="0"/>
          <c:cat>
            <c:strRef>
              <c:f>'LAMP Results'!$CI$7</c:f>
              <c:strCache>
                <c:ptCount val="1"/>
                <c:pt idx="0">
                  <c:v>0</c:v>
                </c:pt>
              </c:strCache>
            </c:strRef>
          </c:cat>
          <c:val>
            <c:numRef>
              <c:f>'LAMP Results'!$CJ$7</c:f>
              <c:numCache>
                <c:formatCode>General</c:formatCode>
                <c:ptCount val="1"/>
                <c:pt idx="0">
                  <c:v>1885707.6590073826</c:v>
                </c:pt>
              </c:numCache>
            </c:numRef>
          </c:val>
          <c:extLst>
            <c:ext xmlns:c16="http://schemas.microsoft.com/office/drawing/2014/chart" uri="{C3380CC4-5D6E-409C-BE32-E72D297353CC}">
              <c16:uniqueId val="{00000000-DE9C-4014-AF7B-00945C614403}"/>
            </c:ext>
          </c:extLst>
        </c:ser>
        <c:dLbls>
          <c:showLegendKey val="0"/>
          <c:showVal val="0"/>
          <c:showCatName val="0"/>
          <c:showSerName val="0"/>
          <c:showPercent val="0"/>
          <c:showBubbleSize val="0"/>
        </c:dLbls>
        <c:gapWidth val="150"/>
        <c:axId val="631654536"/>
        <c:axId val="631654928"/>
      </c:barChart>
      <c:lineChart>
        <c:grouping val="standard"/>
        <c:varyColors val="0"/>
        <c:ser>
          <c:idx val="1"/>
          <c:order val="1"/>
          <c:tx>
            <c:strRef>
              <c:f>'LAMP Results'!$CK$6</c:f>
              <c:strCache>
                <c:ptCount val="1"/>
                <c:pt idx="0">
                  <c:v>No. Structures at risk</c:v>
                </c:pt>
              </c:strCache>
            </c:strRef>
          </c:tx>
          <c:spPr>
            <a:ln w="19050" cap="rnd" cmpd="sng" algn="ctr">
              <a:solidFill>
                <a:schemeClr val="accent4"/>
              </a:solidFill>
              <a:prstDash val="solid"/>
              <a:round/>
            </a:ln>
            <a:effectLst/>
          </c:spPr>
          <c:marker>
            <c:symbol val="none"/>
          </c:marker>
          <c:cat>
            <c:strRef>
              <c:f>'LAMP Results'!$CI$7</c:f>
              <c:strCache>
                <c:ptCount val="1"/>
                <c:pt idx="0">
                  <c:v>0</c:v>
                </c:pt>
              </c:strCache>
            </c:strRef>
          </c:cat>
          <c:val>
            <c:numRef>
              <c:f>'LAMP Results'!$CK$7</c:f>
              <c:numCache>
                <c:formatCode>General</c:formatCode>
                <c:ptCount val="1"/>
                <c:pt idx="0">
                  <c:v>134</c:v>
                </c:pt>
              </c:numCache>
            </c:numRef>
          </c:val>
          <c:smooth val="0"/>
          <c:extLst>
            <c:ext xmlns:c16="http://schemas.microsoft.com/office/drawing/2014/chart" uri="{C3380CC4-5D6E-409C-BE32-E72D297353CC}">
              <c16:uniqueId val="{00000001-DE9C-4014-AF7B-00945C614403}"/>
            </c:ext>
          </c:extLst>
        </c:ser>
        <c:dLbls>
          <c:showLegendKey val="0"/>
          <c:showVal val="0"/>
          <c:showCatName val="0"/>
          <c:showSerName val="0"/>
          <c:showPercent val="0"/>
          <c:showBubbleSize val="0"/>
        </c:dLbls>
        <c:marker val="1"/>
        <c:smooth val="0"/>
        <c:axId val="913192904"/>
        <c:axId val="967401752"/>
      </c:lineChart>
      <c:catAx>
        <c:axId val="631654536"/>
        <c:scaling>
          <c:orientation val="minMax"/>
        </c:scaling>
        <c:delete val="0"/>
        <c:axPos val="b"/>
        <c:title>
          <c:tx>
            <c:rich>
              <a:bodyPr rot="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r>
                  <a:rPr lang="en-GB"/>
                  <a:t>Year</a:t>
                </a:r>
              </a:p>
            </c:rich>
          </c:tx>
          <c:layout>
            <c:manualLayout>
              <c:xMode val="edge"/>
              <c:yMode val="edge"/>
              <c:x val="0.49088336450431141"/>
              <c:y val="0.79918422935525579"/>
            </c:manualLayout>
          </c:layout>
          <c:overlay val="0"/>
          <c:spPr>
            <a:noFill/>
            <a:ln w="25400">
              <a:noFill/>
            </a:ln>
            <a:effectLst/>
          </c:spPr>
          <c:txPr>
            <a:bodyPr rot="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title>
        <c:numFmt formatCode="General" sourceLinked="1"/>
        <c:majorTickMark val="none"/>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crossAx val="631654928"/>
        <c:crosses val="autoZero"/>
        <c:auto val="0"/>
        <c:lblAlgn val="ctr"/>
        <c:lblOffset val="100"/>
        <c:noMultiLvlLbl val="0"/>
      </c:catAx>
      <c:valAx>
        <c:axId val="631654928"/>
        <c:scaling>
          <c:orientation val="minMax"/>
        </c:scaling>
        <c:delete val="0"/>
        <c:axPos val="l"/>
        <c:majorGridlines>
          <c:spPr>
            <a:ln w="3175" cap="flat" cmpd="sng" algn="ctr">
              <a:solidFill>
                <a:srgbClr val="C0C0C0"/>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r>
                  <a:rPr lang="en-GB"/>
                  <a:t>Traffic</a:t>
                </a:r>
                <a:r>
                  <a:rPr lang="en-GB" baseline="0"/>
                  <a:t> Delay Cost (£k)</a:t>
                </a:r>
                <a:endParaRPr lang="en-GB"/>
              </a:p>
            </c:rich>
          </c:tx>
          <c:layout>
            <c:manualLayout>
              <c:xMode val="edge"/>
              <c:yMode val="edge"/>
              <c:x val="4.713993447822943E-2"/>
              <c:y val="0.28013766926696215"/>
            </c:manualLayout>
          </c:layout>
          <c:overlay val="0"/>
          <c:spPr>
            <a:noFill/>
            <a:ln w="25400">
              <a:noFill/>
            </a:ln>
            <a:effectLst/>
          </c:spPr>
          <c:txPr>
            <a:bodyPr rot="-540000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GB"/>
            </a:p>
          </c:txPr>
        </c:title>
        <c:numFmt formatCode="&quot;£&quot;#,&quot;k&quot;" sourceLinked="0"/>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crossAx val="631654536"/>
        <c:crosses val="autoZero"/>
        <c:crossBetween val="between"/>
        <c:minorUnit val="1"/>
      </c:valAx>
      <c:valAx>
        <c:axId val="967401752"/>
        <c:scaling>
          <c:orientation val="minMax"/>
        </c:scaling>
        <c:delete val="0"/>
        <c:axPos val="r"/>
        <c:title>
          <c:tx>
            <c:rich>
              <a:bodyPr rot="-540000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r>
                  <a:rPr lang="en-GB"/>
                  <a:t>No. Structures</a:t>
                </a:r>
                <a:r>
                  <a:rPr lang="en-GB" baseline="0"/>
                  <a:t> at Risk</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GB"/>
            </a:p>
          </c:txPr>
        </c:title>
        <c:numFmt formatCode="General" sourceLinked="1"/>
        <c:majorTickMark val="out"/>
        <c:minorTickMark val="none"/>
        <c:tickLblPos val="nextTo"/>
        <c:spPr>
          <a:noFill/>
          <a:ln w="6350" cap="flat"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crossAx val="913192904"/>
        <c:crosses val="max"/>
        <c:crossBetween val="between"/>
      </c:valAx>
      <c:catAx>
        <c:axId val="913192904"/>
        <c:scaling>
          <c:orientation val="minMax"/>
        </c:scaling>
        <c:delete val="1"/>
        <c:axPos val="b"/>
        <c:numFmt formatCode="General" sourceLinked="1"/>
        <c:majorTickMark val="out"/>
        <c:minorTickMark val="none"/>
        <c:tickLblPos val="nextTo"/>
        <c:crossAx val="967401752"/>
        <c:crosses val="autoZero"/>
        <c:auto val="1"/>
        <c:lblAlgn val="ctr"/>
        <c:lblOffset val="100"/>
        <c:noMultiLvlLbl val="0"/>
      </c:catAx>
      <c:spPr>
        <a:solidFill>
          <a:srgbClr val="FFFFFF"/>
        </a:solidFill>
        <a:ln w="9525">
          <a:solidFill>
            <a:srgbClr val="000000"/>
          </a:solidFill>
          <a:prstDash val="solid"/>
        </a:ln>
        <a:effectLst/>
      </c:spPr>
    </c:plotArea>
    <c:legend>
      <c:legendPos val="b"/>
      <c:layout>
        <c:manualLayout>
          <c:xMode val="edge"/>
          <c:yMode val="edge"/>
          <c:x val="0.25521024486688842"/>
          <c:y val="0.88579662644405144"/>
          <c:w val="0.47310540095090331"/>
          <c:h val="4.8706018327758054E-2"/>
        </c:manualLayout>
      </c:layout>
      <c:overlay val="0"/>
      <c:spPr>
        <a:noFill/>
        <a:ln>
          <a:noFill/>
        </a:ln>
        <a:effectLst/>
      </c:spPr>
      <c:txPr>
        <a:bodyPr rot="0" spcFirstLastPara="1" vertOverflow="ellipsis" vert="horz" wrap="square" anchor="ctr" anchorCtr="1"/>
        <a:lstStyle/>
        <a:p>
          <a:pPr>
            <a:defRPr sz="8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legend>
    <c:plotVisOnly val="1"/>
    <c:dispBlanksAs val="gap"/>
    <c:showDLblsOverMax val="0"/>
  </c:chart>
  <c:spPr>
    <a:noFill/>
    <a:ln w="3175" cap="flat" cmpd="sng" algn="ctr">
      <a:noFill/>
      <a:prstDash val="solid"/>
      <a:round/>
    </a:ln>
    <a:effectLst/>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[SAVI v1.10 blank.xlsm]LAMP Results!PivotTable11</c:name>
    <c:fmtId val="6"/>
  </c:pivotSource>
  <c:chart>
    <c:title>
      <c:tx>
        <c:rich>
          <a:bodyPr rot="0" spcFirstLastPara="1" vertOverflow="ellipsis" vert="horz" wrap="square" anchor="ctr" anchorCtr="1"/>
          <a:lstStyle/>
          <a:p>
            <a:pPr>
              <a:defRPr sz="1200" b="0" i="0" u="none" strike="noStrike" kern="1200" baseline="0">
                <a:solidFill>
                  <a:srgbClr val="000000"/>
                </a:solidFill>
                <a:latin typeface="Arial" panose="020B0604020202020204" pitchFamily="34" charset="0"/>
                <a:ea typeface="Arial"/>
                <a:cs typeface="Arial" panose="020B0604020202020204" pitchFamily="34" charset="0"/>
              </a:defRPr>
            </a:pPr>
            <a:r>
              <a:rPr lang="en-GB"/>
              <a:t>Distribution of Average Condition across the Stock</a:t>
            </a:r>
          </a:p>
        </c:rich>
      </c:tx>
      <c:layout>
        <c:manualLayout>
          <c:xMode val="edge"/>
          <c:yMode val="edge"/>
          <c:x val="0.23097181878269307"/>
          <c:y val="5.4754764874818465E-2"/>
        </c:manualLayout>
      </c:layout>
      <c:overlay val="0"/>
      <c:spPr>
        <a:noFill/>
        <a:ln w="25400">
          <a:noFill/>
        </a:ln>
        <a:effectLst/>
      </c:spPr>
      <c:txPr>
        <a:bodyPr rot="0" spcFirstLastPara="1" vertOverflow="ellipsis" vert="horz" wrap="square" anchor="ctr" anchorCtr="1"/>
        <a:lstStyle/>
        <a:p>
          <a:pPr>
            <a:defRPr sz="12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2"/>
          </a:solidFill>
          <a:ln>
            <a:noFill/>
          </a:ln>
          <a:effectLst/>
        </c:spPr>
        <c:marker>
          <c:symbol val="none"/>
        </c:marker>
      </c:pivotFmt>
      <c:pivotFmt>
        <c:idx val="3"/>
        <c:spPr>
          <a:solidFill>
            <a:schemeClr val="accent2"/>
          </a:solidFill>
          <a:ln>
            <a:noFill/>
          </a:ln>
          <a:effectLst/>
        </c:spPr>
        <c:marker>
          <c:symbol val="none"/>
        </c:marker>
      </c:pivotFmt>
      <c:pivotFmt>
        <c:idx val="4"/>
        <c:spPr>
          <a:solidFill>
            <a:schemeClr val="accent2"/>
          </a:solidFill>
          <a:ln>
            <a:noFill/>
          </a:ln>
          <a:effectLst/>
        </c:spPr>
        <c:marker>
          <c:symbol val="none"/>
        </c:marker>
      </c:pivotFmt>
      <c:pivotFmt>
        <c:idx val="5"/>
        <c:spPr>
          <a:solidFill>
            <a:schemeClr val="accent2"/>
          </a:solidFill>
          <a:ln>
            <a:noFill/>
          </a:ln>
          <a:effectLst/>
        </c:spPr>
        <c:marker>
          <c:symbol val="none"/>
        </c:marker>
      </c:pivotFmt>
      <c:pivotFmt>
        <c:idx val="6"/>
        <c:spPr>
          <a:solidFill>
            <a:schemeClr val="accent2"/>
          </a:solidFill>
          <a:ln>
            <a:noFill/>
          </a:ln>
          <a:effectLst/>
        </c:spPr>
        <c:marker>
          <c:symbol val="none"/>
        </c:marker>
      </c:pivotFmt>
      <c:pivotFmt>
        <c:idx val="7"/>
        <c:spPr>
          <a:solidFill>
            <a:schemeClr val="accent2"/>
          </a:solidFill>
          <a:ln>
            <a:noFill/>
          </a:ln>
          <a:effectLst/>
        </c:spPr>
        <c:marker>
          <c:symbol val="none"/>
        </c:marker>
      </c:pivotFmt>
      <c:pivotFmt>
        <c:idx val="8"/>
        <c:spPr>
          <a:solidFill>
            <a:schemeClr val="accent2"/>
          </a:solidFill>
          <a:ln>
            <a:noFill/>
          </a:ln>
          <a:effectLst/>
        </c:spPr>
        <c:marker>
          <c:symbol val="none"/>
        </c:marker>
      </c:pivotFmt>
      <c:pivotFmt>
        <c:idx val="9"/>
        <c:spPr>
          <a:solidFill>
            <a:schemeClr val="accent2"/>
          </a:solidFill>
          <a:ln>
            <a:noFill/>
          </a:ln>
          <a:effectLst/>
        </c:spPr>
        <c:marker>
          <c:symbol val="none"/>
        </c:marker>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950215892828165"/>
          <c:y val="0.15433896141118841"/>
          <c:w val="0.74796482519418228"/>
          <c:h val="0.60768695368823233"/>
        </c:manualLayout>
      </c:layout>
      <c:barChart>
        <c:barDir val="col"/>
        <c:grouping val="stacked"/>
        <c:varyColors val="0"/>
        <c:ser>
          <c:idx val="0"/>
          <c:order val="0"/>
          <c:tx>
            <c:strRef>
              <c:f>'LAMP Results'!$EG$6</c:f>
              <c:strCache>
                <c:ptCount val="1"/>
                <c:pt idx="0">
                  <c:v>Very poor </c:v>
                </c:pt>
              </c:strCache>
            </c:strRef>
          </c:tx>
          <c:spPr>
            <a:solidFill>
              <a:srgbClr val="C00000"/>
            </a:solidFill>
            <a:ln>
              <a:noFill/>
            </a:ln>
            <a:effectLst/>
          </c:spPr>
          <c:invertIfNegative val="0"/>
          <c:cat>
            <c:strRef>
              <c:f>'LAMP Results'!$EF$7</c:f>
              <c:strCache>
                <c:ptCount val="1"/>
                <c:pt idx="0">
                  <c:v>0</c:v>
                </c:pt>
              </c:strCache>
            </c:strRef>
          </c:cat>
          <c:val>
            <c:numRef>
              <c:f>'LAMP Results'!$EG$7</c:f>
              <c:numCache>
                <c:formatCode>General</c:formatCode>
                <c:ptCount val="1"/>
                <c:pt idx="0">
                  <c:v>0</c:v>
                </c:pt>
              </c:numCache>
            </c:numRef>
          </c:val>
          <c:extLst>
            <c:ext xmlns:c16="http://schemas.microsoft.com/office/drawing/2014/chart" uri="{C3380CC4-5D6E-409C-BE32-E72D297353CC}">
              <c16:uniqueId val="{00000000-62A0-4163-94D6-427DBE7AED28}"/>
            </c:ext>
          </c:extLst>
        </c:ser>
        <c:ser>
          <c:idx val="1"/>
          <c:order val="1"/>
          <c:tx>
            <c:strRef>
              <c:f>'LAMP Results'!$EH$6</c:f>
              <c:strCache>
                <c:ptCount val="1"/>
                <c:pt idx="0">
                  <c:v>Poor </c:v>
                </c:pt>
              </c:strCache>
            </c:strRef>
          </c:tx>
          <c:spPr>
            <a:solidFill>
              <a:schemeClr val="accent2"/>
            </a:solidFill>
            <a:ln>
              <a:noFill/>
            </a:ln>
            <a:effectLst/>
          </c:spPr>
          <c:invertIfNegative val="0"/>
          <c:cat>
            <c:strRef>
              <c:f>'LAMP Results'!$EF$7</c:f>
              <c:strCache>
                <c:ptCount val="1"/>
                <c:pt idx="0">
                  <c:v>0</c:v>
                </c:pt>
              </c:strCache>
            </c:strRef>
          </c:cat>
          <c:val>
            <c:numRef>
              <c:f>'LAMP Results'!$EH$7</c:f>
              <c:numCache>
                <c:formatCode>General</c:formatCode>
                <c:ptCount val="1"/>
                <c:pt idx="0">
                  <c:v>55</c:v>
                </c:pt>
              </c:numCache>
            </c:numRef>
          </c:val>
          <c:extLst>
            <c:ext xmlns:c16="http://schemas.microsoft.com/office/drawing/2014/chart" uri="{C3380CC4-5D6E-409C-BE32-E72D297353CC}">
              <c16:uniqueId val="{00000001-62A0-4163-94D6-427DBE7AED28}"/>
            </c:ext>
          </c:extLst>
        </c:ser>
        <c:ser>
          <c:idx val="2"/>
          <c:order val="2"/>
          <c:tx>
            <c:strRef>
              <c:f>'LAMP Results'!$EI$6</c:f>
              <c:strCache>
                <c:ptCount val="1"/>
                <c:pt idx="0">
                  <c:v>Fair </c:v>
                </c:pt>
              </c:strCache>
            </c:strRef>
          </c:tx>
          <c:spPr>
            <a:solidFill>
              <a:schemeClr val="accent4"/>
            </a:solidFill>
            <a:ln>
              <a:noFill/>
            </a:ln>
            <a:effectLst/>
          </c:spPr>
          <c:invertIfNegative val="0"/>
          <c:cat>
            <c:strRef>
              <c:f>'LAMP Results'!$EF$7</c:f>
              <c:strCache>
                <c:ptCount val="1"/>
                <c:pt idx="0">
                  <c:v>0</c:v>
                </c:pt>
              </c:strCache>
            </c:strRef>
          </c:cat>
          <c:val>
            <c:numRef>
              <c:f>'LAMP Results'!$EI$7</c:f>
              <c:numCache>
                <c:formatCode>General</c:formatCode>
                <c:ptCount val="1"/>
                <c:pt idx="0">
                  <c:v>89</c:v>
                </c:pt>
              </c:numCache>
            </c:numRef>
          </c:val>
          <c:extLst>
            <c:ext xmlns:c16="http://schemas.microsoft.com/office/drawing/2014/chart" uri="{C3380CC4-5D6E-409C-BE32-E72D297353CC}">
              <c16:uniqueId val="{00000002-62A0-4163-94D6-427DBE7AED28}"/>
            </c:ext>
          </c:extLst>
        </c:ser>
        <c:ser>
          <c:idx val="3"/>
          <c:order val="3"/>
          <c:tx>
            <c:strRef>
              <c:f>'LAMP Results'!$EJ$6</c:f>
              <c:strCache>
                <c:ptCount val="1"/>
                <c:pt idx="0">
                  <c:v>Good </c:v>
                </c:pt>
              </c:strCache>
            </c:strRef>
          </c:tx>
          <c:spPr>
            <a:solidFill>
              <a:schemeClr val="accent6">
                <a:lumMod val="60000"/>
                <a:lumOff val="40000"/>
              </a:schemeClr>
            </a:solidFill>
            <a:ln>
              <a:noFill/>
            </a:ln>
            <a:effectLst/>
          </c:spPr>
          <c:invertIfNegative val="0"/>
          <c:cat>
            <c:strRef>
              <c:f>'LAMP Results'!$EF$7</c:f>
              <c:strCache>
                <c:ptCount val="1"/>
                <c:pt idx="0">
                  <c:v>0</c:v>
                </c:pt>
              </c:strCache>
            </c:strRef>
          </c:cat>
          <c:val>
            <c:numRef>
              <c:f>'LAMP Results'!$EJ$7</c:f>
              <c:numCache>
                <c:formatCode>General</c:formatCode>
                <c:ptCount val="1"/>
                <c:pt idx="0">
                  <c:v>283</c:v>
                </c:pt>
              </c:numCache>
            </c:numRef>
          </c:val>
          <c:extLst>
            <c:ext xmlns:c16="http://schemas.microsoft.com/office/drawing/2014/chart" uri="{C3380CC4-5D6E-409C-BE32-E72D297353CC}">
              <c16:uniqueId val="{00000003-62A0-4163-94D6-427DBE7AED28}"/>
            </c:ext>
          </c:extLst>
        </c:ser>
        <c:ser>
          <c:idx val="4"/>
          <c:order val="4"/>
          <c:tx>
            <c:strRef>
              <c:f>'LAMP Results'!$EK$6</c:f>
              <c:strCache>
                <c:ptCount val="1"/>
                <c:pt idx="0">
                  <c:v>Very Good </c:v>
                </c:pt>
              </c:strCache>
            </c:strRef>
          </c:tx>
          <c:spPr>
            <a:solidFill>
              <a:schemeClr val="accent6"/>
            </a:solidFill>
            <a:ln>
              <a:noFill/>
            </a:ln>
            <a:effectLst/>
          </c:spPr>
          <c:invertIfNegative val="0"/>
          <c:cat>
            <c:strRef>
              <c:f>'LAMP Results'!$EF$7</c:f>
              <c:strCache>
                <c:ptCount val="1"/>
                <c:pt idx="0">
                  <c:v>0</c:v>
                </c:pt>
              </c:strCache>
            </c:strRef>
          </c:cat>
          <c:val>
            <c:numRef>
              <c:f>'LAMP Results'!$EK$7</c:f>
              <c:numCache>
                <c:formatCode>General</c:formatCode>
                <c:ptCount val="1"/>
                <c:pt idx="0">
                  <c:v>273</c:v>
                </c:pt>
              </c:numCache>
            </c:numRef>
          </c:val>
          <c:extLst>
            <c:ext xmlns:c16="http://schemas.microsoft.com/office/drawing/2014/chart" uri="{C3380CC4-5D6E-409C-BE32-E72D297353CC}">
              <c16:uniqueId val="{00000004-62A0-4163-94D6-427DBE7AED28}"/>
            </c:ext>
          </c:extLst>
        </c:ser>
        <c:dLbls>
          <c:showLegendKey val="0"/>
          <c:showVal val="0"/>
          <c:showCatName val="0"/>
          <c:showSerName val="0"/>
          <c:showPercent val="0"/>
          <c:showBubbleSize val="0"/>
        </c:dLbls>
        <c:gapWidth val="100"/>
        <c:overlap val="100"/>
        <c:axId val="631656584"/>
        <c:axId val="631656976"/>
      </c:barChart>
      <c:catAx>
        <c:axId val="631656584"/>
        <c:scaling>
          <c:orientation val="minMax"/>
        </c:scaling>
        <c:delete val="0"/>
        <c:axPos val="b"/>
        <c:title>
          <c:tx>
            <c:rich>
              <a:bodyPr rot="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r>
                  <a:rPr lang="en-GB"/>
                  <a:t>Year</a:t>
                </a:r>
              </a:p>
            </c:rich>
          </c:tx>
          <c:layout>
            <c:manualLayout>
              <c:xMode val="edge"/>
              <c:yMode val="edge"/>
              <c:x val="0.50134896873882739"/>
              <c:y val="0.81546885062677688"/>
            </c:manualLayout>
          </c:layout>
          <c:overlay val="0"/>
          <c:spPr>
            <a:noFill/>
            <a:ln w="25400">
              <a:noFill/>
            </a:ln>
            <a:effectLst/>
          </c:spPr>
          <c:txPr>
            <a:bodyPr rot="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title>
        <c:numFmt formatCode="General" sourceLinked="1"/>
        <c:majorTickMark val="none"/>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crossAx val="631656976"/>
        <c:crosses val="autoZero"/>
        <c:auto val="1"/>
        <c:lblAlgn val="ctr"/>
        <c:lblOffset val="100"/>
        <c:tickMarkSkip val="1"/>
        <c:noMultiLvlLbl val="0"/>
      </c:catAx>
      <c:valAx>
        <c:axId val="631656976"/>
        <c:scaling>
          <c:orientation val="minMax"/>
        </c:scaling>
        <c:delete val="0"/>
        <c:axPos val="l"/>
        <c:majorGridlines>
          <c:spPr>
            <a:ln w="3175" cap="flat" cmpd="sng" algn="ctr">
              <a:solidFill>
                <a:srgbClr val="C0C0C0"/>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r>
                  <a:rPr lang="en-GB"/>
                  <a:t>Number of Structures</a:t>
                </a:r>
              </a:p>
            </c:rich>
          </c:tx>
          <c:layout>
            <c:manualLayout>
              <c:xMode val="edge"/>
              <c:yMode val="edge"/>
              <c:x val="6.0136179338173584E-2"/>
              <c:y val="0.29230802218226981"/>
            </c:manualLayout>
          </c:layout>
          <c:overlay val="0"/>
          <c:spPr>
            <a:noFill/>
            <a:ln w="25400">
              <a:noFill/>
            </a:ln>
            <a:effectLst/>
          </c:spPr>
          <c:txPr>
            <a:bodyPr rot="-5400000" spcFirstLastPara="1" vertOverflow="ellipsis" vert="horz"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title>
        <c:numFmt formatCode="#,##0" sourceLinked="0"/>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0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crossAx val="631656584"/>
        <c:crosses val="autoZero"/>
        <c:crossBetween val="between"/>
      </c:valAx>
      <c:spPr>
        <a:solidFill>
          <a:srgbClr val="FFFFFF"/>
        </a:solidFill>
        <a:ln w="9525">
          <a:solidFill>
            <a:srgbClr val="000000"/>
          </a:solidFill>
          <a:prstDash val="solid"/>
        </a:ln>
        <a:effectLst/>
      </c:spPr>
    </c:plotArea>
    <c:legend>
      <c:legendPos val="b"/>
      <c:layout>
        <c:manualLayout>
          <c:xMode val="edge"/>
          <c:yMode val="edge"/>
          <c:x val="0.23463857809067945"/>
          <c:y val="0.89428687349860037"/>
          <c:w val="0.59345640486252327"/>
          <c:h val="6.4325893559485051E-2"/>
        </c:manualLayout>
      </c:layout>
      <c:overlay val="0"/>
      <c:spPr>
        <a:noFill/>
        <a:ln w="3175">
          <a:noFill/>
          <a:prstDash val="solid"/>
        </a:ln>
        <a:effectLst/>
      </c:spPr>
      <c:txPr>
        <a:bodyPr rot="0" spcFirstLastPara="1" vertOverflow="ellipsis" vert="horz" wrap="square" anchor="ctr" anchorCtr="1"/>
        <a:lstStyle/>
        <a:p>
          <a:pPr>
            <a:defRPr sz="800" b="0" i="0" u="none" strike="noStrike" kern="1200" baseline="0">
              <a:solidFill>
                <a:srgbClr val="000000"/>
              </a:solidFill>
              <a:latin typeface="Arial" panose="020B0604020202020204" pitchFamily="34" charset="0"/>
              <a:ea typeface="Arial"/>
              <a:cs typeface="Arial" panose="020B0604020202020204" pitchFamily="34" charset="0"/>
            </a:defRPr>
          </a:pPr>
          <a:endParaRPr lang="en-US"/>
        </a:p>
      </c:txPr>
    </c:legend>
    <c:plotVisOnly val="1"/>
    <c:dispBlanksAs val="gap"/>
    <c:showDLblsOverMax val="0"/>
  </c:chart>
  <c:spPr>
    <a:noFill/>
    <a:ln w="3175" cap="flat" cmpd="sng" algn="ctr">
      <a:noFill/>
      <a:prstDash val="solid"/>
      <a:round/>
    </a:ln>
    <a:effectLst/>
  </c:spPr>
  <c:txPr>
    <a:bodyPr/>
    <a:lstStyle/>
    <a:p>
      <a:pPr>
        <a:defRPr sz="1000" b="0" i="0" u="none" strike="noStrike" baseline="0">
          <a:solidFill>
            <a:srgbClr val="000000"/>
          </a:solidFill>
          <a:latin typeface="Arial" panose="020B0604020202020204" pitchFamily="34" charset="0"/>
          <a:ea typeface="Arial"/>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[SAVI v1.10 blank.xlsm]LAMP Results!PivotTable12</c:name>
    <c:fmtId val="7"/>
  </c:pivotSource>
  <c:chart>
    <c:title>
      <c:tx>
        <c:rich>
          <a:bodyPr rot="0" spcFirstLastPara="1" vertOverflow="ellipsis" vert="horz" wrap="square" anchor="ctr" anchorCtr="1"/>
          <a:lstStyle/>
          <a:p>
            <a:pPr algn="ctr" rtl="0">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GB"/>
              <a:t>Structure Stock Score (SSS) by</a:t>
            </a:r>
            <a:r>
              <a:rPr lang="en-GB" baseline="0"/>
              <a:t> Structure Type</a:t>
            </a:r>
            <a:endParaRPr lang="en-GB"/>
          </a:p>
        </c:rich>
      </c:tx>
      <c:layout>
        <c:manualLayout>
          <c:xMode val="edge"/>
          <c:yMode val="edge"/>
          <c:x val="0.25023198944394248"/>
          <c:y val="3.9291684100639455E-2"/>
        </c:manualLayout>
      </c:layout>
      <c:overlay val="0"/>
      <c:spPr>
        <a:noFill/>
        <a:ln>
          <a:noFill/>
        </a:ln>
        <a:effectLst/>
      </c:spPr>
      <c:txPr>
        <a:bodyPr rot="0" spcFirstLastPara="1" vertOverflow="ellipsis" vert="horz" wrap="square" anchor="ctr" anchorCtr="1"/>
        <a:lstStyle/>
        <a:p>
          <a:pPr algn="ctr" rtl="0">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GB"/>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667814256295174"/>
          <c:y val="0.13752735702296917"/>
          <c:w val="0.77664931464307974"/>
          <c:h val="0.62512899259061672"/>
        </c:manualLayout>
      </c:layout>
      <c:lineChart>
        <c:grouping val="standard"/>
        <c:varyColors val="0"/>
        <c:ser>
          <c:idx val="0"/>
          <c:order val="0"/>
          <c:tx>
            <c:strRef>
              <c:f>'LAMP Results'!$EO$6</c:f>
              <c:strCache>
                <c:ptCount val="1"/>
                <c:pt idx="0">
                  <c:v>Bridges </c:v>
                </c:pt>
              </c:strCache>
            </c:strRef>
          </c:tx>
          <c:spPr>
            <a:ln w="19050" cap="rnd">
              <a:solidFill>
                <a:schemeClr val="accent1"/>
              </a:solidFill>
              <a:round/>
            </a:ln>
            <a:effectLst/>
          </c:spPr>
          <c:marker>
            <c:symbol val="none"/>
          </c:marker>
          <c:cat>
            <c:strRef>
              <c:f>'LAMP Results'!$EN$7</c:f>
              <c:strCache>
                <c:ptCount val="1"/>
                <c:pt idx="0">
                  <c:v>0</c:v>
                </c:pt>
              </c:strCache>
            </c:strRef>
          </c:cat>
          <c:val>
            <c:numRef>
              <c:f>'LAMP Results'!$EO$7</c:f>
              <c:numCache>
                <c:formatCode>0%</c:formatCode>
                <c:ptCount val="1"/>
                <c:pt idx="0">
                  <c:v>0.96594117851698802</c:v>
                </c:pt>
              </c:numCache>
            </c:numRef>
          </c:val>
          <c:smooth val="0"/>
          <c:extLst>
            <c:ext xmlns:c16="http://schemas.microsoft.com/office/drawing/2014/chart" uri="{C3380CC4-5D6E-409C-BE32-E72D297353CC}">
              <c16:uniqueId val="{00000000-456E-49F7-8658-D5C732F37639}"/>
            </c:ext>
          </c:extLst>
        </c:ser>
        <c:ser>
          <c:idx val="1"/>
          <c:order val="1"/>
          <c:tx>
            <c:strRef>
              <c:f>'LAMP Results'!$EP$6</c:f>
              <c:strCache>
                <c:ptCount val="1"/>
                <c:pt idx="0">
                  <c:v>Retaining Walls </c:v>
                </c:pt>
              </c:strCache>
            </c:strRef>
          </c:tx>
          <c:spPr>
            <a:ln w="19050" cap="rnd">
              <a:solidFill>
                <a:schemeClr val="accent3"/>
              </a:solidFill>
              <a:round/>
            </a:ln>
            <a:effectLst/>
          </c:spPr>
          <c:marker>
            <c:symbol val="none"/>
          </c:marker>
          <c:cat>
            <c:strRef>
              <c:f>'LAMP Results'!$EN$7</c:f>
              <c:strCache>
                <c:ptCount val="1"/>
                <c:pt idx="0">
                  <c:v>0</c:v>
                </c:pt>
              </c:strCache>
            </c:strRef>
          </c:cat>
          <c:val>
            <c:numRef>
              <c:f>'LAMP Results'!$EP$7</c:f>
              <c:numCache>
                <c:formatCode>0%</c:formatCode>
                <c:ptCount val="1"/>
                <c:pt idx="0">
                  <c:v>0.95597299677135306</c:v>
                </c:pt>
              </c:numCache>
            </c:numRef>
          </c:val>
          <c:smooth val="0"/>
          <c:extLst>
            <c:ext xmlns:c16="http://schemas.microsoft.com/office/drawing/2014/chart" uri="{C3380CC4-5D6E-409C-BE32-E72D297353CC}">
              <c16:uniqueId val="{00000001-456E-49F7-8658-D5C732F37639}"/>
            </c:ext>
          </c:extLst>
        </c:ser>
        <c:ser>
          <c:idx val="2"/>
          <c:order val="2"/>
          <c:tx>
            <c:strRef>
              <c:f>'LAMP Results'!$EQ$6</c:f>
              <c:strCache>
                <c:ptCount val="1"/>
                <c:pt idx="0">
                  <c:v>Culverts </c:v>
                </c:pt>
              </c:strCache>
            </c:strRef>
          </c:tx>
          <c:spPr>
            <a:ln w="19050" cap="rnd">
              <a:solidFill>
                <a:schemeClr val="accent5"/>
              </a:solidFill>
              <a:round/>
            </a:ln>
            <a:effectLst/>
          </c:spPr>
          <c:marker>
            <c:symbol val="none"/>
          </c:marker>
          <c:cat>
            <c:strRef>
              <c:f>'LAMP Results'!$EN$7</c:f>
              <c:strCache>
                <c:ptCount val="1"/>
                <c:pt idx="0">
                  <c:v>0</c:v>
                </c:pt>
              </c:strCache>
            </c:strRef>
          </c:cat>
          <c:val>
            <c:numRef>
              <c:f>'LAMP Results'!$EQ$7</c:f>
              <c:numCache>
                <c:formatCode>0%</c:formatCode>
                <c:ptCount val="1"/>
                <c:pt idx="0">
                  <c:v>0.99467268949941368</c:v>
                </c:pt>
              </c:numCache>
            </c:numRef>
          </c:val>
          <c:smooth val="0"/>
          <c:extLst>
            <c:ext xmlns:c16="http://schemas.microsoft.com/office/drawing/2014/chart" uri="{C3380CC4-5D6E-409C-BE32-E72D297353CC}">
              <c16:uniqueId val="{00000002-456E-49F7-8658-D5C732F37639}"/>
            </c:ext>
          </c:extLst>
        </c:ser>
        <c:ser>
          <c:idx val="3"/>
          <c:order val="3"/>
          <c:tx>
            <c:strRef>
              <c:f>'LAMP Results'!$ER$6</c:f>
              <c:strCache>
                <c:ptCount val="1"/>
                <c:pt idx="0">
                  <c:v>Sign/Signal Gantries </c:v>
                </c:pt>
              </c:strCache>
            </c:strRef>
          </c:tx>
          <c:spPr>
            <a:ln w="19050" cap="rnd">
              <a:solidFill>
                <a:schemeClr val="accent1">
                  <a:lumMod val="60000"/>
                </a:schemeClr>
              </a:solidFill>
              <a:round/>
            </a:ln>
            <a:effectLst/>
          </c:spPr>
          <c:marker>
            <c:symbol val="none"/>
          </c:marker>
          <c:cat>
            <c:strRef>
              <c:f>'LAMP Results'!$EN$7</c:f>
              <c:strCache>
                <c:ptCount val="1"/>
                <c:pt idx="0">
                  <c:v>0</c:v>
                </c:pt>
              </c:strCache>
            </c:strRef>
          </c:cat>
          <c:val>
            <c:numRef>
              <c:f>'LAMP Results'!$ER$7</c:f>
              <c:numCache>
                <c:formatCode>0%</c:formatCode>
                <c:ptCount val="1"/>
                <c:pt idx="0">
                  <c:v>1</c:v>
                </c:pt>
              </c:numCache>
            </c:numRef>
          </c:val>
          <c:smooth val="0"/>
          <c:extLst>
            <c:ext xmlns:c16="http://schemas.microsoft.com/office/drawing/2014/chart" uri="{C3380CC4-5D6E-409C-BE32-E72D297353CC}">
              <c16:uniqueId val="{00000003-456E-49F7-8658-D5C732F37639}"/>
            </c:ext>
          </c:extLst>
        </c:ser>
        <c:ser>
          <c:idx val="4"/>
          <c:order val="4"/>
          <c:tx>
            <c:strRef>
              <c:f>'LAMP Results'!$ES$6</c:f>
              <c:strCache>
                <c:ptCount val="1"/>
                <c:pt idx="0">
                  <c:v>High Mast Lighting </c:v>
                </c:pt>
              </c:strCache>
            </c:strRef>
          </c:tx>
          <c:spPr>
            <a:ln w="19050" cap="rnd">
              <a:solidFill>
                <a:schemeClr val="accent3">
                  <a:lumMod val="60000"/>
                </a:schemeClr>
              </a:solidFill>
              <a:round/>
            </a:ln>
            <a:effectLst/>
          </c:spPr>
          <c:marker>
            <c:symbol val="none"/>
          </c:marker>
          <c:cat>
            <c:strRef>
              <c:f>'LAMP Results'!$EN$7</c:f>
              <c:strCache>
                <c:ptCount val="1"/>
                <c:pt idx="0">
                  <c:v>0</c:v>
                </c:pt>
              </c:strCache>
            </c:strRef>
          </c:cat>
          <c:val>
            <c:numRef>
              <c:f>'LAMP Results'!$ES$7</c:f>
              <c:numCache>
                <c:formatCode>0%</c:formatCode>
                <c:ptCount val="1"/>
                <c:pt idx="0">
                  <c:v>0</c:v>
                </c:pt>
              </c:numCache>
            </c:numRef>
          </c:val>
          <c:smooth val="0"/>
          <c:extLst>
            <c:ext xmlns:c16="http://schemas.microsoft.com/office/drawing/2014/chart" uri="{C3380CC4-5D6E-409C-BE32-E72D297353CC}">
              <c16:uniqueId val="{00000004-456E-49F7-8658-D5C732F37639}"/>
            </c:ext>
          </c:extLst>
        </c:ser>
        <c:ser>
          <c:idx val="5"/>
          <c:order val="5"/>
          <c:tx>
            <c:strRef>
              <c:f>'LAMP Results'!$ET$6</c:f>
              <c:strCache>
                <c:ptCount val="1"/>
                <c:pt idx="0">
                  <c:v>Tunnels &amp; Veh. Underpasses</c:v>
                </c:pt>
              </c:strCache>
            </c:strRef>
          </c:tx>
          <c:spPr>
            <a:ln w="19050" cap="rnd">
              <a:solidFill>
                <a:schemeClr val="accent5">
                  <a:lumMod val="60000"/>
                </a:schemeClr>
              </a:solidFill>
              <a:round/>
            </a:ln>
            <a:effectLst/>
          </c:spPr>
          <c:marker>
            <c:symbol val="none"/>
          </c:marker>
          <c:cat>
            <c:strRef>
              <c:f>'LAMP Results'!$EN$7</c:f>
              <c:strCache>
                <c:ptCount val="1"/>
                <c:pt idx="0">
                  <c:v>0</c:v>
                </c:pt>
              </c:strCache>
            </c:strRef>
          </c:cat>
          <c:val>
            <c:numRef>
              <c:f>'LAMP Results'!$ET$7</c:f>
              <c:numCache>
                <c:formatCode>0%</c:formatCode>
                <c:ptCount val="1"/>
                <c:pt idx="0">
                  <c:v>1</c:v>
                </c:pt>
              </c:numCache>
            </c:numRef>
          </c:val>
          <c:smooth val="0"/>
          <c:extLst>
            <c:ext xmlns:c16="http://schemas.microsoft.com/office/drawing/2014/chart" uri="{C3380CC4-5D6E-409C-BE32-E72D297353CC}">
              <c16:uniqueId val="{00000005-456E-49F7-8658-D5C732F37639}"/>
            </c:ext>
          </c:extLst>
        </c:ser>
        <c:dLbls>
          <c:showLegendKey val="0"/>
          <c:showVal val="0"/>
          <c:showCatName val="0"/>
          <c:showSerName val="0"/>
          <c:showPercent val="0"/>
          <c:showBubbleSize val="0"/>
        </c:dLbls>
        <c:smooth val="0"/>
        <c:axId val="796911544"/>
        <c:axId val="796907280"/>
      </c:lineChart>
      <c:catAx>
        <c:axId val="796911544"/>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GB"/>
                  <a:t>Year</a:t>
                </a:r>
              </a:p>
            </c:rich>
          </c:tx>
          <c:layout>
            <c:manualLayout>
              <c:xMode val="edge"/>
              <c:yMode val="edge"/>
              <c:x val="0.52024523756159224"/>
              <c:y val="0.8153573098155517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20000" spcFirstLastPara="1" vertOverflow="ellipsis"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96907280"/>
        <c:crosses val="autoZero"/>
        <c:auto val="1"/>
        <c:lblAlgn val="ctr"/>
        <c:lblOffset val="100"/>
        <c:noMultiLvlLbl val="0"/>
      </c:catAx>
      <c:valAx>
        <c:axId val="7969072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GB"/>
                  <a:t>Percentage of Structures in a 'State of Good Repair'</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96911544"/>
        <c:crosses val="autoZero"/>
        <c:crossBetween val="between"/>
      </c:valAx>
      <c:spPr>
        <a:solidFill>
          <a:schemeClr val="bg1"/>
        </a:solidFill>
        <a:ln w="9525">
          <a:solidFill>
            <a:sysClr val="windowText" lastClr="000000"/>
          </a:solidFill>
        </a:ln>
        <a:effectLst/>
      </c:spPr>
    </c:plotArea>
    <c:legend>
      <c:legendPos val="b"/>
      <c:layout>
        <c:manualLayout>
          <c:xMode val="edge"/>
          <c:yMode val="edge"/>
          <c:x val="0.22386446591764195"/>
          <c:y val="0.8539351602224472"/>
          <c:w val="0.67804103639990365"/>
          <c:h val="0.13226579033648223"/>
        </c:manualLayout>
      </c:layout>
      <c:overlay val="0"/>
      <c:spPr>
        <a:noFill/>
        <a:ln w="9525">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noFill/>
    <a:ln w="9525" cap="flat" cmpd="sng" algn="ctr">
      <a:noFill/>
      <a:round/>
    </a:ln>
    <a:effectLst/>
  </c:spPr>
  <c:txPr>
    <a:bodyPr/>
    <a:lstStyle/>
    <a:p>
      <a:pPr>
        <a:defRPr sz="1000" b="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223809227702891"/>
          <c:y val="0.2497168493320093"/>
          <c:w val="0.31491355688497435"/>
          <c:h val="0.70381032027554691"/>
        </c:manualLayout>
      </c:layout>
      <c:pieChart>
        <c:varyColors val="1"/>
        <c:ser>
          <c:idx val="0"/>
          <c:order val="0"/>
          <c:dPt>
            <c:idx val="0"/>
            <c:bubble3D val="0"/>
            <c:spPr>
              <a:solidFill>
                <a:schemeClr val="accent1"/>
              </a:solidFill>
              <a:ln>
                <a:noFill/>
              </a:ln>
              <a:effectLst/>
            </c:spPr>
            <c:extLst>
              <c:ext xmlns:c16="http://schemas.microsoft.com/office/drawing/2014/chart" uri="{C3380CC4-5D6E-409C-BE32-E72D297353CC}">
                <c16:uniqueId val="{00000001-B240-4308-9B5F-8197E603EE36}"/>
              </c:ext>
            </c:extLst>
          </c:dPt>
          <c:dPt>
            <c:idx val="1"/>
            <c:bubble3D val="0"/>
            <c:spPr>
              <a:solidFill>
                <a:schemeClr val="accent3"/>
              </a:solidFill>
              <a:ln>
                <a:noFill/>
              </a:ln>
              <a:effectLst/>
            </c:spPr>
            <c:extLst>
              <c:ext xmlns:c16="http://schemas.microsoft.com/office/drawing/2014/chart" uri="{C3380CC4-5D6E-409C-BE32-E72D297353CC}">
                <c16:uniqueId val="{00000003-B240-4308-9B5F-8197E603EE36}"/>
              </c:ext>
            </c:extLst>
          </c:dPt>
          <c:dPt>
            <c:idx val="2"/>
            <c:bubble3D val="0"/>
            <c:spPr>
              <a:solidFill>
                <a:schemeClr val="accent5"/>
              </a:solidFill>
              <a:ln>
                <a:noFill/>
              </a:ln>
              <a:effectLst/>
            </c:spPr>
            <c:extLst>
              <c:ext xmlns:c16="http://schemas.microsoft.com/office/drawing/2014/chart" uri="{C3380CC4-5D6E-409C-BE32-E72D297353CC}">
                <c16:uniqueId val="{00000005-B240-4308-9B5F-8197E603EE36}"/>
              </c:ext>
            </c:extLst>
          </c:dPt>
          <c:dPt>
            <c:idx val="3"/>
            <c:bubble3D val="0"/>
            <c:spPr>
              <a:solidFill>
                <a:schemeClr val="accent1">
                  <a:lumMod val="60000"/>
                </a:schemeClr>
              </a:solidFill>
              <a:ln>
                <a:noFill/>
              </a:ln>
              <a:effectLst/>
            </c:spPr>
            <c:extLst>
              <c:ext xmlns:c16="http://schemas.microsoft.com/office/drawing/2014/chart" uri="{C3380CC4-5D6E-409C-BE32-E72D297353CC}">
                <c16:uniqueId val="{00000007-B240-4308-9B5F-8197E603EE36}"/>
              </c:ext>
            </c:extLst>
          </c:dPt>
          <c:dPt>
            <c:idx val="4"/>
            <c:bubble3D val="0"/>
            <c:spPr>
              <a:solidFill>
                <a:schemeClr val="accent3">
                  <a:lumMod val="60000"/>
                </a:schemeClr>
              </a:solidFill>
              <a:ln>
                <a:noFill/>
              </a:ln>
              <a:effectLst/>
            </c:spPr>
            <c:extLst>
              <c:ext xmlns:c16="http://schemas.microsoft.com/office/drawing/2014/chart" uri="{C3380CC4-5D6E-409C-BE32-E72D297353CC}">
                <c16:uniqueId val="{00000009-9A0D-4359-8AD5-B22C58E8566C}"/>
              </c:ext>
            </c:extLst>
          </c:dPt>
          <c:dPt>
            <c:idx val="5"/>
            <c:bubble3D val="0"/>
            <c:spPr>
              <a:solidFill>
                <a:schemeClr val="accent5">
                  <a:lumMod val="60000"/>
                </a:schemeClr>
              </a:solidFill>
              <a:ln>
                <a:noFill/>
              </a:ln>
              <a:effectLst/>
            </c:spPr>
            <c:extLst>
              <c:ext xmlns:c16="http://schemas.microsoft.com/office/drawing/2014/chart" uri="{C3380CC4-5D6E-409C-BE32-E72D297353CC}">
                <c16:uniqueId val="{0000000B-9A0D-4359-8AD5-B22C58E8566C}"/>
              </c:ext>
            </c:extLst>
          </c:dPt>
          <c:dPt>
            <c:idx val="6"/>
            <c:bubble3D val="0"/>
            <c:spPr>
              <a:solidFill>
                <a:schemeClr val="accent1">
                  <a:lumMod val="80000"/>
                  <a:lumOff val="20000"/>
                </a:schemeClr>
              </a:solidFill>
              <a:ln>
                <a:noFill/>
              </a:ln>
              <a:effectLst/>
            </c:spPr>
            <c:extLst>
              <c:ext xmlns:c16="http://schemas.microsoft.com/office/drawing/2014/chart" uri="{C3380CC4-5D6E-409C-BE32-E72D297353CC}">
                <c16:uniqueId val="{0000000D-9A0D-4359-8AD5-B22C58E8566C}"/>
              </c:ext>
            </c:extLst>
          </c:dPt>
          <c:dLbls>
            <c:dLbl>
              <c:idx val="4"/>
              <c:layout>
                <c:manualLayout>
                  <c:x val="1.5164012227195291E-2"/>
                  <c:y val="-3.577983673379429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9A0D-4359-8AD5-B22C58E8566C}"/>
                </c:ext>
              </c:extLst>
            </c:dLbl>
            <c:dLbl>
              <c:idx val="6"/>
              <c:layout>
                <c:manualLayout>
                  <c:x val="9.5179330462716455E-2"/>
                  <c:y val="1.087114899786091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9A0D-4359-8AD5-B22C58E8566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extLst>
          </c:dLbls>
          <c:cat>
            <c:strRef>
              <c:f>Value!$CA$8:$CA$14</c:f>
              <c:strCache>
                <c:ptCount val="7"/>
                <c:pt idx="0">
                  <c:v>Bridges</c:v>
                </c:pt>
                <c:pt idx="1">
                  <c:v>Retaining Walls</c:v>
                </c:pt>
                <c:pt idx="2">
                  <c:v>Culverts</c:v>
                </c:pt>
                <c:pt idx="3">
                  <c:v>Sign/Signal Gantries</c:v>
                </c:pt>
                <c:pt idx="4">
                  <c:v>High Mast Lighting</c:v>
                </c:pt>
                <c:pt idx="5">
                  <c:v>Tunnels and Vehicular U/P</c:v>
                </c:pt>
                <c:pt idx="6">
                  <c:v>Other</c:v>
                </c:pt>
              </c:strCache>
            </c:strRef>
          </c:cat>
          <c:val>
            <c:numRef>
              <c:f>Value!$CB$8:$CB$14</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B240-4308-9B5F-8197E603EE3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7439774382886433"/>
          <c:y val="0.23098567673203144"/>
          <c:w val="0.39966688538932638"/>
          <c:h val="0.70360816538642679"/>
        </c:manualLayout>
      </c:layout>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noFill/>
    <a:ln w="6350"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[SAVI v1.10 blank.xlsm]LAMP Results!PivotTable3</c:name>
    <c:fmtId val="9"/>
  </c:pivotSource>
  <c:chart>
    <c:title>
      <c:tx>
        <c:rich>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GB" sz="1200" b="0" i="0" baseline="0">
                <a:effectLst/>
              </a:rPr>
              <a:t>Budget, Expenditure and Condition</a:t>
            </a:r>
            <a:endParaRPr lang="en-GB" sz="1200">
              <a:effectLst/>
            </a:endParaRPr>
          </a:p>
        </c:rich>
      </c:tx>
      <c:layout>
        <c:manualLayout>
          <c:xMode val="edge"/>
          <c:yMode val="edge"/>
          <c:x val="0.30418630615319497"/>
          <c:y val="3.4153005464480878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GB"/>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ln w="19050"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w="25400">
            <a:noFill/>
          </a:ln>
          <a:effectLst/>
        </c:spPr>
        <c:marker>
          <c:symbol val="none"/>
        </c:marker>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19050"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19050"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402883187610915"/>
          <c:y val="0.14255767901135119"/>
          <c:w val="0.69262483875698211"/>
          <c:h val="0.6143735357888449"/>
        </c:manualLayout>
      </c:layout>
      <c:barChart>
        <c:barDir val="col"/>
        <c:grouping val="clustered"/>
        <c:varyColors val="0"/>
        <c:ser>
          <c:idx val="1"/>
          <c:order val="1"/>
          <c:tx>
            <c:strRef>
              <c:f>'LAMP Results'!$BQ$6:$BQ$7</c:f>
              <c:strCache>
                <c:ptCount val="1"/>
                <c:pt idx="0">
                  <c:v>Expenditure </c:v>
                </c:pt>
              </c:strCache>
            </c:strRef>
          </c:tx>
          <c:spPr>
            <a:solidFill>
              <a:schemeClr val="accent4"/>
            </a:solidFill>
            <a:ln>
              <a:noFill/>
            </a:ln>
            <a:effectLst/>
          </c:spPr>
          <c:invertIfNegative val="0"/>
          <c:cat>
            <c:strRef>
              <c:f>'LAMP Results'!$BO$8</c:f>
              <c:strCache>
                <c:ptCount val="1"/>
                <c:pt idx="0">
                  <c:v>0</c:v>
                </c:pt>
              </c:strCache>
            </c:strRef>
          </c:cat>
          <c:val>
            <c:numRef>
              <c:f>'LAMP Results'!$BQ$8</c:f>
              <c:numCache>
                <c:formatCode>General</c:formatCode>
                <c:ptCount val="1"/>
              </c:numCache>
            </c:numRef>
          </c:val>
          <c:extLst>
            <c:ext xmlns:c16="http://schemas.microsoft.com/office/drawing/2014/chart" uri="{C3380CC4-5D6E-409C-BE32-E72D297353CC}">
              <c16:uniqueId val="{00000001-2452-4D1E-A476-50440B3E2AFB}"/>
            </c:ext>
          </c:extLst>
        </c:ser>
        <c:dLbls>
          <c:showLegendKey val="0"/>
          <c:showVal val="0"/>
          <c:showCatName val="0"/>
          <c:showSerName val="0"/>
          <c:showPercent val="0"/>
          <c:showBubbleSize val="0"/>
        </c:dLbls>
        <c:gapWidth val="75"/>
        <c:axId val="851061736"/>
        <c:axId val="851062064"/>
      </c:barChart>
      <c:lineChart>
        <c:grouping val="standard"/>
        <c:varyColors val="0"/>
        <c:ser>
          <c:idx val="0"/>
          <c:order val="0"/>
          <c:tx>
            <c:strRef>
              <c:f>'LAMP Results'!$BP$6:$BP$7</c:f>
              <c:strCache>
                <c:ptCount val="1"/>
                <c:pt idx="0">
                  <c:v>Budget </c:v>
                </c:pt>
              </c:strCache>
            </c:strRef>
          </c:tx>
          <c:spPr>
            <a:ln w="19050" cap="rnd">
              <a:solidFill>
                <a:schemeClr val="accent6"/>
              </a:solidFill>
              <a:round/>
            </a:ln>
            <a:effectLst/>
          </c:spPr>
          <c:marker>
            <c:symbol val="none"/>
          </c:marker>
          <c:cat>
            <c:strRef>
              <c:f>'LAMP Results'!$BO$8</c:f>
              <c:strCache>
                <c:ptCount val="1"/>
                <c:pt idx="0">
                  <c:v>0</c:v>
                </c:pt>
              </c:strCache>
            </c:strRef>
          </c:cat>
          <c:val>
            <c:numRef>
              <c:f>'LAMP Results'!$BP$8</c:f>
              <c:numCache>
                <c:formatCode>General</c:formatCode>
                <c:ptCount val="1"/>
              </c:numCache>
            </c:numRef>
          </c:val>
          <c:smooth val="0"/>
          <c:extLst>
            <c:ext xmlns:c16="http://schemas.microsoft.com/office/drawing/2014/chart" uri="{C3380CC4-5D6E-409C-BE32-E72D297353CC}">
              <c16:uniqueId val="{00000000-2452-4D1E-A476-50440B3E2AFB}"/>
            </c:ext>
          </c:extLst>
        </c:ser>
        <c:dLbls>
          <c:showLegendKey val="0"/>
          <c:showVal val="0"/>
          <c:showCatName val="0"/>
          <c:showSerName val="0"/>
          <c:showPercent val="0"/>
          <c:showBubbleSize val="0"/>
        </c:dLbls>
        <c:marker val="1"/>
        <c:smooth val="0"/>
        <c:axId val="851061736"/>
        <c:axId val="851062064"/>
      </c:lineChart>
      <c:lineChart>
        <c:grouping val="standard"/>
        <c:varyColors val="0"/>
        <c:dLbls>
          <c:showLegendKey val="0"/>
          <c:showVal val="0"/>
          <c:showCatName val="0"/>
          <c:showSerName val="0"/>
          <c:showPercent val="0"/>
          <c:showBubbleSize val="0"/>
        </c:dLbls>
        <c:marker val="1"/>
        <c:smooth val="0"/>
        <c:axId val="851061736"/>
        <c:axId val="851062064"/>
      </c:lineChart>
      <c:lineChart>
        <c:grouping val="standard"/>
        <c:varyColors val="0"/>
        <c:ser>
          <c:idx val="2"/>
          <c:order val="2"/>
          <c:tx>
            <c:strRef>
              <c:f>'LAMP Results'!$BR$6:$BR$7</c:f>
              <c:strCache>
                <c:ptCount val="1"/>
                <c:pt idx="0">
                  <c:v>SSCIav</c:v>
                </c:pt>
              </c:strCache>
            </c:strRef>
          </c:tx>
          <c:spPr>
            <a:ln w="19050" cap="rnd">
              <a:solidFill>
                <a:schemeClr val="accent5"/>
              </a:solidFill>
              <a:round/>
            </a:ln>
            <a:effectLst/>
          </c:spPr>
          <c:marker>
            <c:symbol val="none"/>
          </c:marker>
          <c:cat>
            <c:strRef>
              <c:f>'LAMP Results'!$BO$8</c:f>
              <c:strCache>
                <c:ptCount val="1"/>
                <c:pt idx="0">
                  <c:v>0</c:v>
                </c:pt>
              </c:strCache>
            </c:strRef>
          </c:cat>
          <c:val>
            <c:numRef>
              <c:f>'LAMP Results'!$BR$8</c:f>
              <c:numCache>
                <c:formatCode>General</c:formatCode>
                <c:ptCount val="1"/>
                <c:pt idx="0">
                  <c:v>86.420779872042601</c:v>
                </c:pt>
              </c:numCache>
            </c:numRef>
          </c:val>
          <c:smooth val="0"/>
          <c:extLst>
            <c:ext xmlns:c16="http://schemas.microsoft.com/office/drawing/2014/chart" uri="{C3380CC4-5D6E-409C-BE32-E72D297353CC}">
              <c16:uniqueId val="{00000002-2452-4D1E-A476-50440B3E2AFB}"/>
            </c:ext>
          </c:extLst>
        </c:ser>
        <c:ser>
          <c:idx val="3"/>
          <c:order val="3"/>
          <c:tx>
            <c:strRef>
              <c:f>'LAMP Results'!$BS$6:$BS$7</c:f>
              <c:strCache>
                <c:ptCount val="1"/>
                <c:pt idx="0">
                  <c:v>SSCIcrit</c:v>
                </c:pt>
              </c:strCache>
            </c:strRef>
          </c:tx>
          <c:spPr>
            <a:ln w="19050" cap="rnd">
              <a:solidFill>
                <a:srgbClr val="002060"/>
              </a:solidFill>
              <a:round/>
            </a:ln>
            <a:effectLst/>
          </c:spPr>
          <c:marker>
            <c:symbol val="none"/>
          </c:marker>
          <c:cat>
            <c:strRef>
              <c:f>'LAMP Results'!$BO$8</c:f>
              <c:strCache>
                <c:ptCount val="1"/>
                <c:pt idx="0">
                  <c:v>0</c:v>
                </c:pt>
              </c:strCache>
            </c:strRef>
          </c:cat>
          <c:val>
            <c:numRef>
              <c:f>'LAMP Results'!$BS$8</c:f>
              <c:numCache>
                <c:formatCode>General</c:formatCode>
                <c:ptCount val="1"/>
                <c:pt idx="0">
                  <c:v>78.141481109435887</c:v>
                </c:pt>
              </c:numCache>
            </c:numRef>
          </c:val>
          <c:smooth val="0"/>
          <c:extLst>
            <c:ext xmlns:c16="http://schemas.microsoft.com/office/drawing/2014/chart" uri="{C3380CC4-5D6E-409C-BE32-E72D297353CC}">
              <c16:uniqueId val="{00000003-2452-4D1E-A476-50440B3E2AFB}"/>
            </c:ext>
          </c:extLst>
        </c:ser>
        <c:dLbls>
          <c:showLegendKey val="0"/>
          <c:showVal val="0"/>
          <c:showCatName val="0"/>
          <c:showSerName val="0"/>
          <c:showPercent val="0"/>
          <c:showBubbleSize val="0"/>
        </c:dLbls>
        <c:marker val="1"/>
        <c:smooth val="0"/>
        <c:axId val="898382248"/>
        <c:axId val="898387168"/>
      </c:lineChart>
      <c:catAx>
        <c:axId val="851061736"/>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GB"/>
                  <a:t>Year</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851062064"/>
        <c:crosses val="autoZero"/>
        <c:auto val="1"/>
        <c:lblAlgn val="ctr"/>
        <c:lblOffset val="100"/>
        <c:noMultiLvlLbl val="0"/>
      </c:catAx>
      <c:valAx>
        <c:axId val="8510620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GB" sz="1000" b="0" i="0" u="none" strike="noStrike" baseline="0">
                    <a:effectLst/>
                  </a:rPr>
                  <a:t>Budget, Expenditure (£M)</a:t>
                </a:r>
                <a:endParaRPr lang="en-GB"/>
              </a:p>
            </c:rich>
          </c:tx>
          <c:layout>
            <c:manualLayout>
              <c:xMode val="edge"/>
              <c:yMode val="edge"/>
              <c:x val="8.5251894791156788E-2"/>
              <c:y val="0.230345886579751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GB"/>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851061736"/>
        <c:crosses val="autoZero"/>
        <c:crossBetween val="between"/>
      </c:valAx>
      <c:valAx>
        <c:axId val="898387168"/>
        <c:scaling>
          <c:orientation val="minMax"/>
        </c:scaling>
        <c:delete val="0"/>
        <c:axPos val="r"/>
        <c:title>
          <c:tx>
            <c:rich>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Condition Score</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898382248"/>
        <c:crosses val="max"/>
        <c:crossBetween val="between"/>
      </c:valAx>
      <c:catAx>
        <c:axId val="898382248"/>
        <c:scaling>
          <c:orientation val="minMax"/>
        </c:scaling>
        <c:delete val="1"/>
        <c:axPos val="b"/>
        <c:numFmt formatCode="General" sourceLinked="1"/>
        <c:majorTickMark val="out"/>
        <c:minorTickMark val="none"/>
        <c:tickLblPos val="nextTo"/>
        <c:crossAx val="898387168"/>
        <c:crosses val="autoZero"/>
        <c:auto val="1"/>
        <c:lblAlgn val="ctr"/>
        <c:lblOffset val="100"/>
        <c:noMultiLvlLbl val="0"/>
      </c:catAx>
      <c:spPr>
        <a:solidFill>
          <a:schemeClr val="bg1"/>
        </a:solidFill>
        <a:ln>
          <a:solidFill>
            <a:srgbClr val="000000"/>
          </a:solidFill>
        </a:ln>
        <a:effectLst/>
      </c:spPr>
    </c:plotArea>
    <c:legend>
      <c:legendPos val="b"/>
      <c:layout>
        <c:manualLayout>
          <c:xMode val="edge"/>
          <c:yMode val="edge"/>
          <c:x val="0.24271481684858814"/>
          <c:y val="0.89479368357643818"/>
          <c:w val="0.56791605687976299"/>
          <c:h val="5.0702153521793379E-2"/>
        </c:manualLayout>
      </c:layout>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0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[SAVI v1.10 blank.xlsm]LAMP Results!PivotTable2</c:name>
    <c:fmtId val="2"/>
  </c:pivotSource>
  <c:chart>
    <c:title>
      <c:tx>
        <c:rich>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GB" sz="1200" b="0" i="0" u="none" strike="noStrike" baseline="0">
                <a:effectLst/>
              </a:rPr>
              <a:t>Structures with Safety or Performance at Risk by Length </a:t>
            </a:r>
            <a:endParaRPr lang="en-GB" sz="1200"/>
          </a:p>
        </c:rich>
      </c:tx>
      <c:layout>
        <c:manualLayout>
          <c:xMode val="edge"/>
          <c:yMode val="edge"/>
          <c:x val="0.16234236184394479"/>
          <c:y val="3.7093238914179733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GB"/>
        </a:p>
      </c:txPr>
    </c:title>
    <c:autoTitleDeleted val="0"/>
    <c:pivotFmts>
      <c:pivotFmt>
        <c:idx val="0"/>
      </c:pivotFmt>
      <c:pivotFmt>
        <c:idx val="1"/>
      </c:pivotFmt>
      <c:pivotFmt>
        <c:idx val="2"/>
      </c:pivotFmt>
      <c:pivotFmt>
        <c:idx val="3"/>
      </c:pivotFmt>
      <c:pivotFmt>
        <c:idx val="4"/>
      </c:pivotFmt>
      <c:pivotFmt>
        <c:idx val="5"/>
      </c:pivotFmt>
      <c:pivotFmt>
        <c:idx val="6"/>
        <c:spPr>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pivotFmt>
    </c:pivotFmts>
    <c:plotArea>
      <c:layout>
        <c:manualLayout>
          <c:layoutTarget val="inner"/>
          <c:xMode val="edge"/>
          <c:yMode val="edge"/>
          <c:x val="0.13405128482651008"/>
          <c:y val="0.1444895843715738"/>
          <c:w val="0.75364288226858245"/>
          <c:h val="0.60274601486650281"/>
        </c:manualLayout>
      </c:layout>
      <c:lineChart>
        <c:grouping val="standard"/>
        <c:varyColors val="0"/>
        <c:ser>
          <c:idx val="0"/>
          <c:order val="0"/>
          <c:tx>
            <c:strRef>
              <c:f>'LAMP Results'!$CO$6</c:f>
              <c:strCache>
                <c:ptCount val="1"/>
                <c:pt idx="0">
                  <c:v>Length 0-10m</c:v>
                </c:pt>
              </c:strCache>
            </c:strRef>
          </c:tx>
          <c:spPr>
            <a:ln w="19050" cap="rnd">
              <a:solidFill>
                <a:schemeClr val="accent1"/>
              </a:solidFill>
              <a:round/>
            </a:ln>
            <a:effectLst/>
          </c:spPr>
          <c:marker>
            <c:symbol val="none"/>
          </c:marker>
          <c:cat>
            <c:strRef>
              <c:f>'LAMP Results'!$CN$7:$CN$8</c:f>
              <c:strCache>
                <c:ptCount val="1"/>
                <c:pt idx="0">
                  <c:v>0</c:v>
                </c:pt>
              </c:strCache>
            </c:strRef>
          </c:cat>
          <c:val>
            <c:numRef>
              <c:f>'LAMP Results'!$CO$7:$CO$8</c:f>
              <c:numCache>
                <c:formatCode>General</c:formatCode>
                <c:ptCount val="1"/>
                <c:pt idx="0">
                  <c:v>101</c:v>
                </c:pt>
              </c:numCache>
            </c:numRef>
          </c:val>
          <c:smooth val="0"/>
          <c:extLst>
            <c:ext xmlns:c16="http://schemas.microsoft.com/office/drawing/2014/chart" uri="{C3380CC4-5D6E-409C-BE32-E72D297353CC}">
              <c16:uniqueId val="{00000000-409F-4781-ADE0-7549804B28FF}"/>
            </c:ext>
          </c:extLst>
        </c:ser>
        <c:ser>
          <c:idx val="1"/>
          <c:order val="1"/>
          <c:tx>
            <c:strRef>
              <c:f>'LAMP Results'!$CP$6</c:f>
              <c:strCache>
                <c:ptCount val="1"/>
                <c:pt idx="0">
                  <c:v>Length 10-20m</c:v>
                </c:pt>
              </c:strCache>
            </c:strRef>
          </c:tx>
          <c:spPr>
            <a:ln w="19050" cap="rnd">
              <a:solidFill>
                <a:schemeClr val="accent2"/>
              </a:solidFill>
              <a:round/>
            </a:ln>
            <a:effectLst/>
          </c:spPr>
          <c:marker>
            <c:symbol val="none"/>
          </c:marker>
          <c:cat>
            <c:strRef>
              <c:f>'LAMP Results'!$CN$7:$CN$8</c:f>
              <c:strCache>
                <c:ptCount val="1"/>
                <c:pt idx="0">
                  <c:v>0</c:v>
                </c:pt>
              </c:strCache>
            </c:strRef>
          </c:cat>
          <c:val>
            <c:numRef>
              <c:f>'LAMP Results'!$CP$7:$CP$8</c:f>
              <c:numCache>
                <c:formatCode>General</c:formatCode>
                <c:ptCount val="1"/>
                <c:pt idx="0">
                  <c:v>7</c:v>
                </c:pt>
              </c:numCache>
            </c:numRef>
          </c:val>
          <c:smooth val="0"/>
          <c:extLst>
            <c:ext xmlns:c16="http://schemas.microsoft.com/office/drawing/2014/chart" uri="{C3380CC4-5D6E-409C-BE32-E72D297353CC}">
              <c16:uniqueId val="{00000001-409F-4781-ADE0-7549804B28FF}"/>
            </c:ext>
          </c:extLst>
        </c:ser>
        <c:ser>
          <c:idx val="2"/>
          <c:order val="2"/>
          <c:tx>
            <c:strRef>
              <c:f>'LAMP Results'!$CQ$6</c:f>
              <c:strCache>
                <c:ptCount val="1"/>
                <c:pt idx="0">
                  <c:v>Length 20m+</c:v>
                </c:pt>
              </c:strCache>
            </c:strRef>
          </c:tx>
          <c:spPr>
            <a:ln w="19050" cap="rnd">
              <a:solidFill>
                <a:schemeClr val="accent3"/>
              </a:solidFill>
              <a:round/>
            </a:ln>
            <a:effectLst/>
          </c:spPr>
          <c:marker>
            <c:symbol val="none"/>
          </c:marker>
          <c:cat>
            <c:strRef>
              <c:f>'LAMP Results'!$CN$7:$CN$8</c:f>
              <c:strCache>
                <c:ptCount val="1"/>
                <c:pt idx="0">
                  <c:v>0</c:v>
                </c:pt>
              </c:strCache>
            </c:strRef>
          </c:cat>
          <c:val>
            <c:numRef>
              <c:f>'LAMP Results'!$CQ$7:$CQ$8</c:f>
              <c:numCache>
                <c:formatCode>General</c:formatCode>
                <c:ptCount val="1"/>
                <c:pt idx="0">
                  <c:v>26</c:v>
                </c:pt>
              </c:numCache>
            </c:numRef>
          </c:val>
          <c:smooth val="0"/>
          <c:extLst>
            <c:ext xmlns:c16="http://schemas.microsoft.com/office/drawing/2014/chart" uri="{C3380CC4-5D6E-409C-BE32-E72D297353CC}">
              <c16:uniqueId val="{00000002-409F-4781-ADE0-7549804B28FF}"/>
            </c:ext>
          </c:extLst>
        </c:ser>
        <c:dLbls>
          <c:showLegendKey val="0"/>
          <c:showVal val="0"/>
          <c:showCatName val="0"/>
          <c:showSerName val="0"/>
          <c:showPercent val="0"/>
          <c:showBubbleSize val="0"/>
        </c:dLbls>
        <c:smooth val="0"/>
        <c:axId val="967403392"/>
        <c:axId val="967404048"/>
      </c:lineChart>
      <c:catAx>
        <c:axId val="967403392"/>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GB"/>
                  <a:t>Year</a:t>
                </a:r>
              </a:p>
            </c:rich>
          </c:tx>
          <c:layout>
            <c:manualLayout>
              <c:xMode val="edge"/>
              <c:yMode val="edge"/>
              <c:x val="0.47980734366967015"/>
              <c:y val="0.82045013720781101"/>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967404048"/>
        <c:crosses val="autoZero"/>
        <c:auto val="1"/>
        <c:lblAlgn val="ctr"/>
        <c:lblOffset val="100"/>
        <c:noMultiLvlLbl val="0"/>
      </c:catAx>
      <c:valAx>
        <c:axId val="9674040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GB"/>
                  <a:t>No. Structures at Risk</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967403392"/>
        <c:crosses val="autoZero"/>
        <c:crossBetween val="between"/>
      </c:valAx>
      <c:spPr>
        <a:solidFill>
          <a:schemeClr val="bg1"/>
        </a:solidFill>
        <a:ln>
          <a:solidFill>
            <a:sysClr val="windowText" lastClr="000000"/>
          </a:solidFill>
        </a:ln>
        <a:effectLst/>
      </c:spPr>
    </c:plotArea>
    <c:legend>
      <c:legendPos val="b"/>
      <c:layout>
        <c:manualLayout>
          <c:xMode val="edge"/>
          <c:yMode val="edge"/>
          <c:x val="0.17351498588449638"/>
          <c:y val="0.89226259464152713"/>
          <c:w val="0.66213383120924307"/>
          <c:h val="5.3783603301484129E-2"/>
        </c:manualLayout>
      </c:layout>
      <c:overlay val="0"/>
      <c:spPr>
        <a:noFill/>
        <a:ln w="12700">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[SAVI v1.10 blank.xlsm]LAMP Results!PivotTable8</c:name>
    <c:fmtId val="2"/>
  </c:pivotSource>
  <c:chart>
    <c:title>
      <c:tx>
        <c:rich>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GB" sz="1200" b="0" i="0" baseline="0">
                <a:effectLst/>
              </a:rPr>
              <a:t>Structures with Safety or Performance at Risk by Structure Type</a:t>
            </a:r>
            <a:endParaRPr lang="en-GB" sz="1200">
              <a:effectLst/>
            </a:endParaRPr>
          </a:p>
        </c:rich>
      </c:tx>
      <c:layout>
        <c:manualLayout>
          <c:xMode val="edge"/>
          <c:yMode val="edge"/>
          <c:x val="0.15442774140984669"/>
          <c:y val="2.8652261381261122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GB"/>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190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886036966070031"/>
          <c:y val="0.14330843319743508"/>
          <c:w val="0.81745717477201507"/>
          <c:h val="0.60892168762390286"/>
        </c:manualLayout>
      </c:layout>
      <c:lineChart>
        <c:grouping val="standard"/>
        <c:varyColors val="0"/>
        <c:ser>
          <c:idx val="0"/>
          <c:order val="0"/>
          <c:tx>
            <c:strRef>
              <c:f>'LAMP Results'!$CU$6</c:f>
              <c:strCache>
                <c:ptCount val="1"/>
                <c:pt idx="0">
                  <c:v>Bridges </c:v>
                </c:pt>
              </c:strCache>
            </c:strRef>
          </c:tx>
          <c:spPr>
            <a:ln w="19050" cap="rnd">
              <a:solidFill>
                <a:schemeClr val="accent1"/>
              </a:solidFill>
              <a:round/>
            </a:ln>
            <a:effectLst/>
          </c:spPr>
          <c:marker>
            <c:symbol val="none"/>
          </c:marker>
          <c:cat>
            <c:strRef>
              <c:f>'LAMP Results'!$CT$7:$CT$8</c:f>
              <c:strCache>
                <c:ptCount val="1"/>
                <c:pt idx="0">
                  <c:v>0</c:v>
                </c:pt>
              </c:strCache>
            </c:strRef>
          </c:cat>
          <c:val>
            <c:numRef>
              <c:f>'LAMP Results'!$CU$7:$CU$8</c:f>
              <c:numCache>
                <c:formatCode>General</c:formatCode>
                <c:ptCount val="1"/>
                <c:pt idx="0">
                  <c:v>0</c:v>
                </c:pt>
              </c:numCache>
            </c:numRef>
          </c:val>
          <c:smooth val="0"/>
          <c:extLst>
            <c:ext xmlns:c16="http://schemas.microsoft.com/office/drawing/2014/chart" uri="{C3380CC4-5D6E-409C-BE32-E72D297353CC}">
              <c16:uniqueId val="{00000006-FD3D-43A3-A5DA-858F26194FF4}"/>
            </c:ext>
          </c:extLst>
        </c:ser>
        <c:ser>
          <c:idx val="1"/>
          <c:order val="1"/>
          <c:tx>
            <c:strRef>
              <c:f>'LAMP Results'!$CV$6</c:f>
              <c:strCache>
                <c:ptCount val="1"/>
                <c:pt idx="0">
                  <c:v>Retaining Walls </c:v>
                </c:pt>
              </c:strCache>
            </c:strRef>
          </c:tx>
          <c:spPr>
            <a:ln w="19050" cap="rnd">
              <a:solidFill>
                <a:schemeClr val="accent3"/>
              </a:solidFill>
              <a:round/>
            </a:ln>
            <a:effectLst/>
          </c:spPr>
          <c:marker>
            <c:symbol val="none"/>
          </c:marker>
          <c:cat>
            <c:strRef>
              <c:f>'LAMP Results'!$CT$7:$CT$8</c:f>
              <c:strCache>
                <c:ptCount val="1"/>
                <c:pt idx="0">
                  <c:v>0</c:v>
                </c:pt>
              </c:strCache>
            </c:strRef>
          </c:cat>
          <c:val>
            <c:numRef>
              <c:f>'LAMP Results'!$CV$7:$CV$8</c:f>
              <c:numCache>
                <c:formatCode>General</c:formatCode>
                <c:ptCount val="1"/>
                <c:pt idx="0">
                  <c:v>0</c:v>
                </c:pt>
              </c:numCache>
            </c:numRef>
          </c:val>
          <c:smooth val="0"/>
          <c:extLst>
            <c:ext xmlns:c16="http://schemas.microsoft.com/office/drawing/2014/chart" uri="{C3380CC4-5D6E-409C-BE32-E72D297353CC}">
              <c16:uniqueId val="{00000007-FD3D-43A3-A5DA-858F26194FF4}"/>
            </c:ext>
          </c:extLst>
        </c:ser>
        <c:ser>
          <c:idx val="2"/>
          <c:order val="2"/>
          <c:tx>
            <c:strRef>
              <c:f>'LAMP Results'!$CW$6</c:f>
              <c:strCache>
                <c:ptCount val="1"/>
                <c:pt idx="0">
                  <c:v>Culverts </c:v>
                </c:pt>
              </c:strCache>
            </c:strRef>
          </c:tx>
          <c:spPr>
            <a:ln w="19050" cap="rnd">
              <a:solidFill>
                <a:schemeClr val="accent5"/>
              </a:solidFill>
              <a:round/>
            </a:ln>
            <a:effectLst/>
          </c:spPr>
          <c:marker>
            <c:symbol val="none"/>
          </c:marker>
          <c:cat>
            <c:strRef>
              <c:f>'LAMP Results'!$CT$7:$CT$8</c:f>
              <c:strCache>
                <c:ptCount val="1"/>
                <c:pt idx="0">
                  <c:v>0</c:v>
                </c:pt>
              </c:strCache>
            </c:strRef>
          </c:cat>
          <c:val>
            <c:numRef>
              <c:f>'LAMP Results'!$CW$7:$CW$8</c:f>
              <c:numCache>
                <c:formatCode>General</c:formatCode>
                <c:ptCount val="1"/>
                <c:pt idx="0">
                  <c:v>0</c:v>
                </c:pt>
              </c:numCache>
            </c:numRef>
          </c:val>
          <c:smooth val="0"/>
          <c:extLst>
            <c:ext xmlns:c16="http://schemas.microsoft.com/office/drawing/2014/chart" uri="{C3380CC4-5D6E-409C-BE32-E72D297353CC}">
              <c16:uniqueId val="{00000008-FD3D-43A3-A5DA-858F26194FF4}"/>
            </c:ext>
          </c:extLst>
        </c:ser>
        <c:ser>
          <c:idx val="3"/>
          <c:order val="3"/>
          <c:tx>
            <c:strRef>
              <c:f>'LAMP Results'!$CX$6</c:f>
              <c:strCache>
                <c:ptCount val="1"/>
                <c:pt idx="0">
                  <c:v>Sign/Signal Gantries </c:v>
                </c:pt>
              </c:strCache>
            </c:strRef>
          </c:tx>
          <c:spPr>
            <a:ln w="19050" cap="rnd">
              <a:solidFill>
                <a:schemeClr val="accent1">
                  <a:lumMod val="60000"/>
                </a:schemeClr>
              </a:solidFill>
              <a:round/>
            </a:ln>
            <a:effectLst/>
          </c:spPr>
          <c:marker>
            <c:symbol val="none"/>
          </c:marker>
          <c:cat>
            <c:strRef>
              <c:f>'LAMP Results'!$CT$7:$CT$8</c:f>
              <c:strCache>
                <c:ptCount val="1"/>
                <c:pt idx="0">
                  <c:v>0</c:v>
                </c:pt>
              </c:strCache>
            </c:strRef>
          </c:cat>
          <c:val>
            <c:numRef>
              <c:f>'LAMP Results'!$CX$7:$CX$8</c:f>
              <c:numCache>
                <c:formatCode>General</c:formatCode>
                <c:ptCount val="1"/>
                <c:pt idx="0">
                  <c:v>0</c:v>
                </c:pt>
              </c:numCache>
            </c:numRef>
          </c:val>
          <c:smooth val="0"/>
          <c:extLst>
            <c:ext xmlns:c16="http://schemas.microsoft.com/office/drawing/2014/chart" uri="{C3380CC4-5D6E-409C-BE32-E72D297353CC}">
              <c16:uniqueId val="{00000009-FD3D-43A3-A5DA-858F26194FF4}"/>
            </c:ext>
          </c:extLst>
        </c:ser>
        <c:ser>
          <c:idx val="4"/>
          <c:order val="4"/>
          <c:tx>
            <c:strRef>
              <c:f>'LAMP Results'!$CY$6</c:f>
              <c:strCache>
                <c:ptCount val="1"/>
                <c:pt idx="0">
                  <c:v>High Mast Lighting </c:v>
                </c:pt>
              </c:strCache>
            </c:strRef>
          </c:tx>
          <c:spPr>
            <a:ln w="19050" cap="rnd">
              <a:solidFill>
                <a:schemeClr val="accent3">
                  <a:lumMod val="60000"/>
                </a:schemeClr>
              </a:solidFill>
              <a:round/>
            </a:ln>
            <a:effectLst/>
          </c:spPr>
          <c:marker>
            <c:symbol val="none"/>
          </c:marker>
          <c:cat>
            <c:strRef>
              <c:f>'LAMP Results'!$CT$7:$CT$8</c:f>
              <c:strCache>
                <c:ptCount val="1"/>
                <c:pt idx="0">
                  <c:v>0</c:v>
                </c:pt>
              </c:strCache>
            </c:strRef>
          </c:cat>
          <c:val>
            <c:numRef>
              <c:f>'LAMP Results'!$CY$7:$CY$8</c:f>
              <c:numCache>
                <c:formatCode>General</c:formatCode>
                <c:ptCount val="1"/>
                <c:pt idx="0">
                  <c:v>0</c:v>
                </c:pt>
              </c:numCache>
            </c:numRef>
          </c:val>
          <c:smooth val="0"/>
          <c:extLst>
            <c:ext xmlns:c16="http://schemas.microsoft.com/office/drawing/2014/chart" uri="{C3380CC4-5D6E-409C-BE32-E72D297353CC}">
              <c16:uniqueId val="{0000000A-FD3D-43A3-A5DA-858F26194FF4}"/>
            </c:ext>
          </c:extLst>
        </c:ser>
        <c:ser>
          <c:idx val="5"/>
          <c:order val="5"/>
          <c:tx>
            <c:strRef>
              <c:f>'LAMP Results'!$CZ$6</c:f>
              <c:strCache>
                <c:ptCount val="1"/>
                <c:pt idx="0">
                  <c:v>Tunnels &amp; Veh. Underpasses</c:v>
                </c:pt>
              </c:strCache>
            </c:strRef>
          </c:tx>
          <c:spPr>
            <a:ln w="19050" cap="rnd">
              <a:solidFill>
                <a:schemeClr val="accent5">
                  <a:lumMod val="60000"/>
                </a:schemeClr>
              </a:solidFill>
              <a:round/>
            </a:ln>
            <a:effectLst/>
          </c:spPr>
          <c:marker>
            <c:symbol val="none"/>
          </c:marker>
          <c:cat>
            <c:strRef>
              <c:f>'LAMP Results'!$CT$7:$CT$8</c:f>
              <c:strCache>
                <c:ptCount val="1"/>
                <c:pt idx="0">
                  <c:v>0</c:v>
                </c:pt>
              </c:strCache>
            </c:strRef>
          </c:cat>
          <c:val>
            <c:numRef>
              <c:f>'LAMP Results'!$CZ$7:$CZ$8</c:f>
              <c:numCache>
                <c:formatCode>General</c:formatCode>
                <c:ptCount val="1"/>
                <c:pt idx="0">
                  <c:v>0</c:v>
                </c:pt>
              </c:numCache>
            </c:numRef>
          </c:val>
          <c:smooth val="0"/>
          <c:extLst>
            <c:ext xmlns:c16="http://schemas.microsoft.com/office/drawing/2014/chart" uri="{C3380CC4-5D6E-409C-BE32-E72D297353CC}">
              <c16:uniqueId val="{0000000B-FD3D-43A3-A5DA-858F26194FF4}"/>
            </c:ext>
          </c:extLst>
        </c:ser>
        <c:dLbls>
          <c:showLegendKey val="0"/>
          <c:showVal val="0"/>
          <c:showCatName val="0"/>
          <c:showSerName val="0"/>
          <c:showPercent val="0"/>
          <c:showBubbleSize val="0"/>
        </c:dLbls>
        <c:smooth val="0"/>
        <c:axId val="967402080"/>
        <c:axId val="967402408"/>
      </c:lineChart>
      <c:catAx>
        <c:axId val="967402080"/>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GB"/>
                  <a:t>Year</a:t>
                </a:r>
              </a:p>
            </c:rich>
          </c:tx>
          <c:layout>
            <c:manualLayout>
              <c:xMode val="edge"/>
              <c:yMode val="edge"/>
              <c:x val="0.50592848889645148"/>
              <c:y val="0.7978219275490874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967402408"/>
        <c:crosses val="autoZero"/>
        <c:auto val="1"/>
        <c:lblAlgn val="ctr"/>
        <c:lblOffset val="100"/>
        <c:noMultiLvlLbl val="0"/>
      </c:catAx>
      <c:valAx>
        <c:axId val="967402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GB"/>
                  <a:t>No. Structures</a:t>
                </a:r>
                <a:r>
                  <a:rPr lang="en-GB" baseline="0"/>
                  <a:t> at Risk</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GB"/>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967402080"/>
        <c:crosses val="autoZero"/>
        <c:crossBetween val="between"/>
      </c:valAx>
      <c:spPr>
        <a:solidFill>
          <a:sysClr val="window" lastClr="FFFFFF"/>
        </a:solidFill>
        <a:ln>
          <a:solidFill>
            <a:sysClr val="windowText" lastClr="000000"/>
          </a:solidFill>
        </a:ln>
        <a:effectLst/>
      </c:spPr>
    </c:plotArea>
    <c:legend>
      <c:legendPos val="b"/>
      <c:layout>
        <c:manualLayout>
          <c:xMode val="edge"/>
          <c:yMode val="edge"/>
          <c:x val="0.16611852302906491"/>
          <c:y val="0.85772075263828673"/>
          <c:w val="0.73874634997348598"/>
          <c:h val="0.11093175182432805"/>
        </c:manualLayout>
      </c:layout>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[SAVI v1.10 blank.xlsm]LAMP Results!PivotTable10</c:name>
    <c:fmtId val="2"/>
  </c:pivotSource>
  <c:chart>
    <c:title>
      <c:tx>
        <c:rich>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GB" sz="1200"/>
              <a:t>Stock Condition</a:t>
            </a:r>
          </a:p>
        </c:rich>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ln w="19050"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86138439192487"/>
          <c:y val="0.11719549096924507"/>
          <c:w val="0.83406173369478931"/>
          <c:h val="0.65250626822973179"/>
        </c:manualLayout>
      </c:layout>
      <c:lineChart>
        <c:grouping val="standard"/>
        <c:varyColors val="0"/>
        <c:ser>
          <c:idx val="0"/>
          <c:order val="0"/>
          <c:tx>
            <c:strRef>
              <c:f>'LAMP Results'!$DD$6</c:f>
              <c:strCache>
                <c:ptCount val="1"/>
                <c:pt idx="0">
                  <c:v>SCIav </c:v>
                </c:pt>
              </c:strCache>
            </c:strRef>
          </c:tx>
          <c:spPr>
            <a:ln w="19050" cap="rnd">
              <a:solidFill>
                <a:schemeClr val="accent5"/>
              </a:solidFill>
              <a:round/>
            </a:ln>
            <a:effectLst/>
          </c:spPr>
          <c:marker>
            <c:symbol val="none"/>
          </c:marker>
          <c:cat>
            <c:strRef>
              <c:f>'LAMP Results'!$DC$7:$DC$8</c:f>
              <c:strCache>
                <c:ptCount val="1"/>
                <c:pt idx="0">
                  <c:v>0</c:v>
                </c:pt>
              </c:strCache>
            </c:strRef>
          </c:cat>
          <c:val>
            <c:numRef>
              <c:f>'LAMP Results'!$DD$7:$DD$8</c:f>
              <c:numCache>
                <c:formatCode>General</c:formatCode>
                <c:ptCount val="1"/>
                <c:pt idx="0">
                  <c:v>86.420779872042601</c:v>
                </c:pt>
              </c:numCache>
            </c:numRef>
          </c:val>
          <c:smooth val="0"/>
          <c:extLst>
            <c:ext xmlns:c16="http://schemas.microsoft.com/office/drawing/2014/chart" uri="{C3380CC4-5D6E-409C-BE32-E72D297353CC}">
              <c16:uniqueId val="{00000000-4BA2-4C84-AC1D-0AA69FF52583}"/>
            </c:ext>
          </c:extLst>
        </c:ser>
        <c:ser>
          <c:idx val="1"/>
          <c:order val="1"/>
          <c:tx>
            <c:strRef>
              <c:f>'LAMP Results'!$DE$6</c:f>
              <c:strCache>
                <c:ptCount val="1"/>
                <c:pt idx="0">
                  <c:v>SCIcrit</c:v>
                </c:pt>
              </c:strCache>
            </c:strRef>
          </c:tx>
          <c:spPr>
            <a:ln w="19050" cap="rnd">
              <a:solidFill>
                <a:srgbClr val="002060"/>
              </a:solidFill>
              <a:round/>
            </a:ln>
            <a:effectLst/>
          </c:spPr>
          <c:marker>
            <c:symbol val="none"/>
          </c:marker>
          <c:cat>
            <c:strRef>
              <c:f>'LAMP Results'!$DC$7:$DC$8</c:f>
              <c:strCache>
                <c:ptCount val="1"/>
                <c:pt idx="0">
                  <c:v>0</c:v>
                </c:pt>
              </c:strCache>
            </c:strRef>
          </c:cat>
          <c:val>
            <c:numRef>
              <c:f>'LAMP Results'!$DE$7:$DE$8</c:f>
              <c:numCache>
                <c:formatCode>General</c:formatCode>
                <c:ptCount val="1"/>
                <c:pt idx="0">
                  <c:v>78.141481109435887</c:v>
                </c:pt>
              </c:numCache>
            </c:numRef>
          </c:val>
          <c:smooth val="0"/>
          <c:extLst>
            <c:ext xmlns:c16="http://schemas.microsoft.com/office/drawing/2014/chart" uri="{C3380CC4-5D6E-409C-BE32-E72D297353CC}">
              <c16:uniqueId val="{00000001-4BA2-4C84-AC1D-0AA69FF52583}"/>
            </c:ext>
          </c:extLst>
        </c:ser>
        <c:dLbls>
          <c:showLegendKey val="0"/>
          <c:showVal val="0"/>
          <c:showCatName val="0"/>
          <c:showSerName val="0"/>
          <c:showPercent val="0"/>
          <c:showBubbleSize val="0"/>
        </c:dLbls>
        <c:smooth val="0"/>
        <c:axId val="904061632"/>
        <c:axId val="904063600"/>
      </c:lineChart>
      <c:catAx>
        <c:axId val="904061632"/>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GB"/>
                  <a:t>Year</a:t>
                </a:r>
              </a:p>
            </c:rich>
          </c:tx>
          <c:layout>
            <c:manualLayout>
              <c:xMode val="edge"/>
              <c:yMode val="edge"/>
              <c:x val="0.49219909871236223"/>
              <c:y val="0.8389685298698037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904063600"/>
        <c:crosses val="autoZero"/>
        <c:auto val="1"/>
        <c:lblAlgn val="ctr"/>
        <c:lblOffset val="100"/>
        <c:noMultiLvlLbl val="0"/>
      </c:catAx>
      <c:valAx>
        <c:axId val="9040636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GB"/>
                  <a:t>Condition Score at Year End, after</a:t>
                </a:r>
                <a:r>
                  <a:rPr lang="en-GB" baseline="0"/>
                  <a:t> Works</a:t>
                </a:r>
                <a:endParaRPr lang="en-GB"/>
              </a:p>
            </c:rich>
          </c:tx>
          <c:layout>
            <c:manualLayout>
              <c:xMode val="edge"/>
              <c:yMode val="edge"/>
              <c:x val="9.9576798605924815E-3"/>
              <c:y val="0.136393676219489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GB"/>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904061632"/>
        <c:crosses val="autoZero"/>
        <c:crossBetween val="between"/>
      </c:valAx>
      <c:spPr>
        <a:solidFill>
          <a:schemeClr val="bg1"/>
        </a:solidFill>
        <a:ln>
          <a:solidFill>
            <a:sysClr val="windowText" lastClr="000000"/>
          </a:solidFill>
        </a:ln>
        <a:effectLst/>
      </c:spPr>
    </c:plotArea>
    <c:legend>
      <c:legendPos val="b"/>
      <c:layout>
        <c:manualLayout>
          <c:xMode val="edge"/>
          <c:yMode val="edge"/>
          <c:x val="0.34016414490384372"/>
          <c:y val="0.923905260672369"/>
          <c:w val="0.33460822998320139"/>
          <c:h val="5.529390729434952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[SAVI v1.10 blank.xlsm]LAMP Results!PivotTable1</c:name>
    <c:fmtId val="3"/>
  </c:pivotSource>
  <c:chart>
    <c:title>
      <c:tx>
        <c:rich>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a:t>Structures Stock Score (SSS)</a:t>
            </a:r>
          </a:p>
        </c:rich>
      </c:tx>
      <c:layout>
        <c:manualLayout>
          <c:xMode val="edge"/>
          <c:yMode val="edge"/>
          <c:x val="0.36309673521025698"/>
          <c:y val="2.76966081465222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19050" cap="rnd">
            <a:solidFill>
              <a:schemeClr val="accent1"/>
            </a:solidFill>
            <a:round/>
          </a:ln>
          <a:effectLst/>
        </c:spPr>
        <c:marker>
          <c:symbol val="none"/>
        </c:marker>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099860357628086"/>
          <c:y val="0.11701291158346713"/>
          <c:w val="0.80260350825477267"/>
          <c:h val="0.64614642753539975"/>
        </c:manualLayout>
      </c:layout>
      <c:lineChart>
        <c:grouping val="standard"/>
        <c:varyColors val="0"/>
        <c:ser>
          <c:idx val="0"/>
          <c:order val="0"/>
          <c:tx>
            <c:strRef>
              <c:f>'LAMP Results'!$EC$6:$EC$7</c:f>
              <c:strCache>
                <c:ptCount val="1"/>
                <c:pt idx="0">
                  <c:v> Full Stock</c:v>
                </c:pt>
              </c:strCache>
            </c:strRef>
          </c:tx>
          <c:spPr>
            <a:ln w="28575" cap="rnd">
              <a:solidFill>
                <a:schemeClr val="accent1"/>
              </a:solidFill>
              <a:round/>
            </a:ln>
            <a:effectLst/>
          </c:spPr>
          <c:marker>
            <c:symbol val="none"/>
          </c:marker>
          <c:cat>
            <c:strRef>
              <c:f>'LAMP Results'!$EB$8</c:f>
              <c:strCache>
                <c:ptCount val="1"/>
                <c:pt idx="0">
                  <c:v>0</c:v>
                </c:pt>
              </c:strCache>
            </c:strRef>
          </c:cat>
          <c:val>
            <c:numRef>
              <c:f>'LAMP Results'!$EC$8</c:f>
              <c:numCache>
                <c:formatCode>General</c:formatCode>
                <c:ptCount val="1"/>
                <c:pt idx="0">
                  <c:v>0.96483439728617226</c:v>
                </c:pt>
              </c:numCache>
            </c:numRef>
          </c:val>
          <c:smooth val="0"/>
          <c:extLst>
            <c:ext xmlns:c16="http://schemas.microsoft.com/office/drawing/2014/chart" uri="{C3380CC4-5D6E-409C-BE32-E72D297353CC}">
              <c16:uniqueId val="{00000000-558F-4016-B9EF-5CAC0D0F00B7}"/>
            </c:ext>
          </c:extLst>
        </c:ser>
        <c:ser>
          <c:idx val="1"/>
          <c:order val="1"/>
          <c:tx>
            <c:strRef>
              <c:f>'LAMP Results'!$ED$6:$ED$7</c:f>
              <c:strCache>
                <c:ptCount val="1"/>
                <c:pt idx="0">
                  <c:v>Sum of    Full Stock</c:v>
                </c:pt>
              </c:strCache>
            </c:strRef>
          </c:tx>
          <c:spPr>
            <a:ln w="28575" cap="rnd">
              <a:noFill/>
              <a:round/>
            </a:ln>
            <a:effectLst/>
          </c:spPr>
          <c:marker>
            <c:symbol val="none"/>
          </c:marker>
          <c:cat>
            <c:strRef>
              <c:f>'LAMP Results'!$EB$8</c:f>
              <c:strCache>
                <c:ptCount val="1"/>
                <c:pt idx="0">
                  <c:v>0</c:v>
                </c:pt>
              </c:strCache>
            </c:strRef>
          </c:cat>
          <c:val>
            <c:numRef>
              <c:f>'LAMP Results'!$ED$8</c:f>
              <c:numCache>
                <c:formatCode>General</c:formatCode>
                <c:ptCount val="1"/>
                <c:pt idx="0">
                  <c:v>0.96483439728617226</c:v>
                </c:pt>
              </c:numCache>
            </c:numRef>
          </c:val>
          <c:smooth val="0"/>
          <c:extLst>
            <c:ext xmlns:c16="http://schemas.microsoft.com/office/drawing/2014/chart" uri="{C3380CC4-5D6E-409C-BE32-E72D297353CC}">
              <c16:uniqueId val="{00000000-6CC4-42DD-94F2-73EC93E43074}"/>
            </c:ext>
          </c:extLst>
        </c:ser>
        <c:dLbls>
          <c:showLegendKey val="0"/>
          <c:showVal val="0"/>
          <c:showCatName val="0"/>
          <c:showSerName val="0"/>
          <c:showPercent val="0"/>
          <c:showBubbleSize val="0"/>
        </c:dLbls>
        <c:smooth val="0"/>
        <c:axId val="771533440"/>
        <c:axId val="771524256"/>
      </c:lineChart>
      <c:catAx>
        <c:axId val="771533440"/>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GB"/>
                  <a:t>Year</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71524256"/>
        <c:crosses val="autoZero"/>
        <c:auto val="1"/>
        <c:lblAlgn val="ctr"/>
        <c:lblOffset val="100"/>
        <c:noMultiLvlLbl val="0"/>
      </c:catAx>
      <c:valAx>
        <c:axId val="771524256"/>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GB" sz="1000" b="0" i="0" u="none" strike="noStrike" baseline="0">
                    <a:effectLst/>
                  </a:rPr>
                  <a:t>Percentage of Structures in a 'State of Good Repair'</a:t>
                </a:r>
                <a:endParaRPr lang="en-GB"/>
              </a:p>
            </c:rich>
          </c:tx>
          <c:layout>
            <c:manualLayout>
              <c:xMode val="edge"/>
              <c:yMode val="edge"/>
              <c:x val="2.159827213822894E-2"/>
              <c:y val="0.130858529132078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GB"/>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71533440"/>
        <c:crosses val="autoZero"/>
        <c:crossBetween val="between"/>
      </c:valAx>
      <c:spPr>
        <a:solidFill>
          <a:sysClr val="window" lastClr="FFFFFF"/>
        </a:solidFill>
        <a:ln>
          <a:solidFill>
            <a:sysClr val="windowText" lastClr="000000"/>
          </a:solidFill>
        </a:ln>
        <a:effectLst/>
      </c:spPr>
    </c:plotArea>
    <c:legend>
      <c:legendPos val="b"/>
      <c:layout>
        <c:manualLayout>
          <c:xMode val="edge"/>
          <c:yMode val="edge"/>
          <c:x val="0.40876076033505171"/>
          <c:y val="0.8998837992917027"/>
          <c:w val="0.2123973452195746"/>
          <c:h val="5.2967222446958645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chart" Target="../charts/chart1.xml"/><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image" Target="../media/image5.png"/><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5.png"/><Relationship Id="rId5" Type="http://schemas.openxmlformats.org/officeDocument/2006/relationships/chart" Target="../charts/chart12.xml"/><Relationship Id="rId4"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chart" Target="../charts/chart24.xml"/><Relationship Id="rId3" Type="http://schemas.openxmlformats.org/officeDocument/2006/relationships/chart" Target="../charts/chart15.xml"/><Relationship Id="rId7" Type="http://schemas.openxmlformats.org/officeDocument/2006/relationships/chart" Target="../charts/chart19.xml"/><Relationship Id="rId12" Type="http://schemas.openxmlformats.org/officeDocument/2006/relationships/chart" Target="../charts/chart23.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2.xml"/><Relationship Id="rId5" Type="http://schemas.openxmlformats.org/officeDocument/2006/relationships/chart" Target="../charts/chart17.xml"/><Relationship Id="rId15" Type="http://schemas.openxmlformats.org/officeDocument/2006/relationships/chart" Target="../charts/chart26.xml"/><Relationship Id="rId10" Type="http://schemas.openxmlformats.org/officeDocument/2006/relationships/chart" Target="../charts/chart21.xml"/><Relationship Id="rId4" Type="http://schemas.openxmlformats.org/officeDocument/2006/relationships/chart" Target="../charts/chart16.xml"/><Relationship Id="rId9" Type="http://schemas.openxmlformats.org/officeDocument/2006/relationships/chart" Target="../charts/chart20.xml"/><Relationship Id="rId14" Type="http://schemas.openxmlformats.org/officeDocument/2006/relationships/chart" Target="../charts/chart25.xml"/></Relationships>
</file>

<file path=xl/drawings/_rels/drawing10.xml.rels><?xml version="1.0" encoding="UTF-8" standalone="yes"?>
<Relationships xmlns="http://schemas.openxmlformats.org/package/2006/relationships"><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293913</xdr:colOff>
      <xdr:row>1</xdr:row>
      <xdr:rowOff>70032</xdr:rowOff>
    </xdr:from>
    <xdr:to>
      <xdr:col>1</xdr:col>
      <xdr:colOff>960571</xdr:colOff>
      <xdr:row>6</xdr:row>
      <xdr:rowOff>880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duotone>
            <a:prstClr val="black"/>
            <a:schemeClr val="tx2">
              <a:tint val="45000"/>
              <a:satMod val="400000"/>
            </a:schemeClr>
          </a:duotone>
          <a:extLst>
            <a:ext uri="{28A0092B-C50C-407E-A947-70E740481C1C}">
              <a14:useLocalDpi xmlns:a14="http://schemas.microsoft.com/office/drawing/2010/main" val="0"/>
            </a:ext>
          </a:extLst>
        </a:blip>
        <a:srcRect l="8250" t="35235" r="59582" b="36666"/>
        <a:stretch/>
      </xdr:blipFill>
      <xdr:spPr>
        <a:xfrm>
          <a:off x="293913" y="237672"/>
          <a:ext cx="1055278" cy="9214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26065</xdr:colOff>
      <xdr:row>31</xdr:row>
      <xdr:rowOff>107134</xdr:rowOff>
    </xdr:from>
    <xdr:to>
      <xdr:col>29</xdr:col>
      <xdr:colOff>174410</xdr:colOff>
      <xdr:row>41</xdr:row>
      <xdr:rowOff>134032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78</xdr:col>
          <xdr:colOff>0</xdr:colOff>
          <xdr:row>49</xdr:row>
          <xdr:rowOff>123825</xdr:rowOff>
        </xdr:from>
        <xdr:to>
          <xdr:col>82</xdr:col>
          <xdr:colOff>209550</xdr:colOff>
          <xdr:row>51</xdr:row>
          <xdr:rowOff>9525</xdr:rowOff>
        </xdr:to>
        <xdr:sp macro="" textlink="">
          <xdr:nvSpPr>
            <xdr:cNvPr id="103430" name="Button 6" hidden="1">
              <a:extLst>
                <a:ext uri="{63B3BB69-23CF-44E3-9099-C40C66FF867C}">
                  <a14:compatExt spid="_x0000_s103430"/>
                </a:ext>
                <a:ext uri="{FF2B5EF4-FFF2-40B4-BE49-F238E27FC236}">
                  <a16:creationId xmlns:a16="http://schemas.microsoft.com/office/drawing/2014/main" id="{00000000-0008-0000-0300-000006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0" i="0" u="none" strike="noStrike" baseline="0">
                  <a:solidFill>
                    <a:srgbClr val="000000"/>
                  </a:solidFill>
                  <a:latin typeface="Arial"/>
                  <a:cs typeface="Arial"/>
                </a:rPr>
                <a:t>Go to: Ref03&amp;04ii</a:t>
              </a:r>
            </a:p>
          </xdr:txBody>
        </xdr:sp>
        <xdr:clientData fPrintsWithSheet="0"/>
      </xdr:twoCellAnchor>
    </mc:Choice>
    <mc:Fallback/>
  </mc:AlternateContent>
  <xdr:twoCellAnchor>
    <xdr:from>
      <xdr:col>0</xdr:col>
      <xdr:colOff>122704</xdr:colOff>
      <xdr:row>9</xdr:row>
      <xdr:rowOff>64060</xdr:rowOff>
    </xdr:from>
    <xdr:to>
      <xdr:col>28</xdr:col>
      <xdr:colOff>134471</xdr:colOff>
      <xdr:row>52</xdr:row>
      <xdr:rowOff>97117</xdr:rowOff>
    </xdr:to>
    <xdr:sp macro="" textlink="">
      <xdr:nvSpPr>
        <xdr:cNvPr id="21" name="Rectangle 20">
          <a:extLst>
            <a:ext uri="{FF2B5EF4-FFF2-40B4-BE49-F238E27FC236}">
              <a16:creationId xmlns:a16="http://schemas.microsoft.com/office/drawing/2014/main" id="{00000000-0008-0000-0500-000015000000}"/>
            </a:ext>
          </a:extLst>
        </xdr:cNvPr>
        <xdr:cNvSpPr/>
      </xdr:nvSpPr>
      <xdr:spPr>
        <a:xfrm>
          <a:off x="122704" y="1005354"/>
          <a:ext cx="6287061" cy="6980704"/>
        </a:xfrm>
        <a:prstGeom prst="rect">
          <a:avLst/>
        </a:prstGeom>
        <a:noFill/>
        <a:ln w="381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28</xdr:col>
      <xdr:colOff>122703</xdr:colOff>
      <xdr:row>9</xdr:row>
      <xdr:rowOff>64060</xdr:rowOff>
    </xdr:from>
    <xdr:to>
      <xdr:col>84</xdr:col>
      <xdr:colOff>107762</xdr:colOff>
      <xdr:row>52</xdr:row>
      <xdr:rowOff>97117</xdr:rowOff>
    </xdr:to>
    <xdr:sp macro="" textlink="">
      <xdr:nvSpPr>
        <xdr:cNvPr id="22" name="Rectangle 21">
          <a:extLst>
            <a:ext uri="{FF2B5EF4-FFF2-40B4-BE49-F238E27FC236}">
              <a16:creationId xmlns:a16="http://schemas.microsoft.com/office/drawing/2014/main" id="{00000000-0008-0000-0500-000016000000}"/>
            </a:ext>
          </a:extLst>
        </xdr:cNvPr>
        <xdr:cNvSpPr/>
      </xdr:nvSpPr>
      <xdr:spPr>
        <a:xfrm>
          <a:off x="6397997" y="1005354"/>
          <a:ext cx="12580471" cy="6980704"/>
        </a:xfrm>
        <a:prstGeom prst="rect">
          <a:avLst/>
        </a:prstGeom>
        <a:noFill/>
        <a:ln w="381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113335</xdr:colOff>
      <xdr:row>52</xdr:row>
      <xdr:rowOff>73455</xdr:rowOff>
    </xdr:from>
    <xdr:to>
      <xdr:col>84</xdr:col>
      <xdr:colOff>111647</xdr:colOff>
      <xdr:row>56</xdr:row>
      <xdr:rowOff>73306</xdr:rowOff>
    </xdr:to>
    <xdr:sp macro="" textlink="">
      <xdr:nvSpPr>
        <xdr:cNvPr id="23" name="Rectangle 22">
          <a:extLst>
            <a:ext uri="{FF2B5EF4-FFF2-40B4-BE49-F238E27FC236}">
              <a16:creationId xmlns:a16="http://schemas.microsoft.com/office/drawing/2014/main" id="{00000000-0008-0000-0500-000017000000}"/>
            </a:ext>
          </a:extLst>
        </xdr:cNvPr>
        <xdr:cNvSpPr/>
      </xdr:nvSpPr>
      <xdr:spPr>
        <a:xfrm>
          <a:off x="113335" y="8741205"/>
          <a:ext cx="18048187" cy="666601"/>
        </a:xfrm>
        <a:prstGeom prst="rect">
          <a:avLst/>
        </a:prstGeom>
        <a:noFill/>
        <a:ln w="381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xdr:col>
      <xdr:colOff>1</xdr:colOff>
      <xdr:row>0</xdr:row>
      <xdr:rowOff>68699</xdr:rowOff>
    </xdr:from>
    <xdr:to>
      <xdr:col>5</xdr:col>
      <xdr:colOff>142113</xdr:colOff>
      <xdr:row>6</xdr:row>
      <xdr:rowOff>1</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rotWithShape="1">
        <a:blip xmlns:r="http://schemas.openxmlformats.org/officeDocument/2006/relationships" r:embed="rId2" cstate="print">
          <a:duotone>
            <a:prstClr val="black"/>
            <a:schemeClr val="tx2">
              <a:tint val="45000"/>
              <a:satMod val="400000"/>
            </a:schemeClr>
          </a:duotone>
          <a:extLst>
            <a:ext uri="{28A0092B-C50C-407E-A947-70E740481C1C}">
              <a14:useLocalDpi xmlns:a14="http://schemas.microsoft.com/office/drawing/2010/main" val="0"/>
            </a:ext>
          </a:extLst>
        </a:blip>
        <a:srcRect l="8250" t="35235" r="59582" b="36666"/>
        <a:stretch/>
      </xdr:blipFill>
      <xdr:spPr>
        <a:xfrm>
          <a:off x="209551" y="68699"/>
          <a:ext cx="974270" cy="902852"/>
        </a:xfrm>
        <a:prstGeom prst="rect">
          <a:avLst/>
        </a:prstGeom>
      </xdr:spPr>
    </xdr:pic>
    <xdr:clientData/>
  </xdr:twoCellAnchor>
  <xdr:twoCellAnchor editAs="oneCell">
    <xdr:from>
      <xdr:col>1</xdr:col>
      <xdr:colOff>172358</xdr:colOff>
      <xdr:row>53</xdr:row>
      <xdr:rowOff>136790</xdr:rowOff>
    </xdr:from>
    <xdr:to>
      <xdr:col>4</xdr:col>
      <xdr:colOff>27542</xdr:colOff>
      <xdr:row>55</xdr:row>
      <xdr:rowOff>29718</xdr:rowOff>
    </xdr:to>
    <xdr:pic>
      <xdr:nvPicPr>
        <xdr:cNvPr id="42" name="Picture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908" y="10557140"/>
          <a:ext cx="483507" cy="213594"/>
        </a:xfrm>
        <a:prstGeom prst="rect">
          <a:avLst/>
        </a:prstGeom>
      </xdr:spPr>
    </xdr:pic>
    <xdr:clientData/>
  </xdr:twoCellAnchor>
  <xdr:twoCellAnchor editAs="oneCell">
    <xdr:from>
      <xdr:col>54</xdr:col>
      <xdr:colOff>66675</xdr:colOff>
      <xdr:row>0</xdr:row>
      <xdr:rowOff>66675</xdr:rowOff>
    </xdr:from>
    <xdr:to>
      <xdr:col>84</xdr:col>
      <xdr:colOff>172342</xdr:colOff>
      <xdr:row>6</xdr:row>
      <xdr:rowOff>63636</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458575" y="66675"/>
          <a:ext cx="6392167" cy="97168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3</xdr:row>
          <xdr:rowOff>19050</xdr:rowOff>
        </xdr:from>
        <xdr:to>
          <xdr:col>13</xdr:col>
          <xdr:colOff>0</xdr:colOff>
          <xdr:row>3</xdr:row>
          <xdr:rowOff>504825</xdr:rowOff>
        </xdr:to>
        <xdr:sp macro="" textlink="">
          <xdr:nvSpPr>
            <xdr:cNvPr id="112648" name="Button 8" hidden="1">
              <a:extLst>
                <a:ext uri="{63B3BB69-23CF-44E3-9099-C40C66FF867C}">
                  <a14:compatExt spid="_x0000_s112648"/>
                </a:ext>
                <a:ext uri="{FF2B5EF4-FFF2-40B4-BE49-F238E27FC236}">
                  <a16:creationId xmlns:a16="http://schemas.microsoft.com/office/drawing/2014/main" id="{00000000-0008-0000-0500-000008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Calibri"/>
                  <a:cs typeface="Calibri"/>
                </a:rPr>
                <a:t>Apply Default Intervention from Main Page </a:t>
              </a:r>
            </a:p>
            <a:p>
              <a:pPr algn="ctr" rtl="0">
                <a:defRPr sz="1000"/>
              </a:pPr>
              <a:r>
                <a:rPr lang="en-GB" sz="800" b="0" i="0" u="none" strike="noStrike" baseline="0">
                  <a:solidFill>
                    <a:srgbClr val="000000"/>
                  </a:solidFill>
                  <a:latin typeface="Calibri"/>
                  <a:cs typeface="Calibri"/>
                </a:rPr>
                <a:t>(in Edit Mode only)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52294</xdr:rowOff>
    </xdr:from>
    <xdr:to>
      <xdr:col>2</xdr:col>
      <xdr:colOff>148591</xdr:colOff>
      <xdr:row>3</xdr:row>
      <xdr:rowOff>110330</xdr:rowOff>
    </xdr:to>
    <xdr:pic macro="[0]!GoTo_MainPage">
      <xdr:nvPicPr>
        <xdr:cNvPr id="5" name="Picture 4">
          <a:extLst>
            <a:ext uri="{FF2B5EF4-FFF2-40B4-BE49-F238E27FC236}">
              <a16:creationId xmlns:a16="http://schemas.microsoft.com/office/drawing/2014/main" id="{00000000-0008-0000-0E00-000005000000}"/>
            </a:ext>
          </a:extLst>
        </xdr:cNvPr>
        <xdr:cNvPicPr>
          <a:picLocks noChangeAspect="1"/>
        </xdr:cNvPicPr>
      </xdr:nvPicPr>
      <xdr:blipFill rotWithShape="1">
        <a:blip xmlns:r="http://schemas.openxmlformats.org/officeDocument/2006/relationships" r:embed="rId1" cstate="print">
          <a:duotone>
            <a:prstClr val="black"/>
            <a:schemeClr val="tx2">
              <a:tint val="45000"/>
              <a:satMod val="400000"/>
            </a:schemeClr>
          </a:duotone>
          <a:extLst>
            <a:ext uri="{28A0092B-C50C-407E-A947-70E740481C1C}">
              <a14:useLocalDpi xmlns:a14="http://schemas.microsoft.com/office/drawing/2010/main" val="0"/>
            </a:ext>
          </a:extLst>
        </a:blip>
        <a:srcRect l="8250" t="35235" r="59582" b="36666"/>
        <a:stretch/>
      </xdr:blipFill>
      <xdr:spPr>
        <a:xfrm>
          <a:off x="224118" y="52294"/>
          <a:ext cx="584308" cy="495714"/>
        </a:xfrm>
        <a:prstGeom prst="rect">
          <a:avLst/>
        </a:prstGeom>
      </xdr:spPr>
    </xdr:pic>
    <xdr:clientData/>
  </xdr:twoCellAnchor>
  <xdr:twoCellAnchor>
    <xdr:from>
      <xdr:col>17</xdr:col>
      <xdr:colOff>798618</xdr:colOff>
      <xdr:row>3</xdr:row>
      <xdr:rowOff>36507</xdr:rowOff>
    </xdr:from>
    <xdr:to>
      <xdr:col>19</xdr:col>
      <xdr:colOff>1301513</xdr:colOff>
      <xdr:row>14</xdr:row>
      <xdr:rowOff>27940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29</xdr:row>
      <xdr:rowOff>0</xdr:rowOff>
    </xdr:from>
    <xdr:to>
      <xdr:col>10</xdr:col>
      <xdr:colOff>175558</xdr:colOff>
      <xdr:row>44</xdr:row>
      <xdr:rowOff>37353</xdr:rowOff>
    </xdr:to>
    <xdr:graphicFrame macro="">
      <xdr:nvGraphicFramePr>
        <xdr:cNvPr id="7" name="Chart 6">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352988</xdr:colOff>
      <xdr:row>17</xdr:row>
      <xdr:rowOff>31749</xdr:rowOff>
    </xdr:from>
    <xdr:to>
      <xdr:col>19</xdr:col>
      <xdr:colOff>861133</xdr:colOff>
      <xdr:row>38</xdr:row>
      <xdr:rowOff>8678</xdr:rowOff>
    </xdr:to>
    <xdr:graphicFrame macro="">
      <xdr:nvGraphicFramePr>
        <xdr:cNvPr id="10" name="Chart 9">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292049</xdr:colOff>
      <xdr:row>36</xdr:row>
      <xdr:rowOff>119273</xdr:rowOff>
    </xdr:from>
    <xdr:to>
      <xdr:col>19</xdr:col>
      <xdr:colOff>1027493</xdr:colOff>
      <xdr:row>55</xdr:row>
      <xdr:rowOff>102023</xdr:rowOff>
    </xdr:to>
    <xdr:graphicFrame macro="">
      <xdr:nvGraphicFramePr>
        <xdr:cNvPr id="11" name="Chart 10">
          <a:extLst>
            <a:ext uri="{FF2B5EF4-FFF2-40B4-BE49-F238E27FC236}">
              <a16:creationId xmlns:a16="http://schemas.microsoft.com/office/drawing/2014/main" id="{00000000-0008-0000-0E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2161056</xdr:colOff>
      <xdr:row>4</xdr:row>
      <xdr:rowOff>47960</xdr:rowOff>
    </xdr:from>
    <xdr:to>
      <xdr:col>9</xdr:col>
      <xdr:colOff>651490</xdr:colOff>
      <xdr:row>12</xdr:row>
      <xdr:rowOff>141180</xdr:rowOff>
    </xdr:to>
    <xdr:graphicFrame macro="">
      <xdr:nvGraphicFramePr>
        <xdr:cNvPr id="8" name="Chart 7">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100380</xdr:colOff>
      <xdr:row>18</xdr:row>
      <xdr:rowOff>3585</xdr:rowOff>
    </xdr:from>
    <xdr:to>
      <xdr:col>7</xdr:col>
      <xdr:colOff>896471</xdr:colOff>
      <xdr:row>27</xdr:row>
      <xdr:rowOff>54124</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54418</xdr:colOff>
      <xdr:row>16</xdr:row>
      <xdr:rowOff>121221</xdr:rowOff>
    </xdr:from>
    <xdr:to>
      <xdr:col>11</xdr:col>
      <xdr:colOff>20837</xdr:colOff>
      <xdr:row>22</xdr:row>
      <xdr:rowOff>66671</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rotWithShape="1">
        <a:blip xmlns:r="http://schemas.openxmlformats.org/officeDocument/2006/relationships" r:embed="rId1" cstate="print">
          <a:duotone>
            <a:prstClr val="black"/>
            <a:schemeClr val="tx2">
              <a:tint val="45000"/>
              <a:satMod val="400000"/>
            </a:schemeClr>
          </a:duotone>
          <a:extLst>
            <a:ext uri="{28A0092B-C50C-407E-A947-70E740481C1C}">
              <a14:useLocalDpi xmlns:a14="http://schemas.microsoft.com/office/drawing/2010/main" val="0"/>
            </a:ext>
          </a:extLst>
        </a:blip>
        <a:srcRect l="8250" t="35235" r="59582" b="36666"/>
        <a:stretch/>
      </xdr:blipFill>
      <xdr:spPr>
        <a:xfrm>
          <a:off x="1197418" y="2386810"/>
          <a:ext cx="918919" cy="925164"/>
        </a:xfrm>
        <a:prstGeom prst="rect">
          <a:avLst/>
        </a:prstGeom>
      </xdr:spPr>
    </xdr:pic>
    <xdr:clientData/>
  </xdr:twoCellAnchor>
  <xdr:twoCellAnchor editAs="oneCell">
    <xdr:from>
      <xdr:col>3</xdr:col>
      <xdr:colOff>38100</xdr:colOff>
      <xdr:row>23</xdr:row>
      <xdr:rowOff>9525</xdr:rowOff>
    </xdr:from>
    <xdr:to>
      <xdr:col>39</xdr:col>
      <xdr:colOff>123825</xdr:colOff>
      <xdr:row>27</xdr:row>
      <xdr:rowOff>133350</xdr:rowOff>
    </xdr:to>
    <xdr:pic>
      <xdr:nvPicPr>
        <xdr:cNvPr id="5" name="Picture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38175" y="3905250"/>
          <a:ext cx="7286625" cy="8096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28575</xdr:colOff>
      <xdr:row>18</xdr:row>
      <xdr:rowOff>19050</xdr:rowOff>
    </xdr:from>
    <xdr:to>
      <xdr:col>21</xdr:col>
      <xdr:colOff>0</xdr:colOff>
      <xdr:row>41</xdr:row>
      <xdr:rowOff>76200</xdr:rowOff>
    </xdr:to>
    <xdr:graphicFrame macro="">
      <xdr:nvGraphicFramePr>
        <xdr:cNvPr id="8" name="Chart 7">
          <a:extLst>
            <a:ext uri="{FF2B5EF4-FFF2-40B4-BE49-F238E27FC236}">
              <a16:creationId xmlns:a16="http://schemas.microsoft.com/office/drawing/2014/main" id="{00000000-0008-0000-1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782264</xdr:colOff>
      <xdr:row>3</xdr:row>
      <xdr:rowOff>60428</xdr:rowOff>
    </xdr:from>
    <xdr:to>
      <xdr:col>15</xdr:col>
      <xdr:colOff>382723</xdr:colOff>
      <xdr:row>13</xdr:row>
      <xdr:rowOff>99758</xdr:rowOff>
    </xdr:to>
    <xdr:graphicFrame macro="">
      <xdr:nvGraphicFramePr>
        <xdr:cNvPr id="10" name="Chart 9">
          <a:extLst>
            <a:ext uri="{FF2B5EF4-FFF2-40B4-BE49-F238E27FC236}">
              <a16:creationId xmlns:a16="http://schemas.microsoft.com/office/drawing/2014/main" id="{00000000-0008-0000-1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1619251</xdr:colOff>
      <xdr:row>4</xdr:row>
      <xdr:rowOff>47625</xdr:rowOff>
    </xdr:from>
    <xdr:to>
      <xdr:col>8</xdr:col>
      <xdr:colOff>342900</xdr:colOff>
      <xdr:row>13</xdr:row>
      <xdr:rowOff>1738</xdr:rowOff>
    </xdr:to>
    <xdr:graphicFrame macro="">
      <xdr:nvGraphicFramePr>
        <xdr:cNvPr id="11" name="Chart 10">
          <a:extLst>
            <a:ext uri="{FF2B5EF4-FFF2-40B4-BE49-F238E27FC236}">
              <a16:creationId xmlns:a16="http://schemas.microsoft.com/office/drawing/2014/main" id="{00000000-0008-0000-1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129964</xdr:colOff>
      <xdr:row>17</xdr:row>
      <xdr:rowOff>76200</xdr:rowOff>
    </xdr:from>
    <xdr:to>
      <xdr:col>11</xdr:col>
      <xdr:colOff>635000</xdr:colOff>
      <xdr:row>41</xdr:row>
      <xdr:rowOff>20731</xdr:rowOff>
    </xdr:to>
    <xdr:graphicFrame macro="">
      <xdr:nvGraphicFramePr>
        <xdr:cNvPr id="9" name="Chart 8">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86934</xdr:colOff>
      <xdr:row>3</xdr:row>
      <xdr:rowOff>120998</xdr:rowOff>
    </xdr:from>
    <xdr:to>
      <xdr:col>20</xdr:col>
      <xdr:colOff>78513</xdr:colOff>
      <xdr:row>13</xdr:row>
      <xdr:rowOff>141278</xdr:rowOff>
    </xdr:to>
    <xdr:graphicFrame macro="">
      <xdr:nvGraphicFramePr>
        <xdr:cNvPr id="13" name="Chart 12">
          <a:extLst>
            <a:ext uri="{FF2B5EF4-FFF2-40B4-BE49-F238E27FC236}">
              <a16:creationId xmlns:a16="http://schemas.microsoft.com/office/drawing/2014/main" id="{00000000-0008-0000-1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78441</xdr:colOff>
      <xdr:row>0</xdr:row>
      <xdr:rowOff>67235</xdr:rowOff>
    </xdr:from>
    <xdr:to>
      <xdr:col>3</xdr:col>
      <xdr:colOff>1325</xdr:colOff>
      <xdr:row>3</xdr:row>
      <xdr:rowOff>103071</xdr:rowOff>
    </xdr:to>
    <xdr:pic macro="[0]!GoTo_MainPage">
      <xdr:nvPicPr>
        <xdr:cNvPr id="15" name="Picture 14">
          <a:extLst>
            <a:ext uri="{FF2B5EF4-FFF2-40B4-BE49-F238E27FC236}">
              <a16:creationId xmlns:a16="http://schemas.microsoft.com/office/drawing/2014/main" id="{00000000-0008-0000-1000-00000F000000}"/>
            </a:ext>
          </a:extLst>
        </xdr:cNvPr>
        <xdr:cNvPicPr>
          <a:picLocks noChangeAspect="1"/>
        </xdr:cNvPicPr>
      </xdr:nvPicPr>
      <xdr:blipFill rotWithShape="1">
        <a:blip xmlns:r="http://schemas.openxmlformats.org/officeDocument/2006/relationships" r:embed="rId6" cstate="print">
          <a:duotone>
            <a:prstClr val="black"/>
            <a:schemeClr val="tx2">
              <a:tint val="45000"/>
              <a:satMod val="400000"/>
            </a:schemeClr>
          </a:duotone>
          <a:extLst>
            <a:ext uri="{28A0092B-C50C-407E-A947-70E740481C1C}">
              <a14:useLocalDpi xmlns:a14="http://schemas.microsoft.com/office/drawing/2010/main" val="0"/>
            </a:ext>
          </a:extLst>
        </a:blip>
        <a:srcRect l="8250" t="35235" r="59582" b="36666"/>
        <a:stretch/>
      </xdr:blipFill>
      <xdr:spPr>
        <a:xfrm>
          <a:off x="291353" y="67235"/>
          <a:ext cx="548732" cy="499684"/>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171450</xdr:colOff>
          <xdr:row>40</xdr:row>
          <xdr:rowOff>76200</xdr:rowOff>
        </xdr:from>
        <xdr:to>
          <xdr:col>11</xdr:col>
          <xdr:colOff>857250</xdr:colOff>
          <xdr:row>42</xdr:row>
          <xdr:rowOff>85725</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0E00-000001C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View Project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40</xdr:row>
          <xdr:rowOff>95250</xdr:rowOff>
        </xdr:from>
        <xdr:to>
          <xdr:col>20</xdr:col>
          <xdr:colOff>619125</xdr:colOff>
          <xdr:row>42</xdr:row>
          <xdr:rowOff>76200</xdr:rowOff>
        </xdr:to>
        <xdr:sp macro="" textlink="">
          <xdr:nvSpPr>
            <xdr:cNvPr id="115714" name="Button 2" hidden="1">
              <a:extLst>
                <a:ext uri="{63B3BB69-23CF-44E3-9099-C40C66FF867C}">
                  <a14:compatExt spid="_x0000_s115714"/>
                </a:ext>
                <a:ext uri="{FF2B5EF4-FFF2-40B4-BE49-F238E27FC236}">
                  <a16:creationId xmlns:a16="http://schemas.microsoft.com/office/drawing/2014/main" id="{00000000-0008-0000-0E00-000002C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View Element List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821054</xdr:colOff>
      <xdr:row>0</xdr:row>
      <xdr:rowOff>76200</xdr:rowOff>
    </xdr:from>
    <xdr:to>
      <xdr:col>6</xdr:col>
      <xdr:colOff>1257300</xdr:colOff>
      <xdr:row>3</xdr:row>
      <xdr:rowOff>95250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821054" y="76200"/>
          <a:ext cx="10227946" cy="533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b="1">
              <a:latin typeface="Arial" panose="020B0604020202020204" pitchFamily="34" charset="0"/>
              <a:cs typeface="Arial" panose="020B0604020202020204" pitchFamily="34" charset="0"/>
            </a:rPr>
            <a:t>Project List (Short-Term Asset Management Plan)</a:t>
          </a:r>
        </a:p>
      </xdr:txBody>
    </xdr:sp>
    <xdr:clientData/>
  </xdr:twoCellAnchor>
  <xdr:twoCellAnchor editAs="oneCell">
    <xdr:from>
      <xdr:col>0</xdr:col>
      <xdr:colOff>129540</xdr:colOff>
      <xdr:row>0</xdr:row>
      <xdr:rowOff>104775</xdr:rowOff>
    </xdr:from>
    <xdr:to>
      <xdr:col>0</xdr:col>
      <xdr:colOff>683987</xdr:colOff>
      <xdr:row>3</xdr:row>
      <xdr:rowOff>101632</xdr:rowOff>
    </xdr:to>
    <xdr:pic macro="[0]!GoTo_MainPage">
      <xdr:nvPicPr>
        <xdr:cNvPr id="5" name="Picture 4">
          <a:extLst>
            <a:ext uri="{FF2B5EF4-FFF2-40B4-BE49-F238E27FC236}">
              <a16:creationId xmlns:a16="http://schemas.microsoft.com/office/drawing/2014/main" id="{00000000-0008-0000-1100-000005000000}"/>
            </a:ext>
          </a:extLst>
        </xdr:cNvPr>
        <xdr:cNvPicPr>
          <a:picLocks noChangeAspect="1"/>
        </xdr:cNvPicPr>
      </xdr:nvPicPr>
      <xdr:blipFill rotWithShape="1">
        <a:blip xmlns:r="http://schemas.openxmlformats.org/officeDocument/2006/relationships" r:embed="rId1" cstate="print">
          <a:duotone>
            <a:prstClr val="black"/>
            <a:schemeClr val="tx2">
              <a:tint val="45000"/>
              <a:satMod val="400000"/>
            </a:schemeClr>
          </a:duotone>
          <a:extLst>
            <a:ext uri="{28A0092B-C50C-407E-A947-70E740481C1C}">
              <a14:useLocalDpi xmlns:a14="http://schemas.microsoft.com/office/drawing/2010/main" val="0"/>
            </a:ext>
          </a:extLst>
        </a:blip>
        <a:srcRect l="8250" t="35235" r="59582" b="36666"/>
        <a:stretch/>
      </xdr:blipFill>
      <xdr:spPr>
        <a:xfrm>
          <a:off x="129540" y="104775"/>
          <a:ext cx="554447" cy="50603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799888</xdr:colOff>
      <xdr:row>0</xdr:row>
      <xdr:rowOff>88688</xdr:rowOff>
    </xdr:from>
    <xdr:to>
      <xdr:col>6</xdr:col>
      <xdr:colOff>1375198</xdr:colOff>
      <xdr:row>3</xdr:row>
      <xdr:rowOff>98213</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799888" y="88688"/>
          <a:ext cx="10386060" cy="5175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b="1">
              <a:latin typeface="Arial" panose="020B0604020202020204" pitchFamily="34" charset="0"/>
              <a:cs typeface="Arial" panose="020B0604020202020204" pitchFamily="34" charset="0"/>
            </a:rPr>
            <a:t>Element List (Short-Term Asset Management Plan)</a:t>
          </a:r>
        </a:p>
      </xdr:txBody>
    </xdr:sp>
    <xdr:clientData/>
  </xdr:twoCellAnchor>
  <xdr:twoCellAnchor editAs="oneCell">
    <xdr:from>
      <xdr:col>0</xdr:col>
      <xdr:colOff>129540</xdr:colOff>
      <xdr:row>0</xdr:row>
      <xdr:rowOff>104775</xdr:rowOff>
    </xdr:from>
    <xdr:to>
      <xdr:col>0</xdr:col>
      <xdr:colOff>683987</xdr:colOff>
      <xdr:row>3</xdr:row>
      <xdr:rowOff>99835</xdr:rowOff>
    </xdr:to>
    <xdr:pic macro="[0]!GoTo_MainPage">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rotWithShape="1">
        <a:blip xmlns:r="http://schemas.openxmlformats.org/officeDocument/2006/relationships" r:embed="rId1" cstate="print">
          <a:duotone>
            <a:prstClr val="black"/>
            <a:schemeClr val="tx2">
              <a:tint val="45000"/>
              <a:satMod val="400000"/>
            </a:schemeClr>
          </a:duotone>
          <a:extLst>
            <a:ext uri="{28A0092B-C50C-407E-A947-70E740481C1C}">
              <a14:useLocalDpi xmlns:a14="http://schemas.microsoft.com/office/drawing/2010/main" val="0"/>
            </a:ext>
          </a:extLst>
        </a:blip>
        <a:srcRect l="8250" t="35235" r="59582" b="36666"/>
        <a:stretch/>
      </xdr:blipFill>
      <xdr:spPr>
        <a:xfrm>
          <a:off x="133350" y="102870"/>
          <a:ext cx="550637" cy="5079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31</xdr:col>
      <xdr:colOff>126999</xdr:colOff>
      <xdr:row>60</xdr:row>
      <xdr:rowOff>145255</xdr:rowOff>
    </xdr:from>
    <xdr:to>
      <xdr:col>57</xdr:col>
      <xdr:colOff>190022</xdr:colOff>
      <xdr:row>83</xdr:row>
      <xdr:rowOff>50005</xdr:rowOff>
    </xdr:to>
    <xdr:graphicFrame macro="">
      <xdr:nvGraphicFramePr>
        <xdr:cNvPr id="7" name="Chart 1">
          <a:extLst>
            <a:ext uri="{FF2B5EF4-FFF2-40B4-BE49-F238E27FC236}">
              <a16:creationId xmlns:a16="http://schemas.microsoft.com/office/drawing/2014/main" id="{00000000-0008-0000-1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123826</xdr:colOff>
      <xdr:row>60</xdr:row>
      <xdr:rowOff>134304</xdr:rowOff>
    </xdr:from>
    <xdr:to>
      <xdr:col>83</xdr:col>
      <xdr:colOff>9524</xdr:colOff>
      <xdr:row>83</xdr:row>
      <xdr:rowOff>96679</xdr:rowOff>
    </xdr:to>
    <xdr:graphicFrame macro="">
      <xdr:nvGraphicFramePr>
        <xdr:cNvPr id="8" name="Chart 1">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92711</xdr:colOff>
      <xdr:row>15</xdr:row>
      <xdr:rowOff>38576</xdr:rowOff>
    </xdr:from>
    <xdr:to>
      <xdr:col>56</xdr:col>
      <xdr:colOff>141289</xdr:colOff>
      <xdr:row>37</xdr:row>
      <xdr:rowOff>110966</xdr:rowOff>
    </xdr:to>
    <xdr:graphicFrame macro="">
      <xdr:nvGraphicFramePr>
        <xdr:cNvPr id="9" name="Chart 1">
          <a:extLst>
            <a:ext uri="{FF2B5EF4-FFF2-40B4-BE49-F238E27FC236}">
              <a16:creationId xmlns:a16="http://schemas.microsoft.com/office/drawing/2014/main" id="{00000000-0008-0000-1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54</xdr:col>
      <xdr:colOff>188913</xdr:colOff>
      <xdr:row>14</xdr:row>
      <xdr:rowOff>107157</xdr:rowOff>
    </xdr:from>
    <xdr:to>
      <xdr:col>83</xdr:col>
      <xdr:colOff>152399</xdr:colOff>
      <xdr:row>37</xdr:row>
      <xdr:rowOff>11430</xdr:rowOff>
    </xdr:to>
    <xdr:graphicFrame macro="">
      <xdr:nvGraphicFramePr>
        <xdr:cNvPr id="10" name="Chart 1">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87</xdr:col>
      <xdr:colOff>557271</xdr:colOff>
      <xdr:row>19</xdr:row>
      <xdr:rowOff>29269</xdr:rowOff>
    </xdr:from>
    <xdr:to>
      <xdr:col>98</xdr:col>
      <xdr:colOff>305814</xdr:colOff>
      <xdr:row>38</xdr:row>
      <xdr:rowOff>93596</xdr:rowOff>
    </xdr:to>
    <xdr:graphicFrame macro="">
      <xdr:nvGraphicFramePr>
        <xdr:cNvPr id="11" name="Chart 1">
          <a:extLst>
            <a:ext uri="{FF2B5EF4-FFF2-40B4-BE49-F238E27FC236}">
              <a16:creationId xmlns:a16="http://schemas.microsoft.com/office/drawing/2014/main" id="{00000000-0008-0000-1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154781</xdr:colOff>
      <xdr:row>37</xdr:row>
      <xdr:rowOff>139066</xdr:rowOff>
    </xdr:from>
    <xdr:to>
      <xdr:col>31</xdr:col>
      <xdr:colOff>78441</xdr:colOff>
      <xdr:row>60</xdr:row>
      <xdr:rowOff>49530</xdr:rowOff>
    </xdr:to>
    <xdr:graphicFrame macro="">
      <xdr:nvGraphicFramePr>
        <xdr:cNvPr id="12" name="Chart 1">
          <a:extLst>
            <a:ext uri="{FF2B5EF4-FFF2-40B4-BE49-F238E27FC236}">
              <a16:creationId xmlns:a16="http://schemas.microsoft.com/office/drawing/2014/main" id="{00000000-0008-0000-1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56</xdr:col>
      <xdr:colOff>117634</xdr:colOff>
      <xdr:row>83</xdr:row>
      <xdr:rowOff>115251</xdr:rowOff>
    </xdr:from>
    <xdr:to>
      <xdr:col>83</xdr:col>
      <xdr:colOff>196215</xdr:colOff>
      <xdr:row>106</xdr:row>
      <xdr:rowOff>38099</xdr:rowOff>
    </xdr:to>
    <xdr:graphicFrame macro="">
      <xdr:nvGraphicFramePr>
        <xdr:cNvPr id="13" name="Chart 1">
          <a:extLst>
            <a:ext uri="{FF2B5EF4-FFF2-40B4-BE49-F238E27FC236}">
              <a16:creationId xmlns:a16="http://schemas.microsoft.com/office/drawing/2014/main" id="{00000000-0008-0000-1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0</xdr:colOff>
      <xdr:row>0</xdr:row>
      <xdr:rowOff>72571</xdr:rowOff>
    </xdr:from>
    <xdr:to>
      <xdr:col>2</xdr:col>
      <xdr:colOff>143003</xdr:colOff>
      <xdr:row>3</xdr:row>
      <xdr:rowOff>104382</xdr:rowOff>
    </xdr:to>
    <xdr:pic macro="[0]!GoTo_MainPage">
      <xdr:nvPicPr>
        <xdr:cNvPr id="20" name="Picture 19">
          <a:extLst>
            <a:ext uri="{FF2B5EF4-FFF2-40B4-BE49-F238E27FC236}">
              <a16:creationId xmlns:a16="http://schemas.microsoft.com/office/drawing/2014/main" id="{00000000-0008-0000-1300-000014000000}"/>
            </a:ext>
          </a:extLst>
        </xdr:cNvPr>
        <xdr:cNvPicPr>
          <a:picLocks noChangeAspect="1"/>
        </xdr:cNvPicPr>
      </xdr:nvPicPr>
      <xdr:blipFill rotWithShape="1">
        <a:blip xmlns:r="http://schemas.openxmlformats.org/officeDocument/2006/relationships" r:embed="rId8" cstate="print">
          <a:duotone>
            <a:prstClr val="black"/>
            <a:schemeClr val="tx2">
              <a:tint val="45000"/>
              <a:satMod val="400000"/>
            </a:schemeClr>
          </a:duotone>
          <a:extLst>
            <a:ext uri="{28A0092B-C50C-407E-A947-70E740481C1C}">
              <a14:useLocalDpi xmlns:a14="http://schemas.microsoft.com/office/drawing/2010/main" val="0"/>
            </a:ext>
          </a:extLst>
        </a:blip>
        <a:srcRect l="8250" t="35235" r="59582" b="36666"/>
        <a:stretch/>
      </xdr:blipFill>
      <xdr:spPr>
        <a:xfrm>
          <a:off x="226786" y="72571"/>
          <a:ext cx="589644" cy="514924"/>
        </a:xfrm>
        <a:prstGeom prst="rect">
          <a:avLst/>
        </a:prstGeom>
      </xdr:spPr>
    </xdr:pic>
    <xdr:clientData/>
  </xdr:twoCellAnchor>
  <xdr:twoCellAnchor>
    <xdr:from>
      <xdr:col>30</xdr:col>
      <xdr:colOff>190976</xdr:colOff>
      <xdr:row>83</xdr:row>
      <xdr:rowOff>170020</xdr:rowOff>
    </xdr:from>
    <xdr:to>
      <xdr:col>57</xdr:col>
      <xdr:colOff>34766</xdr:colOff>
      <xdr:row>106</xdr:row>
      <xdr:rowOff>2857</xdr:rowOff>
    </xdr:to>
    <xdr:graphicFrame macro="">
      <xdr:nvGraphicFramePr>
        <xdr:cNvPr id="25" name="Chart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94641</xdr:colOff>
      <xdr:row>4</xdr:row>
      <xdr:rowOff>65138</xdr:rowOff>
    </xdr:from>
    <xdr:to>
      <xdr:col>30</xdr:col>
      <xdr:colOff>182842</xdr:colOff>
      <xdr:row>13</xdr:row>
      <xdr:rowOff>155494</xdr:rowOff>
    </xdr:to>
    <xdr:graphicFrame macro="">
      <xdr:nvGraphicFramePr>
        <xdr:cNvPr id="23" name="Chart 22">
          <a:extLst>
            <a:ext uri="{FF2B5EF4-FFF2-40B4-BE49-F238E27FC236}">
              <a16:creationId xmlns:a16="http://schemas.microsoft.com/office/drawing/2014/main" id="{00000000-0008-0000-13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100965</xdr:colOff>
      <xdr:row>15</xdr:row>
      <xdr:rowOff>20955</xdr:rowOff>
    </xdr:from>
    <xdr:to>
      <xdr:col>31</xdr:col>
      <xdr:colOff>53340</xdr:colOff>
      <xdr:row>36</xdr:row>
      <xdr:rowOff>131445</xdr:rowOff>
    </xdr:to>
    <xdr:graphicFrame macro="">
      <xdr:nvGraphicFramePr>
        <xdr:cNvPr id="21" name="Chart 20">
          <a:extLst>
            <a:ext uri="{FF2B5EF4-FFF2-40B4-BE49-F238E27FC236}">
              <a16:creationId xmlns:a16="http://schemas.microsoft.com/office/drawing/2014/main" id="{00000000-0008-0000-1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32</xdr:col>
      <xdr:colOff>38100</xdr:colOff>
      <xdr:row>38</xdr:row>
      <xdr:rowOff>19050</xdr:rowOff>
    </xdr:from>
    <xdr:to>
      <xdr:col>58</xdr:col>
      <xdr:colOff>53340</xdr:colOff>
      <xdr:row>60</xdr:row>
      <xdr:rowOff>0</xdr:rowOff>
    </xdr:to>
    <xdr:graphicFrame macro="">
      <xdr:nvGraphicFramePr>
        <xdr:cNvPr id="15" name="Chart 14">
          <a:extLst>
            <a:ext uri="{FF2B5EF4-FFF2-40B4-BE49-F238E27FC236}">
              <a16:creationId xmlns:a16="http://schemas.microsoft.com/office/drawing/2014/main" id="{00000000-0008-0000-1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58</xdr:col>
      <xdr:colOff>19050</xdr:colOff>
      <xdr:row>38</xdr:row>
      <xdr:rowOff>15241</xdr:rowOff>
    </xdr:from>
    <xdr:to>
      <xdr:col>82</xdr:col>
      <xdr:colOff>34291</xdr:colOff>
      <xdr:row>60</xdr:row>
      <xdr:rowOff>53340</xdr:rowOff>
    </xdr:to>
    <xdr:graphicFrame macro="">
      <xdr:nvGraphicFramePr>
        <xdr:cNvPr id="16" name="Chart 15">
          <a:extLst>
            <a:ext uri="{FF2B5EF4-FFF2-40B4-BE49-F238E27FC236}">
              <a16:creationId xmlns:a16="http://schemas.microsoft.com/office/drawing/2014/main" id="{00000000-0008-0000-1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53340</xdr:colOff>
      <xdr:row>61</xdr:row>
      <xdr:rowOff>76200</xdr:rowOff>
    </xdr:from>
    <xdr:to>
      <xdr:col>28</xdr:col>
      <xdr:colOff>125730</xdr:colOff>
      <xdr:row>82</xdr:row>
      <xdr:rowOff>125730</xdr:rowOff>
    </xdr:to>
    <xdr:graphicFrame macro="">
      <xdr:nvGraphicFramePr>
        <xdr:cNvPr id="17" name="Chart 16">
          <a:extLst>
            <a:ext uri="{FF2B5EF4-FFF2-40B4-BE49-F238E27FC236}">
              <a16:creationId xmlns:a16="http://schemas.microsoft.com/office/drawing/2014/main" id="{00000000-0008-0000-1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xdr:col>
      <xdr:colOff>38100</xdr:colOff>
      <xdr:row>84</xdr:row>
      <xdr:rowOff>100966</xdr:rowOff>
    </xdr:from>
    <xdr:to>
      <xdr:col>28</xdr:col>
      <xdr:colOff>91440</xdr:colOff>
      <xdr:row>105</xdr:row>
      <xdr:rowOff>160022</xdr:rowOff>
    </xdr:to>
    <xdr:graphicFrame macro="">
      <xdr:nvGraphicFramePr>
        <xdr:cNvPr id="18" name="Chart 17">
          <a:extLst>
            <a:ext uri="{FF2B5EF4-FFF2-40B4-BE49-F238E27FC236}">
              <a16:creationId xmlns:a16="http://schemas.microsoft.com/office/drawing/2014/main" id="{00000000-0008-0000-1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mc:AlternateContent xmlns:mc="http://schemas.openxmlformats.org/markup-compatibility/2006">
    <mc:Choice xmlns:a14="http://schemas.microsoft.com/office/drawing/2010/main" Requires="a14">
      <xdr:twoCellAnchor>
        <xdr:from>
          <xdr:col>71</xdr:col>
          <xdr:colOff>171450</xdr:colOff>
          <xdr:row>5</xdr:row>
          <xdr:rowOff>95250</xdr:rowOff>
        </xdr:from>
        <xdr:to>
          <xdr:col>81</xdr:col>
          <xdr:colOff>133350</xdr:colOff>
          <xdr:row>8</xdr:row>
          <xdr:rowOff>19050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11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 the detailed annual results,  click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71</xdr:col>
          <xdr:colOff>171450</xdr:colOff>
          <xdr:row>9</xdr:row>
          <xdr:rowOff>9525</xdr:rowOff>
        </xdr:from>
        <xdr:to>
          <xdr:col>81</xdr:col>
          <xdr:colOff>133350</xdr:colOff>
          <xdr:row>11</xdr:row>
          <xdr:rowOff>104775</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11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 the annual element condition score profile, click here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179295</xdr:colOff>
      <xdr:row>1</xdr:row>
      <xdr:rowOff>44823</xdr:rowOff>
    </xdr:from>
    <xdr:to>
      <xdr:col>0</xdr:col>
      <xdr:colOff>758501</xdr:colOff>
      <xdr:row>2</xdr:row>
      <xdr:rowOff>415293</xdr:rowOff>
    </xdr:to>
    <xdr:pic macro="[0]!GoTo_MainPage">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rotWithShape="1">
        <a:blip xmlns:r="http://schemas.openxmlformats.org/officeDocument/2006/relationships" r:embed="rId1" cstate="print">
          <a:duotone>
            <a:prstClr val="black"/>
            <a:schemeClr val="tx2">
              <a:tint val="45000"/>
              <a:satMod val="400000"/>
            </a:schemeClr>
          </a:duotone>
          <a:extLst>
            <a:ext uri="{28A0092B-C50C-407E-A947-70E740481C1C}">
              <a14:useLocalDpi xmlns:a14="http://schemas.microsoft.com/office/drawing/2010/main" val="0"/>
            </a:ext>
          </a:extLst>
        </a:blip>
        <a:srcRect l="8250" t="35235" r="59582" b="36666"/>
        <a:stretch/>
      </xdr:blipFill>
      <xdr:spPr>
        <a:xfrm>
          <a:off x="179295" y="206188"/>
          <a:ext cx="555359" cy="51084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495301</xdr:colOff>
      <xdr:row>0</xdr:row>
      <xdr:rowOff>0</xdr:rowOff>
    </xdr:from>
    <xdr:to>
      <xdr:col>0</xdr:col>
      <xdr:colOff>838201</xdr:colOff>
      <xdr:row>3</xdr:row>
      <xdr:rowOff>26671</xdr:rowOff>
    </xdr:to>
    <xdr:pic macro="[0]!GoTo_MainPage">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rotWithShape="1">
        <a:blip xmlns:r="http://schemas.openxmlformats.org/officeDocument/2006/relationships" r:embed="rId1" cstate="print">
          <a:duotone>
            <a:prstClr val="black"/>
            <a:schemeClr val="tx2">
              <a:tint val="45000"/>
              <a:satMod val="400000"/>
            </a:schemeClr>
          </a:duotone>
          <a:extLst>
            <a:ext uri="{28A0092B-C50C-407E-A947-70E740481C1C}">
              <a14:useLocalDpi xmlns:a14="http://schemas.microsoft.com/office/drawing/2010/main" val="0"/>
            </a:ext>
          </a:extLst>
        </a:blip>
        <a:srcRect l="8250" t="35235" r="59582" b="36666"/>
        <a:stretch/>
      </xdr:blipFill>
      <xdr:spPr>
        <a:xfrm>
          <a:off x="495301" y="0"/>
          <a:ext cx="342900" cy="34290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1</xdr:col>
      <xdr:colOff>1683124</xdr:colOff>
      <xdr:row>0</xdr:row>
      <xdr:rowOff>114299</xdr:rowOff>
    </xdr:from>
    <xdr:ext cx="2231958" cy="172227"/>
    <xdr:sp macro="" textlink="">
      <xdr:nvSpPr>
        <xdr:cNvPr id="2" name="TextBox 1">
          <a:extLst>
            <a:ext uri="{FF2B5EF4-FFF2-40B4-BE49-F238E27FC236}">
              <a16:creationId xmlns:a16="http://schemas.microsoft.com/office/drawing/2014/main" id="{00000000-0008-0000-1E00-000002000000}"/>
            </a:ext>
          </a:extLst>
        </xdr:cNvPr>
        <xdr:cNvSpPr txBox="1"/>
      </xdr:nvSpPr>
      <xdr:spPr>
        <a:xfrm>
          <a:off x="1216399" y="114299"/>
          <a:ext cx="223195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GB" sz="1100" b="0" i="0">
              <a:latin typeface="Cambria Math" panose="02040503050406030204" pitchFamily="18" charset="0"/>
            </a:rPr>
            <a:t>𝑆𝐶= </a:t>
          </a:r>
          <a:r>
            <a:rPr lang="el-GR" sz="1100" b="0" i="0">
              <a:latin typeface="Cambria Math" panose="02040503050406030204" pitchFamily="18" charset="0"/>
              <a:ea typeface="Cambria Math" panose="02040503050406030204" pitchFamily="18" charset="0"/>
            </a:rPr>
            <a:t>Σ</a:t>
          </a:r>
          <a:r>
            <a:rPr lang="en-GB" sz="1100" b="0" i="0">
              <a:latin typeface="Cambria Math" panose="02040503050406030204" pitchFamily="18" charset="0"/>
              <a:ea typeface="Cambria Math" panose="02040503050406030204" pitchFamily="18" charset="0"/>
            </a:rPr>
            <a:t>𝑊𝐶+𝑇𝑀𝐶+𝑃𝐶+𝐷𝐶+𝑂𝐶</a:t>
          </a:r>
          <a:endParaRPr lang="en-GB" sz="1100"/>
        </a:p>
      </xdr:txBody>
    </xdr:sp>
    <xdr:clientData/>
  </xdr:oneCellAnchor>
  <xdr:oneCellAnchor>
    <xdr:from>
      <xdr:col>2</xdr:col>
      <xdr:colOff>959672</xdr:colOff>
      <xdr:row>10</xdr:row>
      <xdr:rowOff>21963</xdr:rowOff>
    </xdr:from>
    <xdr:ext cx="815223" cy="156518"/>
    <xdr:sp macro="" textlink="">
      <xdr:nvSpPr>
        <xdr:cNvPr id="3" name="TextBox 2">
          <a:extLst>
            <a:ext uri="{FF2B5EF4-FFF2-40B4-BE49-F238E27FC236}">
              <a16:creationId xmlns:a16="http://schemas.microsoft.com/office/drawing/2014/main" id="{00000000-0008-0000-1E00-000003000000}"/>
            </a:ext>
          </a:extLst>
        </xdr:cNvPr>
        <xdr:cNvSpPr txBox="1"/>
      </xdr:nvSpPr>
      <xdr:spPr>
        <a:xfrm>
          <a:off x="6236522" y="1736463"/>
          <a:ext cx="815223"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GB" sz="1000" b="0" i="0">
              <a:solidFill>
                <a:sysClr val="windowText" lastClr="000000"/>
              </a:solidFill>
              <a:latin typeface="Cambria Math" panose="02040503050406030204" pitchFamily="18" charset="0"/>
            </a:rPr>
            <a:t>𝑃𝐶= 𝑓𝑝 𝑥 </a:t>
          </a:r>
          <a:r>
            <a:rPr lang="el-GR" sz="1000" b="0" i="0">
              <a:solidFill>
                <a:sysClr val="windowText" lastClr="000000"/>
              </a:solidFill>
              <a:latin typeface="Cambria Math" panose="02040503050406030204" pitchFamily="18" charset="0"/>
              <a:ea typeface="Cambria Math" panose="02040503050406030204" pitchFamily="18" charset="0"/>
            </a:rPr>
            <a:t>Σ</a:t>
          </a:r>
          <a:r>
            <a:rPr lang="en-GB" sz="1000" b="0" i="0">
              <a:solidFill>
                <a:sysClr val="windowText" lastClr="000000"/>
              </a:solidFill>
              <a:latin typeface="Cambria Math" panose="02040503050406030204" pitchFamily="18" charset="0"/>
              <a:ea typeface="Cambria Math" panose="02040503050406030204" pitchFamily="18" charset="0"/>
            </a:rPr>
            <a:t>𝑊𝐶</a:t>
          </a:r>
          <a:endParaRPr lang="en-GB" sz="1000">
            <a:solidFill>
              <a:sysClr val="windowText" lastClr="000000"/>
            </a:solidFill>
          </a:endParaRPr>
        </a:p>
      </xdr:txBody>
    </xdr:sp>
    <xdr:clientData/>
  </xdr:oneCellAnchor>
  <xdr:oneCellAnchor>
    <xdr:from>
      <xdr:col>2</xdr:col>
      <xdr:colOff>965051</xdr:colOff>
      <xdr:row>17</xdr:row>
      <xdr:rowOff>15799</xdr:rowOff>
    </xdr:from>
    <xdr:ext cx="817403" cy="156518"/>
    <xdr:sp macro="" textlink="">
      <xdr:nvSpPr>
        <xdr:cNvPr id="4" name="TextBox 3">
          <a:extLst>
            <a:ext uri="{FF2B5EF4-FFF2-40B4-BE49-F238E27FC236}">
              <a16:creationId xmlns:a16="http://schemas.microsoft.com/office/drawing/2014/main" id="{00000000-0008-0000-1E00-000004000000}"/>
            </a:ext>
          </a:extLst>
        </xdr:cNvPr>
        <xdr:cNvSpPr txBox="1"/>
      </xdr:nvSpPr>
      <xdr:spPr>
        <a:xfrm>
          <a:off x="6241901" y="2930449"/>
          <a:ext cx="817403"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GB" sz="1000" b="0">
              <a:solidFill>
                <a:sysClr val="windowText" lastClr="000000"/>
              </a:solidFill>
            </a:rPr>
            <a:t>O</a:t>
          </a:r>
          <a:r>
            <a:rPr lang="en-GB" sz="1000" b="0" i="0">
              <a:solidFill>
                <a:sysClr val="windowText" lastClr="000000"/>
              </a:solidFill>
              <a:latin typeface="Cambria Math" panose="02040503050406030204" pitchFamily="18" charset="0"/>
            </a:rPr>
            <a:t>𝐶= 𝑓𝑜 𝑥 </a:t>
          </a:r>
          <a:r>
            <a:rPr lang="el-GR" sz="1000" b="0" i="0">
              <a:solidFill>
                <a:sysClr val="windowText" lastClr="000000"/>
              </a:solidFill>
              <a:latin typeface="Cambria Math" panose="02040503050406030204" pitchFamily="18" charset="0"/>
              <a:ea typeface="Cambria Math" panose="02040503050406030204" pitchFamily="18" charset="0"/>
            </a:rPr>
            <a:t>Σ</a:t>
          </a:r>
          <a:r>
            <a:rPr lang="en-GB" sz="1000" b="0" i="0">
              <a:solidFill>
                <a:sysClr val="windowText" lastClr="000000"/>
              </a:solidFill>
              <a:latin typeface="Cambria Math" panose="02040503050406030204" pitchFamily="18" charset="0"/>
              <a:ea typeface="Cambria Math" panose="02040503050406030204" pitchFamily="18" charset="0"/>
            </a:rPr>
            <a:t>𝑊𝐶</a:t>
          </a:r>
          <a:endParaRPr lang="en-GB" sz="1000">
            <a:solidFill>
              <a:sysClr val="windowText" lastClr="000000"/>
            </a:solidFill>
          </a:endParaRPr>
        </a:p>
      </xdr:txBody>
    </xdr:sp>
    <xdr:clientData/>
  </xdr:oneCellAnchor>
  <xdr:oneCellAnchor>
    <xdr:from>
      <xdr:col>2</xdr:col>
      <xdr:colOff>621193</xdr:colOff>
      <xdr:row>23</xdr:row>
      <xdr:rowOff>162447</xdr:rowOff>
    </xdr:from>
    <xdr:ext cx="1706878" cy="156518"/>
    <xdr:sp macro="" textlink="">
      <xdr:nvSpPr>
        <xdr:cNvPr id="5" name="TextBox 4">
          <a:extLst>
            <a:ext uri="{FF2B5EF4-FFF2-40B4-BE49-F238E27FC236}">
              <a16:creationId xmlns:a16="http://schemas.microsoft.com/office/drawing/2014/main" id="{00000000-0008-0000-1E00-000005000000}"/>
            </a:ext>
          </a:extLst>
        </xdr:cNvPr>
        <xdr:cNvSpPr txBox="1"/>
      </xdr:nvSpPr>
      <xdr:spPr>
        <a:xfrm>
          <a:off x="5898043" y="4105797"/>
          <a:ext cx="1706878"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GB" sz="1000" b="0" i="0">
              <a:solidFill>
                <a:sysClr val="windowText" lastClr="000000"/>
              </a:solidFill>
              <a:latin typeface="+mn-lt"/>
            </a:rPr>
            <a:t>D</a:t>
          </a:r>
          <a:r>
            <a:rPr lang="en-GB" sz="1000" b="0" i="0">
              <a:solidFill>
                <a:sysClr val="windowText" lastClr="000000"/>
              </a:solidFill>
              <a:latin typeface="Cambria Math" panose="02040503050406030204" pitchFamily="18" charset="0"/>
            </a:rPr>
            <a:t>𝐶= 𝑓𝑑 (</a:t>
          </a:r>
          <a:r>
            <a:rPr lang="el-GR" sz="1000" b="0" i="0">
              <a:solidFill>
                <a:sysClr val="windowText" lastClr="000000"/>
              </a:solidFill>
              <a:latin typeface="Cambria Math" panose="02040503050406030204" pitchFamily="18" charset="0"/>
              <a:ea typeface="Cambria Math" panose="02040503050406030204" pitchFamily="18" charset="0"/>
            </a:rPr>
            <a:t>Σ</a:t>
          </a:r>
          <a:r>
            <a:rPr lang="en-GB" sz="1000" b="0" i="0">
              <a:solidFill>
                <a:sysClr val="windowText" lastClr="000000"/>
              </a:solidFill>
              <a:latin typeface="Cambria Math" panose="02040503050406030204" pitchFamily="18" charset="0"/>
              <a:ea typeface="Cambria Math" panose="02040503050406030204" pitchFamily="18" charset="0"/>
            </a:rPr>
            <a:t>𝑊𝐶</a:t>
          </a:r>
          <a:r>
            <a:rPr lang="en-GB" sz="1000">
              <a:solidFill>
                <a:sysClr val="windowText" lastClr="000000"/>
              </a:solidFill>
            </a:rPr>
            <a:t> + TMC + PC + OC)</a:t>
          </a: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ith Harwood" refreshedDate="45750.578783912038" createdVersion="6" refreshedVersion="8" minRefreshableVersion="3" recordCount="123" xr:uid="{AE524B7B-35E3-4409-9944-2A3F00B0BDA0}">
  <cacheSource type="worksheet">
    <worksheetSource name="LAMP_PivotResults"/>
  </cacheSource>
  <cacheFields count="61">
    <cacheField name="Year of Analysis" numFmtId="0">
      <sharedItems containsString="0" containsBlank="1" containsNumber="1" containsInteger="1" minValue="0" maxValue="121" count="123">
        <n v="0"/>
        <m/>
        <n v="1" u="1"/>
        <n v="2" u="1"/>
        <n v="3" u="1"/>
        <n v="4" u="1"/>
        <n v="5" u="1"/>
        <n v="6" u="1"/>
        <n v="7" u="1"/>
        <n v="8" u="1"/>
        <n v="9" u="1"/>
        <n v="10" u="1"/>
        <n v="11" u="1"/>
        <n v="12" u="1"/>
        <n v="13" u="1"/>
        <n v="14" u="1"/>
        <n v="15" u="1"/>
        <n v="16" u="1"/>
        <n v="17" u="1"/>
        <n v="18" u="1"/>
        <n v="19" u="1"/>
        <n v="20" u="1"/>
        <n v="21" u="1"/>
        <n v="22" u="1"/>
        <n v="23" u="1"/>
        <n v="24" u="1"/>
        <n v="25" u="1"/>
        <n v="26" u="1"/>
        <n v="27" u="1"/>
        <n v="28" u="1"/>
        <n v="29" u="1"/>
        <n v="30" u="1"/>
        <n v="31" u="1"/>
        <n v="96" u="1"/>
        <n v="57" u="1"/>
        <n v="121" u="1"/>
        <n v="34" u="1"/>
        <n v="75" u="1"/>
        <n v="100" u="1"/>
        <n v="59" u="1"/>
        <n v="36" u="1"/>
        <n v="79" u="1"/>
        <n v="104" u="1"/>
        <n v="61" u="1"/>
        <n v="38" u="1"/>
        <n v="83" u="1"/>
        <n v="108" u="1"/>
        <n v="63" u="1"/>
        <n v="40" u="1"/>
        <n v="87" u="1"/>
        <n v="112" u="1"/>
        <n v="66" u="1"/>
        <n v="42" u="1"/>
        <n v="91" u="1"/>
        <n v="116" u="1"/>
        <n v="70" u="1"/>
        <n v="44" u="1"/>
        <n v="95" u="1"/>
        <n v="120" u="1"/>
        <n v="74" u="1"/>
        <n v="46" u="1"/>
        <n v="99" u="1"/>
        <n v="78" u="1"/>
        <n v="48" u="1"/>
        <n v="103" u="1"/>
        <n v="82" u="1"/>
        <n v="50" u="1"/>
        <n v="107" u="1"/>
        <n v="86" u="1"/>
        <n v="52" u="1"/>
        <n v="111" u="1"/>
        <n v="65" u="1"/>
        <n v="90" u="1"/>
        <n v="54" u="1"/>
        <n v="115" u="1"/>
        <n v="69" u="1"/>
        <n v="94" u="1"/>
        <n v="56" u="1"/>
        <n v="119" u="1"/>
        <n v="33" u="1"/>
        <n v="73" u="1"/>
        <n v="98" u="1"/>
        <n v="58" u="1"/>
        <n v="35" u="1"/>
        <n v="77" u="1"/>
        <n v="102" u="1"/>
        <n v="60" u="1"/>
        <n v="37" u="1"/>
        <n v="81" u="1"/>
        <n v="106" u="1"/>
        <n v="62" u="1"/>
        <n v="39" u="1"/>
        <n v="85" u="1"/>
        <n v="110" u="1"/>
        <n v="64" u="1"/>
        <n v="41" u="1"/>
        <n v="89" u="1"/>
        <n v="114" u="1"/>
        <n v="68" u="1"/>
        <n v="43" u="1"/>
        <n v="93" u="1"/>
        <n v="118" u="1"/>
        <n v="72" u="1"/>
        <n v="45" u="1"/>
        <n v="97" u="1"/>
        <n v="76" u="1"/>
        <n v="47" u="1"/>
        <n v="101" u="1"/>
        <n v="80" u="1"/>
        <n v="49" u="1"/>
        <n v="105" u="1"/>
        <n v="84" u="1"/>
        <n v="51" u="1"/>
        <n v="109" u="1"/>
        <n v="88" u="1"/>
        <n v="53" u="1"/>
        <n v="113" u="1"/>
        <n v="67" u="1"/>
        <n v="92" u="1"/>
        <n v="55" u="1"/>
        <n v="117" u="1"/>
        <n v="32" u="1"/>
        <n v="71" u="1"/>
      </sharedItems>
    </cacheField>
    <cacheField name="Total Number of Years in Analysis" numFmtId="0">
      <sharedItems containsNonDate="0" containsString="0" containsBlank="1"/>
    </cacheField>
    <cacheField name="Start Budget (defined by the user)" numFmtId="0">
      <sharedItems containsNonDate="0" containsString="0" containsBlank="1"/>
    </cacheField>
    <cacheField name="Start Budget (defined by the user + remainder from last year)" numFmtId="0">
      <sharedItems containsNonDate="0" containsString="0" containsBlank="1"/>
    </cacheField>
    <cacheField name="Budget factor for element prioritisation" numFmtId="0">
      <sharedItems containsNonDate="0" containsString="0" containsBlank="1"/>
    </cacheField>
    <cacheField name="Workbank" numFmtId="0">
      <sharedItems containsNonDate="0" containsString="0" containsBlank="1"/>
    </cacheField>
    <cacheField name="Expenditure" numFmtId="0">
      <sharedItems containsNonDate="0" containsString="0" containsBlank="1"/>
    </cacheField>
    <cacheField name="Discounted Expenditure" numFmtId="0">
      <sharedItems containsNonDate="0" containsString="0" containsBlank="1"/>
    </cacheField>
    <cacheField name="Planned Maintenance (Capital)" numFmtId="0">
      <sharedItems containsNonDate="0" containsString="0" containsBlank="1"/>
    </cacheField>
    <cacheField name="Routine Maintenance (Revenue)" numFmtId="0">
      <sharedItems containsNonDate="0" containsString="0" containsBlank="1"/>
    </cacheField>
    <cacheField name="Budget remaining from last year" numFmtId="0">
      <sharedItems containsNonDate="0" containsString="0" containsBlank="1"/>
    </cacheField>
    <cacheField name="Budget remaining at end of year" numFmtId="0">
      <sharedItems containsNonDate="0" containsString="0" containsBlank="1"/>
    </cacheField>
    <cacheField name="Finite Life Elements" numFmtId="0">
      <sharedItems containsNonDate="0" containsString="0" containsBlank="1"/>
    </cacheField>
    <cacheField name="Finite Life Elements2" numFmtId="167">
      <sharedItems containsNonDate="0" containsString="0" containsBlank="1"/>
    </cacheField>
    <cacheField name="Indefinite Life Elements" numFmtId="0">
      <sharedItems containsNonDate="0" containsString="0" containsBlank="1"/>
    </cacheField>
    <cacheField name="Indefinite Life Elements2" numFmtId="167">
      <sharedItems containsNonDate="0" containsString="0" containsBlank="1"/>
    </cacheField>
    <cacheField name="Condition-Triggered Maintenance (Capital)" numFmtId="167">
      <sharedItems containsNonDate="0" containsString="0" containsBlank="1"/>
    </cacheField>
    <cacheField name="Bridges" numFmtId="0">
      <sharedItems containsString="0" containsBlank="1" containsNumber="1" minValue="87.307424385278225" maxValue="87.307424385278225"/>
    </cacheField>
    <cacheField name="Retaining Walls" numFmtId="0">
      <sharedItems containsString="0" containsBlank="1" containsNumber="1" minValue="88.362922389435553" maxValue="88.362922389435553"/>
    </cacheField>
    <cacheField name="Culverts" numFmtId="169">
      <sharedItems containsString="0" containsBlank="1" containsNumber="1" minValue="90.25698924444859" maxValue="90.25698924444859"/>
    </cacheField>
    <cacheField name="Sign/Signal Gantries" numFmtId="169">
      <sharedItems containsString="0" containsBlank="1" containsNumber="1" minValue="93.245700210511913" maxValue="93.245700210511913"/>
    </cacheField>
    <cacheField name="High Mast Lighting" numFmtId="169">
      <sharedItems containsString="0" containsBlank="1" containsNumber="1" containsInteger="1" minValue="58" maxValue="58"/>
    </cacheField>
    <cacheField name="Tunnels and Vehicular Underpasses" numFmtId="169">
      <sharedItems containsString="0" containsBlank="1" containsNumber="1" minValue="76.247713153021692" maxValue="76.247713153021692"/>
    </cacheField>
    <cacheField name="Full Stock" numFmtId="169">
      <sharedItems containsString="0" containsBlank="1" containsNumber="1" minValue="86.420779872042601" maxValue="86.420779872042601"/>
    </cacheField>
    <cacheField name="Bridges2" numFmtId="169">
      <sharedItems containsString="0" containsBlank="1" containsNumber="1" minValue="78.096645435392546" maxValue="78.096645435392546"/>
    </cacheField>
    <cacheField name="Retaining Walls2" numFmtId="169">
      <sharedItems containsString="0" containsBlank="1" containsNumber="1" minValue="84.836398265009933" maxValue="84.836398265009933"/>
    </cacheField>
    <cacheField name="Culverts2" numFmtId="169">
      <sharedItems containsString="0" containsBlank="1" containsNumber="1" minValue="87.027971521651551" maxValue="87.027971521651551"/>
    </cacheField>
    <cacheField name="Sign/Signal Gantries2" numFmtId="169">
      <sharedItems containsString="0" containsBlank="1" containsNumber="1" minValue="82.97687861271676" maxValue="82.97687861271676"/>
    </cacheField>
    <cacheField name="High Mast Lighting2" numFmtId="169">
      <sharedItems containsString="0" containsBlank="1" containsNumber="1" containsInteger="1" minValue="58" maxValue="58"/>
    </cacheField>
    <cacheField name="Tunnels and Vehicular Underpasses2" numFmtId="169">
      <sharedItems containsString="0" containsBlank="1" containsNumber="1" minValue="75.954059751399285" maxValue="75.954059751399285"/>
    </cacheField>
    <cacheField name="Full Stock2" numFmtId="169">
      <sharedItems containsString="0" containsBlank="1" containsNumber="1" minValue="78.141481109435887" maxValue="78.141481109435887"/>
    </cacheField>
    <cacheField name="Very good" numFmtId="0">
      <sharedItems containsString="0" containsBlank="1" containsNumber="1" containsInteger="1" minValue="273" maxValue="273"/>
    </cacheField>
    <cacheField name="Good" numFmtId="0">
      <sharedItems containsString="0" containsBlank="1" containsNumber="1" containsInteger="1" minValue="283" maxValue="283"/>
    </cacheField>
    <cacheField name="Fair" numFmtId="0">
      <sharedItems containsString="0" containsBlank="1" containsNumber="1" containsInteger="1" minValue="89" maxValue="89"/>
    </cacheField>
    <cacheField name="Poor" numFmtId="0">
      <sharedItems containsString="0" containsBlank="1" containsNumber="1" containsInteger="1" minValue="55" maxValue="55"/>
    </cacheField>
    <cacheField name="Very poor" numFmtId="0">
      <sharedItems containsString="0" containsBlank="1" containsNumber="1" containsInteger="1" minValue="0" maxValue="0"/>
    </cacheField>
    <cacheField name="Bridges3" numFmtId="0">
      <sharedItems containsString="0" containsBlank="1" containsNumber="1" minValue="0.96594117851698802" maxValue="0.96594117851698802"/>
    </cacheField>
    <cacheField name="Retaining Walls3" numFmtId="0">
      <sharedItems containsString="0" containsBlank="1" containsNumber="1" minValue="0.95597299677135306" maxValue="0.95597299677135306"/>
    </cacheField>
    <cacheField name="Culverts3" numFmtId="0">
      <sharedItems containsString="0" containsBlank="1" containsNumber="1" minValue="0.99467268949941368" maxValue="0.99467268949941368"/>
    </cacheField>
    <cacheField name="Sign/Signal Gantries3" numFmtId="0">
      <sharedItems containsString="0" containsBlank="1" containsNumber="1" containsInteger="1" minValue="1" maxValue="1"/>
    </cacheField>
    <cacheField name="High Mast Lighting3" numFmtId="0">
      <sharedItems containsString="0" containsBlank="1" containsNumber="1" containsInteger="1" minValue="0" maxValue="0"/>
    </cacheField>
    <cacheField name="Tunnels and Vehicular Underpasses3" numFmtId="0">
      <sharedItems containsString="0" containsBlank="1" containsNumber="1" containsInteger="1" minValue="1" maxValue="1"/>
    </cacheField>
    <cacheField name="Full Stock3" numFmtId="0">
      <sharedItems containsString="0" containsBlank="1" containsNumber="1" minValue="0.96483439728617226" maxValue="0.96483439728617226"/>
    </cacheField>
    <cacheField name="Bridges4" numFmtId="0">
      <sharedItems containsString="0" containsBlank="1" containsNumber="1" containsInteger="1" minValue="0" maxValue="0"/>
    </cacheField>
    <cacheField name="Retaining Walls4" numFmtId="0">
      <sharedItems containsString="0" containsBlank="1" containsNumber="1" containsInteger="1" minValue="0" maxValue="0"/>
    </cacheField>
    <cacheField name="Culverts4" numFmtId="0">
      <sharedItems containsString="0" containsBlank="1" containsNumber="1" containsInteger="1" minValue="0" maxValue="0"/>
    </cacheField>
    <cacheField name="Sign/Signal Gantries4" numFmtId="0">
      <sharedItems containsString="0" containsBlank="1" containsNumber="1" containsInteger="1" minValue="0" maxValue="0"/>
    </cacheField>
    <cacheField name="High Mast Lighting4" numFmtId="0">
      <sharedItems containsString="0" containsBlank="1" containsNumber="1" containsInteger="1" minValue="0" maxValue="0"/>
    </cacheField>
    <cacheField name="Tunnels and Vehicular Underpasses4" numFmtId="0">
      <sharedItems containsString="0" containsBlank="1" containsNumber="1" containsInteger="1" minValue="0" maxValue="0"/>
    </cacheField>
    <cacheField name="Stock" numFmtId="0">
      <sharedItems containsString="0" containsBlank="1" containsNumber="1" containsInteger="1" minValue="134" maxValue="134"/>
    </cacheField>
    <cacheField name="0-10m" numFmtId="0">
      <sharedItems containsString="0" containsBlank="1" containsNumber="1" containsInteger="1" minValue="101" maxValue="101"/>
    </cacheField>
    <cacheField name="10-20m" numFmtId="0">
      <sharedItems containsString="0" containsBlank="1" containsNumber="1" containsInteger="1" minValue="7" maxValue="7"/>
    </cacheField>
    <cacheField name="20m+" numFmtId="0">
      <sharedItems containsString="0" containsBlank="1" containsNumber="1" containsInteger="1" minValue="26" maxValue="26"/>
    </cacheField>
    <cacheField name="Bridges5" numFmtId="0">
      <sharedItems containsString="0" containsBlank="1" containsNumber="1" containsInteger="1" minValue="0" maxValue="0"/>
    </cacheField>
    <cacheField name="Retaining Walls5" numFmtId="0">
      <sharedItems containsString="0" containsBlank="1" containsNumber="1" containsInteger="1" minValue="0" maxValue="0"/>
    </cacheField>
    <cacheField name="Culverts5" numFmtId="0">
      <sharedItems containsString="0" containsBlank="1" containsNumber="1" containsInteger="1" minValue="0" maxValue="0"/>
    </cacheField>
    <cacheField name="Sign/Signal Gantries5" numFmtId="0">
      <sharedItems containsString="0" containsBlank="1" containsNumber="1" containsInteger="1" minValue="0" maxValue="0"/>
    </cacheField>
    <cacheField name="High Mast Lighting5" numFmtId="0">
      <sharedItems containsString="0" containsBlank="1" containsNumber="1" containsInteger="1" minValue="0" maxValue="0"/>
    </cacheField>
    <cacheField name="Tunnels and Vehicular Underpasses5" numFmtId="0">
      <sharedItems containsString="0" containsBlank="1" containsNumber="1" containsInteger="1" minValue="0" maxValue="0"/>
    </cacheField>
    <cacheField name="Stock2" numFmtId="0">
      <sharedItems containsString="0" containsBlank="1" containsNumber="1" minValue="1885707.6590073826" maxValue="1885707.6590073826"/>
    </cacheField>
    <cacheField name="   Full Stock" numFmtId="0" formula="'Full Stock3'"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ith Harwood" refreshedDate="45750.578785532409" createdVersion="6" refreshedVersion="8" minRefreshableVersion="3" recordCount="8692" xr:uid="{47BA69EC-7A59-4DA2-9B59-5F808587FED1}">
  <cacheSource type="worksheet">
    <worksheetSource name="y5_PivotResults"/>
  </cacheSource>
  <cacheFields count="18">
    <cacheField name="Element ID_x000a_(in this SAVI model)" numFmtId="0">
      <sharedItems containsNonDate="0" containsString="0" containsBlank="1"/>
    </cacheField>
    <cacheField name="What is happening to the element?" numFmtId="0">
      <sharedItems containsNonDate="0" containsString="0" containsBlank="1"/>
    </cacheField>
    <cacheField name="Identifier of Structure" numFmtId="0">
      <sharedItems containsNonDate="0" containsBlank="1" count="854">
        <m/>
        <s v="ST01" u="1"/>
        <s v="ST06" u="1"/>
        <s v="ST08" u="1"/>
        <s v="ST31" u="1"/>
        <s v="ST34" u="1"/>
        <s v="ST41" u="1"/>
        <s v="ST48" u="1"/>
        <s v="ST62" u="1"/>
        <s v="ST80" u="1"/>
        <s v="ST81" u="1"/>
        <s v="ST83" u="1"/>
        <s v="ST86" u="1"/>
        <s v="ST95" u="1"/>
        <s v="ST102" u="1"/>
        <s v="ST113" u="1"/>
        <s v="ST115" u="1"/>
        <s v="ST120" u="1"/>
        <s v="ST124" u="1"/>
        <s v="ST125" u="1"/>
        <s v="ST129" u="1"/>
        <s v="ST154" u="1"/>
        <s v="ST175" u="1"/>
        <s v="ST176" u="1"/>
        <s v="ST182" u="1"/>
        <s v="ST183" u="1"/>
        <s v="ST185" u="1"/>
        <s v="ST188" u="1"/>
        <s v="ST199" u="1"/>
        <s v="ST210" u="1"/>
        <s v="ST225" u="1"/>
        <s v="ST228" u="1"/>
        <s v="ST230" u="1"/>
        <s v="ST239" u="1"/>
        <s v="ST243" u="1"/>
        <s v="ST245" u="1"/>
        <s v="ST246" u="1"/>
        <s v="ST249" u="1"/>
        <s v="ST250" u="1"/>
        <s v="ST256" u="1"/>
        <s v="ST263" u="1"/>
        <s v="ST264" u="1"/>
        <s v="ST268" u="1"/>
        <s v="ST276" u="1"/>
        <s v="ST277" u="1"/>
        <s v="ST287" u="1"/>
        <s v="ST302" u="1"/>
        <s v="ST303" u="1"/>
        <s v="ST317" u="1"/>
        <s v="ST318" u="1"/>
        <s v="ST325" u="1"/>
        <s v="ST330" u="1"/>
        <s v="ST337" u="1"/>
        <s v="ST341" u="1"/>
        <s v="ST353" u="1"/>
        <s v="ST358" u="1"/>
        <s v="ST372" u="1"/>
        <s v="ST374" u="1"/>
        <s v="ST377" u="1"/>
        <s v="ST378" u="1"/>
        <s v="ST388" u="1"/>
        <s v="ST396" u="1"/>
        <s v="ST400" u="1"/>
        <s v="ST413" u="1"/>
        <s v="ST421" u="1"/>
        <s v="ST422" u="1"/>
        <s v="ST423" u="1"/>
        <s v="ST432" u="1"/>
        <s v="ST441" u="1"/>
        <s v="ST445" u="1"/>
        <s v="ST447" u="1"/>
        <s v="ST450" u="1"/>
        <s v="ST453" u="1"/>
        <s v="ST459" u="1"/>
        <s v="ST460" u="1"/>
        <s v="ST461" u="1"/>
        <s v="ST465" u="1"/>
        <s v="ST469" u="1"/>
        <s v="ST470" u="1"/>
        <s v="ST481" u="1"/>
        <s v="ST496" u="1"/>
        <s v="ST497" u="1"/>
        <s v="ST509" u="1"/>
        <s v="ST514" u="1"/>
        <s v="ST515" u="1"/>
        <s v="ST517" u="1"/>
        <s v="ST534" u="1"/>
        <s v="ST543" u="1"/>
        <s v="ST551" u="1"/>
        <s v="ST556" u="1"/>
        <s v="ST577" u="1"/>
        <s v="ST582" u="1"/>
        <s v="ST627" u="1"/>
        <s v="ST628" u="1"/>
        <s v="ST635" u="1"/>
        <s v="ST647" u="1"/>
        <s v="ST653" u="1"/>
        <s v="ST662" u="1"/>
        <s v="ST664" u="1"/>
        <s v="ST666" u="1"/>
        <s v="ST671" u="1"/>
        <s v="ST689" u="1"/>
        <s v="ST695" u="1"/>
        <s v="ST702" u="1"/>
        <s v="ST707" u="1"/>
        <s v="ST733" u="1"/>
        <s v="ST737" u="1"/>
        <s v="ST743" u="1"/>
        <s v="ST745" u="1"/>
        <s v="ST749" u="1"/>
        <s v="ST753" u="1"/>
        <s v="ST758" u="1"/>
        <s v="ST759" u="1"/>
        <s v="ST763" u="1"/>
        <s v="ST774" u="1"/>
        <s v="ST788" u="1"/>
        <s v="ST792" u="1"/>
        <s v="ST807" u="1"/>
        <s v="ST816" u="1"/>
        <s v="ST829" u="1"/>
        <s v="ST839" u="1"/>
        <s v="ST846" u="1"/>
        <s v="ST849" u="1"/>
        <s v="ST858" u="1"/>
        <s v="ST859" u="1"/>
        <s v="ST864" u="1"/>
        <s v="ST873" u="1"/>
        <s v="ST875" u="1"/>
        <s v="ST879" u="1"/>
        <s v="ST883" u="1"/>
        <s v="ST884" u="1"/>
        <s v="ST893" u="1"/>
        <s v="ST920" u="1"/>
        <s v="ST923" u="1"/>
        <s v="ST924" u="1"/>
        <s v="ST926" u="1"/>
        <s v="ST936" u="1"/>
        <s v="ST949" u="1"/>
        <s v="ST951" u="1"/>
        <s v="ST971" u="1"/>
        <s v="ST975" u="1"/>
        <s v="ST986" u="1"/>
        <s v="ST992" u="1"/>
        <s v="ST1007" u="1"/>
        <s v="ST1008" u="1"/>
        <s v="ST1009" u="1"/>
        <s v="ST1023" u="1"/>
        <s v="ST1031" u="1"/>
        <s v="ST1035" u="1"/>
        <s v="ST1059" u="1"/>
        <s v="ST1060" u="1"/>
        <s v="ST1086" u="1"/>
        <s v="ST1114" u="1"/>
        <s v="ST1117" u="1"/>
        <s v="ST1120" u="1"/>
        <s v="ST1136" u="1"/>
        <s v="ST1155" u="1"/>
        <s v="ST1161" u="1"/>
        <s v="ST1164" u="1"/>
        <s v="ST1166" u="1"/>
        <s v="ST1174" u="1"/>
        <s v="ST1178" u="1"/>
        <s v="ST1190" u="1"/>
        <s v="ST1212" u="1"/>
        <s v="ST1224" u="1"/>
        <s v="ST1229" u="1"/>
        <s v="ST1231" u="1"/>
        <s v="ST1235" u="1"/>
        <s v="ST1237" u="1"/>
        <s v="ST1244" u="1"/>
        <s v="ST1276" u="1"/>
        <s v="ST1305" u="1"/>
        <s v="ST1323" u="1"/>
        <s v="ST1347" u="1"/>
        <s v="ST1349" u="1"/>
        <s v="ST1359" u="1"/>
        <s v="ST1372" u="1"/>
        <s v="ST1378" u="1"/>
        <s v="ST1388" u="1"/>
        <s v="ST1399" u="1"/>
        <s v="ST1400" u="1"/>
        <s v="ST1405" u="1"/>
        <s v="ST1408" u="1"/>
        <s v="ST1409" u="1"/>
        <s v="ST1420" u="1"/>
        <s v="ST1429" u="1"/>
        <s v="ST1430" u="1"/>
        <s v="ST1440" u="1"/>
        <s v="ST1455" u="1"/>
        <s v="ST1472" u="1"/>
        <s v="ST1503" u="1"/>
        <s v="ST1515" u="1"/>
        <s v="ST39" u="1"/>
        <s v="ST109" u="1"/>
        <s v="ST118" u="1"/>
        <s v="ST119" u="1"/>
        <s v="ST121" u="1"/>
        <s v="ST142" u="1"/>
        <s v="ST197" u="1"/>
        <s v="ST222" u="1"/>
        <s v="ST235" u="1"/>
        <s v="ST247" u="1"/>
        <s v="ST253" u="1"/>
        <s v="ST269" u="1"/>
        <s v="ST286" u="1"/>
        <s v="ST292" u="1"/>
        <s v="ST321" u="1"/>
        <s v="ST379" u="1"/>
        <s v="ST401" u="1"/>
        <s v="ST410" u="1"/>
        <s v="ST425" u="1"/>
        <s v="ST483" u="1"/>
        <s v="ST530" u="1"/>
        <s v="ST537" u="1"/>
        <s v="ST563" u="1"/>
        <s v="ST564" u="1"/>
        <s v="ST566" u="1"/>
        <s v="ST588" u="1"/>
        <s v="ST589" u="1"/>
        <s v="ST590" u="1"/>
        <s v="ST591" u="1"/>
        <s v="ST595" u="1"/>
        <s v="ST599" u="1"/>
        <s v="ST601" u="1"/>
        <s v="ST607" u="1"/>
        <s v="ST637" u="1"/>
        <s v="ST644" u="1"/>
        <s v="ST667" u="1"/>
        <s v="ST674" u="1"/>
        <s v="ST675" u="1"/>
        <s v="ST684" u="1"/>
        <s v="ST685" u="1"/>
        <s v="ST699" u="1"/>
        <s v="ST703" u="1"/>
        <s v="ST706" u="1"/>
        <s v="ST712" u="1"/>
        <s v="ST713" u="1"/>
        <s v="ST720" u="1"/>
        <s v="ST723" u="1"/>
        <s v="ST727" u="1"/>
        <s v="ST754" u="1"/>
        <s v="ST757" u="1"/>
        <s v="ST776" u="1"/>
        <s v="ST805" u="1"/>
        <s v="ST817" u="1"/>
        <s v="ST818" u="1"/>
        <s v="ST824" u="1"/>
        <s v="ST827" u="1"/>
        <s v="ST828" u="1"/>
        <s v="ST840" u="1"/>
        <s v="ST841" u="1"/>
        <s v="ST867" u="1"/>
        <s v="ST870" u="1"/>
        <s v="ST871" u="1"/>
        <s v="ST872" u="1"/>
        <s v="ST886" u="1"/>
        <s v="ST897" u="1"/>
        <s v="ST914" u="1"/>
        <s v="ST918" u="1"/>
        <s v="ST958" u="1"/>
        <s v="ST961" u="1"/>
        <s v="ST967" u="1"/>
        <s v="ST973" u="1"/>
        <s v="ST979" u="1"/>
        <s v="ST985" u="1"/>
        <s v="ST987" u="1"/>
        <s v="ST988" u="1"/>
        <s v="ST996" u="1"/>
        <s v="ST1002" u="1"/>
        <s v="ST1034" u="1"/>
        <s v="ST1051" u="1"/>
        <s v="ST1057" u="1"/>
        <s v="ST1062" u="1"/>
        <s v="ST1076" u="1"/>
        <s v="ST1096" u="1"/>
        <s v="ST1099" u="1"/>
        <s v="ST1102" u="1"/>
        <s v="ST1106" u="1"/>
        <s v="ST1119" u="1"/>
        <s v="ST1133" u="1"/>
        <s v="ST1142" u="1"/>
        <s v="ST1153" u="1"/>
        <s v="ST1162" u="1"/>
        <s v="ST1169" u="1"/>
        <s v="ST1171" u="1"/>
        <s v="ST1182" u="1"/>
        <s v="ST1198" u="1"/>
        <s v="ST1215" u="1"/>
        <s v="ST1223" u="1"/>
        <s v="ST1280" u="1"/>
        <s v="ST1290" u="1"/>
        <s v="ST1327" u="1"/>
        <s v="ST1369" u="1"/>
        <s v="ST1385" u="1"/>
        <s v="ST1437" u="1"/>
        <s v="ST1444" u="1"/>
        <s v="ST1454" u="1"/>
        <s v="ST1457" u="1"/>
        <s v="ST1514" u="1"/>
        <s v="" u="1"/>
        <e v="#VALUE!" u="1"/>
        <e v="#REF!" u="1"/>
        <e v="#N/A" u="1"/>
        <s v="ST1772" u="1"/>
        <s v="ST3968" u="1"/>
        <s v="ST3956" u="1"/>
        <s v="ST1978" u="1"/>
        <s v="ST6988" u="1"/>
        <s v="ST1950" u="1"/>
        <s v="ST1972" u="1"/>
        <s v="ST200" u="1"/>
        <s v="ST300" u="1"/>
        <s v="ST500" u="1"/>
        <s v="ST301" u="1"/>
        <s v="ST501" u="1"/>
        <s v="ST110" u="1"/>
        <s v="ST0009" u="1"/>
        <s v="ST402" u="1"/>
        <s v="ST502" u="1"/>
        <s v="ST510" u="1"/>
        <s v="ST602" u="1"/>
        <s v="ST610" u="1"/>
        <s v="ST802" u="1"/>
        <s v="ST211" u="1"/>
        <s v="ST0019" u="1"/>
        <s v="ST0007" u="1"/>
        <s v="ST503" u="1"/>
        <s v="ST511" u="1"/>
        <s v="ST603" u="1"/>
        <s v="ST803" u="1"/>
        <s v="ST903" u="1"/>
        <s v="ST0864 NE" u="1"/>
        <s v="ST112" u="1"/>
        <s v="ST204" u="1"/>
        <s v="ST304" u="1"/>
        <s v="ST0029" u="1"/>
        <s v="ST312" u="1"/>
        <s v="ST0017" u="1"/>
        <s v="ST320" u="1"/>
        <s v="ST504" u="1"/>
        <s v="ST512" u="1"/>
        <s v="ST620" u="1"/>
        <s v="ST804" u="1"/>
        <s v="ST812" u="1"/>
        <s v="ST305" u="1"/>
        <s v="ST221" u="1"/>
        <s v="ST313" u="1"/>
        <s v="ST405" u="1"/>
        <s v="ST505" u="1"/>
        <s v="ST1027" u="1"/>
        <s v="ST1015" u="1"/>
        <s v="ST613" u="1"/>
        <s v="ST705" u="1"/>
        <s v="ST1003" u="1"/>
        <s v="ST813" u="1"/>
        <s v="ST905" u="1"/>
        <s v="ST913" u="1"/>
        <s v="ST921" u="1"/>
        <s v="ST106" u="1"/>
        <s v="ST114" u="1"/>
        <s v="ST306" u="1"/>
        <s v="ST314" u="1"/>
        <s v="ST322" u="1"/>
        <s v="ST506" u="1"/>
        <s v="ST430" u="1"/>
        <s v="ST0001" u="1"/>
        <s v="ST1013" u="1"/>
        <s v="ST1105" u="1"/>
        <s v="ST714" u="1"/>
        <s v="ST806" u="1"/>
        <s v="ST1001" u="1"/>
        <s v="ST814" u="1"/>
        <s v="ST906" u="1"/>
        <s v="ST830" u="1"/>
        <s v="ST922" u="1"/>
        <s v="ST930" u="1"/>
        <s v="ST207" u="1"/>
        <s v="ST131" u="1"/>
        <s v="ST223" u="1"/>
        <s v="ST231" u="1"/>
        <s v="ST415" u="1"/>
        <s v="ST507" u="1"/>
        <s v="ST0035" u="1"/>
        <s v="ST1139" u="1"/>
        <s v="ST0023" u="1"/>
        <s v="ST1127" u="1"/>
        <s v="ST0011" u="1"/>
        <s v="ST1115" u="1"/>
        <s v="ST623" u="1"/>
        <s v="ST715" u="1"/>
        <s v="ST1011" u="1"/>
        <s v="ST631" u="1"/>
        <s v="ST815" u="1"/>
        <s v="ST731" u="1"/>
        <s v="ST108" u="1"/>
        <s v="ST116" u="1"/>
        <s v="ST208" u="1"/>
        <s v="ST308" u="1"/>
        <s v="ST408" u="1"/>
        <s v="ST232" u="1"/>
        <s v="ST416" u="1"/>
        <s v="ST332" u="1"/>
        <s v="ST424" u="1"/>
        <s v="ST524" u="1"/>
        <s v="ST616" u="1"/>
        <s v="ST708" u="1"/>
        <s v="ST0021" u="1"/>
        <s v="ST1217" u="1"/>
        <s v="ST532" u="1"/>
        <s v="ST1113" u="1"/>
        <s v="ST2033" u="1"/>
        <s v="ST632" u="1"/>
        <s v="ST724" u="1"/>
        <s v="ST908" u="1"/>
        <s v="ST209" u="1"/>
        <s v="ST217" u="1"/>
        <s v="ST309" u="1"/>
        <s v="ST409" u="1"/>
        <s v="ST0067" u="1"/>
        <s v="ST233" u="1"/>
        <s v="ST417" u="1"/>
        <s v="ST0147" u="1"/>
        <s v="ST617" u="1"/>
        <s v="ST709" u="1"/>
        <s v="ST0031" u="1"/>
        <s v="ST1135" u="1"/>
        <s v="ST1319" u="1"/>
        <s v="ST2055" u="1"/>
        <s v="ST533" u="1"/>
        <s v="ST2135" u="1"/>
        <s v="ST909" u="1"/>
        <s v="ST1111" u="1"/>
        <s v="ST925" u="1"/>
        <s v="ST933" u="1"/>
        <s v="ST218" u="1"/>
        <s v="ST134" u="1"/>
        <s v="ST0077" u="1"/>
        <s v="ST0249" u="1"/>
        <s v="ST150" u="1"/>
        <s v="ST426" u="1"/>
        <s v="ST518" u="1"/>
        <s v="ST1249" u="1"/>
        <s v="ST526" u="1"/>
        <s v="ST618" u="1"/>
        <s v="ST1145" u="1"/>
        <s v="ST2065" u="1"/>
        <s v="ST350" u="1"/>
        <s v="ST442" u="1"/>
        <s v="ST1041" u="1"/>
        <s v="ST3249" u="1"/>
        <s v="ST550" u="1"/>
        <s v="ST742" u="1"/>
        <s v="ST934" u="1"/>
        <s v="ST850" u="1"/>
        <s v="ST950" u="1"/>
        <s v="ST219" u="1"/>
        <s v="ST135" u="1"/>
        <s v="ST227" u="1"/>
        <s v="ST143" u="1"/>
        <s v="ST327" u="1"/>
        <s v="ST1087" u="1"/>
        <s v="ST1179" u="1"/>
        <s v="ST151" u="1"/>
        <s v="ST251" u="1"/>
        <s v="ST527" u="1"/>
        <s v="ST0051" u="1"/>
        <s v="ST1063" u="1"/>
        <s v="ST1339" u="1"/>
        <s v="ST351" u="1"/>
        <s v="ST443" u="1"/>
        <s v="ST1143" u="1"/>
        <s v="ST1315" u="1"/>
        <s v="ST5087" u="1"/>
        <s v="ST643" u="1"/>
        <s v="ST1303" u="1"/>
        <s v="ST935" u="1"/>
        <s v="ST144" u="1"/>
        <s v="ST236" u="1"/>
        <s v="ST328" u="1"/>
        <s v="ST152" u="1"/>
        <s v="ST2286 E" u="1"/>
        <s v="ST0257" u="1"/>
        <s v="ST1085" u="1"/>
        <s v="ST1177" u="1"/>
        <s v="ST252" u="1"/>
        <s v="ST528" u="1"/>
        <s v="ST0153" u="1"/>
        <s v="ST1165" u="1"/>
        <s v="ST1257" u="1"/>
        <s v="ST260" u="1"/>
        <s v="ST536" u="1"/>
        <s v="ST0141" u="1"/>
        <s v="ST1061" u="1"/>
        <s v="ST360" u="1"/>
        <s v="ST544" u="1"/>
        <s v="ST1417" u="1"/>
        <s v="ST552" u="1"/>
        <s v="ST560" u="1"/>
        <s v="ST652" u="1"/>
        <s v="ST836" u="1"/>
        <s v="ST660" u="1"/>
        <s v="ST844" u="1"/>
        <s v="ST760" u="1"/>
        <s v="ST944" u="1"/>
        <s v="ST237" u="1"/>
        <s v="ST0279" u="1"/>
        <s v="ST429" u="1"/>
        <s v="ST0267" u="1"/>
        <s v="ST1175" u="1"/>
        <s v="ST1267" u="1"/>
        <s v="ST261" u="1"/>
        <s v="ST629" u="1"/>
        <s v="ST1163" u="1"/>
        <s v="ST545" u="1"/>
        <s v="ST1151" u="1"/>
        <s v="ST1243" u="1"/>
        <s v="ST1415" u="1"/>
        <s v="ST837" u="1"/>
        <s v="ST1403" u="1"/>
        <s v="ST845" u="1"/>
        <s v="ST853" u="1"/>
        <s v="ST861" u="1"/>
        <s v="ST146" u="1"/>
        <s v="ST338" u="1"/>
        <s v="ST0185" u="1"/>
        <s v="ST0277" u="1"/>
        <s v="ST262" u="1"/>
        <s v="ST354" u="1"/>
        <s v="ST538" u="1"/>
        <s v="ST0345" u="1"/>
        <s v="ST270" u="1"/>
        <s v="ST362" u="1"/>
        <s v="ST546" u="1"/>
        <s v="ST462" u="1"/>
        <s v="ST738" u="1"/>
        <s v="ST2333" u="1"/>
        <s v="ST938" u="1"/>
        <s v="ST670" u="1"/>
        <s v="ST854" u="1"/>
        <s v="ST946" u="1"/>
        <s v="ST0299" u="1"/>
        <s v="ST339" u="1"/>
        <s v="ST1195" u="1"/>
        <s v="ST1287" u="1"/>
        <s v="ST171" u="1"/>
        <s v="ST539" u="1"/>
        <s v="ST1183" u="1"/>
        <s v="ST1275" u="1"/>
        <s v="ST1459" u="1"/>
        <s v="ST2195" u="1"/>
        <s v="ST271" u="1"/>
        <s v="ST455" u="1"/>
        <s v="ST547" u="1"/>
        <s v="ST1263" u="1"/>
        <s v="ST1355" u="1"/>
        <s v="ST1447" u="1"/>
        <s v="ST555" u="1"/>
        <s v="ST739" u="1"/>
        <s v="ST1435" u="1"/>
        <s v="ST471" u="1"/>
        <s v="ST2435" u="1"/>
        <s v="ST863" u="1"/>
        <s v="ST148" u="1"/>
        <s v="ST156" u="1"/>
        <s v="ST248" u="1"/>
        <s v="ST172" u="1"/>
        <s v="ST456" u="1"/>
        <s v="ST1181" u="1"/>
        <s v="ST1273" u="1"/>
        <s v="ST1365" u="1"/>
        <s v="ST648" u="1"/>
        <s v="ST0433" u="1"/>
        <s v="ST1261" u="1"/>
        <s v="ST1445" u="1"/>
        <s v="ST380" u="1"/>
        <s v="ST472" u="1"/>
        <s v="ST656" u="1"/>
        <s v="ST1341" u="1"/>
        <s v="ST480" u="1"/>
        <s v="ST572" u="1"/>
        <s v="ST948" u="1"/>
        <s v="ST10" u="1"/>
        <s v="ST20" u="1"/>
        <s v="ST40" u="1"/>
        <s v="ST257" u="1"/>
        <s v="ST1479" u="1"/>
        <s v="ST181" u="1"/>
        <s v="ST273" u="1"/>
        <s v="ST365" u="1"/>
        <s v="ST1375" u="1"/>
        <s v="ST557" u="1"/>
        <s v="ST573" u="1"/>
        <s v="ST857" u="1"/>
        <s v="ST1511" u="1"/>
        <s v="ST865" u="1"/>
        <s v="ST957" u="1"/>
        <s v="ST965" u="1"/>
        <s v="ST881" u="1"/>
        <s v="ST981" u="1"/>
        <s v="ST6603" u="1"/>
        <s v="ST158" u="1"/>
        <s v="ST166" u="1"/>
        <s v="ST258" u="1"/>
        <s v="ST174" u="1"/>
        <s v="ST474" u="1"/>
        <s v="ST1361" u="1"/>
        <s v="ST2373" u="1"/>
        <s v="ST490" u="1"/>
        <s v="ST766" u="1"/>
        <s v="ST690" u="1"/>
        <s v="ST874" u="1"/>
        <s v="ST790" u="1"/>
        <s v="ST882" u="1"/>
        <s v="ST974" u="1"/>
        <s v="ST11" u="1"/>
        <s v="ST21" u="1"/>
        <s v="ST159" u="1"/>
        <s v="ST167" u="1"/>
        <s v="ST259" u="1"/>
        <s v="ST61" u="1"/>
        <s v="ST267" u="1"/>
        <s v="ST367" u="1"/>
        <s v="ST1395" u="1"/>
        <s v="ST283" u="1"/>
        <s v="ST375" u="1"/>
        <s v="ST559" u="1"/>
        <s v="ST1567" u="1"/>
        <s v="ST291" u="1"/>
        <s v="ST383" u="1"/>
        <s v="ST1371" u="1"/>
        <s v="ST491" u="1"/>
        <s v="ST767" u="1"/>
        <s v="ST683" u="1"/>
        <s v="ST184" u="1"/>
        <s v="ST192" u="1"/>
        <s v="ST284" u="1"/>
        <s v="ST376" u="1"/>
        <s v="ST576" u="1"/>
        <s v="ST668" u="1"/>
        <s v="ST492" u="1"/>
        <s v="ST768" u="1"/>
        <s v="ST0621" u="1"/>
        <s v="ST592" u="1"/>
        <s v="ST692" u="1"/>
        <s v="ST876" u="1"/>
        <s v="ST976" u="1"/>
        <s v="ST984" u="1"/>
        <s v="ST02" u="1"/>
        <s v="ST12" u="1"/>
        <s v="ST22" u="1"/>
        <s v="ST32" u="1"/>
        <s v="ST42" u="1"/>
        <s v="ST52" u="1"/>
        <s v="ST193" u="1"/>
        <s v="ST2286 W" u="1"/>
        <s v="ST82" u="1"/>
        <s v="ST385" u="1"/>
        <s v="ST569" u="1"/>
        <s v="ST485" u="1"/>
        <s v="ST1471" u="1"/>
        <s v="ST0631" u="1"/>
        <s v="ST2655" u="1"/>
        <s v="ST186" u="1"/>
        <s v="ST278" u="1"/>
        <s v="ST194" u="1"/>
        <s v="ST294" u="1"/>
        <s v="ST386" u="1"/>
        <s v="ST486" u="1"/>
        <s v="ST1733" u="1"/>
        <s v="ST978" u="1"/>
        <s v="ST23" u="1"/>
        <s v="ST33" u="1"/>
        <s v="ST43" u="1"/>
        <s v="ST53" u="1"/>
        <s v="ST279" u="1"/>
        <s v="ST195" u="1"/>
        <s v="ST295" u="1"/>
        <s v="ST395" u="1"/>
        <s v="ST487" u="1"/>
        <s v="ST93" u="1"/>
        <s v="ST787" u="1"/>
        <s v="ST3571" u="1"/>
        <s v="ST887" u="1"/>
        <s v="ST288" u="1"/>
        <s v="ST0015 RB" u="1"/>
        <s v="ST0765" u="1"/>
        <s v="ST796" u="1"/>
        <s v="ST4765" u="1"/>
        <s v="ST04" u="1"/>
        <s v="ST44" u="1"/>
        <s v="ST54" u="1"/>
        <s v="ST289" u="1"/>
        <s v="ST64" u="1"/>
        <s v="ST94" u="1"/>
        <s v="ST1843" u="1"/>
        <s v="ST797" u="1"/>
        <s v="ST298" u="1"/>
        <s v="ST398" u="1"/>
        <s v="ST0877" u="1"/>
        <s v="ST498" u="1"/>
        <s v="ST3889" u="1"/>
        <s v="ST0841" u="1"/>
        <s v="ST2773" u="1"/>
        <s v="ST998" u="1"/>
        <s v="ST15" u="1"/>
        <s v="ST25" u="1"/>
        <s v="ST35" u="1"/>
        <s v="ST45" u="1"/>
        <s v="ST55" u="1"/>
        <s v="ST65" u="1"/>
        <s v="ST499" u="1"/>
        <s v="ST1783" u="1"/>
        <s v="ST899" u="1"/>
        <s v="ST1989" u="1"/>
        <s v="ST16" u="1"/>
        <s v="ST26" u="1"/>
        <s v="ST36" u="1"/>
        <s v="ST46" u="1"/>
        <s v="ST56" u="1"/>
        <s v="ST07" u="1"/>
        <s v="ST17" u="1"/>
        <s v="ST27" u="1"/>
        <s v="ST37" u="1"/>
        <s v="ST47" u="1"/>
        <s v="ST57" u="1"/>
        <s v="ST67" u="1"/>
        <s v="ST87" u="1"/>
        <s v="ST18" u="1"/>
        <s v="ST28" u="1"/>
        <s v="ST38" u="1"/>
        <s v="ST58" u="1"/>
        <s v="ST68" u="1"/>
        <s v="ST78" u="1"/>
        <s v="ST98" u="1"/>
        <s v="ST0008" u="1"/>
        <s v="ST4008" u="1"/>
        <s v="ST09" u="1"/>
        <s v="ST19" u="1"/>
        <s v="ST29" u="1"/>
        <s v="ST49" u="1"/>
        <s v="ST59" u="1"/>
        <s v="ST89" u="1"/>
        <s v="ST0006" u="1"/>
        <s v="ST1018" u="1"/>
        <s v="ST1149 E" u="1"/>
        <s v="ST0028" u="1"/>
        <s v="ST0016" u="1"/>
        <s v="ST0108" u="1"/>
        <s v="ST0004" u="1"/>
        <s v="ST1004" u="1"/>
        <s v="ST1118" u="1"/>
        <s v="ST0002" u="1"/>
        <s v="ST1014" u="1"/>
        <s v="ST0024" u="1"/>
        <s v="ST1036" u="1"/>
        <s v="ST0012" u="1"/>
        <s v="ST0864 NW" u="1"/>
        <s v="ST7000" u="1"/>
        <s v="ST1058" u="1"/>
        <s v="ST1138" u="1"/>
        <s v="ST2058" u="1"/>
        <s v="ST0022" u="1"/>
        <s v="ST1126" u="1"/>
        <s v="ST0010" u="1"/>
        <s v="ST1206" u="1"/>
        <s v="ST1010" u="1"/>
        <s v="ST0032" u="1"/>
        <s v="ST1216" u="1"/>
        <s v="ST1078" u="1"/>
        <s v="ST1054" u="1"/>
        <s v="ST0030" u="1"/>
        <s v="ST1134" u="1"/>
        <s v="ST1030" u="1"/>
        <s v="ST1306" u="1"/>
        <s v="ST1088" u="1"/>
        <s v="ST1168" u="1"/>
        <s v="ST1156" u="1"/>
        <s v="ST1328" u="1"/>
        <s v="ST0120" u="1"/>
        <s v="ST1040" u="1"/>
        <s v="ST1132" u="1"/>
        <s v="ST2144" u="1"/>
        <s v="ST1304" u="1"/>
        <s v="ST2098" u="1"/>
        <s v="ST0406" u="1"/>
        <s v="ST0302" u="1"/>
        <s v="ST1406" u="1"/>
        <s v="ST5130" u="1"/>
        <s v="ST1084" u="1"/>
        <s v="ST1072" u="1"/>
        <s v="ST1152" u="1"/>
        <s v="ST0404" u="1"/>
        <s v="ST1140" u="1"/>
        <s v="ST1232" u="1"/>
        <s v="ST1324" u="1"/>
        <s v="ST1416" u="1"/>
        <s v="ST1508" u="1"/>
        <s v="ST1300" u="1"/>
        <s v="ST1149 W" u="1"/>
        <s v="ST0346" u="1"/>
        <s v="ST1266" u="1"/>
        <s v="ST0426" u="1"/>
        <s v="ST1254" u="1"/>
        <s v="ST0230" u="1"/>
        <s v="ST0414" u="1"/>
        <s v="ST1160" u="1"/>
        <s v="ST1516" u="1"/>
        <s v="ST1412" u="1"/>
        <s v="ST1274" u="1"/>
        <s v="ST1458" u="1"/>
        <s v="ST1262" u="1"/>
        <s v="ST1250" u="1"/>
        <s v="ST1410" u="1"/>
        <s v="ST0548" u="1"/>
        <s v="ST1192" u="1"/>
        <s v="ST1468" u="1"/>
        <s v="ST0260" u="1"/>
        <s v="ST1364" u="1"/>
        <s v="ST1352" u="1"/>
        <s v="ST1536" u="1"/>
        <s v="ST2364" u="1"/>
        <s v="ST1340" u="1"/>
        <s v="ST3432" u="1"/>
        <s v="ST1398" u="1"/>
        <s v="ST1386" u="1"/>
        <s v="ST0614" u="1"/>
        <s v="ST3614" u="1"/>
        <s v="HM0001" u="1"/>
        <s v="ST1476" u="1"/>
        <s v="ST3488" u="1"/>
        <s v="ST1452" u="1"/>
        <s v="ST3292" u="1"/>
        <s v="ST1532" u="1"/>
        <s v="ST2452" u="1"/>
        <s v="ST2440" u="1"/>
        <s v="ST4808" u="1"/>
        <s v="ST0486" u="1"/>
        <s v="ST1382" u="1"/>
        <s v="ST0542" u="1"/>
        <s v="ST0622" u="1"/>
        <s v="ST1484" u="1"/>
        <s v="ST0816" u="1"/>
        <s v="ST1828" u="1"/>
        <s v="ST5484" u="1"/>
        <s v="ST5472" u="1"/>
        <s v="ST1470" u="1"/>
        <s v="ST3494" u="1"/>
        <s v="ST2492" u="1"/>
        <s v="ST0824" u="1"/>
        <s v="ST1916" u="1"/>
        <s v="ST1686" u="1"/>
        <s v="ST0834" u="1"/>
        <s v="ST1776" u="1"/>
        <s v="ST4948" u="1"/>
      </sharedItems>
    </cacheField>
    <cacheField name="ID of Structure" numFmtId="0">
      <sharedItems containsNonDate="0" containsString="0" containsBlank="1"/>
    </cacheField>
    <cacheField name="Start ECS" numFmtId="0">
      <sharedItems containsNonDate="0" containsString="0" containsBlank="1" containsNumber="1" minValue="2.1151915192604065" maxValue="5.0000000000030003" count="1747">
        <m/>
        <n v="5.0000000000030003" u="1"/>
        <n v="4.287879610061645" u="1"/>
        <n v="4.0730988383293152" u="1"/>
        <n v="4.2366870760917665" u="1"/>
        <n v="4.4887180328369141" u="1"/>
        <n v="4.3439548969268795" u="1"/>
        <n v="4.5326717138290409" u="1"/>
        <n v="5.000000000000381" u="1"/>
        <n v="4.2635037064552304" u="1"/>
        <n v="4.1847933530807495" u="1"/>
        <n v="4.5468613147735599" u="1"/>
        <n v="4.6673004150390627" u="1"/>
        <n v="5.0000000000024238" u="1"/>
        <n v="4.0043780982494352" u="1"/>
        <n v="4.0673132002353665" u="1"/>
        <n v="4.9183877289295195" u="1"/>
        <n v="4.7666874408721922" u="1"/>
        <n v="5.0000000000003357" u="1"/>
        <n v="5.00000000000031" u="1"/>
        <n v="4.0520422577857973" u="1"/>
        <n v="5.0000000000000222" u="1"/>
        <n v="4.8015536904335026" u="1"/>
        <n v="5.0000000000001865" u="1"/>
        <n v="5.0000000000015756" u="1"/>
        <n v="5.0000000000025135" u="1"/>
        <n v="4.2893933176994326" u="1"/>
        <n v="4.8378439426422117" u="1"/>
        <n v="4.8811890661716459" u="1"/>
        <n v="4.7408210933208466" u="1"/>
        <n v="4.0806985139846796" u="1"/>
        <n v="5.0000000000019913" u="1"/>
        <n v="4.7455105781555176" u="1"/>
        <n v="5.0000000000006155" u="1"/>
        <n v="5.0000000000027347" u="1"/>
        <n v="4.9901423096656803" u="1"/>
        <n v="5.0000000000019487" u="1"/>
        <n v="5.0000000000007931" u="1"/>
        <n v="5.0000000000007407" u="1"/>
        <n v="4.9541708111762999" u="1"/>
        <n v="4.8635068893432614" u="1"/>
        <n v="5.000000000000866" u="1"/>
        <n v="5.0000000000023315" u="1"/>
        <n v="5.0000000000012266" u="1"/>
        <n v="5.0000000000029177" u="1"/>
        <n v="4.7982506036758421" u="1"/>
        <n v="4.0210302770137787" u="1"/>
        <n v="4.4242603302001955" u="1"/>
        <n v="5.0000000000027658" u="1"/>
        <n v="4.7263304769992827" u="1"/>
        <n v="4.1858484506607052" u="1"/>
        <n v="4.2347875475883479" u="1"/>
        <n v="4.4368222951889038" u="1"/>
        <n v="4.2036521553993218" u="1"/>
        <n v="4.1621638298034664" u="1"/>
        <n v="4.1364108324050903" u="1"/>
        <n v="4.1685218334197991" u="1"/>
        <n v="5.0000000000013802" u="1"/>
        <n v="4.4969509124755858" u="1"/>
        <n v="4.0539309740066525" u="1"/>
        <n v="4.1587899923324585" u="1"/>
        <n v="4.2753943443298335" u="1"/>
        <n v="4.232722127437591" u="1"/>
        <n v="4.9241375803947447" u="1"/>
        <n v="4.2014550447463987" u="1"/>
        <n v="4.8410833537578579" u="1"/>
        <n v="4.093036717176437" u="1"/>
        <n v="5.000000000002693" u="1"/>
        <n v="5.0000000000014699" u="1"/>
        <n v="4.030743885040283" u="1"/>
        <n v="5.0000000000008695" u="1"/>
        <n v="5.0000000000027587" u="1"/>
        <n v="5.0000000000029514" u="1"/>
        <n v="4.3154157400131226" u="1"/>
        <n v="4.5604608774185182" u="1"/>
        <n v="4.3305734157562252" u="1"/>
        <n v="4.0911381423473356" u="1"/>
        <n v="5.0000000000020624" u="1"/>
        <n v="5.0000000000021618" u="1"/>
        <n v="4.130037856101989" u="1"/>
        <n v="5.0000000000011289" u="1"/>
        <n v="5.0000000000009619" u="1"/>
        <n v="5.0000000000000453" u="1"/>
        <n v="4.0151411414146425" u="1"/>
        <n v="4.4024917602539064" u="1"/>
        <n v="5.0000000000026867" u="1"/>
        <n v="5.0000000000020064" u="1"/>
        <n v="5.0000000000011209" u="1"/>
        <n v="5.0000000000015685" u="1"/>
        <n v="4.305277943611145" u="1"/>
        <n v="5.0000000000008358" u="1"/>
        <n v="5.0000000000002034" u="1"/>
        <n v="5.0000000000003721" u="1"/>
        <n v="4.0969698548316948" u="1"/>
        <n v="4.2659545540809631" u="1"/>
        <n v="4.3407357931137085" u="1"/>
        <n v="5.0000000000018234" u="1"/>
        <n v="4.6118276119232178" u="1"/>
        <n v="4.2504071593284607" u="1"/>
        <n v="5.000000000000691" u="1"/>
        <n v="4.9676242172718048" u="1"/>
        <n v="4.0738428890705105" u="1"/>
        <n v="4.8850307941436766" u="1"/>
        <n v="4.0650546431541441" u="1"/>
        <n v="4.1459959387779231" u="1"/>
        <n v="4.3110944747924806" u="1"/>
        <n v="5.0000000000018483" u="1"/>
        <n v="5.0000000000005311" u="1"/>
        <n v="4.0028464198112488" u="1"/>
        <n v="4.0680681228637692" u="1"/>
        <n v="5.000000000001422" u="1"/>
        <n v="5.000000000002438" u="1"/>
        <n v="4.0188576757907866" u="1"/>
        <n v="5.0000000000003864" u="1"/>
        <n v="5.0000000000004876" u="1"/>
        <n v="4.2459168195724484" u="1"/>
        <n v="5.0000000000021396" u="1"/>
        <n v="5.000000000000413" u="1"/>
        <n v="5.0000000000016644" u="1"/>
        <n v="5.0000000000005267" u="1"/>
        <n v="5.0000000000009317" u="1"/>
        <n v="5.0000000000001705" u="1"/>
        <n v="4.2790138602256773" u="1"/>
        <n v="4.2718933343887331" u="1"/>
        <n v="4.769218999147415" u="1"/>
        <n v="4.4058628320693973" u="1"/>
        <n v="4.0786600410938263" u="1"/>
        <n v="5.0000000000019931" u="1"/>
        <n v="5.0000000000022151" u="1"/>
        <n v="4.2992884397506712" u="1"/>
        <n v="5.0000000000004476" u="1"/>
        <n v="4.1540129542350765" u="1"/>
        <n v="5.0000000000024309" u="1"/>
        <n v="4.0071478366851805" u="1"/>
        <n v="4.0741798579692841" u="1"/>
        <n v="4.1675893664360046" u="1"/>
        <n v="4.1853034853935238" u="1"/>
        <n v="4.7916176617145538" u="1"/>
        <n v="4.0557294189929962" u="1"/>
        <n v="5.0000000000002087" u="1"/>
        <n v="5.0000000000010267" u="1"/>
        <n v="4.7455701410770414" u="1"/>
        <n v="5.0000000000007905" u="1"/>
        <n v="5.000000000001001" u="1"/>
        <n v="4.1098225235939019" u="1"/>
        <n v="4.0242120742797853" u="1"/>
        <n v="5.0000000000008678" u="1"/>
        <n v="5.0000000000018767" u="1"/>
        <n v="5.0000000000001954" u="1"/>
        <n v="4.094974237680435" u="1"/>
        <n v="4.2619053840637209" u="1"/>
        <n v="5.0000000000003624" u="1"/>
        <n v="5.0000000000012337" u="1"/>
        <n v="4.0830129802227013" u="1"/>
        <n v="4.9570411145687103" u="1"/>
        <n v="4.6871844291687017" u="1"/>
        <n v="4.0033276557922362" u="1"/>
        <n v="4.224224638938904" u="1"/>
        <n v="5.000000000001906" u="1"/>
        <n v="4.2557966828346254" u="1"/>
        <n v="4.0599371194839478" u="1"/>
        <n v="4.3398431062698366" u="1"/>
        <n v="4.5158828258514401" u="1"/>
        <n v="5.0000000000023617" u="1"/>
        <n v="5.0000000000003739" u="1"/>
        <n v="5.0000000000007718" u="1"/>
        <n v="5.0000000000005844" u="1"/>
        <n v="4.6842502832412718" u="1"/>
        <n v="4.9822597622871401" u="1"/>
        <n v="4.1733245491981501" u="1"/>
        <n v="5.0000000000026654" u="1"/>
        <n v="5.0000000000029106" u="1"/>
        <n v="4.281231546401977" u="1"/>
        <n v="5.0000000000018883" u="1"/>
        <n v="5.0000000000015383" u="1"/>
        <n v="5.0000000000027214" u="1"/>
        <n v="5.0000000000020766" u="1"/>
        <n v="5.0000000000014468" u="1"/>
        <n v="5.0000000000009344" u="1"/>
        <n v="4.1967346668243408" u="1"/>
        <n v="4.1103293299674988" u="1"/>
        <n v="5.0000000000026246" u="1"/>
        <n v="5.000000000002653" u="1"/>
        <n v="4.048773461580276" u="1"/>
        <n v="4.6274661779403683" u="1"/>
        <n v="5.0000000000004405" u="1"/>
        <n v="4.2136874198913574" u="1"/>
        <n v="4.946469330787659" u="1"/>
        <n v="4.1685067653656001" u="1"/>
        <n v="4.8871008872985842" u="1"/>
        <n v="4.4369265079498295" u="1"/>
        <n v="4.7232959151268004" u="1"/>
        <n v="4.1578312158584589" u="1"/>
        <n v="5.0000000000006333" u="1"/>
        <n v="5.0000000000012133" u="1"/>
        <n v="5.0000000000026894" u="1"/>
        <n v="5.0000000000023235" u="1"/>
        <n v="5.0000000000011084" u="1"/>
        <n v="4.042257469892502" u="1"/>
        <n v="5.0000000000020215" u="1"/>
        <n v="5.0000000000011111" u="1"/>
        <n v="4.9260358333587648" u="1"/>
        <n v="5.0000000000023066" u="1"/>
        <n v="5.0000000000026725" u="1"/>
        <n v="5.0000000000009628" u="1"/>
        <n v="4.2952417492866513" u="1"/>
        <n v="5.000000000000786" u="1"/>
        <n v="5.0000000000028546" u="1"/>
        <n v="4.230526864528656" u="1"/>
        <n v="5.0000000000004956" u="1"/>
        <n v="4.1661972522735589" u="1"/>
        <n v="5.000000000001033" u="1"/>
        <n v="4.1265077233314509" u="1"/>
        <n v="5.0000000000027178" u="1"/>
        <n v="5.0000000000003295" u="1"/>
        <n v="5.0000000000022622" u="1"/>
        <n v="5.0000000000008811" u="1"/>
        <n v="5.0000000000008935" u="1"/>
        <n v="4.7894956588745119" u="1"/>
        <n v="5.000000000002129" u="1"/>
        <n v="4.9668477714061741" u="1"/>
        <n v="4.0783227682113647" u="1"/>
        <n v="5.0000000000012923" u="1"/>
        <n v="4.9212773978710178" u="1"/>
        <n v="5.0000000000011005" u="1"/>
        <n v="4.150948393344879" u="1"/>
        <n v="4.7787040233612066" u="1"/>
        <n v="4.2717709422111509" u="1"/>
        <n v="4.499041271209717" u="1"/>
        <n v="4.256365954875946" u="1"/>
        <n v="4.1156910181045525" u="1"/>
        <n v="5.0000000000003473" u="1"/>
        <n v="5.0000000000003038" u="1"/>
        <n v="5.0000000000011529" u="1"/>
        <n v="4.847763252258301" u="1"/>
        <n v="4.1573268175125122" u="1"/>
        <n v="4.9560971379280092" u="1"/>
        <n v="5.0000000000020748" u="1"/>
        <n v="4.4406728982925419" u="1"/>
        <n v="4.7733539819717405" u="1"/>
        <n v="5.0000000000016911" u="1"/>
        <n v="4.5422429800033566" u="1"/>
        <n v="4.1194057583808892" u="1"/>
        <n v="4.3458893060684201" u="1"/>
        <n v="4.0446431517601011" u="1"/>
        <n v="5.0000000000022382" u="1"/>
        <n v="4.1287635326385494" u="1"/>
        <n v="4.2887518763542172" u="1"/>
        <n v="4.2537624478340144" u="1"/>
        <n v="4.2951435327529905" u="1"/>
        <n v="4.9201599180698397" u="1"/>
        <n v="4.7876724898815155" u="1"/>
        <n v="4.1154323935508721" u="1"/>
        <n v="4.1216067552566527" u="1"/>
        <n v="5.0000000000017453" u="1"/>
        <n v="4.0627489328384394" u="1"/>
        <n v="4.1067723631858826" u="1"/>
        <n v="4.3899915695190428" u="1"/>
        <n v="4.582962536811829" u="1"/>
        <n v="4.229104447364807" u="1"/>
        <n v="5.0000000000024443" u="1"/>
        <n v="4.3697843790054316" u="1"/>
        <n v="4.1942465186119078" u="1"/>
        <n v="4.2437835812568663" u="1"/>
        <n v="4.2214079618453981" u="1"/>
        <n v="4.9969221293926243" u="1"/>
        <n v="5.0000000000018625" u="1"/>
        <n v="4.1099587082862854" u="1"/>
        <n v="4.8870670735836033" u="1"/>
        <n v="4.2932443022727966" u="1"/>
        <n v="4.2414046287536618" u="1"/>
        <n v="4.5628601789474486" u="1"/>
        <n v="5.00000000000023" u="1"/>
        <n v="4.0936526119709011" u="1"/>
        <n v="4.5185433626174927" u="1"/>
        <n v="4.083841776847839" u="1"/>
        <n v="4.0428482055664059" u="1"/>
        <n v="4.0776726663112637" u="1"/>
        <n v="4.0457911133766169" u="1"/>
        <n v="4.0516856014728546" u="1"/>
        <n v="4.0888219296932213" u="1"/>
        <n v="4.1357427716255186" u="1"/>
        <n v="4.1980384349822994" u="1"/>
        <n v="4.1869878172874451" u="1"/>
        <n v="4.1475327372550961" u="1"/>
        <n v="5.0000000000017071" u="1"/>
        <n v="4.5749811410903929" u="1"/>
        <n v="4.1965931296348566" u="1"/>
        <n v="5.0000000000013474" u="1"/>
        <n v="4.0746770679950712" u="1"/>
        <n v="4.8925866484642029" u="1"/>
        <n v="5.000000000002502" u="1"/>
        <n v="4.8063719749450682" u="1"/>
        <n v="5.0000000000014877" u="1"/>
        <n v="5.0000000000017115" u="1"/>
        <n v="5.0000000000006937" u="1"/>
        <n v="5.0000000000012568" u="1"/>
        <n v="5.0000000000002993" u="1"/>
        <n v="5.0000000000022613" u="1"/>
        <n v="5.0000000000015401" u="1"/>
        <n v="5.0000000000012612" u="1"/>
        <n v="5.0000000000028004" u="1"/>
        <n v="5.0000000000003926" u="1"/>
        <n v="4.6102561950683594" u="1"/>
        <n v="5.0000000000028306" u="1"/>
        <n v="4.2379385948181154" u="1"/>
        <n v="4.9465011954307556" u="1"/>
        <n v="4.1475907087326043" u="1"/>
        <n v="4.0357148468494417" u="1"/>
        <n v="4.8884014368057249" u="1"/>
        <n v="4.0154369533061978" u="1"/>
        <n v="5.0000000000003979" u="1"/>
        <n v="4.5242977619171141" u="1"/>
        <n v="5.0000000000014495" u="1"/>
        <n v="5.0000000000010552" u="1"/>
        <n v="5.000000000001589" u="1"/>
        <n v="4.158315277099609" u="1"/>
        <n v="5.0000000000002389" u="1"/>
        <n v="4.0771068036556244" u="1"/>
        <n v="4.0111439406871794" u="1"/>
        <n v="5.0000000000024105" u="1"/>
        <n v="5.0000000000005738" u="1"/>
        <n v="4.0575772702693937" u="1"/>
        <n v="4.0459982872009279" u="1"/>
        <n v="5.0000000000016058" u="1"/>
        <n v="5.000000000000874" u="1"/>
        <n v="5.0000000000006901" u="1"/>
        <n v="4.5761004686355591" u="1"/>
        <n v="4.1355843901634213" u="1"/>
        <n v="5.0000000000029967" u="1"/>
        <n v="4.9098072886466984" u="1"/>
        <n v="4.0705972790718077" u="1"/>
        <n v="4.1645987987518307" u="1"/>
        <n v="4.0131514132022854" u="1"/>
        <n v="4.056368732452392" u="1"/>
        <n v="4.094110751152038" u="1"/>
        <n v="4.0074187994003294" u="1"/>
        <n v="5.0000000000007176" u="1"/>
        <n v="5.0000000000024123" u="1"/>
        <n v="5.000000000001811" u="1"/>
        <n v="4.6969491004943853" u="1"/>
        <n v="4.0616442263126373" u="1"/>
        <n v="4.1291714906692505" u="1"/>
        <n v="4.0150087893009188" u="1"/>
        <n v="4.0285793125629423" u="1"/>
        <n v="4.0218679666519161" u="1"/>
        <n v="5.0000000000013438" u="1"/>
        <n v="4.2389908790588375" u="1"/>
        <n v="4.0352548956871033" u="1"/>
        <n v="4.2409842133522035" u="1"/>
        <n v="4.7096435248851778" u="1"/>
        <n v="4.7078237533569336" u="1"/>
        <n v="4.092480325698852" u="1"/>
        <n v="4.26820992231369" u="1"/>
        <n v="4.9257741391658785" u="1"/>
        <n v="5.0000000000011964" u="1"/>
        <n v="4.4488792181015011" u="1"/>
        <n v="4.7219767332077032" u="1"/>
        <n v="4.2586388826370234" u="1"/>
        <n v="5.0000000000029647" u="1"/>
        <n v="4.6639094829559324" u="1"/>
        <n v="5.0000000000028484" u="1"/>
        <n v="4.0746569514274595" u="1"/>
        <n v="4.0390436053276062" u="1"/>
        <n v="5.000000000000278" u="1"/>
        <n v="4.8575553715229036" u="1"/>
        <n v="4.6297480106353763" u="1"/>
        <n v="4.244843375682831" u="1"/>
        <n v="4.42030622959137" u="1"/>
        <n v="5.0000000000024398" u="1"/>
        <n v="4.0573243618011476" u="1"/>
        <n v="4.5385818481445313" u="1"/>
        <n v="4.2121142745018005" u="1"/>
        <n v="4.1217563867568963" u="1"/>
        <n v="4.5861045122146606" u="1"/>
        <n v="5.0000000000005382" u="1"/>
        <n v="4.0563318133354187" u="1"/>
        <n v="5.0000000000025659" u="1"/>
        <n v="4.0078761339187619" u="1"/>
        <n v="5.0000000000001021" u="1"/>
        <n v="4.6370942831039432" u="1"/>
        <n v="4.0138505041599277" u="1"/>
        <n v="4.1967837572097775" u="1"/>
        <n v="4.2975027084350588" u="1"/>
        <n v="4.0374842822551722" u="1"/>
        <n v="4.6576886892318727" u="1"/>
        <n v="5.0000000000013172" u="1"/>
        <n v="5.000000000002113" u="1"/>
        <n v="4.0560291707515717" u="1"/>
        <n v="4.292867505550384" u="1"/>
        <n v="5.000000000002947" u="1"/>
        <n v="4.2683592557907106" u="1"/>
        <n v="4.8487301349639891" u="1"/>
        <n v="5.000000000001287" u="1"/>
        <n v="4.2467527508735659" u="1"/>
        <n v="4.0312543511390686" u="1"/>
        <n v="3.5134556055068971" u="1"/>
        <n v="4.8086560726165777" u="1"/>
        <n v="3.2688279747962952" u="1"/>
        <n v="3.5931144475936891" u="1"/>
        <n v="4.0693090200424189" u="1"/>
        <n v="3.0221893310546877" u="1"/>
        <n v="4.1828621506690977" u="1"/>
        <n v="4.4188927412033081" u="1"/>
        <n v="3.7109699487686161" u="1"/>
        <n v="3.1511560559272764" u="1"/>
        <n v="5.0000000000003659" u="1"/>
        <n v="3.5272318601608275" u="1"/>
        <n v="3.2030539751052856" u="1"/>
        <n v="4.2525243878364565" u="1"/>
        <n v="5.0000000000003686" u="1"/>
        <n v="3.1202238678932193" u="1"/>
        <n v="5.0000000000003695" u="1"/>
        <n v="3.4730921745300294" u="1"/>
        <n v="5.0000000000021636" u="1"/>
        <n v="5.000000000000373" u="1"/>
        <n v="4.1258899927139279" u="1"/>
        <n v="3.1675547003746032" u="1"/>
        <n v="3.2306774616241456" u="1"/>
        <n v="4.1861224532127377" u="1"/>
        <n v="3.1311659097671511" u="1"/>
        <n v="3.3958199262619018" u="1"/>
        <n v="4.602083683013916" u="1"/>
        <n v="4.1688023090362547" u="1"/>
        <n v="4.202196633815765" u="1"/>
        <n v="4.2118577837944029" u="1"/>
        <n v="3.4773129701614378" u="1"/>
        <n v="3.5270360469818116" u="1"/>
        <n v="5.0000000000021805" u="1"/>
        <n v="5.0000000000021814" u="1"/>
        <n v="3.2767086982727047" u="1"/>
        <n v="3.1045043468475342" u="1"/>
        <n v="3.6031350612640383" u="1"/>
        <n v="3.2494769692420959" u="1"/>
        <n v="3.2464567899703978" u="1"/>
        <n v="3.2733606219291684" u="1"/>
        <n v="3.6769970417022706" u="1"/>
        <n v="4.0008240878582004" u="1"/>
        <n v="5.0000000000004032" u="1"/>
        <n v="4.127094256877899" u="1"/>
        <n v="5.000000000000405" u="1"/>
        <n v="3.1295114755630493" u="1"/>
        <n v="4.2803404450416567" u="1"/>
        <n v="5.0000000000021991" u="1"/>
        <n v="3.2308747053146361" u="1"/>
        <n v="3.2743612408637999" u="1"/>
        <n v="3.7663960814476014" u="1"/>
        <n v="3.2023919105529783" u="1"/>
        <n v="4.3769566535949709" u="1"/>
        <n v="5.0000000000022089" u="1"/>
        <n v="5.0000000000022116" u="1"/>
        <n v="3.9948132336139679" u="1"/>
        <n v="3.2774893879890441" u="1"/>
        <n v="3.2737352848052979" u="1"/>
        <n v="3.6771615505218507" u="1"/>
        <n v="3.8118582904338836" u="1"/>
        <n v="4.194668400287628" u="1"/>
        <n v="3.1274151444435119" u="1"/>
        <n v="3.1996755838394164" u="1"/>
        <n v="3.1620786190032959" u="1"/>
        <n v="3.9760822415351869" u="1"/>
        <n v="5.0000000000004343" u="1"/>
        <n v="3.8312002718448639" u="1"/>
        <n v="4.021134614944458" u="1"/>
        <n v="4.4726202249526974" u="1"/>
        <n v="3.1166864514350894" u="1"/>
        <n v="3.817021256685257" u="1"/>
        <n v="3.6244211912155153" u="1"/>
        <n v="4.2788715004920954" u="1"/>
        <n v="3.9820943593978884" u="1"/>
        <n v="3.1962243437767031" u="1"/>
        <n v="3.1887380361557005" u="1"/>
        <n v="5.0000000000004441" u="1"/>
        <n v="4.1465485334396357" u="1"/>
        <n v="4.8523827493190765" u="1"/>
        <n v="5.0000000000004468" u="1"/>
        <n v="4.0525184571743011" u="1"/>
        <n v="3.0406293988227846" u="1"/>
        <n v="5.0000000000004503" u="1"/>
        <n v="5.0000000000022418" u="1"/>
        <n v="3.1154576659202577" u="1"/>
        <n v="4.482146906852722" u="1"/>
        <n v="5.0000000000004574" u="1"/>
        <n v="3.2961841940879819" u="1"/>
        <n v="3.4515286922454833" u="1"/>
        <n v="4.140446662902832" u="1"/>
        <n v="3.6012252092361452" u="1"/>
        <n v="3.3018512487411495" u="1"/>
        <n v="3.1335257649421693" u="1"/>
        <n v="3.7915284156799318" u="1"/>
        <n v="3.1020567536354067" u="1"/>
        <n v="5.0000000000022595" u="1"/>
        <n v="2.9431228995323182" u="1"/>
        <n v="3.6014033079147341" u="1"/>
        <n v="3.7628613412380219" u="1"/>
        <n v="3.8052352368831635" u="1"/>
        <n v="3.1351733207702637" u="1"/>
        <n v="5.0000000000004707" u="1"/>
        <n v="3.2852885365486144" u="1"/>
        <n v="3.8565622210502624" u="1"/>
        <n v="3.1222574234008791" u="1"/>
        <n v="3.4799305915832521" u="1"/>
        <n v="3.8553024590015412" u="1"/>
        <n v="3.1507100701332091" u="1"/>
        <n v="3.2349797964096068" u="1"/>
        <n v="5.0000000000022702" u="1"/>
        <n v="3.0901395678520203" u="1"/>
        <n v="3.6052790403366091" u="1"/>
        <n v="3.9015630006790163" u="1"/>
        <n v="4.1505126833915709" u="1"/>
        <n v="3.1071619510650637" u="1"/>
        <n v="3.1267781853675842" u="1"/>
        <n v="3.2763061404228209" u="1"/>
        <n v="4.5298546791076664" u="1"/>
        <n v="3.1410061120986938" u="1"/>
        <n v="2.1623476266860964" u="1"/>
        <n v="5.0000000000004912" u="1"/>
        <n v="3.4429866552352903" u="1"/>
        <n v="5.0000000000005009" u="1"/>
        <n v="3.5835686922073364" u="1"/>
        <n v="4.0060854136943815" u="1"/>
        <n v="3.1207179069519042" u="1"/>
        <n v="3.1753788471221922" u="1"/>
        <n v="2.8381925046443941" u="1"/>
        <n v="3.1882147669792174" u="1"/>
        <n v="5.0000000000023084" u="1"/>
        <n v="3.1037142872810364" u="1"/>
        <n v="4.7740918934345249" u="1"/>
        <n v="4.2612791895866389" u="1"/>
        <n v="3.3726592302322387" u="1"/>
        <n v="4.1929036378860474" u="1"/>
        <n v="3.2616675853729244" u="1"/>
        <n v="4.3843188762664793" u="1"/>
        <n v="2.1151915192604065" u="1"/>
        <n v="3.3746201038360595" u="1"/>
        <n v="4.284900343418121" u="1"/>
        <n v="3.2577887177467346" u="1"/>
        <n v="3.3556622505187987" u="1"/>
        <n v="3.5067390203475952" u="1"/>
        <n v="4.1678007364273064" u="1"/>
        <n v="5.0000000000023226" u="1"/>
        <n v="4.3695126056671141" u="1"/>
        <n v="3.7877289593219756" u="1"/>
        <n v="3.9059962987899781" u="1"/>
        <n v="3.136593759059906" u="1"/>
        <n v="3.1642750144004821" u="1"/>
        <n v="3.2128835439682004" u="1"/>
        <n v="3.2486358523368835" u="1"/>
        <n v="4.0159097552299503" u="1"/>
        <n v="3.8767240285873412" u="1"/>
        <n v="3.243721795082092" u="1"/>
        <n v="4.2325930237770075" u="1"/>
        <n v="3.2870454907417295" u="1"/>
        <n v="3.9889191150665284" u="1"/>
        <n v="5.0000000000005436" u="1"/>
        <n v="5.000000000002335" u="1"/>
        <n v="2.2211225152015683" u="1"/>
        <n v="3.4442934036254882" u="1"/>
        <n v="3.1937244653701784" u="1"/>
        <n v="3.6039288282394408" u="1"/>
        <n v="4.0785358190536494" u="1"/>
        <n v="3.8825729966163638" u="1"/>
        <n v="3.2904371261596679" u="1"/>
        <n v="3.4577036142349242" u="1"/>
        <n v="4.1296737909317009" u="1"/>
        <n v="3.3859942674636838" u="1"/>
        <n v="3.2563660264015195" u="1"/>
        <n v="3.9628561079502105" u="1"/>
        <n v="4.2112204790115353" u="1"/>
        <n v="2.1683043956756594" u="1"/>
        <n v="4.9703173696994778" u="1"/>
        <n v="4.940188777446747" u="1"/>
        <n v="3.2528132200241089" u="1"/>
        <n v="5.0000000000005729" u="1"/>
        <n v="3.6549246311187744" u="1"/>
        <n v="3.6645184755325317" u="1"/>
        <n v="4.5728075265884396" u="1"/>
        <n v="4.1975107431411738" u="1"/>
        <n v="3.5410693168640135" u="1"/>
        <n v="3.1015713930130007" u="1"/>
        <n v="3.608661413192749" u="1"/>
        <n v="4.2042329788208006" u="1"/>
        <n v="3.3332212448120115" u="1"/>
        <n v="5.0000000000005835" u="1"/>
        <n v="3.9709213495254518" u="1"/>
        <n v="4.2501280069351193" u="1"/>
        <n v="3.0078497529029846" u="1"/>
        <n v="3.2595564365386962" u="1"/>
        <n v="5.0000000000005906" u="1"/>
        <n v="3.9380635380744935" u="1"/>
        <n v="3.866021031141281" u="1"/>
        <n v="5.0000000000005942" u="1"/>
        <n v="4.0523998379707331" u="1"/>
        <n v="4.1839197397232049" u="1"/>
        <n v="3.2075798392295836" u="1"/>
        <n v="3.3477717161178586" u="1"/>
        <n v="5.0000000000005977" u="1"/>
        <n v="3.3847652435302735" u="1"/>
        <n v="3.2327980399131775" u="1"/>
        <n v="3.1088965296745301" u="1"/>
        <n v="5.0000000000006048" u="1"/>
        <n v="5.0000000000006057" u="1"/>
        <n v="3.4591887712478639" u="1"/>
        <n v="4.5238252162933348" u="1"/>
        <n v="3.2041343212127686" u="1"/>
        <n v="3.2690367221832273" u="1"/>
        <n v="3.2724276781082153" u="1"/>
        <n v="3.7092049300670626" u="1"/>
        <n v="5.0000000000024132" u="1"/>
        <n v="3.1524012207984926" u="1"/>
        <n v="3.5046447992324827" u="1"/>
        <n v="4.061525285243988" u="1"/>
        <n v="3.1103425502777102" u="1"/>
        <n v="3.2540720462799073" u="1"/>
        <n v="3.1066639900207522" u="1"/>
        <n v="3.9672886371612548" u="1"/>
        <n v="4.1730115532875054" u="1"/>
        <n v="3.2340072751045228" u="1"/>
        <n v="4.0716081798076624" u="1"/>
        <n v="3.3771221876144408" u="1"/>
        <n v="4.9068736851215364" u="1"/>
        <n v="3.2702291011810303" u="1"/>
        <n v="4.016789662837982" u="1"/>
        <n v="3.2130971670150754" u="1"/>
        <n v="3.9710694432258604" u="1"/>
        <n v="5.0000000000006377" u="1"/>
        <n v="3.1236692786216738" u="1"/>
        <n v="3.9356261789798737" u="1"/>
        <n v="3.2595835804939268" u="1"/>
        <n v="5.0000000000024336" u="1"/>
        <n v="3.8710538029670718" u="1"/>
        <n v="5.0000000000006439" u="1"/>
        <n v="3.2767980337142943" u="1"/>
        <n v="3.8041077256202698" u="1"/>
        <n v="3.9960414707660674" u="1"/>
        <n v="3.6486978292465211" u="1"/>
        <n v="3.2532848477363587" u="1"/>
        <n v="3.8567832171916963" u="1"/>
        <n v="3.2620457172393795" u="1"/>
        <n v="4.6156167745590206" u="1"/>
        <n v="3.4572293281555178" u="1"/>
        <n v="3.2183645963668823" u="1"/>
        <n v="3.2567447066307067" u="1"/>
        <n v="3.6730033874511721" u="1"/>
        <n v="3.802661156654358" u="1"/>
        <n v="3.8385164797306062" u="1"/>
        <n v="3.5598496437072753" u="1"/>
        <n v="3.7919381856918335" u="1"/>
        <n v="5.0000000000024558" u="1"/>
        <n v="4.0991523623466488" u="1"/>
        <n v="3.3618119001388549" u="1"/>
        <n v="3.8510428965091705" u="1"/>
        <n v="5.0000000000006732" u="1"/>
        <n v="3.2860522985458371" u="1"/>
        <n v="3.5920335769653322" u="1"/>
        <n v="4.7003982007503513" u="1"/>
        <n v="3.1796515464782713" u="1"/>
        <n v="3.1612565398216246" u="1"/>
        <n v="5.0000000000006786" u="1"/>
        <n v="3.1764129757881165" u="1"/>
        <n v="3.2902441740036008" u="1"/>
        <n v="3.3021306037902831" u="1"/>
        <n v="3.5095993518829345" u="1"/>
        <n v="2.1785188794136046" u="1"/>
        <n v="4.4995715618133545" u="1"/>
        <n v="5.0000000000006839" u="1"/>
        <n v="3.1953667044639587" u="1"/>
        <n v="3.1693904638290404" u="1"/>
        <n v="3.1442690968513487" u="1"/>
        <n v="3.6872031450271607" u="1"/>
        <n v="3.3364823579788205" u="1"/>
        <n v="3.0178632497787476" u="1"/>
        <n v="3.2723205924034118" u="1"/>
        <n v="3.1110684394836428" u="1"/>
        <n v="3.2544353961944581" u="1"/>
        <n v="3.9106433689594269" u="1"/>
        <n v="4.1794890999794001" u="1"/>
        <n v="3.1497320294380189" u="1"/>
        <n v="3.1075759172439574" u="1"/>
        <n v="3.9994817793369295" u="1"/>
        <n v="3.1084365129470828" u="1"/>
        <n v="5.0000000000006972" u="1"/>
        <n v="5.0000000000024896" u="1"/>
        <n v="3.0465095639228821" u="1"/>
        <n v="3.6684484958648684" u="1"/>
        <n v="3.2281312584877013" u="1"/>
        <n v="3.2824646115303038" u="1"/>
        <n v="4.0379846453666683" u="1"/>
        <n v="4.2146227717399594" u="1"/>
        <n v="3.1802081227302552" u="1"/>
        <n v="3.2635239243507383" u="1"/>
        <n v="3.4305345535278318" u="1"/>
        <n v="3.2368518352508544" u="1"/>
        <n v="3.1836660742759704" u="1"/>
        <n v="3.1360984563827516" u="1"/>
        <n v="3.6912341594696048" u="1"/>
        <n v="3.5256314039230348" u="1"/>
        <n v="3.2878869414329528" u="1"/>
        <n v="3.2080471754074096" u="1"/>
        <n v="3.5423442840576174" u="1"/>
        <n v="3.1413131594657897" u="1"/>
        <n v="3.946997958421707" u="1"/>
        <n v="5.0000000000025153" u="1"/>
        <n v="4.009714353084564" u="1"/>
        <n v="3.1496042013168335" u="1"/>
        <n v="3.1748779535293581" u="1"/>
        <n v="3.9405402004718781" u="1"/>
        <n v="3.0578856348991397" u="1"/>
        <n v="3.7904351294040679" u="1"/>
        <n v="4.362521767616272" u="1"/>
        <n v="3.0885372400283813" u="1"/>
        <n v="3.4290353298187255" u="1"/>
        <n v="3.723659372329712" u="1"/>
        <n v="5.0000000000025304" u="1"/>
        <n v="3.1846711874008178" u="1"/>
        <n v="3.6125585317611697" u="1"/>
        <n v="3.1422655463218687" u="1"/>
        <n v="4.870531129837036" u="1"/>
        <n v="4.227168774604797" u="1"/>
        <n v="3.5827015161514284" u="1"/>
        <n v="3.1894065260887148" u="1"/>
        <n v="3.642654919624329" u="1"/>
        <n v="3.9522925496101378" u="1"/>
        <n v="2.200705659389496" u="1"/>
        <n v="4.1993215441703793" u="1"/>
        <n v="5.0000000000025411" u="1"/>
        <n v="3.2102043032646179" u="1"/>
        <n v="5.0000000000025437" u="1"/>
        <n v="4.8170322716236118" u="1"/>
        <n v="3.5769814968109133" u="1"/>
        <n v="4.2566112756729124" u="1"/>
        <n v="3.1438448786735536" u="1"/>
        <n v="3.5423056602478029" u="1"/>
        <n v="3.7671142339706423" u="1"/>
        <n v="3.878502368927002" u="1"/>
        <n v="4.1274706363677973" u="1"/>
        <n v="4.9733875334262851" u="1"/>
        <n v="5.0000000000007585" u="1"/>
        <n v="3.2714379906654356" u="1"/>
        <n v="3.9540460169315339" u="1"/>
        <n v="4.043536359071731" u="1"/>
        <n v="3.3105333328247069" u="1"/>
        <n v="3.2844085216522214" u="1"/>
        <n v="3.1265555620193481" u="1"/>
        <n v="3.2155130147933959" u="1"/>
        <n v="3.1793994665145875" u="1"/>
        <n v="3.7253913104534151" u="1"/>
        <n v="3.7609353721141816" u="1"/>
        <n v="4.577167892456055" u="1"/>
        <n v="4.0059750139713284" u="1"/>
        <n v="3.2064575910568238" u="1"/>
        <n v="4.0032145082950592" u="1"/>
        <n v="3.23189799785614" u="1"/>
        <n v="3.7703047931194309" u="1"/>
        <n v="3.990177410840988" u="1"/>
        <n v="3.3674710512161252" u="1"/>
        <n v="4.7538776576519011" u="1"/>
        <n v="3.6456907987594604" u="1"/>
        <n v="5.0000000000025837" u="1"/>
        <n v="3.8901874840259554" u="1"/>
        <n v="4.323949313163757" u="1"/>
        <n v="5.000000000000794" u="1"/>
        <n v="4.0392775297164913" u="1"/>
        <n v="5.0000000000008002" u="1"/>
        <n v="3.3448350191116329" u="1"/>
        <n v="3.4836110830307008" u="1"/>
        <n v="3.0929020047187805" u="1"/>
        <n v="3.7389071226119999" u="1"/>
        <n v="4.0015222191810604" u="1"/>
        <n v="3.108756196498871" u="1"/>
        <n v="5.0000000000008118" u="1"/>
        <n v="2.6576451778411867" u="1"/>
        <n v="4.0647547066211702" u="1"/>
        <n v="3.4359889030456543" u="1"/>
        <n v="5.0000000000026086" u="1"/>
        <n v="3.2711375474929807" u="1"/>
        <n v="3.1397976517677306" u="1"/>
        <n v="3.1554756522178651" u="1"/>
        <n v="3.1761546969413756" u="1"/>
        <n v="3.1441403150558473" u="1"/>
        <n v="3.1469503402709962" u="1"/>
        <n v="3.1953842759132387" u="1"/>
        <n v="3.7998860895633699" u="1"/>
        <n v="3.1747820734977723" u="1"/>
        <n v="5.0000000000008304" u="1"/>
        <n v="5.0000000000026219" u="1"/>
        <n v="3.1215826511383056" u="1"/>
        <n v="5.0000000000008313" u="1"/>
        <n v="3.2773115873336791" u="1"/>
        <n v="3.5688897371292114" u="1"/>
        <n v="3.1887087345123293" u="1"/>
        <n v="3.4587723493576048" u="1"/>
        <n v="5.0000000000026281" u="1"/>
        <n v="3.4532516479492186" u="1"/>
        <n v="3.8058739423751833" u="1"/>
        <n v="3.2594416499137875" u="1"/>
        <n v="3.9654557228088381" u="1"/>
        <n v="3.281276524066925" u="1"/>
        <n v="3.2797832608222959" u="1"/>
        <n v="5.0000000000008473" u="1"/>
        <n v="3.1897563576698302" u="1"/>
        <n v="5.0000000000008491" u="1"/>
        <n v="5.0000000000008518" u="1"/>
        <n v="3.1056053638458252" u="1"/>
        <n v="4.1159876465797423" u="1"/>
        <n v="2.2356373906135558" u="1"/>
        <n v="3.3802614688873289" u="1"/>
        <n v="5.0000000000008615" u="1"/>
        <n v="3.139744448661804" u="1"/>
        <n v="3.689369297027588" u="1"/>
        <n v="3.2907694816589355" u="1"/>
        <n v="3.8420225024223327" u="1"/>
        <n v="3.5794185638427733" u="1"/>
        <n v="3.2167538881301878" u="1"/>
        <n v="3.4943831682205202" u="1"/>
        <n v="4.849728292226791" u="1"/>
        <n v="4.0463002085685726" u="1"/>
        <n v="4.564424300193787" u="1"/>
        <n v="3.2001511931419371" u="1"/>
        <n v="3.2303253412246704" u="1"/>
        <n v="3.1378753662109373" u="1"/>
        <n v="3.4671273231506348" u="1"/>
        <n v="4.0688306212425234" u="1"/>
        <n v="3.8442302286624908" u="1"/>
        <n v="3.2234415531158445" u="1"/>
        <n v="4.0997871458530426" u="1"/>
        <n v="3.393826961517334" u="1"/>
        <n v="4.044241493940353" u="1"/>
        <n v="4.1584350824356076" u="1"/>
        <n v="4.8361931502819058" u="1"/>
        <n v="4.0301450431346888" u="1"/>
        <n v="4.1609054565429684" u="1"/>
        <n v="3.3174651384353635" u="1"/>
        <n v="5.0000000000008944" u="1"/>
        <n v="4.2506143093109126" u="1"/>
        <n v="3.962556165456772" u="1"/>
        <n v="5.0000000000008971" u="1"/>
        <n v="3.5698971986770629" u="1"/>
        <n v="4.6865597248077391" u="1"/>
        <n v="3.7017047047615055" u="1"/>
        <n v="3.116343116760254" u="1"/>
        <n v="3.3029045820236203" u="1"/>
        <n v="3.1911415457725525" u="1"/>
        <n v="3.9242857813835146" u="1"/>
        <n v="4.8533802628517151" u="1"/>
        <n v="3.1548889636993409" u="1"/>
        <n v="3.0431040287017823" u="1"/>
        <n v="3.4168977022171019" u="1"/>
        <n v="5.0000000000027072" u="1"/>
        <n v="3.8264019429683684" u="1"/>
        <n v="3.8631278574466705" u="1"/>
        <n v="3.1645536184310914" u="1"/>
        <n v="4.2580661773681641" u="1"/>
        <n v="4.2439820885658266" u="1"/>
        <n v="4.2071958899497979" u="1"/>
        <n v="3.6597549915313721" u="1"/>
        <n v="4.3883236408233639" u="1"/>
        <n v="5.0000000000009308" u="1"/>
        <n v="3.7486864209175113" u="1"/>
        <n v="4.070121705532074" u="1"/>
        <n v="3.1381161689758299" u="1"/>
        <n v="3.1741618037223818" u="1"/>
        <n v="3.2397650957107542" u="1"/>
        <n v="3.8557171642780306" u="1"/>
        <n v="4.0463717341423031" u="1"/>
        <n v="3.1753912687301638" u="1"/>
        <n v="3.1870612144470214" u="1"/>
        <n v="4.1399397611618038" u="1"/>
        <n v="4.3659520864486696" u="1"/>
        <n v="4.6575321435928343" u="1"/>
        <n v="4.5463144779205322" u="1"/>
        <n v="4.0875184416770933" u="1"/>
        <n v="3.1351719141006469" u="1"/>
        <n v="3.2742413043975827" u="1"/>
        <n v="3.1184387326240541" u="1"/>
        <n v="3.223004972934723" u="1"/>
        <n v="3.2348615646362302" u="1"/>
        <n v="3.7510200500488282" u="1"/>
        <n v="3.5337447881698609" u="1"/>
        <n v="3.6795865535736088" u="1"/>
        <n v="4.9472092270851133" u="1"/>
        <n v="4.4999948501586911" u="1"/>
        <n v="3.2151945829391479" u="1"/>
        <n v="3.1533511161804197" u="1"/>
        <n v="4.0469837725162501" u="1"/>
        <n v="3.1658622741699221" u="1"/>
        <n v="3.1010440349578858" u="1"/>
        <n v="4.5885806083679199" u="1"/>
        <n v="3.134543740749359" u="1"/>
        <n v="3.2717808365821837" u="1"/>
        <n v="3.2109782814979551" u="1"/>
        <n v="3.1166106224060059" u="1"/>
        <n v="3.625812911987305" u="1"/>
        <n v="3.7993022799491882" u="1"/>
        <n v="5.0000000000027693" u="1"/>
        <n v="3.6764657974243167" u="1"/>
        <n v="3.2072654604911803" u="1"/>
        <n v="3.5804563045501707" u="1"/>
        <n v="3.2806385397911071" u="1"/>
        <n v="3.5426828384399416" u="1"/>
        <n v="3.190220558643341" u="1"/>
        <n v="5.0000000000027809" u="1"/>
        <n v="3.9367227375507357" u="1"/>
        <n v="3.8444748282432557" u="1"/>
        <n v="3.1113439440727233" u="1"/>
        <n v="3.1930814027786254" u="1"/>
        <n v="5.0000000000027889" u="1"/>
        <n v="4.285288536548614" u="1"/>
        <n v="5.0000000000009992" u="1"/>
        <n v="3.2352070689201353" u="1"/>
        <n v="3.4697348594665529" u="1"/>
        <n v="3.6241470336914063" u="1"/>
        <n v="5.0000000000027951" u="1"/>
        <n v="4.1171326041221619" u="1"/>
        <n v="3.2967169165611265" u="1"/>
        <n v="3.8408685266971587" u="1"/>
        <n v="5.0000000000010116" u="1"/>
        <n v="4.215990269184112" u="1"/>
        <n v="3.1126413941383362" u="1"/>
        <n v="3.1874398231506347" u="1"/>
        <n v="4.1500210046768187" u="1"/>
        <n v="3.130206632614136" u="1"/>
        <n v="4.8764128565788267" u="1"/>
        <n v="3.2304260849952695" u="1"/>
        <n v="4.0063007354736326" u="1"/>
        <n v="3.7343135535717011" u="1"/>
        <n v="3.7602020382881167" u="1"/>
        <n v="4.4909175634384155" u="1"/>
        <n v="3.1403550744056701" u="1"/>
        <n v="3.1968264102935793" u="1"/>
        <n v="3.7800382614135746" u="1"/>
        <n v="3.2610075592994687" u="1"/>
        <n v="4.6119183063507077" u="1"/>
        <n v="3.6041804552078247" u="1"/>
        <n v="3.9506928801536558" u="1"/>
        <n v="3.6106192111968993" u="1"/>
        <n v="4.0134560823440548" u="1"/>
        <n v="4.3520739555358885" u="1"/>
        <n v="3.9562013685703277" u="1"/>
        <n v="3.7641566693782806" u="1"/>
        <n v="5.0000000000028386" u="1"/>
        <n v="3.2472876071929933" u="1"/>
        <n v="4.4468790769577025" u="1"/>
        <n v="3.1093584775924685" u="1"/>
        <n v="3.8497707784175872" u="1"/>
        <n v="3.5238969564437865" u="1"/>
        <n v="5.000000000001056" u="1"/>
        <n v="4.0670987606048579" u="1"/>
        <n v="3.2229011535644529" u="1"/>
        <n v="3.3043846607208249" u="1"/>
        <n v="3.5270596742630005" u="1"/>
        <n v="4.0025838434696199" u="1"/>
        <n v="5.0000000000028528" u="1"/>
        <n v="3.2643128871917724" u="1"/>
        <n v="3.5603092432022097" u="1"/>
        <n v="4.0807386577129359" u="1"/>
        <n v="5.0000000000010676" u="1"/>
        <n v="5.0000000000028599" u="1"/>
        <n v="5.0000000000010694" u="1"/>
        <n v="3.5403393983840941" u="1"/>
        <n v="3.9900320887565615" u="1"/>
        <n v="4.8589036643505095" u="1"/>
        <n v="3.1665514469146729" u="1"/>
        <n v="3.690842866897583" u="1"/>
        <n v="4.0396958649158474" u="1"/>
        <n v="5.0000000000010756" u="1"/>
        <n v="5.0000000000028679" u="1"/>
        <n v="2.1152814269065856" u="1"/>
        <n v="3.3037364959716795" u="1"/>
        <n v="5.0000000000010818" u="1"/>
        <n v="3.0156423211097718" u="1"/>
        <n v="3.7103115200996402" u="1"/>
        <n v="3.34181854724884" u="1"/>
        <n v="3.9991310715675352" u="1"/>
        <n v="4.2557415723800656" u="1"/>
        <n v="4.0147566318511965" u="1"/>
        <n v="4.2476857781410216" u="1"/>
        <n v="3.7194863557815552" u="1"/>
        <n v="5.0000000000010933" u="1"/>
        <n v="4.0675864160060877" u="1"/>
        <n v="3.8631979167461394" u="1"/>
        <n v="3.2561851263046262" u="1"/>
        <n v="3.2757521390914914" u="1"/>
        <n v="3.8219242990016937" u="1"/>
        <n v="5.0000000000028919" u="1"/>
        <n v="4.6159445524215696" u="1"/>
        <n v="5.0000000000028946" u="1"/>
        <n v="5.0000000000028955" u="1"/>
        <n v="3.3498979091644285" u="1"/>
        <n v="3.546101140975952" u="1"/>
        <n v="3.099378800392151" u="1"/>
        <n v="4.2326716423034663" u="1"/>
        <n v="4.4843487977981571" u="1"/>
        <n v="3.8807471275329593" u="1"/>
        <n v="3.1340622663497926" u="1"/>
        <n v="5.0000000000011076" u="1"/>
        <n v="3.8548064470291137" u="1"/>
        <n v="3.1323188662528993" u="1"/>
        <n v="3.1132556319236757" u="1"/>
        <n v="5.0000000000011138" u="1"/>
        <n v="3.7254061341285709" u="1"/>
        <n v="3.9255276083946229" u="1"/>
        <n v="4.0187716901302339" u="1"/>
        <n v="4.3097271680831906" u="1"/>
        <n v="4.1426943302154537" u="1"/>
        <n v="3.4889978170394897" u="1"/>
        <n v="4.8587204873561856" u="1"/>
        <n v="4.7464358866214758" u="1"/>
        <n v="2.9093548715114594" u="1"/>
        <n v="3.2839772462844845" u="1"/>
        <n v="3.4356730222702025" u="1"/>
        <n v="3.1310265898704528" u="1"/>
        <n v="3.781509131193161" u="1"/>
        <n v="4.0994900465011597" u="1"/>
        <n v="3.9474034547805785" u="1"/>
        <n v="3.2406669020652772" u="1"/>
        <n v="3.1662094116210939" u="1"/>
        <n v="3.237428331375122" u="1"/>
        <n v="4.5275901317596432" u="1"/>
        <n v="3.3228776931762694" u="1"/>
        <n v="3.1964343786239624" u="1"/>
        <n v="3.7336431443691254" u="1"/>
        <n v="3.8741819918155671" u="1"/>
        <n v="3.7299066662788394" u="1"/>
        <n v="4.0332620084285731" u="1"/>
        <n v="3.2647258281707763" u="1"/>
        <n v="4.1013691782951351" u="1"/>
        <n v="5.0000000000011564" u="1"/>
        <n v="3.6586408138275148" u="1"/>
        <n v="3.3661522388458249" u="1"/>
        <n v="4.0648183882236477" u="1"/>
        <n v="3.8038992822170257" u="1"/>
        <n v="3.1321180820465089" u="1"/>
        <n v="3.7786904692649843" u="1"/>
        <n v="3.7825613975524903" u="1"/>
        <n v="3.1769963145256042" u="1"/>
        <n v="5.0000000000011653" u="1"/>
        <n v="3.124488925933838" u="1"/>
        <n v="3.2697910428047177" u="1"/>
        <n v="5.0000000000011697" u="1"/>
        <n v="3.1193009257316588" u="1"/>
        <n v="3.9576285004615785" u="1"/>
        <n v="4.0508438646793365" u="1"/>
        <n v="3.3172666311264036" u="1"/>
        <n v="3.2381407976150514" u="1"/>
        <n v="3.8892323493957521" u="1"/>
        <n v="5.0000000000011795" u="1"/>
        <n v="3.5356498003005981" u="1"/>
        <n v="4.6427977323532108" u="1"/>
        <n v="5.0000000000029736" u="1"/>
        <n v="4.5882079124450685" u="1"/>
        <n v="4.225892114639282" u="1"/>
        <n v="3.1446013808250428" u="1"/>
        <n v="4.1729161977767939" u="1"/>
        <n v="3.1338552117347716" u="1"/>
        <n v="3.1860013604164124" u="1"/>
        <n v="3.0026362657546999" u="1"/>
        <n v="5.0000000000029825" u="1"/>
        <n v="3.7416540443897248" u="1"/>
        <n v="3.1386175632476805" u="1"/>
        <n v="3.9844390749931335" u="1"/>
        <n v="4.3072026968002319" u="1"/>
        <n v="4.2577611923217775" u="1"/>
        <n v="4.9847661793231968" u="1"/>
        <n v="3.2034234404563904" u="1"/>
        <n v="4.0443624317646023" u="1"/>
        <n v="4.0038160979747772" u="1"/>
        <n v="3.6863120555877686" u="1"/>
        <n v="3.1418647527694703" u="1"/>
        <n v="4.3174651384353639" u="1"/>
        <n v="5.0000000000012115" u="1"/>
        <n v="3.1821876525878907" u="1"/>
        <n v="3.2064224004745481" u="1"/>
        <n v="3.9652158975601197" u="1"/>
        <n v="3.7441808104515077" u="1"/>
        <n v="4.013550645112991" u="1"/>
        <n v="3.5830892801284793" u="1"/>
        <n v="3.1675502538681028" u="1"/>
        <n v="3.4344451189041139" u="1"/>
        <n v="3.9494022190570832" u="1"/>
        <n v="3.8513559997081757" u="1"/>
        <n v="3.2262757897377012" u="1"/>
        <n v="3.9796846449375152" u="1"/>
        <n v="5.0000000000012319" u="1"/>
        <n v="3.2464805841445923" u="1"/>
        <n v="3.485623073577881" u="1"/>
        <n v="3.8400936901569369" u="1"/>
        <n v="3.2948015093803402" u="1"/>
        <n v="4.4103669881820675" u="1"/>
        <n v="3.9782166361808775" u="1"/>
        <n v="4.6969053983688358" u="1"/>
        <n v="3.2978470921516418" u="1"/>
        <n v="4.4730460166931154" u="1"/>
        <n v="3.2337208867073057" u="1"/>
        <n v="3.1421594381332398" u="1"/>
        <n v="3.1235342860221862" u="1"/>
        <n v="3.2246895790100099" u="1"/>
        <n v="5.0000000000012506" u="1"/>
        <n v="3.0782008767127991" u="1"/>
        <n v="3.2686475396156309" u="1"/>
        <n v="4.1226662397384644" u="1"/>
        <n v="2.3234947919845581" u="1"/>
        <n v="5.000000000001255" u="1"/>
        <n v="3.2294401764869689" u="1"/>
        <n v="3.4279198169708249" u="1"/>
        <n v="3.8255119144916536" u="1"/>
        <n v="2.2926181554794312" u="1"/>
        <n v="3.8249309837818148" u="1"/>
        <n v="4.5064293384552006" u="1"/>
        <n v="3.1609291076660155" u="1"/>
        <n v="3.2172318816184995" u="1"/>
        <n v="5.0000000000012674" u="1"/>
        <n v="3.1765274405479431" u="1"/>
        <n v="3.2760627985000608" u="1"/>
        <n v="3.7861869573593143" u="1"/>
        <n v="4.5623055458068844" u="1"/>
        <n v="5.0000000000012763" u="1"/>
        <n v="3.8403376281261443" u="1"/>
        <n v="3.1285246372222901" u="1"/>
        <n v="3.7956651151180267" u="1"/>
        <n v="3.1372874140739442" u="1"/>
        <n v="3.8707587778568269" u="1"/>
        <n v="4.247806346416473" u="1"/>
        <n v="3.2918976783752441" u="1"/>
        <n v="3.8306770086288453" u="1"/>
        <n v="3.9936246395111086" u="1"/>
        <n v="3.2799414277076719" u="1"/>
        <n v="4.9390979409217834" u="1"/>
        <n v="3.3383085489273068" u="1"/>
        <n v="3.1770763874053953" u="1"/>
        <n v="3.0990171790122987" u="1"/>
        <n v="3.237439942359924" u="1"/>
        <n v="3.9137858629226683" u="1"/>
        <n v="4.0848433673381805" u="1"/>
        <n v="5.0000000000013012" u="1"/>
        <n v="5.000000000001303" u="1"/>
        <n v="3.7455829262733462" u="1"/>
        <n v="3.1637789487838743" u="1"/>
        <n v="3.2330309629440306" u="1"/>
        <n v="3.2520662665367124" u="1"/>
        <n v="3.2025673031806945" u="1"/>
        <n v="3.7695319771766664" u="1"/>
        <n v="4.5802020788192745" u="1"/>
        <n v="3.1694996476173403" u="1"/>
        <n v="4.9196270525455477" u="1"/>
        <n v="3.7995847165584564" u="1"/>
        <n v="3.2263947963714599" u="1"/>
        <n v="3.5614950418472291" u="1"/>
        <n v="2.1155262827873229" u="1"/>
        <n v="3.7459248542785648" u="1"/>
        <n v="3.261635076999664" u="1"/>
        <n v="3.8315683424472811" u="1"/>
        <n v="3.104055452346802" u="1"/>
        <n v="5.0000000000013332" u="1"/>
        <n v="3.1998605132102966" u="1"/>
        <n v="4.218822562694549" u="1"/>
        <n v="3.4805039405822753" u="1"/>
        <n v="3.7608957827091221" u="1"/>
        <n v="3.2130494356155395" u="1"/>
        <n v="4.6461223363876343" u="1"/>
        <n v="5.0000000000013376" u="1"/>
        <n v="3.2084229826927184" u="1"/>
        <n v="3.8754266440868377" u="1"/>
        <n v="3.2852381467819214" u="1"/>
        <n v="3.2817399024963376" u="1"/>
        <n v="2.220082437992096" u="1"/>
        <n v="5.00000000000135" u="1"/>
        <n v="3.1079664349555971" u="1"/>
        <n v="4.2136159300804135" u="1"/>
        <n v="3.5637566328048704" u="1"/>
        <n v="3.761619782447815" u="1"/>
        <n v="3.2406796336174009" u="1"/>
        <n v="4.4348961114883423" u="1"/>
        <n v="3.1855682492256165" u="1"/>
        <n v="3.7935740292072295" u="1"/>
        <n v="4.1573983073234553" u="1"/>
        <n v="5.000000000001366" u="1"/>
        <n v="4.0721029281616206" u="1"/>
        <n v="4.0965952932834622" u="1"/>
        <n v="3.2487513661384582" u="1"/>
        <n v="3.2890866279602049" u="1"/>
        <n v="4.8510312378406528" u="1"/>
        <n v="3.1472780227661135" u="1"/>
        <n v="3.6428092002868655" u="1"/>
        <n v="3.1492706418037413" u="1"/>
        <n v="3.1326447486877442" u="1"/>
        <n v="4.9876955628395079" u="1"/>
        <n v="3.2796423435211182" u="1"/>
        <n v="4.5116273164749146" u="1"/>
        <n v="3.1597384333610536" u="1"/>
        <n v="3.7856711506843568" u="1"/>
        <n v="3.1987626552581787" u="1"/>
        <n v="4.6165418148040773" u="1"/>
        <n v="5.0000000000013944" u="1"/>
        <n v="3.2961559057235714" u="1"/>
        <n v="3.9070432901382448" u="1"/>
        <n v="3.8035773277282714" u="1"/>
        <n v="3.4847779035568238" u="1"/>
        <n v="3.2864804863929749" u="1"/>
        <n v="4.0461965620517732" u="1"/>
        <n v="4.1216458916664118" u="1"/>
        <n v="3.2463014245033261" u="1"/>
        <n v="4.1107505440711973" u="1"/>
        <n v="3.3775260925292967" u="1"/>
        <n v="3.9647672891616823" u="1"/>
        <n v="4.188647902011871" u="1"/>
        <n v="2.5883676767349244" u="1"/>
        <n v="3.2737957239151001" u="1"/>
        <n v="3.5884505748748778" u="1"/>
        <n v="4.4604120969772341" u="1"/>
        <n v="3.1243722319602969" u="1"/>
        <n v="3.7627686440944674" u="1"/>
        <n v="3.27448935508728" u="1"/>
        <n v="3.5011918067932131" u="1"/>
        <n v="3.1767663002014159" u="1"/>
        <n v="3.2445786952972413" u="1"/>
        <n v="3.9823793709278106" u="1"/>
        <n v="3.2441244363784789" u="1"/>
        <n v="3.642327451705933" u="1"/>
        <n v="3.9823393881320954" u="1"/>
        <n v="4.7558201134204863" u="1"/>
        <n v="3.779857873916626" u="1"/>
        <n v="4.8764919817447661" u="1"/>
        <n v="5.0000000000014309" u="1"/>
        <n v="3.1442592740058899" u="1"/>
        <n v="3.437023091316223" u="1"/>
        <n v="3.7947043478488922" u="1"/>
        <n v="3.1956061005592344" u="1"/>
        <n v="3.2126900672912595" u="1"/>
        <n v="3.1170456290245059" u="1"/>
        <n v="5.0000000000014362" u="1"/>
        <n v="4.0352792084217066" u="1"/>
        <n v="5.0000000000014388" u="1"/>
        <n v="4.0254945933818815" u="1"/>
        <n v="5.0000000000014406" u="1"/>
        <n v="3.1794890999794005" u="1"/>
        <n v="3.7917468905448914" u="1"/>
        <n v="3.1283302187919619" u="1"/>
        <n v="3.2826712727546692" u="1"/>
        <n v="3.7475802242755893" u="1"/>
        <n v="3.2780486345291138" u="1"/>
        <n v="4.2687761545181271" u="1"/>
        <n v="3.2785241842269897" u="1"/>
        <n v="3.8158046782016757" u="1"/>
        <n v="3.5122228145599363" u="1"/>
        <n v="4.1664736509323115" u="1"/>
        <n v="3.9561489403247831" u="1"/>
        <n v="4.3534357309341427" u="1"/>
        <n v="3.2172911763191223" u="1"/>
        <n v="3.3053445339202878" u="1"/>
        <n v="3.7109959304332736" u="1"/>
        <n v="3.5326717138290404" u="1"/>
        <n v="3.1677087306976319" u="1"/>
        <n v="3.1049884915351869" u="1"/>
        <n v="3.1416569471359255" u="1"/>
        <n v="3.304044938087463" u="1"/>
        <n v="3.7766836941242219" u="1"/>
        <n v="3.8453173100948335" u="1"/>
        <n v="4.9787060141563417" u="1"/>
        <n v="3.2105378746986388" u="1"/>
        <n v="3.2033747315406798" u="1"/>
        <n v="3.1948436975479124" u="1"/>
        <n v="3.9161057770252228" u="1"/>
        <n v="3.1207668304443361" u="1"/>
        <n v="4.8343526184558865" u="1"/>
        <n v="3.8782545506954196" u="1"/>
        <n v="3.9663496494293211" u="1"/>
        <n v="3.1010204911231996" u="1"/>
        <n v="3.6740988492965698" u="1"/>
        <n v="3.1971801519393921" u="1"/>
        <n v="3.23630975484848" u="1"/>
        <n v="3.8061655700206756" u="1"/>
        <n v="4.497304153442383" u="1"/>
        <n v="2.1663688778877259" u="1"/>
        <n v="3.1488484621047972" u="1"/>
        <n v="4.0054147481918339" u="1"/>
        <n v="2.9927582859992983" u="1"/>
        <n v="3.1998127579689024" u="1"/>
        <n v="3.3664227724075317" u="1"/>
        <n v="4.6306268930435177" u="1"/>
        <n v="4.2014304161071774" u="1"/>
        <n v="4.9755331933498379" u="1"/>
        <n v="3.2225955247879026" u="1"/>
        <n v="3.7489036798477176" u="1"/>
        <n v="3.2301488280296327" u="1"/>
        <n v="2.2148237943649289" u="1"/>
        <n v="3.2077600359916687" u="1"/>
        <n v="3.9054178178310393" u="1"/>
        <n v="4.7102827489376073" u="1"/>
        <n v="4.0567057847976686" u="1"/>
        <n v="4.0118012189865109" u="1"/>
        <n v="3.6210630178451542" u="1"/>
        <n v="4.257921195030212" u="1"/>
        <n v="4.211144351959228" u="1"/>
        <n v="2.197690987586975" u="1"/>
        <n v="4.2582297801971434" u="1"/>
        <n v="4.047103613615036" u="1"/>
        <n v="4.8280121088027954" u="1"/>
        <n v="4.2119484782218928" u="1"/>
        <n v="3.297122597694397" u="1"/>
        <n v="4.1939020395278925" u="1"/>
        <n v="5.0000000000015294" u="1"/>
        <n v="3.9942762911319734" u="1"/>
        <n v="3.9709653198719024" u="1"/>
        <n v="4.6115073919296261" u="1"/>
        <n v="3.2168733596801755" u="1"/>
        <n v="3.4744559526443481" u="1"/>
        <n v="3.5335468530654905" u="1"/>
        <n v="3.2326919913291929" u="1"/>
        <n v="3.4469051837921141" u="1"/>
        <n v="2.2934862732887265" u="1"/>
        <n v="5.0000000000015445" u="1"/>
        <n v="3.6948421955108643" u="1"/>
        <n v="5.0000000000015454" u="1"/>
        <n v="4.2690922975540158" u="1"/>
        <n v="4.9440081357955936" u="1"/>
        <n v="4.2976433753967287" u="1"/>
        <n v="3.5868561506271361" u="1"/>
        <n v="3.5608005523681641" u="1"/>
        <n v="3.3831983566284181" u="1"/>
        <n v="3.6629456281661987" u="1"/>
        <n v="4.1096645712852471" u="1"/>
        <n v="4.0648320436477663" u="1"/>
        <n v="3.1969914913177488" u="1"/>
        <n v="3.3106912851333616" u="1"/>
        <n v="4.0621058702468869" u="1"/>
        <n v="4.2175370573997499" u="1"/>
        <n v="5.0000000000015721" u="1"/>
        <n v="3.1021705627441407" u="1"/>
        <n v="3.6510379791259768" u="1"/>
        <n v="3.7929708898067473" u="1"/>
        <n v="3.2063063502311704" u="1"/>
        <n v="3.3027383565902708" u="1"/>
        <n v="3.121070647239685" u="1"/>
        <n v="3.2604457259178159" u="1"/>
        <n v="3.2198323965072633" u="1"/>
        <n v="3.2015802383422853" u="1"/>
        <n v="3.1708089828491213" u="1"/>
        <n v="5.0000000000015872" u="1"/>
        <n v="4.0001249611377716" u="1"/>
        <n v="4.3148694753646852" u="1"/>
        <n v="3.5408936500549317" u="1"/>
        <n v="4.1763372063636774" u="1"/>
        <n v="3.8913325548172" u="1"/>
        <n v="3.2218123435974122" u="1"/>
        <n v="3.3949883937835694" u="1"/>
        <n v="3.8178485214710238" u="1"/>
        <n v="3.1612793087959288" u="1"/>
        <n v="5.0000000000015978" u="1"/>
        <n v="4.0195359945297238" u="1"/>
        <n v="5.0000000000016032" u="1"/>
        <n v="4.0991089880466456" u="1"/>
        <n v="4.8083997070789337" u="1"/>
        <n v="2.2758955240249632" u="1"/>
        <n v="3.2580732345581054" u="1"/>
        <n v="3.9575810968875884" u="1"/>
        <n v="3.2577570915222167" u="1"/>
        <n v="3.4235242843627929" u="1"/>
        <n v="5.0000000000016227" u="1"/>
        <n v="3.7034356951713563" u="1"/>
        <n v="3.1032309889793397" u="1"/>
        <n v="4.1726667881011963" u="1"/>
        <n v="3.720402526855469" u="1"/>
        <n v="4.8484549760818485" u="1"/>
        <n v="4.7400092601776125" u="1"/>
        <n v="3.2654875755310058" u="1"/>
        <n v="3.7486961483955383" u="1"/>
        <n v="5.000000000001644" u="1"/>
        <n v="3.1621816277503969" u="1"/>
        <n v="5.0000000000016467" u="1"/>
        <n v="3.2180003046989438" u="1"/>
        <n v="4.594843411445618" u="1"/>
        <n v="3.7391821920871737" u="1"/>
        <n v="3.813008922338486" u="1"/>
        <n v="4.0842218756675717" u="1"/>
        <n v="3.4676499605178832" u="1"/>
        <n v="3.6663181543350221" u="1"/>
        <n v="3.7005297362804415" u="1"/>
        <n v="3.9281721413135529" u="1"/>
        <n v="4.1351646423339838" u="1"/>
        <n v="4.024517452716827" u="1"/>
        <n v="3.2393815994262694" u="1"/>
        <n v="4.7763501703739166" u="1"/>
        <n v="3.1080359816551208" u="1"/>
        <n v="4.0554625332355494" u="1"/>
        <n v="5.0000000000016742" u="1"/>
        <n v="3.2752945303916929" u="1"/>
        <n v="3.9016434311866761" u="1"/>
        <n v="4.0905180752277372" u="1"/>
        <n v="5.000000000001676" u="1"/>
        <n v="3.4119345188140868" u="1"/>
        <n v="3.6040817737579345" u="1"/>
        <n v="3.9774430871009825" u="1"/>
        <n v="3.350169491767883" u="1"/>
        <n v="4.2761950492858887" u="1"/>
        <n v="4.7273617684841156" u="1"/>
        <n v="4.0355119824409487" u="1"/>
        <n v="4.3722616910934446" u="1"/>
        <n v="3.9394152104854583" u="1"/>
        <n v="5.0000000000016938" u="1"/>
        <n v="3.1259907603263857" u="1"/>
        <n v="4.0474013090133667" u="1"/>
        <n v="3.9293510794639586" u="1"/>
        <n v="3.8120909988880158" u="1"/>
        <n v="3.1878256797790527" u="1"/>
        <n v="5.0000000000017009" u="1"/>
        <n v="3.7310768604278568" u="1"/>
        <n v="3.1938339829444886" u="1"/>
        <n v="4.1396792769432063" u="1"/>
        <n v="3.5733562946319579" u="1"/>
        <n v="3.2065511703491212" u="1"/>
        <n v="4.0821799218654631" u="1"/>
        <n v="3.1705506324768065" u="1"/>
        <n v="3.6921529769897461" u="1"/>
        <n v="4.1991260647773743" u="1"/>
        <n v="3.8891569793224336" u="1"/>
        <n v="2.2872883558273314" u="1"/>
        <n v="4.4222582340240475" u="1"/>
        <n v="3.1834932327270509" u="1"/>
        <n v="4.7931482553482061" u="1"/>
        <n v="3.165151870250702" u="1"/>
        <n v="3.9995450258255003" u="1"/>
        <n v="3.1547939538955689" u="1"/>
        <n v="4.1199444413185118" u="1"/>
        <n v="5.0000000000017284" u="1"/>
        <n v="3.2630663752555846" u="1"/>
        <n v="3.1523759961128235" u="1"/>
        <n v="3.5743756771087645" u="1"/>
        <n v="3.2671550869941708" u="1"/>
        <n v="3.7845077872276307" u="1"/>
        <n v="4.0873856782913203" u="1"/>
        <n v="4.2240450501441957" u="1"/>
        <n v="3.3017531633377075" u="1"/>
        <n v="4.4166509866714474" u="1"/>
        <n v="4.4567246675491337" u="1"/>
        <n v="3.7862247049808504" u="1"/>
        <n v="3.2112107276916504" u="1"/>
        <n v="3.0847137689590456" u="1"/>
        <n v="3.0730324506759645" u="1"/>
        <n v="3.2120999336242675" u="1"/>
        <n v="3.6653146743774414" u="1"/>
        <n v="4.000187027454376" u="1"/>
        <n v="3.1366660118103029" u="1"/>
        <n v="5.0000000000017639" u="1"/>
        <n v="3.1836279749870302" u="1"/>
        <n v="4.2353701353073117" u="1"/>
        <n v="3.1510421991348267" u="1"/>
        <n v="3.274497079849243" u="1"/>
        <n v="3.6471543073654176" u="1"/>
        <n v="5.000000000001771" u="1"/>
        <n v="3.8110336542129519" u="1"/>
        <n v="5.0000000000017781" u="1"/>
        <n v="3.8146420836448671" u="1"/>
        <n v="3.8168962836265563" u="1"/>
        <n v="3.1152486801147461" u="1"/>
        <n v="3.6758339643478397" u="1"/>
        <n v="3.8366674184799194" u="1"/>
        <n v="3.6158501148223876" u="1"/>
        <n v="4.2269274473190306" u="1"/>
        <n v="3.7595678567886353" u="1"/>
        <n v="4.0358613193035122" u="1"/>
        <n v="5.0000000000017915" u="1"/>
        <n v="3.1672577023506165" u="1"/>
        <n v="3.7895891606807708" u="1"/>
        <n v="4.7689780831336979" u="1"/>
        <n v="3.7565732419490816" u="1"/>
        <n v="2.1273030281066894" u="1"/>
        <n v="4.1696235179901118" u="1"/>
        <n v="3.296373915672302" u="1"/>
        <n v="3.1743050098419188" u="1"/>
        <n v="4.1612232685089108" u="1"/>
        <n v="4.1641377568244931" u="1"/>
        <n v="3.2579179525375364" u="1"/>
        <n v="3.268826651573181" u="1"/>
        <n v="4.0522669732570646" u="1"/>
        <n v="3.7423734664916992" u="1"/>
        <n v="3.8481315553188327" u="1"/>
        <n v="3.2307811498641965" u="1"/>
        <n v="3.9261168181896209" u="1"/>
        <n v="3.2068079829216001" u="1"/>
        <n v="3.1097950458526613" u="1"/>
        <n v="3.5820095300674439" u="1"/>
        <n v="4.7163682699203493" u="1"/>
        <n v="4.0943733274936669" u="1"/>
        <n v="5.0000000000018163" u="1"/>
        <n v="4.4175174713134764" u="1"/>
        <n v="3.5562625169754027" u="1"/>
        <n v="4.5166055917739865" u="1"/>
        <n v="3.2802115797996518" u="1"/>
        <n v="3.1766306996345519" u="1"/>
        <n v="3.1711236596107484" u="1"/>
        <n v="3.2474315285682676" u="1"/>
        <n v="3.453549861907959" u="1"/>
        <n v="3.6527834177017215" u="1"/>
        <n v="3.4570557355880736" u="1"/>
        <n v="5.00000000000004" u="1"/>
        <n v="3.1602559328079223" u="1"/>
        <n v="5.0000000000000426" u="1"/>
        <n v="3.5287784337997437" u="1"/>
        <n v="4.9171764969825746" u="1"/>
        <n v="3.2949445843696594" u="1"/>
        <n v="3.9890509366989138" u="1"/>
        <n v="4.0899593770503992" u="1"/>
        <n v="3.8385982871055604" u="1"/>
        <n v="4.3952437400817868" u="1"/>
        <n v="2.5591522455215454" u="1"/>
        <n v="3.1489120483398438" u="1"/>
        <n v="4.0204151749610899" u="1"/>
        <n v="5.0000000000000515" u="1"/>
        <n v="3.6544932365417484" u="1"/>
        <n v="3.6873383760452274" u="1"/>
        <n v="3.6420890569686892" u="1"/>
        <n v="3.8970025658607486" u="1"/>
        <n v="5.0000000000018501" u="1"/>
        <n v="3.1169339060783385" u="1"/>
        <n v="3.3378636121749876" u="1"/>
        <n v="3.3790893077850339" u="1"/>
        <n v="3.1108141899108888" u="1"/>
        <n v="4.0267892837524411" u="1"/>
        <n v="3.1472804307937623" u="1"/>
        <n v="3.207868409156799" u="1"/>
        <n v="4.7239134490489958" u="1"/>
        <n v="3.1374364495277405" u="1"/>
        <n v="3.1202651858329773" u="1"/>
        <n v="3.5477893829345701" u="1"/>
        <n v="5.0000000000000737" u="1"/>
        <n v="3.1054890632629397" u="1"/>
        <n v="4.1073154330253594" u="1"/>
        <n v="3.9966748118400575" u="1"/>
        <n v="5.000000000000079" u="1"/>
        <n v="4.5067098379135135" u="1"/>
        <n v="4.0005947232246397" u="1"/>
        <n v="4.429124879837036" u="1"/>
        <n v="4.2273324251174929" u="1"/>
        <n v="3.8047345757484439" u="1"/>
        <n v="3.7377685070037843" u="1"/>
        <n v="3.1953817367553712" u="1"/>
        <n v="3.8759673058986666" u="1"/>
        <n v="4.064592570066452" u="1"/>
        <n v="5.0000000000000924" u="1"/>
        <n v="4.4265847444534305" u="1"/>
        <n v="5.0000000000000968" u="1"/>
        <n v="4.9234174966812132" u="1"/>
        <n v="3.0383129119873047" u="1"/>
        <n v="4.282569015026092" u="1"/>
        <n v="3.171296238899231" u="1"/>
        <n v="2.1880192399024962" u="1"/>
        <n v="3.1514952659606932" u="1"/>
        <n v="3.1510054469108582" u="1"/>
        <n v="5.0000000000001084" u="1"/>
        <n v="2.2109131097793577" u="1"/>
        <n v="4.9232107698917389" u="1"/>
        <n v="3.1054561614990237" u="1"/>
        <n v="3.2850709676742551" u="1"/>
        <n v="3.3187135219573971" u="1"/>
        <n v="5.0000000000019078" u="1"/>
        <n v="3.9395753741264343" u="1"/>
        <n v="4.2151115894317623" u="1"/>
        <n v="3.2127864122390748" u="1"/>
        <n v="4.8207392454147344" u="1"/>
        <n v="3.548423480987549" u="1"/>
        <n v="3.7175759077072144" u="1"/>
        <n v="3.8827899515628816" u="1"/>
        <n v="4.1390996336936947" u="1"/>
        <n v="4.1410392165184016" u="1"/>
        <n v="5.0000000000019185" u="1"/>
        <n v="3.9193749248981478" u="1"/>
        <n v="4.0977617561817166" u="1"/>
        <n v="3.0436010122299195" u="1"/>
        <n v="3.3155448436737061" u="1"/>
        <n v="5.0000000000019291" u="1"/>
        <n v="3.215836799144745" u="1"/>
        <n v="4.1916998028755188" u="1"/>
        <n v="4.2475152730941774" u="1"/>
        <n v="3.9353753209114073" u="1"/>
        <n v="4.1742761850357049" u="1"/>
        <n v="3.1822056889533998" u="1"/>
        <n v="3.9424526154994965" u="1"/>
        <n v="3.3159683465957639" u="1"/>
        <n v="4.2977761626243591" u="1"/>
        <n v="3.2670204758644101" u="1"/>
        <n v="3.2593770503997801" u="1"/>
        <n v="3.0909898340702058" u="1"/>
        <n v="5.0000000000019496" u="1"/>
        <n v="4.4119141101837158" u="1"/>
        <n v="2.1862080574035643" u="1"/>
        <n v="3.1613502144813537" u="1"/>
        <n v="3.2540462017059326" u="1"/>
        <n v="4.1645240664482115" u="1"/>
        <n v="4.3948996543884276" u="1"/>
        <n v="3.8018901824951175" u="1"/>
        <n v="3.1495431423187257" u="1"/>
        <n v="3.20228830575943" u="1"/>
        <n v="3.4673804044723511" u="1"/>
        <n v="3.6750576972961428" u="1"/>
        <n v="3.9029796183109284" u="1"/>
        <n v="3.9532399773597717" u="1"/>
        <n v="3.6140942096710207" u="1"/>
        <n v="5.0000000000019647" u="1"/>
        <n v="3.7030935525894169" u="1"/>
        <n v="3.1156139731407166" u="1"/>
        <n v="3.9056244373321531" u="1"/>
        <n v="5.0000000000001759" u="1"/>
        <n v="5.0000000000001767" u="1"/>
        <n v="2.4654204845428467" u="1"/>
        <n v="2.5427654504776003" u="1"/>
        <n v="4.0468626737594606" u="1"/>
        <n v="4.0719599246978762" u="1"/>
        <n v="3.755965077877045" u="1"/>
        <n v="4.86085599064827" u="1"/>
        <n v="5.0000000000019735" u="1"/>
        <n v="4.0208856642246245" u="1"/>
        <n v="4.0513096392154688" u="1"/>
        <n v="3.1409286975860597" u="1"/>
        <n v="4.033093041181564" u="1"/>
        <n v="4.1696918964385983" u="1"/>
        <n v="3.1454361081123352" u="1"/>
        <n v="3.8911113440990448" u="1"/>
        <n v="4.0199630260467529" u="1"/>
        <n v="4.2263140916824335" u="1"/>
        <n v="3.2345218300819396" u="1"/>
        <n v="5.0000000000001972" u="1"/>
        <n v="3.6309239864349365" u="1"/>
        <n v="3.2574299693107602" u="1"/>
        <n v="3.5423728704452513" u="1"/>
        <n v="3.2609120368957516" u="1"/>
        <n v="3.9262383043766023" u="1"/>
        <n v="4.0201445519924164" u="1"/>
        <n v="3.2534495353698731" u="1"/>
        <n v="3.2888212203979492" u="1"/>
        <n v="3.21877179145813" u="1"/>
        <n v="3.0412943601608275" u="1"/>
        <n v="3.1119186878204346" u="1"/>
        <n v="3.6179697036743166" u="1"/>
        <n v="3.8588651299476626" u="1"/>
        <n v="3.2262235283851624" u="1"/>
        <n v="3.7095706760883331" u="1"/>
        <n v="3.1641673922538756" u="1"/>
        <n v="3.3942153930664061" u="1"/>
        <n v="3.6633453845977786" u="1"/>
        <n v="3.1596539497375487" u="1"/>
        <n v="3.4350404739379883" u="1"/>
        <n v="2.1702115297317506" u="1"/>
        <n v="3.2224272251129151" u="1"/>
        <n v="3.2726420283317563" u="1"/>
        <n v="4.6636087656021123" u="1"/>
        <n v="3.4119653701782227" u="1"/>
        <n v="3.1802476048469543" u="1"/>
        <n v="3.2364269137382506" u="1"/>
        <n v="4.0247036814689636" u="1"/>
        <n v="3.9644372522830964" u="1"/>
        <n v="4.0997997105121611" u="1"/>
        <n v="3.2912678599357603" u="1"/>
        <n v="3.5824790477752688" u="1"/>
        <n v="4.2238760352134701" u="1"/>
        <n v="3.4281856060028075" u="1"/>
        <n v="3.8462507188320161" u="1"/>
        <n v="4.0258363842964169" u="1"/>
        <n v="5.000000000000238" u="1"/>
        <n v="3.2854808449745176" u="1"/>
        <n v="2.2169306755065916" u="1"/>
        <n v="3.2724481225013733" u="1"/>
        <n v="3.108140230178833" u="1"/>
        <n v="5.0000000000002434" u="1"/>
        <n v="3.7341199517250061" u="1"/>
        <n v="4.1188511729240416" u="1"/>
        <n v="3.2398931741714478" u="1"/>
        <n v="3.7560280025005341" u="1"/>
        <n v="3.8489555835723879" u="1"/>
        <n v="3.2807890653610228" u="1"/>
        <n v="3.9121015429496766" u="1"/>
        <n v="5.0000000000002638" u="1"/>
        <n v="2.2897343397140499" u="1"/>
        <n v="3.4457093238830567" u="1"/>
        <n v="3.8090661823749543" u="1"/>
        <n v="3.2659237384796143" u="1"/>
        <n v="4.0852236390113825" u="1"/>
        <n v="5.0000000000020579" u="1"/>
        <n v="3.350744557380676" u="1"/>
        <n v="3.9745892703533174" u="1"/>
        <n v="3.1191140890121463" u="1"/>
        <n v="3.7978238642215731" u="1"/>
        <n v="5.0000000000002691" u="1"/>
        <n v="3.3112400531768795" u="1"/>
        <n v="4.1823413372039795" u="1"/>
        <n v="4.9295647799968716" u="1"/>
        <n v="3.0010029494762422" u="1"/>
        <n v="3.8544175982475282" u="1"/>
        <n v="4.6042905807495114" u="1"/>
        <n v="4.1512263178825375" u="1"/>
        <n v="2.4548939704895019" u="1"/>
        <n v="3.853929686546326" u="1"/>
        <n v="3.1056623578071596" u="1"/>
        <n v="3.107194995880127" u="1"/>
        <n v="3.7739191412925721" u="1"/>
        <n v="3.123253309726715" u="1"/>
        <n v="3.1797763824462892" u="1"/>
        <n v="3.4789951324462889" u="1"/>
        <n v="4.2948691964149477" u="1"/>
        <n v="5.0000000000002869" u="1"/>
        <n v="4.0899697244167328" u="1"/>
        <n v="3.2806142330169674" u="1"/>
        <n v="5.000000000002081" u="1"/>
        <n v="3.8031663775444033" u="1"/>
        <n v="5.0000000000020819" u="1"/>
        <n v="3.887909895181656" u="1"/>
        <n v="3.2467847228050233" u="1"/>
        <n v="3.4681725025177004" u="1"/>
        <n v="3.4426841735839844" u="1"/>
        <n v="3.2957497596740719" u="1"/>
        <n v="3.4358524322509765" u="1"/>
        <n v="3.7310831189155582" u="1"/>
        <n v="3.5693649530410765" u="1"/>
        <n v="4.0930954158306116" u="1"/>
        <n v="5.0000000000021005" u="1"/>
        <n v="3.478992986679077" u="1"/>
        <n v="3.2202936291694639" u="1"/>
        <n v="3.2845820665359495" u="1"/>
        <n v="2.1273103117942811" u="1"/>
        <n v="3.4663091421127321" u="1"/>
        <n v="3.2775836706161496" u="1"/>
        <n v="3.6661430120468141" u="1"/>
        <n v="5.0000000000003171" u="1"/>
        <n v="3.1866107821464538" u="1"/>
        <n v="3.1401538968086244" u="1"/>
        <n v="3.2390921473503114" u="1"/>
        <n v="3.2436370253562927" u="1"/>
        <n v="5.0000000000003277" u="1"/>
        <n v="4.7374234318733217" u="1"/>
        <n v="3.3442091703414913" u="1"/>
        <n v="3.2389483809471131" u="1"/>
        <n v="3.9967978000640869" u="1"/>
        <n v="4.2268542408943173" u="1"/>
        <n v="3.2421091914176938" u="1"/>
        <n v="3.5221640586853029" u="1"/>
        <n v="3.8446003019809725" u="1"/>
        <n v="5.000000000000334" u="1"/>
        <n v="4.0806112527847285" u="1"/>
        <n v="4.6693914175033573" u="1"/>
        <n v="3.2732252001762387" u="1"/>
        <n v="3.7189022064208985" u="1"/>
        <n v="5.0000000000003393" u="1"/>
        <n v="3.8778973340988161" u="1"/>
        <n v="5.0000000000003402" u="1"/>
        <n v="3.2263235926628111" u="1"/>
        <n v="5.0000000000003428" u="1"/>
        <n v="4.0121568739414215" u="1"/>
      </sharedItems>
    </cacheField>
    <cacheField name="Element Priority Score (condition triggered)" numFmtId="0">
      <sharedItems containsNonDate="0" containsString="0" containsBlank="1" containsNumber="1" minValue="2.2000000000000002" maxValue="5111.68" count="828">
        <m/>
        <n v="8.4499999999999993" u="1"/>
        <n v="8.83" u="1"/>
        <n v="408.06" u="1"/>
        <n v="108.08" u="1"/>
        <n v="408" u="1"/>
        <n v="408.28" u="1"/>
        <n v="408.37" u="1"/>
        <n v="8.5399999999999991" u="1"/>
        <n v="8.6999999999999993" u="1"/>
        <n v="10.15" u="1"/>
        <n v="408.66" u="1"/>
        <n v="104.7" u="1"/>
        <n v="408.25" u="1"/>
        <n v="408.09" u="1"/>
        <n v="407.83" u="1"/>
        <n v="407.82" u="1"/>
        <n v="409.04" u="1"/>
        <n v="408.87" u="1"/>
        <n v="9.1300000000000008" u="1"/>
        <n v="5008.83" u="1"/>
        <n v="10.47" u="1"/>
        <n v="5009.7" u="1"/>
        <n v="5008.2" u="1"/>
        <n v="9.6999999999999993" u="1"/>
        <n v="408.65" u="1"/>
        <n v="8.69" u="1"/>
        <n v="8.7799999999999994" u="1"/>
        <n v="407.78" u="1"/>
        <n v="8.41" u="1"/>
        <n v="103.45" u="1"/>
        <n v="5008.7" u="1"/>
        <n v="408.69" u="1"/>
        <n v="5008.45" u="1"/>
        <n v="5009.83" u="1"/>
        <n v="9.77" u="1"/>
        <n v="409.68" u="1"/>
        <n v="3.7" u="1"/>
        <n v="8.4700000000000006" u="1"/>
        <n v="9.32" u="1"/>
        <n v="408.16" u="1"/>
        <n v="407.57" u="1"/>
        <n v="407.63" u="1"/>
        <n v="8.5" u="1"/>
        <n v="408.35" u="1"/>
        <n v="408.31" u="1"/>
        <n v="408.22" u="1"/>
        <n v="9.8699999999999992" u="1"/>
        <n v="9.4499999999999993" u="1"/>
        <n v="8.8699999999999992" u="1"/>
        <n v="8.36" u="1"/>
        <n v="407.73" u="1"/>
        <n v="407.59" u="1"/>
        <n v="8.52" u="1"/>
        <n v="407.48" u="1"/>
        <n v="9.66" u="1"/>
        <n v="407.71" u="1"/>
        <n v="407.98" u="1"/>
        <n v="408.24" u="1"/>
        <n v="10.7" u="1"/>
        <n v="5010.7" u="1"/>
        <n v="407.81" u="1"/>
        <n v="9.65" u="1"/>
        <n v="8.93" u="1"/>
        <n v="407.95" u="1"/>
        <n v="8.5299999999999994" u="1"/>
        <n v="408.51" u="1"/>
        <n v="408.34" u="1"/>
        <n v="408.42" u="1"/>
        <n v="410.44" u="1"/>
        <n v="411.21" u="1"/>
        <n v="411.38" u="1"/>
        <n v="8.3800000000000008" u="1"/>
        <n v="409.8" u="1"/>
        <n v="407.32" u="1"/>
        <n v="10.63" u="1"/>
        <n v="5010.45" u="1"/>
        <n v="8.58" u="1"/>
        <n v="9.5" u="1"/>
        <n v="9.18" u="1"/>
        <n v="5009.18" u="1"/>
        <n v="5008.38" u="1"/>
        <n v="9.6199999999999992" u="1"/>
        <n v="410.59" u="1"/>
        <n v="5011.38" u="1"/>
        <n v="11.11" u="1"/>
        <n v="410.74" u="1"/>
        <n v="410.38" u="1"/>
        <n v="407.67" u="1"/>
        <n v="5007.68" u="1"/>
        <n v="410.89" u="1"/>
        <n v="407.31" u="1"/>
        <n v="407.38" u="1"/>
        <n v="406.78" u="1"/>
        <n v="406.8" u="1"/>
        <n v="407.45" u="1"/>
        <n v="407.36" u="1"/>
        <n v="8.8800000000000008" u="1"/>
        <n v="407.42" u="1"/>
        <n v="406.7" u="1"/>
        <n v="5007.75" u="1"/>
        <n v="407.92" u="1"/>
        <n v="407.66" u="1"/>
        <n v="8.73" u="1"/>
        <n v="406.69" u="1"/>
        <n v="10.4" u="1"/>
        <n v="410.11" u="1"/>
        <n v="409.38" u="1"/>
        <n v="407.62" u="1"/>
        <n v="8.74" u="1"/>
        <n v="409.9" u="1"/>
        <n v="10.43" u="1"/>
        <n v="9.83" u="1"/>
        <n v="9.3800000000000008" u="1"/>
        <n v="5009.38" u="1"/>
        <n v="5008.68" u="1"/>
        <n v="408.11" u="1"/>
        <n v="8.48" u="1"/>
        <n v="407.56" u="1"/>
        <n v="9.15" u="1"/>
        <n v="5009.1499999999996" u="1"/>
        <n v="410.9" u="1"/>
        <n v="5011.68" u="1"/>
        <n v="11.68" u="1"/>
        <n v="5012.13" u="1"/>
        <n v="409.56" u="1"/>
        <n v="9.4" u="1"/>
        <n v="5010.43" u="1"/>
        <n v="10.130000000000001" u="1"/>
        <n v="409.15" u="1"/>
        <n v="9.75" u="1"/>
        <n v="9.6300000000000008" u="1"/>
        <n v="408.78" u="1"/>
        <n v="408.14" u="1"/>
        <n v="408.33" u="1"/>
        <n v="9.8000000000000007" u="1"/>
        <n v="410.98" u="1"/>
        <n v="409.27" u="1"/>
        <n v="409.17" u="1"/>
        <n v="8.4" u="1"/>
        <n v="10.29" u="1"/>
        <n v="407.69" u="1"/>
        <n v="406.85" u="1"/>
        <n v="5008.05" u="1"/>
        <n v="406.37" u="1"/>
        <n v="5007.2" u="1"/>
        <n v="5009.08" u="1"/>
        <n v="11.15" u="1"/>
        <n v="10.8" u="1"/>
        <n v="5008.43" u="1"/>
        <n v="9.14" u="1"/>
        <n v="5008.3" u="1"/>
        <n v="409.59" u="1"/>
        <n v="406.76" u="1"/>
        <n v="409.86" u="1"/>
        <n v="410.37" u="1"/>
        <n v="9.5500000000000007" u="1"/>
        <n v="9.27" u="1"/>
        <n v="10.41" u="1"/>
        <n v="9.08" u="1"/>
        <n v="10.07" u="1"/>
        <n v="8.5500000000000007" u="1"/>
        <n v="8.6300000000000008" u="1"/>
        <n v="8.51" u="1"/>
        <n v="9.4600000000000009" u="1"/>
        <n v="9.4700000000000006" u="1"/>
        <n v="8.06" u="1"/>
        <n v="8.3000000000000007" u="1"/>
        <n v="7.35" u="1"/>
        <n v="3.45" u="1"/>
        <n v="7.45" u="1"/>
        <n v="7.59" u="1"/>
        <n v="7.89" u="1"/>
        <n v="7.96" u="1"/>
        <n v="8.1300000000000008" u="1"/>
        <n v="8.14" u="1"/>
        <n v="4.7" u="1"/>
        <n v="7.42" u="1"/>
        <n v="7.75" u="1"/>
        <n v="7.81" u="1"/>
        <n v="7.98" u="1"/>
        <n v="7.77" u="1"/>
        <n v="7.83" u="1"/>
        <n v="7.55" u="1"/>
        <n v="6.15" u="1"/>
        <n v="8.32" u="1"/>
        <n v="7.64" u="1"/>
        <n v="8" u="1"/>
        <n v="3.5" u="1"/>
        <n v="4.45" u="1"/>
        <n v="8.11" u="1"/>
        <n v="3.38" u="1"/>
        <n v="7.32" u="1"/>
        <n v="8.0500000000000007" u="1"/>
        <n v="6.61" u="1"/>
        <n v="7.68" u="1"/>
        <n v="7.13" u="1"/>
        <n v="7.28" u="1"/>
        <n v="7.33" u="1"/>
        <n v="7.06" u="1"/>
        <n v="7.12" u="1"/>
        <n v="7.07" u="1"/>
        <n v="3.05" u="1"/>
        <n v="3.3" u="1"/>
        <n v="2.93" u="1"/>
        <n v="7.31" u="1"/>
        <n v="8.25" u="1"/>
        <n v="2.68" u="1"/>
        <n v="7.23" u="1"/>
        <n v="7.5" u="1"/>
        <n v="8.31" u="1"/>
        <n v="6.69" u="1"/>
        <n v="6.19" u="1"/>
        <n v="6.54" u="1"/>
        <n v="6.71" u="1"/>
        <n v="3.73" u="1"/>
        <n v="6.95" u="1"/>
        <n v="8.27" u="1"/>
        <n v="7.38" u="1"/>
        <n v="7.41" u="1"/>
        <n v="4.28" u="1"/>
        <n v="8.33" u="1"/>
        <n v="7.53" u="1"/>
        <n v="3.83" u="1"/>
        <n v="8.1" u="1"/>
        <n v="6.67" u="1"/>
        <n v="6.41" u="1"/>
        <n v="6.13" u="1"/>
        <n v="5.18" u="1"/>
        <n v="7.57" u="1"/>
        <n v="6.33" u="1"/>
        <n v="5.45" u="1"/>
        <n v="3.2" u="1"/>
        <n v="7.82" u="1"/>
        <n v="7.49" u="1"/>
        <n v="2.4" u="1"/>
        <n v="6.81" u="1"/>
        <n v="7.72" u="1"/>
        <n v="8.02" u="1"/>
        <n v="6.92" u="1"/>
        <n v="7.37" u="1"/>
        <n v="7.2" u="1"/>
        <n v="7.92" u="1"/>
        <n v="7.47" u="1"/>
        <n v="7.44" u="1"/>
        <n v="7.97" u="1"/>
        <n v="6.59" u="1"/>
        <n v="6.91" u="1"/>
        <n v="7.63" u="1"/>
        <n v="8.3699999999999992" u="1"/>
        <n v="8.07" u="1"/>
        <n v="8.16" u="1"/>
        <n v="6.96" u="1"/>
        <n v="6.86" u="1"/>
        <n v="6.36" u="1"/>
        <n v="8.2799999999999994" u="1"/>
        <n v="5.51" u="1"/>
        <n v="8.26" u="1"/>
        <n v="410.61" u="1"/>
        <n v="10.49" u="1"/>
        <n v="5.7" u="1"/>
        <n v="6.28" u="1"/>
        <n v="8.64" u="1"/>
        <n v="107.63" u="1"/>
        <n v="411.14" u="1"/>
        <n v="7.05" u="1"/>
        <n v="10.18" u="1"/>
        <n v="407.05" u="1"/>
        <n v="5.2" u="1"/>
        <n v="8.8000000000000007" u="1"/>
        <n v="406.4" u="1"/>
        <n v="6.55" u="1"/>
        <n v="407.55" u="1"/>
        <n v="8.49" u="1"/>
        <n v="407.52" u="1"/>
        <n v="5.28" u="1"/>
        <n v="5010.13" u="1"/>
        <n v="7.9" u="1"/>
        <n v="407.49" u="1"/>
        <n v="10.029999999999999" u="1"/>
        <n v="11.19" u="1"/>
        <n v="6.05" u="1"/>
        <n v="8.18" u="1"/>
        <n v="6.63" u="1"/>
        <n v="408.05" u="1"/>
        <n v="9.34" u="1"/>
        <n v="407.46" u="1"/>
        <n v="406.87" u="1"/>
        <n v="5006.7299999999996" u="1"/>
        <n v="408.02" u="1"/>
        <n v="407.43" u="1"/>
        <n v="6.82" u="1"/>
        <n v="7.4" u="1"/>
        <n v="407.99" u="1"/>
        <n v="5.55" u="1"/>
        <n v="408.55" u="1"/>
        <n v="407.96" u="1"/>
        <n v="408.52" u="1"/>
        <n v="407.34" u="1"/>
        <n v="6.32" u="1"/>
        <n v="6.9" u="1"/>
        <n v="9.8800000000000008" u="1"/>
        <n v="407.9" u="1"/>
        <n v="12.11" u="1"/>
        <n v="9.19" u="1"/>
        <n v="7.09" u="1"/>
        <n v="407.87" u="1"/>
        <n v="5.63" u="1"/>
        <n v="7.67" u="1"/>
        <n v="9.57" u="1"/>
        <n v="5.82" u="1"/>
        <n v="6.4" u="1"/>
        <n v="408.4" u="1"/>
        <n v="408.99" u="1"/>
        <n v="18.079999999999998" u="1"/>
        <n v="20.399999999999999" u="1"/>
        <n v="8.19" u="1"/>
        <n v="5.13" u="1"/>
        <n v="7.17" u="1"/>
        <n v="10.42" u="1"/>
        <n v="409.52" u="1"/>
        <n v="5.32" u="1"/>
        <n v="7.36" u="1"/>
        <n v="5.9" u="1"/>
        <n v="410.05" u="1"/>
        <n v="10.11" u="1"/>
        <n v="409.46" u="1"/>
        <n v="9.42" u="1"/>
        <n v="408.84" u="1"/>
        <n v="106.9" u="1"/>
        <n v="409.37" u="1"/>
        <n v="9.11" u="1"/>
        <n v="10.27" u="1"/>
        <n v="5.59" u="1"/>
        <n v="107.18" u="1"/>
        <n v="6.17" u="1"/>
        <n v="409.93" u="1"/>
        <n v="8.42" u="1"/>
        <n v="410.49" u="1"/>
        <n v="6.94" u="1"/>
        <n v="9.9600000000000009" u="1"/>
        <n v="409.87" u="1"/>
        <n v="5.09" u="1"/>
        <n v="409.84" u="1"/>
        <n v="5.67" u="1"/>
        <n v="7.71" u="1"/>
        <n v="11.5" u="1"/>
        <n v="5111.68" u="1"/>
        <n v="410.4" u="1"/>
        <n v="3007.49" u="1"/>
        <n v="10.81" u="1"/>
        <n v="6.44" u="1"/>
        <n v="411.55" u="1"/>
        <n v="8.9600000000000009" u="1"/>
        <n v="10.119999999999999" u="1"/>
        <n v="5.17" u="1"/>
        <n v="7.21" u="1"/>
        <n v="406.28" u="1"/>
        <n v="10.5" u="1"/>
        <n v="8.65" u="1"/>
        <n v="9.81" u="1"/>
        <n v="5.94" u="1"/>
        <n v="9.1199999999999992" u="1"/>
        <n v="11.35" u="1"/>
        <n v="17.18" u="1"/>
        <n v="411.4" u="1"/>
        <n v="406.75" u="1"/>
        <n v="5.44" u="1"/>
        <n v="7.48" u="1"/>
        <n v="11.04" u="1"/>
        <n v="406.13" u="1"/>
        <n v="406.72" u="1"/>
        <n v="411.34" u="1"/>
        <n v="10.35" u="1"/>
        <n v="6.21" u="1"/>
        <n v="6.98" u="1"/>
        <n v="10.039999999999999" u="1"/>
        <n v="7.56" u="1"/>
        <n v="9.35" u="1"/>
        <n v="406.6" u="1"/>
        <n v="412.4" u="1"/>
        <n v="5.71" u="1"/>
        <n v="107.79" u="1"/>
        <n v="407.16" u="1"/>
        <n v="4.4400000000000004" u="1"/>
        <n v="407.72" u="1"/>
        <n v="6.48" u="1"/>
        <n v="9.0399999999999991" u="1"/>
        <n v="10.199999999999999" u="1"/>
        <n v="9.51" u="1"/>
        <n v="5.21" u="1"/>
        <n v="7.25" u="1"/>
        <n v="5011.1499999999996" u="1"/>
        <n v="9.89" u="1"/>
        <n v="408.81" u="1"/>
        <n v="11.05" u="1"/>
        <n v="5.98" u="1"/>
        <n v="8.0399999999999991" u="1"/>
        <n v="6.56" u="1"/>
        <n v="9.1999999999999993" u="1"/>
        <n v="5009.45" u="1"/>
        <n v="408.19" u="1"/>
        <n v="11.43" u="1"/>
        <n v="6.75" u="1"/>
        <n v="9.58" u="1"/>
        <n v="408.13" u="1"/>
        <n v="5.48" u="1"/>
        <n v="7.52" u="1"/>
        <n v="6.06" u="1"/>
        <n v="409.28" u="1"/>
        <n v="408.1" u="1"/>
        <n v="413.9" u="1"/>
        <n v="6.25" u="1"/>
        <n v="6.83" u="1"/>
        <n v="9.74" u="1"/>
        <n v="409.81" u="1"/>
        <n v="408.63" u="1"/>
        <n v="7.02" u="1"/>
        <n v="5.56" u="1"/>
        <n v="7.6" u="1"/>
        <n v="408.6" u="1"/>
        <n v="11.28" u="1"/>
        <n v="5.75" u="1"/>
        <n v="7.79" u="1"/>
        <n v="106.98" u="1"/>
        <n v="12.82" u="1"/>
        <n v="409.13" u="1"/>
        <n v="2.2000000000000002" u="1"/>
        <n v="12.13" u="1"/>
        <n v="4.4800000000000004" u="1"/>
        <n v="6.52" u="1"/>
        <n v="7.1" u="1"/>
        <n v="10.28" u="1"/>
        <n v="8.43" u="1"/>
        <n v="410.25" u="1"/>
        <n v="9.59" u="1"/>
        <n v="5.25" u="1"/>
        <n v="7.29" u="1"/>
        <n v="5.83" u="1"/>
        <n v="7.87" u="1"/>
        <n v="11.13" u="1"/>
        <n v="6.02" u="1"/>
        <n v="409.6" u="1"/>
        <n v="4.5599999999999996" u="1"/>
        <n v="6.6" u="1"/>
        <n v="9.2799999999999994" u="1"/>
        <n v="10.44" u="1"/>
        <n v="410.75" u="1"/>
        <n v="410.16" u="1"/>
        <n v="8.59" u="1"/>
        <n v="6.79" u="1"/>
        <n v="411.31" u="1"/>
        <n v="19.82" u="1"/>
        <n v="410.72" u="1"/>
        <n v="410.69" u="1"/>
        <n v="410.1" u="1"/>
        <n v="5.52" u="1"/>
        <n v="6.1" u="1"/>
        <n v="9.44" u="1"/>
        <n v="5012.38" u="1"/>
        <n v="11.67" u="1"/>
        <n v="6.29" u="1"/>
        <n v="4.83" u="1"/>
        <n v="6.87" u="1"/>
        <n v="5010.68" u="1"/>
        <n v="9.82" u="1"/>
        <n v="1008.45" u="1"/>
        <n v="405.98" u="1"/>
        <n v="5.0199999999999996" u="1"/>
        <n v="5.6" u="1"/>
        <n v="11.36" u="1"/>
        <n v="410.57" u="1"/>
        <n v="10.67" u="1"/>
        <n v="5.79" u="1"/>
        <n v="6.37" u="1"/>
        <n v="8.82" u="1"/>
        <n v="406.48" u="1"/>
        <n v="9.98" u="1"/>
        <n v="411.1" u="1"/>
        <n v="107.76" u="1"/>
        <n v="3.53" u="1"/>
        <n v="7.14" u="1"/>
        <n v="10.36" u="1"/>
        <n v="11.52" u="1"/>
        <n v="3006.91" u="1"/>
        <n v="9.67" u="1"/>
        <n v="7.91" u="1"/>
        <n v="407.54" u="1"/>
        <n v="16.899999999999999" u="1"/>
        <n v="6.64" u="1"/>
        <n v="7.22" u="1"/>
        <n v="8.67" u="1"/>
        <n v="5.37" u="1"/>
        <n v="10.9" u="1"/>
        <n v="7.99" u="1"/>
        <n v="408.04" u="1"/>
        <n v="406.86" u="1"/>
        <n v="10.210000000000001" u="1"/>
        <n v="11.37" u="1"/>
        <n v="6.14" u="1"/>
        <n v="408.01" u="1"/>
        <n v="6.72" u="1"/>
        <n v="406.83" u="1"/>
        <n v="9.52" u="1"/>
        <n v="21.68" u="1"/>
        <n v="407.39" u="1"/>
        <n v="408.54" u="1"/>
        <n v="10.37" u="1"/>
        <n v="5.64" u="1"/>
        <n v="407.33" u="1"/>
        <n v="6.22" u="1"/>
        <n v="407.89" u="1"/>
        <n v="10.75" u="1"/>
        <n v="6.99" u="1"/>
        <n v="407.86" u="1"/>
        <n v="10.06" u="1"/>
        <n v="8.2100000000000009" u="1"/>
        <n v="9.3699999999999992" u="1"/>
        <n v="13.45" u="1"/>
        <n v="5008.78" u="1"/>
        <n v="5.14" u="1"/>
        <n v="7.18" u="1"/>
        <n v="5.72" u="1"/>
        <n v="7.76" u="1"/>
        <n v="10.91" u="1"/>
        <n v="409.54" u="1"/>
        <n v="5.91" u="1"/>
        <n v="408.36" u="1"/>
        <n v="6.49" u="1"/>
        <n v="9.06" u="1"/>
        <n v="6.68" u="1"/>
        <n v="7.26" u="1"/>
        <n v="14.68" u="1"/>
        <n v="8.75" u="1"/>
        <n v="9.91" u="1"/>
        <n v="409.45" u="1"/>
        <n v="5.41" u="1"/>
        <n v="5.99" u="1"/>
        <n v="410.01" u="1"/>
        <n v="4.72" u="1"/>
        <n v="6.76" u="1"/>
        <n v="409.98" u="1"/>
        <n v="9.6" u="1"/>
        <n v="5.49" u="1"/>
        <n v="9.2899999999999991" u="1"/>
        <n v="10.45" u="1"/>
        <n v="5.68" u="1"/>
        <n v="4.22" u="1"/>
        <n v="409.89" u="1"/>
        <n v="6.26" u="1"/>
        <n v="8.6" u="1"/>
        <n v="420.9" u="1"/>
        <n v="410.45" u="1"/>
        <n v="10.83" u="1"/>
        <n v="6.45" u="1"/>
        <n v="7.03" u="1"/>
        <n v="8.2899999999999991" u="1"/>
        <n v="7.8" u="1"/>
        <n v="8.76" u="1"/>
        <n v="410.95" u="1"/>
        <n v="5011.45" u="1"/>
        <n v="5.95" u="1"/>
        <n v="410.92" u="1"/>
        <n v="6.53" u="1"/>
        <n v="5.26" u="1"/>
        <n v="406.24" u="1"/>
        <n v="7.3" u="1"/>
        <n v="10.68" u="1"/>
        <n v="7.88" u="1"/>
        <n v="9.99" u="1"/>
        <n v="410.83" u="1"/>
        <n v="6.03" u="1"/>
        <n v="406.77" u="1"/>
        <n v="4.18" u="1"/>
        <n v="6.8" u="1"/>
        <n v="9.68" u="1"/>
        <n v="407.3" u="1"/>
        <n v="406.71" u="1"/>
        <n v="411.33" u="1"/>
        <n v="5.53" u="1"/>
        <n v="12.38" u="1"/>
        <n v="406.65" u="1"/>
        <n v="6.3" u="1"/>
        <n v="6.88" u="1"/>
        <n v="407.8" u="1"/>
        <n v="407.77" u="1"/>
        <n v="407.18" u="1"/>
        <n v="7.65" u="1"/>
        <n v="9.5299999999999994" u="1"/>
        <n v="9.5300000000000011" u="1"/>
        <n v="10.69" u="1"/>
        <n v="5.8" u="1"/>
        <n v="7.84" u="1"/>
        <n v="6.38" u="1"/>
        <n v="408.27" u="1"/>
        <n v="6.57" u="1"/>
        <n v="7.15" u="1"/>
        <n v="10.38" u="1"/>
        <n v="9.69" u="1"/>
        <n v="5.3" u="1"/>
        <n v="408.8" u="1"/>
        <n v="7.34" u="1"/>
        <n v="408.21" u="1"/>
        <n v="16.690000000000001" u="1"/>
        <n v="106.89" u="1"/>
        <n v="17.63" u="1"/>
        <n v="11.23" u="1"/>
        <n v="6.07" u="1"/>
        <n v="8.2200000000000006" u="1"/>
        <n v="6.65" u="1"/>
        <n v="408.15" u="1"/>
        <n v="408.74" u="1"/>
        <n v="6.84" u="1"/>
        <n v="5.38" u="1"/>
        <n v="9.07" u="1"/>
        <n v="7.61" u="1"/>
        <n v="408.62" u="1"/>
        <n v="6.34" u="1"/>
        <n v="107.14" u="1"/>
        <n v="409.18" u="1"/>
        <n v="5.07" u="1"/>
        <n v="409.74" u="1"/>
        <n v="7.11" u="1"/>
        <n v="5.65" u="1"/>
        <n v="7.69" u="1"/>
        <n v="9.61" u="1"/>
        <n v="10.77" u="1"/>
        <n v="3.9" u="1"/>
        <n v="5.84" u="1"/>
        <n v="6.42" u="1"/>
        <n v="8.92" u="1"/>
        <n v="8.23" u="1"/>
        <n v="5.15" u="1"/>
        <n v="7.19" u="1"/>
        <n v="410.21" u="1"/>
        <n v="409.62" u="1"/>
        <n v="5.34" u="1"/>
        <n v="410.77" u="1"/>
        <n v="410.15" u="1"/>
        <n v="17.79" u="1"/>
        <n v="14.7" u="1"/>
        <n v="8.77" u="1"/>
        <n v="410.09" u="1"/>
        <n v="7.46" u="1"/>
        <n v="10.31" u="1"/>
        <n v="5.61" u="1"/>
        <n v="4.1500000000000004" u="1"/>
        <n v="410.62" u="1"/>
        <n v="9.31" u="1"/>
        <n v="5.1100000000000003" u="1"/>
        <n v="5.69" u="1"/>
        <n v="5013.43" u="1"/>
        <n v="8.6199999999999992" u="1"/>
        <n v="411.09" u="1"/>
        <n v="6.46" u="1"/>
        <n v="5011.25" u="1"/>
        <n v="5.19" u="1"/>
        <n v="10.54" u="1"/>
        <n v="406.97" u="1"/>
        <n v="11.7" u="1"/>
        <n v="407.53" u="1"/>
        <n v="5.96" u="1"/>
        <n v="407.5" u="1"/>
        <n v="406.32" u="1"/>
        <n v="6.73" u="1"/>
        <n v="406.88" u="1"/>
        <n v="407.47" u="1"/>
        <n v="408.03" u="1"/>
        <n v="407.44" u="1"/>
        <n v="11.08" u="1"/>
        <n v="106.69" u="1"/>
        <n v="5021.68" u="1"/>
        <n v="408.56" u="1"/>
        <n v="407.97" u="1"/>
        <n v="407.94" u="1"/>
        <n v="407.35" u="1"/>
        <n v="7" u="1"/>
        <n v="10.08" u="1"/>
        <n v="408.5" u="1"/>
        <n v="7.58" u="1"/>
        <n v="407.91" u="1"/>
        <n v="407.88" u="1"/>
        <n v="408.47" u="1"/>
        <n v="5.73" u="1"/>
        <n v="6.31" u="1"/>
        <n v="408.44" u="1"/>
        <n v="407.85" u="1"/>
        <n v="10.93" u="1"/>
        <n v="409" u="1"/>
        <n v="6.5" u="1"/>
        <n v="408.41" u="1"/>
        <n v="7.08" u="1"/>
        <n v="7.27" u="1"/>
        <n v="5.81" u="1"/>
        <n v="7.85" u="1"/>
        <n v="9.93" u="1"/>
        <n v="409.5" u="1"/>
        <n v="408.32" u="1"/>
        <n v="1007.37" u="1"/>
        <n v="8.08" u="1"/>
        <n v="6.58" u="1"/>
        <n v="9.24" u="1"/>
        <n v="410.06" u="1"/>
        <n v="408.88" u="1"/>
        <n v="6.77" u="1"/>
        <n v="5.31" u="1"/>
        <n v="409.44" u="1"/>
        <n v="5008.13" u="1"/>
        <n v="10.09" u="1"/>
        <n v="7.54" u="1"/>
        <n v="409.97" u="1"/>
        <n v="6.27" u="1"/>
        <n v="4.8099999999999996" u="1"/>
        <n v="6.85" u="1"/>
        <n v="9.7799999999999994" u="1"/>
        <n v="410.5" u="1"/>
        <n v="7.04" u="1"/>
        <n v="5.58" u="1"/>
        <n v="7.62" u="1"/>
        <n v="409.88" u="1"/>
        <n v="411.03" u="1"/>
        <n v="4.3099999999999996" u="1"/>
        <n v="6.35" u="1"/>
        <n v="8.09" u="1"/>
        <n v="10.32" u="1"/>
        <n v="410.35" u="1"/>
        <n v="5.27" u="1"/>
        <n v="411.5" u="1"/>
        <n v="8.94" u="1"/>
        <n v="410.91" u="1"/>
        <n v="6.04" u="1"/>
        <n v="6.62" u="1"/>
        <n v="5014.68" u="1"/>
        <n v="13.4" u="1"/>
        <n v="406.79" u="1"/>
        <n v="406.2" u="1"/>
        <n v="5.35" u="1"/>
        <n v="7.39" u="1"/>
        <n v="411.41" u="1"/>
        <n v="16.89" u="1"/>
        <n v="406.17" u="1"/>
        <n v="412.56" u="1"/>
        <n v="10.17" u="1"/>
        <n v="5.54" u="1"/>
        <n v="4.08" u="1"/>
        <n v="12.4" u="1"/>
        <n v="6.89" u="1"/>
        <n v="5.04" u="1"/>
        <n v="407.23" u="1"/>
        <n v="5.62" u="1"/>
        <n v="7.66" u="1"/>
        <n v="407.79" u="1"/>
        <n v="10.71" u="1"/>
        <n v="6.39" u="1"/>
        <n v="407.76" u="1"/>
        <n v="6.97" u="1"/>
        <n v="3008.8" u="1"/>
        <n v="10.02" u="1"/>
        <n v="8.17" u="1"/>
        <n v="407.14" u="1"/>
        <n v="5.12" u="1"/>
        <n v="7.16" u="1"/>
        <n v="7.74" u="1"/>
        <n v="407.7" u="1"/>
        <n v="10.87" u="1"/>
        <n v="408.26" u="1"/>
        <n v="5.89" u="1"/>
        <n v="7.93" u="1"/>
        <n v="6.47" u="1"/>
        <n v="9.02" u="1"/>
        <n v="408.23" u="1"/>
        <n v="16.98" u="1"/>
        <n v="6.66" u="1"/>
        <n v="7.24" u="1"/>
        <n v="408.79" u="1"/>
        <n v="408.2" u="1"/>
        <n v="408.76" u="1"/>
        <n v="407.58" u="1"/>
        <n v="408.17" u="1"/>
        <n v="5.39" u="1"/>
        <n v="7.43" u="1"/>
        <n v="5.97" u="1"/>
        <n v="10.25" u="1"/>
        <n v="6.74" u="1"/>
        <n v="9.5599999999999987" u="1"/>
        <n v="9.56" u="1"/>
        <n v="408.08" u="1"/>
        <n v="6.93" u="1"/>
        <n v="5.47" u="1"/>
        <n v="7.51" u="1"/>
        <n v="1006.83" u="1"/>
        <n v="9.25" u="1"/>
        <n v="7.7" u="1"/>
        <n v="6.24" u="1"/>
        <n v="409.76" u="1"/>
        <n v="10.79" u="1"/>
        <n v="6.43" u="1"/>
        <n v="7.01" u="1"/>
        <n v="5008.8999999999996" u="1"/>
        <n v="410.29" u="1"/>
        <n v="9.41" u="1"/>
        <n v="409.11" u="1"/>
        <n v="5.16" u="1"/>
        <n v="5.74" u="1"/>
        <n v="3006.98" u="1"/>
        <n v="7.78" u="1"/>
        <n v="410.26" u="1"/>
        <n v="409.67" u="1"/>
        <n v="17.759999999999998" u="1"/>
        <n v="10.95" u="1"/>
        <n v="5.93" u="1"/>
        <n v="6.51" u="1"/>
        <n v="410.79" u="1"/>
        <n v="11.33" u="1"/>
        <n v="6.7" u="1"/>
        <n v="17.14" u="1"/>
        <n v="8.7899999999999991" u="1"/>
        <n v="9.9499999999999993" u="1"/>
        <n v="5.43" u="1"/>
        <n v="6.01" u="1"/>
        <n v="9.26" u="1"/>
        <n v="5007.93" u="1"/>
        <n v="11.49" u="1"/>
        <n v="406.05" u="1"/>
        <n v="6.2" u="1"/>
        <n v="411.26" u="1"/>
        <n v="6.78" u="1"/>
        <n v="8.9499999999999993" u="1"/>
      </sharedItems>
    </cacheField>
    <cacheField name="Structure Priority Score (condition triggered)" numFmtId="0">
      <sharedItems containsNonDate="0" containsString="0" containsBlank="1" containsNumber="1" minValue="2.4" maxValue="30048.78" count="1039">
        <m/>
        <n v="8.4499999999999993" u="1"/>
        <n v="416.89" u="1"/>
        <n v="108.08" u="1"/>
        <n v="816.28" u="1"/>
        <n v="416.91" u="1"/>
        <n v="8.6999999999999993" u="1"/>
        <n v="10.15" u="1"/>
        <n v="408.66" u="1"/>
        <n v="104.7" u="1"/>
        <n v="408.25" u="1"/>
        <n v="8.83" u="1"/>
        <n v="416.54" u="1"/>
        <n v="815.65" u="1"/>
        <n v="836.17" u="1"/>
        <n v="5008.83" u="1"/>
        <n v="10.47" u="1"/>
        <n v="5009.7" u="1"/>
        <n v="5008.2" u="1"/>
        <n v="5019.3999999999996" u="1"/>
        <n v="825.4" u="1"/>
        <n v="8.7799999999999994" u="1"/>
        <n v="407.78" u="1"/>
        <n v="8.41" u="1"/>
        <n v="103.45" u="1"/>
        <n v="5008.7" u="1"/>
        <n v="426.09" u="1"/>
        <n v="5008.45" u="1"/>
        <n v="5429.28" u="1"/>
        <n v="17.399999999999999" u="1"/>
        <n v="8.4700000000000006" u="1"/>
        <n v="9.32" u="1"/>
        <n v="5424.73" u="1"/>
        <n v="1223.3599999999999" u="1"/>
        <n v="8.5" u="1"/>
        <n v="408.35" u="1"/>
        <n v="816.53" u="1"/>
        <n v="9.8699999999999992" u="1"/>
        <n v="44.49" u="1"/>
        <n v="407.73" u="1"/>
        <n v="415.99" u="1"/>
        <n v="407.59" u="1"/>
        <n v="8.52" u="1"/>
        <n v="407.48" u="1"/>
        <n v="5017.3999999999996" u="1"/>
        <n v="9.66" u="1"/>
        <n v="10016.9" u="1"/>
        <n v="6231.87" u="1"/>
        <n v="408.24" u="1"/>
        <n v="5021.3999999999996" u="1"/>
        <n v="5416.26" u="1"/>
        <n v="10025.35" u="1"/>
        <n v="9.65" u="1"/>
        <n v="434.74" u="1"/>
        <n v="8.5299999999999994" u="1"/>
        <n v="825.66" u="1"/>
        <n v="408.34" u="1"/>
        <n v="408.42" u="1"/>
        <n v="407.57" u="1"/>
        <n v="416.79" u="1"/>
        <n v="410.44" u="1"/>
        <n v="822.59" u="1"/>
        <n v="9.4499999999999993" u="1"/>
        <n v="8.3800000000000008" u="1"/>
        <n v="819.6" u="1"/>
        <n v="415.7" u="1"/>
        <n v="10.63" u="1"/>
        <n v="5010.45" u="1"/>
        <n v="8.58" u="1"/>
        <n v="9.5" u="1"/>
        <n v="5027.54" u="1"/>
        <n v="5025.1400000000003" u="1"/>
        <n v="9.6199999999999992" u="1"/>
        <n v="6254.2" u="1"/>
        <n v="5008.38" u="1"/>
        <n v="407.67" u="1"/>
        <n v="5007.68" u="1"/>
        <n v="410.89" u="1"/>
        <n v="407.31" u="1"/>
        <n v="407.38" u="1"/>
        <n v="406.78" u="1"/>
        <n v="406.8" u="1"/>
        <n v="407.45" u="1"/>
        <n v="407.36" u="1"/>
        <n v="9.18" u="1"/>
        <n v="8.8800000000000008" u="1"/>
        <n v="5016.76" u="1"/>
        <n v="407.42" u="1"/>
        <n v="406.7" u="1"/>
        <n v="5007.75" u="1"/>
        <n v="407.92" u="1"/>
        <n v="407.66" u="1"/>
        <n v="8.73" u="1"/>
        <n v="406.69" u="1"/>
        <n v="829.89" u="1"/>
        <n v="407.62" u="1"/>
        <n v="823.31" u="1"/>
        <n v="8.74" u="1"/>
        <n v="420.33" u="1"/>
        <n v="9.83" u="1"/>
        <n v="5018.76" u="1"/>
        <n v="5008.68" u="1"/>
        <n v="408.11" u="1"/>
        <n v="8.48" u="1"/>
        <n v="407.56" u="1"/>
        <n v="9.15" u="1"/>
        <n v="5009.1499999999996" u="1"/>
        <n v="5434.26" u="1"/>
        <n v="5018.3599999999997" u="1"/>
        <n v="10024.26" u="1"/>
        <n v="5429.39" u="1"/>
        <n v="10.130000000000001" u="1"/>
        <n v="418.9" u="1"/>
        <n v="418.41" u="1"/>
        <n v="408.14" u="1"/>
        <n v="815.89" u="1"/>
        <n v="9.8000000000000007" u="1"/>
        <n v="410.98" u="1"/>
        <n v="409.27" u="1"/>
        <n v="20.260000000000002" u="1"/>
        <n v="409.17" u="1"/>
        <n v="8.4" u="1"/>
        <n v="10.29" u="1"/>
        <n v="416.14" u="1"/>
        <n v="5017.66" u="1"/>
        <n v="406.85" u="1"/>
        <n v="5008.05" u="1"/>
        <n v="5413.57" u="1"/>
        <n v="5009.08" u="1"/>
        <n v="11.15" u="1"/>
        <n v="21.6" u="1"/>
        <n v="5008.43" u="1"/>
        <n v="5027.25" u="1"/>
        <n v="408.16" u="1"/>
        <n v="5008.3" u="1"/>
        <n v="409.59" u="1"/>
        <n v="5007.2" u="1"/>
        <n v="406.76" u="1"/>
        <n v="409.86" u="1"/>
        <n v="410.37" u="1"/>
        <n v="18.82" u="1"/>
        <n v="10.41" u="1"/>
        <n v="18.95" u="1"/>
        <n v="10.07" u="1"/>
        <n v="8.5500000000000007" u="1"/>
        <n v="8.6300000000000008" u="1"/>
        <n v="8.51" u="1"/>
        <n v="9.4600000000000009" u="1"/>
        <n v="9.6300000000000008" u="1"/>
        <n v="9.4700000000000006" u="1"/>
        <n v="424.97" u="1"/>
        <n v="8.3000000000000007" u="1"/>
        <n v="427.34" u="1"/>
        <n v="10.9" u="1"/>
        <n v="7.59" u="1"/>
        <n v="7.89" u="1"/>
        <n v="8.36" u="1"/>
        <n v="5016.16" u="1"/>
        <n v="16.27" u="1"/>
        <n v="4.7" u="1"/>
        <n v="3.7" u="1"/>
        <n v="7.42" u="1"/>
        <n v="5016.2" u="1"/>
        <n v="21.1" u="1"/>
        <n v="3.45" u="1"/>
        <n v="7.81" u="1"/>
        <n v="7.98" u="1"/>
        <n v="7.77" u="1"/>
        <n v="7.83" u="1"/>
        <n v="10027.9" u="1"/>
        <n v="5011.8999999999996" u="1"/>
        <n v="6.15" u="1"/>
        <n v="11.77" u="1"/>
        <n v="7.64" u="1"/>
        <n v="411.87" u="1"/>
        <n v="419.07" u="1"/>
        <n v="13.9" u="1"/>
        <n v="8.11" u="1"/>
        <n v="11.76" u="1"/>
        <n v="423.02" u="1"/>
        <n v="8.0500000000000007" u="1"/>
        <n v="14.29" u="1"/>
        <n v="7.13" u="1"/>
        <n v="7.28" u="1"/>
        <n v="7.33" u="1"/>
        <n v="7.06" u="1"/>
        <n v="7.12" u="1"/>
        <n v="7.07" u="1"/>
        <n v="3.05" u="1"/>
        <n v="3.38" u="1"/>
        <n v="3.3" u="1"/>
        <n v="7.45" u="1"/>
        <n v="7.68" u="1"/>
        <n v="2.93" u="1"/>
        <n v="414.62" u="1"/>
        <n v="415.63" u="1"/>
        <n v="17.809999999999999" u="1"/>
        <n v="25.72" u="1"/>
        <n v="422.16" u="1"/>
        <n v="430.04" u="1"/>
        <n v="2.68" u="1"/>
        <n v="7.5" u="1"/>
        <n v="415.67" u="1"/>
        <n v="9.3699999999999992" u="1"/>
        <n v="6.19" u="1"/>
        <n v="7.55" u="1"/>
        <n v="6.54" u="1"/>
        <n v="10.36" u="1"/>
        <n v="5027.97" u="1"/>
        <n v="414.45" u="1"/>
        <n v="18.04" u="1"/>
        <n v="6.71" u="1"/>
        <n v="5015.3599999999997" u="1"/>
        <n v="7.31" u="1"/>
        <n v="414.97" u="1"/>
        <n v="3.73" u="1"/>
        <n v="6.95" u="1"/>
        <n v="414.37" u="1"/>
        <n v="7.96" u="1"/>
        <n v="411.07" u="1"/>
        <n v="831.58" u="1"/>
        <n v="7.38" u="1"/>
        <n v="7.41" u="1"/>
        <n v="10.77" u="1"/>
        <n v="4.28" u="1"/>
        <n v="5027.09" u="1"/>
        <n v="5016.21" u="1"/>
        <n v="12.66" u="1"/>
        <n v="8.1" u="1"/>
        <n v="6.67" u="1"/>
        <n v="12.95" u="1"/>
        <n v="6.13" u="1"/>
        <n v="424.08" u="1"/>
        <n v="11.02" u="1"/>
        <n v="6.33" u="1"/>
        <n v="5.45" u="1"/>
        <n v="819.34" u="1"/>
        <n v="3.2" u="1"/>
        <n v="8.06" u="1"/>
        <n v="5010.3599999999997" u="1"/>
        <n v="7.49" u="1"/>
        <n v="2.4" u="1"/>
        <n v="6.81" u="1"/>
        <n v="11.55" u="1"/>
        <n v="8.02" u="1"/>
        <n v="13.73" u="1"/>
        <n v="7.37" u="1"/>
        <n v="7.2" u="1"/>
        <n v="7.92" u="1"/>
        <n v="7.47" u="1"/>
        <n v="15.41" u="1"/>
        <n v="414.53" u="1"/>
        <n v="14.27" u="1"/>
        <n v="5014.96" u="1"/>
        <n v="5420.77" u="1"/>
        <n v="7.63" u="1"/>
        <n v="7.32" u="1"/>
        <n v="5035.5" u="1"/>
        <n v="16.440000000000001" u="1"/>
        <n v="8.16" u="1"/>
        <n v="5021.6000000000004" u="1"/>
        <n v="6.96" u="1"/>
        <n v="6.86" u="1"/>
        <n v="13.56" u="1"/>
        <n v="11.73" u="1"/>
        <n v="8.32" u="1"/>
        <n v="8.3699999999999992" u="1"/>
        <n v="8.2799999999999994" u="1"/>
        <n v="20.54" u="1"/>
        <n v="8.26" u="1"/>
        <n v="25.69" u="1"/>
        <n v="25" u="1"/>
        <n v="422.8" u="1"/>
        <n v="411.76" u="1"/>
        <n v="5416.24" u="1"/>
        <n v="5.7" u="1"/>
        <n v="23.62" u="1"/>
        <n v="20.61" u="1"/>
        <n v="12.72" u="1"/>
        <n v="19.920000000000002" u="1"/>
        <n v="19.23" u="1"/>
        <n v="45.12" u="1"/>
        <n v="422.74" u="1"/>
        <n v="428.54" u="1"/>
        <n v="8.33" u="1"/>
        <n v="5.2" u="1"/>
        <n v="7.82" u="1"/>
        <n v="8.8000000000000007" u="1"/>
        <n v="816.71" u="1"/>
        <n v="26.08" u="1"/>
        <n v="17.23" u="1"/>
        <n v="406.4" u="1"/>
        <n v="6.55" u="1"/>
        <n v="407.55" u="1"/>
        <n v="838.67" u="1"/>
        <n v="5027.1000000000004" u="1"/>
        <n v="5416.49" u="1"/>
        <n v="8.49" u="1"/>
        <n v="450.47" u="1"/>
        <n v="417.97" u="1"/>
        <n v="407.52" u="1"/>
        <n v="5010.13" u="1"/>
        <n v="5482.88" u="1"/>
        <n v="24.08" u="1"/>
        <n v="14.11" u="1"/>
        <n v="6.05" u="1"/>
        <n v="8.18" u="1"/>
        <n v="6.63" u="1"/>
        <n v="19.690000000000001" u="1"/>
        <n v="408.05" u="1"/>
        <n v="9.34" u="1"/>
        <n v="407.46" u="1"/>
        <n v="406.87" u="1"/>
        <n v="35.81" u="1"/>
        <n v="408.02" u="1"/>
        <n v="12.73" u="1"/>
        <n v="407.43" u="1"/>
        <n v="9.7200000000000006" u="1"/>
        <n v="10.88" u="1"/>
        <n v="5429.1" u="1"/>
        <n v="407.99" u="1"/>
        <n v="429.45" u="1"/>
        <n v="408.55" u="1"/>
        <n v="407.96" u="1"/>
        <n v="20.010000000000002" u="1"/>
        <n v="28.17" u="1"/>
        <n v="5014.7299999999996" u="1"/>
        <n v="408.52" u="1"/>
        <n v="24.47" u="1"/>
        <n v="407.34" u="1"/>
        <n v="15.81" u="1"/>
        <n v="6.9" u="1"/>
        <n v="407.9" u="1"/>
        <n v="15.12" u="1"/>
        <n v="22.4" u="1"/>
        <n v="12.11" u="1"/>
        <n v="9.19" u="1"/>
        <n v="5028.3" u="1"/>
        <n v="29.87" u="1"/>
        <n v="5.63" u="1"/>
        <n v="6244.46" u="1"/>
        <n v="60.38" u="1"/>
        <n v="5022.7299999999996" u="1"/>
        <n v="813.14" u="1"/>
        <n v="16.63" u="1"/>
        <n v="21.78" u="1"/>
        <n v="5429.35" u="1"/>
        <n v="816.62" u="1"/>
        <n v="21.09" u="1"/>
        <n v="418.82" u="1"/>
        <n v="17.39" u="1"/>
        <n v="816.56" u="1"/>
        <n v="5432" u="1"/>
        <n v="408.37" u="1"/>
        <n v="6.59" u="1"/>
        <n v="5.13" u="1"/>
        <n v="5025.6400000000003" u="1"/>
        <n v="419.97" u="1"/>
        <n v="14.5" u="1"/>
        <n v="859.42" u="1"/>
        <n v="420.53" u="1"/>
        <n v="10022.299999999999" u="1"/>
        <n v="22.79" u="1"/>
        <n v="61.16" u="1"/>
        <n v="10.11" u="1"/>
        <n v="409.46" u="1"/>
        <n v="11.27" u="1"/>
        <n v="820.41" u="1"/>
        <n v="22.86" u="1"/>
        <n v="5029.29" u="1"/>
        <n v="420.44" u="1"/>
        <n v="17.78" u="1"/>
        <n v="853.97" u="1"/>
        <n v="7.44" u="1"/>
        <n v="10.96" u="1"/>
        <n v="16.399999999999999" u="1"/>
        <n v="9023.27" u="1"/>
        <n v="409.37" u="1"/>
        <n v="431.42" u="1"/>
        <n v="5.59" u="1"/>
        <n v="14.35" u="1"/>
        <n v="15.51" u="1"/>
        <n v="409.93" u="1"/>
        <n v="323.47000000000003" u="1"/>
        <n v="840.52" u="1"/>
        <n v="19.48" u="1"/>
        <n v="420.35" u="1"/>
        <n v="15033.8" u="1"/>
        <n v="409.9" u="1"/>
        <n v="6.94" u="1"/>
        <n v="819.56" u="1"/>
        <n v="5009.18" u="1"/>
        <n v="5416.28" u="1"/>
        <n v="31.41" u="1"/>
        <n v="30048.78" u="1"/>
        <n v="21.87" u="1"/>
        <n v="426.68" u="1"/>
        <n v="7.71" u="1"/>
        <n v="5111.68" u="1"/>
        <n v="410.4" u="1"/>
        <n v="14.89" u="1"/>
        <n v="426.62" u="1"/>
        <n v="13.04" u="1"/>
        <n v="5038.0200000000004" u="1"/>
        <n v="10.119999999999999" u="1"/>
        <n v="14.2" u="1"/>
        <n v="20.56" u="1"/>
        <n v="17.55" u="1"/>
        <n v="8.27" u="1"/>
        <n v="13.51" u="1"/>
        <n v="416.73" u="1"/>
        <n v="5422.58" u="1"/>
        <n v="10.5" u="1"/>
        <n v="841.34" u="1"/>
        <n v="5027.62" u="1"/>
        <n v="819.26" u="1"/>
        <n v="211.59" u="1"/>
        <n v="438.75" u="1"/>
        <n v="13.89" u="1"/>
        <n v="854.06" u="1"/>
        <n v="15.05" u="1"/>
        <n v="9.1199999999999992" u="1"/>
        <n v="12.51" u="1"/>
        <n v="438.1" u="1"/>
        <n v="816.23" u="1"/>
        <n v="406.75" u="1"/>
        <n v="20.95" u="1"/>
        <n v="12.89" u="1"/>
        <n v="10044.6" u="1"/>
        <n v="17.940000000000001" u="1"/>
        <n v="23.27" u="1"/>
        <n v="5.44" u="1"/>
        <n v="7.48" u="1"/>
        <n v="28.42" u="1"/>
        <n v="30.74" u="1"/>
        <n v="406.72" u="1"/>
        <n v="814.93" u="1"/>
        <n v="5036.57" u="1"/>
        <n v="5020.82" u="1"/>
        <n v="6.21" u="1"/>
        <n v="5011.38" u="1"/>
        <n v="5022.78" u="1"/>
        <n v="21.27" u="1"/>
        <n v="6.98" u="1"/>
        <n v="423.47" u="1"/>
        <n v="7.56" u="1"/>
        <n v="17.57" u="1"/>
        <n v="25.04" u="1"/>
        <n v="406.6" u="1"/>
        <n v="5.71" u="1"/>
        <n v="107.79" u="1"/>
        <n v="407.16" u="1"/>
        <n v="5018.8999999999996" u="1"/>
        <n v="14.97" u="1"/>
        <n v="4.4400000000000004" u="1"/>
        <n v="5034.17" u="1"/>
        <n v="6.48" u="1"/>
        <n v="9.0399999999999991" u="1"/>
        <n v="23.73" u="1"/>
        <n v="15.44" u="1"/>
        <n v="31.89" u="1"/>
        <n v="407.69" u="1"/>
        <n v="5.21" u="1"/>
        <n v="18.649999999999999" u="1"/>
        <n v="414.05" u="1"/>
        <n v="15.82" u="1"/>
        <n v="5011.1499999999996" u="1"/>
        <n v="26.12" u="1"/>
        <n v="9.89" u="1"/>
        <n v="408.81" u="1"/>
        <n v="13.97" u="1"/>
        <n v="5030.7700000000004" u="1"/>
        <n v="407.63" u="1"/>
        <n v="414.02" u="1"/>
        <n v="15.13" u="1"/>
        <n v="9.1999999999999993" u="1"/>
        <n v="13.28" u="1"/>
        <n v="408.78" u="1"/>
        <n v="5009.45" u="1"/>
        <n v="18.72" u="1"/>
        <n v="14.44" u="1"/>
        <n v="839.95" u="1"/>
        <n v="18.03" u="1"/>
        <n v="5015.28" u="1"/>
        <n v="28.51" u="1"/>
        <n v="6.75" u="1"/>
        <n v="9.58" u="1"/>
        <n v="41.34" u="1"/>
        <n v="430.8" u="1"/>
        <n v="15040.85" u="1"/>
        <n v="21.11" u="1"/>
        <n v="408.13" u="1"/>
        <n v="12.97" u="1"/>
        <n v="31.59" u="1"/>
        <n v="6.06" u="1"/>
        <n v="457.44" u="1"/>
        <n v="409.28" u="1"/>
        <n v="408.69" u="1"/>
        <n v="408.1" u="1"/>
        <n v="27.89" u="1"/>
        <n v="814.84" u="1"/>
        <n v="6245.01" u="1"/>
        <n v="19.04" u="1"/>
        <n v="419.7" u="1"/>
        <n v="11.59" u="1"/>
        <n v="18.350000000000001" u="1"/>
        <n v="6.25" u="1"/>
        <n v="815.96" u="1"/>
        <n v="6.83" u="1"/>
        <n v="14.98" u="1"/>
        <n v="408.63" u="1"/>
        <n v="15025.35" u="1"/>
        <n v="7.02" u="1"/>
        <n v="7.6" u="1"/>
        <n v="408.6" u="1"/>
        <n v="447.49" u="1"/>
        <n v="15.36" u="1"/>
        <n v="844.25" u="1"/>
        <n v="7.79" u="1"/>
        <n v="20.81" u="1"/>
        <n v="12.82" u="1"/>
        <n v="13.98" u="1"/>
        <n v="17.11" u="1"/>
        <n v="7.1" u="1"/>
        <n v="815.66" u="1"/>
        <n v="10.28" u="1"/>
        <n v="10041.049999999999" u="1"/>
        <n v="447.37" u="1"/>
        <n v="415.46" u="1"/>
        <n v="5031.75" u="1"/>
        <n v="5.83" u="1"/>
        <n v="7.87" u="1"/>
        <n v="5436.41" u="1"/>
        <n v="21.13" u="1"/>
        <n v="5010.43" u="1"/>
        <n v="35.43" u="1"/>
        <n v="29.29" u="1"/>
        <n v="18.12" u="1"/>
        <n v="409.6" u="1"/>
        <n v="18.190000000000001" u="1"/>
        <n v="23.52" u="1"/>
        <n v="8.59" u="1"/>
        <n v="6230.72" u="1"/>
        <n v="817.72" u="1"/>
        <n v="10.82" u="1"/>
        <n v="6225.15" u="1"/>
        <n v="437.39" u="1"/>
        <n v="51.01" u="1"/>
        <n v="14.21" u="1"/>
        <n v="19.89" u="1"/>
        <n v="5012.38" u="1"/>
        <n v="13.52" u="1"/>
        <n v="30.37" u="1"/>
        <n v="18.510000000000002" u="1"/>
        <n v="15.75" u="1"/>
        <n v="5010.68" u="1"/>
        <n v="427.44" u="1"/>
        <n v="9.1300000000000008" u="1"/>
        <n v="5.0199999999999996" u="1"/>
        <n v="5031.04" u="1"/>
        <n v="14.37" u="1"/>
        <n v="5.6" u="1"/>
        <n v="5029.82" u="1"/>
        <n v="26.05" u="1"/>
        <n v="41.06" u="1"/>
        <n v="10.67" u="1"/>
        <n v="16.510000000000002" u="1"/>
        <n v="815.69" u="1"/>
        <n v="14.75" u="1"/>
        <n v="8.82" u="1"/>
        <n v="14.06" u="1"/>
        <n v="8.1300000000000008" u="1"/>
        <n v="12.21" u="1"/>
        <n v="18.899999999999999" u="1"/>
        <n v="418.05" u="1"/>
        <n v="13.75" u="1"/>
        <n v="14.91" u="1"/>
        <n v="407.54" u="1"/>
        <n v="842.68" u="1"/>
        <n v="12.37" u="1"/>
        <n v="5524.88" u="1"/>
        <n v="7.22" u="1"/>
        <n v="21.36" u="1"/>
        <n v="423.73" u="1"/>
        <n v="13.91" u="1"/>
        <n v="5.37" u="1"/>
        <n v="5014.58" u="1"/>
        <n v="7.99" u="1"/>
        <n v="829.23" u="1"/>
        <n v="19.29" u="1"/>
        <n v="29.77" u="1"/>
        <n v="18.600000000000001" u="1"/>
        <n v="408.01" u="1"/>
        <n v="406.83" u="1"/>
        <n v="407.39" u="1"/>
        <n v="407.98" u="1"/>
        <n v="6243.09" u="1"/>
        <n v="829.05" u="1"/>
        <n v="17.29" u="1"/>
        <n v="407.95" u="1"/>
        <n v="54.73" u="1"/>
        <n v="5010.7" u="1"/>
        <n v="32.39" u="1"/>
        <n v="27.77" u="1"/>
        <n v="13.29" u="1"/>
        <n v="10.37" u="1"/>
        <n v="33.840000000000003" u="1"/>
        <n v="5.64" u="1"/>
        <n v="407.33" u="1"/>
        <n v="21.06" u="1"/>
        <n v="6.22" u="1"/>
        <n v="29.22" u="1"/>
        <n v="430.53" u="1"/>
        <n v="27.84" u="1"/>
        <n v="10.75" u="1"/>
        <n v="6.41" u="1"/>
        <n v="6.99" u="1"/>
        <n v="815.54" u="1"/>
        <n v="407.86" u="1"/>
        <n v="10.06" u="1"/>
        <n v="819.57" u="1"/>
        <n v="19.75" u="1"/>
        <n v="13.45" u="1"/>
        <n v="5008.78" u="1"/>
        <n v="5.14" u="1"/>
        <n v="7.18" u="1"/>
        <n v="21.38" u="1"/>
        <n v="419.43" u="1"/>
        <n v="12.76" u="1"/>
        <n v="414.19" u="1"/>
        <n v="44.85" u="1"/>
        <n v="16.989999999999998" u="1"/>
        <n v="419.99" u="1"/>
        <n v="5021.6099999999997" u="1"/>
        <n v="409.54" u="1"/>
        <n v="408.36" u="1"/>
        <n v="6.49" u="1"/>
        <n v="23.77" u="1"/>
        <n v="5450.5" u="1"/>
        <n v="5024.5200000000004" u="1"/>
        <n v="5824.14" u="1"/>
        <n v="9.91" u="1"/>
        <n v="13.99" u="1"/>
        <n v="415.25" u="1"/>
        <n v="410.01" u="1"/>
        <n v="13.68" u="1"/>
        <n v="22.53" u="1"/>
        <n v="859.16" u="1"/>
        <n v="826.66" u="1"/>
        <n v="5011.68" u="1"/>
        <n v="21.15" u="1"/>
        <n v="415.75" u="1"/>
        <n v="5026.95" u="1"/>
        <n v="5.49" u="1"/>
        <n v="7.53" u="1"/>
        <n v="10.45" u="1"/>
        <n v="14.53" u="1"/>
        <n v="4.22" u="1"/>
        <n v="6.26" u="1"/>
        <n v="5025.99" u="1"/>
        <n v="9.76" u="1"/>
        <n v="6.45" u="1"/>
        <n v="5419.99" u="1"/>
        <n v="1244" u="1"/>
        <n v="11.3" u="1"/>
        <n v="5419.51" u="1"/>
        <n v="21.54" u="1"/>
        <n v="48.36" u="1"/>
        <n v="415.57" u="1"/>
        <n v="5.95" u="1"/>
        <n v="832.08" u="1"/>
        <n v="29.08" u="1"/>
        <n v="5.26" u="1"/>
        <n v="7.3" u="1"/>
        <n v="10.68" u="1"/>
        <n v="427.7" u="1"/>
        <n v="7.88" u="1"/>
        <n v="863.28" u="1"/>
        <n v="406.77" u="1"/>
        <n v="5034.72" u="1"/>
        <n v="822.6" u="1"/>
        <n v="5027.93" u="1"/>
        <n v="17.54" u="1"/>
        <n v="428.2" u="1"/>
        <n v="6.8" u="1"/>
        <n v="9.68" u="1"/>
        <n v="28.02" u="1"/>
        <n v="10.84" u="1"/>
        <n v="14.92" u="1"/>
        <n v="428.17" u="1"/>
        <n v="15041.01" u="1"/>
        <n v="18.3" u="1"/>
        <n v="423.52" u="1"/>
        <n v="5.53" u="1"/>
        <n v="433.35" u="1"/>
        <n v="406.65" u="1"/>
        <n v="24.39" u="1"/>
        <n v="6.3" u="1"/>
        <n v="407.8" u="1"/>
        <n v="13.92" u="1"/>
        <n v="20" u="1"/>
        <n v="22.32" u="1"/>
        <n v="418.22" u="1"/>
        <n v="13.23" u="1"/>
        <n v="845.5" u="1"/>
        <n v="7.65" u="1"/>
        <n v="48.54" u="1"/>
        <n v="11.38" u="1"/>
        <n v="15.46" u="1"/>
        <n v="17.239999999999998" u="1"/>
        <n v="25.4" u="1"/>
        <n v="429.79" u="1"/>
        <n v="10.69" u="1"/>
        <n v="14.77" u="1"/>
        <n v="408.27" u="1"/>
        <n v="19.63" u="1"/>
        <n v="412.89" u="1"/>
        <n v="6.57" u="1"/>
        <n v="7.15" u="1"/>
        <n v="418.69" u="1"/>
        <n v="14.46" u="1"/>
        <n v="21.08" u="1"/>
        <n v="13.77" u="1"/>
        <n v="5.3" u="1"/>
        <n v="408.8" u="1"/>
        <n v="408.21" u="1"/>
        <n v="5021.17" u="1"/>
        <n v="16.690000000000001" u="1"/>
        <n v="813.88" u="1"/>
        <n v="817.91" u="1"/>
        <n v="26.48" u="1"/>
        <n v="23.47" u="1"/>
        <n v="25.79" u="1"/>
        <n v="829.45" u="1"/>
        <n v="408.15" u="1"/>
        <n v="408.74" u="1"/>
        <n v="14.62" u="1"/>
        <n v="21.4" u="1"/>
        <n v="8.69" u="1"/>
        <n v="12.77" u="1"/>
        <n v="20.71" u="1"/>
        <n v="424.37" u="1"/>
        <n v="6.84" u="1"/>
        <n v="5.38" u="1"/>
        <n v="10.92" u="1"/>
        <n v="17.010000000000002" u="1"/>
        <n v="15" u="1"/>
        <n v="25.17" u="1"/>
        <n v="408.09" u="1"/>
        <n v="408.65" u="1"/>
        <n v="19.399999999999999" u="1"/>
        <n v="408.62" u="1"/>
        <n v="5417.12" u="1"/>
        <n v="15.85" u="1"/>
        <n v="409.18" u="1"/>
        <n v="19.47" u="1"/>
        <n v="5.07" u="1"/>
        <n v="409.15" u="1"/>
        <n v="7.11" u="1"/>
        <n v="18.78" u="1"/>
        <n v="26.94" u="1"/>
        <n v="7.69" u="1"/>
        <n v="11.46" u="1"/>
        <n v="812.85" u="1"/>
        <n v="6264.46" u="1"/>
        <n v="14.85" u="1"/>
        <n v="6.42" u="1"/>
        <n v="409.68" u="1"/>
        <n v="18.16" u="1"/>
        <n v="8.23" u="1"/>
        <n v="5017.0600000000004" u="1"/>
        <n v="6.61" u="1"/>
        <n v="23.56" u="1"/>
        <n v="76.2" u="1"/>
        <n v="12" u="1"/>
        <n v="19.170000000000002" u="1"/>
        <n v="13.16" u="1"/>
        <n v="17.79" u="1"/>
        <n v="6.69" u="1"/>
        <n v="22.25" u="1"/>
        <n v="14.7" u="1"/>
        <n v="21.56" u="1"/>
        <n v="8.77" u="1"/>
        <n v="68.2" u="1"/>
        <n v="19.489999999999998" u="1"/>
        <n v="5870.49" u="1"/>
        <n v="27.65" u="1"/>
        <n v="47.09" u="1"/>
        <n v="422.25" u="1"/>
        <n v="4.1500000000000004" u="1"/>
        <n v="15.55" u="1"/>
        <n v="20.25" u="1"/>
        <n v="13.7" u="1"/>
        <n v="5025.05" u="1"/>
        <n v="15.93" u="1"/>
        <n v="421.6" u="1"/>
        <n v="6232.03" u="1"/>
        <n v="37.07" u="1"/>
        <n v="5.1100000000000003" u="1"/>
        <n v="443.62" u="1"/>
        <n v="838.87" u="1"/>
        <n v="31.74" u="1"/>
        <n v="6.46" u="1"/>
        <n v="21.33" u="1"/>
        <n v="816.73" u="1"/>
        <n v="5011.25" u="1"/>
        <n v="6245.12" u="1"/>
        <n v="13.55" u="1"/>
        <n v="5.19" u="1"/>
        <n v="406.97" u="1"/>
        <n v="5032.3500000000004" u="1"/>
        <n v="407.53" u="1"/>
        <n v="36.4" u="1"/>
        <n v="5.96" u="1"/>
        <n v="440" u="1"/>
        <n v="2081.21" u="1"/>
        <n v="28.43" u="1"/>
        <n v="408.06" u="1"/>
        <n v="439.38" u="1"/>
        <n v="6.73" u="1"/>
        <n v="406.88" u="1"/>
        <n v="407.47" u="1"/>
        <n v="10.7" u="1"/>
        <n v="434.14" u="1"/>
        <n v="407.44" u="1"/>
        <n v="32.4" u="1"/>
        <n v="11.08" u="1"/>
        <n v="41.32" u="1"/>
        <n v="51.98" u="1"/>
        <n v="106.69" u="1"/>
        <n v="44.58" u="1"/>
        <n v="418.42" u="1"/>
        <n v="10.39" u="1"/>
        <n v="18.27" u="1"/>
        <n v="407.97" u="1"/>
        <n v="814.58" u="1"/>
        <n v="8.5399999999999991" u="1"/>
        <n v="25.74" u="1"/>
        <n v="22.73" u="1"/>
        <n v="407.94" u="1"/>
        <n v="407.35" u="1"/>
        <n v="11.93" u="1"/>
        <n v="10.08" u="1"/>
        <n v="407.32" u="1"/>
        <n v="407.91" u="1"/>
        <n v="407.88" u="1"/>
        <n v="5030.42" u="1"/>
        <n v="6.31" u="1"/>
        <n v="408.44" u="1"/>
        <n v="407.85" u="1"/>
        <n v="31.21" u="1"/>
        <n v="10.93" u="1"/>
        <n v="28.2" u="1"/>
        <n v="12.09" u="1"/>
        <n v="409" u="1"/>
        <n v="408.41" u="1"/>
        <n v="5464.88" u="1"/>
        <n v="7.08" u="1"/>
        <n v="819.49" u="1"/>
        <n v="15032.41" u="1"/>
        <n v="20.11" u="1"/>
        <n v="12.47" u="1"/>
        <n v="7.27" u="1"/>
        <n v="11.78" u="1"/>
        <n v="15.86" u="1"/>
        <n v="430.99" u="1"/>
        <n v="38.1" u="1"/>
        <n v="9.93" u="1"/>
        <n v="17.350000000000001" u="1"/>
        <n v="409.5" u="1"/>
        <n v="408.32" u="1"/>
        <n v="447.21" u="1"/>
        <n v="816.46" u="1"/>
        <n v="408.88" u="1"/>
        <n v="5009.83" u="1"/>
        <n v="419.89" u="1"/>
        <n v="6.77" u="1"/>
        <n v="409.44" u="1"/>
        <n v="7.35" u="1"/>
        <n v="16.73" u="1"/>
        <n v="14.86" u="1"/>
        <n v="8.93" u="1"/>
        <n v="10.09" u="1"/>
        <n v="7.54" u="1"/>
        <n v="5028.49" u="1"/>
        <n v="13.48" u="1"/>
        <n v="816.22" u="1"/>
        <n v="813.31" u="1"/>
        <n v="6.85" u="1"/>
        <n v="9.7799999999999994" u="1"/>
        <n v="6263.79" u="1"/>
        <n v="5014.91" u="1"/>
        <n v="13.17" u="1"/>
        <n v="834.09" u="1"/>
        <n v="7.04" u="1"/>
        <n v="7.62" u="1"/>
        <n v="15.4" u="1"/>
        <n v="1223.24" u="1"/>
        <n v="426.1" u="1"/>
        <n v="4.3099999999999996" u="1"/>
        <n v="14.71" u="1"/>
        <n v="6.35" u="1"/>
        <n v="5413.52" u="1"/>
        <n v="14.02" u="1"/>
        <n v="28.36" u="1"/>
        <n v="8.09" u="1"/>
        <n v="10015.36" u="1"/>
        <n v="815.37" u="1"/>
        <n v="410.35" u="1"/>
        <n v="34.14" u="1"/>
        <n v="11.86" u="1"/>
        <n v="13.02" u="1"/>
        <n v="21.21" u="1"/>
        <n v="11.17" u="1"/>
        <n v="6232.06" u="1"/>
        <n v="6.62" u="1"/>
        <n v="13.4" u="1"/>
        <n v="21.28" u="1"/>
        <n v="23.6" u="1"/>
        <n v="406.79" u="1"/>
        <n v="427.07" u="1"/>
        <n v="7.39" u="1"/>
        <n v="27.37" u="1"/>
        <n v="10054.41" u="1"/>
        <n v="14.25" u="1"/>
        <n v="439.23" u="1"/>
        <n v="831.82" u="1"/>
        <n v="19.97" u="1"/>
        <n v="65.459999999999994" u="1"/>
        <n v="41.01" u="1"/>
        <n v="445" u="1"/>
        <n v="5464.67" u="1"/>
        <n v="6.89" u="1"/>
        <n v="450.18" u="1"/>
        <n v="3.5" u="1"/>
        <n v="5.04" u="1"/>
        <n v="18.66" u="1"/>
        <n v="407.23" u="1"/>
        <n v="7.66" u="1"/>
        <n v="19.600000000000001" u="1"/>
        <n v="10.71" u="1"/>
        <n v="14.79" u="1"/>
        <n v="5018.32" u="1"/>
        <n v="27.07" u="1"/>
        <n v="6.39" u="1"/>
        <n v="407.76" u="1"/>
        <n v="1223.43" u="1"/>
        <n v="5439.95" u="1"/>
        <n v="6.97" u="1"/>
        <n v="23.37" u="1"/>
        <n v="30.84" u="1"/>
        <n v="19.670000000000002" u="1"/>
        <n v="5414.28" u="1"/>
        <n v="13.41" u="1"/>
        <n v="30.15" u="1"/>
        <n v="53.47" u="1"/>
        <n v="7.16" u="1"/>
        <n v="7.74" u="1"/>
        <n v="423.95" u="1"/>
        <n v="407.7" u="1"/>
        <n v="5416.93" u="1"/>
        <n v="816.89" u="1"/>
        <n v="30.91" u="1"/>
        <n v="14.95" u="1"/>
        <n v="408.26" u="1"/>
        <n v="423.33" u="1"/>
        <n v="22.06" u="1"/>
        <n v="6.47" u="1"/>
        <n v="4015.36" u="1"/>
        <n v="5030.93" u="1"/>
        <n v="408.23" u="1"/>
        <n v="6.66" u="1"/>
        <n v="408.79" u="1"/>
        <n v="16.29" u="1"/>
        <n v="408.2" u="1"/>
        <n v="435.46" u="1"/>
        <n v="5830.81" u="1"/>
        <n v="408.76" u="1"/>
        <n v="407.58" u="1"/>
        <n v="408.17" u="1"/>
        <n v="5.39" u="1"/>
        <n v="7.43" u="1"/>
        <n v="436.02" u="1"/>
        <n v="19.37" u="1"/>
        <n v="16.36" u="1"/>
        <n v="430.78" u="1"/>
        <n v="17.989999999999998" u="1"/>
        <n v="5438.5" u="1"/>
        <n v="831.73" u="1"/>
        <n v="14.8" u="1"/>
        <n v="408.08" u="1"/>
        <n v="6.93" u="1"/>
        <n v="29.23" u="1"/>
        <n v="28.54" u="1"/>
        <n v="415.03" u="1"/>
        <n v="16.68" u="1"/>
        <n v="1006.83" u="1"/>
        <n v="24.84" u="1"/>
        <n v="9.25" u="1"/>
        <n v="13.33" u="1"/>
        <n v="6.24" u="1"/>
        <n v="20.45" u="1"/>
        <n v="19.760000000000002" u="1"/>
        <n v="5009.38" u="1"/>
        <n v="10054.43" u="1"/>
        <n v="826.22" u="1"/>
        <n v="6.43" u="1"/>
        <n v="5019.5600000000004" u="1"/>
        <n v="7.01" u="1"/>
        <n v="844.21" u="1"/>
        <n v="5008.8999999999996" u="1"/>
        <n v="431.19" u="1"/>
        <n v="21.46" u="1"/>
        <n v="7.78" u="1"/>
        <n v="10038.93" u="1"/>
        <n v="36.159999999999997" u="1"/>
        <n v="420.68" u="1"/>
        <n v="6.51" u="1"/>
        <n v="5420.82" u="1"/>
        <n v="432.25" u="1"/>
        <n v="6.7" u="1"/>
        <n v="420.62" u="1"/>
        <n v="24.61" u="1"/>
        <n v="8.7899999999999991" u="1"/>
        <n v="9.9499999999999993" u="1"/>
        <n v="6263.12" u="1"/>
        <n v="5.43" u="1"/>
        <n v="6.01" u="1"/>
        <n v="12.18" u="1"/>
        <n v="5007.93" u="1"/>
        <n v="18.84" u="1"/>
        <n v="35.49" u="1"/>
        <n v="18.149999999999999" u="1"/>
        <n v="51.81" u="1"/>
        <n v="6.78" u="1"/>
        <n v="22.61" u="1"/>
        <n v="16.77" u="1"/>
        <n v="8.9499999999999993" u="1"/>
        <n v="14.19" u="1"/>
      </sharedItems>
    </cacheField>
    <cacheField name="Structure Rank score" numFmtId="0">
      <sharedItems containsNonDate="0" containsString="0" containsBlank="1"/>
    </cacheField>
    <cacheField name="Year Structure is repaired" numFmtId="0">
      <sharedItems containsNonDate="0" containsString="0" containsBlank="1" containsNumber="1" containsInteger="1" minValue="1" maxValue="5" count="6">
        <m/>
        <n v="5" u="1"/>
        <n v="3" u="1"/>
        <n v="4" u="1"/>
        <n v="2" u="1"/>
        <n v="1" u="1"/>
      </sharedItems>
    </cacheField>
    <cacheField name="Element Works Cost" numFmtId="0">
      <sharedItems containsNonDate="0" containsString="0" containsBlank="1" containsNumber="1" minValue="7.6569131967575093" maxValue="539377.17840513308" count="4139">
        <m/>
        <n v="235.9725628257342" u="1"/>
        <n v="6659.2748882516862" u="1"/>
        <n v="15786.672637184067" u="1"/>
        <n v="5906.854177541094" u="1"/>
        <n v="7040.1322442711307" u="1"/>
        <n v="15999.72655334802" u="1"/>
        <n v="1900.4019858912179" u="1"/>
        <n v="164.81362355516754" u="1"/>
        <n v="369.4324549156986" u="1"/>
        <n v="2601.8286258216726" u="1"/>
        <n v="10240.842056214016" u="1"/>
        <n v="5482.2766590826868" u="1"/>
        <n v="2912.9794966405693" u="1"/>
        <n v="10517.238484420306" u="1"/>
        <n v="963.37978847991656" u="1"/>
        <n v="1376.8890856739142" u="1"/>
        <n v="491.74610202639803" u="1"/>
        <n v="20897.443967615643" u="1"/>
        <n v="57568.71616423042" u="1"/>
        <n v="57129.095149018831" u="1"/>
        <n v="29308.067680773325" u="1"/>
        <n v="56255.754071819938" u="1"/>
        <n v="16876.726221545981" u="1"/>
        <n v="42974.708131364452" u="1"/>
        <n v="11335.731143912528" u="1"/>
        <n v="258.68992141641507" u="1"/>
        <n v="3334.038571738979" u="1"/>
        <n v="3767.4635860650455" u="1"/>
        <n v="2039.2710851034726" u="1"/>
        <n v="4834.3559290215189" u="1"/>
        <n v="2069.2592081385819" u="1"/>
        <n v="1881.3812466648367" u="1"/>
        <n v="112.8828747998902" u="1"/>
        <n v="176.01232145198207" u="1"/>
        <n v="3861.9909557653764" u="1"/>
        <n v="12763.024205044147" u="1"/>
        <n v="113.38681620524687" u="1"/>
        <n v="3642.5384393218515" u="1"/>
        <n v="5855.2208368283191" u="1"/>
        <n v="2917.2837502716066" u="1"/>
        <n v="3050.6452931411659" u="1"/>
        <n v="10506.30823072059" u="1"/>
        <n v="124.56027113549068" u="1"/>
        <n v="100.78828107133054" u="1"/>
        <n v="1932.0410063162419" u="1"/>
        <n v="857.90024959525408" u="1"/>
        <n v="2033.7635287607773" u="1"/>
        <n v="255.60568986450551" u="1"/>
        <n v="4481.1543737800384" u="1"/>
        <n v="10195.763854956625" u="1"/>
        <n v="3217.3472217281146" u="1"/>
        <n v="94.840120221219223" u="1"/>
        <n v="1415.8353769544053" u="1"/>
        <n v="1160.5208007822994" u="1"/>
        <n v="1128.8287479989021" u="1"/>
        <n v="34541.229698538249" u="1"/>
        <n v="99387.368024889802" u="1"/>
        <n v="3444.6412075701205" u="1"/>
        <n v="3625.578444093695" u="1"/>
        <n v="217.53470664562172" u="1"/>
        <n v="1516.9875501412353" u="1"/>
        <n v="125.66040551494413" u="1"/>
        <n v="9594.7860273717361" u="1"/>
        <n v="2144.750623988135" u="1"/>
        <n v="5084.4088219019422" u="1"/>
        <n v="2847.9475498858847" u="1"/>
        <n v="1286.8503743928811" u="1"/>
        <n v="9148.0763281840591" u="1"/>
        <n v="5486.9372221043286" u="1"/>
        <n v="2533.8693145216243" u="1"/>
        <n v="7854.5621384472506" u="1"/>
        <n v="3817.4741646411308" u="1"/>
        <n v="1068.859327364579" u="1"/>
        <n v="14922.074805679209" u="1"/>
        <n v="10008.836245277964" u="1"/>
        <n v="1181.3708355082188" u="1"/>
        <n v="2800.5924002607421" u="1"/>
        <n v="16391.536734213267" u="1"/>
        <n v="1441.1125538916233" u="1"/>
        <n v="3126.0792902571147" u="1"/>
        <n v="138.07994506772283" u="1"/>
        <n v="5033.0147976254912" u="1"/>
        <n v="10501.074093406389" u="1"/>
        <n v="4500.4603257455956" u="1"/>
        <n v="10668.923429564733" u="1"/>
        <n v="13114.622667993022" u="1"/>
        <n v="16529.750171956155" u="1"/>
        <n v="18124.760125629309" u="1"/>
        <n v="101176.76049193139" u="1"/>
        <n v="5132.3540668495152" u="1"/>
        <n v="9615.4561649819989" u="1"/>
        <n v="1366.2411434113694" u="1"/>
        <n v="2579.8426576000716" u="1"/>
        <n v="24004.465185282304" u="1"/>
        <n v="25594.024112925075" u="1"/>
        <n v="136876.4513127036" u="1"/>
        <n v="52006.140317163437" u="1"/>
        <n v="8211.176411636794" u="1"/>
        <n v="3234.7058591296463" u="1"/>
        <n v="33623.36101180088" u="1"/>
        <n v="16617.674374998471" u="1"/>
        <n v="54011.424862171451" u="1"/>
        <n v="1154.8407644943177" u="1"/>
        <n v="22066.319534671369" u="1"/>
        <n v="52311.065190584581" u="1"/>
        <n v="34597.288754169269" u="1"/>
        <n v="132194.6293694505" u="1"/>
        <n v="22699.196767979345" u="1"/>
        <n v="98166.290855325788" u="1"/>
        <n v="104073.14503286689" u="1"/>
        <n v="246718.85430868444" u="1"/>
        <n v="72778.423099906911" u="1"/>
        <n v="29112.352732166815" u="1"/>
        <n v="1659.5447451186883" u="1"/>
        <n v="3934.1655146519952" u="1"/>
        <n v="148.70402125278278" u="1"/>
        <n v="75702.738819437509" u="1"/>
        <n v="36048.923247351187" u="1"/>
        <n v="4351.9530029336229" u="1"/>
        <n v="26532.652680936331" u="1"/>
        <n v="6188.1329479001934" u="1"/>
        <n v="10179.14431194644" u="1"/>
        <n v="61141.758093937278" u="1"/>
        <n v="6758.1388029104173" u="1"/>
        <n v="15381.818071385731" u="1"/>
        <n v="39272.810692236257" u="1"/>
        <n v="36708.354770168582" u="1"/>
        <n v="28784.35808211521" u="1"/>
        <n v="11829.680268476002" u="1"/>
        <n v="4134.994622719576" u="1"/>
        <n v="32092.334110446784" u="1"/>
        <n v="4605.939864630257" u="1"/>
        <n v="19036.409535498984" u="1"/>
        <n v="19267.595769598327" u="1"/>
        <n v="71728.545172080543" u="1"/>
        <n v="39686.36916404045" u="1"/>
        <n v="14007.551631589287" u="1"/>
        <n v="21181.143767950383" u="1"/>
        <n v="580.26040039114969" u="1"/>
        <n v="17164.404247846116" u="1"/>
        <n v="2422.0789532659714" u="1"/>
        <n v="4929.4104505432224" u="1"/>
        <n v="3860.5511231786431" u="1"/>
        <n v="9151.9358794234959" u="1"/>
        <n v="7735.166184875241" u="1"/>
        <n v="18337.212144564382" u="1"/>
        <n v="1863.4718536290352" u="1"/>
        <n v="4417.6011075541464" u="1"/>
        <n v="4852.8455824577113" u="1"/>
        <n v="947.75865397221116" u="1"/>
        <n v="41031.29475308265" u="1"/>
        <n v="43668.529098250227" u="1"/>
        <n v="3572.240383560566" u="1"/>
        <n v="81641.163096728676" u="1"/>
        <n v="193540.9390894477" u="1"/>
        <n v="5275.4521825391985" u="1"/>
        <n v="7918.2008455583682" u="1"/>
        <n v="6441.2838412233832" u="1"/>
        <n v="324315.09473601106" u="1"/>
        <n v="24856.126303761001" u="1"/>
        <n v="104190.18060514919" u="1"/>
        <n v="25989.273238197165" u="1"/>
        <n v="198798.84482268512" u="1"/>
        <n v="10986.2635807391" u="1"/>
        <n v="17620.901989279264" u="1"/>
        <n v="53731.457414751094" u="1"/>
        <n v="108689.65743869072" u="1"/>
        <n v="33587.045562166226" u="1"/>
        <n v="8228.8261627307256" u="1"/>
        <n v="5184.5775028847193" u="1"/>
        <n v="5048.2654834030027" u="1"/>
        <n v="21492.582965900438" u="1"/>
        <n v="83370.358759738374" u="1"/>
        <n v="12798.184051339034" u="1"/>
        <n v="30339.751002824705" u="1"/>
        <n v="5715.0731977507985" u="1"/>
        <n v="1404.1401769511806" u="1"/>
        <n v="1049.0517943749553" u="1"/>
        <n v="250.29089799380418" u="1"/>
        <n v="245361.63506709153" u="1"/>
        <n v="161807.41571811281" u="1"/>
        <n v="12868.503743928812" u="1"/>
        <n v="4976.4705525071486" u="1"/>
        <n v="3757.1631443812662" u="1"/>
        <n v="13923.299132775435" u="1"/>
        <n v="1667.0192858694895" u="1"/>
        <n v="1476.7135443852735" u="1"/>
        <n v="2812.7877035909969" u="1"/>
        <n v="2939.9860286484914" u="1"/>
        <n v="28127.877035909969" u="1"/>
        <n v="1617.0087072934048" u="1"/>
        <n v="2004.1112388085855" u="1"/>
        <n v="1392.3299132775433" u="1"/>
        <n v="3300.6981860215888" u="1"/>
        <n v="20630.388133680819" u="1"/>
        <n v="45009.520718476211" u="1"/>
        <n v="7001.8878713766708" u="1"/>
        <n v="6125.6177576956779" u="1"/>
        <n v="49098.88130292773" u="1"/>
        <n v="1500.3173572825406" u="1"/>
        <n v="314447.8942846476" u="1"/>
        <n v="12959.148942069009" u="1"/>
        <n v="175435.72101964301" u="1"/>
        <n v="142560.42451997785" u="1"/>
        <n v="512293.54078843538" u="1"/>
        <n v="52422.183418105808" u="1"/>
        <n v="93441.594307056163" u="1"/>
        <n v="2000.4231430433872" u="1"/>
        <n v="15805.949084383501" u="1"/>
        <n v="24032.615498234125" u="1"/>
        <n v="11669.135001086426" u="1"/>
        <n v="6999.1861855090647" u="1"/>
        <n v="70680.30639792759" u="1"/>
        <n v="12392.001771065228" u="1"/>
        <n v="4912.8713899783997" u="1"/>
        <n v="62566.836658456123" u="1"/>
        <n v="35159.846294887458" u="1"/>
        <n v="3781.3636092156589" u="1"/>
        <n v="13747.499901300998" u="1"/>
        <n v="5821.9460172578683" u="1"/>
        <n v="21166.227469522255" u="1"/>
        <n v="71726.086441570427" u="1"/>
        <n v="14506.510009778742" u="1"/>
        <n v="11295.735794281047" u="1"/>
        <n v="117433.88662492413" u="1"/>
        <n v="867.44012397456629" u="1"/>
        <n v="6818.8792814327189" u="1"/>
        <n v="46410.997109251446" u="1"/>
        <n v="58443.634107263133" u="1"/>
        <n v="143.96" u="1"/>
        <n v="4062.6300000000006" u="1"/>
        <n v="9630.9900000000016" u="1"/>
        <n v="3603.6000000000004" u="1"/>
        <n v="4294.9800000000005" u="1"/>
        <n v="9760.9679999999989" u="1"/>
        <n v="1159.3799999999999" u="1"/>
        <n v="100.54799999999999" u="1"/>
        <n v="14526.899999999998" u="1"/>
        <n v="321.10666875000004" u="1"/>
        <n v="225.38" u="1"/>
        <n v="1587.3000000000002" u="1"/>
        <n v="6247.6399999999994" u="1"/>
        <n v="3344.5776000000001" u="1"/>
        <n v="1777.1240999999998" u="1"/>
        <n v="6416.2614249999997" u="1"/>
        <n v="587.73" u="1"/>
        <n v="429" u="1"/>
        <n v="839.99999999999989" u="1"/>
        <n v="300" u="1"/>
        <n v="660.34500000000003" u="1"/>
        <n v="12748.923000000001" u="1"/>
        <n v="35121" u="1"/>
        <n v="3028.74" u="1"/>
        <n v="1709.3318999999999" u="1"/>
        <n v="34852.800000000003" u="1"/>
        <n v="17880" u="1"/>
        <n v="34320" u="1"/>
        <n v="10296" u="1"/>
        <n v="26217.620000000006" u="1"/>
        <n v="6450.7871999999998" u="1"/>
        <n v="6915.5999999999995" u="1"/>
        <n v="189.58800000000002" u="1"/>
        <n v="157.8192" u="1"/>
        <n v="2034" u="1"/>
        <n v="969.54" u="1"/>
        <n v="2298.4199999999996" u="1"/>
        <n v="16195.608" u="1"/>
        <n v="49077.600000000006" u="1"/>
        <n v="1244.0999999999999" u="1"/>
        <n v="2949.2999999999997" u="1"/>
        <n v="1262.3948819999998" u="1"/>
        <n v="1147.7760000000001" u="1"/>
        <n v="68.866560000000007" u="1"/>
        <n v="107.38000000000001" u="1"/>
        <n v="2356.0884000000005" u="1"/>
        <n v="7786.3499999999995" u="1"/>
        <n v="69.174000000000007" u="1"/>
        <n v="2222.2067999999999" u="1"/>
        <n v="2472.4117500000002" u="1"/>
        <n v="3572.099999999999" u="1"/>
        <n v="324.86925000000002" u="1"/>
        <n v="1779.75" u="1"/>
        <n v="1861.1100000000001" u="1"/>
        <n v="6409.5931950000004" u="1"/>
        <n v="785.07" u="1"/>
        <n v="75.990600000000001" u="1"/>
        <n v="61.488" u="1"/>
        <n v="376.52250000000004" u="1"/>
        <n v="1178.6820464999998" u="1"/>
        <n v="523.38" u="1"/>
        <n v="1240.74" u="1"/>
        <n v="3450" u="1"/>
        <n v="155.9376" u="1"/>
        <n v="2733.8220000000001" u="1"/>
        <n v="6220.1391000000003" u="1"/>
        <n v="1962.81" u="1"/>
        <n v="57.859199999999994" u="1"/>
        <n v="10000" u="1"/>
        <n v="863.76" u="1"/>
        <n v="708" u="1"/>
        <n v="688.66560000000015" u="1"/>
        <n v="21072.600000000002" u="1"/>
        <n v="60633.343680000005" u="1"/>
        <n v="2101.4754525000003" u="1"/>
        <n v="63.840000000000011" u="1"/>
        <n v="2211.8599999999997" u="1"/>
        <n v="132.71159999999998" u="1"/>
        <n v="925.47" u="1"/>
        <n v="76.661760000000001" u="1"/>
        <n v="5853.5" u="1"/>
        <n v="1308.4499999999998" u="1"/>
        <n v="3101.8499999999995" u="1"/>
        <n v="1857.9989999999998" u="1"/>
        <n v="1737.45" u="1"/>
        <n v="5580.9754000000003" u="1"/>
        <n v="3347.4208740000004" u="1"/>
        <n v="1986.6704000000002" u="1"/>
        <n v="1545.8400000000001" u="1"/>
        <n v="1711.2767999999999" u="1"/>
        <n v="4791.84" u="1"/>
        <n v="519.65759999999989" u="1"/>
        <n v="2328.9299999999998" u="1"/>
        <n v="652.08000000000004" u="1"/>
        <n v="533.86590000000001" u="1"/>
        <n v="9103.5239999999994" u="1"/>
        <n v="6106.0999999999995" u="1"/>
        <n v="720.72" u="1"/>
        <n v="1708.56" u="1"/>
        <n v="380.12054999999992" u="1"/>
        <n v="982.41" u="1"/>
        <n v="2578.1736000000001" u="1"/>
        <n v="879.18087075000005" u="1"/>
        <n v="1907.1300884999998" u="1"/>
        <n v="2616.8999999999996" u="1"/>
        <n v="84.238559999999993" u="1"/>
        <n v="3070.4960000000001" u="1"/>
        <n v="6406.4000000000005" u="1"/>
        <n v="2745.6000000000004" u="1"/>
        <n v="6508.8000000000011" u="1"/>
        <n v="8000.8499999999995" u="1"/>
        <n v="10084.320000000002" u="1"/>
        <n v="11057.389200000001" u="1"/>
        <n v="61725.000000000007" u="1"/>
        <n v="3131.0999999999995" u="1"/>
        <n v="5866.1102500000006" u="1"/>
        <n v="833.50399999999991" u="1"/>
        <n v="295.38029999999998" u="1"/>
        <n v="1573.8869999999999" u="1"/>
        <n v="36985.590000000004" u="1"/>
        <n v="14644.426312499994" u="1"/>
        <n v="15614.169999999998" u="1"/>
        <n v="83504.343450000015" u="1"/>
        <n v="31727.434200000003" u="1"/>
        <n v="5009.3999999999996" u="1"/>
        <n v="1973.3999999999999" u="1"/>
        <n v="1617.4289999999999" u="1"/>
        <n v="13869.57" u="1"/>
        <n v="20512.634999999998" u="1"/>
        <n v="10137.959999999999" u="1"/>
        <n v="32950.799999999996" u="1"/>
        <n v="704.53477499999974" u="1"/>
        <n v="8884.9331999999995" u="1"/>
        <n v="13462.02" u="1"/>
        <n v="31913.46" u="1"/>
        <n v="21106.800000000003" u="1"/>
        <n v="80648.099999999991" u="1"/>
        <n v="5190.8999999999996" u="1"/>
        <n v="13848.12" u="1"/>
        <n v="10124.400000000001" u="1"/>
        <n v="1831.83" u="1"/>
        <n v="59888.399999999994" u="1"/>
        <n v="63492" u="1"/>
        <n v="150516" u="1"/>
        <n v="44400" u="1"/>
        <n v="17760.599999999999" u="1"/>
        <n v="1012.44" u="1"/>
        <n v="2400.12" u="1"/>
        <n v="121.37553750000001" u="1"/>
        <n v="16996.98" u="1"/>
        <n v="10536.300000000001" u="1"/>
        <n v="90.72" u="1"/>
        <n v="46184.040000000008" u="1"/>
        <n v="21992.400000000001" u="1"/>
        <n v="2655" u="1"/>
        <n v="16186.800000000001" u="1"/>
        <n v="1032.7242000000001" u="1"/>
        <n v="5482.8407999999999" u="1"/>
        <n v="2809.95" u="1"/>
        <n v="3775.2000000000003" u="1"/>
        <n v="6210" u="1"/>
        <n v="37300.809000000001" u="1"/>
        <n v="7175.5398000000005" u="1"/>
        <n v="4122.9439999999995" u="1"/>
        <n v="9384" u="1"/>
        <n v="23959.200000000001" u="1"/>
        <n v="22394.699999999997" u="1"/>
        <n v="354" u="1"/>
        <n v="17560.5" u="1"/>
        <n v="1964.9999999999998" u="1"/>
        <n v="7216.9439999999995" u="1"/>
        <n v="26255.7" u="1"/>
        <n v="9352.2000000000007" u="1"/>
        <n v="7371.5927999999994" u="1"/>
        <n v="7842.1200000000008" u="1"/>
        <n v="2522.6400000000003" u="1"/>
        <n v="2419.56" u="1"/>
        <n v="18517.500000000004" u="1"/>
        <n v="7627.6200000000008" u="1"/>
        <n v="19578.599999999999" u="1"/>
        <n v="922.34999999999991" u="1"/>
        <n v="7621.6139999999996" u="1"/>
        <n v="1691.9999999999998" u="1"/>
        <n v="11613.56" u="1"/>
        <n v="11754.599999999999" u="1"/>
        <n v="43759.500000000007" u="1"/>
        <n v="24211.5" u="1"/>
        <n v="12012" u="1"/>
        <n v="3217.5" u="1"/>
        <n v="8545.5999999999985" u="1"/>
        <n v="12183.599999999999" u="1"/>
        <n v="12922" u="1"/>
        <n v="6978.4" u="1"/>
        <n v="10471.504000000001" u="1"/>
        <n v="1477.6399507500003" u="1"/>
        <n v="3007.29" u="1"/>
        <n v="2355.21" u="1"/>
        <n v="5583.33" u="1"/>
        <n v="1960.5300000000002" u="1"/>
        <n v="964.07145000000003" u="1"/>
        <n v="4719" u="1"/>
        <n v="11187" u="1"/>
        <n v="41.075160000000011" u="1"/>
        <n v="515.70494999999983" u="1"/>
        <n v="1003.7243999999998" u="1"/>
        <n v="1136.8499999999999" u="1"/>
        <n v="3078.6639999999998" u="1"/>
        <n v="2695.0499999999997" u="1"/>
        <n v="2960.58" u="1"/>
        <n v="578.20000000000005" u="1"/>
        <n v="25032" u="1"/>
        <n v="26640.9" u="1"/>
        <n v="2179.3200000000002" u="1"/>
        <n v="1175.46" u="1"/>
        <n v="732" u="1"/>
        <n v="5137.8469999999988" u="1"/>
        <n v="1071.1904999999999" u="1"/>
        <n v="27061.748999999996" u="1"/>
        <n v="49806.899999999994" u="1"/>
        <n v="118073.69999999998" u="1"/>
        <n v="3218.4" u="1"/>
        <n v="8622.9000000000015" u="1"/>
        <n v="4830.6641249999993" u="1"/>
        <n v="1044.29655" u="1"/>
        <n v="3929.64" u="1"/>
        <n v="2614.9661999999998" u="1"/>
        <n v="2878.5899999999997" u="1"/>
        <n v="403.89150000000001" u="1"/>
        <n v="197855.21028" u="1"/>
        <n v="15164" u="1"/>
        <n v="63563.400000000009" u="1"/>
        <n v="15855.300000000001" u="1"/>
        <n v="121281.39542142003" u="1"/>
        <n v="6702.4" u="1"/>
        <n v="10750" u="1"/>
        <n v="32780" u="1"/>
        <n v="66308.400000000009" u="1"/>
        <n v="20490.48" u="1"/>
        <n v="5020.1675999999998" u="1"/>
        <n v="3162.9599999999996" u="1"/>
        <n v="3079.8" u="1"/>
        <n v="13952.796" u="1"/>
        <n v="290.06696249999999" u="1"/>
        <n v="9693.3959999999988" u="1"/>
        <n v="13112" u="1"/>
        <n v="50861.832000000002" u="1"/>
        <n v="21135.838499999998" u="1"/>
        <n v="266.9196" u="1"/>
        <n v="7807.7999999999993" u="1"/>
        <n v="18509.399999999998" u="1"/>
        <n v="456.00000000000006" u="1"/>
        <n v="3486.6000000000004" u="1"/>
        <n v="929.91359999999997" u="1"/>
        <n v="1046.76" u="1"/>
        <n v="856.62509849999992" u="1"/>
        <n v="639.99599999999987" u="1"/>
        <n v="276.01109999999994" u="1"/>
        <n v="24843.279999999999" u="1"/>
        <n v="2599.3143" u="1"/>
        <n v="152.6952" u="1"/>
        <n v="149688" u="1"/>
        <n v="98713.999999999971" u="1"/>
        <n v="7850.7000000000007" u="1"/>
        <n v="1570.14" u="1"/>
        <n v="960.00000000000011" u="1"/>
        <n v="3036" u="1"/>
        <n v="212.22567187500005" u="1"/>
        <n v="1809.3453000000002" u="1"/>
        <n v="2292.136" u="1"/>
        <n v="3659.3699999999994" u="1"/>
        <n v="14843.400000000001" u="1"/>
        <n v="8494.2000000000007" u="1"/>
        <n v="8580" u="1"/>
        <n v="7032.3" u="1"/>
        <n v="431.88" u="1"/>
        <n v="574.65810937499998" u="1"/>
        <n v="1017" u="1"/>
        <n v="6864" u="1"/>
        <n v="900.90000000000009" u="1"/>
        <n v="450" u="1"/>
        <n v="1716" u="1"/>
        <n v="212.33520000000001" u="1"/>
        <n v="1793.6" u="1"/>
        <n v="17160" u="1"/>
        <n v="1791.0749999999998" u="1"/>
        <n v="643.5" u="1"/>
        <n v="986.49" u="1"/>
        <n v="1222.6500000000001" u="1"/>
        <n v="849.42" u="1"/>
        <n v="2013.6599999999999" u="1"/>
        <n v="2659.8" u="1"/>
        <n v="12586" u="1"/>
        <n v="2574" u="1"/>
        <n v="1800" u="1"/>
        <n v="11583" u="1"/>
        <n v="27459" u="1"/>
        <n v="4271.64822" u="1"/>
        <n v="3737.0612999999998" u="1"/>
        <n v="1952.2074" u="1"/>
        <n v="3912.48" u="1"/>
        <n v="3856.71" u="1"/>
        <n v="29953.799999999996" u="1"/>
        <n v="915.30000000000007" u="1"/>
        <n v="191835.51815999998" u="1"/>
        <n v="7906" u="1"/>
        <n v="107028.2328401" u="1"/>
        <n v="86971.970249999998" u="1"/>
        <n v="312535.39500000002" u="1"/>
        <n v="31981.25" u="1"/>
        <n v="115484.655" u="1"/>
        <n v="57006.000000000007" u="1"/>
        <n v="1220.3999999999999" u="1"/>
        <n v="17674.800000000003" u="1"/>
        <n v="8601.7360000000008" u="1"/>
        <n v="1062" u="1"/>
        <n v="9642.75" u="1"/>
        <n v="14661.6" u="1"/>
        <n v="4247.1000000000004" u="1"/>
        <n v="1501.5" u="1"/>
        <n v="3003" u="1"/>
        <n v="7119" u="1"/>
        <n v="4270" u="1"/>
        <n v="43119.999999999993" u="1"/>
        <n v="1033.0319999999999" u="1"/>
        <n v="7559.9999999999991" u="1"/>
        <n v="2997.2" u="1"/>
        <n v="38170.208000000006" u="1"/>
        <n v="21450" u="1"/>
        <n v="2306.9" u="1"/>
        <n v="8386.9500000000007" u="1"/>
        <n v="3551.8" u="1"/>
        <n v="12912.900000000001" u="1"/>
        <n v="43758" u="1"/>
        <n v="8850" u="1"/>
        <n v="6891.2" u="1"/>
        <n v="71643" u="1"/>
        <n v="529.20000000000005" u="1"/>
        <n v="858" u="1"/>
        <n v="16.8" u="1"/>
        <n v="1181.5065000000002" u="1"/>
        <n v="4160" u="1"/>
        <n v="19219.2" u="1"/>
        <n v="28314" u="1"/>
        <n v="35654.762000000002" u="1"/>
        <n v="231.88055306575038" u="1"/>
        <n v="6543.7961329640848" u="1"/>
        <n v="15512.915308215559" u="1"/>
        <n v="5804.4231802426939" u="1"/>
        <n v="6918.0490261623827" u="1"/>
        <n v="15722.274647798635" u="1"/>
        <n v="1867.4470381590004" u="1"/>
        <n v="161.95558384033808" u="1"/>
        <n v="517.21583733572322" u="1"/>
        <n v="363.02611176687145" u="1"/>
        <n v="2556.7102103449961" u="1"/>
        <n v="10063.255199747879" u="1"/>
        <n v="5387.2082777113101" u="1"/>
        <n v="2862.4654013231029" u="1"/>
        <n v="10334.858626308971" u="1"/>
        <n v="946.67378058720124" u="1"/>
        <n v="1353.012396326968" u="1"/>
        <n v="483.21871297391721" u="1"/>
        <n v="20535.060546211906" u="1"/>
        <n v="56570.414727856485" u="1"/>
        <n v="56138.417198457813" u="1"/>
        <n v="28799.835293245465" u="1"/>
        <n v="55280.220764216123" u="1"/>
        <n v="16584.066229264838" u="1"/>
        <n v="42229.481978797441" u="1"/>
        <n v="11139.157771474738" u="1"/>
        <n v="305.37489785099672" u="1"/>
        <n v="254.20396902191078" u="1"/>
        <n v="3276.2228739631587" u="1"/>
        <n v="3702.1318475783692" u="1"/>
        <n v="2003.9080027028344" u="1"/>
        <n v="4750.5231672465798" u="1"/>
        <n v="2033.3761004829998" u="1"/>
        <n v="1848.7561383411694" u="1"/>
        <n v="110.92536830047017" u="1"/>
        <n v="172.9600846637974" u="1"/>
        <n v="3795.0200143359198" u="1"/>
        <n v="12541.700085881532" u="1"/>
        <n v="111.42057083752584" u="1"/>
        <n v="3579.373032859623" u="1"/>
        <n v="5753.6852153804302" u="1"/>
        <n v="2866.695014717764" u="1"/>
        <n v="2997.7439296762905" u="1"/>
        <n v="10324.117914580926" u="1"/>
        <n v="122.40026643371918" u="1"/>
        <n v="99.040507411134072" u="1"/>
        <n v="1898.5374050506425" u="1"/>
        <n v="843.02336665429596" u="1"/>
        <n v="1998.4959531175268" u="1"/>
        <n v="251.17322125413838" u="1"/>
        <n v="4403.4464944659348" u="1"/>
        <n v="10018.958701402466" u="1"/>
        <n v="3161.5550733744481" u="1"/>
        <n v="93.195493859001559" u="1"/>
        <n v="1391.2833183945022" u="1"/>
        <n v="1140.3961626184446" u="1"/>
        <n v="1109.2536830047018" u="1"/>
        <n v="33942.248836713894" u="1"/>
        <n v="97663.887654515987" u="1"/>
        <n v="3384.9075450111013" u="1"/>
        <n v="3562.7071415949613" u="1"/>
        <n v="213.76242849569769" u="1"/>
        <n v="1490.6814076532371" u="1"/>
        <n v="123.48132333838443" u="1"/>
        <n v="9428.4024546427481" u="1"/>
        <n v="2107.5584166357394" u="1"/>
        <n v="4996.2398827938159" u="1"/>
        <n v="2798.5611761884416" u="1"/>
        <n v="1264.535049981444" u="1"/>
        <n v="8989.4391664236427" u="1"/>
        <n v="5391.7880217210168" u="1"/>
        <n v="2489.929384212001" u="1"/>
        <n v="7718.3558585897854" u="1"/>
        <n v="3751.2751906878166" u="1"/>
        <n v="1050.3241945201064" u="1"/>
        <n v="14663.310502690554" u="1"/>
        <n v="9835.2726109667856" u="1"/>
        <n v="1160.8846360485386" u="1"/>
        <n v="2752.0272141290534" u="1"/>
        <n v="1582.3963193756867" u="1"/>
        <n v="16107.290432463906" u="1"/>
        <n v="1416.1221627836762" u="1"/>
        <n v="3071.8698227960085" u="1"/>
        <n v="135.68549515325367" u="1"/>
        <n v="4945.73708437187" u="1"/>
        <n v="10318.974542653677" u="1"/>
        <n v="4422.4176611372905" u="1"/>
        <n v="10483.91319668211" u="1"/>
        <n v="12887.201465657883" u="1"/>
        <n v="16243.107105390443" u="1"/>
        <n v="17810.457926918974" u="1"/>
        <n v="99422.25019438345" u="1"/>
        <n v="5043.3537073087737" u="1"/>
        <n v="9448.7141505603449" u="1"/>
        <n v="1342.5491004620394" u="1"/>
        <n v="2535.1055016879318" u="1"/>
        <n v="23588.202783225392" u="1"/>
        <n v="25150.197105186493" u="1"/>
        <n v="134502.8712321365" u="1"/>
        <n v="51104.299733628817" u="1"/>
        <n v="8068.7860692384684" u="1"/>
        <n v="3178.6126939424271" u="1"/>
        <n v="33040.296948012423" u="1"/>
        <n v="16329.506611270175" u="1"/>
        <n v="53074.810558203164" u="1"/>
        <n v="1134.8146240695608" u="1"/>
        <n v="21683.666594763774" u="1"/>
        <n v="51403.936892481957" u="1"/>
        <n v="33997.335769992926" u="1"/>
        <n v="129902.23695263923" u="1"/>
        <n v="22305.569078361208" u="1"/>
        <n v="96463.985233557134" u="1"/>
        <n v="102268.40841379983" u="1"/>
        <n v="242440.49267327375" u="1"/>
        <n v="71516.36952013975" u="1"/>
        <n v="28607.514245481841" u="1"/>
        <n v="1630.7665125443757" u="1"/>
        <n v="3865.9429912765272" u="1"/>
        <n v="146.12533880331259" u="1"/>
        <n v="74389.974562453048" u="1"/>
        <n v="35423.797410691921" u="1"/>
        <n v="4276.4856098191667" u="1"/>
        <n v="26072.548877220677" u="1"/>
        <n v="6080.824284063774" u="1"/>
        <n v="10002.627358560085" u="1"/>
        <n v="60081.496392886351" u="1"/>
        <n v="6640.9456444784446" u="1"/>
        <n v="15115.081341824129" u="1"/>
        <n v="38591.779292948922" u="1"/>
        <n v="36071.79370478994" u="1"/>
        <n v="570.19808130922229" u="1"/>
        <n v="28285.207363928243" u="1"/>
        <n v="11624.541304282779" u="1"/>
        <n v="4063.2895136550751" u="1"/>
        <n v="31535.819646103781" u="1"/>
        <n v="3165.0825699791576" u="1"/>
        <n v="4526.0680750701949" u="1"/>
        <n v="18706.298387484552" u="1"/>
        <n v="18933.475611744019" u="1"/>
        <n v="70484.697567940413" u="1"/>
        <n v="38998.166230559982" u="1"/>
        <n v="13764.646111966355" u="1"/>
        <n v="20813.840696829859" u="1"/>
        <n v="16866.755619270753" u="1"/>
        <n v="2380.0775841341915" u="1"/>
        <n v="4843.9293444644381" u="1"/>
        <n v="3793.6051499443315" u="1"/>
        <n v="8993.2317890288705" u="1"/>
        <n v="7601.0303550797171" u="1"/>
        <n v="18019.225806797374" u="1"/>
        <n v="1831.157312814659" u="1"/>
        <n v="4958.8935191971059" u="1"/>
        <n v="4340.9953080011846" u="1"/>
        <n v="4768.6921908543991" u="1"/>
        <n v="931.323532805063" u="1"/>
        <n v="40319.769410543646" u="1"/>
        <n v="42911.27136822277" u="1"/>
        <n v="3510.2940185277239" u="1"/>
        <n v="43589.145075343964" u="1"/>
        <n v="80225.420384068639" u="1"/>
        <n v="190184.73783356135" u="1"/>
        <n v="5183.9703527841839" u="1"/>
        <n v="7780.8910043059113" u="1"/>
        <n v="6329.585277502747" u="1"/>
        <n v="318691.13355561782" u="1"/>
        <n v="24425.095211788266" u="1"/>
        <n v="102383.41446748764" u="1"/>
        <n v="25538.592199384497" u="1"/>
        <n v="195351.46601073103" u="1"/>
        <n v="10795.750339454607" u="1"/>
        <n v="17315.337214898696" u="1"/>
        <n v="52799.698037616683" u="1"/>
        <n v="106804.86569119898" u="1"/>
        <n v="33004.611246059299" u="1"/>
        <n v="8086.129755284529" u="1"/>
        <n v="5094.6715346266028" u="1"/>
        <n v="4960.7233073902335" u="1"/>
        <n v="21119.879215046672" u="1"/>
        <n v="81924.629995118667" u="1"/>
        <n v="12576.250223859168" u="1"/>
        <n v="29813.628153064739" u="1"/>
        <n v="5615.9678821828657" u="1"/>
        <n v="1379.7909253277501" u="1"/>
        <n v="1030.8601447615169" u="1"/>
        <n v="40015.792625502188" u="1"/>
        <n v="245.95059340431629" u="1"/>
        <n v="241106.80902546571" u="1"/>
        <n v="159001.50677502417" u="1"/>
        <n v="12645.35049981444" u="1"/>
        <n v="4890.1733752960417" u="1"/>
        <n v="3692.0100262706092" u="1"/>
        <n v="13681.854639143492" u="1"/>
        <n v="1638.1114369815793" u="1"/>
        <n v="1451.1057950606735" u="1"/>
        <n v="2764.0110382108064" u="1"/>
        <n v="2889.0036119667257" u="1"/>
        <n v="27640.110382108061" u="1"/>
        <n v="1588.9680938721319" u="1"/>
        <n v="1969.3578647251998" u="1"/>
        <n v="1368.1854639143489" u="1"/>
        <n v="3243.4606452235266" u="1"/>
        <n v="20272.635738299072" u="1"/>
        <n v="44229.00879850264" u="1"/>
        <n v="6880.4678504857466" u="1"/>
        <n v="6019.3931723021115" u="1"/>
        <n v="48247.455615593724" u="1"/>
        <n v="1474.3002932834215" u="1"/>
        <n v="308995.04062653234" u="1"/>
        <n v="12734.423815905962" u="1"/>
        <n v="172393.4830828862" u="1"/>
        <n v="140088.27843003604" u="1"/>
        <n v="503409.83776898275" u="1"/>
        <n v="51513.128214323624" u="1"/>
        <n v="91821.219839303754" u="1"/>
        <n v="1965.733724377895" u="1"/>
        <n v="28469.313693571308" u="1"/>
        <n v="15531.857481764133" u="1"/>
        <n v="23615.864940461281" u="1"/>
        <n v="11466.780058871056" u="1"/>
        <n v="6877.8130146620879" u="1"/>
        <n v="69454.636344784361" u="1"/>
        <n v="12177.111566942713" u="1"/>
        <n v="4827.6770884180814" u="1"/>
        <n v="61481.862612355726" u="1"/>
        <n v="34550.13797763508" u="1"/>
        <n v="3715.7908298650982" u="1"/>
        <n v="13509.103949255317" u="1"/>
        <n v="5720.9874158025304" u="1"/>
        <n v="20799.183062536322" u="1"/>
        <n v="70482.281474375559" u="1"/>
        <n v="14254.952032730556" u="1"/>
        <n v="11099.855982819527" u="1"/>
        <n v="115397.46084530116" u="1"/>
        <n v="852.39780968599007" u="1"/>
        <n v="6700.6328199049858" u="1"/>
        <n v="45606.182130478301" u="1"/>
        <n v="57430.160683437767" u="1"/>
        <n v="229.83454818575848" u="1"/>
        <n v="6486.0567553202845" u="1"/>
        <n v="15376.036643731302" u="1"/>
        <n v="5753.2076815934943" u="1"/>
        <n v="6857.0074171080096" u="1"/>
        <n v="15583.548695023941" u="1"/>
        <n v="1850.9695642928914" u="1"/>
        <n v="160.52656398292331" u="1"/>
        <n v="359.82294019245796" u="1"/>
        <n v="2534.151002606658" u="1"/>
        <n v="9974.4617715148088" u="1"/>
        <n v="5339.6740870256235" u="1"/>
        <n v="2837.20835366437" u="1"/>
        <n v="10243.668697253308" u="1"/>
        <n v="938.32077664084363" u="1"/>
        <n v="1341.0740516534947" u="1"/>
        <n v="478.95501844767676" u="1"/>
        <n v="20353.868835510035" u="1"/>
        <n v="56071.264009669518" u="1"/>
        <n v="55643.078223177305" u="1"/>
        <n v="28545.719099481536" u="1"/>
        <n v="54792.454110414226" u="1"/>
        <n v="16437.736233124266" u="1"/>
        <n v="41856.868902513939" u="1"/>
        <n v="11040.871085255843" u="1"/>
        <n v="302.68041345819381" u="1"/>
        <n v="251.96099282465863" u="1"/>
        <n v="3247.3150250752483" u="1"/>
        <n v="3669.4659783350303" u="1"/>
        <n v="1986.2264615025153" u="1"/>
        <n v="4708.6067863591097" u="1"/>
        <n v="2015.4345466552086" u="1"/>
        <n v="1832.4435841793354" u="1"/>
        <n v="109.94661505076013" u="1"/>
        <n v="171.43396626970511" u="1"/>
        <n v="3761.534543621191" u="1"/>
        <n v="12431.038026300226" u="1"/>
        <n v="110.43744815366531" u="1"/>
        <n v="3547.7903296285085" u="1"/>
        <n v="5702.9174046564858" u="1"/>
        <n v="2841.4006469408423" u="1"/>
        <n v="2971.2932479438523" u="1"/>
        <n v="10233.022756511096" u="1"/>
        <n v="121.32026408283343" u="1"/>
        <n v="98.166620581035829" u="1"/>
        <n v="1881.7856044178434" u="1"/>
        <n v="835.58492518381695" u="1"/>
        <n v="1980.8621652959016" u="1"/>
        <n v="248.95698694895481" u="1"/>
        <n v="4364.5925548088817" u="1"/>
        <n v="9930.5561246253874" u="1"/>
        <n v="3133.6589991976148" u="1"/>
        <n v="92.373180677892719" u="1"/>
        <n v="1379.007289114551" u="1"/>
        <n v="1130.3338435365172" u="1"/>
        <n v="1099.4661505076015" u="1"/>
        <n v="33642.758405801709" u="1"/>
        <n v="96802.147469329109" u="1"/>
        <n v="3355.0407137315915" u="1"/>
        <n v="3531.271490345594" u="1"/>
        <n v="211.87628942073565" u="1"/>
        <n v="1477.5283364092379" u="1"/>
        <n v="122.39178225010455" u="1"/>
        <n v="9345.2106682782523" u="1"/>
        <n v="2088.962312959542" u="1"/>
        <n v="4952.1554132397532" u="1"/>
        <n v="2773.8679893397202" u="1"/>
        <n v="1253.3773877757253" u="1"/>
        <n v="8910.1205855434346" u="1"/>
        <n v="5344.2134215293609" u="1"/>
        <n v="2467.9594190571888" u="1"/>
        <n v="7650.2527186610532" u="1"/>
        <n v="3718.1757037111593" u="1"/>
        <n v="1041.0566280978703" u="1"/>
        <n v="14533.928351196229" u="1"/>
        <n v="9748.4907938111955" u="1"/>
        <n v="1150.6415363186986" u="1"/>
        <n v="2727.7446210632088" u="1"/>
        <n v="15965.167281589225" u="1"/>
        <n v="1403.6269672297028" u="1"/>
        <n v="3044.7650890654563" u="1"/>
        <n v="134.48827019601907" u="1"/>
        <n v="4902.0982277450594" u="1"/>
        <n v="10227.924767277324" u="1"/>
        <n v="4383.3963288331388" u="1"/>
        <n v="10391.408080240795" u="1"/>
        <n v="12773.490864490315" u="1"/>
        <n v="16099.785572107588" u="1"/>
        <n v="17653.306827563811" u="1"/>
        <n v="98544.995045609496" u="1"/>
        <n v="4998.853527538402" u="1"/>
        <n v="9365.3431433495189" u="1"/>
        <n v="1330.7030789873745" u="1"/>
        <n v="2512.7369237318626" u="1"/>
        <n v="23380.071582196932" u="1"/>
        <n v="24928.283601317202" u="1"/>
        <n v="133316.08119185295" u="1"/>
        <n v="50653.379441861514" u="1"/>
        <n v="7997.590898039306" u="1"/>
        <n v="3150.5661113488177" u="1"/>
        <n v="32748.764916118198" u="1"/>
        <n v="16185.422729406029" u="1"/>
        <n v="52606.503406219017" u="1"/>
        <n v="1124.8015538571824" u="1"/>
        <n v="21492.34012480998" u="1"/>
        <n v="50950.372743430649" u="1"/>
        <n v="33697.359277904754" u="1"/>
        <n v="128756.04074423359" u="1"/>
        <n v="22108.75523355214" u="1"/>
        <n v="95612.832422672815" u="1"/>
        <n v="101366.04010426631" u="1"/>
        <n v="240301.31185556838" u="1"/>
        <n v="70885.342730256161" u="1"/>
        <n v="28355.095002139358" u="1"/>
        <n v="1616.3773962572195" u="1"/>
        <n v="3831.8317295887932" u="1"/>
        <n v="144.83599757857746" u="1"/>
        <n v="73733.592433960832" u="1"/>
        <n v="35111.234492362288" u="1"/>
        <n v="4238.7519132619391" u="1"/>
        <n v="25842.49697536285" u="1"/>
        <n v="6027.1699521455648" u="1"/>
        <n v="9914.3688818669089" u="1"/>
        <n v="59551.365542360894" u="1"/>
        <n v="6582.3490652624605" u="1"/>
        <n v="14981.712977043329" u="1"/>
        <n v="38251.263593305259" u="1"/>
        <n v="35753.513172100626" u="1"/>
        <n v="565.16692176825859" u="1"/>
        <n v="28035.632004834759" u="1"/>
        <n v="11521.971822186166" u="1"/>
        <n v="4027.4369591228246" u="1"/>
        <n v="31257.562413932283" u="1"/>
        <n v="3137.1553708322826" u="1"/>
        <n v="4486.1321802901639" u="1"/>
        <n v="18541.242813477336" u="1"/>
        <n v="18766.415532816867" u="1"/>
        <n v="69862.77376587037" u="1"/>
        <n v="38654.064763819755" u="1"/>
        <n v="13643.193352154887" u="1"/>
        <n v="20630.189161269598" u="1"/>
        <n v="16717.931304983071" u="1"/>
        <n v="2359.0768995683025" u="1"/>
        <n v="4801.1887914250465" u="1"/>
        <n v="3760.1321633271759" u="1"/>
        <n v="8913.879743831556" u="1"/>
        <n v="7533.9624401819556" u="1"/>
        <n v="17860.232637913865" u="1"/>
        <n v="1815.000042407471" u="1"/>
        <n v="4915.1385763806611" u="1"/>
        <n v="4302.6924082247033" u="1"/>
        <n v="4726.6154950527425" u="1"/>
        <n v="923.10597222148908" u="1"/>
        <n v="39964.006739274148" u="1"/>
        <n v="42532.642503209041" u="1"/>
        <n v="3479.3208360113031" u="1"/>
        <n v="43204.534971737987" u="1"/>
        <n v="79517.549027738627" u="1"/>
        <n v="188506.63720561814" u="1"/>
        <n v="5138.229437906677" u="1"/>
        <n v="7712.2360836796852" u="1"/>
        <n v="6273.7359956424289" u="1"/>
        <n v="315879.15296542121" u="1"/>
        <n v="24209.579665801903" u="1"/>
        <n v="101480.03139865687" u="1"/>
        <n v="25313.251679978166" u="1"/>
        <n v="193627.77660475404" u="1"/>
        <n v="10700.493718812362" u="1"/>
        <n v="17162.554827708416" u="1"/>
        <n v="52333.818349049485" u="1"/>
        <n v="105862.46981745311" u="1"/>
        <n v="32713.394088005836" u="1"/>
        <n v="8014.781551561432" u="1"/>
        <n v="5049.718550497545" u="1"/>
        <n v="4916.9522193838493" u="1"/>
        <n v="20933.527339619792" u="1"/>
        <n v="81201.765612808784" u="1"/>
        <n v="12465.283310119235" u="1"/>
        <n v="29550.566728184756" u="1"/>
        <n v="5566.4152243989001" u="1"/>
        <n v="1367.6162995160344" u="1"/>
        <n v="1021.7643199547977" u="1"/>
        <n v="243.78044110957231" u="1"/>
        <n v="238979.39600465278" u="1"/>
        <n v="157598.55230347984" u="1"/>
        <n v="12533.773877757256" u="1"/>
        <n v="4847.0247866904892" u="1"/>
        <n v="3659.43346721528" u="1"/>
        <n v="13561.132392327521" u="1"/>
        <n v="1623.6575125376241" u="1"/>
        <n v="1438.3019203983736" u="1"/>
        <n v="2739.622705520711" u="1"/>
        <n v="2863.512403625843" u="1"/>
        <n v="27396.227055207113" u="1"/>
        <n v="1574.9477871614954" u="1"/>
        <n v="1951.981177683507" u="1"/>
        <n v="1356.113239232752" u="1"/>
        <n v="3214.8418748244953" u="1"/>
        <n v="20093.7595406082" u="1"/>
        <n v="43838.752838515851" u="1"/>
        <n v="6819.7578400402863" u="1"/>
        <n v="5966.2808796053287" u="1"/>
        <n v="47821.742771926729" u="1"/>
        <n v="1461.2917612838619" u="1"/>
        <n v="306268.61379747471" u="1"/>
        <n v="12622.061252824442" u="1"/>
        <n v="170872.3641145078" u="1"/>
        <n v="138852.20538506514" u="1"/>
        <n v="498967.98625925649" u="1"/>
        <n v="51058.600612432543" u="1"/>
        <n v="184373.18355316197" u="1"/>
        <n v="91011.03260542755" u="1"/>
        <n v="1948.3890150451489" u="1"/>
        <n v="28218.113866863328" u="1"/>
        <n v="15394.811680454452" u="1"/>
        <n v="23407.489661574862" u="1"/>
        <n v="11365.602587763369" u="1"/>
        <n v="6817.1264292385986" u="1"/>
        <n v="68841.801318212732" u="1"/>
        <n v="12069.666464881453" u="1"/>
        <n v="4785.0799376379218" u="1"/>
        <n v="60939.375589305535" u="1"/>
        <n v="34245.283819008888" u="1"/>
        <n v="3683.0044401898185" u="1"/>
        <n v="13389.905973232477" u="1"/>
        <n v="5670.5081150748611" u="1"/>
        <n v="20615.660859043353" u="1"/>
        <n v="69860.378990778132" u="1"/>
        <n v="14129.173044206464" u="1"/>
        <n v="11001.916077088767" u="1"/>
        <n v="114379.24795548969" u="1"/>
        <n v="844.8766525417019" u="1"/>
        <n v="6641.5095891411183" u="1"/>
        <n v="45203.774641091732" u="1"/>
        <n v="56923.423971525081" u="1"/>
        <n v="144434.77880722482" u="1"/>
        <n v="2665.175756629536" u="1"/>
        <n v="12529.483407229387" u="1"/>
        <n v="22143.589902077827" u="1"/>
        <n v="80108.898350104879" u="1"/>
        <n v="3307.372486784855" u="1"/>
        <n v="178.84809250000001" u="1"/>
        <n v="29518.13706761818" u="1"/>
        <n v="449.87427796229059" u="1"/>
        <n v="643.85198301851733" u="1"/>
        <n v="326.34012339069994" u="1"/>
        <n v="212312.16893107025" u="1"/>
        <n v="12851.025438834247" u="1"/>
        <n v="3208.1969919999997" u="1"/>
        <n v="66568.210062330516" u="1"/>
        <n v="9672.7487999999994" u="1"/>
        <n v="1620.8079433625871" u="1"/>
        <n v="4922.1493560253311" u="1"/>
        <n v="25635.83292200209" u="1"/>
        <n v="1018.7387479648856" u="1"/>
        <n v="29822.12711748706" u="1"/>
        <n v="47293.041808209913" u="1"/>
        <n v="2346.5328099054823" u="1"/>
        <n v="8404.056856122259" u="1"/>
        <n v="1018.738747964886" u="1"/>
        <n v="22808.633868123274" u="1"/>
        <n v="36548.619871930539" u="1"/>
        <n v="8332.4711534999988" u="1"/>
        <n v="20804.873673497339" u="1"/>
        <n v="25654.818806692005" u="1"/>
        <n v="68693.803743768585" u="1"/>
        <n v="2841.4871051909586" u="1"/>
        <n v="622.05206689483907" u="1"/>
        <n v="35384.268224995321" u="1"/>
        <n v="3566.0624999999995" u="1"/>
        <n v="2662.0352897892872" u="1"/>
        <n v="4855.068515903542" u="1"/>
        <n v="89225.277954391306" u="1"/>
        <n v="1541.1735009652684" u="1"/>
        <n v="2393.3083871832209" u="1"/>
        <n v="43917.181699099478" u="1"/>
        <n v="2009.5920000000001" u="1"/>
        <n v="14126.850045207322" u="1"/>
        <n v="42193.8" u="1"/>
        <n v="2349.0769233145961" u="1"/>
        <n v="6187.2460994387366" u="1"/>
        <n v="134156.67485291205" u="1"/>
        <n v="139.5264589212708" u="1"/>
        <n v="1139.9328411465935" u="1"/>
        <n v="848.25281641536026" u="1"/>
        <n v="5235.5159999999996" u="1"/>
        <n v="6147.8393896868456" u="1"/>
        <n v="6717.1380551598995" u="1"/>
        <n v="2454.8545275613365" u="1"/>
        <n v="17101.1220883596" u="1"/>
        <n v="371.18828692020332" u="1"/>
        <n v="4183.0087803405477" u="1"/>
        <n v="10075.707082739849" u="1"/>
        <n v="334755.73258501798" u="1"/>
        <n v="56.839571250000006" u="1"/>
        <n v="7904.974944901749" u="1"/>
        <n v="173185.58715403063" u="1"/>
        <n v="11121.88" u="1"/>
        <n v="15502.603799875764" u="1"/>
        <n v="30682.080000000005" u="1"/>
        <n v="25280.401619131295" u="1"/>
        <n v="208865.04674788789" u="1"/>
        <n v="319.50767023594466" u="1"/>
        <n v="1540.4785210297596" u="1"/>
        <n v="139.89418612513029" u="1"/>
        <n v="38704.140813842227" u="1"/>
        <n v="2173.0004426874962" u="1"/>
        <n v="11783.225810542912" u="1"/>
        <n v="7320.8772000755471" u="1"/>
        <n v="9402.2025255228364" u="1"/>
        <n v="2787.4875155922059" u="1"/>
        <n v="528.41387495206607" u="1"/>
        <n v="188247.9119580714" u="1"/>
        <n v="62.667395725201231" u="1"/>
        <n v="1269.4940140711001" u="1"/>
        <n v="2222.6201939685275" u="1"/>
        <n v="55747.663807442972" u="1"/>
        <n v="1255.9879946379608" u="1"/>
        <n v="5004.0793957960659" u="1"/>
        <n v="3879.4333207575519" u="1"/>
        <n v="1526.3344212816598" u="1"/>
        <n v="2016.2206099452183" u="1"/>
        <n v="4900.8960000000006" u="1"/>
        <n v="195012.86024118552" u="1"/>
        <n v="27505.53681300785" u="1"/>
        <n v="1952.8916176862476" u="1"/>
        <n v="3792.0950440919059" u="1"/>
        <n v="5024.5046244240202" u="1"/>
        <n v="5234.0613858833058" u="1"/>
        <n v="6649.5028236699927" u="1"/>
        <n v="27969.722393616627" u="1"/>
        <n v="2155.2680721574106" u="1"/>
        <n v="3912.2950357027967" u="1"/>
        <n v="7690.7498766006274" u="1"/>
        <n v="339.97224913935241" u="1"/>
        <n v="3461.1108809360326" u="1"/>
        <n v="92155.379791640327" u="1"/>
        <n v="7322.7816502972682" u="1"/>
        <n v="9455.1689813908124" u="1"/>
        <n v="10733.140380344334" u="1"/>
        <n v="92.625334695941376" u="1"/>
        <n v="2177.5540737749438" u="1"/>
        <n v="2345.0319894322456" u="1"/>
        <n v="21028.163999999997" u="1"/>
        <n v="125.75374745249782" u="1"/>
        <n v="27885.718136572967" u="1"/>
        <n v="30098.651394705561" u="1"/>
        <n v="100865.26633969635" u="1"/>
        <n v="4542.3269635302595" u="1"/>
        <n v="14148.532263928968" u="1"/>
        <n v="553.02960603808094" u="1"/>
        <n v="2975.1548760762685" u="1"/>
        <n v="3902.1332399726434" u="1"/>
        <n v="44855.5400587412" u="1"/>
        <n v="237.11462656665631" u="1"/>
        <n v="5827.2146883312571" u="1"/>
        <n v="42929.37785764422" u="1"/>
        <n v="791.03244409392369" u="1"/>
        <n v="8463.2934271406666" u="1"/>
        <n v="4294.5636746104283" u="1"/>
        <n v="12562.531786720994" u="1"/>
        <n v="153825.89089479228" u="1"/>
        <n v="526.3677576627714" u="1"/>
        <n v="7076.290988919628" u="1"/>
        <n v="18678.013985485148" u="1"/>
        <n v="73.858002104701441" u="1"/>
        <n v="38.101847912634703" u="1"/>
        <n v="2052.0309066149844" u="1"/>
        <n v="10732.230792176511" u="1"/>
        <n v="2609.4973291057308" u="1"/>
        <n v="3945.8289931516779" u="1"/>
        <n v="14232.130465655708" u="1"/>
        <n v="2228.6320771545656" u="1"/>
        <n v="61670.077778588631" u="1"/>
        <n v="1503.2081421713319" u="1"/>
        <n v="5231.2973620254543" u="1"/>
        <n v="84.045946501251677" u="1"/>
        <n v="722.22668545972226" u="1"/>
        <n v="19137.622262121837" u="1"/>
        <n v="19497.027696162488" u="1"/>
        <n v="33165.531036376065" u="1"/>
        <n v="88245.117116995039" u="1"/>
        <n v="110.02378478020769" u="1"/>
        <n v="2719.6686151379063" u="1"/>
        <n v="1360.5048978909613" u="1"/>
        <n v="3092.9017834355864" u="1"/>
        <n v="10323.630497076334" u="1"/>
        <n v="2206.1279279248756" u="1"/>
        <n v="9818.7427410323908" u="1"/>
        <n v="28008.686876660428" u="1"/>
        <n v="1094.3482617350478" u="1"/>
        <n v="2570.2778611154072" u="1"/>
        <n v="18965.368046800304" u="1"/>
        <n v="5290.2727847124115" u="1"/>
        <n v="13411.604658140939" u="1"/>
        <n v="41665.030173350009" u="1"/>
        <n v="103.75949629366458" u="1"/>
        <n v="1266.5063807750594" u="1"/>
        <n v="13595.386914151337" u="1"/>
        <n v="49332.423749371068" u="1"/>
        <n v="198.10830295245728" u="1"/>
        <n v="19829.965707757379" u="1"/>
        <n v="126.56350862690991" u="1"/>
        <n v="62.311252010397872" u="1"/>
        <n v="803.75568755529412" u="1"/>
        <n v="18268.25" u="1"/>
        <n v="6670.115689734992" u="1"/>
        <n v="8081.1602582412934" u="1"/>
        <n v="8977.8246919863832" u="1"/>
        <n v="60.423032400499473" u="1"/>
        <n v="186.00132060342889" u="1"/>
        <n v="3152.1920001948242" u="1"/>
        <n v="25266.109430833039" u="1"/>
        <n v="2895.0811295188128" u="1"/>
        <n v="4686.198240638475" u="1"/>
        <n v="13567.417111289498" u="1"/>
        <n v="85.203965934578605" u="1"/>
        <n v="58.261094484588035" u="1"/>
        <n v="42705.638118660565" u="1"/>
        <n v="45368.211126653754" u="1"/>
        <n v="1236.3214442609265" u="1"/>
        <n v="40477.886252471471" u="1"/>
        <n v="35948.402385200556" u="1"/>
        <n v="24917.409427423096" u="1"/>
        <n v="753.27638682762472" u="1"/>
        <n v="8651.4518967233053" u="1"/>
        <n v="119124.54730857415" u="1"/>
        <n v="5723.1287519598773" u="1"/>
        <n v="7149.9940285179964" u="1"/>
        <n v="7225.4872916049726" u="1"/>
        <n v="7870.4190082149189" u="1"/>
        <n v="19819.800000000003" u="1"/>
        <n v="25899.938999999998" u="1"/>
        <n v="792.62081242809904" u="1"/>
        <n v="8205.485800675775" u="1"/>
        <n v="20611.890000000007" u="1"/>
        <n v="297.21158295772068" u="1"/>
        <n v="2305.2227320257621" u="1"/>
        <n v="5140.9121940000005" u="1"/>
        <n v="6906.2005033202622" u="1"/>
        <n v="393.99630118725185" u="1"/>
        <n v="1523.6520315689966" u="1"/>
        <n v="16234.975426953875" u="1"/>
        <n v="55770" u="1"/>
        <n v="3155.0247988380584" u="1"/>
        <n v="156.84746461317573" u="1"/>
        <n v="3034.1196395269112" u="1"/>
        <n v="4438.0262049288858" u="1"/>
        <n v="4384.3570813330516" u="1"/>
        <n v="645.31146429017099" u="1"/>
        <n v="816.12115967152943" u="1"/>
        <n v="23.339463902343727" u="1"/>
        <n v="24113.96394733178" u="1"/>
        <n v="30129.538050644158" u="1"/>
        <n v="6341.4" u="1"/>
        <n v="104842.52999999998" u="1"/>
        <n v="9384.0801412926721" u="1"/>
        <n v="47738.858028417402" u="1"/>
        <n v="2775.7974884593086" u="1"/>
        <n v="1505.9795436133884" u="1"/>
        <n v="67645.730779958321" u="1"/>
        <n v="105478.23342919561" u="1"/>
        <n v="234.55122577284794" u="1"/>
        <n v="4120.0705649837028" u="1"/>
        <n v="196091.57495632439" u="1"/>
        <n v="473.45883311668075" u="1"/>
        <n v="24884.967828511843" u="1"/>
        <n v="195.01286024118554" u="1"/>
        <n v="1733.4643945329944" u="1"/>
        <n v="53.512535650582116" u="1"/>
        <n v="92.380048068543019" u="1"/>
        <n v="901.6292691489798" u="1"/>
        <n v="1666.6769664455126" u="1"/>
        <n v="2072.114613360578" u="1"/>
        <n v="6721.0673111724273" u="1"/>
        <n v="7440.5759999999991" u="1"/>
        <n v="1666.6769664455128" u="1"/>
        <n v="16398.965037565653" u="1"/>
        <n v="153495.80999999997" u="1"/>
        <n v="647.46414112755588" u="1"/>
        <n v="197.72021200085163" u="1"/>
        <n v="1092.5973071923402" u="1"/>
        <n v="6282.4345009685621" u="1"/>
        <n v="2525.2109999999998" u="1"/>
        <n v="16236.027517267992" u="1"/>
        <n v="102958.15509453899" u="1"/>
        <n v="791.50440586319371" u="1"/>
        <n v="50.209266863983657" u="1"/>
        <n v="2450.8568935763492" u="1"/>
        <n v="42897.451418099263" u="1"/>
        <n v="2127.318469123119" u="1"/>
        <n v="554.28028841125808" u="1"/>
        <n v="2709.2435977749465" u="1"/>
        <n v="9243.3732188471968" u="1"/>
        <n v="50.993786533835731" u="1"/>
        <n v="22534.819405648108" u="1"/>
        <n v="25502.62555400034" u="1"/>
        <n v="2236.5286620767652" u="1"/>
        <n v="99105.929539944715" u="1"/>
        <n v="760.56615446357569" u="1"/>
        <n v="939.90777341998421" u="1"/>
        <n v="1011.8124596447583" u="1"/>
        <n v="849.52692203832169" u="1"/>
        <n v="67302.418261547384" u="1"/>
        <n v="1961.5923742644015" u="1"/>
        <n v="3149.1199457360344" u="1"/>
        <n v="3717.4956000000006" u="1"/>
        <n v="105067.98577051704" u="1"/>
        <n v="24359.066690867239" u="1"/>
        <n v="8518.1794723042149" u="1"/>
        <n v="19739.029630901725" u="1"/>
        <n v="335.56196143088886" u="1"/>
        <n v="887.73530991947098" u="1"/>
        <n v="110744.90627965996" u="1"/>
        <n v="776.17705207444646" u="1"/>
        <n v="4839.0090528332075" u="1"/>
        <n v="11625.9" u="1"/>
        <n v="4918.3137591692303" u="1"/>
        <n v="20181.532903613064" u="1"/>
        <n v="80.106292759005498" u="1"/>
        <n v="12160.147747654313" u="1"/>
        <n v="16161.335129303186" u="1"/>
        <n v="17319.618343198119" u="1"/>
        <n v="7242.4774652629831" u="1"/>
        <n v="39023.677336141998" u="1"/>
        <n v="1324.9430740292189" u="1"/>
        <n v="93336.18156605243" u="1"/>
        <n v="1042.4498897705248" u="1"/>
        <n v="3422.93" u="1"/>
        <n v="11257.233116728825" u="1"/>
        <n v="38786.355456371442" u="1"/>
        <n v="2885.2022914246654" u="1"/>
        <n v="3964.5673718122057" u="1"/>
        <n v="86600" u="1"/>
        <n v="13413.582979552446" u="1"/>
        <n v="13991.39886174855" u="1"/>
        <n v="531.96126879789813" u="1"/>
        <n v="6836.1235570721828" u="1"/>
        <n v="8633.8108890024087" u="1"/>
        <n v="17263.98342533351" u="1"/>
        <n v="29831.80854652464" u="1"/>
        <n v="70.170724959821342" u="1"/>
        <n v="250.08253469729013" u="1"/>
        <n v="4927.0935710054582" u="1"/>
        <n v="23489.116103555618" u="1"/>
        <n v="24115.626788197016" u="1"/>
        <n v="3895.9252911850504" u="1"/>
        <n v="20998.354497602788" u="1"/>
        <n v="87212.677699780979" u="1"/>
        <n v="241.68462549961333" u="1"/>
        <n v="14457.314507472927" u="1"/>
        <n v="553.23331740414721" u="1"/>
        <n v="5371.6615967849102" u="1"/>
        <n v="14598.807171625702" u="1"/>
        <n v="784.55140293857664" u="1"/>
        <n v="54729.294582165523" u="1"/>
        <n v="207131.92500000005" u="1"/>
        <n v="5224.7608468672879" u="1"/>
        <n v="6753.4012887489189" u="1"/>
        <n v="7945.6537548792267" u="1"/>
        <n v="24.123983688554649" u="1"/>
        <n v="2417.6597619922259" u="1"/>
        <n v="9071.92" u="1"/>
        <n v="1810.8263118357347" u="1"/>
        <n v="187.148" u="1"/>
        <n v="1925.0627518732435" u="1"/>
        <n v="11668.879179414853" u="1"/>
        <n v="12645.413034000821" u="1"/>
        <n v="2454.3857166724433" u="1"/>
        <n v="3877.7271702535422" u="1"/>
        <n v="20144.762802018762" u="1"/>
        <n v="21099.566026835997" u="1"/>
        <n v="24747.529056689989" u="1"/>
        <n v="1066.2566898839682" u="1"/>
        <n v="16149.953907381147" u="1"/>
        <n v="25984.205126636974" u="1"/>
        <n v="901.39277622592431" u="1"/>
        <n v="139435.90543468736" u="1"/>
        <n v="357.28533251795017" u="1"/>
        <n v="4165.5272234682861" u="1"/>
        <n v="4191.744681110139" u="1"/>
        <n v="4198.6517059785092" u="1"/>
        <n v="39920.005509538321" u="1"/>
        <n v="2951.6135973653863" u="1"/>
        <n v="21137.999999999996" u="1"/>
        <n v="815.5458451567888" u="1"/>
        <n v="244.97483329968119" u="1"/>
        <n v="42928.155598546684" u="1"/>
        <n v="273.96049685514834" u="1"/>
        <n v="3840.2193831593349" u="1"/>
        <n v="4199.6708995205581" u="1"/>
        <n v="4744.9940198067343" u="1"/>
        <n v="9603.6782939268996" u="1"/>
        <n v="18018" u="1"/>
        <n v="1242.4018577253553" u="1"/>
        <n v="290.38893326052079" u="1"/>
        <n v="28314.729184827931" u="1"/>
        <n v="35928.641582302931" u="1"/>
        <n v="132.3422711622737" u="1"/>
        <n v="5668.0156405984562" u="1"/>
        <n v="7273.9374764204113" u="1"/>
        <n v="13555.825319678725" u="1"/>
        <n v="22264.320000000007" u="1"/>
        <n v="2823.3017847951719" u="1"/>
        <n v="19755.591715416984" u="1"/>
        <n v="18925.580670712934" u="1"/>
        <n v="45203.949793662883" u="1"/>
        <n v="9854.918767856032" u="1"/>
        <n v="1182.4646152773507" u="1"/>
        <n v="77088.688729037181" u="1"/>
        <n v="76.999139585322865" u="1"/>
        <n v="195.02861885615454" u="1"/>
        <n v="347.74166700358842" u="1"/>
        <n v="1983.3873195497313" u="1"/>
        <n v="153.3672" u="1"/>
        <n v="158.12751009557397" u="1"/>
        <n v="2383.1209997035721" u="1"/>
        <n v="2210.3933847781873" u="1"/>
        <n v="10106.055744034547" u="1"/>
        <n v="14005.052159109246" u="1"/>
        <n v="351.78863595622323" u="1"/>
        <n v="3320.5652970360597" u="1"/>
        <n v="2737.1676133632423" u="1"/>
        <n v="21851.946143846802" u="1"/>
        <n v="321.39557606659849" u="1"/>
        <n v="714.14040851509992" u="1"/>
        <n v="843.65321097956462" u="1"/>
        <n v="6861.8579454558931" u="1"/>
        <n v="25633.211488902416" u="1"/>
        <n v="41211.029374604812" u="1"/>
        <n v="4812.346749663815" u="1"/>
        <n v="19727.451331543802" u="1"/>
        <n v="900.49228614753304" u="1"/>
        <n v="4079.1831456173909" u="1"/>
        <n v="10571.233660579515" u="1"/>
        <n v="23149.405389438507" u="1"/>
        <n v="62881.251296314491" u="1"/>
        <n v="3557.0333943787969" u="1"/>
        <n v="19839.539123200298" u="1"/>
        <n v="119718.78186500681" u="1"/>
        <n v="1187.4795585667998" u="1"/>
        <n v="16794.781464842257" u="1"/>
        <n v="19713.2" u="1"/>
        <n v="2312.937284005538" u="1"/>
        <n v="3223.3246372076023" u="1"/>
        <n v="27467.137099891355" u="1"/>
        <n v="3001.791028520598" u="1"/>
        <n v="53575.418777726991" u="1"/>
        <n v="7927.4672865951516" u="1"/>
        <n v="167.23615286591573" u="1"/>
        <n v="1510.4351043933095" u="1"/>
        <n v="29429.745362860791" u="1"/>
        <n v="10330.491255312892" u="1"/>
        <n v="171121.84488063087" u="1"/>
        <n v="1933.3569336234361" u="1"/>
        <n v="172.92310281176481" u="1"/>
        <n v="5419.629486687857" u="1"/>
        <n v="7954.9999059290194" u="1"/>
        <n v="120472.86048066917" u="1"/>
        <n v="35255.926163881151" u="1"/>
        <n v="2128.4639999999999" u="1"/>
        <n v="4845.7741148314126" u="1"/>
        <n v="24486.636431092349" u="1"/>
        <n v="44277.205601427268" u="1"/>
        <n v="14656.279386170485" u="1"/>
        <n v="5388.0346101351261" u="1"/>
        <n v="41933.080357697603" u="1"/>
        <n v="506.03937170003269" u="1"/>
        <n v="3989.1163037229162" u="1"/>
        <n v="12817.916461001045" u="1"/>
        <n v="46590.57027887422" u="1"/>
        <n v="5950.0931209398177" u="1"/>
        <n v="65458.284940215934" u="1"/>
        <n v="2934.4041964594276" u="1"/>
        <n v="6975.54" u="1"/>
        <n v="4071.1887183806907" u="1"/>
        <n v="9703.3046567319725" u="1"/>
        <n v="81341.342940106479" u="1"/>
        <n v="196.58474228985955" u="1"/>
        <n v="5320.800077402695" u="1"/>
        <n v="12500.959063451799" u="1"/>
        <n v="3850.4349678471654" u="1"/>
        <n v="43279.738553017341" u="1"/>
        <n v="61496.118890871199" u="1"/>
        <n v="2318.650379551133" u="1"/>
        <n v="27159.938856010984" u="1"/>
        <n v="64888.207663584944" u="1"/>
        <n v="392.3735958958506" u="1"/>
        <n v="1196.6541935916105" u="1"/>
        <n v="5747.5" u="1"/>
        <n v="113.46202777668978" u="1"/>
        <n v="10926.481135427097" u="1"/>
        <n v="1126.7409702824054" u="1"/>
        <n v="1955.1313373226446" u="1"/>
        <n v="4357.3008128547381" u="1"/>
        <n v="5085.4801462132364" u="1"/>
        <n v="4186.5648168657317" u="1"/>
        <n v="9147.0460126985472" u="1"/>
        <n v="2136.8681897943238" u="1"/>
        <n v="2617.7579999999998" u="1"/>
        <n v="8554.5796340769648" u="1"/>
        <n v="11066.205958130769" u="1"/>
        <n v="20961.762523601297" u="1"/>
        <n v="26033.730354652827" u="1"/>
        <n v="39755.066855105906" u="1"/>
        <n v="594.07477065616899" u="1"/>
        <n v="13429.841868012507" u="1"/>
        <n v="72128.493930957018" u="1"/>
        <n v="392.15329364160311" u="1"/>
        <n v="4332.1865257206755" u="1"/>
        <n v="6995.1835238365993" u="1"/>
        <n v="9429.1797735292657" u="1"/>
        <n v="9521.2051055332504" u="1"/>
        <n v="155.56504516690939" u="1"/>
        <n v="8884.3569280698139" u="1"/>
        <n v="2420.3572593958265" u="1"/>
        <n v="5845.1411150508156" u="1"/>
        <n v="10682.089718261766" u="1"/>
        <n v="671.85811381030908" u="1"/>
        <n v="1252.4716172631411" u="1"/>
        <n v="72.004454706158157" u="1"/>
        <n v="9877.6499446069265" u="1"/>
        <n v="23719.679934249598" u="1"/>
        <n v="74859.106212062601" u="1"/>
        <n v="7099.0324538243567" u="1"/>
        <n v="770.23926051487979" u="1"/>
        <n v="10538.715883659386" u="1"/>
        <n v="135.82425282791567" u="1"/>
        <n v="261.40557025588453" u="1"/>
        <n v="2020.7467567486497" u="1"/>
        <n v="3955.2872888423876" u="1"/>
        <n v="14255.793436700054" u="1"/>
        <n v="42147.599060385917" u="1"/>
        <n v="70216.226935938175" u="1"/>
        <n v="108.60000000000001" u="1"/>
        <n v="189.11866117220143" u="1"/>
        <n v="2839.2083973386011" u="1"/>
        <n v="9161.6491440468762" u="1"/>
        <n v="69663.902432712144" u="1"/>
        <n v="6113.4512265372796" u="1"/>
        <n v="1820.0593290437944" u="1"/>
        <n v="2075.4095055397097" u="1"/>
        <n v="634.74700703555004" u="1"/>
        <n v="3762.5569264042492" u="1"/>
        <n v="12060.030515252152" u="1"/>
        <n v="25627.109908704868" u="1"/>
        <n v="1692.252402713171" u="1"/>
        <n v="24427.132310284145" u="1"/>
        <n v="122.4476222122961" u="1"/>
        <n v="5393.5735756941649" u="1"/>
        <n v="314.57197196087156" u="1"/>
        <n v="4119.6298594262971" u="1"/>
        <n v="1340.3605934361044" u="1"/>
        <n v="3646.6469694768939" u="1"/>
        <n v="8017.1100915804391" u="1"/>
        <n v="742.14765624999995" u="1"/>
        <n v="1046.2594724050907" u="1"/>
        <n v="2718.3013904264922" u="1"/>
        <n v="4025.2005092206609" u="1"/>
        <n v="3409.2856739695794" u="1"/>
        <n v="5812.5526244727271" u="1"/>
        <n v="1531.012597054714" u="1"/>
        <n v="2249.3713898114529" u="1"/>
        <n v="2468.0992682376495" u="1"/>
        <n v="115.33577968031032" u="1"/>
        <n v="199.17138363577874" u="1"/>
        <n v="1956.1475178513983" u="1"/>
        <n v="10171.96709282727" u="1"/>
        <n v="54823.630529036396" u="1"/>
        <n v="1088.7770368874719" u="1"/>
        <n v="3358.8330923942744" u="1"/>
        <n v="5222.2585698175972" u="1"/>
        <n v="53335.657704392535" u="1"/>
        <n v="325.7655913511777" u="1"/>
        <n v="1392.0046252192201" u="1"/>
        <n v="800.61907895080753" u="1"/>
        <n v="34342.524478837346" u="1"/>
        <n v="83.170467891863652" u="1"/>
        <n v="5988.6920496000021" u="1"/>
        <n v="4982.9422845099616" u="1"/>
        <n v="1826.7986844979623" u="1"/>
        <n v="89.719047890086173" u="1"/>
        <n v="226.61527639467022" u="1"/>
        <n v="1233.7869905360085" u="1"/>
        <n v="11625.580508761977" u="1"/>
        <n v="27497.845108082518" u="1"/>
        <n v="779.04710403189449" u="1"/>
        <n v="3458.9221844125623" u="1"/>
        <n v="12486.826367912459" u="1"/>
        <n v="3841.2749602255112" u="1"/>
        <n v="120.70992977188102" u="1"/>
        <n v="8140.4502468355213" u="1"/>
        <n v="219448.71234426551" u="1"/>
        <n v="3552.2306805618146" u="1"/>
        <n v="25101.222414882759" u="1"/>
        <n v="252724.85132230539" u="1"/>
        <n v="874.07784575387211" u="1"/>
        <n v="108789.08702599278" u="1"/>
        <n v="829.60978367474377" u="1"/>
        <n v="3286.4841654563111" u="1"/>
        <n v="7636.7999096918584" u="1"/>
        <n v="865.84861999999998" u="1"/>
        <n v="278.1752737298429" u="1"/>
        <n v="1116.0073660739156" u="1"/>
        <n v="13661.286610209121" u="1"/>
        <n v="2355.7969711420856" u="1"/>
        <n v="11782.491289238867" u="1"/>
        <n v="13934.160562960349" u="1"/>
        <n v="742.00896000000023" u="1"/>
        <n v="1026.3792860607405" u="1"/>
        <n v="44592.830648316391" u="1"/>
        <n v="51628.224279340313" u="1"/>
        <n v="507.49149889036102" u="1"/>
        <n v="7812.0707272913442" u="1"/>
        <n v="1062.3557719805535" u="1"/>
        <n v="1383.5688737650248" u="1"/>
        <n v="3270.2537016264228" u="1"/>
        <n v="48184.662054458546" u="1"/>
        <n v="10482.455581646738" u="1"/>
        <n v="2176.9025759179117" u="1"/>
        <n v="1042.1600368942882" u="1"/>
        <n v="10954.88134884471" u="1"/>
        <n v="71652.921443500178" u="1"/>
        <n v="114205.68432117853" u="1"/>
        <n v="8510.8994526687402" u="1"/>
        <n v="387.66192918651302" u="1"/>
        <n v="10419.252253411652" u="1"/>
        <n v="279.0456155550317" u="1"/>
        <n v="3237.2097358813048" u="1"/>
        <n v="55198.763868230664" u="1"/>
        <n v="1110.0614000145954" u="1"/>
        <n v="2429.4156205399754" u="1"/>
        <n v="4146.9120000000003" u="1"/>
        <n v="3964.212622717318" u="1"/>
        <n v="6770.8751596011798" u="1"/>
        <n v="1155.3588907723195" u="1"/>
        <n v="4997.2045436803792" u="1"/>
        <n v="15264.10224034054" u="1"/>
        <n v="231937.6628852103" u="1"/>
        <n v="501.67901068081363" u="1"/>
        <n v="4603.065367054558" u="1"/>
        <n v="5674.2118913820459" u="1"/>
        <n v="267.93996376291875" u="1"/>
        <n v="3088.7999999999997" u="1"/>
        <n v="15637.858082421277" u="1"/>
        <n v="23989.989922823799" u="1"/>
        <n v="329.68007428551527" u="1"/>
        <n v="56605.32017371132" u="1"/>
        <n v="189.48302442683854" u="1"/>
        <n v="1399.5505686595029" u="1"/>
        <n v="38309.428060374783" u="1"/>
        <n v="3733.7551294816285" u="1"/>
        <n v="47906.189505713453" u="1"/>
        <n v="443.98392499999994" u="1"/>
        <n v="22109.290499999996" u="1"/>
        <n v="90.365352000000016" u="1"/>
        <n v="3856.6822467655334" u="1"/>
        <n v="794.12542479705508" u="1"/>
        <n v="14520.438078564464" u="1"/>
        <n v="26672.035762789237" u="1"/>
        <n v="20353.090377376753" u="1"/>
        <n v="5292.7762840150699" u="1"/>
        <n v="1927.4537111495642" u="1"/>
        <n v="415.02482748237145" u="1"/>
        <n v="239955.67761782906" u="1"/>
        <n v="32277.666769501302" u="1"/>
        <n v="4424.1648392413617" u="1"/>
        <n v="156.88016373923642" u="1"/>
        <n v="9765.0884091141797" u="1"/>
        <n v="2192.1785406665258" u="1"/>
        <n v="818.08796416572216" u="1"/>
        <n v="4919.0118819339641" u="1"/>
        <n v="39079.758619833818" u="1"/>
        <n v="418.33633902154094" u="1"/>
        <n v="769.02041236999321" u="1"/>
        <n v="1227.8712595113918" u="1"/>
        <n v="1592.8629788218529" u="1"/>
        <n v="1667.112204383817" u="1"/>
        <n v="253.36476086118526" u="1"/>
        <n v="50.895169109577736" u="1"/>
        <n v="273.14932612906802" u="1"/>
        <n v="6293.3677240709603" u="1"/>
        <n v="1429.4869908334517" u="1"/>
        <n v="186.12356925318463" u="1"/>
        <n v="1372.7392385646924" u="1"/>
        <n v="6801.5611017548044" u="1"/>
        <n v="64190.091640330982" u="1"/>
        <n v="27088.786255235005" u="1"/>
        <n v="7931.0857908190083" u="1"/>
        <n v="18906.208721373107" u="1"/>
        <n v="1099.5772087496782" u="1"/>
        <n v="83657.249363385534" u="1"/>
        <n v="2226.909992253889" u="1"/>
        <n v="29363.325233752188" u="1"/>
        <n v="52042.996610320457" u="1"/>
        <n v="1189.8900000000001" u="1"/>
        <n v="2480.5328897427912" u="1"/>
        <n v="334.74190766477489" u="1"/>
        <n v="4209.1767961806736" u="1"/>
        <n v="41167.505580880956" u="1"/>
        <n v="13557.825897222423" u="1"/>
        <n v="23952.003305722992" u="1"/>
        <n v="42600.038722585319" u="1"/>
        <n v="5606.25" u="1"/>
        <n v="67636.976159525817" u="1"/>
        <n v="26299.582538148014" u="1"/>
        <n v="25.104633431991829" u="1"/>
        <n v="83.893135894908369" u="1"/>
        <n v="3840.7246593853242" u="1"/>
        <n v="10171.560645528691" u="1"/>
        <n v="16581.627395995834" u="1"/>
        <n v="693.7992900671361" u="1"/>
        <n v="37462.730242696314" u="1"/>
        <n v="8324.5509119416383" u="1"/>
        <n v="8350.3894897345745" u="1"/>
        <n v="3398.9675847465123" u="1"/>
        <n v="4508.7648656975052" u="1"/>
        <n v="4884.2701600642185" u="1"/>
        <n v="5874.6445380006671" u="1"/>
        <n v="11012.625530251013" u="1"/>
        <n v="1266.2422332697508" u="1"/>
        <n v="8024.7137568987337" u="1"/>
        <n v="12470.567448868762" u="1"/>
        <n v="7340.4044999999996" u="1"/>
        <n v="835.20277513153223" u="1"/>
        <n v="323.71587989439064" u="1"/>
        <n v="1207.0706456915236" u="1"/>
        <n v="1506.2850000000001" u="1"/>
        <n v="194.39127042852004" u="1"/>
        <n v="14823.404205035326" u="1"/>
        <n v="59719.197477908136" u="1"/>
        <n v="24634.433198486382" u="1"/>
        <n v="257764.88743469093" u="1"/>
        <n v="7521.0908201510729" u="1"/>
        <n v="53898.215245110739" u="1"/>
        <n v="129483.12715056186" u="1"/>
        <n v="160.95053479097231" u="1"/>
        <n v="238.76689405427015" u="1"/>
        <n v="2409.4025189463086" u="1"/>
        <n v="3430.7818005393747" u="1"/>
        <n v="7949.8005867974134" u="1"/>
        <n v="12699.674850320589" u="1"/>
        <n v="1157.8731416406495" u="1"/>
        <n v="29175.715496521283" u="1"/>
        <n v="33362.630346186263" u="1"/>
        <n v="52678.998225413852" u="1"/>
        <n v="712.18858390975436" u="1"/>
        <n v="7543.6865701207525" u="1"/>
        <n v="384858.97545547294" u="1"/>
        <n v="74.163862495984944" u="1"/>
        <n v="9887.9055511740444" u="1"/>
        <n v="1481.0831206589157" u="1"/>
        <n v="3514.3587406427405" u="1"/>
        <n v="4362.72" u="1"/>
        <n v="23672.941597852561" u="1"/>
        <n v="12506.837276971975" u="1"/>
        <n v="25267.813487412022" u="1"/>
        <n v="39918.822947148081" u="1"/>
        <n v="1169.2106451448715" u="1"/>
        <n v="2682.5089131828718" u="1"/>
        <n v="896.74235732764328" u="1"/>
        <n v="54787.451375503435" u="1"/>
        <n v="4780.1132189664886" u="1"/>
        <n v="349.07719910734289" u="1"/>
        <n v="29511.36063578448" u="1"/>
        <n v="19337.91546218811" u="1"/>
        <n v="100.19103426638799" u="1"/>
        <n v="12207.883844173059" u="1"/>
        <n v="60450.547294516364" u="1"/>
        <n v="38.899106503906218" u="1"/>
        <n v="2166.0660917999999" u="1"/>
        <n v="5202.8443072203418" u="1"/>
        <n v="1792.0584206785131" u="1"/>
        <n v="1308.1014806505691" u="1"/>
        <n v="6693.5642065602742" u="1"/>
        <n v="23709.472203408885" u="1"/>
        <n v="43606.338849890497" u="1"/>
        <n v="1968.434860134159" u="1"/>
        <n v="2802.3849325224901" u="1"/>
        <n v="29458.064526357281" u="1"/>
        <n v="276.61665870207361" u="1"/>
        <n v="833.16456996506804" u="1"/>
        <n v="248.36850675383917" u="1"/>
        <n v="3723.8491079418936" u="1"/>
        <n v="8226.3153898164546" u="1"/>
        <n v="2609.626645255551" u="1"/>
        <n v="6987.0103159672781" u="1"/>
        <n v="2107.1793031307816" u="1"/>
        <n v="8465.5565150000002" u="1"/>
        <n v="21352.341599064763" u="1"/>
        <n v="561.44602535497302" u="1"/>
        <n v="2824.4895622593594" u="1"/>
        <n v="238.00919999999999" u="1"/>
        <n v="1705.4778146733584" u="1"/>
        <n v="3647.193868294431" u="1"/>
        <n v="6075.3212905420223" u="1"/>
        <n v="34859.056943755611" u="1"/>
        <n v="2588.4587108908431" u="1"/>
        <n v="6183.5109893352301" u="1"/>
        <n v="10525.905850327214" u="1"/>
        <n v="6297.5729118256031" u="1"/>
        <n v="52527.541678568406" u="1"/>
        <n v="68017.434150426401" u="1"/>
        <n v="657.68618998032014" u="1"/>
        <n v="7903.1271848245115" u="1"/>
        <n v="8132.6960276429836" u="1"/>
        <n v="11380.767155836296" u="1"/>
        <n v="229653.96953622118" u="1"/>
        <n v="2684.3424847564957" u="1"/>
        <n v="3739.544345814621" u="1"/>
        <n v="11746.014490378613" u="1"/>
        <n v="2099.3258529892546" u="1"/>
        <n v="19960.002754769161" u="1"/>
        <n v="10568.999999999998" u="1"/>
        <n v="121.94302813139683" u="1"/>
        <n v="5119.5175038625166" u="1"/>
        <n v="79408.411238950473" u="1"/>
        <n v="635.28643102177386" u="1"/>
        <n v="1360.9815256428135" u="1"/>
        <n v="7555.3553853442172" u="1"/>
        <n v="21289.998310069488" u="1"/>
        <n v="117797.39785037933" u="1"/>
        <n v="3311.5970690303216" u="1"/>
        <n v="2891.1805667243466" u="1"/>
        <n v="4012.3497339185724" u="1"/>
        <n v="7577.0392277801648" u="1"/>
        <n v="8618.7117043069284" u="1"/>
        <n v="2235.5971632587407" u="1"/>
        <n v="8746.6222558478421" u="1"/>
        <n v="267.87947614975837" u="1"/>
        <n v="5144.6875138824225" u="1"/>
        <n v="28325.485064886128" u="1"/>
        <n v="5597.8103999999994" u="1"/>
        <n v="19948.680607190399" u="1"/>
        <n v="387.87828276439387" u="1"/>
        <n v="135.71176742383179" u="1"/>
        <n v="5269.4832927967382" u="1"/>
        <n v="10227.857021908741" u="1"/>
        <n v="4393.501864113814" u="1"/>
        <n v="14643.720000000003" u="1"/>
        <n v="69116.534843730245" u="1"/>
        <n v="8175.2006192779572" u="1"/>
        <n v="749.79046327048434" u="1"/>
        <n v="12898.107238265875" u="1"/>
        <n v="681.37405820409288" u="1"/>
        <n v="2036.4171586829316" u="1"/>
        <n v="2107.8377739010998" u="1"/>
        <n v="2540.8072044778514" u="1"/>
        <n v="692.35766862014611" u="1"/>
        <n v="53069.012063627953" u="1"/>
        <n v="2194.3454351882747" u="1"/>
        <n v="2385.2165682886657" u="1"/>
        <n v="8184.6336000000001" u="1"/>
        <n v="1228.631675219694" u="1"/>
        <n v="3842.3349146847345" u="1"/>
        <n v="56886.451135993528" u="1"/>
        <n v="286.80679313798936" u="1"/>
        <n v="1253.4852623173663" u="1"/>
        <n v="72501" u="1"/>
        <n v="1832.8251546000001" u="1"/>
        <n v="228369.39170785353" u="1"/>
        <n v="1127.7845435470474" u="1"/>
        <n v="4133.8223909711623" u="1"/>
        <n v="74684.149382865202" u="1"/>
        <n v="1611.6623186038012" u="1"/>
        <n v="2874.4914430210792" u="1"/>
        <n v="42273.109996165287" u="1"/>
        <n v="82717.095040573418" u="1"/>
        <n v="1191.4513492716471" u="1"/>
        <n v="26723.769590304171" u="1"/>
        <n v="18337.587349682701" u="1"/>
        <n v="4468.8930000000009" u="1"/>
        <n v="175.57449919841108" u="1"/>
        <n v="1948.1850398990141" u="1"/>
        <n v="7102.8017318956227" u="1"/>
        <n v="21088.091003634374" u="1"/>
        <n v="42709.335973548783" u="1"/>
        <n v="1570.1576249557754" u="1"/>
        <n v="25683.218827193148" u="1"/>
        <n v="1810.6117698906205" u="1"/>
        <n v="13241.140223157832" u="1"/>
        <n v="385.30609583184423" u="1"/>
        <n v="27584.312833074666" u="1"/>
        <n v="14080.424837943247" u="1"/>
        <n v="1117.7985816293703" u="1"/>
        <n v="2253.351874976202" u="1"/>
        <n v="489.50609076951929" u="1"/>
        <n v="491.56266961697338" u="1"/>
        <n v="17538.259745764823" u="1"/>
        <n v="43039.165254646519" u="1"/>
        <n v="1173.7916921183739" u="1"/>
        <n v="12230.10420342531" u="1"/>
        <n v="30827.984275064155" u="1"/>
        <n v="8528.6624968017459" u="1"/>
        <n v="1194.2153573916692" u="1"/>
        <n v="45755.482500472164" u="1"/>
        <n v="75833.13629644773" u="1"/>
        <n v="2257.1248466963439" u="1"/>
        <n v="15703.281594162052" u="1"/>
        <n v="26355.157920271969" u="1"/>
        <n v="3746.0479103737371" u="1"/>
        <n v="1345.829492281762" u="1"/>
        <n v="87165.540000000008" u="1"/>
        <n v="1345.4284918115688" u="1"/>
        <n v="31313.273666684188" u="1"/>
        <n v="12272.297269766241" u="1"/>
        <n v="5533.1029790653847" u="1"/>
        <n v="6982.9799773635941" u="1"/>
        <n v="14881.760607496182" u="1"/>
        <n v="5008.4274167251579" u="1"/>
        <n v="757.99013985482588" u="1"/>
        <n v="62921.898340446001" u="1"/>
        <n v="2392.6062929560367" u="1"/>
        <n v="9929.4048006136964" u="1"/>
        <n v="1217.3011173307214" u="1"/>
        <n v="25955.837345722397" u="1"/>
        <n v="696.93628911018561" u="1"/>
        <n v="26694.906154900906" u="1"/>
        <n v="1535.5817246733143" u="1"/>
        <n v="4442.1784640349069" u="1"/>
        <n v="76512.851012290062" u="1"/>
        <n v="60.219450579685557" u="1"/>
        <n v="3406.7663279355997" u="1"/>
        <n v="8128.564981380775" u="1"/>
        <n v="13208.470848210105" u="1"/>
        <n v="17533.733123409467" u="1"/>
        <n v="79241.400000000009" u="1"/>
        <n v="1250.6837276971978" u="1"/>
        <n v="1941.8113365631559" u="1"/>
        <n v="2138.7465673617094" u="1"/>
        <n v="4438.6765495973559" u="1"/>
        <n v="7114.3259660821241" u="1"/>
        <n v="44711.943265174821" u="1"/>
        <n v="330.18050492076213" u="1"/>
        <n v="11755.997743533133" u="1"/>
        <n v="24372.566495224994" u="1"/>
        <n v="37876.706649334454" u="1"/>
        <n v="62895.416059999698" u="1"/>
        <n v="1578.8567368456238" u="1"/>
        <n v="33845.689117325906" u="1"/>
        <n v="4914.7368037080159" u="1"/>
        <n v="13027.955496845809" u="1"/>
        <n v="1481.8707234161845" u="1"/>
        <n v="2145" u="1"/>
        <n v="99.874599758987415" u="1"/>
        <n v="158.77998454608965" u="1"/>
        <n v="160.8970510067042" u="1"/>
        <n v="1215.6895999737851" u="1"/>
        <n v="2695.0573489893518" u="1"/>
        <n v="3691.7530676138281" u="1"/>
        <n v="143197.92060188277" u="1"/>
        <n v="203.347635472212" u="1"/>
        <n v="9283.1549442182513" u="1"/>
        <n v="28400.025815056877" u="1"/>
        <n v="41334.360078670376" u="1"/>
        <n v="310.13298899999995" u="1"/>
        <n v="10429.951878758009" u="1"/>
        <n v="205700.42482746535" u="1"/>
        <n v="3220.9427100482035" u="1"/>
        <n v="22798.656822931865" u="1"/>
        <n v="10830.925777604869" u="1"/>
        <n v="1458.4222948677022" u="1"/>
        <n v="4653.7159830282899" u="1"/>
        <n v="8838.3561552232477" u="1"/>
        <n v="55.623135638882779" u="1"/>
        <n v="119.01506352766533" u="1"/>
        <n v="407169.72172491264" u="1"/>
        <n v="4524.8499999999995" u="1"/>
        <n v="2779.4058247210737" u="1"/>
        <n v="8479.635673787001" u="1"/>
        <n v="69732" u="1"/>
        <n v="1319.7396644617966" u="1"/>
        <n v="1310.2782607731801" u="1"/>
        <n v="184.01138424907083" u="1"/>
        <n v="1704.6428369847897" u="1"/>
        <n v="8387.1305778880524" u="1"/>
        <n v="1124.6856949057265" u="1"/>
        <n v="6328.4607043842598" u="1"/>
        <n v="8276.3819254276077" u="1"/>
        <n v="57.667889840155162" u="1"/>
        <n v="1127.4061066284992" u="1"/>
        <n v="1755.4393608847602" u="1"/>
        <n v="10520.239874045679" u="1"/>
        <n v="2292.3924168112812" u="1"/>
        <n v="22447.90831140626" u="1"/>
        <n v="63474.700703554998" u="1"/>
        <n v="2587.2228822898892" u="1"/>
        <n v="10457.717083126685" u="1"/>
        <n v="20030.950582798319" u="1"/>
        <n v="123.90773857390056" u="1"/>
        <n v="586.2579973580614" u="1"/>
        <n v="53489.444351958678" u="1"/>
        <n v="517.85886354881711" u="1"/>
        <n v="71003.28773470968" u="1"/>
        <n v="45097.15385330555" u="1"/>
        <n v="310.49199073390531" u="1"/>
        <n v="31796.315920737092" u="1"/>
        <n v="11736.416100710501" u="1"/>
        <n v="128195.08240294742" u="1"/>
        <n v="167.59984259893918" u="1"/>
        <n v="2095.086371106102" u="1"/>
        <n v="5812.7902543809887" u="1"/>
        <n v="12045.322474614435" u="1"/>
        <n v="78205.253492905773" u="1"/>
        <n v="100.0546982157758" u="1"/>
        <n v="612.83502657162671" u="1"/>
        <n v="833.00213821774946" u="1"/>
        <n v="15192.305414293491" u="1"/>
        <n v="20315.481188040067" u="1"/>
        <n v="6243.4131839562297" u="1"/>
        <n v="5879.7185997958704" u="1"/>
        <n v="77689.97179709452" u="1"/>
        <n v="8488.125163332581" u="1"/>
        <n v="307.36803367169136" u="1"/>
        <n v="14267.174623705783" u="1"/>
        <n v="24365.330704786633" u="1"/>
        <n v="10622.91527338298" u="1"/>
        <n v="44413.863643406985" u="1"/>
        <n v="301.0831432672822" u="1"/>
        <n v="48020.627066797751" u="1"/>
        <n v="102.16319660091061" u="1"/>
        <n v="45556.407760578993" u="1"/>
        <n v="63863.037845538151" u="1"/>
        <n v="205.85799414233301" u="1"/>
        <n v="691.54164675518393" u="1"/>
        <n v="3702.749230545769" u="1"/>
        <n v="285.01763321187593" u="1"/>
        <n v="2357.207004682713" u="1"/>
        <n v="6089.2664141400019" u="1"/>
        <n v="25597.994054220544" u="1"/>
        <n v="1124.9077453884327" u="1"/>
        <n v="1421.839795832559" u="1"/>
        <n v="72.363559937577691" u="1"/>
        <n v="1550.9678917811266" u="1"/>
        <n v="34738.155848870461" u="1"/>
        <n v="5586.9163375062008" u="1"/>
        <n v="2419.4430000000002" u="1"/>
        <n v="92348.707297499262" u="1"/>
        <n v="6941.2946887194466" u="1"/>
        <n v="97499.301223344897" u="1"/>
        <n v="1958.1704999999999" u="1"/>
        <n v="2682.7165959104891" u="1"/>
        <n v="19937.831494345228" u="1"/>
        <n v="29070.892566593666" u="1"/>
        <n v="45259.5" u="1"/>
        <n v="133406.26461444935" u="1"/>
        <n v="506.92400180090885" u="1"/>
        <n v="1988.4761621526609" u="1"/>
        <n v="24897.365230962638" u="1"/>
        <n v="361.43203709752169" u="1"/>
        <n v="289.95986249999993" u="1"/>
        <n v="2146.1732767283911" u="1"/>
        <n v="461.72211379116868" u="1"/>
        <n v="9026.1144245019241" u="1"/>
        <n v="17781.902928093517" u="1"/>
        <n v="3473.6413106560499" u="1"/>
        <n v="21770.651648025123" u="1"/>
        <n v="225637.89249222926" u="1"/>
        <n v="10594.089000000002" u="1"/>
        <n v="89345.497336772009" u="1"/>
        <n v="258653.14936951507" u="1"/>
        <n v="278.99911570241466" u="1"/>
        <n v="365.90400000000005" u="1"/>
        <n v="643.67627028078323" u="1"/>
        <n v="11253.337491876577" u="1"/>
        <n v="92.160200834643419" u="1"/>
        <n v="163.08670260311118" u="1"/>
        <n v="699.77528432975146" u="1"/>
        <n v="74941.769401201818" u="1"/>
        <n v="271.90364513628157" u="1"/>
        <n v="1156.0069695105196" u="1"/>
        <n v="12679.381604045078" u="1"/>
        <n v="102.74406844911768" u="1"/>
        <n v="353.04967625786253" u="1"/>
        <n v="376.44943584172444" u="1"/>
        <n v="4111.848" u="1"/>
        <n v="8483.3877249700927" u="1"/>
        <n v="92948.370124260706" u="1"/>
        <n v="1111.7539703241493" u="1"/>
        <n v="3126.8656547089563" u="1"/>
        <n v="8497.2999999999993" u="1"/>
        <n v="4798.9920000000002" u="1"/>
        <n v="2715.5744563051512" u="1"/>
        <n v="3673.2080898942481" u="1"/>
        <n v="131.70836670117455" u="1"/>
        <n v="3528.6963601427569" u="1"/>
        <n v="4772.9933266240159" u="1"/>
        <n v="86200.920000000013" u="1"/>
        <n v="630.23253904099693" u="1"/>
        <n v="10767.51" u="1"/>
        <n v="162.31638760296636" u="1"/>
        <n v="1665.4256156834292" u="1"/>
        <n v="5281.4190000000008" u="1"/>
        <n v="28199.416214202305" u="1"/>
        <n v="13189.844415453512" u="1"/>
        <n v="8243.82" u="1"/>
        <n v="19719.055274680552" u="1"/>
        <n v="677.00760863976996" u="1"/>
        <n v="3386.375102271491" u="1"/>
        <n v="20613.669195695482" u="1"/>
        <n v="3288.4320547383286" u="1"/>
        <n v="174159.75608178036" u="1"/>
        <n v="3963.1040621404954" u="1"/>
        <n v="45237.832688973031" u="1"/>
        <n v="18126.093954811226" u="1"/>
        <n v="395.51799325672971" u="1"/>
        <n v="809.48980913289847" u="1"/>
        <n v="2313.3000000000006" u="1"/>
        <n v="58.637806443211986" u="1"/>
        <n v="661.86182869735705" u="1"/>
        <n v="375.05503731766277" u="1"/>
        <n v="859.65367238750468" u="1"/>
        <n v="1902.7731732008212" u="1"/>
        <n v="122155.77425123991" u="1"/>
        <n v="180.04842943928858" u="1"/>
        <n v="36337.114887768839" u="1"/>
        <n v="149386.41518467673" u="1"/>
        <n v="1518.59989363299" u="1"/>
        <n v="1539.2614101234051" u="1"/>
        <n v="2183.0116027818981" u="1"/>
        <n v="10489.421890010013" u="1"/>
        <n v="12612.294928891404" u="1"/>
        <n v="15093.000000000002" u="1"/>
        <n v="938.95080856867116" u="1"/>
        <n v="2946.7214228961266" u="1"/>
        <n v="25997.962647641656" u="1"/>
        <n v="176.17558537930756" u="1"/>
        <n v="3367.3414369445391" u="1"/>
        <n v="11976.001652861496" u="1"/>
        <n v="192.26874691501567" u="1"/>
        <n v="2175.2497837497849" u="1"/>
        <n v="3140.5168675967707" u="1"/>
        <n v="41742.820095621661" u="1"/>
        <n v="184.2855947620647" u="1"/>
        <n v="5040.0000000000009" u="1"/>
        <n v="12.552316715995914" u="1"/>
        <n v="29272.152592054688" u="1"/>
        <n v="509858.73116795032" u="1"/>
        <n v="50.593670069641277" u="1"/>
        <n v="2442.1350800321093" u="1"/>
        <n v="42614.000000000007" u="1"/>
        <n v="11860.030553646773" u="1"/>
        <n v="1904.0636467503541" u="1"/>
        <n v="27276.32407303993" u="1"/>
        <n v="2262.3541203813138" u="1"/>
        <n v="2980.2542547296521" u="1"/>
        <n v="27.742439118686629" u="1"/>
        <n v="4273.9333622757604" u="1"/>
        <n v="269.88572445192614" u="1"/>
        <n v="3094.269710055848" u="1"/>
        <n v="13247.924267340688" u="1"/>
        <n v="14682.268973027103" u="1"/>
        <n v="372435.66963919607" u="1"/>
        <n v="1130.7909143593449" u="1"/>
        <n v="2336.6940979142641" u="1"/>
        <n v="3549.7461999999996" u="1"/>
        <n v="12317.216599243191" u="1"/>
        <n v="3219.9421141032999" u="1"/>
        <n v="113306.69578899976" u="1"/>
        <n v="258.88698432657662" u="1"/>
        <n v="3433.8772427654267" u="1"/>
        <n v="94378.345049249314" u="1"/>
        <n v="8090.3603635412474" u="1"/>
        <n v="12225.433438240107" u="1"/>
        <n v="43259.728909537327" u="1"/>
        <n v="10623.557719805538" u="1"/>
        <n v="1145.392925780915" u="1"/>
        <n v="2424.6458254734707" u="1"/>
        <n v="3750.2142413665379" u="1"/>
        <n v="8769.885278909147" u="1"/>
        <n v="12487.26976155955" u="1"/>
        <n v="3348.8807848334454" u="1"/>
        <n v="13055.646424543995" u="1"/>
        <n v="16609.240147671397" u="1"/>
        <n v="19516.123728870174" u="1"/>
        <n v="184375.79513712088" u="1"/>
        <n v="11430.42131852465" u="1"/>
        <n v="124.28612725171608" u="1"/>
        <n v="619.08844521011281" u="1"/>
        <n v="9251.0573970306305" u="1"/>
        <n v="9443.1624407337968" u="1"/>
        <n v="24740.18194639873" u="1"/>
        <n v="6877.1772504338433" u="1"/>
        <n v="2948.1207860302407" u="1"/>
        <n v="50091.384114745997" u="1"/>
        <n v="56379.912856424082" u="1"/>
        <n v="152.12621975610051" u="1"/>
        <n v="14870.87965906522" u="1"/>
        <n v="23423.986095191754" u="1"/>
        <n v="11504.025000000003" u="1"/>
        <n v="18742.246069779125" u="1"/>
        <n v="21343.024457790711" u="1"/>
        <n v="12399.103380668141" u="1"/>
        <n v="3353.3957448881115" u="1"/>
        <n v="8359.0768301028475" u="1"/>
        <n v="1532.7517878452397" u="1"/>
        <n v="19232.503668672027" u="1"/>
        <n v="2158.4527222506022" u="1"/>
        <n v="10359.038111397578" u="1"/>
        <n v="52745.86665469272" u="1"/>
        <n v="2216.2437" u="1"/>
        <n v="262632.42859058449" u="1"/>
        <n v="1985.2102809737621" u="1"/>
        <n v="117.13790095091255" u="1"/>
        <n v="389.43310200660761" u="1"/>
        <n v="1693.8259902435095" u="1"/>
        <n v="3859.3829963036251" u="1"/>
        <n v="166420.5251558263" u="1"/>
        <n v="2543.3271127813064" u="1"/>
        <n v="2643.0449145414705" u="1"/>
        <n v="12547.210911056703" u="1"/>
        <n v="2956.3093462702864" u="1"/>
        <n v="103013.82000000002" u="1"/>
        <n v="423.23821312936752" u="1"/>
        <n v="8731.8568922059349" u="1"/>
        <n v="32820.062254761906" u="1"/>
        <n v="4063.0962376080138" u="1"/>
        <n v="4507.3703533411226" u="1"/>
        <n v="1287.9768456413201" u="1"/>
        <n v="2221.1280000000002" u="1"/>
        <n v="8661.9228270988679" u="1"/>
        <n v="52295.255728864133" u="1"/>
        <n v="5060.8007453101518" u="1"/>
        <n v="1905.8110997807216" u="1"/>
        <n v="25907.981701815566" u="1"/>
        <n v="10271.922304837435" u="1"/>
        <n v="10595.05046870556" u="1"/>
        <n v="11232.740749892288" u="1"/>
        <n v="81266.358964748448" u="1"/>
        <n v="5081.0652326544669" u="1"/>
        <n v="6336.7975691863448" u="1"/>
        <n v="436.17239695562586" u="1"/>
        <n v="1118.6115287921577" u="1"/>
        <n v="25646.07782274282" u="1"/>
        <n v="1531.3840568322375" u="1"/>
        <n v="2676.4813755907462" u="1"/>
        <n v="2916.53279428209" u="1"/>
        <n v="6771.3745400890311" u="1"/>
        <n v="14304.816413958779" u="1"/>
        <n v="3576.4701959276395" u="1"/>
        <n v="15660.561403090211" u="1"/>
        <n v="24788.301346212924" u="1"/>
        <n v="3329.8203647766563" u="1"/>
        <n v="5178.5886354881695" u="1"/>
        <n v="16836.729355934229" u="1"/>
        <n v="37110.906331498692" u="1"/>
        <n v="1087.9736831104412" u="1"/>
        <n v="20042.707009838668" u="1"/>
        <n v="199.60912294047279" u="1"/>
        <n v="5289.5583919629162" u="1"/>
        <n v="735.06434727947408" u="1"/>
        <n v="76705.200000000012" u="1"/>
        <n v="11529.74061470854" u="1"/>
        <n v="23425.697545589737" u="1"/>
        <n v="130912.26570923226" u="1"/>
        <n v="571.56158265700867" u="1"/>
        <n v="3319.5846472950248" u="1"/>
        <n v="6536.5850999999993" u="1"/>
        <n v="980.8247625349519" u="1"/>
        <n v="6980.0351174583584" u="1"/>
        <n v="9910.5315567932939" u="1"/>
        <n v="82930.836889636863" u="1"/>
        <n v="442.88274152417387" u="1"/>
        <n v="1125.3026839955537" u="1"/>
        <n v="231.53838839506901" u="1"/>
        <n v="411.51533897032402" u="1"/>
        <n v="61684.427441524254" u="1"/>
        <n v="66620.795465110481" u="1"/>
        <n v="2912.7548539458344" u="1"/>
        <n v="21136.554998082644" u="1"/>
        <n v="1192.4487666262971" u="1"/>
        <n v="147672.85525900059" u="1"/>
        <n v="229109.24468441735" u="1"/>
        <n v="4494.6446464118044" u="1"/>
        <n v="45884.652547376128" u="1"/>
        <n v="872.06765376704607" u="1"/>
        <n v="13975" u="1"/>
        <n v="5100.9704451670359" u="1"/>
        <n v="6393.807886919999" u="1"/>
        <n v="142800" u="1"/>
        <n v="1698.3519026155473" u="1"/>
        <n v="6295.4416271558639" u="1"/>
        <n v="182543.43022462234" u="1"/>
        <n v="4250.6237562668448" u="1"/>
        <n v="3315.5361921891199" u="1"/>
        <n v="558.89929081468517" u="1"/>
        <n v="62855.793756051571" u="1"/>
        <n v="1577.8225728480154" u="1"/>
        <n v="1606.3781798542809" u="1"/>
        <n v="5928.9337625914341" u="1"/>
        <n v="80.564043200665964" u="1"/>
        <n v="3979.9887051900369" u="1"/>
        <n v="13444.850072744874" u="1"/>
        <n v="232655.08998275417" u="1"/>
        <n v="2084.0938844263301" u="1"/>
        <n v="3576.86451115814" u="1"/>
        <n v="3761.1686674665057" u="1"/>
        <n v="211.3659275" u="1"/>
        <n v="922.37924917668329" u="1"/>
        <n v="4625.8288626099638" u="1"/>
        <n v="959.17436679481386" u="1"/>
        <n v="1532.4002373609915" u="1"/>
        <n v="13619.761944114514" u="1"/>
        <n v="14018.807595641032" u="1"/>
        <n v="22412.252400333778" u="1"/>
        <n v="22877.741250236082" u="1"/>
        <n v="31842.498743978158" u="1"/>
        <n v="6874.2770096180811" u="1"/>
        <n v="10202.082988497614" u="1"/>
        <n v="13096.539657316116" u="1"/>
        <n v="18038.861541322218" u="1"/>
        <n v="25182.660685811759" u="1"/>
        <n v="93573.154865357865" u="1"/>
        <n v="2204.3300700663108" u="1"/>
        <n v="8534.7533056666143" u="1"/>
        <n v="11321.389240240629" u="1"/>
        <n v="4136.9254290000008" u="1"/>
        <n v="9079.8412960763417" u="1"/>
        <n v="455.08769392878281" u="1"/>
        <n v="94.426894317588108" u="1"/>
        <n v="263.66414138399767" u="1"/>
        <n v="2548.636275427134" u="1"/>
        <n v="1130.8740625" u="1"/>
        <n v="1918.6670847490291" u="1"/>
        <n v="3791.5055360000006" u="1"/>
        <n v="7440.8803037480939" u="1"/>
        <n v="1952.9458837163404" u="1"/>
        <n v="4578.5030015679022" u="1"/>
        <n v="10432.049717814865" u="1"/>
        <n v="150.56230987509946" u="1"/>
        <n v="47015.541997683809" u="1"/>
        <n v="101272.75035224145" u="1"/>
        <n v="12977.918672861199" u="1"/>
        <n v="1992.2422502327395" u="1"/>
        <n v="722.26985451416715" u="1"/>
        <n v="334.9613003308545" u="1"/>
        <n v="6653.6374476456613" u="1"/>
        <n v="18069.214072038772" u="1"/>
        <n v="165.9802385966594" u="1"/>
        <n v="1286.295539824182" u="1"/>
        <n v="25363.865997699169" u="1"/>
        <n v="2534.7396695203624" u="1"/>
        <n v="5000.1419999999989" u="1"/>
        <n v="13800.853818680311" u="1"/>
        <n v="1216.3846769320319" u="1"/>
        <n v="5996.5097205447009" u="1"/>
        <n v="22355.971632587411" u="1"/>
        <n v="112475.29516479706" u="1"/>
        <n v="243.96166586849844" u="1"/>
        <n v="3634.9568754766142" u="1"/>
        <n v="2014.7669999999996" u="1"/>
        <n v="8902.3267736735888" u="1"/>
        <n v="13190.023263226574" u="1"/>
        <n v="96102.719789267503" u="1"/>
        <n v="29.106821370425312" u="1"/>
        <n v="2271.6706119871192" u="1"/>
        <n v="474.4701" u="1"/>
        <n v="7531.3900295975491" u="1"/>
        <n v="20213.264999999996" u="1"/>
        <n v="111367.84637748837" u="1"/>
        <n v="813.3693712242939" u="1"/>
        <n v="108.72446840207414" u="1"/>
        <n v="8198.2318350551304" u="1"/>
        <n v="17005.466340195188" u="1"/>
        <n v="73238.163068356356" u="1"/>
        <n v="87873.379803567208" u="1"/>
        <n v="2900.9921734868426" u="1"/>
        <n v="6076.7595619487602" u="1"/>
        <n v="3290.5526775220169" u="1"/>
        <n v="4170.0954886456739" u="1"/>
        <n v="4638.013756632412" u="1"/>
        <n v="5671.536000000001" u="1"/>
        <n v="7735.9791292982472" u="1"/>
        <n v="3196.864867423501" u="1"/>
        <n v="3382.5309991021609" u="1"/>
        <n v="3730.6019571615866" u="1"/>
        <n v="5230.1319649982988" u="1"/>
        <n v="6768.5189183557477" u="1"/>
        <n v="3793.4942938866507" u="1"/>
        <n v="51.672337500000012" u="1"/>
        <n v="8595.5323658869402" u="1"/>
        <n v="1050.5743312656457" u="1"/>
        <n v="1938.6100895260661" u="1"/>
        <n v="17851.456167617122" u="1"/>
        <n v="99337.004728488842" u="1"/>
        <n v="246.19334034900481" u="1"/>
        <n v="2627.1453133678756" u="1"/>
        <n v="6114.2129276970436" u="1"/>
        <n v="6540.252007950724" u="1"/>
        <n v="25738.470850859554" u="1"/>
        <n v="1551.1219153775453" u="1"/>
        <n v="11191.664988529537" u="1"/>
        <n v="247454.29193730329" u="1"/>
        <n v="150452.89459085918" u="1"/>
        <n v="1666.2046859999998" u="1"/>
        <n v="3171.3897530458275" u="1"/>
        <n v="9510.7994168933237" u="1"/>
        <n v="11519.422473955041" u="1"/>
        <n v="11405.144118734028" u="1"/>
        <n v="495.77434112858458" u="1"/>
        <n v="1138.8225778812468" u="1"/>
        <n v="1730.0465490764727" u="1"/>
        <n v="1082.916948011047" u="1"/>
        <n v="2750.3672224632355" u="1"/>
        <n v="3127.5716164842556" u="1"/>
        <n v="44.85" u="1"/>
        <n v="1153.56813624151" u="1"/>
        <n v="2371.1542312381098" u="1"/>
        <n v="52.785106727460224" u="1"/>
        <n v="188.00218717560369" u="1"/>
        <n v="897.19047890086176" u="1"/>
        <n v="3511.0991461774297" u="1"/>
        <n v="197.38190535818958" u="1"/>
        <n v="41622.754559708199" u="1"/>
        <n v="21539.775484648988" u="1"/>
        <n v="15905.257636057191" u="1"/>
        <n v="121589.38753384203" u="1"/>
        <n v="3121.7065919781148" u="1"/>
        <n v="4059.699226297957" u="1"/>
        <n v="9738.0888003986802" u="1"/>
        <n v="729.99907997026673" u="1"/>
        <n v="26276.213323198455" u="1"/>
        <n v="41954.58359042494" u="1"/>
        <n v="600.3281907650221" u="1"/>
        <n v="5152.2566644217259" u="1"/>
        <n v="19013.676274275214" u="1"/>
        <n v="521.96353175415879" u="1"/>
        <n v="13147.604808621443" u="1"/>
        <n v="24471.228249421463" u="1"/>
        <n v="270.61293952929805" u="1"/>
        <n v="7769.5808511455307" u="1"/>
        <n v="2945.6228223097169" u="1"/>
        <n v="7209.9548182562212" u="1"/>
        <n v="37.950000000000003" u="1"/>
        <n v="86.514796179725963" u="1"/>
        <n v="20716.780110400214" u="1"/>
        <n v="38478.531658388456" u="1"/>
        <n v="199.37736000000001" u="1"/>
        <n v="2426.296118069703" u="1"/>
        <n v="133858.46921729989" u="1"/>
        <n v="7868.2181109234534" u="1"/>
        <n v="13414.363742250012" u="1"/>
        <n v="1425.5793436700058" u="1"/>
        <n v="5342.4809192006987" u="1"/>
        <n v="25276.999999999993" u="1"/>
        <n v="52763.670008367495" u="1"/>
        <n v="378165.44917210675" u="1"/>
        <n v="721.64326019755526" u="1"/>
        <n v="1717.3450935942146" u="1"/>
        <n v="5259.5040700357149" u="1"/>
        <n v="7518.5345168256117" u="1"/>
        <n v="10045.127890200903" u="1"/>
        <n v="337.75264450027834" u="1"/>
        <n v="24502.12222962403" u="1"/>
        <n v="233.52198070958576" u="1"/>
        <n v="3808.4820422132998" u="1"/>
        <n v="252.16205790627765" u="1"/>
        <n v="2341.3103999999998" u="1"/>
        <n v="3028.2518652630215" u="1"/>
        <n v="30561.707570008719" u="1"/>
        <n v="3711.3622815739814" u="1"/>
        <n v="5811.4679548191179" u="1"/>
        <n v="7854.9941928259123" u="1"/>
        <n v="19631.095673283351" u="1"/>
        <n v="116.80858484165383" u="1"/>
        <n v="561.67069225674152" u="1"/>
        <n v="4572.0995008664086" u="1"/>
        <n v="5761.5074589417682" u="1"/>
        <n v="10283.746950990208" u="1"/>
        <n v="328.7739397124837" u="1"/>
        <n v="1554.9346650752357" u="1"/>
        <n v="16822.868653522026" u="1"/>
        <n v="40036.345149098954" u="1"/>
        <n v="276.62935360138539" u="1"/>
        <n v="6147.8921989615374" u="1"/>
        <n v="10423.471773693878" u="1"/>
        <n v="8139.3975880313737" u="1"/>
        <n v="12149.802121616975" u="1"/>
        <n v="194.8323302072159" u="1"/>
        <n v="1126.4339870354597" u="1"/>
        <n v="2484.6005919673603" u="1"/>
        <n v="3576.9554612139859" u="1"/>
        <n v="18001.841347073798" u="1"/>
        <n v="3276.1660247028099" u="1"/>
        <n v="2722.4293583266922" u="1"/>
        <n v="9365.1197759343449" u="1"/>
        <n v="271.87590336312888" u="1"/>
        <n v="75.409907327089527" u="1"/>
        <n v="3599.7179138747633" u="1"/>
        <n v="5902.2721271568962" u="1"/>
        <n v="11169.392180798137" u="1"/>
        <n v="25009.551148848444" u="1"/>
        <n v="3268.58931488707" u="1"/>
        <n v="4721.5812088024613" u="1"/>
        <n v="15872.739859137058" u="1"/>
        <n v="34.208228417912906" u="1"/>
        <n v="558.11761505604579" u="1"/>
        <n v="12295.157949188206" u="1"/>
        <n v="53847.619535286824" u="1"/>
        <n v="2853.5816737699352" u="1"/>
        <n v="14618.218806366247" u="1"/>
        <n v="16940.51109165854" u="1"/>
        <n v="131830.31059279537" u="1"/>
        <n v="249.6573173886344" u="1"/>
        <n v="65.854183350587277" u="1"/>
        <n v="7773.4535076649436" u="1"/>
        <n v="2620.2074232001828" u="1"/>
        <n v="359.58603274354573" u="1"/>
        <n v="2172.1875035847711" u="1"/>
        <n v="4102.4131746278581" u="1"/>
        <n v="4555.7405465098127" u="1"/>
        <n v="8497.5606299999981" u="1"/>
        <n v="3056.5232224150418" u="1"/>
        <n v="8405.4388616413653" u="1"/>
        <n v="67445.74009837734" u="1"/>
        <n v="48595.327964834563" u="1"/>
        <n v="1529.1484596689788" u="1"/>
        <n v="34707.645959591951" u="1"/>
        <n v="867.79941840613503" u="1"/>
        <n v="732.2184750997618" u="1"/>
        <n v="1547.0928320546734" u="1"/>
        <n v="341.1462879" u="1"/>
        <n v="2881.6013645253365" u="1"/>
        <n v="2151.2478622454114" u="1"/>
        <n v="5291.0379887159133" u="1"/>
        <n v="11575.251432204783" u="1"/>
        <n v="1011.6841143900865" u="1"/>
        <n v="78293.199298667038" u="1"/>
        <n v="4467.5673437071582" u="1"/>
        <n v="12945.333997118531" u="1"/>
        <n v="173754.48864802517" u="1"/>
        <n v="5174.2427337225663" u="1"/>
        <n v="7661.5566540136524" u="1"/>
        <n v="82810.114642820889" u="1"/>
        <n v="26129.161499999998" u="1"/>
        <n v="38360.630294321978" u="1"/>
        <n v="243704.98448370784" u="1"/>
        <n v="172.89608187152021" u="1"/>
        <n v="18168.55744388442" u="1"/>
        <n v="34805.570042278589" u="1"/>
        <n v="30600.312007736982" u="1"/>
        <n v="47706.080226127087" u="1"/>
        <n v="3491.1085386955247" u="1"/>
        <n v="1252.8449122472166" u="1"/>
        <n v="1063.9566471520061" u="1"/>
        <n v="2348.0292871612646" u="1"/>
        <n v="17186.132868940997" u="1"/>
        <n v="26433.950995116884" u="1"/>
        <n v="395.34522044013738" u="1"/>
        <n v="2386.4999717787059" u="1"/>
        <n v="1848.0592527986153" u="1"/>
        <n v="147.35025122721873" u="1"/>
        <n v="752.81154937549718" u="1"/>
        <n v="10528.255619755009" u="1"/>
        <n v="7647.9025917679965" u="1"/>
        <n v="40376.23967582453" u="1"/>
        <n v="2081.1377279854096" u="1"/>
        <n v="2779.2778843380606" u="1"/>
        <n v="145435.38775507634" u="1"/>
        <n v="349.67814984016746" u="1"/>
        <n v="5600.4926250000008" u="1"/>
        <n v="7949.6584441753121" u="1"/>
        <n v="148.28106275577977" u="1"/>
        <n v="713.99384401576026" u="1"/>
        <n v="2948.5210048240838" u="1"/>
        <n v="76.902041048645287" u="1"/>
        <n v="57749.999999999993" u="1"/>
        <n v="4767.4109506492641" u="1"/>
        <n v="9709.0198786064466" u="1"/>
        <n v="15696.500050230352" u="1"/>
        <n v="2140.0761935558676" u="1"/>
        <n v="10733.868024588428" u="1"/>
        <n v="12421.199551180931" u="1"/>
        <n v="42790.8" u="1"/>
        <n v="21629.864454768664" u="1"/>
        <n v="43241.532855792851" u="1"/>
        <n v="2906.8921792234869" u="1"/>
        <n v="3623.022311850832" u="1"/>
        <n v="12388.092573745731" u="1"/>
        <n v="339905.82077863353" u="1"/>
        <n v="768.4200841792283" u="1"/>
        <n v="5873.6655937350461" u="1"/>
        <n v="32915.999999999993" u="1"/>
        <n v="36207.600000000006" u="1"/>
        <n v="379037.99642501317" u="1"/>
        <n v="470.38475909883488" u="1"/>
        <n v="1026.6551944709715" u="1"/>
        <n v="3203.5788175010448" u="1"/>
        <n v="4384.9426394545735" u="1"/>
        <n v="228.12471249070839" u="1"/>
        <n v="120304.9291868272" u="1"/>
        <n v="57120.000000000007" u="1"/>
        <n v="442.63834763807159" u="1"/>
        <n v="1674.4403924167227" u="1"/>
        <n v="1624.5487234213379" u="1"/>
        <n v="60405.022554776515" u="1"/>
        <n v="2524.6356282698421" u="1"/>
        <n v="36895.113117806977" u="1"/>
        <n v="17807.2349149527" u="1"/>
        <n v="2779.8663795300495" u="1"/>
        <n v="10276.34669327293" u="1"/>
        <n v="831.61713309455456" u="1"/>
        <n v="7435.43982953261" u="1"/>
        <n v="1502.3212973894679" u="1"/>
        <n v="1145.840411624815" u="1"/>
        <n v="4206" u="1"/>
        <n v="8387.6156915775609" u="1"/>
        <n v="1455.3016968439472" u="1"/>
        <n v="2624.7943057715129" u="1"/>
        <n v="7390.3299595459157" u="1"/>
        <n v="11425.446126639899" u="1"/>
        <n v="4010.8697581741303" u="1"/>
        <n v="104437.52354495307" u="1"/>
        <n v="235505.93462190582" u="1"/>
        <n v="1034.3381850430985" u="1"/>
        <n v="1263.1123972411885" u="1"/>
        <n v="1537.6767052265536" u="1"/>
        <n v="13804.546712830586" u="1"/>
        <n v="31490.118000000002" u="1"/>
        <n v="68.940217499999989" u="1"/>
        <n v="21.046051027153155" u="1"/>
        <n v="6005.9656517788981" u="1"/>
        <n v="9168.6487316839721" u="1"/>
        <n v="46651.514846241174" u="1"/>
        <n v="7370.0672457027968" u="1"/>
        <n v="8859.3124613508735" u="1"/>
        <n v="23293.984428360305" u="1"/>
        <n v="49569.598863550724" u="1"/>
        <n v="45406.072734046764" u="1"/>
        <n v="57247.296131138282" u="1"/>
        <n v="34156.198659321468" u="1"/>
        <n v="3783.073824464519" u="1"/>
        <n v="8454.6219992330571" u="1"/>
        <n v="9902.8370336596818" u="1"/>
        <n v="23026.650781565033" u="1"/>
        <n v="18313.75" u="1"/>
        <n v="118.18961226738519" u="1"/>
        <n v="9937.2293906851046" u="1"/>
        <n v="39.38115031911552" u="1"/>
        <n v="119.46000000000002" u="1"/>
        <n v="25949.18598226145" u="1"/>
        <n v="1907.8429902512401" u="1"/>
        <n v="9110.8898607119863" u="1"/>
        <n v="18390.659969213728" u="1"/>
        <n v="76094.719699681838" u="1"/>
        <n v="78.183741732789372" u="1"/>
        <n v="431.75603479820387" u="1"/>
        <n v="10216.679036092446" u="1"/>
        <n v="178.73564401735743" u="1"/>
        <n v="6075.6235019999995" u="1"/>
        <n v="293.62406098791081" u="1"/>
        <n v="6693.6818229425007" u="1"/>
        <n v="46066.183605525337" u="1"/>
        <n v="118647.51410974996" u="1"/>
        <n v="6613.7974858948919" u="1"/>
        <n v="13829.296743254736" u="1"/>
        <n v="1279.8793759656292" u="1"/>
        <n v="15902.026742042362" u="1"/>
        <n v="255.68305096422711" u="1"/>
        <n v="765.69202841611877" u="1"/>
        <n v="6146.8149205334248" u="1"/>
        <n v="384960.46417628106" u="1"/>
        <n v="58837.35" u="1"/>
        <n v="32309.663226973491" u="1"/>
        <n v="364.97700000000003" u="1"/>
        <n v="6023.9932154772141" u="1"/>
        <n v="8561.3600386187136" u="1"/>
        <n v="390779.88277017244" u="1"/>
        <n v="14908.150034150594" u="1"/>
        <n v="707.82591689387414" u="1"/>
        <n v="12501.834542061184" u="1"/>
        <n v="31307.115071716249" u="1"/>
        <n v="4056.2509484469097" u="1"/>
        <n v="43.148588605553321" u="1"/>
        <n v="315.17229937969375" u="1"/>
        <n v="10681.597050834205" u="1"/>
        <n v="66560.900221391057" u="1"/>
        <n v="282.62520000000001" u="1"/>
        <n v="2595.8877525829862" u="1"/>
        <n v="3916.0158197926949" u="1"/>
        <n v="3919.6858460204921" u="1"/>
        <n v="24412.721022785456" u="1"/>
        <n v="3835.9879884083516" u="1"/>
        <n v="27476.279999999995" u="1"/>
        <n v="72755.274081092473" u="1"/>
        <n v="562.65134199777685" u="1"/>
        <n v="11939.685179032302" u="1"/>
        <n v="276.48666084757014" u="1"/>
        <n v="1196.5086594847587" u="1"/>
        <n v="1428.0477350627655" u="1"/>
        <n v="3069.5014821834648" u="1"/>
        <n v="193.13588763500965" u="1"/>
        <n v="956.89343749999989" u="1"/>
        <n v="10568.277499041322" u="1"/>
        <n v="12902.326242975279" u="1"/>
        <n v="13349.875651831004" u="1"/>
        <n v="13806.401419949503" u="1"/>
        <n v="39530.876238226258" u="1"/>
        <n v="263.38388999999995" u="1"/>
        <n v="2104.491399039865" u="1"/>
        <n v="101.61919010949737" u="1"/>
        <n v="649.72428580696931" u="1"/>
        <n v="2910.8276711493831" u="1"/>
        <n v="1480.8595609425897" u="1"/>
        <n v="14574.373814321407" u="1"/>
        <n v="396.54405764533186" u="1"/>
        <n v="436.03382688352303" u="1"/>
        <n v="3145.5732000000007" u="1"/>
        <n v="2550.485222583518" u="1"/>
        <n v="7128.1468376374078" u="1"/>
        <n v="256612.92595803313" u="1"/>
        <n v="1196.3995089046196" u="1"/>
        <n v="5095.8451165449533" u="1"/>
        <n v="5637.7117737001345" u="1"/>
        <n v="32293.133277903937" u="1"/>
        <n v="803.18908992714046" u="1"/>
        <n v="2313.3737789946904" u="1"/>
        <n v="4558.2249999999995" u="1"/>
        <n v="3855.9579871886758" u="1"/>
        <n v="2724.4231082785004" u="1"/>
        <n v="22457.731863618777" u="1"/>
        <n v="502133.59887752694" u="1"/>
        <n v="217.543170138335" u="1"/>
        <n v="461.18962458834164" u="1"/>
        <n v="4736.6088" u="1"/>
        <n v="1205.6981973665891" u="1"/>
        <n v="11682.022757020199" u="1"/>
        <n v="17760.5291979289" u="1"/>
        <n v="1128.4791932668634" u="1"/>
        <n v="24539.872920946993" u="1"/>
        <n v="185395.67086779763" u="1"/>
        <n v="750.87049006919756" u="1"/>
        <n v="822.68970896419364" u="1"/>
        <n v="936.51197759343449" u="1"/>
        <n v="34718.834831803586" u="1"/>
        <n v="2263.5421277994751" u="1"/>
        <n v="2327.6599924545317" u="1"/>
        <n v="80.544032063699532" u="1"/>
        <n v="682.57315289982989" u="1"/>
        <n v="886.34345052857157" u="1"/>
        <n v="2874.5964934137928" u="1"/>
        <n v="4188.1872579429391" u="1"/>
        <n v="432.43200000000007" u="1"/>
        <n v="576.87787081326337" u="1"/>
        <n v="7893.7699556593452" u="1"/>
        <n v="34270.099817872637" u="1"/>
        <n v="342.67983749999991" u="1"/>
        <n v="2333.4045391513105" u="1"/>
        <n v="3045.3535508030745" u="1"/>
        <n v="120.70992947622953" u="1"/>
        <n v="11680.312731264688" u="1"/>
        <n v="14567.964095897869" u="1"/>
        <n v="1215.09324825516" u="1"/>
        <n v="290.03492154560297" u="1"/>
        <n v="14084.742349779857" u="1"/>
        <n v="223.4094074286995" u="1"/>
        <n v="6112.4324877893159" u="1"/>
        <n v="47.906189623048753" u="1"/>
        <n v="3326.8187238228302" u="1"/>
        <n v="3660.7903548361878" u="1"/>
        <n v="73535.162649390288" u="1"/>
        <n v="40.611811167118489" u="1"/>
        <n v="366.74594926735898" u="1"/>
        <n v="654.58284940215935" u="1"/>
        <n v="6098.3651233447272" u="1"/>
        <n v="10063.001273051652" u="1"/>
        <n v="1085.8853018442967" u="1"/>
        <n v="12681.932998849585" u="1"/>
        <n v="595.68565275643925" u="1"/>
        <n v="2007.5520452083035" u="1"/>
        <n v="4000.2285241243071" u="1"/>
        <n v="739.53609917568599" u="1"/>
        <n v="1109.669137399339" u="1"/>
        <n v="3904.7388215146257" u="1"/>
        <n v="5208.883985397888" u="1"/>
        <n v="11177.985816293705" u="1"/>
        <n v="9469.1766623336134" u="1"/>
        <n v="9348.261318024588" u="1"/>
        <n v="55392.782299708881" u="1"/>
        <n v="4881.6906129129356" u="1"/>
        <n v="8144.5870737609694" u="1"/>
        <n v="363.83526713031637" u="1"/>
        <n v="16396.984788330134" u="1"/>
        <n v="74.571676351029652" u="1"/>
        <n v="1153.7543772442748" u="1"/>
        <n v="4394.9726681813991" u="1"/>
        <n v="2042.1414042585379" u="1"/>
        <n v="5858.5532411207032" u="1"/>
        <n v="61347.000000000007" u="1"/>
        <n v="187.99550170257015" u="1"/>
        <n v="7304.7934252287878" u="1"/>
        <n v="10700.849974177221" u="1"/>
        <n v="64994.906778294346" u="1"/>
        <n v="16863.186133415424" u="1"/>
        <n v="3460.8374444702827" u="1"/>
        <n v="9590.711830379998" u="1"/>
        <n v="78.633896915943822" u="1"/>
        <n v="41297.73065530826" u="1"/>
        <n v="332.4653903983405" u="1"/>
        <n v="73.349189853471785" u="1"/>
        <n v="1201.6334752515731" u="1"/>
        <n v="8346.2294094992994" u="1"/>
        <n v="660.72636108893437" u="1"/>
        <n v="10230.717960935846" u="1"/>
        <n v="96022.039083597265" u="1"/>
        <n v="71296.476581106457" u="1"/>
        <n v="102.11582524913027" u="1"/>
        <n v="2644.2" u="1"/>
        <n v="30502.978568826715" u="1"/>
        <n v="39308.892917780329" u="1"/>
        <n v="17799.39500400563" u="1"/>
        <n v="2831.0420010893417" u="1"/>
        <n v="1432.9124434790172" u="1"/>
        <n v="2297.1595683871797" u="1"/>
        <n v="3107.2213927950579" u="1"/>
        <n v="4857.3948515990269" u="1"/>
        <n v="509.45087308228022" u="1"/>
        <n v="3968.2784915369352" u="1"/>
        <n v="1447.8540173686611" u="1"/>
        <n v="15944.870541764541" u="1"/>
        <n v="229.92933541567476" u="1"/>
        <n v="1071.367071430959" u="1"/>
        <n v="1504.7498977975627" u="1"/>
        <n v="2443.4776321678205" u="1"/>
        <n v="20656.214278913936" u="1"/>
        <n v="32789.950712948608" u="1"/>
        <n v="34596.913549050958" u="1"/>
        <n v="942.70565435425067" u="1"/>
        <n v="181539.24488734265" u="1"/>
        <n v="198.93062701819701" u="1"/>
        <n v="692.49979177136902" u="1"/>
        <n v="5138.6592183149223" u="1"/>
        <n v="31542.634451188231" u="1"/>
        <n v="165368.45096086047" u="1"/>
        <n v="14795.588498657849" u="1"/>
        <n v="20811.377279854099" u="1"/>
        <n v="187.55044733259226" u="1"/>
        <n v="10144.022128286537" u="1"/>
        <n v="504.80315486966634" u="1"/>
        <n v="988.07471165114282" u="1"/>
        <n v="1292.6566735987158" u="1"/>
        <n v="147.20233703132746" u="1"/>
        <n v="4015.4399999999996" u="1"/>
        <n v="15313.840568322374" u="1"/>
        <n v="90651.6" u="1"/>
        <n v="1171.4286268329431" u="1"/>
        <n v="7500" u="1"/>
        <n v="65.89966275897855" u="1"/>
        <n v="100.9493591868374" u="1"/>
        <n v="29965.381568642697" u="1"/>
        <n v="11253.151908328306" u="1"/>
        <n v="10358.390055200107" u="1"/>
        <n v="11206.303380361649" u="1"/>
        <n v="463.77555531850652" u="1"/>
        <n v="7143.0205938690478" u="1"/>
        <n v="9387.800902398405" u="1"/>
        <n v="400.81108733863061" u="1"/>
        <n v="712.78967183500288" u="1"/>
        <n v="4142.3189460346157" u="1"/>
        <n v="57153.244854799319" u="1"/>
        <n v="75.641351851126515" u="1"/>
        <n v="5371.3530947987438" u="1"/>
        <n v="101.05524519793356" u="1"/>
        <n v="1190.7591526759315" u="1"/>
        <n v="8752.5958270151132" u="1"/>
        <n v="2660.9243869338748" u="1"/>
        <n v="2588.2253558100865" u="1"/>
        <n v="13226.359415466864" u="1"/>
        <n v="20.693130767353637" u="1"/>
        <n v="1904.2410211066501" u="1"/>
        <n v="25745.411999999997" u="1"/>
        <n v="100446.06000000001" u="1"/>
        <n v="191.40063596764278" u="1"/>
        <n v="1937.653032228076" u="1"/>
        <n v="2032.1134572554581" u="1"/>
        <n v="10434.444334707898" u="1"/>
        <n v="3927.4970964129557" u="1"/>
        <n v="4307.5670059781924" u="1"/>
        <n v="256.34013745666448" u="1"/>
        <n v="497.48688245967924" u="1"/>
        <n v="3068" u="1"/>
        <n v="3767.1194298697701" u="1"/>
        <n v="22662.230458110724" u="1"/>
        <n v="59632.600282658859" u="1"/>
        <n v="536.54331918209778" u="1"/>
        <n v="1612.962" u="1"/>
        <n v="7405.3817487480828" u="1"/>
        <n v="86298.220750341934" u="1"/>
        <n v="342.85493300854353" u="1"/>
        <n v="10687.842863409171" u="1"/>
        <n v="11213.119796175133" u="1"/>
        <n v="16341.190311281309" u="1"/>
        <n v="8727.7713253621241" u="1"/>
        <n v="39913.645116515407" u="1"/>
        <n v="4032.4049999999993" u="1"/>
        <n v="8995.6095761408851" u="1"/>
        <n v="3175.6240146273149" u="1"/>
        <n v="27896.311048751497" u="1"/>
        <n v="3857.0304484851763" u="1"/>
        <n v="17529.70720091464" u="1"/>
        <n v="71326.993264062257" u="1"/>
        <n v="3761.8747444939058" u="1"/>
        <n v="30358.414689353602" u="1"/>
        <n v="39962.21040052543" u="1"/>
        <n v="27535.676336652021" u="1"/>
        <n v="33332.875645851273" u="1"/>
        <n v="110.58520533709397" u="1"/>
        <n v="1106.6205958130768" u="1"/>
        <n v="18283.120073341488" u="1"/>
        <n v="13008.342502025103" u="1"/>
        <n v="13048.733522508621" u="1"/>
        <n v="183.3209749190506" u="1"/>
        <n v="5565.084290834061" u="1"/>
        <n v="12211.238177930745" u="1"/>
        <n v="152.09451151257008" u="1"/>
        <n v="3716.3589525759035" u="1"/>
        <n v="5898.2062825029852" u="1"/>
        <n v="8729.8633995248128" u="1"/>
        <n v="130.99348692968522" u="1"/>
        <n v="3092.9332786937898" u="1"/>
        <n v="46319.07185526572" u="1"/>
        <n v="81164.371192637365" u="1"/>
        <n v="1388.5071495633501" u="1"/>
        <n v="1528.2616112075209" u="1"/>
        <n v="9659.4056341237683" u="1"/>
        <n v="2430.7038247795035" u="1"/>
        <n v="4862.388312988277" u="1"/>
        <n v="28627.379999999994" u="1"/>
        <n v="63938.078869199999" u="1"/>
        <n v="1009.3809048942942" u="1"/>
        <n v="6064.0933341983809" u="1"/>
        <n v="9392.134521514874" u="1"/>
        <n v="51.185558164116678" u="1"/>
        <n v="64.625751683327692" u="1"/>
        <n v="377.89794785552419" u="1"/>
        <n v="6242.7878268005634" u="1"/>
        <n v="22155.445395844676" u="1"/>
        <n v="192.07363978257644" u="1"/>
        <n v="5340.4195172670334" u="1"/>
        <n v="5347.5499999999993" u="1"/>
        <n v="7364.0258067176037" u="1"/>
        <n v="4840.2710945609251" u="1"/>
        <n v="78623.550571895321" u="1"/>
        <n v="158.35600000000002" u="1"/>
        <n v="545.75290069547452" u="1"/>
        <n v="3020.9264895543643" u="1"/>
        <n v="26014.221599817622" u="1"/>
        <n v="10301.631753527779" u="1"/>
        <n v="18059.190836823338" u="1"/>
        <n v="449.10006198230604" u="1"/>
        <n v="1450.0897128323516" u="1"/>
        <n v="1480.0818666861269" u="1"/>
        <n v="4694.7540428433567" u="1"/>
        <n v="9167.1102870020859" u="1"/>
        <n v="22362.225051225891" u="1"/>
        <n v="539377.17840513308" u="1"/>
        <n v="23833.313428393321" u="1"/>
        <n v="1040.5688639927048" u="1"/>
        <n v="1450.0177002175769" u="1"/>
        <n v="2881.6640914772861" u="1"/>
        <n v="13037.430405503004" u="1"/>
        <n v="77.424144845331341" u="1"/>
        <n v="13146.982720416223" u="1"/>
        <n v="2862.1707680918225" u="1"/>
        <n v="3038.4610828586983" u="1"/>
        <n v="1272.041483167302" u="1"/>
        <n v="11862.817588635429" u="1"/>
        <n v="36887.353193769224" u="1"/>
        <n v="858.65123042754669" u="1"/>
        <n v="12545.660236085243" u="1"/>
        <n v="375.20511830915927" u="1"/>
        <n v="3173.7350351777495" u="1"/>
        <n v="2447.0494273113545" u="1"/>
        <n v="39208.309521443305" u="1"/>
        <n v="750.96405096187777" u="1"/>
        <n v="2668.1944523541142" u="1"/>
        <n v="28590.120000000003" u="1"/>
        <n v="12520.287000000002" u="1"/>
        <n v="42268.925994131649" u="1"/>
        <n v="108774.42795743978" u="1"/>
        <n v="6616.0851365205017" u="1"/>
        <n v="134.29841868012508" u="1"/>
        <n v="885.48407920961597" u="1"/>
        <n v="889.79531850000001" u="1"/>
        <n v="24434.182755552734" u="1"/>
        <n v="33822.183198854967" u="1"/>
        <n v="1636.4571235053982" u="1"/>
        <n v="4361.005017568471" u="1"/>
        <n v="4733.7606059340851" u="1"/>
        <n v="1451.7027158499623" u="1"/>
        <n v="1867.1933831264373" u="1"/>
        <n v="7181.4259644373087" u="1"/>
        <n v="15450.870972957378" u="1"/>
        <n v="1319.4299999999998" u="1"/>
        <n v="8903.61745747635" u="1"/>
        <n v="70.641382261381139" u="1"/>
        <n v="146.78327460260732" u="1"/>
        <n v="20770.627729935506" u="1"/>
        <n v="2288.5604924173977" u="1"/>
        <n v="3482.6539179497254" u="1"/>
        <n v="1589.9316888350625" u="1"/>
        <n v="838.34893622202787" u="1"/>
        <n v="1203.1109999999999" u="1"/>
        <n v="2902.0741286098219" u="1"/>
        <n v="25590.505048960658" u="1"/>
        <n v="363.82995083334208" u="1"/>
        <n v="46450.86525866291" u="1"/>
        <n v="168.09189341420617" u="1"/>
        <n v="835.68412918994545" u="1"/>
        <n v="6115.5099277571271" u="1"/>
        <n v="5891.2414922582602" u="1"/>
        <n v="194.19707383080637" u="1"/>
        <n v="5901.9765110030758" u="1"/>
        <n v="860.29452725646456" u="1"/>
        <n v="5000.2414386777818" u="1"/>
        <n v="1112.972082151638" u="1"/>
        <n v="11694.575073736196" u="1"/>
        <n v="23744.617203458707" u="1"/>
        <n v="6306.6195975529081" u="1"/>
        <n v="22335.561855341071" u="1"/>
        <n v="3059.4179942454048" u="1"/>
        <n v="8012.3802331193283" u="1"/>
        <n v="11400.031479411447" u="1"/>
        <n v="12716.545671013604" u="1"/>
        <n v="6875.0424697488888" u="1"/>
        <n v="24720.900863142113" u="1"/>
        <n v="80.684108838818972" u="1"/>
        <n v="782.28385057312448" u="1"/>
        <n v="2450.5396747028199" u="1"/>
        <n v="376.12439632912822" u="1"/>
        <n v="1406.0777733518207" u="1"/>
        <n v="2563.5832922002096" u="1"/>
        <n v="3820.6540280188015" u="1"/>
        <n v="134.37830610323175" u="1"/>
        <n v="6762.6814188576909" u="1"/>
        <n v="668.36159576769194" u="1"/>
        <n v="2788.5" u="1"/>
        <n v="26033.436586099968" u="1"/>
        <n v="9677.3326220056442" u="1"/>
        <n v="14478.540173686608" u="1"/>
        <n v="5500.1561999999994" u="1"/>
        <n v="2315.2293687172159" u="1"/>
        <n v="6088.3800659498647" u="1"/>
        <n v="8331.242049495726" u="1"/>
        <n v="2559.9932551302013" u="1"/>
        <n v="3963.9600000000009" u="1"/>
        <n v="17781.357175192825" u="1"/>
        <n v="5446.6087796375805" u="1"/>
        <n v="42594.194722946137" u="1"/>
        <n v="132.449226263875" u="1"/>
        <n v="1055.0047862062402" u="1"/>
        <n v="1157.4702694719253" u="1"/>
        <n v="99.630612073469933" u="1"/>
        <n v="2418.5096652428651" u="1"/>
        <n v="8990.2799999999988" u="1"/>
        <n v="11000.158965937559" u="1"/>
        <n v="3688.6415180973445" u="1"/>
        <n v="79497.710057108052" u="1"/>
        <n v="246.99440267360032" u="1"/>
        <n v="9926.0514048688092" u="1"/>
        <n v="30710.789070350227" u="1"/>
        <n v="69274.234861612247" u="1"/>
        <n v="60564.359513736803" u="1"/>
        <n v="61927.794426139277" u="1"/>
        <n v="1586.5199999999998" u="1"/>
        <n v="2239.1241599999998" u="1"/>
        <n v="4266.3323423700895" u="1"/>
        <n v="5084.3568172816977" u="1"/>
        <n v="46292.226080332475" u="1"/>
        <n v="174.59241685360115" u="1"/>
        <n v="10363.968862629437" u="1"/>
        <n v="24124.516591284228" u="1"/>
        <n v="120.45885282291898" u="1"/>
        <n v="7198.0441578527525" u="1"/>
        <n v="8940.151451879723" u="1"/>
        <n v="70179.866149018402" u="1"/>
        <n v="76028.779560410912" u="1"/>
        <n v="3917.8840286109435" u="1"/>
        <n v="9009.6129033986872" u="1"/>
        <n v="249922.45933028354" u="1"/>
        <n v="755.68349999999998" u="1"/>
        <n v="9250.657200895148" u="1"/>
        <n v="47180.338149566283" u="1"/>
        <n v="833.78394061593292" u="1"/>
        <n v="3372.0394902342068" u="1"/>
        <n v="7192.5534624999991" u="1"/>
        <n v="61348.850881934864" u="1"/>
        <n v="706.55596092483677" u="1"/>
        <n v="1435.5047662413785" u="1"/>
        <n v="195670.8" u="1"/>
        <n v="56176.544102399115" u="1"/>
        <n v="2050.4529793064162" u="1"/>
        <n v="4734.6289783880575" u="1"/>
        <n v="9249.8294530070743" u="1"/>
        <n v="12312.41280657541" u="1"/>
        <n v="468.20739574454677" u="1"/>
        <n v="22212.893414138845" u="1"/>
        <n v="189.10338009098197" u="1"/>
        <n v="4174.6264277661658" u="1"/>
        <n v="27338.21238502007" u="1"/>
        <n v="50845.978456926074" u="1"/>
        <n v="6278.6419276326942" u="1"/>
        <n v="893.08049999999992" u="1"/>
        <n v="1848.0602417983139" u="1"/>
        <n v="4954.8084723426009" u="1"/>
        <n v="241.95045264166043" u="1"/>
        <n v="4793.9133769502196" u="1"/>
        <n v="8074.4449500000001" u="1"/>
        <n v="2380.4650022535211" u="1"/>
        <n v="4532.2489878928909" u="1"/>
        <n v="11133.169649384552" u="1"/>
        <n v="3863.111898111104" u="1"/>
        <n v="74901.447357820842" u="1"/>
        <n v="128.1700684144088" u="1"/>
        <n v="1395.5422162644008" u="1"/>
        <n v="120.84606450501404" u="1"/>
        <n v="65552.401733188177" u="1"/>
        <n v="2202.1205342076387" u="1"/>
        <n v="59520.539020382726" u="1"/>
        <n v="27479.399999999998" u="1"/>
        <n v="31213.939134002812" u="1"/>
        <n v="187.0475780318321" u="1"/>
        <n v="269.97096148941023" u="1"/>
        <n v="2476.1679398512651" u="1"/>
        <n v="8357.5386428281217" u="1"/>
        <n v="10765.019999999999" u="1"/>
        <n v="80417.781423279579" u="1"/>
        <n v="97808.743356841558" u="1"/>
        <n v="35773.462998788906" u="1"/>
        <n v="1122.3954155703129" u="1"/>
        <n v="3326.7656563648861" u="1"/>
        <n v="12175.601680409185" u="1"/>
        <n v="58814.361152485304" u="1"/>
        <n v="594.26426964618338" u="1"/>
        <n v="3678.7611166485367" u="1"/>
        <n v="403.42054419409487" u="1"/>
        <n v="9588.2720731076042" u="1"/>
        <n v="8382.5826165176968" u="1"/>
        <n v="19101.067231255452" u="1"/>
        <n v="953.6463423691132" u="1"/>
        <n v="19078.69342760877" u="1"/>
        <n v="26420.693747603302" u="1"/>
        <n v="701.23183818249652" u="1"/>
        <n v="9107.5244068060802" u="1"/>
        <n v="15795.816556465041" u="1"/>
        <n v="22280.069776197364" u="1"/>
        <n v="640.07992089578261" u="1"/>
        <n v="2011.1998678303785" u="1"/>
        <n v="2207.1516125559951" u="1"/>
        <n v="18041.269107498039" u="1"/>
        <n v="95.879615768627914" u="1"/>
        <n v="8749.7454594626961" u="1"/>
        <n v="800.8559982438959" u="1"/>
        <n v="2630.1878793472065" u="1"/>
        <n v="32663.022990370373" u="1"/>
        <n v="1474.1584556863818" u="1"/>
        <n v="10859.040746320457" u="1"/>
        <n v="2505.3469036188867" u="1"/>
        <n v="3419.1466898206086" u="1"/>
        <n v="71025.476157018609" u="1"/>
        <n v="113213.8924024063" u="1"/>
        <n v="106.79541600000002" u="1"/>
        <n v="719.13404930558784" u="1"/>
        <n v="3487.600338995323" u="1"/>
        <n v="6041.633015108122" u="1"/>
        <n v="12989.998287946642" u="1"/>
        <n v="13129.084435682682" u="1"/>
        <n v="23620.913212634401" u="1"/>
        <n v="4485.6522413962457" u="1"/>
        <n v="49196.895112696962" u="1"/>
        <n v="306.61171111014414" u="1"/>
        <n v="506.40229737899534" u="1"/>
        <n v="41415.113772756922" u="1"/>
        <n v="7336.6486345527401" u="1"/>
        <n v="14843.11448031034" u="1"/>
        <n v="617.14387456596091" u="1"/>
        <n v="49785.450000000004" u="1"/>
        <n v="351.21091103142868" u="1"/>
        <n v="495.21936088365516" u="1"/>
        <n v="680.97221594999996" u="1"/>
        <n v="7813.8216845101188" u="1"/>
        <n v="248.80256446060352" u="1"/>
        <n v="650.22812306571507" u="1"/>
        <n v="861.3028597448274" u="1"/>
        <n v="239925.56095707222" u="1"/>
        <n v="255.69281387722842" u="1"/>
        <n v="5036.9035902294772" u="1"/>
        <n v="5294.2906032370038" u="1"/>
        <n v="54890.007575615185" u="1"/>
        <n v="1605.2854045639122" u="1"/>
        <n v="21876.334423015534" u="1"/>
        <n v="26397.931303759215" u="1"/>
        <n v="807.75965115927136" u="1"/>
        <n v="1038.9014051442703" u="1"/>
        <n v="1933.9947823245618" u="1"/>
        <n v="2107.1519495852276" u="1"/>
        <n v="277.35162345413062" u="1"/>
        <n v="32960.564519869622" u="1"/>
        <n v="245.12525653261528" u="1"/>
        <n v="4399.876929408565" u="1"/>
        <n v="4249.4822111529784" u="1"/>
        <n v="5261.5342386067496" u="1"/>
        <n v="6592.2624013827663" u="1"/>
        <n v="776.20653978586222" u="1"/>
        <n v="1589.0499227995449" u="1"/>
        <n v="14025.587552128878" u="1"/>
        <n v="1838.6851781716689" u="1"/>
        <n v="5180.5875707014675" u="1"/>
        <n v="40586.619838625957" u="1"/>
        <n v="175.77609425599846" u="1"/>
        <n v="1322.1" u="1"/>
        <n v="524.70827499999996" u="1"/>
        <n v="2377.6998542233309" u="1"/>
        <n v="26436.952636063361" u="1"/>
        <n v="167.77240057025736" u="1"/>
        <n v="3397.68" u="1"/>
        <n v="7693.7060193020816" u="1"/>
        <n v="842.37301111589352" u="1"/>
        <n v="2229.4437993184702" u="1"/>
        <n v="2868.6222046436255" u="1"/>
        <n v="723.92700868433053" u="1"/>
        <n v="141.18" u="1"/>
        <n v="7190.2436100000004" u="1"/>
        <n v="922.05552900691214" u="1"/>
        <n v="1221.7388160839103" u="1"/>
        <n v="881.15017868930624" u="1"/>
        <n v="40652.288920623549" u="1"/>
        <n v="53070.831239963598" u="1"/>
        <n v="17083.620577200294" u="1"/>
        <n v="142246.37306772143" u="1"/>
        <n v="887.75805179797203" u="1"/>
        <n v="10405.68863992705" u="1"/>
        <n v="123.84838764261148" u="1"/>
        <n v="4302.2792667625654" u="1"/>
        <n v="9775.6566866132216" u="1"/>
        <n v="1047.554501121607" u="1"/>
        <n v="3537.1369987605985" u="1"/>
        <n v="780.42664799452871" u="1"/>
        <n v="1883.8861387743734" u="1"/>
        <n v="28385.117734545613" u="1"/>
        <n v="6569.0533307996138" u="1"/>
        <n v="302.50282847962467" u="1"/>
        <n v="86.130285974482732" u="1"/>
        <n v="5595.4808299842816" u="1"/>
        <n v="23138.430639727965" u="1"/>
        <n v="132926.30056629734" u="1"/>
        <n v="17765.545457362794" u="1"/>
        <n v="63612.065643268616" u="1"/>
        <n v="244792.27500000002" u="1"/>
        <n v="5020.6686262865333" u="1"/>
        <n v="19875.752102043167" u="1"/>
        <n v="44670.238757191728" u="1"/>
        <n v="5562.9369971531596" u="1"/>
        <n v="21419.70979403329" u="1"/>
        <n v="25506.912949054535" u="1"/>
        <n v="3705.5484881253974" u="1"/>
        <n v="16683.836681178866" u="1"/>
        <n v="31456.196572057757" u="1"/>
        <n v="67.174038750000008" u="1"/>
        <n v="132.26359415466865" u="1"/>
        <n v="1069.6756853631302" u="1"/>
        <n v="2878.2704786624763" u="1"/>
        <n v="4237.5118262363721" u="1"/>
        <n v="657.58076672207983" u="1"/>
        <n v="19354.580870264312" u="1"/>
        <n v="53929.482338303154" u="1"/>
        <n v="86386.288426705083" u="1"/>
        <n v="21.886965234700959" u="1"/>
        <n v="54688.988456577463" u="1"/>
        <n v="952.12051055332506" u="1"/>
        <n v="1145.4061742345586" u="1"/>
        <n v="128.17006872833218" u="1"/>
        <n v="152.01746939475524" u="1"/>
        <n v="403.17288569999994" u="1"/>
        <n v="7695.4304468660266" u="1"/>
        <n v="4123.1320166101905" u="1"/>
        <n v="9142.5010814270681" u="1"/>
        <n v="56011.275101857398" u="1"/>
        <n v="2235.2737737571379" u="1"/>
        <n v="3332.6199634587033" u="1"/>
        <n v="13213.138583842474" u="1"/>
        <n v="53112.368969540985" u="1"/>
        <n v="2570.9367377475519" u="1"/>
        <n v="12262.218729670672" u="1"/>
        <n v="20989.124400261695" u="1"/>
        <n v="2463.036576" u="1"/>
        <n v="10143.7995378501" u="1"/>
        <n v="2628.2811525968559" u="1"/>
        <n v="2481.0283424178065" u="1"/>
        <n v="24850.530881428018" u="1"/>
        <n v="2105.4421744945862" u="1"/>
        <n v="13813.078649823898" u="1"/>
        <n v="1766.4165835650144" u="1"/>
        <n v="4440.4502465202704" u="1"/>
        <n v="1204.5312271249823" u="1"/>
        <n v="3748.5492686540406" u="1"/>
        <n v="62648.24646685546" u="1"/>
        <n v="2044.4813248220303" u="1"/>
        <n v="17057.199883452693" u="1"/>
        <n v="981.02702241743168" u="1"/>
        <n v="11449.435349538313" u="1"/>
        <n v="29780.159171461153" u="1"/>
        <n v="32153.577897374584" u="1"/>
        <n v="10134.067623826862" u="1"/>
        <n v="24376.180651906863" u="1"/>
        <n v="110000" u="1"/>
        <n v="10943.874081357249" u="1"/>
        <n v="187212.34583153808" u="1"/>
        <n v="36327.496081893565" u="1"/>
        <n v="7614.4439380592703" u="1"/>
        <n v="9023.8131885447365" u="1"/>
        <n v="21095.168736547937" u="1"/>
        <n v="398.79801712520407" u="1"/>
        <n v="13144.039999999997" u="1"/>
        <n v="12022.915907140135" u="1"/>
        <n v="15461.69268442945" u="1"/>
        <n v="641.80541121787826" u="1"/>
        <n v="86887.500143390862" u="1"/>
        <n v="71.26714236276591" u="1"/>
        <n v="85045.575007666019" u="1"/>
        <n v="24506.429243297203" u="1"/>
        <n v="151684.66772597944" u="1"/>
        <n v="305.06052144126198" u="1"/>
        <n v="504.69045244714709" u="1"/>
        <n v="2761.5096707554121" u="1"/>
        <n v="22210.627078026107" u="1"/>
        <n v="1175.8428163117565" u="1"/>
        <n v="11342.200617520484" u="1"/>
        <n v="57007.727663097896" u="1"/>
        <n v="788.30481658233657" u="1"/>
        <n v="3201.6637330566837" u="1"/>
        <n v="9617.1325241276008" u="1"/>
        <n v="22162.978626566455" u="1"/>
        <n v="30.046425947789352" u="1"/>
        <n v="53992.969460414635" u="1"/>
        <n v="13207.689170880292" u="1"/>
        <n v="3682.0129033588019" u="1"/>
        <n v="3341.1765648685091" u="1"/>
        <n v="16150.495870329814" u="1"/>
        <n v="2359.5" u="1"/>
        <n v="2887.4770131016357" u="1"/>
        <n v="257.51678071056386" u="1"/>
        <n v="10987.067050285383" u="1"/>
        <n v="11040.610287890822" u="1"/>
        <n v="34338.772511759264" u="1"/>
        <n v="54553.497719410268" u="1"/>
        <n v="75.378708268310092" u="1"/>
        <n v="876.9196800000002" u="1"/>
        <n v="4921.4893233215862" u="1"/>
        <n v="5150.8158767638897" u="1"/>
        <n v="10209.217595676679" u="1"/>
        <n v="18458.272644479443" u="1"/>
        <n v="105.35579623664404" u="1"/>
        <n v="4819.1345395628423" u="1"/>
        <n v="1495.3174648347695" u="1"/>
        <n v="42.723356138136268" u="1"/>
        <n v="7625.9137500786937" u="1"/>
        <n v="1654.7227949086789" u="1"/>
        <n v="11916.656714196661" u="1"/>
        <n v="520.2844319963524" u="1"/>
        <n v="689.43940489308022" u="1"/>
        <n v="6896.0390560185633" u="1"/>
        <n v="917.86476946802725" u="1"/>
        <n v="3126.7682682144314" u="1"/>
        <n v="1799.4971118491624" u="1"/>
        <n v="2859.6120000000005" u="1"/>
        <n v="358.23256785177665" u="1"/>
        <n v="1042.1697366155211" u="1"/>
        <n v="658.92022218368822" u="1"/>
        <n v="429.32561521377335" u="1"/>
        <n v="24801.105220875219" u="1"/>
        <n v="4743.75" u="1"/>
        <n v="11233.875745375173" u="1"/>
        <n v="1586.8675175888748" u="1"/>
        <n v="3017.4374999999995" u="1"/>
        <n v="14130.319193255684" u="1"/>
        <n v="624.34131839562292" u="1"/>
        <n v="39506.597590499077" u="1"/>
        <n v="2173.7099214566624" u="1"/>
        <n v="7065.0782682052595" u="1"/>
        <n v="442.74203960480799" u="1"/>
        <n v="1419.442655497741" u="1"/>
        <n v="100924.49214632041" u="1"/>
        <n v="6653.3342515897202" u="1"/>
        <n v="186.42919087757414" u="1"/>
        <n v="12642.911697511365" u="1"/>
        <n v="19529.511681882268" u="1"/>
        <n v="7649.0679800753614" u="1"/>
        <n v="2573.7356644360602" u="1"/>
        <n v="4451.808728738175" u="1"/>
        <n v="9819.4181102453458" u="1"/>
        <n v="10385.313864967753" u="1"/>
        <n v="12127.842237677214" u="1"/>
        <n v="197.18558639540922" u="1"/>
        <n v="2543.8907021361001" u="1"/>
        <n v="9727.9885818098537" u="1"/>
        <n v="32365.714623567954" u="1"/>
        <n v="1555.9756256280834" u="1"/>
        <n v="105617.89129329256" u="1"/>
        <n v="57009.681856422409" u="1"/>
        <n v="49.61178113624311" u="1"/>
        <n v="2856.3615316599748" u="1"/>
        <n v="12628.513170130316" u="1"/>
        <n v="99.00021549786112" u="1"/>
        <n v="7766.7459489995963" u="1"/>
        <n v="70038.288922585896" u="1"/>
        <n v="25632.922239865053" u="1"/>
        <n v="3834.0899999999997" u="1"/>
        <n v="13410.227177819586" u="1"/>
        <n v="139.20046252192199" u="1"/>
        <n v="170.19304208188373" u="1"/>
        <n v="32814.501634523302" u="1"/>
        <n v="1564.355206603655" u="1"/>
        <n v="86318.188697731937" u="1"/>
        <n v="4750.4407358190738" u="1"/>
        <n v="17694.618847508951" u="1"/>
        <n v="2113.6554998082643" u="1"/>
        <n v="19229.057703104354" u="1"/>
        <n v="1489.9054152494618" u="1"/>
        <n v="35786.552540984463" u="1"/>
        <n v="57844.122405995389" u="1"/>
        <n v="2691.1774713283612" u="1"/>
        <n v="3994.9112330908738" u="1"/>
        <n v="6231.0997857323146" u="1"/>
        <n v="3407.8630295761081" u="1"/>
        <n v="96643.297588086774" u="1"/>
        <n v="2554.1697590231115" u="1"/>
        <n v="3823.4946130056305" u="1"/>
        <n v="21491.373266278424" u="1"/>
        <n v="2083.8950877930183" u="1"/>
        <n v="91.97988407625364" u="1"/>
        <n v="92.974173094267357" u="1"/>
        <n v="2998.5019650579434" u="1"/>
        <n v="8952.4023617759303" u="1"/>
        <n v="21297.097361473068" u="1"/>
        <n v="12339.642749544097" u="1"/>
        <n v="23583.111239110713" u="1"/>
        <n v="70.664370564821056" u="1"/>
        <n v="2596" u="1"/>
        <n v="3370.6551803303319" u="1"/>
        <n v="49.815306036734967" u="1"/>
        <n v="6092.0577128300174" u="1"/>
        <n v="550.30084018676689" u="1"/>
        <n v="1844.3207590486722" u="1"/>
        <n v="81674.309057975712" u="1"/>
        <n v="29057.339774095592" u="1"/>
        <n v="2527.1190333476807" u="1"/>
        <n v="3782.0342409902546" u="1"/>
        <n v="261.5404797685826" u="1"/>
        <n v="1987.6866347546024" u="1"/>
        <n v="18936.619043227238" u="1"/>
        <n v="78022.340997730047" u="1"/>
        <n v="4627.269233369695" u="1"/>
        <n v="9545.339010199561" u="1"/>
        <n v="1743.7657873418179" u="1"/>
        <n v="37215.593999999997" u="1"/>
        <n v="1451.8227215093154" u="1"/>
        <n v="11082.649606686968" u="1"/>
        <n v="15649.180142811187" u="1"/>
        <n v="7829.209073809021" u="1"/>
        <n v="401.47470000000004" u="1"/>
        <n v="6792.5" u="1"/>
        <n v="647.3235794360213" u="1"/>
        <n v="11224.05051519966" u="1"/>
        <n v="41.841055719986386" u="1"/>
        <n v="9738.2612431550751" u="1"/>
        <n v="19528.38834049775" u="1"/>
        <n v="45147.97709205834" u="1"/>
        <n v="5993.0763137285394" u="1"/>
        <n v="41576.713663036884" u="1"/>
        <n v="1560.395616" u="1"/>
        <n v="5078.3701987188115" u="1"/>
        <n v="16961.272483081091" u="1"/>
        <n v="944.57456711304212" u="1"/>
        <n v="503.40163868440891" u="1"/>
        <n v="24877.400115905592" u="1"/>
        <n v="1272.4206108845749" u="1"/>
        <n v="3959.7647462860859" u="1"/>
        <n v="16820.795686442074" u="1"/>
        <n v="25137.936235709301" u="1"/>
        <n v="248589.16654956515" u="1"/>
        <n v="2872.3429034596343" u="1"/>
        <n v="3103.5466566060418" u="1"/>
        <n v="3782.5318615158499" u="1"/>
        <n v="45899.39517510384" u="1"/>
        <n v="18337.024542005231" u="1"/>
        <n v="70432.254297778811" u="1"/>
        <n v="60.032818929465478" u="1"/>
        <n v="43589.829824684901" u="1"/>
        <n v="8255.5737889947031" u="1"/>
        <n v="1904.6525714328161" u="1"/>
        <n v="191.81386140248165" u="1"/>
        <n v="6824.468346728926" u="1"/>
        <n v="7886.7358071614935" u="1"/>
        <n v="1616.430550315647" u="1"/>
        <n v="2541.5542037606788" u="1"/>
        <n v="4120.6902118303415" u="1"/>
        <n v="4360.633884989049" u="1"/>
        <n v="5045.1823708737211" u="1"/>
        <n v="8074.0162011906596" u="1"/>
        <n v="16771.488124648458" u="1"/>
        <n v="1034.6565383676816" u="1"/>
        <n v="11068.5509901202" u="1"/>
        <n v="43925.263200453279" u="1"/>
        <n v="72118.175790203502" u="1"/>
        <n v="6170.2481705941245" u="1"/>
        <n v="7632.0965874999993" u="1"/>
        <n v="61968.536244378643" u="1"/>
        <n v="13739.699999999999" u="1"/>
        <n v="98224.024500000014" u="1"/>
        <n v="42623.984938577691" u="1"/>
        <n v="2045.5714043817479" u="1"/>
        <n v="2730.8495626219978" u="1"/>
        <n v="5303.8563469804094" u="1"/>
        <n v="903.28168986219885" u="1"/>
        <n v="9858.3894152003904" u="1"/>
        <n v="69750.631493672714" u="1"/>
        <n v="42923.465534567826" u="1"/>
        <n v="786.13140306549872" u="1"/>
        <n v="2209.2380562098501" u="1"/>
        <n v="723.14533135451973" u="1"/>
        <n v="2737.7928672883913" u="1"/>
        <n v="39313.992296433717" u="1"/>
        <n v="854.44866021574103" u="1"/>
        <n v="7270.8699140191238" u="1"/>
        <n v="26680.462758939968" u="1"/>
        <n v="2986.1845800718165" u="1"/>
        <n v="1363.714269587832" u="1"/>
        <n v="241.69212960199789" u="1"/>
        <n v="1609.1849227379794" u="1"/>
        <n v="28651.600846883175" u="1"/>
        <n v="1875.7941991383796" u="1"/>
        <n v="3641.9910239744672" u="1"/>
        <n v="4374.872729731348" u="1"/>
        <n v="22105.584750302431" u="1"/>
        <n v="149.50237318126995" u="1"/>
        <n v="16921.730866249367" u="1"/>
        <n v="27453.289500283296" u="1"/>
        <n v="1482.8106311896047" u="1"/>
        <n v="11781.956177058661" u="1"/>
        <n v="51248.052935167419" u="1"/>
        <n v="39680.98567552356" u="1"/>
        <n v="12317.339742472403" u="1"/>
        <n v="6526.2240265899391" u="1"/>
        <n v="15741.105396796929" u="1"/>
        <n v="39811.514283311662" u="1"/>
        <n v="130.22876994817793" u="1"/>
        <n v="1252.6734518094433" u="1"/>
        <n v="2916.5427199999999" u="1"/>
        <n v="7890.980532617521" u="1"/>
        <n v="3170.4832497123962" u="1"/>
        <n v="109.74562107983753" u="1"/>
        <n v="7779.4267563830917" u="1"/>
        <n v="4580.6573059699867" u="1"/>
        <n v="10305.391384621458" u="1"/>
        <n v="1908.7853235931075" u="1"/>
        <n v="5040.8399999999992" u="1"/>
        <n v="25754.079320740693" u="1"/>
        <n v="2550.0099627658287" u="1"/>
        <n v="17260.019440098131" u="1"/>
        <n v="35803.798332604194" u="1"/>
        <n v="17537.428325332206" u="1"/>
        <n v="1414.6469999999999" u="1"/>
        <n v="90.95881678257912" u="1"/>
        <n v="13048.797557515476" u="1"/>
        <n v="1144.7508159612451" u="1"/>
        <n v="2518.4517951147386" u="1"/>
        <n v="2404.6001793568716" u="1"/>
        <n v="8481.5731173534077" u="1"/>
        <n v="40997.412593914138" u="1"/>
        <n v="966.99739116228091" u="1"/>
        <n v="7781.5406318093983" u="1"/>
        <n v="20244.567363489001" u="1"/>
        <n v="45822.303167703802" u="1"/>
        <n v="3704.1812634139833" u="1"/>
        <n v="4714.9775987202202" u="1"/>
        <n v="9091.4284639188791" u="1"/>
        <n v="7642.3423276591029" u="1"/>
        <n v="10900.845672088075" u="1"/>
        <n v="369.52019227417202" u="1"/>
        <n v="390882.93285591609" u="1"/>
        <n v="190.97340193746913" u="1"/>
        <n v="87.888047127999229" u="1"/>
        <n v="5656.122409743326" u="1"/>
        <n v="1967.4630788777388" u="1"/>
        <n v="14607.016284409188" u="1"/>
        <n v="4370.3892287693607" u="1"/>
        <n v="13218.47631803168" u="1"/>
        <n v="1093.2289252160783" u="1"/>
        <n v="4929.4917449855229" u="1"/>
        <n v="65177.631511720683" u="1"/>
        <n v="390.9464520605319" u="1"/>
        <n v="7504.102384562776" u="1"/>
        <n v="2557.1401328763923" u="1"/>
        <n v="3797.5343813221812" u="1"/>
        <n v="82842.288481715907" u="1"/>
        <n v="2797.7719258097563" u="1"/>
        <n v="22023.403459540656" u="1"/>
        <n v="8649.2283872627395" u="1"/>
        <n v="842.14404982631288" u="1"/>
        <n v="2243.2263339976935" u="1"/>
        <n v="2217.1211536450323" u="1"/>
        <n v="2466.8031111435453" u="1"/>
        <n v="4960.586869165395" u="1"/>
        <n v="3698.8971246644624" u="1"/>
        <n v="5202.8443199635249" u="1"/>
        <n v="3468.092319696862" u="1"/>
        <n v="18315.545690504423" u="1"/>
        <n v="177.32042293263271" u="1"/>
        <n v="523.77725056080351" u="1"/>
        <n v="29379.811447334876" u="1"/>
        <n v="3377.9466664628071" u="1"/>
        <n v="14701.286945589478" u="1"/>
        <n v="91314.6" u="1"/>
        <n v="34072.717889216859" u="1"/>
        <n v="167912.58097564292" u="1"/>
        <n v="253.88688161307309" u="1"/>
        <n v="5129.6634039213459" u="1"/>
        <n v="14776.077868696408" u="1"/>
        <n v="95.040206877946673" u="1"/>
        <n v="295.81626394030377" u="1"/>
        <n v="13642.228809704287" u="1"/>
        <n v="98.061754401604006" u="1"/>
        <n v="256.35832922002089" u="1"/>
        <n v="11287.670779212747" u="1"/>
        <n v="51.77830632666398" u="1"/>
        <n v="3647.672521037724" u="1"/>
        <n v="10709.854897016645" u="1"/>
        <n v="17082.255247464225" u="1"/>
        <n v="45842.56135501308" u="1"/>
        <n v="3955.8626033571277" u="1"/>
        <n v="2457.5935249249933" u="1"/>
        <n v="13339.993582125602" u="1"/>
        <n v="128604.15989156369" u="1"/>
        <n v="299.46358669144422" u="1"/>
        <n v="3527.0819462046038" u="1"/>
        <n v="22777.324762266046" u="1"/>
        <n v="1512.8270370225305" u="1"/>
        <n v="2420.5928285184013" u="1"/>
        <n v="105027.11377828466" u="1"/>
        <n v="12311.550592793439" u="1"/>
        <n v="357.74102640588359" u="1"/>
        <n v="7897.6102975431158" u="1"/>
        <n v="669.21584901621657" u="1"/>
        <n v="1289.3298548830412" u="1"/>
        <n v="5341.2840000000006" u="1"/>
        <n v="81587.102292599011" u="1"/>
        <n v="3155.0397445086051" u="1"/>
        <n v="16703.268270009801" u="1"/>
        <n v="3545.657100928363" u="1"/>
        <n v="4590.0017119894992" u="1"/>
        <n v="76.008734697377619" u="1"/>
        <n v="2866.7371968689436" u="1"/>
        <n v="8657.1436992787876" u="1"/>
        <n v="84569.869491770747" u="1"/>
        <n v="732.64113999999995" u="1"/>
        <n v="981.87427410323903" u="1"/>
        <n v="1319.4217317408884" u="1"/>
        <n v="4041.0763757891168" u="1"/>
        <n v="77002.095935460165" u="1"/>
        <n v="277.60820311584297" u="1"/>
        <n v="307.201888154833" u="1"/>
        <n v="7894.9136993854163" u="1"/>
        <n v="311.27186999999998" u="1"/>
        <n v="4184.105571998638" u="1"/>
        <n v="9670.6390479689035" u="1"/>
        <n v="54312.649518048325" u="1"/>
        <n v="2767.0031999999997" u="1"/>
        <n v="1497.0684220535454" u="1"/>
        <n v="6253.59623557532" u="1"/>
        <n v="118708.98000000001" u="1"/>
        <n v="4673.5565399999996" u="1"/>
        <n v="7676.24" u="1"/>
        <n v="9542.52585" u="1"/>
        <n v="461.00420616990925" u="1"/>
        <n v="14300.431441010458" u="1"/>
        <n v="7023.0084683653658" u="1"/>
        <n v="26389.289153489994" u="1"/>
        <n v="2270.9367953394844" u="1"/>
        <n v="5724.7176747691565" u="1"/>
        <n v="5025.829935115552" u="1"/>
        <n v="14405.517440890351" u="1"/>
        <n v="158004.8622145619" u="1"/>
        <n v="3433.8772511759257" u="1"/>
        <n v="227.62794091285031" u="1"/>
        <n v="1378.7537447903339" u="1"/>
        <n v="53900.062846072113" u="1"/>
        <n v="205.60615141478081" u="1"/>
        <n v="7173.7717800238006" u="1"/>
        <n v="8.9121448683570996" u="1"/>
        <n v="2725.6400614450567" u="1"/>
        <n v="12200.394201416249" u="1"/>
        <n v="32340.037707643267" u="1"/>
        <n v="2073.0507615029042" u="1"/>
        <n v="10775.506814190056" u="1"/>
        <n v="3632.7530102473852" u="1"/>
        <n v="5743.139677585531" u="1"/>
        <n v="9990.1056054584333" u="1"/>
        <n v="2414.8514085309421" u="1"/>
        <n v="168.70392000000001" u="1"/>
        <n v="27944.964540734261" u="1"/>
        <n v="66262.568378404801" u="1"/>
        <n v="13833.562575313164" u="1"/>
        <n v="80415.055304280759" u="1"/>
        <n v="9849.1343556154297" u="1"/>
        <n v="3221.047024887866" u="1"/>
        <n v="9180.5244628652836" u="1"/>
        <n v="2360" u="1"/>
        <n v="7.6569131967575093" u="1"/>
        <n v="9826.9746895980152" u="1"/>
        <n v="8016.3739101451911" u="1"/>
        <n v="25556.016497681732" u="1"/>
        <n v="25556.516833767684" u="1"/>
        <n v="1210.0677736402313" u="1"/>
        <n v="3590.54471720224" u="1"/>
        <n v="12.206673182324648" u="1"/>
        <n v="7020.1446128247208" u="1"/>
        <n v="171.31925776775896" u="1"/>
        <n v="384.82014030449636" u="1"/>
        <n v="2800.4361512056562" u="1"/>
        <n v="4677.3570436472082" u="1"/>
        <n v="1051.5762854999998" u="1"/>
        <n v="2399.8651543689925" u="1"/>
        <n v="19306.194370802525" u="1"/>
        <n v="24063.967865317089" u="1"/>
        <n v="188301.75" u="1"/>
        <n v="6503.5553999544054" u="1"/>
        <n v="26231.044320000008" u="1"/>
        <n v="131475.17526057051" u="1"/>
        <n v="28623.648135676252" u="1"/>
        <n v="1136.0898311469418" u="1"/>
        <n v="4947.867415654714" u="1"/>
        <n v="57761.627307316492" u="1"/>
        <n v="188.07986554447717" u="1"/>
        <n v="73766.576943308421" u="1"/>
        <n v="252413.61526571226" u="1"/>
        <n v="1173.6885107108392" u="1"/>
        <n v="531204.79691414628" u="1"/>
        <n v="12453.815866818994" u="1"/>
        <n v="2367.6063362426016" u="1"/>
        <n v="6479.4331217436657" u="1"/>
        <n v="24093.171330358811" u="1"/>
        <n v="41575.625" u="1"/>
        <n v="16960.24162800995" u="1"/>
        <n v="1522.6748486248496" u="1"/>
        <n v="4192.9171971048554" u="1"/>
        <n v="48818.54433531512" u="1"/>
        <n v="93.801279577289833" u="1"/>
        <n v="1925.0523983865044" u="1"/>
        <n v="45617.267736246547" u="1"/>
        <n v="6855.2628248470446" u="1"/>
        <n v="60168.361778454688" u="1"/>
        <n v="89602.73430341034" u="1"/>
        <n v="14385.697855857534" u="1"/>
        <n v="26036.392747638158" u="1"/>
        <n v="69553.419306096373" u="1"/>
        <n v="1400.5474772914397" u="1"/>
        <n v="425.34778718345939" u="1"/>
        <n v="774.58268642278301" u="1"/>
        <n v="11116.645464376194" u="1"/>
        <n v="2581.3675600575389" u="1"/>
        <n v="9274.6015182045321" u="1"/>
        <n v="30655.546824176687" u="1"/>
        <n v="252.63029622153584" u="1"/>
        <n v="559.28757263272246" u="1"/>
        <n v="1055.1342370153384" u="1"/>
        <n v="9311.9088453091354" u="1"/>
        <n v="35563.592015862676" u="1"/>
        <n v="670.54775026916457" u="1"/>
        <n v="1656.9135000000001" u="1"/>
        <n v="4506.9638811296218" u="1"/>
        <n v="12278.712595113921" u="1"/>
        <n v="35024.749712592034" u="1"/>
        <n v="390.83866490537423" u="1"/>
        <n v="7461.3" u="1"/>
        <n v="11385.629331500902" u="1"/>
        <n v="2182.8634100000004" u="1"/>
        <n v="2256.3272460453218" u="1"/>
        <n v="10621.118886536529" u="1"/>
        <n v="2225.9043643690875" u="1"/>
        <n v="15090.280851996502" u="1"/>
        <n v="885.89648865369986" u="1"/>
        <n v="1271.9453510680501" u="1"/>
        <n v="35128.06291453162" u="1"/>
        <n v="51202.656299299422" u="1"/>
        <n v="2799.9777165322212" u="1"/>
        <n v="8702.3814664573911" u="1"/>
        <n v="35341.040350621326" u="1"/>
        <n v="257.38394672850501" u="1"/>
        <n v="1013.7936617450587" u="1"/>
        <n v="2499.8041068574748" u="1"/>
        <n v="2709.6085766629612" u="1"/>
        <n v="7091.8721640000022" u="1"/>
        <n v="800.43258299129559" u="1"/>
        <n v="3949.795659966715" u="1"/>
        <n v="456.47079488374004" u="1"/>
        <n v="1413.7546940256002" u="1"/>
        <n v="3735.1328523598281" u="1"/>
        <n v="15006.954048638674" u="1"/>
        <n v="1400.2967686229749" u="1"/>
        <n v="75.736858608514297" u="1"/>
        <n v="39392.392163894547" u="1"/>
        <n v="1031.7155391592005" u="1"/>
        <n v="4868.6268305384738" u="1"/>
        <n v="70246.281244909798" u="1"/>
        <n v="679.51147746261995" u="1"/>
        <n v="613.73733953510987" u="1"/>
        <n v="99.419823441582295" u="1"/>
        <n v="7447.318500723225" u="1"/>
        <n v="122.56700531432537" u="1"/>
        <n v="1056.8277499041321" u="1"/>
        <n v="13137.807217595215" u="1"/>
        <n v="15317.155486209258" u="1"/>
        <n v="203.15481130849429" u="1"/>
        <n v="17893.276270492232" u="1"/>
        <n v="39998.428966415995" u="1"/>
        <n v="30426.396000000001" u="1"/>
        <n v="1782.7928089385505" u="1"/>
        <n v="178.53523900428121" u="1"/>
        <n v="3838.8600130482614" u="1"/>
        <n v="8817.9000000000015" u="1"/>
        <n v="808.90483499999982" u="1"/>
        <n v="5156.498971006793" u="1"/>
        <n v="43.703892287693606" u="1"/>
        <n v="651.8336191716395" u="1"/>
        <n v="2981.5299521319039" u="1"/>
        <n v="6095.5578080998112" u="1"/>
        <n v="111.74290614370963" u="1"/>
        <n v="627.97109375000002" u="1"/>
        <n v="3903.2247457740345" u="1"/>
        <n v="665.3124471896715" u="1"/>
        <n v="3851.8557445618299" u="1"/>
        <n v="10363.359211160448" u="1"/>
        <n v="2619.1970999999994" u="1"/>
        <n v="969.45119711096572" u="1"/>
        <n v="9143.4470755140792" u="1"/>
        <n v="27124.161721409841" u="1"/>
        <n v="78.384007464686889" u="1"/>
        <n v="26264.160000000003" u="1"/>
        <n v="15381.499753201255" u="1"/>
        <n v="4017.3826087772018" u="1"/>
        <n v="7072.6164801276536" u="1"/>
        <n v="5018.2640944340974" u="1"/>
        <n v="14645.563300594536" u="1"/>
        <n v="2013.9134725244128" u="1"/>
        <n v="18177.640534456823" u="1"/>
        <n v="53957.338475874603" u="1"/>
        <n v="85010.337353826937" u="1"/>
        <n v="20.920527859993193" u="1"/>
        <n v="84990.671951094337" u="1"/>
        <n v="154.91960140302021" u="1"/>
        <n v="9400.7126615601755" u="1"/>
        <n v="23945.928335097029" u="1"/>
        <n v="1285.1947818083424" u="1"/>
        <n v="1303.983414383451" u="1"/>
        <n v="3005.4190535673597" u="1"/>
        <n v="3225.7634783773856" u="1"/>
        <n v="5097.1615322299294" u="1"/>
        <n v="77198.453092109528" u="1"/>
        <n v="273.33730835276901" u="1"/>
        <n v="526.1880487554298" u="1"/>
        <n v="1307.647681429826" u="1"/>
        <n v="15339.635920206129" u="1"/>
        <n v="24802.934345826972" u="1"/>
        <n v="74267.163105319225" u="1"/>
        <n v="59.432490885737181" u="1"/>
        <n v="7823.4129470427524" u="1"/>
        <n v="9395.1986966477361" u="1"/>
        <n v="319.68976978714335" u="1"/>
        <n v="1551.7733283030209" u="1"/>
        <n v="129802.15228621163" u="1"/>
        <n v="2868.9569999999999" u="1"/>
        <n v="7972.0592900826314" u="1"/>
        <n v="16326.525476045541" u="1"/>
        <n v="1408.503948191468" u="1"/>
        <n v="30.016409464732739" u="1"/>
        <n v="5932.7205910002876" u="1"/>
        <n v="7617.8005957125297" u="1"/>
        <n v="10006.532902746123" u="1"/>
        <n v="400.15249241322033" u="1"/>
        <n v="620.52104809075456" u="1"/>
        <n v="8205.0111093518535" u="1"/>
        <n v="10462.594724050909" u="1"/>
        <n v="51030.553936624456" u="1"/>
        <n v="4738.8783750000002" u="1"/>
        <n v="2188.9441304235502" u="1"/>
        <n v="11975.903084811067" u="1"/>
        <n v="1211.4872996711676" u="1"/>
        <n v="965.77797452777611" u="1"/>
        <n v="1247.056744886876" u="1"/>
        <n v="3320.9479828064159" u="1"/>
        <n v="1299.1229390498572" u="1"/>
        <n v="21962.631600226639" u="1"/>
        <n v="123459.99349590113" u="1"/>
        <n v="2221.6145246244246" u="1"/>
        <n v="12184.004539760139" u="1"/>
        <n v="81.474802499999996" u="1"/>
        <n v="181.68107197742452" u="1"/>
        <n v="1022.785702190874" u="1"/>
        <n v="107126.33056414526" u="1"/>
        <n v="544.5" u="1"/>
        <n v="55530.357509755573" u="1"/>
        <n v="34875.315746836357" u="1"/>
        <n v="34914.128277734148" u="1"/>
        <n v="69927.480344789845" u="1"/>
        <n v="21461.732767283913" u="1"/>
        <n v="22072.672818510542" u="1"/>
        <n v="859.2009606720593" u="1"/>
        <n v="20.374774959297721" u="1"/>
        <n v="15107.2171941424" u="1"/>
        <n v="95.738791289350019" u="1"/>
        <n v="239.14440000000002" u="1"/>
        <n v="421.24119557813771" u="1"/>
        <n v="1153.6797082445653" u="1"/>
        <n v="681.85713479391598" u="1"/>
        <n v="5385.4541369339531" u="1"/>
        <n v="14591.91658431728" u="1"/>
        <n v="120.84606480099895" u="1"/>
        <n v="40.206639480924423" u="1"/>
        <n v="1820.9955119872336" u="1"/>
        <n v="13726.644750141648" u="1"/>
        <n v="30280.929073140702" u="1"/>
        <n v="26.91" u="1"/>
        <n v="194.08055558650787" u="1"/>
        <n v="416.02743518119587" u="1"/>
        <n v="4650.0420995781815" u="1"/>
        <n v="62292.679357041547" u="1"/>
        <n v="281.87909854839438" u="1"/>
        <n v="14238.264287662734" u="1"/>
        <n v="1644.6424342141913" u="1"/>
        <n v="182.81850484637567" u="1"/>
        <n v="11062.547708227254" u="1"/>
        <n v="23728.123279898831" u="1"/>
        <n v="473.86119035230672" u="1"/>
        <n v="2580.5073107274534" u="1"/>
        <n v="6265.1750655263404" u="1"/>
        <n v="8889.3551150397743" u="1"/>
        <n v="35411.859066018456" u="1"/>
        <n v="78992.850308799709" u="1"/>
        <n v="695.51811864835338" u="1"/>
        <n v="3268.5141222651969" u="1"/>
        <n v="9853.8718181127369" u="1"/>
        <n v="12877.039660370347" u="1"/>
        <n v="13779.407969903878" u="1"/>
        <n v="32611.578199704429" u="1"/>
        <n v="15671.597739526494" u="1"/>
        <n v="543.93372435982303" u="1"/>
        <n v="5456.382912499118" u="1"/>
        <n v="8527.8411386862026" u="1"/>
        <n v="11877.302780172575" u="1"/>
        <n v="8768.7141626661032" u="1"/>
        <n v="3561.6111352298003" u="1"/>
        <n v="45.47940839128956" u="1"/>
        <n v="16834.724093024153" u="1"/>
        <n v="1080.2905766357314" u="1"/>
        <n v="2623.387286577853" u="1"/>
        <n v="3224.2420796477763" u="1"/>
        <n v="15130.094283994862" u="1"/>
        <n v="748.66202748390515" u="1"/>
        <n v="1290.4255598523744" u="1"/>
        <n v="41110.353124475892" u="1"/>
        <n v="236290.32518499542" u="1"/>
        <n v="22.77" u="1"/>
        <n v="84.825281641536023" u="1"/>
        <n v="12851.088503613728" u="1"/>
        <n v="3777.012717174975" u="1"/>
        <n v="69135.977460102731" u="1"/>
        <n v="912.04856023738228" u="1"/>
        <n v="33301.842000437857" u="1"/>
        <n v="674.81141694343603" u="1"/>
        <n v="11156.098851059003" u="1"/>
        <n v="8103.5695378990549" u="1"/>
        <n v="21435.718598249721" u="1"/>
        <n v="29442.400000000001" u="1"/>
        <n v="10299.901615806297" u="1"/>
        <n v="2766.3373099443229" u="1"/>
        <n v="20489.64831480799" u="1"/>
        <n v="6390.2999999999993" u="1"/>
        <n v="8301.9249062669714" u="1"/>
        <n v="813.63025447284133" u="1"/>
        <n v="1600.1838883658445" u="1"/>
        <n v="3294" u="1"/>
        <n v="11558.591614336101" u="1"/>
        <n v="6820.4786406238973" u="1"/>
        <n v="1010.8605016472907" u="1"/>
        <n v="3797.3486830391116" u="1"/>
        <n v="11837.947999101567" u="1"/>
        <n v="4302.7043158707775" u="1"/>
        <n v="5059.0113358179242" u="1"/>
        <n v="8740.5738002009602" u="1"/>
        <n v="4901.7137871526984" u="1"/>
        <n v="45944.67371220723" u="1"/>
        <n v="899.97950361362643" u="1"/>
        <n v="82.150320000000022" u="1"/>
        <n v="1233.4015555717726" u="1"/>
        <n v="2480.2934345826975" u="1"/>
        <n v="1849.4485623322312" u="1"/>
        <n v="7750.0550251428685" u="1"/>
        <n v="281.28359999999998" u="1"/>
        <n v="2601.4221599817624" u="1"/>
        <n v="9305.8073278943029" u="1"/>
        <n v="16918.703756826842" u="1"/>
        <n v="674.55360000000019" u="1"/>
        <n v="4684.68" u="1"/>
        <n v="14386.652854444594" u="1"/>
        <n v="490.53183735611259" u="1"/>
        <n v="517.69703265395799" u="1"/>
        <n v="4701.9695898804057" u="1"/>
        <n v="2067.9273760143356" u="1"/>
        <n v="211.3155231492878" u="1"/>
        <n v="10579.548441925675" u="1"/>
        <n v="1030.1631753527777" u="1"/>
        <n v="20342.07118801849" u="1"/>
        <n v="34205.809113853444" u="1"/>
        <n v="61.289756075801179" u="1"/>
        <n v="163.46538649671001" u="1"/>
        <n v="262.41254806506936" u="1"/>
        <n v="6500.1846000000005" u="1"/>
        <n v="106418.93337811077" u="1"/>
        <n v="23423.4" u="1"/>
        <n v="2936.3552558874812" u="1"/>
        <n v="2616.055159631785" u="1"/>
        <n v="23251.8" u="1"/>
        <n v="37113.130135726868" u="1"/>
        <n v="635.21130760247422" u="1"/>
        <n v="25.88915316333199" u="1"/>
        <n v="49727.977112934779" u="1"/>
        <n v="3465.1756030510487" u="1"/>
        <n v="15916.466415222838" u="1"/>
        <n v="2649.8861480584378" u="1"/>
        <n v="5124.0133328685188" u="1"/>
        <n v="116012.58879204026" u="1"/>
        <n v="5913.5661946970031" u="1"/>
        <n v="3152.4073756538378" u="1"/>
        <n v="625.43882747892144" u="1"/>
        <n v="30832.764843356916" u="1"/>
        <n v="4673.8817573169354" u="1"/>
        <n v="26827.165959104892" u="1"/>
        <n v="81.702051697137023" u="1"/>
        <n v="489.8332393138806" u="1"/>
        <n v="644.6649274415206" u="1"/>
        <n v="2760.1214118176681" u="1"/>
        <n v="90.119579353881207" u="1"/>
        <n v="3797.0757972886918" u="1"/>
        <n v="1063.9225375957963" u="1"/>
        <n v="34527.96685066702" u="1"/>
        <n v="2816.0729999999999" u="1"/>
        <n v="1097.1446658950415" u="1"/>
        <n v="3068.3571065726219" u="1"/>
        <n v="8389.3263267944494" u="1"/>
        <n v="166.14196377942963" u="1"/>
        <n v="17803.482863769612" u="1"/>
        <n v="25238.82036463359" u="1"/>
        <n v="182.04352056758529" u="1"/>
        <n v="9762.4800000000014" u="1"/>
        <n v="18984.851471806483" u="1"/>
        <n v="10892.354693240561" u="1"/>
        <n v="38931.923567950107" u="1"/>
        <n v="27336.613200000003" u="1"/>
        <n v="174.44627635463718" u="1"/>
        <n v="1878.6630011020761" u="1"/>
        <n v="14047.679663901516" u="1"/>
        <n v="14524.890512635067" u="1"/>
        <n v="2994.3713473060343" u="1"/>
        <n v="20935.757725600855" u="1"/>
        <n v="27758.800267866533" u="1"/>
        <n v="4988.7879044685214" u="1"/>
        <n v="15688.576680233644" u="1"/>
        <n v="36292.013411301959" u="1"/>
        <n v="2910.8614080000002" u="1"/>
        <n v="9669.9739116228102" u="1"/>
        <n v="23130.9804" u="1"/>
        <n v="54727.418556573975" u="1"/>
        <n v="23404.919999999995" u="1"/>
        <n v="83.520277513153204" u="1"/>
        <n v="1508.824852789422" u="1"/>
        <n v="4228.4934745885375" u="1"/>
        <n v="21684.581920966855" u="1"/>
        <n v="748.56632132246114" u="1"/>
        <n v="72631.706706690791" u="1"/>
        <n v="19641.777876726297" u="1"/>
        <n v="8671.320485867207" u="1"/>
        <n v="4643.7299999999987" u="1"/>
        <n v="11492.07797972675" u="1"/>
        <n v="23308.74255343659" u="1"/>
        <n v="34356.017575750702" u="1"/>
        <n v="45128.025846981021" u="1"/>
        <n v="1874.7703644690946" u="1"/>
        <n v="1319.0023263226572" u="1"/>
        <n v="1631.0916903135776" u="1"/>
        <n v="63.03446003032731" u="1"/>
        <n v="93.600203743432331" u="1"/>
        <n v="118.94002250400349" u="1"/>
        <n v="14021.839999999998" u="1"/>
        <n v="185.18632960505698" u="1"/>
        <n v="4872.8997275387346" u="1"/>
        <n v="33319.340121208275" u="1"/>
        <n v="140057.96767125811" u="1"/>
        <n v="8942.3886530349628" u="1"/>
        <n v="24162.336473651023" u="1"/>
        <n v="53669.340122942136" u="1"/>
        <n v="1816.3765051236926" u="1"/>
        <n v="2519.8363020012994" u="1"/>
        <n v="6394.4586489306121" u="1"/>
        <n v="147088.16300363294" u="1"/>
        <n v="1164.2728548170126" u="1"/>
        <n v="3381.8487996932236" u="1"/>
        <n v="690.37741768885303" u="1"/>
        <n v="6534.8224772178573" u="1"/>
        <n v="4151.275503061247" u="1"/>
        <n v="7793.6490846596698" u="1"/>
        <n v="2857.4268413221325" u="1"/>
        <n v="25038.6882284979" u="1"/>
        <n v="8133.1962812148768" u="1"/>
        <n v="12778.258416883842" u="1"/>
        <n v="17617.995140251311" u="1"/>
        <n v="18038.037422466481" u="1"/>
        <n v="790.83233663445583" u="1"/>
        <n v="8790.3305254215375" u="1"/>
        <n v="2733.9" u="1"/>
        <n v="102855.13682457502" u="1"/>
        <n v="10441.958442543902" u="1"/>
        <n v="11182.050538408719" u="1"/>
        <n v="3047.3868356610628" u="1"/>
        <n v="7499.0735753614035" u="1"/>
        <n v="4765.8053970865885" u="1"/>
        <n v="40144.555540531393" u="1"/>
        <n v="17447.413206494217" u="1"/>
      </sharedItems>
    </cacheField>
    <cacheField name="TM Cost" numFmtId="0">
      <sharedItems containsNonDate="0" containsString="0" containsBlank="1" containsNumber="1" minValue="0" maxValue="1116275.2734930497" count="1511">
        <m/>
        <n v="0" u="1"/>
        <n v="1705.1182607895653" u="1"/>
        <n v="3836.5160867765221" u="1"/>
        <n v="2184.6640159359445" u="1"/>
        <n v="2330.7531150033628" u="1"/>
        <n v="2383.9592564488553" u="1"/>
        <n v="279.26588964813828" u="1"/>
        <n v="962.29248320988029" u="1"/>
        <n v="1525.8854663758887" u="1"/>
        <n v="8284.9608281923247" u="1"/>
        <n v="13150.73147332115" u="1"/>
        <n v="24548.032083532813" u="1"/>
        <n v="6241.8971883884124" u="1"/>
        <n v="35127.733453143286" u="1"/>
        <n v="3979.2094575976125" u="1"/>
        <n v="1170.3557228228274" u="1"/>
        <n v="522.15870710556896" u="1"/>
        <n v="1174.8570909875302" u="1"/>
        <n v="872.42790468741964" u="1"/>
        <n v="741.37533672661425" u="1"/>
        <n v="1129.3932725240284" u="1"/>
        <n v="1070.2755561384149" u="1"/>
        <n v="549.16691609378813" u="1"/>
        <n v="1235.6255612110233" u="1"/>
        <n v="475.94466061461645" u="1"/>
        <n v="889.47034934534884" u="1"/>
        <n v="923.3385294845948" u="1"/>
        <n v="7660.2900223907136" u="1"/>
        <n v="1152.3502501640148" u="1"/>
        <n v="2592.7880628690332" u="1"/>
        <n v="4850.4742734768279" u="1"/>
        <n v="6184.7890744064143" u="1"/>
        <n v="10120.087894608807" u="1"/>
        <n v="21813.054039451115" u="1"/>
        <n v="764.72075596057789" u="1"/>
        <n v="190088.46346903569" u="1"/>
        <n v="53067.490119554532" u="1"/>
        <n v="6634.3925354891489" u="1"/>
        <n v="1196.3636277744456" u="1"/>
        <n v="5921.6065606018856" u="1"/>
        <n v="18959.762709729799" u="1"/>
        <n v="46404.604409925101" u="1"/>
        <n v="68037.553568726187" u="1"/>
        <n v="29119.466437381318" u="1"/>
        <n v="32354.962708201459" u="1"/>
        <n v="2408.5899700860846" u="1"/>
        <n v="6583.4792515686322" u="1"/>
        <n v="24356.340490967676" u="1"/>
        <n v="12428.0631518805" u="1"/>
        <n v="1703.5177743310041" u="1"/>
        <n v="716.44128757899364" u="1"/>
        <n v="15352.313305264148" u="1"/>
        <n v="7958.4189151952278" u="1"/>
        <n v="1321.201571542214" u="1"/>
        <n v="1784.7924773048114" u="1"/>
        <n v="148843.11515021313" u="1"/>
        <n v="12994.636619098583" u="1"/>
        <n v="20104.219804512573" u="1"/>
        <n v="27425.33577148159" u="1"/>
        <n v="47981.493660237466" u="1"/>
        <n v="4188.9883447220745" u="1"/>
        <n v="3816.1464501656601" u="1"/>
        <n v="19773.77953718022" u="1"/>
        <n v="3276.9960239039165" u="1"/>
        <n v="7373.2410537838114" u="1"/>
        <n v="24109.304941998809" u="1"/>
        <n v="559.81730851280872" u="1"/>
        <n v="877.27504601509406" u="1"/>
        <n v="5149.5651804204408" u="1"/>
        <n v="1040.3161980647353" u="1"/>
        <n v="2222.4301165715719" u="1"/>
        <n v="33035.578787379884" u="1"/>
        <n v="9796.2380138352182" u="1"/>
        <n v="8992.0692216547159" u="1"/>
        <n v="3713.797694797232" u="1"/>
        <n v="16029.5696407878" u="1"/>
        <n v="1525.3636254124183" u="1"/>
        <n v="15356.181707933423" u="1"/>
        <n v="2348.5138171311405" u="1"/>
        <n v="23643.021453135349" u="1"/>
        <n v="80119.208910956979" u="1"/>
        <n v="5851.7786141141369" u="1"/>
        <n v="131175.56753068446" u="1"/>
        <n v="1633.8034758312797" u="1"/>
        <n v="32166.751687220119" u="1"/>
        <n v="135324.03235403585" u="1"/>
        <n v="1040.2430769230768" u="1"/>
        <n v="2340.5469230769231" u="1"/>
        <n v="1332.8000000000002" u="1"/>
        <n v="1421.9247120000002" u="1"/>
        <n v="1454.3842319999999" u="1"/>
        <n v="170.37200000000001" u="1"/>
        <n v="587.06666666666672" u="1"/>
        <n v="930.89835999999991" u="1"/>
        <n v="1120.1866666666667" u="1"/>
        <n v="5054.4137273593906" u="1"/>
        <n v="8022.878932316492" u="1"/>
        <n v="14976.040673657451" u="1"/>
        <n v="3808" u="1"/>
        <n v="21430.408888888895" u="1"/>
        <n v="2427.6" u="1"/>
        <n v="714" u="1"/>
        <n v="318.55384615384605" u="1"/>
        <n v="716.74615384615367" u="1"/>
        <n v="532.24289999999985" u="1"/>
        <n v="201.01846153846154" u="1"/>
        <n v="452.29153846153855" u="1"/>
        <n v="273.7" u="1"/>
        <n v="689.01" u="1"/>
        <n v="652.94399999999996" u="1"/>
        <n v="335.03076923076918" u="1"/>
        <n v="753.81923076923067" u="1"/>
        <n v="290.36" u="1"/>
        <n v="542.6400000000001" u="1"/>
        <n v="363.34666666666664" u="1"/>
        <n v="967.86666666666656" u="1"/>
        <n v="563.30199203187249" u="1"/>
        <n v="4673.3202301903502" u="1"/>
        <n v="703.01538461538473" u="1"/>
        <n v="1581.7846153846158" u="1"/>
        <n v="2959.1333333333328" u="1"/>
        <n v="3773.1600000000003" u="1"/>
        <n v="6173.9713967669877" u="1"/>
        <n v="13307.510084714495" u="1"/>
        <n v="466.53389999999996" u="1"/>
        <n v="115967.44500000001" u="1"/>
        <n v="32374.93285714286" u="1"/>
        <n v="4047.45" u="1"/>
        <n v="729.86666666666656" u="1"/>
        <n v="3612.6" u="1"/>
        <n v="11566.8" u="1"/>
        <n v="28310.1" u="1"/>
        <n v="1919.8666666666666" u="1"/>
        <n v="41507.73333333333" u="1"/>
        <n v="17764.939864730102" u="1"/>
        <n v="19738.822071922335" u="1"/>
        <n v="1469.4107142857142" u="1"/>
        <n v="4016.3892857142864" u="1"/>
        <n v="14859.095206204707" u="1"/>
        <n v="7582" u="1"/>
        <n v="1039.2666666666667" u="1"/>
        <n v="437.08000000000004" u="1"/>
        <n v="9366" u="1"/>
        <n v="4855.2000000000016" u="1"/>
        <n v="806.02666666666664" u="1"/>
        <n v="434.74666666666673" u="1"/>
        <n v="1088.8499999999999" u="1"/>
        <n v="1064.6533333333332" u="1"/>
        <n v="90804.857142857159" u="1"/>
        <n v="7927.6500000000005" u="1"/>
        <n v="12265" u="1"/>
        <n v="16731.400000000001" u="1"/>
        <n v="29272.114285714284" u="1"/>
        <n v="2555.58" u="1"/>
        <n v="2328.1200000000003" u="1"/>
        <n v="12063.407999999999" u="1"/>
        <n v="1999.2" u="1"/>
        <n v="4498.2" u="1"/>
        <n v="14708.385999999995" u="1"/>
        <n v="341.52826400000004" u="1"/>
        <n v="535.19999999999993" u="1"/>
        <n v="3141.6000000000004" u="1"/>
        <n v="3173.3333333333335" u="1"/>
        <n v="326.47199999999998" u="1"/>
        <n v="634.66666666666663" u="1"/>
        <n v="1355.84" u="1"/>
        <n v="8957.3538461538465" u="1"/>
        <n v="20154.04615384615" u="1"/>
        <n v="1426.4133333333332" u="1"/>
        <n v="5976.4000000000005" u="1"/>
        <n v="428.40000000000003" u="1"/>
        <n v="5485.8" u="1"/>
        <n v="715.97866666666664" u="1"/>
        <n v="2265.6799999999998" u="1"/>
        <n v="9779.1743999999999" u="1"/>
        <n v="930.58" u="1"/>
        <n v="9368.36" u="1"/>
        <n v="1432.7600000000002" u="1"/>
        <n v="14423.920000000002" u="1"/>
        <n v="48878.399999999994" u="1"/>
        <n v="3570" u="1"/>
        <n v="80026.399999999994" u="1"/>
        <n v="996.73599999999999" u="1"/>
        <n v="7108.2666666666664" u="1"/>
        <n v="19624" u="1"/>
        <n v="82557.257777777777" u="1"/>
        <n v="1675.5497360359891" u="1"/>
        <n v="3769.986906080976" u="1"/>
        <n v="2146.7796688387898" u="1"/>
        <n v="2290.3354309281599" u="1"/>
        <n v="2342.6189225219964" u="1"/>
        <n v="274.42312855597402" u="1"/>
        <n v="945.60533032184776" u="1"/>
        <n v="1499.4250247624341" u="1"/>
        <n v="8141.2909872410137" u="1"/>
        <n v="12922.684106731767" u="1"/>
        <n v="24122.343665899298" u="1"/>
        <n v="6133.6561966822555" u="1"/>
        <n v="34518.582005978955" u="1"/>
        <n v="3910.2058253849377" u="1"/>
        <n v="1150.0605368779229" u="1"/>
        <n v="513.10393183784242" u="1"/>
        <n v="1154.4838466351455" u="1"/>
        <n v="857.29909709168408" u="1"/>
        <n v="728.5191170145921" u="1"/>
        <n v="1109.8084180871956" u="1"/>
        <n v="1051.7158644134711" u="1"/>
        <n v="539.6437903811792" u="1"/>
        <n v="1214.198528357653" u="1"/>
        <n v="467.69128499702197" u="1"/>
        <n v="874.04600802722155" u="1"/>
        <n v="585.25302876676517" u="1"/>
        <n v="907.326878684284" u="1"/>
        <n v="7527.452623158505" u="1"/>
        <n v="1132.367297849032" u="1"/>
        <n v="2547.826420160322" u="1"/>
        <n v="4766.3620028385021" u="1"/>
        <n v="6077.5383968155511" u="1"/>
        <n v="9944.5950409450707" u="1"/>
        <n v="21434.792986743872" u="1"/>
        <n v="751.45970238900713" u="1"/>
        <n v="186792.13173257845" u="1"/>
        <n v="52147.244626151856" u="1"/>
        <n v="6519.3452660876028" u="1"/>
        <n v="1175.6174376974323" u="1"/>
        <n v="5818.9197416319103" u="1"/>
        <n v="18630.98069742235" u="1"/>
        <n v="45599.900287209639" u="1"/>
        <n v="66857.711599326314" u="1"/>
        <n v="28614.504591646386" u="1"/>
        <n v="31793.893990718199" u="1"/>
        <n v="2366.8225139574238" u="1"/>
        <n v="6469.3148714836261" u="1"/>
        <n v="23933.97620499714" u="1"/>
        <n v="12212.547605894133" u="1"/>
        <n v="1673.9770036778655" u="1"/>
        <n v="704.01745022213242" u="1"/>
        <n v="15086.088219045692" u="1"/>
        <n v="7820.4116507698782" u="1"/>
        <n v="1298.2905616310775" u="1"/>
        <n v="1753.8423187388321" u="1"/>
        <n v="146262.02066783948" u="1"/>
        <n v="12769.296099692248" u="1"/>
        <n v="19755.59171541698" u="1"/>
        <n v="26949.751914172666" u="1"/>
        <n v="47149.444637227571" u="1"/>
        <n v="4116.3469283396098" u="1"/>
        <n v="3749.9705001627872" u="1"/>
        <n v="19430.881626130853" u="1"/>
        <n v="3220.1695032581842" u="1"/>
        <n v="7245.3813823309138" u="1"/>
        <n v="23691.224509478598" u="1"/>
        <n v="550.10949391432075" u="1"/>
        <n v="862.06218394546818" u="1"/>
        <n v="5060.2663622628615" u="1"/>
        <n v="1022.2760327803759" u="1"/>
        <n v="2183.8908659951862" u="1"/>
        <n v="32462.707478928209" u="1"/>
        <n v="9626.3610540577283" u="1"/>
        <n v="8836.1373854410485" u="1"/>
        <n v="3649.3965787024822" u="1"/>
        <n v="15751.600225051596" u="1"/>
        <n v="1498.9122330642263" u="1"/>
        <n v="15089.889539587757" u="1"/>
        <n v="2307.788144001699" u="1"/>
        <n v="23233.02686146248" u="1"/>
        <n v="78729.858467414364" u="1"/>
        <n v="5750.302684389615" u="1"/>
        <n v="128900.84670645294" u="1"/>
        <n v="1605.4716236492343" u="1"/>
        <n v="31608.946744667166" u="1"/>
        <n v="132977.37283344564" u="1"/>
        <n v="1660.765473659201" u="1"/>
        <n v="3736.7223157332023" u="1"/>
        <n v="2127.8374952902122" u="1"/>
        <n v="2270.1265888905587" u="1"/>
        <n v="2321.9487555585674" u="1"/>
        <n v="272.00174800989197" u="1"/>
        <n v="937.26175387783144" u="1"/>
        <n v="1486.1948039557067" u="1"/>
        <n v="8069.4560667653586" u="1"/>
        <n v="12808.660423437077" u="1"/>
        <n v="23909.499457082544" u="1"/>
        <n v="6079.5357008291767" u="1"/>
        <n v="34214.006282396789" u="1"/>
        <n v="3875.7040092785996" u="1"/>
        <n v="1139.9129439054707" u="1"/>
        <n v="508.5765442039791" u="1"/>
        <n v="1144.297224458953" u="1"/>
        <n v="849.73469329381635" u="1"/>
        <n v="722.09100715858096" u="1"/>
        <n v="1100.0159908687792" u="1"/>
        <n v="1042.4360185509995" u="1"/>
        <n v="534.88222752487468" u="1"/>
        <n v="1203.4850119309679" u="1"/>
        <n v="463.5645971882247" u="1"/>
        <n v="866.33383736815779" u="1"/>
        <n v="899.32105328412865" u="1"/>
        <n v="7461.0339235424017" u="1"/>
        <n v="1122.3758216915405" u="1"/>
        <n v="2525.3455988059663" u="1"/>
        <n v="4724.3058675193388" u="1"/>
        <n v="6023.9130580201208" u="1"/>
        <n v="9856.8486141132034" u="1"/>
        <n v="21245.662460390253" u="1"/>
        <n v="744.82917560322187" u="1"/>
        <n v="185143.9658643498" u="1"/>
        <n v="51687.121879450518" u="1"/>
        <n v="6461.8216313868306" u="1"/>
        <n v="1165.2443426589255" u="1"/>
        <n v="5767.5763321469231" u="1"/>
        <n v="18466.589691268622" u="1"/>
        <n v="45197.548225851904" u="1"/>
        <n v="66267.790614626385" u="1"/>
        <n v="28362.023668778915" u="1"/>
        <n v="31513.359631976567" u="1"/>
        <n v="2345.9387858930941" u="1"/>
        <n v="6412.2326814411244" u="1"/>
        <n v="23722.794062011868" u="1"/>
        <n v="12104.789832900951" u="1"/>
        <n v="1659.2066183512959" u="1"/>
        <n v="697.80553154370193" u="1"/>
        <n v="14952.975675936468" u="1"/>
        <n v="7751.408018557202" u="1"/>
        <n v="1286.8350566755091" u="1"/>
        <n v="1738.3672394558425" u="1"/>
        <n v="144971.47342665266" u="1"/>
        <n v="12656.625839989083" u="1"/>
        <n v="19581.277670869185" u="1"/>
        <n v="26711.959985518199" u="1"/>
        <n v="46733.420125722623" u="1"/>
        <n v="4080.0262201483788" u="1"/>
        <n v="3716.8825251613512" u="1"/>
        <n v="19259.432670606169" u="1"/>
        <n v="3191.7562429353179" u="1"/>
        <n v="7181.4515466044641" u="1"/>
        <n v="23482.184293218495" u="1"/>
        <n v="545.25558661507671" u="1"/>
        <n v="854.45575291065529" u="1"/>
        <n v="5015.6169531840715" u="1"/>
        <n v="1013.2559501381961" u="1"/>
        <n v="2164.6212407069934" u="1"/>
        <n v="32176.271824702377" u="1"/>
        <n v="9541.4225741689843" u="1"/>
        <n v="8758.1714673342176" u="1"/>
        <n v="3617.1960206551075" u="1"/>
        <n v="15612.615517183494" u="1"/>
        <n v="1485.6865368901301" u="1"/>
        <n v="14956.743455414926" u="1"/>
        <n v="2287.4253074369781" u="1"/>
        <n v="23028.02956562605" u="1"/>
        <n v="78035.183245643086" u="1"/>
        <n v="5699.5647195273532" u="1"/>
        <n v="127763.4862943372" u="1"/>
        <n v="1591.3056975582119" u="1"/>
        <n v="31330.044273390697" u="1"/>
        <n v="131804.04307315053" u="1"/>
        <n v="1448.4296601615147" u="1"/>
        <n v="2405.5969792905812" u="1"/>
        <n v="790.27459570008102" u="1"/>
        <n v="35.932049999999997" u="1"/>
        <n v="112.7720102398339" u="1"/>
        <n v="1361.8069769030933" u="1"/>
        <n v="778.11652690282199" u="1"/>
        <n v="223.24704539394975" u="1"/>
        <n v="2596.3284662419378" u="1"/>
        <n v="877.85032288544699" u="1"/>
        <n v="17838.098497886014" u="1"/>
        <n v="116.43590473917956" u="1"/>
        <n v="142841.04191314825" u="1"/>
        <n v="24824.423366239225" u="1"/>
        <n v="2494.9093855293622" u="1"/>
        <n v="24442.509220471133" u="1"/>
        <n v="695.04246799316377" u="1"/>
        <n v="1459.3742041493385" u="1"/>
        <n v="378.27971580641491" u="1"/>
        <n v="548.08838880367466" u="1"/>
        <n v="12045.341348568871" u="1"/>
        <n v="573.04543567623853" u="1"/>
        <n v="114.47656376728122" u="1"/>
        <n v="869.25842783080736" u="1"/>
        <n v="3518.6128058567101" u="1"/>
        <n v="1239.8139534883721" u="1"/>
        <n v="2822.8690794741938" u="1"/>
        <n v="54.316112256056797" u="1"/>
        <n v="1874.9640000000004" u="1"/>
        <n v="8688.216448675028" u="1"/>
        <n v="1280.1000616360152" u="1"/>
        <n v="1987.6750390404206" u="1"/>
        <n v="97585.524606142775" u="1"/>
        <n v="97.641070799999994" u="1"/>
        <n v="9888.7564833888337" u="1"/>
        <n v="10598.293908506053" u="1"/>
        <n v="158.73656080695761" u="1"/>
        <n v="583.48635714911154" u="1"/>
        <n v="102752.30879349356" u="1"/>
        <n v="1710.54592205637" u="1"/>
        <n v="443.29807653536398" u="1"/>
        <n v="1133.493811484976" u="1"/>
        <n v="3036.1598173577167" u="1"/>
        <n v="2944.1549816185202" u="1"/>
        <n v="420.67196593448068" u="1"/>
        <n v="4625.5842844587687" u="1"/>
        <n v="5099.4653185574989" u="1"/>
        <n v="6647.1755654226554" u="1"/>
        <n v="11536.420402799651" u="1"/>
        <n v="36882.272291125453" u="1"/>
        <n v="933.77369948430908" u="1"/>
        <n v="4307.2577053638461" u="1"/>
        <n v="14466.408541527942" u="1"/>
        <n v="7669.8179601030643" u="1"/>
        <n v="861.73359522064607" u="1"/>
        <n v="988.7712371970008" u="1"/>
        <n v="9017.4701059976342" u="1"/>
        <n v="48.681158742036331" u="1"/>
        <n v="562.50352080000005" u="1"/>
        <n v="5076.0249772318457" u="1"/>
        <n v="1791.4144701638802" u="1"/>
        <n v="2856.5976678823677" u="1"/>
        <n v="341.28016585990679" u="1"/>
        <n v="232.46648001179679" u="1"/>
        <n v="2867.6245001244852" u="1"/>
        <n v="485.53707995383292" u="1"/>
        <n v="3052.9575989063906" u="1"/>
        <n v="414.2000905499774" u="1"/>
        <n v="4329.1099347018235" u="1"/>
        <n v="40092.042915914251" u="1"/>
        <n v="11358.937039808477" u="1"/>
        <n v="65.330999999999989" u="1"/>
        <n v="43993.343455766168" u="1"/>
        <n v="9357.6005137469856" u="1"/>
        <n v="1623.0782469992891" u="1"/>
        <n v="175.06440723241988" u="1"/>
        <n v="21185.089714285714" u="1"/>
        <n v="7553.6085970712002" u="1"/>
        <n v="2319.2000000000003" u="1"/>
        <n v="9592.2229689939886" u="1"/>
        <n v="4555.4996740881825" u="1"/>
        <n v="300.16236250000003" u="1"/>
        <n v="915.88531443671729" u="1"/>
        <n v="671.83291708603235" u="1"/>
        <n v="538.36628546398379" u="1"/>
        <n v="1.3691535912685353" u="1"/>
        <n v="11804.898457643707" u="1"/>
        <n v="1008.0844360900131" u="1"/>
        <n v="2413.7741218423894" u="1"/>
        <n v="1290.2326242975282" u="1"/>
        <n v="641.32151031259468" u="1"/>
        <n v="6080.8791776269463" u="1"/>
        <n v="1289.9144111925393" u="1"/>
        <n v="2232.285109871998" u="1"/>
        <n v="899.00157000391903" u="1"/>
        <n v="5578.0494255295016" u="1"/>
        <n v="1670.0144578313257" u="1"/>
        <n v="2990.1573958826002" u="1"/>
        <n v="929.59436311222146" u="1"/>
        <n v="1466.3046379041259" u="1"/>
        <n v="392.3735949348208" u="1"/>
        <n v="11714.81515619351" u="1"/>
        <n v="552.11359665181362" u="1"/>
        <n v="531.10246727236051" u="1"/>
        <n v="1341.1735378591075" u="1"/>
        <n v="4134.2045443324041" u="1"/>
        <n v="2945.8663377884627" u="1"/>
        <n v="24171.547510627839" u="1"/>
        <n v="149.53930915367516" u="1"/>
        <n v="2677.4637242541608" u="1"/>
        <n v="12294.823645423163" u="1"/>
        <n v="27919.441328365334" u="1"/>
        <n v="20299.768565019876" u="1"/>
        <n v="61.372571135997241" u="1"/>
        <n v="1914.3417392302697" u="1"/>
        <n v="7361.3349236912063" u="1"/>
        <n v="10924.806933246702" u="1"/>
        <n v="3560.4597417541713" u="1"/>
        <n v="3704.3054514203513" u="1"/>
        <n v="4985.3816740669918" u="1"/>
        <n v="804.25330808088995" u="1"/>
        <n v="12230.654292393006" u="1"/>
        <n v="4137.8886596874909" u="1"/>
        <n v="3049.254115212555" u="1"/>
        <n v="617.47322804533223" u="1"/>
        <n v="9794.7843501631578" u="1"/>
        <n v="18395.539030889267" u="1"/>
        <n v="27667.824396528631" u="1"/>
        <n v="15879.687131124401" u="1"/>
        <n v="232.05" u="1"/>
        <n v="1695.7270253609684" u="1"/>
        <n v="209.85298066045078" u="1"/>
        <n v="723.10995848141317" u="1"/>
        <n v="82.619367600000004" u="1"/>
        <n v="50555.599999999991" u="1"/>
        <n v="84.048536001420814" u="1"/>
        <n v="109822.955957211" u="1"/>
        <n v="62294.769785557859" u="1"/>
        <n v="5306.7533852878396" u="1"/>
        <n v="22089.075725096827" u="1"/>
        <n v="1606.6614672528435" u="1"/>
        <n v="1641.6550408767221" u="1"/>
        <n v="4381.3042867832701" u="1"/>
        <n v="19162.019823842988" u="1"/>
        <n v="2079.0911546078019" u="1"/>
        <n v="11480.04" u="1"/>
        <n v="395.94009110189552" u="1"/>
        <n v="68.191824941899554" u="1"/>
        <n v="82.979666817566496" u="1"/>
        <n v="2197.4134100570764" u="1"/>
        <n v="54076.090264160994" u="1"/>
        <n v="3882.5573111991262" u="1"/>
        <n v="4647.5293622707168" u="1"/>
        <n v="564.73561028488245" u="1"/>
        <n v="7786.0273231349292" u="1"/>
        <n v="924.55847308792386" u="1"/>
        <n v="272.3458118613716" u="1"/>
        <n v="389.05826345141099" u="1"/>
        <n v="5756.2873000623877" u="1"/>
        <n v="1449.5800000000002" u="1"/>
        <n v="1517.9207344676797" u="1"/>
        <n v="451.78848822790604" u="1"/>
        <n v="486.96747127618301" u="1"/>
        <n v="1031.3333333333335" u="1"/>
        <n v="4464.394609226737" u="1"/>
        <n v="17180.725746291584" u="1"/>
        <n v="1926.1134645810534" u="1"/>
        <n v="589.24340346768497" u="1"/>
        <n v="734.23472707343478" u="1"/>
        <n v="833.00488670893867" u="1"/>
        <n v="17678.479602352745" u="1"/>
        <n v="7667.3784931543005" u="1"/>
        <n v="1598.486152347785" u="1"/>
        <n v="18020.876245547646" u="1"/>
        <n v="642.90300034493555" u="1"/>
        <n v="894.49153120093536" u="1"/>
        <n v="2374.9318351735565" u="1"/>
        <n v="695.66313178128496" u="1"/>
        <n v="14028.032559476478" u="1"/>
        <n v="4019.1233232892605" u="1"/>
        <n v="6584.8677102684678" u="1"/>
        <n v="4391.4859670430424" u="1"/>
        <n v="116478.86703182202" u="1"/>
        <n v="865.927935770153" u="1"/>
        <n v="115.45705810268709" u="1"/>
        <n v="1212.3095178659037" u="1"/>
        <n v="1710.7440000000001" u="1"/>
        <n v="5935.4392005912514" u="1"/>
        <n v="2356.0043836633663" u="1"/>
        <n v="1955.7459794207614" u="1"/>
        <n v="2906.6397209346328" u="1"/>
        <n v="12922.631849334659" u="1"/>
        <n v="331.93904204522534" u="1"/>
        <n v="2424.5982201564289" u="1"/>
        <n v="4690.442973933491" u="1"/>
        <n v="705.75471119999997" u="1"/>
        <n v="2614.8714519096561" u="1"/>
        <n v="1261.5641613592149" u="1"/>
        <n v="17849.758205413324" u="1"/>
        <n v="100087.716266187" u="1"/>
        <n v="4218.8946485393617" u="1"/>
        <n v="19292.98594543372" u="1"/>
        <n v="9339.0069927425739" u="1"/>
        <n v="897.6391616881732" u="1"/>
        <n v="2216.7260676897272" u="1"/>
        <n v="6581.6667458725706" u="1"/>
        <n v="848.67702559609108" u="1"/>
        <n v="678.67101799760735" u="1"/>
        <n v="4576.0289217514164" u="1"/>
        <n v="16660.097734178773" u="1"/>
        <n v="5414.1955717360443" u="1"/>
        <n v="1931.9455851399498" u="1"/>
        <n v="6861.0007934012874" u="1"/>
        <n v="3573.591122195523" u="1"/>
        <n v="9482.684023400152" u="1"/>
        <n v="4706.4792027905169" u="1"/>
        <n v="87.532203616209941" u="1"/>
        <n v="80568.704642691373" u="1"/>
        <n v="253.77677985602836" u="1"/>
        <n v="13106.129979722891" u="1"/>
        <n v="544.39384999999993" u="1"/>
        <n v="6946.6663291783379" u="1"/>
        <n v="1844.8545284058259" u="1"/>
        <n v="3196.4141001622061" u="1"/>
        <n v="6949.5734740280623" u="1"/>
        <n v="2351.4178634759232" u="1"/>
        <n v="215.32947509469182" u="1"/>
        <n v="229.8179576" u="1"/>
        <n v="802.14921633869108" u="1"/>
        <n v="3615.2360454734653" u="1"/>
        <n v="10305.945000000003" u="1"/>
        <n v="2685.5634647456591" u="1"/>
        <n v="1619.1454722173946" u="1"/>
        <n v="1835.6215441917657" u="1"/>
        <n v="4518.2200346788959" u="1"/>
        <n v="663.94607933068141" u="1"/>
        <n v="6310.5205776713774" u="1"/>
        <n v="3823.7306852718675" u="1"/>
        <n v="1858.3249426774155" u="1"/>
        <n v="18302.452392056639" u="1"/>
        <n v="1827.0705907209303" u="1"/>
        <n v="1021.5111111111113" u="1"/>
        <n v="1298.5432250104104" u="1"/>
        <n v="235.56556545962061" u="1"/>
        <n v="450.11804694360029" u="1"/>
        <n v="1.3902174926726665" u="1"/>
        <n v="14247.220533322978" u="1"/>
        <n v="10466.695905491561" u="1"/>
        <n v="12260.410843518493" u="1"/>
        <n v="7432.8166537287243" u="1"/>
        <n v="1128.9788449392447" u="1"/>
        <n v="4241.9962249795453" u="1"/>
        <n v="1348.7083999999998" u="1"/>
        <n v="4069.7999999999993" u="1"/>
        <n v="7129.5336707957031" u="1"/>
        <n v="84225.072881141023" u="1"/>
        <n v="565.21614956942119" u="1"/>
        <n v="66294.039844688203" u="1"/>
        <n v="14725.552072429111" u="1"/>
        <n v="636.02212884216317" u="1"/>
        <n v="7947.2941660682964" u="1"/>
        <n v="8435.3037459621628" u="1"/>
        <n v="1485.8331174158727" u="1"/>
        <n v="4154.9720023493719" u="1"/>
        <n v="261.88595709674883" u="1"/>
        <n v="691.91576999999984" u="1"/>
        <n v="2266.6279577161822" u="1"/>
        <n v="3071.5541743746198" u="1"/>
        <n v="67.768273234185898" u="1"/>
        <n v="1979.258983630526" u="1"/>
        <n v="2332.7001068436784" u="1"/>
        <n v="15145.249386411304" u="1"/>
        <n v="52.990843373493981" u="1"/>
        <n v="1880.305331207278" u="1"/>
        <n v="2285.9987517059981" u="1"/>
        <n v="928.50475697938202" u="1"/>
        <n v="1737.6287244454406" u="1"/>
        <n v="3628.5694471523775" u="1"/>
        <n v="1834.5495081797362" u="1"/>
        <n v="802.43266640315903" u="1"/>
        <n v="952.97889227614735" u="1"/>
        <n v="402.12665404044498" u="1"/>
        <n v="417.85083199999997" u="1"/>
        <n v="1144.2673846153846" u="1"/>
        <n v="530.63929993025647" u="1"/>
        <n v="930.19602247479088" u="1"/>
        <n v="34298.864246888646" u="1"/>
        <n v="498.45987052027823" u="1"/>
        <n v="76.250471214882197" u="1"/>
        <n v="5388.395745061498" u="1"/>
        <n v="2139.6946844862441" u="1"/>
        <n v="541.16461556687852" u="1"/>
        <n v="11132.160000000003" u="1"/>
        <n v="87851.598415530287" u="1"/>
        <n v="10452.170968680106" u="1"/>
        <n v="769.90204586146103" u="1"/>
        <n v="9877.7958577084919" u="1"/>
        <n v="2414.1123681463937" u="1"/>
        <n v="11044.537862548414" u="1"/>
        <n v="30.747575473430434" u="1"/>
        <n v="5765.2338894518052" u="1"/>
        <n v="16391.312283980613" u="1"/>
        <n v="19510.719141536199" u="1"/>
        <n v="12115.072228491777" u="1"/>
        <n v="1497.1163708797226" u="1"/>
        <n v="9856.6" u="1"/>
        <n v="2604.5488629294146" u="1"/>
        <n v="17950.456211619705" u="1"/>
        <n v="524.76568910772187" u="1"/>
        <n v="530.08372852439572" u="1"/>
        <n v="27816.633524687313" u="1"/>
        <n v="40.811038078740467" u="1"/>
        <n v="1666.911272274825" u="1"/>
        <n v="4397.290288062648" u="1"/>
        <n v="1301.0150891573564" u="1"/>
        <n v="7971.8185935369129" u="1"/>
        <n v="283.34520376730023" u="1"/>
        <n v="25566.059867010215" u="1"/>
        <n v="243.4837356380915" u="1"/>
        <n v="1927.4424668206334" u="1"/>
        <n v="1599.9314381998174" u="1"/>
        <n v="80542.732652034407" u="1"/>
        <n v="113568.15722444007" u="1"/>
        <n v="128.92719332545394" u="1"/>
        <n v="1763.8542518661334" u="1"/>
        <n v="5194.035625589454" u="1"/>
        <n v="63229.066263968431" u="1"/>
        <n v="23.264032656635273" u="1"/>
        <n v="640.40181560957103" u="1"/>
        <n v="607.79828869699111" u="1"/>
        <n v="1150.932177815514" u="1"/>
        <n v="1164.2594309920078" u="1"/>
        <n v="79039.433525058252" u="1"/>
        <n v="1111.9836" u="1"/>
        <n v="1724.4878580990612" u="1"/>
        <n v="169.01489759354388" u="1"/>
        <n v="201.26059452021045" u="1"/>
        <n v="356.5751419486698" u="1"/>
        <n v="543.05451518933705" u="1"/>
        <n v="3050.6791441147811" u="1"/>
        <n v="1266.8429486102254" u="1"/>
        <n v="14987.214272944955" u="1"/>
        <n v="16601.106600849165" u="1"/>
        <n v="1261.5903925758998" u="1"/>
        <n v="4699.9415162475616" u="1"/>
        <n v="350.02267679436937" u="1"/>
        <n v="4449.762155365579" u="1"/>
        <n v="844.12098392100802" u="1"/>
        <n v="1809.9230989086188" u="1"/>
        <n v="11669.600727719293" u="1"/>
        <n v="571.76760758139653" u="1"/>
        <n v="500.71011247601479" u="1"/>
        <n v="97674.086430641837" u="1"/>
        <n v="915.75315429661032" u="1"/>
        <n v="1003.9831023846469" u="1"/>
        <n v="2501.193749321104" u="1"/>
        <n v="241.88637789263939" u="1"/>
        <n v="206.62447377175423" u="1"/>
        <n v="2929.0694042534215" u="1"/>
        <n v="2974.4508754520411" u="1"/>
        <n v="869.2204352981164" u="1"/>
        <n v="1387.0256246235213" u="1"/>
        <n v="9029.1027248219707" u="1"/>
        <n v="11539.327294978875" u="1"/>
        <n v="20925.689721592895" u="1"/>
        <n v="1992.070799668707" u="1"/>
        <n v="2364.7649993581349" u="1"/>
        <n v="101.16468691443723" u="1"/>
        <n v="1598.207050081103" u="1"/>
        <n v="89699.825648070633" u="1"/>
        <n v="4012.5823724358106" u="1"/>
        <n v="95172.56495015783" u="1"/>
        <n v="110750.12672616409" u="1"/>
        <n v="7146.8758264596736" u="1"/>
        <n v="2973.6827429287841" u="1"/>
        <n v="236.81372927982471" u="1"/>
        <n v="1353.9519882688621" u="1"/>
        <n v="913.53529536046517" u="1"/>
        <n v="4293.7520361591478" u="1"/>
        <n v="454.87024676214816" u="1"/>
        <n v="108721.78011325143" u="1"/>
        <n v="668.38812378552257" u="1"/>
        <n v="6130.2054217592467" u="1"/>
        <n v="335.93659836070822" u="1"/>
        <n v="10863.337431320504" u="1"/>
        <n v="6568.077237599191" u="1"/>
        <n v="11440.576111044145" u="1"/>
        <n v="45.556851239313268" u="1"/>
        <n v="7166.7476275381223" u="1"/>
        <n v="4489.6346496325104" u="1"/>
        <n v="318.01106442108158" u="1"/>
        <n v="533.18286009697238" u="1"/>
        <n v="34.276314124235221" u="1"/>
        <n v="14333.896740710699" u="1"/>
        <n v="427.14384233347261" u="1"/>
        <n v="2163.6070552016149" u="1"/>
        <n v="816.62643589751895" u="1"/>
        <n v="277461.32708065608" u="1"/>
        <n v="1535.7770871873099" u="1"/>
        <n v="42109.503840092708" u="1"/>
        <n v="40853.413417447919" u="1"/>
        <n v="123.63395882379042" u="1"/>
        <n v="59935.119414892775" u="1"/>
        <n v="207.25942695210782" u="1"/>
        <n v="565.67366732897744" u="1"/>
        <n v="21220.680000000004" u="1"/>
        <n v="4717.8422066050216" u="1"/>
        <n v="8114.9866540551629" u="1"/>
        <n v="45368.135327639939" u="1"/>
        <n v="62.625542168674706" u="1"/>
        <n v="12301.457955083957" u="1"/>
        <n v="447.54643376282058" u="1"/>
        <n v="3708.3814762661659" u="1"/>
        <n v="11095.507014402765" u="1"/>
        <n v="661.87668692517798" u="1"/>
        <n v="4865.2747636450458" u="1"/>
        <n v="6088.380798142909" u="1"/>
        <n v="33771.189495035964" u="1"/>
        <n v="1492.5659606338356" u="1"/>
        <n v="58551.059014692903" u="1"/>
        <n v="6962.061924169705" u="1"/>
        <n v="61657.919919944354" u="1"/>
        <n v="1644.0554025592005" u="1"/>
        <n v="659.22402301712293" u="1"/>
        <n v="1997.6692785419891" u="1"/>
        <n v="992.81042948258892" u="1"/>
        <n v="15944.500000000002" u="1"/>
        <n v="4466.7991471779023" u="1"/>
        <n v="5677.881860823747" u="1"/>
        <n v="440.66110509192231" u="1"/>
        <n v="4559.7851798648635" u="1"/>
        <n v="721.20235173387164" u="1"/>
        <n v="1311.3696814622383" u="1"/>
        <n v="747.7213500706805" u="1"/>
        <n v="2271.0629803941547" u="1"/>
        <n v="60.249805021981622" u="1"/>
        <n v="341.53216525522799" u="1"/>
        <n v="11626.036359800622" u="1"/>
        <n v="5272.9998475708562" u="1"/>
        <n v="6660.9841213088694" u="1"/>
        <n v="693.40368147121512" u="1"/>
        <n v="1014.4653869247337" u="1"/>
        <n v="15087.508086172194" u="1"/>
        <n v="3700.9399080863668" u="1"/>
        <n v="1538.1045326777751" u="1"/>
        <n v="1050.0879542604305" u="1"/>
        <n v="1749.1744302557092" u="1"/>
        <n v="1764.7791689424762" u="1"/>
        <n v="896.42275150493663" u="1"/>
        <n v="918.67393139691171" u="1"/>
        <n v="11400.41480083122" u="1"/>
        <n v="15.906209670654437" u="1"/>
        <n v="3222.3529359612526" u="1"/>
        <n v="997.52798818325596" u="1"/>
        <n v="104258.03777727812" u="1"/>
        <n v="19358.363106982983" u="1"/>
        <n v="21754.392759565057" u="1"/>
        <n v="1214.8493663816871" u="1"/>
        <n v="1852.4771867801296" u="1"/>
        <n v="18584.028582703664" u="1"/>
        <n v="165909.63939520629" u="1"/>
        <n v="58.15071239030938" u="1"/>
        <n v="391.24671618334389" u="1"/>
        <n v="145038.59640411974" u="1"/>
        <n v="60.880005857662468" u="1"/>
        <n v="93.936998772684589" u="1"/>
        <n v="969.45043548247315" u="1"/>
        <n v="10040.891198517893" u="1"/>
        <n v="1958.4619599999996" u="1"/>
        <n v="4926.0579281993942" u="1"/>
        <n v="19992.196314034729" u="1"/>
        <n v="63412.699293891237" u="1"/>
        <n v="216.48198394253825" u="1"/>
        <n v="2148.8281764023827" u="1"/>
        <n v="64.908211656048465" u="1"/>
        <n v="1616.3988134376191" u="1"/>
        <n v="455.37622034030392" u="1"/>
        <n v="15784.929999669137" u="1"/>
        <n v="15618.538391482603" u="1"/>
        <n v="2200.9042842034878" u="1"/>
        <n v="2418.150831825837" u="1"/>
        <n v="5455.3459953519641" u="1"/>
        <n v="156.75779321541876" u="1"/>
        <n v="1644.3413619532273" u="1"/>
        <n v="16123.990010064776" u="1"/>
        <n v="159.01405530175876" u="1"/>
        <n v="1670.0341916433781" u="1"/>
        <n v="11033.077051661878" u="1"/>
        <n v="419.017531354798" u="1"/>
        <n v="475.96451760000008" u="1"/>
        <n v="733.86732834758266" u="1"/>
        <n v="5325.799901643345" u="1"/>
        <n v="504.26702937695143" u="1"/>
        <n v="140572.47677925049" u="1"/>
        <n v="2790.7150307724869" u="1"/>
        <n v="13214.65951011371" u="1"/>
        <n v="8043.4224595879259" u="1"/>
        <n v="18446.498097452408" u="1"/>
        <n v="769.71372068458049" u="1"/>
        <n v="1778.3780993089244" u="1"/>
        <n v="2854.5453867019501" u="1"/>
        <n v="3042.7110000000002" u="1"/>
        <n v="41872.426405241189" u="1"/>
        <n v="34826.539081456162" u="1"/>
        <n v="870.49976253644843" u="1"/>
        <n v="4650.9801123739544" u="1"/>
        <n v="112453.97482964353" u="1"/>
        <n v="819.93534595814492" u="1"/>
        <n v="6751.090367245276" u="1"/>
        <n v="4429.8633582484135" u="1"/>
        <n v="3929.1479989335162" u="1"/>
        <n v="526.59831904913983" u="1"/>
        <n v="11928.686531116196" u="1"/>
        <n v="1169.7558906201325" u="1"/>
        <n v="140.56684552334343" u="1"/>
        <n v="15381.893870399534" u="1"/>
        <n v="21881.679981847239" u="1"/>
        <n v="569.42587885613659" u="1"/>
        <n v="39612.039168982898" u="1"/>
        <n v="885.97256423711701" u="1"/>
        <n v="23799.677607217764" u="1"/>
        <n v="8307.4961134475852" u="1"/>
        <n v="697.25617819118759" u="1"/>
        <n v="1736.3659086196096" u="1"/>
        <n v="1803.8361267831142" u="1"/>
        <n v="5988.7446446325985" u="1"/>
        <n v="19797.004555094776" u="1"/>
        <n v="19589.801113825004" u="1"/>
        <n v="9646.3785266758368" u="1"/>
        <n v="638869.56686094624" u="1"/>
        <n v="562.85315825059934" u="1"/>
        <n v="97.778382031470088" u="1"/>
        <n v="473.36642032606022" u="1"/>
        <n v="836.90679819181196" u="1"/>
        <n v="4689.5777130311626" u="1"/>
        <n v="10709.854923247995" u="1"/>
        <n v="24687.023569263547" u="1"/>
        <n v="3146.0128596629256" u="1"/>
        <n v="79.678088407414506" u="1"/>
        <n v="23144.084596184577" u="1"/>
        <n v="8239.8326025790884" u="1"/>
        <n v="648698.32942803774" u="1"/>
        <n v="3644.8650609941496" u="1"/>
        <n v="8220.9379044496254" u="1"/>
        <n v="9198.4291161794408" u="1"/>
        <n v="12643.548651410953" u="1"/>
        <n v="18116.818742542462" u="1"/>
        <n v="114714.03571315808" u="1"/>
        <n v="1896.4809543863428" u="1"/>
        <n v="5625.8255439275335" u="1"/>
        <n v="28251.268354315507" u="1"/>
        <n v="243.30996438295406" u="1"/>
        <n v="523.0495800265428" u="1"/>
        <n v="1297.5443456065559" u="1"/>
        <n v="6325.3329528285794" u="1"/>
        <n v="859.03628731457923" u="1"/>
        <n v="8620.7936716673012" u="1"/>
        <n v="723.40520886962759" u="1"/>
        <n v="1550.6856637415835" u="1"/>
        <n v="2508.6170004969185" u="1"/>
        <n v="5343.596629140502" u="1"/>
        <n v="793.76727251182137" u="1"/>
        <n v="1355.2240512055798" u="1"/>
        <n v="330.93834346258899" u="1"/>
        <n v="2574.6016153846158" u="1"/>
        <n v="2086.4338778597289" u="1"/>
        <n v="2029.0675903583449" u="1"/>
        <n v="673.98057667443595" u="1"/>
        <n v="2997.4722048722138" u="1"/>
        <n v="2997.4722048722142" u="1"/>
        <n v="87.517617346652159" u="1"/>
        <n v="1657.1601199999998" u="1"/>
        <n v="14858.90947880595" u="1"/>
        <n v="2181.8870714239579" u="1"/>
        <n v="19.062617803720549" u="1"/>
        <n v="4214.1826207480781" u="1"/>
        <n v="2783.0400000000004" u="1"/>
        <n v="36.830688797198505" u="1"/>
        <n v="1281.3027393216391" u="1"/>
        <n v="487.86810177082339" u="1"/>
        <n v="5583.3891696775554" u="1"/>
        <n v="2054.3230071267576" u="1"/>
        <n v="4427.9317764439111" u="1"/>
        <n v="5498.7923640763811" u="1"/>
        <n v="50.202444829765511" u="1"/>
        <n v="210.53160786121293" u="1"/>
        <n v="4360.8419010432453" u="1"/>
        <n v="544.24435025843866" u="1"/>
        <n v="6507.7243297844188" u="1"/>
        <n v="25206.337571873672" u="1"/>
        <n v="373.86067503534025" u="1"/>
        <n v="11860.028433793173" u="1"/>
        <n v="2231.2197702118006" u="1"/>
        <n v="6238.4450133470691" u="1"/>
        <n v="111512.53989501424" u="1"/>
        <n v="545.74974999999995" u="1"/>
        <n v="1236.3526638496071" u="1"/>
        <n v="5181.6694712518065" u="1"/>
        <n v="8745.8736824973512" u="1"/>
        <n v="7320.1982195813198" u="1"/>
        <n v="10627.721996345275" u="1"/>
        <n v="12483.974778429671" u="1"/>
        <n v="40.854209307092802" u="1"/>
        <n v="1837.836" u="1"/>
        <n v="2251.3624069831799" u="1"/>
        <n v="10726.343611118509" u="1"/>
        <n v="13443.0991155261" u="1"/>
        <n v="6757.0462359255098" u="1"/>
        <n v="182.18084655081094" u="1"/>
        <n v="1962.4" u="1"/>
        <n v="436.47659516124799" u="1"/>
        <n v="270.36234092779995" u="1"/>
        <n v="2354.88" u="1"/>
        <n v="557.10285418762942" u="1"/>
        <n v="4547.4693086227544" u="1"/>
        <n v="965.51573167838933" u="1"/>
        <n v="603.79593391656101" u="1"/>
        <n v="683.16376915318574" u="1"/>
        <n v="10877.196379782528" u="1"/>
        <n v="481.71200000000005" u="1"/>
        <n v="574.64565476806445" u="1"/>
        <n v="320.79759599999994" u="1"/>
        <n v="101688.5792255761" u="1"/>
        <n v="208.02565644478287" u="1"/>
        <n v="171.84449035938826" u="1"/>
        <n v="10437.713697771112" u="1"/>
        <n v="2140.7999999999997" u="1"/>
        <n v="566.38602257353932" u="1"/>
        <n v="565.80495377282762" u="1"/>
        <n v="9882.0525522066473" u="1"/>
        <n v="1227.713594555297" u="1"/>
        <n v="3214.393929475772" u="1"/>
        <n v="4935.7892338898719" u="1"/>
        <n v="11705.384555162944" u="1"/>
        <n v="125.53601972877179" u="1"/>
        <n v="17925.845142857142" u="1"/>
        <n v="81781.851615911844" u="1"/>
        <n v="1756.96176398592" u="1"/>
        <n v="1209.0754159129185" u="1"/>
        <n v="2074.9359999999997" u="1"/>
        <n v="261.29961809356769" u="1"/>
        <n v="1862.7733467671164" u="1"/>
        <n v="982.75948025273135" u="1"/>
        <n v="86520.513591052571" u="1"/>
        <n v="17336.964915748722" u="1"/>
        <n v="357.64627676242867" u="1"/>
        <n v="84.685627919836051" u="1"/>
        <n v="527.25389866893772" u="1"/>
        <n v="3067.4024577970135" u="1"/>
        <n v="196.35000000000002" u="1"/>
        <n v="197.53208491206075" u="1"/>
        <n v="271.60304079999997" u="1"/>
        <n v="6749.4398048906969" u="1"/>
        <n v="1791.9296176954369" u="1"/>
        <n v="18979.433428414864" u="1"/>
        <n v="329.06540102399282" u="1"/>
        <n v="901.42483916514061" u="1"/>
        <n v="1855.6185641560301" u="1"/>
        <n v="4124.0008954568775" u="1"/>
        <n v="20106.33270202225" u="1"/>
        <n v="693.83820134680548" u="1"/>
        <n v="18791.418785006423" u="1"/>
        <n v="411.89079875183734" u="1"/>
        <n v="339.41592984404389" u="1"/>
        <n v="1146.227001754997" u="1"/>
        <n v="2172.6130642475709" u="1"/>
        <n v="1512.0847039658452" u="1"/>
        <n v="4908.6835064886636" u="1"/>
        <n v="2500.3669084122375" u="1"/>
        <n v="28685.903252074208" u="1"/>
        <n v="26256.601637368407" u="1"/>
        <n v="826.84090886648073" u="1"/>
        <n v="14630.310907273319" u="1"/>
        <n v="63678.56199570281" u="1"/>
        <n v="25618.344985343447" u="1"/>
        <n v="58.42405349774527" u="1"/>
        <n v="5763.4164736460625" u="1"/>
        <n v="360.22602128038369" u="1"/>
        <n v="12428.570247282825" u="1"/>
        <n v="39877.304714116137" u="1"/>
        <n v="1146.619136583038" u="1"/>
        <n v="1192.1542558747622" u="1"/>
        <n v="3869.6154534951302" u="1"/>
        <n v="58917.99370845862" u="1"/>
        <n v="2635.6" u="1"/>
        <n v="12619.779020317945" u="1"/>
        <n v="9260.6181793045835" u="1"/>
        <n v="17152.501983503218" u="1"/>
        <n v="97054.755404925163" u="1"/>
        <n v="57001.961413590754" u="1"/>
        <n v="61131.419515874695" u="1"/>
        <n v="173.1855871540306" u="1"/>
        <n v="34306.056454883794" u="1"/>
        <n v="412.66878087972538" u="1"/>
        <n v="1998.3241420195825" u="1"/>
        <n v="17551.812279706519" u="1"/>
        <n v="398.41011177997177" u="1"/>
        <n v="3008.3165062836797" u="1"/>
        <n v="1776.5052763773099" u="1"/>
        <n v="64811.730180933941" u="1"/>
        <n v="100.9937277568098" u="1"/>
        <n v="213.73628352086283" u="1"/>
        <n v="17285.875730013999" u="1"/>
        <n v="62271.050108453768" u="1"/>
        <n v="108.36685358984039" u="1"/>
        <n v="3762.1852148841785" u="1"/>
        <n v="34870.511984336794" u="1"/>
        <n v="634.44194964007079" u="1"/>
        <n v="558.11761348487448" u="1"/>
        <n v="1884.1665420661225" u="1"/>
        <n v="55611.16" u="1"/>
        <n v="176.11675321661258" u="1"/>
        <n v="346.6086957445865" u="1"/>
        <n v="1575.3171122397391" u="1"/>
        <n v="3848.5686034229025" u="1"/>
        <n v="60857.198175121885" u="1"/>
        <n v="99638.602710460051" u="1"/>
        <n v="3147.7947099067615" u="1"/>
        <n v="5121.2434061421181" u="1"/>
        <n v="85520.843233158579" u="1"/>
        <n v="506.76289693781649" u="1"/>
        <n v="3162.6664764142884" u="1"/>
        <n v="444.94150243070061" u="1"/>
        <n v="1766.3823180843422" u="1"/>
        <n v="125.02030898543686" u="1"/>
        <n v="5667.729047789393" u="1"/>
        <n v="288.25843521462809" u="1"/>
        <n v="753.25459999999987" u="1"/>
        <n v="4528.7198924210697" u="1"/>
        <n v="3588.7902226918559" u="1"/>
        <n v="8755.4935513425171" u="1"/>
        <n v="117667.45281129752" u="1"/>
        <n v="535.49223952407363" u="1"/>
        <n v="1648.1510163593668" u="1"/>
        <n v="2901.2319993371225" u="1"/>
        <n v="17441.119045885818" u="1"/>
        <n v="25660.468693499035" u="1"/>
        <n v="665.59974328916394" u="1"/>
        <n v="1784" u="1"/>
        <n v="3820.0649874208575" u="1"/>
        <n v="4871.0135622239941" u="1"/>
        <n v="9195.3299846068639" u="1"/>
        <n v="1503.6268031977852" u="1"/>
        <n v="5492.2311351177295" u="1"/>
        <n v="99.255473657374083" u="1"/>
        <n v="126.97375100234103" u="1"/>
        <n v="881.89524856957325" u="1"/>
        <n v="932.77382060243326" u="1"/>
        <n v="1172.884818527011" u="1"/>
        <n v="3908.7024782779094" u="1"/>
        <n v="150.21703199999999" u="1"/>
        <n v="163.09128565405356" u="1"/>
        <n v="6250.9172710305929" u="1"/>
        <n v="611.2595630195508" u="1"/>
        <n v="1183.4348455525428" u="1"/>
        <n v="1309.759248287809" u="1"/>
        <n v="7163.7496344191868" u="1"/>
        <n v="18407.563104247354" u="1"/>
        <n v="16856.508240862229" u="1"/>
        <n v="1768.116599520082" u="1"/>
        <n v="1993.717891366799" u="1"/>
        <n v="4629.9357210935532" u="1"/>
        <n v="91079.822965733256" u="1"/>
        <n v="5540.5857629589354" u="1"/>
        <n v="24543.417472329806" u="1"/>
        <n v="111847.42756952434" u="1"/>
        <n v="747.62293690093304" u="1"/>
        <n v="23938.932004585491" u="1"/>
        <n v="39707.260319731373" u="1"/>
        <n v="98.099090581543862" u="1"/>
        <n v="386.33707903591437" u="1"/>
        <n v="22218.321212337196" u="1"/>
        <n v="1352.316" u="1"/>
        <n v="100.22451129506474" u="1"/>
        <n v="1948.337850710835" u="1"/>
        <n v="1714.537312824903" u="1"/>
        <n v="11266.207122316653" u="1"/>
        <n v="2236.6529352366674" u="1"/>
        <n v="2462.4825613150829" u="1"/>
        <n v="91.09042327540547" u="1"/>
        <n v="6653.0916947449659" u="1"/>
        <n v="36610.157012435528" u="1"/>
        <n v="2451.2525584255682" u="1"/>
        <n v="110126.69818433883" u="1"/>
        <n v="21797.5934599926" u="1"/>
        <n v="281.29127719637671" u="1"/>
        <n v="11178.315241930733" u="1"/>
        <n v="547.6994180331568" u="1"/>
        <n v="337.12558875146965" u="1"/>
        <n v="18991.778472983853" u="1"/>
        <n v="40318.141247727239" u="1"/>
        <n v="193.18120495790663" u="1"/>
        <n v="3831.4116336444035" u="1"/>
        <n v="39484.58772021858" u="1"/>
        <n v="250.91340015536613" u="1"/>
        <n v="75.418397665604843" u="1"/>
        <n v="85189.42897522694" u="1"/>
        <n v="7021.5104333594045" u="1"/>
        <n v="2530.6046753872893" u="1"/>
        <n v="60205.185886846302" u="1"/>
        <n v="4999.1155078798483" u="1"/>
        <n v="4485.4150747035974" u="1"/>
        <n v="14502.437647089277" u="1"/>
        <n v="20415.660897437974" u="1"/>
        <n v="28093.483233398299" u="1"/>
        <n v="15.661498791003645" u="1"/>
        <n v="161.19581573567464" u="1"/>
        <n v="3271.9275965145016" u="1"/>
        <n v="17.281811353422896" u="1"/>
        <n v="103.70434457883188" u="1"/>
        <n v="645.49579233238069" u="1"/>
        <n v="10328.107139456968" u="1"/>
        <n v="665.66753421236649" u="1"/>
        <n v="18374.159667576547" u="1"/>
        <n v="12205.057715843041" u="1"/>
        <n v="334.12794565513116" u="1"/>
        <n v="2060.741957482614" u="1"/>
        <n v="49404.482811074566" u="1"/>
        <n v="661.65363046351672" u="1"/>
        <n v="11447.17428999478" u="1"/>
        <n v="785.77777777777783" u="1"/>
        <n v="1596.1259328500382" u="1"/>
        <n v="4024.6760343714486" u="1"/>
        <n v="842.88042417170811" u="1"/>
        <n v="548.53204238978549" u="1"/>
        <n v="6913.4872128561192" u="1"/>
        <n v="942.78944554829536" u="1"/>
        <n v="3764.9040685658824" u="1"/>
        <n v="824.22639215860283" u="1"/>
        <n v="868.32763148758147" u="1"/>
        <n v="4762.6036350709282" u="1"/>
        <n v="469.60672607574367" u="1"/>
        <n v="2610.9328138646738" u="1"/>
        <n v="96636.758257083318" u="1"/>
        <n v="154.19544794300847" u="1"/>
        <n v="13501.047655065004" u="1"/>
        <n v="2843.5097542634467" u="1"/>
        <n v="96194.176030177579" u="1"/>
        <n v="33266.479068032655" u="1"/>
        <n v="76.137390258790518" u="1"/>
        <n v="5232.5340872294046" u="1"/>
        <n v="1866.5933517660803" u="1"/>
        <n v="5949.9194018044409" u="1"/>
        <n v="781.74049565558175" u="1"/>
        <n v="4618.282324107483" u="1"/>
        <n v="684.51152150841892" u="1"/>
        <n v="107555.22802705163" u="1"/>
        <n v="2883.5711517208661" u="1"/>
        <n v="51576.753833623538" u="1"/>
        <n v="1116275.2734930497" u="1"/>
        <n v="719.86964855086865" u="1"/>
        <n v="1252.8134060126335" u="1"/>
        <n v="405.65002907377925" u="1"/>
        <n v="1919.2814433728681" u="1"/>
        <n v="1212.3554826254774" u="1"/>
        <n v="1571.5701531169332" u="1"/>
        <n v="21545.038804126947" u="1"/>
        <n v="704.51263521367946" u="1"/>
        <n v="3428.5745438693862" u="1"/>
        <n v="65722.279999999984" u="1"/>
        <n v="239.53329400000001" u="1"/>
        <n v="892.98818157579899" u="1"/>
        <n v="4961.0454531988844" u="1"/>
        <n v="253.38144846890825" u="1"/>
        <n v="10385.313864967753" u="1"/>
        <n v="13239.415795593886" u="1"/>
        <n v="50795.287866447426" u="1"/>
        <n v="658.10523118531637" u="1"/>
        <n v="950.86704519645275" u="1"/>
        <n v="3099.9261773511034" u="1"/>
        <n v="81808.223175655847" u="1"/>
        <n v="77841.866350436176" u="1"/>
        <n v="13326.464061986228" u="1"/>
        <n v="354.73733750000002" u="1"/>
        <n v="835.62045801819772" u="1"/>
        <n v="7.6278063753870846" u="1"/>
        <n v="134.70989362653745" u="1"/>
        <n v="872.66666666666674" u="1"/>
        <n v="16892.615589813773" u="1"/>
        <n v="1823.3263862425772" u="1"/>
        <n v="627.12124569754997" u="1"/>
        <n v="850.65253739324896" u="1"/>
        <n v="115.91059568308958" u="1"/>
        <n v="2867.8582339634377" u="1"/>
        <n v="1320.5401020494833" u="1"/>
        <n v="964.44076894084844" u="1"/>
        <n v="12201.983118345785" u="1"/>
        <n v="885.17077878726752" u="1"/>
        <n v="3001.5678333317114" u="1"/>
        <n v="5281.2822496487606" u="1"/>
        <n v="2121.5234426368747" u="1"/>
        <n v="538.80298146764494" u="1"/>
        <n v="42.465150000000001" u="1"/>
        <n v="1379.7719748321019" u="1"/>
        <n v="51126.485340661311" u="1"/>
        <n v="12740.264887909381" u="1"/>
        <n v="6156.206403287707" u="1"/>
        <n v="2234.7643501143107" u="1"/>
        <n v="2516.4496461276999" u="1"/>
        <n v="839.97685656816168" u="1"/>
        <n v="882.84058860334687" u="1"/>
        <n v="958.33939854524658" u="1"/>
        <n v="996.8589456833995" u="1"/>
        <n v="119477.72131608671" u="1"/>
        <n v="36055.457663762267" u="1"/>
        <n v="4628.7302811529025" u="1"/>
        <n v="931.77" u="1"/>
        <n v="636.76926486212744" u="1"/>
        <n v="4995.3062767656747" u="1"/>
        <n v="4719.0298139979586" u="1"/>
        <n v="985.14007018011387" u="1"/>
        <n v="436.99227732986805" u="1"/>
        <n v="52695.953113223615" u="1"/>
        <n v="247.60126852783526" u="1"/>
        <n v="17766.432305824255" u="1"/>
        <n v="940.90920000000017" u="1"/>
        <n v="2011.4784348686578" u="1"/>
        <n v="660.23227279617129" u="1"/>
        <n v="11575.805797767083" u="1"/>
        <n v="114.12735602903254" u="1"/>
        <n v="1736.8620131649291" u="1"/>
        <n v="1173.8134240439852" u="1"/>
        <n v="12287.500937912506" u="1"/>
        <n v="1444.8913811978719" u="1"/>
        <n v="6225.693107890188" u="1"/>
        <n v="24312.977757608041" u="1"/>
        <n v="510.35627714453398" u="1"/>
        <n v="7551.2060917428716" u="1"/>
        <n v="135.83510499999997" u="1"/>
        <n v="1096.187502511073" u="1"/>
        <n v="4295.6250851862842" u="1"/>
        <n v="546.64884370189122" u="1"/>
        <n v="95.229287144720701" u="1"/>
        <n v="1620.6817164323463" u="1"/>
        <n v="3810.0829173886736" u="1"/>
        <n v="25715.649551316194" u="1"/>
        <n v="16598.783428584498" u="1"/>
        <n v="706.94897708084113" u="1"/>
        <n v="67313.948149991091" u="1"/>
        <n v="183.20561381266799" u="1"/>
        <n v="1514.7999185462936" u="1"/>
        <n v="79.232406122968996" u="1"/>
        <n v="2657.3449880777189" u="1"/>
        <n v="2927.2839506040523" u="1"/>
        <n v="20291.577961547257" u="1"/>
        <n v="281729.96288189694" u="1"/>
        <n v="21750.820000000007" u="1"/>
        <n v="946.40943054860679" u="1"/>
        <n v="17709.443954284056" u="1"/>
        <n v="151081.87125429139" u="1"/>
        <n v="26396.562710454498" u="1"/>
        <n v="65808.833722179072" u="1"/>
        <n v="864.35555555555561" u="1"/>
        <n v="38135.580221287011" u="1"/>
        <n v="61313.0341031114" u="1"/>
        <n v="10709.854897016643" u="1"/>
        <n v="15069.175564091609" u="1"/>
        <n v="245.52387653590196" u="1"/>
        <n v="1469.9513248666565" u="1"/>
        <n v="405.5912151854771" u="1"/>
        <n v="12237.361504220335" u="1"/>
        <n v="793.33333333333337" u="1"/>
        <n v="711.98519163323704" u="1"/>
        <n v="982.41392775623694" u="1"/>
        <n v="967.55420045433539" u="1"/>
        <n v="2167.1881893351815" u="1"/>
        <n v="9168.0119975115376" u="1"/>
        <n v="10277.133512207671" u="1"/>
        <n v="63814.626795988188" u="1"/>
        <n v="18691.866255257068" u="1"/>
        <n v="11885.467394473142" u="1"/>
        <n v="2660.5355673382269" u="1"/>
        <n v="1440.8541184115156" u="1"/>
        <n v="655.58166248187626" u="1"/>
        <n v="914.22007064964214" u="1"/>
        <n v="928.2" u="1"/>
        <n v="4947.1231370168925" u="1"/>
        <n v="6059.5612526582345" u="1"/>
        <n v="1484.9059584930078" u="1"/>
        <n v="7890.8191707906371" u="1"/>
        <n v="8248.7224003584633" u="1"/>
        <n v="917.73035914339027" u="1"/>
        <n v="977.53642526941724" u="1"/>
        <n v="10547.584368273967" u="1"/>
        <n v="113.4063527974384" u="1"/>
        <n v="1713.1399999999999" u="1"/>
        <n v="41481.927470024035" u="1"/>
        <n v="38.068695129395259" u="1"/>
        <n v="2911.9791298705672" u="1"/>
        <n v="8821.8813171161819" u="1"/>
        <n v="1699.911135086264" u="1"/>
        <n v="12151.139766378736" u="1"/>
        <n v="5896.6101260806545" u="1"/>
        <n v="4252.8759130234539" u="1"/>
        <n v="13446.477897763769" u="1"/>
        <n v="3155.88" u="1"/>
        <n v="197.47035613552572" u="1"/>
        <n v="2074.7633341052865" u="1"/>
        <n v="5493.5335251426914" u="1"/>
        <n v="12338.080378169177" u="1"/>
        <n v="2604.1827600711131" u="1"/>
        <n v="11713.903793611953" u="1"/>
        <n v="2214.5981000090783" u="1"/>
        <n v="554.44131780054408" u="1"/>
        <n v="140643.48776665091" u="1"/>
        <n v="1894.7653049810267" u="1"/>
        <n v="4535.519134057562" u="1"/>
        <n v="406.32003139984101" u="1"/>
        <n v="535.79290894547933" u="1"/>
        <n v="879.4580576125295" u="1"/>
        <n v="15978.787416881383" u="1"/>
        <n v="107074.48041456581" u="1"/>
        <n v="8613.3604448837541" u="1"/>
        <n v="11895.04308167341" u="1"/>
        <n v="71.454813141032915" u="1"/>
        <n v="13067.829960001336" u="1"/>
        <n v="1099362.011773458" u="1"/>
        <n v="616.16184528730128" u="1"/>
        <n v="2823.5072070381079" u="1"/>
        <n v="3329.3982508629206" u="1"/>
        <n v="38899.34803998009" u="1"/>
        <n v="415.01053310413732" u="1"/>
        <n v="1741.3269540728083" u="1"/>
        <n v="962.14215085572562" u="1"/>
        <n v="2743.6772970975335" u="1"/>
        <n v="9764.755840941134" u="1"/>
        <n v="1260.9323860213831" u="1"/>
        <n v="493.75932522291629" u="1"/>
        <n v="1755.700645770894" u="1"/>
        <n v="5192.6569324838765" u="1"/>
        <n v="221.95988339086142" u="1"/>
        <n v="992.20909063977672" u="1"/>
        <n v="35500.758402040025" u="1"/>
        <n v="4092.8624988890801" u="1"/>
        <n v="102.35720695846635" u="1"/>
        <n v="5072.1571425620696" u="1"/>
        <n v="9614.528851552177" u="1"/>
        <n v="9761.2422458755555" u="1"/>
        <n v="641.76667197908887" u="1"/>
        <n v="14874.798504511102" u="1"/>
        <n v="15716.154256429369" u="1"/>
        <n v="117.69383561667554" u="1"/>
        <n v="425.32626869662448" u="1"/>
        <n v="16854.149327485797" u="1"/>
        <n v="96106.956051504254" u="1"/>
        <n v="8123.7417579287912" u="1"/>
        <n v="1141.2148" u="1"/>
        <n v="769.0671894575039" u="1"/>
        <n v="2838.578383295775" u="1"/>
        <n v="4267.1976698511962" u="1"/>
        <n v="63253.150859181813" u="1"/>
        <n v="3033.0643751316666" u="1"/>
        <n v="168462.09538590178" u="1"/>
        <n v="373.52234473413432" u="1"/>
        <n v="15339.635920206129" u="1"/>
        <n v="3765.4334989779522" u="1"/>
        <n v="834.07374959999993" u="1"/>
        <n v="620.66355629677457" u="1"/>
        <n v="1258.22482306385" u="1"/>
        <n v="866.22613121429299" u="1"/>
        <n v="1531.3092659453207" u="1"/>
        <n v="7604.6903254285853" u="1"/>
        <n v="190.25421700399897" u="1"/>
        <n v="36199.800000000003" u="1"/>
        <n v="105.90343224289194" u="1"/>
        <n v="853.10149286256137" u="1"/>
        <n v="42177.918447622833" u="1"/>
        <n v="1698.6046904323055" u="1"/>
        <n v="4362.744216456771" u="1"/>
        <n v="453.58129968912783" u="1"/>
        <n v="5967.7497185270486" u="1"/>
        <n v="213.08148805522697" u="1"/>
        <n v="9301.5495684731668" u="1"/>
        <n v="979.96499999999992" u="1"/>
        <n v="5860.2349415911822" u="1"/>
        <n v="1413.0891566265061" u="1"/>
        <n v="1577.9131274033898" u="1"/>
        <n v="15107.2171941424" u="1"/>
        <n v="19763.801988145795" u="1"/>
        <n v="1212.7702406166748" u="1"/>
        <n v="54893.869790082841" u="1"/>
        <n v="652.11856891332525" u="1"/>
        <n v="1069.7998415278073" u="1"/>
        <n v="56.141863907989595" u="1"/>
        <n v="151.83991390988552" u="1"/>
        <n v="57.10417803067412" u="1"/>
        <n v="1268.6868385342" u="1"/>
        <n v="2866.2978345430274" u="1"/>
        <n v="40114.95256797703" u="1"/>
        <n v="16.150920588664505" u="1"/>
        <n v="1902.6736823347994" u="1"/>
        <n v="764.82784070149467" u="1"/>
        <n v="4080.9559898014018" u="1"/>
        <n v="2638.9908416857747" u="1"/>
        <n v="20381.420750355701" u="1"/>
        <n v="118300.16377545842" u="1"/>
        <n v="5844.8455662171937" u="1"/>
        <n v="2350.182532419944" u="1"/>
        <n v="527.67483456751779" u="1"/>
        <n v="47.685479873302164" u="1"/>
        <n v="5614.6005120123618" u="1"/>
        <n v="569.29600000000005" u="1"/>
        <n v="982.07233911280787" u="1"/>
        <n v="1557.9747599398738" u="1"/>
        <n v="871.8557218598736" u="1"/>
        <n v="5980.3147917652022" u="1"/>
        <n v="8955.094957036079" u="1"/>
        <n v="59278.952403008181" u="1"/>
        <n v="39.616203061484498" u="1"/>
        <n v="2175.7773448872281" u="1"/>
        <n v="6773.3296346844372" u="1"/>
        <n v="11016.2" u="1"/>
        <n v="1418.5489342740557" u="1"/>
        <n v="10563.82325337429" u="1"/>
        <n v="2911.7418001264" u="1"/>
        <n v="1751.4329765921227" u="1"/>
        <n v="4915.6560562478735" u="1"/>
        <n v="3102.3263895066025" u="1"/>
        <n v="3855.1457375899658" u="1"/>
        <n v="5354.9274485083224" u="1"/>
        <n v="138442.59076744367" u="1"/>
        <n v="1079.5786009578751" u="1"/>
        <n v="2302.9642094452474" u="1"/>
        <n v="2951.7178210093612" u="1"/>
        <n v="509.61343823311603" u="1"/>
        <n v="2386.3391867648656" u="1"/>
        <n v="20608.633816720278" u="1"/>
        <n v="51.157723553396984" u="1"/>
        <n v="2952.0559593438475" u="1"/>
        <n v="9911.4152035044081" u="1"/>
        <n v="13.627864830232028" u="1"/>
        <n v="1818.9746927817857" u="1"/>
        <n v="98571.235716699332" u="1"/>
        <n v="12.728097369151646" u="1"/>
        <n v="125.72810950201254" u="1"/>
        <n v="264.09290911846853" u="1"/>
        <n v="307.66924130043759" u="1"/>
        <n v="518.09750799999995" u="1"/>
        <n v="633.42061776948071" u="1"/>
        <n v="1624.545768018276" u="1"/>
        <n v="2882.9311634736882" u="1"/>
        <n v="2028.4026520580198" u="1"/>
        <n v="167.20145321631477" u="1"/>
        <n v="14781.830977653179" u="1"/>
        <n v="92.986046511627919" u="1"/>
        <n v="2727.6964151982838" u="1"/>
        <n v="970.21370548041511" u="1"/>
        <n v="865.92793364926001" u="1"/>
        <n v="5845.5083036125961" u="1"/>
        <n v="1037.3816670526433" u="1"/>
        <n v="283.08480200000002" u="1"/>
        <n v="791.88018220379104" u="1"/>
        <n v="2197.9422674111725" u="1"/>
      </sharedItems>
    </cacheField>
    <cacheField name="Add-on Cost" numFmtId="0">
      <sharedItems containsNonDate="0" containsString="0" containsBlank="1" containsNumber="1" minValue="7.3506366688872102" maxValue="337896.52528634603" count="4537">
        <m/>
        <n v="226.53366031270485" u="1"/>
        <n v="7074.9511970374442" u="1"/>
        <n v="16689.812166407315" u="1"/>
        <n v="6544.4456168138277" u="1"/>
        <n v="7690.8282005016308" u="1"/>
        <n v="16313.321193793643" u="1"/>
        <n v="1824.3859064555693" u="1"/>
        <n v="158.22107861296084" u="1"/>
        <n v="466.36151257832603" u="1"/>
        <n v="2882.6724740727577" u="1"/>
        <n v="10441.562560515811" u="1"/>
        <n v="5262.9855927193794" u="1"/>
        <n v="2796.4603167749465" u="1"/>
        <n v="10096.548945043494" u="1"/>
        <n v="924.84459694071984" u="1"/>
        <n v="1321.8135222469577" u="1"/>
        <n v="472.07625794534215" u="1"/>
        <n v="11702.568621864761" u="1"/>
        <n v="32238.481051969033" u="1"/>
        <n v="29521.646222993171" u="1"/>
        <n v="16480.103222980968" u="1"/>
        <n v="31528.803078080789" u="1"/>
        <n v="9290.2640579235231" u="1"/>
        <n v="36248.348219956482" u="1"/>
        <n v="12473.985681195072" u="1"/>
        <n v="248.34232455975848" u="1"/>
        <n v="3668.819317998551" u="1"/>
        <n v="3616.7650426224441" u="1"/>
        <n v="2166.5637245415614" u="1"/>
        <n v="5110.9245282556712" u="1"/>
        <n v="1986.4888398130388" u="1"/>
        <n v="1806.1259967982435" u="1"/>
        <n v="108.36755980789461" u="1"/>
        <n v="168.97182859390279" u="1"/>
        <n v="3707.5113175347615" u="1"/>
        <n v="12252.503236842382" u="1"/>
        <n v="108.851343557037" u="1"/>
        <n v="3496.8369017489777" u="1"/>
        <n v="5969.9831652301546" u="1"/>
        <n v="2800.5924002607426" u="1"/>
        <n v="2928.6194814155192" u="1"/>
        <n v="10086.055901491767" u="1"/>
        <n v="3225.169616106165" u="1"/>
        <n v="119.57786029007107" u="1"/>
        <n v="96.756749828477325" u="1"/>
        <n v="1854.7593660635926" u="1"/>
        <n v="823.58423961144399" u="1"/>
        <n v="1952.4129876103466" u="1"/>
        <n v="245.38146226992529" u="1"/>
        <n v="4301.9081988288372" u="1"/>
        <n v="9787.9333007583609" u="1"/>
        <n v="3540.4106418686015" u="1"/>
        <n v="91.046515412370468" u="1"/>
        <n v="1006.9229223221498" u="1"/>
        <n v="649.89164843808771" u="1"/>
        <n v="632.14409887938518" u="1"/>
        <n v="19343.088631181417" u="1"/>
        <n v="55656.926093938295" u="1"/>
        <n v="3306.8555592673165" u="1"/>
        <n v="3480.5553063299471" u="1"/>
        <n v="208.83331837979688" u="1"/>
        <n v="1456.308048135586" u="1"/>
        <n v="120.63398929434636" u="1"/>
        <n v="9210.9945862768673" u="1"/>
        <n v="2278.627365466125" u="1"/>
        <n v="5375.2826935102739" u="1"/>
        <n v="2734.0296478904493" u="1"/>
        <n v="1425.7542236630127" u="1"/>
        <n v="8782.1532750566985" u="1"/>
        <n v="5267.4597332201556" u="1"/>
        <n v="2432.5145419407595" u="1"/>
        <n v="7540.3796529093615" u="1"/>
        <n v="2788.3026816788993" u="1"/>
        <n v="3664.7751980554858" u="1"/>
        <n v="1026.1049542699959" u="1"/>
        <n v="14325.191813452042" u="1"/>
        <n v="9608.4827954668453" u="1"/>
        <n v="1134.1160020878901" u="1"/>
        <n v="2688.5687042503127" u="1"/>
        <n v="18232.634140200102" u="1"/>
        <n v="1383.4680517359584" u="1"/>
        <n v="3001.0361186468299" u="1"/>
        <n v="132.55674726501394" u="1"/>
        <n v="4831.6942057204724" u="1"/>
        <n v="1483.4353805448454" u="1"/>
        <n v="13145.14713862642" u="1"/>
        <n v="4781.3820127813788" u="1"/>
        <n v="11279.281717529757" u="1"/>
        <n v="14530.227470664035" u="1"/>
        <n v="10493.617911176731" u="1"/>
        <n v="12173.883249274175" u="1"/>
        <n v="61021.596683371798" u="1"/>
        <n v="5232.9482065597658" u="1"/>
        <n v="9230.8379183827201" u="1"/>
        <n v="1311.591497674915" u="1"/>
        <n v="2476.6489512960688" u="1"/>
        <n v="16323.036325991969" u="1"/>
        <n v="17403.936396789053" u="1"/>
        <n v="96267.112920143642" u="1"/>
        <n v="39736.936601522437" u="1"/>
        <n v="5925.1372976144339" u="1"/>
        <n v="3583.8630758742388" u="1"/>
        <n v="32278.426571328844" u="1"/>
        <n v="10490.218962119521" u="1"/>
        <n v="34038.35046476197" u="1"/>
        <n v="1108.6471339145451" u="1"/>
        <n v="12357.138939415967" u="1"/>
        <n v="29294.196506727363" u="1"/>
        <n v="33213.397204002504" u="1"/>
        <n v="83309.913328877301" u="1"/>
        <n v="21791.228897260171" u="1"/>
        <n v="68580.633592727681" u="1"/>
        <n v="45532.000951879265" u="1"/>
        <n v="107939.49876004944" u="1"/>
        <n v="31840.560106209272" u="1"/>
        <n v="27947.858622880143" u="1"/>
        <n v="1593.162955313941" u="1"/>
        <n v="3776.7988940659156" u="1"/>
        <n v="142.75586040267149" u="1"/>
        <n v="41840.775681228763" u="1"/>
        <n v="22697.461413669058" u="1"/>
        <n v="2515.5052319650558" u="1"/>
        <n v="14121.184964798778" u="1"/>
        <n v="32149.965574939208" u="1"/>
        <n v="5940.6076299841861" u="1"/>
        <n v="9771.9785394685823" u="1"/>
        <n v="34239.384532604876" u="1"/>
        <n v="6487.8132507940009" u="1"/>
        <n v="19737.770609282503" u="1"/>
        <n v="26705.511270720657" u="1"/>
        <n v="24961.681243714636" u="1"/>
        <n v="27632.983758830604" u="1"/>
        <n v="11356.493057736963" u="1"/>
        <n v="3969.5948378107933" u="1"/>
        <n v="30808.640746028912" u="1"/>
        <n v="4421.702270045047" u="1"/>
        <n v="18274.953154079027" u="1"/>
        <n v="18496.891938814395" u="1"/>
        <n v="2579.3263241929435" u="1"/>
        <n v="40167.985296365106" u="1"/>
        <n v="26986.731031547508" u="1"/>
        <n v="4881.0324690258649" u="1"/>
        <n v="13447.249566325718" u="1"/>
        <n v="20333.898017232368" u="1"/>
        <n v="5103.1093797774492" u="1"/>
        <n v="557.04998437550375" u="1"/>
        <n v="16477.828077932274" u="1"/>
        <n v="2325.1957951353329" u="1"/>
        <n v="4732.2340325214936" u="1"/>
        <n v="3706.1290782514975" u="1"/>
        <n v="8785.8584442465562" u="1"/>
        <n v="4331.693063530136" u="1"/>
        <n v="10268.838800956055" u="1"/>
        <n v="16119.240525984516" u="1"/>
        <n v="1788.9329794838739" u="1"/>
        <n v="4240.8970632519813" u="1"/>
        <n v="4658.7317591594037" u="1"/>
        <n v="1196.4248228449203" u="1"/>
        <n v="26047.987722779115" u="1"/>
        <n v="26046.060078059174" u="1"/>
        <n v="3957.8313968350294" u="1"/>
        <n v="35718.0088548188" u="1"/>
        <n v="84674.160851633365" u="1"/>
        <n v="5064.4340952376306" u="1"/>
        <n v="7601.4728117360337" u="1"/>
        <n v="5594.9494599477894" u="1"/>
        <n v="6183.6324875744485" u="1"/>
        <n v="141887.85394700483" u="1"/>
        <n v="28833.106512362763" u="1"/>
        <n v="67909.671287284742" u="1"/>
        <n v="13319.502534576046" u="1"/>
        <n v="86974.494609924732" u="1"/>
        <n v="10546.813037509537" u="1"/>
        <n v="16916.065909708093" u="1"/>
        <n v="29612.704390978673" u="1"/>
        <n v="57915.180797874142" u="1"/>
        <n v="32435.489714320531" u="1"/>
        <n v="5595.6017906568941" u="1"/>
        <n v="4363.3103709060251" u="1"/>
        <n v="6372.7934441331472" u="1"/>
        <n v="12035.846460904246" u="1"/>
        <n v="50642.156812889531" u="1"/>
        <n v="9358.1643596913273" u="1"/>
        <n v="22105.678892677563" u="1"/>
        <n v="5486.4702698407673" u="1"/>
        <n v="1347.9745698731335" u="1"/>
        <n v="1007.0897225999572" u="1"/>
        <n v="240.27926207405204" u="1"/>
        <n v="121454.00935821029" u="1"/>
        <n v="95434.013790542929" u="1"/>
        <n v="12353.763594171662" u="1"/>
        <n v="4320.4419127157726" u="1"/>
        <n v="4777.4117304068623" u="1"/>
        <n v="3830.8035420111391" u="1"/>
        <n v="1465.0099871570451" u="1"/>
        <n v="15426.193239632594" u="1"/>
        <n v="1600.3385144347099" u="1"/>
        <n v="1417.6450026098628" u="1"/>
        <n v="3116.4026746732516" u="1"/>
        <n v="3711.3586341311802" u="1"/>
        <n v="27002.761954473572" u="1"/>
        <n v="1552.3283590016688" u="1"/>
        <n v="1362.7956423898381" u="1"/>
        <n v="1336.6367167464416" u="1"/>
        <n v="3168.6702585807252" u="1"/>
        <n v="19805.172608333589" u="1"/>
        <n v="37213.589846039802" u="1"/>
        <n v="6721.8123565216038" u="1"/>
        <n v="5880.5930473878507" u="1"/>
        <n v="33387.239285990858" u="1"/>
        <n v="1440.3046629912392" u="1"/>
        <n v="137570.95374953331" u="1"/>
        <n v="7884.2144283994421" u="1"/>
        <n v="86840.681904723286" u="1"/>
        <n v="79833.83773118761" u="1"/>
        <n v="224128.42409494048" u="1"/>
        <n v="22934.70524542129" u="1"/>
        <n v="40880.697509337071" u="1"/>
        <n v="1920.4062173216519" u="1"/>
        <n v="15173.711121008162" u="1"/>
        <n v="26668.138566966649" u="1"/>
        <n v="11202.36960104297" u="1"/>
        <n v="6719.2187380887026" u="1"/>
        <n v="39580.971582839455" u="1"/>
        <n v="11896.321700222619" u="1"/>
        <n v="6201.8756122981567" u="1"/>
        <n v="38243.342456892991" u="1"/>
        <n v="33753.452443091963" u="1"/>
        <n v="4240.2545150120004" u="1"/>
        <n v="19340.072588422328" u="1"/>
        <n v="4428.6260551615787" u="1"/>
        <n v="19121.638969902204" u="1"/>
        <n v="56190.450189470837" u="1"/>
        <n v="16266.961055033247" u="1"/>
        <n v="10843.906362509806" u="1"/>
        <n v="77806.109008940111" u="1"/>
        <n v="832.74251901558364" u="1"/>
        <n v="7199.6455005079224" u="1"/>
        <n v="37992.828371735013" u="1"/>
        <n v="59793.241570874525" u="1"/>
        <n v="138.20160000000001" u="1"/>
        <n v="4316.2220307692314" u="1"/>
        <n v="10181.969169230772" u="1"/>
        <n v="3992.5760000000009" u="1"/>
        <n v="4691.9506848000001" u="1"/>
        <n v="9952.2829727999997" u="1"/>
        <n v="1113.0047999999999" u="1"/>
        <n v="96.526080000000007" u="1"/>
        <n v="13945.824000000001" u="1"/>
        <n v="308.26240200000007" u="1"/>
        <n v="284.51360000000005" u="1"/>
        <n v="1758.6346666666668" u="1"/>
        <n v="6370.0937439999998" u="1"/>
        <n v="3210.794496" u="1"/>
        <n v="1706.0391359999999" u="1"/>
        <n v="6159.610968" u="1"/>
        <n v="564.22080000000005" u="1"/>
        <n v="411.84000000000003" u="1"/>
        <n v="806.40000000000009" u="1"/>
        <n v="288" u="1"/>
        <n v="633.93119999999999" u="1"/>
        <n v="8669.2676400000018" u="1"/>
        <n v="23882.28" u="1"/>
        <n v="3355.6650666666665" u="1"/>
        <n v="1640.9586239999999" u="1"/>
        <n v="20528.450745471877" u="1"/>
        <n v="11617.375786463299" u="1"/>
        <n v="22214.408134731493" u="1"/>
        <n v="6527.36" u="1"/>
        <n v="22114.063377777784" u="1"/>
        <n v="6192.7557120000001" u="1"/>
        <n v="7610.0159999999996" u="1"/>
        <n v="182.00448000000003" u="1"/>
        <n v="151.50643200000002" u="1"/>
        <n v="2238.2400000000002" u="1"/>
        <n v="930.75839999999994" u="1"/>
        <n v="2206.4831999999997" u="1"/>
        <n v="9069.5404799999997" u="1"/>
        <n v="27483.456000000002" u="1"/>
        <n v="1321.7575384615384" u="1"/>
        <n v="3118.0264615384613" u="1"/>
        <n v="1211.89908672" u="1"/>
        <n v="1101.8649600000001" u="1"/>
        <n v="66.11189760000002" u="1"/>
        <n v="103.08480000000002" u="1"/>
        <n v="2261.8448640000006" u="1"/>
        <n v="7474.8959999999997" u="1"/>
        <n v="66.407040000000009" u="1"/>
        <n v="2133.3185279999998" u="1"/>
        <n v="2373.5152800000005" u="1"/>
        <n v="3642.1131599999994" u="1"/>
        <n v="311.87448000000006" u="1"/>
        <n v="1708.56" u="1"/>
        <n v="1786.6656000000003" u="1"/>
        <n v="6153.2094672000003" u="1"/>
        <n v="834.07458461538477" u="1"/>
        <n v="1967.5822153846157" u="1"/>
        <n v="72.950976000000011" u="1"/>
        <n v="59.028480000000002" u="1"/>
        <n v="361.46160000000009" u="1"/>
        <n v="1131.53476464" u="1"/>
        <n v="502.4448000000001" u="1"/>
        <n v="1191.1104" u="1"/>
        <n v="3421.48" u="1"/>
        <n v="149.70009600000003" u="1"/>
        <n v="2624.4691200000002" u="1"/>
        <n v="5971.333536000001" u="1"/>
        <n v="2159.9016000000001" u="1"/>
        <n v="55.544832" u="1"/>
        <n v="11123.2" u="1"/>
        <n v="614.2944" u="1"/>
        <n v="396.48" u="1"/>
        <n v="385.65273600000012" u="1"/>
        <n v="11800.656000000001" u="1"/>
        <n v="33954.6724608" u="1"/>
        <n v="2017.4164344000005" u="1"/>
        <n v="61.286400000000015" u="1"/>
        <n v="2123.3855999999996" u="1"/>
        <n v="127.40313599999998" u="1"/>
        <n v="888.4512000000002" u="1"/>
        <n v="73.595289600000001" u="1"/>
        <n v="5619.3600000000006" u="1"/>
        <n v="1390.1243076923079" u="1"/>
        <n v="3279.3036923076916" u="1"/>
        <n v="1783.6790399999998" u="1"/>
        <n v="1667.9520000000002" u="1"/>
        <n v="869.8112000000001" u="1"/>
        <n v="5357.7363840000016" u="1"/>
        <n v="3213.5240390400004" u="1"/>
        <n v="1907.2035840000005" u="1"/>
        <n v="1484.0064000000002" u="1"/>
        <n v="1642.825728" u="1"/>
        <n v="4600.166400000001" u="1"/>
        <n v="1701.0624000000003" u="1"/>
        <n v="498.87129599999992" u="1"/>
        <n v="2235.7728000000002" u="1"/>
        <n v="625.99680000000012" u="1"/>
        <n v="512.5112640000001" u="1"/>
        <n v="8739.3830400000006" u="1"/>
        <n v="5861.8559999999998" u="1"/>
        <n v="691.89120000000003" u="1"/>
        <n v="1640.2175999999999" u="1"/>
        <n v="364.91572799999994" u="1"/>
        <n v="1088.4522666666667" u="1"/>
        <n v="2475.0466560000004" u="1"/>
        <n v="844.01363592000018" u="1"/>
        <n v="1830.8448849599999" u="1"/>
        <n v="2899.3706666666667" u="1"/>
        <n v="80.869017600000006" u="1"/>
        <n v="2947.6761600000004" u="1"/>
        <n v="905.00079681274906" u="1"/>
        <n v="8019.472092076142" u="1"/>
        <n v="2916.9821538461547" u="1"/>
        <n v="6881.1618461538474" u="1"/>
        <n v="8864.4693333333344" u="1"/>
        <n v="6401.851200000001" u="1"/>
        <n v="7426.9322313533994" u="1"/>
        <n v="37227.502016942904" u="1"/>
        <n v="3192.4695599999995" u="1"/>
        <n v="5631.4658400000008" u="1"/>
        <n v="800.16383999999994" u="1"/>
        <n v="283.56508799999995" u="1"/>
        <n v="1070.24316" u="1"/>
        <n v="25150.201200000003" u="1"/>
        <n v="6800" u="1"/>
        <n v="14058.649259999995" u="1"/>
        <n v="14989.603199999998" u="1"/>
        <n v="69955.921332000013" u="1"/>
        <n v="28049.641827428575" u="1"/>
        <n v="4215.8819999999996" u="1"/>
        <n v="2186.4106666666667" u="1"/>
        <n v="1552.7318399999999" u="1"/>
        <n v="13314.787200000002" u="1"/>
        <n v="19692.1296" u="1"/>
        <n v="9600" u="1"/>
        <n v="7616.3328000000001" u="1"/>
        <n v="24719.904000000002" u="1"/>
        <n v="676.35338399999978" u="1"/>
        <n v="4975.5625920000002" u="1"/>
        <n v="7538.7312000000002" u="1"/>
        <n v="17871.5376" u="1"/>
        <n v="20262.528000000006" u="1"/>
        <n v="50824.955999999991" u="1"/>
        <n v="5751.2106666666677" u="1"/>
        <n v="13294.195200000002" u="1"/>
        <n v="9719.4240000000027" u="1"/>
        <n v="1758.5568000000001" u="1"/>
        <n v="41839.050666666662" u="1"/>
        <n v="27777.75" u="1"/>
        <n v="65850.75" u="1"/>
        <n v="19425" u="1"/>
        <n v="17050.175999999999" u="1"/>
        <n v="971.94240000000013" u="1"/>
        <n v="2304.1152000000002" u="1"/>
        <n v="116.520516" u="1"/>
        <n v="16317.1008" u="1"/>
        <n v="10114.848000000002" u="1"/>
        <n v="87.091200000000015" u="1"/>
        <n v="29416.050372946025" u="1"/>
        <n v="16263.508414384469" u="1"/>
        <n v="1780.6821428571429" u="1"/>
        <n v="9867.8858571428573" u="1"/>
        <n v="22639.579041240941" u="1"/>
        <n v="991.41523200000017" u="1"/>
        <n v="5263.5271680000005" u="1"/>
        <n v="2697.5519999999997" u="1"/>
        <n v="3624.1920000000009" u="1"/>
        <n v="5961.6" u="1"/>
        <n v="25364.550120000004" u="1"/>
        <n v="6888.5182080000013" u="1"/>
        <n v="3958.0262399999997" u="1"/>
        <n v="12041.44" u="1"/>
        <n v="23000.832000000002" u="1"/>
        <n v="21498.911999999997" u="1"/>
        <n v="339.84000000000003" u="1"/>
        <n v="16858.080000000002" u="1"/>
        <n v="1886.4" u="1"/>
        <n v="6928.2662400000008" u="1"/>
        <n v="25205.472000000002" u="1"/>
        <n v="8978.112000000001" u="1"/>
        <n v="7076.729088" u="1"/>
        <n v="7528.4352000000017" u="1"/>
        <n v="2421.7344000000007" u="1"/>
        <n v="2322.7776000000003" u="1"/>
        <n v="17776.800000000003" u="1"/>
        <n v="7322.5152000000016" u="1"/>
        <n v="18795.456000000002" u="1"/>
        <n v="885.4559999999999" u="1"/>
        <n v="7316.7494399999996" u="1"/>
        <n v="1624.32" u="1"/>
        <n v="11149.017599999999" u="1"/>
        <n v="11284.415999999999" u="1"/>
        <n v="198.24" u="1"/>
        <n v="1573.5719999999999" u="1"/>
        <n v="24505.320000000007" u="1"/>
        <n v="5600" u="1"/>
        <n v="23243.040000000001" u="1"/>
        <n v="1256.1120000000001" u="1"/>
        <n v="2977.7759999999998" u="1"/>
        <n v="11531.52" u="1"/>
        <n v="3088.8" u="1"/>
        <n v="8203.775999999998" u="1"/>
        <n v="11696.255999999998" u="1"/>
        <n v="12405.119999999999" u="1"/>
        <n v="3113.2586666666666" u="1"/>
        <n v="6699.264000000001" u="1"/>
        <n v="10052.643840000002" u="1"/>
        <n v="1418.5343527200002" u="1"/>
        <n v="753.66720000000009" u="1"/>
        <n v="2886.9984000000004" u="1"/>
        <n v="2261.0016000000001" u="1"/>
        <n v="5359.9968000000008" u="1"/>
        <n v="1882.1088000000004" u="1"/>
        <n v="925.50859200000014" u="1"/>
        <n v="943.11360000000013" u="1"/>
        <n v="4530.2400000000007" u="1"/>
        <n v="10739.52" u="1"/>
        <n v="39.432153600000007" u="1"/>
        <n v="495.07675199999983" u="1"/>
        <n v="963.57542399999988" u="1"/>
        <n v="1091.376" u="1"/>
        <n v="2955.5174399999996" u="1"/>
        <n v="2587.248" u="1"/>
        <n v="2842.1567999999997" u="1"/>
        <n v="729.90400000000011" u="1"/>
        <n v="15891.120000000003" u="1"/>
        <n v="15889.944000000001" u="1"/>
        <n v="2414.557866666667" u="1"/>
        <n v="1302.3402666666668" u="1"/>
        <n v="702.72" u="1"/>
        <n v="4932.3331199999993" u="1"/>
        <n v="1028.3428799999999" u="1"/>
        <n v="13395.565754999996" u="1"/>
        <n v="24654.415499999996" u="1"/>
        <n v="58446.481499999987" u="1"/>
        <n v="3089.6640000000002" u="1"/>
        <n v="8277.9840000000004" u="1"/>
        <n v="4637.4375599999994" u="1"/>
        <n v="3413.3159999999993" u="1"/>
        <n v="1002.5246880000002" u="1"/>
        <n v="3772.4544000000005" u="1"/>
        <n v="2510.3675519999997" u="1"/>
        <n v="3189.3077333333331" u="1"/>
        <n v="387.73584000000005" u="1"/>
        <n v="97938.329088600003" u="1"/>
        <n v="17590.239999999998" u="1"/>
        <n v="45084.611571428584" u="1"/>
        <n v="9037.5210000000006" u="1"/>
        <n v="60034.290733602917" u="1"/>
        <n v="6434.3040000000001" u="1"/>
        <n v="10320" u="1"/>
        <n v="20809.800000000003" u="1"/>
        <n v="40478.984000000004" u="1"/>
        <n v="19787.949257142856" u="1"/>
        <n v="3413.713968" u="1"/>
        <n v="2661.9287999999997" u="1"/>
        <n v="3887.8560000000002" u="1"/>
        <n v="13394.684160000001" u="1"/>
        <n v="278.46428400000002" u="1"/>
        <n v="9305.6601599999995" u="1"/>
        <n v="7342.7199999999993" u="1"/>
        <n v="30895.307520000002" u="1"/>
        <n v="11836.06956" u="1"/>
        <n v="256.242816" u="1"/>
        <n v="8295.1679999999997" u="1"/>
        <n v="19568.304" u="1"/>
        <n v="437.7600000000001" u="1"/>
        <n v="3347.1360000000004" u="1"/>
        <n v="892.71705599999996" u="1"/>
        <n v="1004.8896000000002" u="1"/>
        <n v="822.36009455999988" u="1"/>
        <n v="614.3961599999999" u="1"/>
        <n v="264.97065599999996" u="1"/>
        <n v="23849.548799999997" u="1"/>
        <n v="2495.3417280000003" u="1"/>
        <n v="146.58739200000002" u="1"/>
        <n v="83825.279999999999" u="1"/>
        <n v="58221.51719999998" u="1"/>
        <n v="7536.6720000000005" u="1"/>
        <n v="1507.3344000000002" u="1"/>
        <n v="2635.7760000000003" u="1"/>
        <n v="921.60000000000014" u="1"/>
        <n v="2914.56" u="1"/>
        <n v="203.73664500000007" u="1"/>
        <n v="1736.9714880000001" u="1"/>
        <n v="2337.0618656000001" u="1"/>
        <n v="3512.9951999999994" u="1"/>
        <n v="14249.664000000002" u="1"/>
        <n v="893.75999999999976" u="1"/>
        <n v="9411.0720000000001" u="1"/>
        <n v="9506.133333333335" u="1"/>
        <n v="6751.0080000000007" u="1"/>
        <n v="545.19360000000006" u="1"/>
        <n v="551.671785" u="1"/>
        <n v="976.32000000000016" u="1"/>
        <n v="6589.4400000000005" u="1"/>
        <n v="864.86400000000026" u="1"/>
        <n v="432" u="1"/>
        <n v="1901.2266666666667" u="1"/>
        <n v="203.84179200000003" u="1"/>
        <n v="1647.3600000000001" u="1"/>
        <n v="2264.192" u="1"/>
        <n v="16473.599999999999" u="1"/>
        <n v="1719.432" u="1"/>
        <n v="617.7600000000001" u="1"/>
        <n v="947.03039999999999" u="1"/>
        <n v="1173.7440000000001" u="1"/>
        <n v="815.44320000000016" u="1"/>
        <n v="1933.1135999999999" u="1"/>
        <n v="2553.4080000000004" u="1"/>
        <n v="12082.560000000001" u="1"/>
        <n v="2471.0400000000004" u="1"/>
        <n v="1728" u="1"/>
        <n v="9667.9107692307698" u="1"/>
        <n v="22702.92923076923" u="1"/>
        <n v="1194.3359999999998" u="1"/>
        <n v="4100.7822912000001" u="1"/>
        <n v="3587.5788480000006" u="1"/>
        <n v="1874.1191040000003" u="1"/>
        <n v="3755.9808000000007" u="1"/>
        <n v="4273.006933333334" u="1"/>
        <n v="28755.648000000001" u="1"/>
        <n v="878.6880000000001" u="1"/>
        <n v="107427.8901696" u="1"/>
        <n v="5622.6399999999994" u="1"/>
        <n v="59935.810390455998" u="1"/>
        <n v="48704.303339999999" u="1"/>
        <n v="136734.23531250001" u="1"/>
        <n v="13991.796875" u="1"/>
        <n v="50524.536562499998" u="1"/>
        <n v="24940.125000000004" u="1"/>
        <n v="1171.5839999999998" u="1"/>
        <n v="16967.808000000005" u="1"/>
        <n v="8257.6665600000015" u="1"/>
        <n v="1190.8800000000001" u="1"/>
        <n v="9257.0400000000009" u="1"/>
        <n v="16269.456000000002" u="1"/>
        <n v="4077.2160000000003" u="1"/>
        <n v="1441.44" u="1"/>
        <n v="2882.88" u="1"/>
        <n v="6834.24" u="1"/>
        <n v="4099.2000000000007" u="1"/>
        <n v="29321.599999999995" u="1"/>
        <n v="1278.1021866666667" u="1"/>
        <n v="7257.6" u="1"/>
        <n v="3783.5839999999998" u="1"/>
        <n v="27911.576320000007" u="1"/>
        <n v="20592" u="1"/>
        <n v="2586.8560000000002" u="1"/>
        <n v="11798.816000000001" u="1"/>
        <n v="3982.8320000000008" u="1"/>
        <n v="18165.952000000005" u="1"/>
        <n v="39531.120000000003" u="1"/>
        <n v="9924" u="1"/>
        <n v="6615.5519999999997" u="1"/>
        <n v="56125.36" u="1"/>
        <n v="508.03200000000004" u="1"/>
        <n v="823.68000000000006" u="1"/>
        <n v="16.128" u="1"/>
        <n v="679.68000000000006" u="1"/>
        <n v="1134.2462400000004" u="1"/>
        <n v="4392.2944000000007" u="1"/>
        <n v="21293.738666666668" u="1"/>
        <n v="23178.32" u="1"/>
        <n v="40756.689715555556" u="1"/>
        <n v="9884.1600000000017" u="1"/>
        <n v="222.60533094312035" u="1"/>
        <n v="6952.2641820599174" u="1"/>
        <n v="16400.393458319326" u="1"/>
        <n v="6430.9581205685026" u="1"/>
        <n v="7557.4612374871504" u="1"/>
        <n v="16030.431230895489" u="1"/>
        <n v="1792.7491566326405" u="1"/>
        <n v="155.47736048672456" u="1"/>
        <n v="496.5272038422944" u="1"/>
        <n v="458.2743187185863" u="1"/>
        <n v="2832.6839340599354" u="1"/>
        <n v="10260.495001662939" u="1"/>
        <n v="5171.7199466028578" u="1"/>
        <n v="2747.9667852701787" u="1"/>
        <n v="9921.4642812566126" u="1"/>
        <n v="908.80682936371318" u="1"/>
        <n v="1298.8919004738893" u="1"/>
        <n v="463.88996445496053" u="1"/>
        <n v="11499.633905878667" u="1"/>
        <n v="31679.432247599631" u="1"/>
        <n v="29009.710161322771" u="1"/>
        <n v="16194.32108616627" u="1"/>
        <n v="30982.060828171874" u="1"/>
        <n v="9129.1612129884325" u="1"/>
        <n v="35619.764146778049" u="1"/>
        <n v="12257.673790769724" u="1"/>
        <n v="293.15990193695689" u="1"/>
        <n v="244.03581026103436" u="1"/>
        <n v="3605.1981737558017" u="1"/>
        <n v="3554.0465736752349" u="1"/>
        <n v="2128.9932553298581" u="1"/>
        <n v="5022.2957792107754" u="1"/>
        <n v="1952.04105646368" u="1"/>
        <n v="1774.8058928075227" u="1"/>
        <n v="106.48835356845137" u="1"/>
        <n v="166.04168127724552" u="1"/>
        <n v="3643.2192137624829" u="1"/>
        <n v="12040.032082446272" u="1"/>
        <n v="106.96374800402482" u="1"/>
        <n v="3436.1981115452381" u="1"/>
        <n v="5866.4574456018872" u="1"/>
        <n v="2752.0272141290534" u="1"/>
        <n v="2877.8341724892389" u="1"/>
        <n v="9911.1531979976899" u="1"/>
        <n v="3169.2418192950759" u="1"/>
        <n v="117.50425577637043" u="1"/>
        <n v="95.078887114688712" u="1"/>
        <n v="1822.5959088486168" u="1"/>
        <n v="809.30243198812423" u="1"/>
        <n v="1918.5561149928258" u="1"/>
        <n v="241.12629240397285" u="1"/>
        <n v="4227.3086346872969" u="1"/>
        <n v="9618.2003533463667" u="1"/>
        <n v="3479.0162376743483" u="1"/>
        <n v="89.467674104641503" u="1"/>
        <n v="989.46183118361546" u="1"/>
        <n v="638.62185106632899" u="1"/>
        <n v="621.182062482633" u="1"/>
        <n v="19007.65934855978" u="1"/>
        <n v="54691.777086528949" u="1"/>
        <n v="3249.5112432106571" u="1"/>
        <n v="3420.1988559311631" u="1"/>
        <n v="205.21193135586978" u="1"/>
        <n v="1431.0541513471076" u="1"/>
        <n v="118.54207040484906" u="1"/>
        <n v="9051.2663564570394" u="1"/>
        <n v="2239.1135961227815" u="1"/>
        <n v="5282.0696988251257" u="1"/>
        <n v="2686.6187291409042" u="1"/>
        <n v="1401.0301619809952" u="1"/>
        <n v="8629.8615997666984" u="1"/>
        <n v="5176.1165008521766" u="1"/>
        <n v="2390.3322088435207" u="1"/>
        <n v="7409.6216242461942" u="1"/>
        <n v="2739.9506120544097" u="1"/>
        <n v="3601.2241830603039" u="1"/>
        <n v="1008.3112267393024" u="1"/>
        <n v="14076.778082582932" u="1"/>
        <n v="9441.8617065281142" u="1"/>
        <n v="1114.4492506065972" u="1"/>
        <n v="2641.9461255638912" u="1"/>
        <n v="1753.2016781073653" u="1"/>
        <n v="17916.461293838252" u="1"/>
        <n v="1359.4772762723294" u="1"/>
        <n v="2948.9950298841686" u="1"/>
        <n v="130.25807534712354" u="1"/>
        <n v="4747.9076009969958" u="1"/>
        <n v="1457.7110675874205" u="1"/>
        <n v="12917.196610210933" u="1"/>
        <n v="4698.4678738314124" u="1"/>
        <n v="11083.687236878955" u="1"/>
        <n v="14278.258208166972" u="1"/>
        <n v="10311.64765838176" u="1"/>
        <n v="11962.775447263641" u="1"/>
        <n v="59963.418706203505" u="1"/>
        <n v="5142.203439972026" u="1"/>
        <n v="9070.7655845379304" u="1"/>
        <n v="1288.8471364435577" u="1"/>
        <n v="2433.7012816204146" u="1"/>
        <n v="16039.977892593268" u="1"/>
        <n v="17102.134031526817" u="1"/>
        <n v="94597.741019794339" u="1"/>
        <n v="39047.856776062508" u="1"/>
        <n v="5822.3892519910623" u="1"/>
        <n v="3521.7151612637031" u="1"/>
        <n v="31718.685070091931" u="1"/>
        <n v="10308.30765063768" u="1"/>
        <n v="33448.090052078238" u="1"/>
        <n v="1089.4220391067784" u="1"/>
        <n v="12142.853293067714" u="1"/>
        <n v="28786.204659789895" u="1"/>
        <n v="32637.442339193214" u="1"/>
        <n v="81865.232750919895" u="1"/>
        <n v="21413.346315226758" u="1"/>
        <n v="67391.374050657265" u="1"/>
        <n v="44742.428681037425" u="1"/>
        <n v="106067.71554455726" u="1"/>
        <n v="31288.41166506114" u="1"/>
        <n v="27463.21367566257" u="1"/>
        <n v="1565.5358520426007" u="1"/>
        <n v="3711.305271625467" u="1"/>
        <n v="140.2803252511801" u="1"/>
        <n v="41115.213097161221" u="1"/>
        <n v="22303.86381690023" u="1"/>
        <n v="2471.8837539541009" u="1"/>
        <n v="13876.308924946778" u="1"/>
        <n v="31592.451721038531" u="1"/>
        <n v="5837.5913127012227" u="1"/>
        <n v="9602.5222642176814" u="1"/>
        <n v="33645.637980016356" u="1"/>
        <n v="6375.3078186993071" u="1"/>
        <n v="19395.497130508818" u="1"/>
        <n v="26242.409919205267" u="1"/>
        <n v="24528.819719257161" u="1"/>
        <n v="547.39015805685335" u="1"/>
        <n v="27153.799069371114" u="1"/>
        <n v="11159.559652111468" u="1"/>
        <n v="3900.7579331088727" u="1"/>
        <n v="30274.38686025963" u="1"/>
        <n v="3038.4792671799914" u="1"/>
        <n v="4345.0253520673878" u="1"/>
        <n v="17958.04645198517" u="1"/>
        <n v="18176.136587274261" u="1"/>
        <n v="2534.5981220393091" u="1"/>
        <n v="39471.43063804663" u="1"/>
        <n v="26518.753036780789" u="1"/>
        <n v="4796.3902874820633" u="1"/>
        <n v="13214.060267487701" u="1"/>
        <n v="19981.28706895667" u="1"/>
        <n v="5014.6161535385345" u="1"/>
        <n v="16192.085394499923" u="1"/>
        <n v="2284.874480768824" u="1"/>
        <n v="4650.1721706858607" u="1"/>
        <n v="3641.8609439465586" u="1"/>
        <n v="8633.5025174677157" u="1"/>
        <n v="4256.5769988446409" u="1"/>
        <n v="10090.766451806528" u="1"/>
        <n v="15839.716123799815" u="1"/>
        <n v="1757.9110203020728" u="1"/>
        <n v="4760.5377784292223" u="1"/>
        <n v="4167.3554956811367" u="1"/>
        <n v="4577.9445032202239" u="1"/>
        <n v="1175.6775715817134" u="1"/>
        <n v="25596.288513713582" u="1"/>
        <n v="25594.394296358725" u="1"/>
        <n v="3889.1984824390465" u="1"/>
        <n v="19070.250970462985" u="1"/>
        <n v="35098.62141803003" u="1"/>
        <n v="83205.822802183087" u="1"/>
        <n v="4976.6115386728179" u="1"/>
        <n v="7469.6553641336759" u="1"/>
        <n v="5497.927214977597" u="1"/>
        <n v="6076.4018664026371" u="1"/>
        <n v="139427.37093058278" u="1"/>
        <n v="28333.110445674392" u="1"/>
        <n v="66732.04692970177" u="1"/>
        <n v="13088.528502184552" u="1"/>
        <n v="85466.266379694833" u="1"/>
        <n v="10363.920325876425" u="1"/>
        <n v="16622.723726302749" u="1"/>
        <n v="29099.189285932807" u="1"/>
        <n v="56910.871304269385" u="1"/>
        <n v="31873.024574765837" u="1"/>
        <n v="5498.5682335934798" u="1"/>
        <n v="4287.6460292140118" u="1"/>
        <n v="6262.2825751597393" u="1"/>
        <n v="11827.132360426138" u="1"/>
        <n v="49763.969122492628" u="1"/>
        <n v="9195.8840528758737" u="1"/>
        <n v="21722.343420550209" u="1"/>
        <n v="5391.3291668955517" u="1"/>
        <n v="1324.59928831464" u="1"/>
        <n v="989.62573897105631" u="1"/>
        <n v="27210.73898534149" u="1"/>
        <n v="236.11256966814366" u="1"/>
        <n v="119347.87046760553" u="1"/>
        <n v="93779.088695909275" u="1"/>
        <n v="12139.536479821862" u="1"/>
        <n v="4245.5209546917995" u="1"/>
        <n v="4694.5664402842003" u="1"/>
        <n v="3764.373422785513" u="1"/>
        <n v="1439.6051896918939" u="1"/>
        <n v="15158.686998482899" u="1"/>
        <n v="1572.5869795023161" u="1"/>
        <n v="1393.0615632582467" u="1"/>
        <n v="3062.3610097945248" u="1"/>
        <n v="3646.999813886132" u="1"/>
        <n v="26534.505966823745" u="1"/>
        <n v="1525.4093701172469" u="1"/>
        <n v="1339.1633480131359" u="1"/>
        <n v="1313.4580453577751" u="1"/>
        <n v="3113.7222194145857" u="1"/>
        <n v="19461.73030876711" u="1"/>
        <n v="36568.26747876744" u="1"/>
        <n v="6605.2491364663183" u="1"/>
        <n v="5778.6174454100274" u="1"/>
        <n v="32808.269818603731" u="1"/>
        <n v="1415.3282815520847" u="1"/>
        <n v="135185.3302741079" u="1"/>
        <n v="7747.4939469821093" u="1"/>
        <n v="85334.774126028671" u="1"/>
        <n v="78449.435920820179" u="1"/>
        <n v="220241.80402392996" u="1"/>
        <n v="22536.993593766587" u="1"/>
        <n v="40171.783679695392" u="1"/>
        <n v="1887.1043754027792" u="1"/>
        <n v="27330.541145828458" u="1"/>
        <n v="14910.583182493567" u="1"/>
        <n v="26205.685297019249" u="1"/>
        <n v="11008.108856516214" u="1"/>
        <n v="6602.7004940756051" u="1"/>
        <n v="38894.596353079243" u="1"/>
        <n v="11690.027104265006" u="1"/>
        <n v="6094.3286363623502" u="1"/>
        <n v="37580.163107929526" u="1"/>
        <n v="33168.132458529682" u="1"/>
        <n v="4166.7240898961854" u="1"/>
        <n v="19004.695607120208" u="1"/>
        <n v="4351.8290715460607" u="1"/>
        <n v="18790.049854817196" u="1"/>
        <n v="55216.049319133192" u="1"/>
        <n v="15984.875025177183" u="1"/>
        <n v="10655.861743506746" u="1"/>
        <n v="76456.870124392008" u="1"/>
        <n v="818.30189729855056" u="1"/>
        <n v="1094.7803161137067" u="1"/>
        <n v="7074.7961565684809" u="1"/>
        <n v="37333.993197658681" u="1"/>
        <n v="58756.364549414277" u="1"/>
        <n v="220.64116625832816" u="1"/>
        <n v="6890.9206745711544" u="1"/>
        <n v="16255.684104275333" u="1"/>
        <n v="6374.2143724458401" u="1"/>
        <n v="7490.7777559799124" u="1"/>
        <n v="15888.986249446412" u="1"/>
        <n v="1776.9307817211757" u="1"/>
        <n v="154.10550142360637" u="1"/>
        <n v="454.23072178871649" u="1"/>
        <n v="2807.6896640535247" u="1"/>
        <n v="10169.961222236499" u="1"/>
        <n v="5126.0871235445993" u="1"/>
        <n v="2723.7200195177957" u="1"/>
        <n v="9833.9219493631754" u="1"/>
        <n v="900.78794557520996" u="1"/>
        <n v="1287.431089587355" u="1"/>
        <n v="459.7968177097697" u="1"/>
        <n v="11398.166547885619" u="1"/>
        <n v="31399.907845414928" u="1"/>
        <n v="28753.742130487568" u="1"/>
        <n v="16051.430017758921" u="1"/>
        <n v="30708.689703217424" u="1"/>
        <n v="9048.6097905208881" u="1"/>
        <n v="35305.472110188843" u="1"/>
        <n v="12149.517845557049" u="1"/>
        <n v="290.57319691986606" u="1"/>
        <n v="241.88255311167231" u="1"/>
        <n v="3573.387601634427" u="1"/>
        <n v="3522.6873392016296" u="1"/>
        <n v="2110.2080207240065" u="1"/>
        <n v="4977.9814046883266" u="1"/>
        <n v="1934.8171647890003" u="1"/>
        <n v="1759.1458408121619" u="1"/>
        <n v="105.54875044872972" u="1"/>
        <n v="164.57660761891691" u="1"/>
        <n v="3611.0731618763439" u="1"/>
        <n v="11933.796505248218" u="1"/>
        <n v="106.01995022751871" u="1"/>
        <n v="3405.8787164433688" u="1"/>
        <n v="5814.6945857877527" u="1"/>
        <n v="2727.7446210632088" u="1"/>
        <n v="2852.4415180260985" u="1"/>
        <n v="9823.701846250653" u="1"/>
        <n v="3141.2779208895308" u="1"/>
        <n v="116.46745351952009" u="1"/>
        <n v="94.239955757794405" u="1"/>
        <n v="1806.5141802411299" u="1"/>
        <n v="802.16152817646434" u="1"/>
        <n v="1901.6276786840656" u="1"/>
        <n v="238.99870747099664" u="1"/>
        <n v="4190.0088526165264" u="1"/>
        <n v="9533.3338796403732" u="1"/>
        <n v="3448.3190355772222" u="1"/>
        <n v="88.678253450777021" u="1"/>
        <n v="980.73128561434851" u="1"/>
        <n v="632.98695238044957" u="1"/>
        <n v="615.7010442842568" u="1"/>
        <n v="18839.944707248957" u="1"/>
        <n v="54209.202582824299" u="1"/>
        <n v="3220.8390851823278" u="1"/>
        <n v="3390.0206307317703" u="1"/>
        <n v="203.40123784390622" u="1"/>
        <n v="1418.4272029528684" u="1"/>
        <n v="117.49611096010038" u="1"/>
        <n v="8971.4022415471227" u="1"/>
        <n v="2219.3567114511106" u="1"/>
        <n v="5235.4632014825502" u="1"/>
        <n v="2662.9132697661316" u="1"/>
        <n v="1388.6681311399861" u="1"/>
        <n v="8553.7157621216975" u="1"/>
        <n v="5130.4448846681862" u="1"/>
        <n v="2369.2410422949015" u="1"/>
        <n v="7344.2426099146114" u="1"/>
        <n v="2715.7745772421645" u="1"/>
        <n v="3569.4486755627131" u="1"/>
        <n v="999.41436297395558" u="1"/>
        <n v="13952.571217148381" u="1"/>
        <n v="9358.5511620587495" u="1"/>
        <n v="1104.6158748659509" u="1"/>
        <n v="2618.6348362206809" u="1"/>
        <n v="17758.374870657328" u="1"/>
        <n v="1347.4818885405148" u="1"/>
        <n v="2922.974485502838" u="1"/>
        <n v="129.10873938817832" u="1"/>
        <n v="4706.0142986352566" u="1"/>
        <n v="1444.8489111087079" u="1"/>
        <n v="12803.221346003191" u="1"/>
        <n v="4657.0108043564305" u="1"/>
        <n v="10985.889996553551" u="1"/>
        <n v="14152.27357691844" u="1"/>
        <n v="10220.662531984275" u="1"/>
        <n v="11857.221546258375" u="1"/>
        <n v="59434.329717619374" u="1"/>
        <n v="5096.8310566781556" u="1"/>
        <n v="8990.7294176155374" u="1"/>
        <n v="1277.4749558278797" u="1"/>
        <n v="2412.2274467825882" u="1"/>
        <n v="15898.448675893915" u="1"/>
        <n v="16951.232848895699" u="1"/>
        <n v="93763.055069619673" u="1"/>
        <n v="38703.316863332555" u="1"/>
        <n v="5771.0152291793775" u="1"/>
        <n v="3490.6412039584352" u="1"/>
        <n v="31438.814319473469" u="1"/>
        <n v="10217.351994896762" u="1"/>
        <n v="33152.959845736375" u="1"/>
        <n v="1079.8094917028952" u="1"/>
        <n v="12035.710469893589" u="1"/>
        <n v="28532.208736321161" u="1"/>
        <n v="32349.464906788569" u="1"/>
        <n v="81142.892461941199" u="1"/>
        <n v="21224.405024210057" u="1"/>
        <n v="66796.744279622057" u="1"/>
        <n v="44347.642545616509" u="1"/>
        <n v="105131.82393681117" u="1"/>
        <n v="31012.337444487071" u="1"/>
        <n v="27220.891202053783" u="1"/>
        <n v="1551.7223004069308" u="1"/>
        <n v="3678.5584604052419" u="1"/>
        <n v="139.04255767543435" u="1"/>
        <n v="40752.431805127446" u="1"/>
        <n v="22107.065018515816" u="1"/>
        <n v="2450.0730149486239" u="1"/>
        <n v="13753.870905020778" u="1"/>
        <n v="31313.694794088191" u="1"/>
        <n v="5786.0831540597428" u="1"/>
        <n v="9517.7941265922327" u="1"/>
        <n v="33348.764703722103" u="1"/>
        <n v="6319.0551026519624" u="1"/>
        <n v="19224.360391121976" u="1"/>
        <n v="26010.85924344758" u="1"/>
        <n v="24312.38895702843" u="1"/>
        <n v="542.56024489752826" u="1"/>
        <n v="26914.206724641372" u="1"/>
        <n v="11061.09294929872" u="1"/>
        <n v="3866.3394807579116" u="1"/>
        <n v="30007.259917374991" u="1"/>
        <n v="3011.6691559989918" u="1"/>
        <n v="4306.6868930785577" u="1"/>
        <n v="17799.593100938244" u="1"/>
        <n v="18015.758911504192" u="1"/>
        <n v="2512.2340209624917" u="1"/>
        <n v="39123.153308887413" u="1"/>
        <n v="26284.764039397436" u="1"/>
        <n v="4754.0691967101629" u="1"/>
        <n v="13097.465618068692" u="1"/>
        <n v="19804.981594818815" u="1"/>
        <n v="4970.3695404190767" u="1"/>
        <n v="16049.214052783747" u="1"/>
        <n v="2264.7138235855705" u="1"/>
        <n v="4609.1412397680451" u="1"/>
        <n v="3609.7268767940895" u="1"/>
        <n v="8557.3245540782955" u="1"/>
        <n v="4219.0189665018952" u="1"/>
        <n v="10001.730277231765" u="1"/>
        <n v="15699.953922707464" u="1"/>
        <n v="1742.4000407111721" u="1"/>
        <n v="4718.5330333254351" u="1"/>
        <n v="4130.5847118957154" u="1"/>
        <n v="4537.550875250633" u="1"/>
        <n v="1165.3039459501101" u="1"/>
        <n v="25370.438909180819" u="1"/>
        <n v="25368.561405508503" u="1"/>
        <n v="3854.8820252410546" u="1"/>
        <n v="18901.984050135368" u="1"/>
        <n v="34788.927699635649" u="1"/>
        <n v="82471.653777457948" u="1"/>
        <n v="4932.7002603904102" u="1"/>
        <n v="7403.7466403324988" u="1"/>
        <n v="5449.4160924925" u="1"/>
        <n v="6022.7865558167323" u="1"/>
        <n v="138197.12942237177" u="1"/>
        <n v="28083.112412330211" u="1"/>
        <n v="66143.234750910284" u="1"/>
        <n v="12973.041485988811" u="1"/>
        <n v="84712.152264579883" u="1"/>
        <n v="10272.473970059867" u="1"/>
        <n v="16476.052634600077" u="1"/>
        <n v="28842.431733409867" u="1"/>
        <n v="56408.716557467022" u="1"/>
        <n v="31591.792004988492" u="1"/>
        <n v="5450.0514550617736" u="1"/>
        <n v="4249.8138583680065" u="1"/>
        <n v="6207.0271406730353" u="1"/>
        <n v="11722.775310187084" u="1"/>
        <n v="49324.875277294152" u="1"/>
        <n v="9114.7438994681434" u="1"/>
        <n v="21530.675684486527" u="1"/>
        <n v="5343.7586154229448" u="1"/>
        <n v="1312.9116475353931" u="1"/>
        <n v="980.89374715660574" u="1"/>
        <n v="234.02922346518946" u="1"/>
        <n v="118294.80102230312" u="1"/>
        <n v="92951.626148592419" u="1"/>
        <n v="12032.422922646967" u="1"/>
        <n v="4208.060475679813" u="1"/>
        <n v="4653.1437952228698" u="1"/>
        <n v="3731.1583631726999" u="1"/>
        <n v="1426.9027909593187" u="1"/>
        <n v="15024.93387790805" u="1"/>
        <n v="1558.7112120361194" u="1"/>
        <n v="1380.7698435824386" u="1"/>
        <n v="3035.3401773551614" u="1"/>
        <n v="3614.8204037636069" u="1"/>
        <n v="26300.377972998831" u="1"/>
        <n v="1511.9498756750356" u="1"/>
        <n v="1327.347200824785" u="1"/>
        <n v="1301.8687096634421" u="1"/>
        <n v="3086.2481998315156" u="1"/>
        <n v="19290.009158983874" u="1"/>
        <n v="36245.606295131256" u="1"/>
        <n v="6546.9675264386751" u="1"/>
        <n v="5727.6296444211157" u="1"/>
        <n v="32518.785084910174" u="1"/>
        <n v="1402.8400908325075" u="1"/>
        <n v="133992.51853639519" u="1"/>
        <n v="8976.6388164154851" u="1"/>
        <n v="95688.523904124362" u="1"/>
        <n v="77757.235015636485" u="1"/>
        <n v="199587.19450370257" u="1"/>
        <n v="20423.440244973015" u="1"/>
        <n v="73749.273421264792" u="1"/>
        <n v="36404.413042171022" u="1"/>
        <n v="1870.4534544433432" u="1"/>
        <n v="27089.389312188796" u="1"/>
        <n v="14779.019213236275" u="1"/>
        <n v="25974.458662045559" u="1"/>
        <n v="10910.978484252835" u="1"/>
        <n v="6544.4413720690545" u="1"/>
        <n v="38551.408738199127" u="1"/>
        <n v="11586.879806286197" u="1"/>
        <n v="6040.5551483944482" u="1"/>
        <n v="37248.573433447797" u="1"/>
        <n v="32875.472466248539" u="1"/>
        <n v="4129.9588773382784" u="1"/>
        <n v="18837.007116469151" u="1"/>
        <n v="4313.4305797383013" u="1"/>
        <n v="18624.255297274693" u="1"/>
        <n v="54728.848883964369" u="1"/>
        <n v="15843.832010249147" u="1"/>
        <n v="10561.839434005216" u="1"/>
        <n v="75782.25068211797" u="1"/>
        <n v="811.0815864400339" u="1"/>
        <n v="7012.3714845987579" u="1"/>
        <n v="37004.575610620523" u="1"/>
        <n v="58237.926038684149" u="1"/>
        <n v="171.39382944410997" u="1"/>
        <n v="4576.7145126232936" u="1"/>
        <n v="73824.973931965404" u="1"/>
        <n v="576.15734297168876" u="1"/>
        <n v="21515.762304320429" u="1"/>
        <n v="2265.6698785967155" u="1"/>
        <n v="8148.600156799278" u="1"/>
        <n v="91266.01859287484" u="1"/>
        <n v="843.54743148462603" u="1"/>
        <n v="1507.3513199575445" u="1"/>
        <n v="29794.739069353811" u="1"/>
        <n v="4521.6891720000003" u="1"/>
        <n v="4808.0903200561515" u="1"/>
        <n v="96857.046000000002" u="1"/>
        <n v="343.43138534964828" u="1"/>
        <n v="2251.8860069406192" u="1"/>
        <n v="2928.3376880675787" u="1"/>
        <n v="1685.9208294452565" u="1"/>
        <n v="1753.7267371180437" u="1"/>
        <n v="9285.8388479999994" u="1"/>
        <n v="12541.477350479487" u="1"/>
        <n v="24113.94377025167" u="1"/>
        <n v="2296.9413936263668" u="1"/>
        <n v="4646.6602507784883" u="1"/>
        <n v="8743.223430533837" u="1"/>
        <n v="75.248647166099417" u="1"/>
        <n v="997.34534893849946" u="1"/>
        <n v="484.50283434926121" u="1"/>
        <n v="3048.5990540422226" u="1"/>
        <n v="6387.491949739835" u="1"/>
        <n v="628.39953542607304" u="1"/>
        <n v="8795.1831782850022" u="1"/>
        <n v="549.29242115481452" u="1"/>
        <n v="3462.0096088770597" u="1"/>
        <n v="4660.3689572182693" u="1"/>
        <n v="505.31304735626054" u="1"/>
        <n v="1306.542264617101" u="1"/>
        <n v="26480.94031975168" u="1"/>
        <n v="618.0979036977767" u="1"/>
        <n v="2261.5650922964023" u="1"/>
        <n v="5566.8544165180256" u="1"/>
        <n v="10039.408399801618" u="1"/>
        <n v="10523.638222169404" u="1"/>
        <n v="27362.241217343042" u="1"/>
        <n v="4273.7363795886486" u="1"/>
        <n v="5495.7289677783911" u="1"/>
        <n v="3373.7843910170313" u="1"/>
        <n v="5444.6745600000013" u="1"/>
        <n v="11709.027390390835" u="1"/>
        <n v="78804.230227199354" u="1"/>
        <n v="2747.6128358717237" u="1"/>
        <n v="43618.318613310781" u="1"/>
        <n v="104.25600000000001" u="1"/>
        <n v="4183.0087803405486" u="1"/>
        <n v="10736.578219357307" u="1"/>
        <n v="1114.7202281550865" u="1"/>
        <n v="1117.7019406243321" u="1"/>
        <n v="78.43396962925155" u="1"/>
        <n v="8716.6476442332878" u="1"/>
        <n v="24992.099122655971" u="1"/>
        <n v="530.90842179655772" u="1"/>
        <n v="6598.1951219737657" u="1"/>
        <n v="1139.9803762241279" u="1"/>
        <n v="4880.9825445904298" u="1"/>
        <n v="21170.080790353466" u="1"/>
        <n v="1100.446341043689" u="1"/>
        <n v="3562.9077903110219" u="1"/>
        <n v="26839.312500000004" u="1"/>
        <n v="770.30052552272775" u="1"/>
        <n v="8964.747029828568" u="1"/>
        <n v="2173.0004426874962" u="1"/>
        <n v="7320.8772000755462" u="1"/>
        <n v="499.47305471649838" u="1"/>
        <n v="9019.3907487818269" u="1"/>
        <n v="43520.078056206017" u="1"/>
        <n v="4159.1351352714919" u="1"/>
        <n v="2413.8274159999996" u="1"/>
        <n v="2703.4300800000001" u="1"/>
        <n v="14603.668463445591" u="1"/>
        <n v="16363.498148415621" u="1"/>
        <n v="25579.37697654725" u="1"/>
        <n v="3176.3408499636457" u="1"/>
        <n v="4929.2363970577844" u="1"/>
        <n v="14482.026205801687" u="1"/>
        <n v="3629.7294498602178" u="1"/>
        <n v="436.88418617163154" u="1"/>
        <n v="13456.981323261276" u="1"/>
        <n v="26228.221354475463" u="1"/>
        <n v="1093.269674765997" u="1"/>
        <n v="2222.6201939685275" u="1"/>
        <n v="3686.6106078329617" u="1"/>
        <n v="161.06150454744707" u="1"/>
        <n v="3633.4505974708686" u="1"/>
        <n v="5069.4413780892482" u="1"/>
        <n v="1052.1135780288114" u="1"/>
        <n v="1143.7932953007812" u="1"/>
        <n v="5779.2350639607648" u="1"/>
        <n v="1526.3344212816601" u="1"/>
        <n v="3879.4333207575528" u="1"/>
        <n v="3985.2244829387973" u="1"/>
        <n v="483.26557313703256" u="1"/>
        <n v="43448.284934038762" u="1"/>
        <n v="9229.3073474199391" u="1"/>
        <n v="59.818801929981966" u="1"/>
        <n v="2022.8658716018185" u="1"/>
        <n v="6620.1974937778214" u="1"/>
        <n v="3385.9986683564198" u="1"/>
        <n v="1349.8346624177479" u="1"/>
        <n v="20692.175157522739" u="1"/>
        <n v="40917.288791582949" u="1"/>
        <n v="1336.28937552" u="1"/>
        <n v="24101.932542602051" u="1"/>
        <n v="6612.1321983188127" u="1"/>
        <n v="1000.7518941797039" u="1"/>
        <n v="2344.449676830825" u="1"/>
        <n v="9455.1689813908142" u="1"/>
        <n v="39660.074999999997" u="1"/>
        <n v="125.75374745249781" u="1"/>
        <n v="232.0510771594719" u="1"/>
        <n v="77.456744485266213" u="1"/>
        <n v="4446.8528944671743" u="1"/>
        <n v="13700.443331341492" u="1"/>
        <n v="15514.881724131061" u="1"/>
        <n v="229.21621829209934" u="1"/>
        <n v="237.11462656665631" u="1"/>
        <n v="50201.399400502865" u="1"/>
        <n v="6249.9250795342796" u="1"/>
        <n v="142.34982024554859" u="1"/>
        <n v="449.4790999147649" u="1"/>
        <n v="6053.9015806955285" u="1"/>
        <n v="480.84468903942616" u="1"/>
        <n v="2896.74" u="1"/>
        <n v="7470.2790065370218" u="1"/>
        <n v="9514.1512259890151" u="1"/>
        <n v="22794.832515320362" u="1"/>
        <n v="23649.05587054693" u="1"/>
        <n v="667.69739390241932" u="1"/>
        <n v="24973.652735824919" u="1"/>
        <n v="2728.1355165773757" u="1"/>
        <n v="11738.587013216727" u="1"/>
        <n v="1874.7759529787977" u="1"/>
        <n v="22916.486389883703" u="1"/>
        <n v="43945.15125000001" u="1"/>
        <n v="2095.2563503945494" u="1"/>
        <n v="1748.1556915077442" u="1"/>
        <n v="22305.706935601054" u="1"/>
        <n v="333.8320003234449" u="1"/>
        <n v="335.11411114304923" u="1"/>
        <n v="174.41382909832757" u="1"/>
        <n v="180.55667092269812" u="1"/>
        <n v="5615.114755186667" u="1"/>
        <n v="7882.8234975464648" u="1"/>
        <n v="9373.5152517650877" u="1"/>
        <n v="11226.792070786749" u="1"/>
        <n v="16498.687554183358" u="1"/>
        <n v="17070.626810969778" u="1"/>
        <n v="313.60894472007237" u="1"/>
        <n v="6126.4003762151569" u="1"/>
        <n v="1184.0654933489018" u="1"/>
        <n v="625.76027440477401" u="1"/>
        <n v="9821.425457628302" u="1"/>
        <n v="22355.203085341462" u="1"/>
        <n v="175.98813592228856" u="1"/>
        <n v="4800.3419199999998" u="1"/>
        <n v="9725.8892362154656" u="1"/>
        <n v="10750.688559539436" u="1"/>
        <n v="48.569923266855625" u="1"/>
        <n v="25696.666178666288" u="1"/>
        <n v="10685.540348664317" u="1"/>
        <n v="1514.709669934095" u="1"/>
        <n v="127.15125721332001" u="1"/>
        <n v="2769.6353318183455" u="1"/>
        <n v="9818.7427410323908" u="1"/>
        <n v="63345.760441206708" u="1"/>
        <n v="8155.2707776480038" u="1"/>
        <n v="28008.686876660435" u="1"/>
        <n v="1288.2362812892293" u="1"/>
        <n v="112.13624144798769" u="1"/>
        <n v="1879.8436799999999" u="1"/>
        <n v="25237.797139761526" u="1"/>
        <n v="7581.7058856413914" u="1"/>
        <n v="7987.5195253790389" u="1"/>
        <n v="48.200896189424313" u="1"/>
        <n v="23558.278004109117" u="1"/>
        <n v="9338.8690385374612" u="1"/>
        <n v="4715.1304210806793" u="1"/>
        <n v="7908.14137951271" u="1"/>
        <n v="159.34102905279303" u="1"/>
        <n v="1653.1006453149489" u="1"/>
        <n v="7331.3279133041842" u="1"/>
        <n v="273.61692788340088" u="1"/>
        <n v="4273.9740889999994" u="1"/>
        <n v="8584.6931069135644" u="1"/>
        <n v="30642.13446658344" u="1"/>
        <n v="8354.2862077990958" u="1"/>
        <n v="1017.614836569036" u="1"/>
        <n v="12854.802023429336" u="1"/>
        <n v="13376.794140441936" u="1"/>
        <n v="1146.4467430960026" u="1"/>
        <n v="10269.048915822312" u="1"/>
        <n v="95.645387590531158" u="1"/>
        <n v="7846.2608836246018" u="1"/>
        <n v="97.554422505117486" u="1"/>
        <n v="6010.9660937695189" u="1"/>
        <n v="57.055191250307701" u="1"/>
        <n v="130.39128271479905" u="1"/>
        <n v="3611.3997547141498" u="1"/>
        <n v="35199.24450338888" u="1"/>
        <n v="11160.864000000001" u="1"/>
        <n v="35161.003831947062" u="1"/>
        <n v="780.83459637532223" u="1"/>
        <n v="1133.1861604258052" u="1"/>
        <n v="1457.8558978876704" u="1"/>
        <n v="1992.3931253181213" u="1"/>
        <n v="25972.905853109514" u="1"/>
        <n v="1200.65637858931" u="1"/>
        <n v="2332.2389957183768" u="1"/>
        <n v="1242.2231054586143" u="1"/>
        <n v="1995.394853592411" u="1"/>
        <n v="8933.5750347785324" u="1"/>
        <n v="13279.30407153847" u="1"/>
        <n v="4247.1982456717069" u="1"/>
        <n v="61275.360856175423" u="1"/>
        <n v="61527.13417883846" u="1"/>
        <n v="2651.6443632107989" u="1"/>
        <n v="5993.6766565979815" u="1"/>
        <n v="85957.653599999991" u="1"/>
        <n v="3155.0247988380588" u="1"/>
        <n v="2799.3303466809757" u="1"/>
        <n v="25971.458158084282" u="1"/>
        <n v="663.8799808849767" u="1"/>
        <n v="22351.641265248625" u="1"/>
        <n v="179.66208" u="1"/>
        <n v="523.92278466765561" u="1"/>
        <n v="26377.228799999997" u="1"/>
        <n v="349.27675280000841" u="1"/>
        <n v="116.012222208959" u="1"/>
        <n v="1107.4254107918498" u="1"/>
        <n v="1344.284897878056" u="1"/>
        <n v="9727.6436962970656" u="1"/>
        <n v="22004.847762857145" u="1"/>
        <n v="38.598373901687445" u="1"/>
        <n v="1574.2818858770211" u="1"/>
        <n v="3188.1100634941595" u="1"/>
        <n v="7220.2471873450304" u="1"/>
        <n v="8273.9632361346521" u="1"/>
        <n v="3645.6330060692944" u="1"/>
        <n v="1237.7566606877194" u="1"/>
        <n v="10029.823250281432" u="1"/>
        <n v="970.4260815813991" u="1"/>
        <n v="1738.6058511071014" u="1"/>
        <n v="7142.9529600000005" u="1"/>
        <n v="2072.114613360578" u="1"/>
        <n v="4203.7248" u="1"/>
        <n v="37469.341548708246" u="1"/>
        <n v="90.540406225379229" u="1"/>
        <n v="10235.908118307336" u="1"/>
        <n v="653.73332731200003" u="1"/>
        <n v="3678.6698652477835" u="1"/>
        <n v="2898.4346334282482" u="1"/>
        <n v="3755.8032342746847" u="1"/>
        <n v="295.07331232482375" u="1"/>
        <n v="4705.6452356665905" u="1"/>
        <n v="631.27753605319674" u="1"/>
        <n v="53097.633981301115" u="1"/>
        <n v="2159.3965342189949" u="1"/>
        <n v="11994.304119313299" u="1"/>
        <n v="60942.483777893744" u="1"/>
        <n v="1696.6831035883638" u="1"/>
        <n v="1423.0763493355007" u="1"/>
        <n v="96531.365819386847" u="1"/>
        <n v="3017.3011150094067" u="1"/>
        <n v="26374.721710332582" u="1"/>
        <n v="2882.2221339247822" u="1"/>
        <n v="22354.540850402926" u="1"/>
        <n v="172.84649226171706" u="1"/>
        <n v="698.66556760000003" u="1"/>
        <n v="2171.8599555660617" u="1"/>
        <n v="11058.645574996839" u="1"/>
        <n v="55499.320542369038" u="1"/>
        <n v="373.85577792634331" u="1"/>
        <n v="11815.756975028158" u="1"/>
        <n v="2622.9975913225899" u="1"/>
        <n v="35236.263070649758" u="1"/>
        <n v="1829.6068694486735" u="1"/>
        <n v="13494.989472124897" u="1"/>
        <n v="5981.8557943030219" u="1"/>
        <n v="6005.6007510860654" u="1"/>
        <n v="30010.818667148011" u="1"/>
        <n v="394.61219758224837" u="1"/>
        <n v="19978.922188659933" u="1"/>
        <n v="70195.07446314719" u="1"/>
        <n v="5390.677754884704" u="1"/>
        <n v="17569.542472503847" u="1"/>
        <n v="149456.80529101065" u="1"/>
        <n v="75.488541039306071" u="1"/>
        <n v="5492.4323075953289" u="1"/>
        <n v="238.85046188217939" u="1"/>
        <n v="1202.3727525726154" u="1"/>
        <n v="23769.177943088052" u="1"/>
        <n v="72.615697777081465" u="1"/>
        <n v="59652.140059321297" u="1"/>
        <n v="28394.184159984135" u="1"/>
        <n v="266.2575585159654" u="1"/>
        <n v="6034.2838159464318" u="1"/>
        <n v="8061.5471118225596" u="1"/>
        <n v="4308.8574099686921" u="1"/>
        <n v="6925.5967129615037" u="1"/>
        <n v="17319.618343198119" u="1"/>
        <n v="26709.185552115596" u="1"/>
        <n v="7383.1198815366024" u="1"/>
        <n v="16161.335129303188" u="1"/>
        <n v="27533.75440439197" u="1"/>
        <n v="31356.50207075556" u="1"/>
        <n v="23882.304111269368" u="1"/>
        <n v="841.8428928000003" u="1"/>
        <n v="12892.648193292007" u="1"/>
        <n v="1064.6594685537289" u="1"/>
        <n v="2086.0804249799967" u="1"/>
        <n v="2452.0029686621874" u="1"/>
        <n v="2634.9557536775101" u="1"/>
        <n v="10336.809600000001" u="1"/>
        <n v="23643.913015347978" u="1"/>
        <n v="1266.9500778833249" u="1"/>
        <n v="1856.6349910315796" u="1"/>
        <n v="2893.536400079015" u="1"/>
        <n v="1042.449889770525" u="1"/>
        <n v="1100.0067951598226" u="1"/>
        <n v="5255.5387560979143" u="1"/>
        <n v="7752.3547919999983" u="1"/>
        <n v="2199.4957605641857" u="1"/>
        <n v="3701.7196677011293" u="1"/>
        <n v="11402.210668965672" u="1"/>
        <n v="1038.6826450000001" u="1"/>
        <n v="1099.5899272651764" u="1"/>
        <n v="4289.4127110181435" u="1"/>
        <n v="36363.077414377534" u="1"/>
        <n v="3186.3184216853192" u="1"/>
        <n v="4862.4782348299168" u="1"/>
        <n v="10448.044392608857" u="1"/>
        <n v="22861.688749028348" u="1"/>
        <n v="9371.980800000003" u="1"/>
        <n v="14642.729933458693" u="1"/>
        <n v="25376.592955312208" u="1"/>
        <n v="5513.4140904821106" u="1"/>
        <n v="3500.7810906978184" u="1"/>
        <n v="10017.066561319582" u="1"/>
        <n v="1163.027807684321" u="1"/>
        <n v="1186.8685864904894" u="1"/>
        <n v="41179.691083658559" u="1"/>
        <n v="927.14685554666517" u="1"/>
        <n v="3232.6477794667576" u="1"/>
        <n v="6932.6899846728911" u="1"/>
        <n v="443.253229239522" u="1"/>
        <n v="3670.5548284854058" u="1"/>
        <n v="1548.44352" u="1"/>
        <n v="15237.830264771575" u="1"/>
        <n v="96008.81165061616" u="1"/>
        <n v="3296.5221530548097" u="1"/>
        <n v="5229.7099160884263" u="1"/>
        <n v="11753.909664146549" u="1"/>
        <n v="24598.147392253835" u="1"/>
        <n v="13490.04147781312" u="1"/>
        <n v="17190.673101009284" u="1"/>
        <n v="37644.447439298179" u="1"/>
        <n v="719.79884473966501" u="1"/>
        <n v="3571.2533540692029" u="1"/>
        <n v="94.139284225539853" u="1"/>
        <n v="1082.3098623633591" u="1"/>
        <n v="1968.0408947599346" u="1"/>
        <n v="4209.544933876391" u="1"/>
        <n v="4660.8077782208493" u="1"/>
        <n v="3702.8317444963386" u="1"/>
        <n v="3819.4680387493827" u="1"/>
        <n v="901.39277622592431" u="1"/>
        <n v="82.792627404732144" u="1"/>
        <n v="3515.9384037337795" u="1"/>
        <n v="885.17330784663568" u="1"/>
        <n v="278.36146799999995" u="1"/>
        <n v="815.5458451567888" u="1"/>
        <n v="2878.9108286400001" u="1"/>
        <n v="4818.7635635945362" u="1"/>
        <n v="7355.0943878531061" u="1"/>
        <n v="65951.776799999992" u="1"/>
        <n v="2784.9524865473691" u="1"/>
        <n v="5458.6941760279024" u="1"/>
        <n v="216029.80938814505" u="1"/>
        <n v="1856.0226562784987" u="1"/>
        <n v="12069.971779883959" u="1"/>
        <n v="3840.2193831593349" u="1"/>
        <n v="55.930650705204513" u="1"/>
        <n v="232.27243453599402" u="1"/>
        <n v="2323.7691153776655" u="1"/>
        <n v="5421.0003172561901" u="1"/>
        <n v="7807.3881865372659" u="1"/>
        <n v="8053.753273722672" u="1"/>
        <n v="57.631506172286862" u="1"/>
        <n v="2745.976337181085" u="1"/>
        <n v="306.90217899565766" u="1"/>
        <n v="2139.4867940683835" u="1"/>
        <n v="9877.8562313377752" u="1"/>
        <n v="16785.571417346913" u="1"/>
        <n v="988.95664833866658" u="1"/>
        <n v="1287.4270501265453" u="1"/>
        <n v="2216.1365244557728" u="1"/>
        <n v="2881.7193873797742" u="1"/>
        <n v="2969.2159475460385" u="1"/>
        <n v="3414.7520586036453" u="1"/>
        <n v="5149.6536000000006" u="1"/>
        <n v="7386.3128726539671" u="1"/>
        <n v="575.97729380201008" u="1"/>
        <n v="8378.6604723476394" u="1"/>
        <n v="115164.26954146331" u="1"/>
        <n v="5469.2929200000017" u="1"/>
        <n v="29681.347859015172" u="1"/>
        <n v="2322.6652800000006" u="1"/>
        <n v="11439.990445628795" u="1"/>
        <n v="12689.737265310414" u="1"/>
        <n v="195.02861885615454" u="1"/>
        <n v="3705.0076764514802" u="1"/>
        <n v="242.52508437267443" u="1"/>
        <n v="4953.3269290736262" u="1"/>
        <n v="35805.324166751998" u="1"/>
        <n v="6057.2780157178922" u="1"/>
        <n v="4743.6032953431504" u="1"/>
        <n v="25271.69447430937" u="1"/>
        <n v="6128.5694855600595" u="1"/>
        <n v="5410.138237375897" u="1"/>
        <n v="4263.0947999999989" u="1"/>
        <n v="17799.499900000003" u="1"/>
        <n v="95.443030503919005" u="1"/>
        <n v="716.13877008391273" u="1"/>
        <n v="1523.4341690960455" u="1"/>
        <n v="26153.501678206008" u="1"/>
        <n v="576.31506313442128" u="1"/>
        <n v="24158.933669029473" u="1"/>
        <n v="4019.1022241911023" u="1"/>
        <n v="101472.7275122795" u="1"/>
        <n v="8485.2962928851575" u="1"/>
        <n v="160.54670675127912" u="1"/>
        <n v="13565.106425525457" u="1"/>
        <n v="548.69911935072832" u="1"/>
        <n v="1471.4417163314301" u="1"/>
        <n v="3001.791028520598" u="1"/>
        <n v="354.73938458320515" u="1"/>
        <n v="2679.5658911135247" u="1"/>
        <n v="47.627309890793384" u="1"/>
        <n v="5756.6493317229133" u="1"/>
        <n v="126.65289992008329" u="1"/>
        <n v="1933.3569336234361" u="1"/>
        <n v="184.57799703841505" u="1"/>
        <n v="4447.3713654064923" u="1"/>
        <n v="10104.869616314127" u="1"/>
        <n v="43.055999999999997" u="1"/>
        <n v="191.62475802285388" u="1"/>
        <n v="13943.894892129665" u="1"/>
        <n v="29820.852557070008" u="1"/>
        <n v="161.69545261174039" u="1"/>
        <n v="1443.0798164844787" u="1"/>
        <n v="570.49369886033605" u="1"/>
        <n v="2804.7118902425636" u="1"/>
        <n v="24486.636431092353" u="1"/>
        <n v="60.160699896193186" u="1"/>
        <n v="1098.9607833227951" u="1"/>
        <n v="1266.6527999999998" u="1"/>
        <n v="3041.5286798697493" u="1"/>
        <n v="92670.11118661135" u="1"/>
        <n v="470.23990974132539" u="1"/>
        <n v="1081.6713314711094" u="1"/>
        <n v="2653.450603181398" u="1"/>
        <n v="298.0723111045491" u="1"/>
        <n v="114901.68750838071" u="1"/>
        <n v="850.06471604123146" u="1"/>
        <n v="1488.9291761098816" u="1"/>
        <n v="2675.9880149685177" u="1"/>
        <n v="44142.978941336012" u="1"/>
        <n v="3193.7459748699171" u="1"/>
        <n v="51220.144045903122" u="1"/>
        <n v="236.34560673504461" u="1"/>
        <n v="6490.8305269357015" u="1"/>
        <n v="18676.031717250342" u="1"/>
        <n v="220.73216199904778" u="1"/>
        <n v="290.84177961297036" u="1"/>
        <n v="12267.128080208489" u="1"/>
        <n v="345.05360552735999" u="1"/>
        <n v="361.39145840805548" u="1"/>
        <n v="2682.0625451701644" u="1"/>
        <n v="3080.1366487496298" u="1"/>
        <n v="23282.959651300655" u="1"/>
        <n v="21606.051716909453" u="1"/>
        <n v="38640.258377464859" u="1"/>
        <n v="2830.5801646311206" u="1"/>
        <n v="3850.4349678471658" u="1"/>
        <n v="6815.0711556713832" u="1"/>
        <n v="270.03225599999996" u="1"/>
        <n v="3639.4120565680514" u="1"/>
        <n v="6337.1237095414126" u="1"/>
        <n v="17719.941738700265" u="1"/>
        <n v="19760.402727221466" u="1"/>
        <n v="51815.471733650775" u="1"/>
        <n v="113.46202777668978" u="1"/>
        <n v="126.97305038848192" u="1"/>
        <n v="75770.616703525899" u="1"/>
        <n v="4122.7811276260109" u="1"/>
        <n v="14480.27950690368" u="1"/>
        <n v="25760.824722140293" u="1"/>
        <n v="1126.7409702824057" u="1"/>
        <n v="49331.962884031156" u="1"/>
        <n v="4186.5648168657326" u="1"/>
        <n v="2136.8681897943243" u="1"/>
        <n v="13078.102494696979" u="1"/>
        <n v="4130.5961432359463" u="1"/>
        <n v="4247.1715570482647" u="1"/>
        <n v="768.93782176435457" u="1"/>
        <n v="2056.4862186819664" u="1"/>
        <n v="2614.186666666667" u="1"/>
        <n v="9514.1102945215625" u="1"/>
        <n v="24511.964693773076" u="1"/>
        <n v="67.673796122807858" u="1"/>
        <n v="115.64049871000223" u="1"/>
        <n v="830.56978072684637" u="1"/>
        <n v="4830.3158155172414" u="1"/>
        <n v="20701.348327937209" u="1"/>
        <n v="837.1849476163643" u="1"/>
        <n v="11506.776989049569" u="1"/>
        <n v="3696.4175691332789" u="1"/>
        <n v="8241.9749001411328" u="1"/>
        <n v="2742.1070703935757" u="1"/>
        <n v="12348.531575332412" u="1"/>
        <n v="19641.293924884078" u="1"/>
        <n v="62602.825044821104" u="1"/>
        <n v="7579.1171514100006" u="1"/>
        <n v="623.73531437469057" u="1"/>
        <n v="8315.9609687953016" u="1"/>
        <n v="31508.825343319251" u="1"/>
        <n v="1579.4577293907805" u="1"/>
        <n v="2969.1857120981631" u="1"/>
        <n v="4790.5645950831004" u="1"/>
        <n v="560.039111326534" u="1"/>
        <n v="3954.8446650492451" u="1"/>
        <n v="7429.8325332942186" u="1"/>
        <n v="27510.547442137591" u="1"/>
        <n v="28894.705338917338" u="1"/>
        <n v="437.74607836239943" u="1"/>
        <n v="1291.6113521391062" u="1"/>
        <n v="22.473522314212243" u="1"/>
        <n v="22915.509396722147" u="1"/>
        <n v="29097.744000000006" u="1"/>
        <n v="6097.9960012652973" u="1"/>
        <n v="68.416456668255279" u="1"/>
        <n v="860.87266303453771" u="1"/>
        <n v="1369.7091630669515" u="1"/>
        <n v="4924.4768677644915" u="1"/>
        <n v="5444.6975242944973" u="1"/>
        <n v="14758.888435352303" u="1"/>
        <n v="3423.42" u="1"/>
        <n v="3891.7275513327168" u="1"/>
        <n v="159.49628522825245" u="1"/>
        <n v="202.91129040000004" u="1"/>
        <n v="1131.8697701267033" u="1"/>
        <n v="75850.73350404427" u="1"/>
        <n v="24097.173518287447" u="1"/>
        <n v="12060.030515252154" u="1"/>
        <n v="380.52642737906717" u="1"/>
        <n v="2240.0683575852581" u="1"/>
        <n v="3722.6180834434012" u="1"/>
        <n v="425.16743186320696" u="1"/>
        <n v="557.58482358255253" u="1"/>
        <n v="70.903682020513386" u="1"/>
        <n v="1111.1714586930484" u="1"/>
        <n v="4025.2005092206618" u="1"/>
        <n v="11824.646152773508" u="1"/>
        <n v="13899.398566739146" u="1"/>
        <n v="5229.581368710129" u="1"/>
        <n v="18966.532107201816" u="1"/>
        <n v="4513.8908062851897" u="1"/>
        <n v="23962.848000000002" u="1"/>
        <n v="694.10657973540026" u="1"/>
        <n v="6092.5707191999991" u="1"/>
        <n v="51715.276086599588" u="1"/>
        <n v="6395.470727785234" u="1"/>
        <n v="75346.791004124068" u="1"/>
        <n v="5095.0958949936758" u="1"/>
        <n v="15687.5344437939" u="1"/>
        <n v="309.81065774632242" u="1"/>
        <n v="1397.0896289701896" u="1"/>
        <n v="9989.8587872884673" u="1"/>
        <n v="18399.759832648582" u="1"/>
        <n v="57665.136237846193" u="1"/>
        <n v="3631.2305870552163" u="1"/>
        <n v="122489.87450896513" u="1"/>
        <n v="796.42539232775403" u="1"/>
        <n v="20764.669876577918" u="1"/>
        <n v="5011.6457270779019" u="1"/>
        <n v="14842.7552877337" u="1"/>
        <n v="238.43376648368564" u="1"/>
        <n v="240.42234451971308" u="1"/>
        <n v="12697.305038848192" u="1"/>
        <n v="14114.630201889502" u="1"/>
        <n v="24206.021195968155" u="1"/>
        <n v="475.94336748344119" u="1"/>
        <n v="8126.9342544000001" u="1"/>
        <n v="718.62366846956274" u="1"/>
        <n v="3186.8012614032241" u="1"/>
        <n v="11824.527935273465" u="1"/>
        <n v="1233.7869905360089" u="1"/>
        <n v="3080.0881044784192" u="1"/>
        <n v="1674.0151558481452" u="1"/>
        <n v="180.48209968857955" u="1"/>
        <n v="1378.0845755917235" u="1"/>
        <n v="725.45615999999995" u="1"/>
        <n v="5192.8450908174036" u="1"/>
        <n v="7636.7999096918593" u="1"/>
        <n v="1479.5265609266576" u="1"/>
        <n v="9948.8248427140315" u="1"/>
        <n v="113160.75284916285" u="1"/>
        <n v="4548.0883112138035" u="1"/>
        <n v="9715.8776716320572" u="1"/>
        <n v="41410.338434875834" u="1"/>
        <n v="4055.939535950286" u="1"/>
        <n v="8177.8936333754264" u="1"/>
        <n v="647.81896026569859" u="1"/>
        <n v="619.49900571856415" u="1"/>
        <n v="5234.6459851955997" u="1"/>
        <n v="6425.8216382978635" u="1"/>
        <n v="15766.323960459942" u="1"/>
        <n v="1062.3557719805538" u="1"/>
        <n v="815.15171510725099" u="1"/>
        <n v="4969.3499127855748" u="1"/>
        <n v="86522.044342160225" u="1"/>
        <n v="257.22236521240205" u="1"/>
        <n v="20276.256000000001" u="1"/>
        <n v="1515.7024673717988" u="1"/>
        <n v="4155.0159215612857" u="1"/>
        <n v="8781.1641721906053" u="1"/>
        <n v="10743.998388988355" u="1"/>
        <n v="1178.7564091309362" u="1"/>
        <n v="171.58621825666316" u="1"/>
        <n v="9076.9622221351801" u="1"/>
        <n v="24.100448094712156" u="1"/>
        <n v="217.38904345525748" u="1"/>
        <n v="469.92584713873856" u="1"/>
        <n v="15424.467696698004" u="1"/>
        <n v="47253.178497753368" u="1"/>
        <n v="678.2937224878433" u="1"/>
        <n v="3834.7064703529973" u="1"/>
        <n v="5594.1261007980074" u="1"/>
        <n v="43001.011062966791" u="1"/>
        <n v="164.46648745704863" u="1"/>
        <n v="495.87108435738492" u="1"/>
        <n v="2065.1979477555951" u="1"/>
        <n v="14576.327863336275" u="1"/>
        <n v="27071.439565634217" u="1"/>
        <n v="44976.338000000003" u="1"/>
        <n v="38.987338720433755" u="1"/>
        <n v="27650.142918257559" u="1"/>
        <n v="28737.771788416707" u="1"/>
        <n v="885.21605606495507" u="1"/>
        <n v="54120.24664932859" u="1"/>
        <n v="47.822693795265579" u="1"/>
        <n v="18432.96" u="1"/>
        <n v="5415.1853905087737" u="1"/>
        <n v="67.815726970925894" u="1"/>
        <n v="10868.533670631004" u="1"/>
        <n v="168.74505048575853" u="1"/>
        <n v="5799.9676945037972" u="1"/>
        <n v="2606.1060886988571" u="1"/>
        <n v="4268.9787786884881" u="1"/>
        <n v="5662.2780312028663" u="1"/>
        <n v="1485.2091187724866" u="1"/>
        <n v="2050.0425987082654" u="1"/>
        <n v="3908.3411696454632" u="1"/>
        <n v="11.718406255031663" u="1"/>
        <n v="155.57515978733562" u="1"/>
        <n v="1938.2220933241783" u="1"/>
        <n v="160.89584889498161" u="1"/>
        <n v="36027.461319672155" u="1"/>
        <n v="106.16179712361023" u="1"/>
        <n v="13047.824161781873" u="1"/>
        <n v="32649.208040938029" u="1"/>
        <n v="313.28651845507198" u="1"/>
        <n v="3644.2103271740566" u="1"/>
        <n v="6233.6349951614193" u="1"/>
        <n v="2996.8383282989907" u="1"/>
        <n v="3219.2599150925876" u="1"/>
        <n v="3064.9275164444443" u="1"/>
        <n v="697.93791452130358" u="1"/>
        <n v="3018.6907360556397" u="1"/>
        <n v="4889.3656548000008" u="1"/>
        <n v="5169.9144995237257" u="1"/>
        <n v="24419.549755938679" u="1"/>
        <n v="6112.6524714969619" u="1"/>
        <n v="762.36040780517283" u="1"/>
        <n v="65256.003743433699" u="1"/>
        <n v="599.36766565979804" u="1"/>
        <n v="1154.9865600000001" u="1"/>
        <n v="8117.0964925632361" u="1"/>
        <n v="10196.27413107507" u="1"/>
        <n v="164.61899442743379" u="1"/>
        <n v="1738.1872990949958" u="1"/>
        <n v="18149.960372518184" u="1"/>
        <n v="72403.556980525478" u="1"/>
        <n v="118.89445213690703" u="1"/>
        <n v="1420.878592018682" u="1"/>
        <n v="13248.559918116975" u="1"/>
        <n v="22480.951102697582" u="1"/>
        <n v="2118.8655480537554" u="1"/>
        <n v="11579.580361257274" u="1"/>
        <n v="58.006111104479501" u="1"/>
        <n v="845.90417154173406" u="1"/>
        <n v="1358.0611199999998" u="1"/>
        <n v="3726.036961555491" u="1"/>
        <n v="402.91511733906702" u="1"/>
        <n v="1542.1230526601098" u="1"/>
        <n v="2282.5918600543978" u="1"/>
        <n v="3592.9460211651995" u="1"/>
        <n v="6075.3222762088899" u="1"/>
        <n v="3715.2634268183492" u="1"/>
        <n v="41.422645061331195" u="1"/>
        <n v="80.537410459112039" u="1"/>
        <n v="12599.107264872484" u="1"/>
        <n v="28766.766305896988" u="1"/>
        <n v="82.685074535503432" u="1"/>
        <n v="1251.8240778081131" u="1"/>
        <n v="618.87833034385972" u="1"/>
        <n v="717.20107742622008" u="1"/>
        <n v="4186.2085295894867" u="1"/>
        <n v="7199.1106323469476" u="1"/>
        <n v="1099.5772087496784" u="1"/>
        <n v="2925.4913622346207" u="1"/>
        <n v="4804.1681876528091" u="1"/>
        <n v="3246.5748477054949" u="1"/>
        <n v="96.05251028714477" u="1"/>
        <n v="1205.7484748524425" u="1"/>
        <n v="1877.9016171373423" u="1"/>
        <n v="4102.9760277847299" u="1"/>
        <n v="9273.029408758819" u="1"/>
        <n v="2352.8226178332952" u="1"/>
        <n v="16916.632078815805" u="1"/>
        <n v="19466.618399999996" u="1"/>
        <n v="3044.7137978412243" u="1"/>
        <n v="7456.0761110396124" u="1"/>
        <n v="847.18314073261706" u="1"/>
        <n v="1079.6982671094975" u="1"/>
        <n v="10447.732552376492" u="1"/>
        <n v="2140.2660473457313" u="1"/>
        <n v="26680.037526472555" u="1"/>
        <n v="4182.8204728505643" u="1"/>
        <n v="9517.7231787153178" u="1"/>
        <n v="9945.896350840183" u="1"/>
        <n v="183.33446585997038" u="1"/>
        <n v="24.853587036798714" u="1"/>
        <n v="31192.208504234073" u="1"/>
        <n v="88.473792801257673" u="1"/>
        <n v="745.12996999146867" u="1"/>
        <n v="1266.2422332697508" u="1"/>
        <n v="6737.5038096834542" u="1"/>
        <n v="5079.3964691672772" u="1"/>
        <n v="8024.7137568987346" u="1"/>
        <n v="2143.4905601324808" u="1"/>
        <n v="21720.359055568006" u="1"/>
        <n v="26888.339401594014" u="1"/>
        <n v="78.215810400000009" u="1"/>
        <n v="5913.0439923736776" u="1"/>
        <n v="25703.661298058149" u="1"/>
        <n v="50245.306046604586" u="1"/>
        <n v="13728.414183370041" u="1"/>
        <n v="56505.697529874204" u="1"/>
        <n v="265.55199235399067" u="1"/>
        <n v="4059.3537356049965" u="1"/>
        <n v="3079.8691123199997" u="1"/>
        <n v="3263.0088813566522" u="1"/>
        <n v="8246.9327216205056" u="1"/>
        <n v="8816.6654072741803" u="1"/>
        <n v="12260.702719361172" u="1"/>
        <n v="3092.2051438923518" u="1"/>
        <n v="9989.4610943299667" u="1"/>
        <n v="939.85589152000011" u="1"/>
        <n v="2676.1269307741577" u="1"/>
        <n v="154.51251339933344" u="1"/>
        <n v="161.95576320000004" u="1"/>
        <n v="25578.461518450531" u="1"/>
        <n v="55372.453139829988" u="1"/>
        <n v="1624.5623066046442" u="1"/>
        <n v="20702.880415503638" u="1"/>
        <n v="372.46417734939769" u="1"/>
        <n v="7504.5042712911873" u="1"/>
        <n v="11725.089657717133" u="1"/>
        <n v="505.14052680521263" u="1"/>
        <n v="30196.61214516512" u="1"/>
        <n v="3514.35874064274" u="1"/>
        <n v="4607.0323200000003" u="1"/>
        <n v="4214.3531582074484" u="1"/>
        <n v="13628.106732799999" u="1"/>
        <n v="126.48089801033166" u="1"/>
        <n v="14413.543676481349" u="1"/>
        <n v="189.29816293959286" u="1"/>
        <n v="5642.3959663343157" u="1"/>
        <n v="7043.1826891706314" u="1"/>
        <n v="12506.837276971977" u="1"/>
        <n v="17447.405980315307" u="1"/>
        <n v="24482.520531840328" u="1"/>
        <n v="588.3216255087616" u="1"/>
        <n v="928.3174955157898" u="1"/>
        <n v="3182.9147445015551" u="1"/>
        <n v="26555.863242486092" u="1"/>
        <n v="369.42733469231655" u="1"/>
        <n v="1505.8050319873137" u="1"/>
        <n v="13206.542293901999" u="1"/>
        <n v="27110.914829826193" u="1"/>
        <n v="802.25676402234774" u="1"/>
        <n v="1237.8202954757849" u="1"/>
        <n v="2796.2446597880012" u="1"/>
        <n v="5412.2033027521293" u="1"/>
        <n v="1221.067537025328" u="1"/>
        <n v="2569.4221205671165" u="1"/>
        <n v="6791.5916530992399" u="1"/>
        <n v="881.85153446128447" u="1"/>
        <n v="6722.6084864513323" u="1"/>
        <n v="9140.3569013119213" u="1"/>
        <n v="21896.288513398344" u="1"/>
        <n v="759.19904316907764" u="1"/>
        <n v="337.87742351999998" u="1"/>
        <n v="1109.1445351414268" u="1"/>
        <n v="2291.039972907558" u="1"/>
        <n v="6790.9734833628772" u="1"/>
        <n v="9893.0208000000002" u="1"/>
        <n v="3821.5680000000002" u="1"/>
        <n v="30200.510109449766" u="1"/>
        <n v="4392.5065321013681" u="1"/>
        <n v="32774.770641343115" u="1"/>
        <n v="2394.0416571909068" u="1"/>
        <n v="2909.7120000000004" u="1"/>
        <n v="3840.5791252788285" u="1"/>
        <n v="5362.2021072597336" u="1"/>
        <n v="151.80240969175102" u="1"/>
        <n v="2183.5575173871575" u="1"/>
        <n v="10031.261206454559" u="1"/>
        <n v="1077.4995989475005" u="1"/>
        <n v="1352.1637902638095" u="1"/>
        <n v="31242.378124300918" u="1"/>
        <n v="3705.6914004153296" u="1"/>
        <n v="8494.0657550116121" u="1"/>
        <n v="1362.6649492778315" u="1"/>
        <n v="2021.2244875148028" u="1"/>
        <n v="4355.4036758030379" u="1"/>
        <n v="2751.1500908501339" u="1"/>
        <n v="3095.2723964618654" u="1"/>
        <n v="30515.901278481811" u="1"/>
        <n v="28271.425000000003" u="1"/>
        <n v="5031.9585668686195" u="1"/>
        <n v="20039.64169772061" u="1"/>
        <n v="5662.7527495498243" u="1"/>
        <n v="24715.595519999995" u="1"/>
        <n v="25552.71830378117" u="1"/>
        <n v="415.08191828305667" u="1"/>
        <n v="865.33706517688734" u="1"/>
        <n v="1160.3339182404031" u="1"/>
        <n v="442.97816869259725" u="1"/>
        <n v="21324.377677573295" u="1"/>
        <n v="17862.971326464482" u="1"/>
        <n v="41569.682965229724" u="1"/>
        <n v="2793.6518702399999" u="1"/>
        <n v="4110.6265199999998" u="1"/>
        <n v="4882.0609403647068" u="1"/>
        <n v="218.52282327633628" u="1"/>
        <n v="2133.7153862097866" u="1"/>
        <n v="8571.9721525824134" u="1"/>
        <n v="28330.906210353103" u="1"/>
        <n v="3044.5341629239947" u="1"/>
        <n v="2460.8230596879416" u="1"/>
        <n v="1858.1944722325852" u="1"/>
        <n v="7206.0559999999996" u="1"/>
        <n v="8618.7117043069284" u="1"/>
        <n v="3897.3112572460391" u="1"/>
        <n v="11047.372745664528" u="1"/>
        <n v="28.815753086143431" u="1"/>
        <n v="3235.8289731171189" u="1"/>
        <n v="3271.5485083930635" u="1"/>
        <n v="4139.615795533944" u="1"/>
        <n v="26275.794533647218" u="1"/>
        <n v="127.04858031578277" u="1"/>
        <n v="17592.320245760478" u="1"/>
        <n v="2029.1092798159339" u="1"/>
        <n v="19298.413753633999" u="1"/>
        <n v="92.04443113788281" u="1"/>
        <n v="329.1407356882018" u="1"/>
        <n v="666.04731846445065" u="1"/>
        <n v="546.82769825585365" u="1"/>
        <n v="7440.0528241371539" u="1"/>
        <n v="2051.3934622025513" u="1"/>
        <n v="4954.2984313825345" u="1"/>
        <n v="9738.047556336096" u="1"/>
        <n v="13811.18674026681" u="1"/>
        <n v="14229.794019529847" u="1"/>
        <n v="79.843649176189103" u="1"/>
        <n v="1481.0107394594174" u="1"/>
        <n v="7094.7167611640789" u="1"/>
        <n v="21221.361360290335" u="1"/>
        <n v="44660.039890475382" u="1"/>
        <n v="85790.064043391918" u="1"/>
        <n v="2385.2165682886662" u="1"/>
        <n v="9910.5741937385574" u="1"/>
        <n v="25511.588345924236" u="1"/>
        <n v="616.13319476916308" u="1"/>
        <n v="5174.6843263706196" u="1"/>
        <n v="8069.2213071757124" u="1"/>
        <n v="22.405885346249981" u="1"/>
        <n v="48.896731018049636" u="1"/>
        <n v="9101.6226256088521" u="1"/>
        <n v="15197.834441396264" u="1"/>
        <n v="550.25266384957604" u="1"/>
        <n v="5231.7200931254156" u="1"/>
        <n v="1258.5647027599937" u="1"/>
        <n v="7587.0020974315312" u="1"/>
        <n v="8417.9655961594581" u="1"/>
        <n v="20899.825582104117" u="1"/>
        <n v="242.03331005982821" u="1"/>
        <n v="8503.8155591891464" u="1"/>
        <n v="589.20051487817727" u="1"/>
        <n v="2619.4945853706599" u="1"/>
        <n v="30719.599284472955" u="1"/>
        <n v="5013.3453225945213" u="1"/>
        <n v="16146.339698351921" u="1"/>
        <n v="71990.516938762798" u="1"/>
        <n v="487.19183893474661" u="1"/>
        <n v="4555.1942590144654" u="1"/>
        <n v="5180.1044050845212" u="1"/>
        <n v="2357.7682987486196" u="1"/>
        <n v="425.03235802061573" u="1"/>
        <n v="1161.6650626946221" u="1"/>
        <n v="3250.9200981806316" u="1"/>
        <n v="4068.0113531869174" u="1"/>
        <n v="5407.8119313812258" u="1"/>
        <n v="4424.5218398844108" u="1"/>
        <n v="6148.8476921468773" u="1"/>
        <n v="10633.743496046469" u="1"/>
        <n v="28988.747659358512" u="1"/>
        <n v="733.75582603298085" u="1"/>
        <n v="4300.1068526300351" u="1"/>
        <n v="21189.765905770124" u="1"/>
        <n v="8597.1306287304051" u="1"/>
        <n v="17137.397920912437" u="1"/>
        <n v="128.92648193292007" u="1"/>
        <n v="730.14350828503268" u="1"/>
        <n v="2959.7721628972304" u="1"/>
        <n v="42114.676812078083" u="1"/>
        <n v="34079.14754056243" u="1"/>
        <n v="259.0902954738491" u="1"/>
        <n v="16793.497503268496" u="1"/>
        <n v="5233.3676733073116" u="1"/>
        <n v="45021.317290862527" u="1"/>
        <n v="445.22453310576634" u="1"/>
        <n v="2467.4667466707911" u="1"/>
        <n v="4896.9316273603545" u="1"/>
        <n v="6982.979977363595" u="1"/>
        <n v="12806.393838840579" u="1"/>
        <n v="328.97264399999995" u="1"/>
        <n v="720.83567046642975" u="1"/>
        <n v="55.361174246548956" u="1"/>
        <n v="1322.4043939582593" u="1"/>
        <n v="219353.3449171934" u="1"/>
        <n v="2766.3975278181952" u="1"/>
        <n v="117.06530700614096" u="1"/>
        <n v="418.59247380818215" u="1"/>
        <n v="12174.655678895604" u="1"/>
        <n v="376.67865206001659" u="1"/>
        <n v="2731.5119911889792" u="1"/>
        <n v="1551.4731642083739" u="1"/>
        <n v="5005.2666625018046" u="1"/>
        <n v="6863.9942673772766" u="1"/>
        <n v="1277.4908407494117" u="1"/>
        <n v="6921.5566255259728" u="1"/>
        <n v="8615.839312775699" u="1"/>
        <n v="54979.073362763025" u="1"/>
        <n v="29339.239267208373" u="1"/>
        <n v="362.78202994130328" u="1"/>
        <n v="1501.7809983395089" u="1"/>
        <n v="8793.837692730749" u="1"/>
        <n v="30177.859701938243" u="1"/>
        <n v="1372.3075112001138" u="1"/>
        <n v="2830.1959545890313" u="1"/>
        <n v="17318.294257828416" u="1"/>
        <n v="1578.8567368456238" u="1"/>
        <n v="2813.9101922366058" u="1"/>
        <n v="6857.2997701142867" u="1"/>
        <n v="594.65434628075843" u="1"/>
        <n v="2922.9252459275749" u="1"/>
        <n v="4914.7368037080159" u="1"/>
        <n v="7012.6016882196363" u="1"/>
        <n v="15209.565759366151" u="1"/>
        <n v="91.238598602828802" u="1"/>
        <n v="2609.5693348094328" u="1"/>
        <n v="4630.5306118916251" u="1"/>
        <n v="169.12856196413529" u="1"/>
        <n v="5560.2066711966818" u="1"/>
        <n v="9392.0333498031359" u="1"/>
        <n v="1344.5255781997821" u="1"/>
        <n v="3196.6275501855903" u="1"/>
        <n v="8355.1970378579663" u="1"/>
        <n v="41431.256678247802" u="1"/>
        <n v="52735.840210953364" u="1"/>
        <n v="152.42878516424608" u="1"/>
        <n v="34560.790596977524" u="1"/>
        <n v="2617.1916624" u="1"/>
        <n v="7695.7189537393842" u="1"/>
        <n v="16801.988488688119" u="1"/>
        <n v="40297.329870498361" u="1"/>
        <n v="1247.1580214878632" u="1"/>
        <n v="29179.891354392341" u="1"/>
        <n v="3761.5973108895437" u="1"/>
        <n v="16640.435209606596" u="1"/>
        <n v="22103.764800000004" u="1"/>
        <n v="2349.1674502189003" u="1"/>
        <n v="7684.1618016392786" u="1"/>
        <n v="4920.3955626151692" u="1"/>
        <n v="6707.5299033285883" u="1"/>
        <n v="143.52227825401917" u="1"/>
        <n v="3669.5818560773782" u="1"/>
        <n v="6003.4523861523066" u="1"/>
        <n v="20783.352876007048" u="1"/>
        <n v="23628.528000000002" u="1"/>
        <n v="12684.613040488774" u="1"/>
        <n v="15068.640048221137" u="1"/>
        <n v="28531.011599999998" u="1"/>
        <n v="44375.184000000008" u="1"/>
        <n v="5128.781682432671" u="1"/>
        <n v="10156.366504248648" u="1"/>
        <n v="44235.996172927837" u="1"/>
        <n v="24022.572794135587" u="1"/>
        <n v="26334.624720695982" u="1"/>
        <n v="644.98378925789689" u="1"/>
        <n v="7329.1726725704293" u="1"/>
        <n v="2023.5242629450561" u="1"/>
        <n v="484.61102867487966" u="1"/>
        <n v="1912.55256022343" u="1"/>
        <n v="740.21066124449612" u="1"/>
        <n v="777.11021676758264" u="1"/>
        <n v="12382.182948735241" u="1"/>
        <n v="26.632741553939166" u="1"/>
        <n v="1520.7216955308847" u="1"/>
        <n v="8305.3938208543732" u="1"/>
        <n v="37769.614455091316" u="1"/>
        <n v="60354.642023813532" u="1"/>
        <n v="37207.439065853883" u="1"/>
        <n v="8354.753293457683" u="1"/>
        <n v="51030.388828595474" u="1"/>
        <n v="4133.2866688079648" u="1"/>
        <n v="82677.217635839042" u="1"/>
        <n v="2116.1568672636586" u="1"/>
        <n v="13477.464000000004" u="1"/>
        <n v="11971.744750914011" u="1"/>
        <n v="44189.617718609181" u="1"/>
        <n v="4992.6316602394108" u="1"/>
        <n v="1343.0669593243206" u="1"/>
        <n v="5261.8120438873011" u="1"/>
        <n v="4453.6929515315178" u="1"/>
        <n v="7994.0784656025298" u="1"/>
        <n v="55532.247788268833" u="1"/>
        <n v="141.31424355007437" u="1"/>
        <n v="2759.5117853002362" u="1"/>
        <n v="49859.339835810453" u="1"/>
        <n v="2600.8738538639486" u="1"/>
        <n v="17582.923862884247" u="1"/>
        <n v="7299.9079544123424" u="1"/>
        <n v="7309.8661805368993" u="1"/>
        <n v="8163.6629368215799" u="1"/>
        <n v="25184.444336189539" u="1"/>
        <n v="36643.160985887036" u="1"/>
        <n v="418.72550107740085" u="1"/>
        <n v="3033.4679116473635" u="1"/>
        <n v="8658.5479032804942" u="1"/>
        <n v="17346.445509157224" u="1"/>
        <n v="19085.148645030604" u="1"/>
        <n v="57687.739200000011" u="1"/>
        <n v="19572.183873686088" u="1"/>
        <n v="971.21674981448302" u="1"/>
        <n v="32491.883858577159" u="1"/>
        <n v="21.011486625312919" u="1"/>
        <n v="5126.8027365763519" u="1"/>
        <n v="360.19691357679289" u="1"/>
        <n v="1462.7059503062369" u="1"/>
        <n v="112772.13825267728" u="1"/>
        <n v="1266.644862471253" u="1"/>
        <n v="1517.3808029312584" u="1"/>
        <n v="3702.749230545769" u="1"/>
        <n v="3359.0787854039827" u="1"/>
        <n v="1421.839795832559" u="1"/>
        <n v="26185.271110118334" u="1"/>
        <n v="72.363559937577691" u="1"/>
        <n v="2287.796159715429" u="1"/>
        <n v="693.37906033360059" u="1"/>
        <n v="8905.1349755437222" u="1"/>
        <n v="50033.478508592321" u="1"/>
        <n v="5580.2786442057495" u="1"/>
        <n v="8974.3308653036038" u="1"/>
        <n v="20943.044663792505" u="1"/>
        <n v="181.02123779792535" u="1"/>
        <n v="25119.102432895073" u="1"/>
        <n v="72.968385309482528" u="1"/>
        <n v="1648.6512898504461" u="1"/>
        <n v="3026.1043201870316" u="1"/>
        <n v="13051.571437585284" u="1"/>
        <n v="5102.363206569612" u="1"/>
        <n v="3625.8114699698604" u="1"/>
        <n v="12.050224047356078" u="1"/>
        <n v="86038.080141360959" u="1"/>
        <n v="3781.4933018441379" u="1"/>
        <n v="4875.2353907700599" u="1"/>
        <n v="3334.695658229808" u="1"/>
        <n v="277.76273955097736" u="1"/>
        <n v="8624.7436897040971" u="1"/>
        <n v="2146.1732767283911" u="1"/>
        <n v="2948.6576702988082" u="1"/>
        <n v="9026.1144245019241" u="1"/>
        <n v="10999.395610966727" u="1"/>
        <n v="12178.831874995045" u="1"/>
        <n v="1055.5941203996913" u="1"/>
        <n v="3589.962571982036" u="1"/>
        <n v="6895.9319292473619" u="1"/>
        <n v="27895.046183131773" u="1"/>
        <n v="95828.233133153291" u="1"/>
        <n v="3348.0963254355102" u="1"/>
        <n v="4140.0984448459076" u="1"/>
        <n v="8158.0598937028071" u="1"/>
        <n v="24573.375338699814" u="1"/>
        <n v="4917.7915039641512" u="1"/>
        <n v="337896.52528634603" u="1"/>
        <n v="84.372525242879263" u="1"/>
        <n v="346.8171679445328" u="1"/>
        <n v="126.44003203312758" u="1"/>
        <n v="3567.7045944728675" u="1"/>
        <n v="4388.9985320481019" u="1"/>
        <n v="8091.7423440862458" u="1"/>
        <n v="2384.5375929318657" u="1"/>
        <n v="24702.697335687626" u="1"/>
        <n v="72339.449015136866" u="1"/>
        <n v="13517.207844425517" u="1"/>
        <n v="8402.4919939345091" u="1"/>
        <n v="603.80287468507788" u="1"/>
        <n v="45730.266632048908" u="1"/>
        <n v="1409.6745178219749" u="1"/>
        <n v="72.772200866185159" u="1"/>
        <n v="745.00655706885811" u="1"/>
        <n v="2838.0569724194747" u="1"/>
        <n v="4322.4985542897975" u="1"/>
        <n v="6808.1972774400028" u="1"/>
        <n v="1082.6731618051656" u="1"/>
        <n v="3014.8961928929002" u="1"/>
        <n v="3273.279024428457" u="1"/>
        <n v="6551.4896128597693" u="1"/>
        <n v="11770.274610586723" u="1"/>
        <n v="316.97328472393167" u="1"/>
        <n v="21257.846305994717" u="1"/>
        <n v="1107.6491469963571" u="1"/>
        <n v="337.71709051797427" u="1"/>
        <n v="2255.1138463820125" u="1"/>
        <n v="16282.821583757848" u="1"/>
        <n v="9643.3227745928671" u="1"/>
        <n v="824.83292224517697" u="1"/>
        <n v="3016.9718804761806" u="1"/>
        <n v="8822.2503910092983" u="1"/>
        <n v="30053.539137898755" u="1"/>
        <n v="302.48260506013651" u="1"/>
        <n v="771.0615263300549" u="1"/>
        <n v="1107.6042021545038" u="1"/>
        <n v="8312.2154410448529" u="1"/>
        <n v="90620.21718750002" u="1"/>
        <n v="250.94934744564915" u="1"/>
        <n v="18861.022139732653" u="1"/>
        <n v="1770.5479286867255" u="1"/>
        <n v="8380.6688635438204" u="1"/>
        <n v="1478.8593801885695" u="1"/>
        <n v="9217.9612173815331" u="1"/>
        <n v="15448.603090720175" u="1"/>
        <n v="5165.2985831325313" u="1"/>
        <n v="661.86182869735705" u="1"/>
        <n v="1215.846125544057" u="1"/>
        <n v="10361.7361210532" u="1"/>
        <n v="180.04842943928855" u="1"/>
        <n v="97302.513642894104" u="1"/>
        <n v="2205.2731856516925" u="1"/>
        <n v="13438.662315002097" u="1"/>
        <n v="738.25959587519355" u="1"/>
        <n v="722.69908740047731" u="1"/>
        <n v="2754.1987200000003" u="1"/>
        <n v="28940.832056805142" u="1"/>
        <n v="2946.7214228961261" u="1"/>
        <n v="608.91431427126918" u="1"/>
        <n v="1375.5959457398567" u="1"/>
        <n v="609.43488562741913" u="1"/>
        <n v="14354.598433785352" u="1"/>
        <n v="1234.8437182312148" u="1"/>
        <n v="5029.5319587516815" u="1"/>
        <n v="33818.488079762908" u="1"/>
        <n v="175.50576465252067" u="1"/>
        <n v="2974.0929571592715" u="1"/>
        <n v="67370.760344623224" u="1"/>
        <n v="38054.799917200246" u="1"/>
        <n v="39221.441796648098" u="1"/>
        <n v="183.74461052893707" u="1"/>
        <n v="4466.3751135925104" u="1"/>
        <n v="9497.735311685572" u="1"/>
        <n v="7911.9458758350665" u="1"/>
        <n v="7613.8423591862484" u="1"/>
        <n v="13568.749016241767" u="1"/>
        <n v="20603.263456592562" u="1"/>
        <n v="29500.239006231757" u="1"/>
        <n v="168420.20307712298" u="1"/>
        <n v="6497.7781616215188" u="1"/>
        <n v="15265.945672360669" u="1"/>
        <n v="35481.590693616519" u="1"/>
        <n v="692.77752978965316" u="1"/>
        <n v="1400.0854030729943" u="1"/>
        <n v="7222.9379364707811" u="1"/>
        <n v="1999.3177421687587" u="1"/>
        <n v="4272.2622564026751" u="1"/>
        <n v="9048.7989857689245" u="1"/>
        <n v="27298.297767561351" u="1"/>
        <n v="2701.735471095134" u="1"/>
        <n v="3433.8772427654267" u="1"/>
        <n v="8363.3878408033379" u="1"/>
        <n v="60.513081629114225" u="1"/>
        <n v="739.61360928427428" u="1"/>
        <n v="1568.2442446751675" u="1"/>
        <n v="4994.7305471649834" u="1"/>
        <n v="18172.163321406839" u="1"/>
        <n v="631.37874238110737" u="1"/>
        <n v="62326.634369674197" u="1"/>
        <n v="2381.08169719939" u="1"/>
        <n v="6220.2557968739193" u="1"/>
        <n v="41.955736596185872" u="1"/>
        <n v="4971.4450900686425" u="1"/>
        <n v="16531.244577690144" u="1"/>
        <n v="36999.317902649702" u="1"/>
        <n v="34214.798403146277" u="1"/>
        <n v="76.328049648471449" u="1"/>
        <n v="4889.7758334653463" u="1"/>
        <n v="789.78212060562601" u="1"/>
        <n v="5263.2078119806793" u="1"/>
        <n v="3019.8482334232599" u="1"/>
        <n v="42850.538498755479" u="1"/>
        <n v="67.597560506688538" u="1"/>
        <n v="39442.062406756129" u="1"/>
        <n v="6803.9695733843137" u="1"/>
        <n v="13114.835145800756" u="1"/>
        <n v="17180.954412966468" u="1"/>
        <n v="21666.496223162776" u="1"/>
        <n v="856.52508427669727" u="1"/>
        <n v="1071.3760062207612" u="1"/>
        <n v="3524.6016885688477" u="1"/>
        <n v="1828.0713802623841" u="1"/>
        <n v="2145.8628228068524" u="1"/>
        <n v="30367.681186557755" u="1"/>
        <n v="90.649818544884582" u="1"/>
        <n v="1588.5338831123318" u="1"/>
        <n v="9142.854266585502" u="1"/>
        <n v="2352.5180877147072" u="1"/>
        <n v="6688.0799457361682" u="1"/>
        <n v="8909.9774400000024" u="1"/>
        <n v="22834.345575795298" u="1"/>
        <n v="30648.404966012691" u="1"/>
        <n v="8298.9297807567891" u="1"/>
        <n v="2219.2306759541871" u="1"/>
        <n v="18619.486568571425" u="1"/>
        <n v="930.67314922652713" u="1"/>
        <n v="16262.890647992199" u="1"/>
        <n v="215.68255927223527" u="1"/>
        <n v="2949.7792612314306" u="1"/>
        <n v="5821.5296008304467" u="1"/>
        <n v="8899.1740573217103" u="1"/>
        <n v="78084.107043424912" u="1"/>
        <n v="20498.247935102176" u="1"/>
        <n v="1565.8480227010346" u="1"/>
        <n v="2127.4910634775415" u="1"/>
        <n v="6600.0407709589335" u="1"/>
        <n v="2137.8335925637334" u="1"/>
        <n v="7083.9615711864535" u="1"/>
        <n v="18297.233136535779" u="1"/>
        <n v="32179.024034833696" u="1"/>
        <n v="243.73140634855019" u="1"/>
        <n v="257.16429710376809" u="1"/>
        <n v="808.45828783326044" u="1"/>
        <n v="2217.4682579202081" u="1"/>
        <n v="10254.333168800837" u="1"/>
        <n v="217.55066533888339" u="1"/>
        <n v="2717.2981143245288" u="1"/>
        <n v="971.33996125896795" u="1"/>
        <n v="21212.649197497889" u="1"/>
        <n v="26744.37427311988" u="1"/>
        <n v="267.04826278064922" u="1"/>
        <n v="9301.1744826959821" u="1"/>
        <n v="29981.189474380222" u="1"/>
        <n v="115.28047671970648" u="1"/>
        <n v="131.20622823176654" u="1"/>
        <n v="1417.1731671068301" u="1"/>
        <n v="27198.93169716288" u="1"/>
        <n v="188.72135259826518" u="1"/>
        <n v="808.67809067125791" u="1"/>
        <n v="65195.005325128586" u="1"/>
        <n v="27963.969248469224" u="1"/>
        <n v="1857.7062000000001" u="1"/>
        <n v="3145.1193837146975" u="1"/>
        <n v="82292.803272079691" u="1"/>
        <n v="15323.677195840713" u="1"/>
        <n v="15585.576409875721" u="1"/>
        <n v="6500.51955848547" u="1"/>
        <n v="11131.821658672892" u="1"/>
        <n v="647.57145600000035" u="1"/>
        <n v="2610.8818705323902" u="1"/>
        <n v="2291.14141725436" u="1"/>
        <n v="2423.537861813882" u="1"/>
        <n v="139112.80950421962" u="1"/>
        <n v="13645.410966002128" u="1"/>
        <n v="30137.983979923087" u="1"/>
        <n v="8939.4324914967692" u="1"/>
        <n v="7966.9725895265174" u="1"/>
        <n v="12893.263129467239" u="1"/>
        <n v="14355.474410861487" u="1"/>
        <n v="1687.0992728441086" u="1"/>
        <n v="1014.5546399079669" u="1"/>
        <n v="3214.9255534401077" u="1"/>
        <n v="833.0874416698897" u="1"/>
        <n v="679.51288021811911" u="1"/>
        <n v="1320.4317088629462" u="1"/>
        <n v="24346.582866170855" u="1"/>
        <n v="31031.418898723517" u="1"/>
        <n v="735.06434727947408" u="1"/>
        <n v="4616.5053678226213" u="1"/>
        <n v="7107.0765483845516" u="1"/>
        <n v="2054.473145813633" u="1"/>
        <n v="22205.741184000006" u="1"/>
        <n v="4003.2916690998472" u="1"/>
        <n v="5682.065711421581" u="1"/>
        <n v="1800.7624311728443" u="1"/>
        <n v="5709.6845193736081" u="1"/>
        <n v="6980.0351174583593" u="1"/>
        <n v="31683.962204208132" u="1"/>
        <n v="3501.7656201962154" u="1"/>
        <n v="41476.575648258724" u="1"/>
        <n v="2132.7499436394473" u="1"/>
        <n v="114184.69585392677" u="1"/>
        <n v="515.08158641481396" u="1"/>
        <n v="2289.8079055571188" u="1"/>
        <n v="754.68614694287885" u="1"/>
        <n v="4208.982798079729" u="1"/>
        <n v="59542.81602018587" u="1"/>
        <n v="83558.846399342438" u="1"/>
        <n v="45.024614307376666" u="1"/>
        <n v="2912.7548539458348" u="1"/>
        <n v="3478.1014193767987" u="1"/>
        <n v="5919.8908499245281" u="1"/>
        <n v="609.87497378090302" u="1"/>
        <n v="13356.841324050129" u="1"/>
        <n v="571.85822664618172" u="1"/>
        <n v="4800.1363199999996" u="1"/>
        <n v="133.94540056441997" u="1"/>
        <n v="2313.0264181884563" u="1"/>
        <n v="4053.4344000000001" u="1"/>
        <n v="5391.715573154077" u="1"/>
        <n v="17328.178347273893" u="1"/>
        <n v="18717.146588315991" u="1"/>
        <n v="1927.2499633999716" u="1"/>
        <n v="24175.354258379288" u="1"/>
        <n v="23.159024341012465" u="1"/>
        <n v="4903.0521438129854" u="1"/>
        <n v="38949.914811413968" u="1"/>
        <n v="13444.850072744875" u="1"/>
        <n v="25.833600000000004" u="1"/>
        <n v="186.61561961137926" u="1"/>
        <n v="2329.2442733469152" u="1"/>
        <n v="3761.1686674665057" u="1"/>
        <n v="16147.963858984391" u="1"/>
        <n v="30246.990138794943" u="1"/>
        <n v="14491.255458251529" u="1"/>
        <n v="4350.9590283771759" u="1"/>
        <n v="12875.140471815303" u="1"/>
        <n v="614.47672405995127" u="1"/>
        <n v="12502.55821677222" u="1"/>
        <n v="825.88274616620606" u="1"/>
        <n v="13177.578960135983" u="1"/>
        <n v="2711.5099797689854" u="1"/>
        <n v="11591.937116486924" u="1"/>
        <n v="384.14639271669159" u="1"/>
        <n v="4269.4765107902322" u="1"/>
        <n v="7573.8292050227556" u="1"/>
        <n v="13096.539657316116" u="1"/>
        <n v="263.00207698094243" u="1"/>
        <n v="2321.4949459923068" u="1"/>
        <n v="7553.4893864865153" u="1"/>
        <n v="11319.428399999997" u="1"/>
        <n v="105418.83069651999" u="1"/>
        <n v="1028.5123885737207" u="1"/>
        <n v="2762.2162555419191" u="1"/>
        <n v="4457.4889173348001" u="1"/>
        <n v="126739.22369573681" u="1"/>
        <n v="326.37335917377834" u="1"/>
        <n v="1148.5435285484348" u="1"/>
        <n v="2448.4658136801772" u="1"/>
        <n v="285.32311963941186" u="1"/>
        <n v="321.56284831762036" u="1"/>
        <n v="23909.792400000009" u="1"/>
        <n v="3278.7881399871867" u="1"/>
        <n v="2085.3000034413803" u="1"/>
        <n v="14334.876670363505" u="1"/>
        <n v="655.27022678383673" u="1"/>
        <n v="661.20219697912967" u="1"/>
        <n v="1167.7292898547507" u="1"/>
        <n v="66.182608799999997" u="1"/>
        <n v="9577.9876628900547" u="1"/>
        <n v="29069.691910215075" u="1"/>
        <n v="12454.571069543008" u="1"/>
        <n v="12792.939684332059" u="1"/>
        <n v="10381.17706054148" u="1"/>
        <n v="16615.244273775861" u="1"/>
        <n v="1309.1656988043187" u="1"/>
        <n v="2701.3537845471419" u="1"/>
        <n v="3092.1050016462755" u="1"/>
        <n v="1286.7461696986602" u="1"/>
        <n v="165.98023859665943" u="1"/>
        <n v="799.83798716646538" u="1"/>
        <n v="13876.187310106052" u="1"/>
        <n v="4214.0687936719714" u="1"/>
        <n v="25363.865997699169" u="1"/>
        <n v="31599.359999999993" u="1"/>
        <n v="343.9032651377056" u="1"/>
        <n v="5752.0771037718814" u="1"/>
        <n v="17316.515925567823" u="1"/>
        <n v="3068.9902727265608" u="1"/>
        <n v="4055.7873805472705" u="1"/>
        <n v="7725.5491966446571" u="1"/>
        <n v="19259.657661242269" u="1"/>
        <n v="4940.6990617919546" u="1"/>
        <n v="756.77262391904321" u="1"/>
        <n v="7.3506366688872102" u="1"/>
        <n v="2461.0399605122011" u="1"/>
        <n v="4486.9264870242587" u="1"/>
        <n v="14448.713927522609" u="1"/>
        <n v="9745.0400477632102" u="1"/>
        <n v="2495.0393871723682" u="1"/>
        <n v="23732.130377090798" u="1"/>
        <n v="210.66933570611255" u="1"/>
        <n v="909.40939268580837" u="1"/>
        <n v="12137.19522961091" u="1"/>
        <n v="3267.7007169230778" u="1"/>
        <n v="7368.2376641381288" u="1"/>
        <n v="30507.75" u="1"/>
        <n v="1357.2045062645761" u="1"/>
        <n v="2651.0492839251961" u="1"/>
        <n v="6134.6879999999992" u="1"/>
        <n v="24628.626054424327" u="1"/>
        <n v="33250.321664558622" u="1"/>
        <n v="63449.856966521176" u="1"/>
        <n v="3715.3273760365091" u="1"/>
        <n v="8324.4676664325198" u="1"/>
        <n v="3976.626188193231" u="1"/>
        <n v="1806.427547891336" u="1"/>
        <n v="31924.753698972243" u="1"/>
        <n v="35554.032047077446" u="1"/>
        <n v="89.255206170496677" u="1"/>
        <n v="1050.5743312656459" u="1"/>
        <n v="891.57990399530615" u="1"/>
        <n v="6288.5583609024452" u="1"/>
        <n v="5374.7142787916109" u="1"/>
        <n v="11719.079636518472" u="1"/>
        <n v="16866.760773603692" u="1"/>
        <n v="597.16998421904555" u="1"/>
        <n v="1625.0283756017011" u="1"/>
        <n v="2794.3945643034085" u="1"/>
        <n v="8006.6911229787775" u="1"/>
        <n v="14406.675886693127" u="1"/>
        <n v="232.71024964077412" u="1"/>
        <n v="3143.312161826083" u="1"/>
        <n v="21586.952669675135" u="1"/>
        <n v="24610.399605122006" u="1"/>
        <n v="7925.3508374349167" u="1"/>
        <n v="10572.120509040975" u="1"/>
        <n v="40250.269143192563" u="1"/>
        <n v="1323.6035949987208" u="1"/>
        <n v="116963.71096657272" u="1"/>
        <n v="285.89628144" u="1"/>
        <n v="1153.5681362415103" u="1"/>
        <n v="245.46510132213928" u="1"/>
        <n v="454.90674273821446" u="1"/>
        <n v="6791.4481121375547" u="1"/>
        <n v="477.58740716129205" u="1"/>
        <n v="197.38190535818958" u="1"/>
        <n v="609.80285529837533" u="1"/>
        <n v="1889.6974657287928" u="1"/>
        <n v="31723.030095444003" u="1"/>
        <n v="251.07886057783929" u="1"/>
        <n v="7032.1466286697851" u="1"/>
        <n v="9675.7742588161818" u="1"/>
        <n v="23053.803125293336" u="1"/>
        <n v="24621.168000000005" u="1"/>
        <n v="27.942548515608305" u="1"/>
        <n v="6587.3836276376587" u="1"/>
        <n v="9148.0047537898445" u="1"/>
        <n v="671.53347966216029" u="1"/>
        <n v="4039.2297696898027" u="1"/>
        <n v="12965.789966165472" u="1"/>
        <n v="1908.4032965626207" u="1"/>
        <n v="3977.087782974007" u="1"/>
        <n v="178.44053268424716" u="1"/>
        <n v="1846.4785340970416" u="1"/>
        <n v="2220.7680000000009" u="1"/>
        <n v="3864.1924888518352" u="1"/>
        <n v="7866.7006117848487" u="1"/>
        <n v="13582.590973371811" u="1"/>
        <n v="19200.422848842449" u="1"/>
        <n v="26380.224000000002" u="1"/>
        <n v="2587.2550550297778" u="1"/>
        <n v="2615.4461839473606" u="1"/>
        <n v="3662.7102296533153" u="1"/>
        <n v="26318.815753412717" u="1"/>
        <n v="98.076668736874183" u="1"/>
        <n v="1179.0310105486492" u="1"/>
        <n v="53817.523081989799" u="1"/>
        <n v="2945.6228223097169" u="1"/>
        <n v="1954.9604723356147" u="1"/>
        <n v="5107.9680743065874" u="1"/>
        <n v="7703.7252066227848" u="1"/>
        <n v="152.02176000000003" u="1"/>
        <n v="86.514796179725963" u="1"/>
        <n v="1158.7878198638628" u="1"/>
        <n v="2831.7880907821736" u="1"/>
        <n v="12907.05606983508" u="1"/>
        <n v="23741.607228859222" u="1"/>
        <n v="103250.44527678769" u="1"/>
        <n v="195.21373005332353" u="1"/>
        <n v="255.66936522788689" u="1"/>
        <n v="1048.8934149046468" u="1"/>
        <n v="4357.3992000000007" u="1"/>
        <n v="9183.4204210367643" u="1"/>
        <n v="36010.086194849086" u="1"/>
        <n v="798.35244777077241" u="1"/>
        <n v="5201.5102445774664" u="1"/>
        <n v="2563.3573538416063" u="1"/>
        <n v="171.6941688" u="1"/>
        <n v="1240.9504066547672" u="1"/>
        <n v="1344.2093558710499" u="1"/>
        <n v="3928.3786894761242" u="1"/>
        <n v="14311.649426909902" u="1"/>
        <n v="23787.257824690481" u="1"/>
        <n v="1164.386550486091" u="1"/>
        <n v="5342.4809192006987" u="1"/>
        <n v="379.69727352646055" u="1"/>
        <n v="34379.636828138769" u="1"/>
        <n v="1048.4103294754755" u="1"/>
        <n v="3516.311003388234" u="1"/>
        <n v="16122.990206248567" u="1"/>
        <n v="1094.3355275007298" u="1"/>
        <n v="2970.4989216536142" u="1"/>
        <n v="8665.0698475218469" u="1"/>
        <n v="1317.8296690221048" u="1"/>
        <n v="1259.0010534784308" u="1"/>
        <n v="6087.7439999999997" u="1"/>
        <n v="22686.588635406661" u="1"/>
        <n v="120.72359755439791" u="1"/>
        <n v="5141.093699204559" u="1"/>
        <n v="74960.742761687943" u="1"/>
        <n v="34741.179917040834" u="1"/>
        <n v="33722.940397950355" u="1"/>
        <n v="320.21183357816199" u="1"/>
        <n v="25751.140176997462" u="1"/>
        <n v="955.90901367334982" u="1"/>
        <n v="1073.0866383641956" u="1"/>
        <n v="3282.3808222277848" u="1"/>
        <n v="410.04234605586657" u="1"/>
        <n v="435.06988764589045" u="1"/>
        <n v="1297.9740200433132" u="1"/>
        <n v="7997.9923675158971" u="1"/>
        <n v="11047.192569302519" u="1"/>
        <n v="30834.876281735567" u="1"/>
        <n v="2213.0138227447319" u="1"/>
        <n v="12734.42315587148" u="1"/>
        <n v="38716.147377657529" u="1"/>
        <n v="8475.7608282015553" u="1"/>
        <n v="9566.0629385799657" u="1"/>
        <n v="57001.3457683046" u="1"/>
        <n v="368.99532442286545" u="1"/>
        <n v="2243.6382071995567" u="1"/>
        <n v="197.60345095715152" u="1"/>
        <n v="5238.1275959991535" u="1"/>
        <n v="51.372034224558831" u="1"/>
        <n v="1336.3244402104513" u="1"/>
        <n v="25284.45960679547" u="1"/>
        <n v="5049.1239072342869" u="1"/>
        <n v="63.22001601656379" u="1"/>
        <n v="516.53237953894268" u="1"/>
        <n v="2770.1068322170267" u="1"/>
        <n v="624.21899814308654" u="1"/>
        <n v="1010.7902412882479" u="1"/>
        <n v="4721.5812088024613" u="1"/>
        <n v="2101.3863652066084" u="1"/>
        <n v="227.63004150399007" u="1"/>
        <n v="1049.8020620688096" u="1"/>
        <n v="12691.178084048875" u="1"/>
        <n v="5498.4959349781384" u="1"/>
        <n v="15634.026884780829" u="1"/>
        <n v="36.432000000000009" u="1"/>
        <n v="11866.167060670989" u="1"/>
        <n v="177.77887642085471" u="1"/>
        <n v="4062.150997891069" u="1"/>
        <n v="28629.242032787581" u="1"/>
        <n v="10124.159707336046" u="1"/>
        <n v="19800.436014372117" u="1"/>
        <n v="1590.6369600000003" u="1"/>
        <n v="2827.7979094173284" u="1"/>
        <n v="749.20958207474769" u="1"/>
        <n v="804.81497877314689" u="1"/>
        <n v="3467.9489942172168" u="1"/>
        <n v="4406.4016435099193" u="1"/>
        <n v="3073.5971837344168" u="1"/>
        <n v="28549.52420997429" u="1"/>
        <n v="55824.905260651678" u="1"/>
        <n v="71226.53458935715" u="1"/>
        <n v="9914.2949778284546" u="1"/>
        <n v="149.34244336023301" u="1"/>
        <n v="2927.2152663750162" u="1"/>
        <n v="187.21234583153813" u="1"/>
        <n v="349.2818564451037" u="1"/>
        <n v="1529.1484596689788" u="1"/>
        <n v="8466.871073749644" u="1"/>
        <n v="3245.6354621043311" u="1"/>
        <n v="71.669591762152038" u="1"/>
        <n v="9369.9974195346367" u="1"/>
        <n v="34796.596785871472" u="1"/>
        <n v="739.42969009428475" u="1"/>
        <n v="2859.3044145656963" u="1"/>
        <n v="9893.1757292366019" u="1"/>
        <n v="45821.545365926344" u="1"/>
        <n v="669.05883754577826" u="1"/>
        <n v="2522.0595008331607" u="1"/>
        <n v="3874.9097534220846" u="1"/>
        <n v="9838.4972905113682" u="1"/>
        <n v="103821.57568596667" u="1"/>
        <n v="801.79466412627107" u="1"/>
        <n v="1065.6589440140117" u="1"/>
        <n v="3531.6106719825957" u="1"/>
        <n v="3046.7856337706398" u="1"/>
        <n v="1461.3185042992093" u="1"/>
        <n v="1469.7720931725253" u="1"/>
        <n v="2220.4197926453166" u="1"/>
        <n v="3952.5357846414545" u="1"/>
        <n v="4030.7056377393687" u="1"/>
        <n v="5761.2297600000002" u="1"/>
        <n v="10250.402583642976" u="1"/>
        <n v="18168.55744388442" u="1"/>
        <n v="155.8237320988477" u="1"/>
        <n v="1743.721444918745" u="1"/>
        <n v="2476.9096402749838" u="1"/>
        <n v="319.16677478240695" u="1"/>
        <n v="14276.044472702612" u="1"/>
        <n v="22778.99834870288" u="1"/>
        <n v="38323.205289156787" u="1"/>
        <n v="2318.2573521897048" u="1"/>
        <n v="5244.4670745232324" u="1"/>
        <n v="10930.204158240867" u="1"/>
        <n v="9008.588501791668" u="1"/>
        <n v="70610.137543981007" u="1"/>
        <n v="1829.5786557894928" u="1"/>
        <n v="20419.502907613038" u="1"/>
        <n v="21413.28024" u="1"/>
        <n v="1811.0477615698974" u="1"/>
        <n v="3804.5798996548756" u="1"/>
        <n v="57375.015953410737" u="1"/>
        <n v="21001.281046094919" u="1"/>
        <n v="3322.4039466914719" u="1"/>
        <n v="1473.3006118355238" u="1"/>
        <n v="2717.575202522723" u="1"/>
        <n v="2779.2778843380602" u="1"/>
        <n v="12437.910361868773" u="1"/>
        <n v="8187.1105025244597" u="1"/>
        <n v="73.919174001909951" u="1"/>
        <n v="3631.7508714859382" u="1"/>
        <n v="11819.088569081701" u="1"/>
        <n v="120633.96731943538" u="1"/>
        <n v="3777.2872014193499" u="1"/>
        <n v="14859.323377815826" u="1"/>
        <n v="20514.994268568444" u="1"/>
        <n v="76.902041048645287" u="1"/>
        <n v="202.86290222331633" u="1"/>
        <n v="2042.2257303581946" u="1"/>
        <n v="19080.722017961441" u="1"/>
        <n v="2252.9967717554832" u="1"/>
        <n v="14782.841530105161" u="1"/>
        <n v="17177.545219672545" u="1"/>
        <n v="222.27685285926628" u="1"/>
        <n v="187.03903699892729" u="1"/>
        <n v="5673.1313599999994" u="1"/>
        <n v="59318.473645064951" u="1"/>
        <n v="315.6229821239844" u="1"/>
        <n v="467.71355407365803" u="1"/>
        <n v="3534.7323872244497" u="1"/>
        <n v="3658.9715567150411" u="1"/>
        <n v="38223.592784518158" u="1"/>
        <n v="9969.9504037109818" u="1"/>
        <n v="1711.4810965810084" u="1"/>
        <n v="3992.7697298606317" u="1"/>
        <n v="5311.7788599027699" u="1"/>
        <n v="5264.0908688625768" u="1"/>
        <n v="5946.3048648310632" u="1"/>
        <n v="23526.172073565314" u="1"/>
        <n v="124.62246225948508" u="1"/>
        <n v="7115.2464852323537" u="1"/>
        <n v="16810.314990646286" u="1"/>
        <n v="20648.935524552508" u="1"/>
        <n v="1246.321105128" u="1"/>
        <n v="3395.6515188101748" u="1"/>
        <n v="65823.141383500901" u="1"/>
        <n v="1322.3372951679307" u="1"/>
        <n v="914.03569013119204" u="1"/>
        <n v="31046.436199337539" u="1"/>
        <n v="5622.3236294899834" u="1"/>
        <n v="9494.2282844529436" u="1"/>
        <n v="25247.599236622096" u="1"/>
        <n v="251.9160461424666" u="1"/>
        <n v="4444.8778679999996" u="1"/>
        <n v="15.468383614991975" u="1"/>
        <n v="1883.1286792938254" u="1"/>
        <n v="3556.0140128774246" u="1"/>
        <n v="7200" u="1"/>
        <n v="181.903703449765" u="1"/>
        <n v="1861.0656859450237" u="1"/>
        <n v="23998.512679779058" u="1"/>
        <n v="48910.987200000003" u="1"/>
        <n v="16913.275334641261" u="1"/>
        <n v="16443.462130901225" u="1"/>
        <n v="1181.8388215140644" u="1"/>
        <n v="4464.0404155950546" u="1"/>
        <n v="782.92401135051728" u="1"/>
        <n v="2377.1212222572149" u="1"/>
        <n v="8055.9907992802191" u="1"/>
        <n v="8929.1275033881429" u="1"/>
        <n v="553.80275598073285" u="1"/>
        <n v="2090.4519108239465" u="1"/>
        <n v="7991.5688754639741" u="1"/>
        <n v="8023.2370971149967" u="1"/>
        <n v="11223.485159883425" u="1"/>
        <n v="161.36821767763792" u="1"/>
        <n v="179.56567491055881" u="1"/>
        <n v="45044.192853860804" u="1"/>
        <n v="6493.8625851357738" u="1"/>
        <n v="59067.810720349538" u="1"/>
        <n v="69131.512728857095" u="1"/>
        <n v="23213.407037474935" u="1"/>
        <n v="26536.100588576559" u="1"/>
        <n v="26786.826671448292" u="1"/>
        <n v="31201.563732215767" u="1"/>
        <n v="33616.021724915343" u="1"/>
        <n v="5559.1364211090113" u="1"/>
        <n v="15279.807758613926" u="1"/>
        <n v="20782.107545639268" u="1"/>
        <n v="209055.83557999623" u="1"/>
        <n v="2128.4363074992311" u="1"/>
        <n v="4180.5666952938454" u="1"/>
        <n v="1600.4277162084645" u="1"/>
        <n v="26565.850429640173" u="1"/>
        <n v="29954.088837096861" u="1"/>
        <n v="62127.12" u="1"/>
        <n v="1264.8914979419014" u="1"/>
        <n v="20891.245421778229" u="1"/>
        <n v="8774.5929773885073" u="1"/>
        <n v="11570.045228561072" u="1"/>
        <n v="23920.713050326172" u="1"/>
        <n v="693.33761804133337" u="1"/>
        <n v="178.97202324247121" u="1"/>
        <n v="671.78427295656138" u="1"/>
        <n v="710.27579579651558" u="1"/>
        <n v="2686.1642075168702" u="1"/>
        <n v="30184.035193800384" u="1"/>
        <n v="992.96465764137474" u="1"/>
        <n v="5280.1499519999998" u="1"/>
        <n v="768.41527967164382" u="1"/>
        <n v="12241.252116010182" u="1"/>
        <n v="14331.77835884165" u="1"/>
        <n v="31838.909794921023" u="1"/>
        <n v="4361.9214722962752" u="1"/>
        <n v="13700.823342346905" u="1"/>
        <n v="7803.4223821255446" u="1"/>
        <n v="15586.586416577275" u="1"/>
        <n v="20132.575917974424" u="1"/>
        <n v="34614.102770670972" u="1"/>
        <n v="5316.4373156928796" u="1"/>
        <n v="8962.6210037198016" u="1"/>
        <n v="2759.6126336772413" u="1"/>
        <n v="507.27731995398346" u="1"/>
        <n v="34601.960756613851" u="1"/>
        <n v="1871.058876326365" u="1"/>
        <n v="9219.5311621698238" u="1"/>
        <n v="22993.923173494077" u="1"/>
        <n v="1423.4982059420206" u="1"/>
        <n v="6923.9597744181428" u="1"/>
        <n v="12941.074667228444" u="1"/>
        <n v="2276.3080619885855" u="1"/>
        <n v="29742.926622942952" u="1"/>
        <n v="1009.5132340799998" u="1"/>
        <n v="3002.4687518248857" u="1"/>
        <n v="8801.9027824166133" u="1"/>
        <n v="23129.444477144461" u="1"/>
        <n v="46848.059643495901" u="1"/>
        <n v="376.467161895939" u="1"/>
        <n v="5343.8144759999996" u="1"/>
        <n v="19726.666239327165" u="1"/>
        <n v="140.91194361850302" u="1"/>
        <n v="2861.044084540466" u="1"/>
        <n v="9590.5013812400957" u="1"/>
        <n v="2104.4913990398645" u="1"/>
        <n v="4024.0748938657334" u="1"/>
        <n v="10604.506664207252" u="1"/>
        <n v="533.57834200949787" u="1"/>
        <n v="1192.7057834163411" u="1"/>
        <n v="25779.652229590021" u="1"/>
        <n v="59990.745115921352" u="1"/>
        <n v="136.910846850539" u="1"/>
        <n v="1484.3471188000003" u="1"/>
        <n v="2220.838827834903" u="1"/>
        <n v="3301.5885739199994" u="1"/>
        <n v="3757.4882549457388" u="1"/>
        <n v="5865.2207079468535" u="1"/>
        <n v="2262.9187244954046" u="1"/>
        <n v="24490.724081677399" u="1"/>
        <n v="700.79911677145617" u="1"/>
        <n v="1135.1660306662566" u="1"/>
        <n v="42068.660627143923" u="1"/>
        <n v="808.70392495589681" u="1"/>
        <n v="1444.96983163297" u="1"/>
        <n v="27534.91849797004" u="1"/>
        <n v="546.84836451520255" u="1"/>
        <n v="1148.7880258479461" u="1"/>
        <n v="1374.1077945890818" u="1"/>
        <n v="2658.2595738890795" u="1"/>
        <n v="7241.9391073159231" u="1"/>
        <n v="1547.1958258596492" u="1"/>
        <n v="10758.051245147184" u="1"/>
        <n v="2717.8003210457682" u="1"/>
        <n v="7727.7627956736169" u="1"/>
        <n v="9660.481222129587" u="1"/>
        <n v="30442.438543216835" u="1"/>
        <n v="864.70267231316882" u="1"/>
        <n v="3613.1267594487963" u="1"/>
        <n v="4332.1483124070182" u="1"/>
        <n v="4486.1145172249726" u="1"/>
        <n v="768.59431579277532" u="1"/>
        <n v="16404.671282073276" u="1"/>
        <n v="2386.2526697844046" u="1"/>
        <n v="335.69102384656077" u="1"/>
        <n v="2317.3468601117534" u="1"/>
        <n v="12876.900949394523" u="1"/>
        <n v="2327.6599924545321" u="1"/>
        <n v="3872.9600000000009" u="1"/>
        <n v="7481.9031212732843" u="1"/>
        <n v="8442.9576850492485" u="1"/>
        <n v="48453.62536374286" u="1"/>
        <n v="470.91056386186813" u="1"/>
        <n v="2874.5964934137928" u="1"/>
        <n v="451.56936873488149" u="1"/>
        <n v="2753.8773164578806" u="1"/>
        <n v="6949.7465830582096" u="1"/>
        <n v="4371.7455150853466" u="1"/>
        <n v="17297.28" u="1"/>
        <n v="22442.325133583334" u="1"/>
        <n v="24225.448189340903" u="1"/>
        <n v="25632.137657290215" u="1"/>
        <n v="167.46842530045171" u="1"/>
        <n v="1465.2810444303936" u="1"/>
        <n v="10611.295060253422" u="1"/>
        <n v="17450.534913078551" u="1"/>
        <n v="28869.697876850558" u="1"/>
        <n v="37135.401297483404" u="1"/>
        <n v="3043.663919723901" u="1"/>
        <n v="41823.12365440451" u="1"/>
        <n v="62.040721615994585" u="1"/>
        <n v="654.58284940215935" u="1"/>
        <n v="12223.727960429613" u="1"/>
        <n v="291.8946215581326" u="1"/>
        <n v="306.47472328923453" u="1"/>
        <n v="2916.9226395443502" u="1"/>
        <n v="5408.3924289630486" u="1"/>
        <n v="6483.2652371989625" u="1"/>
        <n v="27145.60374648606" u="1"/>
        <n v="38155.546493654183" u="1"/>
        <n v="180147.71082412198" u="1"/>
        <n v="8100.5448146748477" u="1"/>
        <n v="8404.4503404642801" u="1"/>
        <n v="62488.495497331474" u="1"/>
        <n v="2875.3880018977657" u="1"/>
        <n v="14653.538150726919" u="1"/>
        <n v="1228.684200927004" u="1"/>
        <n v="1476.1696370174918" u="1"/>
        <n v="5024.6989304479739" u="1"/>
        <n v="17992.556226987959" u="1"/>
        <n v="2885.6110275816618" u="1"/>
        <n v="11688.577613192818" u="1"/>
        <n v="14418.113806277497" u="1"/>
        <n v="31681.587789634468" u="1"/>
        <n v="29962.334476620355" u="1"/>
        <n v="13911.605239921471" u="1"/>
        <n v="32837.576749299304" u="1"/>
        <n v="602.74274458542084" u="1"/>
        <n v="1720.3760838513729" u="1"/>
        <n v="11908.294154452309" u="1"/>
        <n v="387.04597027199998" u="1"/>
        <n v="2816.8717340143494" u="1"/>
        <n v="13153.905017991146" u="1"/>
        <n v="6053.5822060980408" u="1"/>
        <n v="7857.2482560000008" u="1"/>
        <n v="24007.66552327641" u="1"/>
        <n v="24958.044141735991" u="1"/>
        <n v="103388.19814020451" u="1"/>
        <n v="1100.8745568232134" u="1"/>
        <n v="11404.1321739655" u="1"/>
        <n v="13832.608407852575" u="1"/>
        <n v="61283.174978026029" u="1"/>
        <n v="1467.9825212822197" u="1"/>
        <n v="3283.4596275511403" u="1"/>
        <n v="12077.159854591653" u="1"/>
        <n v="33254.951769762753" u="1"/>
        <n v="34603.442118109539" u="1"/>
        <n v="81110.606004661473" u="1"/>
        <n v="9449.4325351706757" u="1"/>
        <n v="1381.8371509337117" u="1"/>
        <n v="28051.17510425776" u="1"/>
        <n v="5836.6914207918653" u="1"/>
        <n v="32339.999999999993" u="1"/>
        <n v="1342.99881211556" u="1"/>
        <n v="3724.2559879272503" u="1"/>
        <n v="21698.178040638111" u="1"/>
        <n v="3602.7417067988918" u="1"/>
        <n v="6398.2498309183438" u="1"/>
        <n v="6894.1689258598171" u="1"/>
        <n v="854.20350575999998" u="1"/>
        <n v="1712.2633382115391" u="1"/>
        <n v="3028.8238068845362" u="1"/>
        <n v="7016.5936053670248" u="1"/>
        <n v="12305.199802561003" u="1"/>
        <n v="2682.1691422765452" u="1"/>
        <n v="4101.3717661465689" u="1"/>
        <n v="352.07611129666464" u="1"/>
        <n v="593.61027875836908" u="1"/>
        <n v="2296.9020412377949" u="1"/>
        <n v="5065.0814946144965" u="1"/>
        <n v="1071.3670714309592" u="1"/>
        <n v="1989.2300288261549" u="1"/>
        <n v="7735.3240439013825" u="1"/>
        <n v="30583.264809533393" u="1"/>
        <n v="7369.1903999999995" u="1"/>
        <n v="2163.2177999771538" u="1"/>
        <n v="6602.0901604164901" u="1"/>
        <n v="65178.509214772654" u="1"/>
        <n v="643.72584025839797" u="1"/>
        <n v="4626.369157980329" u="1"/>
        <n v="3001.6975374858548" u="1"/>
        <n v="17617.427557234587" u="1"/>
        <n v="5331.4743145756111" u="1"/>
        <n v="14203.764958711534" u="1"/>
        <n v="1536.1765328312108" u="1"/>
        <n v="5868.146372637083" u="1"/>
        <n v="12091.693991103592" u="1"/>
        <n v="13190.112000000001" u="1"/>
        <n v="14203.764958711537" u="1"/>
        <n v="1113.5466508054901" u="1"/>
        <n v="2069.0573492711142" u="1"/>
        <n v="9011.5210140447398" u="1"/>
        <n v="20528.563240925829" u="1"/>
        <n v="1393.7498126489429" u="1"/>
        <n v="6910.4992378037032" u="1"/>
        <n v="8773.5818452231906" u="1"/>
        <n v="3971.4484118400014" u="1"/>
        <n v="8179.9291192691453" u="1"/>
        <n v="424.93281373254877" u="1"/>
        <n v="2513.0476799999997" u="1"/>
        <n v="5022.0454675444362" u="1"/>
        <n v="29965.381568642701" u="1"/>
        <n v="3277.12" u="1"/>
        <n v="1097.5706888717193" u="1"/>
        <n v="48450.896497351234" u="1"/>
        <n v="7274.3990412501189" u="1"/>
        <n v="24533.775837774469" u="1"/>
        <n v="25192.114307029777" u="1"/>
        <n v="20204.161022074983" u="1"/>
        <n v="4899.2932127999993" u="1"/>
        <n v="1598.8085910560922" u="1"/>
        <n v="2117.882810807881" u="1"/>
        <n v="1685.2217864493696" u="1"/>
        <n v="2105.3779869355812" u="1"/>
        <n v="2164.9890853587845" u="1"/>
        <n v="80.179466412627079" u="1"/>
        <n v="5082.5189791075245" u="1"/>
        <n v="8879.836274886793" u="1"/>
        <n v="118778.06042082538" u="1"/>
        <n v="783.86610405313422" u="1"/>
        <n v="36542.948543020422" u="1"/>
        <n v="30.925997706076902" u="1"/>
        <n v="2979.4047903418004" u="1"/>
        <n v="3747.0957559430735" u="1"/>
        <n v="21674.318855751648" u="1"/>
        <n v="43242.891750198047" u="1"/>
        <n v="536.54331918209778" u="1"/>
        <n v="7100.3418672148036" u="1"/>
        <n v="10014.76772910227" u="1"/>
        <n v="1293.8857577765586" u="1"/>
        <n v="2524.9803641733183" u="1"/>
        <n v="10687.842863409171" u="1"/>
        <n v="3089.4933333333338" u="1"/>
        <n v="7295.6550782336526" u="1"/>
        <n v="16300.911546006619" u="1"/>
        <n v="18580.397635453737" u="1"/>
        <n v="28917.190429196995" u="1"/>
        <n v="76512.878766010137" u="1"/>
        <n v="8727.7713253621241" u="1"/>
        <n v="10012.753803607689" u="1"/>
        <n v="32576.208863885149" u="1"/>
        <n v="455.49129599999998" u="1"/>
        <n v="27626.157299647799" u="1"/>
        <n v="1138.6194668433714" u="1"/>
        <n v="18372.117371636967" u="1"/>
        <n v="3955.3815813953497" u="1"/>
        <n v="15044.733829945437" u="1"/>
        <n v="3557.326548600382" u="1"/>
        <n v="258.26618976947134" u="1"/>
        <n v="53.398210213327467" u="1"/>
        <n v="15419.978748525133" u="1"/>
        <n v="1972.6746779710529" u="1"/>
        <n v="14422.284419614789" u="1"/>
        <n v="379.53141162253189" u="1"/>
        <n v="3405.1759178766119" u="1"/>
        <n v="4670.1941999061255" u="1"/>
        <n v="17551.795270407827" u="1"/>
        <n v="622.58222338152359" u="1"/>
        <n v="14309.516447784097" u="1"/>
        <n v="191.20452829034761" u="1"/>
        <n v="68407.233580694359" u="1"/>
        <n v="9348.7307934288729" u="1"/>
        <n v="3519.8617490446095" u="1"/>
        <n v="179.01019742083494" u="1"/>
        <n v="10260.329148872803" u="1"/>
        <n v="64.487077200000016" u="1"/>
        <n v="81.795807297195466" u="1"/>
        <n v="2979.2" u="1"/>
        <n v="9206.5244195945634" u="1"/>
        <n v="5457.9177515697484" u="1"/>
        <n v="2649.7165553449613" u="1"/>
        <n v="4555.1316636438187" u="1"/>
        <n v="100473.61167209677" u="1"/>
        <n v="57.810672556498147" u="1"/>
        <n v="551.55367024582904" u="1"/>
        <n v="47594.776292612827" u="1"/>
        <n v="14696.776916009112" u="1"/>
        <n v="23732.064828616429" u="1"/>
        <n v="1597.3928054114845" u="1"/>
        <n v="31441.045309593879" u="1"/>
        <n v="1363.6603323019531" u="1"/>
        <n v="28188.792224402103" u="1"/>
        <n v="3667.8278668980497" u="1"/>
        <n v="24795.235136799271" u="1"/>
        <n v="2433.3500827395483" u="1"/>
        <n v="26730.047184090625" u="1"/>
        <n v="31458.864697343506" u="1"/>
        <n v="605.02323747935714" u="1"/>
        <n v="9863.772067950782" u="1"/>
        <n v="9865.2928255420138" u="1"/>
        <n v="8193.3631734399514" u="1"/>
        <n v="24399.375" u="1"/>
        <n v="6936.4677999407741" u="1"/>
        <n v="31925.421839596547" u="1"/>
        <n v="101821.71028959536" u="1"/>
        <n v="406.30868460419288" u="1"/>
        <n v="21999.826934288354" u="1"/>
        <n v="24530.609571629921" u="1"/>
        <n v="66362.042130115995" u="1"/>
        <n v="1523.3928168853199" u="1"/>
        <n v="5340.4195172670334" u="1"/>
        <n v="13283.020763179775" u="1"/>
        <n v="2015.3528188696844" u="1"/>
        <n v="3554.6392613239382" u="1"/>
        <n v="2166.8398528284902" u="1"/>
        <n v="684.27808496160287" u="1"/>
        <n v="8124.7616900550402" u="1"/>
        <n v="12744.997778331046" u="1"/>
        <n v="14305.770919999995" u="1"/>
        <n v="372.36315145381815" u="1"/>
        <n v="19161.602644578394" u="1"/>
        <n v="12847.088436912782" u="1"/>
        <n v="105.6228333889994" u="1"/>
        <n v="2234.5535927563506" u="1"/>
        <n v="9065.435943104445" u="1"/>
        <n v="9207.0833571647981" u="1"/>
        <n v="13521.352655788663" u="1"/>
        <n v="1734.0067746807636" u="1"/>
        <n v="7973.0603867697309" u="1"/>
        <n v="488.35788610954575" u="1"/>
        <n v="4797.0243808977011" u="1"/>
        <n v="324.24253872026725" u="1"/>
        <n v="852.22589752269209" u="1"/>
        <n v="1227.5340350000001" u="1"/>
        <n v="3501.306113562654" u="1"/>
        <n v="72816.704163882489" u="1"/>
        <n v="14489.280000000002" u="1"/>
        <n v="73946.275516414986" u="1"/>
        <n v="3926.1091999999999" u="1"/>
        <n v="7462.5153673583472" u="1"/>
        <n v="11876.933416917815" u="1"/>
        <n v="17110.093799664457" u="1"/>
        <n v="1450.0177002175774" u="1"/>
        <n v="1626.0729506337693" u="1"/>
        <n v="2972.9529976305544" u="1"/>
        <n v="14533.002523091931" u="1"/>
        <n v="25263.744235793783" u="1"/>
        <n v="2561.4666742599497" u="1"/>
        <n v="25577.951216295132" u="1"/>
        <n v="37532.686410598624" u="1"/>
        <n v="82382.015625" u="1"/>
        <n v="168.55151923047464" u="1"/>
        <n v="16499.77344469638" u="1"/>
        <n v="31306.654221088909" u="1"/>
        <n v="54.565988400000009" u="1"/>
        <n v="247.21610948214132" u="1"/>
        <n v="1630.0823884800002" u="1"/>
        <n v="5778.3412283999987" u="1"/>
        <n v="7232.2566067597627" u="1"/>
        <n v="14934.589488154115" u="1"/>
        <n v="219.97876258705952" u="1"/>
        <n v="6886.8209088228487" u="1"/>
        <n v="10171.248449957337" u="1"/>
        <n v="9052.0125825880968" u="1"/>
        <n v="60913.679656166278" u="1"/>
        <n v="375.20511830915927" u="1"/>
        <n v="2251.2307098549559" u="1"/>
        <n v="912.87905558109537" u="1"/>
        <n v="920.80739212302149" u="1"/>
        <n v="3322.6664456985918" u="1"/>
        <n v="16374.911888114586" u="1"/>
        <n v="503.71994399999994" u="1"/>
        <n v="134.29841868012508" u="1"/>
        <n v="8777.7091924935157" u="1"/>
        <n v="31053.776575833908" u="1"/>
        <n v="34133.191289914037" u="1"/>
        <n v="885.48407920961608" u="1"/>
        <n v="1519.3412522341036" u="1"/>
        <n v="6328.571905327457" u="1"/>
        <n v="31855.895643627584" u="1"/>
        <n v="1636.4571235053984" u="1"/>
        <n v="2359.289783927994" u="1"/>
        <n v="5624.2111114758754" u="1"/>
        <n v="6117.014511775802" u="1"/>
        <n v="30568.798794219034" u="1"/>
        <n v="29591.177069792546" u="1"/>
        <n v="1421.6251785048862" u="1"/>
        <n v="2914.6902953259132" u="1"/>
        <n v="6845.5176993476634" u="1"/>
        <n v="2063.0216423644574" u="1"/>
        <n v="25314.211884451215" u="1"/>
        <n v="1828.4664685755038" u="1"/>
        <n v="1574.0342230239166" u="1"/>
        <n v="3455.3389755327098" u="1"/>
        <n v="3805.6441178086257" u="1"/>
        <n v="8903.6174574763518" u="1"/>
        <n v="14094.97821410602" u="1"/>
        <n v="107.27318989796125" u="1"/>
        <n v="42466.55632601073" u="1"/>
        <n v="1886.7820794977015" u="1"/>
        <n v="17432.366386961421" u="1"/>
        <n v="28388.590852818412" u="1"/>
        <n v="37689.35422646653" u="1"/>
        <n v="96.911384819363903" u="1"/>
        <n v="1085.6216501345971" u="1"/>
        <n v="2664.1711063501298" u="1"/>
        <n v="51935.178750000006" u="1"/>
        <n v="10784.477422661901" u="1"/>
        <n v="3762.898412179673" u="1"/>
        <n v="9425.9930313910954" u="1"/>
        <n v="9910.6852771932827" u="1"/>
        <n v="14134.620993006225" u="1"/>
        <n v="1304.419354057708" u="1"/>
        <n v="13877.511955623386" u="1"/>
        <n v="5695.4117673602759" u="1"/>
        <n v="26085.228600138944" u="1"/>
        <n v="56496.160397869971" u="1"/>
        <n v="129.0031738591025" u="1"/>
        <n v="824.30518121044486" u="1"/>
        <n v="96.183392895732482" u="1"/>
        <n v="9714.3209760121354" u="1"/>
        <n v="875.56661782788706" u="1"/>
        <n v="25190.909071201284" u="1"/>
        <n v="25285.590221858802" u="1"/>
        <n v="33373.536163699566" u="1"/>
        <n v="3820.7891569824355" u="1"/>
        <n v="19874.765198883491" u="1"/>
        <n v="381.77928072737899" u="1"/>
        <n v="24498.176288651222" u="1"/>
        <n v="2483.7339669982939" u="1"/>
        <n v="8332.9517353385272" u="1"/>
        <n v="9012.2888663024678" u="1"/>
        <n v="6782.4751374770494" u="1"/>
        <n v="23558.333546687983" u="1"/>
        <n v="1012.9288675347249" u="1"/>
        <n v="12258.565058920083" u="1"/>
        <n v="23151.00171666914" u="1"/>
        <n v="803.90801638855453" u="1"/>
        <n v="2480.091830440213" u="1"/>
        <n v="75.056392063477801" u="1"/>
        <n v="17401.050196618777" u="1"/>
        <n v="1157.4702694719256" u="1"/>
        <n v="39950.137499999997" u="1"/>
        <n v="61382.291424679141" u="1"/>
        <n v="4306.8199308963513" u="1"/>
        <n v="6383.5227107231931" u="1"/>
        <n v="36188.729080250865" u="1"/>
        <n v="1489.0770387624436" u="1"/>
        <n v="6387.2008815261324" u="1"/>
        <n v="8251.7110712514623" u="1"/>
        <n v="22413.183873511342" u="1"/>
        <n v="17050.108030011746" u="1"/>
        <n v="29144.078101779454" u="1"/>
        <n v="11043.864000000003" u="1"/>
        <n v="31071.086038625235" u="1"/>
        <n v="535.79291045380398" u="1"/>
        <n v="1128.8091036592862" u="1"/>
        <n v="1212.5879013515412" u="1"/>
        <n v="1472.9249424240002" u="1"/>
        <n v="1600.0098877876922" u="1"/>
        <n v="4327.075539207478" u="1"/>
        <n v="18564.398843700586" u="1"/>
        <n v="290.40271534043973" u="1"/>
        <n v="852.24772972605319" u="1"/>
        <n v="556.29981563269109" u="1"/>
        <n v="2245.3205752895678" u="1"/>
        <n v="36.87834267632887" u="1"/>
        <n v="1492.7372784722263" u="1"/>
        <n v="79862.750723272271" u="1"/>
        <n v="8186.7274931387547" u="1"/>
        <n v="11496.961586747038" u="1"/>
        <n v="820.65712626535151" u="1"/>
        <n v="3193.6950301102911" u="1"/>
        <n v="370.66305190473901" u="1"/>
        <n v="1435.5047662413785" u="1"/>
        <n v="21654.445416881743" u="1"/>
        <n v="181.5392448873427" u="1"/>
        <n v="27958.532628708039" u="1"/>
        <n v="906.79158442852042" u="1"/>
        <n v="4893.2750709407319" u="1"/>
        <n v="16591.606149402898" u="1"/>
        <n v="21481.95296482031" u="1"/>
        <n v="37206.901924131453" u="1"/>
        <n v="21195.774872589103" u="1"/>
        <n v="22212.893414138845" u="1"/>
        <n v="25306.803552622983" u="1"/>
        <n v="369.89385199857054" u="1"/>
        <n v="12662.422332697513" u="1"/>
        <n v="3075.4356648010034" u="1"/>
        <n v="181.55391472531338" u="1"/>
        <n v="36878.503713050246" u="1"/>
        <n v="876.80184450046374" u="1"/>
        <n v="1848.0602417983139" u="1"/>
        <n v="310.76724469861506" u="1"/>
        <n v="72.707384264173726" u="1"/>
        <n v="3968.469495332316" u="1"/>
        <n v="1053.2588792592398" u="1"/>
        <n v="712.3286016000003" u="1"/>
        <n v="1107.5325199147828" u="1"/>
        <n v="98.634305711152976" u="1"/>
        <n v="7567.7351076750474" u="1"/>
        <n v="69.469017540074589" u="1"/>
        <n v="909.22705909621959" u="1"/>
        <n v="13409.719867654338" u="1"/>
        <n v="19789.122427867664" u="1"/>
        <n v="30415.083730107061" u="1"/>
        <n v="5354.1014973539686" u="1"/>
        <n v="5748.2567022950188" u="1"/>
        <n v="9122.3373600000014" u="1"/>
        <n v="20347.943877685539" u="1"/>
        <n v="11462.097771871009" u="1"/>
        <n v="13732.623757400428" u="1"/>
        <n v="15135.065473617793" u="1"/>
        <n v="22137.290693406707" u="1"/>
        <n v="78.864307200000013" u="1"/>
        <n v="7894.3104239999993" u="1"/>
        <n v="11809.776392556914" u="1"/>
        <n v="18739.064330375862" u="1"/>
        <n v="825.26752549200455" u="1"/>
        <n v="2915.9691111260163" u="1"/>
        <n v="4944.7832416933343" u="1"/>
        <n v="6460.0065924493265" u="1"/>
        <n v="24607.605350270453" u="1"/>
        <n v="28110.300829439853" u="1"/>
        <n v="20187.03744" u="1"/>
        <n v="99911.608872185912" u="1"/>
        <n v="9701.8135142731662" u="1"/>
        <n v="52622.679200000013" u="1"/>
        <n v="297.72766944" u="1"/>
        <n v="9949.4101081242588" u="1"/>
        <n v="91.616585241748368" u="1"/>
        <n v="1808.5306932233987" u="1"/>
        <n v="25474.656565033496" u="1"/>
        <n v="2166.0741562035091" u="1"/>
        <n v="73.825959406699468" u="1"/>
        <n v="1960.4557480881967" u="1"/>
        <n v="3533.7797198542739" u="1"/>
        <n v="17985.923811677894" u="1"/>
        <n v="704.78514250056014" u="1"/>
        <n v="1446.0336000000002" u="1"/>
        <n v="7222.998709237052" u="1"/>
        <n v="69.124276517911838" u="1"/>
        <n v="3242.8287998042952" u="1"/>
        <n v="68.637522976022211" u="1"/>
        <n v="82.388980121794532" u="1"/>
        <n v="440.18493686747001" u="1"/>
        <n v="18266.272938314589" u="1"/>
        <n v="401.60288546067932" u="1"/>
        <n v="633.24291204123324" u="1"/>
        <n v="9428.5684393231677" u="1"/>
        <n v="22252.321218654499" u="1"/>
        <n v="15071.105369083449" u="1"/>
        <n v="8382.5826165176986" u="1"/>
        <n v="11787.564091309363" u="1"/>
        <n v="7437.847395708427" u="1"/>
        <n v="11221.162566791667" u="1"/>
        <n v="27141.278679230476" u="1"/>
        <n v="58563.080282568699" u="1"/>
        <n v="536.91606972741351" u="1"/>
        <n v="67.837795742228224" u="1"/>
        <n v="95.879615768627929" u="1"/>
        <n v="5491.009038017859" u="1"/>
        <n v="8170.4634745619915" u="1"/>
        <n v="16672.086199337165" u="1"/>
        <n v="1474.1584556863818" u="1"/>
        <n v="6393.4977173555289" u="1"/>
        <n v="3419.1466898206081" u="1"/>
        <n v="22924.770719613778" u="1"/>
        <n v="1466.8473552515534" u="1"/>
        <n v="1523.0591999999999" u="1"/>
        <n v="48499.823953546969" u="1"/>
        <n v="6041.633015108122" u="1"/>
        <n v="21.859200000000001" u="1"/>
        <n v="28924.356528618391" u="1"/>
        <n v="346.97475561362086" u="1"/>
        <n v="2756.9162505191434" u="1"/>
        <n v="7336.6486345527392" u="1"/>
        <n v="2613.5321839936246" u="1"/>
        <n v="1476.7011062943257" u="1"/>
        <n v="1567.9875212580439" u="1"/>
        <n v="980.48850377463123" u="1"/>
        <n v="5404.9175712447195" u="1"/>
        <n v="904.99742818008076" u="1"/>
        <n v="20620.844027163301" u="1"/>
        <n v="10598.985876375191" u="1"/>
        <n v="11886.827634492813" u="1"/>
        <n v="16527.95284536251" u="1"/>
        <n v="33146.848176640342" u="1"/>
        <n v="14113.235467765899" u="1"/>
        <n v="122243.40240607403" u="1"/>
        <n v="5484.4342076690136" u="1"/>
        <n v="8277.1101837905808" u="1"/>
        <n v="26397.931303759218" u="1"/>
        <n v="20292.479999999996" u="1"/>
        <n v="1306.0847019753228" u="1"/>
        <n v="70882.970697931974" u="1"/>
        <n v="5722.2615972245076" u="1"/>
        <n v="4718.1473315596959" u="1"/>
        <n v="12697.910657808647" u="1"/>
        <n v="185.41045212960927" u="1"/>
        <n v="3809.5473518754579" u="1"/>
        <n v="5708.8209160975211" u="1"/>
        <n v="1364.9662039992568" u="1"/>
        <n v="1418.0307690574282" u="1"/>
        <n v="1000.4736354185167" u="1"/>
        <n v="1575.7850953520856" u="1"/>
        <n v="5363.4396840059526" u="1"/>
        <n v="436.26637825786088" u="1"/>
        <n v="65356.556643296062" u="1"/>
        <n v="1550.0621683523607" u="1"/>
        <n v="117.54971732380426" u="1"/>
        <n v="5530.0372588959617" u="1"/>
        <n v="27120.096099071216" u="1"/>
        <n v="595.70020616712441" u="1"/>
        <n v="2056.9407500283055" u="1"/>
        <n v="16626.833609470195" u="1"/>
        <n v="857.35727999999995" u="1"/>
        <n v="20743.712331015948" u="1"/>
        <n v="49207.941634598712" u="1"/>
        <n v="881.15017868930624" u="1"/>
        <n v="62232.788217128124" u="1"/>
        <n v="2272.902082792898" u="1"/>
        <n v="19450.429033959896" u="1"/>
        <n v="14070.028210723665" u="1"/>
        <n v="89861.926219234607" u="1"/>
        <n v="46093.372000000003" u="1"/>
        <n v="10063.157358380868" u="1"/>
        <n v="7028.042112072525" u="1"/>
        <n v="18455.139113248959" u="1"/>
        <n v="1617.1604412024749" u="1"/>
        <n v="25333.717587350395" u="1"/>
        <n v="722.63831351732961" u="1"/>
        <n v="2003.0235191706074" u="1"/>
        <n v="54668.906243309364" u="1"/>
        <n v="1166.4895183249537" u="1"/>
        <n v="52008.146261993934" u="1"/>
        <n v="2575.208556655557" u="1"/>
        <n v="44379.828393187818" u="1"/>
        <n v="27053.602248004463" u="1"/>
        <n v="7334.0600585703305" u="1"/>
        <n v="86.130285974482732" u="1"/>
        <n v="34397.803375204203" u="1"/>
        <n v="98.031192239165051" u="1"/>
        <n v="119.31468216164745" u="1"/>
        <n v="150.60495718966698" u="1"/>
        <n v="13644.585194680516" u="1"/>
        <n v="20445.213467014146" u="1"/>
        <n v="141.10727400000002" u="1"/>
        <n v="327.50043638400007" u="1"/>
        <n v="22867.312000000002" u="1"/>
        <n v="49967.801033975076" u="1"/>
        <n v="7149.4257606942956" u="1"/>
        <n v="25660.489773914131" u="1"/>
        <n v="4968.0383999999995" u="1"/>
        <n v="33852.30648492917" u="1"/>
        <n v="63.917341306971721" u="1"/>
        <n v="2624.5440000000008" u="1"/>
        <n v="1415.1921174589265" u="1"/>
        <n v="7430.5366272189713" u="1"/>
        <n v="24962.459297202302" u="1"/>
        <n v="342.99391921723225" u="1"/>
        <n v="62321.740699977301" u="1"/>
        <n v="8662.8606610029474" u="1"/>
        <n v="502.42666818448254" u="1"/>
        <n v="641.62713193698437" u="1"/>
        <n v="1023.6064222886095" u="1"/>
        <n v="14941.059145006382" u="1"/>
        <n v="26499.686931844648" u="1"/>
        <n v="781.08504429392781" u="1"/>
        <n v="6700.8337127600244" u="1"/>
        <n v="32.839899281196395" u="1"/>
        <n v="125.01961915025082" u="1"/>
        <n v="22761.09331527253" u="1"/>
        <n v="35092.495067700249" u="1"/>
        <n v="708.67542089855442" u="1"/>
        <n v="1167.0620159748339" u="1"/>
        <n v="1068.299940767716" u="1"/>
        <n v="4015.6884291269257" u="1"/>
        <n v="39072.229259635555" u="1"/>
        <n v="1963.7485482064781" u="1"/>
        <n v="6452.2246187255314" u="1"/>
        <n v="37065.302184861226" u="1"/>
        <n v="1489.7023951709002" u="1"/>
        <n v="6635.4204186276465" u="1"/>
        <n v="1073.8670676404713" u="1"/>
        <n v="7764.0641382684571" u="1"/>
        <n v="594.3249074017084" u="1"/>
        <n v="2022.8921310055503" u="1"/>
        <n v="2982.9325370832557" u="1"/>
        <n v="6488.9175780000005" u="1"/>
        <n v="694.96992833695731" u="1"/>
        <n v="2628.2811525968564" u="1"/>
        <n v="41574.437236233294" u="1"/>
        <n v="289.03981753659093" u="1"/>
        <n v="19888.108905984205" u="1"/>
        <n v="115.88153258100579" u="1"/>
        <n v="15607.791008245866" u="1"/>
        <n v="2740.9188403857847" u="1"/>
        <n v="4479.9442521682995" u="1"/>
        <n v="40815.992914835806" u="1"/>
        <n v="1727.5172273751959" u="1"/>
        <n v="8859.0097378551509" u="1"/>
        <n v="12384.548201374921" u="1"/>
        <n v="3800.2313685401136" u="1"/>
        <n v="8873.6382900933095" u="1"/>
        <n v="12572.678071023471" u="1"/>
        <n v="30501.767239944016" u="1"/>
        <n v="899.05149848969711" u="1"/>
        <n v="1471.1042278665518" u="1"/>
        <n v="3402.9853546913055" u="1"/>
        <n v="177.02632392034553" u="1"/>
        <n v="1842.7094994123295" u="1"/>
        <n v="6585.1864242383726" u="1"/>
        <n v="1221.15982384061" u="1"/>
        <n v="1083.3400255361889" u="1"/>
        <n v="3625.9322084879764" u="1"/>
        <n v="4370.6372626506036" u="1"/>
        <n v="15111.461180925053" u="1"/>
        <n v="33044.82301608751" u="1"/>
        <n v="1082.6083738568573" u="1"/>
        <n v="245.45572892565804" u="1"/>
        <n v="4395.3628815051861" u="1"/>
        <n v="28810.10335401167" u="1"/>
        <n v="29719.665494379617" u="1"/>
        <n v="12515.933189282885" u="1"/>
        <n v="2757.4491873212492" u="1"/>
        <n v="5110.5370273979534" u="1"/>
        <n v="27111.304433634999" u="1"/>
        <n v="135.3475925771188" u="1"/>
        <n v="10079.914859424021" u="1"/>
        <n v="46558.283352923463" u="1"/>
        <n v="74.327179051518101" u="1"/>
        <n v="187.2274741019084" u="1"/>
        <n v="18682.833060843179" u="1"/>
        <n v="26073.541301770547" u="1"/>
        <n v="46692.653045048195" u="1"/>
        <n v="4498.7503110129364" u="1"/>
        <n v="785.3644455990933" u="1"/>
        <n v="1019.8615411013315" u="1"/>
        <n v="5085.7870082373793" u="1"/>
        <n v="54507.72901156103" u="1"/>
        <n v="148.7228173468994" u="1"/>
        <n v="6789.7118209225482" u="1"/>
        <n v="850.46062910755199" u="1"/>
        <n v="11722.788650813516" u="1"/>
        <n v="27993.903794999052" u="1"/>
        <n v="3329.3686269089876" u="1"/>
        <n v="15488.580838340913" u="1"/>
        <n v="22581.711250038054" u="1"/>
        <n v="486.1462054838355" u="1"/>
        <n v="178136.75325464929" u="1"/>
        <n v="12553.736097584289" u="1"/>
        <n v="16620.922580118462" u="1"/>
        <n v="1095.0705473889793" u="1"/>
        <n v="2466.9886610874546" u="1"/>
        <n v="66214.526489714641" u="1"/>
        <n v="81.432270375874594" u="1"/>
        <n v="8533.7809104381849" u="1"/>
        <n v="1904.0518267677421" u="1"/>
        <n v="6829.7529274388398" u="1"/>
        <n v="234.20319923375851" u="1"/>
        <n v="454.52047979201353" u="1"/>
        <n v="16244.861631599393" u="1"/>
        <n v="105.35579623664404" u="1"/>
        <n v="2039.4349296669329" u="1"/>
        <n v="60019.112811562023" u="1"/>
        <n v="244.17894305477287" u="1"/>
        <n v="69.596347149023984" u="1"/>
        <n v="9285.7113417576693" u="1"/>
        <n v="592.45811958332251" u="1"/>
        <n v="528.28880657929631" u="1"/>
        <n v="11042.670953821109" u="1"/>
        <n v="308.53975302393457" u="1"/>
        <n v="69127.127218870839" u="1"/>
        <n v="385.4157120000001" u="1"/>
        <n v="3958.2067359457828" u="1"/>
        <n v="13854.501889983288" u="1"/>
        <n v="8484.8219090143175" u="1"/>
        <n v="10929.029288167298" u="1"/>
        <n v="22015.83568600288" u="1"/>
        <n v="475.410586448309" u="1"/>
        <n v="4627.8632400000006" u="1"/>
        <n v="14535.268913604543" u="1"/>
        <n v="2484.9203624552092" u="1"/>
        <n v="1451.4326692294703" u="1"/>
        <n v="2834.3517605688385" u="1"/>
        <n v="42296.551486200173" u="1"/>
        <n v="20467.227128281102" u="1"/>
        <n v="18296.017305729751" u="1"/>
        <n v="15882.329687340531" u="1"/>
        <n v="57365.33209629872" u="1"/>
        <n v="228.488832" u="1"/>
        <n v="2106.5716177807435" u="1"/>
        <n v="86.75073792000002" u="1"/>
        <n v="69535.019853249018" u="1"/>
        <n v="3050.1009165970454" u="1"/>
        <n v="1747.2569558820428" u="1"/>
        <n v="14832.836134039084" u="1"/>
        <n v="73119.869232444995" u="1"/>
        <n v="382.84609644019599" u="1"/>
        <n v="442.74203960480804" u="1"/>
        <n v="1774.1368826866706" u="1"/>
        <n v="186.42919087757411" u="1"/>
        <n v="621.43063625858053" u="1"/>
        <n v="34549.696804310224" u="1"/>
        <n v="21948.813403260887" u="1"/>
        <n v="15373.842120158644" u="1"/>
        <n v="21533.320489129357" u="1"/>
        <n v="3145.6752431492296" u="1"/>
        <n v="705.66177338829516" u="1"/>
        <n v="1122.4422193390767" u="1"/>
        <n v="3023.1551479065929" u="1"/>
        <n v="184.39069419127338" u="1"/>
        <n v="1969.9496703503851" u="1"/>
        <n v="5579.0092366263534" u="1"/>
        <n v="1555.9756256280837" u="1"/>
        <n v="3640.4112423282304" u="1"/>
        <n v="2743.1297676692475" u="1"/>
        <n v="19374.271587468538" u="1"/>
        <n v="4905.7894881190859" u="1"/>
        <n v="8716.1831934807105" u="1"/>
        <n v="9036.0844274343508" u="1"/>
        <n v="8067.89458187737" u="1"/>
        <n v="49092.273189346015" u="1"/>
        <n v="2197.0180727207021" u="1"/>
        <n v="4357.4836301891937" u="1"/>
        <n v="7766.7459489995981" u="1"/>
        <n v="438.21196308839046" u="1"/>
        <n v="19713.793865237345" u="1"/>
        <n v="166.76314200000002" u="1"/>
        <n v="350.37792000000002" u="1"/>
        <n v="2950.9106439661737" u="1"/>
        <n v="11217.149378061018" u="1"/>
        <n v="14286.490183196336" u="1"/>
        <n v="42873.63829485637" u="1"/>
        <n v="378.23644913976176" u="1"/>
        <n v="10764.595004328128" u="1"/>
        <n v="25088.676920108745" u="1"/>
        <n v="412.15259060522243" u="1"/>
        <n v="101.14156438717828" u="1"/>
        <n v="190.183970834359" u="1"/>
        <n v="1997.8922188659935" u="1"/>
        <n v="14311.824032784571" u="1"/>
        <n v="3612.0546493480797" u="1"/>
        <n v="21333.165564287927" u="1"/>
        <n v="532.10907687480778" u="1"/>
        <n v="6024.332473718594" u="1"/>
        <n v="2166.1700672223042" u="1"/>
        <n v="1068.9197812121402" u="1"/>
        <n v="5077.9760562844003" u="1"/>
        <n v="1145.1799321430262" u="1"/>
        <n v="3433.4113880905343" u="1"/>
        <n v="44137.440973308803" u="1"/>
        <n v="3894.0009105090339" u="1"/>
        <n v="6599.3059292333583" u="1"/>
        <n v="22594.664622018419" u="1"/>
        <n v="24294.531410518066" u="1"/>
        <n v="4575.1731812031248" u="1"/>
        <n v="4779.5729118883246" u="1"/>
        <n v="756.64728266982388" u="1"/>
        <n v="4875.5944186046527" u="1"/>
        <n v="13939.620555421887" u="1"/>
        <n v="64351.071314089415" u="1"/>
        <n v="3370.6551803303328" u="1"/>
        <n v="865.56409838302056" u="1"/>
        <n v="25306.603920000001" u="1"/>
        <n v="32082.629941705076" u="1"/>
        <n v="1379.3004825600001" u="1"/>
        <n v="4204.2972820416926" u="1"/>
        <n v="4286.3794715434951" u="1"/>
        <n v="2419.4321389414777" u="1"/>
        <n v="16986.834093608595" u="1"/>
        <n v="265.42719441366734" u="1"/>
        <n v="750.99249655019958" u="1"/>
        <n v="2785.9911634654291" u="1"/>
        <n v="23185.643200038299" u="1"/>
        <n v="24574.074292051722" u="1"/>
        <n v="3379.0672790828244" u="1"/>
        <n v="4824.0076430404815" u="1"/>
        <n v="4658.5473535455567" u="1"/>
        <n v="2086.7615245983961" u="1"/>
        <n v="39928.224952484197" u="1"/>
        <n v="649.92730429417918" u="1"/>
        <n v="11217.332326367061" u="1"/>
        <n v="92886.573907343234" u="1"/>
        <n v="175.53574617337759" u="1"/>
        <n v="207.22292214697242" u="1"/>
        <n v="17352.126266246451" u="1"/>
        <n v="64252.065381674751" u="1"/>
        <n v="590.46236680016102" u="1"/>
        <n v="4726.8442996366421" u="1"/>
        <n v="6434.6179204574346" u="1"/>
        <n v="89.856195593695048" u="1"/>
        <n v="2132.8443791043392" u="1"/>
        <n v="6686.9643114059427" u="1"/>
        <n v="80.502921058799657" u="1"/>
        <n v="3326.5685789290069" u="1"/>
        <n v="9738.261243155077" u="1"/>
        <n v="33688.416971763821" u="1"/>
        <n v="71.588809296988472" u="1"/>
        <n v="5654.6473002955718" u="1"/>
        <n v="21543.80166604829" u="1"/>
        <n v="2848.4460863162312" u="1"/>
        <n v="6813.1064452288792" u="1"/>
        <n v="55819.413720000011" u="1"/>
        <n v="5993.0763137285412" u="1"/>
        <n v="6899.6329722759074" u="1"/>
        <n v="9877.2997531631718" u="1"/>
        <n v="2878.6384997771574" u="1"/>
        <n v="5840.5705976760637" u="1"/>
        <n v="24748.466140406417" u="1"/>
        <n v="67298.827266471621" u="1"/>
        <n v="2341.8054780781667" u="1"/>
        <n v="3821.4942473184287" u="1"/>
        <n v="1435.6555875936206" u="1"/>
        <n v="1524.8434526542492" u="1"/>
        <n v="1603.0066902922108" u="1"/>
        <n v="11577.629294642067" u="1"/>
        <n v="3048.0602855999136" u="1"/>
        <n v="24863.941439999999" u="1"/>
        <n v="2627.6809088287127" u="1"/>
        <n v="3028.8381547282611" u="1"/>
        <n v="2426.0342720137733" u="1"/>
        <n v="2937.0412744755886" u="1"/>
        <n v="12447.158367518852" u="1"/>
        <n v="176.91417097158211" u="1"/>
        <n v="743.59937896587167" u="1"/>
        <n v="1090.6462379010641" u="1"/>
        <n v="2828.8525659802817" u="1"/>
        <n v="5398.2286590112317" u="1"/>
        <n v="12123.372643325107" u="1"/>
        <n v="17065.630190497021" u="1"/>
        <n v="830.37395346617859" u="1"/>
        <n v="58.838165832769135" u="1"/>
        <n v="522.72" u="1"/>
        <n v="8390.9508481929224" u="1"/>
        <n v="17709.476926855066" u="1"/>
        <n v="255.7645895038072" u="1"/>
        <n v="1340.6836361997503" u="1"/>
        <n v="2132.2828800000002" u="1"/>
        <n v="621.5655754824536" u="1"/>
        <n v="6351.4417310596818" u="1"/>
        <n v="1448.4718586778454" u="1"/>
        <n v="10734.768516872371" u="1"/>
        <n v="4360.633884989049" u="1"/>
        <n v="9818.8905491093028" u="1"/>
        <n v="1392.0169922088739" u="1"/>
        <n v="7939.4024586131263" u="1"/>
        <n v="337.16247459017154" u="1"/>
        <n v="426.22456799999998" u="1"/>
        <n v="59659.76002076843" u="1"/>
        <n v="2863.519410679909" u="1"/>
        <n v="6386.8807064910552" u="1"/>
        <n v="78813.580171439564" u="1"/>
        <n v="571.34595522064467" u="1"/>
        <n v="2934.2622935184399" u="1"/>
        <n v="10784.520715560167" u="1"/>
        <n v="19731.339566083101" u="1"/>
        <n v="191.40226560000002" u="1"/>
        <n v="2579.773021" u="1"/>
        <n v="13814.527207867246" u="1"/>
        <n v="67696.904339579502" u="1"/>
        <n v="1929.2083200000002" u="1"/>
        <n v="7876.8106649777792" u="1"/>
        <n v="24093.928166725189" u="1"/>
        <n v="4392.2666433819068" u="1"/>
        <n v="11696.644358169733" u="1"/>
        <n v="4634.7373804555627" u="1"/>
        <n v="7468.2496861277687" u="1"/>
        <n v="322.13948297365334" u="1"/>
        <n v="4924.7029289212132" u="1"/>
        <n v="10516.686094890923" u="1"/>
        <n v="1133.0191864799999" u="1"/>
        <n v="247.08858885936482" u="1"/>
        <n v="1497.97979136" u="1"/>
        <n v="5447.2434157267644" u="1"/>
        <n v="22105.584750302434" u="1"/>
        <n v="993.27027683297433" u="1"/>
        <n v="9793.9996689577092" u="1"/>
        <n v="2739.4384068191384" u="1"/>
        <n v="760.91597993097525" u="1"/>
        <n v="14059.740768570755" u="1"/>
        <n v="25236.928492294272" u="1"/>
        <n v="29097.792216135051" u="1"/>
        <n v="101661.97713691188" u="1"/>
        <n v="163.38532039860837" u="1"/>
        <n v="13685.561699232054" u="1"/>
        <n v="15741.105396796931" u="1"/>
        <n v="294.34724266573841" u="1"/>
        <n v="1774.1378321263817" u="1"/>
        <n v="4985.3029932572099" u="1"/>
        <n v="14578.888998605584" u="1"/>
        <n v="950.9156828969742" u="1"/>
        <n v="2745.2275200000008" u="1"/>
        <n v="9016.4491406542802" u="1"/>
        <n v="29757.62744081155" u="1"/>
        <n v="355.83652982854943" u="1"/>
        <n v="17441.815146129044" u="1"/>
        <n v="73209.191201978363" u="1"/>
        <n v="39.21416509130551" u="1"/>
        <n v="7779.4267563830927" u="1"/>
        <n v="1104.6931319265097" u="1"/>
        <n v="36.577773996129316" u="1"/>
        <n v="2723.32504586509" u="1"/>
        <n v="9506.7235523132949" u="1"/>
        <n v="248.53150495351358" u="1"/>
        <n v="1660.844687113414" u="1"/>
        <n v="63451.749641839866" u="1"/>
        <n v="4775.6457584884492" u="1"/>
        <n v="9944.676586941674" u="1"/>
        <n v="25754.0793207407" u="1"/>
        <n v="43672.901753858823" u="1"/>
        <n v="4842.1331849936341" u="1"/>
        <n v="3471.9889954078271" u="1"/>
        <n v="899.04755473895784" u="1"/>
        <n v="1956.6073477877442" u="1"/>
        <n v="24911.218542970993" u="1"/>
        <n v="235.17583996769395" u="1"/>
        <n v="2095.6911386706224" u="1"/>
        <n v="4634.7738782394608" u="1"/>
        <n v="1144.7508159612453" u="1"/>
        <n v="2518.4517951147391" u="1"/>
        <n v="4418.9427523723762" u="1"/>
        <n v="53974.44972255289" u="1"/>
        <n v="16573.424088320171" u="1"/>
        <n v="9539.7402150577018" u="1"/>
        <n v="20098.327416576823" u="1"/>
        <n v="63190.215728160852" u="1"/>
        <n v="4561.7253758364868" u="1"/>
        <n v="5749.1443676160034" u="1"/>
        <n v="3237.1579106248387" u="1"/>
        <n v="4037.76" u="1"/>
        <n v="10146.239999999998" u="1"/>
        <n v="18225.457412934225" u="1"/>
        <n v="1890.264047141372" u="1"/>
        <n v="2377.833254663984" u="1"/>
        <n v="11397.730611330982" u="1"/>
        <n v="40197.568779762543" u="1"/>
        <n v="307.37234251419591" u="1"/>
        <n v="1799.7795498903311" u="1"/>
        <n v="6097.4320000000007" u="1"/>
        <n v="29900.486164614376" u="1"/>
        <n v="1401.1828704699101" u="1"/>
        <n v="3932.2732188021373" u="1"/>
        <n v="190.97340193746913" u="1"/>
        <n v="286.01078075153356" u="1"/>
        <n v="1292.5377244625479" u="1"/>
        <n v="8288.458453442312" u="1"/>
        <n v="146.01073105206729" u="1"/>
        <n v="12973.511530773965" u="1"/>
        <n v="33151.503549260146" u="1"/>
        <n v="37.805904306350897" u="1"/>
        <n v="14714.679460991134" u="1"/>
        <n v="15023.212937098739" u="1"/>
        <n v="32867.87652485563" u="1"/>
        <n v="73098.063353205289" u="1"/>
        <n v="178.56126777929174" u="1"/>
        <n v="1148.253668411593" u="1"/>
        <n v="1841.9204013590679" u="1"/>
        <n v="160.43688313773623" u="1"/>
        <n v="743.3956691469333" u="1"/>
        <n v="1874.828048367687" u="1"/>
        <n v="3610.7219207678454" u="1"/>
        <n v="8826.8237157846524" u="1"/>
        <n v="1202.5665137370656" u="1"/>
        <n v="8315.4459140149138" u="1"/>
        <n v="8776.2760728586272" u="1"/>
        <n v="7388.9736504349194" u="1"/>
        <n v="12660.032295801622" u="1"/>
        <n v="11528.888535699129" u="1"/>
        <n v="44344.501085144031" u="1"/>
        <n v="3322.0924000000005" u="1"/>
        <n v="2000.7301290492769" u="1"/>
        <n v="756.82101586311387" u="1"/>
        <n v="12265.865447277207" u="1"/>
        <n v="12000.920700913728" u="1"/>
        <n v="45127.279527048682" u="1"/>
        <n v="2104.441424871362" u="1"/>
        <n v="2714.5021610058648" u="1"/>
        <n v="3296.5221611288889" u="1"/>
        <n v="3446.922928514151" u="1"/>
        <n v="214.47303113155152" u="1"/>
        <n v="1616.9871273369163" u="1"/>
        <n v="40.167413491186934" u="1"/>
        <n v="293.04637419776827" u="1"/>
        <n v="4950.2390121665221" u="1"/>
        <n v="4973.3640678734091" u="1"/>
        <n v="10586.309817943391" u="1"/>
        <n v="14701.286945589482" u="1"/>
        <n v="21265.245350927769" u="1"/>
        <n v="3550.9412396778844" u="1"/>
        <n v="3568.7957760000008" u="1"/>
        <n v="15371.444976347231" u="1"/>
        <n v="95.040206877946673" u="1"/>
        <n v="1417.0486596992525" u="1"/>
        <n v="4188.2111999999997" u="1"/>
        <n v="5312.2080945581147" u="1"/>
        <n v="34702.380296852047" u="1"/>
        <n v="45900.966719854929" u="1"/>
        <n v="482.32960145710337" u="1"/>
        <n v="1124.5714817596254" u="1"/>
        <n v="4149.516965936783" u="1"/>
        <n v="23608.807685626438" u="1"/>
        <n v="73452.36361536973" u="1"/>
        <n v="2308.4161721825967" u="1"/>
        <n v="77619.435017326876" u="1"/>
        <n v="48723.432790151157" u="1"/>
        <n v="2457.5935249249933" u="1"/>
        <n v="9482.5439468226505" u="1"/>
        <n v="7854.3290291921712" u="1"/>
        <n v="302.8966723793144" u="1"/>
        <n v="948.55172318509722" u="1"/>
        <n v="9808.0118746487497" u="1"/>
        <n v="404.3915477550122" u="1"/>
        <n v="7539.2116800000013" u="1"/>
        <n v="9532.2286085891501" u="1"/>
        <n v="600.42127437976467" u="1"/>
        <n v="30025.280385744194" u="1"/>
        <n v="26243.148672000003" u="1"/>
        <n v="904.20189992646658" u="1"/>
        <n v="2690.289535221591" u="1"/>
        <n v="3286.0128" u="1"/>
        <n v="5783.0334868581258" u="1"/>
        <n v="25623.070200264414" u="1"/>
        <n v="3687.6239618164909" u="1"/>
        <n v="8510.3283339191439" u="1"/>
        <n v="16803.082074875463" u="1"/>
        <n v="7390.7996611201088" u="1"/>
        <n v="981.87427410323903" u="1"/>
        <n v="7230.1344284136485" u="1"/>
        <n v="99.609116441918019" u="1"/>
        <n v="3156.8947725487956" u="1"/>
        <n v="1218.7142535082562" u="1"/>
        <n v="8004.0977052010221" u="1"/>
        <n v="3270.4956748181758" u="1"/>
        <n v="20678.184465263032" u="1"/>
        <n v="2378.9975333427628" u="1"/>
        <n v="45.728123793928788" u="1"/>
        <n v="408.33387569612103" u="1"/>
        <n v="759.84422962866597" u="1"/>
        <n v="9944.0544529921026" u="1"/>
        <n v="23852.749044849836" u="1"/>
        <n v="29376.299527427502" u="1"/>
        <n v="6897.7102557845446" u="1"/>
        <n v="1004.4090935088871" u="1"/>
        <n v="2484.6963415776831" u="1"/>
        <n v="355.09634059428737" u="1"/>
        <n v="4800.2317811306712" u="1"/>
        <n v="1665.1058408314648" u="1"/>
        <n v="30957.336996038452" u="1"/>
        <n v="5877.6182400000016" u="1"/>
        <n v="4587.9633027342607" u="1"/>
        <n v="7492.6516618318255" u="1"/>
        <n v="15556.864050160537" u="1"/>
        <n v="150.57356602864871" u="1"/>
        <n v="3019.7502720000011" u="1"/>
        <n v="5981.9702422265891" u="1"/>
        <n v="16016.483213931711" u="1"/>
        <n v="26983.410750496787" u="1"/>
        <n v="102224.32092578852" u="1"/>
        <n v="242.07557559002657" u="1"/>
        <n v="3174.0887587351353" u="1"/>
        <n v="24620.234709833108" u="1"/>
        <n v="11903.139245441416" u="1"/>
        <n v="294.91381262863973" u="1"/>
        <n v="423.48625978274072" u="1"/>
        <n v="47411.00155343354" u="1"/>
        <n v="4260.5051567317305" u="1"/>
        <n v="5429.8775133535928" u="1"/>
        <n v="5568.9708260486705" u="1"/>
        <n v="5975.2080596244396" u="1"/>
        <n v="20291.092798159341" u="1"/>
        <n v="1203.3458518246716" u="1"/>
        <n v="6240.1772160000019" u="1"/>
        <n v="14929.416695538239" u="1"/>
        <n v="118763.15267375074" u="1"/>
        <n v="410.65334382542915" u="1"/>
        <n v="16127.081915994942" u="1"/>
        <n v="43.660232055637977" u="1"/>
        <n v="21909.977868954087" u="1"/>
        <n v="43.907640037286598" u="1"/>
        <n v="6500.0401532171327" u="1"/>
        <n v="3224.4797686985039" u="1"/>
        <n v="20017.083001625611" u="1"/>
        <n v="31719.1875" u="1"/>
        <n v="1445.7403618688529" u="1"/>
        <n v="1360.9189280865573" u="1"/>
        <n v="22375.620252944602" u="1"/>
        <n v="332776.88096382574" u="1"/>
        <n v="4742.0433414431427" u="1"/>
        <n v="5753.353261179398" u="1"/>
        <n v="48327.003620191485" u="1"/>
        <n v="709.95465520865855" u="1"/>
        <n v="839.11473192371727" u="1"/>
        <n v="8016.3739101451911" u="1"/>
        <n v="49964.986890515604" u="1"/>
        <n v="224.18110148120235" u="1"/>
        <n v="3645.1927653971443" u="1"/>
        <n v="3871.7767172266786" u="1"/>
        <n v="23809.061012040213" u="1"/>
        <n v="8582.5453938045339" u="1"/>
        <n v="88.300688713203499" u="1"/>
        <n v="589.18784595370551" u="1"/>
        <n v="4722.2514066566064" u="1"/>
        <n v="7510.4764291610427" u="1"/>
        <n v="15927.912" u="1"/>
        <n v="124124.07013539823" u="1"/>
        <n v="3861.8281200000006" u="1"/>
        <n v="4532.7179604503635" u="1"/>
        <n v="3639.8453145600006" u="1"/>
        <n v="144.63628141770425" u="1"/>
        <n v="285.19788477098592" u="1"/>
        <n v="4734.7471079999987" u="1"/>
        <n v="1620.5222797984291" u="1"/>
        <n v="19258.324908851078" u="1"/>
        <n v="25342.014051608847" u="1"/>
        <n v="37.343142243749966" u="1"/>
        <n v="42779.849885986885" u="1"/>
        <n v="2799.8714825108068" u="1"/>
        <n v="24373.489380703293" u="1"/>
        <n v="16753.616113076321" u="1"/>
        <n v="18674.739351292083" u="1"/>
        <n v="22468.7232" u="1"/>
        <n v="17755.277540000003" u="1"/>
        <n v="123711.61736849035" u="1"/>
        <n v="4434.4851809134616" u="1"/>
        <n v="21708.379278443095" u="1"/>
        <n v="23507.170973848657" u="1"/>
        <n v="2424.2025599999997" u="1"/>
        <n v="5729.202058124074" u="1"/>
        <n v="12191.687856307766" u="1"/>
        <n v="1832.4339106493835" u="1"/>
        <n v="2305.7777071398255" u="1"/>
        <n v="5712.0893961022248" u="1"/>
        <n v="8337.6017762510655" u="1"/>
        <n v="15638.382502297751" u="1"/>
        <n v="19239.36984242039" u="1"/>
        <n v="171011.28312446328" u="1"/>
        <n v="1413.7959518311116" u="1"/>
        <n v="1339.7205276138247" u="1"/>
        <n v="753.16934682103363" u="1"/>
        <n v="9497.8454381702577" u="1"/>
        <n v="17234.171571703864" u="1"/>
        <n v="2357.6365511111112" u="1"/>
        <n v="562.80767746373897" u="1"/>
        <n v="345.20259143380395" u="1"/>
        <n v="361.0794204759631" u="1"/>
        <n v="6937.3318412976096" u="1"/>
        <n v="265.56417945732994" u="1"/>
        <n v="5112.9551788663084" u="1"/>
        <n v="2972.2915683299802" u="1"/>
        <n v="11086.647549870824" u="1"/>
        <n v="17535.433253343144" u="1"/>
        <n v="4618.0589006170921" u="1"/>
        <n v="718.71554638454893" u="1"/>
        <n v="71713.420767460033" u="1"/>
        <n v="7178.0332181605845" u="1"/>
        <n v="30479.305020778775" u="1"/>
        <n v="8547.8972545907018" u="1"/>
        <n v="11385.629331500902" u="1"/>
        <n v="1870.2576383030537" u="1"/>
        <n v="3402.3491611199997" u="1"/>
        <n v="8547.4727591772971" u="1"/>
        <n v="118.95142903094455" u="1"/>
        <n v="315.20954524026217" u="1"/>
        <n v="1027.3580029269237" u="1"/>
        <n v="2470.7862378586178" u="1"/>
        <n v="8880.6309128593421" u="1"/>
        <n v="88.920321308103723" u="1"/>
        <n v="2225.9043643690879" u="1"/>
        <n v="1271.9453510680501" u="1"/>
        <n v="1231.8890215999998" u="1"/>
        <n v="2668.1067689645383" u="1"/>
        <n v="3410.1414533393427" u="1"/>
        <n v="5030.1676263988966" u="1"/>
        <n v="67.363895961428483" u="1"/>
        <n v="212272.07920430385" u="1"/>
        <n v="666.26678389758365" u="1"/>
        <n v="11548.591197782111" u="1"/>
        <n v="20247.923991758216" u="1"/>
        <n v="1039.6002700906051" u="1"/>
        <n v="2655.68381754655" u="1"/>
        <n v="10888.512592819665" u="1"/>
        <n v="4013.3440274820914" u="1"/>
        <n v="9861.0454126439381" u="1"/>
        <n v="800.4325829912957" u="1"/>
        <n v="1461.7678546798556" u="1"/>
        <n v="985.58898669213272" u="1"/>
        <n v="19573.632392839801" u="1"/>
        <n v="14708.307829242691" u="1"/>
        <n v="25824.710319966049" u="1"/>
        <n v="82358.461481656239" u="1"/>
        <n v="7143.2450915981699" u="1"/>
        <n v="27741.387971079821" u="1"/>
        <n v="147192.30824114688" u="1"/>
        <n v="43.57291159152669" u="1"/>
        <n v="259.78842194812614" u="1"/>
        <n v="998.94610943299676" u="1"/>
        <n v="3829.5516515740001" u="1"/>
        <n v="9044.277687384696" u="1"/>
        <n v="16611.203792185457" u="1"/>
        <n v="5666.181242070621" u="1"/>
        <n v="11642.728548170126" u="1"/>
        <n v="104.37548966599118" u="1"/>
        <n v="9353.8302312054875" u="1"/>
        <n v="6923.377637990734" u="1"/>
        <n v="570.31177982992222" u="1"/>
        <n v="1197.1744750914008" u="1"/>
        <n v="3899.6649579754258" u="1"/>
        <n v="13252.364844317364" u="1"/>
        <n v="17499.312672806998" u="1"/>
        <n v="1363.7295279293098" u="1"/>
        <n v="45.989942038126799" u="1"/>
        <n v="72.393511034005954" u="1"/>
        <n v="635.38735554946288" u="1"/>
        <n v="23926.43244975264" u="1"/>
        <n v="1527.2923213267698" u="1"/>
        <n v="2907.1217906525007" u="1"/>
        <n v="6048.5088402557467" u="1"/>
        <n v="10080.818601363284" u="1"/>
        <n v="232.01724047962881" u="1"/>
        <n v="7140.3334998800901" u="1"/>
        <n v="21084.126336217574" u="1"/>
        <n v="5292.5263175153204" u="1"/>
        <n v="44116.720086870118" u="1"/>
        <n v="1008.5513580150199" u="1"/>
        <n v="23159.822400000005" u="1"/>
        <n v="5156.4989710067939" u="1"/>
        <n v="107096.6203125" u="1"/>
        <n v="4398.7967479825102" u="1"/>
        <n v="431.13605950301383" u="1"/>
        <n v="7325.1503694785124" u="1"/>
        <n v="43707.406750866794" u="1"/>
        <n v="768.2880100955133" u="1"/>
        <n v="2799.8810112000001" u="1"/>
        <n v="1628.0536658404803" u="1"/>
        <n v="5891.3343294655806" u="1"/>
        <n v="21559.422589074027" u="1"/>
        <n v="29285.343208163911" u="1"/>
        <n v="301.98909308243674" u="1"/>
        <n v="15061.033613024298" u="1"/>
        <n v="33558.525000000001" u="1"/>
        <n v="182919.21406756999" u="1"/>
        <n v="1579.2510801599997" u="1"/>
        <n v="3763.3228088570859" u="1"/>
        <n v="5051.0728690624801" u="1"/>
        <n v="6696.5184000000008" u="1"/>
        <n v="475.02157719260174" u="1"/>
        <n v="8340.3032531028948" u="1"/>
        <n v="19.559783960925813" u="1"/>
        <n v="794.37241499967854" u="1"/>
        <n v="1253.9095296" u="1"/>
        <n v="3574.8951436242182" u="1"/>
        <n v="4151.8697673308925" u="1"/>
        <n v="13363.161909935076" u="1"/>
        <n v="7885.3776211154636" u="1"/>
        <n v="1026.8886579486052" u="1"/>
        <n v="11171.261140026625" u="1"/>
        <n v="19595.312426766832" u="1"/>
        <n v="9957.7296000000024" u="1"/>
        <n v="35146.627428681291" u="1"/>
        <n v="91.909239637776039" u="1"/>
        <n v="321.35223135818387" u="1"/>
        <n v="842.55177244966433" u="1"/>
        <n v="1630.4178265109256" u="1"/>
        <n v="3137.7735573745895" u="1"/>
        <n v="375.30859397811071" u="1"/>
        <n v="2020.3117430782706" u="1"/>
        <n v="2660.4241817509733" u="1"/>
        <n v="1111.5582159750234" u="1"/>
        <n v="5663.5836237393578" u="1"/>
        <n v="338.92768920754804" u="1"/>
        <n v="1551.7733283030211" u="1"/>
        <n v="12711.49461423152" u="1"/>
        <n v="18768.772625410871" u="1"/>
        <n v="1184.4355109145681" u="1"/>
        <n v="3496.3113830154884" u="1"/>
        <n v="7109.1664787981608" u="1"/>
        <n v="10197.998662447661" u="1"/>
        <n v="37445.865308635635" u="1"/>
        <n v="42957.434997957607" u="1"/>
        <n v="166.00617869929422" u="1"/>
        <n v="240.07923330939852" u="1"/>
        <n v="325.05984273286032" u="1"/>
        <n v="165829.12343594327" u="1"/>
        <n v="2446.6908244100487" u="1"/>
        <n v="3347.0615620972253" u="1"/>
        <n v="18878.014883966338" u="1"/>
        <n v="28.844568909877779" u="1"/>
        <n v="4609.6406160188853" u="1"/>
        <n v="8709.0432000000001" u="1"/>
        <n v="23621.945977231917" u="1"/>
        <n v="189.48662914386202" u="1"/>
        <n v="10223.886499018126" u="1"/>
        <n v="14831.850746859689" u="1"/>
        <n v="88.840325300501647" u="1"/>
        <n v="7343.1052608723476" u="1"/>
        <n v="7718.9008430769245" u="1"/>
        <n v="13416" u="1"/>
        <n v="539.20386456647179" u="1"/>
        <n v="1284.6554244507729" u="1"/>
        <n v="9597.3879258274028" u="1"/>
        <n v="16969.030512162506" u="1"/>
        <n v="102.52359936000002" u="1"/>
        <n v="1079.9114355728955" u="1"/>
        <n v="1269.2160000000001" u="1"/>
        <n v="21962.631600226639" u="1"/>
        <n v="1930.7518731171633" u="1"/>
        <n v="3199.3151649203555" u="1"/>
        <n v="19.865405536659495" u="1"/>
        <n v="915.50048867434884" u="1"/>
        <n v="3095.686219980234" u="1"/>
        <n v="5531.0471605840976" u="1"/>
        <n v="1467.13114675922" u="1"/>
        <n v="2693.076299789891" u="1"/>
        <n v="3687.0956730099115" u="1"/>
        <n v="6392.4846098609196" u="1"/>
        <n v="1180.9668021299863" u="1"/>
        <n v="11413.599650342137" u="1"/>
        <n v="123.04326567783247" u="1"/>
        <n v="2635.2244452642958" u="1"/>
        <n v="12928.94303506978" u="1"/>
        <n v="47681.297730004371" u="1"/>
        <n v="14185.034753948552" u="1"/>
        <n v="70.415222259332921" u="1"/>
        <n v="1065.2823719033656" u="1"/>
        <n v="167.60872017945712" u="1"/>
        <n v="2788.8822106188077" u="1"/>
        <n v="8375.791024881235" u="1"/>
        <n v="21461.732767283916" u="1"/>
        <n v="5324.6148377860227" u="1"/>
        <n v="25826.61120000001" u="1"/>
        <n v="103033.84639708379" u="1"/>
        <n v="278.43352468377884" u="1"/>
        <n v="4788.8043221809794" u="1"/>
        <n v="44344.79255007203" u="1"/>
        <n v="48812.702400000009" u="1"/>
        <n v="146.04117096585651" u="1"/>
        <n v="457.30589291459103" u="1"/>
        <n v="9927.1888767054788" u="1"/>
        <n v="374.76087544908131" u="1"/>
        <n v="825.69567080000002" u="1"/>
        <n v="2774.1918592565562" u="1"/>
        <n v="2923.5394087709519" u="1"/>
        <n v="3584.4049243023633" u="1"/>
        <n v="3777.1699150786635" u="1"/>
        <n v="6482.1408020346789" u="1"/>
        <n v="7914.0671999999995" u="1"/>
        <n v="12417.99206544425" u="1"/>
        <n v="18039.889851904598" u="1"/>
        <n v="14980.463639813828" u="1"/>
        <n v="30280.929073140702" u="1"/>
        <n v="39977.502487227845" u="1"/>
        <n v="3293.5505285178001" u="1"/>
        <n v="8039.971074142466" u="1"/>
        <n v="5941.7855160961135" u="1"/>
        <n v="30054.830468847598" u="1"/>
        <n v="40887.58" u="1"/>
        <n v="156.92677103684161" u="1"/>
        <n v="3370.1444844748567" u="1"/>
        <n v="53840.5894820471" u="1"/>
        <n v="442.56403792311295" u="1"/>
        <n v="350.44506725538957" u="1"/>
        <n v="1219.0654425140306" u="1"/>
        <n v="3107.7213464460528" u="1"/>
        <n v="3630.7528713506445" u="1"/>
        <n v="4946.1663978448569" u="1"/>
        <n v="22321.728000000003" u="1"/>
        <n v="47980.150474641865" u="1"/>
        <n v="1148.6483131053685" u="1"/>
        <n v="147.23251199999999" u="1"/>
        <n v="977.98919804629031" u="1"/>
        <n v="13024.720426837917" u="1"/>
        <n v="30761.726228501662" u="1"/>
        <n v="977.98919804629054" u="1"/>
        <n v="6703.6607782690508" u="1"/>
        <n v="11987.353313195963" u="1"/>
        <n v="12877.03966037035" u="1"/>
        <n v="5690.3237692215971" u="1"/>
        <n v="41321.284068319641" u="1"/>
        <n v="1477.690953718469" u="1"/>
        <n v="17837.110137600008" u="1"/>
        <n v="275.33452141246983" u="1"/>
        <n v="820.27071380711141" u="1"/>
        <n v="20578.289854319733" u="1"/>
        <n v="1168.6090726374925" u="1"/>
        <n v="3519.6356113074826" u="1"/>
        <n v="48.859362345194626" u="1"/>
        <n v="123.04326597919889" u="1"/>
        <n v="4993.4498347943672" u="1"/>
        <n v="165.01096256828592" u="1"/>
        <n v="6425.934550024801" u="1"/>
        <n v="9130.3674402175911" u="1"/>
        <n v="1604.1367524835441" u="1"/>
        <n v="5623.1548531366998" u="1"/>
        <n v="6832.2207527931005" u="1"/>
        <n v="121.50096828183352" u="1"/>
        <n v="1544.8175258284602" u="1"/>
        <n v="1827.9011008803402" u="1"/>
        <n v="2766.3373099443234" u="1"/>
        <n v="10002.482163275186" u="1"/>
        <n v="66.648435575492584" u="1"/>
        <n v="89.463764190539933" u="1"/>
        <n v="1415.7498066856986" u="1"/>
        <n v="398.42383438307661" u="1"/>
        <n v="7277.2329640170592" u="1"/>
        <n v="2011.282916261858" u="1"/>
        <n v="800.30001051615989" u="1"/>
        <n v="4027.8299389999993" u="1"/>
        <n v="6713.8573090621776" u="1"/>
        <n v="22012.980033956985" u="1"/>
        <n v="31728.72823264161" u="1"/>
        <n v="3026.3110806276845" u="1"/>
        <n v="50873.58659955387" u="1"/>
        <n v="10330.767681719575" u="1"/>
        <n v="10918.668041539451" u="1"/>
        <n v="16245.930816107144" u="1"/>
        <n v="14882.499647880733" u="1"/>
        <n v="1332.9668635808162" u="1"/>
        <n v="8353.6868196729847" u="1"/>
        <n v="27238.643171065582" u="1"/>
        <n v="795.26267743999983" u="1"/>
        <n v="2417.7137233101494" u="1"/>
        <n v="3349.4239317649935" u="1"/>
        <n v="9449.735827036573" u="1"/>
        <n v="176.65092887910802" u="1"/>
        <n v="28101.266488372501" u="1"/>
        <n v="56791.422052424292" u="1"/>
        <n v="693.50051445146676" u="1"/>
        <n v="2805.6677420962355" u="1"/>
        <n v="5475.9611155724906" u="1"/>
        <n v="13265.024120699458" u="1"/>
        <n v="316.49287131409466" u="1"/>
        <n v="20.083706745593467" u="1"/>
        <n v="1156.3499780399832" u="1"/>
        <n v="1197.6980777225572" u="1"/>
        <n v="1775.4706198389422" u="1"/>
        <n v="4040.8097243334469" u="1"/>
        <n v="9225.843635676858" u="1"/>
        <n v="28295.65229174482" u="1"/>
        <n v="61426.192093437799" u="1"/>
        <n v="380.68229533951865" u="1"/>
        <n v="4850.086217876953" u="1"/>
        <n v="1086.6286569419387" u="1"/>
        <n v="133.63244402104513" u="1"/>
        <n v="776.54864159999988" u="1"/>
        <n v="12458.801925946751" u="1"/>
        <n v="21801.877198052061" u="1"/>
        <n v="1444.5599018856601" u="1"/>
        <n v="1724.8718740956745" u="1"/>
        <n v="2323.5429690199935" u="1"/>
        <n v="7253.1411699304499" u="1"/>
        <n v="14766.239763073205" u="1"/>
        <n v="51534.580156384982" u="1"/>
        <n v="178.67862648305726" u="1"/>
        <n v="4007.641370655519" u="1"/>
        <n v="4328.4142710696051" u="1"/>
        <n v="16400.275754112285" u="1"/>
        <n v="45854.379010626231" u="1"/>
        <n v="316.05205761792558" u="1"/>
        <n v="607.5288125933223" u="1"/>
        <n v="4673.8817573169345" u="1"/>
        <n v="5483.2943652318472" u="1"/>
        <n v="149.49800510814279" u="1"/>
        <n v="834.3470325396986" u="1"/>
        <n v="2878.5618864556263" u="1"/>
        <n v="26827.165959104892" u="1"/>
        <n v="3735.2647862515955" u="1"/>
        <n v="6793.2393493628433" u="1"/>
        <n v="3797.0757972886922" u="1"/>
        <n v="7481.59516666333" u="1"/>
        <n v="1320.0577373375504" u="1"/>
        <n v="4417.0973816248015" u="1"/>
        <n v="17981.930418037438" u="1"/>
        <n v="42284.934745885374" u="1"/>
        <n v="262.22335308390529" u="1"/>
        <n v="7900.3138967739515" u="1"/>
        <n v="13561.77604339903" u="1"/>
        <n v="114.68160000000003" u="1"/>
        <n v="42224.037714631275" u="1"/>
        <n v="4204.7874727479566" u="1"/>
        <n v="170.22760601532741" u="1"/>
        <n v="108.92354666562218" u="1"/>
        <n v="609.3571267541281" u="1"/>
        <n v="80190.835537054343" u="1"/>
        <n v="14524.890512635067" u="1"/>
        <n v="2222.6407341232079" u="1"/>
        <n v="4955.7167704009144" u="1"/>
        <n v="9970.7633481339853" u="1"/>
        <n v="16930.208357054595" u="1"/>
        <n v="285.29248892607689" u="1"/>
        <n v="18228.450700840629" u="1"/>
        <n v="501.08499048399244" u="1"/>
        <n v="16355.64685082665" u="1"/>
        <n v="1255.341774172633" u="1"/>
        <n v="4367.2960115056821" u="1"/>
        <n v="28435.271715503775" u="1"/>
        <n v="33331.50185141433" u="1"/>
        <n v="68067.951161283912" u="1"/>
        <n v="135.53280000000001" u="1"/>
        <n v="768.82175831413997" u="1"/>
        <n v="809.90708254038202" u="1"/>
        <n v="4262.8322366594602" u="1"/>
        <n v="690.36868733336428" u="1"/>
        <n v="1792.5056478013798" u="1"/>
        <n v="3271.6749296280504" u="1"/>
        <n v="7555.6022478863224" u="1"/>
        <n v="22224.072000000004" u="1"/>
        <n v="48414.856156619804" u="1"/>
        <n v="8419.0898677527821" u="1"/>
        <n v="60458.859343573349" u="1"/>
        <n v="29209.340160000003" u="1"/>
        <n v="431.87930684379899" u="1"/>
        <n v="2847.9673354011989" u="1"/>
        <n v="2523.1499064929817" u="1"/>
        <n v="941.78594152073447" u="1"/>
        <n v="14278.881058369898" u="1"/>
        <n v="180.47568163446738" u="1"/>
        <n v="27231.201358890023" u="1"/>
        <n v="8187.5159969296765" u="1"/>
        <n v="2441.5940282700544" u="1"/>
        <n v="28432.278212049798" u="1"/>
        <n v="49.605444000000013" u="1"/>
        <n v="2200.6967201388297" u="1"/>
        <n v="2376.5333333333338" u="1"/>
        <n v="2593.4002062222221" u="1"/>
        <n v="395.05472541151107" u="1"/>
        <n v="7627.8276046840583" u="1"/>
        <n v="10302.941560489453" u="1"/>
        <n v="15156.051157513106" u="1"/>
        <n v="17055.895859982535" u="1"/>
        <n v="1541.0739883813558" u="1"/>
        <n v="1142.2944000000002" u="1"/>
        <n v="5542.6740864283311" u="1"/>
        <n v="8336.6115391875101" u="1"/>
        <n v="9283.1749551578978" u="1"/>
        <n v="3387.548505737047" u="1"/>
        <n v="60577.602482626397" u="1"/>
        <n v="12746.870499085584" u="1"/>
        <n v="23195.843014704984" u="1"/>
        <n v="46.431633390758464" u="1"/>
        <n v="1721.9798388697386" u="1"/>
        <n v="7761.5493089020501" u="1"/>
        <n v="13702.60469477297" u="1"/>
        <n v="8157.4079999999994" u="1"/>
        <n v="1664.1258187516746" u="1"/>
        <n v="8047.2793118569898" u="1"/>
        <n v="8116.4371192637354" u="1"/>
        <n v="9667.830718186764" u="1"/>
        <n v="27052.740000000005" u="1"/>
        <n v="70942.611600000004" u="1"/>
        <n v="22879.98089125759" u="1"/>
        <n v="25379.474530620828" u="1"/>
        <n v="7999.1723073599987" u="1"/>
        <n v="27249.71302516379" u="1"/>
        <n v="144.53981748009551" u="1"/>
        <n v="2313.7518955075343" u="1"/>
        <n v="11072.096261593644" u="1"/>
        <n v="4744.9288162956445" u="1"/>
        <n v="15753.84234496006" u="1"/>
        <n v="14087.410475072145" u="1"/>
        <n v="184.1413069463824" u="1"/>
        <n v="7458.2646074536842" u="1"/>
        <n v="24867.504452164743" u="1"/>
        <n v="1529.2757550683186" u="1"/>
        <n v="1998.777318479672" u="1"/>
        <n v="43468.691867652611" u="1"/>
        <n v="7916.2792308524731" u="1"/>
        <n v="1215.5925439389607" u="1"/>
        <n v="1370.9258256602548" u="1"/>
        <n v="2817.0280286010507" u="1"/>
        <n v="83.054204332536926" u="1"/>
      </sharedItems>
    </cacheField>
    <cacheField name="Total Cost" numFmtId="0">
      <sharedItems containsNonDate="0" containsString="0" containsBlank="1" containsNumber="1" minValue="15.007549865644719" maxValue="1964030.5299473463" count="4965">
        <m/>
        <n v="462.50622313843905" u="1"/>
        <n v="15439.344346078695" u="1"/>
        <n v="36313.000890367912" u="1"/>
        <n v="14635.963810290868" u="1"/>
        <n v="17061.713559776123" u="1"/>
        <n v="34697.007003590523" u="1"/>
        <n v="3724.787892346787" u="1"/>
        <n v="323.03470216812838" u="1"/>
        <n v="1115.0598571421629" u="1"/>
        <n v="6446.7935831043105" u="1"/>
        <n v="22208.290083105716" u="1"/>
        <n v="10745.262251802065" u="1"/>
        <n v="5709.4398134155163" u="1"/>
        <n v="20613.787429463799" u="1"/>
        <n v="1888.2243854206363" u="1"/>
        <n v="2698.7026079208717" u="1"/>
        <n v="963.8223599717403" u="1"/>
        <n v="32600.012589480404" u="1"/>
        <n v="89807.197216199449" u="1"/>
        <n v="94935.702200204352" u="1"/>
        <n v="58938.90237707545" u="1"/>
        <n v="112332.58923343355" u="1"/>
        <n v="32408.887467857916" u="1"/>
        <n v="114350.78980446422" u="1"/>
        <n v="27788.926282705212" u="1"/>
        <n v="507.03224597617361" u="1"/>
        <n v="8173.2136125603574" u="1"/>
        <n v="7384.2286286874896" u="1"/>
        <n v="4727.9935167506037" u="1"/>
        <n v="11120.13754826472" u="1"/>
        <n v="4055.7480479516212" u="1"/>
        <n v="3687.5072434630802" u="1"/>
        <n v="221.25043460778483" u="1"/>
        <n v="344.98415004588492" u="1"/>
        <n v="7569.5022733001388" u="1"/>
        <n v="25015.527441886527" u="1"/>
        <n v="222.23815976228383" u="1"/>
        <n v="7139.3753410708296" u="1"/>
        <n v="12697.631906745894" u="1"/>
        <n v="1320.9178584020042" u="1"/>
        <n v="3131.4066713166394" u="1"/>
        <n v="155982.40539412713" u="1"/>
        <n v="5717.8761505323491" u="1"/>
        <n v="5979.2647745566846" u="1"/>
        <n v="20592.364132212355" u="1"/>
        <n v="7017.1902459739449" u="1"/>
        <n v="11679.888036121049" u="1"/>
        <n v="11329.916601798161" u="1"/>
        <n v="347.64327782788405" u="1"/>
        <n v="244.13813142556177" u="1"/>
        <n v="197.54503089980787" u="1"/>
        <n v="3786.8003723798347" u="1"/>
        <n v="1681.4844892066983" u="1"/>
        <n v="3986.1765163711243" u="1"/>
        <n v="4424.0609240731328" u="1"/>
        <n v="24759.247071722264" u="1"/>
        <n v="2888.591396881342" u="1"/>
        <n v="500.98715213443086" u="1"/>
        <n v="8783.0625726088747" u="1"/>
        <n v="19983.697155714985" u="1"/>
        <n v="7887.1511361207449" u="1"/>
        <n v="185.88663563358969" u="1"/>
        <n v="3493.0338554149703" u="1"/>
        <n v="1810.4124492203871" u="1"/>
        <n v="1760.9728468782873" u="1"/>
        <n v="53884.318329719659" u="1"/>
        <n v="155044.29411882811" u="1"/>
        <n v="6751.4967668374375" u="1"/>
        <n v="7106.1337504236417" u="1"/>
        <n v="426.3680250254186" u="1"/>
        <n v="2973.2955982768212" u="1"/>
        <n v="246.29439480929048" u="1"/>
        <n v="18805.780613648603" u="1"/>
        <n v="4972.5449055480476" u="1"/>
        <n v="11695.31707662324" u="1"/>
        <n v="5581.9771977763339" u="1"/>
        <n v="3188.5492586705104" u="1"/>
        <n v="17930.229603240758" u="1"/>
        <n v="10754.396955324484" u="1"/>
        <n v="4966.3838564623838" u="1"/>
        <n v="12321.47615509866" u="1"/>
        <n v="3441.0958852020422" u="1"/>
        <n v="5599.015938135025" u="1"/>
        <n v="65276.281417915256" u="1"/>
        <n v="15394.941791356614" u="1"/>
        <n v="6211.6423455458726" u="1"/>
        <n v="7482.249362696617" u="1"/>
        <n v="2094.9642816345749" u="1"/>
        <n v="29247.266619131249" u="1"/>
        <n v="19617.319040744809" u="1"/>
        <n v="2315.4868375961087" u="1"/>
        <n v="5489.1611045110549" u="1"/>
        <n v="40866.068062801773" u="1"/>
        <n v="2824.5806056275819" u="1"/>
        <n v="6127.1154089039446" u="1"/>
        <n v="676.1589072279163" u="1"/>
        <n v="57267.687414650209" u="1"/>
        <n v="16893.556039805462" u="1"/>
        <n v="270.6366923327368" u="1"/>
        <n v="9864.7090033459644" u="1"/>
        <n v="3567.2947108117392" u="1"/>
        <n v="31306.511254423523" u="1"/>
        <n v="10434.192588690988" u="1"/>
        <n v="24540.993209963519" u="1"/>
        <n v="32495.324412133883" u="1"/>
        <n v="33208.157157539303" u="1"/>
        <n v="40418.731269512289" u="1"/>
        <n v="184011.41121475431" u="1"/>
        <n v="11130.023029369859" u="1"/>
        <n v="18846.294083364715" u="1"/>
        <n v="2677.8326410862846" u="1"/>
        <n v="5056.4916088961409" u="1"/>
        <n v="40327.501511274269" u="1"/>
        <n v="42997.960509714132" u="1"/>
        <n v="423232.02770188294" u="1"/>
        <n v="144810.56703824041" u="1"/>
        <n v="20770.706244740377" u="1"/>
        <n v="8014.932562778331" u="1"/>
        <n v="65901.787583129728" u="1"/>
        <n v="33029.49989771987" u="1"/>
        <n v="107009.53803666322" u="1"/>
        <n v="2263.4878984088627" u="1"/>
        <n v="34423.45847408734" u="1"/>
        <n v="81605.261697311944" u="1"/>
        <n v="67810.685958171773" u="1"/>
        <n v="261909.14710825292" u="1"/>
        <n v="44490.425665239512" u="1"/>
        <n v="234784.4780167797" u="1"/>
        <n v="149605.14598474614" u="1"/>
        <n v="354658.35306873388" u="1"/>
        <n v="104618.98320611617" u="1"/>
        <n v="57060.211355046958" u="1"/>
        <n v="3252.7077004326293" u="1"/>
        <n v="7710.9644087179113" u="1"/>
        <n v="291.45988165545424" u="1"/>
        <n v="146662.98093804758" u="1"/>
        <n v="91101.347369221709" u="1"/>
        <n v="9276.0482049847633" u="1"/>
        <n v="47237.316897303746" u="1"/>
        <n v="114075.0222301373" u="1"/>
        <n v="12128.74057788438" u="1"/>
        <n v="19951.122851415021" u="1"/>
        <n v="95381.142626542147" u="1"/>
        <n v="13245.952053704419" u="1"/>
        <n v="47547.651832548734" u="1"/>
        <n v="65978.321962956921" u="1"/>
        <n v="61670.036013883218" u="1"/>
        <n v="56417.341840945817" u="1"/>
        <n v="23186.173326212964" u="1"/>
        <n v="8104.5894605303702" u="1"/>
        <n v="62900.974856475703" u="1"/>
        <n v="9027.642134675305" u="1"/>
        <n v="37311.362689578011" u="1"/>
        <n v="37764.487708412722" u="1"/>
        <n v="7185.2661888231996" u="1"/>
        <n v="111896.53046844565" u="1"/>
        <n v="66673.100195587962" u="1"/>
        <n v="9965.4412909278071" u="1"/>
        <n v="27454.801197915003" u="1"/>
        <n v="41515.041785182751" u="1"/>
        <n v="11412.567018738711" u="1"/>
        <n v="1137.3103847666532" u="1"/>
        <n v="33642.232325778394" u="1"/>
        <n v="4747.2747484013044" u="1"/>
        <n v="9661.644483064716" u="1"/>
        <n v="7566.6802014301411" u="1"/>
        <n v="17937.794323670052" u="1"/>
        <n v="12066.859248405377" u="1"/>
        <n v="28606.050945520434" u="1"/>
        <n v="44903.598608099725" u="1"/>
        <n v="3652.4048331129088" u="1"/>
        <n v="8658.4981708061277" u="1"/>
        <n v="9511.5773416171141" u="1"/>
        <n v="2860.6247643961251" u="1"/>
        <n v="82431.595781125914" u="1"/>
        <n v="77673.008091504642" u="1"/>
        <n v="8851.2733519378089" u="1"/>
        <n v="117359.17195154748" u="1"/>
        <n v="278215.09994108108" u="1"/>
        <n v="10339.886277776828" u="1"/>
        <n v="15519.673657294403" u="1"/>
        <n v="12464.150759154543" u="1"/>
        <n v="12624.916328797832" u="1"/>
        <n v="466202.94868301594" u="1"/>
        <n v="66117.29596800427" u="1"/>
        <n v="320942.96704264707" u="1"/>
        <n v="52303.412391871796" u="1"/>
        <n v="285773.33943260991" u="1"/>
        <n v="21533.076618248637" u="1"/>
        <n v="34536.967898987357" u="1"/>
        <n v="103448.38161024233" u="1"/>
        <n v="194030.17400804645" u="1"/>
        <n v="114004.02893672422" u="1"/>
        <n v="13824.427953387622" u="1"/>
        <n v="13736.876218512818" u="1"/>
        <n v="15237.205377701808" u="1"/>
        <n v="33528.42942680468" u="1"/>
        <n v="153786.29510980812" u="1"/>
        <n v="25433.344434934275" u="1"/>
        <n v="59818.670949286083" u="1"/>
        <n v="11201.543467591566" u="1"/>
        <n v="2752.1147468243144" u="1"/>
        <n v="2056.1415169749125" u="1"/>
        <n v="490.57016006785625" u="1"/>
        <n v="366815.64442530181" u="1"/>
        <n v="281350.73445065459" u="1"/>
        <n v="25222.267338100475" u="1"/>
        <n v="8820.9022384613672" u="1"/>
        <n v="9753.8822829140117" u="1"/>
        <n v="8147.7839949052141" u="1"/>
        <n v="424172.95966342732" u="1"/>
        <n v="3502.8058339544386" u="1"/>
        <n v="34499.057552828468" u="1"/>
        <n v="3267.3578003041994" u="1"/>
        <n v="2894.3585469951363" u="1"/>
        <n v="6969.506576328984" u="1"/>
        <n v="8873.7747793512444" u="1"/>
        <n v="55130.638990383537" u="1"/>
        <n v="3169.3370662950738" u="1"/>
        <n v="3366.9068811984234" u="1"/>
        <n v="2728.9666300239851" u="1"/>
        <n v="6469.3684446023135" u="1"/>
        <n v="40435.560742014408" u="1"/>
        <n v="115258.68935189588" u="1"/>
        <n v="13723.700227898273" u="1"/>
        <n v="12006.210805083529" u="1"/>
        <n v="82486.12058891858" u="1"/>
        <n v="2940.6220202737795" u="1"/>
        <n v="452018.84803418088" u="1"/>
        <n v="30639.601384303671" u="1"/>
        <n v="262276.4029243663" u="1"/>
        <n v="222394.26225116546" u="1"/>
        <n v="736421.96488337591" u="1"/>
        <n v="75356.888663527105" u="1"/>
        <n v="134322.29181639323" u="1"/>
        <n v="3920.8293603650391" u="1"/>
        <n v="30979.660205391665" u="1"/>
        <n v="59692.823286855491" u="1"/>
        <n v="22871.504602129397" u="1"/>
        <n v="13718.404923597765" u="1"/>
        <n v="110261.27798076704" u="1"/>
        <n v="24288.323471287847" u="1"/>
        <n v="14828.54469707379" u="1"/>
        <n v="116839.74875613692" u="1"/>
        <n v="68913.298737979421" u="1"/>
        <n v="446224.82186269906" u="1"/>
        <n v="9546.9817496400792" u="1"/>
        <n v="48443.754197656752" u="1"/>
        <n v="12599.085889550588" u="1"/>
        <n v="63930.887892559811" u="1"/>
        <n v="208035.74554199824" u="1"/>
        <n v="36625.249678926128" u="1"/>
        <n v="22139.642156790851" u="1"/>
        <n v="326415.56316454872" u="1"/>
        <n v="1700.18264299015" u="1"/>
        <n v="15652.328257771922" u="1"/>
        <n v="116570.57716820658" u="1"/>
        <n v="253560.90803217349" u="1"/>
        <n v="20000" u="1"/>
        <n v="12000" u="1"/>
        <n v="5000" u="1"/>
        <n v="30000" u="1"/>
        <n v="10000" u="1"/>
        <n v="1000" u="1"/>
        <n v="282.16160000000002" u="1"/>
        <n v="9419.0951076923084" u="1"/>
        <n v="22153.506092307696" u="1"/>
        <n v="8928.9760000000024" u="1"/>
        <n v="10408.855396800001" u="1"/>
        <n v="21167.635204800001" u="1"/>
        <n v="2272.3847999999998" u="1"/>
        <n v="197.07408000000001" u="1"/>
        <n v="28472.724000000002" u="1"/>
        <n v="629.36907074999999" u="1"/>
        <n v="680.26560000000006" u="1"/>
        <n v="3933.0013333333336" u="1"/>
        <n v="13548.632103999998" u="1"/>
        <n v="6555.3720959999991" u="1"/>
        <n v="3483.1632359999994" u="1"/>
        <n v="12575.872393" u="1"/>
        <n v="1151.9508000000001" u="1"/>
        <n v="840.83999999999992" u="1"/>
        <n v="1646.4" u="1"/>
        <n v="588" u="1"/>
        <n v="1294.2762" u="1"/>
        <n v="21418.190640000001" u="1"/>
        <n v="59003.279999999992" u="1"/>
        <n v="7504.5917333333327" u="1"/>
        <n v="3350.290524" u="1"/>
        <n v="60435.664472831268" u="1"/>
        <n v="37520.25471877979" u="1"/>
        <n v="71510.448808388945" u="1"/>
        <n v="20631.36" u="1"/>
        <n v="69762.092266666688" u="1"/>
        <n v="12643.542912000001" u="1"/>
        <n v="16953.216" u="1"/>
        <n v="371.59248000000002" u="1"/>
        <n v="309.32563199999998" u="1"/>
        <n v="4986.2400000000007" u="1"/>
        <n v="1900.2983999999997" u="1"/>
        <n v="4504.9031999999997" u="1"/>
        <n v="25265.148479999996" u="1"/>
        <n v="76561.056000000011" u="1"/>
        <n v="2884.4113846153846" u="1"/>
        <n v="6784.0726153846144" u="1"/>
        <n v="2474.2939687199996" u="1"/>
        <n v="2249.6409600000002" u="1"/>
        <n v="134.97845760000001" u="1"/>
        <n v="210.46480000000003" u="1"/>
        <n v="4617.9332640000011" u="1"/>
        <n v="15261.245999999999" u="1"/>
        <n v="135.58104000000003" u="1"/>
        <n v="4355.5253279999997" u="1"/>
        <n v="4845.9270300000007" u="1"/>
        <n v="7746.4560599999986" u="1"/>
        <n v="813.83232986036114" u="1"/>
        <n v="1929.2948239347024" u="1"/>
        <n v="96102.512046204938" u="1"/>
        <n v="636.74373000000014" u="1"/>
        <n v="3488.3099999999995" u="1"/>
        <n v="3647.7756000000008" u="1"/>
        <n v="12562.8026622" u="1"/>
        <n v="1820.1630461538462" u="1"/>
        <n v="4280.9837538461543" u="1"/>
        <n v="7196.1102141838728" u="1"/>
        <n v="6980.4888824198142" u="1"/>
        <n v="214.18692839631183" u="1"/>
        <n v="148.941576" u="1"/>
        <n v="120.51648" u="1"/>
        <n v="737.98410000000013" u="1"/>
        <n v="2310.2168111399997" u="1"/>
        <n v="1025.8248000000001" u="1"/>
        <n v="2431.8504000000003" u="1"/>
        <n v="2725.7136288840088" u="1"/>
        <n v="15254.450230799814" u="1"/>
        <n v="1779.6936059161769" u="1"/>
        <n v="7145.18" u="1"/>
        <n v="305.63769600000001" u="1"/>
        <n v="5358.2911199999999" u="1"/>
        <n v="12191.472636000002" u="1"/>
        <n v="4811.7215999999989" u="1"/>
        <n v="113.40403199999999" u="1"/>
        <n v="24931.200000000001" u="1"/>
        <n v="2130.9983999999999" u="1"/>
        <n v="1104.48" u="1"/>
        <n v="1074.3183360000003" u="1"/>
        <n v="32873.256000000001" u="1"/>
        <n v="94588.016140800013" u="1"/>
        <n v="4118.8918869000008" u="1"/>
        <n v="125.12640000000002" u="1"/>
        <n v="4335.2455999999993" u="1"/>
        <n v="260.11473599999994" u="1"/>
        <n v="1813.9212000000002" u="1"/>
        <n v="150.25704960000002" u="1"/>
        <n v="11472.86" u="1"/>
        <n v="3033.6050769230769" u="1"/>
        <n v="7134.9729230769217" u="1"/>
        <n v="3641.6780399999998" u="1"/>
        <n v="3405.4020000000005" u="1"/>
        <n v="1945.2412000000002" u="1"/>
        <n v="10938.711784000003" u="1"/>
        <n v="6560.9449130400008" u="1"/>
        <n v="3893.8739840000007" u="1"/>
        <n v="3029.8464000000004" u="1"/>
        <n v="3354.1025279999999" u="1"/>
        <n v="7591.3998609677737" u="1"/>
        <n v="2120.0978272144685" u="1"/>
        <n v="3449.6166108089369" u="1"/>
        <n v="40217.450201808817" u="1"/>
        <n v="9392.006400000002" u="1"/>
        <n v="3789.5424000000012" u="1"/>
        <n v="1018.5288959999998" u="1"/>
        <n v="4564.7028" u="1"/>
        <n v="1278.0768000000003" u="1"/>
        <n v="1046.377164" u="1"/>
        <n v="17842.907039999998" u="1"/>
        <n v="11967.955999999998" u="1"/>
        <n v="1412.6112000000001" u="1"/>
        <n v="3348.7775999999999" u="1"/>
        <n v="745.03627799999981" u="1"/>
        <n v="2434.2089333333333" u="1"/>
        <n v="5053.2202560000005" u="1"/>
        <n v="1723.1945066700005" u="1"/>
        <n v="3737.97497346" u="1"/>
        <n v="416.58909774362365" u="1"/>
        <n v="35283.26547932523" u="1"/>
        <n v="10408.309634131139" u="1"/>
        <n v="6484.1373333333331" u="1"/>
        <n v="165.10757760000001" u="1"/>
        <n v="6018.1721600000001" u="1"/>
        <n v="2176.3027888446213" u="1"/>
        <n v="19099.192322266492" u="1"/>
        <n v="6365.5975384615385" u="1"/>
        <n v="14971.746461538465" u="1"/>
        <n v="19824.452666666668" u="1"/>
        <n v="20259.331200000001" u="1"/>
        <n v="24658.292828120389" u="1"/>
        <n v="112260.0121016574" u="1"/>
        <n v="6790.1034599999994" u="1"/>
        <n v="11497.57609" u="1"/>
        <n v="1633.6678399999998" u="1"/>
        <n v="578.94538799999987" u="1"/>
        <n v="2644.1301600000002" u="1"/>
        <n v="62135.791200000007" u="1"/>
        <n v="16800" u="1"/>
        <n v="28703.075572499991" u="1"/>
        <n v="30603.773199999996" u="1"/>
        <n v="269427.70978200005" u="1"/>
        <n v="92152.008884571434" u="1"/>
        <n v="13272.732" u="1"/>
        <n v="4889.6773333333331" u="1"/>
        <n v="3170.16084" u="1"/>
        <n v="27184.357200000002" u="1"/>
        <n v="40204.764599999995" u="1"/>
        <n v="19600" u="1"/>
        <n v="21366.892799999998" u="1"/>
        <n v="69237.504000000001" u="1"/>
        <n v="1380.8881589999994" u="1"/>
        <n v="13860.495792" u="1"/>
        <n v="21000.751199999999" u="1"/>
        <n v="49784.997600000002" u="1"/>
        <n v="41369.328000000009" u="1"/>
        <n v="159783.15599999996" u="1"/>
        <n v="12861.977333333334" u="1"/>
        <n v="27142.315200000005" u="1"/>
        <n v="19843.824000000004" u="1"/>
        <n v="3590.3868000000002" u="1"/>
        <n v="143235.18399999998" u="1"/>
        <n v="91269.75" u="1"/>
        <n v="216366.75" u="1"/>
        <n v="63825" u="1"/>
        <n v="34810.775999999998" u="1"/>
        <n v="1984.3824000000004" u="1"/>
        <n v="4704.2351999999992" u="1"/>
        <n v="237.89605349999999" u="1"/>
        <n v="33314.080800000003" u="1"/>
        <n v="20651.148000000001" u="1"/>
        <n v="177.81120000000001" u="1"/>
        <n v="93365.030237676125" u="1"/>
        <n v="57994.730486306813" u="1"/>
        <n v="5905.0928571428567" u="1"/>
        <n v="30071.075142857146" u="1"/>
        <n v="72619.674247445655" u="1"/>
        <n v="2024.1394320000004" u="1"/>
        <n v="10746.367967999999" u="1"/>
        <n v="5507.5019999999995" u="1"/>
        <n v="7399.3920000000016" u="1"/>
        <n v="12171.6" u="1"/>
        <n v="62665.359120000008" u="1"/>
        <n v="14064.058008000002" u="1"/>
        <n v="8080.9702399999987" u="1"/>
        <n v="29007.439999999999" u="1"/>
        <n v="46960.032000000007" u="1"/>
        <n v="43893.611999999994" u="1"/>
        <n v="693.84" u="1"/>
        <n v="34418.579999999994" u="1"/>
        <n v="3851.4" u="1"/>
        <n v="14145.21024" u="1"/>
        <n v="51461.172000000006" u="1"/>
        <n v="18330.312000000002" u="1"/>
        <n v="14448.321887999999" u="1"/>
        <n v="15370.555200000003" u="1"/>
        <n v="4944.3744000000015" u="1"/>
        <n v="4742.3375999999998" u="1"/>
        <n v="36294.300000000003" u="1"/>
        <n v="14950.135200000002" u="1"/>
        <n v="38374.056000000004" u="1"/>
        <n v="1807.806" u="1"/>
        <n v="14938.363439999999" u="1"/>
        <n v="3316.3199999999997" u="1"/>
        <n v="22762.577599999997" u="1"/>
        <n v="23039.016" u="1"/>
        <n v="552.24" u="1"/>
        <n v="4383.521999999999" u="1"/>
        <n v="68264.820000000022" u="1"/>
        <n v="15600" u="1"/>
        <n v="47454.54" u="1"/>
        <n v="2564.5619999999999" u="1"/>
        <n v="6079.6259999999993" u="1"/>
        <n v="23543.52" u="1"/>
        <n v="6306.3" u="1"/>
        <n v="16749.375999999997" u="1"/>
        <n v="23879.855999999996" u="1"/>
        <n v="25327.119999999999" u="1"/>
        <n v="6962.4753333333319" u="1"/>
        <n v="13677.664000000001" u="1"/>
        <n v="20524.147840000005" u="1"/>
        <n v="2896.1743034700007" u="1"/>
        <n v="1538.7372" u="1"/>
        <n v="5894.2884000000004" u="1"/>
        <n v="4616.2115999999996" u="1"/>
        <n v="10943.326800000001" u="1"/>
        <n v="3842.6388000000006" u="1"/>
        <n v="1889.5800420000003" u="1"/>
        <n v="1925.5236" u="1"/>
        <n v="9249.2400000000016" u="1"/>
        <n v="21926.52" u="1"/>
        <n v="80.507313600000018" u="1"/>
        <n v="1010.7817019999998" u="1"/>
        <n v="1967.2998239999997" u="1"/>
        <n v="2228.2259999999997" u="1"/>
        <n v="6034.1814399999994" u="1"/>
        <n v="5282.2979999999998" u="1"/>
        <n v="5802.7367999999997" u="1"/>
        <n v="1745.184" u="1"/>
        <n v="50289.120000000003" u="1"/>
        <n v="47386.044000000009" u="1"/>
        <n v="5399.9045333333343" u="1"/>
        <n v="2912.546933333334" u="1"/>
        <n v="1434.72" u="1"/>
        <n v="10070.180119999997" u="1"/>
        <n v="2099.5333799999999" u="1"/>
        <n v="40457.314754999992" u="1"/>
        <n v="74461.315499999982" u="1"/>
        <n v="176520.18149999995" u="1"/>
        <n v="6308.0640000000003" u="1"/>
        <n v="16900.884000000002" u="1"/>
        <n v="9468.1016849999978" u="1"/>
        <n v="7604.0159999999978" u="1"/>
        <n v="2046.8212380000002" u="1"/>
        <n v="7702.0944" u="1"/>
        <n v="5125.3337519999995" u="1"/>
        <n v="7132.551066666666" u="1"/>
        <n v="791.62734000000012" u="1"/>
        <n v="295793.5393686" u="1"/>
        <n v="40336.239999999998" u="1"/>
        <n v="199452.86871428572" u="1"/>
        <n v="32820.470999999998" u="1"/>
        <n v="181315.68615502294" u="1"/>
        <n v="13136.703999999998" u="1"/>
        <n v="21070" u="1"/>
        <n v="65854.8" u="1"/>
        <n v="123518.78400000001" u="1"/>
        <n v="69550.543542857151" u="1"/>
        <n v="8433.8815680000007" u="1"/>
        <n v="8380.4687999999987" u="1"/>
        <n v="9295.7759999999998" u="1"/>
        <n v="27347.480160000003" u="1"/>
        <n v="568.53124649999995" u="1"/>
        <n v="18999.05616" u="1"/>
        <n v="20454.719999999998" u="1"/>
        <n v="93820.547520000007" u="1"/>
        <n v="32971.908060000002" u="1"/>
        <n v="523.16241600000001" u="1"/>
        <n v="18102.167999999998" u="1"/>
        <n v="42575.904000000002" u="1"/>
        <n v="893.7600000000001" u="1"/>
        <n v="6833.7359999999999" u="1"/>
        <n v="1822.630656" u="1"/>
        <n v="2051.6496000000002" u="1"/>
        <n v="1678.9851930599998" u="1"/>
        <n v="1254.3921599999999" u="1"/>
        <n v="540.9817559999999" u="1"/>
        <n v="48692.828799999996" u="1"/>
        <n v="5094.6560280000003" u="1"/>
        <n v="299.28259200000002" u="1"/>
        <n v="233513.28000000003" u="1"/>
        <n v="171643.90319999994" u="1"/>
        <n v="15387.371999999999" u="1"/>
        <n v="3077.4744000000001" u="1"/>
        <n v="5381.3760000000002" u="1"/>
        <n v="1881.6000000000004" u="1"/>
        <n v="5950.5599999999995" u="1"/>
        <n v="415.96231687500011" u="1"/>
        <n v="3546.3167880000005" u="1"/>
        <n v="4970.7261296000006" u="1"/>
        <n v="261337.72500000003" u="1"/>
        <n v="7172.3651999999993" u="1"/>
        <n v="29093.064000000006" u="1"/>
        <n v="2136.96" u="1"/>
        <n v="21046.872000000003" u="1"/>
        <n v="21259.466666666667" u="1"/>
        <n v="13783.308000000001" u="1"/>
        <n v="1303.5455999999999" u="1"/>
        <n v="1126.3298943750001" u="1"/>
        <n v="1993.3200000000002" u="1"/>
        <n v="13453.439999999999" u="1"/>
        <n v="1765.7640000000004" u="1"/>
        <n v="882" u="1"/>
        <n v="4251.8933333333325" u="1"/>
        <n v="416.17699200000004" u="1"/>
        <n v="3363.3599999999997" u="1"/>
        <n v="5413.6320000000005" u="1"/>
        <n v="33633.599999999999" u="1"/>
        <n v="3510.5070000000001" u="1"/>
        <n v="1261.2600000000002" u="1"/>
        <n v="1933.5203999999999" u="1"/>
        <n v="2396.3940000000002" u="1"/>
        <n v="1664.8632000000002" u="1"/>
        <n v="3946.7735999999995" u="1"/>
        <n v="5213.2080000000005" u="1"/>
        <n v="24668.560000000001" u="1"/>
        <n v="5045.0400000000009" u="1"/>
        <n v="3528" u="1"/>
        <n v="30208.264615384614" u="1"/>
        <n v="70315.975384615391" u="1"/>
        <n v="2438.4359999999997" u="1"/>
        <n v="8372.4305112000002" u="1"/>
        <n v="7324.6401480000004" u="1"/>
        <n v="3826.3265040000006" u="1"/>
        <n v="7668.4608000000007" u="1"/>
        <n v="9556.130266666667" u="1"/>
        <n v="58709.448000000004" u="1"/>
        <n v="1793.9880000000003" u="1"/>
        <n v="299263.4083296" u="1"/>
        <n v="19505.04" u="1"/>
        <n v="166964.04323055601" u="1"/>
        <n v="135676.27359" u="1"/>
        <n v="449269.63031250006" u="1"/>
        <n v="45973.046875" u="1"/>
        <n v="166009.1915625" u="1"/>
        <n v="81946.125000000015" u="1"/>
        <n v="2391.9839999999995" u="1"/>
        <n v="34642.608" u="1"/>
        <n v="16859.402560000002" u="1"/>
        <n v="2681.2800000000007" u="1"/>
        <n v="18899.789999999997" u="1"/>
        <n v="36416.856" u="1"/>
        <n v="8324.3160000000007" u="1"/>
        <n v="2942.94" u="1"/>
        <n v="5885.88" u="1"/>
        <n v="13953.239999999998" u="1"/>
        <n v="8369.2000000000007" u="1"/>
        <n v="72441.599999999991" u="1"/>
        <n v="3027.1128533333331" u="1"/>
        <n v="14817.6" u="1"/>
        <n v="9046.4639999999999" u="1"/>
        <n v="75860.95872000001" u="1"/>
        <n v="42042" u="1"/>
        <n v="274924.125" u="1"/>
        <n v="5824.3360000000011" u="1"/>
        <n v="29554.126" u="1"/>
        <n v="8967.3920000000016" u="1"/>
        <n v="45502.772000000004" u="1"/>
        <n v="132167.51999999999" u="1"/>
        <n v="22344" u="1"/>
        <n v="13506.752" u="1"/>
        <n v="207794.76" u="1"/>
        <n v="1037.2320000000002" u="1"/>
        <n v="1681.6799999999998" u="1"/>
        <n v="32.927999999999997" u="1"/>
        <n v="1387.68" u="1"/>
        <n v="2315.7527400000008" u="1"/>
        <n v="9549.0303999999996" u="1"/>
        <n v="47621.205333333332" u="1"/>
        <n v="71116.320000000007" u="1"/>
        <n v="158968.70949333336" u="1"/>
        <n v="20180.160000000003" u="1"/>
        <n v="454.4858840088707" u="1"/>
        <n v="15171.61005105999" u="1"/>
        <n v="35683.295672615866" u="1"/>
        <n v="14382.160969649987" u="1"/>
        <n v="16765.845694577692" u="1"/>
        <n v="34095.32480121612" u="1"/>
        <n v="3660.1961947916407" u="1"/>
        <n v="317.43294432706261" u="1"/>
        <n v="1013.7430411780176" u="1"/>
        <n v="1095.7235590414318" u="1"/>
        <n v="6334.9994747267792" u="1"/>
        <n v="21823.175226173254" u="1"/>
        <n v="10558.928224314168" u="1"/>
        <n v="5610.4321865932816" u="1"/>
        <n v="20256.322907565584" u="1"/>
        <n v="1855.4806099509146" u="1"/>
        <n v="2651.9042968008575" u="1"/>
        <n v="947.10867742887774" u="1"/>
        <n v="32034.694452090571" u="1"/>
        <n v="88249.846975456108" u="1"/>
        <n v="93289.418347021594" u="1"/>
        <n v="57916.840486143497" u="1"/>
        <n v="110384.6252582873" u="1"/>
        <n v="31846.883638935527" u="1"/>
        <n v="112367.82813155444" u="1"/>
        <n v="27307.0373876294" u="1"/>
        <n v="598.53479978795349" u="1"/>
        <n v="498.23977928294511" u="1"/>
        <n v="8031.4815845968833" u="1"/>
        <n v="7256.178421253604" u="1"/>
        <n v="4646.0051898705351" u="1"/>
        <n v="10927.3027930925" u="1"/>
        <n v="3985.4171569466798" u="1"/>
        <n v="3623.5620311486919" u="1"/>
        <n v="217.41372186892156" u="1"/>
        <n v="339.00176594104295" u="1"/>
        <n v="7438.2392280984022" u="1"/>
        <n v="24581.732168327806" u="1"/>
        <n v="218.38431884155068" u="1"/>
        <n v="7015.5711444048602" u="1"/>
        <n v="12477.441758074001" u="1"/>
        <n v="1298.0117683719113" u="1"/>
        <n v="3077.1048215250216" u="1"/>
        <n v="153277.50819076074" u="1"/>
        <n v="5618.7222288468174" u="1"/>
        <n v="5875.5781021655293" u="1"/>
        <n v="20235.271112578615" u="1"/>
        <n v="6895.5048659859576" u="1"/>
        <n v="11477.346625090051" u="1"/>
        <n v="11133.444059570447" u="1"/>
        <n v="341.61478168057971" u="1"/>
        <n v="239.90452221008962" u="1"/>
        <n v="194.11939452582277" u="1"/>
        <n v="3721.1333138992595" u="1"/>
        <n v="1652.3257986424201" u="1"/>
        <n v="3917.0520681103526" u="1"/>
        <n v="4347.3431045805355" u="1"/>
        <n v="24329.895966432279" u="1"/>
        <n v="2838.5002165886012" u="1"/>
        <n v="492.29951365811127" u="1"/>
        <n v="8630.7551291532327" u="1"/>
        <n v="19637.15905474883" u="1"/>
        <n v="7750.3797291359915" u="1"/>
        <n v="182.66316796364305" u="1"/>
        <n v="3432.4610139915885" u="1"/>
        <n v="1779.0180136847735" u="1"/>
        <n v="1730.435745487335" u="1"/>
        <n v="52949.908185273671" u="1"/>
        <n v="152355.66474104492" u="1"/>
        <n v="6634.4187882217584" u="1"/>
        <n v="6982.9059975261234" u="1"/>
        <n v="418.97435985156744" u="1"/>
        <n v="2921.7355590003444" u="1"/>
        <n v="242.0233937432335" u="1"/>
        <n v="18479.668811099786" u="1"/>
        <n v="4886.3158031396997" u="1"/>
        <n v="11492.508109976594" u="1"/>
        <n v="5485.1799053293453" u="1"/>
        <n v="3133.2564969594609" u="1"/>
        <n v="17619.300766190339" u="1"/>
        <n v="10567.904522573193" u="1"/>
        <n v="4880.2615930555221" u="1"/>
        <n v="12107.808938536253" u="1"/>
        <n v="3381.4237022216589" u="1"/>
        <n v="5501.9231762020463" u="1"/>
        <n v="64144.322780610353" u="1"/>
        <n v="15127.97748283598" u="1"/>
        <n v="6103.9260042936321" u="1"/>
        <n v="7352.49937374812" u="1"/>
        <n v="2058.6354212594088" u="1"/>
        <n v="28740.088585273483" u="1"/>
        <n v="19277.1343174949" u="1"/>
        <n v="2275.3338866551353" u="1"/>
        <n v="5393.9733396929441" u="1"/>
        <n v="3920.8510262498171" u="1"/>
        <n v="40157.407922984414" u="1"/>
        <n v="2775.5994390560058" u="1"/>
        <n v="6020.8648526801771" u="1"/>
        <n v="664.4336082586459" u="1"/>
        <n v="56274.606130003092" u="1"/>
        <n v="16600.604200964903" u="1"/>
        <n v="265.94357050037723" u="1"/>
        <n v="9693.6446853688667" u="1"/>
        <n v="3505.4341088901492" u="1"/>
        <n v="30763.623776023116" u="1"/>
        <n v="10253.252832817736" u="1"/>
        <n v="24115.426853721387" u="1"/>
        <n v="31931.821676663356" u="1"/>
        <n v="32632.293160587753" u="1"/>
        <n v="39717.828415127682" u="1"/>
        <n v="180820.46188733084" u="1"/>
        <n v="10937.016849669808" u="1"/>
        <n v="18519.479735098277" u="1"/>
        <n v="2631.3962369055971" u="1"/>
        <n v="4968.806783308346" u="1"/>
        <n v="39628.180675818658" u="1"/>
        <n v="42252.331136713314" u="1"/>
        <n v="415892.74398450932" u="1"/>
        <n v="142299.40113584316" u="1"/>
        <n v="20410.520587317136" u="1"/>
        <n v="7875.9452929035615" u="1"/>
        <n v="64758.982018104361" u="1"/>
        <n v="32456.734003539765" u="1"/>
        <n v="105153.88130770375" u="1"/>
        <n v="2224.2366631763393" u="1"/>
        <n v="33826.519887831491" u="1"/>
        <n v="80190.14155227186" u="1"/>
        <n v="66634.77810918614" u="1"/>
        <n v="257367.36999076876" u="1"/>
        <n v="43718.915393587966" u="1"/>
        <n v="230713.07088354073" u="1"/>
        <n v="147010.83709483725" u="1"/>
        <n v="348508.20821783104" u="1"/>
        <n v="102804.78118520089" u="1"/>
        <n v="56070.727921144404" u="1"/>
        <n v="3196.3023645869762" u="1"/>
        <n v="7577.2482629019942" u="1"/>
        <n v="286.40566405449266" u="1"/>
        <n v="144119.69225126065" u="1"/>
        <n v="89521.555218310343" u="1"/>
        <n v="9115.1918777306928" u="1"/>
        <n v="46418.172673651083" u="1"/>
        <n v="112096.84265389216" u="1"/>
        <n v="11918.415596764997" u="1"/>
        <n v="19605.149622777768" u="1"/>
        <n v="93727.134372902714" u="1"/>
        <n v="13016.253463177751" u="1"/>
        <n v="46723.126078227077" u="1"/>
        <n v="64834.18921215419" u="1"/>
        <n v="60600.6134240471" u="1"/>
        <n v="1117.5882393660756" u="1"/>
        <n v="55439.006433299357" u="1"/>
        <n v="22784.100956394243" u="1"/>
        <n v="7964.0474467639488" u="1"/>
        <n v="61810.206506363407" u="1"/>
        <n v="6203.5618371591499" u="1"/>
        <n v="8871.0934271375827" u="1"/>
        <n v="36664.344839469719" u="1"/>
        <n v="37109.612199018273" u="1"/>
        <n v="7060.6661971095036" u="1"/>
        <n v="109956.12820598704" u="1"/>
        <n v="65516.919267340767" u="1"/>
        <n v="9792.6301702758792" u="1"/>
        <n v="26978.706379454059" u="1"/>
        <n v="40795.127765786528" u="1"/>
        <n v="11214.661232286595" u="1"/>
        <n v="33058.841013770674" u="1"/>
        <n v="4664.9520649030155" u="1"/>
        <n v="9494.1015151502997" u="1"/>
        <n v="7435.4660938908901" u="1"/>
        <n v="17626.734306496586" u="1"/>
        <n v="11857.607353924357" u="1"/>
        <n v="28109.992258603907" u="1"/>
        <n v="44124.923487728054" u="1"/>
        <n v="3589.068333116732" u="1"/>
        <n v="9719.4312976263282" u="1"/>
        <n v="8508.3508036823223" u="1"/>
        <n v="9346.6366940746229" u="1"/>
        <n v="2811.0185546089087" u="1"/>
        <n v="81002.146143302918" u="1"/>
        <n v="76326.077315351373" u="1"/>
        <n v="8697.7830625978477" u="1"/>
        <n v="62659.396045806949" u="1"/>
        <n v="115324.04180209867" u="1"/>
        <n v="273390.56063574442" u="1"/>
        <n v="10160.581891457001" u="1"/>
        <n v="15250.546368439587" u="1"/>
        <n v="12248.009416510246" u="1"/>
        <n v="12405.987143905384" u="1"/>
        <n v="458118.50448620057" u="1"/>
        <n v="64970.75326335679" u="1"/>
        <n v="315377.48206502886" u="1"/>
        <n v="51396.416801261301" u="1"/>
        <n v="280817.73239042587" u="1"/>
        <n v="21159.670665331032" u="1"/>
        <n v="33938.060941201446" u="1"/>
        <n v="101654.47903896648" u="1"/>
        <n v="190665.48890964102" u="1"/>
        <n v="112027.0804580527" u="1"/>
        <n v="13584.69798887801" u="1"/>
        <n v="13498.664492180225" u="1"/>
        <n v="14972.976382712761" u="1"/>
        <n v="32947.01157547281" u="1"/>
        <n v="151119.48074374214" u="1"/>
        <n v="24992.303779993228" u="1"/>
        <n v="58781.352955945869" u="1"/>
        <n v="11007.297049078417" u="1"/>
        <n v="2704.3902136423903" u="1"/>
        <n v="2020.4858837325733" u="1"/>
        <n v="67226.531610843667" u="1"/>
        <n v="482.06316307245993" u="1"/>
        <n v="360454.67949307122" u="1"/>
        <n v="276471.81998041208" u="1"/>
        <n v="24784.8869796363" u="1"/>
        <n v="8667.9386158290908" u="1"/>
        <n v="9584.7398155802421" u="1"/>
        <n v="8006.4929429704425" u="1"/>
        <n v="416817.35920683603" u="1"/>
        <n v="3442.0635362558064" u="1"/>
        <n v="33900.80799988925" u="1"/>
        <n v="3210.698416483895" u="1"/>
        <n v="2844.1673583189199" u="1"/>
        <n v="6848.648080785706" u="1"/>
        <n v="8719.8942918480425" u="1"/>
        <n v="54174.616348931806" u="1"/>
        <n v="3114.3774639893786" u="1"/>
        <n v="3308.5212127383356" u="1"/>
        <n v="2681.643509272124" u="1"/>
        <n v="6357.1828646381127" u="1"/>
        <n v="39734.366047066178" u="1"/>
        <n v="113259.9837561983" u="1"/>
        <n v="13485.716986952066" u="1"/>
        <n v="11798.010617712138" u="1"/>
        <n v="81055.725434197462" u="1"/>
        <n v="2889.6285748355062" u="1"/>
        <n v="444180.37090064026" u="1"/>
        <n v="30108.2788169458" u="1"/>
        <n v="257728.2572089149" u="1"/>
        <n v="218537.7143508562" u="1"/>
        <n v="723651.64179291273" u="1"/>
        <n v="74050.121808090204" u="1"/>
        <n v="131993.00351899915" u="1"/>
        <n v="3852.8380997806744" u="1"/>
        <n v="55799.85483939977" u="1"/>
        <n v="30442.440664257701" u="1"/>
        <n v="58657.687622921585" u="1"/>
        <n v="22474.88891538727" u="1"/>
        <n v="13480.513508737693" u="1"/>
        <n v="108349.2326978636" u="1"/>
        <n v="23867.138671207718" u="1"/>
        <n v="14571.402303482913" u="1"/>
        <n v="114813.62594533685" u="1"/>
        <n v="67718.270436164763" u="1"/>
        <n v="438486.81917143846" u="1"/>
        <n v="9381.4271528255103" u="1"/>
        <n v="47603.68909596328" u="1"/>
        <n v="12380.604631350288" u="1"/>
        <n v="62822.259778815998" u="1"/>
        <n v="204428.18926092313" u="1"/>
        <n v="35990.129742297358" u="1"/>
        <n v="21755.717726326271" u="1"/>
        <n v="320755.17767614615" u="1"/>
        <n v="1670.6997069845406" u="1"/>
        <n v="2235.1764787321513" u="1"/>
        <n v="15380.900600122703" u="1"/>
        <n v="114549.12207280415" u="1"/>
        <n v="249163.89806629767" u="1"/>
        <n v="450.47571444408663" u="1"/>
        <n v="15037.742903550639" u="1"/>
        <n v="35368.443063739833" u="1"/>
        <n v="14255.259549329547" u="1"/>
        <n v="16617.911761978481" u="1"/>
        <n v="33794.483700028926" u="1"/>
        <n v="3627.9003460140666" u="1"/>
        <n v="314.6320654065297" u="1"/>
        <n v="1086.0554099910664" u="1"/>
        <n v="6279.1024205380145" u="1"/>
        <n v="21630.617797707015" u="1"/>
        <n v="10465.761210570223" u="1"/>
        <n v="5560.9283731821652" u="1"/>
        <n v="20077.590646616482" u="1"/>
        <n v="1839.1087222160538" u="1"/>
        <n v="2628.5051412408502" u="1"/>
        <n v="938.75183615744641" u="1"/>
        <n v="31752.035383395651" u="1"/>
        <n v="87471.171855084453" u="1"/>
        <n v="92466.276420430222" u="1"/>
        <n v="57405.809540677532" u="1"/>
        <n v="109410.64327071419" u="1"/>
        <n v="31565.881724474326" u="1"/>
        <n v="111376.34729509956" u="1"/>
        <n v="27066.092940091494" u="1"/>
        <n v="593.25361037805988" u="1"/>
        <n v="493.843545936331" u="1"/>
        <n v="7960.6155706151458" u="1"/>
        <n v="7192.1533175366594" u="1"/>
        <n v="4605.0110264305013" u="1"/>
        <n v="10830.885415506389" u="1"/>
        <n v="3950.2517114442089" u="1"/>
        <n v="3591.5894249914973" u="1"/>
        <n v="215.49536549948985" u="1"/>
        <n v="336.01057388862205" u="1"/>
        <n v="7372.6077054975349" u="1"/>
        <n v="24364.834531548448" u="1"/>
        <n v="216.45739838118405" u="1"/>
        <n v="6953.6690460718783" u="1"/>
        <n v="12367.346683738055" u="1"/>
        <n v="1286.5587233568651" u="1"/>
        <n v="3049.9538966292121" u="1"/>
        <n v="151925.05958907757" u="1"/>
        <n v="5569.1452680040511" u="1"/>
        <n v="5823.7347659699499" u="1"/>
        <n v="20056.724602761751" u="1"/>
        <n v="6834.6621759919644" u="1"/>
        <n v="11376.075919574549" u="1"/>
        <n v="11035.20778845659" u="1"/>
        <n v="338.60053360692751" u="1"/>
        <n v="237.7877176023535" u="1"/>
        <n v="192.40657633883023" u="1"/>
        <n v="3688.2997846589733" u="1"/>
        <n v="1637.7464533602811" u="1"/>
        <n v="3882.4898439799672" u="1"/>
        <n v="4308.9841948342382" u="1"/>
        <n v="24115.220413787287" u="1"/>
        <n v="2813.4546264422315" u="1"/>
        <n v="487.95569441995144" u="1"/>
        <n v="8554.601407425409" u="1"/>
        <n v="19463.890004265762" u="1"/>
        <n v="7681.9940256436166" u="1"/>
        <n v="181.05143412866974" u="1"/>
        <n v="3402.174593279899" u="1"/>
        <n v="1763.3207959169667" u="1"/>
        <n v="1715.167194791858" u="1"/>
        <n v="52482.703113050673" u="1"/>
        <n v="151011.3500521534" u="1"/>
        <n v="6575.8797989139193" u="1"/>
        <n v="6921.2921210773648" u="1"/>
        <n v="415.27752726464183" u="1"/>
        <n v="2895.9555393621063" u="1"/>
        <n v="239.88789321020494" u="1"/>
        <n v="18316.612909825373" u="1"/>
        <n v="4843.2012519355276" u="1"/>
        <n v="11391.10362665327" u="1"/>
        <n v="5436.7812591058509" u="1"/>
        <n v="3105.610116103936" u="1"/>
        <n v="17463.836347665132" u="1"/>
        <n v="10474.658306197547" u="1"/>
        <n v="4837.2004613520894" u="1"/>
        <n v="12000.975330255053" u="1"/>
        <n v="3351.5876107314689" u="1"/>
        <n v="5453.3767952355593" u="1"/>
        <n v="63578.343461957913" u="1"/>
        <n v="14994.495328575664" u="1"/>
        <n v="6050.067833667511" u="1"/>
        <n v="7287.6243792738715" u="1"/>
        <n v="2040.4709910718261" u="1"/>
        <n v="28486.49956834461" u="1"/>
        <n v="19107.041955869943" u="1"/>
        <n v="2255.2574111846498" u="1"/>
        <n v="5346.3794572838897" u="1"/>
        <n v="39803.077853075723" u="1"/>
        <n v="2751.1088557702178" u="1"/>
        <n v="5967.7395745682934" u="1"/>
        <n v="658.57095877401082" u="1"/>
        <n v="55778.065487679545" u="1"/>
        <n v="16454.128281544625" u="1"/>
        <n v="263.59700958419739" u="1"/>
        <n v="9608.1125263803169" u="1"/>
        <n v="3474.5038079293536" u="1"/>
        <n v="30492.180036822916" u="1"/>
        <n v="10162.78295488111" u="1"/>
        <n v="23902.643675600313" u="1"/>
        <n v="31650.070308928094" u="1"/>
        <n v="32344.361162111982" u="1"/>
        <n v="39367.376987935393" u="1"/>
        <n v="179224.98722361913" u="1"/>
        <n v="10840.51375981978" u="1"/>
        <n v="18356.072560965058" u="1"/>
        <n v="2608.1780348152543" u="1"/>
        <n v="4924.9643705144517" u="1"/>
        <n v="39278.520258090844" u="1"/>
        <n v="41879.516450212905" u="1"/>
        <n v="412223.10212582239" u="1"/>
        <n v="141043.81818464457" u="1"/>
        <n v="20230.427758605514" u="1"/>
        <n v="7806.4516579661777" u="1"/>
        <n v="64187.579235591664" u="1"/>
        <n v="32170.351056449716" u="1"/>
        <n v="104226.05294322401" u="1"/>
        <n v="2204.6110455600774" u="1"/>
        <n v="33528.050594703571" u="1"/>
        <n v="79482.581479751811" u="1"/>
        <n v="66046.824184693323" u="1"/>
        <n v="255096.48143202666" u="1"/>
        <n v="43333.160257762196" u="1"/>
        <n v="228677.36731692127" u="1"/>
        <n v="145713.6826498828" u="1"/>
        <n v="345433.13579237962" u="1"/>
        <n v="101897.68017474323" u="1"/>
        <n v="55575.986204193141" u="1"/>
        <n v="3168.0996966641501" u="1"/>
        <n v="7510.3901899940356" u="1"/>
        <n v="283.87855525401181" u="1"/>
        <n v="142848.04790786718" u="1"/>
        <n v="88731.659142854667" u="1"/>
        <n v="9034.7637141036557" u="1"/>
        <n v="46008.600561824751" u="1"/>
        <n v="111107.75286576958" u="1"/>
        <n v="11813.253106205306" u="1"/>
        <n v="19432.163008459145" u="1"/>
        <n v="92900.13024608299" u="1"/>
        <n v="12901.404167914423" u="1"/>
        <n v="46310.863201066255" u="1"/>
        <n v="64262.122836752838" u="1"/>
        <n v="60065.902129129056" u="1"/>
        <n v="1107.7271666657869" u="1"/>
        <n v="54949.838729476127" u="1"/>
        <n v="22583.064771484889" u="1"/>
        <n v="7893.7764398807367" u="1"/>
        <n v="61264.822331307274" u="1"/>
        <n v="6148.8245268312749" u="1"/>
        <n v="8792.8190733687225" u="1"/>
        <n v="36340.835914415577" u="1"/>
        <n v="36782.174444321063" u="1"/>
        <n v="6998.3662012526556" u="1"/>
        <n v="108985.92707475778" u="1"/>
        <n v="64938.828803217199" u="1"/>
        <n v="9706.2246099499171" u="1"/>
        <n v="26740.65897022358" u="1"/>
        <n v="40435.17075608841" u="1"/>
        <n v="11115.708339060537" u="1"/>
        <n v="32767.145357766814" u="1"/>
        <n v="4623.7907231538729" u="1"/>
        <n v="9410.3300311930907" u="1"/>
        <n v="7369.8590401212659" u="1"/>
        <n v="17471.204297909851" u="1"/>
        <n v="11752.981406683852" u="1"/>
        <n v="27861.962915145632" u="1"/>
        <n v="43735.585927542226" u="1"/>
        <n v="3557.4000831186431" u="1"/>
        <n v="9633.6716097060944" u="1"/>
        <n v="8433.2771201204177" u="1"/>
        <n v="9264.1663703033755" u="1"/>
        <n v="2786.215449715301" u="1"/>
        <n v="80287.421324391427" u="1"/>
        <n v="75652.611927274746" u="1"/>
        <n v="8621.0379179278661" u="1"/>
        <n v="62106.519021873362" u="1"/>
        <n v="114306.47672737428" u="1"/>
        <n v="270978.29098307609" u="1"/>
        <n v="10070.929698297086" u="1"/>
        <n v="15115.982724012185" u="1"/>
        <n v="12139.938745188096" u="1"/>
        <n v="12296.522551459162" u="1"/>
        <n v="454076.28238779301" u="1"/>
        <n v="64397.481911033072" u="1"/>
        <n v="312594.73957621981" u="1"/>
        <n v="50942.919005956064" u="1"/>
        <n v="278339.92886933387" u="1"/>
        <n v="20972.967688872228" u="1"/>
        <n v="33638.607462308493" u="1"/>
        <n v="100757.52775332854" u="1"/>
        <n v="188983.14636043832" u="1"/>
        <n v="111038.60621871696" u="1"/>
        <n v="13464.833006623207" u="1"/>
        <n v="13379.558629013931" u="1"/>
        <n v="14840.861885218234" u="1"/>
        <n v="32656.302649806872" u="1"/>
        <n v="149786.07356070913" u="1"/>
        <n v="24771.783452522694" u="1"/>
        <n v="58262.693959275741" u="1"/>
        <n v="10910.173839821846" u="1"/>
        <n v="2680.5279470514279" u="1"/>
        <n v="2002.6580671114034" u="1"/>
        <n v="477.80966457476177" u="1"/>
        <n v="357274.1970269559" u="1"/>
        <n v="274032.3627452908" u="1"/>
        <n v="24566.196800404221" u="1"/>
        <n v="8591.4568045129527" u="1"/>
        <n v="9500.16858191336" u="1"/>
        <n v="7935.8474170030568" u="1"/>
        <n v="413139.55897854047" u="1"/>
        <n v="3411.692387406491" u="1"/>
        <n v="33601.683223419641" u="1"/>
        <n v="3182.3687245737433" u="1"/>
        <n v="2819.0717639808122" u="1"/>
        <n v="6788.218833014068" u="1"/>
        <n v="8642.9540480964424" u="1"/>
        <n v="53696.605028205951" u="1"/>
        <n v="3086.8976628365308" u="1"/>
        <n v="3279.3283785082922" u="1"/>
        <n v="2657.9819488961939" u="1"/>
        <n v="6301.090074656011" u="1"/>
        <n v="39383.768699592081" u="1"/>
        <n v="112260.63095834949" u="1"/>
        <n v="13366.72536647896" u="1"/>
        <n v="11693.910524026443" u="1"/>
        <n v="80340.52785683691" u="1"/>
        <n v="2864.1318521163694" u="1"/>
        <n v="440261.13233386987" u="1"/>
        <n v="31140.122643408911" u="1"/>
        <n v="266560.88801863219" u="1"/>
        <n v="216609.44040070163" u="1"/>
        <n v="698555.18076295906" u="1"/>
        <n v="71482.040857405547" u="1"/>
        <n v="258122.45697442678" u="1"/>
        <n v="127415.44564759856" u="1"/>
        <n v="3818.8424694884925" u="1"/>
        <n v="55307.503179052124" u="1"/>
        <n v="30173.830893690727" u="1"/>
        <n v="58140.119790954646" u="1"/>
        <n v="22276.581072016204" u="1"/>
        <n v="13361.567801307652" u="1"/>
        <n v="107393.21005641186" u="1"/>
        <n v="23656.546271167648" u="1"/>
        <n v="14442.831106687478" u="1"/>
        <n v="113800.56453993682" u="1"/>
        <n v="67120.756285257419" u="1"/>
        <n v="434617.81782580796" u="1"/>
        <n v="9298.6498544182268" u="1"/>
        <n v="47183.656545116552" u="1"/>
        <n v="12271.364002250142" u="1"/>
        <n v="62267.945721944088" u="1"/>
        <n v="202624.41112038557" u="1"/>
        <n v="35672.569773982963" u="1"/>
        <n v="21563.755511093983" u="1"/>
        <n v="317924.98493194487" u="1"/>
        <n v="1655.9582389817358" u="1"/>
        <n v="15245.186771298087" u="1"/>
        <n v="113538.39452510295" u="1"/>
        <n v="246965.39308335976" u="1"/>
        <n v="2584.4143263061096" u="1"/>
        <n v="2760.6677384552772" u="1"/>
        <n v="6159.5054946506352" u="1"/>
        <n v="48283.489069033312" u="1"/>
        <n v="289217.24655376433" u="1"/>
        <n v="9401.357528745797" u="1"/>
        <n v="19255.266729520088" u="1"/>
        <n v="46214.972459531404" u="1"/>
        <n v="78142.559219003757" u="1"/>
        <n v="118.42914350497898" u="1"/>
        <n v="15712.092863884576" u="1"/>
        <n v="3478.9941826184163" u="1"/>
        <n v="9033.3623368133267" u="1"/>
        <n v="11167.324988198814" u="1"/>
        <n v="79981.434272259008" u="1"/>
        <n v="405.556345413521" u="1"/>
        <n v="75332.869572704803" u="1"/>
        <n v="88944.024197706764" u="1"/>
        <n v="9116.4679289913056" u="1"/>
        <n v="25692.553082050501" u="1"/>
        <n v="7600.3452536969435" u="1"/>
        <n v="20887.591458461542" u="1"/>
        <n v="8118.9451342278462" u="1"/>
        <n v="25201.699343924996" u="1"/>
        <n v="65321.942400000014" u="1"/>
        <n v="128183.99602840045" u="1"/>
        <n v="4156.0720646662485" u="1"/>
        <n v="99.873964334659291" u="1"/>
        <n v="25469.379742631045" u="1"/>
        <n v="26265.297795257393" u="1"/>
        <n v="26591.847537163823" u="1"/>
        <n v="26186.007367710066" u="1"/>
        <n v="47222.615807503273" u="1"/>
        <n v="54018.837177907102" u="1"/>
        <n v="24601.449600000007" u="1"/>
        <n v="81580.598937028044" u="1"/>
        <n v="9816.5177367813085" u="1"/>
        <n v="57184.402373181721" u="1"/>
        <n v="170653.00199999998" u="1"/>
        <n v="2208.4123017535148" u="1"/>
        <n v="16036.169537135262" u="1"/>
        <n v="117339.83210690567" u="1"/>
        <n v="495.11127625571777" u="1"/>
        <n v="1667.7432463350497" u="1"/>
        <n v="5688.0652920752509" u="1"/>
        <n v="21871.79463075937" u="1"/>
        <n v="116820.39101182589" u="1"/>
        <n v="2411.4913566040259" u="1"/>
        <n v="7950.251858955944" u="1"/>
        <n v="262768.23430180032" u="1"/>
        <n v="1556.4858326022279" u="1"/>
        <n v="3016.9523638418741" u="1"/>
        <n v="10095.599118457225" u="1"/>
        <n v="32058.53812211972" u="1"/>
        <n v="622.64934408433248" u="1"/>
        <n v="2702.357339789055" u="1"/>
        <n v="86248.750948416884" u="1"/>
        <n v="135087.32296078795" u="1"/>
        <n v="166862.03706947732" u="1"/>
        <n v="6651.245871398356" u="1"/>
        <n v="10150.53999384819" u="1"/>
        <n v="11626.075779518147" u="1"/>
        <n v="81560.515230282472" u="1"/>
        <n v="84.330611420105868" u="1"/>
        <n v="2396.0196741454711" u="1"/>
        <n v="12480.217142556898" u="1"/>
        <n v="364.80219573624186" u="1"/>
        <n v="1726.7511032613422" u="1"/>
        <n v="1750.8451575140755" u="1"/>
        <n v="16995.788152299727" u="1"/>
        <n v="1936.6264348362402" u="1"/>
        <n v="12967.526867580184" u="1"/>
        <n v="639.31640425912042" u="1"/>
        <n v="2608.7477484988335" u="1"/>
        <n v="12277.33400346183" u="1"/>
        <n v="1207.4265443888692" u="1"/>
        <n v="2713.1454349999999" u="1"/>
        <n v="13914.10360949574" u="1"/>
        <n v="11539.539045047693" u="1"/>
        <n v="23401.782950903311" u="1"/>
        <n v="5996.4592687209934" u="1"/>
        <n v="40612.619353258408" u="1"/>
        <n v="67141.097797248571" u="1"/>
        <n v="275641.81372999569" u="1"/>
        <n v="35496.249691615543" u="1"/>
        <n v="14250.905031477481" u="1"/>
        <n v="24794.120360703313" u="1"/>
        <n v="494.23763349630423" u="1"/>
        <n v="41478.208419470873" u="1"/>
        <n v="603.0601740682182" u="1"/>
        <n v="923.88392898245741" u="1"/>
        <n v="508.09628866837647" u="1"/>
        <n v="5486.447488466878" u="1"/>
        <n v="6128.4658057002862" u="1"/>
        <n v="20302.444508192209" u="1"/>
        <n v="204479.16128484957" u="1"/>
        <n v="537.40953609155179" u="1"/>
        <n v="959.98204039988639" u="1"/>
        <n v="1650.6023376595733" u="1"/>
        <n v="14865.062792804569" u="1"/>
        <n v="41570.631236314301" u="1"/>
        <n v="6370.2498692602358" u="1"/>
        <n v="6520.4606864751777" u="1"/>
        <n v="7260.1952762914079" u="1"/>
        <n v="9702.0524771221899" u="1"/>
        <n v="4354.3644682638715" u="1"/>
        <n v="4861.375131782087" u="1"/>
        <n v="16571.059118496793" u="1"/>
        <n v="50860.404525232436" u="1"/>
        <n v="1283.1728702420953" u="1"/>
        <n v="1521.3070220659151" u="1"/>
        <n v="3109.5791999999997" u="1"/>
        <n v="34040.182082495514" u="1"/>
        <n v="42992.048482253915" u="1"/>
        <n v="374.63865832735689" u="1"/>
        <n v="1351.9525394024163" u="1"/>
        <n v="2906.3088371316253" u="1"/>
        <n v="4574.6141148423358" u="1"/>
        <n v="138.50216630704929" u="1"/>
        <n v="48881.220870658202" u="1"/>
        <n v="378.54633976461895" u="1"/>
        <n v="5972.878197895684" u="1"/>
        <n v="25338.015865868143" u="1"/>
        <n v="13787.198200734781" u="1"/>
        <n v="8031.481607206515" u="1"/>
        <n v="46931.98150596644" u="1"/>
        <n v="133736.61376474233" u="1"/>
        <n v="1251750.2914025141" u="1"/>
        <n v="9258.9127177041955" u="1"/>
        <n v="42224.86546961675" u="1"/>
        <n v="35628.175447535374" u="1"/>
        <n v="38214.174284478482" u="1"/>
        <n v="160574.41920000003" u="1"/>
        <n v="174762.72" u="1"/>
        <n v="31820.551836829596" u="1"/>
        <n v="994.68333782510763" u="1"/>
        <n v="4733.1087607206464" u="1"/>
        <n v="8496.7096962346259" u="1"/>
        <n v="14318.708878937799" u="1"/>
        <n v="266.21553554271475" u="1"/>
        <n v="25553.363594785886" u="1"/>
        <n v="68851.003312481975" u="1"/>
        <n v="4256.479602564772" u="1"/>
        <n v="7979.5298880261544" u="1"/>
        <n v="39890.956901810627" u="1"/>
        <n v="959.43193790825785" u="1"/>
        <n v="3482.8640315423518" u="1"/>
        <n v="26286.745129956242" u="1"/>
        <n v="763.28887993295086" u="1"/>
        <n v="26307.820841467132" u="1"/>
        <n v="129.11558531254786" u="1"/>
        <n v="704.78862417734967" u="1"/>
        <n v="5622.4995211015057" u="1"/>
        <n v="22726.023989600675" u="1"/>
        <n v="27111.478387913885" u="1"/>
        <n v="2345.1569725901272" u="1"/>
        <n v="3760.587486108097" u="1"/>
        <n v="16081.821774329634" u="1"/>
        <n v="93127.555638777121" u="1"/>
        <n v="1550.0313798035336" u="1"/>
        <n v="2845.5725341582583" u="1"/>
        <n v="18428.31695002476" u="1"/>
        <n v="12306.253063123953" u="1"/>
        <n v="65022.956567254951" u="1"/>
        <n v="78735.314717435103" u="1"/>
        <n v="217425.90469383914" u="1"/>
        <n v="26271.601578467747" u="1"/>
        <n v="3110.2603344741947" u="1"/>
        <n v="143.58645359568359" u="1"/>
        <n v="2451.3401062865078" u="1"/>
        <n v="12253.790940808422" u="1"/>
        <n v="63386.473906980806" u="1"/>
        <n v="83724.170591789734" u="1"/>
        <n v="5992.567087557326" u="1"/>
        <n v="11807.026702335339" u="1"/>
        <n v="1766.7298414028116" u="1"/>
        <n v="20595.367922639329" u="1"/>
        <n v="239453.46359999996" u="1"/>
        <n v="16862.735499111732" u="1"/>
        <n v="1847.7030825343313" u="1"/>
        <n v="8800.9609581118966" u="1"/>
        <n v="3211.2428050010067" u="1"/>
        <n v="58656.656503670543" u="1"/>
        <n v="8227.6162408330856" u="1"/>
        <n v="34145.128165602619" u="1"/>
        <n v="35230.988571781621" u="1"/>
        <n v="3692.4168319977725" u="1"/>
        <n v="2204.7971297342124" u="1"/>
        <n v="16956.845717577678" u="1"/>
        <n v="28428.507855298936" u="1"/>
        <n v="51705.99889940962" u="1"/>
        <n v="183.77451642819318" u="1"/>
        <n v="8843.6519386311829" u="1"/>
        <n v="64.512898142143527" u="1"/>
        <n v="360.66231312817888" u="1"/>
        <n v="2632.1662336073823" u="1"/>
        <n v="19086.99203658395" u="1"/>
        <n v="259.23664454315059" u="1"/>
        <n v="30283.707106996466" u="1"/>
        <n v="17072.443566917307" u="1"/>
        <n v="3156.1538418514883" u="1"/>
        <n v="340472.11841546989" u="1"/>
        <n v="44950.44637807626" u="1"/>
        <n v="3206.7593436364209" u="1"/>
        <n v="4226.9893795942198" u="1"/>
        <n v="11292.554619525867" u="1"/>
        <n v="71378.552700736589" u="1"/>
        <n v="467.98311234636947" u="1"/>
        <n v="1027.9155466065538" u="1"/>
        <n v="2273.6179485807356" u="1"/>
        <n v="18251.341336805905" u="1"/>
        <n v="19917.628680382826" u="1"/>
        <n v="26072.895436224098" u="1"/>
        <n v="35070.821490164773" u="1"/>
        <n v="79824.888920273646" u="1"/>
        <n v="270714.0885757755" u="1"/>
        <n v="380.62626470838052" u="1"/>
        <n v="9791.4256703802494" u="1"/>
        <n v="43499.127332565382" u="1"/>
        <n v="66929.651090116997" u="1"/>
        <n v="161683.23679939576" u="1"/>
        <n v="2986.3579818752332" u="1"/>
        <n v="4485.5785651380993" u="1"/>
        <n v="11240.27947126224" u="1"/>
        <n v="12235.864140529105" u="1"/>
        <n v="766.04378321453351" u="1"/>
        <n v="10090.350244799998" u="1"/>
        <n v="3482.725279324879" u="1"/>
        <n v="4769.8819691240806" u="1"/>
        <n v="305198.74283841345" u="1"/>
        <n v="2930.822231076148" u="1"/>
        <n v="34824.213932971397" u="1"/>
        <n v="328.49569149392073" u="1"/>
        <n v="54897.026278254445" u="1"/>
        <n v="6813.016599501887" u="1"/>
        <n v="9967.5410865779431" u="1"/>
        <n v="18380.686411212635" u="1"/>
        <n v="47.283008029567114" u="1"/>
        <n v="16664.059960488354" u="1"/>
        <n v="27056.911557147949" u="1"/>
        <n v="19995.949679161629" u="1"/>
        <n v="20078.658529067117" u="1"/>
        <n v="35610.37259001346" u="1"/>
        <n v="2586.6897423451214" u="1"/>
        <n v="9747.6864192771118" u="1"/>
        <n v="2204.3839620152239" u="1"/>
        <n v="903.93166419314969" u="1"/>
        <n v="3049.1982658531219" u="1"/>
        <n v="63436.800662193185" u="1"/>
        <n v="18871.854321924315" u="1"/>
        <n v="13965.747684370452" u="1"/>
        <n v="25534.792773817786" u="1"/>
        <n v="347819.35952421749" u="1"/>
        <n v="8220.3939367629118" u="1"/>
        <n v="130311.675" u="1"/>
        <n v="482.50432134791674" u="1"/>
        <n v="8081.338752555972" u="1"/>
        <n v="295.10212735519497" u="1"/>
        <n v="426.59222674751805" u="1"/>
        <n v="17227.092640957439" u="1"/>
        <n v="49.205081526703985" u="1"/>
        <n v="18408.583662169152" u="1"/>
        <n v="2296.0001085925687" u="1"/>
        <n v="2798.9735607230205" u="1"/>
        <n v="4260.4714460550576" u="1"/>
        <n v="62273.363797551014" u="1"/>
        <n v="27449.902231854117" u="1"/>
        <n v="58360.101826102371" u="1"/>
        <n v="2976.4557915206606" u="1"/>
        <n v="46507.121628601715" u="1"/>
        <n v="14584.125395346262" u="1"/>
        <n v="131.66111595000001" u="1"/>
        <n v="6013.9799288823388" u="1"/>
        <n v="15275.552205932956" u="1"/>
        <n v="18131.28811375449" u="1"/>
        <n v="2155.1713291493693" u="1"/>
        <n v="5647.9386744696594" u="1"/>
        <n v="31181.046151964372" u="1"/>
        <n v="101565.92462638949" u="1"/>
        <n v="5819.7678610556904" u="1"/>
        <n v="13119.385844858138" u="1"/>
        <n v="87798.655134669389" u="1"/>
        <n v="192212.09845028407" u="1"/>
        <n v="6668.1544584720359" u="1"/>
        <n v="1634.2165236072285" u="1"/>
        <n v="7175.6340312039647" u="1"/>
        <n v="9793.0807591102057" u="1"/>
        <n v="16429.861928374688" u="1"/>
        <n v="140.50214413168774" u="1"/>
        <n v="17796.488940309628" u="1"/>
        <n v="318742.68645228643" u="1"/>
        <n v="2902.9229164914746" u="1"/>
        <n v="9625.5871461268343" u="1"/>
        <n v="9881.8713438461764" u="1"/>
        <n v="10478.735366049443" u="1"/>
        <n v="444.16594173355355" u="1"/>
        <n v="1920.1196595935853" u="1"/>
        <n v="76539.843228571088" u="1"/>
        <n v="1709.2526013834106" u="1"/>
        <n v="126.66647329932228" u="1"/>
        <n v="1031.3285755606425" u="1"/>
        <n v="41114.046355624276" u="1"/>
        <n v="1507.2800082451868" u="1"/>
        <n v="8644.7918580194073" u="1"/>
        <n v="21104.319600000003" u="1"/>
        <n v="2249.750353941884" u="1"/>
        <n v="17686.673849547682" u="1"/>
        <n v="891.9718801004143" u="1"/>
        <n v="2122.5172181016524" u="1"/>
        <n v="24066.276686423284" u="1"/>
        <n v="48919.15551810852" u="1"/>
        <n v="1799.0149481573335" u="1"/>
        <n v="2721.4740131441658" u="1"/>
        <n v="3153.5214672291186" u="1"/>
        <n v="4441.5439331110665" u="1"/>
        <n v="56057.781491684516" u="1"/>
        <n v="8776.7944780100388" u="1"/>
        <n v="10548.853602369383" u="1"/>
        <n v="142779.6123484986" u="1"/>
        <n v="1219.2220511138848" u="1"/>
        <n v="93.896131661175559" u="1"/>
        <n v="45545.969213092059" u="1"/>
        <n v="8638.9045827422342" u="1"/>
        <n v="24497.119286892801" u="1"/>
        <n v="80169.375" u="1"/>
        <n v="364.7139118363433" u="1"/>
        <n v="50089.792335456201" u="1"/>
        <n v="64859.673314337539" u="1"/>
        <n v="84109.281125222275" u="1"/>
        <n v="169.5690005122629" u="1"/>
        <n v="4059.7838121762011" u="1"/>
        <n v="10918.037456910479" u="1"/>
        <n v="70518.161678114091" u="1"/>
        <n v="2082.2173130818851" u="1"/>
        <n v="8229.3573437178784" u="1"/>
        <n v="100.70423710237158" u="1"/>
        <n v="4230.5673356111802" u="1"/>
        <n v="4905.0335110888127" u="1"/>
        <n v="530.40136147742419" u="1"/>
        <n v="362.9652060259117" u="1"/>
        <n v="1659.2998882901959" u="1"/>
        <n v="482.53894708404937" u="1"/>
        <n v="1314.2735905275626" u="1"/>
        <n v="3092.5322427821102" u="1"/>
        <n v="11220.383401499997" u="1"/>
        <n v="2295.738445" u="1"/>
        <n v="1176.6432538994434" u="1"/>
        <n v="9283.1480055875418" u="1"/>
        <n v="35359.971070401727" u="1"/>
        <n v="97775.061591237958" u="1"/>
        <n v="5032.1910262687215" u="1"/>
        <n v="5226.5676490630385" u="1"/>
        <n v="151.75132389684944" u="1"/>
        <n v="9734.6049681608711" u="1"/>
        <n v="148002.34794839981" u="1"/>
        <n v="8513.8101632009311" u="1"/>
        <n v="1740.0057815240252" u="1"/>
        <n v="3736.5944376950661" u="1"/>
        <n v="4816.8833088529873" u="1"/>
        <n v="7290.7482024000001" u="1"/>
        <n v="104159.75488100995" u="1"/>
        <n v="1734.3361937056732" u="1"/>
        <n v="4075.005928796943" u="1"/>
        <n v="3198.7066477180092" u="1"/>
        <n v="3247.5504600000004" u="1"/>
        <n v="863.04397515046958" u="1"/>
        <n v="10413.649355571861" u="1"/>
        <n v="21977.714800503261" u="1"/>
        <n v="27577.100942160101" u="1"/>
        <n v="3527.0143392243581" u="1"/>
        <n v="283201.2220242545" u="1"/>
        <n v="1764.0338264005782" u="1"/>
        <n v="3560.0979500424373" u="1"/>
        <n v="8593.3398794127806" u="1"/>
        <n v="40349.186155929958" u="1"/>
        <n v="51810.543950429084" u="1"/>
        <n v="2036.2467540827697" u="1"/>
        <n v="18817.734656908186" u="1"/>
        <n v="134731.49066054437" u="1"/>
        <n v="737.84089424977992" u="1"/>
        <n v="5185.9067898866488" u="1"/>
        <n v="26253.659495295124" u="1"/>
        <n v="144976.2217692447" u="1"/>
        <n v="568.46844622938181" u="1"/>
        <n v="10428.768151709282" u="1"/>
        <n v="104541.5831154608" u="1"/>
        <n v="2261.2122281593479" u="1"/>
        <n v="3094.5592042174226" u="1"/>
        <n v="15842.534457464586" u="1"/>
        <n v="1997.2019860313824" u="1"/>
        <n v="7274.2700718850028" u="1"/>
        <n v="376.46433397384982" u="1"/>
        <n v="1336.4399841960753" u="1"/>
        <n v="13390.385975147543" u="1"/>
        <n v="307522.13511706074" u="1"/>
        <n v="5017.586780055195" u="1"/>
        <n v="7603.6893086848022" u="1"/>
        <n v="28970.069449394803" u="1"/>
        <n v="65004.440831297077" u="1"/>
        <n v="8205.6670410568331" u="1"/>
        <n v="351888.89531250001" u="1"/>
        <n v="27696.738562001025" u="1"/>
        <n v="15940.08421418025" u="1"/>
        <n v="44709.540877073334" u="1"/>
        <n v="6616.6557757534683" u="1"/>
        <n v="6770.7414501408357" u="1"/>
        <n v="78769.594359042982" u="1"/>
        <n v="376.84674395343075" u="1"/>
        <n v="77735.778088621431" u="1"/>
        <n v="809.96198030053893" u="1"/>
        <n v="1859.8404633770251" u="1"/>
        <n v="7176.7155416531823" u="1"/>
        <n v="36704.539426316296" u="1"/>
        <n v="45336.721584000006" u="1"/>
        <n v="52499.364051411183" u="1"/>
        <n v="7650.3205017171085" u="1"/>
        <n v="66038.940101870947" u="1"/>
        <n v="2050.6685659139775" u="1"/>
        <n v="358733.73803865444" u="1"/>
        <n v="10618.198099004161" u="1"/>
        <n v="1015.8905953012854" u="1"/>
        <n v="3148.5012325143907" u="1"/>
        <n v="15247.676442510859" u="1"/>
        <n v="46713.294319650915" u="1"/>
        <n v="246.47734500689575" u="1"/>
        <n v="2304.6519199710424" u="1"/>
        <n v="36853.869198734967" u="1"/>
        <n v="777.22635298485056" u="1"/>
        <n v="9080.4632011988397" u="1"/>
        <n v="10098.423062266582" u="1"/>
        <n v="5273.0331328127922" u="1"/>
        <n v="318035.62775286013" u="1"/>
        <n v="6178.2963203818554" u="1"/>
        <n v="25436.720598807951" u="1"/>
        <n v="5963.5736159999997" u="1"/>
        <n v="6165.3234720000019" u="1"/>
        <n v="9365.8027228993924" u="1"/>
        <n v="15097.329361964672" u="1"/>
        <n v="16809.790630136489" u="1"/>
        <n v="34531.270474892575" u="1"/>
        <n v="41709.640481827322" u="1"/>
        <n v="88870.183830423513" u="1"/>
        <n v="7564.3906727551057" u="1"/>
        <n v="12369.389759999998" u="1"/>
        <n v="718.46042819698903" u="1"/>
        <n v="6620.7754662671023" u="1"/>
        <n v="389.90402895566615" u="1"/>
        <n v="886.24699628351129" u="1"/>
        <n v="18661.562006845175" u="1"/>
        <n v="19190.446249507069" u="1"/>
        <n v="59269.456495041515" u="1"/>
        <n v="80482.398369598595" u="1"/>
        <n v="464.74466807064641" u="1"/>
        <n v="20019.862778335388" u="1"/>
        <n v="5096.6953745091669" u="1"/>
        <n v="9300.1882788212006" u="1"/>
        <n v="136702.68" u="1"/>
        <n v="40.558536304013131" u="1"/>
        <n v="12403.782980593149" u="1"/>
        <n v="18178.218975680888" u="1"/>
        <n v="15490.129282256043" u="1"/>
        <n v="841.47820581899578" u="1"/>
        <n v="6183.8778992368661" u="1"/>
        <n v="15112.624087916687" u="1"/>
        <n v="18050.574030697207" u="1"/>
        <n v="36.962119306437344" u="1"/>
        <n v="3041.4757234739209" u="1"/>
        <n v="5366.0740198852473" u="1"/>
        <n v="67043.385863152755" u="1"/>
        <n v="2531.1230618118552" u="1"/>
        <n v="70743.333028555644" u="1"/>
        <n v="7947.308005237599" u="1"/>
        <n v="291544.22606057237" u="1"/>
        <n v="601816.60089928773" u="1"/>
        <n v="2150.4035451542813" u="1"/>
        <n v="2842.0346924264509" u="1"/>
        <n v="214672.2366906729" u="1"/>
        <n v="22578.068048951878" u="1"/>
        <n v="46551.393031232546" u="1"/>
        <n v="1824.3476304975254" u="1"/>
        <n v="17819.199789281003" u="1"/>
        <n v="30015.127513911859" u="1"/>
        <n v="43629.691691495078" u="1"/>
        <n v="391.23388096332667" u="1"/>
        <n v="1120.2607020077371" u="1"/>
        <n v="18823.209456096723" u="1"/>
        <n v="337131.68759376451" u="1"/>
        <n v="18757.554438606141" u="1"/>
        <n v="23149.405389438514" u="1"/>
        <n v="38158.41255692218" u="1"/>
        <n v="59223.091200000024" u="1"/>
        <n v="198218.72604136379" u="1"/>
        <n v="5125.7020585127093" u="1"/>
        <n v="6118.5449202771051" u="1"/>
        <n v="17921.156268007595" u="1"/>
        <n v="12429.143999999998" u="1"/>
        <n v="277554.62502205803" u="1"/>
        <n v="219.01609604167086" u="1"/>
        <n v="2625.576051136818" u="1"/>
        <n v="10085.865887760576" u="1"/>
        <n v="11162.533200000002" u="1"/>
        <n v="22476.624693812111" u="1"/>
        <n v="9688.3665415633441" u="1"/>
        <n v="440.93146109872339" u="1"/>
        <n v="11780.308980823056" u="1"/>
        <n v="52549.87396300918" u="1"/>
        <n v="241269.04540017343" u="1"/>
        <n v="239.00833513753781" u="1"/>
        <n v="24141.744534516656" u="1"/>
        <n v="176.63437553360717" u="1"/>
        <n v="15045.430399999997" u="1"/>
        <n v="6724.5741067090466" u="1"/>
        <n v="12096.368909337398" u="1"/>
        <n v="19032.614954209348" u="1"/>
        <n v="17038.785216464868" u="1"/>
        <n v="368.47118333703753" u="1"/>
        <n v="34406.811584286137" u="1"/>
        <n v="50240.527590135505" u="1"/>
        <n v="104.88456987514094" u="1"/>
        <n v="85928.339159424009" u="1"/>
        <n v="1215.3134822897555" u="1"/>
        <n v="21540.403803020592" u="1"/>
        <n v="6647.2172548802464" u="1"/>
        <n v="40790.299468514029" u="1"/>
        <n v="104533.67158189486" u="1"/>
        <n v="137585.92320000002" u="1"/>
        <n v="27422.842705534185" u="1"/>
        <n v="5072.9216973877701" u="1"/>
        <n v="382.22520607272367" u="1"/>
        <n v="11798.654226853816" u="1"/>
        <n v="81187.0747120999" u="1"/>
        <n v="12694.579683090815" u="1"/>
        <n v="16383.790587001582" u="1"/>
        <n v="5330.5504856702973" u="1"/>
        <n v="7840.447907283643" u="1"/>
        <n v="20264.39732919676" u="1"/>
        <n v="49101.193747433208" u="1"/>
        <n v="5491.2300490102771" u="1"/>
        <n v="416.55386407849102" u="1"/>
        <n v="11116.210560000003" u="1"/>
        <n v="568.32133049999982" u="1"/>
        <n v="900.65378489140573" u="1"/>
        <n v="3262.2430454261021" u="1"/>
        <n v="4434.2140759473759" u="1"/>
        <n v="49683.517201390496" u="1"/>
        <n v="51739.945355368065" u="1"/>
        <n v="110263.72500000001" u="1"/>
        <n v="4670.9171594190011" u="1"/>
        <n v="4953.1533053614539" u="1"/>
        <n v="6661.9764661031641" u="1"/>
        <n v="25280.290187001116" u="1"/>
        <n v="3671.2347120871591" u="1"/>
        <n v="6526.4479149622466" u="1"/>
        <n v="48296.901976634195" u="1"/>
        <n v="225127.51742271674" u="1"/>
        <n v="666.3456083131307" u="1"/>
        <n v="1850.9281290500001" u="1"/>
        <n v="9510.2190763491344" u="1"/>
        <n v="163.69974392578027" u="1"/>
        <n v="414.27721790000004" u="1"/>
        <n v="18773.88182625598" u="1"/>
        <n v="78.384400209726522" u="1"/>
        <n v="1273.4596001816599" u="1"/>
        <n v="24623.297618704288" u="1"/>
        <n v="74246.000091371738" u="1"/>
        <n v="115561.95586286165" u="1"/>
        <n v="2541.5834286678514" u="1"/>
        <n v="126241.8142703944" u="1"/>
        <n v="13119.616372967301" u="1"/>
        <n v="61668.166931632957" u="1"/>
        <n v="34919.281727014182" u="1"/>
        <n v="9493.533516442536" u="1"/>
        <n v="31110.570123908634" u="1"/>
        <n v="65283.648788351471" u="1"/>
        <n v="107852.12483776025" u="1"/>
        <n v="51816.427166684189" u="1"/>
        <n v="19325.424415043341" u="1"/>
        <n v="262750.83099821833" u="1"/>
        <n v="2488.8347821158272" u="1"/>
        <n v="2991.6154657120533" u="1"/>
        <n v="7957.0104835439961" u="1"/>
        <n v="20451.510896027481" u="1"/>
        <n v="21336.977065446114" u="1"/>
        <n v="21190.378513929998" u="1"/>
        <n v="87523.66589359894" u="1"/>
        <n v="110690.51290722399" u="1"/>
        <n v="167117.0756800666" u="1"/>
        <n v="3923.7437696415823" u="1"/>
        <n v="13571.889714214783" u="1"/>
        <n v="5946.8744934727456" u="1"/>
        <n v="30372.457023332943" u="1"/>
        <n v="774.79856930841402" u="1"/>
        <n v="3058.3754073600003" u="1"/>
        <n v="7037.4676457163914" u="1"/>
        <n v="10212.902873009489" u="1"/>
        <n v="11451.03102" u="1"/>
        <n v="10571.08976941012" u="1"/>
        <n v="9644.9682850788158" u="1"/>
        <n v="78931.713136138686" u="1"/>
        <n v="1302.913991322743" u="1"/>
        <n v="44817.805328205002" u="1"/>
        <n v="41742.310828487214" u="1"/>
        <n v="325.32126764945247" u="1"/>
        <n v="450.66149741472259" u="1"/>
        <n v="4000" u="1"/>
        <n v="48098.150925056107" u="1"/>
        <n v="49194.064186776377" u="1"/>
        <n v="9394.7796996778579" u="1"/>
        <n v="5716.4237312000005" u="1"/>
        <n v="5930.1235291812882" u="1"/>
        <n v="8222.8476394569352" u="1"/>
        <n v="234.14160000000004" u="1"/>
        <n v="582.53470259713254" u="1"/>
        <n v="781.64411356540006" u="1"/>
        <n v="2210.457705352213" u="1"/>
        <n v="4320.4869373299698" u="1"/>
        <n v="10527.852065805537" u="1"/>
        <n v="13242.893940458838" u="1"/>
        <n v="28705.304069165293" u="1"/>
        <n v="30672.393079909925" u="1"/>
        <n v="53853.508799999996" u="1"/>
        <n v="4667.708120930426" u="1"/>
        <n v="11785.693039581771" u="1"/>
        <n v="20576.157288107479" u="1"/>
        <n v="37094.13811459735" u="1"/>
        <n v="209.31901536000007" u="1"/>
        <n v="600.95895377588261" u="1"/>
        <n v="2068.0631045500631" u="1"/>
        <n v="26163.521474451594" u="1"/>
        <n v="246.75889892767495" u="1"/>
        <n v="416.1837240000001" u="1"/>
        <n v="14596.74426141752" u="1"/>
        <n v="31822.61393384527" u="1"/>
        <n v="8785.4054718667248" u="1"/>
        <n v="1289.0649323614275" u="1"/>
        <n v="148010.01783744304" u="1"/>
        <n v="16180.92462642962" u="1"/>
        <n v="211949.46971873561" u="1"/>
        <n v="69588.604800000016" u="1"/>
        <n v="328.83390511770443" u="1"/>
        <n v="14348.919312148071" u="1"/>
        <n v="46880.486062609525" u="1"/>
        <n v="67054.923795745883" u="1"/>
        <n v="2801.7945020335655" u="1"/>
        <n v="41850.589534166938" u="1"/>
        <n v="4207.3530170956838" u="1"/>
        <n v="23748.882498077113" u="1"/>
        <n v="3266.6868542332049" u="1"/>
        <n v="8243.76" u="1"/>
        <n v="14978.990962211843" u="1"/>
        <n v="48610.166232915435" u="1"/>
        <n v="9486.9313453394134" u="1"/>
        <n v="16331.643460859999" u="1"/>
        <n v="961.44240121798066" u="1"/>
        <n v="61823.563524328929" u="1"/>
        <n v="270683.765625" u="1"/>
        <n v="4367.9652377902648" u="1"/>
        <n v="6980.7578250504084" u="1"/>
        <n v="747.85537844337375" u="1"/>
        <n v="14514.548227546245" u="1"/>
        <n v="161.01462720000004" u="1"/>
        <n v="398.56136552553551" u="1"/>
        <n v="1752.1287726248072" u="1"/>
        <n v="2274.7042789695092" u="1"/>
        <n v="11045.441386792909" u="1"/>
        <n v="100935.82622041114" u="1"/>
        <n v="79.599149887552244" u="1"/>
        <n v="44.629199999999997" u="1"/>
        <n v="215453.35560000001" u="1"/>
        <n v="1708.0688740361811" u="1"/>
        <n v="40176.363740355482" u="1"/>
        <n v="57015.847000211637" u="1"/>
        <n v="166300.38888480127" u="1"/>
        <n v="1605.6214025005033" u="1"/>
        <n v="1674.7193740228524" u="1"/>
        <n v="1078.5896467660632" u="1"/>
        <n v="42307.579925678619" u="1"/>
        <n v="6498.450936690675" u="1"/>
        <n v="6563.8063382735527" u="1"/>
        <n v="86610.575813563424" u="1"/>
        <n v="147508.9682985832" u="1"/>
        <n v="6791.7441819800551" u="1"/>
        <n v="12237.417589184204" u="1"/>
        <n v="385.30609488812468" u="1"/>
        <n v="4642.3786440873591" u="1"/>
        <n v="11320.148534253589" u="1"/>
        <n v="561894.21598037938" u="1"/>
        <n v="429.57117127880701" u="1"/>
        <n v="3498.1686221175473" u="1"/>
        <n v="31522.565320002635" u="1"/>
        <n v="125368.22419343516" u="1"/>
        <n v="6183.8486057225946" u="1"/>
        <n v="11423.329948776956" u="1"/>
        <n v="180.28057278945712" u="1"/>
        <n v="5577.2465827827618" u="1"/>
        <n v="98747.34288166734" u="1"/>
        <n v="10153.951638574878" u="1"/>
        <n v="39971.738795084515" u="1"/>
        <n v="134625.22437053343" u="1"/>
        <n v="5872.6538163685254" u="1"/>
        <n v="6531.9351283790593" u="1"/>
        <n v="200749.95106196305" u="1"/>
        <n v="290.63088300132836" u="1"/>
        <n v="5044.5219022946785" u="1"/>
        <n v="61030.193417581184" u="1"/>
        <n v="24442.312199782773" u="1"/>
        <n v="33244.094066838938" u="1"/>
        <n v="27287.226102588604" u="1"/>
        <n v="34231.658106711184" u="1"/>
        <n v="85667.767409099164" u="1"/>
        <n v="303.64241874991967" u="1"/>
        <n v="746.79036431999998" u="1"/>
        <n v="2569.2212674609727" u="1"/>
        <n v="10781.554992834994" u="1"/>
        <n v="6808.3369688858575" u="1"/>
        <n v="11945.647756854838" u="1"/>
        <n v="16348.474935478518" u="1"/>
        <n v="359.30911084133913" u="1"/>
        <n v="390.37591192612638" u="1"/>
        <n v="3493.0336895999999" u="1"/>
        <n v="8102.2918863034793" u="1"/>
        <n v="13271.894098574501" u="1"/>
        <n v="696.68890177618846" u="1"/>
        <n v="22078.136025799638" u="1"/>
        <n v="24418.451870389632" u="1"/>
        <n v="5778.3167406192724" u="1"/>
        <n v="7034.9715947482619" u="1"/>
        <n v="245672.87465646022" u="1"/>
        <n v="894.6827579721305" u="1"/>
        <n v="13694.540219295868" u="1"/>
        <n v="16316.119787405612" u="1"/>
        <n v="256.74723438218302" u="1"/>
        <n v="513.59368136508931" u="1"/>
        <n v="2972.6731858607704" u="1"/>
        <n v="4675.0244738457841" u="1"/>
        <n v="126854.80423765612" u="1"/>
        <n v="2984.4427033047054" u="1"/>
        <n v="992.5972346373444" u="1"/>
        <n v="190042.30810274699" u="1"/>
        <n v="26776.121756009874" u="1"/>
        <n v="872.49794151726928" u="1"/>
        <n v="2721.8664845499989" u="1"/>
        <n v="4844.4113630263619" u="1"/>
        <n v="10728.165209867713" u="1"/>
        <n v="35315.279999999999" u="1"/>
        <n v="166.99977323177407" u="1"/>
        <n v="7373.2744992080552" u="1"/>
        <n v="60939.554775833705" u="1"/>
        <n v="215.10141731648156" u="1"/>
        <n v="2175.7203440286075" u="1"/>
        <n v="42722.758917648818" u="1"/>
        <n v="1518.1820653886546" u="1"/>
        <n v="6565.5674828840974" u="1"/>
        <n v="33483.896331312571" u="1"/>
        <n v="4537.8495626857439" u="1"/>
        <n v="23310.439357001003" u="1"/>
        <n v="2365.8584655553868" u="1"/>
        <n v="37975.602894244832" u="1"/>
        <n v="39868.166260677586" u="1"/>
        <n v="24.602540763351993" u="1"/>
        <n v="135.98343108995579" u="1"/>
        <n v="1282.9823848282324" u="1"/>
        <n v="9765.0884091141816" u="1"/>
        <n v="136804.28282455273" u="1"/>
        <n v="15644.760735436312" u="1"/>
        <n v="78823.964032198855" u="1"/>
        <n v="8236.0153814400001" u="1"/>
        <n v="14161.955091545748" u="1"/>
        <n v="33118.549066780703" u="1"/>
        <n v="398.49453738984363" u="1"/>
        <n v="3146.3593929452682" u="1"/>
        <n v="3512.434504529886" u="1"/>
        <n v="9997.9020725273913" u="1"/>
        <n v="1836.6245943630117" u="1"/>
        <n v="14992.173240947708" u="1"/>
        <n v="96325.42155630581" u="1"/>
        <n v="776.40860580752087" u="1"/>
        <n v="1415.5643035010557" u="1"/>
        <n v="10987.623373357215" u="1"/>
        <n v="10994.602105577971" u="1"/>
        <n v="3310.9468158322939" u="1"/>
        <n v="5914.1774999999998" u="1"/>
        <n v="6797.46094660585" u="1"/>
        <n v="9184.9485516514105" u="1"/>
        <n v="92650.025205944548" u="1"/>
        <n v="13033.025534393186" u="1"/>
        <n v="313142.77270824951" u="1"/>
        <n v="6506.3859086982484" u="1"/>
        <n v="333.5783624804921" u="1"/>
        <n v="6572.6556599806991" u="1"/>
        <n v="4573.0232551301506" u="1"/>
        <n v="30770.116760047429" u="1"/>
        <n v="71482.792941617925" u="1"/>
        <n v="4168.1276152619148" u="1"/>
        <n v="9056.0469807486625" u="1"/>
        <n v="342.20113703305822" u="1"/>
        <n v="3741.2192342424914" u="1"/>
        <n v="7329.5069177966561" u="1"/>
        <n v="32996.059222327342" u="1"/>
        <n v="48838.122477749268" u="1"/>
        <n v="347.54802894796012" u="1"/>
        <n v="854.6263006917053" u="1"/>
        <n v="371.38672787660357" u="1"/>
        <n v="311.20876971033579" u="1"/>
        <n v="1636.9974392578033" u="1"/>
        <n v="142358.9653424214" u="1"/>
        <n v="188.51986062782191" u="1"/>
        <n v="22786.945403678335" u="1"/>
        <n v="9800.2783199999994" u="1"/>
        <n v="18117.011508940508" u="1"/>
        <n v="7769.8567405259437" u="1"/>
        <n v="25671.774030851659" u="1"/>
        <n v="156327.43884658831" u="1"/>
        <n v="15959.92001905992" u="1"/>
        <n v="62682.672000000013" u="1"/>
        <n v="192966.03591971227" u="1"/>
        <n v="195.27599966400109" u="1"/>
        <n v="927.97931290869428" u="1"/>
        <n v="51281.944245838502" u="1"/>
        <n v="1739.961207442163" u="1"/>
        <n v="30934.909584989349" u="1"/>
        <n v="138.45710923230703" u="1"/>
        <n v="141.12873122407001" u="1"/>
        <n v="1922.8129639381659" u="1"/>
        <n v="4003.3257575158664" u="1"/>
        <n v="11759.393464606695" u="1"/>
        <n v="3500.9437474922711" u="1"/>
        <n v="9197.5476922955604" u="1"/>
        <n v="7835.5199999999986" u="1"/>
        <n v="4114.6786718589392" u="1"/>
        <n v="7412.7871123408986" u="1"/>
        <n v="3904.7948104561692" u="1"/>
        <n v="24856.588677745189" u="1"/>
        <n v="262538.19897393696" u="1"/>
        <n v="1067.22" u="1"/>
        <n v="1467.377573868454" u="1"/>
        <n v="11900.149611058727" u="1"/>
        <n v="45806.787364653414" u="1"/>
        <n v="99382.967598897681" u="1"/>
        <n v="4869.817160256026" u="1"/>
        <n v="772.23275032701349" u="1"/>
        <n v="2963.9321274662889" u="1"/>
        <n v="2963.9321274662893" u="1"/>
        <n v="83150.925958618376" u="1"/>
        <n v="150.9183135872328" u="1"/>
        <n v="971.71770861202572" u="1"/>
        <n v="6668.2334270571273" u="1"/>
        <n v="67874.84533721747" u="1"/>
        <n v="187675.68953145042" u="1"/>
        <n v="213141.68548591371" u="1"/>
        <n v="8019.8230226400001" u="1"/>
        <n v="29714.249392554535" u="1"/>
        <n v="75287.007533483993" u="1"/>
        <n v="4370.157091165227" u="1"/>
        <n v="187.64803092712606" u="1"/>
        <n v="1415.6489148477676" u="1"/>
        <n v="99743.403035951997" u="1"/>
        <n v="265.25383048139133" u="1"/>
        <n v="4296.6699397063903" u="1"/>
        <n v="12019.532834913898" u="1"/>
        <n v="20693.130767353636" u="1"/>
        <n v="27533.559181582561" u="1"/>
        <n v="2835.277588072915" u="1"/>
        <n v="10131.746426544301" u="1"/>
        <n v="44895.93291171101" u="1"/>
        <n v="69671.464346304798" u="1"/>
        <n v="2240.1812591314974" u="1"/>
        <n v="16966.076085791421" u="1"/>
        <n v="156556.68689990477" u="1"/>
        <n v="4722.428937134765" u="1"/>
        <n v="59900.946837217096" u="1"/>
        <n v="15421.707497409969" u="1"/>
        <n v="45873.643199999991" u="1"/>
        <n v="31096.399877273823" u="1"/>
        <n v="113784.07989750583" u="1"/>
        <n v="371813.90221867792" u="1"/>
        <n v="29917.640391067463" u="1"/>
        <n v="209046.53891302168" u="1"/>
        <n v="514.32859420753596" u="1"/>
        <n v="15728.810182210515" u="1"/>
        <n v="32509.431592998073" u="1"/>
        <n v="50615.410947426055" u="1"/>
        <n v="16202.234728085932" u="1"/>
        <n v="17131.524648393883" u="1"/>
        <n v="276.30607341811606" u="1"/>
        <n v="10150.033725556812" u="1"/>
        <n v="202018.84741654989" u="1"/>
        <n v="1637.9408932122933" u="1"/>
        <n v="2455.2399655465092" u="1"/>
        <n v="6141.7212117505587" u="1"/>
        <n v="32138.090185127065" u="1"/>
        <n v="3952.1671937159354" u="1"/>
        <n v="345.30414734344288" u="1"/>
        <n v="117.35870376555485" u="1"/>
        <n v="4324.0107387327571" u="1"/>
        <n v="9004.9915187702154" u="1"/>
        <n v="9991.470149937828" u="1"/>
        <n v="1574.2506162571954" u="1"/>
        <n v="5600.55660899138" u="1"/>
        <n v="23356.647159825457" u="1"/>
        <n v="3079.1462597280001" u="1"/>
        <n v="2784.0219778539617" u="1"/>
        <n v="3336.444645084267" u="1"/>
        <n v="5944.0972924951893" u="1"/>
        <n v="200.23986533778481" u="1"/>
        <n v="629.93532909053306" u="1"/>
        <n v="7861.304726021297" u="1"/>
        <n v="6913.0806145610231" u="1"/>
        <n v="274.19260480525543" u="1"/>
        <n v="8842.1043993335916" u="1"/>
        <n v="25783.145779049079" u="1"/>
        <n v="30154.084803333215" u="1"/>
        <n v="12820.940825265297" u="1"/>
        <n v="13734.337040386969" u="1"/>
        <n v="2435.1076411416966" u="1"/>
        <n v="7494.0494414910372" u="1"/>
        <n v="9209.5477434556979" u="1"/>
        <n v="13205.871864438453" u="1"/>
        <n v="28961.112622644963" u="1"/>
        <n v="55208.42116605294" u="1"/>
        <n v="175.84933386456891" u="1"/>
        <n v="3176.7835689906706" u="1"/>
        <n v="3440.6611473341295" u="1"/>
        <n v="19028.306054225526" u="1"/>
        <n v="1024695.9333829475" u="1"/>
        <n v="18481.192356117361" u="1"/>
        <n v="2182.6732306375065" u="1"/>
        <n v="25803.306232262858" u="1"/>
        <n v="152142.28271050644" u="1"/>
        <n v="3365.9963834446608" u="1"/>
        <n v="14946.790950154242" u="1"/>
        <n v="58.890994857667138" u="1"/>
        <n v="35360.887450696158" u="1"/>
        <n v="825.63274333314996" u="1"/>
        <n v="6213.5221126927845" u="1"/>
        <n v="9340.9785782897125" u="1"/>
        <n v="4936.1655184248875" u="1"/>
        <n v="131264.73749999999" u="1"/>
        <n v="344.52114474175698" u="1"/>
        <n v="1409.5027366389522" u="1"/>
        <n v="214742.97182797277" u="1"/>
        <n v="740.67997779682753" u="1"/>
        <n v="6482.0439935143686" u="1"/>
        <n v="14321.618162069844" u="1"/>
        <n v="13266.297079977267" u="1"/>
        <n v="17319.52965835197" u="1"/>
        <n v="1934272.4916148107" u="1"/>
        <n v="474.22288717765451" u="1"/>
        <n v="12440.434308922775" u="1"/>
        <n v="13516.236549796386" u="1"/>
        <n v="25115.638807777828" u="1"/>
        <n v="52153.130501423613" u="1"/>
        <n v="657.70144440454226" u="1"/>
        <n v="30765.140098451491" u="1"/>
        <n v="43537.271091712144" u="1"/>
        <n v="53461.595183158264" u="1"/>
        <n v="1500.7563756955926" u="1"/>
        <n v="34130.008395907309" u="1"/>
        <n v="208318.92911618148" u="1"/>
        <n v="4660.2917142777287" u="1"/>
        <n v="16945.053705028644" u="1"/>
        <n v="20560.592906926511" u="1"/>
        <n v="24265.867618089291" u="1"/>
        <n v="38502.983827617369" u="1"/>
        <n v="2755.9124357695687" u="1"/>
        <n v="56047.310194826052" u="1"/>
        <n v="375.95516834886405" u="1"/>
        <n v="65516.441733553846" u="1"/>
        <n v="158.14085332408519" u="1"/>
        <n v="3122.0114384908316" u="1"/>
        <n v="25867.338737753504" u="1"/>
        <n v="223388.75613893708" u="1"/>
        <n v="32480.256408296224" u="1"/>
        <n v="113021.35394709953" u="1"/>
        <n v="313955.29407762841" u="1"/>
        <n v="21916.819055281092" u="1"/>
        <n v="5835.5800456423785" u="1"/>
        <n v="127377.8133694619" u="1"/>
        <n v="354658.45668278105" u="1"/>
        <n v="236.09935153292122" u="1"/>
        <n v="4369.709846664201" u="1"/>
        <n v="11085.999923096919" u="1"/>
        <n v="17850.747837339917" u="1"/>
        <n v="77405.953081974803" u="1"/>
        <n v="17155.087820949622" u="1"/>
        <n v="184603.94323846285" u="1"/>
        <n v="312253.24488809239" u="1"/>
        <n v="15931.98736350632" u="1"/>
        <n v="64844.140250233322" u="1"/>
        <n v="153.63265463078631" u="1"/>
        <n v="8707.5957762872094" u="1"/>
        <n v="7840.7227545076821" u="1"/>
        <n v="9563.0916150000012" u="1"/>
        <n v="93391.855752190866" u="1"/>
        <n v="854.89789803302665" u="1"/>
        <n v="28067.665937700061" u="1"/>
        <n v="37544.359002377692" u="1"/>
        <n v="2268.6417281649738" u="1"/>
        <n v="18054.585452860472" u="1"/>
        <n v="255084.72814083222" u="1"/>
        <n v="17483.04827617648" u="1"/>
        <n v="20395.149734257015" u="1"/>
        <n v="66920.024212234857" u="1"/>
        <n v="91976.827634733432" u="1"/>
        <n v="318.14011970181406" u="1"/>
        <n v="42180.972062163986" u="1"/>
        <n v="811.1504303010986" u="1"/>
        <n v="7010.8327039794131" u="1"/>
        <n v="73121.060696047934" u="1"/>
        <n v="4375.1425002660844" u="1"/>
        <n v="5257.7174698384288" u="1"/>
        <n v="8173.3871577455211" u="1"/>
        <n v="37771.185119774542" u="1"/>
        <n v="70904.990942470366" u="1"/>
        <n v="465.62989715028289" u="1"/>
        <n v="74440.661187393212" u="1"/>
        <n v="5794.3663186897611" u="1"/>
        <n v="7767.6839617953719" u="1"/>
        <n v="185738.0615319756" u="1"/>
        <n v="5888.458868884034" u="1"/>
        <n v="8979.9273786234771" u="1"/>
        <n v="35027.233797872279" u="1"/>
        <n v="53595.387418171093" u="1"/>
        <n v="284767.75115041086" u="1"/>
        <n v="4387.4808086714456" u="1"/>
        <n v="8819.2943999999989" u="1"/>
        <n v="18414.589445429563" u="1"/>
        <n v="2951.7199054822413" u="1"/>
        <n v="24807.161717586085" u="1"/>
        <n v="25208.835154842956" u="1"/>
        <n v="64668.54588097849" u="1"/>
        <n v="51547.181774770106" u="1"/>
        <n v="67197.360663578875" u="1"/>
        <n v="152985.14443147101" u="1"/>
        <n v="3934.8020086082752" u="1"/>
        <n v="26457.97693969552" u="1"/>
        <n v="29873.596919197109" u="1"/>
        <n v="25908.213583342094" u="1"/>
        <n v="1337.8433796836666" u="1"/>
        <n v="13780.688017510394" u="1"/>
        <n v="52285.091883666486" u="1"/>
        <n v="90391.798738452082" u="1"/>
        <n v="164546.04414954514" u="1"/>
        <n v="217520.01247811227" u="1"/>
        <n v="10639.946679373281" u="1"/>
        <n v="3812.3816674154978" u="1"/>
        <n v="59893.480874190638" u="1"/>
        <n v="4142.7647796241981" u="1"/>
        <n v="23163.199135150389" u="1"/>
        <n v="5422.0211274908734" u="1"/>
        <n v="671.99566869674527" u="1"/>
        <n v="21914.380275686362" u="1"/>
        <n v="4620.1257291781185" u="1"/>
        <n v="26351.906142579952" u="1"/>
        <n v="2071.0190330497553" u="1"/>
        <n v="4744.3619438960668" u="1"/>
        <n v="21795.514907988836" u="1"/>
        <n v="9081.9905414194382" u="1"/>
        <n v="27941.355135932106" u="1"/>
        <n v="701.17241175553181" u="1"/>
        <n v="833.68166287958047" u="1"/>
        <n v="4755.5403914166181" u="1"/>
        <n v="6172.2750936426273" u="1"/>
        <n v="8798.7955348837222" u="1"/>
        <n v="47748.793459950226" u="1"/>
        <n v="252410.3922385046" u="1"/>
        <n v="16716.178493731422" u="1"/>
        <n v="473.19473758111059" u="1"/>
        <n v="1374.3877797984132" u="1"/>
        <n v="68025.888605829183" u="1"/>
        <n v="36148.410041069073" u="1"/>
        <n v="762.5683122458837" u="1"/>
        <n v="1700.8868600760247" u="1"/>
        <n v="239.99733953610036" u="1"/>
        <n v="346.46015392200354" u="1"/>
        <n v="26648.318186044191" u="1"/>
        <n v="59301.739260542461" u="1"/>
        <n v="24501.879764365527" u="1"/>
        <n v="43930.489328664684" u="1"/>
        <n v="109259.73071923399" u="1"/>
        <n v="356.09490107575209" u="1"/>
        <n v="53971.185136519489" u="1"/>
        <n v="2856.8192218726135" u="1"/>
        <n v="31532.693399999996" u="1"/>
        <n v="33216.909123909871" u="1"/>
        <n v="68523.410592707121" u="1"/>
        <n v="760.24143421821202" u="1"/>
        <n v="97228.153229318355" u="1"/>
        <n v="398.91667143368892" u="1"/>
        <n v="9456.5475244346562" u="1"/>
        <n v="53270.396429230896" u="1"/>
        <n v="100239.75" u="1"/>
        <n v="120.1279219085703" u="1"/>
        <n v="30385.103447756497" u="1"/>
        <n v="31167.972414403033" u="1"/>
        <n v="20374.77495929772" u="1"/>
        <n v="887.39563447633236" u="1"/>
        <n v="15085.159302131586" u="1"/>
        <n v="196.37442716212047" u="1"/>
        <n v="1365.9951266559638" u="1"/>
        <n v="14485.046720709994" u="1"/>
        <n v="989.41418354454595" u="1"/>
        <n v="330127.58120831795" u="1"/>
        <n v="14955.90897977163" u="1"/>
        <n v="26251.770149921875" u="1"/>
        <n v="819.9392244822202" u="1"/>
        <n v="53233.480157781531" u="1"/>
        <n v="89712.070800450165" u="1"/>
        <n v="37.530767295767163" u="1"/>
        <n v="1735.5487952508474" u="1"/>
        <n v="5841.298339270118" u="1"/>
        <n v="55373.748393380964" u="1"/>
        <n v="2680.6260832689381" u="1"/>
        <n v="61403.321710217846" u="1"/>
        <n v="62895.784064211686" u="1"/>
        <n v="137.53462092124983" u="1"/>
        <n v="634.48312459300564" u="1"/>
        <n v="4873.666851457896" u="1"/>
        <n v="20442.7056823657" u="1"/>
        <n v="54733.089701068959" u="1"/>
        <n v="4368.6803958808232" u="1"/>
        <n v="7850.3902438144451" u="1"/>
        <n v="647.70296360701445" u="1"/>
        <n v="48759.704227174952" u="1"/>
        <n v="56049.218981592923" u="1"/>
        <n v="70156.352717843562" u="1"/>
        <n v="15373.12905429475" u="1"/>
        <n v="20545.612940027604" u="1"/>
        <n v="93354.754487613376" u="1"/>
        <n v="16756.526830010618" u="1"/>
        <n v="58327.642517430024" u="1"/>
        <n v="1047.6371738385012" u="1"/>
        <n v="68457.659872825578" u="1"/>
        <n v="12138.248490402828" u="1"/>
        <n v="101455.46423928872" u="1"/>
        <n v="128067.17699421081" u="1"/>
        <n v="64019.525061125933" u="1"/>
        <n v="7175.1490954789278" u="1"/>
        <n v="17691.184272023769" u="1"/>
        <n v="139.68359903102117" u="1"/>
        <n v="2952.3186000000001" u="1"/>
        <n v="22441.688655137754" u="1"/>
        <n v="16340.106156382462" u="1"/>
        <n v="20935.930219635044" u="1"/>
        <n v="137371.29369893423" u="1"/>
        <n v="65.505404267407272" u="1"/>
        <n v="487.65302634278294" u="1"/>
        <n v="32807.692412036224" u="1"/>
        <n v="42014.008452569455" u="1"/>
        <n v="4752.3058179280033" u="1"/>
        <n v="15333.889376203795" u="1"/>
        <n v="236.59146235288682" u="1"/>
        <n v="1612.4718295698196" u="1"/>
        <n v="23678.515612126477" u="1"/>
        <n v="9408.9481051310213" u="1"/>
        <n v="5149.2048142010362" u="1"/>
        <n v="61363.821188890965" u="1"/>
        <n v="320.39215753355165" u="1"/>
        <n v="73008.236974666492" u="1"/>
        <n v="349.92906844839115" u="1"/>
        <n v="1727.0543502310404" u="1"/>
        <n v="6679.4115379691711" u="1"/>
        <n v="903.56824409302226" u="1"/>
        <n v="2199.8950145178133" u="1"/>
        <n v="3516.2558061575373" u="1"/>
        <n v="18671.773844054769" u="1"/>
        <n v="512.61934034642195" u="1"/>
        <n v="2808.5083892188741" u="1"/>
        <n v="3000" u="1"/>
        <n v="307.48512092890343" u="1"/>
        <n v="21814.915293554332" u="1"/>
        <n v="2041.4980280438856" u="1"/>
        <n v="3567.316284925837" u="1"/>
        <n v="5598.468602053551" u="1"/>
        <n v="4796.2168775302544" u="1"/>
        <n v="7468.4519457854276" u="1"/>
        <n v="303.98334200369641" u="1"/>
        <n v="23029.219448479605" u="1"/>
        <n v="21203.111383335774" u="1"/>
        <n v="112654.93572778963" u="1"/>
        <n v="168.81536050998616" u="1"/>
        <n v="22793.260746966356" u="1"/>
        <n v="59914.140508307864" u="1"/>
        <n v="2374.5151073554889" u="1"/>
        <n v="3264.2342067395211" u="1"/>
        <n v="29541.12570743449" u="1"/>
        <n v="11678.895841354972" u="1"/>
        <n v="17780.963199999998" u="1"/>
        <n v="51348.959999999992" u="1"/>
        <n v="82132.86461561895" u="1"/>
        <n v="1414.4207899872085" u="1"/>
        <n v="10467.222253843385" u="1"/>
        <n v="56905.70939142962" u="1"/>
        <n v="651.63216518074751" u="1"/>
        <n v="3341.0999604901881" u="1"/>
        <n v="74727.604320764891" u="1"/>
        <n v="1686.1772734226706" u="1"/>
        <n v="4130.0178211870461" u="1"/>
        <n v="13393.059607338821" u="1"/>
        <n v="65559.777924718554" u="1"/>
        <n v="29654.984796629928" u="1"/>
        <n v="76958.581049018874" u="1"/>
        <n v="185.41998599656188" u="1"/>
        <n v="3938.8003200000003" u="1"/>
        <n v="36567.921390000003" u="1"/>
        <n v="3196.6589309773799" u="1"/>
        <n v="31824.855743859578" u="1"/>
        <n v="10092.048480795151" u="1"/>
        <n v="19066.857620347313" u="1"/>
        <n v="40990.892784189593" u="1"/>
        <n v="735.40203188595217" u="1"/>
        <n v="13479.267410850334" u="1"/>
        <n v="17894.859555833718" u="1"/>
        <n v="2900.9604587048088" u="1"/>
        <n v="19215.049998256945" u="1"/>
        <n v="2181.5761061354042" u="1"/>
        <n v="44732.094543295534" u="1"/>
        <n v="1603.4524097648155" u="1"/>
        <n v="4998.9510362636956" u="1"/>
        <n v="130505.30900688142" u="1"/>
        <n v="1475.5106367759745" u="1"/>
        <n v="28067.797564799996" u="1"/>
        <n v="68067.862867565855" u="1"/>
        <n v="114149.59115599129" u="1"/>
        <n v="42917.964049493741" u="1"/>
        <n v="700.27925173518247" u="1"/>
        <n v="1629.9695808653269" u="1"/>
        <n v="167800.63602800114" u="1"/>
        <n v="1704.8825099453966" u="1"/>
        <n v="188.31717281651805" u="1"/>
        <n v="381.87136720614319" u="1"/>
        <n v="6753.572730958329" u="1"/>
        <n v="83299.498996846596" u="1"/>
        <n v="3732.3124013690344" u="1"/>
        <n v="6708.9427999999998" u="1"/>
        <n v="22256.512769132354" u="1"/>
        <n v="43525.409259050153" u="1"/>
        <n v="1343.6324612019307" u="1"/>
        <n v="2358.0975600000002" u="1"/>
        <n v="11761.865164799712" u="1"/>
        <n v="45507.310025561994" u="1"/>
        <n v="4310.1312520569718" u="1"/>
        <n v="36711.269521662631" u="1"/>
        <n v="68223.575632877808" u="1"/>
        <n v="4416.5696749533563" u="1"/>
        <n v="46470.565518681411" u="1"/>
        <n v="867.57116137062042" u="1"/>
        <n v="18839.861040000003" u="1"/>
        <n v="26718.880476673243" u="1"/>
        <n v="16847.243437138401" u="1"/>
        <n v="1223.7089840554208" u="1"/>
        <n v="1277.5938935764134" u="1"/>
        <n v="1718.7625728000005" u="1"/>
        <n v="4647.4622932266957" u="1"/>
        <n v="6130.0403683091417" u="1"/>
        <n v="7442.2685626858365" u="1"/>
        <n v="62625.506643228975" u="1"/>
        <n v="607.86065843999995" u="1"/>
        <n v="4067.802630857831" u="1"/>
        <n v="13018.186068730918" u="1"/>
        <n v="68924.968966039916" u="1"/>
        <n v="11082.975261168041" u="1"/>
        <n v="29582.280000000006" u="1"/>
        <n v="1384.84968341268" u="1"/>
        <n v="7413.7624485710658" u="1"/>
        <n v="12215.411079997519" u="1"/>
        <n v="2227.6507238099543" u="1"/>
        <n v="12068.127441705265" u="1"/>
        <n v="102488.68508534052" u="1"/>
        <n v="14117.857184867527" u="1"/>
        <n v="82421.971958071343" u="1"/>
        <n v="104739.85951442772" u="1"/>
        <n v="195.75421552761534" u="1"/>
        <n v="1128.8893062786781" u="1"/>
        <n v="10228.478510795772" u="1"/>
        <n v="18410.094629911135" u="1"/>
        <n v="2813.0598592600941" u="1"/>
        <n v="87635.40879974261" u="1"/>
        <n v="1232784.3778964153" u="1"/>
        <n v="97.637999832000546" u="1"/>
        <n v="1634.7239510092302" u="1"/>
        <n v="3172.6427908921314" u="1"/>
        <n v="5492.6744677440811" u="1"/>
        <n v="11256.553768067643" u="1"/>
        <n v="12870.223896739115" u="1"/>
        <n v="144063.98338409886" u="1"/>
        <n v="6482.1120000000001" u="1"/>
        <n v="38434.605300396623" u="1"/>
        <n v="16714.568631824957" u="1"/>
        <n v="18953.148866780706" u="1"/>
        <n v="58403.228059625158" u="1"/>
        <n v="1351.3012335904373" u="1"/>
        <n v="11906.070676499998" u="1"/>
        <n v="74.67962190876402" u="1"/>
        <n v="1767.1933675320004" u="1"/>
        <n v="32331.639336357439" u="1"/>
        <n v="57.049369886033617" u="1"/>
        <n v="909.00008842427292" u="1"/>
        <n v="6313.2521687802182" u="1"/>
        <n v="9733.4727235199989" u="1"/>
        <n v="16592.490769399999" u="1"/>
        <n v="5339.8692922258615" u="1"/>
        <n v="141.83257747765228" u="1"/>
        <n v="15251.81963834642" u="1"/>
        <n v="927.65282555091278" u="1"/>
        <n v="2463.6387476352379" u="1"/>
        <n v="17575.912497913952" u="1"/>
        <n v="3887.4391463174734" u="1"/>
        <n v="14000.320363983334" u="1"/>
        <n v="8773.887445357941" u="1"/>
        <n v="15718.103049074165" u="1"/>
        <n v="49806.180041415115" u="1"/>
        <n v="116.48768213604488" u="1"/>
        <n v="51050.796578012945" u="1"/>
        <n v="16134.257092965792" u="1"/>
        <n v="7414.8246959504568" u="1"/>
        <n v="7973.6704577909595" u="1"/>
        <n v="2993.4056527879598" u="1"/>
        <n v="8436.0864322567741" u="1"/>
        <n v="850.7971164321707" u="1"/>
        <n v="881.75358480608952" u="1"/>
        <n v="17651.097609404838" u="1"/>
        <n v="11737.836417216005" u="1"/>
        <n v="1257.9386059870415" u="1"/>
        <n v="2782.1076047755723" u="1"/>
        <n v="4257.4875070261514" u="1"/>
        <n v="5073.3790733460528" u="1"/>
        <n v="19360.193891429575" u="1"/>
        <n v="1093.9105255098498" u="1"/>
        <n v="32631.589139347587" u="1"/>
        <n v="160.13602132638857" u="1"/>
        <n v="718.82206056402367" u="1"/>
        <n v="3171.2765653491174" u="1"/>
        <n v="7706.4805088026387" u="1"/>
        <n v="1653.5602935199465" u="1"/>
        <n v="97598.505456625833" u="1"/>
        <n v="98888.878578464137" u="1"/>
        <n v="11121.45530710881" u="1"/>
        <n v="37902.314305888693" u="1"/>
        <n v="18899.421566315352" u="1"/>
        <n v="631.8889858329353" u="1"/>
        <n v="5643.4112730277684" u="1"/>
        <n v="15857.106312540847" u="1"/>
        <n v="8642.0819000774591" u="1"/>
        <n v="76325.49053681003" u="1"/>
        <n v="159984.68011041376" u="1"/>
        <n v="1684.921197879509" u="1"/>
        <n v="10747.127552303771" u="1"/>
        <n v="2456.8311141420381" u="1"/>
        <n v="2555.8074921915641" u="1"/>
        <n v="13375.957959588693" u="1"/>
        <n v="64632.861125884221" u="1"/>
        <n v="259885.52503274451" u="1"/>
        <n v="248.06447690874342" u="1"/>
        <n v="5128.1650804456276" u="1"/>
        <n v="53153.439907178305" u="1"/>
        <n v="4259.0808676674924" u="1"/>
        <n v="17490.667350166386" u="1"/>
        <n v="263.22490061304518" u="1"/>
        <n v="5271.8783288888881" u="1"/>
        <n v="9732.1460204545692" u="1"/>
        <n v="2502.4821512791455" u="1"/>
        <n v="25303.271974746713" u="1"/>
        <n v="93163.494463516166" u="1"/>
        <n v="84129.992447752913" u="1"/>
        <n v="6496.0512816592445" u="1"/>
        <n v="43033.522334708272" u="1"/>
        <n v="188.30748998291807" u="1"/>
        <n v="358.08679584121683" u="1"/>
        <n v="1387.3387971119932" u="1"/>
        <n v="7404.7753566362007" u="1"/>
        <n v="8225.778775175233" u="1"/>
        <n v="30641.17348769302" u="1"/>
        <n v="2772.7081199999998" u="1"/>
        <n v="40336.025519999988" u="1"/>
        <n v="45573.528000000006" u="1"/>
        <n v="6548.9190278784654" u="1"/>
        <n v="33608.941335438889" u="1"/>
        <n v="1879.9817589178356" u="1"/>
        <n v="398.18343016464883" u="1"/>
        <n v="25045.386497092331" u="1"/>
        <n v="28999.353457369387" u="1"/>
        <n v="164179.17898775177" u="1"/>
        <n v="13944.078893520964" u="1"/>
        <n v="1757.72177504" u="1"/>
        <n v="61708.992683081422" u="1"/>
        <n v="373634.07669877389" u="1"/>
        <n v="2639.3856884524516" u="1"/>
        <n v="2997.1309809511986" u="1"/>
        <n v="5314.8666666666668" u="1"/>
        <n v="5751.4322250604782" u="1"/>
        <n v="6279.0144823020482" u="1"/>
        <n v="62275.208594879776" u="1"/>
        <n v="90666.563911236328" u="1"/>
        <n v="52437.112000000001" u="1"/>
        <n v="90305.508719390884" u="1"/>
        <n v="921.95412783371648" u="1"/>
        <n v="18239.382362672834" u="1"/>
        <n v="37858.49660148882" u="1"/>
        <n v="75357.30729868522" u="1"/>
        <n v="82179.237231645602" u="1"/>
        <n v="148046.14432983895" u="1"/>
        <n v="4544.5547439202219" u="1"/>
        <n v="37420.851801792429" u="1"/>
        <n v="2534.2515784230941" u="1"/>
        <n v="17585.983960788155" u="1"/>
        <n v="5846.3533333333344" u="1"/>
        <n v="7800.7778621724719" u="1"/>
        <n v="172.26057237087849" u="1"/>
        <n v="66017.172932040805" u="1"/>
        <n v="1981.2865832286898" u="1"/>
        <n v="121569.18739442044" u="1"/>
        <n v="14924.310118596168" u="1"/>
        <n v="2327.4599347909275" u="1"/>
        <n v="6177.233004206294" u="1"/>
        <n v="3013.9335481350317" u="1"/>
        <n v="181.5456560040451" u="1"/>
        <n v="374.30786779743954" u="1"/>
        <n v="1130.6806267939962" u="1"/>
        <n v="10367.534448247316" u="1"/>
        <n v="15711.696" u="1"/>
        <n v="24120.240587709945" u="1"/>
        <n v="187.92404690651071" u="1"/>
        <n v="2902.960402950036" u="1"/>
        <n v="6178.7184562815228" u="1"/>
        <n v="1467.1899897920237" u="1"/>
        <n v="3947.2704061478489" u="1"/>
        <n v="13345.144229160067" u="1"/>
        <n v="16578.397817939982" u="1"/>
        <n v="23279.513449138245" u="1"/>
        <n v="28037.440171359209" u="1"/>
        <n v="505.81195892016359" u="1"/>
        <n v="1263.4317522559365" u="1"/>
        <n v="262406.18094789464" u="1"/>
        <n v="176.98453543563014" u="1"/>
        <n v="11338.579734786745" u="1"/>
        <n v="6362.7305757813319" u="1"/>
        <n v="7679.0526960774487" u="1"/>
        <n v="8540.3095931952867" u="1"/>
        <n v="13672.058400000002" u="1"/>
        <n v="1529.6362300692763" u="1"/>
        <n v="2353.0801576367817" u="1"/>
        <n v="30197.990204384245" u="1"/>
        <n v="165346.3295492761" u="1"/>
        <n v="310.37776000000002" u="1"/>
        <n v="17527.081759948524" u="1"/>
        <n v="33928.421676980579" u="1"/>
        <n v="1235.2557765203542" u="1"/>
        <n v="2344.9430374530543" u="1"/>
        <n v="24954.106534567112" u="1"/>
        <n v="190563.00783193426" u="1"/>
        <n v="122.82809562139443" u="1"/>
        <n v="19421.892106096915" u="1"/>
        <n v="27773.433267480592" u="1"/>
        <n v="51149.293490257587" u="1"/>
        <n v="742.93044863264618" u="1"/>
        <n v="33432.111771567281" u="1"/>
        <n v="338.92928151105906" u="1"/>
        <n v="5634.2091270910332" u="1"/>
        <n v="248786.72803722852" u="1"/>
        <n v="10101.655200000001" u="1"/>
        <n v="13796.443649956793" u="1"/>
        <n v="644.3969218364681" u="1"/>
        <n v="81648.896074217031" u="1"/>
        <n v="6989.4824999999992" u="1"/>
        <n v="10998.12309443823" u="1"/>
        <n v="116507.27303726971" u="1"/>
        <n v="252010.20670959994" u="1"/>
        <n v="487874.61907470046" u="1"/>
        <n v="67.048127699109301" u="1"/>
        <n v="13473.582938851439" u="1"/>
        <n v="5068.1868236260134" u="1"/>
        <n v="100000" u="1"/>
        <n v="8883.2080162700659" u="1"/>
        <n v="10595.655631656011" u="1"/>
        <n v="11766.518399999999" u="1"/>
        <n v="32968.759545426467" u="1"/>
        <n v="1899.7287361236995" u="1"/>
        <n v="16284.070266394638" u="1"/>
        <n v="191.21436009061836" u="1"/>
        <n v="80411.791588244057" u="1"/>
        <n v="243.60080941336352" u="1"/>
        <n v="123837.90639549293" u="1"/>
        <n v="300.59971200000001" u="1"/>
        <n v="3417.7809431899632" u="1"/>
        <n v="23.925079437356313" u="1"/>
        <n v="6445.3268272871237" u="1"/>
        <n v="9956.2848000000013" u="1"/>
        <n v="16889.353415964189" u="1"/>
        <n v="6216.806285129991" u="1"/>
        <n v="10197.574867128507" u="1"/>
        <n v="8634.7879396212902" u="1"/>
        <n v="9051.1679999999997" u="1"/>
        <n v="14700" u="1"/>
        <n v="8382.8284889142888" u="1"/>
        <n v="3397.5902132846686" u="1"/>
        <n v="8880.8611015384649" u="1"/>
        <n v="2012.2441811631043" u="1"/>
        <n v="75446.636861141567" u="1"/>
        <n v="3190.5885641222494" u="1"/>
        <n v="28028.845624380501" u="1"/>
        <n v="84727.733248155375" u="1"/>
        <n v="4381.1365965639898" u="1"/>
        <n v="87596.387467438486" u="1"/>
        <n v="1213.4133526118212" u="1"/>
        <n v="4084.8240134756065" u="1"/>
        <n v="23514.115433889419" u="1"/>
        <n v="30466.198833701637" u="1"/>
        <n v="287626.24041390856" u="1"/>
        <n v="4617.3620634384879" u="1"/>
        <n v="34804.190585472359" u="1"/>
        <n v="42955.655085177154" u="1"/>
        <n v="13832.055749052975" u="1"/>
        <n v="18693.326854986688" u="1"/>
        <n v="271057.00229091931" u="1"/>
        <n v="2061.0895195799999" u="1"/>
        <n v="7510.4619879808497" u="1"/>
        <n v="16977.368741113783" u="1"/>
        <n v="57896.483011733915" u="1"/>
        <n v="6621.1191366689063" u="1"/>
        <n v="8641.7668918220807" u="1"/>
        <n v="24141.985895245911" u="1"/>
        <n v="27352.62367251877" u="1"/>
        <n v="15126.844173031404" u="1"/>
        <n v="79174.687296191434" u="1"/>
        <n v="193317.57733361627" u="1"/>
        <n v="7816.5011203370286" u="1"/>
        <n v="1049.8624597125761" u="1"/>
        <n v="328281.0005800394" u="1"/>
        <n v="20817.393017611601" u="1"/>
        <n v="2418.2225014505766" u="1"/>
        <n v="20951.569036208512" u="1"/>
        <n v="49848.510781555968" u="1"/>
        <n v="292527.84599999996" u="1"/>
        <n v="28777.247187133125" u="1"/>
        <n v="1665.0727671951106" u="1"/>
        <n v="207624.99453538566" u="1"/>
        <n v="2192.4785964326293" u="1"/>
        <n v="10873.093699416379" u="1"/>
        <n v="30171.391690901532" u="1"/>
        <n v="135794.10013035376" u="1"/>
        <n v="144.76168412521483" u="1"/>
        <n v="56952.385957227365" u="1"/>
        <n v="14698.184207708353" u="1"/>
        <n v="8687.498421020573" u="1"/>
        <n v="18400.089768700873" u="1"/>
        <n v="2071.3823898120991" u="1"/>
        <n v="24891.362706628355" u="1"/>
        <n v="187118.58074408598" u="1"/>
        <n v="77086.216279591899" u="1"/>
        <n v="282.47621882800286" u="1"/>
        <n v="70000" u="1"/>
        <n v="83861.045418948925" u="1"/>
        <n v="466.49803199999997" u="1"/>
        <n v="3243.2566780210104" u="1"/>
        <n v="14609.586850457576" u="1"/>
        <n v="20833.678338430327" u="1"/>
        <n v="24302.242626109553" u="1"/>
        <n v="2481.8347772087118" u="1"/>
        <n v="3223.4991710598151" u="1"/>
        <n v="76.242248747656191" u="1"/>
        <n v="86447.906805870458" u="1"/>
        <n v="3681.2508238171627" u="1"/>
        <n v="25582.385458602417" u="1"/>
        <n v="24050.999620935516" u="1"/>
        <n v="3355.2005944046077" u="1"/>
        <n v="6606.5615672134018" u="1"/>
        <n v="5788.7203072910688" u="1"/>
        <n v="5926.7609693392906" u="1"/>
        <n v="105215.35455346867" u="1"/>
        <n v="4803.0577624175276" u="1"/>
        <n v="20820.913935830638" u="1"/>
        <n v="28468.785404764734" u="1"/>
        <n v="2947.353265348554" u="1"/>
        <n v="8575.9174129250459" u="1"/>
        <n v="26592.137538127416" u="1"/>
        <n v="16431.567269364066" u="1"/>
        <n v="18129.665727893869" u="1"/>
        <n v="7488.4818949168512" u="1"/>
        <n v="7668.0982699774813" u="1"/>
        <n v="40152.014527340907" u="1"/>
        <n v="186.27880548077547" u="1"/>
        <n v="473.70186597924214" u="1"/>
        <n v="9022.0081194269351" u="1"/>
        <n v="1040460.4862042234" u="1"/>
        <n v="69847.05" u="1"/>
        <n v="41.66233983677197" u="1"/>
        <n v="16411.57420351126" u="1"/>
        <n v="30774.82407720833" u="1"/>
        <n v="117212.21214587591" u="1"/>
        <n v="3003.5044652275433" u="1"/>
        <n v="6344.9310823273572" u="1"/>
        <n v="14968.127822996044" u="1"/>
        <n v="25669.217728339587" u="1"/>
        <n v="58520.98639755942" u="1"/>
        <n v="691.97736546541057" u="1"/>
        <n v="4260.1253176903165" u="1"/>
        <n v="4064.9153845545716" u="1"/>
        <n v="6701.5275120483939" u="1"/>
        <n v="9215.8603961655954" u="1"/>
        <n v="17118.394337428443" u="1"/>
        <n v="5799.0661617777769" u="1"/>
        <n v="185.6634991031579" u="1"/>
        <n v="713.11712357542012" u="1"/>
        <n v="16031.443428" u="1"/>
        <n v="361.19976573364681" u="1"/>
        <n v="26322.490061304514" u="1"/>
        <n v="685.36917368672823" u="1"/>
        <n v="108.11623167337997" u="1"/>
        <n v="2580.6847121858182" u="1"/>
        <n v="11632.630196040433" u="1"/>
        <n v="64515.359999999986" u="1"/>
        <n v="867.77439762542372" u="1"/>
        <n v="8441.99313545308" u="1"/>
        <n v="2371.7328363348533" u="1"/>
        <n v="961.60908448653367" u="1"/>
        <n v="18057.392234239462" u="1"/>
        <n v="662.72951454543477" u="1"/>
        <n v="10008.58046511628" u="1"/>
        <n v="207103.72726701567" u="1"/>
        <n v="6784.3676723998233" u="1"/>
        <n v="31676.216853434249" u="1"/>
        <n v="8198.6972094674729" u="1"/>
        <n v="154605.25008231375" u="1"/>
        <n v="7527.8203323952348" u="1"/>
        <n v="12257.048621727627" u="1"/>
        <n v="18286.05436977954" u="1"/>
        <n v="365.40121412004532" u="1"/>
        <n v="7298.7442515661114" u="1"/>
        <n v="7818.6679552969163" u="1"/>
        <n v="20210.151305354368" u="1"/>
        <n v="2902.4847394474764" u="1"/>
        <n v="10376.809582344529" u="1"/>
        <n v="241171.01569678687" u="1"/>
        <n v="935.24247903614469" u="1"/>
        <n v="7009.8815840181733" u="1"/>
        <n v="10780.306152000001" u="1"/>
        <n v="21035.172352665963" u="1"/>
        <n v="39351.312000000005" u="1"/>
        <n v="176758.44543083964" u="1"/>
        <n v="1545.0774405013799" u="1"/>
        <n v="1684.0338829172363" u="1"/>
        <n v="29109.663762152275" u="1"/>
        <n v="33679.191445857432" u="1"/>
        <n v="65161.077166704032" u="1"/>
        <n v="17828.449532700201" u="1"/>
        <n v="103060.41494596687" u="1"/>
        <n v="24042.783438963263" u="1"/>
        <n v="168858.85640610594" u="1"/>
        <n v="452810.12007881561" u="1"/>
        <n v="684.25944269876459" u="1"/>
        <n v="2734.9750532675184" u="1"/>
        <n v="9607.3590228192879" u="1"/>
        <n v="478.16486510225695" u="1"/>
        <n v="3077.5089449133202" u="1"/>
        <n v="7147.4280601747123" u="1"/>
        <n v="16096.959975896994" u="1"/>
        <n v="26700.698412339436" u="1"/>
        <n v="4278.7027414525201" u="1"/>
        <n v="22086.574357641428" u="1"/>
        <n v="6056.1742332968206" u="1"/>
        <n v="17114.439508723633" u="1"/>
        <n v="48848.70692002734" u="1"/>
        <n v="60828.768000000018" u="1"/>
        <n v="1164.3865504860912" u="1"/>
        <n v="9477.9726631199992" u="1"/>
        <n v="201355.86356839543" u="1"/>
        <n v="41021.707005383272" u="1"/>
        <n v="702.13583298948231" u="1"/>
        <n v="5935.7640730023777" u="1"/>
        <n v="6724.3323290571752" u="1"/>
        <n v="297752.14218750008" u="1"/>
        <n v="79.609156268018964" u="1"/>
        <n v="190.07990868769082" u="1"/>
        <n v="22586.93435755169" u="1"/>
        <n v="118299.69262245846" u="1"/>
        <n v="152977.21673103425" u="1"/>
        <n v="4853.28916210848" u="1"/>
        <n v="4353.4108800000013" u="1"/>
        <n v="44126.514888022793" u="1"/>
        <n v="205655.28452476076" u="1"/>
        <n v="358688.71363082295" u="1"/>
        <n v="5539.3477124002047" u="1"/>
        <n v="15.007549865644719" u="1"/>
        <n v="251091.46068303211" u="1"/>
        <n v="9260.16" u="1"/>
        <n v="42217.959949912016" u="1"/>
        <n v="95645.476485502106" u="1"/>
        <n v="176427.64244035471" u="1"/>
        <n v="44459.456434626423" u="1"/>
        <n v="78374.544941685177" u="1"/>
        <n v="681.57366732703338" u="1"/>
        <n v="4079.0299468514031" u="1"/>
        <n v="6970.4408476764138" u="1"/>
        <n v="43653.464612750118" u="1"/>
        <n v="60102.956409469734" u="1"/>
        <n v="4061.3446421867325" u="1"/>
        <n v="266950.07801378414" u="1"/>
        <n v="16443.079600517121" u="1"/>
        <n v="34288.456879522833" u="1"/>
        <n v="271401.17110657727" u="1"/>
        <n v="3580.525421616006" u="1"/>
        <n v="541.91385526123759" u="1"/>
        <n v="2414.5053247544656" u="1"/>
        <n v="535.37267921297325" u="1"/>
        <n v="14075.594890297127" u="1"/>
        <n v="242.85916760484511" u="1"/>
        <n v="1397.0677567966059" u="1"/>
        <n v="2946.2879586558101" u="1"/>
        <n v="11959.181625193674" u="1"/>
        <n v="12016.384929420876" u="1"/>
        <n v="35834.915343749315" u="1"/>
        <n v="1580.2118236659403" u="1"/>
        <n v="69319.098977142858" u="1"/>
        <n v="218046.7098560954" u="1"/>
        <n v="366.81008000000003" u="1"/>
        <n v="4088.4702592492113" u="1"/>
        <n v="835.2732901391189" u="1"/>
        <n v="5725.2098896878615" u="1"/>
        <n v="8417.3448022364391" u="1"/>
        <n v="19723.482495181237" u="1"/>
        <n v="30445.153017037472" u="1"/>
        <n v="20314.204054783957" u="1"/>
        <n v="43571.342792210155" u="1"/>
        <n v="212262.63951168352" u="1"/>
        <n v="5217.0371999999998" u="1"/>
        <n v="498.03023769504989" u="1"/>
        <n v="3020.700061891926" u="1"/>
        <n v="81640.150980922073" u="1"/>
        <n v="1179.3364595694798" u="1"/>
        <n v="10903.356514420193" u="1"/>
        <n v="57373.419080427193" u="1"/>
        <n v="77233.999578213145" u="1"/>
        <n v="440.85308074931652" u="1"/>
        <n v="3827.6675706650458" u="1"/>
        <n v="10977.113757071238" u="1"/>
        <n v="17619.554067360594" u="1"/>
        <n v="6275.2609167911005" u="1"/>
        <n v="32515.967645369485" u="1"/>
        <n v="12504.855861511158" u="1"/>
        <n v="12445.327219713745" u="1"/>
        <n v="43262.43872428067" u="1"/>
        <n v="64919.970811882107" u="1"/>
        <n v="2332.1844000000001" u="1"/>
        <n v="176889.55620961962" u="1"/>
        <n v="497.61828796162325" u="1"/>
        <n v="39162.340388770746" u="1"/>
        <n v="562.14131455045924" u="1"/>
        <n v="49985.146085840664" u="1"/>
        <n v="230760.20887879297" u="1"/>
        <n v="1643.1639149951748" u="1"/>
        <n v="10322.508141078999" u="1"/>
        <n v="15795.700242878363" u="1"/>
        <n v="24622.56230197315" u="1"/>
        <n v="1866.1562006845172" u="1"/>
        <n v="10466.406719999999" u="1"/>
        <n v="639.62664184577193" u="1"/>
        <n v="1929.4344807133373" u="1"/>
        <n v="19996.082657455321" u="1"/>
        <n v="11390.477191445472" u="1"/>
        <n v="38644.818743518059" u="1"/>
        <n v="122.13005394037984" u="1"/>
        <n v="9507.3338859739069" u="1"/>
        <n v="77.187054625466416" u="1"/>
        <n v="293.02465143528912" u="1"/>
        <n v="23934.02682874426" u="1"/>
        <n v="4995.3270998371827" u="1"/>
        <n v="5917.6152996700712" u="1"/>
        <n v="44165.788436020892" u="1"/>
        <n v="146.1604856480181" u="1"/>
        <n v="208164.78455135712" u="1"/>
        <n v="100266.53277215453" u="1"/>
        <n v="754.24747499681291" u="1"/>
        <n v="2546.2809605377206" u="1"/>
        <n v="4345.5574611442635" u="1"/>
        <n v="17785.175019929244" u="1"/>
        <n v="94813.422294258402" u="1"/>
        <n v="1811.1137461319743" u="1"/>
        <n v="7273.8331259999995" u="1"/>
        <n v="53859.623999999996" u="1"/>
        <n v="551.31585599999994" u="1"/>
        <n v="13686.640755632645" u="1"/>
        <n v="45.745349248593705" u="1"/>
        <n v="12294.231283861816" u="1"/>
        <n v="16607.239506700949" u="1"/>
        <n v="542.19353305871527" u="1"/>
        <n v="4711.8299393136504" u="1"/>
        <n v="48032.601316862514" u="1"/>
        <n v="36636.106752939151" u="1"/>
        <n v="2297.2648033023875" u="1"/>
        <n v="4268.0461232239149" u="1"/>
        <n v="33788.760476858908" u="1"/>
        <n v="7481.1277640629878" u="1"/>
        <n v="91092.256505072466" u="1"/>
        <n v="800.67137277794359" u="1"/>
        <n v="224.63189392625736" u="1"/>
        <n v="18532.131203525994" u="1"/>
        <n v="43817.70439987132" u="1"/>
        <n v="170644.15875" u="1"/>
        <n v="13318.145041479856" u="1"/>
        <n v="293666.74265459139" u="1"/>
        <n v="3622.1961354852856" u="1"/>
        <n v="4028.4975931200006" u="1"/>
        <n v="2799.2238724799995" u="1"/>
        <n v="26146.387420966181" u="1"/>
        <n v="38050.283163736349" u="1"/>
        <n v="25525.314321258589" u="1"/>
        <n v="5229.6611266140644" u="1"/>
        <n v="65822.328000000009" u="1"/>
        <n v="2152.5675479519041" u="1"/>
        <n v="12699.688918617585" u="1"/>
        <n v="5935.3736559155222" u="1"/>
        <n v="6214.1471694362972" u="1"/>
        <n v="279882.45701814943" u="1"/>
        <n v="50266.312532575925" u="1"/>
        <n v="59680.408236759788" u="1"/>
        <n v="208819.21197898785" u="1"/>
        <n v="2204.8191809613281" u="1"/>
        <n v="32915.323001864155" u="1"/>
        <n v="234310.36593846668" u="1"/>
        <n v="27993.094257327324" u="1"/>
        <n v="1297.2491842468198" u="1"/>
        <n v="3694.9580446838736" u="1"/>
        <n v="10006.866177619835" u="1"/>
        <n v="61179.32070264552" u="1"/>
        <n v="45965.328904407215" u="1"/>
        <n v="44805.384347838524" u="1"/>
        <n v="5775.5739888764074" u="1"/>
        <n v="1801.6813315287491" u="1"/>
        <n v="3069.0217899565769" u="1"/>
        <n v="28193.340451154843" u="1"/>
        <n v="82790.496734343222" u="1"/>
        <n v="101059.01303941413" u="1"/>
        <n v="106141.88191392399" u="1"/>
        <n v="11784.683709596135" u="1"/>
        <n v="2454.8443698357564" u="1"/>
        <n v="10495.563120000001" u="1"/>
        <n v="14883.644935069467" u="1"/>
        <n v="21013.689534151483" u="1"/>
        <n v="7777.8258434123936" u="1"/>
        <n v="40426.089181496289" u="1"/>
        <n v="3789.3795899019351" u="1"/>
        <n v="2269.4313576156728" u="1"/>
        <n v="20421.734416686839" u="1"/>
        <n v="150763.54423741536" u="1"/>
        <n v="8363.6011203357357" u="1"/>
        <n v="5155.1682435205248" u="1"/>
        <n v="7587.919020667694" u="1"/>
        <n v="12524.987999999998" u="1"/>
        <n v="558.63456109527681" u="1"/>
        <n v="4313.9673200426851" u="1"/>
        <n v="8215.8195749758725" u="1"/>
        <n v="5990.7855159334813" u="1"/>
        <n v="7674.3573993036498" u="1"/>
        <n v="667297.41617647617" u="1"/>
        <n v="200.14701748829532" u="1"/>
        <n v="2667.5237902599147" u="1"/>
        <n v="12920.459792689055" u="1"/>
        <n v="150.72800045534476" u="1"/>
        <n v="3407.6255953459772" u="1"/>
        <n v="20630.775466641342" u="1"/>
        <n v="38162.745268405015" u="1"/>
        <n v="108503.33411751033" u="1"/>
        <n v="327.78285961719484" u="1"/>
        <n v="525.16232897532086" u="1"/>
        <n v="2042.6336723128047" u="1"/>
        <n v="4290.3304956301581" u="1"/>
        <n v="5593.0200805890736" u="1"/>
        <n v="7306.3590258333961" u="1"/>
        <n v="24826.883107042311" u="1"/>
        <n v="813.448661865448" u="1"/>
        <n v="32007.52786338728" u="1"/>
        <n v="1043.976724465298" u="1"/>
        <n v="1731.5212949223267" u="1"/>
        <n v="32743.034064408243" u="1"/>
        <n v="34975.158462895764" u="1"/>
        <n v="1355.4216276401608" u="1"/>
        <n v="1900.1243463374931" u="1"/>
        <n v="4786.5847568629342" u="1"/>
        <n v="6909.3266666666668" u="1"/>
        <n v="118905.82412082428" u="1"/>
        <n v="715.35492000000011" u="1"/>
        <n v="62142.430807502773" u="1"/>
        <n v="18797.795187544794" u="1"/>
        <n v="110209.17642743464" u="1"/>
        <n v="113506.76013826017" u="1"/>
        <n v="1360.4255398765918" u="1"/>
        <n v="6090.1539298783136" u="1"/>
        <n v="7431.3508505600003" u="1"/>
        <n v="20851.19660718603" u="1"/>
        <n v="42064.996223876471" u="1"/>
        <n v="139484.69821737937" u="1"/>
        <n v="1998.5036562377836" u="1"/>
        <n v="4443.2802612457108" u="1"/>
        <n v="6429.6151530259986" u="1"/>
        <n v="7047.1063636839253" u="1"/>
        <n v="11301.835545000002" u="1"/>
        <n v="29219.974066935163" u="1"/>
        <n v="31590.129951217539" u="1"/>
        <n v="54065.253152826343" u="1"/>
        <n v="1900.200624944953" u="1"/>
        <n v="20198.567113858058" u="1"/>
        <n v="10097.407697848334" u="1"/>
        <n v="22786.764000000003" u="1"/>
        <n v="2814.9919127856256" u="1"/>
        <n v="1291.5482914325667" u="1"/>
        <n v="2624.8231283465102" u="1"/>
        <n v="4450.0849219281281" u="1"/>
        <n v="6445.7864447622696" u="1"/>
        <n v="111904.70221862594" u="1"/>
        <n v="358.32426949889634" u="1"/>
        <n v="14256.917453784008" u="1"/>
        <n v="1274.8172700787932" u="1"/>
        <n v="2360.0101777551472" u="1"/>
        <n v="136693.50897626643" u="1"/>
        <n v="984.74241058586165" u="1"/>
        <n v="1245.0141629008497" u="1"/>
        <n v="11482.76435259658" u="1"/>
        <n v="65915.565467539476" u="1"/>
        <n v="8761.3235560878056" u="1"/>
        <n v="24780.106927122273" u="1"/>
        <n v="10327.317882291907" u="1"/>
        <n v="2584.4412403942561" u="1"/>
        <n v="14324.56171054386" u="1"/>
        <n v="43928.014704654212" u="1"/>
        <n v="2335.2446445724281" u="1"/>
        <n v="164984.20095977295" u="1"/>
        <n v="7546.8525369804447" u="1"/>
        <n v="9055.8218235675686" u="1"/>
        <n v="273.47185948569074" u="1"/>
        <n v="1449.4907543843444" u="1"/>
        <n v="35354.5533480343" u="1"/>
        <n v="2209.7159689918585" u="1"/>
        <n v="3587.4830093762789" u="1"/>
        <n v="4512.7065042748272" u="1"/>
        <n v="7262.875036725779" u="1"/>
        <n v="23887.049049617955" u="1"/>
        <n v="37934.978505718049" u="1"/>
        <n v="992.5485028628309" u="1"/>
        <n v="25622.177492235998" u="1"/>
        <n v="2729.2418553478474" u="1"/>
        <n v="9614.8563032925922" u="1"/>
        <n v="33297.264000000003" u="1"/>
        <n v="2059.6145430503066" u="1"/>
        <n v="41827.573588017229" u="1"/>
        <n v="12797.905000797051" u="1"/>
        <n v="14741.338007496102" u="1"/>
        <n v="50.742740200130704" u="1"/>
        <n v="597.16191580816155" u="1"/>
        <n v="244881.3390151989" u="1"/>
        <n v="37544.110250747202" u="1"/>
        <n v="370.64262497832465" u="1"/>
        <n v="18441.208770492831" u="1"/>
        <n v="132.33901913480838" u="1"/>
        <n v="1937.9429441286434" u="1"/>
        <n v="21987.844183520629" u="1"/>
        <n v="2167.1153974041304" u="1"/>
        <n v="6932.7885175707725" u="1"/>
        <n v="11142.837055604585" u="1"/>
        <n v="45132.235531867467" u="1"/>
        <n v="3676.5566303112237" u="1"/>
        <n v="88081.849310960752" u="1"/>
        <n v="9445.5036975431722" u="1"/>
        <n v="33166.59249784876" u="1"/>
        <n v="13041.129397385497" u="1"/>
        <n v="26057.098501215289" u="1"/>
        <n v="3938.4315801009534" u="1"/>
        <n v="20046.599762941132" u="1"/>
        <n v="20313.378970753696" u="1"/>
        <n v="318785.37552497641" u="1"/>
        <n v="3328.7697291264731" u="1"/>
        <n v="17596.536396293312" u="1"/>
        <n v="65934.345194326597" u="1"/>
        <n v="266506.2768724591" u="1"/>
        <n v="154.29526008462463" u="1"/>
        <n v="20497.125482928299" u="1"/>
        <n v="2770.9592002901763" u="1"/>
        <n v="7123.2" u="1"/>
        <n v="42827.131620441935" u="1"/>
        <n v="2637.0398439506753" u="1"/>
        <n v="163.01411706805277" u="1"/>
        <n v="904.97534303069074" u="1"/>
        <n v="27391" u="1"/>
        <n v="9114.0825151732352" u="1"/>
        <n v="6047.233207919563" u="1"/>
        <n v="28606.636265505014" u="1"/>
        <n v="208167.01790687384" u="1"/>
        <n v="19476.969605742808" u="1"/>
        <n v="50000" u="1"/>
        <n v="8333.0604218618064" u="1"/>
        <n v="9851.3148229240687" u="1"/>
        <n v="8301.4473724788641" u="1"/>
        <n v="29413.629935331803" u="1"/>
        <n v="73535.738486988514" u="1"/>
        <n v="106546.93309644333" u="1"/>
        <n v="297917.20286252" u="1"/>
        <n v="3728.5977453311693" u="1"/>
        <n v="57150.828879613968" u="1"/>
        <n v="360.00433573644438" u="1"/>
        <n v="16329.234417011621" u="1"/>
        <n v="108513.6509020228" u="1"/>
        <n v="608.56430183845441" u="1"/>
        <n v="4272.0815250510022" u="1"/>
        <n v="8725.7576074020071" u="1"/>
        <n v="4742.1082800000013" u="1"/>
        <n v="15190.107849280021" u="1"/>
        <n v="16892.674940441582" u="1"/>
        <n v="2116.5316227718477" u="1"/>
        <n v="8846.1165695858726" u="1"/>
        <n v="69132.692596368375" u="1"/>
        <n v="315.46304819030576" u="1"/>
        <n v="2612.1480236567641" u="1"/>
        <n v="3161.8390772836574" u="1"/>
        <n v="7216.7452905832506" u="1"/>
        <n v="13900.069441440006" u="1"/>
        <n v="26904.223710277627" u="1"/>
        <n v="39567.630956410707" u="1"/>
        <n v="43401.43620807254" u="1"/>
        <n v="2696.0693446570331" u="1"/>
        <n v="3638.991034224" u="1"/>
        <n v="8788.3885546879865" u="1"/>
        <n v="191757.24088204355" u="1"/>
        <n v="369944.16644626844" u="1"/>
        <n v="86985.733061546824" u="1"/>
        <n v="2385.9101899682137" u="1"/>
        <n v="7371.8905882343515" u="1"/>
        <n v="17188.975146661931" u="1"/>
        <n v="38265.905600606959" u="1"/>
        <n v="1322.1250560000005" u="1"/>
        <n v="8356.1727241295594" u="1"/>
        <n v="9915.3205384851663" u="1"/>
        <n v="15793.197271421093" u="1"/>
        <n v="59842.583259142288" u="1"/>
        <n v="42257.687783002119" u="1"/>
        <n v="4003.643279502001" u="1"/>
        <n v="20024.690910741196" u="1"/>
        <n v="199141.66238767368" u="1"/>
        <n v="1309.9887277046764" u="1"/>
        <n v="73387.641967767428" u="1"/>
        <n v="689.50572647419744" u="1"/>
        <n v="19882.283371441612" u="1"/>
        <n v="48452.965691758545" u="1"/>
        <n v="592.90554382006439" u="1"/>
        <n v="542.16865105606439" u="1"/>
        <n v="26.093493877173113" u="1"/>
        <n v="1750.43778" u="1"/>
        <n v="6609.197400859045" u="1"/>
        <n v="14013.988295895273" u="1"/>
        <n v="98055.038259440451" u="1"/>
        <n v="29837.689052520553" u="1"/>
        <n v="1626.0351760024978" u="1"/>
        <n v="27707.029581089966" u="1"/>
        <n v="5968.8929595740265" u="1"/>
        <n v="45351.324053866811" u="1"/>
        <n v="386.8685345020516" u="1"/>
        <n v="3196.9397130146122" u="1"/>
        <n v="6593.4524403408268" u="1"/>
        <n v="688.37338562160028" u="1"/>
        <n v="21821.012512793724" u="1"/>
        <n v="27310.954703402287" u="1"/>
        <n v="155108.92824717038" u="1"/>
        <n v="2461.7364694904036" u="1"/>
        <n v="5800.3916012464624" u="1"/>
        <n v="8293.0721441908172" u="1"/>
        <n v="12623.695612718546" u="1"/>
        <n v="1011.5454948591271" u="1"/>
        <n v="18717.241308947025" u="1"/>
        <n v="22315.83348974177" u="1"/>
        <n v="50680.393860579155" u="1"/>
        <n v="914.50999696665826" u="1"/>
        <n v="1035.6911949060495" u="1"/>
        <n v="3019.3379012183291" u="1"/>
        <n v="85377.699548178221" u="1"/>
        <n v="459776.42961848964" u="1"/>
        <n v="9275.4647999999979" u="1"/>
        <n v="2089.8631121725775" u="1"/>
        <n v="5447.384653302599" u="1"/>
        <n v="5844.4446400400539" u="1"/>
        <n v="9800.473219808453" u="1"/>
        <n v="57842.266846137587" u="1"/>
        <n v="62040.694378882305" u="1"/>
        <n v="11606.95218975088" u="1"/>
        <n v="27007.34508878367" u="1"/>
        <n v="1862.242047873618" u="1"/>
        <n v="6853.4418275555554" u="1"/>
        <n v="75500.815654066595" u="1"/>
        <n v="1835.5634760831313" u="1"/>
        <n v="4236.2961518360362" u="1"/>
        <n v="34852.529739063291" u="1"/>
        <n v="19125.764065931711" u="1"/>
        <n v="109432.0626928767" u="1"/>
        <n v="11357.628217128713" u="1"/>
        <n v="1100.8745568232134" u="1"/>
        <n v="5623.1557200000007" u="1"/>
        <n v="20929.781463075466" u="1"/>
        <n v="3838.0141799999997" u="1"/>
        <n v="20673.350543999997" u="1"/>
        <n v="26646.958351736619" u="1"/>
        <n v="89149.403675202746" u="1"/>
        <n v="2889.3505731453079" u="1"/>
        <n v="71078.874072137143" u="1"/>
        <n v="3834.0491349887407" u="1"/>
        <n v="1735.3430926391088" u="1"/>
        <n v="3494.2739055195589" u="1"/>
        <n v="11973.521751680732" u="1"/>
        <n v="195807.16032517844" u="1"/>
        <n v="3316.814709317815" u="1"/>
        <n v="115069.14757409507" u="1"/>
        <n v="159195.80277701121" u="1"/>
        <n v="9160.8082443411931" u="1"/>
        <n v="160099.57553837306" u="1"/>
        <n v="4356.3355801783146" u="1"/>
        <n v="8838.259612060112" u="1"/>
        <n v="255947.86556255145" u="1"/>
        <n v="2260.9935470333598" u="1"/>
        <n v="2312.163342328512" u="1"/>
        <n v="2406.627668642328" u="1"/>
        <n v="4929.799050051839" u="1"/>
        <n v="5354.1567194714517" u="1"/>
        <n v="6122.6122505068097" u="1"/>
        <n v="10013.724334180384" u="1"/>
        <n v="13040.535133115853" u="1"/>
        <n v="684.19131025039212" u="1"/>
        <n v="212421.40219742293" u="1"/>
        <n v="434.68913721891124" u="1"/>
        <n v="880.23612148531993" u="1"/>
        <n v="17522.696845684255" u="1"/>
        <n v="33203.401739650741" u="1"/>
        <n v="8204.8595123906398" u="1"/>
        <n v="2482.3525063191164" u="1"/>
        <n v="10694.510508498272" u="1"/>
        <n v="60506.714511939448" u="1"/>
        <n v="1684.0188106180124" u="1"/>
        <n v="4493.0891369501114" u="1"/>
        <n v="19384.675611395367" u="1"/>
        <n v="99.163593336496902" u="1"/>
        <n v="1568.8478626629394" u="1"/>
        <n v="341.91470165508889" u="1"/>
        <n v="16688.310467073668" u="1"/>
        <n v="542.55614701572972" u="1"/>
        <n v="645.48795165931767" u="1"/>
        <n v="786.8904120000002" u="1"/>
        <n v="1028.4282189999999" u="1"/>
        <n v="96119.740222434542" u="1"/>
        <n v="402.98805677297037" u="1"/>
        <n v="3136.3604211970551" u="1"/>
        <n v="1869.7930980147516" u="1"/>
        <n v="19505.124661098183" u="1"/>
        <n v="4518.236554770494" u="1"/>
        <n v="1418.8969370212878" u="1"/>
        <n v="101.27778150000003" u="1"/>
        <n v="7036.1545933441384" u="1"/>
        <n v="7714.912987794035" u="1"/>
        <n v="48011.779590637831" u="1"/>
        <n v="16076.02216586181" u="1"/>
        <n v="377.03972217911672" u="1"/>
        <n v="486.80227323752479" u="1"/>
        <n v="4739.5190150985854" u="1"/>
        <n v="3731.9647476306945" u="1"/>
        <n v="9295.4109713046" u="1"/>
        <n v="298.10524256463736" u="1"/>
        <n v="4803.679511409644" u="1"/>
        <n v="2949.309799683223" u="1"/>
        <n v="37056.169093891294" u="1"/>
        <n v="73212.91232871628" u="1"/>
        <n v="21639.596164266011" u="1"/>
        <n v="50599.305230402235" u="1"/>
        <n v="223332.69070109169" u="1"/>
        <n v="1209.6019941492837" u="1"/>
        <n v="14776.371404147836" u="1"/>
        <n v="42369.504615377133" u="1"/>
        <n v="2735.2627438782256" u="1"/>
        <n v="12920.834306710223" u="1"/>
        <n v="36897.221088380749" u="1"/>
        <n v="43578.240419485955" u="1"/>
        <n v="27766.168626137347" u="1"/>
        <n v="42447.063843799508" u="1"/>
        <n v="769.05224795586719" u="1"/>
        <n v="970.62994733196422" u="1"/>
        <n v="9718.4429088059842" u="1"/>
        <n v="16380.775739943118" u="1"/>
        <n v="794.74336200835717" u="1"/>
        <n v="19409.560585972977" u="1"/>
        <n v="22129.64056377337" u="1"/>
        <n v="84349.801963247097" u="1"/>
        <n v="164.43054635402041" u="1"/>
        <n v="11487.586179739377" u="1"/>
        <n v="1302.9163292051903" u="1"/>
        <n v="457.70308219078811" u="1"/>
        <n v="7870.9714800699248" u="1"/>
        <n v="105950.95895233138" u="1"/>
        <n v="177.93081621141988" u="1"/>
        <n v="213.09995806806532" u="1"/>
        <n v="169688.10761360606" u="1"/>
        <n v="352.89492170100567" u="1"/>
        <n v="566.47106221561694" u="1"/>
        <n v="50283.444861116324" u="1"/>
        <n v="7415.6642197082456" u="1"/>
        <n v="174906.95001646684" u="1"/>
        <n v="237613.45380320115" u="1"/>
        <n v="2336.467438389509" u="1"/>
        <n v="24130.63916187514" u="1"/>
        <n v="44017.154452692805" u="1"/>
        <n v="2039.5149734257016" u="1"/>
        <n v="64445.858894460915" u="1"/>
        <n v="3053.1941068685446" u="1"/>
        <n v="9243.6606008016515" u="1"/>
        <n v="25924.147294032962" u="1"/>
        <n v="144391.21125000002" u="1"/>
        <n v="784.29888512991192" u="1"/>
        <n v="1096.203642360136" u="1"/>
        <n v="15020.397856851747" u="1"/>
        <n v="50246.232527124092" u="1"/>
        <n v="838.41599067675099" u="1"/>
        <n v="44840.372850462722" u="1"/>
        <n v="2832.2222784208757" u="1"/>
        <n v="7174.0325286312745" u="1"/>
        <n v="16859.024726255284" u="1"/>
        <n v="26395.554445159552" u="1"/>
        <n v="8484.7292275777072" u="1"/>
        <n v="24685.335360000005" u="1"/>
        <n v="9639.8949679716934" u="1"/>
        <n v="10875.511545940875" u="1"/>
        <n v="21321.545927151368" u="1"/>
        <n v="62283.118935044215" u="1"/>
        <n v="25827.208709065955" u="1"/>
        <n v="414.17842537260412" u="1"/>
        <n v="2043.2017839502287" u="1"/>
        <n v="11923.382214055893" u="1"/>
        <n v="21070.084496044954" u="1"/>
        <n v="48750.422353570721" u="1"/>
        <n v="140168.82775738806" u="1"/>
        <n v="2340.6621004876715" u="1"/>
        <n v="191.20452829034758" u="1"/>
        <n v="458.85550423281779" u="1"/>
        <n v="47008.001048579899" u="1"/>
        <n v="81319.801817549058" u="1"/>
        <n v="35781.472680577142" u="1"/>
        <n v="67404.465270643224" u="1"/>
        <n v="1316.841903068206" u="1"/>
        <n v="41652.81019008148" u="1"/>
        <n v="8447.5052614103115" u="1"/>
        <n v="10247.723196047398" u="1"/>
        <n v="4129.2478768248948" u="1"/>
        <n v="7155.5233846636784" u="1"/>
        <n v="7417.0136555293329" u="1"/>
        <n v="8376.9093900604912" u="1"/>
        <n v="2244.9701345305934" u="1"/>
        <n v="2493.201307007912" u="1"/>
        <n v="6599.9892164112971" u="1"/>
        <n v="10977.106122652858" u="1"/>
        <n v="26393.766526945983" u="1"/>
        <n v="32036.68972201641" u="1"/>
        <n v="50812.121879924714" u="1"/>
        <n v="5409.8379671626299" u="1"/>
        <n v="16636.72532013186" u="1"/>
        <n v="3039.8970678910082" u="1"/>
        <n v="123.54754165944153" u="1"/>
        <n v="8978.918649409452" u="1"/>
        <n v="211419.62704384455" u="1"/>
        <n v="59350.62098335578" u="1"/>
        <n v="338539.78101898963" u="1"/>
        <n v="76.405406097366466" u="1"/>
        <n v="2232.0922526472436" u="1"/>
        <n v="3622.1980739246956" u="1"/>
        <n v="22773.786537060256" u="1"/>
        <n v="507.41848928009017" u="1"/>
        <n v="2627.1067631347646" u="1"/>
        <n v="125086.33709051092" u="1"/>
        <n v="4604.1907696966082" u="1"/>
        <n v="361.52363887513411" u="1"/>
        <n v="1983.1524209037261" u="1"/>
        <n v="2234.2683686473233" u="1"/>
        <n v="6128.6566832295548" u="1"/>
        <n v="6193.997911763744" u="1"/>
        <n v="6730.3993958202364" u="1"/>
        <n v="8896.4932104979744" u="1"/>
        <n v="13626.999689208413" u="1"/>
        <n v="138274.47085501777" u="1"/>
        <n v="67111.622578116774" u="1"/>
        <n v="4364.7435848176219" u="1"/>
        <n v="26878.443991940476" u="1"/>
        <n v="13656.734342649115" u="1"/>
        <n v="1555.9008763434435" u="1"/>
        <n v="9117.0558594003669" u="1"/>
        <n v="11568.453369227516" u="1"/>
        <n v="216276.0359743601" u="1"/>
        <n v="3548.799068985616" u="1"/>
        <n v="4984.9211410513608" u="1"/>
        <n v="8840.7814610720197" u="1"/>
        <n v="31196.274173836766" u="1"/>
        <n v="73120.771730329885" u="1"/>
        <n v="76063.787463391753" u="1"/>
        <n v="1359.8466085315868" u="1"/>
        <n v="2174.9515093027048" u="1"/>
        <n v="91188.841026828522" u="1"/>
        <n v="266577.24818892055" u="1"/>
        <n v="2215.7663220723739" u="1"/>
        <n v="35779.12356727475" u="1"/>
        <n v="160701.55920000002" u="1"/>
        <n v="5712.5068800154568" u="1"/>
        <n v="60349.767074670133" u="1"/>
        <n v="3943.7091537156602" u="1"/>
        <n v="2077.30755232" u="1"/>
        <n v="5123.8966339701901" u="1"/>
        <n v="2313.1845846557835" u="1"/>
        <n v="26929.811999999998" u="1"/>
        <n v="309.92991978732505" u="1"/>
        <n v="10312.60710766923" u="1"/>
        <n v="537.07881324240088" u="1"/>
        <n v="125067.58779826136" u="1"/>
        <n v="2144.9225930006937" u="1"/>
        <n v="36402.821073383697" u="1"/>
        <n v="143.76441211280471" u="1"/>
        <n v="38594.683836382021" u="1"/>
        <n v="47543.741361426808" u="1"/>
        <n v="9344.1254632725577" u="1"/>
        <n v="4533.3570766508547" u="1"/>
        <n v="6143.8988799111257" u="1"/>
        <n v="6637.295200452123" u="1"/>
        <n v="60378.459669593882" u="1"/>
        <n v="19405.788817406508" u="1"/>
        <n v="2099.6006607903496" u="1"/>
        <n v="1216.2212542578789" u="1"/>
        <n v="12539.485458908452" u="1"/>
        <n v="368.48428686418322" u="1"/>
        <n v="87314.524242952786" u="1"/>
        <n v="3004.1935041766696" u="1"/>
        <n v="19580.606986698527" u="1"/>
        <n v="214080.89129981471" u="1"/>
        <n v="21935.663377517893" u="1"/>
        <n v="13847.553405682309" u="1"/>
        <n v="44128.300738930215" u="1"/>
        <n v="17178.388315199998" u="1"/>
        <n v="45420.280613192401" u="1"/>
        <n v="206.49736062382232" u="1"/>
        <n v="1736.3571177612519" u="1"/>
        <n v="16538.508823799741" u="1"/>
        <n v="4540.9437964800009" u="1"/>
        <n v="24418.469165197952" u="1"/>
        <n v="41180.772833864372" u="1"/>
        <n v="150372.948" u="1"/>
        <n v="1757.615020362181" u="1"/>
        <n v="70399.720321290399" u="1"/>
        <n v="11324.98993450644" u="1"/>
        <n v="36068.132076520582" u="1"/>
        <n v="106149.91516339096" u="1"/>
        <n v="175062.51138112447" u="1"/>
        <n v="35592.280742997049" u="1"/>
        <n v="525.04377325352652" u="1"/>
        <n v="602.44134599651511" u="1"/>
        <n v="2776.2552319049628" u="1"/>
        <n v="228.94482628964153" u="1"/>
        <n v="4948.6463414803247" u="1"/>
        <n v="25458.094118397559" u="1"/>
        <n v="96670.91654123069" u="1"/>
        <n v="737.20381680509126" u="1"/>
        <n v="5310.1174516388946" u="1"/>
        <n v="2557.115135497851" u="1"/>
        <n v="3794.0805059672975" u="1"/>
        <n v="58367.000299974585" u="1"/>
        <n v="12690.017494733824" u="1"/>
        <n v="28814.522413355378" u="1"/>
        <n v="120055.22706931361" u="1"/>
        <n v="4188.2616519968751" u="1"/>
        <n v="40427.466013732708" u="1"/>
        <n v="111.40555965" u="1"/>
        <n v="114189.97846213222" u="1"/>
        <n v="196.10720850292057" u="1"/>
        <n v="1533.2763471233238" u="1"/>
        <n v="203670.19355784749" u="1"/>
        <n v="2995.3927579667406" u="1"/>
        <n v="335313.44995462941" u="1"/>
        <n v="536.96257383609077" u="1"/>
        <n v="37509.7396337588" u="1"/>
        <n v="3733.1190400083201" u="1"/>
        <n v="25412.347046925544" u="1"/>
        <n v="2386.8967474306073" u="1"/>
        <n v="33684.820423124358" u="1"/>
        <n v="92852.040871797071" u="1"/>
        <n v="3395.9680184319423" u="1"/>
        <n v="11837.418701051567" u="1"/>
        <n v="16654.707999999999" u="1"/>
        <n v="22244.708079406973" u="1"/>
        <n v="55270.855779836529" u="1"/>
        <n v="1425.3764961464167" u="1"/>
        <n v="2141.4907220969867" u="1"/>
        <n v="1268.754215694602" u="1"/>
        <n v="30852.566577721984" u="1"/>
        <n v="57754.246545069938" u="1"/>
        <n v="30716.331569471935" u="1"/>
        <n v="2341.3385024661784" u="1"/>
        <n v="8764.245270811607" u="1"/>
        <n v="9802.2587414623886" u="1"/>
        <n v="140.23291296804831" u="1"/>
        <n v="10034.254307570533" u="1"/>
        <n v="23770.57078584734" u="1"/>
        <n v="2952.1701917011196" u="1"/>
        <n v="1633.0025571315334" u="1"/>
        <n v="21584.746039291989" u="1"/>
        <n v="34681.452941117546" u="1"/>
        <n v="1201.1566520803883" u="1"/>
        <n v="2699.7287850265188" u="1"/>
        <n v="19424.641851314856" u="1"/>
        <n v="680.21276993829588" u="1"/>
        <n v="4268.0059845988899" u="1"/>
        <n v="8547.5544000000009" u="1"/>
        <n v="22018.396460935339" u="1"/>
        <n v="132585.44824370716" u="1"/>
        <n v="2264.5034259137465" u="1"/>
        <n v="4504.464140438552" u="1"/>
        <n v="24751.885813455425" u="1"/>
        <n v="50447.879004488816" u="1"/>
        <n v="180.63399363590111" u="1"/>
        <n v="1851.3661515415624" u="1"/>
        <n v="3369.7603789804712" u="1"/>
        <n v="7249.8383643423467" u="1"/>
        <n v="148.44424287268799" u="1"/>
        <n v="3260.6465404625606" u="1"/>
        <n v="27359.685203393128" u="1"/>
        <n v="1594.7152987667691" u="1"/>
        <n v="9479.7449166400656" u="1"/>
        <n v="11753.159052267614" u="1"/>
        <n v="57497.741639222993" u="1"/>
        <n v="1060.0379048416871" u="1"/>
        <n v="2852.3913258141365" u="1"/>
        <n v="3032.30195082716" u="1"/>
        <n v="32713.622622032453" u="1"/>
        <n v="51723.006740840392" u="1"/>
        <n v="377534.11609896523" u="1"/>
        <n v="768.62045553754206" u="1"/>
        <n v="4106.3692873679593" u="1"/>
        <n v="890.53930899844988" u="1"/>
        <n v="18960.172265177665" u="1"/>
        <n v="2345.4422194395565" u="1"/>
        <n v="9406.0243200000004" u="1"/>
        <n v="17423.136025477957" u="1"/>
        <n v="6475.8398803437422" u="1"/>
        <n v="258769.75780127561" u="1"/>
        <n v="29225.59835375912" u="1"/>
        <n v="8234.9303540386172" u="1"/>
        <n v="196810.34175764676" u="1"/>
        <n v="6155.4130604896709" u="1"/>
        <n v="32124.714159294457" u="1"/>
        <n v="484.10902924025663" u="1"/>
        <n v="4131.3620368461561" u="1"/>
        <n v="12206.526138161926" u="1"/>
        <n v="84084.098039872508" u="1"/>
        <n v="164170.67121169416" u="1"/>
        <n v="87.906000000000006" u="1"/>
        <n v="350.54226130000006" u="1"/>
        <n v="5327.8707252359254" u="1"/>
        <n v="6520.5646986927477" u="1"/>
        <n v="2040.4926863572528" u="1"/>
        <n v="4640.5084190354992" u="1"/>
        <n v="4381.7704399871309" u="1"/>
        <n v="6454.2225930326495" u="1"/>
        <n v="67065.609256024385" u="1"/>
        <n v="227131.98943343275" u="1"/>
        <n v="1840.3435847945957" u="1"/>
        <n v="67442.853308092745" u="1"/>
        <n v="71888.544000000009" u="1"/>
        <n v="113.02906408670411" u="1"/>
        <n v="2977.7051048052476" u="1"/>
        <n v="7986.7322471515681" u="1"/>
        <n v="12160.607999266105" u="1"/>
        <n v="3161.4055200000003" u="1"/>
        <n v="36789.653533012708" u="1"/>
        <n v="2899.9904692578284" u="1"/>
        <n v="23525.124064017684" u="1"/>
        <n v="157.00833380765079" u="1"/>
        <n v="2262.4577608281093" u="1"/>
        <n v="42250.999174718294" u="1"/>
        <n v="53245.16654656177" u="1"/>
        <n v="3757.798315336463" u="1"/>
        <n v="28380.366337025112" u="1"/>
        <n v="10258.76031633128" u="1"/>
        <n v="22854.856751999996" u="1"/>
        <n v="58451.369150274637" u="1"/>
        <n v="5151.4310590898376" u="1"/>
        <n v="20950.867779084998" u="1"/>
        <n v="1571.2716065095367" u="1"/>
        <n v="13762.087921894343" u="1"/>
        <n v="14060.592688846649" u="1"/>
        <n v="42670.47723012924" u="1"/>
        <n v="110921.78314211671" u="1"/>
        <n v="3844.7210535582271" u="1"/>
        <n v="15016.651041866757" u="1"/>
        <n v="18739.998386737258" u="1"/>
        <n v="19062.710777429151" u="1"/>
        <n v="3168.2038786186681" u="1"/>
        <n v="5358.4440000000013" u="1"/>
        <n v="199.17361261461485" u="1"/>
        <n v="1980.1233941060232" u="1"/>
        <n v="78243.210798695101" u="1"/>
        <n v="116839.44215215807" u="1"/>
        <n v="194.04042237580779" u="1"/>
        <n v="1569.2133947435827" u="1"/>
        <n v="1869.146831043462" u="1"/>
        <n v="3941.9517409475416" u="1"/>
        <n v="27731.123237300777" u="1"/>
        <n v="211523.83571796888" u="1"/>
        <n v="27597.632682368763" u="1"/>
        <n v="1580.9195386418287" u="1"/>
        <n v="27222.501396189411" u="1"/>
        <n v="1604.5227747992619" u="1"/>
        <n v="1758.1600840749779" u="1"/>
        <n v="3267.5399205922818" u="1"/>
        <n v="14657.613105718781" u="1"/>
        <n v="37208.545829819966" u="1"/>
        <n v="909.67033230306572" u="1"/>
        <n v="32658.609966881879" u="1"/>
        <n v="45117.449048346331" u="1"/>
        <n v="39737.834850537081" u="1"/>
        <n v="58936.792137749653" u="1"/>
        <n v="3031.2757467390561" u="1"/>
        <n v="8594.4875733309655" u="1"/>
        <n v="3659.6990309278171" u="1"/>
        <n v="8136.4999860000444" u="1"/>
        <n v="47443.717930304236" u="1"/>
        <n v="1594.2039675996161" u="1"/>
        <n v="22189.922910871635" u="1"/>
        <n v="6079.986488665837" u="1"/>
        <n v="4319.6344795695686" u="1"/>
        <n v="7889.392998072497" u="1"/>
        <n v="35073.209768309775" u="1"/>
        <n v="92591.746273395111" u="1"/>
        <n v="4224.3254214285244" u="1"/>
        <n v="12002.069791209549" u="1"/>
        <n v="314149.07400283683" u="1"/>
        <n v="825.0153876518832" u="1"/>
        <n v="9222.0306420773322" u="1"/>
        <n v="9245.051720002697" u="1"/>
        <n v="272.83290654296712" u="1"/>
        <n v="19887.978481653125" u="1"/>
        <n v="5245.9034961578636" u="1"/>
        <n v="5133.2621769343459" u="1"/>
        <n v="61942.81763899637" u="1"/>
        <n v="304.90748852714239" u="1"/>
        <n v="1598.4698565073061" u="1"/>
        <n v="220770.91861220589" u="1"/>
        <n v="2096.5643433117352" u="1"/>
        <n v="11519.993040963856" u="1"/>
        <n v="46945.926479217072" u="1"/>
        <n v="573.73965519603928" u="1"/>
        <n v="22230.713210340149" u="1"/>
        <n v="2100.2401336826879" u="1"/>
        <n v="17451.090216653647" u="1"/>
        <n v="381.0068900398993" u="1"/>
        <n v="4009.3199525882264" u="1"/>
        <n v="1509.6689506091645" u="1"/>
        <n v="5779.1011694552044" u="1"/>
        <n v="12406.276847736131" u="1"/>
        <n v="303257.3275095562" u="1"/>
        <n v="5629.7920907808839" u="1"/>
        <n v="19420.006590022967" u="1"/>
        <n v="2728.3290654296711" u="1"/>
        <n v="10471.262601633369" u="1"/>
        <n v="91602.625925147237" u="1"/>
        <n v="528.97601992577529" u="1"/>
        <n v="2187.3744375048745" u="1"/>
        <n v="25194.773557714507" u="1"/>
        <n v="8380.2006509035346" u="1"/>
        <n v="11298.264845810254" u="1"/>
        <n v="18919.433890776454" u="1"/>
        <n v="5868.967840719828" u="1"/>
        <n v="7557.6776548898051" u="1"/>
        <n v="43068.199308963507" u="1"/>
        <n v="88186.312500000015" u="1"/>
        <n v="31111.491618623335" u="1"/>
        <n v="59053.894579262545" u="1"/>
        <n v="504.47253558786986" u="1"/>
        <n v="56626.563735598407" u="1"/>
        <n v="26.494932244514239" u="1"/>
        <n v="6027.0835202793369" u="1"/>
        <n v="9364.2276533007589" u="1"/>
        <n v="13862.328301050202" u="1"/>
        <n v="333410.39039748977" u="1"/>
        <n v="2277.1305644144441" u="1"/>
        <n v="1586.6000259004811" u="1"/>
        <n v="25923.664454315058" u="1"/>
        <n v="348.29687779114005" u="1"/>
        <n v="9118.4201394792726" u="1"/>
        <n v="10229.191397048629" u="1"/>
        <n v="15882.996294282148" u="1"/>
        <n v="1245.1614048026768" u="1"/>
        <n v="5317.773803904196" u="1"/>
        <n v="1570.4265295377904" u="1"/>
        <n v="2128.3351916148217" u="1"/>
        <n v="55249.869761628448" u="1"/>
        <n v="12831.929809816913" u="1"/>
        <n v="16471.951437999629" u="1"/>
        <n v="231.65164004407495" u="1"/>
        <n v="258.14839873430213" u="1"/>
        <n v="1334.705543262" u="1"/>
        <n v="2324.2524477891607" u="1"/>
        <n v="4713.0163515394688" u="1"/>
        <n v="154.12243795524989" u="1"/>
        <n v="11664.098158746467" u="1"/>
        <n v="55575.137234931564" u="1"/>
        <n v="1964030.5299473463" u="1"/>
        <n v="1569.6777565580358" u="1"/>
        <n v="2317.6306459436073" u="1"/>
        <n v="22763.377743692719" u="1"/>
        <n v="50987.87433564254" u="1"/>
        <n v="5685.9446600342117" u="1"/>
        <n v="13236.666525947881" u="1"/>
        <n v="51025.535708755931" u="1"/>
        <n v="4596.262699287201" u="1"/>
        <n v="6783.7773266346248" u="1"/>
        <n v="5674.3590138568725" u="1"/>
        <n v="66179.218835342836" u="1"/>
        <n v="3116.2661101167223" u="1"/>
        <n v="3842.3370585600005" u="1"/>
        <n v="67674.81502730737" u="1"/>
        <n v="101812.24961825593" u="1"/>
        <n v="353254.03615156811" u="1"/>
        <n v="2690.5689075867972" u="1"/>
        <n v="11628.132358360563" u="1"/>
        <n v="42394.534331346586" u="1"/>
        <n v="273349.25191566325" u="1"/>
        <n v="51635.384683849021" u="1"/>
        <n v="3043.1319029953793" u="1"/>
        <n v="4216.4458100010061" u="1"/>
        <n v="12596.134121999999" u="1"/>
        <n v="90610.138605777931" u="1"/>
        <n v="4422.40140224883" u="1"/>
        <n v="5604.8395200000014" u="1"/>
        <n v="9965.3393618721275" u="1"/>
        <n v="30303.902869743688" u="1"/>
        <n v="10671.040412864846" u="1"/>
        <n v="330154.78230242804" u="1"/>
        <n v="642.83027937731003" u="1"/>
        <n v="1982.9008642045696" u="1"/>
        <n v="543.60918197009607" u="1"/>
        <n v="545.22353651049218" u="1"/>
        <n v="6028.4182306488656" u="1"/>
        <n v="58732.147874539689" u="1"/>
        <n v="24484.948008059964" u="1"/>
        <n v="93430.178493798128" u="1"/>
        <n v="868.05017338738082" u="1"/>
        <n v="3607.4863827230042" u="1"/>
        <n v="13553.571438229283" u="1"/>
        <n v="30625.24230337574" u="1"/>
        <n v="133040.54534016995" u="1"/>
        <n v="79033.364855417341" u="1"/>
        <n v="276.71280000000002" u="1"/>
        <n v="12381.712972780699" u="1"/>
        <n v="12575.195675732793" u="1"/>
        <n v="9366.124847919602" u="1"/>
        <n v="46539.449718779069" u="1"/>
        <n v="19807.869258307714" u="1"/>
        <n v="35277.235555972686" u="1"/>
        <n v="4436.5425704869722" u="1"/>
        <n v="9990.4366031706613" u="1"/>
        <n v="15544.928150005257" u="1"/>
        <n v="41034.085142177675" u="1"/>
        <n v="6215.9239159698218" u="1"/>
        <n v="9066.2002111507827" u="1"/>
        <n v="87943.046210695145" u="1"/>
        <n v="216.74700246070421" u="1"/>
        <n v="11997.569807496981" u="1"/>
        <n v="1069.67568536313" u="1"/>
        <n v="22921.367144522945" u="1"/>
        <n v="13449.241573093552" u="1"/>
        <n v="44598.46127240979" u="1"/>
        <n v="145803.02093090198" u="1"/>
        <n v="2013.063873369704" u="1"/>
        <n v="75168.072804955329" u="1"/>
        <n v="96272.090329554689" u="1"/>
        <n v="19244.735772423486" u="1"/>
        <n v="5634.003228321315" u="1"/>
        <n v="2360.8812051649656" u="1"/>
        <n v="6730.3994123048142" u="1"/>
        <n v="24882.342760018702" u="1"/>
        <n v="3394.8545513377312" u="1"/>
        <n v="886.79757498816241" u="1"/>
        <n v="3674.5499143594261" u="1"/>
        <n v="98831.319415221689" u="1"/>
        <n v="206994.10679999998" u="1"/>
        <n v="12443.083482420174" u="1"/>
        <n v="40606.996853978591" u="1"/>
        <n v="9933.0497379460248" u="1"/>
        <n v="10370.434457883191" u="1"/>
        <n v="4188.7364752965123" u="1"/>
        <n v="194054.21766788638" u="1"/>
        <n v="350.32186227402059" u="1"/>
        <n v="55634.830759709403" u="1"/>
        <n v="1225.860101858686" u="1"/>
        <n v="1787.6151780652694" u="1"/>
        <n v="19490.028442526323" u="1"/>
        <n v="986.66721182144136" u="1"/>
        <n v="1019.7574867128508" u="1"/>
        <n v="791.35902072289161" u="1"/>
        <n v="34988.854088529559" u="1"/>
        <n v="37861.542398746671" u="1"/>
        <n v="8703.2824831797316" u="1"/>
        <n v="25123.116263562046" u="1"/>
        <n v="3991.3776310185463" u="1"/>
        <n v="8101.1457634301541" u="1"/>
        <n v="713.10670363335043" u="1"/>
        <n v="41215.201439999997" u="1"/>
        <n v="49973.223877959463" u="1"/>
        <n v="4573.4728967365691" u="1"/>
        <n v="6313.0477116944785" u="1"/>
        <n v="494776.45646835066" u="1"/>
        <n v="602.11570078347279" u="1"/>
        <n v="122144.23382864917" u="1"/>
        <n v="2027.9268152006562" u="1"/>
        <n v="14552.486988933473" u="1"/>
        <n v="6551.1811852475948" u="1"/>
        <n v="62350.058628021136" u="1"/>
        <n v="17106.431797709767" u="1"/>
        <n v="2245.8472067846378" u="1"/>
        <n v="2384.1139667867828" u="1"/>
        <n v="9541.5731091154139" u="1"/>
        <n v="4677.539944686263" u="1"/>
        <n v="89829.6763553739" u="1"/>
        <n v="72407.14025010397" u="1"/>
        <n v="1339.4959194669727" u="1"/>
        <n v="2813.5893418331025" u="1"/>
        <n v="5237.2014735420125" u="1"/>
        <n v="6224.2230686695375" u="1"/>
        <n v="8018.628788728347" u="1"/>
        <n v="75289.744195719701" u="1"/>
        <n v="3926.2159083196816" u="1"/>
        <n v="7138.3024069899548" u="1"/>
        <n v="28726.307596894148" u="1"/>
        <n v="33133.613587645239" u="1"/>
        <n v="6062.1492262398287" u="1"/>
        <n v="5130.8056799999995" u="1"/>
        <n v="23880.64889792987" u="1"/>
        <n v="32310.606163369008" u="1"/>
        <n v="61983.790037915722" u="1"/>
        <n v="1214.0683536618048" u="1"/>
        <n v="39.934558920223537" u="1"/>
        <n v="14317.395113448425" u="1"/>
        <n v="16681.36292723073" u="1"/>
        <n v="82.00846921117332" u="1"/>
        <n v="1454.3375616000005" u="1"/>
        <n v="8021.3806555602532" u="1"/>
        <n v="14131.511443782192" u="1"/>
        <n v="18605.214562565867" u="1"/>
        <n v="42840.049645708335" u="1"/>
        <n v="8021.3806555602541" u="1"/>
        <n v="69510.854640099817" u="1"/>
        <n v="84.571233666884524" u="1"/>
        <n v="2591.3160000000003" u="1"/>
        <n v="2371.3003162295618" u="1"/>
        <n v="8218.1177063255182" u="1"/>
        <n v="25024.175919863563" u="1"/>
        <n v="70194.983410250643" u="1"/>
        <n v="10254.202896737315" u="1"/>
        <n v="315457.52399488166" u="1"/>
        <n v="12597.142645393607" u="1"/>
        <n v="10106.737983173316" u="1"/>
        <n v="41621.521903946355" u="1"/>
        <n v="647.1537896446938" u="1"/>
        <n v="727.61571698799889" u="1"/>
        <n v="41111.663459028059" u="1"/>
        <n v="20214.363351465112" u="1"/>
        <n v="66874.385646891591" u="1"/>
        <n v="2423.6182358526162" u="1"/>
        <n v="11393.068898586738" u="1"/>
        <n v="766.2550460386426" u="1"/>
        <n v="6406.2876796397868" u="1"/>
        <n v="69147.699244215095" u="1"/>
        <n v="33176.239852129751" u="1"/>
        <n v="1086.3893652860659" u="1"/>
        <n v="8108.3738408400022" u="1"/>
        <n v="10253.34282956989" u="1"/>
        <n v="19475.454465267187" u="1"/>
        <n v="5708.9995137338356" u="1"/>
        <n v="5877.0638515135697" u="1"/>
        <n v="8182.2677984216843" u="1"/>
        <n v="9681.4396388002042" u="1"/>
        <n v="26322.980329325776" u="1"/>
        <n v="38009.915899467145" u="1"/>
        <n v="149801.63257417287" u="1"/>
        <n v="12271.15518835735" u="1"/>
        <n v="47266.628504866152" u="1"/>
        <n v="436.7511495554109" u="1"/>
        <n v="5710.8329535444536" u="1"/>
        <n v="30708.606058752797" u="1"/>
        <n v="3667.2105288000002" u="1"/>
        <n v="716.42163078904912" u="1"/>
        <n v="9223.8966210372819" u="1"/>
        <n v="3154.0024485664399" u="1"/>
        <n v="11601.819450810584" u="1"/>
        <n v="196124.36447270898" u="1"/>
        <n v="3039.4580474462355" u="1"/>
        <n v="2585.7945958165633" u="1"/>
        <n v="8473.6833826946913" u="1"/>
        <n v="122253.01407351991" u="1"/>
        <n v="98634.397384091542" u="1"/>
        <n v="126126.76522157123" u="1"/>
        <n v="3000.7846902272395" u="1"/>
        <n v="11273.770480478615" u="1"/>
        <n v="66948.719735777762" u="1"/>
        <n v="1553.5367923590743" u="1"/>
        <n v="11746.429574907937" u="1"/>
        <n v="535.33142160495413" u="1"/>
        <n v="4194.5493393695006" u="1"/>
        <n v="10205.285449760808" u="1"/>
        <n v="20284.321656490403" u="1"/>
        <n v="1202.9251854888153" u="1"/>
        <n v="2488.2082675793563" u="1"/>
        <n v="2521.1392580553966" u="1"/>
        <n v="2586.0827999999997" u="1"/>
        <n v="2858.5076979406967" u="1"/>
        <n v="5535.9995420283449" u="1"/>
        <n v="14785.625677436678" u="1"/>
        <n v="77187.051836508152" u="1"/>
        <n v="93440.520174391451" u="1"/>
        <n v="5316.2663261387288" u="1"/>
        <n v="11049.915076452264" u="1"/>
        <n v="7920.5096965466691" u="1"/>
        <n v="85278.105625300974" u="1"/>
        <n v="30632.853361057336" u="1"/>
        <n v="59635.73616" u="1"/>
        <n v="101498.89350739161" u="1"/>
        <n v="118.0301231361837" u="1"/>
        <n v="3645.0046707873703" u="1"/>
        <n v="7101.1237312276307" u="1"/>
        <n v="109.02134585221023" u="1"/>
        <n v="3645.0046707873707" u="1"/>
        <n v="54.375180672625795" u="1"/>
        <n v="117.01555695388207" u="1"/>
        <n v="14107.52289674774" u="1"/>
        <n v="39932.870724584049" u="1"/>
        <n v="197708.28513678184" u="1"/>
        <n v="364.56258838272061" u="1"/>
        <n v="2226.7360690480059" u="1"/>
        <n v="69974.642491636274" u="1"/>
        <n v="49832.649090547646" u="1"/>
        <n v="185.07671286247268" u="1"/>
        <n v="81030.813850884631" u="1"/>
        <n v="1698.2534064909169" u="1"/>
        <n v="24438.011544873523" u="1"/>
        <n v="106759.0469638964" u="1"/>
        <n v="12834.581759999997" u="1"/>
        <n v="18125.159719080311" u="1"/>
        <n v="32673.569551339908" u="1"/>
        <n v="215.64661816920707" u="1"/>
        <n v="2562.9894556024587" u="1"/>
        <n v="17291.656181756127" u="1"/>
        <n v="49065.993070869052" u="1"/>
        <n v="60733.800766002161" u="1"/>
        <n v="3102.0228129581515" u="1"/>
        <n v="15728.438963521519" u="1"/>
        <n v="4534.068000000002" u="1"/>
        <n v="42616.6154172323" u="1"/>
        <n v="16366.763399879765" u="1"/>
        <n v="173.63718965798151" u="1"/>
        <n v="3624.6162046361092" u="1"/>
        <n v="3790.6297733561414" u="1"/>
        <n v="187444.00390366995" u="1"/>
        <n v="30236.166039597818" u="1"/>
        <n v="203.36861273558262" u="1"/>
        <n v="2245.7810452036483" u="1"/>
        <n v="3858.1323258629518" u="1"/>
        <n v="7402.9449256629523" u="1"/>
        <n v="76491.836796900243" u="1"/>
        <n v="8269.2109181225551" u="1"/>
        <n v="40491.106259326945" u="1"/>
        <n v="3978.0097108071905" u="1"/>
        <n v="84581.029750644229" u="1"/>
        <n v="74.382000000000019" u="1"/>
        <n v="148.25704962820799" u="1"/>
        <n v="5156.6291558098164" u="1"/>
        <n v="13369.404348609347" u="1"/>
        <n v="18899.681912393324" u="1"/>
        <n v="24819.855414471589" u="1"/>
        <n v="29675.222943816949" u="1"/>
        <n v="5773.4207317270457" u="1"/>
        <n v="7432.5062864201363" u="1"/>
        <n v="33946.451952668314" u="1"/>
        <n v="1403.7798825684406" u="1"/>
        <n v="11560.484313705852" u="1"/>
        <n v="14379.831323723371" u="1"/>
        <n v="2170.6178126854015" u="1"/>
        <n v="160919.72209765107" u="1"/>
        <n v="3158.8581444634506" u="1"/>
        <n v="13173.29192989796" u="1"/>
        <n v="179.06335139621854" u="1"/>
        <n v="36734.802296767084" u="1"/>
        <n v="166.2575520174106" u="1"/>
        <n v="451.72877931998062" u="1"/>
        <n v="16474.660168817078" u="1"/>
        <n v="33276.809560542868" u="1"/>
        <n v="20234.315774269617" u="1"/>
        <n v="8287.8472101935331" u="1"/>
        <n v="146251.84417357645" u="1"/>
        <n v="28377.938740425758" u="1"/>
        <n v="41430.479999999996" u="1"/>
        <n v="49358.014944191047" u="1"/>
        <n v="755.19994783041477" u="1"/>
        <n v="1164.7579685065195" u="1"/>
        <n v="2610.2206511003342" u="1"/>
        <n v="123191.08955883655" u="1"/>
        <n v="15329.595967533354" u="1"/>
        <n v="503464.43231006415" u="1"/>
        <n v="938.09752788987987" u="1"/>
        <n v="2353.1534723891186" u="1"/>
        <n v="36658.999649999998" u="1"/>
        <n v="79643.990125366996" u="1"/>
        <n v="84402.32879318425" u="1"/>
        <n v="2527.0865155707606" u="1"/>
        <n v="85795.340365368145" u="1"/>
        <n v="3624.9191821711734" u="1"/>
        <n v="19678.592325790822" u="1"/>
        <n v="917.68649565931162" u="1"/>
        <n v="1399.6171470853442" u="1"/>
        <n v="7284.0635470487705" u="1"/>
        <n v="7374.6115757523294" u="1"/>
        <n v="44068.154457600009" u="1"/>
        <n v="67485.177098878223" u="1"/>
        <n v="5191.909558870535" u="1"/>
        <n v="45745.074732583984" u="1"/>
        <n v="1807.228836853548" u="1"/>
        <n v="18932.435042882586" u="1"/>
        <n v="41534.764638705412" u="1"/>
        <n v="1471.7061605356273" u="1"/>
        <n v="2244.9961014997348" u="1"/>
        <n v="66689.437776418476" u="1"/>
        <n v="209202.89610352262" u="1"/>
        <n v="189598.38777739112" u="1"/>
        <n v="671.65248149999979" u="1"/>
        <n v="2545.2565334832902" u="1"/>
        <n v="44855.878770469462" u="1"/>
        <n v="53579.761872000003" u="1"/>
        <n v="2444.2312199782768" u="1"/>
        <n v="370537.02568736818" u="1"/>
        <n v="15252.179607985119" u="1"/>
        <n v="25910.414630367377" u="1"/>
        <n v="32710.487469898027" u="1"/>
        <n v="261.23483304985513" u="1"/>
        <n v="388.29227378681622" u="1"/>
        <n v="656.52414864847481" u="1"/>
        <n v="3807.2396779985984" u="1"/>
        <n v="14886.340325999998" u="1"/>
        <n v="43046.757936444206" u="1"/>
        <n v="68599.595832073057" u="1"/>
        <n v="192501.414518312" u="1"/>
        <n v="504.11743925575843" u="1"/>
        <n v="3448.2136802539721" u="1"/>
        <n v="50461.007519999992" u="1"/>
        <n v="12740.361816000002" u="1"/>
        <n v="31750.820988707732" u="1"/>
        <n v="5212.2354411948745" u="1"/>
        <n v="94302.853779445533" u="1"/>
        <n v="166117.35941948995" u="1"/>
        <n v="1481.1396599999998" u="1"/>
        <n v="2027.3028426844735" u="1"/>
        <n v="3794.4531829941407" u="1"/>
        <n v="7372.5816658115909" u="1"/>
        <n v="18299.979993354307" u="1"/>
        <n v="58654.622211428563" u="1"/>
        <n v="90089.999999999985" u="1"/>
        <n v="1996.7279460111761" u="1"/>
        <n v="2709.0037111133502" u="1"/>
        <n v="17056.667674256489" u="1"/>
        <n v="1371.5595572863128" u="1"/>
        <n v="2190.8852199935654" u="1"/>
        <n v="2243.7115992840399" u="1"/>
        <n v="6421.2854084175078" u="1"/>
        <n v="1996.7279460111768" u="1"/>
        <n v="22039.180800000002" u="1"/>
        <n v="5147.3772301378413" u="1"/>
        <n v="6265.8551401500617" u="1"/>
        <n v="20323.61057507946" u="1"/>
        <n v="37790.763739742499" u="1"/>
        <n v="342554.08756178024" u="1"/>
        <n v="35415.659581196" u="1"/>
        <n v="153922.40170286942" u="1"/>
        <n v="8492.271906802438" u="1"/>
        <n v="259.39085147805645" u="1"/>
        <n v="9602.03287096442" u="1"/>
        <n v="64221.308706174299" u="1"/>
        <n v="4689.5083341938316" u="1"/>
        <n v="49993.549380146891" u="1"/>
        <n v="160091.27916763953" u="1"/>
        <n v="5282.3124040191296" u="1"/>
        <n v="9823.3785418176994" u="1"/>
        <n v="45487.640052796763" u="1"/>
        <n v="91716.532068492612" u="1"/>
        <n v="10328.458894255382" u="1"/>
        <n v="3320.0908820044156" u="1"/>
        <n v="9613.1753608131676" u="1"/>
        <n v="491.85349199999996" u="1"/>
        <n v="6888.7425596675139" u="1"/>
        <n v="20488.673039372014" u="1"/>
        <n v="50763.880439999994" u="1"/>
        <n v="80.83391251829616" u="1"/>
        <n v="20881.852119951905" u="1"/>
        <n v="3735.3897555702142" u="1"/>
        <n v="11885.622935028827" u="1"/>
        <n v="28861.489146968714" u="1"/>
        <n v="39121.605399347551" u="1"/>
        <n v="123616.58400000003" u="1"/>
        <n v="2666.5895998662841" u="1"/>
        <n v="18508.598383838242" u="1"/>
        <n v="989.1932867964083" u="1"/>
        <n v="3018.4066194893985" u="1"/>
        <n v="270606.37343972764" u="1"/>
        <n v="3552.8274981362924" u="1"/>
        <n v="12212.955580035336" u="1"/>
        <n v="3302.6236704696403" u="1"/>
        <n v="135978.24240000002" u="1"/>
        <n v="1438.911628715626" u="1"/>
        <n v="2960.4528046108871" u="1"/>
        <n v="52903.398240000002" u="1"/>
        <n v="81115.594527257141" u="1"/>
        <n v="14085.050093776639" u="1"/>
        <n v="17823.695957558244" u="1"/>
        <n v="35527.144151430002" u="1"/>
        <n v="1605.3389169005982" u="1"/>
        <n v="6958.1905927554399" u="1"/>
        <n v="13093.866240000003" u="1"/>
        <n v="47358.179488356007" u="1"/>
        <n v="9292.2557875513448" u="1"/>
        <n v="121932.70813420862" u="1"/>
        <n v="1585.4534765999995" u="1"/>
        <n v="9102.9660562619902" u="1"/>
        <n v="20348.6331042862" u="1"/>
        <n v="27419.771176381022" u="1"/>
        <n v="6016.2229050795904" u="1"/>
        <n v="1363.2155125507727" u="1"/>
        <n v="5006.1727276852989" u="1"/>
        <n v="54827.627400000019" u="1"/>
        <n v="201.37837416027065" u="1"/>
        <n v="12449.683983619463" u="1"/>
        <n v="21471.567443735632" u="1"/>
        <n v="493.11737225351601" u="1"/>
        <n v="1269.0297166100095" u="1"/>
        <n v="5141.839081692593" u="1"/>
        <n v="82855.295592483933" u="1"/>
        <n v="10828.921227200615" u="1"/>
        <n v="30147.739516274458" u="1"/>
        <n v="4130.0714341363318" u="1"/>
        <n v="9211.8236162603753" u="1"/>
        <n v="221124.71816126391" u="1"/>
        <n v="32917.771671090821" u="1"/>
        <n v="4326.0171606097501" u="1"/>
        <n v="453.81524125433532" u="1"/>
        <n v="344.12601842888569" u="1"/>
        <n v="4423.9646995248349" u="1"/>
        <n v="10844.881838968155" u="1"/>
        <n v="183.45639933712738" u="1"/>
        <n v="23472.963239608536" u="1"/>
        <n v="3773.1229936715572" u="1"/>
        <n v="6127.285698734644" u="1"/>
        <n v="8547.5698344342036" u="1"/>
        <n v="9445.220400000002" u="1"/>
        <n v="27695.425618781144" u="1"/>
        <n v="40402.791623563142" u="1"/>
        <n v="65249.668966462094" u="1"/>
        <n v="123974.45515429183" u="1"/>
        <n v="3591.7035237309901" u="1"/>
        <n v="30749.610293257938" u="1"/>
        <n v="198305.01715069253" u="1"/>
        <n v="1367.6985883197169" u="1"/>
        <n v="8725.5451083268235" u="1"/>
        <n v="12335.000739179082" u="1"/>
        <n v="2004.6599762941132" u="1"/>
        <n v="2957.2967114672674" u="1"/>
        <n v="13475.083240707821" u="1"/>
        <n v="60472.968350972136" u="1"/>
        <n v="1724.3172005820441" u="1"/>
        <n v="10981.462968" u="1"/>
        <n v="13618.555326846605" u="1"/>
        <n v="44348.998157770206" u="1"/>
        <n v="338.87632046817964" u="1"/>
        <n v="2786.8059998318158" u="1"/>
        <n v="67950.616319867433" u="1"/>
        <n v="2261.3585793987786" u="1"/>
        <n v="4284.0167374465927" u="1"/>
        <n v="97.239091027036494" u="1"/>
        <n v="2168.9763677936303" u="1"/>
        <n v="103805.46318228877" u="1"/>
        <n v="2998.297843602802" u="1"/>
        <n v="141900.29771344861" u="1"/>
        <n v="21534.099654481754" u="1"/>
        <n v="52458.034994529298" u="1"/>
        <n v="52581.245279845592" u="1"/>
        <n v="12110.495603664735" u="1"/>
        <n v="18473.349068324231" u="1"/>
        <n v="15479.316183184508" u="1"/>
        <n v="25411.079308419736" u="1"/>
        <n v="90885.743341698457" u="1"/>
        <n v="19688.450664793771" u="1"/>
        <n v="11662.182517042042" u="1"/>
        <n v="18958.587648000001" u="1"/>
        <n v="19304.303337006244" u="1"/>
        <n v="35179.765603888751" u="1"/>
        <n v="50956.00678937765" u="1"/>
        <n v="775.21526678319015" u="1"/>
        <n v="13124.278821849461" u="1"/>
        <n v="36643.021121546764" u="1"/>
        <n v="1261.949886716294" u="1"/>
        <n v="631.89953904000004" u="1"/>
        <n v="7559.7796790309458" u="1"/>
        <n v="302500.54444502032" u="1"/>
        <n v="117.66432510175233" u="1"/>
        <n v="242.74283977951853" u="1"/>
        <n v="4070.8158334049403" u="1"/>
        <n v="18126.862449233198" u="1"/>
        <n v="490.16176800668859" u="1"/>
        <n v="10308.62797727" u="1"/>
        <n v="32829.049172301398" u="1"/>
        <n v="32551.746400921562" u="1"/>
        <n v="37210.308884740713" u="1"/>
        <n v="151812.5452444652" u="1"/>
        <n v="2241.9566626170399" u="1"/>
        <n v="24025.020437051389" u="1"/>
        <n v="42.898451860013878" u="1"/>
        <n v="62411.297538197192" u="1"/>
        <n v="129.07419936715107" u="1"/>
        <n v="135.12282629999999" u="1"/>
        <n v="1288.8583027752766" u="1"/>
        <n v="6327.1404109693258" u="1"/>
        <n v="8979.7081223024288" u="1"/>
        <n v="512.35491770153374" u="1"/>
        <n v="2740.1174898812151" u="1"/>
        <n v="20283.316893508425" u="1"/>
        <n v="1346.9976641990047" u="1"/>
        <n v="5364.8485221919545" u="1"/>
        <n v="5399.3329742602109" u="1"/>
        <n v="11501.942874061717" u="1"/>
        <n v="104991.77248801391" u="1"/>
        <n v="6064.7686317094622" u="1"/>
        <n v="261298.43062949687" u="1"/>
        <n v="89.13964044692753" u="1"/>
        <n v="39239.35441649524" u="1"/>
        <n v="187023.11450758891" u="1"/>
        <n v="7257.3884918697077" u="1"/>
        <n v="33837.407513653685" u="1"/>
        <n v="368.63653646717529" u="1"/>
        <n v="14295.708711035108" u="1"/>
        <n v="109874.31670453494" u="1"/>
        <n v="44258.901157584871" u="1"/>
        <n v="47601.724309726589" u="1"/>
        <n v="85050.933410642756" u="1"/>
        <n v="370.67257589751478" u="1"/>
        <n v="7286.291376000001" u="1"/>
        <n v="16922.269342444721" u="1"/>
        <n v="48458.883879134548" u="1"/>
        <n v="98023.893415717379" u="1"/>
        <n v="31813.519992621761" u="1"/>
        <n v="307.42103064182447" u="1"/>
        <n v="16041.881856" u="1"/>
        <n v="78272.158068508696" u="1"/>
        <n v="45641.991706969733" u="1"/>
        <n v="57552.117458154287" u="1"/>
        <n v="7976.5127712217254" u="1"/>
        <n v="33304.840905283017" u="1"/>
        <n v="480.15067326737511" u="1"/>
        <n v="26474.016904473698" u="1"/>
        <n v="26931.814143520271" u="1"/>
        <n v="375.14524649657989" u="1"/>
        <n v="1323.2743936079619" u="1"/>
        <n v="48093.998399999997" u="1"/>
        <n v="157495.219450973" u="1"/>
        <n v="1023.0485222381512" u="1"/>
        <n v="5070.9568492881826" u="1"/>
        <n v="15426.021256101241" u="1"/>
        <n v="18284.00578412084" u="1"/>
        <n v="1551.3486354918598" u="1"/>
        <n v="85611.24000000002" u="1"/>
        <n v="9339.0484260231842" u="1"/>
        <n v="147.7422682058878" u="1"/>
        <n v="3764.7535295999992" u="1"/>
        <n v="12129.42695311414" u="1"/>
        <n v="66432.196791822716" u="1"/>
        <n v="251.21333409224127" u="1"/>
        <n v="9423.9446619239752" u="1"/>
        <n v="23637.65980989422" u="1"/>
        <n v="56043.501673377679" u="1"/>
        <n v="177.11608992000004" u="1"/>
        <n v="192.20103862714384" u="1"/>
        <n v="8902.9608485193094" u="1"/>
        <n v="8074.4745244755413" u="1"/>
        <n v="54772.13049983915" u="1"/>
        <n v="15885.449362135327" u="1"/>
        <n v="72589.496991643944" u="1"/>
        <n v="53653.870269514104" u="1"/>
        <n v="44433.851335492611" u="1"/>
        <n v="85721.114970623443" u="1"/>
        <n v="4557.4245891814162" u="1"/>
        <n v="24903.319064459349" u="1"/>
        <n v="724.25957685737717" u="1"/>
        <n v="32700.349536818027" u="1"/>
        <n v="5705.2222354527912" u="1"/>
        <n v="29146.924131767828" u="1"/>
        <n v="54226.480172762189" u="1"/>
        <n v="12925.426112427498" u="1"/>
        <n v="25852.445595924088" u="1"/>
        <n v="141.61776555390423" u="1"/>
        <n v="88935.103696018952" u="1"/>
        <n v="9641.2632885905714" u="1"/>
        <n v="19111.761714112468" u="1"/>
        <n v="322928.48356444255" u="1"/>
        <n v="18608.91762085789" u="1"/>
        <n v="10070.392877999999" u="1"/>
        <n v="62937.386807729803" u="1"/>
        <n v="3156.9385009760563" u="1"/>
        <n v="102.9950254678545" u="1"/>
        <n v="766.54934947554216" u="1"/>
        <n v="40323.494697319467" u="1"/>
        <n v="43211.097778263618" u="1"/>
        <n v="8249.9865205141195" u="1"/>
        <n v="31037.602852637516" u="1"/>
        <n v="8881.9793806995076" u="1"/>
        <n v="7148.4999818570841" u="1"/>
        <n v="1430.7981967417229" u="1"/>
        <n v="34950.153628116197" u="1"/>
        <n v="4218.9783673092279" u="1"/>
        <n v="382.25609295806294" u="1"/>
        <n v="15941.420880000001" u="1"/>
        <n v="79867.662499378523" u="1"/>
        <n v="2099.8794600046795" u="1"/>
        <n v="17792.024825225082" u="1"/>
        <n v="25021.387922872414" u="1"/>
        <n v="102581.57677675222" u="1"/>
        <n v="2518.9817723443512" u="1"/>
        <n v="3532.2909717297243" u="1"/>
        <n v="35729.449353938362" u="1"/>
        <n v="4870.2107758281227" u="1"/>
        <n v="19881.847094186196" u="1"/>
        <n v="53895.776411841733" u="1"/>
        <n v="434.20915770330333" u="1"/>
        <n v="386.34611545381983" u="1"/>
        <n v="15222.822060039209" u="1"/>
        <n v="481.80414507599494" u="1"/>
        <n v="669.74795973348637" u="1"/>
        <n v="20431.597137116438" u="1"/>
        <n v="5548.8423221351104" u="1"/>
        <n v="11562.067629827397" u="1"/>
        <n v="3569.1512034949774" u="1"/>
        <n v="9542.5085878554091" u="1"/>
        <n v="18322.592183328194" u="1"/>
        <n v="7598.0203667668511" u="1"/>
        <n v="15573.481359563286" u="1"/>
        <n v="1780.7120708768105" u="1"/>
        <n v="3319.8989408772791" u="1"/>
        <n v="6017.9419073291247" u="1"/>
        <n v="55755.385968533948" u="1"/>
        <n v="60150.381198775052" u="1"/>
        <n v="143559.89788358231" u="1"/>
        <n v="9953.6055894888705" u="1"/>
        <n v="386.48374933500207" u="1"/>
        <n v="11220.446642547548" u="1"/>
        <n v="24735.098825841804" u="1"/>
        <n v="41.00423460558666" u="1"/>
        <n v="680.34065677834678" u="1"/>
        <n v="2291.6528644839482" u="1"/>
        <n v="1537.7207497596103" u="1"/>
        <n v="11841.600709611919" u="1"/>
        <n v="61734.327240357736" u="1"/>
        <n v="870.20849299999998" u="1"/>
        <n v="9906.4782045303473" u="1"/>
        <n v="55070.0381420302" u="1"/>
        <n v="96.882054931460658" u="1"/>
        <n v="446.15076418918659" u="1"/>
        <n v="27688.626088606354" u="1"/>
        <n v="79262.968091271352" u="1"/>
        <n v="2355.2016114930834" u="1"/>
        <n v="16588.055117195709" u="1"/>
        <n v="10054.140271685837" u="1"/>
        <n v="34174.679595871065" u="1"/>
        <n v="68327.3158135087" u="1"/>
        <n v="20766.298918662898" u="1"/>
        <n v="36331.956875662945" u="1"/>
        <n v="142.66371557986758" u="1"/>
        <n v="10543.606037379439" u="1"/>
        <n v="21964.354625508833" u="1"/>
        <n v="288.51658058140185" u="1"/>
        <n v="20446.817446917135" u="1"/>
        <n v="75999.5589174747" u="1"/>
        <n v="6268.6894868011714" u="1"/>
        <n v="50294.506735159244" u="1"/>
        <n v="2665.2050226287638" u="1"/>
        <n v="36178.214383179708" u="1"/>
        <n v="32700.319895110581" u="1"/>
        <n v="20750.840791559425" u="1"/>
        <n v="23322.181507726513" u="1"/>
        <n v="73595.367891662405" u="1"/>
        <n v="1585.1868654672624" u="1"/>
        <n v="15474.030850795418" u="1"/>
        <n v="6835.6966644308332" u="1"/>
        <n v="23686.590535769832" u="1"/>
        <n v="24474.17968110842" u="1"/>
        <n v="4582.1327581867481" u="1"/>
        <n v="6393.650866899382" u="1"/>
        <n v="8908.8703291326765" u="1"/>
        <n v="32052.204958382739" u="1"/>
        <n v="304629.4058397804" u="1"/>
        <n v="553380.66725340392" u="1"/>
        <n v="2493.012888093378" u="1"/>
        <n v="4743.9002284158205" u="1"/>
        <n v="12911.155803667069" u="1"/>
        <n v="19461.633409202845" u="1"/>
        <n v="11770.610311785673" u="1"/>
        <n v="222.38557444231196" u="1"/>
        <n v="5648.0616192954813" u="1"/>
        <n v="27018.551942524813" u="1"/>
        <n v="2140.6331174111269" u="1"/>
        <n v="236.85828700995796" u="1"/>
        <n v="2417.4670489206742" u="1"/>
        <n v="10950.356021512154" u="1"/>
        <n v="16728.116479106568" u="1"/>
        <n v="78.805013382611861" u="1"/>
        <n v="495.15538059421033" u="1"/>
        <n v="738.80980494166022" u="1"/>
        <n v="5731.5895601306038" u="1"/>
        <n v="36338.172284011358" u="1"/>
        <n v="46220.890877088168" u="1"/>
        <n v="2281.9747954413447" u="1"/>
        <n v="12079.609264800001" u="1"/>
        <n v="27706.425548769083" u="1"/>
        <n v="104220.1875" u="1"/>
        <n v="63.520392172458543" u="1"/>
        <n v="1031.6808050190321" u="1"/>
        <n v="1523.6573191350392" u="1"/>
        <n v="329.46011109184411" u="1"/>
        <n v="1322.6303772091346" u="1"/>
        <n v="2300.4294809932449" u="1"/>
        <n v="8983.3826657191821" u="1"/>
        <n v="2295.8457634172523" u="1"/>
        <n v="2546.013146732188" u="1"/>
        <n v="9776.9487123863619" u="1"/>
        <n v="975.07428962097129" u="1"/>
        <n v="7443.1673873914751" u="1"/>
        <n v="15400.745282163505" u="1"/>
        <n v="4502.4327540388731" u="1"/>
        <n v="8834.4458925485997" u="1"/>
        <n v="11088.775801100517" u="1"/>
        <n v="69.648291540689215" u="1"/>
        <n v="17970.551514100585" u="1"/>
        <n v="57893.013877137964" u="1"/>
        <n v="73706.258483823069" u="1"/>
        <n v="7528.8989220420026" u="1"/>
        <n v="56483.856000000007" u="1"/>
        <n v="1244.1041337896781" u="1"/>
        <n v="20626.730271011405" u="1"/>
        <n v="367.59887677188078" u="1"/>
        <n v="3413.9506081891695" u="1"/>
        <n v="11570.26515381064" u="1"/>
        <n v="101.43449477894761" u="1"/>
        <n v="194.86285394550131" u="1"/>
        <n v="336383.8370462943" u="1"/>
        <n v="2475.7002985927297" u="1"/>
        <n v="32016.864447649627" u="1"/>
        <n v="1440.7261206677692" u="1"/>
        <n v="16491.124510504043" u="1"/>
        <n v="1892.9248300744412" u="1"/>
        <n v="3324.4388446792341" u="1"/>
        <n v="13560.610488261373" u="1"/>
        <n v="24570.197263445185" u="1"/>
        <n v="4562.2135852108822" u="1"/>
        <n v="10038.811348828116" u="1"/>
        <n v="14275.901858399997" u="1"/>
        <n v="677563.53027149872" u="1"/>
        <n v="159.69061290000002" u="1"/>
        <n v="10548.320250935645" u="1"/>
        <n v="41049.427029328595" u="1"/>
        <n v="6783.241391161755" u="1"/>
        <n v="585306.47497956187" u="1"/>
        <n v="7682.5842582001651" u="1"/>
        <n v="3818.4426782020682" u="1"/>
        <n v="626.59194878280096" u="1"/>
        <n v="11449.923116192116" u="1"/>
        <n v="17323.178064237567" u="1"/>
        <n v="50922.574673660994" u="1"/>
        <n v="116567.39814440202" u="1"/>
        <n v="69161.409375880015" u="1"/>
        <n v="3799.6757754710898" u="1"/>
        <n v="27129.940176314372" u="1"/>
        <n v="25817.913991068934" u="1"/>
        <n v="9497.3460871771003" u="1"/>
        <n v="196291.69390797958" u="1"/>
        <n v="4760.9517009599986" u="1"/>
        <n v="10907.56521003476" u="1"/>
        <n v="58655.735506593373" u="1"/>
        <n v="754.36014784237909" u="1"/>
        <n v="1713.1925776775893" u="1"/>
        <n v="139378.97584536433" u="1"/>
        <n v="148.97712000686016" u="1"/>
        <n v="1895.3148866780707" u="1"/>
        <n v="3013.8463422440454" u="1"/>
        <n v="3066.1362049431636" u="1"/>
        <n v="8698.5313616606181" u="1"/>
        <n v="42877.615469110453" u="1"/>
        <n v="72258.601499090437" u="1"/>
        <n v="14583.52896" u="1"/>
        <n v="40604.889016384419" u="1"/>
        <n v="16792.947421088971" u="1"/>
        <n v="17110.532263068631" u="1"/>
        <n v="1031.763883325797" u="1"/>
        <n v="5463.4755305607241" u="1"/>
        <n v="13270.915312818313" u="1"/>
        <n v="5024.6232527124112" u="1"/>
        <n v="15317.238676010529" u="1"/>
        <n v="39987.809922687768" u="1"/>
        <n v="3024.2317396606636" u="1"/>
        <n v="3516.2333934107287" u="1"/>
        <n v="4126.6666620093893" u="1"/>
        <n v="4534.2126068295929" u="1"/>
        <n v="149.75736211485452" u="1"/>
        <n v="1167.5438794026211" u="1"/>
        <n v="1291.1446825914936" u="1"/>
        <n v="2508.5635768926331" u="1"/>
        <n v="661.99518322054553" u="1"/>
        <n v="10548.118438422925" u="1"/>
        <n v="335.78574522480756" u="1"/>
        <n v="668.64672428400013" u="1"/>
        <n v="673.89187538514693" u="1"/>
        <n v="6022.7816945733139" u="1"/>
        <n v="43326.946110592762" u="1"/>
        <n v="7863.8594626099675" u="1"/>
        <n v="20303.714698339252" u="1"/>
        <n v="34810.637227940642" u="1"/>
        <n v="1083.9380278346389" u="1"/>
        <n v="8550.9311999999991" u="1"/>
        <n v="8653.1825981175552" u="1"/>
        <n v="1381.3551635670008" u="1"/>
        <n v="6962.3721339011572" u="1"/>
        <n v="20715.239999999998" u="1"/>
        <n v="69072.440738226534" u="1"/>
        <n v="25952.634837389352" u="1"/>
        <n v="2432.2510672098292" u="1"/>
        <n v="251.21333470753109" u="1"/>
        <n v="2044.0340868061608" u="1"/>
        <n v="8971.9939506237024" u="1"/>
        <n v="83443.533189055539" u="1"/>
        <n v="616.56106504330819" u="1"/>
        <n v="774.87663206266916" u="1"/>
        <n v="1263.5432577853803" u="1"/>
        <n v="1651.0511017871513" u="1"/>
        <n v="3009.7401803596958" u="1"/>
        <n v="38707.370927571057" u="1"/>
        <n v="3040.1989541399889" u="1"/>
        <n v="6319.5144761096417" u="1"/>
        <n v="71067.996106503226" u="1"/>
        <n v="53891.042299200206" u="1"/>
        <n v="4949.4135599999991" u="1"/>
        <n v="12637.506630880294" u="1"/>
        <n v="15498.670528141876" u="1"/>
        <n v="23811.999494931239" u="1"/>
        <n v="36626.603842217177" u="1"/>
        <n v="112420.05189605204" u="1"/>
        <n v="186606.16027345206" u="1"/>
        <n v="1164.1670942485246" u="1"/>
        <n v="15235.968875023293" u="1"/>
        <n v="45303.317009225291" u="1"/>
        <n v="592698.1675523289" u="1"/>
        <n v="11440.223817902881" u="1"/>
        <n v="19134.460800000004" u="1"/>
        <n v="71603.056473161996" u="1"/>
        <n v="28460.058633986351" u="1"/>
        <n v="61329.827982436596" u="1"/>
        <n v="2744.5816665010307" u="1"/>
        <n v="5349.3143799384161" u="1"/>
        <n v="786.76536418835713" u="1"/>
        <n v="16157.887199999997" u="1"/>
        <n v="4221.0106803382541" u="1"/>
        <n v="94865.945472119376" u="1"/>
        <n v="3582.9896278631109" u="1"/>
        <n v="3679.1083784339717" u="1"/>
        <n v="50172.068346272266" u="1"/>
        <n v="6220.5206689483894" u="1"/>
        <n v="9632.8841352677118" u="1"/>
        <n v="281881.63899971632" u="1"/>
        <n v="829.5468977335604" u="1"/>
        <n v="1051.6249055969117" u="1"/>
        <n v="37002.700697429376" u="1"/>
        <n v="28499.476182895436" u="1"/>
        <n v="13426.959280192199" u="1"/>
        <n v="33965.80255385553" u="1"/>
        <n v="1095.4426099967827" u="1"/>
        <n v="4580.3421698022821" u="1"/>
        <n v="193692.34522382065" u="1"/>
        <n v="21675.90808819847" u="1"/>
        <n v="3737.8854518758881" u="1"/>
        <n v="23864.179293601999" u="1"/>
        <n v="1566.16995535" u="1"/>
        <n v="2596.8884250972692" u="1"/>
        <n v="13680.868830218382" u="1"/>
        <n v="14808.496555274667" u="1"/>
        <n v="3047.671943547462" u="1"/>
        <n v="8433.3004591067238" u="1"/>
        <n v="9308.7087056952751" u="1"/>
        <n v="4002.5971523467351" u="1"/>
        <n v="4169.5441994813136" u="1"/>
        <n v="28197.839594711408" u="1"/>
        <n v="31248.28290916538" u="1"/>
        <n v="8911.8220853640396" u="1"/>
        <n v="4285.9493061896119" u="1"/>
        <n v="33885.496257251492" u="1"/>
        <n v="125743.10495542354" u="1"/>
        <n v="360.66740381569878" u="1"/>
        <n v="2596.4553683516638" u="1"/>
        <n v="5541.9783519404809" u="1"/>
        <n v="8928.833541284861" u="1"/>
        <n v="41794.032194721389" u="1"/>
        <n v="211439.23431772238" u="1"/>
        <n v="8305.5231794232895" u="1"/>
        <n v="1326.9349129339491" u="1"/>
        <n v="6509.0580463005745" u="1"/>
        <n v="708.40679271114254" u="1"/>
        <n v="1211.6186608500698" u="1"/>
        <n v="2382.751615948619" u="1"/>
        <n v="5519.5030800000004" u="1"/>
        <n v="87039.901354786882" u="1"/>
        <n v="5482.3996354026749" u="1"/>
        <n v="8546.8424145785357" u="1"/>
        <n v="11421.340789129265" u="1"/>
        <n v="929.96139599999992" u="1"/>
        <n v="4300.9170529690182" u="1"/>
        <n v="719.45581435781298" u="1"/>
        <n v="13887.629766930799" u="1"/>
        <n v="21886.965234700961" u="1"/>
        <n v="22547.889000000006" u="1"/>
        <n v="217408.05950762477" u="1"/>
        <n v="198517.08323578685" u="1"/>
        <n v="26801.639898162008" u="1"/>
        <n v="25897.751624331246" u="1"/>
        <n v="47993.807404941006" u="1"/>
        <n v="7052.8556772300371" u="1"/>
        <n v="122228.99177802674" u="1"/>
        <n v="401.27981956353636" u="1"/>
        <n v="7752.3630861310803" u="1"/>
        <n v="8665.5615799806474" u="1"/>
        <n v="59639.094099315815" u="1"/>
        <n v="3100.1663238972915" u="1"/>
        <n v="4968.0897522599107" u="1"/>
        <n v="6673.3780730154322" u="1"/>
        <n v="6677.2620027537751" u="1"/>
        <n v="2533.6070802534832" u="1"/>
        <n v="13869.530338282471" u="1"/>
        <n v="42471.074720140583" u="1"/>
        <n v="66446.943767795965" u="1"/>
        <n v="2019.119823691444" u="1"/>
        <n v="11038.860021955294" u="1"/>
        <n v="15073.869758137229" u="1"/>
        <n v="325.63824900768208" u="1"/>
        <n v="4408.7679240304478" u="1"/>
        <n v="6236.2092303928748" u="1"/>
        <n v="6606.4841534474508" u="1"/>
        <n v="8973.8658830730874" u="1"/>
        <n v="11399.722092750841" u="1"/>
        <n v="1807.8633283862994" u="1"/>
        <n v="5335.9615423203168" u="1"/>
        <n v="5716.4042767928968" u="1"/>
        <n v="41427.647796241989" u="1"/>
        <n v="5883.5104159003713" u="1"/>
        <n v="8702.1105678155545" u="1"/>
        <n v="35898.46955338867" u="1"/>
        <n v="102.73252602691613" u="1"/>
        <n v="66753.648000000016" u="1"/>
        <n v="193107.06703071599" u="1"/>
        <n v="30761.726228501662" u="1"/>
        <n v="93276.79851640336" u="1"/>
        <n v="20735.914946174322" u="1"/>
        <n v="87361.755600000004" u="1"/>
        <n v="4761.6546162583527" u="1"/>
        <n v="98.41016305340797" u="1"/>
        <n v="153.24013379626717" u="1"/>
        <n v="259.60048347719504" u="1"/>
        <n v="198957.95578902643" u="1"/>
        <n v="287.69521822111034" u="1"/>
        <n v="590.12296080387318" u="1"/>
        <n v="4362.7725541634118" u="1"/>
        <n v="6583.3128610927779" u="1"/>
        <n v="25523.073096013064" u="1"/>
        <n v="23505.550087737567" u="1"/>
        <n v="7526.8299909922971" u="1"/>
        <n v="90214.707350523808" u="1"/>
        <n v="263.38147996233425" u="1"/>
        <n v="27606.095005568521" u="1"/>
        <n v="321.13847086203953" u="1"/>
        <n v="24525.996048331181" u="1"/>
        <n v="29168.250790692517" u="1"/>
        <n v="197086.31433622906" u="1"/>
        <n v="99.754531454772362" u="1"/>
        <n v="30243.093463083984" u="1"/>
        <n v="343.16306150374851" u="1"/>
        <n v="646.17294559960987" u="1"/>
        <n v="5412.5589546806086" u="1"/>
        <n v="237460.6929599806" u="1"/>
        <n v="161691.61566975556" u="1"/>
        <n v="2586.0665942121409" u="1"/>
        <n v="5955.3837224030485" u="1"/>
        <n v="26290.622639922796" u="1"/>
        <n v="8671.3630849130695" u="1"/>
        <n v="6828.0290929661078" u="1"/>
        <n v="158732.47636730503" u="1"/>
        <n v="7664.9302410958771" u="1"/>
        <n v="16744.834118357947" u="1"/>
        <n v="20984.52783739832" u="1"/>
        <n v="61321.872951737314" u="1"/>
        <n v="8923.5945324524164" u="1"/>
        <n v="70462.544260098875" u="1"/>
        <n v="366.61325294239089" u="1"/>
        <n v="56389.555819165696" u="1"/>
        <n v="102232.65313407229" u="1"/>
        <n v="123228.84648172755" u="1"/>
        <n v="27521.86392058033" u="1"/>
        <n v="58.832162550876163" u="1"/>
        <n v="5295.6825603273046" u="1"/>
        <n v="2745.0730554912216" u="1"/>
        <n v="11324.344502190032" u="1"/>
        <n v="11655.30459573625" u="1"/>
        <n v="17956.83232233188" u="1"/>
        <n v="2423.1900307514156" u="1"/>
        <n v="4368.1188712229487" u="1"/>
        <n v="159204.05274169339" u="1"/>
        <n v="2363.1684668385146" u="1"/>
        <n v="78615.420906330095" u="1"/>
        <n v="307922.82485585695" u="1"/>
        <n v="212.85600000000002" u="1"/>
        <n v="74516.682613425364" u="1"/>
        <n v="70.719803718238282" u="1"/>
        <n v="298.16739072195696" u="1"/>
        <n v="24873.998045152683" u="1"/>
        <n v="33110.427393195961" u="1"/>
        <n v="62522.197919999991" u="1"/>
        <n v="1149.0656748218003" u="1"/>
        <n v="6555.5838431540415" u="1"/>
        <n v="1743.9988242599998" u="1"/>
        <n v="40529.187873357499" u="1"/>
        <n v="2072.9056900137916" u="1"/>
        <n v="20948.172012281975" u="1"/>
        <n v="10731.065015187727" u="1"/>
        <n v="114.19174518979256" u="1"/>
        <n v="4021.9805769653694" u="1"/>
        <n v="114714.85373304886" u="1"/>
        <n v="49051.540949878516" u="1"/>
        <n v="239.28135712199241" u="1"/>
        <n v="60121.538770717867" u="1"/>
        <n v="3493.1596514582729" u="1"/>
        <n v="8837.1791367671103" u="1"/>
        <n v="1254.5566449557339" u="1"/>
        <n v="1540.8175500083776" u="1"/>
        <n v="18008.992939934404" u="1"/>
        <n v="8996.4033554994185" u="1"/>
        <n v="43013.066641533711" u="1"/>
        <n v="1216.1907209522437" u="1"/>
        <n v="21879.916581321049" u="1"/>
        <n v="49216.053819202491" u="1"/>
        <n v="58993.356733622903" u="1"/>
        <n v="182.22937926476402" u="1"/>
        <n v="519197.69454809692" u="1"/>
        <n v="4142.6245192867809" u="1"/>
        <n v="201333.32852743354" u="1"/>
        <n v="12834.24366389524" u="1"/>
        <n v="24038.890528029497" u="1"/>
        <n v="51784.559745302467" u="1"/>
        <n v="4918.9407686113827" u="1"/>
        <n v="20312.18405387448" u="1"/>
        <n v="15591.799815620878" u="1"/>
        <n v="197.86074400620129" u="1"/>
        <n v="15115.663478250117" u="1"/>
        <n v="114388.08858514026" u="1"/>
        <n v="124023.37588755145" u="1"/>
        <n v="330.65968320000002" u="1"/>
        <n v="7691.2011293546075" u="1"/>
        <n v="160343.98874645084" u="1"/>
        <n v="17218.153605325322" u="1"/>
        <n v="257.21583624831061" u="1"/>
        <n v="17186.679758825561" u="1"/>
        <n v="13472.398836887356" u="1"/>
        <n v="2585.2445595924078" u="1"/>
        <n v="4936.9989740610272" u="1"/>
        <n v="6628.4236473987185" u="1"/>
        <n v="6881.7543265077629" u="1"/>
        <n v="2337.1995825875424" u="1"/>
        <n v="6062.0874955337495" u="1"/>
        <n v="6916.2448658798039" u="1"/>
        <n v="13294.512000000001" u="1"/>
        <n v="20141.639518814944" u="1"/>
        <n v="59976.611535164484" u="1"/>
        <n v="364338.95180314325" u="1"/>
        <n v="2672.8799683921507" u="1"/>
        <n v="9112.8589231092192" u="1"/>
        <n v="312.48221861376055" u="1"/>
        <n v="9254.2991692528249" u="1"/>
        <n v="2059.1256892806655" u="1"/>
        <n v="1142.2608211556285" u="1"/>
        <n v="5037.7446077861987" u="1"/>
        <n v="8461.2613514289096" u="1"/>
        <n v="17928.210184889154" u="1"/>
        <n v="26867.422689892875" u="1"/>
        <n v="52.743600000000001" u="1"/>
        <n v="9070.6818790553352" u="1"/>
        <n v="10388.298462083187" u="1"/>
        <n v="255539.97457935027" u="1"/>
        <n v="62265.286381764032" u="1"/>
        <n v="138.10817186247181" u="1"/>
        <n v="49198.395933170206" u="1"/>
        <n v="3614.8686877353975" u="1"/>
        <n v="45516.22554632603" u="1"/>
        <n v="960.07314905520593" u="1"/>
        <n v="11850.972555463206" u="1"/>
        <n v="7149.4381412339389" u="1"/>
        <n v="4595.8972380188688" u="1"/>
        <n v="21251.778100968935" u="1"/>
        <n v="501.15791519936772" u="1"/>
        <n v="6288.0661043199998" u="1"/>
        <n v="3827.7739320840274" u="1"/>
        <n v="23245.659885147674" u="1"/>
        <n v="501.13877988988509" u="1"/>
        <n v="26738.768467020403" u="1"/>
        <n v="3460.0506045051461" u="1"/>
        <n v="669.47449155055597" u="1"/>
        <n v="10739.075871630561" u="1"/>
        <n v="185085.13410914183" u="1"/>
        <n v="192421.54949986862" u="1"/>
        <n v="390.77962560000003" u="1"/>
        <n v="837.90625103168327" u="1"/>
        <n v="1234.0106127865208" u="1"/>
        <n v="3390.891236189887" u="1"/>
        <n v="7318.1600537839913" u="1"/>
        <n v="678.0628530020972" u="1"/>
        <n v="2381.5827665801139" u="1"/>
        <n v="147.80341836109551" u="1"/>
        <n v="656.09413902295876" u="1"/>
        <n v="44704.922381521617" u="1"/>
        <n v="6888.1431316597727" u="1"/>
        <n v="12347.69427617789" u="1"/>
        <n v="458.67845284798034" u="1"/>
        <n v="1682.9564116379916" u="1"/>
        <n v="255.24838909842873" u="1"/>
        <n v="19669.64529083368" u="1"/>
        <n v="69521.563992226453" u="1"/>
        <n v="39286.444125132861" u="1"/>
        <n v="1490.7096627486085" u="1"/>
        <n v="4944.0161152456603" u="1"/>
        <n v="6441.5089642943694" u="1"/>
        <n v="21409.9774638413" u="1"/>
        <n v="1469.5893080101494" u="1"/>
        <n v="6082.9514469478418" u="1"/>
        <n v="6971.7854529824417" u="1"/>
        <n v="42495.387276783644" u="1"/>
        <n v="158113.23822000003" u="1"/>
        <n v="16780.621804094193" u="1"/>
        <n v="42495.387276783651" u="1"/>
        <n v="93406.469616710761" u="1"/>
        <n v="98158.161411095745" u="1"/>
        <n v="899.7634999859182" u="1"/>
        <n v="228591.01769075851" u="1"/>
        <n v="1274.4471212088015" u="1"/>
        <n v="19750.076209135663" u="1"/>
        <n v="192608.92004853787" u="1"/>
        <n v="928.76793309052107" u="1"/>
        <n v="4124.8031421181358" u="1"/>
        <n v="7210.3717886311333" u="1"/>
        <n v="10405.380475986589" u="1"/>
        <n v="5563.4830759709412" u="1"/>
        <n v="149920.2428712573" u="1"/>
        <n v="1264.8104700087351" u="1"/>
        <n v="2211.8192188030525" u="1"/>
        <n v="21548.402693725278" u="1"/>
        <n v="85.659628883879478" u="1"/>
        <n v="437.88243856025105" u="1"/>
        <n v="31119.941747217024" u="1"/>
        <n v="2322.5612468020395" u="1"/>
        <n v="6451.9208642589956" u="1"/>
        <n v="18641.166857110915" u="1"/>
        <n v="37355.648202751363" u="1"/>
        <n v="391.27075007685369" u="1"/>
        <n v="2149.6024241126961" u="1"/>
        <n v="12237.08984055421" u="1"/>
        <n v="36169.247484981126" u="1"/>
        <n v="51881.437543140739" u="1"/>
        <n v="63861.653276744939" u="1"/>
        <n v="504.73289019270521" u="1"/>
        <n v="806.5700643818351" u="1"/>
        <n v="3483.029634142511" u="1"/>
        <n v="14761.524458011198" u="1"/>
        <n v="544867.11986095645" u="1"/>
        <n v="138.34057302234172" u="1"/>
        <n v="790.2188559719998" u="1"/>
        <n v="20132.967717481373" u="1"/>
        <n v="223616.91321945091" u="1"/>
      </sharedItems>
    </cacheField>
    <cacheField name="Element type" numFmtId="0">
      <sharedItems containsNonDate="0" containsBlank="1" count="67">
        <m/>
        <s v="Br15.  Superstructure Drainage" u="1"/>
        <s v="Br21.  Finishes:  Parapets/Safety Fences" u="1"/>
        <s v="Br23.  Handrail/Parapets/Safety Fences" u="1"/>
        <s v="Br18.  Expansion Joints" u="1"/>
        <s v="Br24.  Carriageway surfacing" u="1"/>
        <s v="Br26.  Invert/River Bed" u="1"/>
        <s v="Br22.  Access/Walkways/Gantries" u="1"/>
        <s v="Br35.  Approach Rails/Barriers/Walls" u="1"/>
        <s v="Br01.  Primary Deck Element" u="1"/>
        <s v="Br25.  Footway/verge/footbridge surfacing" u="1"/>
        <s v="Br11.  Pier/Column" u="1"/>
        <s v="Br31.  Wing Walls" u="1"/>
        <s v="Br07.  Deck Bracing" u="1"/>
        <s v="Br13.  Bearings" u="1"/>
        <s v="Br19.  Finishes:  Deck Elements" u="1"/>
        <s v="Br10.  Spandrel Wall/Head Wall" u="1"/>
        <s v="Br08.  Foundations" u="1"/>
        <s v="Br09.  Abutments (incl. Arch Springing)" u="1"/>
        <s v="Br17.  Waterproofing" u="1"/>
        <s v="Br27.  Aprons" u="1"/>
        <s v="Br29.  River Training Works" u="1"/>
        <s v="Br32.  Retaining Walls" u="1"/>
        <s v="Br20.  Finishes:  Substructure Elements" u="1"/>
        <s v="Br33.  Embankments" u="1"/>
        <s v="Br30.  Revetment/Batter Paving" u="1"/>
        <s v="Br16.  Substructure Drainage" u="1"/>
        <s v="Br36.  Signs" u="1"/>
        <s v="Br12.  Cross-Head/Capping Beam" u="1"/>
        <s v="Br06.  Parapet Beam or Cantilever" u="1"/>
        <s v="Br02.  Transverse Beams" u="1"/>
        <s v="Br14.  Bearing Plinth/Shelf" u="1"/>
        <s v="Rw09.  Handrail/Parapets/Safety Fences" u="1"/>
        <s v="Br03.  Secondary Deck Element" u="1"/>
        <s v="Rw01.  Foundations" u="1"/>
        <s v="Rw02.  Primary Element" u="1"/>
        <s v="Rw10.  Carriageway:  Top of Wall" u="1"/>
        <s v="Rw16.  Invert/River Bed" u="1"/>
        <s v="Rw05.  Drainage" u="1"/>
        <s v="Rw08.  Finishes:  Handrail/Parapet" u="1"/>
        <s v="Rw12.  Footway/Verge:  Top of Wall" u="1"/>
        <s v="Br05.  Tie Beam/Rod" u="1"/>
        <s v="Rw07.  Finishes:  Wall" u="1"/>
        <s v="Sg06.  Finishes:  Columns/Supports" u="1"/>
        <s v="" u="1"/>
        <s v="Sg12.  Support to Longitudinal Connection" u="1"/>
        <s v="Sg04.  Columns/Supports/Legs" u="1"/>
        <s v="Rw12.  Footway/Verge-Top of Wall" u="1"/>
        <s v="Rw04.  Parapet Beam/Plinth" u="1"/>
        <e v="#VALUE!" u="1"/>
        <s v="Br04.  Half Joints/Hinge Joints" u="1"/>
        <s v="Sg11.  Base Connections" u="1"/>
        <s v="Rw10.  Carriageway: Top of Wall" u="1"/>
        <e v="#REF!" u="1"/>
        <s v="St04.  High Mast Lighting" u="1"/>
        <s v="Br28.  Fenders/Cutwaters/Collision Protection" u="1"/>
        <s v="Rw12.  Footway/Verge: Top of Wall" u="1"/>
        <s v="(blank)" u="1"/>
        <s v="Sg03.  Transverse Members" u="1"/>
        <s v="Rw03.  Secondary Element" u="1"/>
        <s v="Sg01.  Foundations" u="1"/>
        <s v="Sg02.  Truss/Beams/Cantilevers" u="1"/>
        <e v="#N/A" u="1"/>
        <s v="Rw06.  Movement/Expansion Joints" u="1"/>
        <s v="Rw11.  Carriageway: Foot of Wall" u="1"/>
        <s v="Rw11.  Carriageway:  Foot of Wall" u="1"/>
        <s v="Rw14.  Embankment:  Top of Wall" u="1"/>
      </sharedItems>
    </cacheField>
    <cacheField name="Material / Component Type" numFmtId="0">
      <sharedItems containsNonDate="0" containsBlank="1" count="34">
        <m/>
        <s v="Other/Unknown Drainage System" u="1"/>
        <s v="Other/Unknown Finish" u="1"/>
        <s v="Other/Unknown Handrail/Parapet/Safety Fence" u="1"/>
        <s v="Asphaltic Plug Joint" u="1"/>
        <s v="Carriageway surfacing" u="1"/>
        <s v="Other/Unknown Invert Material" u="1"/>
        <s v="Fabricated Steel, Rolled Steel, Steel, or Steel Plate" u="1"/>
        <s v="Other/Unknown Material" u="1"/>
        <s v="Brickwork" u="1"/>
        <s v="Footway surfacing" u="1"/>
        <s v="Other/Unknown Bearing" u="1"/>
        <s v="Foundation Material" u="1"/>
        <s v="Other/Unknown Waterproofing" u="1"/>
        <s v="Other/Unknown Embankment Material" u="1"/>
        <s v="Other/Unknown Revetment" u="1"/>
        <s v="Insitu Reinforced Concrete" u="1"/>
        <s v="Other/Unknown Signs" u="1"/>
        <s v="Other/Unknown Expansion Joint" u="1"/>
        <s v="Buried Joint" u="1"/>
        <s v="Nosing Joint" u="1"/>
        <s v="Insitu Prestressed Concrete (Post-Tensioned)" u="1"/>
        <s v="Elastomeric/Reinforced Elastomeric Joint" u="1"/>
        <s v="Precast Prestressed Concrete (Pre-Tensioned)" u="1"/>
        <s v="Insitu Mass Concrete or Precast Plain Concrete" u="1"/>
        <s v="Cast Iron or Wrought Iron" u="1"/>
        <s v="" u="1"/>
        <s v="Corrugated Rolled Steel" u="1"/>
        <e v="#VALUE!" u="1"/>
        <s v="Other/Unknown Base Connections" u="1"/>
        <e v="#REF!" u="1"/>
        <s v="Movement/Expansion Joint" u="1"/>
        <e v="#N/A" u="1"/>
        <s v="High Mast Lighting" u="1"/>
      </sharedItems>
    </cacheField>
    <cacheField name="Maintenance activity" numFmtId="0">
      <sharedItems containsNonDate="0" containsBlank="1" count="36">
        <m/>
        <s v="Drainage: Replacement" u="1"/>
        <s v="Finishes: Wet/Dry surface preparation and re-application of finish" u="1"/>
        <s v="Parapet: Replacement" u="1"/>
        <s v="Expansion Joint Replacement: Asphaltic Plug" u="1"/>
        <s v="Carriageway surfacing: replacement" u="1"/>
        <s v="Invert repair" u="1"/>
        <s v="Metalwork repair" u="1"/>
        <s v="Maintenance/Repair of Other/Unknown Materials" u="1"/>
        <s v="Masonry repairs" u="1"/>
        <s v="Footway surfacing: replacement" u="1"/>
        <s v="Bearings: Replacement" u="1"/>
        <s v="Structure replaced" u="1"/>
        <s v="Concrete repairs" u="1"/>
        <s v="Revetments: Maintenance (Other)" u="1"/>
        <s v="Signs: Replacement" u="1"/>
        <s v="Expansion Joint Replacement: Other Expansion Joint" u="1"/>
        <s v="Expansion Joint Replacement: Buried Joint" u="1"/>
        <s v="Embankments/Earthworks: Maintenance" u="1"/>
        <s v="Expansion Joint Replacement: Nosing Joint" u="1"/>
        <s v="Expansion Joint Replacement: Elastomeric/Reinforced Elastomeric Joint" u="1"/>
        <s v="Waterproofing: Replacement" u="1"/>
        <s v="Planned Works" u="1"/>
        <s v="" u="1"/>
        <s v="Foundations: repair" u="1"/>
        <s v="Carriageway surfacing: maintenance" u="1"/>
        <s v="Parapet: Maintenance (Other)" u="1"/>
        <e v="#VALUE!" u="1"/>
        <s v="Footway surfacing: maintenance" u="1"/>
        <s v="Base Connections: Replacement" u="1"/>
        <e v="#REF!" u="1"/>
        <s v="High Mast Lighting: Maintenance" u="1"/>
        <s v="Drainage: Maintenance" u="1"/>
        <e v="#N/A" u="1"/>
        <s v="Corrugated culvert: Maintenance" u="1"/>
        <s v="Signs: Maintenance" u="1"/>
      </sharedItems>
    </cacheField>
    <cacheField name="Structure Name" numFmtId="0">
      <sharedItems containsNonDate="0" containsString="0" containsBlank="1" containsNumber="1" containsInteger="1" minValue="0" maxValue="0" count="2">
        <m/>
        <n v="0" u="1"/>
      </sharedItems>
    </cacheField>
    <cacheField name="Structure Type" numFmtId="0">
      <sharedItems containsNonDate="0" containsBlank="1" count="27">
        <m/>
        <s v="Culvert (single cell)" u="1"/>
        <s v="Bridge:  Vehicular (single span)" u="1"/>
        <s v="Bridge:  Vehicular (2 or 3 spans)" u="1"/>
        <s v="Culvert (multi-cell)" u="1"/>
        <s v="Underpass (or Subway):  Pedestrian" u="1"/>
        <s v="Bridge:  Pedestrian/Cycle (multi-span)" u="1"/>
        <s v="Bridge:  Vehicular (4 or more spans)" u="1"/>
        <s v="Underpass:  Vehicular" u="1"/>
        <s v="Retaining Wall (height ≤ 3m)" u="1"/>
        <s v="Bridge:  Pedestrian/Cycle (single span)" u="1"/>
        <s v="Retaining Wall (height &gt; 3m)" u="1"/>
        <s v="Tunnel (Bored)" u="1"/>
        <s v="Sign/Signal Gantry (spanning)" u="1"/>
        <s v="Subway:  Pipe" u="1"/>
        <s v="" u="1"/>
        <s v="Chamber/Cellar/Vault" u="1"/>
        <s v="Sign/Signal Gantry (cantilever)" u="1"/>
        <e v="#VALUE!" u="1"/>
        <s v="Cantilever Road Sign" u="1"/>
        <e v="#REF!" u="1"/>
        <s v="(blank)" u="1"/>
        <e v="#N/A" u="1"/>
        <s v="Structural Earthworks - Reinforced/Strengthened Soil/Fill Structure (height &gt; 3m)" u="1"/>
        <s v="Sign/Signal Gantry [spanning]" u="1"/>
        <s v="Tunnel (cut and cover)" u="1"/>
        <s v="High Mast Lighting"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ith Harwood" refreshedDate="45750.57878703704" createdVersion="6" refreshedVersion="8" minRefreshableVersion="3" recordCount="652" xr:uid="{77AC63D8-8DBD-413A-A164-5A293E1566CB}">
  <cacheSource type="worksheet">
    <worksheetSource name="Val_PivotResults"/>
  </cacheSource>
  <cacheFields count="17">
    <cacheField name="ID of_x000a_Structure" numFmtId="0">
      <sharedItems containsNonDate="0" containsString="0" containsBlank="1" containsNumber="1" containsInteger="1" minValue="0" maxValue="7580" count="7582">
        <m/>
        <n v="1" u="1"/>
        <n v="2" u="1"/>
        <n v="3" u="1"/>
        <n v="4" u="1"/>
        <n v="5" u="1"/>
        <n v="6" u="1"/>
        <n v="7" u="1"/>
        <n v="8" u="1"/>
        <n v="9" u="1"/>
        <n v="10" u="1"/>
        <n v="11" u="1"/>
        <n v="12" u="1"/>
        <n v="13" u="1"/>
        <n v="14" u="1"/>
        <n v="15" u="1"/>
        <n v="16" u="1"/>
        <n v="17" u="1"/>
        <n v="18" u="1"/>
        <n v="19" u="1"/>
        <n v="20" u="1"/>
        <n v="21" u="1"/>
        <n v="22" u="1"/>
        <n v="23" u="1"/>
        <n v="24" u="1"/>
        <n v="25" u="1"/>
        <n v="26" u="1"/>
        <n v="27" u="1"/>
        <n v="28" u="1"/>
        <n v="29" u="1"/>
        <n v="30" u="1"/>
        <n v="31" u="1"/>
        <n v="32" u="1"/>
        <n v="33" u="1"/>
        <n v="34" u="1"/>
        <n v="35" u="1"/>
        <n v="36" u="1"/>
        <n v="37" u="1"/>
        <n v="38" u="1"/>
        <n v="39" u="1"/>
        <n v="40" u="1"/>
        <n v="41" u="1"/>
        <n v="42" u="1"/>
        <n v="43" u="1"/>
        <n v="44" u="1"/>
        <n v="45" u="1"/>
        <n v="46" u="1"/>
        <n v="47" u="1"/>
        <n v="48" u="1"/>
        <n v="49" u="1"/>
        <n v="50" u="1"/>
        <n v="51" u="1"/>
        <n v="52" u="1"/>
        <n v="53" u="1"/>
        <n v="54" u="1"/>
        <n v="55" u="1"/>
        <n v="56" u="1"/>
        <n v="57" u="1"/>
        <n v="58" u="1"/>
        <n v="59" u="1"/>
        <n v="60" u="1"/>
        <n v="61" u="1"/>
        <n v="62" u="1"/>
        <n v="63" u="1"/>
        <n v="64" u="1"/>
        <n v="65" u="1"/>
        <n v="66" u="1"/>
        <n v="67" u="1"/>
        <n v="68" u="1"/>
        <n v="69" u="1"/>
        <n v="70" u="1"/>
        <n v="71" u="1"/>
        <n v="72" u="1"/>
        <n v="73" u="1"/>
        <n v="74" u="1"/>
        <n v="75" u="1"/>
        <n v="76" u="1"/>
        <n v="77" u="1"/>
        <n v="78" u="1"/>
        <n v="79" u="1"/>
        <n v="80" u="1"/>
        <n v="81" u="1"/>
        <n v="82" u="1"/>
        <n v="83" u="1"/>
        <n v="84" u="1"/>
        <n v="85" u="1"/>
        <n v="86" u="1"/>
        <n v="87" u="1"/>
        <n v="88" u="1"/>
        <n v="89" u="1"/>
        <n v="90" u="1"/>
        <n v="91" u="1"/>
        <n v="92" u="1"/>
        <n v="93" u="1"/>
        <n v="94" u="1"/>
        <n v="95" u="1"/>
        <n v="96" u="1"/>
        <n v="97" u="1"/>
        <n v="98" u="1"/>
        <n v="99" u="1"/>
        <n v="100" u="1"/>
        <n v="101" u="1"/>
        <n v="102" u="1"/>
        <n v="103" u="1"/>
        <n v="104" u="1"/>
        <n v="105" u="1"/>
        <n v="106" u="1"/>
        <n v="107" u="1"/>
        <n v="108" u="1"/>
        <n v="109" u="1"/>
        <n v="110" u="1"/>
        <n v="111" u="1"/>
        <n v="112" u="1"/>
        <n v="113" u="1"/>
        <n v="114" u="1"/>
        <n v="115" u="1"/>
        <n v="116" u="1"/>
        <n v="117" u="1"/>
        <n v="118" u="1"/>
        <n v="119" u="1"/>
        <n v="120" u="1"/>
        <n v="121" u="1"/>
        <n v="122" u="1"/>
        <n v="123" u="1"/>
        <n v="124" u="1"/>
        <n v="125" u="1"/>
        <n v="126" u="1"/>
        <n v="127" u="1"/>
        <n v="128" u="1"/>
        <n v="129" u="1"/>
        <n v="130" u="1"/>
        <n v="131" u="1"/>
        <n v="132" u="1"/>
        <n v="133" u="1"/>
        <n v="134" u="1"/>
        <n v="135" u="1"/>
        <n v="136" u="1"/>
        <n v="137" u="1"/>
        <n v="138" u="1"/>
        <n v="139" u="1"/>
        <n v="140" u="1"/>
        <n v="141" u="1"/>
        <n v="142" u="1"/>
        <n v="143" u="1"/>
        <n v="144" u="1"/>
        <n v="145" u="1"/>
        <n v="146" u="1"/>
        <n v="147" u="1"/>
        <n v="148" u="1"/>
        <n v="149" u="1"/>
        <n v="150" u="1"/>
        <n v="151" u="1"/>
        <n v="152" u="1"/>
        <n v="153" u="1"/>
        <n v="154" u="1"/>
        <n v="155" u="1"/>
        <n v="156" u="1"/>
        <n v="157" u="1"/>
        <n v="158" u="1"/>
        <n v="159" u="1"/>
        <n v="160" u="1"/>
        <n v="161" u="1"/>
        <n v="162" u="1"/>
        <n v="163" u="1"/>
        <n v="164" u="1"/>
        <n v="165" u="1"/>
        <n v="166" u="1"/>
        <n v="167" u="1"/>
        <n v="168" u="1"/>
        <n v="169" u="1"/>
        <n v="170" u="1"/>
        <n v="171" u="1"/>
        <n v="172" u="1"/>
        <n v="173" u="1"/>
        <n v="174" u="1"/>
        <n v="175" u="1"/>
        <n v="176" u="1"/>
        <n v="177" u="1"/>
        <n v="178" u="1"/>
        <n v="179" u="1"/>
        <n v="180" u="1"/>
        <n v="181" u="1"/>
        <n v="182" u="1"/>
        <n v="183" u="1"/>
        <n v="184" u="1"/>
        <n v="185" u="1"/>
        <n v="186" u="1"/>
        <n v="187" u="1"/>
        <n v="188" u="1"/>
        <n v="189" u="1"/>
        <n v="190" u="1"/>
        <n v="191" u="1"/>
        <n v="192" u="1"/>
        <n v="193" u="1"/>
        <n v="194" u="1"/>
        <n v="195" u="1"/>
        <n v="196" u="1"/>
        <n v="197" u="1"/>
        <n v="198" u="1"/>
        <n v="199" u="1"/>
        <n v="200" u="1"/>
        <n v="201" u="1"/>
        <n v="202" u="1"/>
        <n v="203" u="1"/>
        <n v="204" u="1"/>
        <n v="205" u="1"/>
        <n v="206" u="1"/>
        <n v="207" u="1"/>
        <n v="208" u="1"/>
        <n v="209" u="1"/>
        <n v="210" u="1"/>
        <n v="211" u="1"/>
        <n v="212" u="1"/>
        <n v="213" u="1"/>
        <n v="214" u="1"/>
        <n v="215" u="1"/>
        <n v="216" u="1"/>
        <n v="217" u="1"/>
        <n v="218" u="1"/>
        <n v="219" u="1"/>
        <n v="220" u="1"/>
        <n v="221" u="1"/>
        <n v="222" u="1"/>
        <n v="223" u="1"/>
        <n v="224" u="1"/>
        <n v="225" u="1"/>
        <n v="226" u="1"/>
        <n v="227" u="1"/>
        <n v="228" u="1"/>
        <n v="229" u="1"/>
        <n v="230" u="1"/>
        <n v="231" u="1"/>
        <n v="232" u="1"/>
        <n v="233" u="1"/>
        <n v="234" u="1"/>
        <n v="235" u="1"/>
        <n v="236" u="1"/>
        <n v="237" u="1"/>
        <n v="238" u="1"/>
        <n v="239" u="1"/>
        <n v="240" u="1"/>
        <n v="241" u="1"/>
        <n v="242" u="1"/>
        <n v="243" u="1"/>
        <n v="244" u="1"/>
        <n v="245" u="1"/>
        <n v="246" u="1"/>
        <n v="247" u="1"/>
        <n v="248" u="1"/>
        <n v="249" u="1"/>
        <n v="250" u="1"/>
        <n v="251" u="1"/>
        <n v="252" u="1"/>
        <n v="253" u="1"/>
        <n v="254" u="1"/>
        <n v="255" u="1"/>
        <n v="256" u="1"/>
        <n v="257" u="1"/>
        <n v="258" u="1"/>
        <n v="259" u="1"/>
        <n v="260" u="1"/>
        <n v="261" u="1"/>
        <n v="262" u="1"/>
        <n v="263" u="1"/>
        <n v="264" u="1"/>
        <n v="265" u="1"/>
        <n v="266" u="1"/>
        <n v="267" u="1"/>
        <n v="268" u="1"/>
        <n v="269" u="1"/>
        <n v="270" u="1"/>
        <n v="271" u="1"/>
        <n v="272" u="1"/>
        <n v="273" u="1"/>
        <n v="274" u="1"/>
        <n v="275" u="1"/>
        <n v="276" u="1"/>
        <n v="277" u="1"/>
        <n v="278" u="1"/>
        <n v="279" u="1"/>
        <n v="280" u="1"/>
        <n v="281" u="1"/>
        <n v="282" u="1"/>
        <n v="283" u="1"/>
        <n v="284" u="1"/>
        <n v="285" u="1"/>
        <n v="286" u="1"/>
        <n v="287" u="1"/>
        <n v="288" u="1"/>
        <n v="289" u="1"/>
        <n v="290" u="1"/>
        <n v="291" u="1"/>
        <n v="292" u="1"/>
        <n v="293" u="1"/>
        <n v="294" u="1"/>
        <n v="295" u="1"/>
        <n v="296" u="1"/>
        <n v="297" u="1"/>
        <n v="298" u="1"/>
        <n v="299" u="1"/>
        <n v="300" u="1"/>
        <n v="301" u="1"/>
        <n v="302" u="1"/>
        <n v="303" u="1"/>
        <n v="304" u="1"/>
        <n v="305" u="1"/>
        <n v="306" u="1"/>
        <n v="307" u="1"/>
        <n v="308" u="1"/>
        <n v="309" u="1"/>
        <n v="310" u="1"/>
        <n v="311" u="1"/>
        <n v="312" u="1"/>
        <n v="313" u="1"/>
        <n v="314" u="1"/>
        <n v="315" u="1"/>
        <n v="316" u="1"/>
        <n v="317" u="1"/>
        <n v="318" u="1"/>
        <n v="319" u="1"/>
        <n v="320" u="1"/>
        <n v="321" u="1"/>
        <n v="322" u="1"/>
        <n v="323" u="1"/>
        <n v="324" u="1"/>
        <n v="325" u="1"/>
        <n v="326" u="1"/>
        <n v="327" u="1"/>
        <n v="328" u="1"/>
        <n v="329" u="1"/>
        <n v="330" u="1"/>
        <n v="331" u="1"/>
        <n v="332" u="1"/>
        <n v="333" u="1"/>
        <n v="334" u="1"/>
        <n v="335" u="1"/>
        <n v="336" u="1"/>
        <n v="337" u="1"/>
        <n v="338" u="1"/>
        <n v="339" u="1"/>
        <n v="340" u="1"/>
        <n v="341" u="1"/>
        <n v="342" u="1"/>
        <n v="343" u="1"/>
        <n v="344" u="1"/>
        <n v="345" u="1"/>
        <n v="346" u="1"/>
        <n v="347" u="1"/>
        <n v="348" u="1"/>
        <n v="349" u="1"/>
        <n v="350" u="1"/>
        <n v="351" u="1"/>
        <n v="352" u="1"/>
        <n v="353" u="1"/>
        <n v="354" u="1"/>
        <n v="355" u="1"/>
        <n v="356" u="1"/>
        <n v="357" u="1"/>
        <n v="358" u="1"/>
        <n v="359" u="1"/>
        <n v="360" u="1"/>
        <n v="361" u="1"/>
        <n v="362" u="1"/>
        <n v="363" u="1"/>
        <n v="364" u="1"/>
        <n v="365" u="1"/>
        <n v="366" u="1"/>
        <n v="367" u="1"/>
        <n v="368" u="1"/>
        <n v="369" u="1"/>
        <n v="370" u="1"/>
        <n v="371" u="1"/>
        <n v="372" u="1"/>
        <n v="373" u="1"/>
        <n v="374" u="1"/>
        <n v="375" u="1"/>
        <n v="376" u="1"/>
        <n v="377" u="1"/>
        <n v="378" u="1"/>
        <n v="379" u="1"/>
        <n v="380" u="1"/>
        <n v="381" u="1"/>
        <n v="382" u="1"/>
        <n v="383" u="1"/>
        <n v="384" u="1"/>
        <n v="385" u="1"/>
        <n v="386" u="1"/>
        <n v="387" u="1"/>
        <n v="388" u="1"/>
        <n v="389" u="1"/>
        <n v="390" u="1"/>
        <n v="391" u="1"/>
        <n v="392" u="1"/>
        <n v="393" u="1"/>
        <n v="394" u="1"/>
        <n v="395" u="1"/>
        <n v="396" u="1"/>
        <n v="397" u="1"/>
        <n v="398" u="1"/>
        <n v="399" u="1"/>
        <n v="400" u="1"/>
        <n v="401" u="1"/>
        <n v="402" u="1"/>
        <n v="403" u="1"/>
        <n v="404" u="1"/>
        <n v="405" u="1"/>
        <n v="406" u="1"/>
        <n v="407" u="1"/>
        <n v="408" u="1"/>
        <n v="409" u="1"/>
        <n v="410" u="1"/>
        <n v="411" u="1"/>
        <n v="412" u="1"/>
        <n v="413" u="1"/>
        <n v="414" u="1"/>
        <n v="415" u="1"/>
        <n v="416" u="1"/>
        <n v="417" u="1"/>
        <n v="418" u="1"/>
        <n v="419" u="1"/>
        <n v="420" u="1"/>
        <n v="421" u="1"/>
        <n v="422" u="1"/>
        <n v="423" u="1"/>
        <n v="424" u="1"/>
        <n v="425" u="1"/>
        <n v="426" u="1"/>
        <n v="427" u="1"/>
        <n v="428" u="1"/>
        <n v="429" u="1"/>
        <n v="430" u="1"/>
        <n v="431" u="1"/>
        <n v="432" u="1"/>
        <n v="433" u="1"/>
        <n v="434" u="1"/>
        <n v="435" u="1"/>
        <n v="436" u="1"/>
        <n v="437" u="1"/>
        <n v="438" u="1"/>
        <n v="439" u="1"/>
        <n v="440" u="1"/>
        <n v="441" u="1"/>
        <n v="442" u="1"/>
        <n v="443" u="1"/>
        <n v="444" u="1"/>
        <n v="445" u="1"/>
        <n v="446" u="1"/>
        <n v="447" u="1"/>
        <n v="448" u="1"/>
        <n v="449" u="1"/>
        <n v="450" u="1"/>
        <n v="451" u="1"/>
        <n v="452" u="1"/>
        <n v="453" u="1"/>
        <n v="454" u="1"/>
        <n v="455" u="1"/>
        <n v="456" u="1"/>
        <n v="457" u="1"/>
        <n v="458" u="1"/>
        <n v="459" u="1"/>
        <n v="460" u="1"/>
        <n v="461" u="1"/>
        <n v="462" u="1"/>
        <n v="463" u="1"/>
        <n v="464" u="1"/>
        <n v="465" u="1"/>
        <n v="466" u="1"/>
        <n v="467" u="1"/>
        <n v="468" u="1"/>
        <n v="469" u="1"/>
        <n v="470" u="1"/>
        <n v="471" u="1"/>
        <n v="472" u="1"/>
        <n v="473" u="1"/>
        <n v="474" u="1"/>
        <n v="475" u="1"/>
        <n v="476" u="1"/>
        <n v="477" u="1"/>
        <n v="478" u="1"/>
        <n v="479" u="1"/>
        <n v="480" u="1"/>
        <n v="481" u="1"/>
        <n v="482" u="1"/>
        <n v="483" u="1"/>
        <n v="484" u="1"/>
        <n v="485" u="1"/>
        <n v="486" u="1"/>
        <n v="487" u="1"/>
        <n v="488" u="1"/>
        <n v="489" u="1"/>
        <n v="490" u="1"/>
        <n v="491" u="1"/>
        <n v="492" u="1"/>
        <n v="493" u="1"/>
        <n v="494" u="1"/>
        <n v="495" u="1"/>
        <n v="496" u="1"/>
        <n v="497" u="1"/>
        <n v="498" u="1"/>
        <n v="499" u="1"/>
        <n v="500" u="1"/>
        <n v="501" u="1"/>
        <n v="502" u="1"/>
        <n v="503" u="1"/>
        <n v="504" u="1"/>
        <n v="505" u="1"/>
        <n v="506" u="1"/>
        <n v="507" u="1"/>
        <n v="508" u="1"/>
        <n v="509" u="1"/>
        <n v="510" u="1"/>
        <n v="511" u="1"/>
        <n v="512" u="1"/>
        <n v="513" u="1"/>
        <n v="514" u="1"/>
        <n v="515" u="1"/>
        <n v="516" u="1"/>
        <n v="517" u="1"/>
        <n v="518" u="1"/>
        <n v="519" u="1"/>
        <n v="520" u="1"/>
        <n v="521" u="1"/>
        <n v="522" u="1"/>
        <n v="523" u="1"/>
        <n v="524" u="1"/>
        <n v="525" u="1"/>
        <n v="526" u="1"/>
        <n v="527" u="1"/>
        <n v="528" u="1"/>
        <n v="529" u="1"/>
        <n v="530" u="1"/>
        <n v="531" u="1"/>
        <n v="532" u="1"/>
        <n v="533" u="1"/>
        <n v="534" u="1"/>
        <n v="535" u="1"/>
        <n v="536" u="1"/>
        <n v="537" u="1"/>
        <n v="538" u="1"/>
        <n v="539" u="1"/>
        <n v="540" u="1"/>
        <n v="541" u="1"/>
        <n v="542" u="1"/>
        <n v="543" u="1"/>
        <n v="544" u="1"/>
        <n v="545" u="1"/>
        <n v="546" u="1"/>
        <n v="547" u="1"/>
        <n v="548" u="1"/>
        <n v="549" u="1"/>
        <n v="550" u="1"/>
        <n v="551" u="1"/>
        <n v="552" u="1"/>
        <n v="553" u="1"/>
        <n v="554" u="1"/>
        <n v="555" u="1"/>
        <n v="556" u="1"/>
        <n v="557" u="1"/>
        <n v="558" u="1"/>
        <n v="559" u="1"/>
        <n v="560" u="1"/>
        <n v="561" u="1"/>
        <n v="562" u="1"/>
        <n v="563" u="1"/>
        <n v="564" u="1"/>
        <n v="565" u="1"/>
        <n v="566" u="1"/>
        <n v="567" u="1"/>
        <n v="568" u="1"/>
        <n v="569" u="1"/>
        <n v="570" u="1"/>
        <n v="571" u="1"/>
        <n v="572" u="1"/>
        <n v="573" u="1"/>
        <n v="574" u="1"/>
        <n v="575" u="1"/>
        <n v="576" u="1"/>
        <n v="577" u="1"/>
        <n v="578" u="1"/>
        <n v="579" u="1"/>
        <n v="580" u="1"/>
        <n v="581" u="1"/>
        <n v="582" u="1"/>
        <n v="583" u="1"/>
        <n v="584" u="1"/>
        <n v="585" u="1"/>
        <n v="586" u="1"/>
        <n v="587" u="1"/>
        <n v="588" u="1"/>
        <n v="589" u="1"/>
        <n v="590" u="1"/>
        <n v="591" u="1"/>
        <n v="592" u="1"/>
        <n v="593" u="1"/>
        <n v="594" u="1"/>
        <n v="595" u="1"/>
        <n v="596" u="1"/>
        <n v="597" u="1"/>
        <n v="598" u="1"/>
        <n v="599" u="1"/>
        <n v="600" u="1"/>
        <n v="601" u="1"/>
        <n v="602" u="1"/>
        <n v="603" u="1"/>
        <n v="604" u="1"/>
        <n v="605" u="1"/>
        <n v="606" u="1"/>
        <n v="607" u="1"/>
        <n v="608" u="1"/>
        <n v="609" u="1"/>
        <n v="610" u="1"/>
        <n v="611" u="1"/>
        <n v="612" u="1"/>
        <n v="613" u="1"/>
        <n v="614" u="1"/>
        <n v="615" u="1"/>
        <n v="616" u="1"/>
        <n v="617" u="1"/>
        <n v="618" u="1"/>
        <n v="619" u="1"/>
        <n v="620" u="1"/>
        <n v="621" u="1"/>
        <n v="622" u="1"/>
        <n v="623" u="1"/>
        <n v="624" u="1"/>
        <n v="625" u="1"/>
        <n v="626" u="1"/>
        <n v="627" u="1"/>
        <n v="628" u="1"/>
        <n v="629" u="1"/>
        <n v="630" u="1"/>
        <n v="631" u="1"/>
        <n v="632" u="1"/>
        <n v="633" u="1"/>
        <n v="634" u="1"/>
        <n v="635" u="1"/>
        <n v="636" u="1"/>
        <n v="637" u="1"/>
        <n v="638" u="1"/>
        <n v="639" u="1"/>
        <n v="640" u="1"/>
        <n v="641" u="1"/>
        <n v="642" u="1"/>
        <n v="643" u="1"/>
        <n v="644" u="1"/>
        <n v="645" u="1"/>
        <n v="646" u="1"/>
        <n v="647" u="1"/>
        <n v="648" u="1"/>
        <n v="649" u="1"/>
        <n v="650" u="1"/>
        <n v="651" u="1"/>
        <n v="652" u="1"/>
        <n v="0" u="1"/>
        <n v="2266" u="1"/>
        <n v="4470" u="1"/>
        <n v="6487" u="1"/>
        <n v="2136" u="1"/>
        <n v="4210" u="1"/>
        <n v="6227" u="1"/>
        <n v="2027" u="1"/>
        <n v="4023" u="1"/>
        <n v="5967" u="1"/>
        <n v="1962" u="1"/>
        <n v="3893" u="1"/>
        <n v="5707" u="1"/>
        <n v="1897" u="1"/>
        <n v="3763" u="1"/>
        <n v="5447" u="1"/>
        <n v="7464" u="1"/>
        <n v="1832" u="1"/>
        <n v="3633" u="1"/>
        <n v="5187" u="1"/>
        <n v="7204" u="1"/>
        <n v="1767" u="1"/>
        <n v="3503" u="1"/>
        <n v="4927" u="1"/>
        <n v="6944" u="1"/>
        <n v="1702" u="1"/>
        <n v="3373" u="1"/>
        <n v="4667" u="1"/>
        <n v="6684" u="1"/>
        <n v="1637" u="1"/>
        <n v="3243" u="1"/>
        <n v="4407" u="1"/>
        <n v="6424" u="1"/>
        <n v="1572" u="1"/>
        <n v="3113" u="1"/>
        <n v="4147" u="1"/>
        <n v="6164" u="1"/>
        <n v="1507" u="1"/>
        <n v="2983" u="1"/>
        <n v="5904" u="1"/>
        <n v="1442" u="1"/>
        <n v="2853" u="1"/>
        <n v="5644" u="1"/>
        <n v="1377" u="1"/>
        <n v="2723" u="1"/>
        <n v="5384" u="1"/>
        <n v="7401" u="1"/>
        <n v="1312" u="1"/>
        <n v="2593" u="1"/>
        <n v="5124" u="1"/>
        <n v="7141" u="1"/>
        <n v="1247" u="1"/>
        <n v="2463" u="1"/>
        <n v="4864" u="1"/>
        <n v="6881" u="1"/>
        <n v="1182" u="1"/>
        <n v="2333" u="1"/>
        <n v="4604" u="1"/>
        <n v="6621" u="1"/>
        <n v="1117" u="1"/>
        <n v="2203" u="1"/>
        <n v="4344" u="1"/>
        <n v="6361" u="1"/>
        <n v="1052" u="1"/>
        <n v="2073" u="1"/>
        <n v="4090" u="1"/>
        <n v="6101" u="1"/>
        <n v="3960" u="1"/>
        <n v="5841" u="1"/>
        <n v="973" u="1"/>
        <n v="3830" u="1"/>
        <n v="5581" u="1"/>
        <n v="3700" u="1"/>
        <n v="5321" u="1"/>
        <n v="7338" u="1"/>
        <n v="908" u="1"/>
        <n v="3570" u="1"/>
        <n v="5061" u="1"/>
        <n v="7078" u="1"/>
        <n v="3440" u="1"/>
        <n v="4801" u="1"/>
        <n v="6818" u="1"/>
        <n v="843" u="1"/>
        <n v="3310" u="1"/>
        <n v="4541" u="1"/>
        <n v="6558" u="1"/>
        <n v="3180" u="1"/>
        <n v="4281" u="1"/>
        <n v="6298" u="1"/>
        <n v="778" u="1"/>
        <n v="3050" u="1"/>
        <n v="6038" u="1"/>
        <n v="2920" u="1"/>
        <n v="5778" u="1"/>
        <n v="713" u="1"/>
        <n v="2790" u="1"/>
        <n v="5518" u="1"/>
        <n v="7535" u="1"/>
        <n v="2660" u="1"/>
        <n v="5258" u="1"/>
        <n v="7275" u="1"/>
        <n v="2530" u="1"/>
        <n v="4998" u="1"/>
        <n v="7015" u="1"/>
        <n v="2400" u="1"/>
        <n v="4738" u="1"/>
        <n v="6755" u="1"/>
        <n v="2270" u="1"/>
        <n v="4478" u="1"/>
        <n v="6495" u="1"/>
        <n v="2140" u="1"/>
        <n v="4218" u="1"/>
        <n v="6235" u="1"/>
        <n v="2029" u="1"/>
        <n v="4027" u="1"/>
        <n v="5975" u="1"/>
        <n v="1964" u="1"/>
        <n v="3897" u="1"/>
        <n v="5715" u="1"/>
        <n v="1899" u="1"/>
        <n v="3767" u="1"/>
        <n v="5455" u="1"/>
        <n v="7472" u="1"/>
        <n v="1834" u="1"/>
        <n v="3637" u="1"/>
        <n v="5195" u="1"/>
        <n v="7212" u="1"/>
        <n v="1769" u="1"/>
        <n v="3507" u="1"/>
        <n v="4935" u="1"/>
        <n v="6952" u="1"/>
        <n v="1704" u="1"/>
        <n v="3377" u="1"/>
        <n v="4675" u="1"/>
        <n v="6692" u="1"/>
        <n v="1639" u="1"/>
        <n v="3247" u="1"/>
        <n v="4415" u="1"/>
        <n v="6432" u="1"/>
        <n v="1574" u="1"/>
        <n v="3117" u="1"/>
        <n v="4155" u="1"/>
        <n v="6172" u="1"/>
        <n v="1509" u="1"/>
        <n v="2987" u="1"/>
        <n v="5912" u="1"/>
        <n v="1444" u="1"/>
        <n v="2857" u="1"/>
        <n v="5652" u="1"/>
        <n v="1379" u="1"/>
        <n v="2727" u="1"/>
        <n v="5392" u="1"/>
        <n v="7409" u="1"/>
        <n v="1314" u="1"/>
        <n v="2597" u="1"/>
        <n v="5132" u="1"/>
        <n v="7149" u="1"/>
        <n v="1249" u="1"/>
        <n v="2467" u="1"/>
        <n v="4872" u="1"/>
        <n v="6889" u="1"/>
        <n v="1184" u="1"/>
        <n v="2337" u="1"/>
        <n v="4612" u="1"/>
        <n v="6629" u="1"/>
        <n v="1119" u="1"/>
        <n v="2207" u="1"/>
        <n v="4352" u="1"/>
        <n v="6369" u="1"/>
        <n v="1054" u="1"/>
        <n v="2077" u="1"/>
        <n v="4094" u="1"/>
        <n v="6109" u="1"/>
        <n v="3964" u="1"/>
        <n v="5849" u="1"/>
        <n v="974" u="1"/>
        <n v="3834" u="1"/>
        <n v="5589" u="1"/>
        <n v="3704" u="1"/>
        <n v="5329" u="1"/>
        <n v="7346" u="1"/>
        <n v="909" u="1"/>
        <n v="3574" u="1"/>
        <n v="5069" u="1"/>
        <n v="7086" u="1"/>
        <n v="3444" u="1"/>
        <n v="4809" u="1"/>
        <n v="6826" u="1"/>
        <n v="844" u="1"/>
        <n v="3314" u="1"/>
        <n v="4549" u="1"/>
        <n v="6566" u="1"/>
        <n v="3184" u="1"/>
        <n v="4289" u="1"/>
        <n v="6306" u="1"/>
        <n v="779" u="1"/>
        <n v="3054" u="1"/>
        <n v="6046" u="1"/>
        <n v="2924" u="1"/>
        <n v="5786" u="1"/>
        <n v="714" u="1"/>
        <n v="2794" u="1"/>
        <n v="5526" u="1"/>
        <n v="7543" u="1"/>
        <n v="2664" u="1"/>
        <n v="5266" u="1"/>
        <n v="7283" u="1"/>
        <n v="2534" u="1"/>
        <n v="5006" u="1"/>
        <n v="7023" u="1"/>
        <n v="2404" u="1"/>
        <n v="4746" u="1"/>
        <n v="6763" u="1"/>
        <n v="2274" u="1"/>
        <n v="4486" u="1"/>
        <n v="6503" u="1"/>
        <n v="2144" u="1"/>
        <n v="4226" u="1"/>
        <n v="6243" u="1"/>
        <n v="2031" u="1"/>
        <n v="4031" u="1"/>
        <n v="5983" u="1"/>
        <n v="1966" u="1"/>
        <n v="3901" u="1"/>
        <n v="5723" u="1"/>
        <n v="1901" u="1"/>
        <n v="3771" u="1"/>
        <n v="5463" u="1"/>
        <n v="7480" u="1"/>
        <n v="1836" u="1"/>
        <n v="3641" u="1"/>
        <n v="5203" u="1"/>
        <n v="7220" u="1"/>
        <n v="1771" u="1"/>
        <n v="3511" u="1"/>
        <n v="4943" u="1"/>
        <n v="6960" u="1"/>
        <n v="1706" u="1"/>
        <n v="3381" u="1"/>
        <n v="4683" u="1"/>
        <n v="6700" u="1"/>
        <n v="1641" u="1"/>
        <n v="3251" u="1"/>
        <n v="4423" u="1"/>
        <n v="6440" u="1"/>
        <n v="1576" u="1"/>
        <n v="3121" u="1"/>
        <n v="4163" u="1"/>
        <n v="6180" u="1"/>
        <n v="1511" u="1"/>
        <n v="2991" u="1"/>
        <n v="5920" u="1"/>
        <n v="1446" u="1"/>
        <n v="2861" u="1"/>
        <n v="5660" u="1"/>
        <n v="1381" u="1"/>
        <n v="2731" u="1"/>
        <n v="5400" u="1"/>
        <n v="7417" u="1"/>
        <n v="1316" u="1"/>
        <n v="2601" u="1"/>
        <n v="5140" u="1"/>
        <n v="7157" u="1"/>
        <n v="1251" u="1"/>
        <n v="2471" u="1"/>
        <n v="4880" u="1"/>
        <n v="6897" u="1"/>
        <n v="1186" u="1"/>
        <n v="2341" u="1"/>
        <n v="4620" u="1"/>
        <n v="6637" u="1"/>
        <n v="1121" u="1"/>
        <n v="2211" u="1"/>
        <n v="4360" u="1"/>
        <n v="6377" u="1"/>
        <n v="1056" u="1"/>
        <n v="2081" u="1"/>
        <n v="4100" u="1"/>
        <n v="6117" u="1"/>
        <n v="3968" u="1"/>
        <n v="5857" u="1"/>
        <n v="975" u="1"/>
        <n v="3838" u="1"/>
        <n v="5597" u="1"/>
        <n v="3708" u="1"/>
        <n v="5337" u="1"/>
        <n v="7354" u="1"/>
        <n v="910" u="1"/>
        <n v="3578" u="1"/>
        <n v="5077" u="1"/>
        <n v="7094" u="1"/>
        <n v="3448" u="1"/>
        <n v="4817" u="1"/>
        <n v="6834" u="1"/>
        <n v="845" u="1"/>
        <n v="3318" u="1"/>
        <n v="4557" u="1"/>
        <n v="6574" u="1"/>
        <n v="3188" u="1"/>
        <n v="4297" u="1"/>
        <n v="6314" u="1"/>
        <n v="780" u="1"/>
        <n v="3058" u="1"/>
        <n v="6054" u="1"/>
        <n v="2928" u="1"/>
        <n v="5794" u="1"/>
        <n v="715" u="1"/>
        <n v="2798" u="1"/>
        <n v="5534" u="1"/>
        <n v="7551" u="1"/>
        <n v="2668" u="1"/>
        <n v="5274" u="1"/>
        <n v="7291" u="1"/>
        <n v="2538" u="1"/>
        <n v="5014" u="1"/>
        <n v="7031" u="1"/>
        <n v="2408" u="1"/>
        <n v="4754" u="1"/>
        <n v="6771" u="1"/>
        <n v="2278" u="1"/>
        <n v="4494" u="1"/>
        <n v="6511" u="1"/>
        <n v="2148" u="1"/>
        <n v="4234" u="1"/>
        <n v="6251" u="1"/>
        <n v="2033" u="1"/>
        <n v="4035" u="1"/>
        <n v="5991" u="1"/>
        <n v="1968" u="1"/>
        <n v="3905" u="1"/>
        <n v="5731" u="1"/>
        <n v="1903" u="1"/>
        <n v="3775" u="1"/>
        <n v="5471" u="1"/>
        <n v="7488" u="1"/>
        <n v="1838" u="1"/>
        <n v="3645" u="1"/>
        <n v="5211" u="1"/>
        <n v="7228" u="1"/>
        <n v="1773" u="1"/>
        <n v="3515" u="1"/>
        <n v="4951" u="1"/>
        <n v="6968" u="1"/>
        <n v="1708" u="1"/>
        <n v="3385" u="1"/>
        <n v="4691" u="1"/>
        <n v="6708" u="1"/>
        <n v="1643" u="1"/>
        <n v="3255" u="1"/>
        <n v="4431" u="1"/>
        <n v="6448" u="1"/>
        <n v="1578" u="1"/>
        <n v="3125" u="1"/>
        <n v="4171" u="1"/>
        <n v="6188" u="1"/>
        <n v="1513" u="1"/>
        <n v="2995" u="1"/>
        <n v="5928" u="1"/>
        <n v="1448" u="1"/>
        <n v="2865" u="1"/>
        <n v="5668" u="1"/>
        <n v="1383" u="1"/>
        <n v="2735" u="1"/>
        <n v="5408" u="1"/>
        <n v="7425" u="1"/>
        <n v="1318" u="1"/>
        <n v="2605" u="1"/>
        <n v="5148" u="1"/>
        <n v="7165" u="1"/>
        <n v="1253" u="1"/>
        <n v="2475" u="1"/>
        <n v="4888" u="1"/>
        <n v="6905" u="1"/>
        <n v="1188" u="1"/>
        <n v="2345" u="1"/>
        <n v="4628" u="1"/>
        <n v="6645" u="1"/>
        <n v="1123" u="1"/>
        <n v="2215" u="1"/>
        <n v="4368" u="1"/>
        <n v="6385" u="1"/>
        <n v="1058" u="1"/>
        <n v="2085" u="1"/>
        <n v="4108" u="1"/>
        <n v="6125" u="1"/>
        <n v="3972" u="1"/>
        <n v="5865" u="1"/>
        <n v="976" u="1"/>
        <n v="3842" u="1"/>
        <n v="5605" u="1"/>
        <n v="3712" u="1"/>
        <n v="5345" u="1"/>
        <n v="7362" u="1"/>
        <n v="911" u="1"/>
        <n v="3582" u="1"/>
        <n v="5085" u="1"/>
        <n v="7102" u="1"/>
        <n v="3452" u="1"/>
        <n v="4825" u="1"/>
        <n v="6842" u="1"/>
        <n v="846" u="1"/>
        <n v="3322" u="1"/>
        <n v="4565" u="1"/>
        <n v="6582" u="1"/>
        <n v="3192" u="1"/>
        <n v="4305" u="1"/>
        <n v="6322" u="1"/>
        <n v="781" u="1"/>
        <n v="3062" u="1"/>
        <n v="6062" u="1"/>
        <n v="2932" u="1"/>
        <n v="5802" u="1"/>
        <n v="716" u="1"/>
        <n v="2802" u="1"/>
        <n v="5542" u="1"/>
        <n v="7559" u="1"/>
        <n v="2672" u="1"/>
        <n v="5282" u="1"/>
        <n v="7299" u="1"/>
        <n v="2542" u="1"/>
        <n v="5022" u="1"/>
        <n v="7039" u="1"/>
        <n v="2412" u="1"/>
        <n v="4762" u="1"/>
        <n v="6779" u="1"/>
        <n v="2282" u="1"/>
        <n v="4502" u="1"/>
        <n v="6519" u="1"/>
        <n v="2152" u="1"/>
        <n v="4242" u="1"/>
        <n v="6259" u="1"/>
        <n v="2035" u="1"/>
        <n v="4039" u="1"/>
        <n v="5999" u="1"/>
        <n v="1970" u="1"/>
        <n v="3909" u="1"/>
        <n v="5739" u="1"/>
        <n v="1905" u="1"/>
        <n v="3779" u="1"/>
        <n v="5479" u="1"/>
        <n v="7496" u="1"/>
        <n v="1840" u="1"/>
        <n v="3649" u="1"/>
        <n v="5219" u="1"/>
        <n v="7236" u="1"/>
        <n v="1775" u="1"/>
        <n v="3519" u="1"/>
        <n v="4959" u="1"/>
        <n v="6976" u="1"/>
        <n v="1710" u="1"/>
        <n v="3389" u="1"/>
        <n v="4699" u="1"/>
        <n v="6716" u="1"/>
        <n v="1645" u="1"/>
        <n v="3259" u="1"/>
        <n v="4439" u="1"/>
        <n v="6456" u="1"/>
        <n v="1580" u="1"/>
        <n v="3129" u="1"/>
        <n v="4179" u="1"/>
        <n v="6196" u="1"/>
        <n v="1515" u="1"/>
        <n v="2999" u="1"/>
        <n v="5936" u="1"/>
        <n v="1450" u="1"/>
        <n v="2869" u="1"/>
        <n v="5676" u="1"/>
        <n v="1385" u="1"/>
        <n v="2739" u="1"/>
        <n v="5416" u="1"/>
        <n v="7433" u="1"/>
        <n v="1320" u="1"/>
        <n v="2609" u="1"/>
        <n v="5156" u="1"/>
        <n v="7173" u="1"/>
        <n v="1255" u="1"/>
        <n v="2479" u="1"/>
        <n v="4896" u="1"/>
        <n v="6913" u="1"/>
        <n v="1190" u="1"/>
        <n v="2349" u="1"/>
        <n v="4636" u="1"/>
        <n v="6653" u="1"/>
        <n v="1125" u="1"/>
        <n v="2219" u="1"/>
        <n v="4376" u="1"/>
        <n v="6393" u="1"/>
        <n v="1060" u="1"/>
        <n v="2089" u="1"/>
        <n v="4116" u="1"/>
        <n v="6133" u="1"/>
        <n v="3976" u="1"/>
        <n v="5873" u="1"/>
        <n v="977" u="1"/>
        <n v="3846" u="1"/>
        <n v="5613" u="1"/>
        <n v="3716" u="1"/>
        <n v="5353" u="1"/>
        <n v="7370" u="1"/>
        <n v="912" u="1"/>
        <n v="3586" u="1"/>
        <n v="5093" u="1"/>
        <n v="7110" u="1"/>
        <n v="3456" u="1"/>
        <n v="4833" u="1"/>
        <n v="6850" u="1"/>
        <n v="847" u="1"/>
        <n v="3326" u="1"/>
        <n v="4573" u="1"/>
        <n v="6590" u="1"/>
        <n v="3196" u="1"/>
        <n v="4313" u="1"/>
        <n v="6330" u="1"/>
        <n v="782" u="1"/>
        <n v="3066" u="1"/>
        <n v="6070" u="1"/>
        <n v="2936" u="1"/>
        <n v="5810" u="1"/>
        <n v="717" u="1"/>
        <n v="2806" u="1"/>
        <n v="5550" u="1"/>
        <n v="7567" u="1"/>
        <n v="2676" u="1"/>
        <n v="5290" u="1"/>
        <n v="7307" u="1"/>
        <n v="2546" u="1"/>
        <n v="5030" u="1"/>
        <n v="7047" u="1"/>
        <n v="2416" u="1"/>
        <n v="4770" u="1"/>
        <n v="6787" u="1"/>
        <n v="2286" u="1"/>
        <n v="4510" u="1"/>
        <n v="6527" u="1"/>
        <n v="2156" u="1"/>
        <n v="4250" u="1"/>
        <n v="6267" u="1"/>
        <n v="2037" u="1"/>
        <n v="4043" u="1"/>
        <n v="6007" u="1"/>
        <n v="1972" u="1"/>
        <n v="3913" u="1"/>
        <n v="5747" u="1"/>
        <n v="1907" u="1"/>
        <n v="3783" u="1"/>
        <n v="5487" u="1"/>
        <n v="7504" u="1"/>
        <n v="1842" u="1"/>
        <n v="3653" u="1"/>
        <n v="5227" u="1"/>
        <n v="7244" u="1"/>
        <n v="1777" u="1"/>
        <n v="3523" u="1"/>
        <n v="4967" u="1"/>
        <n v="6984" u="1"/>
        <n v="1712" u="1"/>
        <n v="3393" u="1"/>
        <n v="4707" u="1"/>
        <n v="6724" u="1"/>
        <n v="1647" u="1"/>
        <n v="3263" u="1"/>
        <n v="4447" u="1"/>
        <n v="6464" u="1"/>
        <n v="1582" u="1"/>
        <n v="3133" u="1"/>
        <n v="4187" u="1"/>
        <n v="6204" u="1"/>
        <n v="1517" u="1"/>
        <n v="3003" u="1"/>
        <n v="5944" u="1"/>
        <n v="1452" u="1"/>
        <n v="2873" u="1"/>
        <n v="5684" u="1"/>
        <n v="1387" u="1"/>
        <n v="2743" u="1"/>
        <n v="5424" u="1"/>
        <n v="7441" u="1"/>
        <n v="1322" u="1"/>
        <n v="2613" u="1"/>
        <n v="5164" u="1"/>
        <n v="7181" u="1"/>
        <n v="1257" u="1"/>
        <n v="2483" u="1"/>
        <n v="4904" u="1"/>
        <n v="6921" u="1"/>
        <n v="1192" u="1"/>
        <n v="2353" u="1"/>
        <n v="4644" u="1"/>
        <n v="6661" u="1"/>
        <n v="1127" u="1"/>
        <n v="2223" u="1"/>
        <n v="4384" u="1"/>
        <n v="6401" u="1"/>
        <n v="1062" u="1"/>
        <n v="2093" u="1"/>
        <n v="4124" u="1"/>
        <n v="6141" u="1"/>
        <n v="3980" u="1"/>
        <n v="5881" u="1"/>
        <n v="978" u="1"/>
        <n v="3850" u="1"/>
        <n v="5621" u="1"/>
        <n v="3720" u="1"/>
        <n v="5361" u="1"/>
        <n v="7378" u="1"/>
        <n v="913" u="1"/>
        <n v="3590" u="1"/>
        <n v="5101" u="1"/>
        <n v="7118" u="1"/>
        <n v="3460" u="1"/>
        <n v="4841" u="1"/>
        <n v="6858" u="1"/>
        <n v="848" u="1"/>
        <n v="3330" u="1"/>
        <n v="4581" u="1"/>
        <n v="6598" u="1"/>
        <n v="3200" u="1"/>
        <n v="4321" u="1"/>
        <n v="6338" u="1"/>
        <n v="783" u="1"/>
        <n v="3070" u="1"/>
        <n v="6078" u="1"/>
        <n v="2940" u="1"/>
        <n v="5818" u="1"/>
        <n v="718" u="1"/>
        <n v="2810" u="1"/>
        <n v="5558" u="1"/>
        <n v="7575" u="1"/>
        <n v="2680" u="1"/>
        <n v="5298" u="1"/>
        <n v="7315" u="1"/>
        <n v="653" u="1"/>
        <n v="2550" u="1"/>
        <n v="5038" u="1"/>
        <n v="7055" u="1"/>
        <n v="2420" u="1"/>
        <n v="4778" u="1"/>
        <n v="6795" u="1"/>
        <n v="2290" u="1"/>
        <n v="4518" u="1"/>
        <n v="6535" u="1"/>
        <n v="2160" u="1"/>
        <n v="4258" u="1"/>
        <n v="6275" u="1"/>
        <n v="2039" u="1"/>
        <n v="4047" u="1"/>
        <n v="6015" u="1"/>
        <n v="1974" u="1"/>
        <n v="3917" u="1"/>
        <n v="5755" u="1"/>
        <n v="1909" u="1"/>
        <n v="3787" u="1"/>
        <n v="5495" u="1"/>
        <n v="7512" u="1"/>
        <n v="1844" u="1"/>
        <n v="3657" u="1"/>
        <n v="5235" u="1"/>
        <n v="7252" u="1"/>
        <n v="1779" u="1"/>
        <n v="3527" u="1"/>
        <n v="4975" u="1"/>
        <n v="6992" u="1"/>
        <n v="1714" u="1"/>
        <n v="3397" u="1"/>
        <n v="4715" u="1"/>
        <n v="6732" u="1"/>
        <n v="1649" u="1"/>
        <n v="3267" u="1"/>
        <n v="4455" u="1"/>
        <n v="6472" u="1"/>
        <n v="1584" u="1"/>
        <n v="3137" u="1"/>
        <n v="4195" u="1"/>
        <n v="6212" u="1"/>
        <n v="1519" u="1"/>
        <n v="3007" u="1"/>
        <n v="5952" u="1"/>
        <n v="1454" u="1"/>
        <n v="2877" u="1"/>
        <n v="5692" u="1"/>
        <n v="1389" u="1"/>
        <n v="2747" u="1"/>
        <n v="5432" u="1"/>
        <n v="7449" u="1"/>
        <n v="1324" u="1"/>
        <n v="2617" u="1"/>
        <n v="5172" u="1"/>
        <n v="7189" u="1"/>
        <n v="1259" u="1"/>
        <n v="2487" u="1"/>
        <n v="4912" u="1"/>
        <n v="6929" u="1"/>
        <n v="1194" u="1"/>
        <n v="2357" u="1"/>
        <n v="4652" u="1"/>
        <n v="6669" u="1"/>
        <n v="1129" u="1"/>
        <n v="2227" u="1"/>
        <n v="4392" u="1"/>
        <n v="6409" u="1"/>
        <n v="1064" u="1"/>
        <n v="2097" u="1"/>
        <n v="4132" u="1"/>
        <n v="6149" u="1"/>
        <n v="3984" u="1"/>
        <n v="5889" u="1"/>
        <n v="979" u="1"/>
        <n v="3854" u="1"/>
        <n v="5629" u="1"/>
        <n v="3724" u="1"/>
        <n v="5369" u="1"/>
        <n v="7386" u="1"/>
        <n v="914" u="1"/>
        <n v="3594" u="1"/>
        <n v="5109" u="1"/>
        <n v="7126" u="1"/>
        <n v="3464" u="1"/>
        <n v="4849" u="1"/>
        <n v="6866" u="1"/>
        <n v="849" u="1"/>
        <n v="3334" u="1"/>
        <n v="4589" u="1"/>
        <n v="6606" u="1"/>
        <n v="3204" u="1"/>
        <n v="4329" u="1"/>
        <n v="6346" u="1"/>
        <n v="784" u="1"/>
        <n v="3074" u="1"/>
        <n v="6086" u="1"/>
        <n v="2944" u="1"/>
        <n v="5826" u="1"/>
        <n v="719" u="1"/>
        <n v="2814" u="1"/>
        <n v="5566" u="1"/>
        <n v="2684" u="1"/>
        <n v="5306" u="1"/>
        <n v="7323" u="1"/>
        <n v="654" u="1"/>
        <n v="2554" u="1"/>
        <n v="5046" u="1"/>
        <n v="7063" u="1"/>
        <n v="2424" u="1"/>
        <n v="4786" u="1"/>
        <n v="6803" u="1"/>
        <n v="2294" u="1"/>
        <n v="4526" u="1"/>
        <n v="6543" u="1"/>
        <n v="2164" u="1"/>
        <n v="4266" u="1"/>
        <n v="6283" u="1"/>
        <n v="2041" u="1"/>
        <n v="4051" u="1"/>
        <n v="6023" u="1"/>
        <n v="1976" u="1"/>
        <n v="3921" u="1"/>
        <n v="5763" u="1"/>
        <n v="1911" u="1"/>
        <n v="3791" u="1"/>
        <n v="5503" u="1"/>
        <n v="7520" u="1"/>
        <n v="1846" u="1"/>
        <n v="3661" u="1"/>
        <n v="5243" u="1"/>
        <n v="7260" u="1"/>
        <n v="1781" u="1"/>
        <n v="3531" u="1"/>
        <n v="4983" u="1"/>
        <n v="7000" u="1"/>
        <n v="1716" u="1"/>
        <n v="3401" u="1"/>
        <n v="4723" u="1"/>
        <n v="6740" u="1"/>
        <n v="1651" u="1"/>
        <n v="3271" u="1"/>
        <n v="4463" u="1"/>
        <n v="6480" u="1"/>
        <n v="1586" u="1"/>
        <n v="3141" u="1"/>
        <n v="4203" u="1"/>
        <n v="6220" u="1"/>
        <n v="1521" u="1"/>
        <n v="3011" u="1"/>
        <n v="5960" u="1"/>
        <n v="1456" u="1"/>
        <n v="2881" u="1"/>
        <n v="5700" u="1"/>
        <n v="1391" u="1"/>
        <n v="2751" u="1"/>
        <n v="5440" u="1"/>
        <n v="7457" u="1"/>
        <n v="1326" u="1"/>
        <n v="2621" u="1"/>
        <n v="5180" u="1"/>
        <n v="7197" u="1"/>
        <n v="1261" u="1"/>
        <n v="2491" u="1"/>
        <n v="4920" u="1"/>
        <n v="6937" u="1"/>
        <n v="1196" u="1"/>
        <n v="2361" u="1"/>
        <n v="4660" u="1"/>
        <n v="6677" u="1"/>
        <n v="1131" u="1"/>
        <n v="2231" u="1"/>
        <n v="4400" u="1"/>
        <n v="6417" u="1"/>
        <n v="1066" u="1"/>
        <n v="2101" u="1"/>
        <n v="4140" u="1"/>
        <n v="6157" u="1"/>
        <n v="3988" u="1"/>
        <n v="5897" u="1"/>
        <n v="980" u="1"/>
        <n v="3858" u="1"/>
        <n v="5637" u="1"/>
        <n v="3728" u="1"/>
        <n v="5377" u="1"/>
        <n v="7394" u="1"/>
        <n v="915" u="1"/>
        <n v="3598" u="1"/>
        <n v="5117" u="1"/>
        <n v="7134" u="1"/>
        <n v="3468" u="1"/>
        <n v="4857" u="1"/>
        <n v="6874" u="1"/>
        <n v="850" u="1"/>
        <n v="3338" u="1"/>
        <n v="4597" u="1"/>
        <n v="6614" u="1"/>
        <n v="3208" u="1"/>
        <n v="4337" u="1"/>
        <n v="6354" u="1"/>
        <n v="785" u="1"/>
        <n v="3078" u="1"/>
        <n v="6094" u="1"/>
        <n v="2948" u="1"/>
        <n v="5834" u="1"/>
        <n v="720" u="1"/>
        <n v="2818" u="1"/>
        <n v="5574" u="1"/>
        <n v="2688" u="1"/>
        <n v="5314" u="1"/>
        <n v="7331" u="1"/>
        <n v="655" u="1"/>
        <n v="2558" u="1"/>
        <n v="5054" u="1"/>
        <n v="7071" u="1"/>
        <n v="2428" u="1"/>
        <n v="4794" u="1"/>
        <n v="6811" u="1"/>
        <n v="2298" u="1"/>
        <n v="4534" u="1"/>
        <n v="6551" u="1"/>
        <n v="2168" u="1"/>
        <n v="4274" u="1"/>
        <n v="6291" u="1"/>
        <n v="2043" u="1"/>
        <n v="4055" u="1"/>
        <n v="6031" u="1"/>
        <n v="1978" u="1"/>
        <n v="3925" u="1"/>
        <n v="5771" u="1"/>
        <n v="1913" u="1"/>
        <n v="3795" u="1"/>
        <n v="5511" u="1"/>
        <n v="7528" u="1"/>
        <n v="1848" u="1"/>
        <n v="3665" u="1"/>
        <n v="5251" u="1"/>
        <n v="7268" u="1"/>
        <n v="1783" u="1"/>
        <n v="3535" u="1"/>
        <n v="4991" u="1"/>
        <n v="7008" u="1"/>
        <n v="1718" u="1"/>
        <n v="3405" u="1"/>
        <n v="4731" u="1"/>
        <n v="6748" u="1"/>
        <n v="1653" u="1"/>
        <n v="3275" u="1"/>
        <n v="4471" u="1"/>
        <n v="6488" u="1"/>
        <n v="1588" u="1"/>
        <n v="3145" u="1"/>
        <n v="4211" u="1"/>
        <n v="6228" u="1"/>
        <n v="1523" u="1"/>
        <n v="3015" u="1"/>
        <n v="5968" u="1"/>
        <n v="1458" u="1"/>
        <n v="2885" u="1"/>
        <n v="5708" u="1"/>
        <n v="1393" u="1"/>
        <n v="2755" u="1"/>
        <n v="5448" u="1"/>
        <n v="7465" u="1"/>
        <n v="1328" u="1"/>
        <n v="2625" u="1"/>
        <n v="5188" u="1"/>
        <n v="7205" u="1"/>
        <n v="1263" u="1"/>
        <n v="2495" u="1"/>
        <n v="4928" u="1"/>
        <n v="6945" u="1"/>
        <n v="1198" u="1"/>
        <n v="2365" u="1"/>
        <n v="4668" u="1"/>
        <n v="6685" u="1"/>
        <n v="1133" u="1"/>
        <n v="2235" u="1"/>
        <n v="4408" u="1"/>
        <n v="6425" u="1"/>
        <n v="1068" u="1"/>
        <n v="2105" u="1"/>
        <n v="4148" u="1"/>
        <n v="6165" u="1"/>
        <n v="3992" u="1"/>
        <n v="5905" u="1"/>
        <n v="981" u="1"/>
        <n v="3862" u="1"/>
        <n v="5645" u="1"/>
        <n v="3732" u="1"/>
        <n v="5385" u="1"/>
        <n v="7402" u="1"/>
        <n v="916" u="1"/>
        <n v="3602" u="1"/>
        <n v="5125" u="1"/>
        <n v="7142" u="1"/>
        <n v="3472" u="1"/>
        <n v="4865" u="1"/>
        <n v="6882" u="1"/>
        <n v="851" u="1"/>
        <n v="3342" u="1"/>
        <n v="4605" u="1"/>
        <n v="6622" u="1"/>
        <n v="3212" u="1"/>
        <n v="4345" u="1"/>
        <n v="6362" u="1"/>
        <n v="786" u="1"/>
        <n v="3082" u="1"/>
        <n v="6102" u="1"/>
        <n v="2952" u="1"/>
        <n v="5842" u="1"/>
        <n v="721" u="1"/>
        <n v="2822" u="1"/>
        <n v="5582" u="1"/>
        <n v="2692" u="1"/>
        <n v="5322" u="1"/>
        <n v="7339" u="1"/>
        <n v="656" u="1"/>
        <n v="2562" u="1"/>
        <n v="5062" u="1"/>
        <n v="7079" u="1"/>
        <n v="2432" u="1"/>
        <n v="4802" u="1"/>
        <n v="6819" u="1"/>
        <n v="2302" u="1"/>
        <n v="4542" u="1"/>
        <n v="6559" u="1"/>
        <n v="2172" u="1"/>
        <n v="4282" u="1"/>
        <n v="6299" u="1"/>
        <n v="2045" u="1"/>
        <n v="4059" u="1"/>
        <n v="6039" u="1"/>
        <n v="1980" u="1"/>
        <n v="3929" u="1"/>
        <n v="5779" u="1"/>
        <n v="1915" u="1"/>
        <n v="3799" u="1"/>
        <n v="5519" u="1"/>
        <n v="7536" u="1"/>
        <n v="1850" u="1"/>
        <n v="3669" u="1"/>
        <n v="5259" u="1"/>
        <n v="7276" u="1"/>
        <n v="1785" u="1"/>
        <n v="3539" u="1"/>
        <n v="4999" u="1"/>
        <n v="7016" u="1"/>
        <n v="1720" u="1"/>
        <n v="3409" u="1"/>
        <n v="4739" u="1"/>
        <n v="6756" u="1"/>
        <n v="1655" u="1"/>
        <n v="3279" u="1"/>
        <n v="4479" u="1"/>
        <n v="6496" u="1"/>
        <n v="1590" u="1"/>
        <n v="3149" u="1"/>
        <n v="4219" u="1"/>
        <n v="6236" u="1"/>
        <n v="1525" u="1"/>
        <n v="3019" u="1"/>
        <n v="5976" u="1"/>
        <n v="1460" u="1"/>
        <n v="2889" u="1"/>
        <n v="5716" u="1"/>
        <n v="1395" u="1"/>
        <n v="2759" u="1"/>
        <n v="5456" u="1"/>
        <n v="7473" u="1"/>
        <n v="1330" u="1"/>
        <n v="2629" u="1"/>
        <n v="5196" u="1"/>
        <n v="7213" u="1"/>
        <n v="1265" u="1"/>
        <n v="2499" u="1"/>
        <n v="4936" u="1"/>
        <n v="6953" u="1"/>
        <n v="1200" u="1"/>
        <n v="2369" u="1"/>
        <n v="4676" u="1"/>
        <n v="6693" u="1"/>
        <n v="1135" u="1"/>
        <n v="2239" u="1"/>
        <n v="4416" u="1"/>
        <n v="6433" u="1"/>
        <n v="1070" u="1"/>
        <n v="2109" u="1"/>
        <n v="4156" u="1"/>
        <n v="6173" u="1"/>
        <n v="3996" u="1"/>
        <n v="5913" u="1"/>
        <n v="982" u="1"/>
        <n v="3866" u="1"/>
        <n v="5653" u="1"/>
        <n v="3736" u="1"/>
        <n v="5393" u="1"/>
        <n v="7410" u="1"/>
        <n v="917" u="1"/>
        <n v="3606" u="1"/>
        <n v="5133" u="1"/>
        <n v="7150" u="1"/>
        <n v="3476" u="1"/>
        <n v="4873" u="1"/>
        <n v="6890" u="1"/>
        <n v="852" u="1"/>
        <n v="3346" u="1"/>
        <n v="4613" u="1"/>
        <n v="6630" u="1"/>
        <n v="3216" u="1"/>
        <n v="4353" u="1"/>
        <n v="6370" u="1"/>
        <n v="787" u="1"/>
        <n v="3086" u="1"/>
        <n v="6110" u="1"/>
        <n v="2956" u="1"/>
        <n v="5850" u="1"/>
        <n v="722" u="1"/>
        <n v="2826" u="1"/>
        <n v="5590" u="1"/>
        <n v="2696" u="1"/>
        <n v="5330" u="1"/>
        <n v="7347" u="1"/>
        <n v="657" u="1"/>
        <n v="2566" u="1"/>
        <n v="5070" u="1"/>
        <n v="7087" u="1"/>
        <n v="2436" u="1"/>
        <n v="4810" u="1"/>
        <n v="6827" u="1"/>
        <n v="2306" u="1"/>
        <n v="4550" u="1"/>
        <n v="6567" u="1"/>
        <n v="2176" u="1"/>
        <n v="4290" u="1"/>
        <n v="6307" u="1"/>
        <n v="2047" u="1"/>
        <n v="4063" u="1"/>
        <n v="6047" u="1"/>
        <n v="1982" u="1"/>
        <n v="3933" u="1"/>
        <n v="5787" u="1"/>
        <n v="1917" u="1"/>
        <n v="3803" u="1"/>
        <n v="5527" u="1"/>
        <n v="7544" u="1"/>
        <n v="1852" u="1"/>
        <n v="3673" u="1"/>
        <n v="5267" u="1"/>
        <n v="7284" u="1"/>
        <n v="1787" u="1"/>
        <n v="3543" u="1"/>
        <n v="5007" u="1"/>
        <n v="7024" u="1"/>
        <n v="1722" u="1"/>
        <n v="3413" u="1"/>
        <n v="4747" u="1"/>
        <n v="6764" u="1"/>
        <n v="1657" u="1"/>
        <n v="3283" u="1"/>
        <n v="4487" u="1"/>
        <n v="6504" u="1"/>
        <n v="1592" u="1"/>
        <n v="3153" u="1"/>
        <n v="4227" u="1"/>
        <n v="6244" u="1"/>
        <n v="1527" u="1"/>
        <n v="3023" u="1"/>
        <n v="5984" u="1"/>
        <n v="1462" u="1"/>
        <n v="2893" u="1"/>
        <n v="5724" u="1"/>
        <n v="1397" u="1"/>
        <n v="2763" u="1"/>
        <n v="5464" u="1"/>
        <n v="7481" u="1"/>
        <n v="1332" u="1"/>
        <n v="2633" u="1"/>
        <n v="5204" u="1"/>
        <n v="7221" u="1"/>
        <n v="1267" u="1"/>
        <n v="2503" u="1"/>
        <n v="4944" u="1"/>
        <n v="6961" u="1"/>
        <n v="1202" u="1"/>
        <n v="2373" u="1"/>
        <n v="4684" u="1"/>
        <n v="6701" u="1"/>
        <n v="1137" u="1"/>
        <n v="2243" u="1"/>
        <n v="4424" u="1"/>
        <n v="6441" u="1"/>
        <n v="1072" u="1"/>
        <n v="2113" u="1"/>
        <n v="4164" u="1"/>
        <n v="6181" u="1"/>
        <n v="4000" u="1"/>
        <n v="5921" u="1"/>
        <n v="983" u="1"/>
        <n v="3870" u="1"/>
        <n v="5661" u="1"/>
        <n v="3740" u="1"/>
        <n v="5401" u="1"/>
        <n v="7418" u="1"/>
        <n v="918" u="1"/>
        <n v="3610" u="1"/>
        <n v="5141" u="1"/>
        <n v="7158" u="1"/>
        <n v="3480" u="1"/>
        <n v="4881" u="1"/>
        <n v="6898" u="1"/>
        <n v="853" u="1"/>
        <n v="3350" u="1"/>
        <n v="4621" u="1"/>
        <n v="6638" u="1"/>
        <n v="3220" u="1"/>
        <n v="4361" u="1"/>
        <n v="6378" u="1"/>
        <n v="788" u="1"/>
        <n v="3090" u="1"/>
        <n v="4101" u="1"/>
        <n v="6118" u="1"/>
        <n v="2960" u="1"/>
        <n v="5858" u="1"/>
        <n v="723" u="1"/>
        <n v="2830" u="1"/>
        <n v="5598" u="1"/>
        <n v="2700" u="1"/>
        <n v="5338" u="1"/>
        <n v="7355" u="1"/>
        <n v="658" u="1"/>
        <n v="2570" u="1"/>
        <n v="5078" u="1"/>
        <n v="7095" u="1"/>
        <n v="2440" u="1"/>
        <n v="4818" u="1"/>
        <n v="6835" u="1"/>
        <n v="2310" u="1"/>
        <n v="4558" u="1"/>
        <n v="6575" u="1"/>
        <n v="2180" u="1"/>
        <n v="4298" u="1"/>
        <n v="6315" u="1"/>
        <n v="2050" u="1"/>
        <n v="4067" u="1"/>
        <n v="6055" u="1"/>
        <n v="1984" u="1"/>
        <n v="3937" u="1"/>
        <n v="5795" u="1"/>
        <n v="1919" u="1"/>
        <n v="3807" u="1"/>
        <n v="5535" u="1"/>
        <n v="7552" u="1"/>
        <n v="1854" u="1"/>
        <n v="3677" u="1"/>
        <n v="5275" u="1"/>
        <n v="7292" u="1"/>
        <n v="1789" u="1"/>
        <n v="3547" u="1"/>
        <n v="5015" u="1"/>
        <n v="7032" u="1"/>
        <n v="1724" u="1"/>
        <n v="3417" u="1"/>
        <n v="4755" u="1"/>
        <n v="6772" u="1"/>
        <n v="1659" u="1"/>
        <n v="3287" u="1"/>
        <n v="4495" u="1"/>
        <n v="6512" u="1"/>
        <n v="1594" u="1"/>
        <n v="3157" u="1"/>
        <n v="4235" u="1"/>
        <n v="6252" u="1"/>
        <n v="1529" u="1"/>
        <n v="3027" u="1"/>
        <n v="5992" u="1"/>
        <n v="1464" u="1"/>
        <n v="2897" u="1"/>
        <n v="5732" u="1"/>
        <n v="1399" u="1"/>
        <n v="2767" u="1"/>
        <n v="5472" u="1"/>
        <n v="7489" u="1"/>
        <n v="1334" u="1"/>
        <n v="2637" u="1"/>
        <n v="5212" u="1"/>
        <n v="7229" u="1"/>
        <n v="1269" u="1"/>
        <n v="2507" u="1"/>
        <n v="4952" u="1"/>
        <n v="6969" u="1"/>
        <n v="1204" u="1"/>
        <n v="2377" u="1"/>
        <n v="4692" u="1"/>
        <n v="6709" u="1"/>
        <n v="1139" u="1"/>
        <n v="2247" u="1"/>
        <n v="4432" u="1"/>
        <n v="6449" u="1"/>
        <n v="1074" u="1"/>
        <n v="2117" u="1"/>
        <n v="4172" u="1"/>
        <n v="6189" u="1"/>
        <n v="4004" u="1"/>
        <n v="5929" u="1"/>
        <n v="984" u="1"/>
        <n v="3874" u="1"/>
        <n v="5669" u="1"/>
        <n v="3744" u="1"/>
        <n v="5409" u="1"/>
        <n v="7426" u="1"/>
        <n v="919" u="1"/>
        <n v="3614" u="1"/>
        <n v="5149" u="1"/>
        <n v="7166" u="1"/>
        <n v="3484" u="1"/>
        <n v="4889" u="1"/>
        <n v="6906" u="1"/>
        <n v="854" u="1"/>
        <n v="3354" u="1"/>
        <n v="4629" u="1"/>
        <n v="6646" u="1"/>
        <n v="3224" u="1"/>
        <n v="4369" u="1"/>
        <n v="6386" u="1"/>
        <n v="789" u="1"/>
        <n v="3094" u="1"/>
        <n v="4109" u="1"/>
        <n v="6126" u="1"/>
        <n v="2964" u="1"/>
        <n v="5866" u="1"/>
        <n v="724" u="1"/>
        <n v="2834" u="1"/>
        <n v="5606" u="1"/>
        <n v="2704" u="1"/>
        <n v="5346" u="1"/>
        <n v="7363" u="1"/>
        <n v="659" u="1"/>
        <n v="2574" u="1"/>
        <n v="5086" u="1"/>
        <n v="7103" u="1"/>
        <n v="2444" u="1"/>
        <n v="4826" u="1"/>
        <n v="6843" u="1"/>
        <n v="2314" u="1"/>
        <n v="4566" u="1"/>
        <n v="6583" u="1"/>
        <n v="2184" u="1"/>
        <n v="4306" u="1"/>
        <n v="6323" u="1"/>
        <n v="2054" u="1"/>
        <n v="4071" u="1"/>
        <n v="6063" u="1"/>
        <n v="1986" u="1"/>
        <n v="3941" u="1"/>
        <n v="5803" u="1"/>
        <n v="1921" u="1"/>
        <n v="3811" u="1"/>
        <n v="5543" u="1"/>
        <n v="7560" u="1"/>
        <n v="1856" u="1"/>
        <n v="3681" u="1"/>
        <n v="5283" u="1"/>
        <n v="7300" u="1"/>
        <n v="1791" u="1"/>
        <n v="3551" u="1"/>
        <n v="5023" u="1"/>
        <n v="7040" u="1"/>
        <n v="1726" u="1"/>
        <n v="3421" u="1"/>
        <n v="4763" u="1"/>
        <n v="6780" u="1"/>
        <n v="1661" u="1"/>
        <n v="3291" u="1"/>
        <n v="4503" u="1"/>
        <n v="6520" u="1"/>
        <n v="1596" u="1"/>
        <n v="3161" u="1"/>
        <n v="4243" u="1"/>
        <n v="6260" u="1"/>
        <n v="1531" u="1"/>
        <n v="3031" u="1"/>
        <n v="6000" u="1"/>
        <n v="1466" u="1"/>
        <n v="2901" u="1"/>
        <n v="5740" u="1"/>
        <n v="1401" u="1"/>
        <n v="2771" u="1"/>
        <n v="5480" u="1"/>
        <n v="7497" u="1"/>
        <n v="1336" u="1"/>
        <n v="2641" u="1"/>
        <n v="5220" u="1"/>
        <n v="7237" u="1"/>
        <n v="1271" u="1"/>
        <n v="2511" u="1"/>
        <n v="4960" u="1"/>
        <n v="6977" u="1"/>
        <n v="1206" u="1"/>
        <n v="2381" u="1"/>
        <n v="4700" u="1"/>
        <n v="6717" u="1"/>
        <n v="1141" u="1"/>
        <n v="2251" u="1"/>
        <n v="4440" u="1"/>
        <n v="6457" u="1"/>
        <n v="1076" u="1"/>
        <n v="2121" u="1"/>
        <n v="4180" u="1"/>
        <n v="6197" u="1"/>
        <n v="4008" u="1"/>
        <n v="5937" u="1"/>
        <n v="985" u="1"/>
        <n v="3878" u="1"/>
        <n v="5677" u="1"/>
        <n v="3748" u="1"/>
        <n v="5417" u="1"/>
        <n v="7434" u="1"/>
        <n v="920" u="1"/>
        <n v="3618" u="1"/>
        <n v="5157" u="1"/>
        <n v="7174" u="1"/>
        <n v="3488" u="1"/>
        <n v="4897" u="1"/>
        <n v="6914" u="1"/>
        <n v="855" u="1"/>
        <n v="3358" u="1"/>
        <n v="4637" u="1"/>
        <n v="6654" u="1"/>
        <n v="3228" u="1"/>
        <n v="4377" u="1"/>
        <n v="6394" u="1"/>
        <n v="790" u="1"/>
        <n v="3098" u="1"/>
        <n v="4117" u="1"/>
        <n v="6134" u="1"/>
        <n v="2968" u="1"/>
        <n v="5874" u="1"/>
        <n v="725" u="1"/>
        <n v="2838" u="1"/>
        <n v="5614" u="1"/>
        <n v="2708" u="1"/>
        <n v="5354" u="1"/>
        <n v="7371" u="1"/>
        <n v="660" u="1"/>
        <n v="2578" u="1"/>
        <n v="5094" u="1"/>
        <n v="7111" u="1"/>
        <n v="2448" u="1"/>
        <n v="4834" u="1"/>
        <n v="6851" u="1"/>
        <n v="2318" u="1"/>
        <n v="4574" u="1"/>
        <n v="6591" u="1"/>
        <n v="2188" u="1"/>
        <n v="4314" u="1"/>
        <n v="6331" u="1"/>
        <n v="2058" u="1"/>
        <n v="4075" u="1"/>
        <n v="6071" u="1"/>
        <n v="1988" u="1"/>
        <n v="3945" u="1"/>
        <n v="5811" u="1"/>
        <n v="1923" u="1"/>
        <n v="3815" u="1"/>
        <n v="5551" u="1"/>
        <n v="7568" u="1"/>
        <n v="1858" u="1"/>
        <n v="3685" u="1"/>
        <n v="5291" u="1"/>
        <n v="7308" u="1"/>
        <n v="1793" u="1"/>
        <n v="3555" u="1"/>
        <n v="5031" u="1"/>
        <n v="7048" u="1"/>
        <n v="1728" u="1"/>
        <n v="3425" u="1"/>
        <n v="4771" u="1"/>
        <n v="6788" u="1"/>
        <n v="1663" u="1"/>
        <n v="3295" u="1"/>
        <n v="4511" u="1"/>
        <n v="6528" u="1"/>
        <n v="1598" u="1"/>
        <n v="3165" u="1"/>
        <n v="4251" u="1"/>
        <n v="6268" u="1"/>
        <n v="1533" u="1"/>
        <n v="3035" u="1"/>
        <n v="6008" u="1"/>
        <n v="1468" u="1"/>
        <n v="2905" u="1"/>
        <n v="5748" u="1"/>
        <n v="1403" u="1"/>
        <n v="2775" u="1"/>
        <n v="5488" u="1"/>
        <n v="7505" u="1"/>
        <n v="1338" u="1"/>
        <n v="2645" u="1"/>
        <n v="5228" u="1"/>
        <n v="7245" u="1"/>
        <n v="1273" u="1"/>
        <n v="2515" u="1"/>
        <n v="4968" u="1"/>
        <n v="6985" u="1"/>
        <n v="1208" u="1"/>
        <n v="2385" u="1"/>
        <n v="4708" u="1"/>
        <n v="6725" u="1"/>
        <n v="1143" u="1"/>
        <n v="2255" u="1"/>
        <n v="4448" u="1"/>
        <n v="6465" u="1"/>
        <n v="1078" u="1"/>
        <n v="2125" u="1"/>
        <n v="4188" u="1"/>
        <n v="6205" u="1"/>
        <n v="4012" u="1"/>
        <n v="5945" u="1"/>
        <n v="986" u="1"/>
        <n v="3882" u="1"/>
        <n v="5685" u="1"/>
        <n v="3752" u="1"/>
        <n v="5425" u="1"/>
        <n v="7442" u="1"/>
        <n v="921" u="1"/>
        <n v="3622" u="1"/>
        <n v="5165" u="1"/>
        <n v="7182" u="1"/>
        <n v="3492" u="1"/>
        <n v="4905" u="1"/>
        <n v="6922" u="1"/>
        <n v="856" u="1"/>
        <n v="3362" u="1"/>
        <n v="4645" u="1"/>
        <n v="6662" u="1"/>
        <n v="3232" u="1"/>
        <n v="4385" u="1"/>
        <n v="6402" u="1"/>
        <n v="791" u="1"/>
        <n v="3102" u="1"/>
        <n v="4125" u="1"/>
        <n v="6142" u="1"/>
        <n v="2972" u="1"/>
        <n v="5882" u="1"/>
        <n v="726" u="1"/>
        <n v="2842" u="1"/>
        <n v="5622" u="1"/>
        <n v="2712" u="1"/>
        <n v="5362" u="1"/>
        <n v="7379" u="1"/>
        <n v="661" u="1"/>
        <n v="2582" u="1"/>
        <n v="5102" u="1"/>
        <n v="7119" u="1"/>
        <n v="2452" u="1"/>
        <n v="4842" u="1"/>
        <n v="6859" u="1"/>
        <n v="2322" u="1"/>
        <n v="4582" u="1"/>
        <n v="6599" u="1"/>
        <n v="2192" u="1"/>
        <n v="4322" u="1"/>
        <n v="6339" u="1"/>
        <n v="2062" u="1"/>
        <n v="4079" u="1"/>
        <n v="6079" u="1"/>
        <n v="1990" u="1"/>
        <n v="3949" u="1"/>
        <n v="5819" u="1"/>
        <n v="1925" u="1"/>
        <n v="3819" u="1"/>
        <n v="5559" u="1"/>
        <n v="7576" u="1"/>
        <n v="1860" u="1"/>
        <n v="3689" u="1"/>
        <n v="5299" u="1"/>
        <n v="7316" u="1"/>
        <n v="1795" u="1"/>
        <n v="3559" u="1"/>
        <n v="5039" u="1"/>
        <n v="7056" u="1"/>
        <n v="1730" u="1"/>
        <n v="3429" u="1"/>
        <n v="4779" u="1"/>
        <n v="6796" u="1"/>
        <n v="1665" u="1"/>
        <n v="3299" u="1"/>
        <n v="4519" u="1"/>
        <n v="6536" u="1"/>
        <n v="1600" u="1"/>
        <n v="3169" u="1"/>
        <n v="4259" u="1"/>
        <n v="6276" u="1"/>
        <n v="1535" u="1"/>
        <n v="3039" u="1"/>
        <n v="6016" u="1"/>
        <n v="1470" u="1"/>
        <n v="2909" u="1"/>
        <n v="5756" u="1"/>
        <n v="1405" u="1"/>
        <n v="2779" u="1"/>
        <n v="5496" u="1"/>
        <n v="7513" u="1"/>
        <n v="1340" u="1"/>
        <n v="2649" u="1"/>
        <n v="5236" u="1"/>
        <n v="7253" u="1"/>
        <n v="1275" u="1"/>
        <n v="2519" u="1"/>
        <n v="4976" u="1"/>
        <n v="6993" u="1"/>
        <n v="1210" u="1"/>
        <n v="2389" u="1"/>
        <n v="4716" u="1"/>
        <n v="6733" u="1"/>
        <n v="1145" u="1"/>
        <n v="2259" u="1"/>
        <n v="4456" u="1"/>
        <n v="6473" u="1"/>
        <n v="1080" u="1"/>
        <n v="2129" u="1"/>
        <n v="4196" u="1"/>
        <n v="6213" u="1"/>
        <n v="4016" u="1"/>
        <n v="5953" u="1"/>
        <n v="987" u="1"/>
        <n v="3886" u="1"/>
        <n v="5693" u="1"/>
        <n v="3756" u="1"/>
        <n v="5433" u="1"/>
        <n v="7450" u="1"/>
        <n v="922" u="1"/>
        <n v="3626" u="1"/>
        <n v="5173" u="1"/>
        <n v="7190" u="1"/>
        <n v="3496" u="1"/>
        <n v="4913" u="1"/>
        <n v="6930" u="1"/>
        <n v="857" u="1"/>
        <n v="3366" u="1"/>
        <n v="4653" u="1"/>
        <n v="6670" u="1"/>
        <n v="3236" u="1"/>
        <n v="4393" u="1"/>
        <n v="6410" u="1"/>
        <n v="792" u="1"/>
        <n v="3106" u="1"/>
        <n v="4133" u="1"/>
        <n v="6150" u="1"/>
        <n v="2976" u="1"/>
        <n v="5890" u="1"/>
        <n v="727" u="1"/>
        <n v="2846" u="1"/>
        <n v="5630" u="1"/>
        <n v="2716" u="1"/>
        <n v="5370" u="1"/>
        <n v="7387" u="1"/>
        <n v="662" u="1"/>
        <n v="2586" u="1"/>
        <n v="5110" u="1"/>
        <n v="7127" u="1"/>
        <n v="2456" u="1"/>
        <n v="4850" u="1"/>
        <n v="6867" u="1"/>
        <n v="2326" u="1"/>
        <n v="4590" u="1"/>
        <n v="6607" u="1"/>
        <n v="2196" u="1"/>
        <n v="4330" u="1"/>
        <n v="6347" u="1"/>
        <n v="2066" u="1"/>
        <n v="4083" u="1"/>
        <n v="6087" u="1"/>
        <n v="1992" u="1"/>
        <n v="3953" u="1"/>
        <n v="5827" u="1"/>
        <n v="1927" u="1"/>
        <n v="3823" u="1"/>
        <n v="5567" u="1"/>
        <n v="1862" u="1"/>
        <n v="3693" u="1"/>
        <n v="5307" u="1"/>
        <n v="7324" u="1"/>
        <n v="1797" u="1"/>
        <n v="3563" u="1"/>
        <n v="5047" u="1"/>
        <n v="7064" u="1"/>
        <n v="1732" u="1"/>
        <n v="3433" u="1"/>
        <n v="4787" u="1"/>
        <n v="6804" u="1"/>
        <n v="1667" u="1"/>
        <n v="3303" u="1"/>
        <n v="4527" u="1"/>
        <n v="6544" u="1"/>
        <n v="1602" u="1"/>
        <n v="3173" u="1"/>
        <n v="4267" u="1"/>
        <n v="6284" u="1"/>
        <n v="1537" u="1"/>
        <n v="3043" u="1"/>
        <n v="6024" u="1"/>
        <n v="1472" u="1"/>
        <n v="2913" u="1"/>
        <n v="5764" u="1"/>
        <n v="1407" u="1"/>
        <n v="2783" u="1"/>
        <n v="5504" u="1"/>
        <n v="7521" u="1"/>
        <n v="1342" u="1"/>
        <n v="2653" u="1"/>
        <n v="5244" u="1"/>
        <n v="7261" u="1"/>
        <n v="1277" u="1"/>
        <n v="2523" u="1"/>
        <n v="4984" u="1"/>
        <n v="7001" u="1"/>
        <n v="1212" u="1"/>
        <n v="2393" u="1"/>
        <n v="4724" u="1"/>
        <n v="6741" u="1"/>
        <n v="1147" u="1"/>
        <n v="2263" u="1"/>
        <n v="4464" u="1"/>
        <n v="6481" u="1"/>
        <n v="1082" u="1"/>
        <n v="2133" u="1"/>
        <n v="4204" u="1"/>
        <n v="6221" u="1"/>
        <n v="4020" u="1"/>
        <n v="5961" u="1"/>
        <n v="988" u="1"/>
        <n v="3890" u="1"/>
        <n v="5701" u="1"/>
        <n v="3760" u="1"/>
        <n v="5441" u="1"/>
        <n v="7458" u="1"/>
        <n v="923" u="1"/>
        <n v="3630" u="1"/>
        <n v="5181" u="1"/>
        <n v="7198" u="1"/>
        <n v="3500" u="1"/>
        <n v="4921" u="1"/>
        <n v="6938" u="1"/>
        <n v="858" u="1"/>
        <n v="3370" u="1"/>
        <n v="4661" u="1"/>
        <n v="6678" u="1"/>
        <n v="3240" u="1"/>
        <n v="4401" u="1"/>
        <n v="6418" u="1"/>
        <n v="793" u="1"/>
        <n v="3110" u="1"/>
        <n v="4141" u="1"/>
        <n v="6158" u="1"/>
        <n v="2980" u="1"/>
        <n v="5898" u="1"/>
        <n v="728" u="1"/>
        <n v="2850" u="1"/>
        <n v="5638" u="1"/>
        <n v="2720" u="1"/>
        <n v="5378" u="1"/>
        <n v="7395" u="1"/>
        <n v="663" u="1"/>
        <n v="2590" u="1"/>
        <n v="5118" u="1"/>
        <n v="7135" u="1"/>
        <n v="2460" u="1"/>
        <n v="4858" u="1"/>
        <n v="6875" u="1"/>
        <n v="2330" u="1"/>
        <n v="4598" u="1"/>
        <n v="6615" u="1"/>
        <n v="2200" u="1"/>
        <n v="4338" u="1"/>
        <n v="6355" u="1"/>
        <n v="2070" u="1"/>
        <n v="4087" u="1"/>
        <n v="6095" u="1"/>
        <n v="1994" u="1"/>
        <n v="3957" u="1"/>
        <n v="5835" u="1"/>
        <n v="1929" u="1"/>
        <n v="3827" u="1"/>
        <n v="5575" u="1"/>
        <n v="1864" u="1"/>
        <n v="3697" u="1"/>
        <n v="5315" u="1"/>
        <n v="7332" u="1"/>
        <n v="1799" u="1"/>
        <n v="3567" u="1"/>
        <n v="5055" u="1"/>
        <n v="7072" u="1"/>
        <n v="1734" u="1"/>
        <n v="3437" u="1"/>
        <n v="4795" u="1"/>
        <n v="6812" u="1"/>
        <n v="1669" u="1"/>
        <n v="3307" u="1"/>
        <n v="4535" u="1"/>
        <n v="6552" u="1"/>
        <n v="1604" u="1"/>
        <n v="3177" u="1"/>
        <n v="4275" u="1"/>
        <n v="6292" u="1"/>
        <n v="1539" u="1"/>
        <n v="3047" u="1"/>
        <n v="6032" u="1"/>
        <n v="1474" u="1"/>
        <n v="2917" u="1"/>
        <n v="5772" u="1"/>
        <n v="1409" u="1"/>
        <n v="2787" u="1"/>
        <n v="5512" u="1"/>
        <n v="7529" u="1"/>
        <n v="1344" u="1"/>
        <n v="2657" u="1"/>
        <n v="5252" u="1"/>
        <n v="7269" u="1"/>
        <n v="1279" u="1"/>
        <n v="2527" u="1"/>
        <n v="4992" u="1"/>
        <n v="7009" u="1"/>
        <n v="1214" u="1"/>
        <n v="2397" u="1"/>
        <n v="4732" u="1"/>
        <n v="6749" u="1"/>
        <n v="1149" u="1"/>
        <n v="2267" u="1"/>
        <n v="4472" u="1"/>
        <n v="6489" u="1"/>
        <n v="1084" u="1"/>
        <n v="2137" u="1"/>
        <n v="4212" u="1"/>
        <n v="6229" u="1"/>
        <n v="4024" u="1"/>
        <n v="5969" u="1"/>
        <n v="989" u="1"/>
        <n v="3894" u="1"/>
        <n v="5709" u="1"/>
        <n v="3764" u="1"/>
        <n v="5449" u="1"/>
        <n v="7466" u="1"/>
        <n v="924" u="1"/>
        <n v="3634" u="1"/>
        <n v="5189" u="1"/>
        <n v="7206" u="1"/>
        <n v="3504" u="1"/>
        <n v="4929" u="1"/>
        <n v="6946" u="1"/>
        <n v="859" u="1"/>
        <n v="3374" u="1"/>
        <n v="4669" u="1"/>
        <n v="6686" u="1"/>
        <n v="3244" u="1"/>
        <n v="4409" u="1"/>
        <n v="6426" u="1"/>
        <n v="794" u="1"/>
        <n v="3114" u="1"/>
        <n v="4149" u="1"/>
        <n v="6166" u="1"/>
        <n v="2984" u="1"/>
        <n v="5906" u="1"/>
        <n v="729" u="1"/>
        <n v="2854" u="1"/>
        <n v="5646" u="1"/>
        <n v="2724" u="1"/>
        <n v="5386" u="1"/>
        <n v="7403" u="1"/>
        <n v="664" u="1"/>
        <n v="2594" u="1"/>
        <n v="5126" u="1"/>
        <n v="7143" u="1"/>
        <n v="2464" u="1"/>
        <n v="4866" u="1"/>
        <n v="6883" u="1"/>
        <n v="2334" u="1"/>
        <n v="4606" u="1"/>
        <n v="6623" u="1"/>
        <n v="2204" u="1"/>
        <n v="4346" u="1"/>
        <n v="6363" u="1"/>
        <n v="2074" u="1"/>
        <n v="4091" u="1"/>
        <n v="6103" u="1"/>
        <n v="1996" u="1"/>
        <n v="3961" u="1"/>
        <n v="5843" u="1"/>
        <n v="1931" u="1"/>
        <n v="3831" u="1"/>
        <n v="5583" u="1"/>
        <n v="1866" u="1"/>
        <n v="3701" u="1"/>
        <n v="5323" u="1"/>
        <n v="7340" u="1"/>
        <n v="1801" u="1"/>
        <n v="3571" u="1"/>
        <n v="5063" u="1"/>
        <n v="7080" u="1"/>
        <n v="1736" u="1"/>
        <n v="3441" u="1"/>
        <n v="4803" u="1"/>
        <n v="6820" u="1"/>
        <n v="1671" u="1"/>
        <n v="3311" u="1"/>
        <n v="4543" u="1"/>
        <n v="6560" u="1"/>
        <n v="1606" u="1"/>
        <n v="3181" u="1"/>
        <n v="4283" u="1"/>
        <n v="6300" u="1"/>
        <n v="1541" u="1"/>
        <n v="3051" u="1"/>
        <n v="6040" u="1"/>
        <n v="1476" u="1"/>
        <n v="2921" u="1"/>
        <n v="5780" u="1"/>
        <n v="1411" u="1"/>
        <n v="2791" u="1"/>
        <n v="5520" u="1"/>
        <n v="7537" u="1"/>
        <n v="1346" u="1"/>
        <n v="2661" u="1"/>
        <n v="5260" u="1"/>
        <n v="7277" u="1"/>
        <n v="1281" u="1"/>
        <n v="2531" u="1"/>
        <n v="5000" u="1"/>
        <n v="7017" u="1"/>
        <n v="1216" u="1"/>
        <n v="2401" u="1"/>
        <n v="4740" u="1"/>
        <n v="6757" u="1"/>
        <n v="1151" u="1"/>
        <n v="2271" u="1"/>
        <n v="4480" u="1"/>
        <n v="6497" u="1"/>
        <n v="1086" u="1"/>
        <n v="2141" u="1"/>
        <n v="4220" u="1"/>
        <n v="6237" u="1"/>
        <n v="4028" u="1"/>
        <n v="5977" u="1"/>
        <n v="990" u="1"/>
        <n v="3898" u="1"/>
        <n v="5717" u="1"/>
        <n v="3768" u="1"/>
        <n v="5457" u="1"/>
        <n v="7474" u="1"/>
        <n v="925" u="1"/>
        <n v="3638" u="1"/>
        <n v="5197" u="1"/>
        <n v="7214" u="1"/>
        <n v="3508" u="1"/>
        <n v="4937" u="1"/>
        <n v="6954" u="1"/>
        <n v="860" u="1"/>
        <n v="3378" u="1"/>
        <n v="4677" u="1"/>
        <n v="6694" u="1"/>
        <n v="3248" u="1"/>
        <n v="4417" u="1"/>
        <n v="6434" u="1"/>
        <n v="795" u="1"/>
        <n v="3118" u="1"/>
        <n v="4157" u="1"/>
        <n v="6174" u="1"/>
        <n v="2988" u="1"/>
        <n v="5914" u="1"/>
        <n v="730" u="1"/>
        <n v="2858" u="1"/>
        <n v="5654" u="1"/>
        <n v="2728" u="1"/>
        <n v="5394" u="1"/>
        <n v="7411" u="1"/>
        <n v="665" u="1"/>
        <n v="2598" u="1"/>
        <n v="5134" u="1"/>
        <n v="7151" u="1"/>
        <n v="2468" u="1"/>
        <n v="4874" u="1"/>
        <n v="6891" u="1"/>
        <n v="2338" u="1"/>
        <n v="4614" u="1"/>
        <n v="6631" u="1"/>
        <n v="2208" u="1"/>
        <n v="4354" u="1"/>
        <n v="6371" u="1"/>
        <n v="2078" u="1"/>
        <n v="4095" u="1"/>
        <n v="6111" u="1"/>
        <n v="1998" u="1"/>
        <n v="3965" u="1"/>
        <n v="5851" u="1"/>
        <n v="1933" u="1"/>
        <n v="3835" u="1"/>
        <n v="5591" u="1"/>
        <n v="1868" u="1"/>
        <n v="3705" u="1"/>
        <n v="5331" u="1"/>
        <n v="7348" u="1"/>
        <n v="1803" u="1"/>
        <n v="3575" u="1"/>
        <n v="5071" u="1"/>
        <n v="7088" u="1"/>
        <n v="1738" u="1"/>
        <n v="3445" u="1"/>
        <n v="4811" u="1"/>
        <n v="6828" u="1"/>
        <n v="1673" u="1"/>
        <n v="3315" u="1"/>
        <n v="4551" u="1"/>
        <n v="6568" u="1"/>
        <n v="1608" u="1"/>
        <n v="3185" u="1"/>
        <n v="4291" u="1"/>
        <n v="6308" u="1"/>
        <n v="1543" u="1"/>
        <n v="3055" u="1"/>
        <n v="6048" u="1"/>
        <n v="1478" u="1"/>
        <n v="2925" u="1"/>
        <n v="5788" u="1"/>
        <n v="1413" u="1"/>
        <n v="2795" u="1"/>
        <n v="5528" u="1"/>
        <n v="7545" u="1"/>
        <n v="1348" u="1"/>
        <n v="2665" u="1"/>
        <n v="5268" u="1"/>
        <n v="7285" u="1"/>
        <n v="1283" u="1"/>
        <n v="2535" u="1"/>
        <n v="5008" u="1"/>
        <n v="7025" u="1"/>
        <n v="1218" u="1"/>
        <n v="2405" u="1"/>
        <n v="4748" u="1"/>
        <n v="6765" u="1"/>
        <n v="1153" u="1"/>
        <n v="2275" u="1"/>
        <n v="4488" u="1"/>
        <n v="6505" u="1"/>
        <n v="1088" u="1"/>
        <n v="2145" u="1"/>
        <n v="4228" u="1"/>
        <n v="6245" u="1"/>
        <n v="4032" u="1"/>
        <n v="5985" u="1"/>
        <n v="991" u="1"/>
        <n v="3902" u="1"/>
        <n v="5725" u="1"/>
        <n v="3772" u="1"/>
        <n v="5465" u="1"/>
        <n v="7482" u="1"/>
        <n v="926" u="1"/>
        <n v="3642" u="1"/>
        <n v="5205" u="1"/>
        <n v="7222" u="1"/>
        <n v="3512" u="1"/>
        <n v="4945" u="1"/>
        <n v="6962" u="1"/>
        <n v="861" u="1"/>
        <n v="3382" u="1"/>
        <n v="4685" u="1"/>
        <n v="6702" u="1"/>
        <n v="3252" u="1"/>
        <n v="4425" u="1"/>
        <n v="6442" u="1"/>
        <n v="796" u="1"/>
        <n v="3122" u="1"/>
        <n v="4165" u="1"/>
        <n v="6182" u="1"/>
        <n v="2992" u="1"/>
        <n v="5922" u="1"/>
        <n v="731" u="1"/>
        <n v="2862" u="1"/>
        <n v="5662" u="1"/>
        <n v="2732" u="1"/>
        <n v="5402" u="1"/>
        <n v="7419" u="1"/>
        <n v="666" u="1"/>
        <n v="2602" u="1"/>
        <n v="5142" u="1"/>
        <n v="7159" u="1"/>
        <n v="2472" u="1"/>
        <n v="4882" u="1"/>
        <n v="6899" u="1"/>
        <n v="2342" u="1"/>
        <n v="4622" u="1"/>
        <n v="6639" u="1"/>
        <n v="2212" u="1"/>
        <n v="4362" u="1"/>
        <n v="6379" u="1"/>
        <n v="2082" u="1"/>
        <n v="4102" u="1"/>
        <n v="6119" u="1"/>
        <n v="2000" u="1"/>
        <n v="3969" u="1"/>
        <n v="5859" u="1"/>
        <n v="1935" u="1"/>
        <n v="3839" u="1"/>
        <n v="5599" u="1"/>
        <n v="1870" u="1"/>
        <n v="3709" u="1"/>
        <n v="5339" u="1"/>
        <n v="7356" u="1"/>
        <n v="1805" u="1"/>
        <n v="3579" u="1"/>
        <n v="5079" u="1"/>
        <n v="7096" u="1"/>
        <n v="1740" u="1"/>
        <n v="3449" u="1"/>
        <n v="4819" u="1"/>
        <n v="6836" u="1"/>
        <n v="1675" u="1"/>
        <n v="3319" u="1"/>
        <n v="4559" u="1"/>
        <n v="6576" u="1"/>
        <n v="1610" u="1"/>
        <n v="3189" u="1"/>
        <n v="4299" u="1"/>
        <n v="6316" u="1"/>
        <n v="1545" u="1"/>
        <n v="3059" u="1"/>
        <n v="6056" u="1"/>
        <n v="1480" u="1"/>
        <n v="2929" u="1"/>
        <n v="5796" u="1"/>
        <n v="1415" u="1"/>
        <n v="2799" u="1"/>
        <n v="5536" u="1"/>
        <n v="7553" u="1"/>
        <n v="1350" u="1"/>
        <n v="2669" u="1"/>
        <n v="5276" u="1"/>
        <n v="7293" u="1"/>
        <n v="1285" u="1"/>
        <n v="2539" u="1"/>
        <n v="5016" u="1"/>
        <n v="7033" u="1"/>
        <n v="1220" u="1"/>
        <n v="2409" u="1"/>
        <n v="4756" u="1"/>
        <n v="6773" u="1"/>
        <n v="1155" u="1"/>
        <n v="2279" u="1"/>
        <n v="4496" u="1"/>
        <n v="6513" u="1"/>
        <n v="1090" u="1"/>
        <n v="2149" u="1"/>
        <n v="4236" u="1"/>
        <n v="6253" u="1"/>
        <n v="1025" u="1"/>
        <n v="4036" u="1"/>
        <n v="5993" u="1"/>
        <n v="992" u="1"/>
        <n v="3906" u="1"/>
        <n v="5733" u="1"/>
        <n v="3776" u="1"/>
        <n v="5473" u="1"/>
        <n v="7490" u="1"/>
        <n v="927" u="1"/>
        <n v="3646" u="1"/>
        <n v="5213" u="1"/>
        <n v="7230" u="1"/>
        <n v="3516" u="1"/>
        <n v="4953" u="1"/>
        <n v="6970" u="1"/>
        <n v="862" u="1"/>
        <n v="3386" u="1"/>
        <n v="4693" u="1"/>
        <n v="6710" u="1"/>
        <n v="3256" u="1"/>
        <n v="4433" u="1"/>
        <n v="6450" u="1"/>
        <n v="797" u="1"/>
        <n v="3126" u="1"/>
        <n v="4173" u="1"/>
        <n v="6190" u="1"/>
        <n v="2996" u="1"/>
        <n v="5930" u="1"/>
        <n v="732" u="1"/>
        <n v="2866" u="1"/>
        <n v="5670" u="1"/>
        <n v="2736" u="1"/>
        <n v="5410" u="1"/>
        <n v="7427" u="1"/>
        <n v="667" u="1"/>
        <n v="2606" u="1"/>
        <n v="5150" u="1"/>
        <n v="7167" u="1"/>
        <n v="2476" u="1"/>
        <n v="4890" u="1"/>
        <n v="6907" u="1"/>
        <n v="2346" u="1"/>
        <n v="4630" u="1"/>
        <n v="6647" u="1"/>
        <n v="2216" u="1"/>
        <n v="4370" u="1"/>
        <n v="6387" u="1"/>
        <n v="2086" u="1"/>
        <n v="4110" u="1"/>
        <n v="6127" u="1"/>
        <n v="2002" u="1"/>
        <n v="3973" u="1"/>
        <n v="5867" u="1"/>
        <n v="1937" u="1"/>
        <n v="3843" u="1"/>
        <n v="5607" u="1"/>
        <n v="1872" u="1"/>
        <n v="3713" u="1"/>
        <n v="5347" u="1"/>
        <n v="7364" u="1"/>
        <n v="1807" u="1"/>
        <n v="3583" u="1"/>
        <n v="5087" u="1"/>
        <n v="7104" u="1"/>
        <n v="1742" u="1"/>
        <n v="3453" u="1"/>
        <n v="4827" u="1"/>
        <n v="6844" u="1"/>
        <n v="1677" u="1"/>
        <n v="3323" u="1"/>
        <n v="4567" u="1"/>
        <n v="6584" u="1"/>
        <n v="1612" u="1"/>
        <n v="3193" u="1"/>
        <n v="4307" u="1"/>
        <n v="6324" u="1"/>
        <n v="1547" u="1"/>
        <n v="3063" u="1"/>
        <n v="6064" u="1"/>
        <n v="1482" u="1"/>
        <n v="2933" u="1"/>
        <n v="5804" u="1"/>
        <n v="1417" u="1"/>
        <n v="2803" u="1"/>
        <n v="5544" u="1"/>
        <n v="7561" u="1"/>
        <n v="1352" u="1"/>
        <n v="2673" u="1"/>
        <n v="5284" u="1"/>
        <n v="7301" u="1"/>
        <n v="1287" u="1"/>
        <n v="2543" u="1"/>
        <n v="5024" u="1"/>
        <n v="7041" u="1"/>
        <n v="1222" u="1"/>
        <n v="2413" u="1"/>
        <n v="4764" u="1"/>
        <n v="6781" u="1"/>
        <n v="1157" u="1"/>
        <n v="2283" u="1"/>
        <n v="4504" u="1"/>
        <n v="6521" u="1"/>
        <n v="1092" u="1"/>
        <n v="2153" u="1"/>
        <n v="4244" u="1"/>
        <n v="6261" u="1"/>
        <n v="1027" u="1"/>
        <n v="4040" u="1"/>
        <n v="6001" u="1"/>
        <n v="993" u="1"/>
        <n v="3910" u="1"/>
        <n v="5741" u="1"/>
        <n v="3780" u="1"/>
        <n v="5481" u="1"/>
        <n v="7498" u="1"/>
        <n v="928" u="1"/>
        <n v="3650" u="1"/>
        <n v="5221" u="1"/>
        <n v="7238" u="1"/>
        <n v="3520" u="1"/>
        <n v="4961" u="1"/>
        <n v="6978" u="1"/>
        <n v="863" u="1"/>
        <n v="3390" u="1"/>
        <n v="4701" u="1"/>
        <n v="6718" u="1"/>
        <n v="3260" u="1"/>
        <n v="4441" u="1"/>
        <n v="6458" u="1"/>
        <n v="798" u="1"/>
        <n v="3130" u="1"/>
        <n v="4181" u="1"/>
        <n v="6198" u="1"/>
        <n v="3000" u="1"/>
        <n v="5938" u="1"/>
        <n v="733" u="1"/>
        <n v="2870" u="1"/>
        <n v="5678" u="1"/>
        <n v="2740" u="1"/>
        <n v="5418" u="1"/>
        <n v="7435" u="1"/>
        <n v="668" u="1"/>
        <n v="2610" u="1"/>
        <n v="5158" u="1"/>
        <n v="7175" u="1"/>
        <n v="2480" u="1"/>
        <n v="4898" u="1"/>
        <n v="6915" u="1"/>
        <n v="2350" u="1"/>
        <n v="4638" u="1"/>
        <n v="6655" u="1"/>
        <n v="2220" u="1"/>
        <n v="4378" u="1"/>
        <n v="6395" u="1"/>
        <n v="2090" u="1"/>
        <n v="4118" u="1"/>
        <n v="6135" u="1"/>
        <n v="2004" u="1"/>
        <n v="3977" u="1"/>
        <n v="5875" u="1"/>
        <n v="1939" u="1"/>
        <n v="3847" u="1"/>
        <n v="5615" u="1"/>
        <n v="1874" u="1"/>
        <n v="3717" u="1"/>
        <n v="5355" u="1"/>
        <n v="7372" u="1"/>
        <n v="1809" u="1"/>
        <n v="3587" u="1"/>
        <n v="5095" u="1"/>
        <n v="7112" u="1"/>
        <n v="1744" u="1"/>
        <n v="3457" u="1"/>
        <n v="4835" u="1"/>
        <n v="6852" u="1"/>
        <n v="1679" u="1"/>
        <n v="3327" u="1"/>
        <n v="4575" u="1"/>
        <n v="6592" u="1"/>
        <n v="1614" u="1"/>
        <n v="3197" u="1"/>
        <n v="4315" u="1"/>
        <n v="6332" u="1"/>
        <n v="1549" u="1"/>
        <n v="3067" u="1"/>
        <n v="6072" u="1"/>
        <n v="1484" u="1"/>
        <n v="2937" u="1"/>
        <n v="5812" u="1"/>
        <n v="1419" u="1"/>
        <n v="2807" u="1"/>
        <n v="5552" u="1"/>
        <n v="7569" u="1"/>
        <n v="1354" u="1"/>
        <n v="2677" u="1"/>
        <n v="5292" u="1"/>
        <n v="7309" u="1"/>
        <n v="1289" u="1"/>
        <n v="2547" u="1"/>
        <n v="5032" u="1"/>
        <n v="7049" u="1"/>
        <n v="1224" u="1"/>
        <n v="2417" u="1"/>
        <n v="4772" u="1"/>
        <n v="6789" u="1"/>
        <n v="1159" u="1"/>
        <n v="2287" u="1"/>
        <n v="4512" u="1"/>
        <n v="6529" u="1"/>
        <n v="1094" u="1"/>
        <n v="2157" u="1"/>
        <n v="4252" u="1"/>
        <n v="6269" u="1"/>
        <n v="1029" u="1"/>
        <n v="4044" u="1"/>
        <n v="6009" u="1"/>
        <n v="994" u="1"/>
        <n v="3914" u="1"/>
        <n v="5749" u="1"/>
        <n v="3784" u="1"/>
        <n v="5489" u="1"/>
        <n v="7506" u="1"/>
        <n v="929" u="1"/>
        <n v="3654" u="1"/>
        <n v="5229" u="1"/>
        <n v="7246" u="1"/>
        <n v="3524" u="1"/>
        <n v="4969" u="1"/>
        <n v="6986" u="1"/>
        <n v="864" u="1"/>
        <n v="3394" u="1"/>
        <n v="4709" u="1"/>
        <n v="6726" u="1"/>
        <n v="3264" u="1"/>
        <n v="4449" u="1"/>
        <n v="6466" u="1"/>
        <n v="799" u="1"/>
        <n v="3134" u="1"/>
        <n v="4189" u="1"/>
        <n v="6206" u="1"/>
        <n v="3004" u="1"/>
        <n v="5946" u="1"/>
        <n v="734" u="1"/>
        <n v="2874" u="1"/>
        <n v="5686" u="1"/>
        <n v="2744" u="1"/>
        <n v="5426" u="1"/>
        <n v="7443" u="1"/>
        <n v="669" u="1"/>
        <n v="2614" u="1"/>
        <n v="5166" u="1"/>
        <n v="7183" u="1"/>
        <n v="2484" u="1"/>
        <n v="4906" u="1"/>
        <n v="6923" u="1"/>
        <n v="2354" u="1"/>
        <n v="4646" u="1"/>
        <n v="6663" u="1"/>
        <n v="2224" u="1"/>
        <n v="4386" u="1"/>
        <n v="6403" u="1"/>
        <n v="2094" u="1"/>
        <n v="4126" u="1"/>
        <n v="6143" u="1"/>
        <n v="2006" u="1"/>
        <n v="3981" u="1"/>
        <n v="5883" u="1"/>
        <n v="1941" u="1"/>
        <n v="3851" u="1"/>
        <n v="5623" u="1"/>
        <n v="1876" u="1"/>
        <n v="3721" u="1"/>
        <n v="5363" u="1"/>
        <n v="7380" u="1"/>
        <n v="1811" u="1"/>
        <n v="3591" u="1"/>
        <n v="5103" u="1"/>
        <n v="7120" u="1"/>
        <n v="1746" u="1"/>
        <n v="3461" u="1"/>
        <n v="4843" u="1"/>
        <n v="6860" u="1"/>
        <n v="1681" u="1"/>
        <n v="3331" u="1"/>
        <n v="4583" u="1"/>
        <n v="6600" u="1"/>
        <n v="1616" u="1"/>
        <n v="3201" u="1"/>
        <n v="4323" u="1"/>
        <n v="6340" u="1"/>
        <n v="1551" u="1"/>
        <n v="3071" u="1"/>
        <n v="6080" u="1"/>
        <n v="1486" u="1"/>
        <n v="2941" u="1"/>
        <n v="5820" u="1"/>
        <n v="1421" u="1"/>
        <n v="2811" u="1"/>
        <n v="5560" u="1"/>
        <n v="7577" u="1"/>
        <n v="1356" u="1"/>
        <n v="2681" u="1"/>
        <n v="5300" u="1"/>
        <n v="7317" u="1"/>
        <n v="1291" u="1"/>
        <n v="2551" u="1"/>
        <n v="5040" u="1"/>
        <n v="7057" u="1"/>
        <n v="1226" u="1"/>
        <n v="2421" u="1"/>
        <n v="4780" u="1"/>
        <n v="6797" u="1"/>
        <n v="1161" u="1"/>
        <n v="2291" u="1"/>
        <n v="4520" u="1"/>
        <n v="6537" u="1"/>
        <n v="1096" u="1"/>
        <n v="2161" u="1"/>
        <n v="4260" u="1"/>
        <n v="6277" u="1"/>
        <n v="1031" u="1"/>
        <n v="4048" u="1"/>
        <n v="6017" u="1"/>
        <n v="995" u="1"/>
        <n v="3918" u="1"/>
        <n v="5757" u="1"/>
        <n v="3788" u="1"/>
        <n v="5497" u="1"/>
        <n v="7514" u="1"/>
        <n v="930" u="1"/>
        <n v="3658" u="1"/>
        <n v="5237" u="1"/>
        <n v="7254" u="1"/>
        <n v="3528" u="1"/>
        <n v="4977" u="1"/>
        <n v="6994" u="1"/>
        <n v="865" u="1"/>
        <n v="3398" u="1"/>
        <n v="4717" u="1"/>
        <n v="6734" u="1"/>
        <n v="3268" u="1"/>
        <n v="4457" u="1"/>
        <n v="6474" u="1"/>
        <n v="800" u="1"/>
        <n v="3138" u="1"/>
        <n v="4197" u="1"/>
        <n v="6214" u="1"/>
        <n v="3008" u="1"/>
        <n v="5954" u="1"/>
        <n v="735" u="1"/>
        <n v="2878" u="1"/>
        <n v="5694" u="1"/>
        <n v="2748" u="1"/>
        <n v="5434" u="1"/>
        <n v="7451" u="1"/>
        <n v="670" u="1"/>
        <n v="2618" u="1"/>
        <n v="5174" u="1"/>
        <n v="7191" u="1"/>
        <n v="2488" u="1"/>
        <n v="4914" u="1"/>
        <n v="6931" u="1"/>
        <n v="2358" u="1"/>
        <n v="4654" u="1"/>
        <n v="6671" u="1"/>
        <n v="2228" u="1"/>
        <n v="4394" u="1"/>
        <n v="6411" u="1"/>
        <n v="2098" u="1"/>
        <n v="4134" u="1"/>
        <n v="6151" u="1"/>
        <n v="2008" u="1"/>
        <n v="3985" u="1"/>
        <n v="5891" u="1"/>
        <n v="1943" u="1"/>
        <n v="3855" u="1"/>
        <n v="5631" u="1"/>
        <n v="1878" u="1"/>
        <n v="3725" u="1"/>
        <n v="5371" u="1"/>
        <n v="7388" u="1"/>
        <n v="1813" u="1"/>
        <n v="3595" u="1"/>
        <n v="5111" u="1"/>
        <n v="7128" u="1"/>
        <n v="1748" u="1"/>
        <n v="3465" u="1"/>
        <n v="4851" u="1"/>
        <n v="6868" u="1"/>
        <n v="1683" u="1"/>
        <n v="3335" u="1"/>
        <n v="4591" u="1"/>
        <n v="6608" u="1"/>
        <n v="1618" u="1"/>
        <n v="3205" u="1"/>
        <n v="4331" u="1"/>
        <n v="6348" u="1"/>
        <n v="1553" u="1"/>
        <n v="3075" u="1"/>
        <n v="6088" u="1"/>
        <n v="1488" u="1"/>
        <n v="2945" u="1"/>
        <n v="5828" u="1"/>
        <n v="1423" u="1"/>
        <n v="2815" u="1"/>
        <n v="5568" u="1"/>
        <n v="1358" u="1"/>
        <n v="2685" u="1"/>
        <n v="5308" u="1"/>
        <n v="7325" u="1"/>
        <n v="1293" u="1"/>
        <n v="2555" u="1"/>
        <n v="5048" u="1"/>
        <n v="7065" u="1"/>
        <n v="1228" u="1"/>
        <n v="2425" u="1"/>
        <n v="4788" u="1"/>
        <n v="6805" u="1"/>
        <n v="1163" u="1"/>
        <n v="2295" u="1"/>
        <n v="4528" u="1"/>
        <n v="6545" u="1"/>
        <n v="1098" u="1"/>
        <n v="2165" u="1"/>
        <n v="4268" u="1"/>
        <n v="6285" u="1"/>
        <n v="1033" u="1"/>
        <n v="4052" u="1"/>
        <n v="6025" u="1"/>
        <n v="996" u="1"/>
        <n v="3922" u="1"/>
        <n v="5765" u="1"/>
        <n v="3792" u="1"/>
        <n v="5505" u="1"/>
        <n v="7522" u="1"/>
        <n v="931" u="1"/>
        <n v="3662" u="1"/>
        <n v="5245" u="1"/>
        <n v="7262" u="1"/>
        <n v="3532" u="1"/>
        <n v="4985" u="1"/>
        <n v="7002" u="1"/>
        <n v="866" u="1"/>
        <n v="3402" u="1"/>
        <n v="4725" u="1"/>
        <n v="6742" u="1"/>
        <n v="3272" u="1"/>
        <n v="4465" u="1"/>
        <n v="6482" u="1"/>
        <n v="801" u="1"/>
        <n v="3142" u="1"/>
        <n v="4205" u="1"/>
        <n v="6222" u="1"/>
        <n v="3012" u="1"/>
        <n v="5962" u="1"/>
        <n v="736" u="1"/>
        <n v="2882" u="1"/>
        <n v="5702" u="1"/>
        <n v="2752" u="1"/>
        <n v="5442" u="1"/>
        <n v="7459" u="1"/>
        <n v="671" u="1"/>
        <n v="2622" u="1"/>
        <n v="5182" u="1"/>
        <n v="7199" u="1"/>
        <n v="2492" u="1"/>
        <n v="4922" u="1"/>
        <n v="6939" u="1"/>
        <n v="2362" u="1"/>
        <n v="4662" u="1"/>
        <n v="6679" u="1"/>
        <n v="2232" u="1"/>
        <n v="4402" u="1"/>
        <n v="6419" u="1"/>
        <n v="2102" u="1"/>
        <n v="4142" u="1"/>
        <n v="6159" u="1"/>
        <n v="2010" u="1"/>
        <n v="3989" u="1"/>
        <n v="5899" u="1"/>
        <n v="1945" u="1"/>
        <n v="3859" u="1"/>
        <n v="5639" u="1"/>
        <n v="1880" u="1"/>
        <n v="3729" u="1"/>
        <n v="5379" u="1"/>
        <n v="7396" u="1"/>
        <n v="1815" u="1"/>
        <n v="3599" u="1"/>
        <n v="5119" u="1"/>
        <n v="7136" u="1"/>
        <n v="1750" u="1"/>
        <n v="3469" u="1"/>
        <n v="4859" u="1"/>
        <n v="6876" u="1"/>
        <n v="1685" u="1"/>
        <n v="3339" u="1"/>
        <n v="4599" u="1"/>
        <n v="6616" u="1"/>
        <n v="1620" u="1"/>
        <n v="3209" u="1"/>
        <n v="4339" u="1"/>
        <n v="6356" u="1"/>
        <n v="1555" u="1"/>
        <n v="3079" u="1"/>
        <n v="6096" u="1"/>
        <n v="1490" u="1"/>
        <n v="2949" u="1"/>
        <n v="5836" u="1"/>
        <n v="1425" u="1"/>
        <n v="2819" u="1"/>
        <n v="5576" u="1"/>
        <n v="1360" u="1"/>
        <n v="2689" u="1"/>
        <n v="5316" u="1"/>
        <n v="7333" u="1"/>
        <n v="1295" u="1"/>
        <n v="2559" u="1"/>
        <n v="5056" u="1"/>
        <n v="7073" u="1"/>
        <n v="1230" u="1"/>
        <n v="2429" u="1"/>
        <n v="4796" u="1"/>
        <n v="6813" u="1"/>
        <n v="1165" u="1"/>
        <n v="2299" u="1"/>
        <n v="4536" u="1"/>
        <n v="6553" u="1"/>
        <n v="1100" u="1"/>
        <n v="2169" u="1"/>
        <n v="4276" u="1"/>
        <n v="6293" u="1"/>
        <n v="1035" u="1"/>
        <n v="4056" u="1"/>
        <n v="6033" u="1"/>
        <n v="997" u="1"/>
        <n v="3926" u="1"/>
        <n v="5773" u="1"/>
        <n v="3796" u="1"/>
        <n v="5513" u="1"/>
        <n v="7530" u="1"/>
        <n v="932" u="1"/>
        <n v="3666" u="1"/>
        <n v="5253" u="1"/>
        <n v="7270" u="1"/>
        <n v="3536" u="1"/>
        <n v="4993" u="1"/>
        <n v="7010" u="1"/>
        <n v="867" u="1"/>
        <n v="3406" u="1"/>
        <n v="4733" u="1"/>
        <n v="6750" u="1"/>
        <n v="3276" u="1"/>
        <n v="4473" u="1"/>
        <n v="6490" u="1"/>
        <n v="802" u="1"/>
        <n v="3146" u="1"/>
        <n v="4213" u="1"/>
        <n v="6230" u="1"/>
        <n v="3016" u="1"/>
        <n v="5970" u="1"/>
        <n v="737" u="1"/>
        <n v="2886" u="1"/>
        <n v="5710" u="1"/>
        <n v="2756" u="1"/>
        <n v="5450" u="1"/>
        <n v="7467" u="1"/>
        <n v="672" u="1"/>
        <n v="2626" u="1"/>
        <n v="5190" u="1"/>
        <n v="7207" u="1"/>
        <n v="2496" u="1"/>
        <n v="4930" u="1"/>
        <n v="6947" u="1"/>
        <n v="2366" u="1"/>
        <n v="4670" u="1"/>
        <n v="6687" u="1"/>
        <n v="2236" u="1"/>
        <n v="4410" u="1"/>
        <n v="6427" u="1"/>
        <n v="2106" u="1"/>
        <n v="4150" u="1"/>
        <n v="6167" u="1"/>
        <n v="2012" u="1"/>
        <n v="3993" u="1"/>
        <n v="5907" u="1"/>
        <n v="1947" u="1"/>
        <n v="3863" u="1"/>
        <n v="5647" u="1"/>
        <n v="1882" u="1"/>
        <n v="3733" u="1"/>
        <n v="5387" u="1"/>
        <n v="7404" u="1"/>
        <n v="1817" u="1"/>
        <n v="3603" u="1"/>
        <n v="5127" u="1"/>
        <n v="7144" u="1"/>
        <n v="1752" u="1"/>
        <n v="3473" u="1"/>
        <n v="4867" u="1"/>
        <n v="6884" u="1"/>
        <n v="1687" u="1"/>
        <n v="3343" u="1"/>
        <n v="4607" u="1"/>
        <n v="6624" u="1"/>
        <n v="1622" u="1"/>
        <n v="3213" u="1"/>
        <n v="4347" u="1"/>
        <n v="6364" u="1"/>
        <n v="1557" u="1"/>
        <n v="3083" u="1"/>
        <n v="6104" u="1"/>
        <n v="1492" u="1"/>
        <n v="2953" u="1"/>
        <n v="5844" u="1"/>
        <n v="1427" u="1"/>
        <n v="2823" u="1"/>
        <n v="5584" u="1"/>
        <n v="1362" u="1"/>
        <n v="2693" u="1"/>
        <n v="5324" u="1"/>
        <n v="7341" u="1"/>
        <n v="1297" u="1"/>
        <n v="2563" u="1"/>
        <n v="5064" u="1"/>
        <n v="7081" u="1"/>
        <n v="1232" u="1"/>
        <n v="2433" u="1"/>
        <n v="4804" u="1"/>
        <n v="6821" u="1"/>
        <n v="1167" u="1"/>
        <n v="2303" u="1"/>
        <n v="4544" u="1"/>
        <n v="6561" u="1"/>
        <n v="1102" u="1"/>
        <n v="2173" u="1"/>
        <n v="4284" u="1"/>
        <n v="6301" u="1"/>
        <n v="1037" u="1"/>
        <n v="4060" u="1"/>
        <n v="6041" u="1"/>
        <n v="998" u="1"/>
        <n v="3930" u="1"/>
        <n v="5781" u="1"/>
        <n v="3800" u="1"/>
        <n v="5521" u="1"/>
        <n v="7538" u="1"/>
        <n v="933" u="1"/>
        <n v="3670" u="1"/>
        <n v="5261" u="1"/>
        <n v="7278" u="1"/>
        <n v="3540" u="1"/>
        <n v="5001" u="1"/>
        <n v="7018" u="1"/>
        <n v="868" u="1"/>
        <n v="3410" u="1"/>
        <n v="4741" u="1"/>
        <n v="6758" u="1"/>
        <n v="3280" u="1"/>
        <n v="4481" u="1"/>
        <n v="6498" u="1"/>
        <n v="803" u="1"/>
        <n v="3150" u="1"/>
        <n v="4221" u="1"/>
        <n v="6238" u="1"/>
        <n v="3020" u="1"/>
        <n v="5978" u="1"/>
        <n v="738" u="1"/>
        <n v="2890" u="1"/>
        <n v="5718" u="1"/>
        <n v="2760" u="1"/>
        <n v="5458" u="1"/>
        <n v="7475" u="1"/>
        <n v="673" u="1"/>
        <n v="2630" u="1"/>
        <n v="5198" u="1"/>
        <n v="7215" u="1"/>
        <n v="2500" u="1"/>
        <n v="4938" u="1"/>
        <n v="6955" u="1"/>
        <n v="2370" u="1"/>
        <n v="4678" u="1"/>
        <n v="6695" u="1"/>
        <n v="2240" u="1"/>
        <n v="4418" u="1"/>
        <n v="6435" u="1"/>
        <n v="2110" u="1"/>
        <n v="4158" u="1"/>
        <n v="6175" u="1"/>
        <n v="2014" u="1"/>
        <n v="3997" u="1"/>
        <n v="5915" u="1"/>
        <n v="1949" u="1"/>
        <n v="3867" u="1"/>
        <n v="5655" u="1"/>
        <n v="1884" u="1"/>
        <n v="3737" u="1"/>
        <n v="5395" u="1"/>
        <n v="7412" u="1"/>
        <n v="1819" u="1"/>
        <n v="3607" u="1"/>
        <n v="5135" u="1"/>
        <n v="7152" u="1"/>
        <n v="1754" u="1"/>
        <n v="3477" u="1"/>
        <n v="4875" u="1"/>
        <n v="6892" u="1"/>
        <n v="1689" u="1"/>
        <n v="3347" u="1"/>
        <n v="4615" u="1"/>
        <n v="6632" u="1"/>
        <n v="1624" u="1"/>
        <n v="3217" u="1"/>
        <n v="4355" u="1"/>
        <n v="6372" u="1"/>
        <n v="1559" u="1"/>
        <n v="3087" u="1"/>
        <n v="6112" u="1"/>
        <n v="1494" u="1"/>
        <n v="2957" u="1"/>
        <n v="5852" u="1"/>
        <n v="1429" u="1"/>
        <n v="2827" u="1"/>
        <n v="5592" u="1"/>
        <n v="1364" u="1"/>
        <n v="2697" u="1"/>
        <n v="5332" u="1"/>
        <n v="7349" u="1"/>
        <n v="1299" u="1"/>
        <n v="2567" u="1"/>
        <n v="5072" u="1"/>
        <n v="7089" u="1"/>
        <n v="1234" u="1"/>
        <n v="2437" u="1"/>
        <n v="4812" u="1"/>
        <n v="6829" u="1"/>
        <n v="1169" u="1"/>
        <n v="2307" u="1"/>
        <n v="4552" u="1"/>
        <n v="6569" u="1"/>
        <n v="1104" u="1"/>
        <n v="2177" u="1"/>
        <n v="4292" u="1"/>
        <n v="6309" u="1"/>
        <n v="1039" u="1"/>
        <n v="4064" u="1"/>
        <n v="6049" u="1"/>
        <n v="999" u="1"/>
        <n v="3934" u="1"/>
        <n v="5789" u="1"/>
        <n v="3804" u="1"/>
        <n v="5529" u="1"/>
        <n v="7546" u="1"/>
        <n v="934" u="1"/>
        <n v="3674" u="1"/>
        <n v="5269" u="1"/>
        <n v="7286" u="1"/>
        <n v="3544" u="1"/>
        <n v="5009" u="1"/>
        <n v="7026" u="1"/>
        <n v="869" u="1"/>
        <n v="3414" u="1"/>
        <n v="4749" u="1"/>
        <n v="6766" u="1"/>
        <n v="3284" u="1"/>
        <n v="4489" u="1"/>
        <n v="6506" u="1"/>
        <n v="804" u="1"/>
        <n v="3154" u="1"/>
        <n v="4229" u="1"/>
        <n v="6246" u="1"/>
        <n v="3024" u="1"/>
        <n v="5986" u="1"/>
        <n v="739" u="1"/>
        <n v="2894" u="1"/>
        <n v="5726" u="1"/>
        <n v="2764" u="1"/>
        <n v="5466" u="1"/>
        <n v="7483" u="1"/>
        <n v="674" u="1"/>
        <n v="2634" u="1"/>
        <n v="5206" u="1"/>
        <n v="7223" u="1"/>
        <n v="2504" u="1"/>
        <n v="4946" u="1"/>
        <n v="6963" u="1"/>
        <n v="2374" u="1"/>
        <n v="4686" u="1"/>
        <n v="6703" u="1"/>
        <n v="2244" u="1"/>
        <n v="4426" u="1"/>
        <n v="6443" u="1"/>
        <n v="2114" u="1"/>
        <n v="4166" u="1"/>
        <n v="6183" u="1"/>
        <n v="2016" u="1"/>
        <n v="4001" u="1"/>
        <n v="5923" u="1"/>
        <n v="1951" u="1"/>
        <n v="3871" u="1"/>
        <n v="5663" u="1"/>
        <n v="1886" u="1"/>
        <n v="3741" u="1"/>
        <n v="5403" u="1"/>
        <n v="7420" u="1"/>
        <n v="1821" u="1"/>
        <n v="3611" u="1"/>
        <n v="5143" u="1"/>
        <n v="7160" u="1"/>
        <n v="1756" u="1"/>
        <n v="3481" u="1"/>
        <n v="4883" u="1"/>
        <n v="6900" u="1"/>
        <n v="1691" u="1"/>
        <n v="3351" u="1"/>
        <n v="4623" u="1"/>
        <n v="6640" u="1"/>
        <n v="1626" u="1"/>
        <n v="3221" u="1"/>
        <n v="4363" u="1"/>
        <n v="6380" u="1"/>
        <n v="1561" u="1"/>
        <n v="3091" u="1"/>
        <n v="4103" u="1"/>
        <n v="6120" u="1"/>
        <n v="1496" u="1"/>
        <n v="2961" u="1"/>
        <n v="5860" u="1"/>
        <n v="1431" u="1"/>
        <n v="2831" u="1"/>
        <n v="5600" u="1"/>
        <n v="1366" u="1"/>
        <n v="2701" u="1"/>
        <n v="5340" u="1"/>
        <n v="7357" u="1"/>
        <n v="1301" u="1"/>
        <n v="2571" u="1"/>
        <n v="5080" u="1"/>
        <n v="7097" u="1"/>
        <n v="1236" u="1"/>
        <n v="2441" u="1"/>
        <n v="4820" u="1"/>
        <n v="6837" u="1"/>
        <n v="1171" u="1"/>
        <n v="2311" u="1"/>
        <n v="4560" u="1"/>
        <n v="6577" u="1"/>
        <n v="1106" u="1"/>
        <n v="2181" u="1"/>
        <n v="4300" u="1"/>
        <n v="6317" u="1"/>
        <n v="1041" u="1"/>
        <n v="2051" u="1"/>
        <n v="4068" u="1"/>
        <n v="6057" u="1"/>
        <n v="1000" u="1"/>
        <n v="3938" u="1"/>
        <n v="5797" u="1"/>
        <n v="3808" u="1"/>
        <n v="5537" u="1"/>
        <n v="7554" u="1"/>
        <n v="935" u="1"/>
        <n v="3678" u="1"/>
        <n v="5277" u="1"/>
        <n v="7294" u="1"/>
        <n v="3548" u="1"/>
        <n v="5017" u="1"/>
        <n v="7034" u="1"/>
        <n v="870" u="1"/>
        <n v="3418" u="1"/>
        <n v="4757" u="1"/>
        <n v="6774" u="1"/>
        <n v="3288" u="1"/>
        <n v="4497" u="1"/>
        <n v="6514" u="1"/>
        <n v="805" u="1"/>
        <n v="3158" u="1"/>
        <n v="4237" u="1"/>
        <n v="6254" u="1"/>
        <n v="3028" u="1"/>
        <n v="5994" u="1"/>
        <n v="740" u="1"/>
        <n v="2898" u="1"/>
        <n v="5734" u="1"/>
        <n v="2768" u="1"/>
        <n v="5474" u="1"/>
        <n v="7491" u="1"/>
        <n v="675" u="1"/>
        <n v="2638" u="1"/>
        <n v="5214" u="1"/>
        <n v="7231" u="1"/>
        <n v="2508" u="1"/>
        <n v="4954" u="1"/>
        <n v="6971" u="1"/>
        <n v="2378" u="1"/>
        <n v="4694" u="1"/>
        <n v="6711" u="1"/>
        <n v="2248" u="1"/>
        <n v="4434" u="1"/>
        <n v="6451" u="1"/>
        <n v="2118" u="1"/>
        <n v="4174" u="1"/>
        <n v="6191" u="1"/>
        <n v="2018" u="1"/>
        <n v="4005" u="1"/>
        <n v="5931" u="1"/>
        <n v="1953" u="1"/>
        <n v="3875" u="1"/>
        <n v="5671" u="1"/>
        <n v="1888" u="1"/>
        <n v="3745" u="1"/>
        <n v="5411" u="1"/>
        <n v="7428" u="1"/>
        <n v="1823" u="1"/>
        <n v="3615" u="1"/>
        <n v="5151" u="1"/>
        <n v="7168" u="1"/>
        <n v="1758" u="1"/>
        <n v="3485" u="1"/>
        <n v="4891" u="1"/>
        <n v="6908" u="1"/>
        <n v="1693" u="1"/>
        <n v="3355" u="1"/>
        <n v="4631" u="1"/>
        <n v="6648" u="1"/>
        <n v="1628" u="1"/>
        <n v="3225" u="1"/>
        <n v="4371" u="1"/>
        <n v="6388" u="1"/>
        <n v="1563" u="1"/>
        <n v="3095" u="1"/>
        <n v="4111" u="1"/>
        <n v="6128" u="1"/>
        <n v="1498" u="1"/>
        <n v="2965" u="1"/>
        <n v="5868" u="1"/>
        <n v="1433" u="1"/>
        <n v="2835" u="1"/>
        <n v="5608" u="1"/>
        <n v="1368" u="1"/>
        <n v="2705" u="1"/>
        <n v="5348" u="1"/>
        <n v="7365" u="1"/>
        <n v="1303" u="1"/>
        <n v="2575" u="1"/>
        <n v="5088" u="1"/>
        <n v="7105" u="1"/>
        <n v="1238" u="1"/>
        <n v="2445" u="1"/>
        <n v="4828" u="1"/>
        <n v="6845" u="1"/>
        <n v="1173" u="1"/>
        <n v="2315" u="1"/>
        <n v="4568" u="1"/>
        <n v="6585" u="1"/>
        <n v="1108" u="1"/>
        <n v="2185" u="1"/>
        <n v="4308" u="1"/>
        <n v="6325" u="1"/>
        <n v="1043" u="1"/>
        <n v="2055" u="1"/>
        <n v="4072" u="1"/>
        <n v="6065" u="1"/>
        <n v="1001" u="1"/>
        <n v="3942" u="1"/>
        <n v="5805" u="1"/>
        <n v="3812" u="1"/>
        <n v="5545" u="1"/>
        <n v="7562" u="1"/>
        <n v="936" u="1"/>
        <n v="3682" u="1"/>
        <n v="5285" u="1"/>
        <n v="7302" u="1"/>
        <n v="3552" u="1"/>
        <n v="5025" u="1"/>
        <n v="7042" u="1"/>
        <n v="871" u="1"/>
        <n v="3422" u="1"/>
        <n v="4765" u="1"/>
        <n v="6782" u="1"/>
        <n v="3292" u="1"/>
        <n v="4505" u="1"/>
        <n v="6522" u="1"/>
        <n v="806" u="1"/>
        <n v="3162" u="1"/>
        <n v="4245" u="1"/>
        <n v="6262" u="1"/>
        <n v="3032" u="1"/>
        <n v="6002" u="1"/>
        <n v="741" u="1"/>
        <n v="2902" u="1"/>
        <n v="5742" u="1"/>
        <n v="2772" u="1"/>
        <n v="5482" u="1"/>
        <n v="7499" u="1"/>
        <n v="676" u="1"/>
        <n v="2642" u="1"/>
        <n v="5222" u="1"/>
        <n v="7239" u="1"/>
        <n v="2512" u="1"/>
        <n v="4962" u="1"/>
        <n v="6979" u="1"/>
        <n v="2382" u="1"/>
        <n v="4702" u="1"/>
        <n v="6719" u="1"/>
        <n v="2252" u="1"/>
        <n v="4442" u="1"/>
        <n v="6459" u="1"/>
        <n v="2122" u="1"/>
        <n v="4182" u="1"/>
        <n v="6199" u="1"/>
        <n v="2020" u="1"/>
        <n v="4009" u="1"/>
        <n v="5939" u="1"/>
        <n v="1955" u="1"/>
        <n v="3879" u="1"/>
        <n v="5679" u="1"/>
        <n v="1890" u="1"/>
        <n v="3749" u="1"/>
        <n v="5419" u="1"/>
        <n v="7436" u="1"/>
        <n v="1825" u="1"/>
        <n v="3619" u="1"/>
        <n v="5159" u="1"/>
        <n v="7176" u="1"/>
        <n v="1760" u="1"/>
        <n v="3489" u="1"/>
        <n v="4899" u="1"/>
        <n v="6916" u="1"/>
        <n v="1695" u="1"/>
        <n v="3359" u="1"/>
        <n v="4639" u="1"/>
        <n v="6656" u="1"/>
        <n v="1630" u="1"/>
        <n v="3229" u="1"/>
        <n v="4379" u="1"/>
        <n v="6396" u="1"/>
        <n v="1565" u="1"/>
        <n v="3099" u="1"/>
        <n v="4119" u="1"/>
        <n v="6136" u="1"/>
        <n v="1500" u="1"/>
        <n v="2969" u="1"/>
        <n v="5876" u="1"/>
        <n v="1435" u="1"/>
        <n v="2839" u="1"/>
        <n v="5616" u="1"/>
        <n v="1370" u="1"/>
        <n v="2709" u="1"/>
        <n v="5356" u="1"/>
        <n v="7373" u="1"/>
        <n v="1305" u="1"/>
        <n v="2579" u="1"/>
        <n v="5096" u="1"/>
        <n v="7113" u="1"/>
        <n v="1240" u="1"/>
        <n v="2449" u="1"/>
        <n v="4836" u="1"/>
        <n v="6853" u="1"/>
        <n v="1175" u="1"/>
        <n v="2319" u="1"/>
        <n v="4576" u="1"/>
        <n v="6593" u="1"/>
        <n v="1110" u="1"/>
        <n v="2189" u="1"/>
        <n v="4316" u="1"/>
        <n v="6333" u="1"/>
        <n v="1045" u="1"/>
        <n v="2059" u="1"/>
        <n v="4076" u="1"/>
        <n v="6073" u="1"/>
        <n v="1002" u="1"/>
        <n v="3946" u="1"/>
        <n v="5813" u="1"/>
        <n v="3816" u="1"/>
        <n v="5553" u="1"/>
        <n v="7570" u="1"/>
        <n v="937" u="1"/>
        <n v="3686" u="1"/>
        <n v="5293" u="1"/>
        <n v="7310" u="1"/>
        <n v="3556" u="1"/>
        <n v="5033" u="1"/>
        <n v="7050" u="1"/>
        <n v="872" u="1"/>
        <n v="3426" u="1"/>
        <n v="4773" u="1"/>
        <n v="6790" u="1"/>
        <n v="3296" u="1"/>
        <n v="4513" u="1"/>
        <n v="6530" u="1"/>
        <n v="807" u="1"/>
        <n v="3166" u="1"/>
        <n v="4253" u="1"/>
        <n v="6270" u="1"/>
        <n v="3036" u="1"/>
        <n v="6010" u="1"/>
        <n v="742" u="1"/>
        <n v="2906" u="1"/>
        <n v="5750" u="1"/>
        <n v="2776" u="1"/>
        <n v="5490" u="1"/>
        <n v="7507" u="1"/>
        <n v="677" u="1"/>
        <n v="2646" u="1"/>
        <n v="5230" u="1"/>
        <n v="7247" u="1"/>
        <n v="2516" u="1"/>
        <n v="4970" u="1"/>
        <n v="6987" u="1"/>
        <n v="2386" u="1"/>
        <n v="4710" u="1"/>
        <n v="6727" u="1"/>
        <n v="2256" u="1"/>
        <n v="4450" u="1"/>
        <n v="6467" u="1"/>
        <n v="2126" u="1"/>
        <n v="4190" u="1"/>
        <n v="6207" u="1"/>
        <n v="2022" u="1"/>
        <n v="4013" u="1"/>
        <n v="5947" u="1"/>
        <n v="1957" u="1"/>
        <n v="3883" u="1"/>
        <n v="5687" u="1"/>
        <n v="1892" u="1"/>
        <n v="3753" u="1"/>
        <n v="5427" u="1"/>
        <n v="7444" u="1"/>
        <n v="1827" u="1"/>
        <n v="3623" u="1"/>
        <n v="5167" u="1"/>
        <n v="7184" u="1"/>
        <n v="1762" u="1"/>
        <n v="3493" u="1"/>
        <n v="4907" u="1"/>
        <n v="6924" u="1"/>
        <n v="1697" u="1"/>
        <n v="3363" u="1"/>
        <n v="4647" u="1"/>
        <n v="6664" u="1"/>
        <n v="1632" u="1"/>
        <n v="3233" u="1"/>
        <n v="4387" u="1"/>
        <n v="6404" u="1"/>
        <n v="1567" u="1"/>
        <n v="3103" u="1"/>
        <n v="4127" u="1"/>
        <n v="6144" u="1"/>
        <n v="1502" u="1"/>
        <n v="2973" u="1"/>
        <n v="5884" u="1"/>
        <n v="1437" u="1"/>
        <n v="2843" u="1"/>
        <n v="5624" u="1"/>
        <n v="1372" u="1"/>
        <n v="2713" u="1"/>
        <n v="5364" u="1"/>
        <n v="7381" u="1"/>
        <n v="1307" u="1"/>
        <n v="2583" u="1"/>
        <n v="5104" u="1"/>
        <n v="7121" u="1"/>
        <n v="1242" u="1"/>
        <n v="2453" u="1"/>
        <n v="4844" u="1"/>
        <n v="6861" u="1"/>
        <n v="1177" u="1"/>
        <n v="2323" u="1"/>
        <n v="4584" u="1"/>
        <n v="6601" u="1"/>
        <n v="1112" u="1"/>
        <n v="2193" u="1"/>
        <n v="4324" u="1"/>
        <n v="6341" u="1"/>
        <n v="1047" u="1"/>
        <n v="2063" u="1"/>
        <n v="4080" u="1"/>
        <n v="6081" u="1"/>
        <n v="1003" u="1"/>
        <n v="3950" u="1"/>
        <n v="5821" u="1"/>
        <n v="3820" u="1"/>
        <n v="5561" u="1"/>
        <n v="7578" u="1"/>
        <n v="938" u="1"/>
        <n v="3690" u="1"/>
        <n v="5301" u="1"/>
        <n v="7318" u="1"/>
        <n v="3560" u="1"/>
        <n v="5041" u="1"/>
        <n v="7058" u="1"/>
        <n v="873" u="1"/>
        <n v="3430" u="1"/>
        <n v="4781" u="1"/>
        <n v="6798" u="1"/>
        <n v="3300" u="1"/>
        <n v="4521" u="1"/>
        <n v="6538" u="1"/>
        <n v="808" u="1"/>
        <n v="3170" u="1"/>
        <n v="4261" u="1"/>
        <n v="6278" u="1"/>
        <n v="3040" u="1"/>
        <n v="6018" u="1"/>
        <n v="743" u="1"/>
        <n v="2910" u="1"/>
        <n v="5758" u="1"/>
        <n v="2780" u="1"/>
        <n v="5498" u="1"/>
        <n v="7515" u="1"/>
        <n v="678" u="1"/>
        <n v="2650" u="1"/>
        <n v="5238" u="1"/>
        <n v="7255" u="1"/>
        <n v="2520" u="1"/>
        <n v="4978" u="1"/>
        <n v="6995" u="1"/>
        <n v="2390" u="1"/>
        <n v="4718" u="1"/>
        <n v="6735" u="1"/>
        <n v="2260" u="1"/>
        <n v="4458" u="1"/>
        <n v="6475" u="1"/>
        <n v="2130" u="1"/>
        <n v="4198" u="1"/>
        <n v="6215" u="1"/>
        <n v="2024" u="1"/>
        <n v="4017" u="1"/>
        <n v="5955" u="1"/>
        <n v="1959" u="1"/>
        <n v="3887" u="1"/>
        <n v="5695" u="1"/>
        <n v="1894" u="1"/>
        <n v="3757" u="1"/>
        <n v="5435" u="1"/>
        <n v="7452" u="1"/>
        <n v="1829" u="1"/>
        <n v="3627" u="1"/>
        <n v="5175" u="1"/>
        <n v="7192" u="1"/>
        <n v="1764" u="1"/>
        <n v="3497" u="1"/>
        <n v="4915" u="1"/>
        <n v="6932" u="1"/>
        <n v="1699" u="1"/>
        <n v="3367" u="1"/>
        <n v="4655" u="1"/>
        <n v="6672" u="1"/>
        <n v="1634" u="1"/>
        <n v="3237" u="1"/>
        <n v="4395" u="1"/>
        <n v="6412" u="1"/>
        <n v="1569" u="1"/>
        <n v="3107" u="1"/>
        <n v="4135" u="1"/>
        <n v="6152" u="1"/>
        <n v="1504" u="1"/>
        <n v="2977" u="1"/>
        <n v="5892" u="1"/>
        <n v="1439" u="1"/>
        <n v="2847" u="1"/>
        <n v="5632" u="1"/>
        <n v="1374" u="1"/>
        <n v="2717" u="1"/>
        <n v="5372" u="1"/>
        <n v="7389" u="1"/>
        <n v="1309" u="1"/>
        <n v="2587" u="1"/>
        <n v="5112" u="1"/>
        <n v="7129" u="1"/>
        <n v="1244" u="1"/>
        <n v="2457" u="1"/>
        <n v="4852" u="1"/>
        <n v="6869" u="1"/>
        <n v="1179" u="1"/>
        <n v="2327" u="1"/>
        <n v="4592" u="1"/>
        <n v="6609" u="1"/>
        <n v="1114" u="1"/>
        <n v="2197" u="1"/>
        <n v="4332" u="1"/>
        <n v="6349" u="1"/>
        <n v="1049" u="1"/>
        <n v="2067" u="1"/>
        <n v="4084" u="1"/>
        <n v="6089" u="1"/>
        <n v="1004" u="1"/>
        <n v="3954" u="1"/>
        <n v="5829" u="1"/>
        <n v="3824" u="1"/>
        <n v="5569" u="1"/>
        <n v="939" u="1"/>
        <n v="3694" u="1"/>
        <n v="5309" u="1"/>
        <n v="7326" u="1"/>
        <n v="3564" u="1"/>
        <n v="5049" u="1"/>
        <n v="7066" u="1"/>
        <n v="874" u="1"/>
        <n v="3434" u="1"/>
        <n v="4789" u="1"/>
        <n v="6806" u="1"/>
        <n v="3304" u="1"/>
        <n v="4529" u="1"/>
        <n v="6546" u="1"/>
        <n v="809" u="1"/>
        <n v="3174" u="1"/>
        <n v="4269" u="1"/>
        <n v="6286" u="1"/>
        <n v="3044" u="1"/>
        <n v="6026" u="1"/>
        <n v="744" u="1"/>
        <n v="2914" u="1"/>
        <n v="5766" u="1"/>
        <n v="2784" u="1"/>
        <n v="5506" u="1"/>
        <n v="7523" u="1"/>
        <n v="679" u="1"/>
        <n v="2654" u="1"/>
        <n v="5246" u="1"/>
        <n v="7263" u="1"/>
        <n v="2524" u="1"/>
        <n v="4986" u="1"/>
        <n v="7003" u="1"/>
        <n v="2394" u="1"/>
        <n v="4726" u="1"/>
        <n v="6743" u="1"/>
        <n v="2264" u="1"/>
        <n v="4466" u="1"/>
        <n v="6483" u="1"/>
        <n v="2134" u="1"/>
        <n v="4206" u="1"/>
        <n v="6223" u="1"/>
        <n v="2026" u="1"/>
        <n v="4021" u="1"/>
        <n v="5963" u="1"/>
        <n v="1961" u="1"/>
        <n v="3891" u="1"/>
        <n v="5703" u="1"/>
        <n v="1896" u="1"/>
        <n v="3761" u="1"/>
        <n v="5443" u="1"/>
        <n v="7460" u="1"/>
        <n v="1831" u="1"/>
        <n v="3631" u="1"/>
        <n v="5183" u="1"/>
        <n v="7200" u="1"/>
        <n v="1766" u="1"/>
        <n v="3501" u="1"/>
        <n v="4923" u="1"/>
        <n v="6940" u="1"/>
        <n v="1701" u="1"/>
        <n v="3371" u="1"/>
        <n v="4663" u="1"/>
        <n v="6680" u="1"/>
        <n v="1636" u="1"/>
        <n v="3241" u="1"/>
        <n v="4403" u="1"/>
        <n v="6420" u="1"/>
        <n v="1571" u="1"/>
        <n v="3111" u="1"/>
        <n v="4143" u="1"/>
        <n v="6160" u="1"/>
        <n v="1506" u="1"/>
        <n v="2981" u="1"/>
        <n v="5900" u="1"/>
        <n v="1441" u="1"/>
        <n v="2851" u="1"/>
        <n v="5640" u="1"/>
        <n v="1376" u="1"/>
        <n v="2721" u="1"/>
        <n v="5380" u="1"/>
        <n v="7397" u="1"/>
        <n v="1311" u="1"/>
        <n v="2591" u="1"/>
        <n v="5120" u="1"/>
        <n v="7137" u="1"/>
        <n v="1246" u="1"/>
        <n v="2461" u="1"/>
        <n v="4860" u="1"/>
        <n v="6877" u="1"/>
        <n v="1181" u="1"/>
        <n v="2331" u="1"/>
        <n v="4600" u="1"/>
        <n v="6617" u="1"/>
        <n v="1116" u="1"/>
        <n v="2201" u="1"/>
        <n v="4340" u="1"/>
        <n v="6357" u="1"/>
        <n v="1051" u="1"/>
        <n v="2071" u="1"/>
        <n v="4088" u="1"/>
        <n v="6097" u="1"/>
        <n v="1005" u="1"/>
        <n v="3958" u="1"/>
        <n v="5837" u="1"/>
        <n v="3828" u="1"/>
        <n v="5577" u="1"/>
        <n v="940" u="1"/>
        <n v="3698" u="1"/>
        <n v="5317" u="1"/>
        <n v="7334" u="1"/>
        <n v="3568" u="1"/>
        <n v="5057" u="1"/>
        <n v="7074" u="1"/>
        <n v="875" u="1"/>
        <n v="3438" u="1"/>
        <n v="4797" u="1"/>
        <n v="6814" u="1"/>
        <n v="3308" u="1"/>
        <n v="4537" u="1"/>
        <n v="6554" u="1"/>
        <n v="810" u="1"/>
        <n v="3178" u="1"/>
        <n v="4277" u="1"/>
        <n v="6294" u="1"/>
        <n v="3048" u="1"/>
        <n v="6034" u="1"/>
        <n v="745" u="1"/>
        <n v="2918" u="1"/>
        <n v="5774" u="1"/>
        <n v="2788" u="1"/>
        <n v="5514" u="1"/>
        <n v="7531" u="1"/>
        <n v="680" u="1"/>
        <n v="2658" u="1"/>
        <n v="5254" u="1"/>
        <n v="7271" u="1"/>
        <n v="2528" u="1"/>
        <n v="4994" u="1"/>
        <n v="7011" u="1"/>
        <n v="2398" u="1"/>
        <n v="4734" u="1"/>
        <n v="6751" u="1"/>
        <n v="2268" u="1"/>
        <n v="4474" u="1"/>
        <n v="6491" u="1"/>
        <n v="2138" u="1"/>
        <n v="4214" u="1"/>
        <n v="6231" u="1"/>
        <n v="2028" u="1"/>
        <n v="4025" u="1"/>
        <n v="5971" u="1"/>
        <n v="1963" u="1"/>
        <n v="3895" u="1"/>
        <n v="5711" u="1"/>
        <n v="1898" u="1"/>
        <n v="3765" u="1"/>
        <n v="5451" u="1"/>
        <n v="7468" u="1"/>
        <n v="1833" u="1"/>
        <n v="3635" u="1"/>
        <n v="5191" u="1"/>
        <n v="7208" u="1"/>
        <n v="1768" u="1"/>
        <n v="3505" u="1"/>
        <n v="4931" u="1"/>
        <n v="6948" u="1"/>
        <n v="1703" u="1"/>
        <n v="3375" u="1"/>
        <n v="4671" u="1"/>
        <n v="6688" u="1"/>
        <n v="1638" u="1"/>
        <n v="3245" u="1"/>
        <n v="4411" u="1"/>
        <n v="6428" u="1"/>
        <n v="1573" u="1"/>
        <n v="3115" u="1"/>
        <n v="4151" u="1"/>
        <n v="6168" u="1"/>
        <n v="1508" u="1"/>
        <n v="2985" u="1"/>
        <n v="5908" u="1"/>
        <n v="1443" u="1"/>
        <n v="2855" u="1"/>
        <n v="5648" u="1"/>
        <n v="1378" u="1"/>
        <n v="2725" u="1"/>
        <n v="5388" u="1"/>
        <n v="7405" u="1"/>
        <n v="1313" u="1"/>
        <n v="2595" u="1"/>
        <n v="5128" u="1"/>
        <n v="7145" u="1"/>
        <n v="1248" u="1"/>
        <n v="2465" u="1"/>
        <n v="4868" u="1"/>
        <n v="6885" u="1"/>
        <n v="1183" u="1"/>
        <n v="2335" u="1"/>
        <n v="4608" u="1"/>
        <n v="6625" u="1"/>
        <n v="1118" u="1"/>
        <n v="2205" u="1"/>
        <n v="4348" u="1"/>
        <n v="6365" u="1"/>
        <n v="1053" u="1"/>
        <n v="2075" u="1"/>
        <n v="4092" u="1"/>
        <n v="6105" u="1"/>
        <n v="1006" u="1"/>
        <n v="3962" u="1"/>
        <n v="5845" u="1"/>
        <n v="3832" u="1"/>
        <n v="5585" u="1"/>
        <n v="941" u="1"/>
        <n v="3702" u="1"/>
        <n v="5325" u="1"/>
        <n v="7342" u="1"/>
        <n v="3572" u="1"/>
        <n v="5065" u="1"/>
        <n v="7082" u="1"/>
        <n v="876" u="1"/>
        <n v="3442" u="1"/>
        <n v="4805" u="1"/>
        <n v="6822" u="1"/>
        <n v="3312" u="1"/>
        <n v="4545" u="1"/>
        <n v="6562" u="1"/>
        <n v="811" u="1"/>
        <n v="3182" u="1"/>
        <n v="4285" u="1"/>
        <n v="6302" u="1"/>
        <n v="3052" u="1"/>
        <n v="6042" u="1"/>
        <n v="746" u="1"/>
        <n v="2922" u="1"/>
        <n v="5782" u="1"/>
        <n v="2792" u="1"/>
        <n v="5522" u="1"/>
        <n v="7539" u="1"/>
        <n v="681" u="1"/>
        <n v="2662" u="1"/>
        <n v="5262" u="1"/>
        <n v="7279" u="1"/>
        <n v="2532" u="1"/>
        <n v="5002" u="1"/>
        <n v="7019" u="1"/>
        <n v="2402" u="1"/>
        <n v="4742" u="1"/>
        <n v="6759" u="1"/>
        <n v="2272" u="1"/>
        <n v="4482" u="1"/>
        <n v="6499" u="1"/>
        <n v="2142" u="1"/>
        <n v="4222" u="1"/>
        <n v="6239" u="1"/>
        <n v="2030" u="1"/>
        <n v="4029" u="1"/>
        <n v="5979" u="1"/>
        <n v="1965" u="1"/>
        <n v="3899" u="1"/>
        <n v="5719" u="1"/>
        <n v="1900" u="1"/>
        <n v="3769" u="1"/>
        <n v="5459" u="1"/>
        <n v="7476" u="1"/>
        <n v="1835" u="1"/>
        <n v="3639" u="1"/>
        <n v="5199" u="1"/>
        <n v="7216" u="1"/>
        <n v="1770" u="1"/>
        <n v="3509" u="1"/>
        <n v="4939" u="1"/>
        <n v="6956" u="1"/>
        <n v="1705" u="1"/>
        <n v="3379" u="1"/>
        <n v="4679" u="1"/>
        <n v="6696" u="1"/>
        <n v="1640" u="1"/>
        <n v="3249" u="1"/>
        <n v="4419" u="1"/>
        <n v="6436" u="1"/>
        <n v="1575" u="1"/>
        <n v="3119" u="1"/>
        <n v="4159" u="1"/>
        <n v="6176" u="1"/>
        <n v="1510" u="1"/>
        <n v="2989" u="1"/>
        <n v="5916" u="1"/>
        <n v="1445" u="1"/>
        <n v="2859" u="1"/>
        <n v="5656" u="1"/>
        <n v="1380" u="1"/>
        <n v="2729" u="1"/>
        <n v="5396" u="1"/>
        <n v="7413" u="1"/>
        <n v="1315" u="1"/>
        <n v="2599" u="1"/>
        <n v="5136" u="1"/>
        <n v="7153" u="1"/>
        <n v="1250" u="1"/>
        <n v="2469" u="1"/>
        <n v="4876" u="1"/>
        <n v="6893" u="1"/>
        <n v="1185" u="1"/>
        <n v="2339" u="1"/>
        <n v="4616" u="1"/>
        <n v="6633" u="1"/>
        <n v="1120" u="1"/>
        <n v="2209" u="1"/>
        <n v="4356" u="1"/>
        <n v="6373" u="1"/>
        <n v="1055" u="1"/>
        <n v="2079" u="1"/>
        <n v="4096" u="1"/>
        <n v="6113" u="1"/>
        <n v="1007" u="1"/>
        <n v="3966" u="1"/>
        <n v="5853" u="1"/>
        <n v="3836" u="1"/>
        <n v="5593" u="1"/>
        <n v="942" u="1"/>
        <n v="3706" u="1"/>
        <n v="5333" u="1"/>
        <n v="7350" u="1"/>
        <n v="3576" u="1"/>
        <n v="5073" u="1"/>
        <n v="7090" u="1"/>
        <n v="877" u="1"/>
        <n v="3446" u="1"/>
        <n v="4813" u="1"/>
        <n v="6830" u="1"/>
        <n v="3316" u="1"/>
        <n v="4553" u="1"/>
        <n v="6570" u="1"/>
        <n v="812" u="1"/>
        <n v="3186" u="1"/>
        <n v="4293" u="1"/>
        <n v="6310" u="1"/>
        <n v="3056" u="1"/>
        <n v="6050" u="1"/>
        <n v="747" u="1"/>
        <n v="2926" u="1"/>
        <n v="5790" u="1"/>
        <n v="2796" u="1"/>
        <n v="5530" u="1"/>
        <n v="7547" u="1"/>
        <n v="682" u="1"/>
        <n v="2666" u="1"/>
        <n v="5270" u="1"/>
        <n v="7287" u="1"/>
        <n v="2536" u="1"/>
        <n v="5010" u="1"/>
        <n v="7027" u="1"/>
        <n v="2406" u="1"/>
        <n v="4750" u="1"/>
        <n v="6767" u="1"/>
        <n v="2276" u="1"/>
        <n v="4490" u="1"/>
        <n v="6507" u="1"/>
        <n v="2146" u="1"/>
        <n v="4230" u="1"/>
        <n v="6247" u="1"/>
        <n v="2032" u="1"/>
        <n v="4033" u="1"/>
        <n v="5987" u="1"/>
        <n v="1967" u="1"/>
        <n v="3903" u="1"/>
        <n v="5727" u="1"/>
        <n v="1902" u="1"/>
        <n v="3773" u="1"/>
        <n v="5467" u="1"/>
        <n v="7484" u="1"/>
        <n v="1837" u="1"/>
        <n v="3643" u="1"/>
        <n v="5207" u="1"/>
        <n v="7224" u="1"/>
        <n v="1772" u="1"/>
        <n v="3513" u="1"/>
        <n v="4947" u="1"/>
        <n v="6964" u="1"/>
        <n v="1707" u="1"/>
        <n v="3383" u="1"/>
        <n v="4687" u="1"/>
        <n v="6704" u="1"/>
        <n v="1642" u="1"/>
        <n v="3253" u="1"/>
        <n v="4427" u="1"/>
        <n v="6444" u="1"/>
        <n v="1577" u="1"/>
        <n v="3123" u="1"/>
        <n v="4167" u="1"/>
        <n v="6184" u="1"/>
        <n v="1512" u="1"/>
        <n v="2993" u="1"/>
        <n v="5924" u="1"/>
        <n v="1447" u="1"/>
        <n v="2863" u="1"/>
        <n v="5664" u="1"/>
        <n v="1382" u="1"/>
        <n v="2733" u="1"/>
        <n v="5404" u="1"/>
        <n v="7421" u="1"/>
        <n v="1317" u="1"/>
        <n v="2603" u="1"/>
        <n v="5144" u="1"/>
        <n v="7161" u="1"/>
        <n v="1252" u="1"/>
        <n v="2473" u="1"/>
        <n v="4884" u="1"/>
        <n v="6901" u="1"/>
        <n v="1187" u="1"/>
        <n v="2343" u="1"/>
        <n v="4624" u="1"/>
        <n v="6641" u="1"/>
        <n v="1122" u="1"/>
        <n v="2213" u="1"/>
        <n v="4364" u="1"/>
        <n v="6381" u="1"/>
        <n v="1057" u="1"/>
        <n v="2083" u="1"/>
        <n v="4104" u="1"/>
        <n v="6121" u="1"/>
        <n v="1008" u="1"/>
        <n v="3970" u="1"/>
        <n v="5861" u="1"/>
        <n v="3840" u="1"/>
        <n v="5601" u="1"/>
        <n v="943" u="1"/>
        <n v="3710" u="1"/>
        <n v="5341" u="1"/>
        <n v="7358" u="1"/>
        <n v="3580" u="1"/>
        <n v="5081" u="1"/>
        <n v="7098" u="1"/>
        <n v="878" u="1"/>
        <n v="3450" u="1"/>
        <n v="4821" u="1"/>
        <n v="6838" u="1"/>
        <n v="3320" u="1"/>
        <n v="4561" u="1"/>
        <n v="6578" u="1"/>
        <n v="813" u="1"/>
        <n v="3190" u="1"/>
        <n v="4301" u="1"/>
        <n v="6318" u="1"/>
        <n v="3060" u="1"/>
        <n v="6058" u="1"/>
        <n v="748" u="1"/>
        <n v="2930" u="1"/>
        <n v="5798" u="1"/>
        <n v="2800" u="1"/>
        <n v="5538" u="1"/>
        <n v="7555" u="1"/>
        <n v="683" u="1"/>
        <n v="2670" u="1"/>
        <n v="5278" u="1"/>
        <n v="7295" u="1"/>
        <n v="2540" u="1"/>
        <n v="5018" u="1"/>
        <n v="7035" u="1"/>
        <n v="2410" u="1"/>
        <n v="4758" u="1"/>
        <n v="6775" u="1"/>
        <n v="2280" u="1"/>
        <n v="4498" u="1"/>
        <n v="6515" u="1"/>
        <n v="2150" u="1"/>
        <n v="4238" u="1"/>
        <n v="6255" u="1"/>
        <n v="2034" u="1"/>
        <n v="4037" u="1"/>
        <n v="5995" u="1"/>
        <n v="1969" u="1"/>
        <n v="3907" u="1"/>
        <n v="5735" u="1"/>
        <n v="1904" u="1"/>
        <n v="3777" u="1"/>
        <n v="5475" u="1"/>
        <n v="7492" u="1"/>
        <n v="1839" u="1"/>
        <n v="3647" u="1"/>
        <n v="5215" u="1"/>
        <n v="7232" u="1"/>
        <n v="1774" u="1"/>
        <n v="3517" u="1"/>
        <n v="4955" u="1"/>
        <n v="6972" u="1"/>
        <n v="1709" u="1"/>
        <n v="3387" u="1"/>
        <n v="4695" u="1"/>
        <n v="6712" u="1"/>
        <n v="1644" u="1"/>
        <n v="3257" u="1"/>
        <n v="4435" u="1"/>
        <n v="6452" u="1"/>
        <n v="1579" u="1"/>
        <n v="3127" u="1"/>
        <n v="4175" u="1"/>
        <n v="6192" u="1"/>
        <n v="1514" u="1"/>
        <n v="2997" u="1"/>
        <n v="5932" u="1"/>
        <n v="1449" u="1"/>
        <n v="2867" u="1"/>
        <n v="5672" u="1"/>
        <n v="1384" u="1"/>
        <n v="2737" u="1"/>
        <n v="5412" u="1"/>
        <n v="7429" u="1"/>
        <n v="1319" u="1"/>
        <n v="2607" u="1"/>
        <n v="5152" u="1"/>
        <n v="7169" u="1"/>
        <n v="1254" u="1"/>
        <n v="2477" u="1"/>
        <n v="4892" u="1"/>
        <n v="6909" u="1"/>
        <n v="1189" u="1"/>
        <n v="2347" u="1"/>
        <n v="4632" u="1"/>
        <n v="6649" u="1"/>
        <n v="1124" u="1"/>
        <n v="2217" u="1"/>
        <n v="4372" u="1"/>
        <n v="6389" u="1"/>
        <n v="1059" u="1"/>
        <n v="2087" u="1"/>
        <n v="4112" u="1"/>
        <n v="6129" u="1"/>
        <n v="1009" u="1"/>
        <n v="3974" u="1"/>
        <n v="5869" u="1"/>
        <n v="3844" u="1"/>
        <n v="5609" u="1"/>
        <n v="944" u="1"/>
        <n v="3714" u="1"/>
        <n v="5349" u="1"/>
        <n v="7366" u="1"/>
        <n v="3584" u="1"/>
        <n v="5089" u="1"/>
        <n v="7106" u="1"/>
        <n v="879" u="1"/>
        <n v="3454" u="1"/>
        <n v="4829" u="1"/>
        <n v="6846" u="1"/>
        <n v="3324" u="1"/>
        <n v="4569" u="1"/>
        <n v="6586" u="1"/>
        <n v="814" u="1"/>
        <n v="3194" u="1"/>
        <n v="4309" u="1"/>
        <n v="6326" u="1"/>
        <n v="3064" u="1"/>
        <n v="6066" u="1"/>
        <n v="749" u="1"/>
        <n v="2934" u="1"/>
        <n v="5806" u="1"/>
        <n v="2804" u="1"/>
        <n v="5546" u="1"/>
        <n v="7563" u="1"/>
        <n v="684" u="1"/>
        <n v="2674" u="1"/>
        <n v="5286" u="1"/>
        <n v="7303" u="1"/>
        <n v="2544" u="1"/>
        <n v="5026" u="1"/>
        <n v="7043" u="1"/>
        <n v="2414" u="1"/>
        <n v="4766" u="1"/>
        <n v="6783" u="1"/>
        <n v="2284" u="1"/>
        <n v="4506" u="1"/>
        <n v="6523" u="1"/>
        <n v="2154" u="1"/>
        <n v="4246" u="1"/>
        <n v="6263" u="1"/>
        <n v="2036" u="1"/>
        <n v="4041" u="1"/>
        <n v="6003" u="1"/>
        <n v="1971" u="1"/>
        <n v="3911" u="1"/>
        <n v="5743" u="1"/>
        <n v="1906" u="1"/>
        <n v="3781" u="1"/>
        <n v="5483" u="1"/>
        <n v="7500" u="1"/>
        <n v="1841" u="1"/>
        <n v="3651" u="1"/>
        <n v="5223" u="1"/>
        <n v="7240" u="1"/>
        <n v="1776" u="1"/>
        <n v="3521" u="1"/>
        <n v="4963" u="1"/>
        <n v="6980" u="1"/>
        <n v="1711" u="1"/>
        <n v="3391" u="1"/>
        <n v="4703" u="1"/>
        <n v="6720" u="1"/>
        <n v="1646" u="1"/>
        <n v="3261" u="1"/>
        <n v="4443" u="1"/>
        <n v="6460" u="1"/>
        <n v="1581" u="1"/>
        <n v="3131" u="1"/>
        <n v="4183" u="1"/>
        <n v="6200" u="1"/>
        <n v="1516" u="1"/>
        <n v="3001" u="1"/>
        <n v="5940" u="1"/>
        <n v="1451" u="1"/>
        <n v="2871" u="1"/>
        <n v="5680" u="1"/>
        <n v="1386" u="1"/>
        <n v="2741" u="1"/>
        <n v="5420" u="1"/>
        <n v="7437" u="1"/>
        <n v="1321" u="1"/>
        <n v="2611" u="1"/>
        <n v="5160" u="1"/>
        <n v="7177" u="1"/>
        <n v="1256" u="1"/>
        <n v="2481" u="1"/>
        <n v="4900" u="1"/>
        <n v="6917" u="1"/>
        <n v="1191" u="1"/>
        <n v="2351" u="1"/>
        <n v="4640" u="1"/>
        <n v="6657" u="1"/>
        <n v="1126" u="1"/>
        <n v="2221" u="1"/>
        <n v="4380" u="1"/>
        <n v="6397" u="1"/>
        <n v="1061" u="1"/>
        <n v="2091" u="1"/>
        <n v="4120" u="1"/>
        <n v="6137" u="1"/>
        <n v="1010" u="1"/>
        <n v="3978" u="1"/>
        <n v="5877" u="1"/>
        <n v="3848" u="1"/>
        <n v="5617" u="1"/>
        <n v="945" u="1"/>
        <n v="3718" u="1"/>
        <n v="5357" u="1"/>
        <n v="7374" u="1"/>
        <n v="3588" u="1"/>
        <n v="5097" u="1"/>
        <n v="7114" u="1"/>
        <n v="880" u="1"/>
        <n v="3458" u="1"/>
        <n v="4837" u="1"/>
        <n v="6854" u="1"/>
        <n v="3328" u="1"/>
        <n v="4577" u="1"/>
        <n v="6594" u="1"/>
        <n v="815" u="1"/>
        <n v="3198" u="1"/>
        <n v="4317" u="1"/>
        <n v="6334" u="1"/>
        <n v="3068" u="1"/>
        <n v="6074" u="1"/>
        <n v="750" u="1"/>
        <n v="2938" u="1"/>
        <n v="5814" u="1"/>
        <n v="2808" u="1"/>
        <n v="5554" u="1"/>
        <n v="7571" u="1"/>
        <n v="685" u="1"/>
        <n v="2678" u="1"/>
        <n v="5294" u="1"/>
        <n v="7311" u="1"/>
        <n v="2548" u="1"/>
        <n v="5034" u="1"/>
        <n v="7051" u="1"/>
        <n v="2418" u="1"/>
        <n v="4774" u="1"/>
        <n v="6791" u="1"/>
        <n v="2288" u="1"/>
        <n v="4514" u="1"/>
        <n v="6531" u="1"/>
        <n v="2158" u="1"/>
        <n v="4254" u="1"/>
        <n v="6271" u="1"/>
        <n v="2038" u="1"/>
        <n v="4045" u="1"/>
        <n v="6011" u="1"/>
        <n v="1973" u="1"/>
        <n v="3915" u="1"/>
        <n v="5751" u="1"/>
        <n v="1908" u="1"/>
        <n v="3785" u="1"/>
        <n v="5491" u="1"/>
        <n v="7508" u="1"/>
        <n v="1843" u="1"/>
        <n v="3655" u="1"/>
        <n v="5231" u="1"/>
        <n v="7248" u="1"/>
        <n v="1778" u="1"/>
        <n v="3525" u="1"/>
        <n v="4971" u="1"/>
        <n v="6988" u="1"/>
        <n v="1713" u="1"/>
        <n v="3395" u="1"/>
        <n v="4711" u="1"/>
        <n v="6728" u="1"/>
        <n v="1648" u="1"/>
        <n v="3265" u="1"/>
        <n v="4451" u="1"/>
        <n v="6468" u="1"/>
        <n v="1583" u="1"/>
        <n v="3135" u="1"/>
        <n v="4191" u="1"/>
        <n v="6208" u="1"/>
        <n v="1518" u="1"/>
        <n v="3005" u="1"/>
        <n v="5948" u="1"/>
        <n v="1453" u="1"/>
        <n v="2875" u="1"/>
        <n v="5688" u="1"/>
        <n v="1388" u="1"/>
        <n v="2745" u="1"/>
        <n v="5428" u="1"/>
        <n v="7445" u="1"/>
        <n v="1323" u="1"/>
        <n v="2615" u="1"/>
        <n v="5168" u="1"/>
        <n v="7185" u="1"/>
        <n v="1258" u="1"/>
        <n v="2485" u="1"/>
        <n v="4908" u="1"/>
        <n v="6925" u="1"/>
        <n v="1193" u="1"/>
        <n v="2355" u="1"/>
        <n v="4648" u="1"/>
        <n v="6665" u="1"/>
        <n v="1128" u="1"/>
        <n v="2225" u="1"/>
        <n v="4388" u="1"/>
        <n v="6405" u="1"/>
        <n v="1063" u="1"/>
        <n v="2095" u="1"/>
        <n v="4128" u="1"/>
        <n v="6145" u="1"/>
        <n v="1011" u="1"/>
        <n v="3982" u="1"/>
        <n v="5885" u="1"/>
        <n v="3852" u="1"/>
        <n v="5625" u="1"/>
        <n v="946" u="1"/>
        <n v="3722" u="1"/>
        <n v="5365" u="1"/>
        <n v="7382" u="1"/>
        <n v="3592" u="1"/>
        <n v="5105" u="1"/>
        <n v="7122" u="1"/>
        <n v="881" u="1"/>
        <n v="3462" u="1"/>
        <n v="4845" u="1"/>
        <n v="6862" u="1"/>
        <n v="3332" u="1"/>
        <n v="4585" u="1"/>
        <n v="6602" u="1"/>
        <n v="816" u="1"/>
        <n v="3202" u="1"/>
        <n v="4325" u="1"/>
        <n v="6342" u="1"/>
        <n v="3072" u="1"/>
        <n v="6082" u="1"/>
        <n v="751" u="1"/>
        <n v="2942" u="1"/>
        <n v="5822" u="1"/>
        <n v="2812" u="1"/>
        <n v="5562" u="1"/>
        <n v="7579" u="1"/>
        <n v="686" u="1"/>
        <n v="2682" u="1"/>
        <n v="5302" u="1"/>
        <n v="7319" u="1"/>
        <n v="2552" u="1"/>
        <n v="5042" u="1"/>
        <n v="7059" u="1"/>
        <n v="2422" u="1"/>
        <n v="4782" u="1"/>
        <n v="6799" u="1"/>
        <n v="2292" u="1"/>
        <n v="4522" u="1"/>
        <n v="6539" u="1"/>
        <n v="2162" u="1"/>
        <n v="4262" u="1"/>
        <n v="6279" u="1"/>
        <n v="2040" u="1"/>
        <n v="4049" u="1"/>
        <n v="6019" u="1"/>
        <n v="1975" u="1"/>
        <n v="3919" u="1"/>
        <n v="5759" u="1"/>
        <n v="1910" u="1"/>
        <n v="3789" u="1"/>
        <n v="5499" u="1"/>
        <n v="7516" u="1"/>
        <n v="1845" u="1"/>
        <n v="3659" u="1"/>
        <n v="5239" u="1"/>
        <n v="7256" u="1"/>
        <n v="1780" u="1"/>
        <n v="3529" u="1"/>
        <n v="4979" u="1"/>
        <n v="6996" u="1"/>
        <n v="1715" u="1"/>
        <n v="3399" u="1"/>
        <n v="4719" u="1"/>
        <n v="6736" u="1"/>
        <n v="1650" u="1"/>
        <n v="3269" u="1"/>
        <n v="4459" u="1"/>
        <n v="6476" u="1"/>
        <n v="1585" u="1"/>
        <n v="3139" u="1"/>
        <n v="4199" u="1"/>
        <n v="6216" u="1"/>
        <n v="1520" u="1"/>
        <n v="3009" u="1"/>
        <n v="5956" u="1"/>
        <n v="1455" u="1"/>
        <n v="2879" u="1"/>
        <n v="5696" u="1"/>
        <n v="1390" u="1"/>
        <n v="2749" u="1"/>
        <n v="5436" u="1"/>
        <n v="7453" u="1"/>
        <n v="1325" u="1"/>
        <n v="2619" u="1"/>
        <n v="5176" u="1"/>
        <n v="7193" u="1"/>
        <n v="1260" u="1"/>
        <n v="2489" u="1"/>
        <n v="4916" u="1"/>
        <n v="6933" u="1"/>
        <n v="1195" u="1"/>
        <n v="2359" u="1"/>
        <n v="4656" u="1"/>
        <n v="6673" u="1"/>
        <n v="1130" u="1"/>
        <n v="2229" u="1"/>
        <n v="4396" u="1"/>
        <n v="6413" u="1"/>
        <n v="1065" u="1"/>
        <n v="2099" u="1"/>
        <n v="4136" u="1"/>
        <n v="6153" u="1"/>
        <n v="1012" u="1"/>
        <n v="3986" u="1"/>
        <n v="5893" u="1"/>
        <n v="3856" u="1"/>
        <n v="5633" u="1"/>
        <n v="947" u="1"/>
        <n v="3726" u="1"/>
        <n v="5373" u="1"/>
        <n v="7390" u="1"/>
        <n v="3596" u="1"/>
        <n v="5113" u="1"/>
        <n v="7130" u="1"/>
        <n v="882" u="1"/>
        <n v="3466" u="1"/>
        <n v="4853" u="1"/>
        <n v="6870" u="1"/>
        <n v="3336" u="1"/>
        <n v="4593" u="1"/>
        <n v="6610" u="1"/>
        <n v="817" u="1"/>
        <n v="3206" u="1"/>
        <n v="4333" u="1"/>
        <n v="6350" u="1"/>
        <n v="3076" u="1"/>
        <n v="6090" u="1"/>
        <n v="752" u="1"/>
        <n v="2946" u="1"/>
        <n v="5830" u="1"/>
        <n v="2816" u="1"/>
        <n v="5570" u="1"/>
        <n v="687" u="1"/>
        <n v="2686" u="1"/>
        <n v="5310" u="1"/>
        <n v="7327" u="1"/>
        <n v="2556" u="1"/>
        <n v="5050" u="1"/>
        <n v="7067" u="1"/>
        <n v="2426" u="1"/>
        <n v="4790" u="1"/>
        <n v="6807" u="1"/>
        <n v="2296" u="1"/>
        <n v="4530" u="1"/>
        <n v="6547" u="1"/>
        <n v="2166" u="1"/>
        <n v="4270" u="1"/>
        <n v="6287" u="1"/>
        <n v="2042" u="1"/>
        <n v="4053" u="1"/>
        <n v="6027" u="1"/>
        <n v="1977" u="1"/>
        <n v="3923" u="1"/>
        <n v="5767" u="1"/>
        <n v="1912" u="1"/>
        <n v="3793" u="1"/>
        <n v="5507" u="1"/>
        <n v="7524" u="1"/>
        <n v="1847" u="1"/>
        <n v="3663" u="1"/>
        <n v="5247" u="1"/>
        <n v="7264" u="1"/>
        <n v="1782" u="1"/>
        <n v="3533" u="1"/>
        <n v="4987" u="1"/>
        <n v="7004" u="1"/>
        <n v="1717" u="1"/>
        <n v="3403" u="1"/>
        <n v="4727" u="1"/>
        <n v="6744" u="1"/>
        <n v="1652" u="1"/>
        <n v="3273" u="1"/>
        <n v="4467" u="1"/>
        <n v="6484" u="1"/>
        <n v="1587" u="1"/>
        <n v="3143" u="1"/>
        <n v="4207" u="1"/>
        <n v="6224" u="1"/>
        <n v="1522" u="1"/>
        <n v="3013" u="1"/>
        <n v="5964" u="1"/>
        <n v="1457" u="1"/>
        <n v="2883" u="1"/>
        <n v="5704" u="1"/>
        <n v="1392" u="1"/>
        <n v="2753" u="1"/>
        <n v="5444" u="1"/>
        <n v="7461" u="1"/>
        <n v="1327" u="1"/>
        <n v="2623" u="1"/>
        <n v="5184" u="1"/>
        <n v="7201" u="1"/>
        <n v="1262" u="1"/>
        <n v="2493" u="1"/>
        <n v="4924" u="1"/>
        <n v="6941" u="1"/>
        <n v="1197" u="1"/>
        <n v="2363" u="1"/>
        <n v="4664" u="1"/>
        <n v="6681" u="1"/>
        <n v="1132" u="1"/>
        <n v="2233" u="1"/>
        <n v="4404" u="1"/>
        <n v="6421" u="1"/>
        <n v="1067" u="1"/>
        <n v="2103" u="1"/>
        <n v="4144" u="1"/>
        <n v="6161" u="1"/>
        <n v="1013" u="1"/>
        <n v="3990" u="1"/>
        <n v="5901" u="1"/>
        <n v="3860" u="1"/>
        <n v="5641" u="1"/>
        <n v="948" u="1"/>
        <n v="3730" u="1"/>
        <n v="5381" u="1"/>
        <n v="7398" u="1"/>
        <n v="3600" u="1"/>
        <n v="5121" u="1"/>
        <n v="7138" u="1"/>
        <n v="883" u="1"/>
        <n v="3470" u="1"/>
        <n v="4861" u="1"/>
        <n v="6878" u="1"/>
        <n v="3340" u="1"/>
        <n v="4601" u="1"/>
        <n v="6618" u="1"/>
        <n v="818" u="1"/>
        <n v="3210" u="1"/>
        <n v="4341" u="1"/>
        <n v="6358" u="1"/>
        <n v="3080" u="1"/>
        <n v="6098" u="1"/>
        <n v="753" u="1"/>
        <n v="2950" u="1"/>
        <n v="5838" u="1"/>
        <n v="2820" u="1"/>
        <n v="5578" u="1"/>
        <n v="688" u="1"/>
        <n v="2690" u="1"/>
        <n v="5318" u="1"/>
        <n v="7335" u="1"/>
        <n v="2560" u="1"/>
        <n v="5058" u="1"/>
        <n v="7075" u="1"/>
        <n v="2430" u="1"/>
        <n v="4798" u="1"/>
        <n v="6815" u="1"/>
        <n v="2300" u="1"/>
        <n v="4538" u="1"/>
        <n v="6555" u="1"/>
        <n v="2170" u="1"/>
        <n v="4278" u="1"/>
        <n v="6295" u="1"/>
        <n v="2044" u="1"/>
        <n v="4057" u="1"/>
        <n v="6035" u="1"/>
        <n v="1979" u="1"/>
        <n v="3927" u="1"/>
        <n v="5775" u="1"/>
        <n v="1914" u="1"/>
        <n v="3797" u="1"/>
        <n v="5515" u="1"/>
        <n v="7532" u="1"/>
        <n v="1849" u="1"/>
        <n v="3667" u="1"/>
        <n v="5255" u="1"/>
        <n v="7272" u="1"/>
        <n v="1784" u="1"/>
        <n v="3537" u="1"/>
        <n v="4995" u="1"/>
        <n v="7012" u="1"/>
        <n v="1719" u="1"/>
        <n v="3407" u="1"/>
        <n v="4735" u="1"/>
        <n v="6752" u="1"/>
        <n v="1654" u="1"/>
        <n v="3277" u="1"/>
        <n v="4475" u="1"/>
        <n v="6492" u="1"/>
        <n v="1589" u="1"/>
        <n v="3147" u="1"/>
        <n v="4215" u="1"/>
        <n v="6232" u="1"/>
        <n v="1524" u="1"/>
        <n v="3017" u="1"/>
        <n v="5972" u="1"/>
        <n v="1459" u="1"/>
        <n v="2887" u="1"/>
        <n v="5712" u="1"/>
        <n v="1394" u="1"/>
        <n v="2757" u="1"/>
        <n v="5452" u="1"/>
        <n v="7469" u="1"/>
        <n v="1329" u="1"/>
        <n v="2627" u="1"/>
        <n v="5192" u="1"/>
        <n v="7209" u="1"/>
        <n v="1264" u="1"/>
        <n v="2497" u="1"/>
        <n v="4932" u="1"/>
        <n v="6949" u="1"/>
        <n v="1199" u="1"/>
        <n v="2367" u="1"/>
        <n v="4672" u="1"/>
        <n v="6689" u="1"/>
        <n v="1134" u="1"/>
        <n v="2237" u="1"/>
        <n v="4412" u="1"/>
        <n v="6429" u="1"/>
        <n v="1069" u="1"/>
        <n v="2107" u="1"/>
        <n v="4152" u="1"/>
        <n v="6169" u="1"/>
        <n v="1014" u="1"/>
        <n v="3994" u="1"/>
        <n v="5909" u="1"/>
        <n v="3864" u="1"/>
        <n v="5649" u="1"/>
        <n v="949" u="1"/>
        <n v="3734" u="1"/>
        <n v="5389" u="1"/>
        <n v="7406" u="1"/>
        <n v="3604" u="1"/>
        <n v="5129" u="1"/>
        <n v="7146" u="1"/>
        <n v="884" u="1"/>
        <n v="3474" u="1"/>
        <n v="4869" u="1"/>
        <n v="6886" u="1"/>
        <n v="3344" u="1"/>
        <n v="4609" u="1"/>
        <n v="6626" u="1"/>
        <n v="819" u="1"/>
        <n v="3214" u="1"/>
        <n v="4349" u="1"/>
        <n v="6366" u="1"/>
        <n v="3084" u="1"/>
        <n v="6106" u="1"/>
        <n v="754" u="1"/>
        <n v="2954" u="1"/>
        <n v="5846" u="1"/>
        <n v="2824" u="1"/>
        <n v="5586" u="1"/>
        <n v="689" u="1"/>
        <n v="2694" u="1"/>
        <n v="5326" u="1"/>
        <n v="7343" u="1"/>
        <n v="2564" u="1"/>
        <n v="5066" u="1"/>
        <n v="7083" u="1"/>
        <n v="2434" u="1"/>
        <n v="4806" u="1"/>
        <n v="6823" u="1"/>
        <n v="2304" u="1"/>
        <n v="4546" u="1"/>
        <n v="6563" u="1"/>
        <n v="2174" u="1"/>
        <n v="4286" u="1"/>
        <n v="6303" u="1"/>
        <n v="2046" u="1"/>
        <n v="4061" u="1"/>
        <n v="6043" u="1"/>
        <n v="1981" u="1"/>
        <n v="3931" u="1"/>
        <n v="5783" u="1"/>
        <n v="1916" u="1"/>
        <n v="3801" u="1"/>
        <n v="5523" u="1"/>
        <n v="7540" u="1"/>
        <n v="1851" u="1"/>
        <n v="3671" u="1"/>
        <n v="5263" u="1"/>
        <n v="7280" u="1"/>
        <n v="1786" u="1"/>
        <n v="3541" u="1"/>
        <n v="5003" u="1"/>
        <n v="7020" u="1"/>
        <n v="1721" u="1"/>
        <n v="3411" u="1"/>
        <n v="4743" u="1"/>
        <n v="6760" u="1"/>
        <n v="1656" u="1"/>
        <n v="3281" u="1"/>
        <n v="4483" u="1"/>
        <n v="6500" u="1"/>
        <n v="1591" u="1"/>
        <n v="3151" u="1"/>
        <n v="4223" u="1"/>
        <n v="6240" u="1"/>
        <n v="1526" u="1"/>
        <n v="3021" u="1"/>
        <n v="5980" u="1"/>
        <n v="1461" u="1"/>
        <n v="2891" u="1"/>
        <n v="5720" u="1"/>
        <n v="1396" u="1"/>
        <n v="2761" u="1"/>
        <n v="5460" u="1"/>
        <n v="7477" u="1"/>
        <n v="1331" u="1"/>
        <n v="2631" u="1"/>
        <n v="5200" u="1"/>
        <n v="7217" u="1"/>
        <n v="1266" u="1"/>
        <n v="2501" u="1"/>
        <n v="4940" u="1"/>
        <n v="6957" u="1"/>
        <n v="1201" u="1"/>
        <n v="2371" u="1"/>
        <n v="4680" u="1"/>
        <n v="6697" u="1"/>
        <n v="1136" u="1"/>
        <n v="2241" u="1"/>
        <n v="4420" u="1"/>
        <n v="6437" u="1"/>
        <n v="1071" u="1"/>
        <n v="2111" u="1"/>
        <n v="4160" u="1"/>
        <n v="6177" u="1"/>
        <n v="1015" u="1"/>
        <n v="3998" u="1"/>
        <n v="5917" u="1"/>
        <n v="3868" u="1"/>
        <n v="5657" u="1"/>
        <n v="950" u="1"/>
        <n v="3738" u="1"/>
        <n v="5397" u="1"/>
        <n v="7414" u="1"/>
        <n v="3608" u="1"/>
        <n v="5137" u="1"/>
        <n v="7154" u="1"/>
        <n v="885" u="1"/>
        <n v="3478" u="1"/>
        <n v="4877" u="1"/>
        <n v="6894" u="1"/>
        <n v="3348" u="1"/>
        <n v="4617" u="1"/>
        <n v="6634" u="1"/>
        <n v="820" u="1"/>
        <n v="3218" u="1"/>
        <n v="4357" u="1"/>
        <n v="6374" u="1"/>
        <n v="3088" u="1"/>
        <n v="4097" u="1"/>
        <n v="6114" u="1"/>
        <n v="755" u="1"/>
        <n v="2958" u="1"/>
        <n v="5854" u="1"/>
        <n v="2828" u="1"/>
        <n v="5594" u="1"/>
        <n v="690" u="1"/>
        <n v="2698" u="1"/>
        <n v="5334" u="1"/>
        <n v="7351" u="1"/>
        <n v="2568" u="1"/>
        <n v="5074" u="1"/>
        <n v="7091" u="1"/>
        <n v="2438" u="1"/>
        <n v="4814" u="1"/>
        <n v="6831" u="1"/>
        <n v="2308" u="1"/>
        <n v="4554" u="1"/>
        <n v="6571" u="1"/>
        <n v="2178" u="1"/>
        <n v="4294" u="1"/>
        <n v="6311" u="1"/>
        <n v="2048" u="1"/>
        <n v="4065" u="1"/>
        <n v="6051" u="1"/>
        <n v="1983" u="1"/>
        <n v="3935" u="1"/>
        <n v="5791" u="1"/>
        <n v="1918" u="1"/>
        <n v="3805" u="1"/>
        <n v="5531" u="1"/>
        <n v="7548" u="1"/>
        <n v="1853" u="1"/>
        <n v="3675" u="1"/>
        <n v="5271" u="1"/>
        <n v="7288" u="1"/>
        <n v="1788" u="1"/>
        <n v="3545" u="1"/>
        <n v="5011" u="1"/>
        <n v="7028" u="1"/>
        <n v="1723" u="1"/>
        <n v="3415" u="1"/>
        <n v="4751" u="1"/>
        <n v="6768" u="1"/>
        <n v="1658" u="1"/>
        <n v="3285" u="1"/>
        <n v="4491" u="1"/>
        <n v="6508" u="1"/>
        <n v="1593" u="1"/>
        <n v="3155" u="1"/>
        <n v="4231" u="1"/>
        <n v="6248" u="1"/>
        <n v="1528" u="1"/>
        <n v="3025" u="1"/>
        <n v="5988" u="1"/>
        <n v="1463" u="1"/>
        <n v="2895" u="1"/>
        <n v="5728" u="1"/>
        <n v="1398" u="1"/>
        <n v="2765" u="1"/>
        <n v="5468" u="1"/>
        <n v="7485" u="1"/>
        <n v="1333" u="1"/>
        <n v="2635" u="1"/>
        <n v="5208" u="1"/>
        <n v="7225" u="1"/>
        <n v="1268" u="1"/>
        <n v="2505" u="1"/>
        <n v="4948" u="1"/>
        <n v="6965" u="1"/>
        <n v="1203" u="1"/>
        <n v="2375" u="1"/>
        <n v="4688" u="1"/>
        <n v="6705" u="1"/>
        <n v="1138" u="1"/>
        <n v="2245" u="1"/>
        <n v="4428" u="1"/>
        <n v="6445" u="1"/>
        <n v="1073" u="1"/>
        <n v="2115" u="1"/>
        <n v="4168" u="1"/>
        <n v="6185" u="1"/>
        <n v="1016" u="1"/>
        <n v="4002" u="1"/>
        <n v="5925" u="1"/>
        <n v="3872" u="1"/>
        <n v="5665" u="1"/>
        <n v="951" u="1"/>
        <n v="3742" u="1"/>
        <n v="5405" u="1"/>
        <n v="7422" u="1"/>
        <n v="3612" u="1"/>
        <n v="5145" u="1"/>
        <n v="7162" u="1"/>
        <n v="886" u="1"/>
        <n v="3482" u="1"/>
        <n v="4885" u="1"/>
        <n v="6902" u="1"/>
        <n v="3352" u="1"/>
        <n v="4625" u="1"/>
        <n v="6642" u="1"/>
        <n v="821" u="1"/>
        <n v="3222" u="1"/>
        <n v="4365" u="1"/>
        <n v="6382" u="1"/>
        <n v="3092" u="1"/>
        <n v="4105" u="1"/>
        <n v="6122" u="1"/>
        <n v="756" u="1"/>
        <n v="2962" u="1"/>
        <n v="5862" u="1"/>
        <n v="2832" u="1"/>
        <n v="5602" u="1"/>
        <n v="691" u="1"/>
        <n v="2702" u="1"/>
        <n v="5342" u="1"/>
        <n v="7359" u="1"/>
        <n v="2572" u="1"/>
        <n v="5082" u="1"/>
        <n v="7099" u="1"/>
        <n v="2442" u="1"/>
        <n v="4822" u="1"/>
        <n v="6839" u="1"/>
        <n v="2312" u="1"/>
        <n v="4562" u="1"/>
        <n v="6579" u="1"/>
        <n v="2182" u="1"/>
        <n v="4302" u="1"/>
        <n v="6319" u="1"/>
        <n v="2052" u="1"/>
        <n v="4069" u="1"/>
        <n v="6059" u="1"/>
        <n v="1985" u="1"/>
        <n v="3939" u="1"/>
        <n v="5799" u="1"/>
        <n v="1920" u="1"/>
        <n v="3809" u="1"/>
        <n v="5539" u="1"/>
        <n v="7556" u="1"/>
        <n v="1855" u="1"/>
        <n v="3679" u="1"/>
        <n v="5279" u="1"/>
        <n v="7296" u="1"/>
        <n v="1790" u="1"/>
        <n v="3549" u="1"/>
        <n v="5019" u="1"/>
        <n v="7036" u="1"/>
        <n v="1725" u="1"/>
        <n v="3419" u="1"/>
        <n v="4759" u="1"/>
        <n v="6776" u="1"/>
        <n v="1660" u="1"/>
        <n v="3289" u="1"/>
        <n v="4499" u="1"/>
        <n v="6516" u="1"/>
        <n v="1595" u="1"/>
        <n v="3159" u="1"/>
        <n v="4239" u="1"/>
        <n v="6256" u="1"/>
        <n v="1530" u="1"/>
        <n v="3029" u="1"/>
        <n v="5996" u="1"/>
        <n v="1465" u="1"/>
        <n v="2899" u="1"/>
        <n v="5736" u="1"/>
        <n v="1400" u="1"/>
        <n v="2769" u="1"/>
        <n v="5476" u="1"/>
        <n v="7493" u="1"/>
        <n v="1335" u="1"/>
        <n v="2639" u="1"/>
        <n v="5216" u="1"/>
        <n v="7233" u="1"/>
        <n v="1270" u="1"/>
        <n v="2509" u="1"/>
        <n v="4956" u="1"/>
        <n v="6973" u="1"/>
        <n v="1205" u="1"/>
        <n v="2379" u="1"/>
        <n v="4696" u="1"/>
        <n v="6713" u="1"/>
        <n v="1140" u="1"/>
        <n v="2249" u="1"/>
        <n v="4436" u="1"/>
        <n v="6453" u="1"/>
        <n v="1075" u="1"/>
        <n v="2119" u="1"/>
        <n v="4176" u="1"/>
        <n v="6193" u="1"/>
        <n v="1017" u="1"/>
        <n v="4006" u="1"/>
        <n v="5933" u="1"/>
        <n v="3876" u="1"/>
        <n v="5673" u="1"/>
        <n v="952" u="1"/>
        <n v="3746" u="1"/>
        <n v="5413" u="1"/>
        <n v="7430" u="1"/>
        <n v="3616" u="1"/>
        <n v="5153" u="1"/>
        <n v="7170" u="1"/>
        <n v="887" u="1"/>
        <n v="3486" u="1"/>
        <n v="4893" u="1"/>
        <n v="6910" u="1"/>
        <n v="3356" u="1"/>
        <n v="4633" u="1"/>
        <n v="6650" u="1"/>
        <n v="822" u="1"/>
        <n v="3226" u="1"/>
        <n v="4373" u="1"/>
        <n v="6390" u="1"/>
        <n v="3096" u="1"/>
        <n v="4113" u="1"/>
        <n v="6130" u="1"/>
        <n v="757" u="1"/>
        <n v="2966" u="1"/>
        <n v="5870" u="1"/>
        <n v="2836" u="1"/>
        <n v="5610" u="1"/>
        <n v="692" u="1"/>
        <n v="2706" u="1"/>
        <n v="5350" u="1"/>
        <n v="7367" u="1"/>
        <n v="2576" u="1"/>
        <n v="5090" u="1"/>
        <n v="7107" u="1"/>
        <n v="2446" u="1"/>
        <n v="4830" u="1"/>
        <n v="6847" u="1"/>
        <n v="2316" u="1"/>
        <n v="4570" u="1"/>
        <n v="6587" u="1"/>
        <n v="2186" u="1"/>
        <n v="4310" u="1"/>
        <n v="6327" u="1"/>
        <n v="2056" u="1"/>
        <n v="4073" u="1"/>
        <n v="6067" u="1"/>
        <n v="1987" u="1"/>
        <n v="3943" u="1"/>
        <n v="5807" u="1"/>
        <n v="1922" u="1"/>
        <n v="3813" u="1"/>
        <n v="5547" u="1"/>
        <n v="7564" u="1"/>
        <n v="1857" u="1"/>
        <n v="3683" u="1"/>
        <n v="5287" u="1"/>
        <n v="7304" u="1"/>
        <n v="1792" u="1"/>
        <n v="3553" u="1"/>
        <n v="5027" u="1"/>
        <n v="7044" u="1"/>
        <n v="1727" u="1"/>
        <n v="3423" u="1"/>
        <n v="4767" u="1"/>
        <n v="6784" u="1"/>
        <n v="1662" u="1"/>
        <n v="3293" u="1"/>
        <n v="4507" u="1"/>
        <n v="6524" u="1"/>
        <n v="1597" u="1"/>
        <n v="3163" u="1"/>
        <n v="4247" u="1"/>
        <n v="6264" u="1"/>
        <n v="1532" u="1"/>
        <n v="3033" u="1"/>
        <n v="6004" u="1"/>
        <n v="1467" u="1"/>
        <n v="2903" u="1"/>
        <n v="5744" u="1"/>
        <n v="1402" u="1"/>
        <n v="2773" u="1"/>
        <n v="5484" u="1"/>
        <n v="7501" u="1"/>
        <n v="1337" u="1"/>
        <n v="2643" u="1"/>
        <n v="5224" u="1"/>
        <n v="7241" u="1"/>
        <n v="1272" u="1"/>
        <n v="2513" u="1"/>
        <n v="4964" u="1"/>
        <n v="6981" u="1"/>
        <n v="1207" u="1"/>
        <n v="2383" u="1"/>
        <n v="4704" u="1"/>
        <n v="6721" u="1"/>
        <n v="1142" u="1"/>
        <n v="2253" u="1"/>
        <n v="4444" u="1"/>
        <n v="6461" u="1"/>
        <n v="1077" u="1"/>
        <n v="2123" u="1"/>
        <n v="4184" u="1"/>
        <n v="6201" u="1"/>
        <n v="1018" u="1"/>
        <n v="4010" u="1"/>
        <n v="5941" u="1"/>
        <n v="3880" u="1"/>
        <n v="5681" u="1"/>
        <n v="953" u="1"/>
        <n v="3750" u="1"/>
        <n v="5421" u="1"/>
        <n v="7438" u="1"/>
        <n v="3620" u="1"/>
        <n v="5161" u="1"/>
        <n v="7178" u="1"/>
        <n v="888" u="1"/>
        <n v="3490" u="1"/>
        <n v="4901" u="1"/>
        <n v="6918" u="1"/>
        <n v="3360" u="1"/>
        <n v="4641" u="1"/>
        <n v="6658" u="1"/>
        <n v="823" u="1"/>
        <n v="3230" u="1"/>
        <n v="4381" u="1"/>
        <n v="6398" u="1"/>
        <n v="3100" u="1"/>
        <n v="4121" u="1"/>
        <n v="6138" u="1"/>
        <n v="758" u="1"/>
        <n v="2970" u="1"/>
        <n v="5878" u="1"/>
        <n v="2840" u="1"/>
        <n v="5618" u="1"/>
        <n v="693" u="1"/>
        <n v="2710" u="1"/>
        <n v="5358" u="1"/>
        <n v="7375" u="1"/>
        <n v="2580" u="1"/>
        <n v="5098" u="1"/>
        <n v="7115" u="1"/>
        <n v="2450" u="1"/>
        <n v="4838" u="1"/>
        <n v="6855" u="1"/>
        <n v="2320" u="1"/>
        <n v="4578" u="1"/>
        <n v="6595" u="1"/>
        <n v="2190" u="1"/>
        <n v="4318" u="1"/>
        <n v="6335" u="1"/>
        <n v="2060" u="1"/>
        <n v="4077" u="1"/>
        <n v="6075" u="1"/>
        <n v="1989" u="1"/>
        <n v="3947" u="1"/>
        <n v="5815" u="1"/>
        <n v="1924" u="1"/>
        <n v="3817" u="1"/>
        <n v="5555" u="1"/>
        <n v="7572" u="1"/>
        <n v="1859" u="1"/>
        <n v="3687" u="1"/>
        <n v="5295" u="1"/>
        <n v="7312" u="1"/>
        <n v="1794" u="1"/>
        <n v="3557" u="1"/>
        <n v="5035" u="1"/>
        <n v="7052" u="1"/>
        <n v="1729" u="1"/>
        <n v="3427" u="1"/>
        <n v="4775" u="1"/>
        <n v="6792" u="1"/>
        <n v="1664" u="1"/>
        <n v="3297" u="1"/>
        <n v="4515" u="1"/>
        <n v="6532" u="1"/>
        <n v="1599" u="1"/>
        <n v="3167" u="1"/>
        <n v="4255" u="1"/>
        <n v="6272" u="1"/>
        <n v="1534" u="1"/>
        <n v="3037" u="1"/>
        <n v="6012" u="1"/>
        <n v="1469" u="1"/>
        <n v="2907" u="1"/>
        <n v="5752" u="1"/>
        <n v="1404" u="1"/>
        <n v="2777" u="1"/>
        <n v="5492" u="1"/>
        <n v="7509" u="1"/>
        <n v="1339" u="1"/>
        <n v="2647" u="1"/>
        <n v="5232" u="1"/>
        <n v="7249" u="1"/>
        <n v="1274" u="1"/>
        <n v="2517" u="1"/>
        <n v="4972" u="1"/>
        <n v="6989" u="1"/>
        <n v="1209" u="1"/>
        <n v="2387" u="1"/>
        <n v="4712" u="1"/>
        <n v="6729" u="1"/>
        <n v="1144" u="1"/>
        <n v="2257" u="1"/>
        <n v="4452" u="1"/>
        <n v="6469" u="1"/>
        <n v="1079" u="1"/>
        <n v="2127" u="1"/>
        <n v="4192" u="1"/>
        <n v="6209" u="1"/>
        <n v="1019" u="1"/>
        <n v="4014" u="1"/>
        <n v="5949" u="1"/>
        <n v="3884" u="1"/>
        <n v="5689" u="1"/>
        <n v="954" u="1"/>
        <n v="3754" u="1"/>
        <n v="5429" u="1"/>
        <n v="7446" u="1"/>
        <n v="3624" u="1"/>
        <n v="5169" u="1"/>
        <n v="7186" u="1"/>
        <n v="889" u="1"/>
        <n v="3494" u="1"/>
        <n v="4909" u="1"/>
        <n v="6926" u="1"/>
        <n v="3364" u="1"/>
        <n v="4649" u="1"/>
        <n v="6666" u="1"/>
        <n v="824" u="1"/>
        <n v="3234" u="1"/>
        <n v="4389" u="1"/>
        <n v="6406" u="1"/>
        <n v="3104" u="1"/>
        <n v="4129" u="1"/>
        <n v="6146" u="1"/>
        <n v="759" u="1"/>
        <n v="2974" u="1"/>
        <n v="5886" u="1"/>
        <n v="2844" u="1"/>
        <n v="5626" u="1"/>
        <n v="694" u="1"/>
        <n v="2714" u="1"/>
        <n v="5366" u="1"/>
        <n v="7383" u="1"/>
        <n v="2584" u="1"/>
        <n v="5106" u="1"/>
        <n v="7123" u="1"/>
        <n v="2454" u="1"/>
        <n v="4846" u="1"/>
        <n v="6863" u="1"/>
        <n v="2324" u="1"/>
        <n v="4586" u="1"/>
        <n v="6603" u="1"/>
        <n v="2194" u="1"/>
        <n v="4326" u="1"/>
        <n v="6343" u="1"/>
        <n v="2064" u="1"/>
        <n v="4081" u="1"/>
        <n v="6083" u="1"/>
        <n v="1991" u="1"/>
        <n v="3951" u="1"/>
        <n v="5823" u="1"/>
        <n v="1926" u="1"/>
        <n v="3821" u="1"/>
        <n v="5563" u="1"/>
        <n v="7580" u="1"/>
        <n v="1861" u="1"/>
        <n v="3691" u="1"/>
        <n v="5303" u="1"/>
        <n v="7320" u="1"/>
        <n v="1796" u="1"/>
        <n v="3561" u="1"/>
        <n v="5043" u="1"/>
        <n v="7060" u="1"/>
        <n v="1731" u="1"/>
        <n v="3431" u="1"/>
        <n v="4783" u="1"/>
        <n v="6800" u="1"/>
        <n v="1666" u="1"/>
        <n v="3301" u="1"/>
        <n v="4523" u="1"/>
        <n v="6540" u="1"/>
        <n v="1601" u="1"/>
        <n v="3171" u="1"/>
        <n v="4263" u="1"/>
        <n v="6280" u="1"/>
        <n v="1536" u="1"/>
        <n v="3041" u="1"/>
        <n v="6020" u="1"/>
        <n v="1471" u="1"/>
        <n v="2911" u="1"/>
        <n v="5760" u="1"/>
        <n v="1406" u="1"/>
        <n v="2781" u="1"/>
        <n v="5500" u="1"/>
        <n v="7517" u="1"/>
        <n v="1341" u="1"/>
        <n v="2651" u="1"/>
        <n v="5240" u="1"/>
        <n v="7257" u="1"/>
        <n v="1276" u="1"/>
        <n v="2521" u="1"/>
        <n v="4980" u="1"/>
        <n v="6997" u="1"/>
        <n v="1211" u="1"/>
        <n v="2391" u="1"/>
        <n v="4720" u="1"/>
        <n v="6737" u="1"/>
        <n v="1146" u="1"/>
        <n v="2261" u="1"/>
        <n v="4460" u="1"/>
        <n v="6477" u="1"/>
        <n v="1081" u="1"/>
        <n v="2131" u="1"/>
        <n v="4200" u="1"/>
        <n v="6217" u="1"/>
        <n v="1020" u="1"/>
        <n v="4018" u="1"/>
        <n v="5957" u="1"/>
        <n v="3888" u="1"/>
        <n v="5697" u="1"/>
        <n v="955" u="1"/>
        <n v="3758" u="1"/>
        <n v="5437" u="1"/>
        <n v="7454" u="1"/>
        <n v="3628" u="1"/>
        <n v="5177" u="1"/>
        <n v="7194" u="1"/>
        <n v="890" u="1"/>
        <n v="3498" u="1"/>
        <n v="4917" u="1"/>
        <n v="6934" u="1"/>
        <n v="3368" u="1"/>
        <n v="4657" u="1"/>
        <n v="6674" u="1"/>
        <n v="825" u="1"/>
        <n v="3238" u="1"/>
        <n v="4397" u="1"/>
        <n v="6414" u="1"/>
        <n v="3108" u="1"/>
        <n v="4137" u="1"/>
        <n v="6154" u="1"/>
        <n v="760" u="1"/>
        <n v="2978" u="1"/>
        <n v="5894" u="1"/>
        <n v="2848" u="1"/>
        <n v="5634" u="1"/>
        <n v="695" u="1"/>
        <n v="2718" u="1"/>
        <n v="5374" u="1"/>
        <n v="7391" u="1"/>
        <n v="2588" u="1"/>
        <n v="5114" u="1"/>
        <n v="7131" u="1"/>
        <n v="2458" u="1"/>
        <n v="4854" u="1"/>
        <n v="6871" u="1"/>
        <n v="2328" u="1"/>
        <n v="4594" u="1"/>
        <n v="6611" u="1"/>
        <n v="2198" u="1"/>
        <n v="4334" u="1"/>
        <n v="6351" u="1"/>
        <n v="2068" u="1"/>
        <n v="4085" u="1"/>
        <n v="6091" u="1"/>
        <n v="1993" u="1"/>
        <n v="3955" u="1"/>
        <n v="5831" u="1"/>
        <n v="1928" u="1"/>
        <n v="3825" u="1"/>
        <n v="5571" u="1"/>
        <n v="1863" u="1"/>
        <n v="3695" u="1"/>
        <n v="5311" u="1"/>
        <n v="7328" u="1"/>
        <n v="1798" u="1"/>
        <n v="3565" u="1"/>
        <n v="5051" u="1"/>
        <n v="7068" u="1"/>
        <n v="1733" u="1"/>
        <n v="3435" u="1"/>
        <n v="4791" u="1"/>
        <n v="6808" u="1"/>
        <n v="1668" u="1"/>
        <n v="3305" u="1"/>
        <n v="4531" u="1"/>
        <n v="6548" u="1"/>
        <n v="1603" u="1"/>
        <n v="3175" u="1"/>
        <n v="4271" u="1"/>
        <n v="6288" u="1"/>
        <n v="1538" u="1"/>
        <n v="3045" u="1"/>
        <n v="6028" u="1"/>
        <n v="1473" u="1"/>
        <n v="2915" u="1"/>
        <n v="5768" u="1"/>
        <n v="1408" u="1"/>
        <n v="2785" u="1"/>
        <n v="5508" u="1"/>
        <n v="7525" u="1"/>
        <n v="1343" u="1"/>
        <n v="2655" u="1"/>
        <n v="5248" u="1"/>
        <n v="7265" u="1"/>
        <n v="1278" u="1"/>
        <n v="2525" u="1"/>
        <n v="4988" u="1"/>
        <n v="7005" u="1"/>
        <n v="1213" u="1"/>
        <n v="2395" u="1"/>
        <n v="4728" u="1"/>
        <n v="6745" u="1"/>
        <n v="1148" u="1"/>
        <n v="2265" u="1"/>
        <n v="4468" u="1"/>
        <n v="6485" u="1"/>
        <n v="1083" u="1"/>
        <n v="2135" u="1"/>
        <n v="4208" u="1"/>
        <n v="6225" u="1"/>
        <n v="1021" u="1"/>
        <n v="4022" u="1"/>
        <n v="5965" u="1"/>
        <n v="3892" u="1"/>
        <n v="5705" u="1"/>
        <n v="956" u="1"/>
        <n v="3762" u="1"/>
        <n v="5445" u="1"/>
        <n v="7462" u="1"/>
        <n v="3632" u="1"/>
        <n v="5185" u="1"/>
        <n v="7202" u="1"/>
        <n v="891" u="1"/>
        <n v="3502" u="1"/>
        <n v="4925" u="1"/>
        <n v="6942" u="1"/>
        <n v="3372" u="1"/>
        <n v="4665" u="1"/>
        <n v="6682" u="1"/>
        <n v="826" u="1"/>
        <n v="3242" u="1"/>
        <n v="4405" u="1"/>
        <n v="6422" u="1"/>
        <n v="3112" u="1"/>
        <n v="4145" u="1"/>
        <n v="6162" u="1"/>
        <n v="761" u="1"/>
        <n v="2982" u="1"/>
        <n v="5902" u="1"/>
        <n v="2852" u="1"/>
        <n v="5642" u="1"/>
        <n v="696" u="1"/>
        <n v="2722" u="1"/>
        <n v="5382" u="1"/>
        <n v="7399" u="1"/>
        <n v="2592" u="1"/>
        <n v="5122" u="1"/>
        <n v="7139" u="1"/>
        <n v="2462" u="1"/>
        <n v="4862" u="1"/>
        <n v="6879" u="1"/>
        <n v="2332" u="1"/>
        <n v="4602" u="1"/>
        <n v="6619" u="1"/>
        <n v="2202" u="1"/>
        <n v="4342" u="1"/>
        <n v="6359" u="1"/>
        <n v="2072" u="1"/>
        <n v="4089" u="1"/>
        <n v="6099" u="1"/>
        <n v="1995" u="1"/>
        <n v="3959" u="1"/>
        <n v="5839" u="1"/>
        <n v="1930" u="1"/>
        <n v="3829" u="1"/>
        <n v="5579" u="1"/>
        <n v="1865" u="1"/>
        <n v="3699" u="1"/>
        <n v="5319" u="1"/>
        <n v="7336" u="1"/>
        <n v="1800" u="1"/>
        <n v="3569" u="1"/>
        <n v="5059" u="1"/>
        <n v="7076" u="1"/>
        <n v="1735" u="1"/>
        <n v="3439" u="1"/>
        <n v="4799" u="1"/>
        <n v="6816" u="1"/>
        <n v="1670" u="1"/>
        <n v="3309" u="1"/>
        <n v="4539" u="1"/>
        <n v="6556" u="1"/>
        <n v="1605" u="1"/>
        <n v="3179" u="1"/>
        <n v="4279" u="1"/>
        <n v="6296" u="1"/>
        <n v="1540" u="1"/>
        <n v="3049" u="1"/>
        <n v="6036" u="1"/>
        <n v="1475" u="1"/>
        <n v="2919" u="1"/>
        <n v="5776" u="1"/>
        <n v="1410" u="1"/>
        <n v="2789" u="1"/>
        <n v="5516" u="1"/>
        <n v="7533" u="1"/>
        <n v="1345" u="1"/>
        <n v="2659" u="1"/>
        <n v="5256" u="1"/>
        <n v="7273" u="1"/>
        <n v="1280" u="1"/>
        <n v="2529" u="1"/>
        <n v="4996" u="1"/>
        <n v="7013" u="1"/>
        <n v="1215" u="1"/>
        <n v="2399" u="1"/>
        <n v="4736" u="1"/>
        <n v="6753" u="1"/>
        <n v="1150" u="1"/>
        <n v="2269" u="1"/>
        <n v="4476" u="1"/>
        <n v="6493" u="1"/>
        <n v="1085" u="1"/>
        <n v="2139" u="1"/>
        <n v="4216" u="1"/>
        <n v="6233" u="1"/>
        <n v="1022" u="1"/>
        <n v="4026" u="1"/>
        <n v="5973" u="1"/>
        <n v="3896" u="1"/>
        <n v="5713" u="1"/>
        <n v="957" u="1"/>
        <n v="3766" u="1"/>
        <n v="5453" u="1"/>
        <n v="7470" u="1"/>
        <n v="3636" u="1"/>
        <n v="5193" u="1"/>
        <n v="7210" u="1"/>
        <n v="892" u="1"/>
        <n v="3506" u="1"/>
        <n v="4933" u="1"/>
        <n v="6950" u="1"/>
        <n v="3376" u="1"/>
        <n v="4673" u="1"/>
        <n v="6690" u="1"/>
        <n v="827" u="1"/>
        <n v="3246" u="1"/>
        <n v="4413" u="1"/>
        <n v="6430" u="1"/>
        <n v="3116" u="1"/>
        <n v="4153" u="1"/>
        <n v="6170" u="1"/>
        <n v="762" u="1"/>
        <n v="2986" u="1"/>
        <n v="5910" u="1"/>
        <n v="2856" u="1"/>
        <n v="5650" u="1"/>
        <n v="697" u="1"/>
        <n v="2726" u="1"/>
        <n v="5390" u="1"/>
        <n v="7407" u="1"/>
        <n v="2596" u="1"/>
        <n v="5130" u="1"/>
        <n v="7147" u="1"/>
        <n v="2466" u="1"/>
        <n v="4870" u="1"/>
        <n v="6887" u="1"/>
        <n v="2336" u="1"/>
        <n v="4610" u="1"/>
        <n v="6627" u="1"/>
        <n v="2206" u="1"/>
        <n v="4350" u="1"/>
        <n v="6367" u="1"/>
        <n v="2076" u="1"/>
        <n v="4093" u="1"/>
        <n v="6107" u="1"/>
        <n v="1997" u="1"/>
        <n v="3963" u="1"/>
        <n v="5847" u="1"/>
        <n v="1932" u="1"/>
        <n v="3833" u="1"/>
        <n v="5587" u="1"/>
        <n v="1867" u="1"/>
        <n v="3703" u="1"/>
        <n v="5327" u="1"/>
        <n v="7344" u="1"/>
        <n v="1802" u="1"/>
        <n v="3573" u="1"/>
        <n v="5067" u="1"/>
        <n v="7084" u="1"/>
        <n v="1737" u="1"/>
        <n v="3443" u="1"/>
        <n v="4807" u="1"/>
        <n v="6824" u="1"/>
        <n v="1672" u="1"/>
        <n v="3313" u="1"/>
        <n v="4547" u="1"/>
        <n v="6564" u="1"/>
        <n v="1607" u="1"/>
        <n v="3183" u="1"/>
        <n v="4287" u="1"/>
        <n v="6304" u="1"/>
        <n v="1542" u="1"/>
        <n v="3053" u="1"/>
        <n v="6044" u="1"/>
        <n v="1477" u="1"/>
        <n v="2923" u="1"/>
        <n v="5784" u="1"/>
        <n v="1412" u="1"/>
        <n v="2793" u="1"/>
        <n v="5524" u="1"/>
        <n v="7541" u="1"/>
        <n v="1347" u="1"/>
        <n v="2663" u="1"/>
        <n v="5264" u="1"/>
        <n v="7281" u="1"/>
        <n v="1282" u="1"/>
        <n v="2533" u="1"/>
        <n v="5004" u="1"/>
        <n v="7021" u="1"/>
        <n v="1217" u="1"/>
        <n v="2403" u="1"/>
        <n v="4744" u="1"/>
        <n v="6761" u="1"/>
        <n v="1152" u="1"/>
        <n v="2273" u="1"/>
        <n v="4484" u="1"/>
        <n v="6501" u="1"/>
        <n v="1087" u="1"/>
        <n v="2143" u="1"/>
        <n v="4224" u="1"/>
        <n v="6241" u="1"/>
        <n v="1023" u="1"/>
        <n v="4030" u="1"/>
        <n v="5981" u="1"/>
        <n v="3900" u="1"/>
        <n v="5721" u="1"/>
        <n v="958" u="1"/>
        <n v="3770" u="1"/>
        <n v="5461" u="1"/>
        <n v="7478" u="1"/>
        <n v="3640" u="1"/>
        <n v="5201" u="1"/>
        <n v="7218" u="1"/>
        <n v="893" u="1"/>
        <n v="3510" u="1"/>
        <n v="4941" u="1"/>
        <n v="6958" u="1"/>
        <n v="3380" u="1"/>
        <n v="4681" u="1"/>
        <n v="6698" u="1"/>
        <n v="828" u="1"/>
        <n v="3250" u="1"/>
        <n v="4421" u="1"/>
        <n v="6438" u="1"/>
        <n v="3120" u="1"/>
        <n v="4161" u="1"/>
        <n v="6178" u="1"/>
        <n v="763" u="1"/>
        <n v="2990" u="1"/>
        <n v="5918" u="1"/>
        <n v="2860" u="1"/>
        <n v="5658" u="1"/>
        <n v="698" u="1"/>
        <n v="2730" u="1"/>
        <n v="5398" u="1"/>
        <n v="7415" u="1"/>
        <n v="2600" u="1"/>
        <n v="5138" u="1"/>
        <n v="7155" u="1"/>
        <n v="2470" u="1"/>
        <n v="4878" u="1"/>
        <n v="6895" u="1"/>
        <n v="2340" u="1"/>
        <n v="4618" u="1"/>
        <n v="6635" u="1"/>
        <n v="2210" u="1"/>
        <n v="4358" u="1"/>
        <n v="6375" u="1"/>
        <n v="2080" u="1"/>
        <n v="4098" u="1"/>
        <n v="6115" u="1"/>
        <n v="1999" u="1"/>
        <n v="3967" u="1"/>
        <n v="5855" u="1"/>
        <n v="1934" u="1"/>
        <n v="3837" u="1"/>
        <n v="5595" u="1"/>
        <n v="1869" u="1"/>
        <n v="3707" u="1"/>
        <n v="5335" u="1"/>
        <n v="7352" u="1"/>
        <n v="1804" u="1"/>
        <n v="3577" u="1"/>
        <n v="5075" u="1"/>
        <n v="7092" u="1"/>
        <n v="1739" u="1"/>
        <n v="3447" u="1"/>
        <n v="4815" u="1"/>
        <n v="6832" u="1"/>
        <n v="1674" u="1"/>
        <n v="3317" u="1"/>
        <n v="4555" u="1"/>
        <n v="6572" u="1"/>
        <n v="1609" u="1"/>
        <n v="3187" u="1"/>
        <n v="4295" u="1"/>
        <n v="6312" u="1"/>
        <n v="1544" u="1"/>
        <n v="3057" u="1"/>
        <n v="6052" u="1"/>
        <n v="1479" u="1"/>
        <n v="2927" u="1"/>
        <n v="5792" u="1"/>
        <n v="1414" u="1"/>
        <n v="2797" u="1"/>
        <n v="5532" u="1"/>
        <n v="7549" u="1"/>
        <n v="1349" u="1"/>
        <n v="2667" u="1"/>
        <n v="5272" u="1"/>
        <n v="7289" u="1"/>
        <n v="1284" u="1"/>
        <n v="2537" u="1"/>
        <n v="5012" u="1"/>
        <n v="7029" u="1"/>
        <n v="1219" u="1"/>
        <n v="2407" u="1"/>
        <n v="4752" u="1"/>
        <n v="6769" u="1"/>
        <n v="1154" u="1"/>
        <n v="2277" u="1"/>
        <n v="4492" u="1"/>
        <n v="6509" u="1"/>
        <n v="1089" u="1"/>
        <n v="2147" u="1"/>
        <n v="4232" u="1"/>
        <n v="6249" u="1"/>
        <n v="1024" u="1"/>
        <n v="4034" u="1"/>
        <n v="5989" u="1"/>
        <n v="3904" u="1"/>
        <n v="5729" u="1"/>
        <n v="959" u="1"/>
        <n v="3774" u="1"/>
        <n v="5469" u="1"/>
        <n v="7486" u="1"/>
        <n v="3644" u="1"/>
        <n v="5209" u="1"/>
        <n v="7226" u="1"/>
        <n v="894" u="1"/>
        <n v="3514" u="1"/>
        <n v="4949" u="1"/>
        <n v="6966" u="1"/>
        <n v="3384" u="1"/>
        <n v="4689" u="1"/>
        <n v="6706" u="1"/>
        <n v="829" u="1"/>
        <n v="3254" u="1"/>
        <n v="4429" u="1"/>
        <n v="6446" u="1"/>
        <n v="3124" u="1"/>
        <n v="4169" u="1"/>
        <n v="6186" u="1"/>
        <n v="764" u="1"/>
        <n v="2994" u="1"/>
        <n v="5926" u="1"/>
        <n v="2864" u="1"/>
        <n v="5666" u="1"/>
        <n v="699" u="1"/>
        <n v="2734" u="1"/>
        <n v="5406" u="1"/>
        <n v="7423" u="1"/>
        <n v="2604" u="1"/>
        <n v="5146" u="1"/>
        <n v="7163" u="1"/>
        <n v="2474" u="1"/>
        <n v="4886" u="1"/>
        <n v="6903" u="1"/>
        <n v="2344" u="1"/>
        <n v="4626" u="1"/>
        <n v="6643" u="1"/>
        <n v="2214" u="1"/>
        <n v="4366" u="1"/>
        <n v="6383" u="1"/>
        <n v="2084" u="1"/>
        <n v="4106" u="1"/>
        <n v="6123" u="1"/>
        <n v="2001" u="1"/>
        <n v="3971" u="1"/>
        <n v="5863" u="1"/>
        <n v="1936" u="1"/>
        <n v="3841" u="1"/>
        <n v="5603" u="1"/>
        <n v="1871" u="1"/>
        <n v="3711" u="1"/>
        <n v="5343" u="1"/>
        <n v="7360" u="1"/>
        <n v="1806" u="1"/>
        <n v="3581" u="1"/>
        <n v="5083" u="1"/>
        <n v="7100" u="1"/>
        <n v="1741" u="1"/>
        <n v="3451" u="1"/>
        <n v="4823" u="1"/>
        <n v="6840" u="1"/>
        <n v="1676" u="1"/>
        <n v="3321" u="1"/>
        <n v="4563" u="1"/>
        <n v="6580" u="1"/>
        <n v="1611" u="1"/>
        <n v="3191" u="1"/>
        <n v="4303" u="1"/>
        <n v="6320" u="1"/>
        <n v="1546" u="1"/>
        <n v="3061" u="1"/>
        <n v="6060" u="1"/>
        <n v="1481" u="1"/>
        <n v="2931" u="1"/>
        <n v="5800" u="1"/>
        <n v="1416" u="1"/>
        <n v="2801" u="1"/>
        <n v="5540" u="1"/>
        <n v="7557" u="1"/>
        <n v="1351" u="1"/>
        <n v="2671" u="1"/>
        <n v="5280" u="1"/>
        <n v="7297" u="1"/>
        <n v="1286" u="1"/>
        <n v="2541" u="1"/>
        <n v="5020" u="1"/>
        <n v="7037" u="1"/>
        <n v="1221" u="1"/>
        <n v="2411" u="1"/>
        <n v="4760" u="1"/>
        <n v="6777" u="1"/>
        <n v="1156" u="1"/>
        <n v="2281" u="1"/>
        <n v="4500" u="1"/>
        <n v="6517" u="1"/>
        <n v="1091" u="1"/>
        <n v="2151" u="1"/>
        <n v="4240" u="1"/>
        <n v="6257" u="1"/>
        <n v="1026" u="1"/>
        <n v="4038" u="1"/>
        <n v="5997" u="1"/>
        <n v="3908" u="1"/>
        <n v="5737" u="1"/>
        <n v="960" u="1"/>
        <n v="3778" u="1"/>
        <n v="5477" u="1"/>
        <n v="7494" u="1"/>
        <n v="3648" u="1"/>
        <n v="5217" u="1"/>
        <n v="7234" u="1"/>
        <n v="895" u="1"/>
        <n v="3518" u="1"/>
        <n v="4957" u="1"/>
        <n v="6974" u="1"/>
        <n v="3388" u="1"/>
        <n v="4697" u="1"/>
        <n v="6714" u="1"/>
        <n v="830" u="1"/>
        <n v="3258" u="1"/>
        <n v="4437" u="1"/>
        <n v="6454" u="1"/>
        <n v="3128" u="1"/>
        <n v="4177" u="1"/>
        <n v="6194" u="1"/>
        <n v="765" u="1"/>
        <n v="2998" u="1"/>
        <n v="5934" u="1"/>
        <n v="2868" u="1"/>
        <n v="5674" u="1"/>
        <n v="700" u="1"/>
        <n v="2738" u="1"/>
        <n v="5414" u="1"/>
        <n v="7431" u="1"/>
        <n v="2608" u="1"/>
        <n v="5154" u="1"/>
        <n v="7171" u="1"/>
        <n v="2478" u="1"/>
        <n v="4894" u="1"/>
        <n v="6911" u="1"/>
        <n v="2348" u="1"/>
        <n v="4634" u="1"/>
        <n v="6651" u="1"/>
        <n v="2218" u="1"/>
        <n v="4374" u="1"/>
        <n v="6391" u="1"/>
        <n v="2088" u="1"/>
        <n v="4114" u="1"/>
        <n v="6131" u="1"/>
        <n v="2003" u="1"/>
        <n v="3975" u="1"/>
        <n v="5871" u="1"/>
        <n v="1938" u="1"/>
        <n v="3845" u="1"/>
        <n v="5611" u="1"/>
        <n v="1873" u="1"/>
        <n v="3715" u="1"/>
        <n v="5351" u="1"/>
        <n v="7368" u="1"/>
        <n v="1808" u="1"/>
        <n v="3585" u="1"/>
        <n v="5091" u="1"/>
        <n v="7108" u="1"/>
        <n v="1743" u="1"/>
        <n v="3455" u="1"/>
        <n v="4831" u="1"/>
        <n v="6848" u="1"/>
        <n v="1678" u="1"/>
        <n v="3325" u="1"/>
        <n v="4571" u="1"/>
        <n v="6588" u="1"/>
        <n v="1613" u="1"/>
        <n v="3195" u="1"/>
        <n v="4311" u="1"/>
        <n v="6328" u="1"/>
        <n v="1548" u="1"/>
        <n v="3065" u="1"/>
        <n v="6068" u="1"/>
        <n v="1483" u="1"/>
        <n v="2935" u="1"/>
        <n v="5808" u="1"/>
        <n v="1418" u="1"/>
        <n v="2805" u="1"/>
        <n v="5548" u="1"/>
        <n v="7565" u="1"/>
        <n v="1353" u="1"/>
        <n v="2675" u="1"/>
        <n v="5288" u="1"/>
        <n v="7305" u="1"/>
        <n v="1288" u="1"/>
        <n v="2545" u="1"/>
        <n v="5028" u="1"/>
        <n v="7045" u="1"/>
        <n v="1223" u="1"/>
        <n v="2415" u="1"/>
        <n v="4768" u="1"/>
        <n v="6785" u="1"/>
        <n v="1158" u="1"/>
        <n v="2285" u="1"/>
        <n v="4508" u="1"/>
        <n v="6525" u="1"/>
        <n v="1093" u="1"/>
        <n v="2155" u="1"/>
        <n v="4248" u="1"/>
        <n v="6265" u="1"/>
        <n v="1028" u="1"/>
        <n v="4042" u="1"/>
        <n v="6005" u="1"/>
        <n v="3912" u="1"/>
        <n v="5745" u="1"/>
        <n v="961" u="1"/>
        <n v="3782" u="1"/>
        <n v="5485" u="1"/>
        <n v="7502" u="1"/>
        <n v="3652" u="1"/>
        <n v="5225" u="1"/>
        <n v="7242" u="1"/>
        <n v="896" u="1"/>
        <n v="3522" u="1"/>
        <n v="4965" u="1"/>
        <n v="6982" u="1"/>
        <n v="3392" u="1"/>
        <n v="4705" u="1"/>
        <n v="6722" u="1"/>
        <n v="831" u="1"/>
        <n v="3262" u="1"/>
        <n v="4445" u="1"/>
        <n v="6462" u="1"/>
        <n v="3132" u="1"/>
        <n v="4185" u="1"/>
        <n v="6202" u="1"/>
        <n v="766" u="1"/>
        <n v="3002" u="1"/>
        <n v="5942" u="1"/>
        <n v="2872" u="1"/>
        <n v="5682" u="1"/>
        <n v="701" u="1"/>
        <n v="2742" u="1"/>
        <n v="5422" u="1"/>
        <n v="7439" u="1"/>
        <n v="2612" u="1"/>
        <n v="5162" u="1"/>
        <n v="7179" u="1"/>
        <n v="2482" u="1"/>
        <n v="4902" u="1"/>
        <n v="6919" u="1"/>
        <n v="2352" u="1"/>
        <n v="4642" u="1"/>
        <n v="6659" u="1"/>
        <n v="2222" u="1"/>
        <n v="4382" u="1"/>
        <n v="6399" u="1"/>
        <n v="2092" u="1"/>
        <n v="4122" u="1"/>
        <n v="6139" u="1"/>
        <n v="2005" u="1"/>
        <n v="3979" u="1"/>
        <n v="5879" u="1"/>
        <n v="1940" u="1"/>
        <n v="3849" u="1"/>
        <n v="5619" u="1"/>
        <n v="1875" u="1"/>
        <n v="3719" u="1"/>
        <n v="5359" u="1"/>
        <n v="7376" u="1"/>
        <n v="1810" u="1"/>
        <n v="3589" u="1"/>
        <n v="5099" u="1"/>
        <n v="7116" u="1"/>
        <n v="1745" u="1"/>
        <n v="3459" u="1"/>
        <n v="4839" u="1"/>
        <n v="6856" u="1"/>
        <n v="1680" u="1"/>
        <n v="3329" u="1"/>
        <n v="4579" u="1"/>
        <n v="6596" u="1"/>
        <n v="1615" u="1"/>
        <n v="3199" u="1"/>
        <n v="4319" u="1"/>
        <n v="6336" u="1"/>
        <n v="1550" u="1"/>
        <n v="3069" u="1"/>
        <n v="6076" u="1"/>
        <n v="1485" u="1"/>
        <n v="2939" u="1"/>
        <n v="5816" u="1"/>
        <n v="1420" u="1"/>
        <n v="2809" u="1"/>
        <n v="5556" u="1"/>
        <n v="7573" u="1"/>
        <n v="1355" u="1"/>
        <n v="2679" u="1"/>
        <n v="5296" u="1"/>
        <n v="7313" u="1"/>
        <n v="1290" u="1"/>
        <n v="2549" u="1"/>
        <n v="5036" u="1"/>
        <n v="7053" u="1"/>
        <n v="1225" u="1"/>
        <n v="2419" u="1"/>
        <n v="4776" u="1"/>
        <n v="6793" u="1"/>
        <n v="1160" u="1"/>
        <n v="2289" u="1"/>
        <n v="4516" u="1"/>
        <n v="6533" u="1"/>
        <n v="1095" u="1"/>
        <n v="2159" u="1"/>
        <n v="4256" u="1"/>
        <n v="6273" u="1"/>
        <n v="1030" u="1"/>
        <n v="4046" u="1"/>
        <n v="6013" u="1"/>
        <n v="3916" u="1"/>
        <n v="5753" u="1"/>
        <n v="962" u="1"/>
        <n v="3786" u="1"/>
        <n v="5493" u="1"/>
        <n v="7510" u="1"/>
        <n v="3656" u="1"/>
        <n v="5233" u="1"/>
        <n v="7250" u="1"/>
        <n v="897" u="1"/>
        <n v="3526" u="1"/>
        <n v="4973" u="1"/>
        <n v="6990" u="1"/>
        <n v="3396" u="1"/>
        <n v="4713" u="1"/>
        <n v="6730" u="1"/>
        <n v="832" u="1"/>
        <n v="3266" u="1"/>
        <n v="4453" u="1"/>
        <n v="6470" u="1"/>
        <n v="3136" u="1"/>
        <n v="4193" u="1"/>
        <n v="6210" u="1"/>
        <n v="767" u="1"/>
        <n v="3006" u="1"/>
        <n v="5950" u="1"/>
        <n v="2876" u="1"/>
        <n v="5690" u="1"/>
        <n v="702" u="1"/>
        <n v="2746" u="1"/>
        <n v="5430" u="1"/>
        <n v="7447" u="1"/>
        <n v="2616" u="1"/>
        <n v="5170" u="1"/>
        <n v="7187" u="1"/>
        <n v="2486" u="1"/>
        <n v="4910" u="1"/>
        <n v="6927" u="1"/>
        <n v="2356" u="1"/>
        <n v="4650" u="1"/>
        <n v="6667" u="1"/>
        <n v="2226" u="1"/>
        <n v="4390" u="1"/>
        <n v="6407" u="1"/>
        <n v="2096" u="1"/>
        <n v="4130" u="1"/>
        <n v="6147" u="1"/>
        <n v="2007" u="1"/>
        <n v="3983" u="1"/>
        <n v="5887" u="1"/>
        <n v="1942" u="1"/>
        <n v="3853" u="1"/>
        <n v="5627" u="1"/>
        <n v="1877" u="1"/>
        <n v="3723" u="1"/>
        <n v="5367" u="1"/>
        <n v="7384" u="1"/>
        <n v="1812" u="1"/>
        <n v="3593" u="1"/>
        <n v="5107" u="1"/>
        <n v="7124" u="1"/>
        <n v="1747" u="1"/>
        <n v="3463" u="1"/>
        <n v="4847" u="1"/>
        <n v="6864" u="1"/>
        <n v="1682" u="1"/>
        <n v="3333" u="1"/>
        <n v="4587" u="1"/>
        <n v="6604" u="1"/>
        <n v="1617" u="1"/>
        <n v="3203" u="1"/>
        <n v="4327" u="1"/>
        <n v="6344" u="1"/>
        <n v="1552" u="1"/>
        <n v="3073" u="1"/>
        <n v="6084" u="1"/>
        <n v="1487" u="1"/>
        <n v="2943" u="1"/>
        <n v="5824" u="1"/>
        <n v="1422" u="1"/>
        <n v="2813" u="1"/>
        <n v="5564" u="1"/>
        <n v="1357" u="1"/>
        <n v="2683" u="1"/>
        <n v="5304" u="1"/>
        <n v="7321" u="1"/>
        <n v="1292" u="1"/>
        <n v="2553" u="1"/>
        <n v="5044" u="1"/>
        <n v="7061" u="1"/>
        <n v="1227" u="1"/>
        <n v="2423" u="1"/>
        <n v="4784" u="1"/>
        <n v="6801" u="1"/>
        <n v="1162" u="1"/>
        <n v="2293" u="1"/>
        <n v="4524" u="1"/>
        <n v="6541" u="1"/>
        <n v="1097" u="1"/>
        <n v="2163" u="1"/>
        <n v="4264" u="1"/>
        <n v="6281" u="1"/>
        <n v="1032" u="1"/>
        <n v="4050" u="1"/>
        <n v="6021" u="1"/>
        <n v="3920" u="1"/>
        <n v="5761" u="1"/>
        <n v="963" u="1"/>
        <n v="3790" u="1"/>
        <n v="5501" u="1"/>
        <n v="7518" u="1"/>
        <n v="3660" u="1"/>
        <n v="5241" u="1"/>
        <n v="7258" u="1"/>
        <n v="898" u="1"/>
        <n v="3530" u="1"/>
        <n v="4981" u="1"/>
        <n v="6998" u="1"/>
        <n v="3400" u="1"/>
        <n v="4721" u="1"/>
        <n v="6738" u="1"/>
        <n v="833" u="1"/>
        <n v="3270" u="1"/>
        <n v="4461" u="1"/>
        <n v="6478" u="1"/>
        <n v="3140" u="1"/>
        <n v="4201" u="1"/>
        <n v="6218" u="1"/>
        <n v="768" u="1"/>
        <n v="3010" u="1"/>
        <n v="5958" u="1"/>
        <n v="2880" u="1"/>
        <n v="5698" u="1"/>
        <n v="703" u="1"/>
        <n v="2750" u="1"/>
        <n v="5438" u="1"/>
        <n v="7455" u="1"/>
        <n v="2620" u="1"/>
        <n v="5178" u="1"/>
        <n v="7195" u="1"/>
        <n v="2490" u="1"/>
        <n v="4918" u="1"/>
        <n v="6935" u="1"/>
        <n v="2360" u="1"/>
        <n v="4658" u="1"/>
        <n v="6675" u="1"/>
        <n v="2230" u="1"/>
        <n v="4398" u="1"/>
        <n v="6415" u="1"/>
        <n v="2100" u="1"/>
        <n v="4138" u="1"/>
        <n v="6155" u="1"/>
        <n v="2009" u="1"/>
        <n v="3987" u="1"/>
        <n v="5895" u="1"/>
        <n v="1944" u="1"/>
        <n v="3857" u="1"/>
        <n v="5635" u="1"/>
        <n v="1879" u="1"/>
        <n v="3727" u="1"/>
        <n v="5375" u="1"/>
        <n v="7392" u="1"/>
        <n v="1814" u="1"/>
        <n v="3597" u="1"/>
        <n v="5115" u="1"/>
        <n v="7132" u="1"/>
        <n v="1749" u="1"/>
        <n v="3467" u="1"/>
        <n v="4855" u="1"/>
        <n v="6872" u="1"/>
        <n v="1684" u="1"/>
        <n v="3337" u="1"/>
        <n v="4595" u="1"/>
        <n v="6612" u="1"/>
        <n v="1619" u="1"/>
        <n v="3207" u="1"/>
        <n v="4335" u="1"/>
        <n v="6352" u="1"/>
        <n v="1554" u="1"/>
        <n v="3077" u="1"/>
        <n v="6092" u="1"/>
        <n v="1489" u="1"/>
        <n v="2947" u="1"/>
        <n v="5832" u="1"/>
        <n v="1424" u="1"/>
        <n v="2817" u="1"/>
        <n v="5572" u="1"/>
        <n v="1359" u="1"/>
        <n v="2687" u="1"/>
        <n v="5312" u="1"/>
        <n v="7329" u="1"/>
        <n v="1294" u="1"/>
        <n v="2557" u="1"/>
        <n v="5052" u="1"/>
        <n v="7069" u="1"/>
        <n v="1229" u="1"/>
        <n v="2427" u="1"/>
        <n v="4792" u="1"/>
        <n v="6809" u="1"/>
        <n v="1164" u="1"/>
        <n v="2297" u="1"/>
        <n v="4532" u="1"/>
        <n v="6549" u="1"/>
        <n v="1099" u="1"/>
        <n v="2167" u="1"/>
        <n v="4272" u="1"/>
        <n v="6289" u="1"/>
        <n v="1034" u="1"/>
        <n v="4054" u="1"/>
        <n v="6029" u="1"/>
        <n v="3924" u="1"/>
        <n v="5769" u="1"/>
        <n v="964" u="1"/>
        <n v="3794" u="1"/>
        <n v="5509" u="1"/>
        <n v="7526" u="1"/>
        <n v="3664" u="1"/>
        <n v="5249" u="1"/>
        <n v="7266" u="1"/>
        <n v="899" u="1"/>
        <n v="3534" u="1"/>
        <n v="4989" u="1"/>
        <n v="7006" u="1"/>
        <n v="3404" u="1"/>
        <n v="4729" u="1"/>
        <n v="6746" u="1"/>
        <n v="834" u="1"/>
        <n v="3274" u="1"/>
        <n v="4469" u="1"/>
        <n v="6486" u="1"/>
        <n v="3144" u="1"/>
        <n v="4209" u="1"/>
        <n v="6226" u="1"/>
        <n v="769" u="1"/>
        <n v="3014" u="1"/>
        <n v="5966" u="1"/>
        <n v="2884" u="1"/>
        <n v="5706" u="1"/>
        <n v="704" u="1"/>
        <n v="2754" u="1"/>
        <n v="5446" u="1"/>
        <n v="7463" u="1"/>
        <n v="2624" u="1"/>
        <n v="5186" u="1"/>
        <n v="7203" u="1"/>
        <n v="2494" u="1"/>
        <n v="4926" u="1"/>
        <n v="6943" u="1"/>
        <n v="2364" u="1"/>
        <n v="4666" u="1"/>
        <n v="6683" u="1"/>
        <n v="2234" u="1"/>
        <n v="4406" u="1"/>
        <n v="6423" u="1"/>
        <n v="2104" u="1"/>
        <n v="4146" u="1"/>
        <n v="6163" u="1"/>
        <n v="2011" u="1"/>
        <n v="3991" u="1"/>
        <n v="5903" u="1"/>
        <n v="1946" u="1"/>
        <n v="3861" u="1"/>
        <n v="5643" u="1"/>
        <n v="1881" u="1"/>
        <n v="3731" u="1"/>
        <n v="5383" u="1"/>
        <n v="7400" u="1"/>
        <n v="1816" u="1"/>
        <n v="3601" u="1"/>
        <n v="5123" u="1"/>
        <n v="7140" u="1"/>
        <n v="1751" u="1"/>
        <n v="3471" u="1"/>
        <n v="4863" u="1"/>
        <n v="6880" u="1"/>
        <n v="1686" u="1"/>
        <n v="3341" u="1"/>
        <n v="4603" u="1"/>
        <n v="6620" u="1"/>
        <n v="1621" u="1"/>
        <n v="3211" u="1"/>
        <n v="4343" u="1"/>
        <n v="6360" u="1"/>
        <n v="1556" u="1"/>
        <n v="3081" u="1"/>
        <n v="6100" u="1"/>
        <n v="1491" u="1"/>
        <n v="2951" u="1"/>
        <n v="5840" u="1"/>
        <n v="1426" u="1"/>
        <n v="2821" u="1"/>
        <n v="5580" u="1"/>
        <n v="1361" u="1"/>
        <n v="2691" u="1"/>
        <n v="5320" u="1"/>
        <n v="7337" u="1"/>
        <n v="1296" u="1"/>
        <n v="2561" u="1"/>
        <n v="5060" u="1"/>
        <n v="7077" u="1"/>
        <n v="1231" u="1"/>
        <n v="2431" u="1"/>
        <n v="4800" u="1"/>
        <n v="6817" u="1"/>
        <n v="1166" u="1"/>
        <n v="2301" u="1"/>
        <n v="4540" u="1"/>
        <n v="6557" u="1"/>
        <n v="1101" u="1"/>
        <n v="2171" u="1"/>
        <n v="4280" u="1"/>
        <n v="6297" u="1"/>
        <n v="1036" u="1"/>
        <n v="4058" u="1"/>
        <n v="6037" u="1"/>
        <n v="3928" u="1"/>
        <n v="5777" u="1"/>
        <n v="965" u="1"/>
        <n v="3798" u="1"/>
        <n v="5517" u="1"/>
        <n v="7534" u="1"/>
        <n v="3668" u="1"/>
        <n v="5257" u="1"/>
        <n v="7274" u="1"/>
        <n v="900" u="1"/>
        <n v="3538" u="1"/>
        <n v="4997" u="1"/>
        <n v="7014" u="1"/>
        <n v="3408" u="1"/>
        <n v="4737" u="1"/>
        <n v="6754" u="1"/>
        <n v="835" u="1"/>
        <n v="3278" u="1"/>
        <n v="4477" u="1"/>
        <n v="6494" u="1"/>
        <n v="3148" u="1"/>
        <n v="4217" u="1"/>
        <n v="6234" u="1"/>
        <n v="770" u="1"/>
        <n v="3018" u="1"/>
        <n v="5974" u="1"/>
        <n v="2888" u="1"/>
        <n v="5714" u="1"/>
        <n v="705" u="1"/>
        <n v="2758" u="1"/>
        <n v="5454" u="1"/>
        <n v="7471" u="1"/>
        <n v="2628" u="1"/>
        <n v="5194" u="1"/>
        <n v="7211" u="1"/>
        <n v="2498" u="1"/>
        <n v="4934" u="1"/>
        <n v="6951" u="1"/>
        <n v="2368" u="1"/>
        <n v="4674" u="1"/>
        <n v="6691" u="1"/>
        <n v="2238" u="1"/>
        <n v="4414" u="1"/>
        <n v="6431" u="1"/>
        <n v="2108" u="1"/>
        <n v="4154" u="1"/>
        <n v="6171" u="1"/>
        <n v="2013" u="1"/>
        <n v="3995" u="1"/>
        <n v="5911" u="1"/>
        <n v="1948" u="1"/>
        <n v="3865" u="1"/>
        <n v="5651" u="1"/>
        <n v="1883" u="1"/>
        <n v="3735" u="1"/>
        <n v="5391" u="1"/>
        <n v="7408" u="1"/>
        <n v="1818" u="1"/>
        <n v="3605" u="1"/>
        <n v="5131" u="1"/>
        <n v="7148" u="1"/>
        <n v="1753" u="1"/>
        <n v="3475" u="1"/>
        <n v="4871" u="1"/>
        <n v="6888" u="1"/>
        <n v="1688" u="1"/>
        <n v="3345" u="1"/>
        <n v="4611" u="1"/>
        <n v="6628" u="1"/>
        <n v="1623" u="1"/>
        <n v="3215" u="1"/>
        <n v="4351" u="1"/>
        <n v="6368" u="1"/>
        <n v="1558" u="1"/>
        <n v="3085" u="1"/>
        <n v="6108" u="1"/>
        <n v="1493" u="1"/>
        <n v="2955" u="1"/>
        <n v="5848" u="1"/>
        <n v="1428" u="1"/>
        <n v="2825" u="1"/>
        <n v="5588" u="1"/>
        <n v="1363" u="1"/>
        <n v="2695" u="1"/>
        <n v="5328" u="1"/>
        <n v="7345" u="1"/>
        <n v="1298" u="1"/>
        <n v="2565" u="1"/>
        <n v="5068" u="1"/>
        <n v="7085" u="1"/>
        <n v="1233" u="1"/>
        <n v="2435" u="1"/>
        <n v="4808" u="1"/>
        <n v="6825" u="1"/>
        <n v="1168" u="1"/>
        <n v="2305" u="1"/>
        <n v="4548" u="1"/>
        <n v="6565" u="1"/>
        <n v="1103" u="1"/>
        <n v="2175" u="1"/>
        <n v="4288" u="1"/>
        <n v="6305" u="1"/>
        <n v="1038" u="1"/>
        <n v="4062" u="1"/>
        <n v="6045" u="1"/>
        <n v="3932" u="1"/>
        <n v="5785" u="1"/>
        <n v="966" u="1"/>
        <n v="3802" u="1"/>
        <n v="5525" u="1"/>
        <n v="7542" u="1"/>
        <n v="3672" u="1"/>
        <n v="5265" u="1"/>
        <n v="7282" u="1"/>
        <n v="901" u="1"/>
        <n v="3542" u="1"/>
        <n v="5005" u="1"/>
        <n v="7022" u="1"/>
        <n v="3412" u="1"/>
        <n v="4745" u="1"/>
        <n v="6762" u="1"/>
        <n v="836" u="1"/>
        <n v="3282" u="1"/>
        <n v="4485" u="1"/>
        <n v="6502" u="1"/>
        <n v="3152" u="1"/>
        <n v="4225" u="1"/>
        <n v="6242" u="1"/>
        <n v="771" u="1"/>
        <n v="3022" u="1"/>
        <n v="5982" u="1"/>
        <n v="2892" u="1"/>
        <n v="5722" u="1"/>
        <n v="706" u="1"/>
        <n v="2762" u="1"/>
        <n v="5462" u="1"/>
        <n v="7479" u="1"/>
        <n v="2632" u="1"/>
        <n v="5202" u="1"/>
        <n v="7219" u="1"/>
        <n v="2502" u="1"/>
        <n v="4942" u="1"/>
        <n v="6959" u="1"/>
        <n v="2372" u="1"/>
        <n v="4682" u="1"/>
        <n v="6699" u="1"/>
        <n v="2242" u="1"/>
        <n v="4422" u="1"/>
        <n v="6439" u="1"/>
        <n v="2112" u="1"/>
        <n v="4162" u="1"/>
        <n v="6179" u="1"/>
        <n v="2015" u="1"/>
        <n v="3999" u="1"/>
        <n v="5919" u="1"/>
        <n v="1950" u="1"/>
        <n v="3869" u="1"/>
        <n v="5659" u="1"/>
        <n v="1885" u="1"/>
        <n v="3739" u="1"/>
        <n v="5399" u="1"/>
        <n v="7416" u="1"/>
        <n v="1820" u="1"/>
        <n v="3609" u="1"/>
        <n v="5139" u="1"/>
        <n v="7156" u="1"/>
        <n v="1755" u="1"/>
        <n v="3479" u="1"/>
        <n v="4879" u="1"/>
        <n v="6896" u="1"/>
        <n v="1690" u="1"/>
        <n v="3349" u="1"/>
        <n v="4619" u="1"/>
        <n v="6636" u="1"/>
        <n v="1625" u="1"/>
        <n v="3219" u="1"/>
        <n v="4359" u="1"/>
        <n v="6376" u="1"/>
        <n v="1560" u="1"/>
        <n v="3089" u="1"/>
        <n v="4099" u="1"/>
        <n v="6116" u="1"/>
        <n v="1495" u="1"/>
        <n v="2959" u="1"/>
        <n v="5856" u="1"/>
        <n v="1430" u="1"/>
        <n v="2829" u="1"/>
        <n v="5596" u="1"/>
        <n v="1365" u="1"/>
        <n v="2699" u="1"/>
        <n v="5336" u="1"/>
        <n v="7353" u="1"/>
        <n v="1300" u="1"/>
        <n v="2569" u="1"/>
        <n v="5076" u="1"/>
        <n v="7093" u="1"/>
        <n v="1235" u="1"/>
        <n v="2439" u="1"/>
        <n v="4816" u="1"/>
        <n v="6833" u="1"/>
        <n v="1170" u="1"/>
        <n v="2309" u="1"/>
        <n v="4556" u="1"/>
        <n v="6573" u="1"/>
        <n v="1105" u="1"/>
        <n v="2179" u="1"/>
        <n v="4296" u="1"/>
        <n v="6313" u="1"/>
        <n v="1040" u="1"/>
        <n v="2049" u="1"/>
        <n v="4066" u="1"/>
        <n v="6053" u="1"/>
        <n v="3936" u="1"/>
        <n v="5793" u="1"/>
        <n v="967" u="1"/>
        <n v="3806" u="1"/>
        <n v="5533" u="1"/>
        <n v="7550" u="1"/>
        <n v="3676" u="1"/>
        <n v="5273" u="1"/>
        <n v="7290" u="1"/>
        <n v="902" u="1"/>
        <n v="3546" u="1"/>
        <n v="5013" u="1"/>
        <n v="7030" u="1"/>
        <n v="3416" u="1"/>
        <n v="4753" u="1"/>
        <n v="6770" u="1"/>
        <n v="837" u="1"/>
        <n v="3286" u="1"/>
        <n v="4493" u="1"/>
        <n v="6510" u="1"/>
        <n v="3156" u="1"/>
        <n v="4233" u="1"/>
        <n v="6250" u="1"/>
        <n v="772" u="1"/>
        <n v="3026" u="1"/>
        <n v="5990" u="1"/>
        <n v="2896" u="1"/>
        <n v="5730" u="1"/>
        <n v="707" u="1"/>
        <n v="2766" u="1"/>
        <n v="5470" u="1"/>
        <n v="7487" u="1"/>
        <n v="2636" u="1"/>
        <n v="5210" u="1"/>
        <n v="7227" u="1"/>
        <n v="2506" u="1"/>
        <n v="4950" u="1"/>
        <n v="6967" u="1"/>
        <n v="2376" u="1"/>
        <n v="4690" u="1"/>
        <n v="6707" u="1"/>
        <n v="2246" u="1"/>
        <n v="4430" u="1"/>
        <n v="6447" u="1"/>
        <n v="2116" u="1"/>
        <n v="4170" u="1"/>
        <n v="6187" u="1"/>
        <n v="2017" u="1"/>
        <n v="4003" u="1"/>
        <n v="5927" u="1"/>
        <n v="1952" u="1"/>
        <n v="3873" u="1"/>
        <n v="5667" u="1"/>
        <n v="1887" u="1"/>
        <n v="3743" u="1"/>
        <n v="5407" u="1"/>
        <n v="7424" u="1"/>
        <n v="1822" u="1"/>
        <n v="3613" u="1"/>
        <n v="5147" u="1"/>
        <n v="7164" u="1"/>
        <n v="1757" u="1"/>
        <n v="3483" u="1"/>
        <n v="4887" u="1"/>
        <n v="6904" u="1"/>
        <n v="1692" u="1"/>
        <n v="3353" u="1"/>
        <n v="4627" u="1"/>
        <n v="6644" u="1"/>
        <n v="1627" u="1"/>
        <n v="3223" u="1"/>
        <n v="4367" u="1"/>
        <n v="6384" u="1"/>
        <n v="1562" u="1"/>
        <n v="3093" u="1"/>
        <n v="4107" u="1"/>
        <n v="6124" u="1"/>
        <n v="1497" u="1"/>
        <n v="2963" u="1"/>
        <n v="5864" u="1"/>
        <n v="1432" u="1"/>
        <n v="2833" u="1"/>
        <n v="5604" u="1"/>
        <n v="1367" u="1"/>
        <n v="2703" u="1"/>
        <n v="5344" u="1"/>
        <n v="7361" u="1"/>
        <n v="1302" u="1"/>
        <n v="2573" u="1"/>
        <n v="5084" u="1"/>
        <n v="7101" u="1"/>
        <n v="1237" u="1"/>
        <n v="2443" u="1"/>
        <n v="4824" u="1"/>
        <n v="6841" u="1"/>
        <n v="1172" u="1"/>
        <n v="2313" u="1"/>
        <n v="4564" u="1"/>
        <n v="6581" u="1"/>
        <n v="1107" u="1"/>
        <n v="2183" u="1"/>
        <n v="4304" u="1"/>
        <n v="6321" u="1"/>
        <n v="1042" u="1"/>
        <n v="2053" u="1"/>
        <n v="4070" u="1"/>
        <n v="6061" u="1"/>
        <n v="3940" u="1"/>
        <n v="5801" u="1"/>
        <n v="968" u="1"/>
        <n v="3810" u="1"/>
        <n v="5541" u="1"/>
        <n v="7558" u="1"/>
        <n v="3680" u="1"/>
        <n v="5281" u="1"/>
        <n v="7298" u="1"/>
        <n v="903" u="1"/>
        <n v="3550" u="1"/>
        <n v="5021" u="1"/>
        <n v="7038" u="1"/>
        <n v="3420" u="1"/>
        <n v="4761" u="1"/>
        <n v="6778" u="1"/>
        <n v="838" u="1"/>
        <n v="3290" u="1"/>
        <n v="4501" u="1"/>
        <n v="6518" u="1"/>
        <n v="3160" u="1"/>
        <n v="4241" u="1"/>
        <n v="6258" u="1"/>
        <n v="773" u="1"/>
        <n v="3030" u="1"/>
        <n v="5998" u="1"/>
        <n v="2900" u="1"/>
        <n v="5738" u="1"/>
        <n v="708" u="1"/>
        <n v="2770" u="1"/>
        <n v="5478" u="1"/>
        <n v="7495" u="1"/>
        <n v="2640" u="1"/>
        <n v="5218" u="1"/>
        <n v="7235" u="1"/>
        <n v="2510" u="1"/>
        <n v="4958" u="1"/>
        <n v="6975" u="1"/>
        <n v="2380" u="1"/>
        <n v="4698" u="1"/>
        <n v="6715" u="1"/>
        <n v="2250" u="1"/>
        <n v="4438" u="1"/>
        <n v="6455" u="1"/>
        <n v="2120" u="1"/>
        <n v="4178" u="1"/>
        <n v="6195" u="1"/>
        <n v="2019" u="1"/>
        <n v="4007" u="1"/>
        <n v="5935" u="1"/>
        <n v="1954" u="1"/>
        <n v="3877" u="1"/>
        <n v="5675" u="1"/>
        <n v="1889" u="1"/>
        <n v="3747" u="1"/>
        <n v="5415" u="1"/>
        <n v="7432" u="1"/>
        <n v="1824" u="1"/>
        <n v="3617" u="1"/>
        <n v="5155" u="1"/>
        <n v="7172" u="1"/>
        <n v="1759" u="1"/>
        <n v="3487" u="1"/>
        <n v="4895" u="1"/>
        <n v="6912" u="1"/>
        <n v="1694" u="1"/>
        <n v="3357" u="1"/>
        <n v="4635" u="1"/>
        <n v="6652" u="1"/>
        <n v="1629" u="1"/>
        <n v="3227" u="1"/>
        <n v="4375" u="1"/>
        <n v="6392" u="1"/>
        <n v="1564" u="1"/>
        <n v="3097" u="1"/>
        <n v="4115" u="1"/>
        <n v="6132" u="1"/>
        <n v="1499" u="1"/>
        <n v="2967" u="1"/>
        <n v="5872" u="1"/>
        <n v="1434" u="1"/>
        <n v="2837" u="1"/>
        <n v="5612" u="1"/>
        <n v="1369" u="1"/>
        <n v="2707" u="1"/>
        <n v="5352" u="1"/>
        <n v="7369" u="1"/>
        <n v="1304" u="1"/>
        <n v="2577" u="1"/>
        <n v="5092" u="1"/>
        <n v="7109" u="1"/>
        <n v="1239" u="1"/>
        <n v="2447" u="1"/>
        <n v="4832" u="1"/>
        <n v="6849" u="1"/>
        <n v="1174" u="1"/>
        <n v="2317" u="1"/>
        <n v="4572" u="1"/>
        <n v="6589" u="1"/>
        <n v="1109" u="1"/>
        <n v="2187" u="1"/>
        <n v="4312" u="1"/>
        <n v="6329" u="1"/>
        <n v="1044" u="1"/>
        <n v="2057" u="1"/>
        <n v="4074" u="1"/>
        <n v="6069" u="1"/>
        <n v="3944" u="1"/>
        <n v="5809" u="1"/>
        <n v="969" u="1"/>
        <n v="3814" u="1"/>
        <n v="5549" u="1"/>
        <n v="7566" u="1"/>
        <n v="3684" u="1"/>
        <n v="5289" u="1"/>
        <n v="7306" u="1"/>
        <n v="904" u="1"/>
        <n v="3554" u="1"/>
        <n v="5029" u="1"/>
        <n v="7046" u="1"/>
        <n v="3424" u="1"/>
        <n v="4769" u="1"/>
        <n v="6786" u="1"/>
        <n v="839" u="1"/>
        <n v="3294" u="1"/>
        <n v="4509" u="1"/>
        <n v="6526" u="1"/>
        <n v="3164" u="1"/>
        <n v="4249" u="1"/>
        <n v="6266" u="1"/>
        <n v="774" u="1"/>
        <n v="3034" u="1"/>
        <n v="6006" u="1"/>
        <n v="2904" u="1"/>
        <n v="5746" u="1"/>
        <n v="709" u="1"/>
        <n v="2774" u="1"/>
        <n v="5486" u="1"/>
        <n v="7503" u="1"/>
        <n v="2644" u="1"/>
        <n v="5226" u="1"/>
        <n v="7243" u="1"/>
        <n v="2514" u="1"/>
        <n v="4966" u="1"/>
        <n v="6983" u="1"/>
        <n v="2384" u="1"/>
        <n v="4706" u="1"/>
        <n v="6723" u="1"/>
        <n v="2254" u="1"/>
        <n v="4446" u="1"/>
        <n v="6463" u="1"/>
        <n v="2124" u="1"/>
        <n v="4186" u="1"/>
        <n v="6203" u="1"/>
        <n v="2021" u="1"/>
        <n v="4011" u="1"/>
        <n v="5943" u="1"/>
        <n v="1956" u="1"/>
        <n v="3881" u="1"/>
        <n v="5683" u="1"/>
        <n v="1891" u="1"/>
        <n v="3751" u="1"/>
        <n v="5423" u="1"/>
        <n v="7440" u="1"/>
        <n v="1826" u="1"/>
        <n v="3621" u="1"/>
        <n v="5163" u="1"/>
        <n v="7180" u="1"/>
        <n v="1761" u="1"/>
        <n v="3491" u="1"/>
        <n v="4903" u="1"/>
        <n v="6920" u="1"/>
        <n v="1696" u="1"/>
        <n v="3361" u="1"/>
        <n v="4643" u="1"/>
        <n v="6660" u="1"/>
        <n v="1631" u="1"/>
        <n v="3231" u="1"/>
        <n v="4383" u="1"/>
        <n v="6400" u="1"/>
        <n v="1566" u="1"/>
        <n v="3101" u="1"/>
        <n v="4123" u="1"/>
        <n v="6140" u="1"/>
        <n v="1501" u="1"/>
        <n v="2971" u="1"/>
        <n v="5880" u="1"/>
        <n v="1436" u="1"/>
        <n v="2841" u="1"/>
        <n v="5620" u="1"/>
        <n v="1371" u="1"/>
        <n v="2711" u="1"/>
        <n v="5360" u="1"/>
        <n v="7377" u="1"/>
        <n v="1306" u="1"/>
        <n v="2581" u="1"/>
        <n v="5100" u="1"/>
        <n v="7117" u="1"/>
        <n v="1241" u="1"/>
        <n v="2451" u="1"/>
        <n v="4840" u="1"/>
        <n v="6857" u="1"/>
        <n v="1176" u="1"/>
        <n v="2321" u="1"/>
        <n v="4580" u="1"/>
        <n v="6597" u="1"/>
        <n v="1111" u="1"/>
        <n v="2191" u="1"/>
        <n v="4320" u="1"/>
        <n v="6337" u="1"/>
        <n v="1046" u="1"/>
        <n v="2061" u="1"/>
        <n v="4078" u="1"/>
        <n v="6077" u="1"/>
        <n v="3948" u="1"/>
        <n v="5817" u="1"/>
        <n v="970" u="1"/>
        <n v="3818" u="1"/>
        <n v="5557" u="1"/>
        <n v="7574" u="1"/>
        <n v="3688" u="1"/>
        <n v="5297" u="1"/>
        <n v="7314" u="1"/>
        <n v="905" u="1"/>
        <n v="3558" u="1"/>
        <n v="5037" u="1"/>
        <n v="7054" u="1"/>
        <n v="3428" u="1"/>
        <n v="4777" u="1"/>
        <n v="6794" u="1"/>
        <n v="840" u="1"/>
        <n v="3298" u="1"/>
        <n v="4517" u="1"/>
        <n v="6534" u="1"/>
        <n v="3168" u="1"/>
        <n v="4257" u="1"/>
        <n v="6274" u="1"/>
        <n v="775" u="1"/>
        <n v="3038" u="1"/>
        <n v="6014" u="1"/>
        <n v="2908" u="1"/>
        <n v="5754" u="1"/>
        <n v="710" u="1"/>
        <n v="2778" u="1"/>
        <n v="5494" u="1"/>
        <n v="7511" u="1"/>
        <n v="2648" u="1"/>
        <n v="5234" u="1"/>
        <n v="7251" u="1"/>
        <n v="2518" u="1"/>
        <n v="4974" u="1"/>
        <n v="6991" u="1"/>
        <n v="2388" u="1"/>
        <n v="4714" u="1"/>
        <n v="6731" u="1"/>
        <n v="2258" u="1"/>
        <n v="4454" u="1"/>
        <n v="6471" u="1"/>
        <n v="2128" u="1"/>
        <n v="4194" u="1"/>
        <n v="6211" u="1"/>
        <n v="2023" u="1"/>
        <n v="4015" u="1"/>
        <n v="5951" u="1"/>
        <n v="1958" u="1"/>
        <n v="3885" u="1"/>
        <n v="5691" u="1"/>
        <n v="1893" u="1"/>
        <n v="3755" u="1"/>
        <n v="5431" u="1"/>
        <n v="7448" u="1"/>
        <n v="1828" u="1"/>
        <n v="3625" u="1"/>
        <n v="5171" u="1"/>
        <n v="7188" u="1"/>
        <n v="1763" u="1"/>
        <n v="3495" u="1"/>
        <n v="4911" u="1"/>
        <n v="6928" u="1"/>
        <n v="1698" u="1"/>
        <n v="3365" u="1"/>
        <n v="4651" u="1"/>
        <n v="6668" u="1"/>
        <n v="1633" u="1"/>
        <n v="3235" u="1"/>
        <n v="4391" u="1"/>
        <n v="6408" u="1"/>
        <n v="1568" u="1"/>
        <n v="3105" u="1"/>
        <n v="4131" u="1"/>
        <n v="6148" u="1"/>
        <n v="1503" u="1"/>
        <n v="2975" u="1"/>
        <n v="5888" u="1"/>
        <n v="1438" u="1"/>
        <n v="2845" u="1"/>
        <n v="5628" u="1"/>
        <n v="1373" u="1"/>
        <n v="2715" u="1"/>
        <n v="5368" u="1"/>
        <n v="7385" u="1"/>
        <n v="1308" u="1"/>
        <n v="2585" u="1"/>
        <n v="5108" u="1"/>
        <n v="7125" u="1"/>
        <n v="1243" u="1"/>
        <n v="2455" u="1"/>
        <n v="4848" u="1"/>
        <n v="6865" u="1"/>
        <n v="1178" u="1"/>
        <n v="2325" u="1"/>
        <n v="4588" u="1"/>
        <n v="6605" u="1"/>
        <n v="1113" u="1"/>
        <n v="2195" u="1"/>
        <n v="4328" u="1"/>
        <n v="6345" u="1"/>
        <n v="1048" u="1"/>
        <n v="2065" u="1"/>
        <n v="4082" u="1"/>
        <n v="6085" u="1"/>
        <n v="3952" u="1"/>
        <n v="5825" u="1"/>
        <n v="971" u="1"/>
        <n v="3822" u="1"/>
        <n v="5565" u="1"/>
        <n v="3692" u="1"/>
        <n v="5305" u="1"/>
        <n v="7322" u="1"/>
        <n v="906" u="1"/>
        <n v="3562" u="1"/>
        <n v="5045" u="1"/>
        <n v="7062" u="1"/>
        <n v="3432" u="1"/>
        <n v="4785" u="1"/>
        <n v="6802" u="1"/>
        <n v="841" u="1"/>
        <n v="3302" u="1"/>
        <n v="4525" u="1"/>
        <n v="6542" u="1"/>
        <n v="3172" u="1"/>
        <n v="4265" u="1"/>
        <n v="6282" u="1"/>
        <n v="776" u="1"/>
        <n v="3042" u="1"/>
        <n v="6022" u="1"/>
        <n v="2912" u="1"/>
        <n v="5762" u="1"/>
        <n v="711" u="1"/>
        <n v="2782" u="1"/>
        <n v="5502" u="1"/>
        <n v="7519" u="1"/>
        <n v="2652" u="1"/>
        <n v="5242" u="1"/>
        <n v="7259" u="1"/>
        <n v="2522" u="1"/>
        <n v="4982" u="1"/>
        <n v="6999" u="1"/>
        <n v="2392" u="1"/>
        <n v="4722" u="1"/>
        <n v="6739" u="1"/>
        <n v="2262" u="1"/>
        <n v="4462" u="1"/>
        <n v="6479" u="1"/>
        <n v="2132" u="1"/>
        <n v="4202" u="1"/>
        <n v="6219" u="1"/>
        <n v="2025" u="1"/>
        <n v="4019" u="1"/>
        <n v="5959" u="1"/>
        <n v="1960" u="1"/>
        <n v="3889" u="1"/>
        <n v="5699" u="1"/>
        <n v="1895" u="1"/>
        <n v="3759" u="1"/>
        <n v="5439" u="1"/>
        <n v="7456" u="1"/>
        <n v="1830" u="1"/>
        <n v="3629" u="1"/>
        <n v="5179" u="1"/>
        <n v="7196" u="1"/>
        <n v="1765" u="1"/>
        <n v="3499" u="1"/>
        <n v="4919" u="1"/>
        <n v="6936" u="1"/>
        <n v="1700" u="1"/>
        <n v="3369" u="1"/>
        <n v="4659" u="1"/>
        <n v="6676" u="1"/>
        <n v="1635" u="1"/>
        <n v="3239" u="1"/>
        <n v="4399" u="1"/>
        <n v="6416" u="1"/>
        <n v="1570" u="1"/>
        <n v="3109" u="1"/>
        <n v="4139" u="1"/>
        <n v="6156" u="1"/>
        <n v="1505" u="1"/>
        <n v="2979" u="1"/>
        <n v="5896" u="1"/>
        <n v="1440" u="1"/>
        <n v="2849" u="1"/>
        <n v="5636" u="1"/>
        <n v="1375" u="1"/>
        <n v="2719" u="1"/>
        <n v="5376" u="1"/>
        <n v="7393" u="1"/>
        <n v="1310" u="1"/>
        <n v="2589" u="1"/>
        <n v="5116" u="1"/>
        <n v="7133" u="1"/>
        <n v="1245" u="1"/>
        <n v="2459" u="1"/>
        <n v="4856" u="1"/>
        <n v="6873" u="1"/>
        <n v="1180" u="1"/>
        <n v="2329" u="1"/>
        <n v="4596" u="1"/>
        <n v="6613" u="1"/>
        <n v="1115" u="1"/>
        <n v="2199" u="1"/>
        <n v="4336" u="1"/>
        <n v="6353" u="1"/>
        <n v="1050" u="1"/>
        <n v="2069" u="1"/>
        <n v="4086" u="1"/>
        <n v="6093" u="1"/>
        <n v="3956" u="1"/>
        <n v="5833" u="1"/>
        <n v="972" u="1"/>
        <n v="3826" u="1"/>
        <n v="5573" u="1"/>
        <n v="3696" u="1"/>
        <n v="5313" u="1"/>
        <n v="7330" u="1"/>
        <n v="907" u="1"/>
        <n v="3566" u="1"/>
        <n v="5053" u="1"/>
        <n v="7070" u="1"/>
        <n v="3436" u="1"/>
        <n v="4793" u="1"/>
        <n v="6810" u="1"/>
        <n v="842" u="1"/>
        <n v="3306" u="1"/>
        <n v="4533" u="1"/>
        <n v="6550" u="1"/>
        <n v="3176" u="1"/>
        <n v="4273" u="1"/>
        <n v="6290" u="1"/>
        <n v="777" u="1"/>
        <n v="3046" u="1"/>
        <n v="6030" u="1"/>
        <n v="2916" u="1"/>
        <n v="5770" u="1"/>
        <n v="712" u="1"/>
        <n v="2786" u="1"/>
        <n v="5510" u="1"/>
        <n v="7527" u="1"/>
        <n v="2656" u="1"/>
        <n v="5250" u="1"/>
        <n v="7267" u="1"/>
        <n v="2526" u="1"/>
        <n v="4990" u="1"/>
        <n v="7007" u="1"/>
        <n v="2396" u="1"/>
        <n v="4730" u="1"/>
        <n v="6747" u="1"/>
      </sharedItems>
    </cacheField>
    <cacheField name="Gross Replacement Cost" numFmtId="0">
      <sharedItems containsNonDate="0" containsString="0" containsBlank="1" containsNumber="1" minValue="0" maxValue="116369755.30227998" count="8000">
        <m/>
        <n v="13997.481514600438" u="1"/>
        <n v="160456.14718148124" u="1"/>
        <n v="806676.14128123003" u="1"/>
        <n v="1042358.4588838601" u="1"/>
        <n v="116840.8755185678" u="1"/>
        <n v="607451.0716521506" u="1"/>
        <n v="194358.06430764674" u="1"/>
        <n v="286045.98177118599" u="1"/>
        <n v="636259.43949514092" u="1"/>
        <n v="646422.90175487974" u="1"/>
        <n v="47223.120480629659" u="1"/>
        <n v="663123.72694049124" u="1"/>
        <n v="118115.20234787793" u="1"/>
        <n v="133877.33045586938" u="1"/>
        <n v="102845.67116550222" u="1"/>
        <n v="253410.48782602401" u="1"/>
        <n v="299420.90013724321" u="1"/>
        <n v="43275.67697296093" u="1"/>
        <n v="120326.24683869714" u="1"/>
        <n v="166530.59736055756" u="1"/>
        <n v="65641.539810062095" u="1"/>
        <n v="1128624.5766082839" u="1"/>
        <n v="109969.73714902537" u="1"/>
        <n v="730708.6185135307" u="1"/>
        <n v="296738.29519087239" u="1"/>
        <n v="137546.00715014257" u="1"/>
        <n v="526856.23770783178" u="1"/>
        <n v="47525.991983592532" u="1"/>
        <n v="88390.220988288347" u="1"/>
        <n v="212450.50120990764" u="1"/>
        <n v="111391.70392010536" u="1"/>
        <n v="76024.837925471904" u="1"/>
        <n v="84472.042139413228" u="1"/>
        <n v="658893.86614223861" u="1"/>
        <n v="732817.13939633709" u="1"/>
        <n v="107808.30936276227" u="1"/>
        <n v="70580.568396376766" u="1"/>
        <n v="208762.30330036639" u="1"/>
        <n v="71727.689439852737" u="1"/>
        <n v="31826.201120030106" u="1"/>
        <n v="1570079.6870217139" u="1"/>
        <n v="195203.00530609392" u="1"/>
        <n v="2364242.7259928733" u="1"/>
        <n v="795958.00913489307" u="1"/>
        <n v="304848.23855155171" u="1"/>
        <n v="2472410.6938487561" u="1"/>
        <n v="1693208.2144531633" u="1"/>
        <n v="135721.95486770503" u="1"/>
        <n v="800339.94502129115" u="1"/>
        <n v="37281.31807934033" u="1"/>
        <n v="292770.01782996167" u="1"/>
        <n v="355818.5302619274" u="1"/>
        <n v="117184.8496563495" u="1"/>
        <n v="189852.3979064158" u="1"/>
        <n v="43610.17520819226" u="1"/>
        <n v="93092.281017169647" u="1"/>
        <n v="55908.424461700211" u="1"/>
        <n v="510945.25196886057" u="1"/>
        <n v="985193.85123138316" u="1"/>
        <n v="1050057.5457845053" u="1"/>
        <n v="285708.39078273205" u="1"/>
        <n v="197287.70334129725" u="1"/>
        <n v="24835.337347507091" u="1"/>
        <n v="601760.03877584869" u="1"/>
        <n v="85039.79870918447" u="1"/>
        <n v="2340192.3509684592" u="1"/>
        <n v="5493696.5617319364" u="1"/>
        <n v="1080383.1634771768" u="1"/>
        <n v="106418.85999510066" u="1"/>
        <n v="48932.592626772966" u="1"/>
        <n v="38051.406059107991" u="1"/>
        <n v="11657.141815239027" u="1"/>
        <n v="48345.240561315521" u="1"/>
        <n v="57008.845778764626" u="1"/>
        <n v="252719.92826873902" u="1"/>
        <n v="38221.278407586149" u="1"/>
        <n v="76191.925481352082" u="1"/>
        <n v="74376.294697705205" u="1"/>
        <n v="278917.59519446589" u="1"/>
        <n v="116509.88153692879" u="1"/>
        <n v="125102.74490340013" u="1"/>
        <n v="25226.043749006862" u="1"/>
        <n v="361442.8726157585" u="1"/>
        <n v="38203.844567019347" u="1"/>
        <n v="152531.70244663249" u="1"/>
        <n v="165594.34199057138" u="1"/>
        <n v="137533.84044126965" u="1"/>
        <n v="50137.310224449277" u="1"/>
        <n v="89806.455312346923" u="1"/>
        <n v="106956.48661589719" u="1"/>
        <n v="42236.021069706614" u="1"/>
        <n v="40454.707985336056" u="1"/>
        <n v="634636.91997730266" u="1"/>
        <n v="88695.64424638389" u="1"/>
        <n v="34763.494265066212" u="1"/>
        <n v="76860.696583419121" u="1"/>
        <n v="121337.39177011479" u="1"/>
        <n v="31182.250984034828" u="1"/>
        <n v="97694.53065995597" u="1"/>
        <n v="40156.70926319799" u="1"/>
        <n v="20347.551249405915" u="1"/>
        <n v="37533.69985422217" u="1"/>
        <n v="18713.806258577701" u="1"/>
        <n v="144578.17117991619" u="1"/>
        <n v="33974.469695632142" u="1"/>
        <n v="19097.963335886147" u="1"/>
        <n v="27704.045029129538" u="1"/>
        <n v="16931.538995856015" u="1"/>
        <n v="15571.631943831395" u="1"/>
        <n v="41987.710396384718" u="1"/>
        <n v="13592.781883072916" u="1"/>
        <n v="20022.287473959204" u="1"/>
        <n v="13887.203727719538" u="1"/>
        <n v="21381.266261784491" u="1"/>
        <n v="31804.627588665302" u="1"/>
        <n v="537378.46430802706" u="1"/>
        <n v="86161.482982201502" u="1"/>
        <n v="33788.816855765297" u="1"/>
        <n v="129016.261980426" u="1"/>
        <n v="116079.43812674312" u="1"/>
        <n v="19985.288936690195" u="1"/>
        <n v="38964.351915420491" u="1"/>
        <n v="40430.54720200158" u="1"/>
        <n v="42468.087119540171" u="1"/>
        <n v="436118.71810923633" u="1"/>
        <n v="20778.637143576725" u="1"/>
        <n v="74982.529838790942" u="1"/>
        <n v="49324.593342282686" u="1"/>
        <n v="104754.61489486575" u="1"/>
        <n v="663045.85666729382" u="1"/>
        <n v="112540.43086678143" u="1"/>
        <n v="50961.704543448213" u="1"/>
        <n v="110140.20486564585" u="1"/>
        <n v="52495.645487945745" u="1"/>
        <n v="12468.073419777395" u="1"/>
        <n v="42358.551944018735" u="1"/>
        <n v="45871.871808322896" u="1"/>
        <n v="96738.507700359056" u="1"/>
        <n v="109266.95440929887" u="1"/>
        <n v="98978.955046608287" u="1"/>
        <n v="32112.947198759757" u="1"/>
        <n v="21961.943371190795" u="1"/>
        <n v="91731.06817820677" u="1"/>
        <n v="176964.95877158179" u="1"/>
        <n v="84325.584381089328" u="1"/>
        <n v="28202.237001252717" u="1"/>
        <n v="32183.848055116447" u="1"/>
        <n v="85418.253925182333" u="1"/>
        <n v="38603.723257711856" u="1"/>
        <n v="202634.77516252003" u="1"/>
        <n v="176738.7331930947" u="1"/>
        <n v="64480.944342551666" u="1"/>
        <n v="69424.105526140032" u="1"/>
        <n v="26500.086362593069" u="1"/>
        <n v="137568.75434133012" u="1"/>
        <n v="57758.579597567317" u="1"/>
        <n v="114227.88257199974" u="1"/>
        <n v="168989.59472972859" u="1"/>
        <n v="139147.27384980803" u="1"/>
        <n v="149012.19251826452" u="1"/>
        <n v="160532.23958902369" u="1"/>
        <n v="128420.10195187171" u="1"/>
        <n v="89466.103531831308" u="1"/>
        <n v="178765.59487648943" u="1"/>
        <n v="116096.37084838262" u="1"/>
        <n v="81943.206522657085" u="1"/>
        <n v="89968.058256323638" u="1"/>
        <n v="46878.093512505468" u="1"/>
        <n v="67895.951743459242" u="1"/>
        <n v="33417.511176031607" u="1"/>
        <n v="72882.000564868955" u="1"/>
        <n v="12255.209177952926" u="1"/>
        <n v="48950.196662256618" u="1"/>
        <n v="149481.83185724277" u="1"/>
        <n v="73200.262576069232" u="1"/>
        <n v="563191.54354329326" u="1"/>
        <n v="166275.80018806347" u="1"/>
        <n v="43421.737534825726" u="1"/>
        <n v="166887.86206920887" u="1"/>
        <n v="415689.50047015864" u="1"/>
        <n v="188445.90687980526" u="1"/>
        <n v="27335.975696819176" u="1"/>
        <n v="41097.969161322872" u="1"/>
        <n v="21350.076584686867" u="1"/>
        <n v="37622.547999015595" u="1"/>
        <n v="69764.704823324631" u="1"/>
        <n v="60337.172956723742" u="1"/>
        <n v="361960.92557945789" u="1"/>
        <n v="50854.025896325446" u="1"/>
        <n v="45894.716883134053" u="1"/>
        <n v="478467.09850034601" u="1"/>
        <n v="16976.095677424059" u="1"/>
        <n v="59495.064886338529" u="1"/>
        <n v="50735.208078810661" u="1"/>
        <n v="12366.706969210099" u="1"/>
        <n v="20273.290113459178" u="1"/>
        <n v="49891.601574455723" u="1"/>
        <n v="51251.322973640476" u="1"/>
        <n v="118134.99708599556" u="1"/>
        <n v="99358.274071561216" u="1"/>
        <n v="17387.697962523209" u="1"/>
        <n v="18622.111179809897" u="1"/>
        <n v="111483.96507847305" u="1"/>
        <n v="495626.77785880212" u="1"/>
        <n v="576895.82856470975" u="1"/>
        <n v="289445.8925572157" u="1"/>
        <n v="1957292.9397826893" u="1"/>
        <n v="276940.90284473385" u="1"/>
        <n v="796573.63939766167" u="1"/>
        <n v="207357.99437972787" u="1"/>
        <n v="1426007.508966937" u="1"/>
        <n v="452903.60813129682" u="1"/>
        <n v="22106.054948624642" u="1"/>
        <n v="663129.85124045622" u="1"/>
        <n v="1012359.4637300463" u="1"/>
        <n v="4887782.5087704752" u="1"/>
        <n v="2453085.040670217" u="1"/>
        <n v="391507.46957629744" u="1"/>
        <n v="62472.193499229565" u="1"/>
        <n v="515230.60931253008" u="1"/>
        <n v="90783.592447943825" u="1"/>
        <n v="450161.72346712579" u="1"/>
        <n v="2391699.0343765202" u="1"/>
        <n v="684448.26917493669" u="1"/>
        <n v="142327.41210477098" u="1"/>
        <n v="583432.14828609931" u="1"/>
        <n v="123931.22716139724" u="1"/>
        <n v="995319.25825245609" u="1"/>
        <n v="2465615.5572261792" u="1"/>
        <n v="564114.85723395506" u="1"/>
        <n v="112601.09956266654" u="1"/>
        <n v="706453.34245286416" u="1"/>
        <n v="605153.42245315621" u="1"/>
        <n v="171889.90315058589" u="1"/>
        <n v="489598.50954672653" u="1"/>
        <n v="175472.17172050438" u="1"/>
        <n v="678070.80591456674" u="1"/>
        <n v="1285258.4051425518" u="1"/>
        <n v="1086369.5325937252" u="1"/>
        <n v="621007.75602746138" u="1"/>
        <n v="189386.96820015143" u="1"/>
        <n v="2038927.8260116088" u="1"/>
        <n v="1005183.2916911503" u="1"/>
        <n v="288211.38699264335" u="1"/>
        <n v="84171.748670928617" u="1"/>
        <n v="106978.67039193881" u="1"/>
        <n v="279689.9502739489" u="1"/>
        <n v="61333.119252724551" u="1"/>
        <n v="1381672.7206103369" u="1"/>
        <n v="134887.9806227317" u="1"/>
        <n v="866883.20512248471" u="1"/>
        <n v="669405.19535955077" u="1"/>
        <n v="1073314.6890446425" u="1"/>
        <n v="503540.16223208013" u="1"/>
        <n v="609979.54611853615" u="1"/>
        <n v="423710.62431723817" u="1"/>
        <n v="307036.68428785377" u="1"/>
        <n v="449675.17285068787" u="1"/>
        <n v="368002.72096190567" u="1"/>
        <n v="266944.97893609741" u="1"/>
        <n v="700862.40466774069" u="1"/>
        <n v="324394.49150626041" u="1"/>
        <n v="243991.81844741447" u="1"/>
        <n v="393006.95588845282" u="1"/>
        <n v="549425.78889431921" u="1"/>
        <n v="333195.19130425795" u="1"/>
        <n v="28649.891556828159" u="1"/>
        <n v="5701997.162688694" u="1"/>
        <n v="163926.36534012531" u="1"/>
        <n v="239079.23149880877" u="1"/>
        <n v="154746.48888107826" u="1"/>
        <n v="189231.73907114909" u="1"/>
        <n v="330780.85453944776" u="1"/>
        <n v="415398.08312454104" u="1"/>
        <n v="1128028.4926861168" u="1"/>
        <n v="1199836.9140577551" u="1"/>
        <n v="908967.35913466313" u="1"/>
        <n v="555094.5704639164" u="1"/>
        <n v="932558.87837937952" u="1"/>
        <n v="915906.04126546206" u="1"/>
        <n v="999170.22683504946" u="1"/>
        <n v="524009.27451793716" u="1"/>
        <n v="579012.2077687803" u="1"/>
        <n v="194977.07889436473" u="1"/>
        <n v="164363.50231436561" u="1"/>
        <n v="274794.01616245718" u="1"/>
        <n v="169104.00994612748" u="1"/>
        <n v="243797.5353477521" u="1"/>
        <n v="825980.72085030773" u="1"/>
        <n v="3255004.9633782371" u="1"/>
        <n v="913512.19593033637" u="1"/>
        <n v="758987.74487744365" u="1"/>
        <n v="636277.15139426419" u="1"/>
        <n v="332318.46649963286" u="1"/>
        <n v="286149.03069586703" u="1"/>
        <n v="396309.76858271309" u="1"/>
        <n v="385402.16027309716" u="1"/>
        <n v="343430.59246505407" u="1"/>
        <n v="663546.17216830398" u="1"/>
        <n v="495387.21072839136" u="1"/>
        <n v="337090.73138392589" u="1"/>
        <n v="397603.13893189398" u="1"/>
        <n v="128500.89937507815" u="1"/>
        <n v="151568.57246517236" u="1"/>
        <n v="101181.81053155761" u="1"/>
        <n v="295854.30416585814" u="1"/>
        <n v="69288.072905454377" u="1"/>
        <n v="1163478.2196923688" u="1"/>
        <n v="576477.33140645234" u="1"/>
        <n v="945326.05350004963" u="1"/>
        <n v="1294142.2775679764" u="1"/>
        <n v="188812.39920791794" u="1"/>
        <n v="890788.01195196982" u="1"/>
        <n v="474050.76317618456" u="1"/>
        <n v="432668.46294809965" u="1"/>
        <n v="478769.06702512794" u="1"/>
        <n v="338829.72581117461" u="1"/>
        <n v="435499.44525746565" u="1"/>
        <n v="201521.7453163632" u="1"/>
        <n v="3406231.7858656948" u="1"/>
        <n v="6778525.9856353402" u="1"/>
        <n v="524841.91637363296" u="1"/>
        <n v="338607.68798298895" u="1"/>
        <n v="231946.26626834745" u="1"/>
        <n v="452451.1569743224" u="1"/>
        <n v="121337.3917701148" u="1"/>
        <n v="2426747.8354022959" u="1"/>
        <n v="137997.6028771683" u="1"/>
        <n v="132529.07539397338" u="1"/>
        <n v="367964.24779545935" u="1"/>
        <n v="686042.45898690796" u="1"/>
        <n v="344956.58213267004" u="1"/>
        <n v="380933.64898086264" u="1"/>
        <n v="336123.63978016295" u="1"/>
        <n v="765676.63445153402" u="1"/>
        <n v="602485.76941727335" u="1"/>
        <n v="127116.65663623685" u="1"/>
        <n v="63939.678288027149" u="1"/>
        <n v="251411.07574767782" u="1"/>
        <n v="220429.59504904185" u="1"/>
        <n v="572871.62016054196" u="1"/>
        <n v="80888.193828778167" u="1"/>
        <n v="25937.823476139209" u="1"/>
        <n v="98182.239145236861" u="1"/>
        <n v="1331475.6456907261" u="1"/>
        <n v="330647.7078028461" u="1"/>
        <n v="32671.186759766915" u="1"/>
        <n v="55018.06068807761" u="1"/>
        <n v="146732.31102000552" u="1"/>
        <n v="162946.25822946013" u="1"/>
        <n v="295254.31997394591" u="1"/>
        <n v="54988.559223018674" u="1"/>
        <n v="519206.2457082388" u="1"/>
        <n v="2697814.3038775767" u="1"/>
        <n v="217631.0711642961" u="1"/>
        <n v="12607.345280221216" u="1"/>
        <n v="85821.122223761558" u="1"/>
        <n v="1054637.6865948602" u="1"/>
        <n v="213393.76698608621" u="1"/>
        <n v="205026.95507369985" u="1"/>
        <n v="158563.77021743613" u="1"/>
        <n v="465730.59843151877" u="1"/>
        <n v="498823.28994281852" u="1"/>
        <n v="76293.132660679359" u="1"/>
        <n v="66835.022352063213" u="1"/>
        <n v="142781.71756976566" u="1"/>
        <n v="301624.51222583052" u="1"/>
        <n v="430892.16032261506" u="1"/>
        <n v="416487.45621907647" u="1"/>
        <n v="186183.65109493368" u="1"/>
        <n v="119838.7352951268" u="1"/>
        <n v="220569.93902498219" u="1"/>
        <n v="84078.034260367742" u="1"/>
        <n v="661343.14059177542" u="1"/>
        <n v="110398.08230173467" u="1"/>
        <n v="350464.21585306118" u="1"/>
        <n v="2637567.7281978531" u="1"/>
        <n v="1697062.7002577865" u="1"/>
        <n v="61664.590761771666" u="1"/>
        <n v="639291.23310847301" u="1"/>
        <n v="265645.38553854905" u="1"/>
        <n v="876160.53963265289" u="1"/>
        <n v="347538.46575354028" u="1"/>
        <n v="634375.75382500002" u="1"/>
        <n v="4072802.1359770559" u="1"/>
        <n v="2685158.6291425" u="1"/>
        <n v="254521.31321569919" u="1"/>
        <n v="1430107.0320992693" u="1"/>
        <n v="126638.44339416979" u="1"/>
        <n v="1283010.3087976302" u="1"/>
        <n v="2249645.7761762259" u="1"/>
        <n v="2911521.1347875199" u="1"/>
        <n v="3472859.2612794121" u="1"/>
        <n v="2523829.1099973922" u="1"/>
        <n v="2223727.89997803" u="1"/>
        <n v="1804027.9255554595" u="1"/>
        <n v="1839774.8812767875" u="1"/>
        <n v="942741.78698965814" u="1"/>
        <n v="541616.87429305247" u="1"/>
        <n v="466479.27323505684" u="1"/>
        <n v="176351.63258951349" u="1"/>
        <n v="3539989.1394795706" u="1"/>
        <n v="2448057.448514346" u="1"/>
        <n v="1373886.9140117285" u="1"/>
        <n v="37870.208887397952" u="1"/>
        <n v="3020722.4955866653" u="1"/>
        <n v="9013.1815595367025" u="1"/>
        <n v="6030.1465768091057" u="1"/>
        <n v="17365.227956348659" u="1"/>
        <n v="25466.570272736139" u="1"/>
        <n v="60358.062041875419" u="1"/>
        <n v="27729.275041468751" u="1"/>
        <n v="221788.03562885779" u="1"/>
        <n v="299789.2308022342" u="1"/>
        <n v="812717.85007622873" u="1"/>
        <n v="24248.382633350935" u="1"/>
        <n v="212583.11038124107" u="1"/>
        <n v="188294.59534534178" u="1"/>
        <n v="92508.157922220853" u="1"/>
        <n v="366001.3128803462" u="1"/>
        <n v="138146.59025988088" u="1"/>
        <n v="33755.408342964402" u="1"/>
        <n v="3545424.0801574844" u="1"/>
        <n v="2917305.2153425026" u="1"/>
        <n v="1531635.9289014488" u="1"/>
        <n v="167087.55588015806" u="1"/>
        <n v="291209.74024827551" u="1"/>
        <n v="35584.483517107903" u="1"/>
        <n v="20054.92408977971" u="1"/>
        <n v="582849.29898711224" u="1"/>
        <n v="88689.013787817225" u="1"/>
        <n v="612824.4057921638" u="1"/>
        <n v="1283378.6469125748" u="1"/>
        <n v="284208.42007752525" u="1"/>
        <n v="390786.57760659722" u="1"/>
        <n v="1083544.6015455648" u="1"/>
        <n v="64066.142854620601" u="1"/>
        <n v="105413.56327713792" u="1"/>
        <n v="19875.862267549535" u="1"/>
        <n v="18955.353323674775" u="1"/>
        <n v="143336.52652946534" u="1"/>
        <n v="121437.89053190814" u="1"/>
        <n v="282781.97310895153" u="1"/>
        <n v="90322.413889624135" u="1"/>
        <n v="19749.541119863781" u="1"/>
        <n v="379162.89730108267" u="1"/>
        <n v="113513.45066144073" u="1"/>
        <n v="4877531.0831087809" u="1"/>
        <n v="271716.9282929505" u="1"/>
        <n v="132224.09476374366" u="1"/>
        <n v="92546.060655957233" u="1"/>
        <n v="24914.61111013023" u="1"/>
        <n v="2208833.1708042747" u="1"/>
        <n v="835437.77940079023" u="1"/>
        <n v="335138.34691758949" u="1"/>
        <n v="129064.26274463338" u="1"/>
        <n v="1752321.0792653058" u="1"/>
        <n v="366689.41103144363" u="1"/>
        <n v="247384.55646208991" u="1"/>
        <n v="95584.831422395349" u="1"/>
        <n v="333409.22733059432" u="1"/>
        <n v="401194.60080279555" u="1"/>
        <n v="14323.843010011095" u="1"/>
        <n v="13927.030617902577" u="1"/>
        <n v="27037.008772888203" u="1"/>
        <n v="20384.681817379285" u="1"/>
        <n v="132916.79890130914" u="1"/>
        <n v="18233.489354166093" u="1"/>
        <n v="39136.183087461999" u="1"/>
        <n v="36284.733634935124" u="1"/>
        <n v="81538.727269517141" u="1"/>
        <n v="16721.82368282467" u="1"/>
        <n v="11859.449420443032" u="1"/>
        <n v="85149.824296151157" u="1"/>
        <n v="443086.90147137025" u="1"/>
        <n v="234365.99069665823" u="1"/>
        <n v="26753.610596113529" u="1"/>
        <n v="300195.14370688598" u="1"/>
        <n v="380101.00712516677" u="1"/>
        <n v="46854.510150229384" u="1"/>
        <n v="682766.32167061721" u="1"/>
        <n v="5173601.7905683173" u="1"/>
        <n v="485707.74915592687" u="1"/>
        <n v="66437.194838062846" u="1"/>
        <n v="28556.058954947013" u="1"/>
        <n v="90505.759435085609" u="1"/>
        <n v="269090.5304698546" u="1"/>
        <n v="89202.4764992204" u="1"/>
        <n v="124166.8840887916" u="1"/>
        <n v="61231.316369276647" u="1"/>
        <n v="328207.69905031042" u="1"/>
        <n v="255343.50241340153" u="1"/>
        <n v="499030.01884706086" u="1"/>
        <n v="466279.43918968982" u="1"/>
        <n v="349709.57939226739" u="1"/>
        <n v="206472.47976619532" u="1"/>
        <n v="52214.861212549389" u="1"/>
        <n v="155800.43817736703" u="1"/>
        <n v="57242.235063684486" u="1"/>
        <n v="164196.97394322648" u="1"/>
        <n v="103346.63066386071" u="1"/>
        <n v="1973697.6422791565" u="1"/>
        <n v="1837098.5889729951" u="1"/>
        <n v="53967.610532668055" u="1"/>
        <n v="237302.92887332424" u="1"/>
        <n v="545123.15105901554" u="1"/>
        <n v="321434.68562445411" u="1"/>
        <n v="55874.07868632485" u="1"/>
        <n v="27569.446720226078" u="1"/>
        <n v="533447.33130480768" u="1"/>
        <n v="205324.22282393515" u="1"/>
        <n v="419664.47993903572" u="1"/>
        <n v="238099.76712922522" u="1"/>
        <n v="10812748.607486431" u="1"/>
        <n v="3569054.6183304875" u="1"/>
        <n v="71947.326484021047" u="1"/>
        <n v="391192.08879807283" u="1"/>
        <n v="79736.251188416791" u="1"/>
        <n v="225312.88615130368" u="1"/>
        <n v="3041004.7747263056" u="1"/>
        <n v="209872.53918610013" u="1"/>
        <n v="46275.1667116873" u="1"/>
        <n v="319169.23374463088" u="1"/>
        <n v="556848.69852208614" u="1"/>
        <n v="297109.98651525495" u="1"/>
        <n v="185652.83986684226" u="1"/>
        <n v="973511.71070294781" u="1"/>
        <n v="292403.22279027657" u="1"/>
        <n v="7242.0559213093402" u="1"/>
        <n v="16712.436741483089" u="1"/>
        <n v="284048.84499626869" u="1"/>
        <n v="325795.71575663239" u="1"/>
        <n v="47212.253993141523" u="1"/>
        <n v="101446.01607009597" u="1"/>
        <n v="35578.348261329091" u="1"/>
        <n v="38556.674094398906" u="1"/>
        <n v="82990.132458599037" u="1"/>
        <n v="8401101.1752389874" u="1"/>
        <n v="291740.17693360936" u="1"/>
        <n v="301685.86478361866" u="1"/>
        <n v="20527.899722419421" u="1"/>
        <n v="64325.235290469893" u="1"/>
        <n v="63652.402240060212" u="1"/>
        <n v="4333517.8436434083" u="1"/>
        <n v="23606.126996570762" u="1"/>
        <n v="37392.105162568092" u="1"/>
        <n v="1230147.9407244488" u="1"/>
        <n v="331522.92833364697" u="1"/>
        <n v="3385966.4452258721" u="1"/>
        <n v="366001.31288034614" u="1"/>
        <n v="33048.57779519906" u="1"/>
        <n v="173111.59797485225" u="1"/>
        <n v="59297.247102215151" u="1"/>
        <n v="5671199.2499141945" u="1"/>
        <n v="169303.8439914945" u="1"/>
        <n v="407161.86743528274" u="1"/>
        <n v="2229814.889553552" u="1"/>
        <n v="72840.540194322602" u="1"/>
        <n v="1353975.5094608341" u="1"/>
        <n v="3009669.718685288" u="1"/>
        <n v="139643.35569971416" u="1"/>
        <n v="349108.38924928539" u="1"/>
        <n v="357362.41828038829" u="1"/>
        <n v="3382257.8291850984" u="1"/>
        <n v="179061.82223017598" u="1"/>
        <n v="106227.57148456843" u="1"/>
        <n v="1773182.0444946548" u="1"/>
        <n v="583890.10130673205" u="1"/>
        <n v="4692934.2465504464" u="1"/>
        <n v="270204.84483990603" u="1"/>
        <n v="277147.27020711766" u="1"/>
        <n v="273720.60203682265" u="1"/>
        <n v="1088964.0613825261" u="1"/>
        <n v="173548.66191033332" u="1"/>
        <n v="729350.4423340233" u="1"/>
        <n v="696198.1495006585" u="1"/>
        <n v="297483.2145751327" u="1"/>
        <n v="136761.83056893226" u="1"/>
        <n v="210564.25064577293" u="1"/>
        <n v="713539.98557703779" u="1"/>
        <n v="69062.856430465326" u="1"/>
        <n v="636589.59497559245" u="1"/>
        <n v="312173.74368995405" u="1"/>
        <n v="1049323.5082015262" u="1"/>
        <n v="384839.59951835213" u="1"/>
        <n v="876049.60187273705" u="1"/>
        <n v="39343.544994284603" u="1"/>
        <n v="40392.706194132188" u="1"/>
        <n v="140438.92632737083" u="1"/>
        <n v="1100151.8829894727" u="1"/>
        <n v="211775.88250791124" u="1"/>
        <n v="62949.671990855364" u="1"/>
        <n v="11294.713733755269" u="1"/>
        <n v="208609.65229348882" u="1"/>
        <n v="58811.574411663678" u="1"/>
        <n v="384751.95300722629" u="1"/>
        <n v="33424.873482966184" u="1"/>
        <n v="712143.24103723455" u="1"/>
        <n v="300397.89930262387" u="1"/>
        <n v="80028.406225503073" u="1"/>
        <n v="209832.23996951786" u="1"/>
        <n v="625221.92363674263" u="1"/>
        <n v="19306.909809826495" u="1"/>
        <n v="689627.29056155123" u="1"/>
        <n v="3074941.4778649104" u="1"/>
        <n v="1783252.9938168151" u="1"/>
        <n v="1172270.3516381327" u="1"/>
        <n v="278479.25980026345" u="1"/>
        <n v="1704364.5116226808" u="1"/>
        <n v="197214.38853446968" u="1"/>
        <n v="198029.17647123249" u="1"/>
        <n v="337484.05971035524" u="1"/>
        <n v="5137133.7328340486" u="1"/>
        <n v="403989.55065758765" u="1"/>
        <n v="159114.27972427732" u="1"/>
        <n v="216157.33159909409" u="1"/>
        <n v="142957.95198047027" u="1"/>
        <n v="32902.865470452285" u="1"/>
        <n v="47341.474166044776" u="1"/>
        <n v="289496.42624878674" u="1"/>
        <n v="21712231.968659006" u="1"/>
        <n v="2101450.0816755411" u="1"/>
        <n v="8624.0055887999988" u="1"/>
        <n v="98858.834612999985" u="1"/>
        <n v="497002.23168750003" u="1"/>
        <n v="642208.75488000002" u="1"/>
        <n v="71986.975829999996" u="1"/>
        <n v="374257.42848" u="1"/>
        <n v="119746.18655999997" u="1"/>
        <n v="176236.14240000001" u="1"/>
        <n v="392006.58750000002" u="1"/>
        <n v="398268.41076000006" u="1"/>
        <n v="29094.694964999995" u="1"/>
        <n v="408557.97674999997" u="1"/>
        <n v="72772.102903499996" u="1"/>
        <n v="82483.327080000003" u="1"/>
        <n v="63364.373226000003" u="1"/>
        <n v="156129.04800000004" u="1"/>
        <n v="184476.57983999999" u="1"/>
        <n v="26662.630679999998" u="1"/>
        <n v="74134.352249999996" u="1"/>
        <n v="102601.37160000001" u="1"/>
        <n v="40442.49" u="1"/>
        <n v="695358.27899999998" u="1"/>
        <n v="67753.590299999996" u="1"/>
        <n v="450197.78759999998" u="1"/>
        <n v="182823.79680000001" u="1"/>
        <n v="84743.64" u="1"/>
        <n v="324602.04600000009" u="1"/>
        <n v="29281.297500000001" u="1"/>
        <n v="54458.208000000006" u="1"/>
        <n v="130893.14016" u="1"/>
        <n v="68629.680000000008" u="1"/>
        <n v="46839.756599999993" u="1"/>
        <n v="52044.173999999999" u="1"/>
        <n v="405951.91200000001" u="1"/>
        <n v="451496.87100000004" u="1"/>
        <n v="66421.910362499999" u="1"/>
        <n v="43485.480990000004" u="1"/>
        <n v="128620.8" u="1"/>
        <n v="44192.23515" u="1"/>
        <n v="19608.480000000003" u="1"/>
        <n v="967343.73120000004" u="1"/>
        <n v="120266.76419999999" u="1"/>
        <n v="1456636.5" u="1"/>
        <n v="490398.67007999995" u="1"/>
        <n v="187820.42400000003" u="1"/>
        <n v="1523280" u="1"/>
        <n v="1043204.6000000002" u="1"/>
        <n v="83619.820899999992" u="1"/>
        <n v="493098.43" u="1"/>
        <n v="22969.438833600001" u="1"/>
        <n v="180378.89654399999" u="1"/>
        <n v="219223.79324999999" u="1"/>
        <n v="72198.902159999998" u="1"/>
        <n v="116970.19488000001" u="1"/>
        <n v="26868.718800000002" u="1"/>
        <n v="57355.199999999997" u="1"/>
        <n v="34445.808305999999" u="1"/>
        <n v="314799.10896500002" u="1"/>
        <n v="606988.99800000002" u="1"/>
        <n v="646952.24880000006" u="1"/>
        <n v="176028.1488" u="1"/>
        <n v="121551.17007599998" u="1"/>
        <n v="15301.330304399999" u="1"/>
        <n v="370751.1191999999" u="1"/>
        <n v="52393.975199999993" u="1"/>
        <n v="1441818.7937999999" u="1"/>
        <n v="3384728.1599999997" u="1"/>
        <n v="665636.20249499998" u="1"/>
        <n v="65565.854999999996" u="1"/>
        <n v="30147.919956000002" u="1"/>
        <n v="23443.898687999997" u="1"/>
        <n v="7182.0960120000009" u="1"/>
        <n v="29786.045750999998" u="1"/>
        <n v="35123.790240000002" u="1"/>
        <n v="155703.5865" u="1"/>
        <n v="23548.558950000002" u="1"/>
        <n v="46942.701120000005" u="1"/>
        <n v="45824.070599999999" u="1"/>
        <n v="171844.26336000001" u="1"/>
        <n v="71783.046719999998" u="1"/>
        <n v="77077.206359999996" u="1"/>
        <n v="15542.048907" u="1"/>
        <n v="222689.01375000001" u="1"/>
        <n v="23537.817765" u="1"/>
        <n v="93976.495200000005" u="1"/>
        <n v="102024.53414999999" u="1"/>
        <n v="84736.143954000014" u="1"/>
        <n v="30890.16" u="1"/>
        <n v="55330.76587499999" u="1"/>
        <n v="65897.092799999999" u="1"/>
        <n v="26022.087" u="1"/>
        <n v="24924.600000000002" u="1"/>
        <n v="391006.93500000006" u="1"/>
        <n v="54646.382699999995" u="1"/>
        <n v="21418.1793" u="1"/>
        <n v="47354.738507999995" u="1"/>
        <n v="74757.33" u="1"/>
        <n v="19211.735087999998" u="1"/>
        <n v="60190.697699999997" u="1"/>
        <n v="24740.999640000005" u="1"/>
        <n v="12536.354880000001" u="1"/>
        <n v="23124.934080000003" u="1"/>
        <n v="11529.786240000001" u="1"/>
        <n v="89076.235247999997" u="1"/>
        <n v="20932.0524" u="1"/>
        <n v="11766.4697304" u="1"/>
        <n v="17068.77333" u="1"/>
        <n v="10431.711360000001" u="1"/>
        <n v="9593.8573500000002" u="1"/>
        <n v="25869.100004999997" u="1"/>
        <n v="8374.6656000000003" u="1"/>
        <n v="12335.956214399999" u="1"/>
        <n v="8556.0622056000011" u="1"/>
        <n v="13173.2383104" u="1"/>
        <n v="19595.188305" u="1"/>
        <n v="331084.908" u="1"/>
        <n v="53085.057480000003" u="1"/>
        <n v="20817.669599999997" u="1"/>
        <n v="79488.368190000008" u="1"/>
        <n v="71517.845699999991" u="1"/>
        <n v="12313.161" u="1"/>
        <n v="24006.374884800003" u="1"/>
        <n v="24909.71427" u="1"/>
        <n v="26165.065500000001" u="1"/>
        <n v="268697.64095999999" u="1"/>
        <n v="12801.951741600002" u="1"/>
        <n v="46197.578880000008" u="1"/>
        <n v="30389.435999999998" u="1"/>
        <n v="64540.494900000005" u="1"/>
        <n v="408510" u="1"/>
        <n v="69337.423574999993" u="1"/>
        <n v="31398.078600000001" u="1"/>
        <n v="67858.617375000002" u="1"/>
        <n v="32343.156846000002" u="1"/>
        <n v="7681.7200823999992" u="1"/>
        <n v="26097.579647999999" u="1"/>
        <n v="28262.175480000002" u="1"/>
        <n v="59601.681216000004" u="1"/>
        <n v="67320.597959999999" u="1"/>
        <n v="60982.045991999992" u="1"/>
        <n v="19785.147479999996" u="1"/>
        <n v="13531" u="1"/>
        <n v="56516.54148" u="1"/>
        <n v="109030.09886999999" u="1"/>
        <n v="51953.939729999998" u="1"/>
        <n v="17375.715" u="1"/>
        <n v="19828.830294000003" u="1"/>
        <n v="52627.145709600009" u="1"/>
        <n v="23784.187518000006" u="1"/>
        <n v="124845.5610864" u="1"/>
        <n v="108890.71875" u="1"/>
        <n v="39727.434096000005" u="1"/>
        <n v="42772.971225599998" u="1"/>
        <n v="16327.000872000001" u="1"/>
        <n v="84757.654800000004" u="1"/>
        <n v="35585.709667199997" u="1"/>
        <n v="70377.081525000016" u="1"/>
        <n v="104116.38750000001" u="1"/>
        <n v="85730.198400000008" u="1"/>
        <n v="91808.085599999991" u="1"/>
        <n v="98905.715999999986" u="1"/>
        <n v="79121.067299999995" u="1"/>
        <n v="55121.071319999995" u="1"/>
        <n v="110139.49099999998" u="1"/>
        <n v="71528.278140000024" u="1"/>
        <n v="50486.129971200004" u="1"/>
        <n v="55430.331264000008" u="1"/>
        <n v="28882.119974400004" u="1"/>
        <n v="41831.458514999998" u="1"/>
        <n v="20588.903999999999" u="1"/>
        <n v="44903.419200000004" u="1"/>
        <n v="7550.5720320000009" u="1"/>
        <n v="30158.766" u="1"/>
        <n v="92097.435672000036" u="1"/>
        <n v="45099.504000000001" u="1"/>
        <n v="346988.63606400002" u="1"/>
        <n v="102444.38819999999" u="1"/>
        <n v="26752.620232800004" u="1"/>
        <n v="102821.48640000001" u="1"/>
        <n v="256110.97049999994" u="1"/>
        <n v="116103.63995999999" u="1"/>
        <n v="16842.001680000001" u="1"/>
        <n v="25320.920435999997" u="1"/>
        <n v="13154.022000000001" u="1"/>
        <n v="23179.674420000003" u="1"/>
        <n v="42982.818278400002" u="1"/>
        <n v="37174.410000000003" u="1"/>
        <n v="223008.19200000001" u="1"/>
        <n v="31331.736576000003" u="1"/>
        <n v="28276.2505872" u="1"/>
        <n v="294788.95380000008" u="1"/>
        <n v="10459.163232000001" u="1"/>
        <n v="36655.577758799998" u="1"/>
        <n v="31258.531584" u="1"/>
        <n v="7619.2670736000009" u="1"/>
        <n v="12490.60176" u="1"/>
        <n v="30738.776140799997" u="1"/>
        <n v="31576.515768000001" u="1"/>
        <n v="72784.298664000002" u="1"/>
        <n v="61215.74870400002" u="1"/>
        <n v="10712.756023200001" u="1"/>
        <n v="11473.291872000002" u="1"/>
        <n v="68686.523136000003" u="1"/>
        <n v="305361.22500000003" u="1"/>
        <n v="355432.00000000006" u="1"/>
        <n v="178330.86562500001" u="1"/>
        <n v="1205910.1656250001" u="1"/>
        <n v="170626.40100000001" u="1"/>
        <n v="490777.96680000005" u="1"/>
        <n v="127755.5895" u="1"/>
        <n v="878579.24399999995" u="1"/>
        <n v="279039.00024000002" u="1"/>
        <n v="13619.788761600001" u="1"/>
        <n v="408561.75000000006" u="1"/>
        <n v="623726.03700000001" u="1"/>
        <n v="3011417.7059999998" u="1"/>
        <n v="1511373.2479999999" u="1"/>
        <n v="241212.14963999996" u="1"/>
        <n v="38489.820137999995" u="1"/>
        <n v="317439.36576000002" u="1"/>
        <n v="55932.791039999996" u="1"/>
        <n v="277349.69429999997" u="1"/>
        <n v="1473552.64" u="1"/>
        <n v="421696.26674999995" u="1"/>
        <n v="87689.517299999992" u="1"/>
        <n v="359459.10000000003" u="1"/>
        <n v="76355.421119999999" u="1"/>
        <n v="613227.375" u="1"/>
        <n v="1519093.4400000002" u="1"/>
        <n v="347557.5" u="1"/>
        <n v="69374.802240000019" u="1"/>
        <n v="435253.83957000001" u="1"/>
        <n v="372841.821" u="1"/>
        <n v="105903.30009600002" u="1"/>
        <n v="301647.14117999998" u="1"/>
        <n v="108110.376" u="1"/>
        <n v="417767.0400000001" u="1"/>
        <n v="791862.14015999984" u="1"/>
        <n v="669324.47175000003" u="1"/>
        <n v="382609.85400000005" u="1"/>
        <n v="116683.43840999999" u="1"/>
        <n v="1256206.3359999999" u="1"/>
        <n v="619304.71680000005" u="1"/>
        <n v="177570.27287999997" u="1"/>
        <n v="51859.159821000008" u="1"/>
        <n v="65910.760473599992" u="1"/>
        <n v="172320.12" u="1"/>
        <n v="37788.023700000005" u="1"/>
        <n v="851264.08289999992" u="1"/>
        <n v="83106" u="1"/>
        <n v="534096.48" u="1"/>
        <n v="412428.06000000006" u="1"/>
        <n v="661281.23599999992" u="1"/>
        <n v="310236.75" u="1"/>
        <n v="375815.25" u="1"/>
        <n v="261052.875" u="1"/>
        <n v="189168.75" u="1"/>
        <n v="277049.92499999999" u="1"/>
        <n v="226730.61000000002" u="1"/>
        <n v="164467.80000000002" u="1"/>
        <n v="431809.1999999999" u="1"/>
        <n v="199863.09" u="1"/>
        <n v="150326.1" u="1"/>
        <n v="242136" u="1"/>
        <n v="338507.4" u="1"/>
        <n v="205285.30000000002" u="1"/>
        <n v="17651.52" u="1"/>
        <n v="3513064.5" u="1"/>
        <n v="100996.875" u="1"/>
        <n v="147299.4" u="1"/>
        <n v="95341.049999999988" u="1"/>
        <n v="116587.79999999999" u="1"/>
        <n v="203797.8" u="1"/>
        <n v="255931.42500000002" u="1"/>
        <n v="694991.02500000002" u="1"/>
        <n v="739233" u="1"/>
        <n v="560025" u="1"/>
        <n v="342000" u="1"/>
        <n v="574560" u="1"/>
        <n v="564300" u="1"/>
        <n v="615600" u="1"/>
        <n v="322848.00000000006" u="1"/>
        <n v="356735.92499999999" u="1"/>
        <n v="120127.56839999999" u="1"/>
        <n v="101266.19999999998" u="1"/>
        <n v="169303.67999999999" u="1"/>
        <n v="104186.87999999999" u="1"/>
        <n v="150206.39999999999" u="1"/>
        <n v="508896.00000000012" u="1"/>
        <n v="2005445.1199999999" u="1"/>
        <n v="562825.125" u="1"/>
        <n v="467620.87499999994" u="1"/>
        <n v="392017.5" u="1"/>
        <n v="204745.14" u="1"/>
        <n v="176299.63199999998" u="1"/>
        <n v="244170.90000000002" u="1"/>
        <n v="237450.59999999998" u="1"/>
        <n v="211591.44562500002" u="1"/>
        <n v="408818.25" u="1"/>
        <n v="305213.625" u="1"/>
        <n v="207685.38599999994" u="1"/>
        <n v="244967.75999999998" u="1"/>
        <n v="79170.847499999989" u="1"/>
        <n v="93383.099999999991" u="1"/>
        <n v="62339.25" u="1"/>
        <n v="182279.16" u="1"/>
        <n v="42689.159999999989" u="1"/>
        <n v="716832" u="1"/>
        <n v="355174.15920000005" u="1"/>
        <n v="582426" u="1"/>
        <n v="797335.59374999988" u="1"/>
        <n v="116329.43999999999" u="1"/>
        <n v="548824.5" u="1"/>
        <n v="292067.99999999994" u="1"/>
        <n v="266571.90000000002" u="1"/>
        <n v="294975" u="1"/>
        <n v="208756.80000000002" u="1"/>
        <n v="268316.10000000003" u="1"/>
        <n v="124159.81089600002" u="1"/>
        <n v="2098617.6639999999" u="1"/>
        <n v="4176326" u="1"/>
        <n v="323361" u="1"/>
        <n v="208620" u="1"/>
        <n v="142904.69999999998" u="1"/>
        <n v="278760.24" u="1"/>
        <n v="1495146.6000000003" u="1"/>
        <n v="85021.873200000002" u="1"/>
        <n v="81652.651991999999" u="1"/>
        <n v="226706.90625" u="1"/>
        <n v="422678.46499999997" u="1"/>
        <n v="212531.62499999997" u="1"/>
        <n v="234697.50000000003" u="1"/>
        <n v="207089.55" u="1"/>
        <n v="471741.97500000009" u="1"/>
        <n v="371198.25000000006" u="1"/>
        <n v="78318" u="1"/>
        <n v="39393.954000000005" u="1"/>
        <n v="154897.18776000003" u="1"/>
        <n v="135809.1495" u="1"/>
        <n v="352952.64" u="1"/>
        <n v="49836.124800000005" u="1"/>
        <n v="15980.584392000004" u="1"/>
        <n v="60491.180376000004" u="1"/>
        <n v="820337.10120000003" u="1"/>
        <n v="203715.76680000001" u="1"/>
        <n v="20129.085144000004" u="1"/>
        <n v="33897.245184000007" u="1"/>
        <n v="90403.425000000003" u="1"/>
        <n v="100393.02" u="1"/>
        <n v="181909.503" u="1"/>
        <n v="33879.069000000003" u="1"/>
        <n v="319888.8" u="1"/>
        <n v="1662153.696" u="1"/>
        <n v="134084.94749999998" u="1"/>
        <n v="7767.5270399999999" u="1"/>
        <n v="52875.357393599996" u="1"/>
        <n v="649774.125" u="1"/>
        <n v="131474.29680000004" u="1"/>
        <n v="126319.41" u="1"/>
        <n v="97692.919909199976" u="1"/>
        <n v="286941.85304399999" u="1"/>
        <n v="307330.63199999993" u="1"/>
        <n v="47005.056000000004" u="1"/>
        <n v="41177.807999999997" u="1"/>
        <n v="87969.42" u="1"/>
        <n v="185834.25" u="1"/>
        <n v="265477.5" u="1"/>
        <n v="256602.6" u="1"/>
        <n v="114709.83876000001" u="1"/>
        <n v="73833.990912000023" u="1"/>
        <n v="135895.61700000003" u="1"/>
        <n v="51801.421320000001" u="1"/>
        <n v="407460.9375" u="1"/>
        <n v="68017.498560000007" u="1"/>
        <n v="215924.94" u="1"/>
        <n v="1625035.1039999998" u="1"/>
        <n v="1045579.3920000002" u="1"/>
        <n v="37992.247019999995" u="1"/>
        <n v="393874.50960000005" u="1"/>
        <n v="163667.10591000001" u="1"/>
        <n v="539812.35" u="1"/>
        <n v="214122.35249999995" u="1"/>
        <n v="390846.02760000003" u="1"/>
        <n v="2509299.1439999999" u="1"/>
        <n v="1654356.3926400002" u="1"/>
        <n v="156813.44" u="1"/>
        <n v="881105.00624999998" u="1"/>
        <n v="78023.367449999991" u="1"/>
        <n v="790477.06275000004" u="1"/>
        <n v="1386032.0319999999" u="1"/>
        <n v="1793820.875" u="1"/>
        <n v="2139667.6" u="1"/>
        <n v="1554959.4637499999" u="1"/>
        <n v="1370063.7373500001" u="1"/>
        <n v="1111481.8688000001" u="1"/>
        <n v="1133505.9697499999" u="1"/>
        <n v="580833.80437500007" u="1"/>
        <n v="333696.24" u="1"/>
        <n v="287403.12000000005" u="1"/>
        <n v="108652.22172000002" u="1"/>
        <n v="2181027.0719999997" u="1"/>
        <n v="1508275.692" u="1"/>
        <n v="846467.1599999998" u="1"/>
        <n v="23332.2610752" u="1"/>
        <n v="1861101.06" u="1"/>
        <n v="5553.1223999999993" u="1"/>
        <n v="3715.2410400000003" u="1"/>
        <n v="10698.912" u="1"/>
        <n v="15690.240000000002" u="1"/>
        <n v="37187.279999999999" u="1"/>
        <n v="17084.317824000002" u="1"/>
        <n v="136646.1" u="1"/>
        <n v="184703.51249999998" u="1"/>
        <n v="500724.59633999999" u="1"/>
        <n v="14939.700912" u="1"/>
        <n v="130974.84216000001" u="1"/>
        <n v="116010.41522400003" u="1"/>
        <n v="56995.315200000012" u="1"/>
        <n v="225497.52000000002" u="1"/>
        <n v="85113.666000000027" u="1"/>
        <n v="20797.086240000004" u="1"/>
        <n v="2184375.6" u="1"/>
        <n v="1797384.5119999996" u="1"/>
        <n v="943658.1" u="1"/>
        <n v="102944.52000000002" u="1"/>
        <n v="179417.59200000003" u="1"/>
        <n v="21924" u="1"/>
        <n v="12356.064" u="1"/>
        <n v="359100" u="1"/>
        <n v="54642.297600000005" u="1"/>
        <n v="377568.00000000006" u="1"/>
        <n v="790704" u="1"/>
        <n v="175104.00000000003" u="1"/>
        <n v="240768" u="1"/>
        <n v="667584" u="1"/>
        <n v="39471.870240000004" u="1"/>
        <n v="64946.480400000008" u="1"/>
        <n v="12245.742000000004" u="1"/>
        <n v="11678.606099999999" u="1"/>
        <n v="88311.244032000017" u="1"/>
        <n v="74819.248416000002" u="1"/>
        <n v="174225.15000000002" u="1"/>
        <n v="55648.65374999999" u="1"/>
        <n v="12167.914122000002" u="1"/>
        <n v="233606.51999999996" u="1"/>
        <n v="69936.912000000011" u="1"/>
        <n v="3005101.6875" u="1"/>
        <n v="167407.85160000002" u="1"/>
        <n v="81464.75" u="1"/>
        <n v="57018.667499999996" u="1"/>
        <n v="15350.171759999999" u="1"/>
        <n v="1360886.9273999999" u="1"/>
        <n v="514722.6" u="1"/>
        <n v="206482.5" u="1"/>
        <n v="79517.941999999995" u="1"/>
        <n v="1079624.7" u="1"/>
        <n v="225921.465" u="1"/>
        <n v="152416.40400000001" u="1"/>
        <n v="58890.888302400002" u="1"/>
        <n v="205417.16999999995" u="1"/>
        <n v="247180.50000000003" u="1"/>
        <n v="8825.0805720000008" u="1"/>
        <n v="8580.6" u="1"/>
        <n v="16657.804800000002" u="1"/>
        <n v="12559.23144" u="1"/>
        <n v="81891.532800000001" u="1"/>
        <n v="11233.857600000001" u="1"/>
        <n v="24112.241999999995" u="1"/>
        <n v="22355.431963200001" u="1"/>
        <n v="50236.925759999998" u="1"/>
        <n v="10302.5034" u="1"/>
        <n v="7306.74" u="1"/>
        <n v="52461.763199999994" u="1"/>
        <n v="272990.81700000004" u="1"/>
        <n v="144395.51940000002" u="1"/>
        <n v="16483.2" u="1"/>
        <n v="184953.60000000001" u="1"/>
        <n v="234184.5" u="1"/>
        <n v="28867.590000000004" u="1"/>
        <n v="420660" u="1"/>
        <n v="3187514.1760000004" u="1"/>
        <n v="299250" u="1"/>
        <n v="40932.701999999997" u="1"/>
        <n v="17593.708680000003" u="1"/>
        <n v="55761.614999999998" u="1"/>
        <n v="165789.69840000005" u="1"/>
        <n v="54958.647744000002" u="1"/>
        <n v="76500.612000000008" u="1"/>
        <n v="37725.301800000001" u="1"/>
        <n v="202212.45" u="1"/>
        <n v="157320" u="1"/>
        <n v="307458" u="1"/>
        <n v="287280" u="1"/>
        <n v="215460" u="1"/>
        <n v="127210.01400000002" u="1"/>
        <n v="32170.162499999999" u="1"/>
        <n v="95990.400000000009" u="1"/>
        <n v="35267.58400000001" u="1"/>
        <n v="101163.59999999999" u="1"/>
        <n v="63673.020000000004" u="1"/>
        <n v="1216017.2871000001" u="1"/>
        <n v="1131857.0759999999" u="1"/>
        <n v="33250.051044" u="1"/>
        <n v="146205" u="1"/>
        <n v="335856.49649999995" u="1"/>
        <n v="198039.52035000004" u="1"/>
        <n v="34424.647488000002" u="1"/>
        <n v="16985.845799999999" u="1"/>
        <n v="328662.89280000003" u="1"/>
        <n v="126502.56" u="1"/>
        <n v="258560" u="1"/>
        <n v="146695.94100000002" u="1"/>
        <n v="6661855.8720000004" u="1"/>
        <n v="2198934.64" u="1"/>
        <n v="44327.555999999997" u="1"/>
        <n v="241017.84" u="1"/>
        <n v="49126.399999999994" u="1"/>
        <n v="138817.80000000002" u="1"/>
        <n v="1873597.2000000002" u="1"/>
        <n v="129304.82879999999" u="1"/>
        <n v="28510.649999999998" u="1"/>
        <n v="196643.75" u="1"/>
        <n v="343080.73800000001" u="1"/>
        <n v="183052.79999999999" u="1"/>
        <n v="114382.8" u="1"/>
        <n v="599791.5" u="1"/>
        <n v="180152.91" u="1"/>
        <n v="4461.9120000000003" u="1"/>
        <n v="10296.719999999999" u="1"/>
        <n v="175005.68399999998" u="1"/>
        <n v="200726.39999999999" u="1"/>
        <n v="29088" u="1"/>
        <n v="62502.03" u="1"/>
        <n v="21920.22" u="1"/>
        <n v="23755.199999999997" u="1"/>
        <n v="51131.152799999989" u="1"/>
        <n v="5176012.8000000007" u="1"/>
        <n v="179744.40000000002" u="1"/>
        <n v="185872.05000000002" u="1"/>
        <n v="12647.469600000002" u="1"/>
        <n v="39631.5" u="1"/>
        <n v="39216.960000000006" u="1"/>
        <n v="2669929.0200000005" u="1"/>
        <n v="14544" u="1"/>
        <n v="23037.696000000004" u="1"/>
        <n v="757907.96400000004" u="1"/>
        <n v="204255.00000000003" u="1"/>
        <n v="2086131.9600000004" u="1"/>
        <n v="225497.52" u="1"/>
        <n v="20361.600000000002" u="1"/>
        <n v="106656" u="1"/>
        <n v="36533.700000000004" u="1"/>
        <n v="3494089.56" u="1"/>
        <n v="104310" u="1"/>
        <n v="250857.00000000003" u="1"/>
        <n v="1373814" u="1"/>
        <n v="44877.875" u="1"/>
        <n v="834199.52" u="1"/>
        <n v="1854291.3199999996" u="1"/>
        <n v="86035.839999999997" u="1"/>
        <n v="215089.6" u="1"/>
        <n v="220175" u="1"/>
        <n v="2083847.04" u="1"/>
        <n v="110322" u="1"/>
        <n v="65448" u="1"/>
        <n v="1092477.375" u="1"/>
        <n v="359741.25" u="1"/>
        <n v="2891369.503" u="1"/>
        <n v="166476.24" u="1"/>
        <n v="170753.54625000001" u="1"/>
        <n v="168642.33750000002" u="1"/>
        <n v="670922.99007999978" u="1"/>
        <n v="106925.28" u="1"/>
        <n v="449361" u="1"/>
        <n v="428935.5" u="1"/>
        <n v="183282.75" u="1"/>
        <n v="84260.5" u="1"/>
        <n v="129731" u="1"/>
        <n v="439620" u="1"/>
        <n v="42550.401600000005" u="1"/>
        <n v="392210" u="1"/>
        <n v="192333.75" u="1"/>
        <n v="646500" u="1"/>
        <n v="237103.99999999997" u="1"/>
        <n v="539744" u="1"/>
        <n v="24240" u="1"/>
        <n v="24886.400000000001" u="1"/>
        <n v="86526" u="1"/>
        <n v="677815.9326399999" u="1"/>
        <n v="130477.5" u="1"/>
        <n v="38784.000000000007" u="1"/>
        <n v="6958.8" u="1"/>
        <n v="128526.75000000001" u="1"/>
        <n v="36234.471599999997" u="1"/>
        <n v="237050.00000000003" u="1"/>
        <n v="20593.439999999999" u="1"/>
        <n v="438759.44999999995" u="1"/>
        <n v="185078.52000000002" u="1"/>
        <n v="49306.400000000001" u="1"/>
        <n v="129280" u="1"/>
        <n v="385206.25" u="1"/>
        <n v="11895.204" u="1"/>
        <n v="424887.11999999994" u="1"/>
        <n v="1894505.9839999999" u="1"/>
        <n v="1098682.2" u="1"/>
        <n v="722248.93124999991" u="1"/>
        <n v="171574.2" u="1"/>
        <n v="1050078.1200000001" u="1"/>
        <n v="121505.99999999999" u="1"/>
        <n v="122008" u="1"/>
        <n v="207927.72000000003" u="1"/>
        <n v="3165045.7960000001" u="1"/>
        <n v="248902.50000000003" u="1"/>
        <n v="98032.095000000001" u="1"/>
        <n v="133176.95999999999" u="1"/>
        <n v="88078" u="1"/>
        <n v="20271.824999999997" u="1"/>
        <n v="29167.614000000001" u="1"/>
        <n v="178362" u="1"/>
        <n v="13377150" u="1"/>
        <n v="1294727" u="1"/>
        <n v="13754.750621283669" u="1"/>
        <n v="157673.67064076191" u="1"/>
        <n v="792687.53767519712" u="1"/>
        <n v="1024282.8786720013" u="1"/>
        <n v="114814.73316853482" u="1"/>
        <n v="596917.23803968565" u="1"/>
        <n v="190987.69325028872" u="1"/>
        <n v="281085.64682717697" u="1"/>
        <n v="625226.03881025407" u="1"/>
        <n v="635213.25605970831" u="1"/>
        <n v="46404.22243761296" u="1"/>
        <n v="651624.47156002023" u="1"/>
        <n v="116066.96184473553" u="1"/>
        <n v="131555.75825143233" u="1"/>
        <n v="101062.22022043569" u="1"/>
        <n v="249016.08630302935" u="1"/>
        <n v="294228.63019266678" u="1"/>
        <n v="42525.231707533865" u="1"/>
        <n v="118239.66452357524" u="1"/>
        <n v="163642.78353349588" u="1"/>
        <n v="64503.247212199756" u="1"/>
        <n v="1109053.0521584293" u="1"/>
        <n v="108062.74748748157" u="1"/>
        <n v="718037.37079364271" u="1"/>
        <n v="291592.54440721561" u="1"/>
        <n v="135160.81627470657" u="1"/>
        <n v="517720.00237185782" u="1"/>
        <n v="46701.841833588041" u="1"/>
        <n v="86857.442589647515" u="1"/>
        <n v="208766.38847216355" u="1"/>
        <n v="109460.05587524804" u="1"/>
        <n v="74706.488134856787" u="1"/>
        <n v="83007.209038729765" u="1"/>
        <n v="647467.96094902069" u="1"/>
        <n v="720109.32773050468" u="1"/>
        <n v="105938.80110791668" u="1"/>
        <n v="69356.627903954053" u="1"/>
        <n v="205142.14775180514" u="1"/>
        <n v="70483.856674999799" u="1"/>
        <n v="31274.301678642303" u="1"/>
        <n v="1542852.8716398345" u="1"/>
        <n v="191817.98209269342" u="1"/>
        <n v="2323244.2972184303" u="1"/>
        <n v="782155.26909209148" u="1"/>
        <n v="299561.85291192943" u="1"/>
        <n v="2429536.5199669856" u="1"/>
        <n v="1663846.2222950158" u="1"/>
        <n v="133368.39495670437" u="1"/>
        <n v="786461.21765097964" u="1"/>
        <n v="36634.82123403385" u="1"/>
        <n v="287693.0811045866" u="1"/>
        <n v="349648.26673137367" u="1"/>
        <n v="115152.74243687523" u="1"/>
        <n v="186560.15979243169" u="1"/>
        <n v="42853.929395333442" u="1"/>
        <n v="91477.964005311209" u="1"/>
        <n v="54938.914210919291" u="1"/>
        <n v="502084.92968038318" u="1"/>
        <n v="968109.56479384459" u="1"/>
        <n v="1031848.4553951785" u="1"/>
        <n v="280753.91001771356" u="1"/>
        <n v="193866.5292949164" u="1"/>
        <n v="24404.666757665931" u="1"/>
        <n v="591324.89359476452" u="1"/>
        <n v="83565.120118851788" u="1"/>
        <n v="2299610.9807204511" u="1"/>
        <n v="5398430.147366642" u="1"/>
        <n v="1061648.1953243937" u="1"/>
        <n v="104573.44623796019" u="1"/>
        <n v="48084.050558100593" u="1"/>
        <n v="37391.555086984736" u="1"/>
        <n v="11454.994847344708" u="1"/>
        <n v="47506.883788575942" u="1"/>
        <n v="56020.25307739876" u="1"/>
        <n v="248337.50176696898" u="1"/>
        <n v="37558.481672194488" u="1"/>
        <n v="74870.678218669666" u="1"/>
        <n v="73086.532361906837" u="1"/>
        <n v="274080.87389051559" u="1"/>
        <n v="114489.47896692423" u="1"/>
        <n v="122933.33314206949" u="1"/>
        <n v="24788.597903648362" u="1"/>
        <n v="355175.07713687257" u="1"/>
        <n v="37541.350152562358" u="1"/>
        <n v="149886.64402270244" u="1"/>
        <n v="162722.7638057638" u="1"/>
        <n v="135148.86054922451" u="1"/>
        <n v="49267.877099169811" u="1"/>
        <n v="88249.117936988288" u="1"/>
        <n v="105101.74985377181" u="1"/>
        <n v="41503.604519364882" u="1"/>
        <n v="39753.181257266639" u="1"/>
        <n v="623631.65546902572" u="1"/>
        <n v="87157.569490666254" u="1"/>
        <n v="34160.659104400329" u="1"/>
        <n v="75527.852133995664" u="1"/>
        <n v="119233.27514982379" u="1"/>
        <n v="30641.518308011102" u="1"/>
        <n v="96000.405850823779" u="1"/>
        <n v="39460.350143026924" u="1"/>
        <n v="19994.703539878647" u="1"/>
        <n v="36882.826446345491" u="1"/>
        <n v="18389.289387041674" u="1"/>
        <n v="142071.03526350143" u="1"/>
        <n v="33385.317041950657" u="1"/>
        <n v="18766.784780928581" u="1"/>
        <n v="27223.628063306489" u="1"/>
        <n v="16637.928493037707" u="1"/>
        <n v="15301.603644227385" u="1"/>
        <n v="41259.599811476313" u="1"/>
        <n v="13357.068902441591" u="1"/>
        <n v="19675.080176722917" u="1"/>
        <n v="13646.385165967176" u="1"/>
        <n v="21010.492858400947" u="1"/>
        <n v="31253.10225475781" u="1"/>
        <n v="528059.76261482434" u="1"/>
        <n v="84667.353219504366" u="1"/>
        <n v="33202.883615491912" u="1"/>
        <n v="126778.98576111223" u="1"/>
        <n v="114066.49989333141" u="1"/>
        <n v="19638.72323258574" u="1"/>
        <n v="38288.669512262903" u="1"/>
        <n v="39729.439447053577" u="1"/>
        <n v="41731.646302438327" u="1"/>
        <n v="428555.96577208198" u="1"/>
        <n v="20418.31395611586" u="1"/>
        <n v="73682.254754881273" u="1"/>
        <n v="48469.253573341361" u="1"/>
        <n v="102938.06087934785" u="1"/>
        <n v="651547.95163838123" u="1"/>
        <n v="110588.86270146155" u="1"/>
        <n v="50077.975562925989" u="1"/>
        <n v="108230.25911653061" u="1"/>
        <n v="51585.316375438015" u="1"/>
        <n v="12251.864054116513" u="1"/>
        <n v="41624.010580827664" u="1"/>
        <n v="45076.405823207475" u="1"/>
        <n v="95060.961324052259" u="1"/>
        <n v="107372.15173168095" u="1"/>
        <n v="97262.556982216236" u="1"/>
        <n v="31556.075282018257" u="1"/>
        <n v="21581.100422557429" u="1"/>
        <n v="90140.356013266763" u="1"/>
        <n v="173896.20226109194" u="1"/>
        <n v="82863.291010318979" u="1"/>
        <n v="27713.180868283016" u="1"/>
        <n v="31625.746643756043" u="1"/>
        <n v="83937.012527635801" u="1"/>
        <n v="37934.29453069951" u="1"/>
        <n v="199120.87732733178" u="1"/>
        <n v="173673.899669515" u="1"/>
        <n v="63362.777677651931" u="1"/>
        <n v="68220.219303143371" u="1"/>
        <n v="26040.547292721512" u="1"/>
        <n v="135183.16900593136" u="1"/>
        <n v="56756.985731713539" u="1"/>
        <n v="112247.05223838123" u="1"/>
        <n v="166059.1393297911" u="1"/>
        <n v="136734.31534374197" u="1"/>
        <n v="146428.16605841019" u="1"/>
        <n v="157748.44352678626" u="1"/>
        <n v="126193.1637677352" u="1"/>
        <n v="87914.668210470059" u="1"/>
        <n v="175665.61346244623" u="1"/>
        <n v="114083.1389839598" u="1"/>
        <n v="80522.226062726608" u="1"/>
        <n v="88407.918517774655" u="1"/>
        <n v="46065.178596103637" u="1"/>
        <n v="66718.56529704087" u="1"/>
        <n v="32838.016762574414" u="1"/>
        <n v="71618.15084409088" u="1"/>
        <n v="12042.691099722531" u="1"/>
        <n v="48101.349321292633" u="1"/>
        <n v="146889.66136260849" u="1"/>
        <n v="71930.893860877302" u="1"/>
        <n v="553425.21619861189" u="1"/>
        <n v="163392.40480907969" u="1"/>
        <n v="42668.759427285389" u="1"/>
        <n v="163993.85290037864" u="1"/>
        <n v="408481.01202269923" u="1"/>
        <n v="185178.05878362365" u="1"/>
        <n v="26861.941436180692" u="1"/>
        <n v="40385.287615172769" u="1"/>
        <n v="20979.844042755878" u="1"/>
        <n v="36970.13387186503" u="1"/>
        <n v="68554.912254134018" u="1"/>
        <n v="59290.863599092692" u="1"/>
        <n v="355684.14652316668" u="1"/>
        <n v="49972.164175579921" u="1"/>
        <n v="45098.854740651965" u="1"/>
        <n v="470169.9811853111" u="1"/>
        <n v="16681.712515387804" u="1"/>
        <n v="58463.358558829757" u="1"/>
        <n v="49855.406782646314" u="1"/>
        <n v="12152.255403270041" u="1"/>
        <n v="19921.730169295148" u="1"/>
        <n v="49026.429292817767" u="1"/>
        <n v="50362.571708201627" u="1"/>
        <n v="116086.41332149853" u="1"/>
        <n v="97635.298220609271" u="1"/>
        <n v="17086.17718860662" u="1"/>
        <n v="18299.184396344986" u="1"/>
        <n v="109550.71712913534" u="1"/>
        <n v="487032.09384968999" u="1"/>
        <n v="566891.85465896339" u="1"/>
        <n v="284426.59962269751" u="1"/>
        <n v="1923351.4437170932" u="1"/>
        <n v="272138.45944280201" u="1"/>
        <n v="782760.22368556343" u="1"/>
        <n v="203762.19100898111" u="1"/>
        <n v="1401279.0550542152" u="1"/>
        <n v="445049.7883371124" u="1"/>
        <n v="21722.71295529589" u="1"/>
        <n v="651630.48965825175" u="1"/>
        <n v="994804.09730698192" u="1"/>
        <n v="4803023.2745143399" u="1"/>
        <n v="2410545.9937221785" u="1"/>
        <n v="384718.32270503207" u="1"/>
        <n v="61388.860663982807" u="1"/>
        <n v="506295.97446896014" u="1"/>
        <n v="89209.310497979488" u="1"/>
        <n v="442355.45080584619" u="1"/>
        <n v="2350224.4846474477" u="1"/>
        <n v="672579.22404473543" u="1"/>
        <n v="139859.30669254949" u="1"/>
        <n v="573314.82779558899" u="1"/>
        <n v="121782.13073663313" u="1"/>
        <n v="978059.38672206667" u="1"/>
        <n v="2422859.2180835283" u="1"/>
        <n v="554332.51866920444" u="1"/>
        <n v="110648.47933903648" u="1"/>
        <n v="694202.70645657158" u="1"/>
        <n v="594659.43246841931" u="1"/>
        <n v="168909.15338496875" u="1"/>
        <n v="481108.36198233231" u="1"/>
        <n v="172429.30169066906" u="1"/>
        <n v="666312.35263281129" u="1"/>
        <n v="1262970.6871342994" u="1"/>
        <n v="1067530.7545718686" u="1"/>
        <n v="610238.83540270769" u="1"/>
        <n v="186102.80112153606" u="1"/>
        <n v="2003570.6960807717" u="1"/>
        <n v="987752.36755777756" u="1"/>
        <n v="283213.50166907144" u="1"/>
        <n v="82712.122971432764" u="1"/>
        <n v="105123.54894005547" u="1"/>
        <n v="274839.83552931395" u="1"/>
        <n v="60269.53915007614" u="1"/>
        <n v="1357713.0780564002" u="1"/>
        <n v="132548.88269285773" u="1"/>
        <n v="851850.54838625668" u="1"/>
        <n v="657797.01278106146" u="1"/>
        <n v="1054702.2955930012" u="1"/>
        <n v="494808.25190435624" u="1"/>
        <n v="599401.86612804141" u="1"/>
        <n v="416363.0412365924" u="1"/>
        <n v="301712.34872216842" u="1"/>
        <n v="441877.33748333494" u="1"/>
        <n v="361621.17088742182" u="1"/>
        <n v="262315.87525512464" u="1"/>
        <n v="688708.72134980303" u="1"/>
        <n v="318769.15350326168" u="1"/>
        <n v="239760.74645121655" u="1"/>
        <n v="386191.80636437563" u="1"/>
        <n v="539898.1740580016" u="1"/>
        <n v="327417.24000996444" u="1"/>
        <n v="28153.072628097038" u="1"/>
        <n v="5603118.5991738606" u="1"/>
        <n v="161083.71160590349" u="1"/>
        <n v="234933.34887166179" u="1"/>
        <n v="152063.02375597286" u="1"/>
        <n v="185950.2638271407" u="1"/>
        <n v="325044.77035668277" u="1"/>
        <n v="408194.64815706352" u="1"/>
        <n v="1108467.3049516755" u="1"/>
        <n v="1179030.4935827653" u="1"/>
        <n v="893204.91938088287" u="1"/>
        <n v="545468.65305702772" u="1"/>
        <n v="916387.33713580656" u="1"/>
        <n v="900023.27754409565" u="1"/>
        <n v="981843.57550264988" u="1"/>
        <n v="514922.4084858342" u="1"/>
        <n v="568971.53364562232" u="1"/>
        <n v="191595.97348001157" u="1"/>
        <n v="161513.26817018585" u="1"/>
        <n v="270028.80200935103" u="1"/>
        <n v="166171.57046729291" u="1"/>
        <n v="239569.83242264658" u="1"/>
        <n v="811657.35574885737" u="1"/>
        <n v="3198559.7906028922" u="1"/>
        <n v="897670.94397778728" u="1"/>
        <n v="745826.10768303717" u="1"/>
        <n v="625243.44356661802" u="1"/>
        <n v="326555.71852565085" u="1"/>
        <n v="281186.90877628553" u="1"/>
        <n v="389437.34485006495" u="1"/>
        <n v="378718.8858174943" u="1"/>
        <n v="337475.14866508206" u="1"/>
        <n v="652039.59114804445" u="1"/>
        <n v="486796.68106258113" u="1"/>
        <n v="331245.22737148788" u="1"/>
        <n v="390708.28681168775" u="1"/>
        <n v="126272.56007955654" u="1"/>
        <n v="148940.21571722141" u="1"/>
        <n v="99427.212661068159" u="1"/>
        <n v="290723.88270633458" u="1"/>
        <n v="68086.545629637258" u="1"/>
        <n v="1143302.2968075301" u="1"/>
        <n v="566480.61467686074" u="1"/>
        <n v="928933.11615611822" u="1"/>
        <n v="1271700.503968532" u="1"/>
        <n v="185538.19575344538" u="1"/>
        <n v="875340.82099326514" u="1"/>
        <n v="465830.22971070162" u="1"/>
        <n v="425165.54162530031" u="1"/>
        <n v="470466.71326168638" u="1"/>
        <n v="332954.06582600973" u="1"/>
        <n v="427947.43175589107" u="1"/>
        <n v="198027.14857677306" u="1"/>
        <n v="3347164.1826425903" u="1"/>
        <n v="6660979.2922428194" u="1"/>
        <n v="515740.6114654197" u="1"/>
        <n v="332735.87836478685" u="1"/>
        <n v="227924.07667987901" u="1"/>
        <n v="444605.18315395835" u="1"/>
        <n v="119233.27514982381" u="1"/>
        <n v="2384665.5029964759" u="1"/>
        <n v="135604.58086195731" u="1"/>
        <n v="130230.88333511836" u="1"/>
        <n v="361583.36488571158" u="1"/>
        <n v="674145.76894667256" u="1"/>
        <n v="338974.67608412664" u="1"/>
        <n v="374327.86316038528" u="1"/>
        <n v="330294.90614235669" u="1"/>
        <n v="752399.0049523745" u="1"/>
        <n v="592038.03931177151" u="1"/>
        <n v="124912.32155005935" u="1"/>
        <n v="62830.897739679858" u="1"/>
        <n v="247051.34611043485" u="1"/>
        <n v="216607.11652217986" u="1"/>
        <n v="562937.43021556141" u="1"/>
        <n v="79485.508386660629" u="1"/>
        <n v="25488.03462973217" u="1"/>
        <n v="96479.656963527581" u="1"/>
        <n v="1308386.4726440662" u="1"/>
        <n v="324913.93252302799" u="1"/>
        <n v="32104.634388210263" u="1"/>
        <n v="54063.990271521347" u="1"/>
        <n v="144187.82007746206" u="1"/>
        <n v="160120.60057230189" u="1"/>
        <n v="290134.30286457116" u="1"/>
        <n v="54035.000392561706" u="1"/>
        <n v="510202.66919306701" u="1"/>
        <n v="2651031.3968739188" u="1"/>
        <n v="213857.12195335457" u="1"/>
        <n v="12388.720795593104" u="1"/>
        <n v="84332.894670748356" u="1"/>
        <n v="1036349.1717984175" u="1"/>
        <n v="209693.2970383506" u="1"/>
        <n v="201471.57434987844" u="1"/>
        <n v="155814.10946222048" u="1"/>
        <n v="457654.34527952707" u="1"/>
        <n v="490173.17508831876" u="1"/>
        <n v="74970.130360205148" u="1"/>
        <n v="65676.033525148829" u="1"/>
        <n v="140305.73402809343" u="1"/>
        <n v="296394.02935486234" u="1"/>
        <n v="423420.04193551769" u="1"/>
        <n v="409265.13038868789" u="1"/>
        <n v="182955.03286785391" u="1"/>
        <n v="117760.60693740781" u="1"/>
        <n v="216745.02678755473" u="1"/>
        <n v="82620.03366625731" u="1"/>
        <n v="649874.76243122434" u="1"/>
        <n v="108483.66468956586" u="1"/>
        <n v="344386.80170532019" u="1"/>
        <n v="2591829.5595007804" u="1"/>
        <n v="1667633.8673053391" u="1"/>
        <n v="60595.262598272733" u="1"/>
        <n v="628205.25796786346" u="1"/>
        <n v="261038.81815926786" u="1"/>
        <n v="860967.00426330057" u="1"/>
        <n v="341511.78715665813" u="1"/>
        <n v="623375.01820953772" u="1"/>
        <n v="4002175.5093416153" u="1"/>
        <n v="2638595.1847065031" u="1"/>
        <n v="250107.6488246755" u="1"/>
        <n v="1405307.4881900335" u="1"/>
        <n v="124442.40102317263" u="1"/>
        <n v="1260761.5751190586" u="1"/>
        <n v="2210634.5777454241" u="1"/>
        <n v="2861032.3289819555" u="1"/>
        <n v="3412636.2683092486" u="1"/>
        <n v="2480063.2872806741" u="1"/>
        <n v="2185166.1444870811" u="1"/>
        <n v="1772744.2043030527" u="1"/>
        <n v="1807871.2706188085" u="1"/>
        <n v="926393.66351584892" u="1"/>
        <n v="532224.67416080309" u="1"/>
        <n v="458390.0372830038" u="1"/>
        <n v="173293.51179316358" u="1"/>
        <n v="3478602.044575301" u="1"/>
        <n v="2405605.5852453108" u="1"/>
        <n v="1350062.285445051" u="1"/>
        <n v="37213.500062760999" u="1"/>
        <n v="2968340.0245649312" u="1"/>
        <n v="8856.883613417569" u="1"/>
        <n v="5925.577561026289" u="1"/>
        <n v="17064.096835718337" u="1"/>
        <n v="25024.95344719736" u="1"/>
        <n v="59311.390445773526" u="1"/>
        <n v="27248.420560980849" u="1"/>
        <n v="217942.00032893542" u="1"/>
        <n v="294590.57362069265" u="1"/>
        <n v="798624.47695351974" u="1"/>
        <n v="23827.890448957569" u="1"/>
        <n v="208896.69806249125" u="1"/>
        <n v="185029.37114860173" u="1"/>
        <n v="90903.970212586981" u="1"/>
        <n v="359654.46930438653" u="1"/>
        <n v="135750.98464843785" u="1"/>
        <n v="33170.054441063294" u="1"/>
        <n v="3483942.7377270078" u="1"/>
        <n v="2866716.1075619962" u="1"/>
        <n v="1505075.7682846608" u="1"/>
        <n v="164190.08381287209" u="1"/>
        <n v="286159.86035957711" u="1"/>
        <n v="34967.411548603144" u="1"/>
        <n v="19707.150839667924" u="1"/>
        <n v="572742.08570987906" u="1"/>
        <n v="87151.054011149885" u="1"/>
        <n v="602197.39297495864" u="1"/>
        <n v="1261123.5258678482" u="1"/>
        <n v="279279.95036519825" u="1"/>
        <n v="384009.93175214756" u="1"/>
        <n v="1064754.8107673181" u="1"/>
        <n v="62955.169279106951" u="1"/>
        <n v="103585.58241106039" u="1"/>
        <n v="19531.19413574232" u="1"/>
        <n v="18626.647774709316" u="1"/>
        <n v="140850.922023174" u="1"/>
        <n v="119332.03115852243" u="1"/>
        <n v="277878.23947122402" u="1"/>
        <n v="88756.129255700012" u="1"/>
        <n v="19407.063528189843" u="1"/>
        <n v="372587.8181571333" u="1"/>
        <n v="111545.00932049091" u="1"/>
        <n v="4792949.6192398425" u="1"/>
        <n v="267005.07404509588" u="1"/>
        <n v="129931.19138633771" u="1"/>
        <n v="90941.215673483966" u="1"/>
        <n v="24482.565830763815" u="1"/>
        <n v="2170529.7054146053" u="1"/>
        <n v="820950.41906436032" u="1"/>
        <n v="329326.69928318047" u="1"/>
        <n v="126826.15414212528" u="1"/>
        <n v="1721934.0085266011" u="1"/>
        <n v="360330.63511760358" u="1"/>
        <n v="243094.65085870109" u="1"/>
        <n v="93927.290993105242" u="1"/>
        <n v="327627.56442890782" u="1"/>
        <n v="394237.46899696678" u="1"/>
        <n v="14075.452668797028" u="1"/>
        <n v="13685.521416436059" u="1"/>
        <n v="26568.158909774535" u="1"/>
        <n v="20031.190225170394" u="1"/>
        <n v="130611.88331342516" u="1"/>
        <n v="17917.301677504252" u="1"/>
        <n v="38457.520952997336" u="1"/>
        <n v="35655.518600803298" u="1"/>
        <n v="80124.760900681576" u="1"/>
        <n v="16431.849861735227" u="1"/>
        <n v="11653.794228181012" u="1"/>
        <n v="83673.237747662977" u="1"/>
        <n v="435403.31358458346" u="1"/>
        <n v="230301.84056897051" u="1"/>
        <n v="26289.675152250289" u="1"/>
        <n v="294989.44757324056" u="1"/>
        <n v="373509.66018079972" u="1"/>
        <n v="46042.004193867026" u="1"/>
        <n v="670926.44326014409" u="1"/>
        <n v="5083886.1525815828" u="1"/>
        <n v="477285.07142489922" u="1"/>
        <n v="65285.104754165804" u="1"/>
        <n v="28060.867181161808" u="1"/>
        <n v="88936.295398639049" u="1"/>
        <n v="264424.22069292067" u="1"/>
        <n v="87655.612744898652" u="1"/>
        <n v="122013.7011277143" u="1"/>
        <n v="60169.501634549313" u="1"/>
        <n v="322516.23606099875" u="1"/>
        <n v="250915.58040623274" u="1"/>
        <n v="490376.31909826794" u="1"/>
        <n v="458193.66856790328" u="1"/>
        <n v="343645.2514259275" u="1"/>
        <n v="202892.03214019199" u="1"/>
        <n v="119233.27514982378" u="1"/>
        <n v="51309.401191522527" u="1"/>
        <n v="153098.69647486933" u="1"/>
        <n v="56249.595149285335" u="1"/>
        <n v="161349.62757426879" u="1"/>
        <n v="101554.49255986312" u="1"/>
        <n v="1939471.6716037951" u="1"/>
        <n v="1805241.3880081454" u="1"/>
        <n v="53031.756014760518" u="1"/>
        <n v="233187.84918187931" u="1"/>
        <n v="535670.14843949513" u="1"/>
        <n v="315860.67373501271" u="1"/>
        <n v="54905.164027024417" u="1"/>
        <n v="27091.363829123889" u="1"/>
        <n v="524196.79954807693" u="1"/>
        <n v="201763.6871680287" u="1"/>
        <n v="412387.06121176924" u="1"/>
        <n v="233970.86943334271" u="1"/>
        <n v="10625244.29637395" u="1"/>
        <n v="3507163.4977814034" u="1"/>
        <n v="70699.684984298146" u="1"/>
        <n v="384408.41095764382" u="1"/>
        <n v="78353.541630236155" u="1"/>
        <n v="221405.72627584758" u="1"/>
        <n v="2988270.5878813411" u="1"/>
        <n v="206233.13099212153" u="1"/>
        <n v="45472.70717333434" u="1"/>
        <n v="313634.5071479032" u="1"/>
        <n v="547192.36270956439" u="1"/>
        <n v="291957.79021730256" u="1"/>
        <n v="182433.42645874675" u="1"/>
        <n v="956630.00473700056" u="1"/>
        <n v="287332.64667252614" u="1"/>
        <n v="7116.4711365467501" u="1"/>
        <n v="16422.625699723267" u="1"/>
        <n v="279123.14248188253" u="1"/>
        <n v="320146.07906721102" u="1"/>
        <n v="46393.544386324043" u="1"/>
        <n v="99686.836600672337" u="1"/>
        <n v="34961.382684543038" u="1"/>
        <n v="37888.061248831298" u="1"/>
        <n v="81550.997213652241" u="1"/>
        <n v="8255417.3398302188" u="1"/>
        <n v="286681.09872088779" u="1"/>
        <n v="296454.31799546344" u="1"/>
        <n v="20171.924582724288" u="1"/>
        <n v="63209.768782542669" u="1"/>
        <n v="62548.603357284606" u="1"/>
        <n v="4258370.1353721349" u="1"/>
        <n v="23196.772193162022" u="1"/>
        <n v="36743.687153968647" u="1"/>
        <n v="1208815.8955095736" u="1"/>
        <n v="325773.97581919067" u="1"/>
        <n v="3327250.2640947872" u="1"/>
        <n v="359654.46930438647" u="1"/>
        <n v="32475.481070426828" u="1"/>
        <n v="170109.66274985482" u="1"/>
        <n v="58268.971140905065" u="1"/>
        <n v="5572854.7542509437" u="1"/>
        <n v="166367.93918239346" u="1"/>
        <n v="400101.25701732986" u="1"/>
        <n v="2191147.5793300802" u="1"/>
        <n v="71577.40943950777" u="1"/>
        <n v="1330496.1653661374" u="1"/>
        <n v="2957478.914315023" u="1"/>
        <n v="137221.79461821623" u="1"/>
        <n v="343054.48654554057" u="1"/>
        <n v="351165.38212523708" u="1"/>
        <n v="3323605.9593148367" u="1"/>
        <n v="175956.70392560647" u="1"/>
        <n v="104385.4748692291" u="1"/>
        <n v="1742433.2229138224" u="1"/>
        <n v="573764.83943436097" u="1"/>
        <n v="4611553.8838935019" u="1"/>
        <n v="265519.21169239323" u="1"/>
        <n v="272341.24818040465" u="1"/>
        <n v="268974.00200150197" u="1"/>
        <n v="1070080.2915319621" u="1"/>
        <n v="170539.147541946" u="1"/>
        <n v="716702.74680221942" u="1"/>
        <n v="684125.34922030033" u="1"/>
        <n v="292324.54611429229" u="1"/>
        <n v="134390.23813132072" u="1"/>
        <n v="206912.84745538383" u="1"/>
        <n v="701166.45981558634" u="1"/>
        <n v="67865.234642653799" u="1"/>
        <n v="625550.46905116027" u="1"/>
        <n v="306760.32616931899" u="1"/>
        <n v="1031127.1467876269" u="1"/>
        <n v="378166.08045155992" u="1"/>
        <n v="860857.99027956836" u="1"/>
        <n v="38661.286988603366" u="1"/>
        <n v="39692.25464163279" u="1"/>
        <n v="138003.569223428" u="1"/>
        <n v="1081074.104671736" u="1"/>
        <n v="208103.46836037523" u="1"/>
        <n v="61858.059181765391" u="1"/>
        <n v="11098.85164588668" u="1"/>
        <n v="204992.14387221445" u="1"/>
        <n v="57791.720520131938" u="1"/>
        <n v="378079.95382212993" u="1"/>
        <n v="32845.251399446533" u="1"/>
        <n v="699793.93627936335" u="1"/>
        <n v="295188.6871759888" u="1"/>
        <n v="78640.630395003012" u="1"/>
        <n v="206193.53060588462" u="1"/>
        <n v="614379.92496096098" u="1"/>
        <n v="18972.10790560985" u="1"/>
        <n v="677668.43581192894" u="1"/>
        <n v="3021618.7932776576" u="1"/>
        <n v="1752329.5314962922" u="1"/>
        <n v="1151941.9640374712" u="1"/>
        <n v="273650.13968812011" u="1"/>
        <n v="1674809.0576639061" u="1"/>
        <n v="193794.48584312043" u="1"/>
        <n v="194595.14450930362" u="1"/>
        <n v="331631.73497549357" u="1"/>
        <n v="5048050.4889120702" u="1"/>
        <n v="396983.95151323639" u="1"/>
        <n v="156355.07256142859" u="1"/>
        <n v="212408.93856558378" u="1"/>
        <n v="140478.91235075114" u="1"/>
        <n v="32332.295548999355" u="1"/>
        <n v="46520.52374698042" u="1"/>
        <n v="284476.25700747827" u="1"/>
        <n v="21335719.275560871" u="1"/>
        <n v="2065008.7507794336" u="1"/>
        <n v="13633.385174625282" u="1"/>
        <n v="156282.43237040224" u="1"/>
        <n v="785693.23587218078" u="1"/>
        <n v="1015245.0885660719" u="1"/>
        <n v="113801.66199351833" u="1"/>
        <n v="591650.32123345311" u="1"/>
        <n v="189302.50772160973" u="1"/>
        <n v="278605.47935517249" u="1"/>
        <n v="619709.33846781065" u="1"/>
        <n v="629608.43321212276" u="1"/>
        <n v="45994.77341610461" u="1"/>
        <n v="645874.84386978473" u="1"/>
        <n v="115042.84159316434" u="1"/>
        <n v="130394.97214921381" u="1"/>
        <n v="100170.49474790244" u="1"/>
        <n v="246818.88554153207" u="1"/>
        <n v="291632.49522037851" u="1"/>
        <n v="42150.009074820329" u="1"/>
        <n v="117196.37336601428" u="1"/>
        <n v="162198.87661996501" u="1"/>
        <n v="63934.100913268572" u="1"/>
        <n v="1099267.289933502" u="1"/>
        <n v="107109.25265670968" u="1"/>
        <n v="711701.74693369889" u="1"/>
        <n v="289019.66901538725" u="1"/>
        <n v="133968.22083698859" u="1"/>
        <n v="513151.88470387075" u="1"/>
        <n v="46289.7667585858" u="1"/>
        <n v="86091.053390327113" u="1"/>
        <n v="206924.33210329153" u="1"/>
        <n v="108494.23185281939" u="1"/>
        <n v="74047.313239549228" u="1"/>
        <n v="82274.792488388033" u="1"/>
        <n v="641755.00835241168" u="1"/>
        <n v="713755.42189758865" u="1"/>
        <n v="105004.04698049388" u="1"/>
        <n v="68744.657657742689" u="1"/>
        <n v="203332.06997752449" u="1"/>
        <n v="69861.940292573345" u="1"/>
        <n v="30998.351957948402" u="1"/>
        <n v="1529239.463948895" u="1"/>
        <n v="190125.4704859932" u="1"/>
        <n v="2302745.0828312091" u="1"/>
        <n v="775253.89907069074" u="1"/>
        <n v="296918.66009211825" u="1"/>
        <n v="2408099.4330261005" u="1"/>
        <n v="1649165.2262159423" u="1"/>
        <n v="132191.61500120402" u="1"/>
        <n v="779521.853965824" u="1"/>
        <n v="36311.572811380611" u="1"/>
        <n v="285154.61274189909" u="1"/>
        <n v="346563.1349660969" u="1"/>
        <n v="114136.6888271381" u="1"/>
        <n v="184914.04073543966" u="1"/>
        <n v="42475.806488904032" u="1"/>
        <n v="90670.805499381997" u="1"/>
        <n v="54454.159085528823" u="1"/>
        <n v="497654.76853614452" u="1"/>
        <n v="959567.4215750756" u="1"/>
        <n v="1022743.9102005152" u="1"/>
        <n v="278276.66963520437" u="1"/>
        <n v="192155.94227172594" u="1"/>
        <n v="24189.331462745347" u="1"/>
        <n v="586107.3210042225" u="1"/>
        <n v="82827.780823685462" u="1"/>
        <n v="2279320.2955964473" u="1"/>
        <n v="5350796.9401839953" u="1"/>
        <n v="1052280.7112480018" u="1"/>
        <n v="103650.73935938993" u="1"/>
        <n v="47659.779523764417" u="1"/>
        <n v="37061.629600923101" u="1"/>
        <n v="11353.921363397551" u="1"/>
        <n v="47087.705402206157" u="1"/>
        <n v="55525.956726715827" u="1"/>
        <n v="246146.28851608394" u="1"/>
        <n v="37227.08330449865" u="1"/>
        <n v="74210.054587328457" u="1"/>
        <n v="72441.65119400766" u="1"/>
        <n v="271662.51323854044" u="1"/>
        <n v="113479.27768192196" u="1"/>
        <n v="121848.62726140418" u="1"/>
        <n v="24569.874980969114" u="1"/>
        <n v="352041.17939742957" u="1"/>
        <n v="37210.102945333871" u="1"/>
        <n v="148564.11481073743" u="1"/>
        <n v="161286.97471335999" u="1"/>
        <n v="133956.37060320194" u="1"/>
        <n v="48833.160536530086" u="1"/>
        <n v="87470.449249308993" u="1"/>
        <n v="104174.38147270911" u="1"/>
        <n v="41137.396244194017" u="1"/>
        <n v="39402.417893231941" u="1"/>
        <n v="618129.02321488725" u="1"/>
        <n v="86388.532112807428" u="1"/>
        <n v="33859.24152406738" u="1"/>
        <n v="74861.429909283936" u="1"/>
        <n v="118181.21683967825" u="1"/>
        <n v="30371.151969999239" u="1"/>
        <n v="95153.343446257699" u="1"/>
        <n v="39112.170582941391" u="1"/>
        <n v="19818.279685115009" u="1"/>
        <n v="36557.38974240714" u="1"/>
        <n v="18227.030951273657" u="1"/>
        <n v="140817.46730529409" u="1"/>
        <n v="33090.740715109918" u="1"/>
        <n v="18601.195503449799" u="1"/>
        <n v="26983.419580394955" u="1"/>
        <n v="16491.123241628549" u="1"/>
        <n v="15166.589494425378" u="1"/>
        <n v="40895.544519022107" u="1"/>
        <n v="13239.212412125933" u="1"/>
        <n v="19501.476528104769" u="1"/>
        <n v="13525.975885090993" u="1"/>
        <n v="20825.106156709171" u="1"/>
        <n v="30977.339587804068" u="1"/>
        <n v="523400.41176822293" u="1"/>
        <n v="83920.288338155806" u="1"/>
        <n v="32909.916995355212" u="1"/>
        <n v="125660.34765145538" u="1"/>
        <n v="113060.03077662553" u="1"/>
        <n v="19465.440380533517" u="1"/>
        <n v="37950.828310684119" u="1"/>
        <n v="39378.885569579572" u="1"/>
        <n v="41363.42589388739" u="1"/>
        <n v="424774.58960350481" u="1"/>
        <n v="20238.152362385423" u="1"/>
        <n v="73032.117212926431" u="1"/>
        <n v="48041.583688870705" u="1"/>
        <n v="102029.78387158889" u="1"/>
        <n v="645798.99912392488" u="1"/>
        <n v="109613.07861880158" u="1"/>
        <n v="49636.111072664862" u="1"/>
        <n v="107275.28624197296" u="1"/>
        <n v="51130.151819184161" u="1"/>
        <n v="12143.759371286073" u="1"/>
        <n v="41256.739899232118" u="1"/>
        <n v="44678.672830649761" u="1"/>
        <n v="94222.188135898847" u="1"/>
        <n v="106424.75039287201" u="1"/>
        <n v="96404.357950020203" u="1"/>
        <n v="31277.639323647512" u="1"/>
        <n v="21390.678948240748" u="1"/>
        <n v="89344.999930796766" u="1"/>
        <n v="172361.82400584704" u="1"/>
        <n v="82132.144324933819" u="1"/>
        <n v="27468.652801798173" u="1"/>
        <n v="31346.695938075845" u="1"/>
        <n v="83196.391828862557" u="1"/>
        <n v="37599.580167193337" u="1"/>
        <n v="197363.92840973771" u="1"/>
        <n v="172141.48290772518" u="1"/>
        <n v="62803.69434520205" u="1"/>
        <n v="67618.276191645054" u="1"/>
        <n v="25810.777757785734" u="1"/>
        <n v="133990.37633823196" u="1"/>
        <n v="56256.188798786665" u="1"/>
        <n v="111256.63707157198" u="1"/>
        <n v="164593.91162982237" u="1"/>
        <n v="135527.83609070894" u="1"/>
        <n v="145136.15282848309" u="1"/>
        <n v="156356.54549566758" u="1"/>
        <n v="125079.69467566695" u="1"/>
        <n v="87138.950549789428" u="1"/>
        <n v="174115.62275542467" u="1"/>
        <n v="113076.52305174839" u="1"/>
        <n v="79811.735832761377" u="1"/>
        <n v="87627.848648500178" u="1"/>
        <n v="45658.721137902721" u="1"/>
        <n v="66129.872073831692" u="1"/>
        <n v="32548.269555845811" u="1"/>
        <n v="70986.225983701836" u="1"/>
        <n v="11936.432060607331" u="1"/>
        <n v="47676.925650810648" u="1"/>
        <n v="145593.57611529136" u="1"/>
        <n v="71296.209503281309" u="1"/>
        <n v="548542.0525262712" u="1"/>
        <n v="161950.70711958781" u="1"/>
        <n v="42292.270373515224" u="1"/>
        <n v="162546.84831596355" u="1"/>
        <n v="404876.76779896952" u="1"/>
        <n v="183544.13473553286" u="1"/>
        <n v="26624.924305861456" u="1"/>
        <n v="40028.946842097706" u="1"/>
        <n v="20794.727771790385" u="1"/>
        <n v="36643.926808289747" u="1"/>
        <n v="67950.015969538726" u="1"/>
        <n v="58767.708920277168" u="1"/>
        <n v="352545.75699502113" u="1"/>
        <n v="49531.233315207151" u="1"/>
        <n v="44700.92366941092" u="1"/>
        <n v="466021.42252779362" u="1"/>
        <n v="16534.520934369673" u="1"/>
        <n v="57947.505395075379" u="1"/>
        <n v="49415.506134564137" u="1"/>
        <n v="12045.029620300009" u="1"/>
        <n v="19745.950197213129" u="1"/>
        <n v="48593.843151998779" u="1"/>
        <n v="49918.196075482199" u="1"/>
        <n v="115062.12143925001" u="1"/>
        <n v="96773.810295133313" u="1"/>
        <n v="16935.416801648327" u="1"/>
        <n v="18137.721004612529" u="1"/>
        <n v="108584.09315446651" u="1"/>
        <n v="482734.75184513384" u="1"/>
        <n v="561889.86770609021" u="1"/>
        <n v="281916.95315543842" u="1"/>
        <n v="1906380.6956842956" u="1"/>
        <n v="269737.23774183611" u="1"/>
        <n v="775853.51582951436" u="1"/>
        <n v="201964.28932360775" u="1"/>
        <n v="1388914.8280978547" u="1"/>
        <n v="441122.8784400202" u="1"/>
        <n v="21531.041958631515" u="1"/>
        <n v="645880.80886714952" u="1"/>
        <n v="986026.41409544973" u="1"/>
        <n v="4760643.6573862731" u="1"/>
        <n v="2389276.4702481595" u="1"/>
        <n v="381323.7492693995" u="1"/>
        <n v="60847.194246359424" u="1"/>
        <n v="501828.65704717516" u="1"/>
        <n v="88422.169522997312" u="1"/>
        <n v="438452.31447520637" u="1"/>
        <n v="2329487.2097829115" u="1"/>
        <n v="666644.70147963485" u="1"/>
        <n v="138625.25398643877" u="1"/>
        <n v="568256.16755033378" u="1"/>
        <n v="120707.58252425108" u="1"/>
        <n v="969429.45095687197" u="1"/>
        <n v="2401481.0485122036" u="1"/>
        <n v="549441.34938682907" u="1"/>
        <n v="109672.16922722144" u="1"/>
        <n v="688077.38845842541" u="1"/>
        <n v="589412.43747605092" u="1"/>
        <n v="167418.77850216022" u="1"/>
        <n v="476863.28820013528" u="1"/>
        <n v="170907.86667575137" u="1"/>
        <n v="660433.12599193351" u="1"/>
        <n v="1251826.8281301733" u="1"/>
        <n v="1058111.3655609402" u="1"/>
        <n v="604854.37509033096" u="1"/>
        <n v="184460.71758222839" u="1"/>
        <n v="1985892.1311153534" u="1"/>
        <n v="979036.90549109143" u="1"/>
        <n v="280714.55900728551" u="1"/>
        <n v="81982.310121684801" u="1"/>
        <n v="104195.98821411381" u="1"/>
        <n v="272414.77815699647" u="1"/>
        <n v="59737.749098751941" u="1"/>
        <n v="1345733.2567794323" u="1"/>
        <n v="131379.33372792075" u="1"/>
        <n v="844334.2200181426" u="1"/>
        <n v="651992.92149181687" u="1"/>
        <n v="1045396.0988671806" u="1"/>
        <n v="490442.29674049426" u="1"/>
        <n v="594113.02613279386" u="1"/>
        <n v="412689.24969626951" u="1"/>
        <n v="299050.18093932577" u="1"/>
        <n v="437978.41979965841" u="1"/>
        <n v="358430.39585017983" u="1"/>
        <n v="260001.32341463823" u="1"/>
        <n v="682631.8796908342" u="1"/>
        <n v="315956.48450176232" u="1"/>
        <n v="237645.21045311756" u="1"/>
        <n v="382784.23160233698" u="1"/>
        <n v="535134.36663984274" u="1"/>
        <n v="324528.26436281775" u="1"/>
        <n v="27904.663163731479" u="1"/>
        <n v="5553679.3174164444" u="1"/>
        <n v="159662.38473879258" u="1"/>
        <n v="232860.40755808831" u="1"/>
        <n v="150721.29119342015" u="1"/>
        <n v="184309.52620513653" u="1"/>
        <n v="322176.72826530028" u="1"/>
        <n v="404592.93067332468" u="1"/>
        <n v="1098686.7110844548" u="1"/>
        <n v="1168627.2833452702" u="1"/>
        <n v="885323.69950399268" u="1"/>
        <n v="540655.69435358327" u="1"/>
        <n v="908301.56651401997" u="1"/>
        <n v="892081.89568341244" u="1"/>
        <n v="973180.24983644998" u="1"/>
        <n v="510378.97546978272" u="1"/>
        <n v="563951.19658404321" u="1"/>
        <n v="189905.420772835" u="1"/>
        <n v="160088.15109809599" u="1"/>
        <n v="267646.19493279787" u="1"/>
        <n v="164705.35072787563" u="1"/>
        <n v="237455.98096009382" u="1"/>
        <n v="804495.67319813208" u="1"/>
        <n v="3170337.2042152197" u="1"/>
        <n v="889750.31800151267" u="1"/>
        <n v="739245.28908583382" u="1"/>
        <n v="619726.58965279488" u="1"/>
        <n v="323674.34453865979" u="1"/>
        <n v="278705.84781649476" u="1"/>
        <n v="386001.13298374083" u="1"/>
        <n v="375377.24858969287" u="1"/>
        <n v="334497.42676509602" u="1"/>
        <n v="646286.30063791457" u="1"/>
        <n v="482501.41622967599" u="1"/>
        <n v="328322.47536526882" u="1"/>
        <n v="387260.86075158464" u="1"/>
        <n v="125158.39043179575" u="1"/>
        <n v="147626.0373432459" u="1"/>
        <n v="98549.913725823455" u="1"/>
        <n v="288158.67197657278" u="1"/>
        <n v="67485.781991728683" u="1"/>
        <n v="1133214.3353651108" u="1"/>
        <n v="561482.25631206483" u="1"/>
        <n v="920736.64748415246" u="1"/>
        <n v="1260479.6171688095" u="1"/>
        <n v="183901.09402620909" u="1"/>
        <n v="867617.22551391274" u="1"/>
        <n v="461719.96297796018" u="1"/>
        <n v="421414.08096390055" u="1"/>
        <n v="466315.5363799656" u="1"/>
        <n v="330016.23583342729" u="1"/>
        <n v="424171.42500510381" u="1"/>
        <n v="196279.85020697804" u="1"/>
        <n v="3317630.3810310382" u="1"/>
        <n v="6602205.9455465581" u="1"/>
        <n v="511189.95901131304" u="1"/>
        <n v="329799.97355568578" u="1"/>
        <n v="225912.98188564478" u="1"/>
        <n v="440682.19624377636" u="1"/>
        <n v="118181.21683967827" u="1"/>
        <n v="2363624.3367935652" u="1"/>
        <n v="134408.06985435178" u="1"/>
        <n v="129081.78730569083" u="1"/>
        <n v="358392.92343083763" u="1"/>
        <n v="668197.42392655485" u="1"/>
        <n v="335983.72305985488" u="1"/>
        <n v="371024.97025014658" u="1"/>
        <n v="327380.53932345356" u="1"/>
        <n v="745760.19020279474" u="1"/>
        <n v="586814.1742590206" u="1"/>
        <n v="123810.15400697058" u="1"/>
        <n v="62276.507465506205" u="1"/>
        <n v="244871.48129181334" u="1"/>
        <n v="214695.87725874886" u="1"/>
        <n v="557970.3352430712" u="1"/>
        <n v="78784.165665601875" u="1"/>
        <n v="25263.140206528653" u="1"/>
        <n v="95628.365872672905" u="1"/>
        <n v="1296841.8861207361" u="1"/>
        <n v="322047.04488311888" u="1"/>
        <n v="31821.358202431933" u="1"/>
        <n v="53586.955063243215" u="1"/>
        <n v="142915.57460619035" u="1"/>
        <n v="158707.77174372275" u="1"/>
        <n v="287574.29430988373" u="1"/>
        <n v="53558.220977333229" u="1"/>
        <n v="505700.88093548111" u="1"/>
        <n v="2627639.9433720903" u="1"/>
        <n v="211970.14734788376" u="1"/>
        <n v="12279.408553279047" u="1"/>
        <n v="83588.780894241761" u="1"/>
        <n v="1027204.9144001959" u="1"/>
        <n v="207843.06206448277" u="1"/>
        <n v="199693.88398796777" u="1"/>
        <n v="154439.27908461264" u="1"/>
        <n v="453616.21870353125" u="1"/>
        <n v="485848.11766106886" u="1"/>
        <n v="74308.629209968043" u="1"/>
        <n v="65096.539111691629" u="1"/>
        <n v="139067.74225725731" u="1"/>
        <n v="293778.78791937826" u="1"/>
        <n v="419683.982741969" u="1"/>
        <n v="405653.96747349354" u="1"/>
        <n v="181340.72375431401" u="1"/>
        <n v="116721.54275854836" u="1"/>
        <n v="214832.57066884101" u="1"/>
        <n v="81891.033369202094" u="1"/>
        <n v="644140.57335094886" u="1"/>
        <n v="107526.45588348147" u="1"/>
        <n v="341348.09463144979" u="1"/>
        <n v="2568960.4751522439" u="1"/>
        <n v="1652919.4508291157" u="1"/>
        <n v="60060.598516523263" u="1"/>
        <n v="622662.27039755892" u="1"/>
        <n v="258735.53446962725" u="1"/>
        <n v="853370.23657862446" u="1"/>
        <n v="338498.447858217" u="1"/>
        <n v="617874.65040180646" u="1"/>
        <n v="3966862.1960238954" u="1"/>
        <n v="2615313.4624885046" u="1"/>
        <n v="247900.81662916366" u="1"/>
        <n v="1392907.7162354153" u="1"/>
        <n v="123344.37983767405" u="1"/>
        <n v="1249637.2082797727" u="1"/>
        <n v="2191128.9785300232" u="1"/>
        <n v="2835787.9260791736" u="1"/>
        <n v="3382524.7718241671" u="1"/>
        <n v="2458180.3759223153" u="1"/>
        <n v="2165885.2667416073" u="1"/>
        <n v="1757102.3436768493" u="1"/>
        <n v="1791919.4652898191" u="1"/>
        <n v="918219.60177894449" u="1"/>
        <n v="527528.57409467839" u="1"/>
        <n v="454345.4193069773" u="1"/>
        <n v="171764.45139498857" u="1"/>
        <n v="3447908.4971231665" u="1"/>
        <n v="2384379.6536107934" u="1"/>
        <n v="1338149.9711617127" u="1"/>
        <n v="36885.145650442515" u="1"/>
        <n v="2942148.7890540641" u="1"/>
        <n v="8778.7346403580013" u="1"/>
        <n v="5873.2930531348811" u="1"/>
        <n v="16913.531275403173" u="1"/>
        <n v="24804.14503442798" u="1"/>
        <n v="58788.054647722587" u="1"/>
        <n v="27007.993320736907" u="1"/>
        <n v="216018.98267897419" u="1"/>
        <n v="291991.24502992176" u="1"/>
        <n v="791577.79039216507" u="1"/>
        <n v="23617.644356760884" u="1"/>
        <n v="207053.49190311632" u="1"/>
        <n v="183396.75905023175" u="1"/>
        <n v="90101.876357770016" u="1"/>
        <n v="356481.04751640657" u="1"/>
        <n v="134553.18184271632" u="1"/>
        <n v="32877.377490112733" u="1"/>
        <n v="3453202.0665117698" u="1"/>
        <n v="2841421.5536717437" u="1"/>
        <n v="1491795.6879762665" u="1"/>
        <n v="162741.34777922911" u="1"/>
        <n v="283634.92041522788" u="1"/>
        <n v="34658.875564350761" u="1"/>
        <n v="19533.264214612034" u="1"/>
        <n v="567688.47907126253" u="1"/>
        <n v="86382.074122816208" u="1"/>
        <n v="596883.88656635606" u="1"/>
        <n v="1249995.9653454847" u="1"/>
        <n v="276815.71550903469" u="1"/>
        <n v="380621.6088249227" u="1"/>
        <n v="1055359.9153781945" u="1"/>
        <n v="62399.682491350119" u="1"/>
        <n v="102671.59197802161" u="1"/>
        <n v="19358.860069838713" u="1"/>
        <n v="18462.29500022659" u="1"/>
        <n v="139608.11977002837" u="1"/>
        <n v="118279.10147182959" u="1"/>
        <n v="275426.3726523603" u="1"/>
        <n v="87972.986938737959" u="1"/>
        <n v="19235.824732352874" u="1"/>
        <n v="369300.27858515852" u="1"/>
        <n v="110560.78865001597" u="1"/>
        <n v="4750658.8873053724" u="1"/>
        <n v="264649.14692116855" u="1"/>
        <n v="128784.73969763472" u="1"/>
        <n v="90138.793182247347" u="1"/>
        <n v="24266.543191080604" u="1"/>
        <n v="2151377.9727197704" u="1"/>
        <n v="813706.73889614537" u="1"/>
        <n v="326420.8754659759" u="1"/>
        <n v="125707.09984087123" u="1"/>
        <n v="1706740.4731572489" u="1"/>
        <n v="357151.24716068356" u="1"/>
        <n v="240949.69805700664" u="1"/>
        <n v="93098.52077846021" u="1"/>
        <n v="324736.73297806445" u="1"/>
        <n v="390758.9030940524" u="1"/>
        <n v="13951.257498189996" u="1"/>
        <n v="13564.766815702798" u="1"/>
        <n v="26333.733978217704" u="1"/>
        <n v="19854.444429065945" u="1"/>
        <n v="129459.42551948318" u="1"/>
        <n v="17759.207839173334" u="1"/>
        <n v="38118.189885765009" u="1"/>
        <n v="35340.911083737388" u="1"/>
        <n v="79417.777716263779" u="1"/>
        <n v="16286.862951190504" u="1"/>
        <n v="11550.966632050004" u="1"/>
        <n v="82934.944473418887" u="1"/>
        <n v="431561.51964119013" u="1"/>
        <n v="228269.76550512665" u="1"/>
        <n v="26057.707430318671" u="1"/>
        <n v="292386.59950641787" u="1"/>
        <n v="370213.9867086162" u="1"/>
        <n v="45635.75121568585" u="1"/>
        <n v="665006.50405490748" u="1"/>
        <n v="5039028.3335882165" u="1"/>
        <n v="473073.73255938542" u="1"/>
        <n v="64709.059712217277" u="1"/>
        <n v="27813.271294269201" u="1"/>
        <n v="88151.563380415741" u="1"/>
        <n v="262091.06580445374" u="1"/>
        <n v="86882.180867737785" u="1"/>
        <n v="120937.10964717565" u="1"/>
        <n v="59638.594267185646" u="1"/>
        <n v="319670.5045663428" u="1"/>
        <n v="248701.61940264833" u="1"/>
        <n v="486049.46922387148" u="1"/>
        <n v="454150.78325701004" u="1"/>
        <n v="340613.0874427575" u="1"/>
        <n v="201101.80832719023" u="1"/>
        <n v="50856.671181009086" u="1"/>
        <n v="151747.82562362051" u="1"/>
        <n v="55753.275192085763" u="1"/>
        <n v="159925.95438978996" u="1"/>
        <n v="100658.42350786433" u="1"/>
        <n v="1922358.6862661145" u="1"/>
        <n v="1789312.7875257207" u="1"/>
        <n v="52563.828755806746" u="1"/>
        <n v="231130.30933615688" u="1"/>
        <n v="530943.64712973475" u="1"/>
        <n v="313073.66779029195" u="1"/>
        <n v="54420.706697374204" u="1"/>
        <n v="26852.322383572795" u="1"/>
        <n v="519571.5336697115" u="1"/>
        <n v="199983.41934007558" u="1"/>
        <n v="408748.35184813599" u="1"/>
        <n v="231906.42058540144" u="1"/>
        <n v="10531492.140817709" u="1"/>
        <n v="3476217.937506862" u="1"/>
        <n v="70075.864234436696" u="1"/>
        <n v="381016.57203742932" u="1"/>
        <n v="77662.186851145845" u="1"/>
        <n v="219452.14633811952" u="1"/>
        <n v="2961903.4944588584" u="1"/>
        <n v="204413.42689513223" u="1"/>
        <n v="45071.477404157864" u="1"/>
        <n v="310867.14384953934" u="1"/>
        <n v="542364.19480330346" u="1"/>
        <n v="289381.6920683264" u="1"/>
        <n v="180823.71975469898" u="1"/>
        <n v="948189.151754027" u="1"/>
        <n v="284797.3586136509" u="1"/>
        <n v="7053.6787441654551" u="1"/>
        <n v="16277.720178843358" u="1"/>
        <n v="276660.2912246894" u="1"/>
        <n v="317321.26072250033" u="1"/>
        <n v="45984.1895829153" u="1"/>
        <n v="98807.246865960507" u="1"/>
        <n v="34652.899896150011" u="1"/>
        <n v="37553.754826047494" u="1"/>
        <n v="80831.429591178836" u="1"/>
        <n v="8182575.422125835" u="1"/>
        <n v="284151.55961452698" u="1"/>
        <n v="293838.54460138583" u="1"/>
        <n v="19993.937012876719" u="1"/>
        <n v="62652.035528579057" u="1"/>
        <n v="61996.703915896804" u="1"/>
        <n v="4220796.2812364986" u="1"/>
        <n v="22992.09479145765" u="1"/>
        <n v="36419.478149668925" u="1"/>
        <n v="1198149.8729021365" u="1"/>
        <n v="322899.4995619625" u="1"/>
        <n v="3297892.1735292454" u="1"/>
        <n v="356481.04751640651" u="1"/>
        <n v="32188.932708040713" u="1"/>
        <n v="168608.69513735612" u="1"/>
        <n v="57754.833160250018" u="1"/>
        <n v="5523682.5064193169" u="1"/>
        <n v="164899.98677784292" u="1"/>
        <n v="396570.95180835342" u="1"/>
        <n v="2171813.924218344" u="1"/>
        <n v="70945.844062100339" u="1"/>
        <n v="1318756.4933187892" u="1"/>
        <n v="2931383.5121298903" u="1"/>
        <n v="136011.01407746726" u="1"/>
        <n v="340027.53519366815" u="1"/>
        <n v="348066.86404766142" u="1"/>
        <n v="3294280.024379706" u="1"/>
        <n v="174404.14477332169" u="1"/>
        <n v="103464.42656155943" u="1"/>
        <n v="1727058.8121234064" u="1"/>
        <n v="568702.20849817537" u="1"/>
        <n v="4570863.7025650302" u="1"/>
        <n v="263176.39511863684" u="1"/>
        <n v="269938.23716704815" u="1"/>
        <n v="266600.70198384166" u="1"/>
        <n v="1060638.4066066802" u="1"/>
        <n v="169034.39035775236" u="1"/>
        <n v="710378.89903631737" u="1"/>
        <n v="678088.94908012112" u="1"/>
        <n v="289745.21188387199" u="1"/>
        <n v="133204.44191251494" u="1"/>
        <n v="205087.14586018925" u="1"/>
        <n v="694979.69693486055" u="1"/>
        <n v="67266.423748748028" u="1"/>
        <n v="620030.90608894418" u="1"/>
        <n v="304053.61740900145" u="1"/>
        <n v="1022028.9660806772" u="1"/>
        <n v="374829.32091816381" u="1"/>
        <n v="853262.1844829839" u="1"/>
        <n v="38320.157985762751" u="1"/>
        <n v="39342.028865383087" u="1"/>
        <n v="136785.89067145655" u="1"/>
        <n v="1071535.2155128678" u="1"/>
        <n v="206267.26128660722" u="1"/>
        <n v="61312.252777220405" u="1"/>
        <n v="11000.920601952384" u="1"/>
        <n v="203183.38966157727" u="1"/>
        <n v="57281.793574366064" u="1"/>
        <n v="374743.95422958175" u="1"/>
        <n v="32555.440357686719" u="1"/>
        <n v="693619.28390042775" u="1"/>
        <n v="292584.08111267124" u="1"/>
        <n v="77946.742479752982" u="1"/>
        <n v="204374.175924068" u="1"/>
        <n v="608958.92562307022" u="1"/>
        <n v="18804.706953501525" u="1"/>
        <n v="671689.00843711779" u="1"/>
        <n v="2994957.4509840314" u="1"/>
        <n v="1736867.8003360308" u="1"/>
        <n v="1141777.7702371408" u="1"/>
        <n v="271235.57963204844" u="1"/>
        <n v="1660031.3306845187" u="1"/>
        <n v="192084.53449744586" u="1"/>
        <n v="192878.12852833918" u="1"/>
        <n v="328705.57260806276" u="1"/>
        <n v="5003508.8669510819" u="1"/>
        <n v="393481.15194106079" u="1"/>
        <n v="154975.46898000423" u="1"/>
        <n v="210534.74204882863" u="1"/>
        <n v="139239.39253589156" u="1"/>
        <n v="32047.010588272889" u="1"/>
        <n v="46110.04853744823" u="1"/>
        <n v="281966.17238682404" u="1"/>
        <n v="21147462.929011807" u="1"/>
        <n v="2046788.0853313799" u="1"/>
        <n v="0" u="1"/>
        <n v="172193.81501998243" u="1"/>
        <n v="427849.95600096264" u="1"/>
        <n v="801415.43563105073" u="1"/>
        <n v="1315142.8290000001" u="1"/>
        <n v="25491.024000000001" u="1"/>
        <n v="41065.348600584737" u="1"/>
        <n v="292403.75233732455" u="1"/>
        <n v="130137.69495029282" u="1"/>
        <n v="268248.27193265274" u="1"/>
        <n v="458366.13292144344" u="1"/>
        <n v="1418557.1657400001" u="1"/>
        <n v="971864.07499999995" u="1"/>
        <n v="4219634.5042598452" u="1"/>
        <n v="27901.58287016127" u="1"/>
        <n v="42549.913876995939" u="1"/>
        <n v="68646.148496154463" u="1"/>
        <n v="82503.738592134381" u="1"/>
        <n v="202292.95125525226" u="1"/>
        <n v="359541.75031817914" u="1"/>
        <n v="588916.90993528697" u="1"/>
        <n v="841605.57" u="1"/>
        <n v="1716492.7309552708" u="1"/>
        <n v="1772251.7185758005" u="1"/>
        <n v="3887677.6460917993" u="1"/>
        <n v="98296.546604387855" u="1"/>
        <n v="238594.40612541523" u="1"/>
        <n v="255871.32355121267" u="1"/>
        <n v="271307.77298834943" u="1"/>
        <n v="333802.75087738375" u="1"/>
        <n v="30919.443773400006" u="1"/>
        <n v="76968.052218191136" u="1"/>
        <n v="125138.59917267333" u="1"/>
        <n v="245135.33521641689" u="1"/>
        <n v="1961748.5254650367" u="1"/>
        <n v="120077.40899989754" u="1"/>
        <n v="212906.28762905044" u="1"/>
        <n v="9473.7276672182579" u="1"/>
        <n v="46192.981946098102" u="1"/>
        <n v="87550.77803353031" u="1"/>
        <n v="120077.40899989755" u="1"/>
        <n v="503297.92095426359" u="1"/>
        <n v="924388.62597790954" u="1"/>
        <n v="31791.123000000003" u="1"/>
        <n v="82108.116030108984" u="1"/>
        <n v="126158.49792000002" u="1"/>
        <n v="344992.8807078735" u="1"/>
        <n v="157895.72134656736" u="1"/>
        <n v="493396.17136419879" u="1"/>
        <n v="1053345.2982159117" u="1"/>
        <n v="2711971.5480000009" u="1"/>
        <n v="20866.395057814705" u="1"/>
        <n v="964804.2300000001" u="1"/>
        <n v="50432.511779956978" u="1"/>
        <n v="99801.511919063414" u="1"/>
        <n v="110379.88854791151" u="1"/>
        <n v="214758.185927671" u="1"/>
        <n v="4128211.2891627271" u="1"/>
        <n v="299011.39229188033" u="1"/>
        <n v="20413.159529982582" u="1"/>
        <n v="30653.525326896426" u="1"/>
        <n v="162104.50214986168" u="1"/>
        <n v="870121.81327500008" u="1"/>
        <n v="981808.95152582088" u="1"/>
        <n v="10518.338710393395" u="1"/>
        <n v="37239.856333274809" u="1"/>
        <n v="495122.55837278051" u="1"/>
        <n v="65019.273189897358" u="1"/>
        <n v="106776.17582243971" u="1"/>
        <n v="113697.16423358914" u="1"/>
        <n v="151415.68081035963" u="1"/>
        <n v="82732.14591569177" u="1"/>
        <n v="362087.8331341481" u="1"/>
        <n v="80051.605999931693" u="1"/>
        <n v="136961.89491390414" u="1"/>
        <n v="151504.15955195995" u="1"/>
        <n v="299336.43848754832" u="1"/>
        <n v="900881.28000000014" u="1"/>
        <n v="2150663.3104320006" u="1"/>
        <n v="440174.85185284232" u="1"/>
        <n v="118294.82419673694" u="1"/>
        <n v="222888.82063351583" u="1"/>
        <n v="82373.685193800004" u="1"/>
        <n v="150067.65832999258" u="1"/>
        <n v="218119.85553397489" u="1"/>
        <n v="527900.70059999998" u="1"/>
        <n v="557934.73719984002" u="1"/>
        <n v="36328.793485381604" u="1"/>
        <n v="308165" u="1"/>
        <n v="570337.61175761663" u="1"/>
        <n v="625694.90648840787" u="1"/>
        <n v="300195.64575000003" u="1"/>
        <n v="452369.4291883363" u="1"/>
        <n v="489840.18886855128" u="1"/>
        <n v="764712" u="1"/>
        <n v="2017749.2588932086" u="1"/>
        <n v="11265.954336000003" u="1"/>
        <n v="56373.216679189369" u="1"/>
        <n v="101784.97455964748" u="1"/>
        <n v="342472.09274196293" u="1"/>
        <n v="565829.99144100002" u="1"/>
        <n v="15179.017102221651" u="1"/>
        <n v="689838.6501888053" u="1"/>
        <n v="14915.279433600002" u="1"/>
        <n v="35308.219687530203" u="1"/>
        <n v="207863.77029046768" u="1"/>
        <n v="484694.36730000004" u="1"/>
        <n v="731672.66249999998" u="1"/>
        <n v="977718.73901509668" u="1"/>
        <n v="86984.066529360018" u="1"/>
        <n v="314220.29932800011" u="1"/>
        <n v="1955390.3164389238" u="1"/>
        <n v="83105.039770472154" u="1"/>
        <n v="406995.3390641436" u="1"/>
        <n v="1150940.2933941525" u="1"/>
        <n v="112003.57432655472" u="1"/>
        <n v="279007.97395300877" u="1"/>
        <n v="283370.79638738197" u="1"/>
        <n v="348810.93000000005" u="1"/>
        <n v="4327157.8091830863" u="1"/>
        <n v="47307.970178687894" u="1"/>
        <n v="897028.20395167102" u="1"/>
        <n v="9905.0471956800011" u="1"/>
        <n v="65428.046709485279" u="1"/>
        <n v="523474.49232195935" u="1"/>
        <n v="828464.09304353071" u="1"/>
        <n v="72693.6763066282" u="1"/>
        <n v="97265.022940800001" u="1"/>
        <n v="620108.41739920352" u="1"/>
        <n v="12864.886385284013" u="1"/>
        <n v="174672.60429185096" u="1"/>
        <n v="231638.07704671507" u="1"/>
        <n v="452189.62451364362" u="1"/>
        <n v="16152.158800258885" u="1"/>
        <n v="324452.88330073003" u="1"/>
        <n v="169604.87260454832" u="1"/>
        <n v="174347.02419945883" u="1"/>
        <n v="236758.68984029058" u="1"/>
        <n v="2551253.4413390732" u="1"/>
        <n v="2992521.4228544896" u="1"/>
        <n v="173876.41187676825" u="1"/>
        <n v="220560.61389216292" u="1"/>
        <n v="536186.11632956611" u="1"/>
        <n v="11122.880867280001" u="1"/>
        <n v="52807.776976785484" u="1"/>
        <n v="123477.72483918631" u="1"/>
        <n v="1776598.5802258586" u="1"/>
        <n v="12365.271145371677" u="1"/>
        <n v="290019.26555215043" u="1"/>
        <n v="608558.0187114795" u="1"/>
        <n v="1528919.8369826064" u="1"/>
        <n v="38228.887220586592" u="1"/>
        <n v="141739.12853099997" u="1"/>
        <n v="20837.027487808893" u="1"/>
        <n v="72157.234643019488" u="1"/>
        <n v="156878.31720035299" u="1"/>
        <n v="696370.37109531683" u="1"/>
        <n v="1554830.1220421295" u="1"/>
        <n v="267918.93390340934" u="1"/>
        <n v="127178.65697782463" u="1"/>
        <n v="896554.43782856117" u="1"/>
        <n v="1426038.8020250816" u="1"/>
        <n v="126048.00000000001" u="1"/>
        <n v="300343.06197103864" u="1"/>
        <n v="361722.00237225904" u="1"/>
        <n v="6679.8530330297972" u="1"/>
        <n v="35260.268230630507" u="1"/>
        <n v="184350.35613813746" u="1"/>
        <n v="195423.93000000002" u="1"/>
        <n v="1221288.707261346" u="1"/>
        <n v="15082.30797118663" u="1"/>
        <n v="71139.187384196863" u="1"/>
        <n v="36759.125763360003" u="1"/>
        <n v="50036.766179400001" u="1"/>
        <n v="101242.96701897781" u="1"/>
        <n v="209171.08960047064" u="1"/>
        <n v="720442.16240117978" u="1"/>
        <n v="66470.498639999991" u="1"/>
        <n v="90550.255238298996" u="1"/>
        <n v="209171.08960047067" u="1"/>
        <n v="685347.67901556287" u="1"/>
        <n v="713309.63563970011" u="1"/>
        <n v="74561.760000000009" u="1"/>
        <n v="312731.61767370434" u="1"/>
        <n v="333067.63436370465" u="1"/>
        <n v="509872.99999999994" u="1"/>
        <n v="763791.40293505194" u="1"/>
        <n v="211464.96917537309" u="1"/>
        <n v="230141.24632259909" u="1"/>
        <n v="294064.07604652504" u="1"/>
        <n v="82735.684038158943" u="1"/>
        <n v="230141.24632259912" u="1"/>
        <n v="1345757.9739150866" u="1"/>
        <n v="2462857.7792000002" u="1"/>
        <n v="99431.372394320933" u="1"/>
        <n v="4400146.608" u="1"/>
        <n v="44066.418739200009" u="1"/>
        <n v="65243.252386615604" u="1"/>
        <n v="355773.90822999453" u="1"/>
        <n v="35017.934269212128" u="1"/>
        <n v="38365.620807738131" u="1"/>
        <n v="108943.27583357846" u="1"/>
        <n v="682447.09031264659" u="1"/>
        <n v="3815992.0367078837" u="1"/>
        <n v="46397.950784104396" u="1"/>
        <n v="206042.45862276814" u="1"/>
        <n v="487656.06170259684" u="1"/>
        <n v="999619.68625013914" u="1"/>
        <n v="117726.17256988974" u="1"/>
        <n v="136617.69759078359" u="1"/>
        <n v="152458.62963263862" u="1"/>
        <n v="234270.76489015436" u="1"/>
        <n v="3526482.3818009137" u="1"/>
        <n v="48030.963599959025" u="1"/>
        <n v="48326.732999999993" u="1"/>
        <n v="776378.08889459842" u="1"/>
        <n v="2091437.3731410371" u="1"/>
        <n v="18501.656113308236" u="1"/>
        <n v="48326.733" u="1"/>
        <n v="146168.08998214756" u="1"/>
        <n v="532041.7015140939" u="1"/>
        <n v="166107.08244985828" u="1"/>
        <n v="180251.60183373888" u="1"/>
        <n v="2268333.1990193534" u="1"/>
        <n v="1168647.0671386779" u="1"/>
        <n v="20093.565562014359" u="1"/>
        <n v="44070.130097565823" u="1"/>
        <n v="105229.30052107011" u="1"/>
        <n v="205056.94030866268" u="1"/>
        <n v="242602.78917610852" u="1"/>
        <n v="55751.547812012752" u="1"/>
        <n v="185161.25946368949" u="1"/>
        <n v="72233.636420876821" u="1"/>
        <n v="88304.432002265807" u="1"/>
        <n v="400457.41596138477" u="1"/>
        <n v="881160.71243199985" u="1"/>
        <n v="42178.085586000001" u="1"/>
        <n v="99879.675474972202" u="1"/>
        <n v="186024.18060518047" u="1"/>
        <n v="226484.06442941865" u="1"/>
        <n v="298722.46233567211" u="1"/>
        <n v="364961.02499999991" u="1"/>
        <n v="72015.844207253249" u="1"/>
        <n v="136263.56305759231" u="1"/>
        <n v="11211.207265439998" u="1"/>
        <n v="22696.289631822052" u="1"/>
        <n v="74093.90976000001" u="1"/>
        <n v="153956.94833713988" u="1"/>
        <n v="1114192.5937525069" u="1"/>
        <n v="297048.00671439175" u="1"/>
        <n v="85849.665005964256" u="1"/>
        <n v="141606.75083453575" u="1"/>
        <n v="40324.226074199229" u="1"/>
        <n v="150757.68588533922" u="1"/>
        <n v="198575.52000000002" u="1"/>
        <n v="253305.17387231434" u="1"/>
        <n v="257827.99180410875" u="1"/>
        <n v="503225.51505684259" u="1"/>
        <n v="637443.85480291524" u="1"/>
        <n v="31662.54" u="1"/>
        <n v="35862.145617580689" u="1"/>
        <n v="252955.93426736258" u="1"/>
        <n v="366706.51862028381" u="1"/>
        <n v="514196.43911999994" u="1"/>
        <n v="55486712.532351181" u="1"/>
        <n v="29329.702393560423" u="1"/>
        <n v="29711.32253340317" u="1"/>
        <n v="170161.08220800001" u="1"/>
        <n v="253823.68421485674" u="1"/>
        <n v="289670.26721679978" u="1"/>
        <n v="484231.63836418476" u="1"/>
        <n v="507592.10962660849" u="1"/>
        <n v="36121.818438831862" u="1"/>
        <n v="99534.538375223958" u="1"/>
        <n v="1685352.4771454586" u="1"/>
        <n v="136609.30146031949" u="1"/>
        <n v="45621.176816790969" u="1"/>
        <n v="176890.99252485845" u="1"/>
        <n v="8542015.848461112" u="1"/>
        <n v="333583.38" u="1"/>
        <n v="287944.97900415317" u="1"/>
        <n v="360476.48975869117" u="1"/>
        <n v="420517.26852087583" u="1"/>
        <n v="168549.51143948958" u="1"/>
        <n v="1128450.375" u="1"/>
        <n v="167207.04000000001" u="1"/>
        <n v="166314.54292382346" u="1"/>
        <n v="178994.23442865862" u="1"/>
        <n v="184262.69517124793" u="1"/>
        <n v="85102.030310816481" u="1"/>
        <n v="133886.28131275481" u="1"/>
        <n v="543341.12332500005" u="1"/>
        <n v="90788.056957514244" u="1"/>
        <n v="97985.280102006174" u="1"/>
        <n v="114804.6172416" u="1"/>
        <n v="410022.87450092257" u="1"/>
        <n v="817561.25175841583" u="1"/>
        <n v="1282014.6625000001" u="1"/>
        <n v="26151.121399925949" u="1"/>
        <n v="28839.022397708555" u="1"/>
        <n v="55062.416094076936" u="1"/>
        <n v="84992.513973722031" u="1"/>
        <n v="145074.25323994129" u="1"/>
        <n v="179538.51857373732" u="1"/>
        <n v="46011.971838184778" u="1"/>
        <n v="1422963.7689744632" u="1"/>
        <n v="42352.128000000004" u="1"/>
        <n v="45847.859200000006" u="1"/>
        <n v="303343.18559999997" u="1"/>
        <n v="1547294.1283800004" u="1"/>
        <n v="123602.86865744997" u="1"/>
        <n v="261282.99600000001" u="1"/>
        <n v="395166.9732508891" u="1"/>
        <n v="544266.20034213364" u="1"/>
        <n v="8477138.8254688084" u="1"/>
        <n v="30285.253863901449" u="1"/>
        <n v="49010.874160367654" u="1"/>
        <n v="122445.165143525" u="1"/>
        <n v="285750.28936414293" u="1"/>
        <n v="392879.89377868193" u="1"/>
        <n v="475634.65950000001" u="1"/>
        <n v="574828.340624189" u="1"/>
        <n v="5745582.288065685" u="1"/>
        <n v="78644.151501300003" u="1"/>
        <n v="84538.981799999994" u="1"/>
        <n v="215119.27266593507" u="1"/>
        <n v="372812.3789889341" u="1"/>
        <n v="33516.239935970283" u="1"/>
        <n v="230188.05867883051" u="1"/>
        <n v="267802.37986726919" u="1"/>
        <n v="67133.689237837389" u="1"/>
        <n v="91437.647739634325" u="1"/>
        <n v="92973.199410000001" u="1"/>
        <n v="400212.55668734701" u="1"/>
        <n v="408893.90122417401" u="1"/>
        <n v="55176345.588413566" u="1"/>
        <n v="79991.643582234494" u="1"/>
        <n v="13457.148045839322" u="1"/>
        <n v="119565.64372344544" u="1"/>
        <n v="208219.22052382038" u="1"/>
        <n v="275775.04687145352" u="1"/>
        <n v="482714.06486992381" u="1"/>
        <n v="485721.54067501868" u="1"/>
        <n v="729965.40335572837" u="1"/>
        <n v="19965.706407633294" u="1"/>
        <n v="40504.2449406019" u="1"/>
        <n v="115799.1058224" u="1"/>
        <n v="1712535.821252702" u="1"/>
        <n v="29719.158727474638" u="1"/>
        <n v="30906.368793415222" u="1"/>
        <n v="87656.508569925209" u="1"/>
        <n v="359768.66308246611" u="1"/>
        <n v="527334.69123052922" u="1"/>
        <n v="651415.1252365493" u="1"/>
        <n v="1767413.7933351398" u="1"/>
        <n v="2773101.5666729058" u="1"/>
        <n v="63557.247513356968" u="1"/>
        <n v="952057.16744779504" u="1"/>
        <n v="92561.568710149077" u="1"/>
        <n v="142616.6520003209" u="1"/>
        <n v="549482.00450000004" u="1"/>
        <n v="142616.65200032093" u="1"/>
        <n v="218572.47360000003" u="1"/>
        <n v="33397.272431370024" u="1"/>
        <n v="54273.559233455453" u="1"/>
        <n v="72712.628352" u="1"/>
        <n v="194369.05799999999" u="1"/>
        <n v="17336.11014581109" u="1"/>
        <n v="130335.77363362658" u="1"/>
        <n v="21912.132508850205" u="1"/>
        <n v="162741.44622703287" u="1"/>
        <n v="298481.82497887651" u="1"/>
        <n v="35705.306829159497" u="1"/>
        <n v="47493.810000000005" u="1"/>
        <n v="68634.263775154439" u="1"/>
        <n v="776921.19184749678" u="1"/>
        <n v="2310649.6654476211" u="1"/>
        <n v="14508.082516054592" u="1"/>
        <n v="31340.431572913854" u="1"/>
        <n v="346543.47000000003" u="1"/>
        <n v="113599.30168565661" u="1"/>
        <n v="194909.42440043855" u="1"/>
        <n v="485751.31345742411" u="1"/>
        <n v="700451.55249940231" u="1"/>
        <n v="59729866.56000001" u="1"/>
        <n v="35050.637037984758" u="1"/>
        <n v="102579.97761495429" u="1"/>
        <n v="119590.00506276907" u="1"/>
        <n v="515400.44618373702" u="1"/>
        <n v="221926.68092590841" u="1"/>
        <n v="223261.83957793732" u="1"/>
        <n v="225732.52548752088" u="1"/>
        <n v="800720.48485297547" u="1"/>
        <n v="14935.619044979423" u="1"/>
        <n v="39231.355208366891" u="1"/>
        <n v="40346.009423965574" u="1"/>
        <n v="44609.291999999994" u="1"/>
        <n v="69511.454984562064" u="1"/>
        <n v="166324.30169014892" u="1"/>
        <n v="15854.220248278198" u="1"/>
        <n v="16249.299181489267" u="1"/>
        <n v="70954.832590848542" u="1"/>
        <n v="450462.13280999486" u="1"/>
        <n v="460197.56397807697" u="1"/>
        <n v="505100.64250113658" u="1"/>
        <n v="32153.308369848026" u="1"/>
        <n v="55242.720000000008" u="1"/>
        <n v="365504.69042165566" u="1"/>
        <n v="25966.983696346535" u="1"/>
        <n v="196910.14993650001" u="1"/>
        <n v="197758.08000000005" u="1"/>
        <n v="667076.07629738876" u="1"/>
        <n v="706504.06089408451" u="1"/>
        <n v="839086.45545056451" u="1"/>
        <n v="73989.529710178191" u="1"/>
        <n v="170177.55131520002" u="1"/>
        <n v="527016.85019278352" u="1"/>
        <n v="795325.52932178951" u="1"/>
        <n v="179310.04930873809" u="1"/>
        <n v="1492400.3823437102" u="1"/>
        <n v="4196031.8252426423" u="1"/>
        <n v="372436.30706152768" u="1"/>
        <n v="63749.536697884469" u="1"/>
        <n v="109854.43777691387" u="1"/>
        <n v="125265.2721617874" u="1"/>
        <n v="196398.01619864584" u="1"/>
        <n v="421110.59422268433" u="1"/>
        <n v="590902.3414897155" u="1"/>
        <n v="679755.96000000008" u="1"/>
        <n v="1359968.7988606896" u="1"/>
        <n v="79074.090191861644" u="1"/>
        <n v="137862.76360031022" u="1"/>
        <n v="1781174.3531783873" u="1"/>
        <n v="153946.75268701304" u="1"/>
        <n v="316594.11153946235" u="1"/>
        <n v="782780.47684427258" u="1"/>
        <n v="34773.246661961559" u="1"/>
        <n v="57442.383733944509" u="1"/>
        <n v="103556.63608402931" u="1"/>
        <n v="688689.57171662059" u="1"/>
        <n v="14571.856418132786" u="1"/>
        <n v="15684.635996516567" u="1"/>
        <n v="125273.81484264304" u="1"/>
        <n v="137923.1131794455" u="1"/>
        <n v="223318.15815244825" u="1"/>
        <n v="425147.16912075714" u="1"/>
        <n v="112843399.35738301" u="1"/>
        <n v="90459.953999999998" u="1"/>
        <n v="92259.669031370999" u="1"/>
        <n v="104259.11736240002" u="1"/>
        <n v="201039.11506753063" u="1"/>
        <n v="1058113.8760523407" u="1"/>
        <n v="46743.303361871433" u="1"/>
        <n v="78471.841582926572" u="1"/>
        <n v="158259.9823429767" u="1"/>
        <n v="830139.1171700838" u="1"/>
        <n v="34108.987519200404" u="1"/>
        <n v="51365.812306999193" u="1"/>
        <n v="53970.246373313494" u="1"/>
        <n v="891252.14378585829" u="1"/>
        <n v="2728202.9632000001" u="1"/>
        <n v="168025.44000000006" u="1"/>
        <n v="1092048.75" u="1"/>
        <n v="14009.031049988045" u="1"/>
        <n v="30175.561874079416" u="1"/>
        <n v="190155.53600042785" u="1"/>
        <n v="202891.97438468752" u="1"/>
        <n v="220103.18820161867" u="1"/>
        <n v="369668.94836335996" u="1"/>
        <n v="661564.80000000016" u="1"/>
        <n v="1289135.4617834873" u="1"/>
        <n v="61754.532840000007" u="1"/>
        <n v="190155.53600042788" u="1"/>
        <n v="225300.0684823356" u="1"/>
        <n v="504997.74988784402" u="1"/>
        <n v="1965066.3029144742" u="1"/>
        <n v="157957.79999999999" u="1"/>
        <n v="186934.17600000001" u="1"/>
        <n v="256157.21329819728" u="1"/>
        <n v="503801.26524174213" u="1"/>
        <n v="1489721.2611313411" u="1"/>
        <n v="96374.657924999992" u="1"/>
        <n v="881836.40694700833" u="1"/>
        <n v="99685.303790824983" u="1"/>
        <n v="144901.09498441298" u="1"/>
        <n v="187620.95156233991" u="1"/>
        <n v="151588.38027246515" u="1"/>
        <n v="580092.26383315108" u="1"/>
        <n v="121082.36400000002" u="1"/>
        <n v="142163.06306995713" u="1"/>
        <n v="143418.6" u="1"/>
        <n v="193458.05314194158" u="1"/>
        <n v="53753.60268970429" u="1"/>
        <n v="156352.63799999998" u="1"/>
        <n v="209535.52622554277" u="1"/>
        <n v="788508.99460230302" u="1"/>
        <n v="18734.824836" u="1"/>
        <n v="30378.183705451425" u="1"/>
        <n v="638011.35684000014" u="1"/>
        <n v="23431.749294361438" u="1"/>
        <n v="249719.07887255654" u="1"/>
        <n v="22189.405328999997" u="1"/>
        <n v="42179.95536158693" u="1"/>
        <n v="118012.7079714963" u="1"/>
        <n v="120985.07322948886" u="1"/>
        <n v="24502.364336625946" u="1"/>
        <n v="1749266.2986606599" u="1"/>
        <n v="3672900.1510992018" u="1"/>
        <n v="7100774.9458466657" u="1"/>
        <n v="46874.659221870941" u="1"/>
        <n v="54784.757965561657" u="1"/>
        <n v="166774.17916652432" u="1"/>
        <n v="230357.31878400434" u="1"/>
        <n v="833999.89813705138" u="1"/>
        <n v="70252.343271038437" u="1"/>
        <n v="91178.386879277008" u="1"/>
        <n v="101430.377685" u="1"/>
        <n v="118550.09197526675" u="1"/>
        <n v="400402.52017627528" u="1"/>
        <n v="607331.21559196594" u="1"/>
        <n v="1592511.7757956709" u="1"/>
        <n v="53152.51536765723" u="1"/>
        <n v="91178.386879277023" u="1"/>
        <n v="93304.594980016831" u="1"/>
        <n v="138780.63353137756" u="1"/>
        <n v="336073.1278630083" u="1"/>
        <n v="2500398.0017993562" u="1"/>
        <n v="53212.512599999995" u="1"/>
        <n v="87240.047458322209" u="1"/>
        <n v="168096.27743999998" u="1"/>
        <n v="274170.69389157306" u="1"/>
        <n v="57938.014875130357" u="1"/>
        <n v="430410.38039999997" u="1"/>
        <n v="87625.395000000004" u="1"/>
        <n v="2178251.7546676463" u="1"/>
        <n v="48200.092927756683" u="1"/>
        <n v="64969.808133479513" u="1"/>
        <n v="319048.16494119406" u="1"/>
        <n v="341593.77590817143" u="1"/>
        <n v="493224.41058753844" u="1"/>
        <n v="39246.182594812984" u="1"/>
        <n v="72007.320613430653" u="1"/>
        <n v="74952.973773501988" u="1"/>
        <n v="262798.03365833149" u="1"/>
        <n v="297788.00688" u="1"/>
        <n v="62214.52022876453" u="1"/>
        <n v="292361.22629999998" u="1"/>
        <n v="42893.332070762197" u="1"/>
        <n v="243527.97025601901" u="1"/>
        <n v="248692.63582218465" u="1"/>
        <n v="267406.22250060167" u="1"/>
        <n v="323791.79677421949" u="1"/>
        <n v="750821.55773732055" u="1"/>
        <n v="1137220.1045187991" u="1"/>
        <n v="1275249.4279393773" u="1"/>
        <n v="56193.787900504794" u="1"/>
        <n v="561553.06725126354" u="1"/>
        <n v="104965.75475754672" u="1"/>
        <n v="237694.42000053477" u="1"/>
        <n v="10858.594151434547" u="1"/>
        <n v="33569.091890662778" u="1"/>
        <n v="273627.53144789475" u="1"/>
        <n v="548096.69848367025" u="1"/>
        <n v="132809.45268845267" u="1"/>
        <n v="237694.42000053482" u="1"/>
        <n v="513006.85800000001" u="1"/>
        <n v="13926.582830160003" u="1"/>
        <n v="165640.73616401991" u="1"/>
        <n v="237694.42000053485" u="1"/>
        <n v="272577.87751853385" u="1"/>
        <n v="118258.0543180809" u="1"/>
        <n v="190741.26052379172" u="1"/>
        <n v="244166.55120000005" u="1"/>
        <n v="403307.77499999997" u="1"/>
        <n v="1740423.1519794492" u="1"/>
        <n v="41677.640642517523" u="1"/>
        <n v="54766.821233716561" u="1"/>
        <n v="107120.95194690771" u="1"/>
        <n v="346133.95215550024" u="1"/>
        <n v="616674.77275491937" u="1"/>
        <n v="8660412.6336000022" u="1"/>
        <n v="332710.85250000004" u="1"/>
        <n v="134416.19451030245" u="1"/>
        <n v="293634.83893885836" u="1"/>
        <n v="499179.24724923522" u="1"/>
        <n v="19784.433832594685" u="1"/>
        <n v="84613.543023969076" u="1"/>
        <n v="131614.00013701484" u="1"/>
        <n v="186807.36733435222" u="1"/>
        <n v="35302.758245969875" u="1"/>
        <n v="121405.11516534457" u="1"/>
        <n v="165481.31226911093" u="1"/>
        <n v="214156.49906397052" u="1"/>
        <n v="6023486.3133623777" u="1"/>
        <n v="4750.6349412526142" u="1"/>
        <n v="57397.54190433176" u="1"/>
        <n v="168684.95232225" u="1"/>
        <n v="190019.62041090295" u="1"/>
        <n v="287973.39245342568" u="1"/>
        <n v="9628.3254620035186" u="1"/>
        <n v="21225.101133600001" u="1"/>
        <n v="275829.84000000003" u="1"/>
        <n v="696557.05438161129" u="1"/>
        <n v="3665196.7676539971" u="1"/>
        <n v="44657.988209726718" u="1"/>
        <n v="56749.54277512768" u="1"/>
        <n v="64187.127227015633" u="1"/>
        <n v="94603.733774549997" u="1"/>
        <n v="27146.485378586363" u="1"/>
        <n v="32355.792830389219" u="1"/>
        <n v="41340.358898072198" u="1"/>
        <n v="89292.480076800013" u="1"/>
        <n v="202972.27859999999" u="1"/>
        <n v="423901.33780586231" u="1"/>
        <n v="437984.45605203242" u="1"/>
        <n v="32319.819980407367" u="1"/>
        <n v="548114.1760243543" u="1"/>
        <n v="95521.187067692459" u="1"/>
        <n v="101254.84423581527" u="1"/>
        <n v="804828.65698608907" u="1"/>
        <n v="2154189.0529802572" u="1"/>
        <n v="9486.4061476799998" u="1"/>
        <n v="28532.507412812796" u="1"/>
        <n v="35839.539930756546" u="1"/>
        <n v="177886.95367930364" u="1"/>
        <n v="260761.38592140004" u="1"/>
        <n v="11307.353502934324" u="1"/>
        <n v="664004.01541970321" u="1"/>
        <n v="2226807.6585853705" u="1"/>
        <n v="4531934.1610965058" u="1"/>
        <n v="154475.34012891" u="1"/>
        <n v="424150.26403000444" u="1"/>
        <n v="905177.95631548483" u="1"/>
        <n v="1740946.2112866265" u="1"/>
        <n v="40636.0910592" u="1"/>
        <n v="48134.952375255692" u="1"/>
        <n v="86203.843197997325" u="1"/>
        <n v="105470.94996100744" u="1"/>
        <n v="139404.03750000001" u="1"/>
        <n v="1474002.5220283167" u="1"/>
        <n v="117572.71125600001" u="1"/>
        <n v="812637.09175507503" u="1"/>
        <n v="9498.7620000000006" u="1"/>
        <n v="89237.276537343656" u="1"/>
        <n v="123510.14624778921" u="1"/>
        <n v="136837.94749769248" u="1"/>
        <n v="1400859.7602245165" u="1"/>
        <n v="5429223.7999999998" u="1"/>
        <n v="6687634.0167088471" u="1"/>
        <n v="33842.618438637663" u="1"/>
        <n v="81274.931981949485" u="1"/>
        <n v="174294.88216696633" u="1"/>
        <n v="183299.98419302542" u="1"/>
        <n v="389854.18069300347" u="1"/>
        <n v="747927.76631687465" u="1"/>
        <n v="10597.987917757478" u="1"/>
        <n v="43498.07886009787" u="1"/>
        <n v="58179.399446297823" u="1"/>
        <n v="65151.564908607274" u="1"/>
        <n v="77150.942744003623" u="1"/>
        <n v="91517.191814128979" u="1"/>
        <n v="98732.970399473765" u="1"/>
        <n v="130557.0046906262" u="1"/>
        <n v="221334.67180656776" u="1"/>
        <n v="514325.28897538601" u="1"/>
        <n v="546702.45485625009" u="1"/>
        <n v="1184279.9614570809" u="1"/>
        <n v="38294.922489296347" u="1"/>
        <n v="114619.19837030188" u="1"/>
        <n v="295317.31042094668" u="1"/>
        <n v="751708.60325169133" u="1"/>
        <n v="12527.381484264306" u="1"/>
        <n v="18762.095156233987" u="1"/>
        <n v="110321.11951865586" u="1"/>
        <n v="114152.23026933828" u="1"/>
        <n v="371866.46752766747" u="1"/>
        <n v="778698.21645491454" u="1"/>
        <n v="264978.33373440005" u="1"/>
        <n v="396362.21625" u="1"/>
        <n v="72907.64089308343" u="1"/>
        <n v="201142.60220521979" u="1"/>
        <n v="233916.84224999999" u="1"/>
        <n v="266870.89" u="1"/>
        <n v="333744.31211519206" u="1"/>
        <n v="1055080.7028602955" u="1"/>
        <n v="52834.059959954931" u="1"/>
        <n v="78247.907009999995" u="1"/>
        <n v="175893.87080039576" u="1"/>
        <n v="265559.80942124617" u="1"/>
        <n v="630228.0644638188" u="1"/>
        <n v="215461.54244552332" u="1"/>
        <n v="583671.85355686897" u="1"/>
        <n v="95580.699113974362" u="1"/>
        <n v="252214.78900604407" u="1"/>
        <n v="21613.933619981563" u="1"/>
        <n v="66768.151610464716" u="1"/>
        <n v="607907.13749999995" u="1"/>
        <n v="36779.395507843961" u="1"/>
        <n v="498301.06648707436" u="1"/>
        <n v="119350.51127999999" u="1"/>
        <n v="150813.53979120005" u="1"/>
        <n v="213808.14" u="1"/>
        <n v="411609.76322107081" u="1"/>
        <n v="495196.70833444752" u="1"/>
        <n v="1020400.7474651376" u="1"/>
        <n v="1375139.803381488" u="1"/>
        <n v="10531.36162160877" u="1"/>
        <n v="59072.37288714762" u="1"/>
        <n v="208134.17559982243" u="1"/>
        <n v="357458.4" u="1"/>
        <n v="11664633.574100319" u="1"/>
        <n v="277948.36512391194" u="1"/>
        <n v="860692.26031541883" u="1"/>
        <n v="159510.59605368273" u="1"/>
        <n v="164103.8495251553" u="1"/>
        <n v="529107.80210445262" u="1"/>
        <n v="3167.089960835076" u="1"/>
        <n v="22441.09457963139" u="1"/>
        <n v="407420.16388358403" u="1"/>
        <n v="836150.89649335854" u="1"/>
        <n v="15711170.686505562" u="1"/>
        <n v="20615.32212698926" u="1"/>
        <n v="441616.42449266033" u="1"/>
        <n v="633010.05591985595" u="1"/>
        <n v="4792.74655671244" u="1"/>
        <n v="24249.544137700417" u="1"/>
        <n v="70613.179228822861" u="1"/>
        <n v="106735.47492799987" u="1"/>
        <n v="223385.21591650261" u="1"/>
        <n v="96345.471573550109" u="1"/>
        <n v="34563.62234931362" u="1"/>
        <n v="193968.55065460285" u="1"/>
        <n v="3617359.8757714848" u="1"/>
        <n v="13180.284166968102" u="1"/>
        <n v="79789.644482279356" u="1"/>
        <n v="131152.98968715227" u="1"/>
        <n v="352976.21370079421" u="1"/>
        <n v="5387556.7804905167" u="1"/>
        <n v="128065.130364729" u="1"/>
        <n v="957515.67592152325" u="1"/>
        <n v="1603418.559428737" u="1"/>
        <n v="155055.99331368221" u="1"/>
        <n v="172683.20341717714" u="1"/>
        <n v="318868.54110048787" u="1"/>
        <n v="747425.89350000012" u="1"/>
        <n v="49639.16951540258" u="1"/>
        <n v="50351.601303446623" u="1"/>
        <n v="159802.92477339218" u="1"/>
        <n v="716998.01708884083" u="1"/>
        <n v="886034.24750675552" u="1"/>
        <n v="75825.298692000026" u="1"/>
        <n v="187494.46544032951" u="1"/>
        <n v="100673.49080439318" u="1"/>
        <n v="975417.42281104461" u="1"/>
        <n v="110647.76580000002" u="1"/>
        <n v="798917.35611290857" u="1"/>
        <n v="125798.20343999998" u="1"/>
        <n v="23071.26090018676" u="1"/>
        <n v="56345.25363608569" u="1"/>
        <n v="146518.69740116343" u="1"/>
        <n v="210821.45253192904" u="1"/>
        <n v="216799.12799999997" u="1"/>
        <n v="523202.7028552182" u="1"/>
        <n v="607790.29133231996" u="1"/>
        <n v="132596.95756415115" u="1"/>
        <n v="141331.44168000002" u="1"/>
        <n v="161586.2224915855" u="1"/>
        <n v="235251.1895041058" u="1"/>
        <n v="208252.08724320005" u="1"/>
        <n v="303551.55857554026" u="1"/>
        <n v="110154.40511399713" u="1"/>
        <n v="244739.59239740693" u="1"/>
        <n v="303482.07363742497" u="1"/>
        <n v="764809.5" u="1"/>
        <n v="58379.421689495932" u="1"/>
        <n v="96438.678430004526" u="1"/>
        <n v="151527.68982350998" u="1"/>
        <n v="59028.524317659467" u="1"/>
        <n v="90137.685637869479" u="1"/>
        <n v="96438.67843000454" u="1"/>
        <n v="112756.29048775371" u="1"/>
        <n v="293223.41331117414" u="1"/>
        <n v="430341.38182437571" u="1"/>
        <n v="499949.04960000003" u="1"/>
        <n v="577776.82555037807" u="1"/>
        <n v="711360" u="1"/>
        <n v="886640.3498573479" u="1"/>
        <n v="96438.678430004555" u="1"/>
        <n v="210135.46574982069" u="1"/>
        <n v="308685.77999999997" u="1"/>
        <n v="347673.69786071038" u="1"/>
        <n v="45246.923913559891" u="1"/>
        <n v="168855.16714660291" u="1"/>
        <n v="2187848.2515744367" u="1"/>
        <n v="99278.575341990421" u="1"/>
        <n v="261244.57546037983" u="1"/>
        <n v="283847.92437747313" u="1"/>
        <n v="840450" u="1"/>
        <n v="2999557.4545221934" u="1"/>
        <n v="29605.725700846506" u="1"/>
        <n v="70580.86198432454" u="1"/>
        <n v="85897.893092427679" u="1"/>
        <n v="229205.3335719443" u="1"/>
        <n v="542661.09381335194" u="1"/>
        <n v="669139.38" u="1"/>
        <n v="22682.396671885497" u="1"/>
        <n v="1154989.1658230221" u="1"/>
        <n v="73525.270024886529" u="1"/>
        <n v="264170.2997997746" u="1"/>
        <n v="1387299.52361" u="1"/>
        <n v="112855.82636409652" u="1"/>
        <n v="132532.64662793704" u="1"/>
        <n v="553221.63" u="1"/>
        <n v="43981.744124680656" u="1"/>
        <n v="23187.096288534918" u="1"/>
        <n v="57046.660939851179" u="1"/>
        <n v="174712.63009485093" u="1"/>
        <n v="26323.864674012613" u="1"/>
        <n v="31978.433382612911" u="1"/>
        <n v="272358.18958394619" u="1"/>
        <n v="284671.96592801943" u="1"/>
        <n v="297113.56668102741" u="1"/>
        <n v="3721584.4102332895" u="1"/>
        <n v="65977.860413844377" u="1"/>
        <n v="76473.071999999986" u="1"/>
        <n v="166386.0940003744" u="1"/>
        <n v="76473.072" u="1"/>
        <n v="110371.56975924321" u="1"/>
        <n v="135442.94399999999" u="1"/>
        <n v="186404.39999999997" u="1"/>
        <n v="719025.62050161778" u="1"/>
        <n v="818945.31187221291" u="1"/>
        <n v="1629633.5055" u="1"/>
        <n v="14062.39776656128" u="1"/>
        <n v="40180.210981077093" u="1"/>
        <n v="40685.176865813199" u="1"/>
        <n v="83563.717303841142" u="1"/>
        <n v="910634.07828987902" u="1"/>
        <n v="67465.599543485136" u="1"/>
        <n v="390632.20924578939" u="1"/>
        <n v="422130.98406488553" u="1"/>
        <n v="440351.94621636311" u="1"/>
        <n v="31248.257039999997" u="1"/>
        <n v="139507.91435080636" u="1"/>
        <n v="183123.74274207847" u="1"/>
        <n v="228806.0910480851" u="1"/>
        <n v="552732.5634585669" u="1"/>
        <n v="10929.175013418871" u="1"/>
        <n v="47286.540010818193" u="1"/>
        <n v="226461.73939381592" u="1"/>
        <n v="90438.903171487051" u="1"/>
        <n v="199270.37614961358" u="1"/>
        <n v="218678.866400492" u="1"/>
        <n v="227171.65135897923" u="1"/>
        <n v="757328.67790437746" u="1"/>
        <n v="1436569.4322763411" u="1"/>
        <n v="473406.44654573657" u="1"/>
        <n v="593174.91419776331" u="1"/>
        <n v="16611.486377579211" u="1"/>
        <n v="124328.93691496385" u="1"/>
        <n v="246630.06287017552" u="1"/>
        <n v="38632.960991769025" u="1"/>
        <n v="82774.926000000021" u="1"/>
        <n v="97613.175146886308" u="1"/>
        <n v="92601.78445854169" u="1"/>
        <n v="176976.34189261196" u="1"/>
        <n v="208260.95449089771" u="1"/>
        <n v="1359240.5778294015" u="1"/>
        <n v="75981.989066064183" u="1"/>
        <n v="859184.72695941327" u="1"/>
        <n v="1280736.3382135755" u="1"/>
        <n v="80866.677095450068" u="1"/>
        <n v="164215.23300000001" u="1"/>
        <n v="230149.99507500004" u="1"/>
        <n v="33631.605359421541" u="1"/>
        <n v="740319.07895999902" u="1"/>
        <n v="39062.216018225779" u="1"/>
        <n v="339733.23887219303" u="1"/>
        <n v="478114.02967842965" u="1"/>
        <n v="672230.31876000005" u="1"/>
        <n v="278854.17560000002" u="1"/>
        <n v="746161.41599999997" u="1"/>
        <n v="45340.072164012061" u="1"/>
        <n v="74541.491601816131" u="1"/>
        <n v="109695.97483024682" u="1"/>
        <n v="159426.71945711519" u="1"/>
        <n v="16867.047706465048" u="1"/>
        <n v="25137.179951977716" u="1"/>
        <n v="45340.072164012068" u="1"/>
        <n v="110251.79589048676" u="1"/>
        <n v="294234.45875658427" u="1"/>
        <n v="1035456.3171273299" u="1"/>
        <n v="1787587.0377979055" u="1"/>
        <n v="86348.483471250001" u="1"/>
        <n v="149589.02165366992" u="1"/>
        <n v="598098.58432634571" u="1"/>
        <n v="37363.1954365399" u="1"/>
        <n v="95016.029422544307" u="1"/>
        <n v="572018.17920000001" u="1"/>
        <n v="225761.36524269913" u="1"/>
        <n v="749288.99254958401" u="1"/>
        <n v="101360.91029453829" u="1"/>
        <n v="257766.17131978009" u="1"/>
        <n v="269301.08265339024" u="1"/>
        <n v="745677.46930144657" u="1"/>
        <n v="212635.25389477381" u="1"/>
        <n v="214193.88815377938" u="1"/>
        <n v="148905.65019616837" u="1"/>
        <n v="389826.56347718398" u="1"/>
        <n v="440507.65073123638" u="1"/>
        <n v="561563.18833676702" u="1"/>
        <n v="625214.72879092989" u="1"/>
        <n v="3476056.7556241606" u="1"/>
        <n v="63985.417101154053" u="1"/>
        <n v="209591.25650451198" u="1"/>
        <n v="109059.86" u="1"/>
        <n v="257412.53344289842" u="1"/>
        <n v="58119.534720000011" u="1"/>
        <n v="88057.979510551653" u="1"/>
        <n v="4082982.0130906459" u="1"/>
        <n v="1039670.541" u="1"/>
        <n v="83371.646840726084" u="1"/>
        <n v="251259.8092321307" u="1"/>
        <n v="432278.67239963118" u="1"/>
        <n v="35574.51815945562" u="1"/>
        <n v="166901.37543869187" u="1"/>
        <n v="243857.63001600001" u="1"/>
        <n v="291241.75777615572" u="1"/>
        <n v="911213.52697443496" u="1"/>
        <n v="986412.96" u="1"/>
        <n v="6312966.2010466391" u="1"/>
        <n v="200861.21466446025" u="1"/>
        <n v="344869.13616149029" u="1"/>
        <n v="109680.17569717136" u="1"/>
        <n v="766960.66186839237" u="1"/>
        <n v="116342.08019394157" u="1"/>
        <n v="182014.24308703837" u="1"/>
        <n v="269216.41499999998" u="1"/>
        <n v="309077.02550694544" u="1"/>
        <n v="48747.42137138512" u="1"/>
        <n v="128577.4308" u="1"/>
        <n v="413786.10293079005" u="1"/>
        <n v="579658.83088153508" u="1"/>
        <n v="25216.255889978485" u="1"/>
        <n v="30230.346090865773" u="1"/>
        <n v="35163.739819650706" u="1"/>
        <n v="202535.45370878902" u="1"/>
        <n v="212296.33104862578" u="1"/>
        <n v="12118.966686868913" u="1"/>
        <n v="469557.95350322424" u="1"/>
        <n v="3013402.7438260969" u="1"/>
        <n v="9909.595926123653" u="1"/>
        <n v="129424.6116902912" u="1"/>
        <n v="831395.9719674791" u="1"/>
        <n v="17569.84136090109" u="1"/>
        <n v="53232.704118558839" u="1"/>
        <n v="81052.251074930842" u="1"/>
        <n v="85026.399877986056" u="1"/>
        <n v="102857.38749000001" u="1"/>
        <n v="250604.90561068294" u="1"/>
        <n v="427134.04278117674" u="1"/>
        <n v="91227.919823743941" u="1"/>
        <n v="127063.80839071446" u="1"/>
        <n v="187894.33790400001" u="1"/>
        <n v="861320.71619782562" u="1"/>
        <n v="37888.158671999998" u="1"/>
        <n v="46797.524516529716" u="1"/>
        <n v="69256.834439961749" u="1"/>
        <n v="242380.08751685132" u="1"/>
        <n v="810403.91249999998" u="1"/>
        <n v="32272.349808748775" u="1"/>
        <n v="158215.34831285599" u="1"/>
        <n v="212481.28493430509" u="1"/>
        <n v="275538.45288858295" u="1"/>
        <n v="367992.40608839848" u="1"/>
        <n v="406098.10488854529" u="1"/>
        <n v="570387.28499999992" u="1"/>
        <n v="33456.968999999997" u="1"/>
        <n v="3243270.1129920003" u="1"/>
        <n v="63902.738914416084" u="1"/>
        <n v="90138.650647499991" u="1"/>
        <n v="103697.62065914384" u="1"/>
        <n v="157204.02410953349" u="1"/>
        <n v="162299.22941232001" u="1"/>
        <n v="462591.9446330315" u="1"/>
        <n v="538774.01866787905" u="1"/>
        <n v="68480.947456952068" u="1"/>
        <n v="335096.31203927391" u="1"/>
        <n v="755083.94568750006" u="1"/>
        <n v="55877.663761920005" u="1"/>
        <n v="289910.40000000002" u="1"/>
        <n v="34149.01467264341" u="1"/>
        <n v="46053.550228482985" u="1"/>
        <n v="57824.816592314499" u="1"/>
        <n v="60469.460448136066" u="1"/>
        <n v="1618444.3276107847" u="1"/>
        <n v="33773.145263271152" u="1"/>
        <n v="49295.658104758775" u="1"/>
        <n v="134603.46890181801" u="1"/>
        <n v="224596.69722584012" u="1"/>
        <n v="421671.83460464026" u="1"/>
        <n v="747364.8" u="1"/>
        <n v="36355.829491800003" u="1"/>
        <n v="67030.762687275448" u="1"/>
        <n v="135732.42689293181" u="1"/>
        <n v="261156.07253156209" u="1"/>
        <n v="610664.00429370208" u="1"/>
        <n v="55029.859795512995" u="1"/>
        <n v="345041.19936000009" u="1"/>
        <n v="476861.28749999998" u="1"/>
        <n v="866167.47360000003" u="1"/>
        <n v="69038.189999999988" u="1"/>
        <n v="931717.76503030793" u="1"/>
        <n v="2709001.1520000002" u="1"/>
        <n v="7757372.3461776776" u="1"/>
        <n v="28271.27884319091" u="1"/>
        <n v="158899.59539999999" u="1"/>
        <n v="168318.98176206823" u="1"/>
        <n v="1366742.9150030753" u="1"/>
        <n v="14840.695639204003" u="1"/>
        <n v="26206.025141897626" u="1"/>
        <n v="32226.328215036268" u="1"/>
        <n v="98663.431311512526" u="1"/>
        <n v="186811.82915130982" u="1"/>
        <n v="205225.619696421" u="1"/>
        <n v="371842.2486350339" u="1"/>
        <n v="72472.036000000007" u="1"/>
        <n v="282809.45341439079" u="1"/>
        <n v="2144216.5710009644" u="1"/>
        <n v="112024.37595433609" u="1"/>
        <n v="149037.37840380229" u="1"/>
        <n v="45449.79748990597" u="1"/>
        <n v="89842.023411124217" u="1"/>
        <n v="120015.8742319367" u="1"/>
        <n v="148426.37785454857" u="1"/>
        <n v="377983.30529565131" u="1"/>
        <n v="805565.53270045063" u="1"/>
        <n v="980659.59236310329" u="1"/>
        <n v="36560.923158350852" u="1"/>
        <n v="268593.97499999998" u="1"/>
        <n v="421508.58749999997" u="1"/>
        <n v="511012.40590399998" u="1"/>
        <n v="4125192.2327518864" u="1"/>
        <n v="35799.094054972629" u="1"/>
        <n v="264038.88488392741" u="1"/>
        <n v="88607.197677977136" u="1"/>
        <n v="166082.26634999999" u="1"/>
        <n v="333782.38928575104" u="1"/>
        <n v="1839664.8091318584" u="1"/>
        <n v="323293.65554841299" u="1"/>
        <n v="5916444.347384003" u="1"/>
        <n v="38721.8594763" u="1"/>
        <n v="77336.105006589234" u="1"/>
        <n v="82052.896149929991" u="1"/>
        <n v="92986.761582000036" u="1"/>
        <n v="123181.66181627916" u="1"/>
        <n v="1205506.866769379" u="1"/>
        <n v="61282.212919200007" u="1"/>
        <n v="304891.27716908313" u="1"/>
        <n v="1000530.832021933" u="1"/>
        <n v="15986.263611834192" u="1"/>
        <n v="28008.278565208155" u="1"/>
        <n v="58031.467942286974" u="1"/>
        <n v="23556.929759999999" u="1"/>
        <n v="357400.78767034452" u="1"/>
        <n v="408716.45309649536" u="1"/>
        <n v="924729.79888844362" u="1"/>
        <n v="137636.38796221415" u="1"/>
        <n v="176145.04252800002" u="1"/>
        <n v="293146.77599999995" u="1"/>
        <n v="122428.96779165047" u="1"/>
        <n v="293146.77600000001" u="1"/>
        <n v="733590" u="1"/>
        <n v="185162.26258560873" u="1"/>
        <n v="169630.14570401367" u="1"/>
        <n v="1380478.7084768172" u="1"/>
        <n v="83071.83655481723" u="1"/>
        <n v="110933.96660108269" u="1"/>
        <n v="803032.53375228518" u="1"/>
        <n v="8921175.4448687527" u="1"/>
        <n v="49707.720562499999" u="1"/>
        <n v="100544.73966022625" u="1"/>
        <n v="244641.07920476672" u="1"/>
        <n v="281752.12913635856" u="1"/>
        <n v="285969.02482445299" u="1"/>
        <n v="424878.77575095597" u="1"/>
        <n v="433805.11200000002" u="1"/>
        <n v="3800885.0833137864" u="1"/>
        <n v="264822.76765511837" u="1"/>
        <n v="171801.3473692222" u="1"/>
        <n v="297805.02841475554" u="1"/>
        <n v="319763.72347919998" u="1"/>
        <n v="95616.578220437295" u="1"/>
        <n v="168189.05518192789" u="1"/>
        <n v="35070.545818863327" u="1"/>
        <n v="74124.267749999999" u="1"/>
        <n v="417379.77978497196" u="1"/>
        <n v="47860.949750691005" u="1"/>
        <n v="52066.181952075567" u="1"/>
        <n v="168189.05518192795" u="1"/>
        <n v="416696.63439367613" u="1"/>
        <n v="1230208.0683750003" u="1"/>
        <n v="69805.248116364935" u="1"/>
        <n v="343062.37559993856" u="1"/>
        <n v="382695.19186632335" u="1"/>
        <n v="24949.524600000001" u="1"/>
        <n v="390554.5696246883" u="1"/>
        <n v="865327.06324350007" u="1"/>
        <n v="86027.632247830072" u="1"/>
        <n v="158915.69794321471" u="1"/>
        <n v="162116.64946588859" u="1"/>
        <n v="360009.31189939927" u="1"/>
        <n v="447623.3366312302" u="1"/>
        <n v="553336.67951641942" u="1"/>
        <n v="874289.99167634663" u="1"/>
        <n v="149156.80000000002" u="1"/>
        <n v="396777.71249999997" u="1"/>
        <n v="563133.13874999993" u="1"/>
        <n v="36770.15630913576" u="1"/>
        <n v="49326.012574035107" u="1"/>
        <n v="74041.811830166596" u="1"/>
        <n v="129188.6212400575" u="1"/>
        <n v="151540.97457222812" u="1"/>
        <n v="153722.8612246213" u="1"/>
        <n v="361741.19543831394" u="1"/>
        <n v="32937.735592684789" u="1"/>
        <n v="67052.271404551895" u="1"/>
        <n v="126349.44013153427" u="1"/>
        <n v="396969.59249999997" u="1"/>
        <n v="216730.91063299117" u="1"/>
        <n v="326114.10000000003" u="1"/>
        <n v="348138.29191997502" u="1"/>
        <n v="376774.45050130284" u="1"/>
        <n v="4376365.8187051769" u="1"/>
        <n v="257451.37645500002" u="1"/>
        <n v="57208.375444806981" u="1"/>
        <n v="76231.110341690626" u="1"/>
        <n v="88079.667390000002" u="1"/>
        <n v="133863.2095086122" u="1"/>
        <n v="156745.540020171" u="1"/>
        <n v="165746.19695518896" u="1"/>
        <n v="292487.71174717945" u="1"/>
        <n v="417300.73491238692" u="1"/>
        <n v="99588.322550384633" u="1"/>
        <n v="183200.46008790622" u="1"/>
        <n v="584323.53356933896" u="1"/>
        <n v="75521.514833250272" u="1"/>
        <n v="92657.812428970385" u="1"/>
        <n v="387243.82591753791" u="1"/>
        <n v="1656970.8546828707" u="1"/>
        <n v="1826961.9513599998" u="1"/>
        <n v="45304.09545932863" u="1"/>
        <n v="122520.66951854397" u="1"/>
        <n v="49406.603389027179" u="1"/>
        <n v="106058.73299457706" u="1"/>
        <n v="151688.46993299999" u="1"/>
        <n v="338322.81599999999" u="1"/>
        <n v="1608685.1301024153" u="1"/>
        <n v="14351.070714827742" u="1"/>
        <n v="231527.51622000002" u="1"/>
        <n v="250161.26874978654" u="1"/>
        <n v="269417.87777780491" u="1"/>
        <n v="1886446.7993280001" u="1"/>
        <n v="3060487.1542024123" u="1"/>
        <n v="93218.004000000001" u="1"/>
        <n v="258941.68159847951" u="1"/>
        <n v="313247.28921499051" u="1"/>
        <n v="476698.54333670536" u="1"/>
        <n v="174884.34295133027" u="1"/>
        <n v="257728.66397200842" u="1"/>
        <n v="586945.9323000001" u="1"/>
        <n v="698199.87762307737" u="1"/>
        <n v="2839688.2800000003" u="1"/>
        <n v="276504.92608907353" u="1"/>
        <n v="542812.76887499995" u="1"/>
        <n v="35937.238824787812" u="1"/>
        <n v="47050.43919395296" u="1"/>
        <n v="501919.38002844638" u="1"/>
        <n v="2324642.3199999998" u="1"/>
        <n v="16036.743078719997" u="1"/>
        <n v="295790.00303758023" u="1"/>
        <n v="138655.0783336453" u="1"/>
        <n v="213769.29347861465" u="1"/>
        <n v="546178.81500000006" u="1"/>
        <n v="46088.471114764121" u="1"/>
        <n v="94584.510554835098" u="1"/>
        <n v="101768.14426786054" u="1"/>
        <n v="190316.74883864948" u="1"/>
        <n v="288897.20987399993" u="1"/>
        <n v="34106.509136721426" u="1"/>
        <n v="331186.98599999998" u="1"/>
        <n v="788889.04968929873" u="1"/>
        <n v="1561341.449077534" u="1"/>
        <n v="77659.317839895346" u="1"/>
        <n v="699431.99505417689" u="1"/>
        <n v="8686.8753211476378" u="1"/>
        <n v="11701.226316173883" u="1"/>
        <n v="64745.623050209237" u="1"/>
        <n v="293457.50842371897" u="1"/>
        <n v="461835.31164628325" u="1"/>
        <n v="1590650.8800000001" u="1"/>
        <n v="3637707.5250728829" u="1"/>
        <n v="33242.015908188871" u="1"/>
        <n v="306113.79945646838" u="1"/>
        <n v="739270.45865972899" u="1"/>
        <n v="83067.955850880011" u="1"/>
        <n v="109311.5783854022" u="1"/>
        <n v="128123.82114357068" u="1"/>
        <n v="448357.18421773898" u="1"/>
        <n v="1086711.6483057332" u="1"/>
        <n v="1824880.1880791951" u="1"/>
        <n v="380416.25592024246" u="1"/>
        <n v="444722.67845283297" u="1"/>
        <n v="10046.009355768861" u="1"/>
        <n v="26919.796307109795" u="1"/>
        <n v="51056.634438526547" u="1"/>
        <n v="98421.523200000011" u="1"/>
        <n v="198950.22954044768" u="1"/>
        <n v="248597.01776682684" u="1"/>
        <n v="288110.12597211101" u="1"/>
        <n v="83603.520000000019" u="1"/>
        <n v="92131.347585623967" u="1"/>
        <n v="2016450.3410511538" u="1"/>
        <n v="11487896.701765465" u="1"/>
        <n v="13561.224768000002" u="1"/>
        <n v="49923.903635538569" u="1"/>
        <n v="66927.005756217011" u="1"/>
        <n v="345568.07094411092" u="1"/>
        <n v="526659.61044396705" u="1"/>
        <n v="1951495.2025215079" u="1"/>
        <n v="2233435.7706585792" u="1"/>
        <n v="92477.232899999988" u="1"/>
        <n v="531203.21233576268" u="1"/>
        <n v="35000.503345078752" u="1"/>
        <n v="106971.13269569668" u="1"/>
        <n v="223115.82890716867" u="1"/>
        <n v="31009.390022726606" u="1"/>
        <n v="223115.8289071687" u="1"/>
        <n v="70897.922073079797" u="1"/>
        <n v="204516" u="1"/>
        <n v="205980.38614965655" u="1"/>
        <n v="228459.87756136482" u="1"/>
        <n v="386402.91995843471" u="1"/>
        <n v="633114.8868044999" u="1"/>
        <n v="1354624.9731105124" u="1"/>
        <n v="338271.81532211771" u="1"/>
        <n v="301875.80423195899" u="1"/>
        <n v="387706.28498599125" u="1"/>
        <n v="572064.74283272645" u="1"/>
        <n v="25390.440411846757" u="1"/>
        <n v="218472.79421493996" u="1"/>
        <n v="658303.16903731704" u="1"/>
        <n v="46874.659336679753" u="1"/>
        <n v="69543.282573840697" u="1"/>
        <n v="205681.79019169483" u="1"/>
        <n v="304439.85000000003" u="1"/>
        <n v="3884798.23673954" u="1"/>
        <n v="142317.92229276997" u="1"/>
        <n v="143470.1268" u="1"/>
        <n v="216354.74371262072" u="1"/>
        <n v="35027.217965870586" u="1"/>
        <n v="121937.23746027438" u="1"/>
        <n v="436613.44545" u="1"/>
        <n v="2876063.0955185192" u="1"/>
        <n v="149407.92114319332" u="1"/>
        <n v="364982.70167786418" u="1"/>
        <n v="465047.32176160818" u="1"/>
        <n v="96500.654645915158" u="1"/>
        <n v="1252847.6720861522" u="1"/>
        <n v="198920.51773794758" u="1"/>
        <n v="544228.98689216946" u="1"/>
        <n v="171664.76270915169" u="1"/>
        <n v="2303230.6328504202" u="1"/>
        <n v="71308.326000160436" u="1"/>
        <n v="94009.038703898099" u="1"/>
        <n v="1114039.5106191749" u="1"/>
        <n v="2850964.5587925864" u="1"/>
        <n v="16226.533148366405" u="1"/>
        <n v="63445.378782774693" u="1"/>
        <n v="99053.747631923397" u="1"/>
        <n v="152268.90619148905" u="1"/>
        <n v="891039.66439353942" u="1"/>
        <n v="1393271.3100924208" u="1"/>
        <n v="6219746.1560000004" u="1"/>
        <n v="90069.989055095808" u="1"/>
        <n v="154520.82849930861" u="1"/>
        <n v="1064752.1543923956" u="1"/>
        <n v="76622.039300341901" u="1"/>
        <n v="222982.53395845904" u="1"/>
        <n v="379688.39999999997" u="1"/>
        <n v="57992.079600000005" u="1"/>
        <n v="70795.670400000003" u="1"/>
        <n v="72382.009744364099" u="1"/>
        <n v="515106.14655692043" u="1"/>
        <n v="576108.74525666621" u="1"/>
        <n v="48179.594907957289" u="1"/>
        <n v="372561.50822872587" u="1"/>
        <n v="114710.13283536796" u="1"/>
        <n v="176282.20057367891" u="1"/>
        <n v="416159.77377847477" u="1"/>
        <n v="140825.03030956685" u="1"/>
        <n v="197012.64739108767" u="1"/>
        <n v="8675484.82484469" u="1"/>
        <n v="151569.98325313765" u="1"/>
        <n v="275212.84295640973" u="1"/>
        <n v="450506.511" u="1"/>
        <n v="1992001.2880861314" u="1"/>
        <n v="10387802.880000001" u="1"/>
        <n v="53954.685875174364" u="1"/>
        <n v="277701.3620668748" u="1"/>
        <n v="307346.55936515273" u="1"/>
        <n v="350225.77624970116" u="1"/>
        <n v="518683.18078688142" u="1"/>
        <n v="68916.523892661207" u="1"/>
        <n v="1295434.5890029147" u="1"/>
        <n v="90418.566988616367" u="1"/>
        <n v="37203.026328927022" u="1"/>
        <n v="136120.2338269116" u="1"/>
        <n v="139975.93936556627" u="1"/>
        <n v="226243.37970000005" u="1"/>
        <n v="254801.88475138659" u="1"/>
        <n v="318623.71061976347" u="1"/>
        <n v="935456.66455554951" u="1"/>
        <n v="202383.97528125776" u="1"/>
        <n v="498242.5512528799" u="1"/>
        <n v="2580682.2742915209" u="1"/>
        <n v="35477.416295424271" u="1"/>
        <n v="88216.202587499996" u="1"/>
        <n v="133381.78308000002" u="1"/>
        <n v="165802.46930840879" u="1"/>
        <n v="1915618.432" u="1"/>
        <n v="2894825.5520047802" u="1"/>
        <n v="58290.216419060773" u="1"/>
        <n v="97829.92493850294" u="1"/>
        <n v="310918.5676863296" u="1"/>
        <n v="182123.44539124312" u="1"/>
        <n v="294411.21774694469" u="1"/>
        <n v="1236010.9840027811" u="1"/>
        <n v="5772991.7524341112" u="1"/>
        <n v="247514.87213194443" u="1"/>
        <n v="286185.11136176239" u="1"/>
        <n v="914208.75" u="1"/>
        <n v="12240.511919999999" u="1"/>
        <n v="58280.581010552247" u="1"/>
        <n v="275068.87931250001" u="1"/>
        <n v="407476.14857234538" u="1"/>
        <n v="402460.09650000004" u="1"/>
        <n v="442582.0580739124" u="1"/>
        <n v="2423421.9482018813" u="1"/>
        <n v="21091829.023676883" u="1"/>
        <n v="48123.314989312195" u="1"/>
        <n v="134995.11494437759" u="1"/>
        <n v="212167.25204458614" u="1"/>
        <n v="3707679.2400738187" u="1"/>
        <n v="28721.191866972258" u="1"/>
        <n v="73471.503924000004" u="1"/>
        <n v="98046.929002949808" u="1"/>
        <n v="195503.6604504399" u="1"/>
        <n v="211143.98564999999" u="1"/>
        <n v="378764.44849322038" u="1"/>
        <n v="474121.13642773341" u="1"/>
        <n v="50032.253749957301" u="1"/>
        <n v="115647.69690984253" u="1"/>
        <n v="29739.527999999998" u="1"/>
        <n v="130288.29615183373" u="1"/>
        <n v="266168.68200000003" u="1"/>
        <n v="415069.5585850419" u="1"/>
        <n v="755820" u="1"/>
        <n v="348014.34268328303" u="1"/>
        <n v="352055.14782329206" u="1"/>
        <n v="598118.7351880701" u="1"/>
        <n v="760832.51370397105" u="1"/>
        <n v="823418.60666840652" u="1"/>
        <n v="149064.59306776291" u="1"/>
        <n v="531251.97520683706" u="1"/>
        <n v="1893627.45" u="1"/>
        <n v="58731.850358999989" u="1"/>
        <n v="66116.512128173184" u="1"/>
        <n v="127441.72350000001" u="1"/>
        <n v="573532.74925208651" u="1"/>
        <n v="823287.03856376116" u="1"/>
        <n v="81741.501648881836" u="1"/>
        <n v="14130.285046131617" u="1"/>
        <n v="40157.208000000006" u="1"/>
        <n v="47053.907989549705" u="1"/>
        <n v="55949.863677951427" u="1"/>
        <n v="318810.38529700809" u="1"/>
        <n v="358315.14955402596" u="1"/>
        <n v="11581264.015915392" u="1"/>
        <n v="41365.770801302344" u="1"/>
        <n v="68737.96461168" u="1"/>
        <n v="72450.54749220649" u="1"/>
        <n v="83644.867379237607" u="1"/>
        <n v="98476.778510356133" u="1"/>
        <n v="229482" u="1"/>
        <n v="297972.23932254541" u="1"/>
        <n v="563117.71736641484" u="1"/>
        <n v="1451669.1504824327" u="1"/>
        <n v="61394.146614936275" u="1"/>
        <n v="123213.94495698847" u="1"/>
        <n v="145743.39233999996" u="1"/>
        <n v="179329.63603781242" u="1"/>
        <n v="197551.3340266906" u="1"/>
        <n v="312788.2682925" u="1"/>
        <n v="52667.286229922815" u="1"/>
        <n v="851906.40718341712" u="1"/>
        <n v="1221436.3392000003" u="1"/>
        <n v="79251.089939932383" u="1"/>
        <n v="167078.36607139109" u="1"/>
        <n v="312541.98710078862" u="1"/>
        <n v="1743056.4033004143" u="1"/>
        <n v="1197979.8768026954" u="1"/>
        <n v="37626.100177299108" u="1"/>
        <n v="106805.79737099998" u="1"/>
        <n v="1834642.398875" u="1"/>
        <n v="47303.221727232369" u="1"/>
        <n v="47841.822766700854" u="1"/>
        <n v="891955.94815355202" u="1"/>
        <n v="1074998.3912078156" u="1"/>
        <n v="1925696.1995355827" u="1"/>
        <n v="191182.68000000002" u="1"/>
        <n v="374693.74148348195" u="1"/>
        <n v="483456.08664249885" u="1"/>
        <n v="66554.437600149759" u="1"/>
        <n v="85666.22064" u="1"/>
        <n v="637746.0748343427" u="1"/>
        <n v="455863.45619099995" u="1"/>
        <n v="523687.32135582558" u="1"/>
        <n v="1853865.7280000004" u="1"/>
        <n v="19080.101151806415" u="1"/>
        <n v="71657.392716000002" u="1"/>
        <n v="110478.38562941524" u="1"/>
        <n v="118807.81433740396" u="1"/>
        <n v="292728.05330553703" u="1"/>
        <n v="25007.342330753756" u="1"/>
        <n v="227635.20000000004" u="1"/>
        <n v="62842.949879944295" u="1"/>
        <n v="253674.96901668643" u="1"/>
        <n v="269659.59456345113" u="1"/>
        <n v="356229.64669969608" u="1"/>
        <n v="6782.6200027687173" u="1"/>
        <n v="20348.753213584583" u="1"/>
        <n v="182131.66115481319" u="1"/>
        <n v="268427.25" u="1"/>
        <n v="285625.03425590572" u="1"/>
        <n v="289185.82622766349" u="1"/>
        <n v="320156.51639035298" u="1"/>
        <n v="6322991.2199999988" u="1"/>
        <n v="149079.37439653371" u="1"/>
        <n v="489317.46938198211" u="1"/>
        <n v="2125571.2095139995" u="1"/>
        <n v="43650.192221999991" u="1"/>
        <n v="81313.184364469998" u="1"/>
        <n v="27629.944863853205" u="1"/>
        <n v="130788.66970388097" u="1"/>
        <n v="152511.98361634638" u="1"/>
        <n v="200594.49284215414" u="1"/>
        <n v="754041.60000000009" u="1"/>
        <n v="1052288.2682460824" u="1"/>
        <n v="20857.507468093252" u="1"/>
        <n v="32382.628551000002" u="1"/>
        <n v="75933.463256004179" u="1"/>
        <n v="146491.73767162024" u="1"/>
        <n v="345901.97501030215" u="1"/>
        <n v="637624.71396968863" u="1"/>
        <n v="22481199.104000002" u="1"/>
        <n v="158822.96489468013" u="1"/>
        <n v="248117.64768767153" u="1"/>
        <n v="51520.950000000004" u="1"/>
        <n v="132811.5347872593" u="1"/>
        <n v="118847.21000026741" u="1"/>
        <n v="270306.03600000002" u="1"/>
        <n v="10680.15930593791" u="1"/>
        <n v="25579.648020685039" u="1"/>
        <n v="118847.21000026743" u="1"/>
        <n v="244379.57556304988" u="1"/>
        <n v="255033.71674864378" u="1"/>
        <n v="330157.43600938964" u="1"/>
        <n v="438364.27870971255" u="1"/>
        <n v="32352.32" u="1"/>
        <n v="93317.960736000008" u="1"/>
        <n v="224738.75712288354" u="1"/>
        <n v="268231.55034782575" u="1"/>
        <n v="2438018.4235472665" u="1"/>
        <n v="7818.1877890328751" u="1"/>
        <n v="24928.304348492675" u="1"/>
        <n v="83902.643370000005" u="1"/>
        <n v="188225.85599999997" u="1"/>
        <n v="87799.501834761933" u="1"/>
        <n v="504407.95662935911" u="1"/>
        <n v="95161.836076543783" u="1"/>
        <n v="132047.73939672569" u="1"/>
        <n v="259780.19319225111" u="1"/>
        <n v="459146.38796769967" u="1"/>
        <n v="36458.857651123697" u="1"/>
        <n v="44322.687877585158" u="1"/>
        <n v="53963.545460841888" u="1"/>
        <n v="171749.5" u="1"/>
        <n v="236962.90799999997" u="1"/>
        <n v="405475.20000000007" u="1"/>
        <n v="61929.593107199995" u="1"/>
        <n v="80534.573289806198" u="1"/>
        <n v="136377.17347530683" u="1"/>
        <n v="352456.25715704297" u="1"/>
        <n v="1932025.0629579904" u="1"/>
        <n v="865217.44267650472" u="1"/>
        <n v="63947.420081999997" u="1"/>
        <n v="104939.11524998613" u="1"/>
        <n v="13573.242689293182" u="1"/>
        <n v="24344.316708284208" u="1"/>
        <n v="28885.312963354962" u="1"/>
        <n v="119489.17499999999" u="1"/>
        <n v="277310.15734649875" u="1"/>
        <n v="203182.20000000004" u="1"/>
        <n v="254393.1676742108" u="1"/>
        <n v="289136.89049802738" u="1"/>
        <n v="80730.746487325421" u="1"/>
        <n v="132430.11818399999" u="1"/>
        <n v="280139.85214348743" u="1"/>
        <n v="860839.37852821779" u="1"/>
        <n v="869744.6535308084" u="1"/>
        <n v="4130913.2150000003" u="1"/>
        <n v="95379.403392000007" u="1"/>
        <n v="165373.01820000005" u="1"/>
        <n v="226874.37192342718" u="1"/>
        <n v="20767339.397254422" u="1"/>
        <n v="35208.59144236891" u="1"/>
        <n v="180866.78999999998" u="1"/>
        <n v="803787.86423457321" u="1"/>
        <n v="40282.910268795335" u="1"/>
        <n v="151564.13999999998" u="1"/>
        <n v="299762.34265918157" u="1"/>
        <n v="316925.89333404641" u="1"/>
        <n v="2444856.8914340721" u="1"/>
        <n v="109438.4725419129" u="1"/>
        <n v="267809.24039102811" u="1"/>
        <n v="2472119.5067511429" u="1"/>
        <n v="19272.558451362744" u="1"/>
        <n v="55270.169299800007" u="1"/>
        <n v="297301.92841026263" u="1"/>
        <n v="513027.75773896824" u="1"/>
        <n v="528719.69547231903" u="1"/>
        <n v="585257.12387999997" u="1"/>
        <n v="894825.2843360469" u="1"/>
        <n v="2407813.6052002222" u="1"/>
        <n v="51854.394224622971" u="1"/>
        <n v="43072.423467357024" u="1"/>
        <n v="2346198.1218391228" u="1"/>
        <n v="16921.309219318831" u="1"/>
        <n v="81681.818319263577" u="1"/>
        <n v="83907.545107926897" u="1"/>
        <n v="142233.21011793529" u="1"/>
        <n v="6614947.6736445129" u="1"/>
        <n v="36204.461685362112" u="1"/>
        <n v="68029.170299999998" u="1"/>
        <n v="91321.854624000014" u="1"/>
        <n v="32575.782454303644" u="1"/>
        <n v="60413.998416802599" u="1"/>
        <n v="124435.05467499586" u="1"/>
        <n v="90067.784213376988" u="1"/>
        <n v="426810.04291346035" u="1"/>
        <n v="291835.92677843437" u="1"/>
        <n v="465804.50523750001" u="1"/>
        <n v="209669.42273667257" u="1"/>
        <n v="85546.221758192463" u="1"/>
        <n v="126026.11794738422" u="1"/>
        <n v="186018.92870464327" u="1"/>
        <n v="211134.3382170549" u="1"/>
        <n v="1463438.4720821208" u="1"/>
        <n v="46337.553751620326" u="1"/>
        <n v="176593.23037981777" u="1"/>
        <n v="218028.03644096674" u="1"/>
        <n v="6772.9109984957895" u="1"/>
        <n v="57721.184053554214" u="1"/>
        <n v="214148.83060405729" u="1"/>
        <n v="263900" u="1"/>
        <n v="330936.60863812111" u="1"/>
        <n v="67657.426200000002" u="1"/>
        <n v="153775.72437499999" u="1"/>
        <n v="199095.88430348629" u="1"/>
        <n v="388386.51553314639" u="1"/>
        <n v="1760502.3857100583" u="1"/>
        <n v="57882.339379452475" u="1"/>
        <n v="266385.23183888686" u="1"/>
        <n v="332955.47509409336" u="1"/>
        <n v="378205.67070000008" u="1"/>
        <n v="276404.65411490772" u="1"/>
        <n v="222296.92579576868" u="1"/>
        <n v="378166.09640093578" u="1"/>
        <n v="691959.25517999963" u="1"/>
        <n v="762372.65862558712" u="1"/>
        <n v="160169.01723121354" u="1"/>
        <n v="229854.68766000003" u="1"/>
        <n v="1178765.7808540761" u="1"/>
        <n v="114093.32160025672" u="1"/>
        <n v="190424.06599643425" u="1"/>
        <n v="834871.38134400011" u="1"/>
        <n v="142113.43962694271" u="1"/>
        <n v="270569.30448240001" u="1"/>
        <n v="15045.649546905763" u="1"/>
        <n v="129128.23014921376" u="1"/>
        <n v="294157.5" u="1"/>
        <n v="322219.24352305022" u="1"/>
        <n v="740477.35549936816" u="1"/>
        <n v="640829.41357196262" u="1"/>
        <n v="15277.121078396622" u="1"/>
        <n v="17940.999911392806" u="1"/>
        <n v="149776.37107498973" u="1"/>
        <n v="1164702.6580026206" u="1"/>
        <n v="1797230.4882598133" u="1"/>
        <n v="275978.14811080601" u="1"/>
        <n v="292444.11858481774" u="1"/>
        <n v="501431.30480904022" u="1"/>
        <n v="5015325.5970314341" u="1"/>
        <n v="27583.865467303542" u="1"/>
        <n v="57236.898289951168" u="1"/>
        <n v="177931.2515432575" u="1"/>
        <n v="509955.08384233224" u="1"/>
        <n v="213380.26162131346" u="1"/>
        <n v="4724342.296138946" u="1"/>
        <n v="8789679.3599999994" u="1"/>
        <n v="66420.397274436356" u="1"/>
        <n v="71506.404683494227" u="1"/>
        <n v="189730.76351709664" u="1"/>
        <n v="504608.63906424493" u="1"/>
        <n v="610712.83531739749" u="1"/>
        <n v="59631.841964769701" u="1"/>
        <n v="182549.31456041077" u="1"/>
        <n v="238190.37090794183" u="1"/>
        <n v="73509.374016000016" u="1"/>
        <n v="346720.97891687852" u="1"/>
        <n v="722445.15538159653" u="1"/>
        <n v="25326.608217734629" u="1"/>
        <n v="182359.53994324044" u="1"/>
        <n v="198141.32519999999" u="1"/>
        <n v="373024.40895720001" u="1"/>
        <n v="600626.8125" u="1"/>
        <n v="778050" u="1"/>
        <n v="335676.91699650505" u="1"/>
        <n v="2559596.1396678635" u="1"/>
        <n v="71040.297509999989" u="1"/>
        <n v="117625.5947520529" u="1"/>
        <n v="318395.2668279825" u="1"/>
        <n v="564925.84215914272" u="1"/>
        <n v="52940.160000000011" u="1"/>
        <n v="80146.766355826418" u="1"/>
        <n v="518557.15616876312" u="1"/>
        <n v="1886905.0725524998" u="1"/>
        <n v="70489.823097253582" u="1"/>
        <n v="127072.37741616517" u="1"/>
        <n v="266873.06049016333" u="1"/>
        <n v="23759.868505831677" u="1"/>
        <n v="212495.12430152431" u="1"/>
        <n v="1935566.0972182616" u="1"/>
        <n v="2269907.0776084773" u="1"/>
        <n v="51675.448496022997" u="1"/>
        <n v="1393037.0286495914" u="1"/>
        <n v="79016.477834944686" u="1"/>
        <n v="656307.56249430217" u="1"/>
        <n v="875316.75834363746" u="1"/>
        <n v="31611.447915936886" u="1"/>
        <n v="144350.18711718728" u="1"/>
        <n v="244777.64571739969" u="1"/>
        <n v="667706.09259166953" u="1"/>
        <n v="212759.14970593576" u="1"/>
        <n v="521910.69747463573" u="1"/>
        <n v="30929.109120000001" u="1"/>
        <n v="35546.61657658546" u="1"/>
        <n v="698868.17" u="1"/>
        <n v="2314070.266088347" u="1"/>
        <n v="26569.247161956333" u="1"/>
        <n v="62469.497770685681" u="1"/>
        <n v="132085.1498998873" u="1"/>
        <n v="189241.14439461546" u="1"/>
        <n v="423695.96304190578" u="1"/>
        <n v="486534.65702400001" u="1"/>
        <n v="33699.531790580782" u="1"/>
        <n v="1555713.7169568348" u="1"/>
        <n v="1690485.2653347366" u="1"/>
        <n v="8808953.8221499939" u="1"/>
        <n v="86628.709440000006" u="1"/>
        <n v="125514.19771103626" u="1"/>
        <n v="157107.37469986072" u="1"/>
        <n v="272439.65051432152" u="1"/>
        <n v="549087.40119513869" u="1"/>
        <n v="1997924.4445290938" u="1"/>
        <n v="302386.64423652104" u="1"/>
        <n v="411681.2356578171" u="1"/>
        <n v="531125.36977500003" u="1"/>
        <n v="1034607.4084844708" u="1"/>
        <n v="181063.50642357694" u="1"/>
        <n v="43113.096346319995" u="1"/>
        <n v="83193.047000187202" u="1"/>
        <n v="512766.94603996462" u="1"/>
        <n v="179551.28537126942" u="1"/>
        <n v="27333.947019526866" u="1"/>
        <n v="258549.01261924652" u="1"/>
        <n v="309868.54052919493" u="1"/>
        <n v="455317.03914493945" u="1"/>
        <n v="1015791.8896125" u="1"/>
        <n v="41852.374305241909" u="1"/>
        <n v="42658.451034360864" u="1"/>
        <n v="175386.75935913954" u="1"/>
        <n v="433499.26124359044" u="1"/>
        <n v="671555.87857793167" u="1"/>
        <n v="760319.79804527073" u="1"/>
        <n v="144064.95199679292" u="1"/>
        <n v="775562.89685642777" u="1"/>
        <n v="19421.611185599999" u="1"/>
        <n v="88108.13126942463" u="1"/>
        <n v="95275.846683547716" u="1"/>
        <n v="484052.60457877454" u="1"/>
        <n v="68254.020380445727" u="1"/>
        <n v="487505.28943800181" u="1"/>
        <n v="4396928.6790000005" u="1"/>
        <n v="88422.748128000007" u="1"/>
        <n v="298172.41759578523" u="1"/>
        <n v="318736.89921948593" u="1"/>
        <n v="418441.21854260814" u="1"/>
        <n v="639756.599200089" u="1"/>
        <n v="1172758.229912607" u="1"/>
        <n v="66987.041444550719" u="1"/>
        <n v="175196.00964547589" u="1"/>
        <n v="234198.783" u="1"/>
        <n v="246034.59855311309" u="1"/>
        <n v="365073.1618615358" u="1"/>
        <n v="816347.04761378199" u="1"/>
        <n v="846785.63970000017" u="1"/>
        <n v="75414.420157806424" u="1"/>
        <n v="103358.27126889328" u="1"/>
        <n v="17877.86354407993" u="1"/>
        <n v="282804.22462500003" u="1"/>
        <n v="408481.01317262487" u="1"/>
        <n v="640160.64125441329" u="1"/>
        <n v="181671.49861883087" u="1"/>
        <n v="202414.66245" u="1"/>
        <n v="269012.30579006806" u="1"/>
        <n v="1776517.11237" u="1"/>
        <n v="12848.2611783627" u="1"/>
        <n v="26505.645659612266" u="1"/>
        <n v="40719.728067879543" u="1"/>
        <n v="210617.06398880726" u="1"/>
        <n v="386771.12947188196" u="1"/>
        <n v="439935.0933299216" u="1"/>
        <n v="1959665.5440381484" u="1"/>
        <n v="139906.78984012362" u="1"/>
        <n v="947553.75" u="1"/>
        <n v="25503.371674864378" u="1"/>
        <n v="129464.22742695795" u="1"/>
        <n v="500198.19508862536" u="1"/>
        <n v="39729.890124044126" u="1"/>
        <n v="54847.987415123411" u="1"/>
        <n v="157886.71815675983" u="1"/>
        <n v="294718.97812500002" u="1"/>
        <n v="310596.26832894294" u="1"/>
        <n v="444717.38419825915" u="1"/>
        <n v="853988.85000000009" u="1"/>
        <n v="1779878.4545278144" u="1"/>
        <n v="8617.9318662178939" u="1"/>
        <n v="24166.829436750002" u="1"/>
        <n v="64771.531662874382" u="1"/>
        <n v="255185.74312636329" u="1"/>
        <n v="20240.771170527285" u="1"/>
        <n v="165259.02836329729" u="1"/>
        <n v="44435.886494125902" u="1"/>
        <n v="71107.452229056667" u="1"/>
        <n v="264992.8829939696" u="1"/>
        <n v="706429.63036800001" u="1"/>
        <n v="6577.0860793999527" u="1"/>
        <n v="35750.262079943815" u="1"/>
        <n v="46084.829911959147" u="1"/>
        <n v="205209.51593379505" u="1"/>
        <n v="198387.68607977973" u="1"/>
        <n v="249711.19345611738" u="1"/>
        <n v="350533.5579222971" u="1"/>
        <n v="64097.425546046215" u="1"/>
        <n v="219273.1024504934" u="1"/>
        <n v="220716.24714335377" u="1"/>
        <n v="394909.03716805408" u="1"/>
        <n v="404915.5487133133" u="1"/>
        <n v="480043.68905941339" u="1"/>
        <n v="596499.80638229463" u="1"/>
        <n v="52107.370497000004" u="1"/>
        <n v="56653.800840000004" u="1"/>
        <n v="220716.2471433538" u="1"/>
        <n v="264937.13999999996" u="1"/>
        <n v="6414494.7295479476" u="1"/>
        <n v="83986.830752899798" u="1"/>
        <n v="563263.74816873239" u="1"/>
        <n v="157393.13158840736" u="1"/>
        <n v="361703.47248125076" u="1"/>
        <n v="66649.906081097739" u="1"/>
        <n v="130731.93100029373" u="1"/>
        <n v="220610.13356299634" u="1"/>
        <n v="369224.52351949801" u="1"/>
        <n v="222836.7632871427" u="1"/>
        <n v="53840.451313602578" u="1"/>
        <n v="467663.625" u="1"/>
        <n v="1725485.4192631415" u="1"/>
        <n v="1871718.065713692" u="1"/>
        <n v="14604.014880000002" u="1"/>
        <n v="78638.534488800011" u="1"/>
        <n v="171613.42286164872" u="1"/>
        <n v="257138.80081237206" u="1"/>
        <n v="512775.11962597346" u="1"/>
        <n v="1233865.1315999983" u="1"/>
        <n v="2160799.8048" u="1"/>
        <n v="2659913.7476250329" u="1"/>
        <n v="44752.041734400002" u="1"/>
        <n v="55005.977658317934" u="1"/>
        <n v="217494.90554954141" u="1"/>
        <n v="257502.28833391276" u="1"/>
        <n v="53021019.588866144" u="1"/>
        <n v="431207.24625000008" u="1"/>
        <n v="19794.578986647248" u="1"/>
        <n v="37527.867000000006" u="1"/>
        <n v="176213.30459040005" u="1"/>
        <n v="192710.86648591232" u="1"/>
        <n v="266367.18324374896" u="1"/>
        <n v="1755575.4970265194" u="1"/>
        <n v="30019.352249974385" u="1"/>
        <n v="254611.93269047805" u="1"/>
        <n v="271491.59534436086" u="1"/>
        <n v="484810.33289768058" u="1"/>
        <n v="16007.1093" u="1"/>
        <n v="34929.334439999999" u="1"/>
        <n v="37675.435428776924" u="1"/>
        <n v="73232.98426009508" u="1"/>
        <n v="215959.98636000406" u="1"/>
        <n v="119151.96605934507" u="1"/>
        <n v="508248.43908372475" u="1"/>
        <n v="1802918.5591921676" u="1"/>
        <n v="101985.55343549779" u="1"/>
        <n v="132631.89439499998" u="1"/>
        <n v="276178.04069976439" u="1"/>
        <n v="14988.722111999999" u="1"/>
        <n v="388469.25000000006" u="1"/>
        <n v="5863194.7342053317" u="1"/>
        <n v="69540.984115200015" u="1"/>
        <n v="100745.65492523345" u="1"/>
        <n v="103554.56194989006" u="1"/>
        <n v="147978.33540782306" u="1"/>
        <n v="638253.53518662124" u="1"/>
        <n v="1381218.3079599079" u="1"/>
        <n v="2569514.3730204054" u="1"/>
        <n v="196754.0321389841" u="1"/>
        <n v="477037.13427221455" u="1"/>
        <n v="490893.87259084504" u="1"/>
        <n v="5279480.7539186254" u="1"/>
        <n v="21416.840225288459" u="1"/>
        <n v="219258.8117572192" u="1"/>
        <n v="298813.11939026247" u="1"/>
        <n v="524722.40992399759" u="1"/>
        <n v="674636.97599999991" u="1"/>
        <n v="225552.45450965691" u="1"/>
        <n v="700766.78722149925" u="1"/>
        <n v="856363.96865088004" u="1"/>
        <n v="38057.302237499993" u="1"/>
        <n v="187876.5767494943" u="1"/>
        <n v="30639.801287526796" u="1"/>
        <n v="131834.97906151199" u="1"/>
        <n v="249123.26859664498" u="1"/>
        <n v="415701" u="1"/>
        <n v="1097179.8357283946" u="1"/>
        <n v="2005933.5411828987" u="1"/>
        <n v="51125.548279997754" u="1"/>
        <n v="262876.185" u="1"/>
        <n v="1357895.4004808331" u="1"/>
        <n v="14463.04415448018" u="1"/>
        <n v="40408.051400090917" u="1"/>
        <n v="6249417.6326400004" u="1"/>
        <n v="302356.99641090783" u="1"/>
        <n v="67890.230720881926" u="1"/>
        <n v="306801.87174143101" u="1"/>
        <n v="47466.714846933501" u="1"/>
        <n v="67302.29682334853" u="1"/>
        <n v="67866.213446465918" u="1"/>
        <n v="68473.386086568527" u="1"/>
        <n v="145433.81959832626" u="1"/>
        <n v="1443515.6736000001" u="1"/>
        <n v="38884.075142977832" u="1"/>
        <n v="100418.55644864748" u="1"/>
        <n v="103375.36453394752" u="1"/>
        <n v="237979.03912642167" u="1"/>
        <n v="76558.154793120004" u="1"/>
        <n v="212701.97175653881" u="1"/>
        <n v="1794065.3709834539" u="1"/>
        <n v="16113.164107518134" u="1"/>
        <n v="24783.580984420747" u="1"/>
        <n v="38903.020064999997" u="1"/>
        <n v="106148.44758960002" u="1"/>
        <n v="212701.97175653884" u="1"/>
        <n v="409132.50348540145" u="1"/>
        <n v="60637.605438401224" u="1"/>
        <n v="75198.532500000001" u="1"/>
        <n v="83393.760550428851" u="1"/>
        <n v="173651.63508000001" u="1"/>
        <n v="422834.16807195608" u="1"/>
        <n v="2544367.8490136615" u="1"/>
        <n v="130731.93100029416" u="1"/>
        <n v="80444.705268931008" u="1"/>
        <n v="113566.18771917334" u="1"/>
        <n v="274735.13378395152" u="1"/>
        <n v="71050.823711826524" u="1"/>
        <n v="358854.20180774346" u="1"/>
        <n v="910167.26473057398" u="1"/>
        <n v="43014.396290629971" u="1"/>
        <n v="195701.73913377366" u="1"/>
        <n v="586808.09937632037" u="1"/>
        <n v="743719.43151213368" u="1"/>
        <n v="27151.166614209505" u="1"/>
        <n v="127336.40342852933" u="1"/>
        <n v="1803930.8660754876" u="1"/>
        <n v="81017.17747431442" u="1"/>
        <n v="212651.61503619276" u="1"/>
        <n v="34238.273720251789" u="1"/>
        <n v="660165.65967668814" u="1"/>
        <n v="801211.12441558333" u="1"/>
        <n v="869406.56990647805" u="1"/>
        <n v="3729933.2884432743" u="1"/>
        <n v="24550.602767454911" u="1"/>
        <n v="31222.842509318143" u="1"/>
        <n v="38107.427264036647" u="1"/>
        <n v="204180.35074036749" u="1"/>
        <n v="303688.47599999997" u="1"/>
        <n v="800280" u="1"/>
        <n v="87344.776202863199" u="1"/>
        <n v="153420.9441942967" u="1"/>
        <n v="293654.65369281871" u="1"/>
        <n v="702794.6488765527" u="1"/>
        <n v="1142153.0172000001" u="1"/>
        <n v="1690193.7852800002" u="1"/>
        <n v="1770291.6552660565" u="1"/>
        <n v="29408.692493468563" u="1"/>
        <n v="277195.31035333633" u="1"/>
        <n v="406511.56734521175" u="1"/>
        <n v="451324.6139063476" u="1"/>
        <n v="1226755.53" u="1"/>
        <n v="134555.12653134615" u="1"/>
        <n v="20716.925281094744" u="1"/>
        <n v="276222.76902376761" u="1"/>
        <n v="283846.7532173036" u="1"/>
        <n v="1605757.8595591686" u="1"/>
        <n v="85008.76826408015" u="1"/>
        <n v="393923.01708430809" u="1"/>
        <n v="66825.027230061067" u="1"/>
        <n v="21726.5702792638" u="1"/>
        <n v="51313.431312000001" u="1"/>
        <n v="641616.29999999993" u="1"/>
        <n v="939688.94739083189" u="1"/>
        <n v="31512" u="1"/>
        <n v="36580.593805057877" u="1"/>
        <n v="48260.418450820202" u="1"/>
        <n v="98056.194751314295" u="1"/>
        <n v="104561.53526286152" u="1"/>
        <n v="791077.44514284818" u="1"/>
        <n v="36217.486636503309" u="1"/>
        <n v="95845.322898132348" u="1"/>
        <n v="212439.38787547799" u="1"/>
        <n v="285937.8765716296" u="1"/>
        <n v="364464.77733415342" u="1"/>
        <n v="1593922.4438591057" u="1"/>
        <n v="24556.462099857639" u="1"/>
        <n v="40594.455719999998" u="1"/>
        <n v="185536.34937864458" u="1"/>
        <n v="1797526.9115009194" u="1"/>
        <n v="458838.43200000003" u="1"/>
        <n v="528410.23354186909" u="1"/>
        <n v="554881.27793469874" u="1"/>
        <n v="922788.57221138768" u="1"/>
        <n v="179078.16095840617" u="1"/>
        <n v="474996.54794502154" u="1"/>
        <n v="31132.486583877231" u="1"/>
        <n v="73607.369472000006" u="1"/>
        <n v="162820.67770036639" u="1"/>
        <n v="230832.40847075751" u="1"/>
        <n v="407023.39729615394" u="1"/>
        <n v="26075.618150399998" u="1"/>
        <n v="24050.493355647588" u="1"/>
        <n v="75406.903829406569" u="1"/>
        <n v="83266.908590926178" u="1"/>
        <n v="34902.624058182468" u="1"/>
        <n v="40322.509152475723" u="1"/>
        <n v="62840.4622876414" u="1"/>
        <n v="93877.689727359641" u="1"/>
        <n v="193353.66701176402" u="1"/>
        <n v="332288.5940692802" u="1"/>
        <n v="15182.187929999998" u="1"/>
        <n v="20497.790591988385" u="1"/>
        <n v="36494.496897547884" u="1"/>
        <n v="104350.06725490787" u="1"/>
        <n v="330389.0538418892" u="1"/>
        <n v="546052.58918920089" u="1"/>
        <n v="82636.218666897679" u="1"/>
        <n v="90312.180969465015" u="1"/>
        <n v="188316.347811582" u="1"/>
        <n v="191042.5676350306" u="1"/>
        <n v="1308968.3150416948" u="1"/>
        <n v="17125.20980352" u="1"/>
        <n v="59895.409391999987" u="1"/>
        <n v="336418.11263683549" u="1"/>
        <n v="45772.822760330389" u="1"/>
        <n v="78284.360421873484" u="1"/>
        <n v="80371.926358766694" u="1"/>
        <n v="175938.66799614939" u="1"/>
        <n v="212227.16071476325" u="1"/>
        <n v="3090188.3518461604" u="1"/>
        <n v="75628.800000000003" u="1"/>
        <n v="154734.96665794228" u="1"/>
        <n v="206492.61330126843" u="1"/>
        <n v="372358.14000000007" u="1"/>
        <n v="397940.07481756201" u="1"/>
        <n v="553579.70703750011" u="1"/>
        <n v="75628.800000000017" u="1"/>
        <n v="206945.19185134897" u="1"/>
        <n v="1161677.4591387874" u="1"/>
        <n v="1600687.9884976493" u="1"/>
        <n v="7561768.6082410738" u="1"/>
        <n v="218254.73753639631" u="1"/>
        <n v="14625.42841618752" u="1"/>
        <n v="55178.118554013039" u="1"/>
        <n v="91490.205982500003" u="1"/>
        <n v="172316.5697793877" u="1"/>
        <n v="260858.72034345489" u="1"/>
        <n v="265533.62425200001" u="1"/>
        <n v="398924.19983681553" u="1"/>
        <n v="430422.89684902941" u="1"/>
        <n v="431588.32079999993" u="1"/>
        <n v="2027259.3034918208" u="1"/>
        <n v="101987.59614336219" u="1"/>
        <n v="271604.47075172613" u="1"/>
        <n v="506412.59346226096" u="1"/>
        <n v="84170.488998298577" u="1"/>
        <n v="270006.98326322879" u="1"/>
        <n v="326829.82750073541" u="1"/>
        <n v="48786.344127280841" u="1"/>
        <n v="140379.3022465976" u="1"/>
        <n v="215025.28318186544" u="1"/>
        <n v="249013.20190532223" u="1"/>
        <n v="370563.24143807968" u="1"/>
        <n v="19790.709241909692" u="1"/>
        <n v="29454.863988543155" u="1"/>
        <n v="110313.98032224822" u="1"/>
        <n v="251838.06415772627" u="1"/>
        <n v="374269.89600000007" u="1"/>
        <n v="10057.087198235631" u="1"/>
        <n v="28496.286000000004" u="1"/>
        <n v="117856.28604356124" u="1"/>
        <n v="189579.3075677882" u="1"/>
        <n v="278548.14843812672" u="1"/>
        <n v="158066.78930035565" u="1"/>
        <n v="179393.02421015821" u="1"/>
        <n v="219552.03397376396" u="1"/>
        <n v="611224.47699369257" u="1"/>
        <n v="26167.810687200006" u="1"/>
        <n v="38840.708895461292" u="1"/>
        <n v="46812.730730245552" u="1"/>
        <n v="485469.63013502094" u="1"/>
        <n v="530215.6860000001" u="1"/>
        <n v="91477.332410028743" u="1"/>
        <n v="262787.54520806222" u="1"/>
        <n v="650688.47475146409" u="1"/>
        <n v="27211.668120000002" u="1"/>
        <n v="27836.336159935978" u="1"/>
        <n v="118896.18249599999" u="1"/>
        <n v="345120.74999999994" u="1"/>
        <n v="5547484.2621046519" u="1"/>
        <n v="70721.725156260742" u="1"/>
        <n v="135769.60800000001" u="1"/>
        <n v="2587070.4188699867" u="1"/>
        <n v="2817894.861396845" u="1"/>
        <n v="52353.936087273709" u="1"/>
        <n v="393732.6096829701" u="1"/>
        <n v="737540.2943999999" u="1"/>
        <n v="768979.88833367557" u="1"/>
        <n v="34039.931101596754" u="1"/>
        <n v="159403.82041285868" u="1"/>
        <n v="241051.16600571183" u="1"/>
        <n v="1255630.2090464598" u="1"/>
        <n v="121397.79960000001" u="1"/>
        <n v="279261.11734222953" u="1"/>
        <n v="18375.278544895711" u="1"/>
        <n v="105641.96444468215" u="1"/>
        <n v="290654.57610100514" u="1"/>
        <n v="3843498.5159999998" u="1"/>
        <n v="142059.20199151014" u="1"/>
        <n v="26735.17499406233" u="1"/>
        <n v="552039.98849999998" u="1"/>
        <n v="648611.05113789358" u="1"/>
        <n v="760732.54499945685" u="1"/>
        <n v="158016.52109879997" u="1"/>
        <n v="9350.7954421374961" u="1"/>
        <n v="80394.495999999985" u="1"/>
        <n v="266366.30941309931" u="1"/>
        <n v="596847.08865257795" u="1"/>
        <n v="1133338.7520000001" u="1"/>
        <n v="1747739.7951436481" u="1"/>
        <n v="90917.985600000015" u="1"/>
        <n v="154960.41228101146" u="1"/>
        <n v="360164.90250000003" u="1"/>
        <n v="445769.81892655749" u="1"/>
        <n v="1356165.9800000002" u="1"/>
        <n v="62100.639958109008" u="1"/>
        <n v="325276.08750000002" u="1"/>
        <n v="454381.23785227566" u="1"/>
        <n v="3470907.7260000007" u="1"/>
        <n v="88540.597296650027" u="1"/>
        <n v="262039.52719876968" u="1"/>
        <n v="343963.63360910502" u="1"/>
        <n v="126094.8978987278" u="1"/>
        <n v="69121.466851473" u="1"/>
        <n v="2600379.3563540308" u="1"/>
        <n v="73388.14281269387" u="1"/>
        <n v="102381.03057066858" u="1"/>
        <n v="113622.64969546048" u="1"/>
        <n v="15772.41852692168" u="1"/>
        <n v="219511.71729058377" u="1"/>
        <n v="41956.588540106743" u="1"/>
        <n v="52424.344664926022" u="1"/>
        <n v="201564.8686541408" u="1"/>
        <n v="381785.97330451949" u="1"/>
        <n v="91852.010808570922" u="1"/>
        <n v="204268.6421879596" u="1"/>
        <n v="390316.87520468782" u="1"/>
        <n v="702604.7821827688" u="1"/>
        <n v="21192.432428687018" u="1"/>
        <n v="66950.594966817313" u="1"/>
        <n v="735807.91197687644" u="1"/>
        <n v="757324.20145160984" u="1"/>
        <n v="20624.850057623211" u="1"/>
        <n v="78094.131866237411" u="1"/>
        <n v="563403.68947262526" u="1"/>
        <n v="254445.08345542528" u="1"/>
        <n v="1133233.522425225" u="1"/>
        <n v="44929.946865021418" u="1"/>
        <n v="217552.50161886195" u="1"/>
        <n v="313496.87887539132" u="1"/>
        <n v="410705.81036651612" u="1"/>
        <n v="205605.6733004626" u="1"/>
        <n v="412863.3095737659" u="1"/>
        <n v="2162712.6716616126" u="1"/>
        <n v="1782512.9595000003" u="1"/>
        <n v="49652.754948809634" u="1"/>
        <n v="101480.66143897834" u="1"/>
        <n v="119726.66637360002" u="1"/>
        <n v="155146.89728085499" u="1"/>
        <n v="156346.79346000002" u="1"/>
        <n v="218504.19401348694" u="1"/>
        <n v="47566.674935589661" u="1"/>
        <n v="67021.779493640366" u="1"/>
        <n v="92943.088137899991" u="1"/>
        <n v="155986.96312535097" u="1"/>
        <n v="303773.46876068349" u="1"/>
        <n v="67484.619598873425" u="1"/>
        <n v="84525.638740907467" u="1"/>
        <n v="286261.58235184196" u="1"/>
        <n v="89838.678890336058" u="1"/>
        <n v="206167.85849056419" u="1"/>
        <n v="431241.10088484187" u="1"/>
        <n v="1053778.5953357031" u="1"/>
        <n v="210163.30779522352" u="1"/>
        <n v="215526.77422692958" u="1"/>
        <n v="378040.41856762435" u="1"/>
        <n v="710488.96380245686" u="1"/>
        <n v="65027.254652304924" u="1"/>
        <n v="177029.28611021975" u="1"/>
        <n v="178918.90015490915" u="1"/>
        <n v="28706.221594624614" u="1"/>
        <n v="89611.225000000006" u="1"/>
        <n v="69863.219952872634" u="1"/>
        <n v="98174.99856189033" u="1"/>
        <n v="245256.52313542165" u="1"/>
        <n v="257898.44570058031" u="1"/>
        <n v="612075.21354760451" u="1"/>
        <n v="728582.31101252802" u="1"/>
        <n v="15533.442488634988" u="1"/>
        <n v="162202.14202499326" u="1"/>
        <n v="49685.207127138332" u="1"/>
        <n v="226492.69500000004" u="1"/>
        <n v="34999.745638054213" u="1"/>
        <n v="124254.75805527958" u="1"/>
        <n v="152599.81764034336" u="1"/>
        <n v="387167.50988802843" u="1"/>
        <n v="51746.778719999995" u="1"/>
        <n v="90488.284595287885" u="1"/>
        <n v="101141.0918764513" u="1"/>
        <n v="359607.13343334879" u="1"/>
        <n v="200013.59405801003" u="1"/>
        <n v="249121.27562643995" u="1"/>
        <n v="250377.88941938462" u="1"/>
        <n v="316014.05550945341" u="1"/>
        <n v="30352.900608307435" u="1"/>
        <n v="61575.819930320358" u="1"/>
        <n v="544433.40962027269" u="1"/>
        <n v="19414.674703795707" u="1"/>
        <n v="48577.850809265481" u="1"/>
        <n v="237720.50117043513" u="1"/>
        <n v="2285148.0966151436" u="1"/>
        <n v="183901.90899803286" u="1"/>
        <n v="423821.05785733968" u="1"/>
        <n v="2566422.1439999999" u="1"/>
        <n v="6009133.6449418329" u="1"/>
        <n v="9048.8284595287878" u="1"/>
        <n v="114284.88371609543" u="1"/>
        <n v="646194.31765099708" u="1"/>
        <n v="864038.46455848555" u="1"/>
        <n v="1526979.9034493738" u="1"/>
        <n v="17590.3" u="1"/>
        <n v="200851.78490045192" u="1"/>
        <n v="354879.81100000005" u="1"/>
        <n v="584169.30000000005" u="1"/>
        <n v="830885.87342481792" u="1"/>
        <n v="3080595.1417529639" u="1"/>
        <n v="514002.95963411091" u="1"/>
        <n v="99262.047456000015" u="1"/>
        <n v="482800.70723798109" u="1"/>
        <n v="949551.83356738521" u="1"/>
        <n v="23686.091941168081" u="1"/>
        <n v="140078.16147978476" u="1"/>
        <n v="199617.91976885192" u="1"/>
        <n v="355926.3818903325" u="1"/>
        <n v="44697.726005780103" u="1"/>
        <n v="270179.32406727463" u="1"/>
        <n v="776493.67815214896" u="1"/>
        <n v="799358.64314327308" u="1"/>
        <n v="1117559.931369181" u="1"/>
        <n v="83840.61235420937" u="1"/>
        <n v="95141.153178880748" u="1"/>
        <n v="519221.85109869851" u="1"/>
        <n v="10569.702334124358" u="1"/>
        <n v="195575.10545430004" u="1"/>
        <n v="1731471.8014891862" u="1"/>
        <n v="13492.561593328372" u="1"/>
        <n v="182564.72518808211" u="1"/>
        <n v="193952.57653129485" u="1"/>
        <n v="307562.17451157124" u="1"/>
        <n v="495600.88604082976" u="1"/>
        <n v="16779979.743643157" u="1"/>
        <n v="50819.108465917539" u="1"/>
        <n v="33169.258886400006" u="1"/>
        <n v="1766052.561341305" u="1"/>
        <n v="45953.906987155613" u="1"/>
        <n v="47538.884000106962" u="1"/>
        <n v="59847.912343598917" u="1"/>
        <n v="102406.67928356353" u="1"/>
        <n v="140521.79905896587" u="1"/>
        <n v="235846.91091760088" u="1"/>
        <n v="20397.312000000002" u="1"/>
        <n v="149656.10901725144" u="1"/>
        <n v="273215.62239885837" u="1"/>
        <n v="1066527.793380114" u="1"/>
        <n v="1493425.8268862143" u="1"/>
        <n v="16993.780988412534" u="1"/>
        <n v="23526.953994774853" u="1"/>
        <n v="168960.56460936795" u="1"/>
        <n v="194760.86538793822" u="1"/>
        <n v="374764.86886750988" u="1"/>
        <n v="68218.298540153482" u="1"/>
        <n v="325504.89000598231" u="1"/>
        <n v="368553.45384000003" u="1"/>
        <n v="527937.10044832691" u="1"/>
        <n v="78595.53861990718" u="1"/>
        <n v="814600.82143143844" u="1"/>
        <n v="63048.992338567055" u="1"/>
        <n v="64098.320000000007" u="1"/>
        <n v="102212.50633858185" u="1"/>
        <n v="460503.88874555664" u="1"/>
        <n v="72259.103680162574" u="1"/>
        <n v="176249.51256890959" u="1"/>
        <n v="464539.07332252443" u="1"/>
        <n v="16062.883200000002" u="1"/>
        <n v="21613.41" u="1"/>
        <n v="36496.941453432781" u="1"/>
        <n v="77805" u="1"/>
        <n v="87199.073095185639" u="1"/>
        <n v="115274.31292223986" u="1"/>
        <n v="219724.96510252001" u="1"/>
        <n v="451971.68863919133" u="1"/>
        <n v="196097.89650044125" u="1"/>
        <n v="964111.79273810377" u="1"/>
        <n v="10732.313139264736" u="1"/>
        <n v="49888.058219999999" u="1"/>
        <n v="60054.423871489314" u="1"/>
        <n v="64658.055005509035" u="1"/>
        <n v="70584.259223891073" u="1"/>
        <n v="87304.052800734615" u="1"/>
        <n v="515153.43176535063" u="1"/>
        <n v="10541.393625610608" u="1"/>
        <n v="65999.520346045116" u="1"/>
        <n v="146479.18632532956" u="1"/>
        <n v="324855.4606476808" u="1"/>
        <n v="11311159.857134724" u="1"/>
        <n v="57102.867712799998" u="1"/>
        <n v="101813.4" u="1"/>
        <n v="105305.83117937171" u="1"/>
        <n v="338318.7500288256" u="1"/>
        <n v="15614.004789970952" u="1"/>
        <n v="72114.86051796886" u="1"/>
        <n v="79643.422068347907" u="1"/>
        <n v="102799.22525780354" u="1"/>
        <n v="142983.28637432517" u="1"/>
        <n v="253600.73851067162" u="1"/>
        <n v="37152.165492266126" u="1"/>
        <n v="54062.107101637317" u="1"/>
        <n v="65174.621492046652" u="1"/>
        <n v="760793.96249999991" u="1"/>
        <n v="887740.6091072245" u="1"/>
        <n v="55315.522080000002" u="1"/>
        <n v="68200.292160000012" u="1"/>
        <n v="181160.19251552664" u="1"/>
        <n v="232306.67981385603" u="1"/>
        <n v="524626.41065922473" u="1"/>
        <n v="2510152.1145473146" u="1"/>
        <n v="21544.829665544734" u="1"/>
        <n v="46103.446931302431" u="1"/>
        <n v="225813.83000000002" u="1"/>
        <n v="31421.474939972148" u="1"/>
        <n v="343795.26672827359" u="1"/>
        <n v="28971.469065317615" u="1"/>
        <n v="105292.96866928453" u="1"/>
        <n v="398857.72629096702" u="1"/>
        <n v="747128.0336995977" u="1"/>
        <n v="460233.15624000004" u="1"/>
        <n v="557407.52102459851" u="1"/>
        <n v="1181019.4681448927" u="1"/>
        <n v="125032.76403690557" u="1"/>
        <n v="195885.66933972648" u="1"/>
        <n v="2559243.648" u="1"/>
        <n v="71636.558637936236" u="1"/>
        <n v="212261.21704167305" u="1"/>
        <n v="251276.95828627973" u="1"/>
        <n v="269315.43549959245" u="1"/>
        <n v="252387.70404165963" u="1"/>
        <n v="1671009.4046077684" u="1"/>
        <n v="362246.2969680549" u="1"/>
        <n v="1131446.3752013789" u="1"/>
        <n v="16566558.496317858" u="1"/>
        <n v="23563.891190834525" u="1"/>
        <n v="1401716.8424533838" u="1"/>
        <n v="285274.81480756326" u="1"/>
        <n v="49155.843700003257" u="1"/>
        <n v="88647.19207459208" u="1"/>
        <n v="177280.42158373218" u="1"/>
        <n v="1793008.2415373677" u="1"/>
        <n v="30640.592330624553" u="1"/>
        <n v="33183.2592" u="1"/>
        <n v="191344.00810043054" u="1"/>
        <n v="66992.904420211227" u="1"/>
        <n v="239838.15252486718" u="1"/>
        <n v="829454.48646019958" u="1"/>
        <n v="5719034.6448197458" u="1"/>
        <n v="48981.002615999998" u="1"/>
        <n v="50409.954465900933" u="1"/>
        <n v="84234.374935427637" u="1"/>
        <n v="1136422.8556936139" u="1"/>
        <n v="29564.51357952023" u="1"/>
        <n v="40472.625701772398" u="1"/>
        <n v="706413.99383040762" u="1"/>
        <n v="3919662.7325670202" u="1"/>
        <n v="2619182.7223306135" u="1"/>
        <n v="290385.91296000005" u="1"/>
        <n v="93127.207680000007" u="1"/>
        <n v="364234.80729968922" u="1"/>
        <n v="794453.08275746927" u="1"/>
        <n v="857709.34894298075" u="1"/>
        <n v="33666.479146257669" u="1"/>
        <n v="80352.814963823097" u="1"/>
        <n v="215885.59979740923" u="1"/>
        <n v="251290.5901052095" u="1"/>
        <n v="502228.49166290287" u="1"/>
        <n v="43873.107790021022" u="1"/>
        <n v="222259.71794747209" u="1"/>
        <n v="561487.4831634037" u="1"/>
        <n v="3647135.4751710813" u="1"/>
        <n v="122169.44376000002" u="1"/>
        <n v="183488.28576478019" u="1"/>
        <n v="325158.96116254939" u="1"/>
        <n v="682181.48637497204" u="1"/>
        <n v="1252778.3351493489" u="1"/>
        <n v="38905.503127516109" u="1"/>
        <n v="48548.754194080611" u="1"/>
        <n v="221259.55216037887" u="1"/>
        <n v="269408.46778366197" u="1"/>
        <n v="278359.05825" u="1"/>
        <n v="383467.5" u="1"/>
        <n v="50743.069649999998" u="1"/>
        <n v="233701.92300000001" u="1"/>
        <n v="280758.84802890552" u="1"/>
        <n v="509761.86909284513" u="1"/>
        <n v="250754.40000000002" u="1"/>
        <n v="323611.31082284037" u="1"/>
        <n v="589142.40184800013" u="1"/>
        <n v="60918.384390665262" u="1"/>
        <n v="91067.409616697711" u="1"/>
        <n v="262335.78382894286" u="1"/>
        <n v="8759.7019420871311" u="1"/>
        <n v="601766.15187513025" u="1"/>
        <n v="1224943.7305847651" u="1"/>
        <n v="1509170.9206383163" u="1"/>
        <n v="156663.56885988117" u="1"/>
        <n v="161689.82888608321" u="1"/>
        <n v="245877.2474921222" u="1"/>
        <n v="9149.9335025198889" u="1"/>
        <n v="38461.25894291672" u="1"/>
        <n v="581010.05334559293" u="1"/>
        <n v="22310.534918102036" u="1"/>
        <n v="61062.136542002358" u="1"/>
        <n v="133691.38565156021" u="1"/>
        <n v="169640.24379800077" u="1"/>
        <n v="1502192.2499999998" u="1"/>
        <n v="6943861.7248" u="1"/>
        <n v="61088.703931908269" u="1"/>
        <n v="62133.308873999995" u="1"/>
        <n v="77855.924249999996" u="1"/>
        <n v="44779.550797799995" u="1"/>
        <n v="115499.45778177644" u="1"/>
        <n v="260530.52764479257" u="1"/>
        <n v="35061.129034644655" u="1"/>
        <n v="58235.132900131037" u="1"/>
        <n v="530860.8931726726" u="1"/>
        <n v="103699.35568853751" u="1"/>
        <n v="520954.65006081789" u="1"/>
        <n v="811926.88143625041" u="1"/>
        <n v="46488.023002098707" u="1"/>
        <n v="48567.150961081068" u="1"/>
        <n v="458182.85010628443" u="1"/>
        <n v="505959.93820314447" u="1"/>
        <n v="36783.38477510614" u="1"/>
        <n v="77482.185580800011" u="1"/>
        <n v="78854.076575893734" u="1"/>
        <n v="662260.21428215387" u="1"/>
        <n v="736601.78777225758" u="1"/>
        <n v="9619.4773236370002" u="1"/>
        <n v="16287.89122715182" u="1"/>
        <n v="34014.585149999999" u="1"/>
        <n v="45660.927312000007" u="1"/>
        <n v="5283990.7328000003" u="1"/>
        <n v="10414.773554754049" u="1"/>
        <n v="11943178.487160651" u="1"/>
        <n v="16589.518842469446" u="1"/>
        <n v="50995.508384233224" u="1"/>
        <n v="772720.51983799238" u="1"/>
        <n v="153709.05826701224" u="1"/>
        <n v="218333.36446158649" u="1"/>
        <n v="317288.09513212461" u="1"/>
        <n v="238882.89210053749" u="1"/>
        <n v="1058710.5367955759" u="1"/>
        <n v="2760220.511132481" u="1"/>
        <n v="96180.232694359787" u="1"/>
        <n v="607972.80669053446" u="1"/>
        <n v="84923.406452629511" u="1"/>
        <n v="1897154.3297705811" u="1"/>
        <n v="17606.98682371508" u="1"/>
        <n v="93265.118667164323" u="1"/>
        <n v="412003.66234336956" u="1"/>
        <n v="813937.54981923103" u="1"/>
        <n v="1179828.6665481089" u="1"/>
        <n v="3703245.2517121746" u="1"/>
        <n v="123279.47323989483" u="1"/>
        <n v="374368.7115008423" u="1"/>
        <n v="554454.3692264799" u="1"/>
        <n v="71788.045721522096" u="1"/>
        <n v="182418.83559446686" u="1"/>
        <n v="248602.29582283928" u="1"/>
        <n v="374368.71150084236" u="1"/>
        <n v="488046.46999949322" u="1"/>
        <n v="2413214.6077980222" u="1"/>
        <n v="33019.59167879101" u="1"/>
        <n v="33828.713100000001" u="1"/>
        <n v="54906.827390618615" u="1"/>
        <n v="501468.5" u="1"/>
        <n v="6403915.2732419223" u="1"/>
        <n v="31493.911664694533" u="1"/>
        <n v="69709.493317851404" u="1"/>
        <n v="34661.266422696172" u="1"/>
        <n v="94969.609165721195" u="1"/>
        <n v="55574.888122272649" u="1"/>
        <n v="82139.663099889309" u="1"/>
        <n v="254598.11105521204" u="1"/>
        <n v="319688.86949999997" u="1"/>
        <n v="405615.97440000012" u="1"/>
        <n v="48932.400958545324" u="1"/>
        <n v="836086.58523253596" u="1"/>
        <n v="71034.986879999997" u="1"/>
        <n v="215908.87499999997" u="1"/>
        <n v="227348.68493374615" u="1"/>
        <n v="686454.25127713149" u="1"/>
        <n v="688996.76707711932" u="1"/>
        <n v="1319996.3457363034" u="1"/>
        <n v="30867.176035054104" u="1"/>
        <n v="50886.224999999999" u="1"/>
        <n v="102319.80553283113" u="1"/>
        <n v="114748.82496000001" u="1"/>
        <n v="134067.46775133628" u="1"/>
        <n v="167880.81253484284" u="1"/>
        <n v="261078.70900521704" u="1"/>
        <n v="1382082.135254866" u="1"/>
        <n v="74972.371499999994" u="1"/>
        <n v="131857.7012928646" u="1"/>
        <n v="81625.343882866626" u="1"/>
        <n v="349278.74494523031" u="1"/>
        <n v="1692157.8947657121" u="1"/>
        <n v="19115.987447480649" u="1"/>
        <n v="217540.66712336577" u="1"/>
        <n v="206938.22961127281" u="1"/>
        <n v="21634.458155390657" u="1"/>
        <n v="54408.086596814494" u="1"/>
        <n v="107155.71257348529" u="1"/>
        <n v="246883.01738549545" u="1"/>
        <n v="14491.935180334323" u="1"/>
        <n v="42784.995600096263" u="1"/>
        <n v="53893.579004100036" u="1"/>
        <n v="133554.5522378005" u="1"/>
        <n v="281846.86236402171" u="1"/>
        <n v="341008.2" u="1"/>
        <n v="806537.04957111867" u="1"/>
        <n v="63321.950777659404" u="1"/>
        <n v="455475.14548483107" u="1"/>
        <n v="3237053.7207910134" u="1"/>
        <n v="169246.73021488034" u="1"/>
        <n v="1029391.7677530142" u="1"/>
        <n v="306443.54457918246" u="1"/>
        <n v="389025" u="1"/>
        <n v="552639.52650124347" u="1"/>
        <n v="14786.803411340295" u="1"/>
        <n v="36887.698000541328" u="1"/>
        <n v="134886.71468793589" u="1"/>
        <n v="169246.7302148804" u="1"/>
        <n v="878528.48025614349" u="1"/>
        <n v="30762.624954600007" u="1"/>
        <n v="110166.732" u="1"/>
        <n v="349970.96991963842" u="1"/>
        <n v="26470.080000000005" u="1"/>
        <n v="43427.996254962942" u="1"/>
        <n v="114390.43962525739" u="1"/>
        <n v="347514.02314276504" u="1"/>
        <n v="408896.56920999516" u="1"/>
        <n v="1382825.5083809351" u="1"/>
        <n v="2435676.3600000003" u="1"/>
        <n v="3915888.6" u="1"/>
        <n v="492650.93280000007" u="1"/>
        <n v="728489.42935333878" u="1"/>
        <n v="1633068.2368000001" u="1"/>
        <n v="32316.38270513048" u="1"/>
        <n v="293567.96414424211" u="1"/>
        <n v="374148.62407491577" u="1"/>
        <n v="696282.19802023913" u="1"/>
        <n v="17256831.766997766" u="1"/>
        <n v="20219.719074348472" u="1"/>
        <n v="53124.613914903726" u="1"/>
        <n v="174366.40000000002" u="1"/>
        <n v="79580.473315200026" u="1"/>
        <n v="158217.32909968932" u="1"/>
        <n v="95075.810175120932" u="1"/>
        <n v="98633.28036605526" u="1"/>
        <n v="308235.19999999995" u="1"/>
        <n v="2400863.2551628123" u="1"/>
        <n v="8356.7824361944804" u="1"/>
        <n v="94007.842990994337" u="1"/>
        <n v="784277.36887500004" u="1"/>
        <n v="119950.85811077879" u="1"/>
        <n v="152941.50336909408" u="1"/>
        <n v="195475.36349567794" u="1"/>
        <n v="17645.215496081139" u="1"/>
        <n v="129509.30928642066" u="1"/>
        <n v="22835.776647799543" u="1"/>
        <n v="46944.422860692743" u="1"/>
        <n v="130635.73160823861" u="1"/>
        <n v="191489.21999999997" u="1"/>
        <n v="472055.25027922931" u="1"/>
        <n v="9292.9011907359145" u="1"/>
        <n v="45495.996076627853" u="1"/>
        <n v="227507.38919999998" u="1"/>
        <n v="238267.57500000001" u="1"/>
        <n v="1359253.2096000002" u="1"/>
        <n v="29008.578170534925" u="1"/>
        <n v="67873.037777999998" u="1"/>
        <n v="105040.00000000001" u="1"/>
        <n v="210171.63893418128" u="1"/>
        <n v="265326.52130209131" u="1"/>
        <n v="88897.713080200032" u="1"/>
        <n v="129274.5063096232" u="1"/>
        <n v="205840.61782890855" u="1"/>
        <n v="142005.84971734264" u="1"/>
        <n v="641144.33194317424" u="1"/>
        <n v="10221.957480173918" u="1"/>
        <n v="13596.9122016" u="1"/>
        <n v="45906.385518297728" u="1"/>
        <n v="89775.642685634695" u="1"/>
        <n v="746928" u="1"/>
        <n v="89775.64268563471" u="1"/>
        <n v="108037.8" u="1"/>
        <n v="504540.73958524171" u="1"/>
        <n v="3444269.9624333452" u="1"/>
        <n v="39062.216113899798" u="1"/>
        <n v="274454.15710521134" u="1"/>
        <n v="5287968.7660799995" u="1"/>
        <n v="842961.60000000009" u="1"/>
        <n v="24840.478750719827" u="1"/>
        <n v="290779.7137394934" u="1"/>
        <n v="46149.025143596817" u="1"/>
        <n v="46627.722056771585" u="1"/>
        <n v="65099.335177954999" u="1"/>
        <n v="73555.395030023821" u="1"/>
        <n v="97237.016302512042" u="1"/>
        <n v="348079.45535999996" u="1"/>
        <n v="470753.79881105927" u="1"/>
        <n v="2836676.3584996653" u="1"/>
        <n v="46149.025143596824" u="1"/>
        <n v="144201.28146699115" u="1"/>
        <n v="189332.16947609436" u="1"/>
        <n v="254098.93608783113" u="1"/>
        <n v="365087.20288243733" u="1"/>
        <n v="2093365.5851274235" u="1"/>
        <n v="70027.411534063795" u="1"/>
        <n v="220094.78399999999" u="1"/>
        <n v="232877.39984290878" u="1"/>
        <n v="741552.66256729001" u="1"/>
        <n v="742795.06250167126" u="1"/>
        <n v="478854.29650216823" u="1"/>
        <n v="40054.480950340127" u="1"/>
        <n v="80431.158107411611" u="1"/>
        <n v="2026209.4252400002" u="1"/>
        <n v="18221.327990379319" u="1"/>
        <n v="1906239.3381695" u="1"/>
        <n v="44777.279548124483" u="1"/>
        <n v="61693.772088069498" u="1"/>
        <n v="463710.52248172648" u="1"/>
        <n v="106458.99264000001" u="1"/>
        <n v="151228.272" u="1"/>
        <n v="209403.12462951877" u="1"/>
        <n v="557939.3820000001" u="1"/>
        <n v="1473557.7606750003" u="1"/>
        <n v="12751.685837432187" u="1"/>
        <n v="107912.00160000002" u="1"/>
        <n v="2070015.6426344714" u="1"/>
        <n v="3947488.0714162895" u="1"/>
        <n v="15463.7652" u="1"/>
        <n v="64732.113713478975" u="1"/>
        <n v="114015.23859006271" u="1"/>
        <n v="380524.54749106994" u="1"/>
        <n v="67872.334136711812" u="1"/>
        <n v="90187.242912000016" u="1"/>
        <n v="111845.48790524645" u="1"/>
        <n v="251083.64554664222" u="1"/>
        <n v="257347.72037327688" u="1"/>
        <n v="7522300.4753237292" u="1"/>
        <n v="67043.220024942799" u="1"/>
        <n v="417143.14162644249" u="1"/>
        <n v="4507456.0512323817" u="1"/>
        <n v="814224.26705736096" u="1"/>
        <n v="16503.194440779214" u="1"/>
        <n v="57508.812270000002" u="1"/>
        <n v="96583.165993550647" u="1"/>
        <n v="180381.9919129739" u="1"/>
        <n v="605922.69231803005" u="1"/>
        <n v="48904.253967010853" u="1"/>
        <n v="57212.10369202547" u="1"/>
        <n v="154347.02635241119" u="1"/>
        <n v="186419.36732536164" u="1"/>
        <n v="141654.18995620339" u="1"/>
        <n v="144215.49459000691" u="1"/>
        <n v="309129.9151101376" u="1"/>
        <n v="250740.56391801182" u="1"/>
        <n v="1680114.190087284" u="1"/>
        <n v="689553.43782119383" u="1"/>
        <n v="10887.065280000001" u="1"/>
        <n v="53481.24450012033" u="1"/>
        <n v="205064.38384921703" u="1"/>
        <n v="933799.50714495825" u="1"/>
        <n v="3876650.4273263435" u="1"/>
        <n v="227295.28912551139" u="1"/>
        <n v="2483587.6021151873" u="1"/>
        <n v="3323677.77355609" u="1"/>
        <n v="25523.296183985363" u="1"/>
        <n v="212023.89608400001" u="1"/>
        <n v="22028.068389600001" u="1"/>
        <n v="35847.001008000007" u="1"/>
        <n v="45394.163243541996" u="1"/>
        <n v="108069.66809990779" u="1"/>
        <n v="245919.375" u="1"/>
        <n v="150894.24689093741" u="1"/>
        <n v="343104.75616353075" u="1"/>
        <n v="509608.56375000009" u="1"/>
        <n v="37370.690884800002" u="1"/>
        <n v="74992.586856733498" u="1"/>
        <n v="151884.28125" u="1"/>
        <n v="113381.95049999998" u="1"/>
        <n v="164274.51344372606" u="1"/>
        <n v="280788.20327729231" u="1"/>
        <n v="346626.14878624282" u="1"/>
        <n v="8411741.4189078156" u="1"/>
        <n v="42632.245009218968" u="1"/>
        <n v="194201.28" u="1"/>
        <n v="255156.59918375118" u="1"/>
        <n v="1054224.2723732053" u="1"/>
        <n v="233616.2628802399" u="1"/>
        <n v="366891.84196356381" u="1"/>
        <n v="666676.25419197627" u="1"/>
        <n v="3875616.9027890028" u="1"/>
        <n v="20774.759709600006" u="1"/>
        <n v="469315.24143188825" u="1"/>
        <n v="25278.244470760001" u="1"/>
        <n v="66947.112627735769" u="1"/>
        <n v="282969.54761968437" u="1"/>
        <n v="375445.02476197027" u="1"/>
        <n v="1811279.5039151399" u="1"/>
        <n v="4366377.3250759616" u="1"/>
        <n v="61931.124465787158" u="1"/>
        <n v="236502.63" u="1"/>
        <n v="313983.0100388017" u="1"/>
        <n v="1038251.1773372475" u="1"/>
        <n v="1311949.7239954949" u="1"/>
        <n v="38891.511480816669" u="1"/>
        <n v="47871.6561881077" u="1"/>
        <n v="65619.617298527301" u="1"/>
        <n v="350383.39361074963" u="1"/>
        <n v="449443.5685659849" u="1"/>
        <n v="12560.348277643947" u="1"/>
        <n v="47801.85040048221" u="1"/>
        <n v="53120.321233576273" u="1"/>
        <n v="66194.573873541318" u="1"/>
        <n v="121398.02999999998" u="1"/>
        <n v="264406.87660072424" u="1"/>
        <n v="97815.755618477662" u="1"/>
        <n v="566512.19335168367" u="1"/>
        <n v="771224.75759491732" u="1"/>
        <n v="797195.58749999991" u="1"/>
        <n v="857669.24095378548" u="1"/>
        <n v="1980264" u="1"/>
        <n v="171585.65943788606" u="1"/>
        <n v="249918.70506982415" u="1"/>
        <n v="1015527.8691484892" u="1"/>
        <n v="105406.64690349295" u="1"/>
        <n v="922211.4201300001" u="1"/>
        <n v="10653922.754201073" u="1"/>
        <n v="267257.45475000003" u="1"/>
        <n v="356541.63000080228" u="1"/>
        <n v="536837.41378218425" u="1"/>
        <n v="908806.92717788194" u="1"/>
        <n v="85045.582440000013" u="1"/>
        <n v="156803.81045912358" u="1"/>
        <n v="237670.93584000005" u="1"/>
        <n v="393764.19472446153" u="1"/>
        <n v="2249991.9775626771" u="1"/>
        <n v="74114.214049473885" u="1"/>
        <n v="152061.25334400003" u="1"/>
        <n v="162349.96377600002" u="1"/>
        <n v="173570.16714381991" u="1"/>
        <n v="545096.45091729471" u="1"/>
        <n v="647337.6" u="1"/>
        <n v="52102.616864117233" u="1"/>
        <n v="64489.860630572279" u="1"/>
        <n v="155972.81464797002" u="1"/>
        <n v="500615.79585818673" u="1"/>
        <n v="806675.43787681521" u="1"/>
        <n v="110866.92592320085" u="1"/>
        <n v="306316.74588179693" u="1"/>
        <n v="3914843.0178000005" u="1"/>
        <n v="56531.125287000003" u="1"/>
        <n v="123390.08940609456" u="1"/>
        <n v="311169.23159965838" u="1"/>
        <n v="24999.81831289587" u="1"/>
        <n v="644752.68748647149" u="1"/>
        <n v="29902.314161067308" u="1"/>
        <n v="102265.92666491274" u="1"/>
        <n v="108596.63813774435" u="1"/>
        <n v="16064541.611533454" u="1"/>
        <n v="1633820.8312585931" u="1"/>
        <n v="2634964.0316999997" u="1"/>
        <n v="65365.965500147082" u="1"/>
        <n v="344572.01813648967" u="1"/>
        <n v="418041.77167909878" u="1"/>
        <n v="489254.34783443413" u="1"/>
        <n v="526189.60898338025" u="1"/>
        <n v="834610.67871368595" u="1"/>
        <n v="164098.467" u="1"/>
        <n v="219226.72255126716" u="1"/>
        <n v="62698.720158908342" u="1"/>
        <n v="146785.84591918249" u="1"/>
        <n v="252953.91063607752" u="1"/>
        <n v="261620.59092511161" u="1"/>
        <n v="60891.68357999999" u="1"/>
        <n v="344359.79097577475" u="1"/>
        <n v="490577.28243516228" u="1"/>
        <n v="37335.851021584007" u="1"/>
        <n v="46767.066330600013" u="1"/>
        <n v="129338.52777966936" u="1"/>
        <n v="175073.25861692979" u="1"/>
        <n v="196759.95333292798" u="1"/>
        <n v="333004.37728765648" u="1"/>
        <n v="10686.889400990884" u="1"/>
        <n v="193251.72864775045" u="1"/>
        <n v="1046938.3953214935" u="1"/>
        <n v="2434086.9049167135" u="1"/>
        <n v="2490721.5389440963" u="1"/>
        <n v="5035546.2144000009" u="1"/>
        <n v="13993.493950146169" u="1"/>
        <n v="30644.755421848844" u="1"/>
        <n v="28527.481480756323" u="1"/>
        <n v="193315.10789685216" u="1"/>
        <n v="458515.47068004403" u="1"/>
        <n v="317422.17" u="1"/>
        <n v="4601.0366944439438" u="1"/>
        <n v="22209.613171200002" u="1"/>
        <n v="613377.76500000001" u="1"/>
        <n v="5925131.7200554768" u="1"/>
        <n v="23022.104773636973" u="1"/>
        <n v="372274.73684845673" u="1"/>
        <n v="146443.5321623295" u="1"/>
        <n v="170916.58584000004" u="1"/>
        <n v="26603.55567101463" u="1"/>
        <n v="49103.705598443819" u="1"/>
        <n v="78748.667714015974" u="1"/>
        <n v="118133.42086667607" u="1"/>
        <n v="145326.5" u="1"/>
        <n v="741195.64033043175" u="1"/>
        <n v="144689.88766431613" u="1"/>
        <n v="416481.35980471893" u="1"/>
        <n v="741195.64033043187" u="1"/>
        <n v="233971.48803600002" u="1"/>
        <n v="2370770.3247730355" u="1"/>
        <n v="20204.663579100001" u="1"/>
        <n v="881827.12800000014" u="1"/>
        <n v="1021520.408711566" u="1"/>
        <n v="24130.209225410101" u="1"/>
        <n v="182232.38866707668" u="1"/>
        <n v="314986.08774637611" u="1"/>
        <n v="44193.668633042085" u="1"/>
        <n v="166806.20889068654" u="1"/>
        <n v="169611.94684323881" u="1"/>
        <n v="192456.74226637045" u="1"/>
        <n v="528247.32187500002" u="1"/>
        <n v="44042.789700000001" u="1"/>
        <n v="109487.93105249999" u="1"/>
        <n v="325173.11592210812" u="1"/>
        <n v="527054.07251770375" u="1"/>
        <n v="914347.85855090315" u="1"/>
        <n v="33988.496604929285" u="1"/>
        <n v="65809.661685031533" u="1"/>
        <n v="131646.05999999997" u="1"/>
        <n v="161073.53489134525" u="1"/>
        <n v="222601.18010440818" u="1"/>
        <n v="887740.60693290597" u="1"/>
        <n v="26739.785301873002" u="1"/>
        <n v="107350.88" u="1"/>
        <n v="213447.10895673372" u="1"/>
        <n v="276533.83656096965" u="1"/>
        <n v="950942.63734788471" u="1"/>
        <n v="1671696" u="1"/>
        <n v="68062.005190156604" u="1"/>
        <n v="84744.909288000024" u="1"/>
        <n v="301475.71158591582" u="1"/>
        <n v="1881278.9222766226" u="1"/>
        <n v="2841863.1667444897" u="1"/>
        <n v="272957.8408320517" u="1"/>
        <n v="307733.64959142316" u="1"/>
        <n v="334852.0141757534" u="1"/>
        <n v="510760.03345353022" u="1"/>
        <n v="719425.11887999997" u="1"/>
        <n v="2097175.9291720581" u="1"/>
        <n v="8977.0123606436391" u="1"/>
        <n v="37703.451914703284" u="1"/>
        <n v="240014.42204914015" u="1"/>
        <n v="800639.90221156925" u="1"/>
        <n v="47419484.334951513" u="1"/>
        <n v="467588.56395702681" u="1"/>
        <n v="1984779.704408346" u="1"/>
        <n v="15797.289374497468" u="1"/>
        <n v="16297.261344" u="1"/>
        <n v="29949.004800000006" u="1"/>
        <n v="42027.093149964145" u="1"/>
        <n v="47718.955269005455" u="1"/>
        <n v="234525.16106719436" u="1"/>
        <n v="572996.21133284492" u="1"/>
        <n v="609748.03890000004" u="1"/>
        <n v="170539.14802203525" u="1"/>
        <n v="1272352.9935197183" u="1"/>
        <n v="3107571.5719593726" u="1"/>
        <n v="170072.92574999997" u="1"/>
        <n v="241444.97293400051" u="1"/>
        <n v="32163.299532000005" u="1"/>
        <n v="66446.39484471301" u="1"/>
        <n v="159562.17703873478" u="1"/>
        <n v="215737.39795298546" u="1"/>
        <n v="325922.41759814956" u="1"/>
        <n v="37814.400000000001" u="1"/>
        <n v="64340.908313894761" u="1"/>
        <n v="250031.89227675312" u="1"/>
        <n v="337526.07640075946" u="1"/>
        <n v="837911.2013999999" u="1"/>
        <n v="1961355.1192271614" u="1"/>
        <n v="6877.1096292418779" u="1"/>
        <n v="54182.727658247793" u="1"/>
        <n v="519258.3163924184" u="1"/>
        <n v="1879094.6521619658" u="1"/>
        <n v="18949.505953011194" u="1"/>
        <n v="11065.54176" u="1"/>
        <n v="59912.625098937548" u="1"/>
        <n v="71333.085835577163" u="1"/>
        <n v="823621.49999999988" u="1"/>
        <n v="118775.2989463757" u="1"/>
        <n v="149273.46835536283" u="1"/>
        <n v="333129.88799999998" u="1"/>
        <n v="446004.95939999999" u="1"/>
        <n v="2529040.3318509287" u="1"/>
        <n v="229050.62988039863" u="1"/>
        <n v="289244.39733815083" u="1"/>
        <n v="617343.52221312467" u="1"/>
        <n v="53573.829268996662" u="1"/>
        <n v="79269.422550296527" u="1"/>
        <n v="163414.9137503677" u="1"/>
        <n v="181898.65654310034" u="1"/>
        <n v="714280.52322559617" u="1"/>
        <n v="896836.59225518373" u="1"/>
        <n v="23615.223769979853" u="1"/>
        <n v="98500.252801688577" u="1"/>
        <n v="122487.02673844586" u="1"/>
        <n v="247305.42290743353" u="1"/>
        <n v="70184.874033803353" u="1"/>
        <n v="140468.82654070092" u="1"/>
        <n v="1402467.8203900605" u="1"/>
        <n v="9418046.9053191841" u="1"/>
        <n v="87403.692820757176" u="1"/>
        <n v="73812.040557499422" u="1"/>
        <n v="104274.22005" u="1"/>
        <n v="330052.94400000002" u="1"/>
        <n v="607320.56188327121" u="1"/>
        <n v="1574698.0215753021" u="1"/>
        <n v="46222.201083739004" u="1"/>
        <n v="178849.50537843679" u="1"/>
        <n v="863443.99266842334" u="1"/>
        <n v="999772.14220553241" u="1"/>
        <n v="166705.48842776893" u="1"/>
        <n v="257009.58828457727" u="1"/>
        <n v="301800.46057040698" u="1"/>
        <n v="517371.94439724181" u="1"/>
        <n v="529699.21875" u="1"/>
        <n v="19424.818426455131" u="1"/>
        <n v="1657232.0567944485" u="1"/>
        <n v="71873.516814140312" u="1"/>
        <n v="72490.099499999997" u="1"/>
        <n v="102149.17699522983" u="1"/>
        <n v="144272.1658887169" u="1"/>
        <n v="186624.72023054492" u="1"/>
        <n v="280536.71082895243" u="1"/>
        <n v="1555651.9030064729" u="1"/>
        <n v="9067.4380267055931" u="1"/>
        <n v="32629.051326747656" u="1"/>
        <n v="85683.988615679991" u="1"/>
        <n v="131846.12359404666" u="1"/>
        <n v="322245.72082929645" u="1"/>
        <n v="454925.05858800013" u="1"/>
        <n v="2807103.5724557545" u="1"/>
        <n v="39144.280633920003" u="1"/>
        <n v="139428.18577857898" u="1"/>
        <n v="284990.93122500001" u="1"/>
        <n v="298905.56422442041" u="1"/>
        <n v="580865.73887630692" u="1"/>
        <n v="4542316.4279999994" u="1"/>
        <n v="28153.64154621504" u="1"/>
        <n v="42705.764126762755" u="1"/>
        <n v="48887.060886381318" u="1"/>
        <n v="79212.504196693262" u="1"/>
        <n v="119243.36736693495" u="1"/>
        <n v="220577.17499999999" u="1"/>
        <n v="312530.69345650409" u="1"/>
        <n v="356145.4726341347" u="1"/>
        <n v="125502.65406767257" u="1"/>
        <n v="459473.94778153341" u="1"/>
        <n v="589372.40515972266" u="1"/>
        <n v="59601.616786762948" u="1"/>
        <n v="841037.92344000004" u="1"/>
        <n v="71826.751935904031" u="1"/>
        <n v="144597.43883365867" u="1"/>
        <n v="473721.26624602568" u="1"/>
        <n v="571506" u="1"/>
        <n v="3306499.163936012" u="1"/>
        <n v="11037.517413649923" u="1"/>
        <n v="20693.566549656" u="1"/>
        <n v="29149.754236107252" u="1"/>
        <n v="508383.79667739384" u="1"/>
        <n v="9951.966650362674" u="1"/>
        <n v="72850.7262631903" u="1"/>
        <n v="86935.014645013129" u="1"/>
        <n v="132800.80308394067" u="1"/>
        <n v="294749.79300000001" u="1"/>
        <n v="551153.9363762401" u="1"/>
        <n v="831334.51749880868" u="1"/>
        <n v="1031151.3748276969" u="1"/>
        <n v="81012.024376642177" u="1"/>
        <n v="108403.21645824083" u="1"/>
        <n v="279077.29947242164" u="1"/>
        <n v="354662.11389811168" u="1"/>
        <n v="467296.83" u="1"/>
        <n v="72850.726263190329" u="1"/>
        <n v="464539.07446030719" u="1"/>
        <n v="85977.010593917643" u="1"/>
        <n v="248114.96969577277" u="1"/>
        <n v="294189.65204974898" u="1"/>
        <n v="10716.552" u="1"/>
        <n v="21894.602183999999" u="1"/>
        <n v="137221.13412641757" u="1"/>
        <n v="141247.888236" u="1"/>
        <n v="315977.21999999997" u="1"/>
        <n v="1020026.381216642" u="1"/>
        <n v="37917.898200000003" u="1"/>
        <n v="527384.96342856542" u="1"/>
        <n v="2028661.7436756957" u="1"/>
        <n v="84567.953830529426" u="1"/>
        <n v="162149.41105129075" u="1"/>
        <n v="179396.29796809421" u="1"/>
        <n v="355355.13868763292" u="1"/>
        <n v="37132.187491753233" u="1"/>
        <n v="52652.154135771023" u="1"/>
        <n v="63040.63972494621" u="1"/>
        <n v="240882.17795129208" u="1"/>
        <n v="35769.889057832101" u="1"/>
        <n v="57625.822800000002" u="1"/>
        <n v="108609.52688570374" u="1"/>
        <n v="299931.64266165963" u="1"/>
        <n v="674861.24809488992" u="1"/>
        <n v="116070.58473987092" u="1"/>
        <n v="153435.984" u="1"/>
        <n v="249954.46463954629" u="1"/>
        <n v="1900916.8625824947" u="1"/>
        <n v="2129944.2978485571" u="1"/>
        <n v="212537.01392981867" u="1"/>
        <n v="332944.26164999994" u="1"/>
        <n v="566616.7612126125" u="1"/>
        <n v="5070606.7912498368" u="1"/>
        <n v="175398.67409206129" u="1"/>
        <n v="108824.42862357819" u="1"/>
        <n v="127222.54172771267" u="1"/>
        <n v="197508.42420525759" u="1"/>
        <n v="572447.39483462134" u="1"/>
        <n v="1197008.5691417959" u="1"/>
        <n v="61963.964113889422" u="1"/>
        <n v="73778.561207403443" u="1"/>
        <n v="84430.42452" u="1"/>
        <n v="175684.54377660752" u="1"/>
        <n v="417123.08763184474" u="1"/>
        <n v="17192.774073104698" u="1"/>
        <n v="28693.068768000001" u="1"/>
        <n v="33926.8535424" u="1"/>
        <n v="320908.22734416975" u="1"/>
        <n v="404070.91117563943" u="1"/>
        <n v="492846.97243981931" u="1"/>
        <n v="506095.22303315136" u="1"/>
        <n v="1758526.0440803452" u="1"/>
        <n v="48047.157095049304" u="1"/>
        <n v="124176.78" u="1"/>
        <n v="144545.94524180415" u="1"/>
        <n v="431246.23470747151" u="1"/>
        <n v="380605.05359798874" u="1"/>
        <n v="415855.44" u="1"/>
        <n v="528323.3280000001" u="1"/>
        <n v="746888.69045323657" u="1"/>
        <n v="20589.634682442211" u="1"/>
        <n v="106634.38500000001" u="1"/>
        <n v="311708.12400000001" u="1"/>
        <n v="23767.725546991664" u="1"/>
        <n v="24184.394492284038" u="1"/>
        <n v="61522.990228705588" u="1"/>
        <n v="128776.53663923011" u="1"/>
        <n v="153907.13695034629" u="1"/>
        <n v="225580.16579130164" u="1"/>
        <n v="56900606.248686396" u="1"/>
        <n v="12565.532247209294" u="1"/>
        <n v="13290.466799932905" u="1"/>
        <n v="167355.97955950163" u="1"/>
        <n v="203995.31932946329" u="1"/>
        <n v="549124.13500341785" u="1"/>
        <n v="626989.51321203657" u="1"/>
        <n v="1015153.2520856176" u="1"/>
        <n v="49062.234655771586" u="1"/>
        <n v="199466.73471320129" u="1"/>
        <n v="312701.58593723323" u="1"/>
        <n v="545264.9601774558" u="1"/>
        <n v="28829.115938667146" u="1"/>
        <n v="133667.93232000002" u="1"/>
        <n v="664478.76898245816" u="1"/>
        <n v="3206302.2274274221" u="1"/>
        <n v="220276.00955768026" u="1"/>
        <n v="687829.55422664073" u="1"/>
        <n v="1056254.5788773766" u="1"/>
        <n v="522142.47401115496" u="1"/>
        <n v="74279.506250167135" u="1"/>
        <n v="157539.69554414909" u="1"/>
        <n v="682048.93751018809" u="1"/>
        <n v="2329435.0539879845" u="1"/>
        <n v="183437.06671289323" u="1"/>
        <n v="321089.96078276483" u="1"/>
        <n v="26524.747069299079" u="1"/>
        <n v="110593.9315280266" u="1"/>
        <n v="3410108.3674477176" u="1"/>
        <n v="9883490.3735493459" u="1"/>
        <n v="45244.142297643943" u="1"/>
        <n v="138691.31772911883" u="1"/>
        <n v="263354.61306877434" u="1"/>
        <n v="301438.80000000005" u="1"/>
        <n v="16237.782288" u="1"/>
        <n v="741098.79050136555" u="1"/>
        <n v="22414.449679980873" u="1"/>
        <n v="492978.22828854714" u="1"/>
        <n v="32861.352012877651" u="1"/>
        <n v="156581.19917535229" u="1"/>
        <n v="582579.77329971944" u="1"/>
        <n v="221114.58685748561" u="1"/>
        <n v="86175.08325851991" u="1"/>
        <n v="88533.868722627114" u="1"/>
        <n v="727748.400899995" u="1"/>
        <n v="858686.04033590655" u="1"/>
        <n v="1261032.7053296717" u="1"/>
        <n v="1281380.2744711991" u="1"/>
        <n v="105904.175" u="1"/>
        <n v="107457.68570857513" u="1"/>
        <n v="517604.35938658129" u="1"/>
        <n v="1912069.060199508" u="1"/>
        <n v="7819.6959271094611" u="1"/>
        <n v="21428.16" u="1"/>
        <n v="31551.458679364241" u="1"/>
        <n v="409630.11351255514" u="1"/>
        <n v="1855474.5552009339" u="1"/>
        <n v="74606.336077667875" u="1"/>
        <n v="79507.553358729579" u="1"/>
        <n v="445035.03947268648" u="1"/>
        <n v="16480.072688445442" u="1"/>
        <n v="25040.624316612109" u="1"/>
        <n v="118361.72330946034" u="1"/>
        <n v="176607.82167665844" u="1"/>
        <n v="865886.81571623392" u="1"/>
        <n v="3086037.7097601453" u="1"/>
        <n v="64962.816566589172" u="1"/>
        <n v="1281852.0507171669" u="1"/>
        <n v="1876912.5837178088" u="1"/>
        <n v="8143091.0080000004" u="1"/>
        <n v="16556.668128000001" u="1"/>
        <n v="157381.66833743168" u="1"/>
        <n v="340456.69123422308" u="1"/>
        <n v="762602.93083504913" u="1"/>
        <n v="1996070.7037116368" u="1"/>
        <n v="71902.562050161767" u="1"/>
        <n v="191828.10403869065" u="1"/>
        <n v="206298.04142408387" u="1"/>
        <n v="259829.7128630846" u="1"/>
        <n v="479431.11239058484" u="1"/>
        <n v="592659.51471530052" u="1"/>
        <n v="717543.18508809572" u="1"/>
        <n v="1739360.1680000001" u="1"/>
        <n v="136426.69314614029" u="1"/>
        <n v="347762.62796259124" u="1"/>
        <n v="580765.52049485827" u="1"/>
        <n v="1631736.1829941771" u="1"/>
        <n v="37649.661656638316" u="1"/>
        <n v="67341.847716000004" u="1"/>
        <n v="95780.841440957374" u="1"/>
        <n v="132979.44878789387" u="1"/>
        <n v="457423.5951753523" u="1"/>
        <n v="1714053.1042221847" u="1"/>
        <n v="844513.82256614871" u="1"/>
        <n v="6472406.7536338279" u="1"/>
        <n v="138672.57048320677" u="1"/>
        <n v="291443.89605100296" u="1"/>
        <n v="309413.8125" u="1"/>
        <n v="320124.64389018097" u="1"/>
        <n v="321534.72000000003" u="1"/>
        <n v="463238.92637377704" u="1"/>
        <n v="12980.58289171101" u="1"/>
        <n v="257138.28743010908" u="1"/>
        <n v="585013.50650531636" u="1"/>
        <n v="68930.86048073342" u="1"/>
        <n v="150475.71841936416" u="1"/>
        <n v="556498.60339937056" u="1"/>
        <n v="1374053.9502689999" u="1"/>
        <n v="146400.03638351648" u="1"/>
        <n v="1945710.3998307665" u="1"/>
        <n v="2296395.3922916651" u="1"/>
        <n v="99336.02797793824" u="1"/>
        <n v="134557.31503939762" u="1"/>
        <n v="148941.02138962084" u="1"/>
        <n v="156043.76287499999" u="1"/>
        <n v="294196.36442149518" u="1"/>
        <n v="47353.185234481542" u="1"/>
        <n v="210128.96403367742" u="1"/>
        <n v="2452402.7520438666" u="1"/>
        <n v="36129.551840081287" u="1"/>
        <n v="179954.48380873821" u="1"/>
        <n v="1088051.972159744" u="1"/>
        <n v="7082869.700095919" u="1"/>
        <n v="47795.67" u="1"/>
        <n v="216419.11200000002" u="1"/>
        <n v="508099.83588000003" u="1"/>
        <n v="1205977.5" u="1"/>
        <n v="55102.138470709739" u="1"/>
        <n v="104276.9755812365" u="1"/>
        <n v="198094.98702029223" u="1"/>
        <n v="265531.50000000006" u="1"/>
        <n v="283406.46294451068" u="1"/>
        <n v="330128.53820317442" u="1"/>
        <n v="145970.09300310467" u="1"/>
        <n v="290208.07538895041" u="1"/>
        <n v="48443.686200000004" u="1"/>
        <n v="90861.510149049573" u="1"/>
        <n v="107471.70719999999" u="1"/>
        <n v="252426.94652780608" u="1"/>
        <n v="265141.40352736361" u="1"/>
        <n v="5977519.6805521436" u="1"/>
        <n v="102541.8267185467" u="1"/>
        <n v="267843.71250000002" u="1"/>
        <n v="539764.4120845478" u="1"/>
        <n v="2921001.5742316674" u="1"/>
        <n v="9046.44" u="1"/>
        <n v="336128" u="1"/>
        <n v="178373.11306755675" u="1"/>
        <n v="200856.93029327111" u="1"/>
        <n v="102128.15332962028" u="1"/>
        <n v="184778.20987200143" u="1"/>
        <n v="315354.81151488243" u="1"/>
        <n v="1354304.3518151017" u="1"/>
        <n v="8898646.3279999997" u="1"/>
        <n v="26160.489577385015" u="1"/>
        <n v="465260.11785344593" u="1"/>
        <n v="69525.617850156443" u="1"/>
        <n v="218405.64868403395" u="1"/>
        <n v="21488.952059376465" u="1"/>
        <n v="572176.56306222454" u="1"/>
        <n v="611547.29999999993" u="1"/>
        <n v="13266.914052329852" u="1"/>
        <n v="55834.419258125636" u="1"/>
        <n v="77561.386795961051" u="1"/>
        <n v="217855.55958380684" u="1"/>
        <n v="277470.54058830487" u="1"/>
        <n v="312452.61640209192" u="1"/>
        <n v="440866.55519146816" u="1"/>
        <n v="566945.20918646082" u="1"/>
        <n v="2364139.0831695879" u="1"/>
        <n v="11765.305072357896" u="1"/>
        <n v="50743.795223953188" u="1"/>
        <n v="136677.89665969001" u="1"/>
        <n v="180670.88450438477" u="1"/>
        <n v="415282.86741366074" u="1"/>
        <n v="10803.511612268938" u="1"/>
        <n v="34521.727134049397" u="1"/>
        <n v="901611.55391623243" u="1"/>
        <n v="1448170.502345717" u="1"/>
        <n v="6306886.253950377" u="1"/>
        <n v="37723.737269070225" u="1"/>
        <n v="63497.709084086673" u="1"/>
        <n v="64276.532741811301" u="1"/>
        <n v="81608.417533516957" u="1"/>
        <n v="372937.30404521129" u="1"/>
        <n v="21035.647208496201" u="1"/>
        <n v="54254.413396351891" u="1"/>
        <n v="102703.7973085644" u="1"/>
        <n v="132691.34335306272" u="1"/>
        <n v="441846.0167760207" u="1"/>
        <n v="22588.429500000002" u="1"/>
        <n v="156689.67067864651" u="1"/>
        <n v="195268.32000000004" u="1"/>
        <n v="788884.80135676835" u="1"/>
        <n v="838223.59483695542" u="1"/>
        <n v="1058253.7646385832" u="1"/>
        <n v="61718.1594531718" u="1"/>
        <n v="418744.11956547329" u="1"/>
        <n v="30364.327329278385" u="1"/>
        <n v="108011.31984160507" u="1"/>
        <n v="248409.74540384678" u="1"/>
        <n v="216084.13462587213" u="1"/>
        <n v="47889.59175" u="1"/>
        <n v="78694.680101677077" u="1"/>
        <n v="99335.000706787629" u="1"/>
        <n v="779902.91560666868" u="1"/>
        <n v="1664477.8037909621" u="1"/>
        <n v="198557.15019766029" u="1"/>
        <n v="251939.77863540757" u="1"/>
        <n v="753513.63749999984" u="1"/>
        <n v="119797.98768026955" u="1"/>
        <n v="160353.69773520931" u="1"/>
        <n v="208850.40155410749" u="1"/>
        <n v="366445.5641674911" u="1"/>
        <n v="1321586.4773886218" u="1"/>
        <n v="10304.392621143063" u="1"/>
        <n v="39769.637860766074" u="1"/>
        <n v="168650.30000000002" u="1"/>
        <n v="301957.80961604416" u="1"/>
        <n v="1823567.7375855406" u="1"/>
        <n v="116369755.30227998" u="1"/>
        <n v="531463.72499999998" u="1"/>
        <n v="770228.96014339977" u="1"/>
        <n v="266371.71896477276" u="1"/>
        <n v="20103.869234073754" u="1"/>
        <n v="184933.68671104111" u="1"/>
        <n v="187582.9891006304" u="1"/>
        <n v="49777316.243200004" u="1"/>
        <n v="29699.835632289596" u="1"/>
        <n v="35155.994502509813" u="1"/>
        <n v="58102.256168823827" u="1"/>
        <n v="98687.552382710113" u="1"/>
        <n v="146689.82258646897" u="1"/>
        <n v="8788698.5048695002" u="1"/>
        <n v="15070.174171510769" u="1"/>
        <n v="16968.991505170197" u="1"/>
        <n v="191938.24415043186" u="1"/>
        <n v="199930.30006950002" u="1"/>
        <n v="286250.71888735349" u="1"/>
        <n v="984391.03473648906" u="1"/>
        <n v="330590.90310261858" u="1"/>
        <n v="2410578.7160000005" u="1"/>
        <n v="80844.914443041605" u="1"/>
        <n v="158772.44460973225" u="1"/>
        <n v="1207090.0428238462" u="1"/>
        <n v="114055.5017639078" u="1"/>
        <n v="119114.616222768" u="1"/>
        <n v="229000.5751098828" u="1"/>
        <n v="480974.54096710391" u="1"/>
        <n v="117252.68752231362" u="1"/>
        <n v="281278.59614621341" u="1"/>
        <n v="267042.32099999994" u="1"/>
        <n v="358578.79200000002" u="1"/>
        <n v="64597.476383639492" u="1"/>
        <n v="28708.091293135931" u="1"/>
        <n v="183346.45316857737" u="1"/>
        <n v="453419.21464463382" u="1"/>
        <n v="495672.19487919897" u="1"/>
        <n v="3860273.9032857013" u="1"/>
        <n v="202521.6020030439" u="1"/>
        <n v="402701.16664620733" u="1"/>
        <n v="34684.369851429517" u="1"/>
        <n v="225477.48989121738" u="1"/>
        <n v="257665.70324766304" u="1"/>
        <n v="567123.40326882654" u="1"/>
        <n v="6209857.2498684656" u="1"/>
        <n v="45310.498812601945" u="1"/>
        <n v="151393.7269636422" u="1"/>
        <n v="339992.19888243882" u="1"/>
        <n v="25497.754192116605" u="1"/>
        <n v="234581.42589418514" u="1"/>
        <n v="403714.58400000003" u="1"/>
        <n v="987438.03837556625" u="1"/>
        <n v="50892.487155174167" u="1"/>
        <n v="79960.185678847003" u="1"/>
        <n v="121567.75689501094" u="1"/>
        <n v="175522.69369347949" u="1"/>
        <n v="11384.557305644657" u="1"/>
        <n v="64051.192176925542" u="1"/>
        <n v="200678.11898473499" u="1"/>
        <n v="2044172.0120045994" u="1"/>
        <n v="139221.01742888469" u="1"/>
        <n v="177639.93" u="1"/>
        <n v="571781.06686435966" u="1"/>
        <n v="1568382.8094957364" u="1"/>
        <n v="11699.495410672273" u="1"/>
        <n v="76062.42037453856" u="1"/>
        <n v="176113.17219980102" u="1"/>
        <n v="176276.61791310954" u="1"/>
        <n v="218967.02320301411" u="1"/>
        <n v="692990.97777" u="1"/>
        <n v="1281538.4054550759" u="1"/>
        <n v="2649811.6906871819" u="1"/>
        <n v="2983168.7028000006" u="1"/>
        <n v="19883.292401737926" u="1"/>
        <n v="85427.208453998057" u="1"/>
        <n v="154066.49803226002" u="1"/>
        <n v="175033.55469600001" u="1"/>
        <n v="312367.8327232406" u="1"/>
        <n v="603241.70474363305" u="1"/>
        <n v="1797090.3455783182" u="1"/>
        <n v="2443956.3769157529" u="1"/>
        <n v="52867.200135953644" u="1"/>
        <n v="461735.55932841985" u="1"/>
        <n v="24628.443204530216" u="1"/>
        <n v="87744.140557737104" u="1"/>
        <n v="385820.47438055614" u="1"/>
        <n v="434009.12154535856" u="1"/>
        <n v="498521.60051897872" u="1"/>
        <n v="554584.65953695308" u="1"/>
        <n v="1694777.9873205712" u="1"/>
        <n v="1851622.6258560875" u="1"/>
        <n v="72846.96145993784" u="1"/>
        <n v="187184.35575042118" u="1"/>
        <n v="1067644.1031690689" u="1"/>
        <n v="32127.066000408711" u="1"/>
        <n v="34217.986125820491" u="1"/>
        <n v="167084.77500000002" u="1"/>
        <n v="251994.48531558822" u="1"/>
        <n v="310719.15920783748" u="1"/>
        <n v="63476.10102961689" u="1"/>
        <n v="117318.85917654718" u="1"/>
        <n v="276956.44473276607" u="1"/>
        <n v="77819.924751947576" u="1"/>
        <n v="190593.16465639678" u="1"/>
        <n v="536156.47800000012" u="1"/>
        <n v="29279.570803495171" u="1"/>
        <n v="30613.126634999997" u="1"/>
        <n v="83886.322391855414" u="1"/>
        <n v="149850.59925371091" u="1"/>
        <n v="240744.19493593508" u="1"/>
        <n v="248906.64806590026" u="1"/>
        <n v="316885.92957450007" u="1"/>
        <n v="1062854.203066217" u="1"/>
        <n v="117748.09765598216" u="1"/>
        <n v="324500.73552000005" u="1"/>
        <n v="92938.518220209095" u="1"/>
        <n v="96076.788265388313" u="1"/>
        <n v="129027.33706872158" u="1"/>
        <n v="1114344.0594000001" u="1"/>
        <n v="19545.469472582183" u="1"/>
        <n v="47660.179496338133" u="1"/>
        <n v="222112.23078895756" u="1"/>
        <n v="1033891.6364118925" u="1"/>
        <n v="1634281.1939620324" u="1"/>
        <n v="383678.62532999995" u="1"/>
        <n v="447390.58167813043" u="1"/>
        <n v="520663.96762021934" u="1"/>
        <n v="580118.33880000003" u="1"/>
        <n v="27665.835101337565" u="1"/>
        <n v="56878.350317038094" u="1"/>
        <n v="108697.98672386236" u="1"/>
        <n v="168103.05085231166" u="1"/>
        <n v="24975.255614399997" u="1"/>
        <n v="41626.835119964489" u="1"/>
        <n v="67670.230173363452" u="1"/>
        <n v="136557.60548313765" u="1"/>
        <n v="18664.356114343453" u="1"/>
        <n v="56868.029981352644" u="1"/>
        <n v="67416.907767299999" u="1"/>
        <n v="79908.692086992218" u="1"/>
        <n v="121486.77870641547" u="1"/>
        <n v="127488.77096058306" u="1"/>
        <n v="146413.77073873181" u="1"/>
        <n v="176461.61364" u="1"/>
        <n v="664579.56915797922" u="1"/>
        <n v="127488.77096058308" u="1"/>
        <n v="627965.35620000004" u="1"/>
        <n v="45352.780199999994" u="1"/>
        <n v="45637.328640102693" u="1"/>
        <n v="138652.80000000002" u="1"/>
        <n v="451388.14496123308" u="1"/>
        <n v="985280.35320000013" u="1"/>
        <n v="213567.02086750456" u="1"/>
        <n v="1508227.6888129176" u="1"/>
        <n v="54896.225987807979" u="1"/>
        <n v="154303.29431701385" u="1"/>
        <n v="217432.98720000003" u="1"/>
        <n v="27062.97048" u="1"/>
        <n v="849014.75643941027" u="1"/>
        <n v="1579124.3388313318" u="1"/>
        <n v="168366.88083371217" u="1"/>
        <n v="387102.34114372823" u="1"/>
        <n v="487042.38464842545" u="1"/>
        <n v="103319.93973030387" u="1"/>
        <n v="139701.70275261934" u="1"/>
        <n v="202206.75700046882" u="1"/>
        <n v="423207.51826952677" u="1"/>
        <n v="563116.73122213711" u="1"/>
        <n v="343986.64274909039" u="1"/>
        <n v="1408716.7312333283" u="1"/>
        <n v="125410.30234390906" u="1"/>
        <n v="12918.862124005749" u="1"/>
        <n v="29498.637823199999" u="1"/>
        <n v="73513.636487337222" u="1"/>
        <n v="238764.04489053701" u="1"/>
        <n v="612693.68160000013" u="1"/>
        <n v="26266.933218727587" u="1"/>
        <n v="416162.03705723525" u="1"/>
        <n v="866534.4232023228" u="1"/>
        <n v="298343.15451934008" u="1"/>
        <n v="22260.118010440816" u="1"/>
        <n v="158133.97439401897" u="1"/>
        <n v="175381.37804101373" u="1"/>
        <n v="234723.23975052816" u="1"/>
        <n v="400733.87329081708" u="1"/>
        <n v="888993.58051536919" u="1"/>
        <n v="16043.410150342734" u="1"/>
        <n v="218199.349368" u="1"/>
        <n v="156292.89251249499" u="1"/>
        <n v="286227.5" u="1"/>
        <n v="295128.39536896767" u="1"/>
        <n v="53688.777789704167" u="1"/>
        <n v="27675.580048912969" u="1"/>
        <n v="33584.233947315806" u="1"/>
        <n v="380762.78894689051" u="1"/>
        <n v="773227.728" u="1"/>
        <n v="1509764.5650227664" u="1"/>
        <n v="102920.30891445428" u="1"/>
        <n v="14284.881281564398" u="1"/>
        <n v="74564.398760214419" u="1"/>
        <n v="164807.6544925583" u="1"/>
        <n v="407689.36770918022" u="1"/>
        <n v="373464" u="1"/>
        <n v="92882.402242550699" u="1"/>
        <n v="959811.84000000008" u="1"/>
        <n v="7219.0591199999999" u="1"/>
        <n v="15234.264247108054" u="1"/>
        <n v="32134.105435116864" u="1"/>
        <n v="68692.01862599999" u="1"/>
        <n v="214171.17384159478" u="1"/>
        <n v="317767.72773821501" u="1"/>
        <n v="397439.05500000005" u="1"/>
        <n v="1532142.2970029432" u="1"/>
        <n v="113829.25978623488" u="1"/>
        <n v="117617.80800000002" u="1"/>
        <n v="155466.556783554" u="1"/>
        <n v="255479.54871275232" u="1"/>
        <n v="1698079.6020999884" u="1"/>
        <n v="5835356.9970243312" u="1"/>
        <n v="108744.71807430001" u="1"/>
        <n v="151040.04552000001" u="1"/>
        <n v="237397.30197553415" u="1"/>
        <n v="880896.79602865479" u="1"/>
        <n v="72100.640733495558" u="1"/>
        <n v="262382.913" u="1"/>
        <n v="1441111.5566607427" u="1"/>
        <n v="37380.727975499998" u="1"/>
        <n v="133278.1427652259" u="1"/>
        <n v="225280.75281249059" u="1"/>
        <n v="238876.76636935063" u="1"/>
        <n v="352164.44481106021" u="1"/>
        <n v="658589.68269386131" u="1"/>
        <n v="3827867.2301428006" u="1"/>
        <n v="39578.174999999996" u="1"/>
        <n v="214155.60687551464" u="1"/>
        <n v="378613.32158993225" u="1"/>
        <n v="2541581.0277113463" u="1"/>
        <n v="116438.69992145439" u="1"/>
        <n v="208105.88075037804" u="1"/>
        <n v="100829.80283474935" u="1"/>
        <n v="779728.95000000007" u="1"/>
        <n v="55448.826087902533" u="1"/>
        <n v="67995.893675090672" u="1"/>
        <n v="208995.66036830388" u="1"/>
        <n v="446239.76103320095" u="1"/>
        <n v="858208.69763035688" u="1"/>
        <n v="1361220.7247411036" u="1"/>
        <n v="47129.314893379109" u="1"/>
        <n v="716721.90997726773" u="1"/>
        <n v="1507999.75872" u="1"/>
        <n v="305799.96265025216" u="1"/>
        <n v="1015923.6140530398" u="1"/>
        <n v="104934.31353157714" u="1"/>
        <n v="43260.384440097339" u="1"/>
        <n v="79151.848807553295" u="1"/>
        <n v="198140.58292232078" u="1"/>
        <n v="683569.53618487145" u="1"/>
        <n v="127610.37608711321" u="1"/>
        <n v="4566983.8500000006" u="1"/>
        <n v="30968.776811389125" u="1"/>
        <n v="43538.668991999999" u="1"/>
        <n v="89027.512329921068" u="1"/>
        <n v="135612.24768" u="1"/>
        <n v="304446.12851755973" u="1"/>
        <n v="511046.64386287658" u="1"/>
        <n v="2058447.9081609258" u="1"/>
        <n v="126441.51167689213" u="1"/>
        <n v="166661.52966330358" u="1"/>
        <n v="371259.60198693955" u="1"/>
        <n v="487071.42078856955" u="1"/>
        <n v="2598974.5418166001" u="1"/>
        <n v="11521.207477989787" u="1"/>
        <n v="24452.126983505423" u="1"/>
        <n v="315869.4736895996" u="1"/>
        <n v="338694.54138250579" u="1"/>
        <n v="447746.95974184072" u="1"/>
        <n v="691336.63871999993" u="1"/>
        <n v="116351.4185902618" u="1"/>
        <n v="267443.15224829532" u="1"/>
        <n v="354233.76144112018" u="1"/>
        <n v="403328.11275406863" u="1"/>
        <n v="4957432.5899316017" u="1"/>
        <n v="41895.299919962854" u="1"/>
        <n v="161237.98314442008" u="1"/>
        <n v="127590.65285254775" u="1"/>
        <n v="155446.78780800002" u="1"/>
        <n v="9829.0301055860618" u="1"/>
        <n v="83748.657706938422" u="1"/>
        <n v="211368.93418385432" u="1"/>
        <n v="840057.0950436421" u="1"/>
        <n v="236438.97112185403" u="1"/>
        <n v="315011.3565511179" u="1"/>
        <n v="480392.25609307224" u="1"/>
        <n v="8894.4665873500107" u="1"/>
        <n v="75810.937441884875" u="1"/>
        <n v="206366.77614066028" u="1"/>
        <n v="396505.76505357015" u="1"/>
        <n v="839422.24598040723" u="1"/>
        <n v="1294868.6499076756" u="1"/>
        <n v="63374.188083279245" u="1"/>
        <n v="76849.541948159895" u="1"/>
        <n v="319933.40821362496" u="1"/>
        <n v="546697.16600123013" u="1"/>
        <n v="74714.832449599911" u="1"/>
        <n v="113647.6445627557" u="1"/>
        <n v="183024.70340041185" u="1"/>
        <n v="141482.88" u="1"/>
        <n v="251598.86011016511" u="1"/>
        <n v="291652.04249999998" u="1"/>
        <n v="415932.11525890214" u="1"/>
        <n v="891230.18984999997" u="1"/>
        <n v="10214.229160690633" u="1"/>
        <n v="41635.339199999995" u="1"/>
        <n v="207934.78401070571" u="1"/>
        <n v="265174.38768827438" u="1"/>
        <n v="412740.45037145755" u="1"/>
        <n v="915482.50089955912" u="1"/>
        <n v="38711.25703123126" u="1"/>
        <n v="668290.83750000002" u="1"/>
        <n v="3258394.3408406647" u="1"/>
        <n v="176513.79122984939" u="1"/>
        <n v="245308.80000000002" u="1"/>
        <n v="278160.13530686352" u="1"/>
        <n v="494501.90069464355" u="1"/>
        <n v="16733.61226826768" u="1"/>
        <n v="32036.865735969848" u="1"/>
        <n v="37732.215764932196" u="1"/>
        <n v="41021.355683197173" u="1"/>
        <n v="68830.361671654886" u="1"/>
        <n v="122992.15156733102" u="1"/>
        <n v="666236.07934012346" u="1"/>
        <n v="155328.80778405251" u="1"/>
        <n v="710211.11909326457" u="1"/>
        <n v="2607938.39488" u="1"/>
        <n v="114316.16011900723" u="1"/>
        <n v="10545.525572400002" u="1"/>
        <n v="113121.49806015035" u="1"/>
        <n v="261156.59393542167" u="1"/>
        <n v="1414803.2287570026" u="1"/>
        <n v="42795.588567563485" u="1"/>
        <n v="49199.333255588564" u="1"/>
        <n v="684138.17934000003" u="1"/>
        <n v="281095.93550250749" u="1"/>
        <n v="646102.90119375009" u="1"/>
        <n v="53698.64108245894" u="1"/>
        <n v="85520.058020212367" u="1"/>
        <n v="86611.41900179295" u="1"/>
        <n v="213825.93865881441" u="1"/>
        <n v="100205.04718032542" u="1"/>
        <n v="118170.00000000001" u="1"/>
        <n v="175191.69680537478" u="1"/>
        <n v="26560.160616788133" u="1"/>
        <n v="90122.582138265265" u="1"/>
        <n v="96855.722261817922" u="1"/>
        <n v="97503.166800000006" u="1"/>
        <n v="103468.65750000002" u="1"/>
        <n v="140651.34006411853" u="1"/>
        <n v="502895.31239907531" u="1"/>
        <n v="509622.75" u="1"/>
        <n v="800134.98461089958" u="1"/>
        <n v="1960758.3996000001" u="1"/>
        <n v="3144577.7005758588" u="1"/>
        <n v="18402.772658381327" u="1"/>
        <n v="389131.76336806297" u="1"/>
        <n v="498939.74754015548" u="1"/>
        <n v="826750.79424285889" u="1"/>
        <n v="2270081.6397815431" u="1"/>
        <n v="36498.758092029711" u="1"/>
        <n v="52970.993811852517" u="1"/>
        <n v="55145.105440124076" u="1"/>
        <n v="68877.526007992987" u="1"/>
        <n v="114494.5122849255" u="1"/>
        <n v="188607.81919122598" u="1"/>
        <n v="192080.85019163141" u="1"/>
        <n v="428834.62047689274" u="1"/>
        <n v="69310.758084750007" u="1"/>
        <n v="132485.04798612511" u="1"/>
        <n v="372876.75611129688" u="1"/>
        <n v="685243.72883481137" u="1"/>
        <n v="728929.55645365384" u="1"/>
        <n v="877659.19312499999" u="1"/>
        <n v="82416.983449107269" u="1"/>
        <n v="131512.68" u="1"/>
        <n v="406906.43654980435" u="1"/>
        <n v="5796382.7347323326" u="1"/>
        <n v="39236.600911164285" u="1"/>
        <n v="178270.81500040114" u="1"/>
        <n v="236142.33032281828" u="1"/>
        <n v="2705179.0669409717" u="1"/>
        <n v="110070.95824990609" u="1"/>
        <n v="270483.46617486974" u="1"/>
        <n v="627934.59829795128" u="1"/>
        <n v="894449.0544290957" u="1"/>
        <n v="2367340.3908540932" u="1"/>
        <n v="34094.375290450116" u="1"/>
        <n v="258783.16356679649" u="1"/>
        <n v="272548.22545864736" u="1"/>
        <n v="587586.2656322713" u="1"/>
        <n v="118839.28685293387" u="1"/>
        <n v="193769.71740067005" u="1"/>
        <n v="205769.08821421303" u="1"/>
        <n v="642681.04288529814" u="1"/>
        <n v="909511.28764093528" u="1"/>
        <n v="1767729.9991525745" u="1"/>
        <n v="45355.769164415062" u="1"/>
        <n v="47666.644750857253" u="1"/>
        <n v="172299.56458911349" u="1"/>
        <n v="531130.27500000002" u="1"/>
        <n v="87471.546560196803" u="1"/>
        <n v="36093.487600840621" u="1"/>
        <n v="102283.12587135035" u="1"/>
        <n v="142091.60064987876" u="1"/>
        <n v="641393.35565001098" u="1"/>
        <n v="37490.798870978302" u="1"/>
        <n v="80024.548608998346" u="1"/>
        <n v="87471.546560196832" u="1"/>
        <n v="51031.277742803752" u="1"/>
        <n v="230563.58740051877" u="1"/>
        <n v="419702.40000000008" u="1"/>
        <n v="1141530.1949098853" u="1"/>
        <n v="9369.0725119714534" u="1"/>
        <n v="71933.768337134534" u="1"/>
        <n v="166849.34907764025" u="1"/>
        <n v="76093.907175879256" u="1"/>
        <n v="172741.656518412" u="1"/>
        <n v="248978.68890751209" u="1"/>
        <n v="717451.7107267729" u="1"/>
        <n v="221865.79699830984" u="1"/>
        <n v="1191740.3982776816" u="1"/>
        <n v="65398.545168854653" u="1"/>
        <n v="245288.64121758114" u="1"/>
        <n v="287001.5404450908" u="1"/>
        <n v="389745.96864970424" u="1"/>
        <n v="412671.1754880001" u="1"/>
        <n v="636108.33780593961" u="1"/>
        <n v="96625.864323875227" u="1"/>
        <n v="101193.44734814436" u="1"/>
        <n v="271993.75910595106" u="1"/>
        <n v="2507218.3491597152" u="1"/>
        <n v="97545.651839999991" u="1"/>
        <n v="119639.52473360252" u="1"/>
        <n v="144611.38785524215" u="1"/>
        <n v="193924.13315907223" u="1"/>
        <n v="69268.405798431151" u="1"/>
        <n v="70643.128670663355" u="1"/>
        <n v="117524.45250000001" u="1"/>
        <n v="70643.128670663369" u="1"/>
        <n v="88683.272496000005" u="1"/>
        <n v="101120.45058962132" u="1"/>
        <n v="136624.77182947408" u="1"/>
        <n v="146514.56795530301" u="1"/>
        <n v="196546.87533072795" u="1"/>
        <n v="143092.24572487792" u="1"/>
        <n v="154985.42592000004" u="1"/>
        <n v="401439.46488979203" u="1"/>
        <n v="1871740.8546231824" u="1"/>
        <n v="61025.511456" u="1"/>
        <n v="919103.77102803078" u="1"/>
        <n v="2221507.4554448132" u="1"/>
        <n v="31119.351509570792" u="1"/>
        <n v="68058.059835835375" u="1"/>
        <n v="370597.82016521599" u="1"/>
        <n v="512697.88777434931" u="1"/>
        <n v="650163.14968158677" u="1"/>
        <n v="46575.479968581763" u="1"/>
        <n v="156898.07201468261" u="1"/>
        <n v="220037.12022906655" u="1"/>
        <n v="289608.55974278977" u="1"/>
        <n v="792502.30784584873" u="1"/>
        <n v="242144.18818688791" u="1"/>
        <n v="19009.992292122493" u="1"/>
        <n v="22081.599539999999" u="1"/>
        <n v="29860.270483679997" u="1"/>
        <n v="192375.93848793718" u="1"/>
        <n v="397607.30262956134" u="1"/>
        <n v="2112545.6351999999" u="1"/>
        <n v="67870.385870339829" u="1"/>
        <n v="68445.342445353846" u="1"/>
        <n v="148083.64684359531" u="1"/>
        <n v="197158.04032789488" u="1"/>
        <n v="62281.434600000008" u="1"/>
        <n v="758558.82438365102" u="1"/>
        <n v="57058.307714358714" u="1"/>
        <n v="143596.26395761702" u="1"/>
        <n v="276291.11249999999" u="1"/>
        <n v="83474.790509905579" u="1"/>
        <n v="144092.89079987706" u="1"/>
        <n v="236148.33537210699" u="1"/>
        <n v="265065.03726653208" u="1"/>
        <n v="631357.66980000015" u="1"/>
        <n v="1896518.984391104" u="1"/>
        <n v="48453.888812322075" u="1"/>
        <n v="48666.508675003133" u="1"/>
        <n v="139002.864" u="1"/>
        <n v="931881.60000000009" u="1"/>
        <n v="993194.53179510799" u="1"/>
        <n v="15069.014033653293" u="1"/>
        <n v="81707.456875183678" u="1"/>
        <n v="196620.6734886553" u="1"/>
        <n v="229076.711050299" u="1"/>
        <n v="1701361.6498327686" u="1"/>
        <n v="155281.41665674743" u="1"/>
        <n v="519367.69376926246" u="1"/>
        <n v="1027915.2000000001" u="1"/>
        <n v="1462248.8218240365" u="1"/>
        <n v="318458.08799999999" u="1"/>
        <n v="522237.98572885356" u="1"/>
        <n v="44460.528529816329" u="1"/>
        <n v="125117.41807005544" u="1"/>
        <n v="271732.33111310942" u="1"/>
        <n v="479055.91936385335" u="1"/>
        <n v="772017.02570750576" u="1"/>
        <n v="58995.607960203553" u="1"/>
        <n v="110599.27470861655" u="1"/>
        <n v="166742.63563037518" u="1"/>
        <n v="413135.53952473908" u="1"/>
        <n v="1192419.2069174831" u="1"/>
        <n v="3233771.1120000007" u="1"/>
        <n v="15294.466487808611" u="1"/>
        <n v="18907.2" u="1"/>
        <n v="774032.83622619894" u="1"/>
        <n v="21128.182399917569" u="1"/>
        <n v="21433.87262016" u="1"/>
        <n v="150934.731948" u="1"/>
        <n v="168763.03820037976" u="1"/>
        <n v="218828.12851026488" u="1"/>
        <n v="219718.77948799432" u="1"/>
        <n v="745524.84005999996" u="1"/>
        <n v="24464.107860557404" u="1"/>
        <n v="682876.26079320326" u="1"/>
        <n v="1076136.6043402583" u="1"/>
        <n v="2675813.1616841517" u="1"/>
        <n v="117931.0960898487" u="1"/>
        <n v="193424.76153000002" u="1"/>
        <n v="477047.94173439336" u="1"/>
        <n v="1512998.1521307735" u="1"/>
        <n v="16525737.626315229" u="1"/>
        <n v="16066.847479953667" u="1"/>
        <n v="31912.435407746954" u="1"/>
        <n v="81041.024999999994" u="1"/>
        <n v="65010.516480000006" u="1"/>
        <n v="142842.34200149434" u="1"/>
        <n v="249182.98363389383" u="1"/>
        <n v="279786.14020896284" u="1"/>
        <n v="373742.28651813295" u="1"/>
        <n v="57926.445535661747" u="1"/>
        <n v="88739.250133532987" u="1"/>
        <n v="123145.63646574484" u="1"/>
        <n v="269284.23729792814" u="1"/>
        <n v="1080555.8988234187" u="1"/>
        <n v="1769580.7927746172" u="1"/>
        <n v="98343.065323918519" u="1"/>
        <n v="101032.02478313625" u="1"/>
        <n v="143802.49879948774" u="1"/>
        <n v="259215.92877021449" u="1"/>
        <n v="431790.09258069732" u="1"/>
        <n v="5874255.6649154918" u="1"/>
        <n v="29464.071510890306" u="1"/>
        <n v="80062.212493418483" u="1"/>
        <n v="144858.47701529996" u="1"/>
        <n v="544435.13350386708" u="1"/>
        <n v="60557.166206276939" u="1"/>
        <n v="60992.774095093409" u="1"/>
        <n v="312361.01985353918" u="1"/>
        <n v="727960.00389595993" u="1"/>
        <n v="97830.544342267967" u="1"/>
        <n v="310587.37546736543" u="1"/>
        <n v="606172.82292809209" u="1"/>
        <n v="25755.571683649152" u="1"/>
        <n v="39840.240925182203" u="1"/>
        <n v="542199.96573684621" u="1"/>
        <n v="43204.527936642029" u="1"/>
        <n v="119401.34346509718" u="1"/>
        <n v="142082.4814769786" u="1"/>
        <n v="297460.8" u="1"/>
        <n v="48489.828659999992" u="1"/>
        <n v="107709.52860595664" u="1"/>
        <n v="219235.03875000004" u="1"/>
        <n v="224754.45839584302" u="1"/>
        <n v="255475.5449327309" u="1"/>
        <n v="486806.97565813235" u="1"/>
        <n v="47158.572928106107" u="1"/>
        <n v="64885.857974637875" u="1"/>
        <n v="107853.84307524269" u="1"/>
        <n v="134332.52794187068" u="1"/>
        <n v="156621.03649050524" u="1"/>
        <n v="374563.69905426272" u="1"/>
        <n v="422211.46724244719" u="1"/>
        <n v="2660107.4458517013" u="1"/>
        <n v="192244.97208341889" u="1"/>
        <n v="293697.9045" u="1"/>
        <n v="394389.87935590924" u="1"/>
        <n v="90252.032597999991" u="1"/>
        <n v="128082.56991359983" u="1"/>
        <n v="4220005.7561627319" u="1"/>
        <n v="111846.592" u="1"/>
        <n v="152765.76575030957" u="1"/>
        <n v="433191.05828230531" u="1"/>
        <n v="859665.60679999995" u="1"/>
        <n v="15525.299219199891" u="1"/>
        <n v="21263.707843731852" u="1"/>
        <n v="531511.13361230702" u="1"/>
        <n v="145131.61162499999" u="1"/>
        <n v="160367.86627502865" u="1"/>
        <n v="505711.60876711761" u="1"/>
        <n v="142663.65160597721" u="1"/>
        <n v="2226184.31324575" u="1"/>
        <n v="7119.8711999999996" u="1"/>
        <n v="51265.163893759818" u="1"/>
        <n v="71746.927380414694" u="1"/>
        <n v="1285844.115834655" u="1"/>
        <n v="71746.927380414709" u="1"/>
        <n v="381211.08759267163" u="1"/>
        <n v="1739699.7579419238" u="1"/>
        <n v="12756.603688237734" u="1"/>
        <n v="14487.862505342191" u="1"/>
        <n v="52804.128845281171" u="1"/>
        <n v="84581.463868938401" u="1"/>
        <n v="164929.29347445333" u="1"/>
        <n v="201366.34408800001" u="1"/>
        <n v="1557098.5342953766" u="1"/>
        <n v="4343379.04" u="1"/>
        <n v="52334.784490183119" u="1"/>
        <n v="848270.40231604036" u="1"/>
        <n v="64652.882240145474" u="1"/>
        <n v="296021.27836896159" u="1"/>
        <n v="344431.94219168631" u="1"/>
        <n v="451314.34736650542" u="1"/>
        <n v="584215.6979630203" u="1"/>
        <n v="1152377.7621507409" u="1"/>
        <n v="200504.00921852945" u="1"/>
        <n v="323573.25" u="1"/>
        <n v="434270.29922849691" u="1"/>
        <n v="52695.358663707666" u="1"/>
        <n v="170464.77345739843" u="1"/>
        <n v="240439.67999999999" u="1"/>
        <n v="456466.12320681848" u="1"/>
        <n v="1234415.083904058" u="1"/>
        <n v="100044.22833765829" u="1"/>
        <n v="144535.31456258908" u="1"/>
        <n v="338077.86701861786" u="1"/>
        <n v="40707.004539436275" u="1"/>
        <n v="59571.29178" u="1"/>
        <n v="157093.76884074815" u="1"/>
        <n v="166683.21202537505" u="1"/>
        <n v="432011.17427927913" u="1"/>
        <n v="393790.03460469883" u="1"/>
        <n v="105476.89887523733" u="1"/>
        <n v="227430.58798081923" u="1"/>
        <n v="26954.573698140062" u="1"/>
        <n v="52575.237000000001" u="1"/>
        <n v="67442.249540196906" u="1"/>
        <n v="196983.08505713107" u="1"/>
        <n v="30477.068294399996" u="1"/>
        <n v="109321.24845748328" u="1"/>
        <n v="153725.12195040003" u="1"/>
        <n v="10356.518140214819" u="1"/>
        <n v="357787.49697531678" u="1"/>
        <n v="615498.5586654474" u="1"/>
        <n v="75970.603009129278" u="1"/>
        <n v="203857.47199999998" u="1"/>
        <n v="364865.51149524015" u="1"/>
        <n v="396331.10700368806" u="1"/>
        <n v="33131.036731774548" u="1"/>
        <n v="135859.97224800001" u="1"/>
        <n v="173318.84791705664" u="1"/>
        <n v="229189.52160000001" u="1"/>
        <n v="42439.005475190017" u="1"/>
        <n v="1659816.8335523454" u="1"/>
        <n v="2129532.5873250002" u="1"/>
        <n v="45493.088280248128" u="1"/>
        <n v="62049.109436768835" u="1"/>
        <n v="165027.84017179991" u="1"/>
        <n v="246684.28440949233" u="1"/>
        <n v="832291.2" u="1"/>
        <n v="300655.1443459146" u="1"/>
        <n v="1355627.9209376287" u="1"/>
        <n v="189681.3268318038" u="1"/>
        <n v="700115.03239707451" u="1"/>
        <n v="35026.0092" u="1"/>
        <n v="52540.82694880588" u="1"/>
        <n v="96062.393296971422" u="1"/>
        <n v="707440.75662360876" u="1"/>
        <n v="1652996.4951500001" u="1"/>
        <n v="10164148.045558749" u="1"/>
        <n v="54399.933433422404" u="1"/>
        <n v="9224.9329574585754" u="1"/>
        <n v="108642.5563779717" u="1"/>
        <n v="151293.79035137239" u="1"/>
        <n v="155818.14606569149" u="1"/>
        <n v="647896.86" u="1"/>
        <n v="938609.98945449293" u="1"/>
        <n v="17465.804988218159" u="1"/>
        <n v="92925.148611269411" u="1"/>
        <n v="187903.31180627533" u="1"/>
        <n v="582441.36801732006" u="1"/>
        <n v="921283.07872895023" u="1"/>
        <n v="290734.41886400169" u="1"/>
        <n v="1348821.5103204953" u="1"/>
        <n v="20818.06851899908" u="1"/>
        <n v="435095.87867018185" u="1"/>
        <n v="1333468.9035147442" u="1"/>
        <n v="59101.727139716306" u="1"/>
        <n v="120561.39366737385" u="1"/>
        <n v="130479.82096384499" u="1"/>
        <n v="1102166.3879786702" u="1"/>
        <n v="141882.1496938112" u="1"/>
        <n v="213405.04876393793" u="1"/>
        <n v="217218.7864089483" u="1"/>
        <n v="248563.64791981629" u="1"/>
        <n v="22849.833937986827" u="1"/>
        <n v="296449.37837995205" u="1"/>
        <n v="437658.22839924094" u="1"/>
        <n v="444600" u="1"/>
        <n v="56249.591204015698" u="1"/>
        <n v="129829.12159096127" u="1"/>
        <n v="140355.17827901963" u="1"/>
        <n v="1019733.626934533" u="1"/>
        <n v="2059292.2532000002" u="1"/>
        <n v="15054.835643370261" u="1"/>
        <n v="28571.220929023853" u="1"/>
        <n v="141774.81759615213" u="1"/>
        <n v="869961.57720195747" u="1"/>
        <n v="15696.889618388846" u="1"/>
        <n v="154501.37300034764" u="1"/>
        <n v="296943.25887073798" u="1"/>
        <n v="37532.826971598719" u="1"/>
        <n v="68210.429513105293" u="1"/>
        <n v="80547.961623688403" u="1"/>
        <n v="2270248.9095000001" u="1"/>
        <n v="143953.42195211502" u="1"/>
        <n v="215649.34103327148" u="1"/>
        <n v="15818.288358600004" u="1"/>
        <n v="242835.75480540533" u="1"/>
        <n v="396157.36666755803" u="1"/>
        <n v="108855.58319999999" u="1"/>
        <n v="149393.64440919639" u="1"/>
        <n v="160273.9517717892" u="1"/>
        <n v="455093.56856375188" u="1"/>
        <n v="690389.26186101942" u="1"/>
        <n v="57494.884997230845" u="1"/>
        <n v="67363.500754269873" u="1"/>
        <n v="82764.315794993992" u="1"/>
        <n v="248117.43186471571" u="1"/>
        <n v="269124.60750093061" u="1"/>
        <n v="471898.44" u="1"/>
        <n v="47972.448154669772" u="1"/>
        <n v="52749.61664021029" u="1"/>
        <n v="149202.68239851593" u="1"/>
        <n v="314419.12881051883" u="1"/>
        <n v="1876470.96" u="1"/>
        <n v="2457645.915698498" u="1"/>
        <n v="4531.3240172553988" u="1"/>
        <n v="370756.64780242962" u="1"/>
        <n v="938352.74670948368" u="1"/>
        <n v="327825.46189714596" u="1"/>
        <n v="1301562.4398524303" u="1"/>
        <n v="130083.859749889" u="1"/>
        <n v="151696.24458792456" u="1"/>
        <n v="2320304.2211784534" u="1"/>
        <n v="25777.479382199999" u="1"/>
        <n v="102769.0056298335" u="1"/>
        <n v="242580.62483636331" u="1"/>
        <n v="1296515.0213602537" u="1"/>
        <n v="1337031.1125030082" u="1"/>
        <n v="61178.457600000002" u="1"/>
        <n v="277418.93966653309" u="1"/>
        <n v="388900.09021499992" u="1"/>
        <n v="390154.98232411011" u="1"/>
        <n v="492084.04331063107" u="1"/>
        <n v="112816.56288862549" u="1"/>
        <n v="169515.30959999998" u="1"/>
        <n v="263203.86613591015" u="1"/>
        <n v="1154179.4599869268" u="1"/>
        <n v="104948.39851918396" u="1"/>
        <n v="179343.33809539149" u="1"/>
        <n v="202026.23999999999" u="1"/>
        <n v="69058.329344621292" u="1"/>
        <n v="142313.9067399982" u="1"/>
        <n v="39599.46899999999" u="1"/>
        <n v="77910.413036542872" u="1"/>
        <n v="171239.02174205196" u="1"/>
        <n v="14208.77847245611" u="1"/>
        <n v="66590.576739160388" u="1"/>
        <n v="707231.91362021957" u="1"/>
        <n v="24267.114691929601" u="1"/>
        <n v="86340.497817724157" u="1"/>
        <n v="378428.45040000009" u="1"/>
        <n v="478277.48746635381" u="1"/>
        <n v="204904.25231762321" u="1"/>
        <n v="241540.51520912739" u="1"/>
        <n v="522693.80378869711" u="1"/>
        <n v="978944.28185715177" u="1"/>
        <n v="259086.91780058295" u="1"/>
        <n v="9815.7436416" u="1"/>
        <n v="29885.932979839959" u="1"/>
        <n v="82945.448646019955" u="1"/>
        <n v="94560.242689621038" u="1"/>
        <n v="366645.87959999999" u="1"/>
        <n v="1867881.9838375361" u="1"/>
        <n v="268405.72667922039" u="1"/>
        <n v="1928168.7705279998" u="1"/>
        <n v="10490016.275983198" u="1"/>
        <n v="31830.125738279978" u="1"/>
        <n v="42046.1038998" u="1"/>
        <n v="88096.808502412401" u="1"/>
        <n v="193357.96929021762" u="1"/>
        <n v="260778.48614999998" u="1"/>
        <n v="21416318.700964224" u="1"/>
        <n v="224998.36426498051" u="1"/>
        <n v="331384.80374999996" u="1"/>
        <n v="397597.93988381117" u="1"/>
        <n v="786812.54768695531" u="1"/>
        <n v="119837.60341693631" u="1"/>
        <n v="126869.39667528545" u="1"/>
        <n v="215142.59155560689" u="1"/>
        <n v="279384.28450184135" u="1"/>
        <n v="25781.062572029015" u="1"/>
        <n v="148554.06376553263" u="1"/>
        <n v="903957.78200000012" u="1"/>
        <n v="73044.317394491722" u="1"/>
        <n v="763934.12550000008" u="1"/>
        <n v="1685699.73" u="1"/>
        <n v="215715.5" u="1"/>
        <n v="87227.323447841671" u="1"/>
        <n v="301663.41697535018" u="1"/>
        <n v="3437985.6803966248" u="1"/>
        <n v="42245.10200820012" u="1"/>
        <n v="97792.826132397211" u="1"/>
        <n v="438417.22125545045" u="1"/>
        <n v="1536275.0467789394" u="1"/>
        <n v="157677.40575744121" u="1"/>
        <n v="202040.25700045459" u="1"/>
        <n v="225888.19514832215" u="1"/>
        <n v="579107.17029799835" u="1"/>
        <n v="3621514.7198564545" u="1"/>
        <n v="47741.383917968451" u="1"/>
        <n v="82130.218723907194" u="1"/>
        <n v="116123.62810442795" u="1"/>
        <n v="440481.98053922813" u="1"/>
        <n v="618127.37586830452" u="1"/>
        <n v="89293.870446867586" u="1"/>
        <n v="155152.73046014682" u="1"/>
        <n v="202040.25700045464" u="1"/>
        <n v="243337.91704340803" u="1"/>
        <n v="1215711.8250570269" u="1"/>
        <n v="4143768.4287999999" u="1"/>
        <n v="30729.201444908344" u="1"/>
        <n v="38457.520952997351" u="1"/>
        <n v="84282.479758522983" u="1"/>
        <n v="900494.10311831359" u="1"/>
        <n v="2031807.96" u="1"/>
        <n v="35485.581864056978" u="1"/>
        <n v="267809.00981934508" u="1"/>
        <n v="705884.90544000012" u="1"/>
        <n v="13249.769307734239" u="1"/>
        <n v="55577.753211853094" u="1"/>
        <n v="94619.588263199999" u="1"/>
        <n v="105377.85953357043" u="1"/>
        <n v="130412.28929678227" u="1"/>
        <n v="195381.81204826789" u="1"/>
        <n v="302415.21493210905" u="1"/>
        <n v="2275101.2146284617" u="1"/>
        <n v="46691.95485116855" u="1"/>
        <n v="189540.73101991025" u="1"/>
        <n v="280637.87854729814" u="1"/>
        <n v="26846.5081887122" u="1"/>
        <n v="369071.5680292793" u="1"/>
        <n v="725441.15462419309" u="1"/>
        <n v="50405.282716205307" u="1"/>
        <n v="128940.0375972496" u="1"/>
        <n v="169364.23743103861" u="1"/>
        <n v="297157.37728945084" u="1"/>
        <n v="82256.231885636997" u="1"/>
        <n v="679105.65846026666" u="1"/>
        <n v="1505397.9970238502" u="1"/>
        <n v="2012479.4226711947" u="1"/>
        <n v="5531425.8347478956" u="1"/>
        <n v="40617.656188200002" u="1"/>
        <n v="204714.31922546058" u="1"/>
        <n v="257202.176547273" u="1"/>
        <n v="543369.4093463294" u="1"/>
        <n v="1444926.4294400003" u="1"/>
        <n v="1654266.2835223055" u="1"/>
        <n v="377141.81306751526" u="1"/>
        <n v="469819.94261720555" u="1"/>
        <n v="597987.65989364742" u="1"/>
        <n v="705695.42078298097" u="1"/>
        <n v="37626.894207116522" u="1"/>
        <n v="50029.979454000008" u="1"/>
        <n v="166718.86618837516" u="1"/>
        <n v="2654791.4250000007" u="1"/>
        <n v="162430.36478544647" u="1"/>
        <n v="677664.5871047515" u="1"/>
        <n v="28128.608612321048" u="1"/>
        <n v="59898.993840134775" u="1"/>
        <n v="252635.66378948151" u="1"/>
        <n v="125557.12291572572" u="1"/>
        <n v="1340016.7005559884" u="1"/>
        <n v="30243.16955564942" u="1"/>
        <n v="125557.12291572573" u="1"/>
        <n v="125076.76430576039" u="1"/>
        <n v="403640.33914905635" u="1"/>
        <n v="18955.986632201693" u="1"/>
        <n v="1986706.9674685309" u="1"/>
        <n v="2484406.6172294845" u="1"/>
        <n v="47652.251086440003" u="1"/>
        <n v="129436.51607248084" u="1"/>
        <n v="191876.62031064858" u="1"/>
        <n v="99489.63195063913" u="1"/>
        <n v="103642.25508" u="1"/>
        <n v="201410.06980392084" u="1"/>
        <n v="204980.62748467358" u="1"/>
        <n v="214236.24450286303" u="1"/>
        <n v="294757.62339569145" u="1"/>
        <n v="302933.04920425307" u="1"/>
        <n v="490838.4" u="1"/>
        <n v="114272.98118182519" u="1"/>
        <n v="256583.09540775022" u="1"/>
        <n v="345737.33902940108" u="1"/>
        <n v="37060.277447291708" u="1"/>
        <n v="65056.329851090122" u="1"/>
        <n v="95247.549728785758" u="1"/>
        <n v="420243.73559023702" u="1"/>
        <n v="718735.16814140312" u="1"/>
        <n v="33181.077536610581" u="1"/>
        <n v="295792.40951693192" u="1"/>
        <n v="609899.52909600001" u="1"/>
        <n v="36055.48896120592" u="1"/>
        <n v="655986.29511081078" u="1"/>
        <n v="35713.173166861452" u="1"/>
        <n v="50590.782127215498" u="1"/>
        <n v="395136.16101125948" u="1"/>
        <n v="1361141.4968419133" u="1"/>
        <n v="108703.58990400001" u="1"/>
        <n v="217381.45102465543" u="1"/>
        <n v="249579.14100056156" u="1"/>
        <n v="883039.1083832921" u="1"/>
        <n v="1585737.4053354675" u="1"/>
        <n v="13358.373974191078" u="1"/>
        <n v="35610.092677615074" u="1"/>
        <n v="81491.018828510889" u="1"/>
        <n v="294801.03790440364" u="1"/>
        <n v="85082.400000000009" u="1"/>
        <n v="274433.06379186746" u="1"/>
        <n v="1326026.7412066872" u="1"/>
        <n v="42227.866144467684" u="1"/>
        <n v="49550.302152000011" u="1"/>
        <n v="67952.392765128097" u="1"/>
        <n v="100416.54516705297" u="1"/>
        <n v="159039.02235991924" u="1"/>
        <n v="303399.35154299333" u="1"/>
        <n v="79135.43537784068" u="1"/>
        <n v="87406.240832621799" u="1"/>
        <n v="96948.636170262325" u="1"/>
        <n v="107204.01103626372" u="1"/>
        <n v="109538.65000000001" u="1"/>
        <n v="209217.69865732643" u="1"/>
        <n v="232260.1313232726" u="1"/>
        <n v="186119.9839498412" u="1"/>
        <n v="186983.53120016208" u="1"/>
        <n v="201980.83339545451" u="1"/>
        <n v="517101.03181780141" u="1"/>
        <n v="535311.50399999996" u="1"/>
        <n v="4071.9728067879551" u="1"/>
        <n v="14612.377280544402" u="1"/>
        <n v="21528.820245015388" u="1"/>
        <n v="123125.70956027704" u="1"/>
        <n v="251399.69087231022" u="1"/>
        <n v="295072.82654849999" u="1"/>
        <n v="437979.24201343697" u="1"/>
        <n v="746233.3125" u="1"/>
        <n v="858630.09375" u="1"/>
        <n v="953627.60510370741" u="1"/>
        <n v="107425.05062116265" u="1"/>
        <n v="63864.32" u="1"/>
        <n v="83311.796412269017" u="1"/>
        <n v="233593.10398095733" u="1"/>
        <n v="78668.244617969016" u="1"/>
        <n v="180489.29625373945" u="1"/>
        <n v="87516.777348000003" u="1"/>
        <n v="92864.857709844349" u="1"/>
        <n v="460462.19636413112" u="1"/>
        <n v="30819.868309973703" u="1"/>
        <n v="117011.02060576326" u="1"/>
        <n v="216134.61447702433" u="1"/>
        <n v="336268.75892885908" u="1"/>
        <n v="765048.33900000015" u="1"/>
        <n v="62596.907100000011" u="1"/>
        <n v="79528.591358512291" u="1"/>
        <n v="253761.67744088024" u="1"/>
        <n v="974087.11258162558" u="1"/>
        <n v="2318667.4399398505" u="1"/>
        <n v="63775.046716571102" u="1"/>
        <n v="68242.023042291548" u="1"/>
        <n v="648175.42956276273" u="1"/>
        <n v="10763.581452609495" u="1"/>
        <n v="31738.050514808445" u="1"/>
        <n v="50222.849166290289" u="1"/>
        <n v="149973.17461897573" u="1"/>
        <n v="480294.77493411989" u="1"/>
        <n v="395216.63999999996" u="1"/>
        <n v="668657.88073706476" u="1"/>
        <n v="690445.69788311934" u="1"/>
        <n v="38124.722833788357" u="1"/>
        <n v="88715.995538285104" u="1"/>
        <n v="110282.59685050711" u="1"/>
        <n v="216615.96747988739" u="1"/>
        <n v="249699.18929901186" u="1"/>
        <n v="295386.45788875257" u="1"/>
        <n v="407698.2" u="1"/>
        <n v="504200.3823753614" u="1"/>
        <n v="971906.07289107551" u="1"/>
        <n v="66644.923655585211" u="1"/>
        <n v="130484.33264612695" u="1"/>
        <n v="1113555.9122703627" u="1"/>
        <n v="112143.22152057721" u="1"/>
        <n v="1136645.7625066449" u="1"/>
        <n v="235834.45703999995" u="1"/>
        <n v="754119.97459596524" u="1"/>
        <n v="323473.17600000004" u="1"/>
        <n v="10465.398730215811" u="1"/>
        <n v="12721.556250000001" u="1"/>
        <n v="141258.3981717464" u="1"/>
        <n v="183341.30674859998" u="1"/>
        <n v="292465.8130383924" u="1"/>
        <n v="606969.67964422284" u="1"/>
        <n v="1682727.9345912861" u="1"/>
        <n v="2505223.7343955808" u="1"/>
        <n v="28277.588936027463" u="1"/>
        <n v="110261.27417688277" u="1"/>
        <n v="752218.80592088436" u="1"/>
        <n v="154533.43010189489" u="1"/>
        <n v="51500.457666782546" u="1"/>
        <n v="80370.313444226937" u="1"/>
        <n v="93054.983112000002" u="1"/>
        <n v="186015.13164463508" u="1"/>
        <n v="1839580.7416581793" u="1"/>
        <n v="354888.0621000001" u="1"/>
        <n v="19490.850010971662" u="1"/>
        <n v="650941.97524200007" u="1"/>
        <n v="10371.371147778182" u="1"/>
        <n v="454273.51370394789" u="1"/>
        <n v="979225.32596797636" u="1"/>
        <n v="980400.34709470591" u="1"/>
        <n v="2123219.2581600002" u="1"/>
        <n v="26855.273512530224" u="1"/>
        <n v="62640.381694946554" u="1"/>
        <n v="98567.595719867168" u="1"/>
        <n v="190625.25104775306" u="1"/>
        <n v="39192.295942800003" u="1"/>
        <n v="335366.96245600324" u="1"/>
        <n v="515404.73688642192" u="1"/>
        <n v="49080.526348797852" u="1"/>
        <n v="118044.99133276561" u="1"/>
        <n v="138159.88162531087" u="1"/>
        <n v="535447.53263407585" u="1"/>
        <n v="19536.420644122652" u="1"/>
        <n v="27448.112993903997" u="1"/>
        <n v="143669.8646565614" u="1"/>
        <n v="966933.05832088424" u="1"/>
        <n v="1492346.3931846851" u="1"/>
        <n v="8593947.5926554017" u="1"/>
        <n v="11762221.237355186" u="1"/>
        <n v="152316.5050993326" u="1"/>
        <n v="332947.73392380908" u="1"/>
        <n v="29826.386381115062" u="1"/>
        <n v="36104.825553519862" u="1"/>
        <n v="39734.706250875184" u="1"/>
        <n v="217997.15366081294" u="1"/>
        <n v="234667.45084634432" u="1"/>
        <n v="363731.33241496864" u="1"/>
        <n v="481302.304510282" u="1"/>
        <n v="73979.126964348994" u="1"/>
        <n v="86203.842986860647" u="1"/>
        <n v="377928.72290451807" u="1"/>
        <n v="981970.23600000003" u="1"/>
        <n v="3235204.4476996078" u="1"/>
        <n v="44750.569945821444" u="1"/>
        <n v="234209.78380800001" u="1"/>
        <n v="267425.94108746783" u="1"/>
        <n v="463756.70249999996" u="1"/>
        <n v="59190.203273199579" u="1"/>
        <n v="252286.11231199824" u="1"/>
        <n v="394689.35592054803" u="1"/>
        <n v="1330888.3152400977" u="1"/>
        <n v="34633.741173341958" u="1"/>
        <n v="55366.551960024641" u="1"/>
        <n v="313575.79453199997" u="1"/>
        <n v="1300439.9741860921" u="1"/>
        <n v="20629.393977001411" u="1"/>
        <n v="343319.87788827252" u="1"/>
        <n v="5953397.7301161829" u="1"/>
        <n v="96990.743791810804" u="1"/>
        <n v="153745.15282282673" u="1"/>
        <n v="219735.28604493884" u="1"/>
        <n v="805707.51559746312" u="1"/>
        <n v="56370.993541882439" u="1"/>
        <n v="91253.906180046586" u="1"/>
        <n v="6677175.7895685611" u="1"/>
        <n v="1649805.2402422952" u="1"/>
        <n v="5367078.2718046512" u="1"/>
        <n v="9893.3857824181414" u="1"/>
        <n v="105772.35779374855" u="1"/>
        <n v="22946.976000000006" u="1"/>
        <n v="56876.847299999994" u="1"/>
        <n v="140833.94385031692" u="1"/>
        <n v="1552441.680628493" u="1"/>
        <n v="365303.56559142721" u="1"/>
        <n v="473001.60715784249" u="1"/>
        <n v="1508570.8807439532" u="1"/>
        <n v="65722.507130147875" u="1"/>
        <n v="389374.77734060516" u="1"/>
        <n v="32246978.012265235" u="1"/>
        <n v="163009.01940755572" u="1"/>
        <n v="186731.99999999997" u="1"/>
        <n v="85493.235710400695" u="1"/>
        <n v="351115.4754143029" u="1"/>
        <n v="67742.909700152435" u="1"/>
        <n v="79967.929476087214" u="1"/>
        <n v="153694.79610248067" u="1"/>
        <n v="308549.15656041121" u="1"/>
        <n v="438576.04889266414" u="1"/>
        <n v="309655.20261642005" u="1"/>
        <n v="48129.708627000007" u="1"/>
        <n v="190863.25213709794" u="1"/>
        <n v="431672.34198572673" u="1"/>
        <n v="9595886.1892893165" u="1"/>
        <n v="30162.76153176263" u="1"/>
        <n v="32412.386109454579" u="1"/>
        <n v="34395.407998740637" u="1"/>
        <n v="52397.025746604799" u="1"/>
        <n v="315520.92000000004" u="1"/>
        <n v="637586.98469667276" u="1"/>
        <n v="48226.493848341677" u="1"/>
        <n v="728032.5" u="1"/>
        <n v="28440.923602809078" u="1"/>
        <n v="159644.88530224276" u="1"/>
        <n v="232915.11551103622" u="1"/>
        <n v="237772.7526766287" u="1"/>
        <n v="18721.962105878214" u="1"/>
        <n v="30133.576746000002" u="1"/>
        <n v="120631.16269695424" u="1"/>
        <n v="433505.53591567796" u="1"/>
        <n v="872609.48618089559" u="1"/>
        <n v="1096068.3942274663" u="1"/>
        <n v="1409354.6323360952" u="1"/>
        <n v="1801841.6416000004" u="1"/>
        <n v="22871.821284000001" u="1"/>
        <n v="58293.382011484427" u="1"/>
        <n v="282856.35980063648" u="1"/>
        <n v="285742.64918635722" u="1"/>
        <n v="340179.69599178899" u="1"/>
        <n v="782230.72955401987" u="1"/>
        <n v="40065.828802965814" u="1"/>
        <n v="58012.294381380525" u="1"/>
        <n v="185698.76562541781" u="1"/>
        <n v="20277.670520587024" u="1"/>
        <n v="20316.827401592298" u="1"/>
        <n v="44092.314910099209" u="1"/>
        <n v="51249.305474571418" u="1"/>
        <n v="129806.74893234394" u="1"/>
        <n v="190428.30308885069" u="1"/>
        <n v="343472.83027200005" u="1"/>
        <n v="2835335.1935999999" u="1"/>
        <n v="288974.5475106549" u="1"/>
        <n v="302765.18343854696" u="1"/>
        <n v="2331967.1374999997" u="1"/>
        <n v="112483.79999999999" u="1"/>
        <n v="140543.48879999999" u="1"/>
        <n v="6592.7178776566889" u="1"/>
        <n v="9740.4119188932236" u="1"/>
        <n v="13835.645459999998" u="1"/>
        <n v="25720.691724" u="1"/>
        <n v="134636.91075744582" u="1"/>
        <n v="153693.88070400001" u="1"/>
        <n v="495751.23082269524" u="1"/>
        <n v="37063.844999999994" u="1"/>
        <n v="271995.44872500002" u="1"/>
        <n v="119386.79373288079" u="1"/>
        <n v="186167.16783270935" u="1"/>
        <n v="171927.740731047" u="1"/>
        <n v="270994.50106372917" u="1"/>
        <n v="844706.36250000005" u="1"/>
        <n v="1022521.5" u="1"/>
        <n v="21630.429402653575" u="1"/>
        <n v="64806.791904963044" u="1"/>
        <n v="190645.69117286665" u="1"/>
        <n v="227080.36839668013" u="1"/>
        <n v="64806.791904963051" u="1"/>
        <n v="262600.00000000006" u="1"/>
        <n v="376617.22810609528" u="1"/>
        <n v="443696.25066766504" u="1"/>
        <n v="73407.960043498504" u="1"/>
        <n v="167441.91750000001" u="1"/>
        <n v="441187.88114906661" u="1"/>
        <n v="2446764.0927260066" u="1"/>
        <n v="322677.43384224555" u="1"/>
        <n v="14024.770123543387" u="1"/>
        <n v="23407.608493249369" u="1"/>
        <n v="151366.0870706249" u="1"/>
        <n v="296177.15125483286" u="1"/>
        <n v="2688210.7023870009" u="1"/>
        <n v="5800.4856000000009" u="1"/>
        <n v="30331.939397759998" u="1"/>
        <n v="3033919.457787009" u="1"/>
        <n v="385134.75" u="1"/>
        <n v="495275.6864536347" u="1"/>
        <n v="53853.38166659962" u="1"/>
        <n v="91512.351700205909" u="1"/>
        <n v="92273.127119379264" u="1"/>
        <n v="142497.61663909923" u="1"/>
        <n v="561351.95999999985" u="1"/>
        <n v="1433837.2240686459" u="1"/>
        <n v="50084.874305943347" u="1"/>
        <n v="125283.24023413815" u="1"/>
        <n v="291467.10556947527" u="1"/>
        <n v="91694.781014521068" u="1"/>
        <n v="174310.43174999996" u="1"/>
        <n v="429228.07199999993" u="1"/>
        <n v="487433.73250000004" u="1"/>
        <n v="30099.15446252728" u="1"/>
        <n v="89150.263401450589" u="1"/>
        <n v="462591.94350001781" u="1"/>
        <n v="8451357.1555745713" u="1"/>
        <n v="1902301.6051101997" u="1"/>
        <n v="56558.65489194986" u="1"/>
        <n v="131053.80886071156" u="1"/>
        <n v="45395.078410385468" u="1"/>
        <n v="85678.034118374591" u="1"/>
        <n v="853068.03320022172" u="1"/>
        <n v="1583221.0680000002" u="1"/>
        <n v="3734687.0457047033" u="1"/>
        <n v="97850.857083591822" u="1"/>
        <n v="145915.84852161957" u="1"/>
        <n v="266830.43051895552" u="1"/>
        <n v="418690.06920000003" u="1"/>
        <n v="64026.835506780946" u="1"/>
        <n v="103334.87864700002" u="1"/>
        <n v="246370.94649600188" u="1"/>
        <n v="136625.20540105915" u="1"/>
        <n v="182126.81565797582" u="1"/>
        <n v="187692.55533749788" u="1"/>
        <n v="548066.80637816782" u="1"/>
        <n v="5932221.3692205232" u="1"/>
        <n v="10274.925326600203" u="1"/>
        <n v="264830.49683999998" u="1"/>
        <n v="65631.968962560015" u="1"/>
        <n v="801697.74183543934" u="1"/>
        <n v="9246960.1120000016" u="1"/>
        <n v="38255.057512296575" u="1"/>
        <n v="157048.76767687098" u="1"/>
        <n v="543301.53142979392" u="1"/>
        <n v="1741444.5834239998" u="1"/>
        <n v="61106.572800000002" u="1"/>
        <n v="64289.749430387281" u="1"/>
        <n v="70471.767599999992" u="1"/>
        <n v="157359.74795513161" u="1"/>
        <n v="192649.69834043665" u="1"/>
        <n v="280702.42200000002" u="1"/>
        <n v="40964.947502225346" u="1"/>
        <n v="304617.28395168536" u="1"/>
        <n v="5172054.5092708962" u="1"/>
        <n v="142197.26057369588" u="1"/>
        <n v="157359.74795513166" u="1"/>
        <n v="482519.67260108568" u="1"/>
        <n v="19247.617195774026" u="1"/>
        <n v="51879.949834631712" u="1"/>
        <n v="555009.14559999993" u="1"/>
        <n v="1082935.9132782698" u="1"/>
        <n v="41208.491724553634" u="1"/>
        <n v="336764.22452959692" u="1"/>
        <n v="40817.502180000003" u="1"/>
        <n v="267881.61134060274" u="1"/>
        <n v="520307.63642290526" u="1"/>
        <n v="4881164.4081956483" u="1"/>
        <n v="217502.69382912168" u="1"/>
        <n v="806202.15660973988" u="1"/>
        <n v="26566.012161317056" u="1"/>
        <n v="86448.740479809814" u="1"/>
        <n v="471002.70726272295" u="1"/>
        <n v="813985.21021709661" u="1"/>
        <n v="101759.14230982846" u="1"/>
        <n v="312148.84859069565" u="1"/>
        <n v="613264.56750000012" u="1"/>
        <n v="105532.14117085672" u="1"/>
        <n v="496924.93930665974" u="1"/>
        <n v="35172.337461097333" u="1"/>
        <n v="184740.82259910565" u="1"/>
        <n v="210245.43763430082" u="1"/>
        <n v="466830" u="1"/>
        <n v="634717.20000000007" u="1"/>
        <n v="94931.526199347049" u="1"/>
        <n v="78737.653830843541" u="1"/>
        <n v="222109.70224621191" u="1"/>
        <n v="233667.72000000003" u="1"/>
        <n v="911801.49285305163" u="1"/>
        <n v="61130.317458763559" u="1"/>
        <n v="244032.04676057748" u="1"/>
        <n v="2665105.2999999998" u="1"/>
        <n v="85601.184321190085" u="1"/>
        <n v="182199.36467758977" u="1"/>
        <n v="538263.17999999993" u="1"/>
        <n v="33114.19612730536" u="1"/>
        <n v="67972.740054674141" u="1"/>
        <n v="242547.34774221244" u="1"/>
        <n v="244645.96138257632" u="1"/>
        <n v="274292.886680361" u="1"/>
        <n v="354832.02231726662" u="1"/>
        <n v="14705.840326459891" u="1"/>
        <n v="510244.47056694492" u="1"/>
        <n v="82958.096527315094" u="1"/>
        <n v="251908.06674281074" u="1"/>
        <n v="302103.40161682334" u="1"/>
        <n v="30599.1630945" u="1"/>
        <n v="39672.563143510553" u="1"/>
        <n v="290265.63803219865" u="1"/>
        <n v="1472202.5175000001" u="1"/>
        <n v="22101.077995091528" u="1"/>
        <n v="171594.7346514918" u="1"/>
        <n v="353570.44975079561" u="1"/>
        <n v="792867.56497061055" u="1"/>
        <n v="37773.548541872689" u="1"/>
        <n v="192826.76607788185" u="1"/>
        <n v="415022.00317553699" u="1"/>
        <n v="713775.81351701729" u="1"/>
        <n v="25425.864690713835" u="1"/>
        <n v="86758.463300195202" u="1"/>
        <n v="1404432.15350955" u="1"/>
        <n v="2607078.656" u="1"/>
        <n v="5229063.2406689934" u="1"/>
        <n v="80974.141314819019" u="1"/>
        <n v="85915.289839722449" u="1"/>
        <n v="147807.26999999999" u="1"/>
        <n v="285995.63207607093" u="1"/>
        <n v="371741.37915315432" u="1"/>
        <n v="535892.87549557164" u="1"/>
        <n v="74377.249456988895" u="1"/>
        <n v="89484.820601336673" u="1"/>
        <n v="163537.79914080055" u="1"/>
        <n v="839918.20348892862" u="1"/>
        <n v="1236803.2987361162" u="1"/>
        <n v="1747336.7336355683" u="1"/>
        <n v="95635.022776421145" u="1"/>
        <n v="183947.27240038093" u="1"/>
        <n v="1592874.8550000002" u="1"/>
        <n v="12926.89779932684" u="1"/>
        <n v="141705.55587799547" u="1"/>
        <n v="308246.36235145415" u="1"/>
        <n v="382345.60000000003" u="1"/>
        <n v="420152.04297587922" u="1"/>
        <n v="572200.19999999995" u="1"/>
        <n v="1077265.0677881383" u="1"/>
        <n v="232600.96814338054" u="1"/>
        <n v="257841.85179105637" u="1"/>
        <n v="361332.87466108549" u="1"/>
        <n v="691747.30261124449" u="1"/>
        <n v="6032.5523063525252" u="1"/>
        <n v="62523.140236940679" u="1"/>
        <n v="66963.799052399656" u="1"/>
        <n v="620283.69000000006" u="1"/>
        <n v="53899.419810293977" u="1"/>
        <n v="152657.5653629904" u="1"/>
        <n v="206586.04887289801" u="1"/>
        <n v="497447.60246324044" u="1"/>
        <n v="3678100.8783455403" u="1"/>
        <n v="53924.25488527304" u="1"/>
        <n v="161389.79999999999" u="1"/>
        <n v="167801.47495350183" u="1"/>
        <n v="187395.61611740763" u="1"/>
        <n v="239868.33355012309" u="1"/>
        <n v="430475.8393947673" u="1"/>
        <n v="21650.376383999999" u="1"/>
        <n v="35919.401918399999" u="1"/>
        <n v="53361.77723918343" u="1"/>
        <n v="53600.0917101206" u="1"/>
        <n v="94797.250528396835" u="1"/>
        <n v="158986.46485087762" u="1"/>
        <n v="184468.90021316253" u="1"/>
        <n v="213872.53144280351" u="1"/>
        <n v="1974735.763" u="1"/>
        <n v="84284.243230376102" u="1"/>
        <n v="381221.10206600063" u="1"/>
        <n v="393465.32626859937" u="1"/>
        <n v="1685600.7168000001" u="1"/>
        <n v="2691158.3018413726" u="1"/>
        <n v="25411.903230141408" u="1"/>
        <n v="61271.875982874153" u="1"/>
        <n v="72046.44539993853" u="1"/>
        <n v="112572.57093740396" u="1"/>
        <n v="149305.45069440006" u="1"/>
        <n v="243764.64679661189" u="1"/>
        <n v="460830.05677603692" u="1"/>
        <n v="730195.84339390474" u="1"/>
        <n v="801769.28832000005" u="1"/>
        <n v="29913.930951048889" u="1"/>
        <n v="116315.9839074629" u="1"/>
        <n v="904148.03700000013" u="1"/>
        <n v="58007.390787065284" u="1"/>
        <n v="143181.3383" u="1"/>
        <n v="193557.94721771852" u="1"/>
        <n v="365634.45650228893" u="1"/>
        <n v="706945.42295704572" u="1"/>
        <n v="5345365.4969227398" u="1"/>
        <n v="9435.8689013626226" u="1"/>
        <n v="464345.16737869027" u="1"/>
        <n v="16441.710480000002" u="1"/>
        <n v="355041.03391494026" u="1"/>
        <n v="352721.54110793641" u="1"/>
        <n v="476894.7953586668" u="1"/>
        <n v="1403512.11" u="1"/>
        <n v="83371.317815187591" u="1"/>
        <n v="84381.519100189849" u="1"/>
        <n v="108629.69816117751" u="1"/>
        <n v="263780.93988445314" u="1"/>
        <n v="61561.160060399998" u="1"/>
        <n v="156758.69825522284" u="1"/>
        <n v="279616.48000000004" u="1"/>
        <n v="441789.66141895391" u="1"/>
        <n v="371098.36877929518" u="1"/>
        <n v="674963.6232729028" u="1"/>
        <n v="96712.380765000009" u="1"/>
        <n v="256464.28006347702" u="1"/>
        <n v="469051.4872419216" u="1"/>
        <n v="1082423.1599999999" u="1"/>
        <n v="1382489.7951790891" u="1"/>
        <n v="1809005.1980160531" u="1"/>
        <n v="12665.016" u="1"/>
        <n v="146818.90359450079" u="1"/>
        <n v="216344.58155390655" u="1"/>
        <n v="229053.23744009872" u="1"/>
        <n v="241804.55267971053" u="1"/>
        <n v="86868.75321147636" u="1"/>
        <n v="58629.355199999998" u="1"/>
        <n v="222318.26324602059" u="1"/>
        <n v="258529.03934725467" u="1"/>
        <n v="423982.705516827" u="1"/>
        <n v="1829298.0901026509" u="1"/>
        <n v="73241.655034173338" u="1"/>
        <n v="83506.29022692726" u="1"/>
        <n v="2134157.8699832014" u="1"/>
        <n v="107924.74711200001" u="1"/>
        <n v="168954.81607066991" u="1"/>
        <n v="190848.81139209607" u="1"/>
        <n v="222222.26751811206" u="1"/>
        <n v="278512.77724467427" u="1"/>
        <n v="110527.90530024869" u="1"/>
        <n v="356223.11683759541" u="1"/>
        <n v="236410.11165887647" u="1"/>
        <n v="78717.3406724425" u="1"/>
        <n v="156027.85789474891" u="1"/>
        <n v="620679.15439618507" u="1"/>
        <n v="929385.18220209097" u="1"/>
        <n v="935344.69600000011" u="1"/>
        <n v="25116.956952517947" u="1"/>
        <n v="58212.101220865188" u="1"/>
        <n v="144377.35140773223" u="1"/>
        <n v="389812.70862297999" u="1"/>
        <n v="393123.93311707507" u="1"/>
        <n v="105679.26368999999" u="1"/>
        <n v="146049.41248551494" u="1"/>
        <n v="52155.697229999998" u="1"/>
        <n v="136736.24339811096" u="1"/>
        <n v="156436.75184814096" u="1"/>
        <n v="531506.70882517402" u="1"/>
        <n v="601411.51938016096" u="1"/>
        <n v="867553.59600000002" u="1"/>
        <n v="51980.447673772447" u="1"/>
        <n v="404423.09128213022" u="1"/>
        <n v="493064.00000000006" u="1"/>
        <n v="9900785.6022846457" u="1"/>
        <n v="119377.40361542466" u="1"/>
        <n v="53070.198097042063" u="1"/>
        <n v="183035.97285956229" u="1"/>
        <n v="262286.99814531632" u="1"/>
        <n v="445511.52238432749" u="1"/>
        <n v="89036.368158533674" u="1"/>
        <n v="217320.61257191756" u="1"/>
        <n v="338070.0067534062" u="1"/>
        <n v="553629.91991791234" u="1"/>
        <n v="185895.90948018321" u="1"/>
        <n v="195374.40000000002" u="1"/>
        <n v="255227.99202964181" u="1"/>
        <n v="359061.63102765981" u="1"/>
        <n v="106951.2345295967" u="1"/>
        <n v="169406.427224424" u="1"/>
        <n v="221650.04665049873" u="1"/>
        <n v="270798.65990420955" u="1"/>
        <n v="505697.53139064676" u="1"/>
        <n v="965801.11369093508" u="1"/>
        <n v="104436.98578773483" u="1"/>
        <n v="457077.71873759688" u="1"/>
        <n v="5805464.8310418446" u="1"/>
        <n v="231575.38966810412" u="1"/>
        <n v="33629.8300065" u="1"/>
        <n v="339368.73749999999" u="1"/>
        <n v="74976.007236095669" u="1"/>
        <n v="82564.156431615687" u="1"/>
        <n v="51293.314800000007" u="1"/>
        <n v="287685.70674667903" u="1"/>
        <n v="14278.742347585301" u="1"/>
        <n v="115544.00000000001" u="1"/>
        <n v="1580822.4732300001" u="1"/>
        <n v="380284.54360576643" u="1"/>
        <n v="617207.5419520291" u="1"/>
        <n v="13393.254419999999" u="1"/>
        <n v="59917.414187827657" u="1"/>
        <n v="124234.95018694618" u="1"/>
        <n v="150539.79933367204" u="1"/>
        <n v="309803.02031250001" u="1"/>
        <n v="29017.646184967725" u="1"/>
        <n v="32753.408688" u="1"/>
        <n v="249857.65224606695" u="1"/>
        <n v="964388.57860482507" u="1"/>
        <n v="83774.077804632936" u="1"/>
        <n v="142052.59445373906" u="1"/>
        <n v="150096.76124987192" u="1"/>
        <n v="183778.4" u="1"/>
        <n v="312967.4526501731" u="1"/>
        <n v="651018.60589035356" u="1"/>
        <n v="18912.191917483866" u="1"/>
        <n v="48071.831530002295" u="1"/>
        <n v="66899.511226894145" u="1"/>
        <n v="120012.20102238441" u="1"/>
        <n v="536458.87458015827" u="1"/>
        <n v="67993.161096010372" u="1"/>
        <n v="126286.39559077963" u="1"/>
        <n v="126543.98169552285" u="1"/>
        <n v="447374.85478672083" u="1"/>
        <n v="93858.572808000012" u="1"/>
        <n v="861198.74400297797" u="1"/>
        <n v="2005171.2527543097" u="1"/>
        <n v="64152.02614085863" u="1"/>
        <n v="323525.87506272795" u="1"/>
        <n v="331591.76762601791" u="1"/>
        <n v="1568690.3226207169" u="1"/>
        <n v="10435.471009269018" u="1"/>
        <n v="30399.491549674498" u="1"/>
        <n v="1108022.2855613555" u="1"/>
        <n v="70317.828060480009" u="1"/>
        <n v="73744.509950254447" u="1"/>
        <n v="120380.30645035228" u="1"/>
        <n v="162100.96046073877" u="1"/>
        <n v="187574.3231582345" u="1"/>
        <n v="343475.99709630414" u="1"/>
        <n v="1148853.2425121695" u="1"/>
        <n v="31105.347829630206" u="1"/>
        <n v="179367.31845103676" u="1"/>
        <n v="396206.88633839146" u="1"/>
        <n v="437017.12428585207" u="1"/>
        <n v="189406.43130105414" u="1"/>
        <n v="240602.07600000003" u="1"/>
        <n v="992956.95046251919" u="1"/>
        <n v="26828.720503801193" u="1"/>
        <n v="74662.286874583588" u="1"/>
        <n v="131295.9375" u="1"/>
        <n v="181341.03459207457" u="1"/>
        <n v="191993.95085434723" u="1"/>
        <n v="369560.33314199996" u="1"/>
        <n v="285825.57490194729" u="1"/>
        <n v="247963.63300878406" u="1"/>
        <n v="987917.43312722282" u="1"/>
        <n v="2192194.6704885857" u="1"/>
        <n v="27472.327816369088" u="1"/>
        <n v="35600.531019793038" u="1"/>
        <n v="151097.40632487109" u="1"/>
        <n v="154676.94200665955" u="1"/>
        <n v="379370.9550547793" u="1"/>
        <n v="496963.05362387758" u="1"/>
        <n v="502262.45793851116" u="1"/>
        <n v="1159860.7346322392" u="1"/>
        <n v="5071596.5798310982" u="1"/>
        <n v="28530.392378375662" u="1"/>
        <n v="186273.5475190203" u="1"/>
        <n v="32020.642399972679" u="1"/>
        <n v="94740.050287401711" u="1"/>
        <n v="1251709.6883200002" u="1"/>
        <n v="49234.437529444112" u="1"/>
        <n v="36262.606600197789" u="1"/>
        <n v="110306.55047312206" u="1"/>
        <n v="113527.38250501738" u="1"/>
        <n v="153762.25654196503" u="1"/>
        <n v="366108.93401447014" u="1"/>
        <n v="3453397.1749634854" u="1"/>
        <n v="180665.3895032054" u="1"/>
        <n v="463741.92577069835" u="1"/>
        <n v="909620.98437600024" u="1"/>
        <n v="1376483.7351059001" u="1"/>
        <n v="115964.03557028546" u="1"/>
        <n v="140163.86983270582" u="1"/>
        <n v="216471.70392905825" u="1"/>
        <n v="222194.71510273049" u="1"/>
        <n v="226654.25774195362" u="1"/>
        <n v="250033.875" u="1"/>
        <n v="81870.352729069986" u="1"/>
        <n v="63180.025744785009" u="1"/>
        <n v="259111.67763599969" u="1"/>
        <n v="22415.072761111267" u="1"/>
        <n v="26771.472000000002" u="1"/>
        <n v="33753.537450501586" u="1"/>
        <n v="223046.46" u="1"/>
        <n v="789593.1487327005" u="1"/>
        <n v="5918086.1654730169" u="1"/>
        <n v="1050119.6760539876" u="1"/>
        <n v="189627.49262213774" u="1"/>
        <n v="198078.68333377902" u="1"/>
        <n v="1448040.0660342104" u="1"/>
        <n v="27249.801961056502" u="1"/>
        <n v="49389.921125999994" u="1"/>
        <n v="79824.186664704612" u="1"/>
        <n v="171915.03452006992" u="1"/>
        <n v="272697.20477999997" u="1"/>
        <n v="512036.86248000001" u="1"/>
        <n v="1340200.8617114779" u="1"/>
        <n v="2034841.9374609038" u="1"/>
        <n v="22014.191649981218" u="1"/>
        <n v="44151.955419164602" u="1"/>
        <n v="65128.271080146536" u="1"/>
        <n v="69514.80075080182" u="1"/>
        <n v="86762.008373587974" u="1"/>
        <n v="135025.2864615538" u="1"/>
        <n v="237620.14049428463" u="1"/>
        <n v="271206" u="1"/>
        <n v="328667.32474580448" u="1"/>
        <n v="134562.30375046533" u="1"/>
        <n v="250694.82664772143" u="1"/>
        <n v="429167.0996641267" u="1"/>
        <n v="502780.29221065517" u="1"/>
        <n v="123385.00932149967" u="1"/>
        <n v="176167.21938339638" u="1"/>
        <n v="188755.84654910909" u="1"/>
        <n v="213306.92649862129" u="1"/>
        <n v="216852.66734238926" u="1"/>
        <n v="351139.48409169912" u="1"/>
        <n v="1063931.9645243024" u="1"/>
        <n v="15165.39779951757" u="1"/>
        <n v="273484.848" u="1"/>
        <n v="308151.02861646231" u="1"/>
        <n v="320887.46700072201" u="1"/>
        <n v="476018.30186005129" u="1"/>
        <n v="565984.82907776022" u="1"/>
        <n v="648257.51068012684" u="1"/>
        <n v="53230.873044386433" u="1"/>
        <n v="122417.84104814896" u="1"/>
        <n v="1698917.9922000002" u="1"/>
        <n v="5886951.2005437771" u="1"/>
        <n v="326660.0457721636" u="1"/>
        <n v="838641.80399999989" u="1"/>
        <n v="861741.3118436056" u="1"/>
        <n v="150524.32443653655" u="1"/>
        <n v="403548.87253116461" u="1"/>
        <n v="2502479.7872604267" u="1"/>
        <n v="63366.046066714531" u="1"/>
        <n v="63776.384066393497" u="1"/>
        <n v="119481.0617869355" u="1"/>
        <n v="136164.41131623514" u="1"/>
        <n v="522447.5345333172" u="1"/>
        <n v="28956.251141413872" u="1"/>
        <n v="68112.167760000011" u="1"/>
        <n v="107292.62013913029" u="1"/>
        <n v="224016.15599999996" u="1"/>
        <n v="228786.88163485817" u="1"/>
        <n v="429039" u="1"/>
        <n v="123829.82803114434" u="1"/>
        <n v="339643.84621964948" u="1"/>
        <n v="689344.03358704934" u="1"/>
        <n v="54735.666041976532" u="1"/>
        <n v="311886.89999999997" u="1"/>
        <n v="536666.64212651807" u="1"/>
        <n v="4387788.6875125188" u="1"/>
        <n v="58523.247348616511" u="1"/>
        <n v="29631.105409880325" u="1"/>
        <n v="70120.765180692397" u="1"/>
        <n v="77993.8504770031" u="1"/>
        <n v="101187.94425259599" u="1"/>
        <n v="25105.076543928917" u="1"/>
        <n v="84674.328615221908" u="1"/>
        <n v="160694.75130209941" u="1"/>
        <n v="12952.859129595237" u="1"/>
        <n v="23047.491495956652" u="1"/>
        <n v="45734.126937031506" u="1"/>
        <n v="85299.124774493059" u="1"/>
        <n v="293753.26055390894" u="1"/>
        <n v="305938.86520012148" u="1"/>
        <n v="223167.26970790565" u="1"/>
        <n v="638202.94738199993" u="1"/>
        <n v="37823.103454499993" u="1"/>
        <n v="223167.26970790568" u="1"/>
        <n v="372256.28551844443" u="1"/>
        <n v="3058564.8407080122" u="1"/>
        <n v="34939.649920955904" u="1"/>
        <n v="200271.39350426011" u="1"/>
        <n v="262127.54568000001" u="1"/>
        <n v="315276.97500000003" u="1"/>
        <n v="508309.01550000004" u="1"/>
        <n v="81181.47655799998" u="1"/>
        <n v="292457.13336344319" u="1"/>
        <n v="147827.25217260001" u="1"/>
        <n v="524913.52914000012" u="1"/>
        <n v="43186.208701236814" u="1"/>
        <n v="93988.335241878143" u="1"/>
        <n v="163196.25586328274" u="1"/>
        <n v="19061.658777612709" u="1"/>
        <n v="90057.388001976986" u="1"/>
        <n v="202946.42532857065" u="1"/>
        <n v="601777.35340322834" u="1"/>
        <n v="607855.91252851335" u="1"/>
        <n v="255351.71977200315" u="1"/>
        <n v="220111.98925520753" u="1"/>
        <n v="259681.15385058426" u="1"/>
        <n v="323056.26117332437" u="1"/>
        <n v="396627.90515301091" u="1"/>
        <n v="1358409.467787252" u="1"/>
        <n v="50419.200000000004" u="1"/>
        <n v="150531.65804075866" u="1"/>
        <n v="39859.404100230393" u="1"/>
        <n v="209261.87152620952" u="1"/>
        <n v="328697.42651502532" u="1"/>
        <n v="49210.172500632762" u="1"/>
        <n v="136698.06094230758" u="1"/>
        <n v="233242.86960000006" u="1"/>
        <n v="278458.53942849796" u="1"/>
        <n v="65482.012332581093" u="1"/>
        <n v="65768.016765380147" u="1"/>
        <n v="132265.87398979708" u="1"/>
        <n v="163614.13871721807" u="1"/>
        <n v="314053.75242570665" u="1"/>
        <n v="1431037.0112951123" u="1"/>
        <n v="2234985.4357347428" u="1"/>
        <n v="2720662.2773157232" u="1"/>
        <n v="37070.436183485632" u="1"/>
        <n v="77004.559850399994" u="1"/>
        <n v="119413.14909550679" u="1"/>
        <n v="5033700.7836228572" u="1"/>
        <n v="11069.171733882109" u="1"/>
        <n v="127530.17478296922" u="1"/>
        <n v="193928.54503788371" u="1"/>
        <n v="43728.227425495214" u="1"/>
        <n v="59665.156758287703" u="1"/>
        <n v="202688.96468837274" u="1"/>
        <n v="259974.37084589901" u="1"/>
        <n v="511377.42280993034" u="1"/>
        <n v="10407.091554473789" u="1"/>
        <n v="30407.746043548123" u="1"/>
        <n v="97622.779200940582" u="1"/>
        <n v="132418.63220904049" u="1"/>
        <n v="317350.32536387775" u="1"/>
        <n v="15302.023004918628" u="1"/>
        <n v="79705.777241428019" u="1"/>
        <n v="488706.95534890168" u="1"/>
        <n v="736421.18710031128" u="1"/>
        <n v="15939.607296790236" u="1"/>
        <n v="27002.829960401268" u="1"/>
        <n v="287022.64499999996" u="1"/>
        <n v="4350656.7946526464" u="1"/>
        <n v="57893.49292901365" u="1"/>
        <n v="565563.39840000018" u="1"/>
        <n v="598220.14561273286" u="1"/>
        <n v="16172.186686666553" u="1"/>
        <n v="27036.212112000005" u="1"/>
        <n v="62751.326880141198" u="1"/>
        <n v="67589.435390247774" u="1"/>
        <n v="3758780.3539000005" u="1"/>
        <n v="1581521.0890638034" u="1"/>
        <n v="51255.210853310004" u="1"/>
        <n v="231821.82400000002" u="1"/>
        <n v="484896.61798873497" u="1"/>
        <n v="523072.35189033335" u="1"/>
        <n v="98643.184300221968" u="1"/>
        <n v="194129.11668149999" u="1"/>
        <n v="272251.00481605862" u="1"/>
        <n v="276631.02975300344" u="1"/>
        <n v="17306.570886963815" u="1"/>
        <n v="42975.054242825485" u="1"/>
        <n v="114360.246" u="1"/>
        <n v="218035.11067965726" u="1"/>
        <n v="284596.14527564496" u="1"/>
        <n v="293513.47357085109" u="1"/>
        <n v="307963.68312000233" u="1"/>
        <n v="2419431.378" u="1"/>
        <n v="51809.376220695056" u="1"/>
        <n v="4012260.4776251474" u="1"/>
        <n v="60056.852544000016" u="1"/>
        <n v="67225.600000000006" u="1"/>
        <n v="383388.73921548971" u="1"/>
        <n v="470477.03344604082" u="1"/>
        <n v="592702.52459708881" u="1"/>
        <n v="33939.882114719534" u="1"/>
        <n v="39663.173187736946" u="1"/>
        <n v="304545.97562568524" u="1"/>
        <n v="359367.58407070156" u="1"/>
        <n v="290656.75301489228" u="1"/>
        <n v="1063296.8051440881" u="1"/>
        <n v="1928773.5686000907" u="1"/>
        <n v="10626.404864526823" u="1"/>
        <n v="25295.391063607749" u="1"/>
        <n v="178079.55308779856" u="1"/>
        <n v="239819.55379199999" u="1"/>
        <n v="1517424.1991105571" u="1"/>
        <n v="78436.70355216082" u="1"/>
        <n v="84037.61296107083" u="1"/>
        <n v="111449.25792000002" u="1"/>
        <n v="259822.01699999999" u="1"/>
        <n v="408798.19491154922" u="1"/>
        <n v="11242.483871192884" u="1"/>
        <n v="98244.423274884" u="1"/>
        <n v="370791.68951930554" u="1"/>
        <n v="65337.995277329355" u="1"/>
        <n v="367140.19153188792" u="1"/>
        <n v="399529.82159999991" u="1"/>
        <n v="500681.01187925145" u="1"/>
        <n v="237824.50786533015" u="1"/>
        <n v="290291.59879878699" u="1"/>
        <n v="43225.066357200005" u="1"/>
        <n v="389609.76574624691" u="1"/>
        <n v="247590.60464697218" u="1"/>
        <n v="1451496.9980423918" u="1"/>
        <n v="118072.46550463779" u="1"/>
        <n v="182681.94445102639" u="1"/>
        <n v="443740.46465948061" u="1"/>
        <n v="298776.92520893773" u="1"/>
        <n v="872199.88710399996" u="1"/>
        <n v="12723.121788793542" u="1"/>
        <n v="320206.42399972677" u="1"/>
        <n v="362388.31200000003" u="1"/>
        <n v="39826.358912112097" u="1"/>
        <n v="62919.620008301594" u="1"/>
        <n v="634983.66485857172" u="1"/>
        <n v="23321.690583809748" u="1"/>
        <n v="54380.896069499999" u="1"/>
        <n v="1351363.5200899455" u="1"/>
        <n v="804694.65104347724" u="1"/>
        <n v="1106643.3077699998" u="1"/>
        <n v="7639836.4015386207" u="1"/>
        <n v="32104.029489555931" u="1"/>
        <n v="166407.08457984819" u="1"/>
        <n v="174656.86942297631" u="1"/>
        <n v="1022278.0848051275" u="1"/>
        <n v="21972.496510252" u="1"/>
        <n v="50919.622211042391" u="1"/>
        <n v="154459.97045026196" u="1"/>
        <n v="168134.37946442957" u="1"/>
        <n v="204541.00037754324" u="1"/>
        <n v="441043.20000000007" u="1"/>
        <n v="563425.88779743423" u="1"/>
        <n v="59595.941345859865" u="1"/>
        <n v="110156.98714020001" u="1"/>
        <n v="145686.13819841351" u="1"/>
        <n v="320987.12530576572" u="1"/>
        <n v="495282.45789529284" u="1"/>
        <n v="25111.424583145144" u="1"/>
        <n v="99148.134883114471" u="1"/>
        <n v="125419.17876019844" u="1"/>
        <n v="223105.34918102034" u="1"/>
        <n v="399822.10541253019" u="1"/>
        <n v="473832.50748916145" u="1"/>
        <n v="44793.194724108893" u="1"/>
        <n v="338938.1778139589" u="1"/>
        <n v="4191722.2320729233" u="1"/>
        <n v="5827038.7002762072" u="1"/>
        <n v="140519.26979999998" u="1"/>
        <n v="255844.12965903518" u="1"/>
        <n v="122412.62630027544" u="1"/>
        <n v="1059188.9275809347" u="1"/>
        <n v="39447.594875334958" u="1"/>
        <n v="49962.407040000006" u="1"/>
        <n v="150935.95670033962" u="1"/>
        <n v="366529.26663896767" u="1"/>
        <n v="1714162.4276191294" u="1"/>
        <n v="4285943.3356053317" u="1"/>
        <n v="246525.92249366481" u="1"/>
        <n v="509532.97554273816" u="1"/>
        <n v="45379.417824145079" u="1"/>
        <n v="74168.076123637744" u="1"/>
        <n v="143170.07410587781" u="1"/>
        <n v="205317.6301850914" u="1"/>
        <n v="293867.13456099998" u="1"/>
        <n v="2038021.7000000002" u="1"/>
        <n v="2170651.392" u="1"/>
        <n v="67675.289251576163" u="1"/>
        <n v="114579.32140312428" u="1"/>
        <n v="142404.89709600003" u="1"/>
        <n v="429718.40316598112" u="1"/>
        <n v="137491.86440482369" u="1"/>
        <n v="258744.66053090515" u="1"/>
        <n v="562071.51" u="1"/>
        <n v="2214529.5969560067" u="1"/>
        <n v="240598.722397501" u="1"/>
        <n v="31872.192740145765" u="1"/>
        <n v="79825.709383512949" u="1"/>
        <n v="213243.10766135607" u="1"/>
        <n v="11751.725300898488" u="1"/>
        <n v="20109.228806182633" u="1"/>
        <n v="194463.74736293752" u="1"/>
        <n v="485483.14441643294" u="1"/>
        <n v="1496945.5155199999" u="1"/>
        <n v="155916.22073844579" u="1"/>
        <n v="221979.61012500001" u="1"/>
        <n v="811848.61995394819" u="1"/>
        <n v="51828.641330592596" u="1"/>
        <n v="99320.613397223482" u="1"/>
        <n v="731540.59185770655" u="1"/>
        <n v="38070.722936752332" u="1"/>
        <n v="233376.30470385842" u="1"/>
        <n v="22039.163689028635" u="1"/>
        <n v="73605.3318" u="1"/>
        <n v="985138.05240369821" u="1"/>
        <n v="1239709.3716899157" u="1"/>
        <n v="1883271.4143750002" u="1"/>
        <n v="16315.527236026997" u="1"/>
        <n v="270543.66767999995" u="1"/>
        <n v="4114559.5348" u="1"/>
        <n v="12487.383274149728" u="1"/>
        <n v="45918.240339842319" u="1"/>
        <n v="151916.18835742347" u="1"/>
        <n v="160245.65481702704" u="1"/>
        <n v="303060.38550068194" u="1"/>
        <n v="9209.1167233172309" u="1"/>
        <n v="31345.9146" u="1"/>
        <n v="46261.422567360001" u="1"/>
        <n v="47105.794839511153" u="1"/>
        <n v="100556.95121699441" u="1"/>
        <n v="294180.35784932808" u="1"/>
        <n v="303575.9629218867" u="1"/>
        <n v="825139.20085899939" u="1"/>
        <n v="1217890.3221543755" u="1"/>
        <n v="44238.717021604527" u="1"/>
        <n v="54064.464987992716" u="1"/>
        <n v="60329.231884746521" u="1"/>
        <n v="91869.13989764452" u="1"/>
        <n v="232692.93324635687" u="1"/>
        <n v="252635.21211485416" u="1"/>
        <n v="701176.59236022539" u="1"/>
        <n v="10007776.561677312" u="1"/>
        <n v="56085.032367" u="1"/>
        <n v="72282.65870001314" u="1"/>
        <n v="124947.13308929626" u="1"/>
        <n v="203400.63352958058" u="1"/>
        <n v="478278.21749874362" u="1"/>
        <n v="17847.401183468282" u="1"/>
        <n v="211307.50968499927" u="1"/>
        <n v="892938.70446867577" u="1"/>
        <n v="69845.405760000009" u="1"/>
        <n v="119213.02223999998" u="1"/>
        <n v="462061.60000000003" u="1"/>
        <n v="84385.825836963151" u="1"/>
        <n v="3170303.3690217123" u="1"/>
        <n v="58134.879558025867" u="1"/>
        <n v="335880.33228844922" u="1"/>
        <n v="398987.06214375491" u="1"/>
        <n v="48908.301461062722" u="1"/>
        <n v="54728.641653529274" u="1"/>
        <n v="229069.74399704314" u="1"/>
        <n v="361988.79379248113" u="1"/>
        <n v="71377.963037269961" u="1"/>
        <n v="1900986.8008206352" u="1"/>
        <n v="61396.468686138141" u="1"/>
        <n v="74458.931324122605" u="1"/>
        <n v="77448.765183507581" u="1"/>
        <n v="10695.914120749201" u="1"/>
        <n v="21988.121396659291" u="1"/>
        <n v="60783.035825093437" u="1"/>
        <n v="77448.765183507596" u="1"/>
        <n v="8000183.9603938423" u="1"/>
        <n v="24635.435481067125" u="1"/>
        <n v="33782.292915574144" u="1"/>
        <n v="148808.05168358513" u="1"/>
        <n v="533520" u="1"/>
        <n v="30627.955420782433" u="1"/>
        <n v="97309.781145326881" u="1"/>
        <n v="203761.42016808779" u="1"/>
        <n v="383716.98299906455" u="1"/>
        <n v="545103.09489775856" u="1"/>
        <n v="47095.419113775584" u="1"/>
        <n v="423116.82553720084" u="1"/>
        <n v="658386.53267193586" u="1"/>
        <n v="509345.18571543175" u="1"/>
        <n v="925451.23606672836" u="1"/>
        <n v="140009.61075394534" u="1"/>
        <n v="265425.43566726387" u="1"/>
        <n v="693547.34916633274" u="1"/>
        <n v="9748465.8476646096" u="1"/>
        <n v="34666.920889702742" u="1"/>
        <n v="83668.975650000008" u="1"/>
        <n v="169620.75" u="1"/>
        <n v="226847.97229327797" u="1"/>
        <n v="1001785.3504940314" u="1"/>
        <n v="1420220.5874999999" u="1"/>
        <n v="26198.512873302399" u="1"/>
        <n v="296461.247642742" u="1"/>
        <n v="85256.234565791834" u="1"/>
        <n v="487549.56665343669" u="1"/>
        <n v="13844.707543079046" u="1"/>
        <n v="135366.9721903046" u="1"/>
        <n v="526987.31382516131" u="1"/>
        <n v="24131.116392131615" u="1"/>
        <n v="117658.73790026474" u="1"/>
        <n v="457309.63453961909" u="1"/>
        <n v="527049.20493825176" u="1"/>
        <n v="867344.53975257708" u="1"/>
        <n v="1133387.4709997333" u="1"/>
        <n v="138613.52934000004" u="1"/>
        <n v="512424.18738619465" u="1"/>
        <n v="34470.192688335133" u="1"/>
        <n v="239730.46491937403" u="1"/>
        <n v="389719.6875" u="1"/>
        <n v="401994.35478285438" u="1"/>
        <n v="29109.674980363598" u="1"/>
        <n v="147822.56789760114" u="1"/>
        <n v="253560.91085521129" u="1"/>
        <n v="848091.90534564562" u="1"/>
        <n v="861139.47312019404" u="1"/>
        <n v="141976.99015499544" u="1"/>
        <n v="324831.38572161889" u="1"/>
        <n v="1109240.6266691624" u="1"/>
        <n v="10134.687874672241" u="1"/>
        <n v="62499.545782239671" u="1"/>
        <n v="523999.86209999991" u="1"/>
        <n v="640388.38321810751" u="1"/>
        <n v="1540396.2537600002" u="1"/>
        <n v="168926.45311413013" u="1"/>
        <n v="427261.76064000011" u="1"/>
        <n v="57997.438480130491" u="1"/>
        <n v="58326.112714466748" u="1"/>
        <n v="95712.855633086539" u="1"/>
        <n v="62648.414596202078" u="1"/>
        <n v="225738.54421903632" u="1"/>
        <n v="281283.74550539895" u="1"/>
        <n v="289732.23307929822" u="1"/>
        <n v="601451.7734656391" u="1"/>
        <n v="807215.76" u="1"/>
        <n v="56846.620658803404" u="1"/>
        <n v="73357.038810719489" u="1"/>
        <n v="487976.25822000386" u="1"/>
        <n v="694373.079659782" u="1"/>
        <n v="1409320.9891214743" u="1"/>
        <n v="48336.882010179703" u="1"/>
        <n v="62648.414596202092" u="1"/>
        <n v="122334.27576629152" u="1"/>
        <n v="244817.58987492614" u="1"/>
        <n v="402523.77956473018" u="1"/>
        <n v="500049.6360761252" u="1"/>
        <n v="527737.48560000001" u="1"/>
        <n v="3042831.4070069841" u="1"/>
        <n v="41070.932527521691" u="1"/>
        <n v="85317.525475557151" u="1"/>
        <n v="325126.59065464145" u="1"/>
        <n v="125407.0639826425" u="1"/>
        <n v="309885.80220000003" u="1"/>
        <n v="59211.768913028041" u="1"/>
        <n v="110528.43516000001" u="1"/>
        <n v="256297.60000000003" u="1"/>
        <n v="552957.86724231567" u="1"/>
        <n v="780309.96655941207" u="1"/>
        <n v="367906.39445707772" u="1"/>
        <n v="49668.382813593991" u="1"/>
        <n v="92166.011355207374" u="1"/>
        <n v="221848.12533383252" u="1"/>
        <n v="374838.3103616556" u="1"/>
        <n v="48567.150842126881" u="1"/>
        <n v="185776.11" u="1"/>
        <n v="275086.06541403529" u="1"/>
        <n v="499837.40891541046" u="1"/>
        <n v="27509.063399999999" u="1"/>
        <n v="623205.86129396269" u="1"/>
        <n v="653830.6761429027" u="1"/>
        <n v="874398.17289625737" u="1"/>
        <n v="186293.00167541913" u="1"/>
        <n v="698841.60374012147" u="1"/>
        <n v="27770.59880408967" u="1"/>
        <n v="193859.75664000004" u="1"/>
        <n v="209121.56992963719" u="1"/>
        <n v="548332.10116525495" u="1"/>
        <n v="6668.7123840831946" u="1"/>
        <n v="1231071.1115040004" u="1"/>
        <n v="13395028.04912026" u="1"/>
        <n v="121231.84443012699" u="1"/>
        <n v="178085.01719543402" u="1"/>
        <n v="323717.16247691883" u="1"/>
        <n v="4651660.1183607616" u="1"/>
        <n v="260077.31121725184" u="1"/>
        <n v="346577.97283200006" u="1"/>
        <n v="21788.43804654917" u="1"/>
        <n v="136674.29150030753" u="1"/>
        <n v="149086.20916304534" u="1"/>
        <n v="173077.98423812279" u="1"/>
        <n v="272279.47051153367" u="1"/>
        <n v="647557.55290871731" u="1"/>
        <n v="680337.84343864594" u="1"/>
        <n v="70248.619088031584" u="1"/>
        <n v="120182.67289883668" u="1"/>
        <n v="1417325.3563572951" u="1"/>
        <n v="38424.770879967218" u="1"/>
        <n v="4061727.746811674" u="1"/>
        <n v="152143.58535657573" u="1"/>
        <n v="280217.74372696469" u="1"/>
        <n v="476267.66396872042" u="1"/>
        <n v="108918.51599816175" u="1"/>
        <n v="211391.17982520958" u="1"/>
        <n v="230091.09022663691" u="1"/>
        <n v="1202784.3329089012" u="1"/>
        <n v="28895.18828402619" u="1"/>
        <n v="39123.403173608676" u="1"/>
        <n v="100200.36826800001" u="1"/>
        <n v="178678.97757338907" u="1"/>
        <n v="162016.97976240763" u="1"/>
        <n v="184637.62982184399" u="1"/>
        <n v="817958.84858814999" u="1"/>
        <n v="37920.054084934258" u="1"/>
        <n v="42485.040000000008" u="1"/>
        <n v="42839.017059187296" u="1"/>
        <n v="175196.93248117491" u="1"/>
        <n v="188924.6727685974" u="1"/>
        <n v="6728816.6400000025" u="1"/>
        <n v="39929.79286185393" u="1"/>
        <n v="63678.387505425562" u="1"/>
        <n v="104738.24979990713" u="1"/>
        <n v="118876.63490989858" u="1"/>
        <n v="665764.46342742385" u="1"/>
        <n v="708418.68386506115" u="1"/>
        <n v="46615.109476599573" u="1"/>
        <n v="121609.9904495254" u="1"/>
        <n v="130510.92600000001" u="1"/>
        <n v="223913.15481600002" u="1"/>
        <n v="390225.42" u="1"/>
        <n v="9327.9780336462754" u="1"/>
        <n v="38693.695375791052" u="1"/>
        <n v="162338.94734650775" u="1"/>
        <n v="355791.14999999997" u="1"/>
        <n v="437417.54456399998" u="1"/>
        <n v="3887381.1600000006" u="1"/>
        <n v="3900998.3389574615" u="1"/>
        <n v="41343.051384104569" u="1"/>
        <n v="271650.76571489696" u="1"/>
        <n v="895403.12090003921" u="1"/>
        <n v="20402.697339891503" u="1"/>
        <n v="419219.38479856221" u="1"/>
        <n v="135465.265782" u="1"/>
        <n v="189169.47458434355" u="1"/>
        <n v="32144.874715193644" u="1"/>
        <n v="113482.57899331089" u="1"/>
        <n v="688323.4245848821" u="1"/>
        <n v="13908.585600000002" u="1"/>
        <n v="85835.981123468009" u="1"/>
        <n v="100861.66555356029" u="1"/>
        <n v="101242.88641458518" u="1"/>
        <n v="107208.6551192232" u="1"/>
        <n v="228836.59343999997" u="1"/>
        <n v="262013.53034683943" u="1"/>
        <n v="332761.10283479316" u="1"/>
        <n v="18842.317935804462" u="1"/>
        <n v="345222.84809601482" u="1"/>
        <n v="380091.87216000009" u="1"/>
        <n v="676811.62867499993" u="1"/>
        <n v="13801.843028889831" u="1"/>
        <n v="16355.925088753498" u="1"/>
        <n v="80629.059015249702" u="1"/>
        <n v="108705.76717000001" u="1"/>
        <n v="315499.45396488113" u="1"/>
        <n v="13283.006080658526" u="1"/>
        <n v="416698.12612927094" u="1"/>
        <n v="517923.13202736859" u="1"/>
        <n v="205704.71264212951" u="1"/>
        <n v="798221.36040320597" u="1"/>
        <n v="172420.63348637024" u="1"/>
        <n v="8220255.8508912791" u="1"/>
        <n v="22484.457062134727" u="1"/>
        <n v="38214.007898972879" u="1"/>
        <n v="111851.620395217" u="1"/>
        <n v="545077.31978700007" u="1"/>
        <n v="853405.11375986342" u="1"/>
        <n v="1524366.0080527631" u="1"/>
        <n v="1532991.7121769628" u="1"/>
        <n v="14873.689945401355" u="1"/>
        <n v="97902.526175999999" u="1"/>
        <n v="181470.83615350173" u="1"/>
        <n v="490634.89743512566" u="1"/>
        <n v="509955.08509135118" u="1"/>
        <n v="883125.34050820547" u="1"/>
        <n v="367152.98803654016" u="1"/>
        <n v="63001.026223135297" u="1"/>
        <n v="78359.927126842973" u="1"/>
        <n v="93893.422539447361" u="1"/>
        <n v="1017438.244103517" u="1"/>
        <n v="89495.093583044218" u="1"/>
        <n v="145407.10615764049" u="1"/>
        <n v="46701007.299573459" u="1"/>
        <n v="24655.384002898139" u="1"/>
        <n v="83936.034" u="1"/>
        <n v="186303.2704239747" u="1"/>
        <n v="244358.07683646242" u="1"/>
        <n v="818296.6935244418" u="1"/>
        <n v="1434701.2680000002" u="1"/>
        <n v="64520.724185872554" u="1"/>
        <n v="170267.29480800001" u="1"/>
        <n v="169310.26126976579" u="1"/>
        <n v="530610.77596078988" u="1"/>
        <n v="95454.117498548105" u="1"/>
        <n v="3580735.9569055438" u="1"/>
        <n v="381584.43496514426" u="1"/>
        <n v="51645.664324800004" u="1"/>
        <n v="97032.249934545325" u="1"/>
        <n v="99166.959433105309" u="1"/>
        <n v="380548.33026209479" u="1"/>
        <n v="1485375.7541339337" u="1"/>
        <n v="2562709.1490000002" u="1"/>
        <n v="75058.324212579828" u="1"/>
        <n v="77403.896654639713" u="1"/>
        <n v="114910.39616900854" u="1"/>
        <n v="126157.22157499472" u="1"/>
        <n v="176785.22487539781" u="1"/>
        <n v="242922.42394445656" u="1"/>
        <n v="684526.9164876513" u="1"/>
        <n v="2664191.5053206538" u="1"/>
        <n v="138185.21369013272" u="1"/>
        <n v="1967187.1502006699" u="1"/>
        <n v="223138.34074636435" u="1"/>
        <n v="516677.5256492364" u="1"/>
        <n v="69719.670618876597" u="1"/>
        <n v="19955.223288000001" u="1"/>
        <n v="187714.17522000003" u="1"/>
        <n v="20984.651700111972" u="1"/>
        <n v="677407.89431411587" u="1"/>
      </sharedItems>
    </cacheField>
    <cacheField name="Factored Total Cost (reduced to GRC levels)" numFmtId="0">
      <sharedItems containsNonDate="0" containsString="0" containsBlank="1"/>
    </cacheField>
    <cacheField name="Annual depreciation" numFmtId="0">
      <sharedItems containsNonDate="0" containsString="0" containsBlank="1"/>
    </cacheField>
    <cacheField name="Accumulated depreciation" numFmtId="0">
      <sharedItems containsNonDate="0" containsString="0" containsBlank="1" containsNumber="1" minValue="0" maxValue="45253847.853989214" count="8000">
        <m/>
        <n v="8027.1131848519917" u="1"/>
        <n v="76016.061311006502" u="1"/>
        <n v="265145.24453888327" u="1"/>
        <n v="263010.24889853573" u="1"/>
        <n v="30801.577812097967" u="1"/>
        <n v="220137.22523071509" u="1"/>
        <n v="89345.538928035239" u="1"/>
        <n v="128560.76090496973" u="1"/>
        <n v="141523.39789100087" u="1"/>
        <n v="206538.18470198649" u="1"/>
        <n v="22407.27733223671" u="1"/>
        <n v="251763.7308346988" u="1"/>
        <n v="30320.881484108053" u="1"/>
        <n v="80698.51905718114" u="1"/>
        <n v="38469.600377737654" u="1"/>
        <n v="116537.80924996427" u="1"/>
        <n v="58872.701402494647" u="1"/>
        <n v="8797.3084542427496" u="1"/>
        <n v="30523.749825810533" u="1"/>
        <n v="34679.574327572307" u="1"/>
        <n v="16041.615293100447" u="1"/>
        <n v="280619.78179362119" u="1"/>
        <n v="25664.41823617234" u="1"/>
        <n v="184375.2908905544" u="1"/>
        <n v="121742.94832804542" u="1"/>
        <n v="27650.86261385983" u="1"/>
        <n v="99787.198573351401" u="1"/>
        <n v="10816.207739762895" u="1"/>
        <n v="18790.08832291625" u="1"/>
        <n v="52258.658309640756" u="1"/>
        <n v="37936.318103864047" u="1"/>
        <n v="18705.222670396575" u="1"/>
        <n v="27859.303645217427" u="1"/>
        <n v="341160.46219047788" u="1"/>
        <n v="310155.70696119656" u="1"/>
        <n v="51260.837999493473" u="1"/>
        <n v="32343.55063866192" u="1"/>
        <n v="83694.941373868089" u="1"/>
        <n v="30868.687184852934" u="1"/>
        <n v="11486.163130396902" u="1"/>
        <n v="399484.33088697406" u="1"/>
        <n v="126947.50543173944" u="1"/>
        <n v="710207.35079998267" u="1"/>
        <n v="270483.88911616831" u="1"/>
        <n v="78751.628884644291" u="1"/>
        <n v="1334718.9018972255" u="1"/>
        <n v="574687.05537299509" u="1"/>
        <n v="61894.97393312784" u="1"/>
        <n v="257673.80159812846" u="1"/>
        <n v="17316.911960476857" u="1"/>
        <n v="120002.32933581737" u="1"/>
        <n v="75819.579042653568" u="1"/>
        <n v="32879.576104268919" u="1"/>
        <n v="58350.954612384332" u="1"/>
        <n v="9854.4236073653028" u="1"/>
        <n v="44956.536695252842" u="1"/>
        <n v="35618.231298118262" u="1"/>
        <n v="194318.0297807802" u="1"/>
        <n v="221692.95421206512" u="1"/>
        <n v="398475.79214186047" u="1"/>
        <n v="148193.82474400167" u="1"/>
        <n v="94896.036434732843" u="1"/>
        <n v="6425.5360909765595" u="1"/>
        <n v="186475.94458906096" u="1"/>
        <n v="26650.754221792758" u="1"/>
        <n v="557327.35251109337" u="1"/>
        <n v="2029714.8341762207" u="1"/>
        <n v="372018.36314650648" u="1"/>
        <n v="41769.097898874752" u="1"/>
        <n v="10107.272113883279" u="1"/>
        <n v="16653.039985559069" u="1"/>
        <n v="2648.5790597505347" u="1"/>
        <n v="14029.414036503633" u="1"/>
        <n v="33660.55172793271" u="1"/>
        <n v="101657.09168281867" u="1"/>
        <n v="19155.639874665612" u="1"/>
        <n v="27479.960259194009" u="1"/>
        <n v="17091.090385562467" u="1"/>
        <n v="91849.531869826227" u="1"/>
        <n v="27553.869211907597" u="1"/>
        <n v="46029.428018636827" u="1"/>
        <n v="10201.680266595215" u="1"/>
        <n v="151697.84403539289" u="1"/>
        <n v="13728.621736473991" u="1"/>
        <n v="58798.659239494715" u="1"/>
        <n v="69329.063546415578" u="1"/>
        <n v="41047.297313204908" u="1"/>
        <n v="15405.225373577299" u="1"/>
        <n v="41442.606116396819" u="1"/>
        <n v="69502.845928684546" u="1"/>
        <n v="16546.737308171796" u="1"/>
        <n v="7840.0577252584653" u="1"/>
        <n v="311916.28224897111" u="1"/>
        <n v="39413.770245876876" u="1"/>
        <n v="23824.818497934168" u="1"/>
        <n v="18728.662659296271" u="1"/>
        <n v="43396.068562228313" u="1"/>
        <n v="5864.4736223089385" u="1"/>
        <n v="33795.409868307077" u="1"/>
        <n v="10897.968241323329" u="1"/>
        <n v="9486.0958355383755" u="1"/>
        <n v="20232.37838409908" u="1"/>
        <n v="4544.2842409428667" u="1"/>
        <n v="28044.840792414296" u="1"/>
        <n v="6772.1192982017592" u="1"/>
        <n v="8777.6127884743146" u="1"/>
        <n v="11330.504991919284" u="1"/>
        <n v="8894.6999647590401" u="1"/>
        <n v="13821.483680040266" u="1"/>
        <n v="11932.519157813949" u="1"/>
        <n v="3771.5954177620356" u="1"/>
        <n v="11795.825030901238" u="1"/>
        <n v="5427.4543455387011" u="1"/>
        <n v="5729.9873220352183" u="1"/>
        <n v="12329.503433845211" u="1"/>
        <n v="20846.496290403375" u="1"/>
        <n v="109043.70211605591" u="1"/>
        <n v="33431.457631582925" u="1"/>
        <n v="9925.6233088992867" u="1"/>
        <n v="42720.137435776342" u="1"/>
        <n v="36778.948545875821" u="1"/>
        <n v="5929.8962092344391" u="1"/>
        <n v="11323.725908490425" u="1"/>
        <n v="10921.044918164342" u="1"/>
        <n v="8704.2778242662025" u="1"/>
        <n v="203465.05734478845" u="1"/>
        <n v="15144.140844573272" u="1"/>
        <n v="44704.621499333167" u="1"/>
        <n v="21341.476288002679" u="1"/>
        <n v="56404.810088546627" u="1"/>
        <n v="229053.73212127559" u="1"/>
        <n v="55609.910407774361" u="1"/>
        <n v="9508.4281818211202" u="1"/>
        <n v="37162.656239029806" u="1"/>
        <n v="12051.574714235096" u="1"/>
        <n v="2593.9422167173166" u="1"/>
        <n v="8613.1788960751219" u="1"/>
        <n v="17023.231854203812" u="1"/>
        <n v="25321.108970306359" u="1"/>
        <n v="51688.660426438611" u="1"/>
        <n v="29428.620628684348" u="1"/>
        <n v="15773.313440240217" u="1"/>
        <n v="6877.3574072573556" u="1"/>
        <n v="52350.509610769659" u="1"/>
        <n v="92404.915376051591" u="1"/>
        <n v="45549.999879199277" u="1"/>
        <n v="11628.814979560837" u="1"/>
        <n v="9511.5207142861764" u="1"/>
        <n v="31082.583591532439" u="1"/>
        <n v="12756.298600433665" u="1"/>
        <n v="88451.721666483194" u="1"/>
        <n v="97399.496742935633" u="1"/>
        <n v="41784.48594864679" u="1"/>
        <n v="20863.715569212523" u="1"/>
        <n v="5687.8813622360558" u="1"/>
        <n v="56525.165999219185" u="1"/>
        <n v="47516.053127216677" u="1"/>
        <n v="27785.35378416445" u="1"/>
        <n v="59427.712166930083" u="1"/>
        <n v="31570.509602025402" u="1"/>
        <n v="57453.048730566552" u="1"/>
        <n v="58153.28984783066" u="1"/>
        <n v="34974.200057153452" u="1"/>
        <n v="24792.939156538621" u="1"/>
        <n v="43698.434971059381" u="1"/>
        <n v="23818.669797896699" u="1"/>
        <n v="35408.039613526125" u="1"/>
        <n v="34469.567909094767" u="1"/>
        <n v="20133.932798099333" u="1"/>
        <n v="28233.881891729467" u="1"/>
        <n v="9672.6829249774619" u="1"/>
        <n v="15068.419571388407" u="1"/>
        <n v="2439.301810735165" u="1"/>
        <n v="11384.280780300876" u="1"/>
        <n v="39783.394540947149" u="1"/>
        <n v="17170.847784114852" u="1"/>
        <n v="8976.761080400729" u="1"/>
        <n v="260717.59610366021" u="1"/>
        <n v="101180.65476610567" u="1"/>
        <n v="15605.844576339734" u="1"/>
        <n v="64096.538537606386" u="1"/>
        <n v="88403.244026457076" u="1"/>
        <n v="67380.970892780504" u="1"/>
        <n v="10185.434245209399" u="1"/>
        <n v="11636.314298332747" u="1"/>
        <n v="6132.4037844652976" u="1"/>
        <n v="8276.2656401028416" u="1"/>
        <n v="21819.60306877489" u="1"/>
        <n v="12429.730707686105" u="1"/>
        <n v="125128.5956394137" u="1"/>
        <n v="20233.571919843704" u="1"/>
        <n v="24384.241760962501" u="1"/>
        <n v="114685.40141563368" u="1"/>
        <n v="6070.4685835155196" u="1"/>
        <n v="23472.162271195804" u="1"/>
        <n v="14900.56896927631" u="1"/>
        <n v="3009.3590595946962" u="1"/>
        <n v="5432.6097278599809" u="1"/>
        <n v="5424.9713581000988" u="1"/>
        <n v="43421.750953530478" u="1"/>
        <n v="27409.508898446911" u="1"/>
        <n v="32668.477770758022" u="1"/>
        <n v="61567.486732408513" u="1"/>
        <n v="8417.1358718725678" u="1"/>
        <n v="4734.9358343516187" u="1"/>
        <n v="62168.146379266342" u="1"/>
        <n v="166933.98696079475" u="1"/>
        <n v="245143.24087907665" u="1"/>
        <n v="114207.07539147635" u="1"/>
        <n v="853747.09350471722" u="1"/>
        <n v="58178.82268099596" u="1"/>
        <n v="488619.8809648194" u="1"/>
        <n v="58839.733861482957" u="1"/>
        <n v="355895.60900811042" u="1"/>
        <n v="142961.01417775333" u="1"/>
        <n v="12055.059239115073" u="1"/>
        <n v="261295.13696394005" u="1"/>
        <n v="518535.83507644309" u="1"/>
        <n v="2282064.134943082" u="1"/>
        <n v="1086750.3629469119" u="1"/>
        <n v="229612.71123665525" u="1"/>
        <n v="22960.606890871975" u="1"/>
        <n v="121865.30855837322" u="1"/>
        <n v="25684.209201635735" u="1"/>
        <n v="228005.38878821826" u="1"/>
        <n v="815428.3457917393" u="1"/>
        <n v="142410.95415443979" u="1"/>
        <n v="27990.665608639174" u="1"/>
        <n v="158807.92609221561" u="1"/>
        <n v="26470.001863098892" u="1"/>
        <n v="444476.64490725443" u="1"/>
        <n v="688760.57832053967" u="1"/>
        <n v="152886.28941265654" u="1"/>
        <n v="24362.764784010367" u="1"/>
        <n v="290130.24670175853" u="1"/>
        <n v="352586.3091474417" u="1"/>
        <n v="67920.859299585616" u="1"/>
        <n v="149813.42310661473" u="1"/>
        <n v="82931.949302363457" u="1"/>
        <n v="238617.55399210702" u="1"/>
        <n v="628599.20526288438" u="1"/>
        <n v="385258.06988688902" u="1"/>
        <n v="212783.77374025088" u="1"/>
        <n v="45214.807698919649" u="1"/>
        <n v="904572.98298633506" u="1"/>
        <n v="325401.21791236976" u="1"/>
        <n v="57089.415436364325" u="1"/>
        <n v="40818.118189782392" u="1"/>
        <n v="39133.520400696019" u="1"/>
        <n v="74067.231762389783" u="1"/>
        <n v="17978.422509833286" u="1"/>
        <n v="657046.09799614153" u="1"/>
        <n v="69940.736320391836" u="1"/>
        <n v="295105.91962432739" u="1"/>
        <n v="275078.4095806079" u="1"/>
        <n v="324372.53512614523" u="1"/>
        <n v="159317.92790740554" u="1"/>
        <n v="123714.06649661703" u="1"/>
        <n v="154716.18454202794" u="1"/>
        <n v="80215.106015740894" u="1"/>
        <n v="137236.61678007303" u="1"/>
        <n v="78738.224044099814" u="1"/>
        <n v="55188.988109914389" u="1"/>
        <n v="54567.021991180816" u="1"/>
        <n v="191318.75989394102" u="1"/>
        <n v="80187.768916262139" u="1"/>
        <n v="51532.543263017695" u="1"/>
        <n v="132955.90277094915" u="1"/>
        <n v="103541.14592069614" u="1"/>
        <n v="106211.53655073713" u="1"/>
        <n v="6306.5455656914328" u="1"/>
        <n v="2583501.681552365" u="1"/>
        <n v="55878.851867430159" u="1"/>
        <n v="68996.740364099605" u="1"/>
        <n v="75773.905855014804" u="1"/>
        <n v="75600.872642906485" u="1"/>
        <n v="34050.357307855462" u="1"/>
        <n v="38722.848072545727" u="1"/>
        <n v="31401.013817041385" u="1"/>
        <n v="35832.392551682686" u="1"/>
        <n v="53568.132536481091" u="1"/>
        <n v="78631.615620478085" u="1"/>
        <n v="148093.06533157345" u="1"/>
        <n v="293973.43884707376" u="1"/>
        <n v="221861.40048933425" u="1"/>
        <n v="281084.4062792093" u="1"/>
        <n v="313389.70254099631" u="1"/>
        <n v="219702.59649267097" u="1"/>
        <n v="179691.0843580064" u="1"/>
        <n v="352046.23020642897" u="1"/>
        <n v="287306.911911048" u="1"/>
        <n v="320929.09076028812" u="1"/>
        <n v="170848.33768949728" u="1"/>
        <n v="257466.45501476343" u="1"/>
        <n v="61901.02939596666" u="1"/>
        <n v="42724.690866148128" u="1"/>
        <n v="97128.877204592907" u="1"/>
        <n v="51108.166549468551" u="1"/>
        <n v="80861.157255051221" u="1"/>
        <n v="275308.17002193705" u="1"/>
        <n v="1124497.438723685" u="1"/>
        <n v="314108.15186606749" u="1"/>
        <n v="532498.6198936525" u="1"/>
        <n v="309850.44503690558" u="1"/>
        <n v="131507.67906769339" u="1"/>
        <n v="97093.656828939333" u="1"/>
        <n v="154565.16514787154" u="1"/>
        <n v="158256.02437130109" u="1"/>
        <n v="87105.702454013575" u="1"/>
        <n v="114158.7177468812" u="1"/>
        <n v="113492.56352581434" u="1"/>
        <n v="80619.170385690697" u="1"/>
        <n v="102231.8466662776" u="1"/>
        <n v="109579.91207848641" u="1"/>
        <n v="124583.75592945635" u="1"/>
        <n v="154176.48621101369" u="1"/>
        <n v="270476.89199009817" u="1"/>
        <n v="136605.032313459" u="1"/>
        <n v="82813.375397930489" u="1"/>
        <n v="144768.86859228718" u="1"/>
        <n v="30460.394471541316" u="1"/>
        <n v="50494.720670568946" u="1"/>
        <n v="37489.611992899649" u="1"/>
        <n v="87058.876312310109" u="1"/>
        <n v="81402.506506250036" u="1"/>
        <n v="15917.721489267195" u="1"/>
        <n v="101743.97371494056" u="1"/>
        <n v="459411.36454185302" u="1"/>
        <n v="125935.64514785314" u="1"/>
        <n v="276786.43919926096" u="1"/>
        <n v="390359.04684596614" u="1"/>
        <n v="81431.877709522552" u="1"/>
        <n v="581177.46745236276" u="1"/>
        <n v="341232.86399365624" u="1"/>
        <n v="153324.0251811698" u="1"/>
        <n v="192940.55370893754" u="1"/>
        <n v="280351.45170930726" u="1"/>
        <n v="102901.51276293758" u="1"/>
        <n v="108483.53056478975" u="1"/>
        <n v="86918.016432648219" u="1"/>
        <n v="1288775.37971453" u="1"/>
        <n v="1761816.342821185" u="1"/>
        <n v="151353.5508759988" u="1"/>
        <n v="134136.62020496681" u="1"/>
        <n v="70857.786954464085" u="1"/>
        <n v="125242.26774928156" u="1"/>
        <n v="128439.14562780883" u="1"/>
        <n v="56067.443792260885" u="1"/>
        <n v="743510.25178923074" u="1"/>
        <n v="35673.88081936221" u="1"/>
        <n v="63474.139438497441" u="1"/>
        <n v="188961.16850278201" u="1"/>
        <n v="393632.3461586308" u="1"/>
        <n v="85854.870194849995" u="1"/>
        <n v="96782.773652969379" u="1"/>
        <n v="130871.91809606095" u="1"/>
        <n v="190005.87201768518" u="1"/>
        <n v="135770.92282051171" u="1"/>
        <n v="28305.114935237358" u="1"/>
        <n v="28351.867830295756" u="1"/>
        <n v="68963.709108727038" u="1"/>
        <n v="50453.662092961858" u="1"/>
        <n v="141367.70100759357" u="1"/>
        <n v="116466.03924697654" u="1"/>
        <n v="38727.862563754759" u="1"/>
        <n v="7228.4974353051357" u="1"/>
        <n v="39880.321831258218" u="1"/>
        <n v="262294.11743029032" u="1"/>
        <n v="120912.37003875054" u="1"/>
        <n v="9191.197998277541" u="1"/>
        <n v="28267.479340430364" u="1"/>
        <n v="37243.456363424761" u="1"/>
        <n v="49256.965597312563" u="1"/>
        <n v="57648.4789454813" u="1"/>
        <n v="16574.898683653773" u="1"/>
        <n v="176548.33769676878" u="1"/>
        <n v="1042010.6851023516" u="1"/>
        <n v="55780.121149763465" u="1"/>
        <n v="4989.6053929897453" u="1"/>
        <n v="32717.933025523482" u="1"/>
        <n v="358698.63209035434" u="1"/>
        <n v="41882.977331642833" u="1"/>
        <n v="42361.017464693257" u="1"/>
        <n v="87366.967939688984" u="1"/>
        <n v="152066.58294577821" u="1"/>
        <n v="266053.83670324774" u="1"/>
        <n v="29230.340164679921" u="1"/>
        <n v="17991.175385827213" u="1"/>
        <n v="69544.693704941426" u="1"/>
        <n v="72413.393895202666" u="1"/>
        <n v="87894.2953203832" u="1"/>
        <n v="114049.46205319533" u="1"/>
        <n v="102661.29119262495" u="1"/>
        <n v="52341.553745560021" u="1"/>
        <n v="91265.548951317192" u="1"/>
        <n v="43283.147429712757" u="1"/>
        <n v="157441.12198683392" u="1"/>
        <n v="46132.865550340284" u="1"/>
        <n v="76866.374848851236" u="1"/>
        <n v="668153.04577800841" u="1"/>
        <n v="395120.35217221978" u="1"/>
        <n v="11974.304067441766" u="1"/>
        <n v="179720.75152352761" u="1"/>
        <n v="87208.985708080974" u="1"/>
        <n v="228376.97479631446" u="1"/>
        <n v="126786.00577867527" u="1"/>
        <n v="276614.30189103168" u="1"/>
        <n v="1355184.7359302475" u="1"/>
        <n v="957397.31767604989" u="1"/>
        <n v="92766.1820295121" u="1"/>
        <n v="284098.8200933226" u="1"/>
        <n v="60774.974542148979" u="1"/>
        <n v="412510.79227037547" u="1"/>
        <n v="774495.3390725283" u="1"/>
        <n v="1168442.0430478242" u="1"/>
        <n v="1237030.8487748611" u="1"/>
        <n v="1072404.6253015192" u="1"/>
        <n v="885900.10408694856" u="1"/>
        <n v="757480.77353092725" u="1"/>
        <n v="540786.65860338358" u="1"/>
        <n v="271714.66214729502" u="1"/>
        <n v="168747.43385644528" u="1"/>
        <n v="215017.60625497423" u="1"/>
        <n v="46463.378872596579" u="1"/>
        <n v="1280905.2273201458" u="1"/>
        <n v="762844.89153110201" u="1"/>
        <n v="569937.96519886947" u="1"/>
        <n v="16012.998683191729" u="1"/>
        <n v="394599.55655219388" u="1"/>
        <n v="2190.3485381114888" u="1"/>
        <n v="1270.2223209033414" u="1"/>
        <n v="6056.4899192182156" u="1"/>
        <n v="17710.93246384208" u="1"/>
        <n v="13455.657049935789" u="1"/>
        <n v="11085.275276430997" u="1"/>
        <n v="45435.205638079729" u="1"/>
        <n v="75741.099694457647" u="1"/>
        <n v="198442.65810427952" u="1"/>
        <n v="6012.1068561286957" u="1"/>
        <n v="55539.078672866293" u="1"/>
        <n v="66872.165607296265" u="1"/>
        <n v="34705.753645522622" u="1"/>
        <n v="209858.40005103906" u="1"/>
        <n v="40297.735826822187" u="1"/>
        <n v="7406.9219575497882" u="1"/>
        <n v="1190208.9897722607" u="1"/>
        <n v="1064651.8109955122" u="1"/>
        <n v="295913.22105744993" u="1"/>
        <n v="43655.751814997493" u="1"/>
        <n v="136387.74903920252" u="1"/>
        <n v="7254.9794607177646" u="1"/>
        <n v="6853.7614134149417" u="1"/>
        <n v="138218.22961536929" u="1"/>
        <n v="32625.690578223446" u="1"/>
        <n v="226146.81406100758" u="1"/>
        <n v="361694.7479951487" u="1"/>
        <n v="68392.942758769292" u="1"/>
        <n v="152324.00723059449" u="1"/>
        <n v="517988.95759254304" u="1"/>
        <n v="28259.668614904404" u="1"/>
        <n v="46209.550290348532" u="1"/>
        <n v="5410.914195556049" u="1"/>
        <n v="3951.9268210837249" u="1"/>
        <n v="64147.55091422765" u="1"/>
        <n v="50840.343587128584" u="1"/>
        <n v="179118.48048692933" u="1"/>
        <n v="34383.627253234001" u="1"/>
        <n v="6501.3236029776845" u="1"/>
        <n v="89661.84760111678" u="1"/>
        <n v="22912.895534261916" u="1"/>
        <n v="1250030.017028736" u="1"/>
        <n v="189511.25482798461" u="1"/>
        <n v="116230.52376568035" u="1"/>
        <n v="50359.390396716888" u="1"/>
        <n v="26037.445197646852" u="1"/>
        <n v="4432.4916662702917" u="1"/>
        <n v="826527.44974400045" u="1"/>
        <n v="186290.32768980751" u="1"/>
        <n v="88868.01587798461" u="1"/>
        <n v="28035.013018221794" u="1"/>
        <n v="434510.88695067714" u="1"/>
        <n v="69501.837752176332" u="1"/>
        <n v="99201.001960346344" u="1"/>
        <n v="19259.383600335823" u="1"/>
        <n v="50546.052746553069" u="1"/>
        <n v="101461.22081841077" u="1"/>
        <n v="87971.969383627424" u="1"/>
        <n v="6631.5365827764699" u="1"/>
        <n v="2780.2943417675565" u="1"/>
        <n v="5129.205051926243" u="1"/>
        <n v="4083.0069155051124" u="1"/>
        <n v="57011.232483607986" u="1"/>
        <n v="10632.944181490391" u="1"/>
        <n v="13561.700037264987" u="1"/>
        <n v="16456.037014363323" u="1"/>
        <n v="23793.226215576844" u="1"/>
        <n v="8067.3384729702357" u="1"/>
        <n v="3587.0192333040204" u="1"/>
        <n v="19892.093477763869" u="1"/>
        <n v="138362.54770992207" u="1"/>
        <n v="91626.677178106926" u="1"/>
        <n v="4846.0807024879059" u="1"/>
        <n v="61750.740820588326" u="1"/>
        <n v="106022.74431047405" u="1"/>
        <n v="18901.611695550542" u="1"/>
        <n v="143270.45758608432" u="1"/>
        <n v="1160497.5311550978" u="1"/>
        <n v="162171.09479857792" u="1"/>
        <n v="28548.267986069321" u="1"/>
        <n v="6450.4464188114125" u="1"/>
        <n v="17009.833081726647" u="1"/>
        <n v="113743.60325438013" u="1"/>
        <n v="33391.479618683552" u="1"/>
        <n v="43064.358712084126" u="1"/>
        <n v="19090.968243127892" u="1"/>
        <n v="71609.308981270588" u="1"/>
        <n v="97134.606010156655" u="1"/>
        <n v="224411.7206749708" u="1"/>
        <n v="113305.36712425532" u="1"/>
        <n v="85806.627059477571" u="1"/>
        <n v="47948.496396016817" u="1"/>
        <n v="22025.76585953699" u="1"/>
        <n v="10988.096886104511" u="1"/>
        <n v="77176.304759866587" u="1"/>
        <n v="10659.270636341407" u="1"/>
        <n v="47290.991657957915" u="1"/>
        <n v="22508.724155022242" u="1"/>
        <n v="475763.56082583201" u="1"/>
        <n v="593880.82749420672" u="1"/>
        <n v="25538.724122767839" u="1"/>
        <n v="75423.911782949464" u="1"/>
        <n v="109109.03811222001" u="1"/>
        <n v="134902.15247683079" u="1"/>
        <n v="23329.050339837886" u="1"/>
        <n v="11398.55091715139" u="1"/>
        <n v="189231.0143746968" u="1"/>
        <n v="65995.415602549198" u="1"/>
        <n v="128681.82131898263" u="1"/>
        <n v="103687.86326882761" u="1"/>
        <n v="3216904.0504044257" u="1"/>
        <n v="1289207.4223833971" u="1"/>
        <n v="19972.15484102456" u="1"/>
        <n v="278716.96935345541" u="1"/>
        <n v="18859.229153797696" u="1"/>
        <n v="46744.447698445991" u="1"/>
        <n v="1452810.2050110917" u="1"/>
        <n v="51697.870309839185" u="1"/>
        <n v="10040.138789435185" u="1"/>
        <n v="80710.728123330031" u="1"/>
        <n v="143078.98752594262" u="1"/>
        <n v="130012.01309081145" u="1"/>
        <n v="35366.114073030185" u="1"/>
        <n v="329870.2325430715" u="1"/>
        <n v="51732.745725797809" u="1"/>
        <n v="1812.3995604566785" u="1"/>
        <n v="4561.0973914103597" u="1"/>
        <n v="71796.620059774839" u="1"/>
        <n v="86499.976528564672" u="1"/>
        <n v="17334.651267625715" u="1"/>
        <n v="23063.860434715585" u="1"/>
        <n v="8275.6974536578437" u="1"/>
        <n v="25261.506652205284" u="1"/>
        <n v="22038.055107254615" u="1"/>
        <n v="2011320.9006135168" u="1"/>
        <n v="18616.705135585838" u="1"/>
        <n v="67946.498764088959" u="1"/>
        <n v="7263.4685127562625" u="1"/>
        <n v="8460.3491668182924" u="1"/>
        <n v="9902.4670303638468" u="1"/>
        <n v="1345607.7354264196" u="1"/>
        <n v="14736.422318135112" u="1"/>
        <n v="19326.724403075619" u="1"/>
        <n v="259302.21642047184" u="1"/>
        <n v="67723.095604994291" u="1"/>
        <n v="680131.69358904916" u="1"/>
        <n v="69750.916111720639" u="1"/>
        <n v="5849.0455600898986" u="1"/>
        <n v="46629.64497620309" u="1"/>
        <n v="27087.858731827386" u="1"/>
        <n v="2176590.7554033156" u="1"/>
        <n v="48052.99103024551" u="1"/>
        <n v="82676.308787204238" u="1"/>
        <n v="307675.54198054236" u="1"/>
        <n v="28832.960728602338" u="1"/>
        <n v="639182.46363652172" u="1"/>
        <n v="1038868.1733372898" u="1"/>
        <n v="42084.472770227425" u="1"/>
        <n v="104435.99436946257" u="1"/>
        <n v="87844.354227379154" u="1"/>
        <n v="778409.45597355033" u="1"/>
        <n v="51191.345860844951" u="1"/>
        <n v="20587.377815677923" u="1"/>
        <n v="450588.03109547775" u="1"/>
        <n v="111608.43025038789" u="1"/>
        <n v="1574217.3120127651" u="1"/>
        <n v="86455.3591327428" u="1"/>
        <n v="66399.409584109642" u="1"/>
        <n v="65893.703384617693" u="1"/>
        <n v="318330.96911428927" u="1"/>
        <n v="63544.013943171005" u="1"/>
        <n v="209371.24718391791" u="1"/>
        <n v="302393.2736419444" u="1"/>
        <n v="260797.84110967253" u="1"/>
        <n v="68714.016929154939" u="1"/>
        <n v="83636.665350248324" u="1"/>
        <n v="255672.34351423217" u="1"/>
        <n v="24598.840022109966" u="1"/>
        <n v="12349.924092532507" u="1"/>
        <n v="231272.65891733224" u="1"/>
        <n v="122323.74513148527" u="1"/>
        <n v="433164.3176674823" u="1"/>
        <n v="120935.53496270855" u="1"/>
        <n v="327442.36372613872" u="1"/>
        <n v="13132.842906414277" u="1"/>
        <n v="9913.2206504686292" u="1"/>
        <n v="45624.078619276239" u="1"/>
        <n v="230345.95881415624" u="1"/>
        <n v="56290.129555954045" u="1"/>
        <n v="87445.955353835554" u="1"/>
        <n v="25360.809814225384" u="1"/>
        <n v="4052.3734657446034" u="1"/>
        <n v="43085.523701067803" u="1"/>
        <n v="23426.497735959805" u="1"/>
        <n v="75757.706178105829" u="1"/>
        <n v="10941.681957975725" u="1"/>
        <n v="200095.31508967298" u="1"/>
        <n v="62443.225429262835" u="1"/>
        <n v="43559.897377731992" u="1"/>
        <n v="77800.832487424137" u="1"/>
        <n v="119621.85775620156" u="1"/>
        <n v="4327.9012973654171" u="1"/>
        <n v="164549.38415846223" u="1"/>
        <n v="855758.87405053538" u="1"/>
        <n v="610030.88902766886" u="1"/>
        <n v="9703.7554149724456" u="1"/>
        <n v="306596.55348354892" u="1"/>
        <n v="112626.01776662665" u="1"/>
        <n v="407597.5567211727" u="1"/>
        <n v="43828.485935431221" u="1"/>
        <n v="134230.48216879286" u="1"/>
        <n v="71540.006157978234" u="1"/>
        <n v="1624017.9198414742" u="1"/>
        <n v="114520.66350794477" u="1"/>
        <n v="40008.102939998942" u="1"/>
        <n v="48096.839850696881" u="1"/>
        <n v="5093.448521854014" u="1"/>
        <n v="7158.9404332774711" u="1"/>
        <n v="17662.542946855872" u="1"/>
        <n v="126567.66354373138" u="1"/>
        <n v="3250900.656752822" u="1"/>
        <n v="728318.37876903429" u="1"/>
        <n v="4945.594598277261" u="1"/>
        <n v="45254.263587929636" u="1"/>
        <n v="161785.4703855238" u="1"/>
        <n v="161490.48257446595" u="1"/>
        <n v="18935.451147927713" u="1"/>
        <n v="137320.58280669714" u="1"/>
        <n v="55179.655095363865" u="1"/>
        <n v="79323.714880450498" u="1"/>
        <n v="87270.542683275868" u="1"/>
        <n v="124258.75103545467" u="1"/>
        <n v="13981.969478412042" u="1"/>
        <n v="156453.04329091663" u="1"/>
        <n v="18531.357402840149" u="1"/>
        <n v="50184.86443913477" u="1"/>
        <n v="23702.185114083633" u="1"/>
        <n v="72113.450892860114" u="1"/>
        <n v="36396.403503044625" u="1"/>
        <n v="5420.120555019188" u="1"/>
        <n v="18153.178277445782" u="1"/>
        <n v="21253.832397638856" u="1"/>
        <n v="9967.9540711857517" u="1"/>
        <n v="174748.70719051294" u="1"/>
        <n v="15549.397398387237" u="1"/>
        <n v="114948.3217895509" u="1"/>
        <n v="74843.726060765199" u="1"/>
        <n v="17036.00704657727" u="1"/>
        <n v="61956.884689485116" u="1"/>
        <n v="6666.318724682591" u="1"/>
        <n v="11714.853632304155" u="1"/>
        <n v="31584.574438614429" u="1"/>
        <n v="24140.302416965718" u="1"/>
        <n v="11411.512522406805" u="1"/>
        <n v="17164.429907324622" u="1"/>
        <n v="208544.58896415381" u="1"/>
        <n v="189931.71830864239" u="1"/>
        <n v="31452.907072586724" u="1"/>
        <n v="19787.540177696705" u="1"/>
        <n v="52716.008456105221" u="1"/>
        <n v="18801.559399184021" u="1"/>
        <n v="7232.214167809213" u="1"/>
        <n v="245459.17677282516" u="1"/>
        <n v="77866.754996474774" u="1"/>
        <n v="445852.82531820663" u="1"/>
        <n v="167175.0075045639" u="1"/>
        <n v="49253.812298357348" u="1"/>
        <n v="823877.15929024923" u="1"/>
        <n v="353770.67139907461" u="1"/>
        <n v="37774.028092228225" u="1"/>
        <n v="157006.73753340245" u="1"/>
        <n v="10282.784809997616" u="1"/>
        <n v="72211.233512061968" u="1"/>
        <n v="46428.794928080672" u="1"/>
        <n v="20186.150067857259" u="1"/>
        <n v="35944.580722490537" u="1"/>
        <n v="6071.4210749752101" u="1"/>
        <n v="27698.227235274178" u="1"/>
        <n v="21944.792386954708" u="1"/>
        <n v="120281.94595378998" u="1"/>
        <n v="136587.51927110562" u="1"/>
        <n v="244196.91689215161" u="1"/>
        <n v="93045.542284697891" u="1"/>
        <n v="58968.243513413443" u="1"/>
        <n v="3868.9408981489019" u="1"/>
        <n v="114891.90042311203" u="1"/>
        <n v="16121.65627506778" u="1"/>
        <n v="341336.37657205854" u="1"/>
        <n v="1263148.415242159" u="1"/>
        <n v="226957.58742986585" u="1"/>
        <n v="25750.449976323362" u="1"/>
        <n v="6199.5394275159597" u="1"/>
        <n v="10260.124991497145" u="1"/>
        <n v="1601.4960465143574" u="1"/>
        <n v="8821.8947884096724" u="1"/>
        <n v="20363.241011764127" u="1"/>
        <n v="59817.620524293074" u="1"/>
        <n v="12273.695260189479" u="1"/>
        <n v="17015.936081086609" u="1"/>
        <n v="10401.947171558999" u="1"/>
        <n v="57914.761665856502" u="1"/>
        <n v="16767.869188256584" u="1"/>
        <n v="28247.540042141682" u="1"/>
        <n v="6299.0183965328952" u="1"/>
        <n v="93329.624288957202" u="1"/>
        <n v="8977.7388290439449" u="1"/>
        <n v="35448.142637064659" u="1"/>
        <n v="43437.332235564019" u="1"/>
        <n v="25351.907804719172" u="1"/>
        <n v="9739.3151353155154" u="1"/>
        <n v="25493.679293242589" u="1"/>
        <n v="42491.570735187546" u="1"/>
        <n v="10271.25209886254" u="1"/>
        <n v="4814.3663123287115" u="1"/>
        <n v="192632.96244790987" u="1"/>
        <n v="24283.266566315877" u="1"/>
        <n v="14678.738290457026" u="1"/>
        <n v="11463.576367309506" u="1"/>
        <n v="27107.542524802371" u="1"/>
        <n v="3621.4009195770836" u="1"/>
        <n v="20825.509390649953" u="1"/>
        <n v="6978.218170963919" u="1"/>
        <n v="5828.397717454478" u="1"/>
        <n v="12292.301632666335" u="1"/>
        <n v="2714.1527415496494" u="1"/>
        <n v="17237.080995647393" u="1"/>
        <n v="4151.2253622157668" u="1"/>
        <n v="5407.9858341063618" u="1"/>
        <n v="7233.0940202695801" u="1"/>
        <n v="5697.70041562186" u="1"/>
        <n v="8515.5713460199368" u="1"/>
        <n v="7068.0722339597141" u="1"/>
        <n v="2239.2265972397558" u="1"/>
        <n v="7159.3790442157151" u="1"/>
        <n v="3343.9155865331886" u="1"/>
        <n v="3378.4228448512481" u="1"/>
        <n v="7717.9485945413226" u="1"/>
        <n v="12843.760524192341" u="1"/>
        <n v="67072.08450524103" u="1"/>
        <n v="20622.971907148072" u="1"/>
        <n v="6171.7992643631906" u="1"/>
        <n v="26269.886322038365" u="1"/>
        <n v="21643.637276299705" u="1"/>
        <n v="3653.4756624682354" u="1"/>
        <n v="6988.6092907464008" u="1"/>
        <n v="6573.0060985321543" u="1"/>
        <n v="5295.6970009390789" u="1"/>
        <n v="125256.75277739433" u="1"/>
        <n v="9331.6097939735737" u="1"/>
        <n v="27543.019453413661" u="1"/>
        <n v="12846.456547567934" u="1"/>
        <n v="34751.637066385098" u="1"/>
        <n v="144191.00620905464" u="1"/>
        <n v="31997.667128467896" u="1"/>
        <n v="5883.6685967449293" u="1"/>
        <n v="22896.32994090757" u="1"/>
        <n v="7356.1671947092946" u="1"/>
        <n v="1582.5063554450296" u="1"/>
        <n v="5242.369263747777" u="1"/>
        <n v="10450.47484887125" u="1"/>
        <n v="15503.722045885062" u="1"/>
        <n v="30694.959815478331" u="1"/>
        <n v="17480.387157439643" u="1"/>
        <n v="9563.7552097292064" u="1"/>
        <n v="4237.217148991931" u="1"/>
        <n v="32253.737001823283" u="1"/>
        <n v="56694.226662322602" u="1"/>
        <n v="27305.600913428665" u="1"/>
        <n v="7486.5319211779606" u="1"/>
        <n v="5932.0599353137495" u="1"/>
        <n v="19055.441491604739" u="1"/>
        <n v="7830.0167218270253" u="1"/>
        <n v="54989.412508166053" u="1"/>
        <n v="58903.395507093948" u="1"/>
        <n v="25491.500050408351" u="1"/>
        <n v="12450.895734706228" u="1"/>
        <n v="3504.3675967844497" u="1"/>
        <n v="34780.089496375949" u="1"/>
        <n v="29115.931794232347" u="1"/>
        <n v="16838.660964945266" u="1"/>
        <n v="36639.270557615724" u="1"/>
        <n v="19288.305310283395" u="1"/>
        <n v="35963.508119051381" u="1"/>
        <n v="36688.35532362193" u="1"/>
        <n v="21618.857384372666" u="1"/>
        <n v="14897.035651260176" u="1"/>
        <n v="26798.787407837342" u="1"/>
        <n v="14594.4499409121" u="1"/>
        <n v="21913.338285561906" u="1"/>
        <n v="21237.087970538381" u="1"/>
        <n v="12320.303962079532" u="1"/>
        <n v="17395.211772476083" u="1"/>
        <n v="5959.4485991415931" u="1"/>
        <n v="9229.7494556151923" u="1"/>
        <n v="1495.5906757800876" u="1"/>
        <n v="7097.9200293666836" u="1"/>
        <n v="24458.986597797699" u="1"/>
        <n v="10294.949536942571" u="1"/>
        <n v="5433.0622543705731" u="1"/>
        <n v="163137.83095851968" u="1"/>
        <n v="62338.537919922834" u="1"/>
        <n v="9696.36866418926" u="1"/>
        <n v="39466.705671358912" u="1"/>
        <n v="54482.886234955542" u="1"/>
        <n v="41461.89403559285" u="1"/>
        <n v="5963.8280645986333" u="1"/>
        <n v="7179.4347743481012" u="1"/>
        <n v="3778.2428542479583" u="1"/>
        <n v="5037.8813695830249" u="1"/>
        <n v="13321.637564588527" u="1"/>
        <n v="7568.9765443356546" u="1"/>
        <n v="77093.133288828103" u="1"/>
        <n v="12465.099323155813" u="1"/>
        <n v="15129.72203107677" u="1"/>
        <n v="69313.078289428769" u="1"/>
        <n v="3740.0838812514803" u="1"/>
        <n v="14175.079054694877" u="1"/>
        <n v="9213.1932718246262" u="1"/>
        <n v="1812.2147714364057" u="1"/>
        <n v="3354.402322838323" u="1"/>
        <n v="3342.3857900819426" u="1"/>
        <n v="27181.540314190232" u="1"/>
        <n v="16887.306311489494" u="1"/>
        <n v="20127.416105442728" u="1"/>
        <n v="37410.163385111802" u="1"/>
        <n v="5185.8919567067605" u="1"/>
        <n v="2827.1938516059799" u="1"/>
        <n v="38302.493292160892" u="1"/>
        <n v="114968.76950763876" u="1"/>
        <n v="150702.18855854776" u="1"/>
        <n v="70364.261987361489" u="1"/>
        <n v="524228.75421013212" u="1"/>
        <n v="35819.067450599468" u="1"/>
        <n v="299553.0304953999" u="1"/>
        <n v="36952.884445772826" u="1"/>
        <n v="220402.21052361515" u="1"/>
        <n v="89257.695143128207" u="1"/>
        <n v="7427.2574064843184" u="1"/>
        <n v="159104.06213543596" u="1"/>
        <n v="320113.04152552073" u="1"/>
        <n v="1425574.8908191908" u="1"/>
        <n v="668883.19050352846" u="1"/>
        <n v="143009.55527024152" u="1"/>
        <n v="13832.353239074408" u="1"/>
        <n v="74298.096011406276" u="1"/>
        <n v="15779.642321867479" u="1"/>
        <n v="141442.57705675162" u="1"/>
        <n v="501859.02629468945" u="1"/>
        <n v="91855.013196172484" u="1"/>
        <n v="17245.363488520859" u="1"/>
        <n v="102203.07559833158" u="1"/>
        <n v="16020.383616145762" u="1"/>
        <n v="268698.9961217391" u="1"/>
        <n v="424447.29057347158" u="1"/>
        <n v="97208.796948544419" u="1"/>
        <n v="14646.534543626845" u="1"/>
        <n v="181756.29415827076" u="1"/>
        <n v="218455.1694187753" u="1"/>
        <n v="41916.967258479832" u="1"/>
        <n v="92732.304193954216" u="1"/>
        <n v="52070.68812343281" u="1"/>
        <n v="145727.80209053494" u="1"/>
        <n v="389721.68731469411" u="1"/>
        <n v="235034.74758578223" u="1"/>
        <n v="128922.31125485705" u="1"/>
        <n v="28554.66164350187" u="1"/>
        <n v="552817.32331561425" u="1"/>
        <n v="200307.41636093208" u="1"/>
        <n v="35339.914490752846" u="1"/>
        <n v="25568.444573331159" u="1"/>
        <n v="24069.268148500149" u="1"/>
        <n v="43629.590362834984" u="1"/>
        <n v="11076.708052151038" u="1"/>
        <n v="401438.95304952096" u="1"/>
        <n v="43682.491458345445" u="1"/>
        <n v="180818.76165451627" u="1"/>
        <n v="173102.54880420447" u="1"/>
        <n v="200336.57573835505" u="1"/>
        <n v="98528.520686203672" u="1"/>
        <n v="75997.90594147268" u="1"/>
        <n v="94128.178988320171" u="1"/>
        <n v="49421.427837883522" u="1"/>
        <n v="84239.503853112183" u="1"/>
        <n v="48110.95268659087" u="1"/>
        <n v="33781.783551068613" u="1"/>
        <n v="33415.343846731106" u="1"/>
        <n v="119012.58053812667" u="1"/>
        <n v="48882.315874692817" u="1"/>
        <n v="31506.8945521284" u="1"/>
        <n v="79633.536486301775" u="1"/>
        <n v="63896.161372810719" u="1"/>
        <n v="65404.052538653275" u="1"/>
        <n v="3833.6802688480029" u="1"/>
        <n v="1603072.1814769451" u="1"/>
        <n v="34286.918413283056" u="1"/>
        <n v="42442.39486563261" u="1"/>
        <n v="46320.09296427865" u="1"/>
        <n v="46216.009292094677" u="1"/>
        <n v="20700.30720937542" u="1"/>
        <n v="23331.052177351605" u="1"/>
        <n v="19206.6857670153" u="1"/>
        <n v="21704.214817826709" u="1"/>
        <n v="33513.983614742705" u="1"/>
        <n v="48113.341991145368" u="1"/>
        <n v="93828.464246835996" u="1"/>
        <n v="188744.87311820837" u="1"/>
        <n v="136162.35615167132" u="1"/>
        <n v="171481.4241257291" u="1"/>
        <n v="191567.31749104298" u="1"/>
        <n v="138194.48044388744" u="1"/>
        <n v="109055.77770871374" u="1"/>
        <n v="212910.60231162928" u="1"/>
        <n v="178597.32921694493" u="1"/>
        <n v="195789.50769785259" u="1"/>
        <n v="105988.23892874825" u="1"/>
        <n v="156029.04370957878" u="1"/>
        <n v="37187.892896572506" u="1"/>
        <n v="25947.033552362205" u="1"/>
        <n v="58080.745458213001" u="1"/>
        <n v="30687.383445216779" u="1"/>
        <n v="49196.283914933869" u="1"/>
        <n v="169411.89941306427" u="1"/>
        <n v="694550.81934946333" u="1"/>
        <n v="194157.85048601928" u="1"/>
        <n v="328840.26124280476" u="1"/>
        <n v="195342.35528070937" u="1"/>
        <n v="79293.254951559909" u="1"/>
        <n v="59917.658323698561" u="1"/>
        <n v="93315.181448763236" u="1"/>
        <n v="94441.089295349404" u="1"/>
        <n v="51927.198726394585" u="1"/>
        <n v="69345.139031168903" u="1"/>
        <n v="69232.69989549504" u="1"/>
        <n v="49577.444865389523" u="1"/>
        <n v="61467.800114381076" u="1"/>
        <n v="66090.496554009282" u="1"/>
        <n v="75647.999052102765" u="1"/>
        <n v="96613.249434392841" u="1"/>
        <n v="163288.72689854109" u="1"/>
        <n v="83555.163786007353" u="1"/>
        <n v="50218.496851329721" u="1"/>
        <n v="87146.307924419292" u="1"/>
        <n v="18900.210623247152" u="1"/>
        <n v="30492.577444381481" u="1"/>
        <n v="23097.771053419314" u="1"/>
        <n v="52666.05579121242" u="1"/>
        <n v="49228.91423244567" u="1"/>
        <n v="9727.845029040107" u="1"/>
        <n v="61446.049711006999" u="1"/>
        <n v="281283.88189789181" u="1"/>
        <n v="76985.990009635585" u="1"/>
        <n v="174421.60925444553" u="1"/>
        <n v="241230.25178300196" u="1"/>
        <n v="50339.228674143546" u="1"/>
        <n v="362448.90258413245" u="1"/>
        <n v="220560.32224245087" u="1"/>
        <n v="98559.608623503722" u="1"/>
        <n v="119318.90295778569" u="1"/>
        <n v="173388.2709475611" u="1"/>
        <n v="64189.87367562281" u="1"/>
        <n v="65821.412412393795" u="1"/>
        <n v="53124.064327661727" u="1"/>
        <n v="792405.42892844323" u="1"/>
        <n v="1112390.5235814641" u="1"/>
        <n v="93560.689660812874" u="1"/>
        <n v="82086.204736578205" u="1"/>
        <n v="44079.386655721413" u="1"/>
        <n v="77132.498406439685" u="1"/>
        <n v="78008.116261401388" u="1"/>
        <n v="34543.781901753784" u="1"/>
        <n v="455142.62010219053" u="1"/>
        <n v="22450.386287318379" u="1"/>
        <n v="39149.62848029258" u="1"/>
        <n v="115800.00348097982" u="1"/>
        <n v="244030.05816719335" u="1"/>
        <n v="51492.318734971988" u="1"/>
        <n v="58125.985919502273" u="1"/>
        <n v="83818.582563123186" u="1"/>
        <n v="116523.64976643836" u="1"/>
        <n v="83647.110851858699" u="1"/>
        <n v="17235.992582366896" u="1"/>
        <n v="18263.6871699767" u="1"/>
        <n v="43009.09661200994" u="1"/>
        <n v="30975.309861281581" u="1"/>
        <n v="86554.058490277734" u="1"/>
        <n v="71984.219103805561" u="1"/>
        <n v="24913.454163667491" u="1"/>
        <n v="4453.5584644762021" u="1"/>
        <n v="23822.273361071879" u="1"/>
        <n v="161213.03289953773" u="1"/>
        <n v="73123.626415890278" u="1"/>
        <n v="5662.8003274898783" u="1"/>
        <n v="17640.750826738968" u="1"/>
        <n v="22220.362125465635" u="1"/>
        <n v="29312.96535642679" u="1"/>
        <n v="35193.362928549301" u="1"/>
        <n v="10211.981257665851" u="1"/>
        <n v="108135.75721322898" u="1"/>
        <n v="647266.21915438178" u="1"/>
        <n v="33482.993232196961" u="1"/>
        <n v="3074.1519286999028" u="1"/>
        <n v="20157.886043413211" u="1"/>
        <n v="222825.32684105137" u="1"/>
        <n v="25804.57278739132" u="1"/>
        <n v="25890.59607055358" u="1"/>
        <n v="53359.195452348053" u="1"/>
        <n v="94419.780782129325" u="1"/>
        <n v="163833.19268505616" u="1"/>
        <n v="18009.140907225588" u="1"/>
        <n v="10955.058661343664" u="1"/>
        <n v="43462.345374122582" u="1"/>
        <n v="45588.952320197015" u="1"/>
        <n v="54373.508218268784" u="1"/>
        <n v="69726.076991803056" u="1"/>
        <n v="63250.77465364986" u="1"/>
        <n v="32248.219192670251" u="1"/>
        <n v="56198.477482418268" u="1"/>
        <n v="26667.233312317199" u="1"/>
        <n v="98474.684992282986" u="1"/>
        <n v="28144.320022203516" u="1"/>
        <n v="47422.297594628893" u="1"/>
        <n v="411989.54641189933" u="1"/>
        <n v="242221.44184951333" u="1"/>
        <n v="7370.0669561207023" u="1"/>
        <n v="109664.5522719315" u="1"/>
        <n v="53943.056423377886" u="1"/>
        <n v="142070.64855773543" u="1"/>
        <n v="78380.144690455912" u="1"/>
        <n v="167268.39160610025" u="1"/>
        <n v="837014.39926587197" u="1"/>
        <n v="588952.59351636504" u="1"/>
        <n v="57109.825803990156" u="1"/>
        <n v="174721.1318912131" u="1"/>
        <n v="37568.408482309445" u="1"/>
        <n v="251660.84117626469" u="1"/>
        <n v="477073.50765075919" u="1"/>
        <n v="720116.52567492821" u="1"/>
        <n v="757866.61676913872" u="1"/>
        <n v="662941.32847102371" u="1"/>
        <n v="554413.504314085" u="1"/>
        <n v="468104.66452744493" u="1"/>
        <n v="340581.57001467765" u="1"/>
        <n v="168133.08245704442" u="1"/>
        <n v="104549.3533656053" u="1"/>
        <n v="129822.06550476787" u="1"/>
        <n v="28359.352022041236" u="1"/>
        <n v="790285.34932484129" u="1"/>
        <n v="470815.35956041631" u="1"/>
        <n v="345821.57946700905" u="1"/>
        <n v="9865.7883558015546" u="1"/>
        <n v="256494.53744567523" u="1"/>
        <n v="1343.2987758836739" u="1"/>
        <n v="782.59823976639245" u="1"/>
        <n v="3731.4714691616227" u="1"/>
        <n v="10911.904430215882" u="1"/>
        <n v="8271.7907241981702" u="1"/>
        <n v="6829.7626139109288" u="1"/>
        <n v="27778.689325053409" u="1"/>
        <n v="45992.702432320541" u="1"/>
        <n v="121311.53923650095" u="1"/>
        <n v="3607.9778662533599" u="1"/>
        <n v="33720.645298003081" u="1"/>
        <n v="42772.087323681735" u="1"/>
        <n v="21203.659095663759" u="1"/>
        <n v="128883.05389343704" u="1"/>
        <n v="24774.035268571548" u="1"/>
        <n v="4563.4878167966071" u="1"/>
        <n v="729819.94185068901" u="1"/>
        <n v="658595.4531506045" u="1"/>
        <n v="182721.27505353343" u="1"/>
        <n v="26281.631854502066" u="1"/>
        <n v="80508.20815052338" u="1"/>
        <n v="4469.8743377940573" u="1"/>
        <n v="4222.6793921420285" u="1"/>
        <n v="87777.336700669111" u="1"/>
        <n v="20076.974043363651" u="1"/>
        <n v="144665.53253532655" u="1"/>
        <n v="225806.53306488949" u="1"/>
        <n v="41130.951811913488" u="1"/>
        <n v="89536.539748437295" u="1"/>
        <n v="318257.8109673959" u="1"/>
        <n v="17262.013531676992" u="1"/>
        <n v="28470.222985772318" u="1"/>
        <n v="3333.725014340529" u="1"/>
        <n v="2425.209260383021" u="1"/>
        <n v="39557.978643005001" u="1"/>
        <n v="30774.78392698965" u="1"/>
        <n v="111736.44110379514" u="1"/>
        <n v="21184.138967128358" u="1"/>
        <n v="4063.1914025348856" u="1"/>
        <n v="56926.692615800283" u="1"/>
        <n v="14076.762277143265" u="1"/>
        <n v="770320.13620877417" u="1"/>
        <n v="117536.26361915146" u="1"/>
        <n v="72047.823571519824" u="1"/>
        <n v="30722.799950540411" u="1"/>
        <n v="16041.962453628565" u="1"/>
        <n v="2730.9079038505579" u="1"/>
        <n v="510702.26414391253" u="1"/>
        <n v="114252.67341433014" u="1"/>
        <n v="54721.69148737855" u="1"/>
        <n v="17319.778965534006" u="1"/>
        <n v="266323.8238843967" u="1"/>
        <n v="42990.453361385065" u="1"/>
        <n v="60557.582902086549" u="1"/>
        <n v="11807.270846718924" u="1"/>
        <n v="30617.480615418543" u="1"/>
        <n v="62718.294722031125" u="1"/>
        <n v="53889.363314432012" u="1"/>
        <n v="4085.7641778302732" u="1"/>
        <n v="1712.970573806602" u="1"/>
        <n v="3164.5430490768454" u="1"/>
        <n v="2500.4622754351294" u="1"/>
        <n v="35012.642573232886" u="1"/>
        <n v="6705.9031815963954" u="1"/>
        <n v="8662.0623702442754" u="1"/>
        <n v="10074.897997942799" u="1"/>
        <n v="14375.662947696148" u="1"/>
        <n v="4970.3778501201732" u="1"/>
        <n v="2210.0028410739415" u="1"/>
        <n v="12160.757216741227" u="1"/>
        <n v="84012.404127856164" u="1"/>
        <n v="56452.225012259543" u="1"/>
        <n v="2985.7247547309589" u="1"/>
        <n v="37677.060532452058" u="1"/>
        <n v="63279.648760615768" u="1"/>
        <n v="11633.389184553353" u="1"/>
        <n v="88099.087295679303" u="1"/>
        <n v="731162.49004713423" u="1"/>
        <n v="97449.74562415955" u="1"/>
        <n v="17416.4682963995" u="1"/>
        <n v="3974.1924937039294" u="1"/>
        <n v="10457.07806043518" u="1"/>
        <n v="71303.262670608601" u="1"/>
        <n v="21502.772426727039" u="1"/>
        <n v="26813.910335242334" u="1"/>
        <n v="11426.753047665101" u="1"/>
        <n v="43981.578396056175" u="1"/>
        <n v="62255.050791752445" u="1"/>
        <n v="140778.51628487449" u="1"/>
        <n v="70302.447321401312" u="1"/>
        <n v="51645.544657742299" u="1"/>
        <n v="29191.043150406043" u="1"/>
        <n v="13514.65643640364" u="1"/>
        <n v="6703.7851571654319" u="1"/>
        <n v="47129.836001595046" u="1"/>
        <n v="6567.2963700258961" u="1"/>
        <n v="29510.095046564908" u="1"/>
        <n v="13867.877782670563" u="1"/>
        <n v="296524.24375381658" u="1"/>
        <n v="365891.84539048641" u="1"/>
        <n v="15734.694797477512" u="1"/>
        <n v="44891.66477062436" u="1"/>
        <n v="67469.747704113819" u="1"/>
        <n v="83283.074715018869" u="1"/>
        <n v="14278.56056500482" u="1"/>
        <n v="7132.2078804966704" u="1"/>
        <n v="115076.06792114853" u="1"/>
        <n v="40921.398378702921" u="1"/>
        <n v="78729.800795693183" u="1"/>
        <n v="65022.527437026751" u="1"/>
        <n v="1999453.6107056225" u="1"/>
        <n v="798260.51192582259" u="1"/>
        <n v="12305.068936130785" u="1"/>
        <n v="169659.85472119082" u="1"/>
        <n v="11592.506175242195" u="1"/>
        <n v="28432.634683365195" u="1"/>
        <n v="894184.57846103609" u="1"/>
        <n v="31871.816696719819" u="1"/>
        <n v="6073.1451725301649" u="1"/>
        <n v="49773.256202777658" u="1"/>
        <n v="90072.281268028921" u="1"/>
        <n v="78617.158114029298" u="1"/>
        <n v="21795.453365087131" u="1"/>
        <n v="200480.98988350242" u="1"/>
        <n v="33381.440639014865" u="1"/>
        <n v="1073.7391951079426" u="1"/>
        <n v="2695.8415215399737" u="1"/>
        <n v="44318.868522212797" u="1"/>
        <n v="53083.437840440092" u="1"/>
        <n v="10704.770829180885" u="1"/>
        <n v="14060.633041154348" u="1"/>
        <n v="5098.7501585281025" u="1"/>
        <n v="15563.897999999997" u="1"/>
        <n v="13531.910781892235" u="1"/>
        <n v="1240185.0353342427" u="1"/>
        <n v="13250.428972602733" u="1"/>
        <n v="41515.437549541064" u="1"/>
        <n v="4475.1045381088261" u="1"/>
        <n v="5161.4130535786881" u="1"/>
        <n v="6041.2072345205461" u="1"/>
        <n v="848374.10324064817" u="1"/>
        <n v="9079.2753180600994" u="1"/>
        <n v="11907.411993469541" u="1"/>
        <n v="159871.90186873081" u="1"/>
        <n v="41439.581234946083" u="1"/>
        <n v="435082.69996010727" u="1"/>
        <n v="42910.023537789013" u="1"/>
        <n v="3603.6626693699195" u="1"/>
        <n v="28919.731609713464" u="1"/>
        <n v="16689.134030878024" u="1"/>
        <n v="1375637.4504572963" u="1"/>
        <n v="28714.940839190531" u="1"/>
        <n v="50853.106452909829" u="1"/>
        <n v="197142.40561979968" u="1"/>
        <n v="18515.865109678845" u="1"/>
        <n v="387871.10489619616" u="1"/>
        <n v="638921.04480727646" u="1"/>
        <n v="26098.362296997355" u="1"/>
        <n v="64673.368936658786" u="1"/>
        <n v="53734.137434327713" u="1"/>
        <n v="509198.43918497761" u="1"/>
        <n v="30694.188915369115" u="1"/>
        <n v="12647.328748027312" u="1"/>
        <n v="277081.40165714256" u="1"/>
        <n v="68721.472588041739" u="1"/>
        <n v="970982.57719177532" u="1"/>
        <n v="53465.217597765542" u="1"/>
        <n v="41583.962594470198" u="1"/>
        <n v="39877.759041563178" u="1"/>
        <n v="195073.08797755171" u="1"/>
        <n v="38848.3784013396" u="1"/>
        <n v="128995.97716665932" u="1"/>
        <n v="185344.99881399918" u="1"/>
        <n v="159758.9220501431" u="1"/>
        <n v="42595.678208301884" u="1"/>
        <n v="51545.667043525813" u="1"/>
        <n v="158012.46042500439" u="1"/>
        <n v="14254.754581487237" u="1"/>
        <n v="7534.3296316782216" u="1"/>
        <n v="142571.49607270298" u="1"/>
        <n v="75333.902216490256" u="1"/>
        <n v="266390.24181975378" u="1"/>
        <n v="74641.80653541717" u="1"/>
        <n v="202777.68883856863" u="1"/>
        <n v="8091.2920301850536" u="1"/>
        <n v="6107.6465936729182" u="1"/>
        <n v="29495.061692339059" u="1"/>
        <n v="142467.22101557176" u="1"/>
        <n v="34880.242904670988" u="1"/>
        <n v="54064.931232499373" u="1"/>
        <n v="14927.658469113729" u="1"/>
        <n v="2496.7128108033708" u="1"/>
        <n v="26372.086329893606" u="1"/>
        <n v="14434.715172825898" u="1"/>
        <n v="46583.038836851745" u="1"/>
        <n v="6935.4600031718355" u="1"/>
        <n v="122780.30847449179" u="1"/>
        <n v="38326.363205802198" u="1"/>
        <n v="26175.892879172265" u="1"/>
        <n v="48366.668247969523" u="1"/>
        <n v="73850.751540988422" u="1"/>
        <n v="2640.326753703328" u="1"/>
        <n v="100687.47459672394" u="1"/>
        <n v="525672.08448701259" u="1"/>
        <n v="374848.31438853958" u="1"/>
        <n v="5967.5389534729284" u="1"/>
        <n v="188385.62872521524" u="1"/>
        <n v="68381.478462838306" u="1"/>
        <n v="252079.05682781019" u="1"/>
        <n v="27003.222491241879" u="1"/>
        <n v="82500.120840330914" u="1"/>
        <n v="44076.601371871991" u="1"/>
        <n v="1003182.2401134737" u="1"/>
        <n v="70008.554608949067" u="1"/>
        <n v="24508.075159385538" u="1"/>
        <n v="29253.141965564373" u="1"/>
        <n v="3107.364858123829" u="1"/>
        <n v="4367.4614219269388" u="1"/>
        <n v="10949.119651398432" u="1"/>
        <n v="78870.936830853068" u="1"/>
        <n v="2018437.5263732569" u="1"/>
        <n v="474127.59240764071" u="1"/>
        <n v="7887.9146903169867" u="1"/>
        <n v="74697.863716017964" u="1"/>
        <n v="260547.35012491414" u="1"/>
        <n v="258449.377530353" u="1"/>
        <n v="30267.446404951759" u="1"/>
        <n v="216319.81670070274" u="1"/>
        <n v="87796.194322346782" u="1"/>
        <n v="126331.38354823619" u="1"/>
        <n v="139069.23492179275" u="1"/>
        <n v="202956.59768403295" u="1"/>
        <n v="22018.711829365548" u="1"/>
        <n v="247397.88579132259" u="1"/>
        <n v="29795.085851435651" u="1"/>
        <n v="79299.122772952585" u="1"/>
        <n v="37802.497481013888" u="1"/>
        <n v="114516.92238435791" u="1"/>
        <n v="57851.787505341585" u="1"/>
        <n v="8644.7539723772679" u="1"/>
        <n v="29994.436245016124" u="1"/>
        <n v="34078.194425938113" u="1"/>
        <n v="15763.436993220095" u="1"/>
        <n v="275753.5428029804" u="1"/>
        <n v="25219.370521094199" u="1"/>
        <n v="181178.0315109494" u="1"/>
        <n v="119631.79893507353" u="1"/>
        <n v="27171.367886451848" u="1"/>
        <n v="98446.881302977126" u="1"/>
        <n v="10628.643443697643" u="1"/>
        <n v="18464.248641015969" u="1"/>
        <n v="51352.438801381089" u="1"/>
        <n v="37278.462876629419" u="1"/>
        <n v="18380.854647210508" u="1"/>
        <n v="27376.194333450661" u="1"/>
        <n v="335244.38481145218" u="1"/>
        <n v="304777.28429712955" u="1"/>
        <n v="50371.921733606308" u="1"/>
        <n v="31782.679818338303" u="1"/>
        <n v="82243.58400900336" u="1"/>
        <n v="30333.392031358377" u="1"/>
        <n v="11286.981110794646" u="1"/>
        <n v="392556.85694095708" u="1"/>
        <n v="124746.10360344336" u="1"/>
        <n v="701173.22818994604" u="1"/>
        <n v="265793.41705057002" u="1"/>
        <n v="77385.993701673578" u="1"/>
        <n v="1311573.4874134585" u="1"/>
        <n v="563523.41810227279" u="1"/>
        <n v="60821.650685732573" u="1"/>
        <n v="253205.46977850763" u="1"/>
        <n v="17016.618689485931" u="1"/>
        <n v="117921.36408721938" u="1"/>
        <n v="74504.788654630698" u="1"/>
        <n v="32309.410044657321" u="1"/>
        <n v="57339.088347429693" u="1"/>
        <n v="9683.5376488560796" u="1"/>
        <n v="44176.943573369848" u="1"/>
        <n v="35000.574107977489" u="1"/>
        <n v="190948.35296377249" u="1"/>
        <n v="217848.56772283852" u="1"/>
        <n v="391565.80730703048" u="1"/>
        <n v="145623.98963283401" u="1"/>
        <n v="93250.440427194175" u="1"/>
        <n v="6314.1106096301464" u="1"/>
        <n v="183242.25768867254" u="1"/>
        <n v="26188.602414478439" u="1"/>
        <n v="547662.71634038049" u="1"/>
        <n v="1994517.4671095812" u="1"/>
        <n v="365567.1776584168" u="1"/>
        <n v="41044.778282131272" u="1"/>
        <n v="9932.0014991916614" u="1"/>
        <n v="16364.258945347066" u="1"/>
        <n v="2602.6499431074621" u="1"/>
        <n v="13786.129400032467" u="1"/>
        <n v="33076.842738430983" u="1"/>
        <n v="99894.251942654169" u="1"/>
        <n v="18823.461148515351" u="1"/>
        <n v="27003.429156433413" u="1"/>
        <n v="16794.713095639421" u="1"/>
        <n v="90256.765421216522" u="1"/>
        <n v="27076.056451007473" u="1"/>
        <n v="45231.229844903253" u="1"/>
        <n v="10024.772516307436" u="1"/>
        <n v="149067.2455839121" u="1"/>
        <n v="13490.553151448428" u="1"/>
        <n v="57779.029310486134" u="1"/>
        <n v="68126.825450234974" u="1"/>
        <n v="40335.494469623307" u="1"/>
        <n v="15138.082737041279" u="1"/>
        <n v="40723.948206863934" u="1"/>
        <n v="68297.594265181338" u="1"/>
        <n v="16259.799666989629" u="1"/>
        <n v="7704.1029670169883" u="1"/>
        <n v="306507.32937760162" u="1"/>
        <n v="38730.294461266298" u="1"/>
        <n v="23411.6713563515" u="1"/>
        <n v="18403.888162314259" u="1"/>
        <n v="42643.535581380434" u="1"/>
        <n v="5762.7775479336397" u="1"/>
        <n v="33209.362298336433" u="1"/>
        <n v="10708.986133092287" u="1"/>
        <n v="9321.5970638238377" u="1"/>
        <n v="19881.527891889273" u="1"/>
        <n v="4465.4816240479031" u="1"/>
        <n v="27558.514073470698" u="1"/>
        <n v="6654.683703435252" u="1"/>
        <n v="8625.3998499458576" u="1"/>
        <n v="11134.022246394676" u="1"/>
        <n v="8740.4566127689977" u="1"/>
        <n v="13581.804772293905" u="1"/>
        <n v="11725.596860279606" u="1"/>
        <n v="3706.1920290147168" u="1"/>
        <n v="11591.273151752661" u="1"/>
        <n v="5333.3366401247331" u="1"/>
        <n v="5630.6233800346063" u="1"/>
        <n v="12115.697015917258" u="1"/>
        <n v="20484.996354731637" u="1"/>
        <n v="107152.77086548849" u="1"/>
        <n v="32851.721372075706" u="1"/>
        <n v="9753.502673484847" u="1"/>
        <n v="41979.325803942062" u="1"/>
        <n v="36141.163310976248" u="1"/>
        <n v="5827.0656391321063" u="1"/>
        <n v="11127.360719325849" u="1"/>
        <n v="10731.662636346464" u="1"/>
        <n v="8553.3365903193899" u="1"/>
        <n v="199698.76611892896" u="1"/>
        <n v="14881.525685418819" u="1"/>
        <n v="43929.396849055724" u="1"/>
        <n v="20971.392884164477" u="1"/>
        <n v="55426.691994525601" u="1"/>
        <n v="225081.70208449048" u="1"/>
        <n v="54645.57670128117" u="1"/>
        <n v="9343.5421439860711" u="1"/>
        <n v="36518.2171134975" u="1"/>
        <n v="11842.587869479574" u="1"/>
        <n v="2548.9605597800219" u="1"/>
        <n v="8463.8174123281569" u="1"/>
        <n v="16709.167803742188" u="1"/>
        <n v="24882.014595098735" u="1"/>
        <n v="50792.325274535055" u="1"/>
        <n v="28918.297727608897" u="1"/>
        <n v="15253.59260940971" u="1"/>
        <n v="6758.0968741835304" u="1"/>
        <n v="51442.6973053806" u="1"/>
        <n v="90802.517999588265" u="1"/>
        <n v="44760.115488230505" u="1"/>
        <n v="11427.159228470186" u="1"/>
        <n v="9346.5810487205181" u="1"/>
        <n v="30543.579251794872" u="1"/>
        <n v="12535.091110252728" u="1"/>
        <n v="86917.876782093284" u="1"/>
        <n v="95710.488128896279" u="1"/>
        <n v="41059.899487109564" u="1"/>
        <n v="20501.917033330217" u="1"/>
        <n v="5589.247581388031" u="1"/>
        <n v="55544.960808481279" u="1"/>
        <n v="46692.075327322746" u="1"/>
        <n v="27303.526839930379" u="1"/>
        <n v="58397.173805653816" u="1"/>
        <n v="31023.044117597208" u="1"/>
        <n v="56897.683488227936" u="1"/>
        <n v="57144.851295556124" u="1"/>
        <n v="34367.711038821304" u="1"/>
        <n v="24363.003795442568" u="1"/>
        <n v="42940.658642081456" u="1"/>
        <n v="23405.629281170168" u="1"/>
        <n v="34794.027365892718" u="1"/>
        <n v="33871.829737260749" u="1"/>
        <n v="19784.78945477969" u="1"/>
        <n v="27744.277003433574" u="1"/>
        <n v="9504.9485389951951" u="1"/>
        <n v="14807.117497896119" u="1"/>
        <n v="2397.0017793351344" u="1"/>
        <n v="11186.865506654043" u="1"/>
        <n v="39093.509086479869" u="1"/>
        <n v="16873.087417916337" u="1"/>
        <n v="8821.0947032839522" u="1"/>
        <n v="256196.48172035979" u="1"/>
        <n v="99426.076937791688" u="1"/>
        <n v="15335.222994091064" u="1"/>
        <n v="62985.037869324166" u="1"/>
        <n v="86870.2397947844" u="1"/>
        <n v="66212.514750131115" u="1"/>
        <n v="10008.808217835824" u="1"/>
        <n v="11434.528501251832" u="1"/>
        <n v="6026.0615223069381" u="1"/>
        <n v="8132.7465827600163" u="1"/>
        <n v="21441.228449085145" u="1"/>
        <n v="12214.186244547036" u="1"/>
        <n v="122958.73559942388" u="1"/>
        <n v="19882.700730482247" u="1"/>
        <n v="23961.393637940029" u="1"/>
        <n v="112696.63722923539" u="1"/>
        <n v="5965.2003421828822" u="1"/>
        <n v="23065.130555510324" u="1"/>
        <n v="14642.177599866895" u="1"/>
        <n v="2957.1736423762918" u="1"/>
        <n v="5338.4026227525828" u="1"/>
        <n v="5330.8967102717734" u="1"/>
        <n v="42668.772613295834" u="1"/>
        <n v="26934.199495583674" u="1"/>
        <n v="32101.972375889389" u="1"/>
        <n v="60499.84245381182" u="1"/>
        <n v="8271.1739781406723" u="1"/>
        <n v="4652.8271204611283" u="1"/>
        <n v="61090.086037429341" u="1"/>
        <n v="164039.17793835321" u="1"/>
        <n v="240892.20201990192" u="1"/>
        <n v="112226.60587601722" u="1"/>
        <n v="838942.23061157123" u="1"/>
        <n v="57169.941362828387" u="1"/>
        <n v="480146.70383826172" u="1"/>
        <n v="57819.391655792497" u="1"/>
        <n v="353361.73705282458" u="1"/>
        <n v="140481.92144634717" u="1"/>
        <n v="11846.011969072619" u="1"/>
        <n v="256764.00742121285" u="1"/>
        <n v="509543.88417916367" u="1"/>
        <n v="2242490.7684411793" u="1"/>
        <n v="1067904.9809304911" u="1"/>
        <n v="225630.98792041262" u="1"/>
        <n v="22562.446077735469" u="1"/>
        <n v="119752.03731169624" u="1"/>
        <n v="25238.818290624702" u="1"/>
        <n v="224051.5381155902" u="1"/>
        <n v="801287.96985315415" u="1"/>
        <n v="139941.40003615469" u="1"/>
        <n v="27505.278343749476" u="1"/>
        <n v="156054.03142009629" u="1"/>
        <n v="26010.984489750343" u="1"/>
        <n v="436768.95742331375" u="1"/>
        <n v="673216.81590972701" u="1"/>
        <n v="150235.0820818012" u="1"/>
        <n v="23940.289094114236" u="1"/>
        <n v="285099.08635432925" u="1"/>
        <n v="346472.09569401771" u="1"/>
        <n v="66743.040930228613" u="1"/>
        <n v="147215.50247470813" u="1"/>
        <n v="81493.823013883171" u="1"/>
        <n v="234479.67733328437" u="1"/>
        <n v="617698.6410097708" u="1"/>
        <n v="378577.29410850373" u="1"/>
        <n v="209093.88171007315" u="1"/>
        <n v="44430.735889111806" u="1"/>
        <n v="887553.59929940884" u="1"/>
        <n v="319758.42222602793" u="1"/>
        <n v="56099.425573305976" u="1"/>
        <n v="40110.28955065323" u="1"/>
        <n v="38454.904439990321" u="1"/>
        <n v="72782.828899458153" u="1"/>
        <n v="17666.657957639647" u="1"/>
        <n v="645652.23502511042" u="1"/>
        <n v="68727.891181887928" u="1"/>
        <n v="289988.47593142011" u="1"/>
        <n v="270308.26374973037" u="1"/>
        <n v="318072.08941182093" u="1"/>
        <n v="156555.18927317308" u="1"/>
        <n v="121568.73586372771" u="1"/>
        <n v="152033.24492569224" u="1"/>
        <n v="78824.092616623995" u="1"/>
        <n v="134856.79105556314" u="1"/>
        <n v="77372.821315011373" u="1"/>
        <n v="54231.953634019934" u="1"/>
        <n v="53620.773054917576" u="1"/>
        <n v="186941.99670631313" u="1"/>
        <n v="78797.22957089344" u="1"/>
        <n v="50638.915345161906" u="1"/>
        <n v="130537.41252771985" u="1"/>
        <n v="101745.63471975923" u="1"/>
        <n v="104369.71799783419" u="1"/>
        <n v="6197.183503858636" u="1"/>
        <n v="2538701.0743578156" u="1"/>
        <n v="54909.854436203044" u="1"/>
        <n v="67800.265097670141" u="1"/>
        <n v="74459.90748758681" u="1"/>
        <n v="74289.87485141099" u="1"/>
        <n v="33459.888684019817" u="1"/>
        <n v="38051.353597299261" u="1"/>
        <n v="30856.487565878819" u="1"/>
        <n v="35211.021582578367" u="1"/>
        <n v="52085.702324398742" u="1"/>
        <n v="76737.777339129243" u="1"/>
        <n v="145524.97749345377" u="1"/>
        <n v="288875.63354914769" u="1"/>
        <n v="218014.09296639787" u="1"/>
        <n v="276210.11021656415" u="1"/>
        <n v="307955.19902872469" u="1"/>
        <n v="215892.7248771911" u="1"/>
        <n v="176520.76492761847" u="1"/>
        <n v="345941.3822837742" u="1"/>
        <n v="282324.71112646325" u="1"/>
        <n v="315363.84641184378" u="1"/>
        <n v="167885.64975268522" u="1"/>
        <n v="253001.71880063467" u="1"/>
        <n v="60827.601140545252" u="1"/>
        <n v="41983.80027309354" u="1"/>
        <n v="94563.625969334913" u="1"/>
        <n v="50475.055657059551" u="1"/>
        <n v="78768.06931600922" u="1"/>
        <n v="270534.03990594967" u="1"/>
        <n v="1104997.4831388819" u="1"/>
        <n v="308661.18969497964" u="1"/>
        <n v="523264.5397798898" u="1"/>
        <n v="304477.31593221944" u="1"/>
        <n v="129227.1990838606" u="1"/>
        <n v="95409.951797223621" u="1"/>
        <n v="151884.8443649605" u="1"/>
        <n v="155511.7002492554" u="1"/>
        <n v="85595.198943250361" u="1"/>
        <n v="112179.08680329367" u="1"/>
        <n v="111524.48438952853" u="1"/>
        <n v="79221.150089985094" u="1"/>
        <n v="100459.04007668899" u="1"/>
        <n v="107679.68238926414" u="1"/>
        <n v="122423.34397692245" u="1"/>
        <n v="151502.90552527356" u="1"/>
        <n v="265786.54126194626" u="1"/>
        <n v="134236.1589207401" u="1"/>
        <n v="81377.305304324778" u="1"/>
        <n v="142258.4257843284" u="1"/>
        <n v="29828.149671305004" u="1"/>
        <n v="49619.089676281626" u="1"/>
        <n v="36839.50311441005" u="1"/>
        <n v="85549.184815564833" u="1"/>
        <n v="79990.902347182127" u="1"/>
        <n v="15641.691636852156" u="1"/>
        <n v="99979.627349941584" u="1"/>
        <n v="450807.25649199652" u="1"/>
        <n v="123727.34296200941" u="1"/>
        <n v="271986.67435765528" u="1"/>
        <n v="383589.81481973571" u="1"/>
        <n v="80019.764223230246" u="1"/>
        <n v="571099.2454734199" u="1"/>
        <n v="335315.53109203215" u="1"/>
        <n v="150665.22705664084" u="1"/>
        <n v="189594.76376022768" u="1"/>
        <n v="275489.86584151565" u="1"/>
        <n v="101380.2793268237" u="1"/>
        <n v="106602.31327175871" u="1"/>
        <n v="85410.767592775708" u="1"/>
        <n v="1266426.6737079192" u="1"/>
        <n v="1731264.6143329567" u="1"/>
        <n v="148728.92282612599" u="1"/>
        <n v="131810.55164649917" u="1"/>
        <n v="69629.039203808643" u="1"/>
        <n v="123070.43651663511" u="1"/>
        <n v="126211.87720651734" u="1"/>
        <n v="55095.175980834421" u="1"/>
        <n v="730617.01042872423" u="1"/>
        <n v="35055.258608621836" u="1"/>
        <n v="62373.431818176672" u="1"/>
        <n v="185684.38523394763" u="1"/>
        <n v="386806.35171657364" u="1"/>
        <n v="84366.057416904645" u="1"/>
        <n v="95104.459658987267" u="1"/>
        <n v="128602.46286896169" u="1"/>
        <n v="186710.97250292759" u="1"/>
        <n v="133416.51375426009" u="1"/>
        <n v="27814.274791851749" u="1"/>
        <n v="27860.216943065192" u="1"/>
        <n v="67767.806638633483" u="1"/>
        <n v="49403.685813033117" u="1"/>
        <n v="138916.23798434055" u="1"/>
        <n v="114446.39694789598" u="1"/>
        <n v="38056.281132013348" u="1"/>
        <n v="7103.1477687969546" u="1"/>
        <n v="39188.755556727738" u="1"/>
        <n v="257745.66452687493" u="1"/>
        <n v="118815.62373750054" u="1"/>
        <n v="9031.8130618912273" u="1"/>
        <n v="27777.291837417113" u="1"/>
        <n v="36159.897220126571" u="1"/>
        <n v="48402.798563833159" u="1"/>
        <n v="56648.794339490312" u="1"/>
        <n v="16287.472694919892" u="1"/>
        <n v="173486.80582919475" u="1"/>
        <n v="1022627.4521828874" u="1"/>
        <n v="54812.835811906305" u="1"/>
        <n v="4903.0804439783633" u="1"/>
        <n v="32150.570025080873" u="1"/>
        <n v="352478.42459745804" u="1"/>
        <n v="41156.682927047856" u="1"/>
        <n v="41626.433346808401" u="1"/>
        <n v="85851.933813567215" u="1"/>
        <n v="149429.59017793235" u="1"/>
        <n v="262398.97873154847" u="1"/>
        <n v="28723.455653153676" u="1"/>
        <n v="17679.189685494945" u="1"/>
        <n v="68338.716357456913" u="1"/>
        <n v="71157.670301644219" u="1"/>
        <n v="86370.116788815838" u="1"/>
        <n v="112071.72571701279" u="1"/>
        <n v="100881.03758812859" u="1"/>
        <n v="51433.896744191894" u="1"/>
        <n v="89682.909374126728" u="1"/>
        <n v="42532.572618792874" u="1"/>
        <n v="154710.92912001017" u="1"/>
        <n v="45332.873662184102" u="1"/>
        <n v="75533.431932397158" u="1"/>
        <n v="656566.57677607774" u="1"/>
        <n v="388268.55415767251" u="1"/>
        <n v="11766.657176098845" u="1"/>
        <n v="176604.20669942015" u="1"/>
        <n v="85696.691158229864" u="1"/>
        <n v="224192.70121098164" u="1"/>
        <n v="124587.40452239769" u="1"/>
        <n v="271817.52208945312" u="1"/>
        <n v="1329433.2153919893" u="1"/>
        <n v="940795.05205160961" u="1"/>
        <n v="91157.519913393364" u="1"/>
        <n v="279172.25095875631" u="1"/>
        <n v="59919.266585794016" u="1"/>
        <n v="405357.42593042675" u="1"/>
        <n v="761064.78405970952" u="1"/>
        <n v="1148457.0408015985" u="1"/>
        <n v="1214898.227221491" u="1"/>
        <n v="1053808.0133020708" u="1"/>
        <n v="870537.67453630781" u="1"/>
        <n v="744345.26878761628" u="1"/>
        <n v="531408.85527500114" u="1"/>
        <n v="267002.84719676385" u="1"/>
        <n v="165821.17777800982" u="1"/>
        <n v="211288.9772447724" u="1"/>
        <n v="45657.655539545776" u="1"/>
        <n v="1258692.9979446521" u="1"/>
        <n v="749616.367400505" u="1"/>
        <n v="560054.64788328204" u="1"/>
        <n v="15735.316625101699" u="1"/>
        <n v="387756.78967556631" u="1"/>
        <n v="2152.3656154852788" u="1"/>
        <n v="1248.195344240278" u="1"/>
        <n v="5951.4640824687667" u="1"/>
        <n v="17403.806467359267" u="1"/>
        <n v="13222.321956584303" u="1"/>
        <n v="10893.045069325257" u="1"/>
        <n v="44647.311898691063" u="1"/>
        <n v="74427.670219987296" u="1"/>
        <n v="195001.45594062158" u="1"/>
        <n v="5907.8506678721315" u="1"/>
        <n v="54575.973262354179" u="1"/>
        <n v="65712.532677689946" u="1"/>
        <n v="34103.919767276573" u="1"/>
        <n v="206219.23704437373" u="1"/>
        <n v="39598.93115930503" u="1"/>
        <n v="7278.4782241818748" u="1"/>
        <n v="1166324.7105261867" u="1"/>
        <n v="1046189.6408626423" u="1"/>
        <n v="290781.77791772538" u="1"/>
        <n v="42898.715656355926" u="1"/>
        <n v="134022.64356453429" u="1"/>
        <n v="7129.1705683353748" u="1"/>
        <n v="6734.9100594250895" u="1"/>
        <n v="135821.38170296408" u="1"/>
        <n v="32059.927157791812" u="1"/>
        <n v="222225.19300792643" u="1"/>
        <n v="355422.58473511721" u="1"/>
        <n v="67206.937971044958" u="1"/>
        <n v="149682.55045780962" u="1"/>
        <n v="509006.49011984002" u="1"/>
        <n v="27769.616557998546" u="1"/>
        <n v="45408.228609013029" u="1"/>
        <n v="5317.083313552188" u="1"/>
        <n v="3883.3962981747577" u="1"/>
        <n v="63035.165638258361" u="1"/>
        <n v="49958.719131860431" u="1"/>
        <n v="176012.37966923689" u="1"/>
        <n v="33787.379381790641" u="1"/>
        <n v="6388.5838873191133" u="1"/>
        <n v="88107.017873929799" u="1"/>
        <n v="22515.562085690901" u="1"/>
        <n v="1228353.1959241913" u="1"/>
        <n v="186224.93248992713" u="1"/>
        <n v="114214.96555009051" u="1"/>
        <n v="49486.106170184212" u="1"/>
        <n v="25585.928806936212" u="1"/>
        <n v="4355.6276489361262" u="1"/>
        <n v="812194.60379468231" u="1"/>
        <n v="183059.85957957967" u="1"/>
        <n v="87326.952018828844" u="1"/>
        <n v="27548.856723108122" u="1"/>
        <n v="426976.0160786999" u="1"/>
        <n v="68306.03004936449" u="1"/>
        <n v="97480.753371438623" u="1"/>
        <n v="18925.405850040981" u="1"/>
        <n v="49669.531600659073" u="1"/>
        <n v="99701.777682831438" u="1"/>
        <n v="86446.443902986503" u="1"/>
        <n v="6516.5388385664728" u="1"/>
        <n v="2732.0811450895062" u="1"/>
        <n v="5040.2592995807008" u="1"/>
        <n v="4012.2033273749635" u="1"/>
        <n v="55842.979486516044" u="1"/>
        <n v="10448.55786620443" u="1"/>
        <n v="13326.526048179461" u="1"/>
        <n v="16170.672210646042" u="1"/>
        <n v="23380.62691704082" u="1"/>
        <n v="7927.4424300863593" u="1"/>
        <n v="3524.8165876397879" u="1"/>
        <n v="19547.143879883566" u="1"/>
        <n v="133965.86338301029" u="1"/>
        <n v="90037.775261723582" u="1"/>
        <n v="4762.0446209418724" u="1"/>
        <n v="60679.918725433599" u="1"/>
        <n v="104184.19961144849" u="1"/>
        <n v="18573.838082332903" u="1"/>
        <n v="140785.99878401356" u="1"/>
        <n v="1140373.29651079" u="1"/>
        <n v="159358.87928183956" u="1"/>
        <n v="28053.211315790664" u="1"/>
        <n v="6338.5889664620827" u="1"/>
        <n v="16714.864877997283" u="1"/>
        <n v="111771.17082800358" u="1"/>
        <n v="32812.436619515618" u="1"/>
        <n v="42317.577925169368" u="1"/>
        <n v="18759.910990356897" u="1"/>
        <n v="70367.529056739906" u="1"/>
        <n v="95450.190877032568" u="1"/>
        <n v="220520.18794650308" u="1"/>
        <n v="111340.53416834334" u="1"/>
        <n v="84318.650867694712" u="1"/>
        <n v="47117.019579900953" u="1"/>
        <n v="21643.816162550796" u="1"/>
        <n v="10797.551853397497" u="1"/>
        <n v="75837.987336285078" u="1"/>
        <n v="10474.427792936644" u="1"/>
        <n v="46470.916658108923" u="1"/>
        <n v="22118.399458692369" u="1"/>
        <n v="467513.32566700235" u="1"/>
        <n v="583582.31603476964" u="1"/>
        <n v="25095.856074396139" u="1"/>
        <n v="74115.982676886779" u="1"/>
        <n v="107216.97386749944" u="1"/>
        <n v="132562.80879226146" u="1"/>
        <n v="22924.500333944743" u="1"/>
        <n v="11200.888184484025" u="1"/>
        <n v="185949.55169767889" u="1"/>
        <n v="64627.652217134695" u="1"/>
        <n v="126450.34464871124" u="1"/>
        <n v="101889.80783642019" u="1"/>
        <n v="3161119.5871026153" u="1"/>
        <n v="1266851.2243073843" u="1"/>
        <n v="19625.816895804481" u="1"/>
        <n v="270547.05679346231" u="1"/>
        <n v="18532.190497951495" u="1"/>
        <n v="45933.850339513396" u="1"/>
        <n v="1426462.2986257558" u="1"/>
        <n v="50801.375448974919" u="1"/>
        <n v="9866.0323364391988" u="1"/>
        <n v="79311.120121191387" u="1"/>
        <n v="140597.84901393205" u="1"/>
        <n v="127757.46951120206" u="1"/>
        <n v="34752.828857890941" u="1"/>
        <n v="324149.93949319166" u="1"/>
        <n v="50835.646088934256" u="1"/>
        <n v="1780.970666344713" u="1"/>
        <n v="4482.00321699284" u="1"/>
        <n v="70551.59196625273" u="1"/>
        <n v="84999.976935583749" u="1"/>
        <n v="17034.05037859175" u="1"/>
        <n v="22663.909097697393" u="1"/>
        <n v="8132.1882492591521" u="1"/>
        <n v="24823.445843207504" u="1"/>
        <n v="21655.892301926502" u="1"/>
        <n v="1976442.503493051" u="1"/>
        <n v="18293.872098552558" u="1"/>
        <n v="66768.2357797406" u="1"/>
        <n v="7137.5124113789916" u="1"/>
        <n v="8313.6379095902303" u="1"/>
        <n v="9730.7479489124507" u="1"/>
        <n v="1322273.4972398346" u="1"/>
        <n v="14480.87742244491" u="1"/>
        <n v="18991.578893195692" u="1"/>
        <n v="254805.64619352724" u="1"/>
        <n v="66548.70666386724" u="1"/>
        <n v="668337.50237074203" u="1"/>
        <n v="68541.362653135904" u="1"/>
        <n v="5747.617024365798" u="1"/>
        <n v="45821.038415922099" u="1"/>
        <n v="26618.127077518238" u="1"/>
        <n v="2138846.4070437206" u="1"/>
        <n v="47219.702168449337" u="1"/>
        <n v="81242.615571241171" u="1"/>
        <n v="302340.12795775844" u="1"/>
        <n v="28332.967189956064" u="1"/>
        <n v="629343.01987442991" u="1"/>
        <n v="1020853.1183083197" u="1"/>
        <n v="41354.684225078978" u="1"/>
        <n v="102624.96556536782" u="1"/>
        <n v="86321.041726326366" u="1"/>
        <n v="764911.02610117651" u="1"/>
        <n v="50303.6346609459" u="1"/>
        <n v="20230.371263960973" u="1"/>
        <n v="442545.33644941851" u="1"/>
        <n v="109673.02394546787" u="1"/>
        <n v="1548330.0106141649" u="1"/>
        <n v="84956.133251828214" u="1"/>
        <n v="65722.383242426891" u="1"/>
        <n v="64496.140113685557" u="1"/>
        <n v="312810.77889843477" u="1"/>
        <n v="62442.094626237391" u="1"/>
        <n v="205740.53191483262" u="1"/>
        <n v="297149.45964815351" u="1"/>
        <n v="256275.33519447592" u="1"/>
        <n v="67522.44438125052" u="1"/>
        <n v="82319.939555720543" u="1"/>
        <n v="251238.71906022809" u="1"/>
        <n v="24172.270541957776" u="1"/>
        <n v="12135.763559135989" u="1"/>
        <n v="227262.15038119355" u="1"/>
        <n v="120202.52411764445" u="1"/>
        <n v="426464.73570869514" u="1"/>
        <n v="118838.38695757488" u="1"/>
        <n v="321764.17244765075" u="1"/>
        <n v="12905.105746187439" u="1"/>
        <n v="9741.3150900558776" u="1"/>
        <n v="44832.90962587839" u="1"/>
        <n v="226351.52022200305" u="1"/>
        <n v="55314.000141688943" u="1"/>
        <n v="85929.551503769049" u="1"/>
        <n v="24921.026985076969" u="1"/>
        <n v="3982.1010935062573" u="1"/>
        <n v="42338.375891222691" u="1"/>
        <n v="23020.257890827554" u="1"/>
        <n v="74443.988729930599" u="1"/>
        <n v="10751.941808415449" u="1"/>
        <n v="196625.45413436065" u="1"/>
        <n v="61432.955082378583" u="1"/>
        <n v="42804.523434765542" u="1"/>
        <n v="75501.066399767893" u="1"/>
        <n v="117547.49028066052" u="1"/>
        <n v="4252.8509858504094" u="1"/>
        <n v="161695.92662970276" u="1"/>
        <n v="841941.64617614134" u="1"/>
        <n v="599452.31869770936" u="1"/>
        <n v="9535.4821996839091" u="1"/>
        <n v="300846.25410121179" u="1"/>
        <n v="110672.96543541347" u="1"/>
        <n v="400529.39099768421" u="1"/>
        <n v="43068.454387417958" u="1"/>
        <n v="131460.55958281379" u="1"/>
        <n v="70299.428016510385" u="1"/>
        <n v="1595790.7937648136" u="1"/>
        <n v="112534.75604826944" u="1"/>
        <n v="39314.320808091456" u="1"/>
        <n v="46656.935513574295" u="1"/>
        <n v="5005.1228249432506" u="1"/>
        <n v="7034.7969575558955" u="1"/>
        <n v="17356.256074945082" u="1"/>
        <n v="124372.84856898455" u="1"/>
        <n v="3194526.6569247385" u="1"/>
        <n v="715688.58029327076" u="1"/>
        <n v="7818.3154430494842" u="1"/>
        <n v="74038.764918523681" u="1"/>
        <n v="258248.40291792958" u="1"/>
        <n v="256405.49831512445" u="1"/>
        <n v="30000.380701378657" u="1"/>
        <n v="214411.11243569659" u="1"/>
        <n v="87021.522019502576" u="1"/>
        <n v="125216.69486986946" u="1"/>
        <n v="137842.15343718871" u="1"/>
        <n v="201165.80417505626" u="1"/>
        <n v="21824.429077929974" u="1"/>
        <n v="245214.96326963441" u="1"/>
        <n v="29532.188035099465" u="1"/>
        <n v="78599.424630838272" u="1"/>
        <n v="37468.946032651998" u="1"/>
        <n v="113506.47895155475" u="1"/>
        <n v="57341.330556765017" u="1"/>
        <n v="8568.4767314445307" u="1"/>
        <n v="29729.779454618918" u="1"/>
        <n v="33777.504475121008" u="1"/>
        <n v="15624.347843279915" u="1"/>
        <n v="273320.42330765986" u="1"/>
        <n v="24996.846663555141" u="1"/>
        <n v="179579.40182114695" u="1"/>
        <n v="118576.22423858756" u="1"/>
        <n v="26931.620522747868" u="1"/>
        <n v="97578.232350303806" u="1"/>
        <n v="10534.861295665018" u="1"/>
        <n v="18301.328800065832" u="1"/>
        <n v="50899.329047251245" u="1"/>
        <n v="36949.535263012083" u="1"/>
        <n v="18218.670635617473" u="1"/>
        <n v="27134.639677567273" u="1"/>
        <n v="332286.34612193936" u="1"/>
        <n v="302088.07296509627" u="1"/>
        <n v="49927.463600662719" u="1"/>
        <n v="31502.244408176492" u="1"/>
        <n v="81517.905326570966" u="1"/>
        <n v="30132.555478183305" u="1"/>
        <n v="11187.390100993514" u="1"/>
        <n v="389093.11996794876" u="1"/>
        <n v="123645.40268929536" u="1"/>
        <n v="694986.40558826993" u="1"/>
        <n v="263448.18101777084" u="1"/>
        <n v="76703.176110188229" u="1"/>
        <n v="1300000.7801715755" u="1"/>
        <n v="558551.1526484295" u="1"/>
        <n v="60284.989062034918" u="1"/>
        <n v="250971.30386869729" u="1"/>
        <n v="16866.472053990459" u="1"/>
        <n v="116880.88146292043" u="1"/>
        <n v="73847.393460619249" u="1"/>
        <n v="32024.327014851522" u="1"/>
        <n v="56833.155214952378" u="1"/>
        <n v="9598.0946696014653" u="1"/>
        <n v="43787.147012428337" u="1"/>
        <n v="34691.745512907095" u="1"/>
        <n v="189263.51455526863" u="1"/>
        <n v="215926.37447822533" u="1"/>
        <n v="388110.81488961552" u="1"/>
        <n v="144339.07207725022" u="1"/>
        <n v="92427.642423424812" u="1"/>
        <n v="6258.3978689569403" u="1"/>
        <n v="181625.41423847841" u="1"/>
        <n v="25957.526510821281" u="1"/>
        <n v="542830.39825502434" u="1"/>
        <n v="1989492.3587378261" u="1"/>
        <n v="362341.58491437201" u="1"/>
        <n v="40682.618473759518" u="1"/>
        <n v="9844.3661918458511" u="1"/>
        <n v="16219.868425241055" u="1"/>
        <n v="2579.6853847859261" u="1"/>
        <n v="13664.487081796893" u="1"/>
        <n v="32784.988243680127" u="1"/>
        <n v="99012.832072571939" u="1"/>
        <n v="18657.371785440217" u="1"/>
        <n v="26765.163605053116" u="1"/>
        <n v="16646.524450677898" u="1"/>
        <n v="89460.382196911669" u="1"/>
        <n v="26837.150070557404" u="1"/>
        <n v="44832.130758036445" u="1"/>
        <n v="9936.3186411635506" u="1"/>
        <n v="147751.9463581717" u="1"/>
        <n v="13371.518858935649" u="1"/>
        <n v="57269.214345981818" u="1"/>
        <n v="67525.706402144671" u="1"/>
        <n v="39979.593047832524" u="1"/>
        <n v="15004.511418773265" u="1"/>
        <n v="40364.619252097487" u="1"/>
        <n v="67694.968433429734" u="1"/>
        <n v="16116.330846398545" u="1"/>
        <n v="7636.1255878962502" u="1"/>
        <n v="303802.85294191696" u="1"/>
        <n v="38388.556568960994" u="1"/>
        <n v="23205.097785560156" u="1"/>
        <n v="18241.500913823253" u="1"/>
        <n v="42267.26909095647" u="1"/>
        <n v="5711.9295107459902" u="1"/>
        <n v="32916.338513351118" u="1"/>
        <n v="10614.495078976768" u="1"/>
        <n v="9239.3476779665689" u="1"/>
        <n v="19706.102645784358" u="1"/>
        <n v="4426.0803156004213" u="1"/>
        <n v="27315.350713998898" u="1"/>
        <n v="6595.9659060520016" u="1"/>
        <n v="8549.2933806816272" u="1"/>
        <n v="11035.780873632368" u="1"/>
        <n v="8663.3349367739775" u="1"/>
        <n v="13461.965318420722" u="1"/>
        <n v="11622.135711512426" u="1"/>
        <n v="3673.4903346410579" u="1"/>
        <n v="11488.997212178372" u="1"/>
        <n v="5286.2777874177482" u="1"/>
        <n v="5580.9414090343016" u="1"/>
        <n v="12008.793806953283" u="1"/>
        <n v="20304.246386895771" u="1"/>
        <n v="106207.30524020475" u="1"/>
        <n v="32561.853242322097" u="1"/>
        <n v="9667.4423557776281" u="1"/>
        <n v="41608.919988024936" u="1"/>
        <n v="35822.270693526458" u="1"/>
        <n v="5775.6503540809435" u="1"/>
        <n v="11029.178124743567" u="1"/>
        <n v="10636.971495437523" u="1"/>
        <n v="8477.8659733459826" u="1"/>
        <n v="197936.71818258552" u="1"/>
        <n v="14750.218105841594" u="1"/>
        <n v="43541.784523916976" u="1"/>
        <n v="20786.351182245377" u="1"/>
        <n v="54937.632947515063" u="1"/>
        <n v="223095.68706609798" u="1"/>
        <n v="54163.409848034571" u="1"/>
        <n v="9261.0991250685474" u="1"/>
        <n v="36195.99755073135" u="1"/>
        <n v="11738.094447101817" u="1"/>
        <n v="2526.4697313113747" u="1"/>
        <n v="8389.1366704546672" u="1"/>
        <n v="16561.733970179757" u="1"/>
        <n v="24662.467407494918" u="1"/>
        <n v="50344.157698583265" u="1"/>
        <n v="28663.136277071168" u="1"/>
        <n v="15119.00208638551" u="1"/>
        <n v="6698.4666076466156" u="1"/>
        <n v="50988.791152686055" u="1"/>
        <n v="90001.319311356623" u="1"/>
        <n v="44365.17329274612" u="1"/>
        <n v="11326.331352924864" u="1"/>
        <n v="9264.1112159376898" u="1"/>
        <n v="30274.077081926098" u="1"/>
        <n v="12424.487365162267" u="1"/>
        <n v="86150.954339898366" u="1"/>
        <n v="94865.983821876624" u="1"/>
        <n v="40697.606256340958" u="1"/>
        <n v="20321.017765389075" u="1"/>
        <n v="5539.9306909640181" u="1"/>
        <n v="55054.858213112311" u="1"/>
        <n v="46280.086427375776" u="1"/>
        <n v="27062.613367813352" u="1"/>
        <n v="57881.904625015719" u="1"/>
        <n v="30749.311375383109" u="1"/>
        <n v="56395.645104508279" u="1"/>
        <n v="56640.632019418881" u="1"/>
        <n v="34064.466529655241" u="1"/>
        <n v="24148.036114894541" u="1"/>
        <n v="42561.770477592523" u="1"/>
        <n v="23199.109022806904" u="1"/>
        <n v="34487.021242076014" u="1"/>
        <n v="33572.960651343739" u="1"/>
        <n v="19610.217783119868" u="1"/>
        <n v="27499.474559285627" u="1"/>
        <n v="9421.0813460040572" u="1"/>
        <n v="14676.466461149979" u="1"/>
        <n v="2375.8517636351175" u="1"/>
        <n v="11088.157869830626" u="1"/>
        <n v="38748.566359246222" u="1"/>
        <n v="16724.20723481707" u="1"/>
        <n v="8743.2615147255656" u="1"/>
        <n v="253935.92452870947" u="1"/>
        <n v="98548.788023634697" u="1"/>
        <n v="15199.912202966723" u="1"/>
        <n v="62429.287535183073" u="1"/>
        <n v="86103.737678948077" u="1"/>
        <n v="65628.286678806442" u="1"/>
        <n v="9920.4952041490415" u="1"/>
        <n v="11333.635602711374" u="1"/>
        <n v="5972.8903912277601" u="1"/>
        <n v="8060.9870540886041" u="1"/>
        <n v="21252.041139240278" u="1"/>
        <n v="12106.414012977504" u="1"/>
        <n v="121873.80557942898" u="1"/>
        <n v="19707.265135801525" u="1"/>
        <n v="23749.969576428804" u="1"/>
        <n v="111284.15811316459" u="1"/>
        <n v="5912.5662215165603" u="1"/>
        <n v="22861.614697667585" u="1"/>
        <n v="14512.981915162187" u="1"/>
        <n v="2931.0809337670894" u="1"/>
        <n v="5291.299070198882" u="1"/>
        <n v="5283.8593863576116" u="1"/>
        <n v="42292.283443178516" u="1"/>
        <n v="26696.544794152051" u="1"/>
        <n v="31818.719678455062" u="1"/>
        <n v="59966.020314513473" u="1"/>
        <n v="8198.1930312747263" u="1"/>
        <n v="4611.7727635158826" u="1"/>
        <n v="60551.055866510869" u="1"/>
        <n v="162591.77342713249" u="1"/>
        <n v="238766.68259031457" u="1"/>
        <n v="111236.37111828764" u="1"/>
        <n v="831539.79916499858" u="1"/>
        <n v="56665.500703744634" u="1"/>
        <n v="475910.11527498299" u="1"/>
        <n v="57309.220552947256" u="1"/>
        <n v="350243.83937294682" u="1"/>
        <n v="139242.37508064412" u="1"/>
        <n v="11741.488334051386" u="1"/>
        <n v="254498.44264984902" u="1"/>
        <n v="505047.90873052407" u="1"/>
        <n v="2222704.0851902273" u="1"/>
        <n v="1058482.2899222807" u="1"/>
        <n v="223640.12626229133" u="1"/>
        <n v="22363.365671167212" u="1"/>
        <n v="118656.20778979838" u="1"/>
        <n v="25016.122835119197" u="1"/>
        <n v="222074.61277927618" u="1"/>
        <n v="794217.78188386175" u="1"/>
        <n v="138706.62297701216" u="1"/>
        <n v="27262.584711304629" u="1"/>
        <n v="154184.55587307707" u="1"/>
        <n v="25781.475803076082" u="1"/>
        <n v="432915.11368134327" u="1"/>
        <n v="667276.66753405298" u="1"/>
        <n v="148909.47841637355" u="1"/>
        <n v="23729.051249166161" u="1"/>
        <n v="282583.50618061447" u="1"/>
        <n v="343414.98896730581" u="1"/>
        <n v="66154.131745550127" u="1"/>
        <n v="145916.54215875478" u="1"/>
        <n v="80774.759869642978" u="1"/>
        <n v="232410.73900387305" u="1"/>
        <n v="612248.35888321395" u="1"/>
        <n v="375236.90621931112" u="1"/>
        <n v="207248.93569498431" u="1"/>
        <n v="44038.699984207873" u="1"/>
        <n v="879722.24401147338" u="1"/>
        <n v="316937.0243828572" u="1"/>
        <n v="55604.43064177678" u="1"/>
        <n v="39756.375231088619" u="1"/>
        <n v="38115.596459637462" u="1"/>
        <n v="72140.627467992323" u="1"/>
        <n v="17510.775681542822" u="1"/>
        <n v="639955.30353959464" u="1"/>
        <n v="68121.468612635974" u="1"/>
        <n v="287429.75408496626" u="1"/>
        <n v="267923.19083429169" u="1"/>
        <n v="315265.57097583421" u="1"/>
        <n v="155173.81995605686" u="1"/>
        <n v="120496.07054728305" u="1"/>
        <n v="150691.77511752432" u="1"/>
        <n v="78128.585917065575" u="1"/>
        <n v="133666.87819330816" u="1"/>
        <n v="76690.119950467182" u="1"/>
        <n v="53753.436396072677" u="1"/>
        <n v="53147.64858678593" u="1"/>
        <n v="185292.50850008096" u="1"/>
        <n v="78101.959898209097" u="1"/>
        <n v="50192.10138623399" u="1"/>
        <n v="129385.6118289458" u="1"/>
        <n v="100847.8791192908" u="1"/>
        <n v="103448.80872138272" u="1"/>
        <n v="6142.5024729422366" u="1"/>
        <n v="2516300.7707605413" u="1"/>
        <n v="54425.355720589483" u="1"/>
        <n v="67202.027464455401" u="1"/>
        <n v="73802.908303872813" u="1"/>
        <n v="73634.375955663287" u="1"/>
        <n v="33164.654372101999" u="1"/>
        <n v="37715.606359676036" u="1"/>
        <n v="30584.22444029753" u="1"/>
        <n v="34900.3360980262" u="1"/>
        <n v="51626.122598006987" u="1"/>
        <n v="76060.679303783982" u="1"/>
        <n v="144240.93357439377" u="1"/>
        <n v="286326.73090018466" u="1"/>
        <n v="216090.43920492972" u="1"/>
        <n v="273772.96218524151" u="1"/>
        <n v="305237.94727258891" u="1"/>
        <n v="213987.78906945119" u="1"/>
        <n v="176631.15554244688" u="1"/>
        <n v="342888.95832244691" u="1"/>
        <n v="279833.61073417094" u="1"/>
        <n v="312581.22423762176" u="1"/>
        <n v="166404.3057842791" u="1"/>
        <n v="250769.35069357019" u="1"/>
        <n v="60290.887012834566" u="1"/>
        <n v="41613.354976566254" u="1"/>
        <n v="93729.241034311388" u="1"/>
        <n v="50029.687518909035" u="1"/>
        <n v="78073.056939691509" u="1"/>
        <n v="268146.97484795604" u="1"/>
        <n v="1095247.5053464803" u="1"/>
        <n v="305937.70860943571" u="1"/>
        <n v="518647.49972300837" u="1"/>
        <n v="301790.75137987622" u="1"/>
        <n v="128086.95909194411" u="1"/>
        <n v="94568.09928136575" u="1"/>
        <n v="150544.6839735049" u="1"/>
        <n v="154139.53818823252" u="1"/>
        <n v="84839.947187868733" u="1"/>
        <n v="111189.27133149988" u="1"/>
        <n v="110540.44482138564" u="1"/>
        <n v="78522.1399421323" u="1"/>
        <n v="99572.636781894675" u="1"/>
        <n v="106729.56754465298" u="1"/>
        <n v="121343.13800065545" u="1"/>
        <n v="150166.1151824035" u="1"/>
        <n v="263441.36589787022" u="1"/>
        <n v="133051.72222438059" u="1"/>
        <n v="80659.270257521915" u="1"/>
        <n v="141003.20438034905" u="1"/>
        <n v="29564.96011538172" u="1"/>
        <n v="49181.274179137959" u="1"/>
        <n v="36514.448675165258" u="1"/>
        <n v="84794.339067192224" u="1"/>
        <n v="79285.100267648173" u="1"/>
        <n v="15503.676710644637" u="1"/>
        <n v="99097.454167442105" u="1"/>
        <n v="446829.54540530231" u="1"/>
        <n v="122635.63111234462" u="1"/>
        <n v="269586.79193685245" u="1"/>
        <n v="380205.19880662038" u="1"/>
        <n v="79313.707480084093" u="1"/>
        <n v="566060.13448394858" u="1"/>
        <n v="332356.86464122008" u="1"/>
        <n v="149335.82799437642" u="1"/>
        <n v="187921.86878587268" u="1"/>
        <n v="273059.07290761993" u="1"/>
        <n v="100485.74745041056" u="1"/>
        <n v="105661.70462524318" u="1"/>
        <n v="84657.143172839467" u="1"/>
        <n v="1255252.320704614" u="1"/>
        <n v="1715988.7500888426" u="1"/>
        <n v="147416.60880118958" u="1"/>
        <n v="130647.51736726536" u="1"/>
        <n v="69014.665328480914" u="1"/>
        <n v="121984.52090031185" u="1"/>
        <n v="125098.24299587161" u="1"/>
        <n v="54609.042075121142" u="1"/>
        <n v="724170.38974847039" u="1"/>
        <n v="34745.947503251635" u="1"/>
        <n v="61823.078008016266" u="1"/>
        <n v="184045.99359953043" u="1"/>
        <n v="383393.35449554498" u="1"/>
        <n v="83621.651027931934" u="1"/>
        <n v="94265.302661996189" u="1"/>
        <n v="125571.94480002069" u="1"/>
        <n v="185063.52274554881" u="1"/>
        <n v="132239.30922113426" u="1"/>
        <n v="27568.854720158932" u="1"/>
        <n v="27614.39149944991" u="1"/>
        <n v="67169.855403586771" u="1"/>
        <n v="48967.770938212227" u="1"/>
        <n v="137690.50647271401" u="1"/>
        <n v="113436.57579835576" u="1"/>
        <n v="37720.490416142646" u="1"/>
        <n v="7040.4729355428644" u="1"/>
        <n v="38842.972419462487" u="1"/>
        <n v="255471.43807516721" u="1"/>
        <n v="117767.25058687554" u="1"/>
        <n v="8952.1205936980678" u="1"/>
        <n v="27532.198085910491" u="1"/>
        <n v="35840.839303478402" u="1"/>
        <n v="47975.715047093458" u="1"/>
        <n v="56148.952036494782" u="1"/>
        <n v="16143.759700552953" u="1"/>
        <n v="171956.03989540771" u="1"/>
        <n v="1013604.2687812737" u="1"/>
        <n v="54329.193142977711" u="1"/>
        <n v="4859.8179694726696" u="1"/>
        <n v="31866.888524859572" u="1"/>
        <n v="350196.75944107102" u="1"/>
        <n v="40793.535724750385" u="1"/>
        <n v="41259.141287865961" u="1"/>
        <n v="85094.416750506309" u="1"/>
        <n v="148111.09379400942" u="1"/>
        <n v="260083.69362509358" u="1"/>
        <n v="28470.013397390561" u="1"/>
        <n v="17523.196835328814" u="1"/>
        <n v="67735.727683714649" u="1"/>
        <n v="70529.808504864995" u="1"/>
        <n v="85608.027523032128" u="1"/>
        <n v="111082.85754892151" u="1"/>
        <n v="99990.910785880376" u="1"/>
        <n v="50980.068243507878" u="1"/>
        <n v="88891.589585531474" u="1"/>
        <n v="42157.285213332929" u="1"/>
        <n v="153345.83268659838" u="1"/>
        <n v="44932.877718106007" u="1"/>
        <n v="74866.960474170148" u="1"/>
        <n v="650773.34227511182" u="1"/>
        <n v="384842.65515039896" u="1"/>
        <n v="11662.833730427385" u="1"/>
        <n v="175045.9342873664" u="1"/>
        <n v="84940.54388330433" u="1"/>
        <n v="222214.53031794357" u="1"/>
        <n v="123488.10389425883" u="1"/>
        <n v="269419.13218866388" u="1"/>
        <n v="1317702.9223150006" u="1"/>
        <n v="932493.91923938959" u="1"/>
        <n v="90353.18885533401" u="1"/>
        <n v="276708.96639147314" u="1"/>
        <n v="59390.567174742871" u="1"/>
        <n v="401780.74276045238" u="1"/>
        <n v="754349.50655330042" u="1"/>
        <n v="1138323.5963239374" u="1"/>
        <n v="1204178.5369813011" u="1"/>
        <n v="1044509.7073023467" u="1"/>
        <n v="862856.45976098755" u="1"/>
        <n v="737777.51641596097" u="1"/>
        <n v="526719.9536108101" u="1"/>
        <n v="264646.93972149823" u="1"/>
        <n v="164358.04973879212" u="1"/>
        <n v="209424.66273967142" u="1"/>
        <n v="45254.793873020375" u="1"/>
        <n v="1247586.883256905" u="1"/>
        <n v="745525.89460551646" u="1"/>
        <n v="553852.45570061414" u="1"/>
        <n v="15596.475596056687" u="1"/>
        <n v="384335.40623725252" u="1"/>
        <n v="2133.3741541721733" u="1"/>
        <n v="1237.1818559087462" u="1"/>
        <n v="5898.9511640940418" u="1"/>
        <n v="17250.243469117868" u="1"/>
        <n v="13105.654409908557" u="1"/>
        <n v="10796.92996577239" u="1"/>
        <n v="44253.365028996726" u="1"/>
        <n v="73770.955482752077" u="1"/>
        <n v="193280.85485879256" u="1"/>
        <n v="5855.7225737438484" u="1"/>
        <n v="54094.420557098092" u="1"/>
        <n v="65132.716212886822" u="1"/>
        <n v="33803.002828153527" u="1"/>
        <n v="204399.65554104093" u="1"/>
        <n v="39249.528825546455" u="1"/>
        <n v="7214.2563574979158" u="1"/>
        <n v="1156033.6101391914" u="1"/>
        <n v="1036958.5557962069" u="1"/>
        <n v="288216.05634786305" u="1"/>
        <n v="42520.197577035142" u="1"/>
        <n v="132840.09082720018" u="1"/>
        <n v="7066.2661221441813" u="1"/>
        <n v="6675.4843824301624" u="1"/>
        <n v="134622.95774676139" u="1"/>
        <n v="31777.045447576009" u="1"/>
        <n v="220264.38248138598" u="1"/>
        <n v="352286.50310510147" u="1"/>
        <n v="66613.935577182783" u="1"/>
        <n v="148361.82207141712" u="1"/>
        <n v="504515.25638348854" u="1"/>
        <n v="27524.590529545621" u="1"/>
        <n v="45007.56776834526" u="1"/>
        <n v="5270.1678725502588" u="1"/>
        <n v="3849.1310367202759" u="1"/>
        <n v="62478.973000273734" u="1"/>
        <n v="49517.906904226373" u="1"/>
        <n v="174459.32926039075" u="1"/>
        <n v="33489.255446068957" u="1"/>
        <n v="6332.2140294898263" u="1"/>
        <n v="87329.603010336301" u="1"/>
        <n v="22316.89536140539" u="1"/>
        <n v="1217514.7853719187" u="1"/>
        <n v="184581.77132089838" u="1"/>
        <n v="113207.18644229558" u="1"/>
        <n v="49049.464056917903" u="1"/>
        <n v="25360.170611580892" u="1"/>
        <n v="4317.1956402690412" u="1"/>
        <n v="805963.78488731617" u="1"/>
        <n v="181444.62552446566" u="1"/>
        <n v="86556.420089250911" u="1"/>
        <n v="27433.387250373962" u="1"/>
        <n v="423208.58064271149" u="1"/>
        <n v="67703.329784223039" u="1"/>
        <n v="96620.629076984726" u="1"/>
        <n v="18758.41697489356" u="1"/>
        <n v="49231.271027712093" u="1"/>
        <n v="98822.056115041734" u="1"/>
        <n v="85683.681162666035" u="1"/>
        <n v="6459.0399664614743" u="1"/>
        <n v="2707.9745467504804" u="1"/>
        <n v="4995.7864234079316" u="1"/>
        <n v="3976.8015333098901" u="1"/>
        <n v="55350.247314576205" u="1"/>
        <n v="10356.364708561452" u="1"/>
        <n v="13208.939053636701" u="1"/>
        <n v="16027.989808787397" u="1"/>
        <n v="23174.327267772802" u="1"/>
        <n v="7857.4944086444202" u="1"/>
        <n v="3493.7152648076726" u="1"/>
        <n v="19374.669080943411" u="1"/>
        <n v="132783.81164727791" u="1"/>
        <n v="89243.324303531874" u="1"/>
        <n v="4720.0265801688565" u="1"/>
        <n v="60144.507677856272" u="1"/>
        <n v="103264.92726193571" u="1"/>
        <n v="18409.951275724088" u="1"/>
        <n v="139543.76938297806" u="1"/>
        <n v="1133698.6044783276" u="1"/>
        <n v="157952.77152347038" u="1"/>
        <n v="27805.682980651334" u="1"/>
        <n v="6282.6602402874169" u="1"/>
        <n v="16567.380776132599" u="1"/>
        <n v="110784.95461481529" u="1"/>
        <n v="32522.915119931662" u="1"/>
        <n v="41944.187531711985" u="1"/>
        <n v="18594.382363971388" u="1"/>
        <n v="69746.639094474536" u="1"/>
        <n v="94607.983310470503" u="1"/>
        <n v="218574.42158226931" u="1"/>
        <n v="110358.1176903874" u="1"/>
        <n v="83574.662771803283" u="1"/>
        <n v="46701.281171842973" u="1"/>
        <n v="21452.841314057692" u="1"/>
        <n v="10702.279337043989" u="1"/>
        <n v="75168.828624494316" u="1"/>
        <n v="10382.006371234262" u="1"/>
        <n v="46060.879158184442" u="1"/>
        <n v="21923.23711052744" u="1"/>
        <n v="463388.20808758796" u="1"/>
        <n v="578433.06030505081" u="1"/>
        <n v="24874.422050210294" u="1"/>
        <n v="73462.018123855421" u="1"/>
        <n v="106270.94174513909" u="1"/>
        <n v="131393.13694997679" u="1"/>
        <n v="22722.225330998175" u="1"/>
        <n v="11102.056818150339" u="1"/>
        <n v="184308.82035916997" u="1"/>
        <n v="64057.408226983542" u="1"/>
        <n v="125334.60631357557" u="1"/>
        <n v="100990.78012021648" u="1"/>
        <n v="3133227.3554517105" u="1"/>
        <n v="1255673.1252693781" u="1"/>
        <n v="19452.647923194439" u="1"/>
        <n v="268159.87688057875" u="1"/>
        <n v="18368.671170028389" u="1"/>
        <n v="45528.551660047116" u="1"/>
        <n v="1413875.8665790576" u="1"/>
        <n v="50353.128018542797" u="1"/>
        <n v="9778.9791099412068" u="1"/>
        <n v="78611.316120122021" u="1"/>
        <n v="139357.27975792674" u="1"/>
        <n v="126630.19772139733" u="1"/>
        <n v="34446.186250321312" u="1"/>
        <n v="321289.79296825168" u="1"/>
        <n v="50387.096270502487" u="1"/>
        <n v="1765.2562192887303" u="1"/>
        <n v="4442.4561297840801" u="1"/>
        <n v="69929.077919491669" u="1"/>
        <n v="84249.97713909336" u="1"/>
        <n v="16883.74993407476" u="1"/>
        <n v="22463.933429188295" u="1"/>
        <n v="8060.4336470598091" u="1"/>
        <n v="24604.415438708616" u="1"/>
        <n v="21464.81089926244" u="1"/>
        <n v="1959003.3049328187" u="1"/>
        <n v="18132.455580035923" u="1"/>
        <n v="66179.104287566399" u="1"/>
        <n v="7074.5343606903498" u="1"/>
        <n v="8240.2822809762001" u="1"/>
        <n v="9644.8884081867527" u="1"/>
        <n v="1310606.3781465418" u="1"/>
        <n v="14353.10497459981" u="1"/>
        <n v="18824.006138255732" u="1"/>
        <n v="252557.36108005501" u="1"/>
        <n v="65961.512193303715" u="1"/>
        <n v="662440.40676158853" u="1"/>
        <n v="67936.585923843522" u="1"/>
        <n v="5696.9027565037468" u="1"/>
        <n v="45416.735135781622" u="1"/>
        <n v="26383.261250363674" u="1"/>
        <n v="2119974.2328639235" u="1"/>
        <n v="46803.057737551258" u="1"/>
        <n v="80525.768963259616" u="1"/>
        <n v="299672.4209463665" u="1"/>
        <n v="28082.970420632922" u="1"/>
        <n v="623789.99322847917" u="1"/>
        <n v="1011845.5907938342" u="1"/>
        <n v="40989.789952504747" u="1"/>
        <n v="101719.45116332047" u="1"/>
        <n v="85559.385475799922" u="1"/>
        <n v="758161.81116498995" u="1"/>
        <n v="49859.779060996378" u="1"/>
        <n v="20051.867988102495" u="1"/>
        <n v="438640.52465721773" u="1"/>
        <n v="108705.32079300781" u="1"/>
        <n v="1534668.275226393" u="1"/>
        <n v="84206.520311370885" u="1"/>
        <n v="65142.479860876076" u="1"/>
        <n v="63927.056524447158" u="1"/>
        <n v="310050.68379050738" u="1"/>
        <n v="61891.134967770595" u="1"/>
        <n v="203925.17428028994" u="1"/>
        <n v="294527.55265125801" u="1"/>
        <n v="254014.08223687753" u="1"/>
        <n v="66926.658107298324" u="1"/>
        <n v="81593.587147875922" u="1"/>
        <n v="249535.05689314619" u="1"/>
        <n v="23958.985801881678" u="1"/>
        <n v="12028.683292437734" u="1"/>
        <n v="225256.89611312415" u="1"/>
        <n v="119141.91361072408" u="1"/>
        <n v="421176.9831024594" u="1"/>
        <n v="117789.81295500805" u="1"/>
        <n v="318925.07680840674" u="1"/>
        <n v="12791.237166074025" u="1"/>
        <n v="9655.3623098495045" u="1"/>
        <n v="44437.325129179444" u="1"/>
        <n v="224354.30092592657" u="1"/>
        <n v="54825.935434556399" u="1"/>
        <n v="85171.349578735782" u="1"/>
        <n v="24701.135570502756" u="1"/>
        <n v="3946.9649073870851" u="1"/>
        <n v="41964.801986300139" u="1"/>
        <n v="22817.137968261428" u="1"/>
        <n v="73787.130005842992" u="1"/>
        <n v="10657.071733635317" u="1"/>
        <n v="194890.52365670455" u="1"/>
        <n v="60890.899596357587" u="1"/>
        <n v="42426.836463282314" u="1"/>
        <n v="74834.88051976994" u="1"/>
        <n v="116748.03904364638" u="1"/>
        <n v="4215.3258300929074" u="1"/>
        <n v="160014.30023879925" u="1"/>
        <n v="834512.74929811631" u="1"/>
        <n v="594163.03353272926" u="1"/>
        <n v="9451.3455920396354" u="1"/>
        <n v="298191.72832973051" u="1"/>
        <n v="109696.43926980687" u="1"/>
        <n v="396995.30813593988" u="1"/>
        <n v="42688.43861341133" u="1"/>
        <n v="130300.61346884776" u="1"/>
        <n v="69679.138945776474" u="1"/>
        <n v="1581710.2867610066" u="1"/>
        <n v="111541.80231843176" u="1"/>
        <n v="38967.429742137705" u="1"/>
        <n v="46245.256670807466" u="1"/>
        <n v="4960.9599764878694" u="1"/>
        <n v="6972.7252196951113" u="1"/>
        <n v="17203.112638989682" u="1"/>
        <n v="123275.44108161116" u="1"/>
        <n v="3166339.6570106968" u="1"/>
        <n v="709373.681055389" u="1"/>
        <n v="0" u="1"/>
        <n v="10704.524004731098" u="1"/>
        <n v="35923.599000782277" u="1"/>
        <n v="84223.011140010931" u="1"/>
        <n v="170264.96496450121" u="1"/>
        <n v="8572.0672484299994" u="1"/>
        <n v="70396.618959004831" u="1"/>
        <n v="123633.5146158806" u="1"/>
        <n v="267582.76887311978" u="1"/>
        <n v="16648.483266348474" u="1"/>
        <n v="22351.30538550446" u="1"/>
        <n v="80156.888945289975" u="1"/>
        <n v="144828.89622324929" u="1"/>
        <n v="280372.10385399649" u="1"/>
        <n v="19532.234304416481" u="1"/>
        <n v="19746.490783742258" u="1"/>
        <n v="36211.329758971631" u="1"/>
        <n v="43671.938625132818" u="1"/>
        <n v="286928.32100494055" u="1"/>
        <n v="13097534.925943155" u="1"/>
        <n v="14014.271893289086" u="1"/>
        <n v="27845.822142974481" u="1"/>
        <n v="31620.9480194473" u="1"/>
        <n v="32433.059064524841" u="1"/>
        <n v="47523.562328335982" u="1"/>
        <n v="89456.378017781492" u="1"/>
        <n v="135384.42695792945" u="1"/>
        <n v="190026.82320969124" u="1"/>
        <n v="282108.56517162872" u="1"/>
        <n v="7302.1007514591183" u="1"/>
        <n v="7518.9821744058981" u="1"/>
        <n v="18566.575251152877" u="1"/>
        <n v="30059.622345335425" u="1"/>
        <n v="40363.492116284157" u="1"/>
        <n v="42579.683862081525" u="1"/>
        <n v="70364.203284985357" u="1"/>
        <n v="7219.6147352027301" u="1"/>
        <n v="19998.038428433942" u="1"/>
        <n v="136339.51977122563" u="1"/>
        <n v="278075.02726618078" u="1"/>
        <n v="17148.446185629142" u="1"/>
        <n v="47952.664458653133" u="1"/>
        <n v="47960.357456896672" u="1"/>
        <n v="98233.890937374585" u="1"/>
        <n v="289038.01180833619" u="1"/>
        <n v="5615.0825857194895" u="1"/>
        <n v="24441.023384786255" u="1"/>
        <n v="103277.6270252809" u="1"/>
        <n v="139517.78076204535" u="1"/>
        <n v="570223.60541895335" u="1"/>
        <n v="2221.9740091713993" u="1"/>
        <n v="82134.107049603714" u="1"/>
        <n v="89574.195246674819" u="1"/>
        <n v="219357.31514953525" u="1"/>
        <n v="18778.066027727957" u="1"/>
        <n v="89221.642385137617" u="1"/>
        <n v="114960.80980587953" u="1"/>
        <n v="1921.3745606865195" u="1"/>
        <n v="5766.240900859495" u="1"/>
        <n v="6039.0815949146054" u="1"/>
        <n v="15036.580208852638" u="1"/>
        <n v="180306.29542797906" u="1"/>
        <n v="220617.73101886205" u="1"/>
        <n v="40928.109673567356" u="1"/>
        <n v="69303.518365174707" u="1"/>
        <n v="80502.932340593092" u="1"/>
        <n v="83413.305166810358" u="1"/>
        <n v="100846.86416666961" u="1"/>
        <n v="163592.39488809693" u="1"/>
        <n v="1381.7805836369755" u="1"/>
        <n v="7234.6640207958035" u="1"/>
        <n v="22498.40668466744" u="1"/>
        <n v="29268.326775217807" u="1"/>
        <n v="224760.89953676489" u="1"/>
        <n v="7519.8943327182351" u="1"/>
        <n v="25769.856789333677" u="1"/>
        <n v="40267.962628567984" u="1"/>
        <n v="72636.191489466117" u="1"/>
        <n v="10388.518592107579" u="1"/>
        <n v="27351.542516285073" u="1"/>
        <n v="41219.310654847577" u="1"/>
        <n v="47245.104638935911" u="1"/>
        <n v="80240.25427750955" u="1"/>
        <n v="295572.22242065752" u="1"/>
        <n v="35129.928002145789" u="1"/>
        <n v="42345.445790924066" u="1"/>
        <n v="43436.604972782821" u="1"/>
        <n v="46742.573123263021" u="1"/>
        <n v="56213.020788699767" u="1"/>
        <n v="99343.435537103069" u="1"/>
        <n v="205802.59403562848" u="1"/>
        <n v="26961.186368181447" u="1"/>
        <n v="29501.194592430991" u="1"/>
        <n v="3010.2330044407131" u="1"/>
        <n v="9115.1942294806868" u="1"/>
        <n v="13623.458946214803" u="1"/>
        <n v="24090.764623692201" u="1"/>
        <n v="40134.633424370477" u="1"/>
        <n v="43522.707431781339" u="1"/>
        <n v="56865.419773946553" u="1"/>
        <n v="135302.02468427367" u="1"/>
        <n v="182840.19244062301" u="1"/>
        <n v="18.188943588645884" u="1"/>
        <n v="45609.925262470329" u="1"/>
        <n v="48633.212400645352" u="1"/>
        <n v="126989.45757941488" u="1"/>
        <n v="7556.6042549716258" u="1"/>
        <n v="15530.890895302222" u="1"/>
        <n v="40628.870792916874" u="1"/>
        <n v="61311.363828475492" u="1"/>
        <n v="280441.68350894714" u="1"/>
        <n v="444380.6764531369" u="1"/>
        <n v="6645.5757417145251" u="1"/>
        <n v="33887.798382788918" u="1"/>
        <n v="100501.38293423866" u="1"/>
        <n v="816639.63094644737" u="1"/>
        <n v="6146.7410251136598" u="1"/>
        <n v="79536.278955175541" u="1"/>
        <n v="318710.3498338174" u="1"/>
        <n v="11032.858906820014" u="1"/>
        <n v="70269.325837527504" u="1"/>
        <n v="288052.65192315675" u="1"/>
        <n v="94.273637807566502" u="1"/>
        <n v="584.97753452567179" u="1"/>
        <n v="54492.057436023773" u="1"/>
        <n v="62311.869117065311" u="1"/>
        <n v="70821.06993616157" u="1"/>
        <n v="71835.564335978081" u="1"/>
        <n v="79222.428379299512" u="1"/>
        <n v="94835.719450368124" u="1"/>
        <n v="121292.44770270806" u="1"/>
        <n v="23887.530063907619" u="1"/>
        <n v="38465.139870813939" u="1"/>
        <n v="368376.37335323868" u="1"/>
        <n v="90900.887922276524" u="1"/>
        <n v="12381818.144561928" u="1"/>
        <n v="2531.0110103409179" u="1"/>
        <n v="6666.8777354618496" u="1"/>
        <n v="29987.989703889471" u="1"/>
        <n v="474154.93730602285" u="1"/>
        <n v="212744.04417018284" u="1"/>
        <n v="393924.70888387336" u="1"/>
        <n v="396923.88232078421" u="1"/>
        <n v="217.03184765018221" u="1"/>
        <n v="8271.6252851087411" u="1"/>
        <n v="80528.906545981561" u="1"/>
        <n v="942789.15552395978" u="1"/>
        <n v="20770.823179120045" u="1"/>
        <n v="22718.254344638164" u="1"/>
        <n v="76031.705893605409" u="1"/>
        <n v="267485.44790637272" u="1"/>
        <n v="332071.73782342556" u="1"/>
        <n v="5187388.6795255803" u="1"/>
        <n v="22718.254344638168" u="1"/>
        <n v="312573.4854057859" u="1"/>
        <n v="18619.326235228174" u="1"/>
        <n v="31551.434354500074" u="1"/>
        <n v="58885.966637586069" u="1"/>
        <n v="1039.6863790058042" u="1"/>
        <n v="4274.1305034143779" u="1"/>
        <n v="10788.685618913158" u="1"/>
        <n v="37059.058531052688" u="1"/>
        <n v="286529.91756864765" u="1"/>
        <n v="15076.316948028607" u="1"/>
        <n v="23625.160003499052" u="1"/>
        <n v="29700.819200677961" u="1"/>
        <n v="46546.964735374473" u="1"/>
        <n v="74691.518189222144" u="1"/>
        <n v="246097.93784199879" u="1"/>
        <n v="6291.4948774980094" u="1"/>
        <n v="15409.483048965738" u="1"/>
        <n v="117792.0968770355" u="1"/>
        <n v="26763.781150164763" u="1"/>
        <n v="104352.20894303056" u="1"/>
        <n v="336160.48685634939" u="1"/>
        <n v="18158.312801212796" u="1"/>
        <n v="192229.42954233629" u="1"/>
        <n v="263367.78710672481" u="1"/>
        <n v="8566.5493422514137" u="1"/>
        <n v="213639.69872230213" u="1"/>
        <n v="256313.21030580206" u="1"/>
        <n v="258401.18304889897" u="1"/>
        <n v="35531.129804383316" u="1"/>
        <n v="36867.157628653607" u="1"/>
        <n v="59616.902537584043" u="1"/>
        <n v="72181.427269173844" u="1"/>
        <n v="309979.20806444401" u="1"/>
        <n v="16494.014164103995" u="1"/>
        <n v="24549.200570906374" u="1"/>
        <n v="58858.463630355298" u="1"/>
        <n v="71650.369660823912" u="1"/>
        <n v="226428.11857607233" u="1"/>
        <n v="37194.104355630283" u="1"/>
        <n v="12855.297012241455" u="1"/>
        <n v="16253.889169535758" u="1"/>
        <n v="193558.31060592897" u="1"/>
        <n v="37.064262407051991" u="1"/>
        <n v="8899.9722972287236" u="1"/>
        <n v="35825.305597789011" u="1"/>
        <n v="58132.083788529904" u="1"/>
        <n v="7589.6088877186467" u="1"/>
        <n v="18249.037268756634" u="1"/>
        <n v="30148.998746057387" u="1"/>
        <n v="257206.7395286531" u="1"/>
        <n v="317932.90969755978" u="1"/>
        <n v="1150662.2423968411" u="1"/>
        <n v="16013.683910872662" u="1"/>
        <n v="16067.482529758367" u="1"/>
        <n v="24619.263671026998" u="1"/>
        <n v="323936.40256323025" u="1"/>
        <n v="601577.63083121728" u="1"/>
        <n v="16205.970215209081" u="1"/>
        <n v="32325.759447413759" u="1"/>
        <n v="749.5024661110167" u="1"/>
        <n v="7305.1429177061409" u="1"/>
        <n v="19456.676528152431" u="1"/>
        <n v="30806.993150697977" u="1"/>
        <n v="63651.244250697899" u="1"/>
        <n v="333442.89867937774" u="1"/>
        <n v="428893.68311453873" u="1"/>
        <n v="15167.733874429525" u="1"/>
        <n v="17214.553486099529" u="1"/>
        <n v="70401.552066389952" u="1"/>
        <n v="126884.5095198419" u="1"/>
        <n v="178059.72755804978" u="1"/>
        <n v="248343.56434044283" u="1"/>
        <n v="527531.65621495014" u="1"/>
        <n v="731536.52575179376" u="1"/>
        <n v="6810.711102527087" u="1"/>
        <n v="8146.2976292737585" u="1"/>
        <n v="10311.076377777868" u="1"/>
        <n v="47749.163483448094" u="1"/>
        <n v="76696.390783511728" u="1"/>
        <n v="97468.050076034109" u="1"/>
        <n v="348142.01532682002" u="1"/>
        <n v="2174.1426236242824" u="1"/>
        <n v="5826.1502173573799" u="1"/>
        <n v="15167.733874429528" u="1"/>
        <n v="16774.434782894881" u="1"/>
        <n v="19471.045450738296" u="1"/>
        <n v="151373.75174731456" u="1"/>
        <n v="13198.942411602209" u="1"/>
        <n v="37820.556320494376" u="1"/>
        <n v="121363.68664174597" u="1"/>
        <n v="341822.06381708256" u="1"/>
        <n v="35797.416333562673" u="1"/>
        <n v="61193.175920580092" u="1"/>
        <n v="151100.52316595631" u="1"/>
        <n v="165586.1685286272" u="1"/>
        <n v="21690.418261560317" u="1"/>
        <n v="25539.256476765317" u="1"/>
        <n v="8335.4629273894243" u="1"/>
        <n v="11442.757937838242" u="1"/>
        <n v="26281.190794392762" u="1"/>
        <n v="77563.437251530631" u="1"/>
        <n v="91037.487744070197" u="1"/>
        <n v="6934.7325688296642" u="1"/>
        <n v="7009.0450253744011" u="1"/>
        <n v="7480.1383952252099" u="1"/>
        <n v="47395.337237579661" u="1"/>
        <n v="99234.807292176236" u="1"/>
        <n v="100978.55214160094" u="1"/>
        <n v="21649.216362746196" u="1"/>
        <n v="23521.897455630973" u="1"/>
        <n v="25578.157489465237" u="1"/>
        <n v="386879.76939233654" u="1"/>
        <n v="8093.8116380687807" u="1"/>
        <n v="32303.989382138014" u="1"/>
        <n v="70797.398568357399" u="1"/>
        <n v="112009.314083274" u="1"/>
        <n v="146457.14097992348" u="1"/>
        <n v="8764.4024047027997" u="1"/>
        <n v="25439.90924389282" u="1"/>
        <n v="30641.254878761389" u="1"/>
        <n v="223405.23620457391" u="1"/>
        <n v="602732.67932760727" u="1"/>
        <n v="664758.14016874449" u="1"/>
        <n v="7161.6850498497388" u="1"/>
        <n v="24140.839531304307" u="1"/>
        <n v="45114.925473048774" u="1"/>
        <n v="71966.353550254789" u="1"/>
        <n v="86810.948645397002" u="1"/>
        <n v="107589.00029149972" u="1"/>
        <n v="110675.98610381347" u="1"/>
        <n v="47040.15017242726" u="1"/>
        <n v="66193.253511691015" u="1"/>
        <n v="86350.316263439381" u="1"/>
        <n v="254619.34322732646" u="1"/>
        <n v="824375.98898927053" u="1"/>
        <n v="2611.6836457477698" u="1"/>
        <n v="831914.15186561481" u="1"/>
        <n v="10266.744107465462" u="1"/>
        <n v="11825.184427427648" u="1"/>
        <n v="52264.794077868057" u="1"/>
        <n v="46336.028850943942" u="1"/>
        <n v="63537.5478113153" u="1"/>
        <n v="67185.970758239244" u="1"/>
        <n v="86262.804957049695" u="1"/>
        <n v="91351.626537453019" u="1"/>
        <n v="382513.27766100341" u="1"/>
        <n v="21253.660968466153" u="1"/>
        <n v="63728.959777683638" u="1"/>
        <n v="52197.605620461829" u="1"/>
        <n v="98576.845720023688" u="1"/>
        <n v="259568.90603024937" u="1"/>
        <n v="405761.13765172701" u="1"/>
        <n v="3205.1697081198713" u="1"/>
        <n v="5660.844688303051" u="1"/>
        <n v="6301.8626771718318" u="1"/>
        <n v="109280.04368223705" u="1"/>
        <n v="14476.312076098155" u="1"/>
        <n v="16361.807474152505" u="1"/>
        <n v="35805.92528943775" u="1"/>
        <n v="61428.23505938601" u="1"/>
        <n v="188548.47769490918" u="1"/>
        <n v="226314.9433718544" u="1"/>
        <n v="5965.7520413460379" u="1"/>
        <n v="23406.438956186645" u="1"/>
        <n v="50519.932564538678" u="1"/>
        <n v="54392.385887536388" u="1"/>
        <n v="62478.154169828806" u="1"/>
        <n v="100122.6907251896" u="1"/>
        <n v="234079.25345467325" u="1"/>
        <n v="257841.04873941262" u="1"/>
        <n v="287574.25179017271" u="1"/>
        <n v="320758.02645977237" u="1"/>
        <n v="44764.012458629863" u="1"/>
        <n v="192825.94873941803" u="1"/>
        <n v="337152.41297314328" u="1"/>
        <n v="30001.545631232668" u="1"/>
        <n v="60087.94805071126" u="1"/>
        <n v="94546.159753770626" u="1"/>
        <n v="148761.72881177021" u="1"/>
        <n v="173609.72445989202" u="1"/>
        <n v="235390.45062001937" u="1"/>
        <n v="270250.87033518509" u="1"/>
        <n v="51587.492876347991" u="1"/>
        <n v="62324.693175819863" u="1"/>
        <n v="110948.27529921335" u="1"/>
        <n v="128415.94416434647" u="1"/>
        <n v="239940.36234195827" u="1"/>
        <n v="266985.27876755735" u="1"/>
        <n v="37395.053724142977" u="1"/>
        <n v="76138.376204102038" u="1"/>
        <n v="227240.03241640321" u="1"/>
        <n v="595.62161629058414" u="1"/>
        <n v="11174.260068740159" u="1"/>
        <n v="31555.341240840964" u="1"/>
        <n v="32004.561690428429" u="1"/>
        <n v="19444.556747116563" u="1"/>
        <n v="208962.47725857614" u="1"/>
        <n v="46701.78682280975" u="1"/>
        <n v="89324.780069681612" u="1"/>
        <n v="213410.57957492984" u="1"/>
        <n v="404233.08538919606" u="1"/>
        <n v="675810.72089868039" u="1"/>
        <n v="2467236.5642476687" u="1"/>
        <n v="20934.736843226976" u="1"/>
        <n v="76229.929963406961" u="1"/>
        <n v="78019.120026965596" u="1"/>
        <n v="189272.05416680226" u="1"/>
        <n v="12022.346275252032" u="1"/>
        <n v="14898.846575934867" u="1"/>
        <n v="50507.263925440391" u="1"/>
        <n v="56505.301052710267" u="1"/>
        <n v="79406.177045215576" u="1"/>
        <n v="22146.80916055046" u="1"/>
        <n v="27159.121608062847" u="1"/>
        <n v="28718.829628129813" u="1"/>
        <n v="32039.722784493093" u="1"/>
        <n v="33908.76738075821" u="1"/>
        <n v="395228.56879893469" u="1"/>
        <n v="415960.57042744395" u="1"/>
        <n v="7012.9372009978933" u="1"/>
        <n v="46212.464245639676" u="1"/>
        <n v="72615.039834406169" u="1"/>
        <n v="105893.0957289456" u="1"/>
        <n v="197986.17384515962" u="1"/>
        <n v="4992163.2012599073" u="1"/>
        <n v="72026.164276635434" u="1"/>
        <n v="331651.36427747505" u="1"/>
        <n v="23051.795941698965" u="1"/>
        <n v="28864.7360837011" u="1"/>
        <n v="315933.03598066902" u="1"/>
        <n v="477576.46594473452" u="1"/>
        <n v="19846.395242069913" u="1"/>
        <n v="17716.996686897302" u="1"/>
        <n v="24381.707246027763" u="1"/>
        <n v="269834.60549671843" u="1"/>
        <n v="310575.57198575814" u="1"/>
        <n v="8638.5792217935814" u="1"/>
        <n v="17669.242739890222" u="1"/>
        <n v="18404.703715514555" u="1"/>
        <n v="31575.763334458767" u="1"/>
        <n v="43256.600373959809" u="1"/>
        <n v="255025.27052157774" u="1"/>
        <n v="328861.41401305096" u="1"/>
        <n v="484866.75296548329" u="1"/>
        <n v="31656.08523137767" u="1"/>
        <n v="35442.74244249519" u="1"/>
        <n v="123552.61875285314" u="1"/>
        <n v="225912.50986864127" u="1"/>
        <n v="34641.449509844024" u="1"/>
        <n v="38454.206522590081" u="1"/>
        <n v="61127.108542644288" u="1"/>
        <n v="523692.12179210869" u="1"/>
        <n v="3433.2067475602184" u="1"/>
        <n v="9057.9185055570997" u="1"/>
        <n v="39010.925262554432" u="1"/>
        <n v="40574.608200953153" u="1"/>
        <n v="47649.52689087249" u="1"/>
        <n v="119071.36229571981" u="1"/>
        <n v="133087.35110313338" u="1"/>
        <n v="138018.28725969899" u="1"/>
        <n v="28604.568653812137" u="1"/>
        <n v="30027.102369445103" u="1"/>
        <n v="53939.743685571077" u="1"/>
        <n v="65426.769473088316" u="1"/>
        <n v="38777.482559343167" u="1"/>
        <n v="195589.09761052107" u="1"/>
        <n v="231285.99561649587" u="1"/>
        <n v="20539.290233510594" u="1"/>
        <n v="78919.435035433751" u="1"/>
        <n v="11027.976545056859" u="1"/>
        <n v="37038.852237008236" u="1"/>
        <n v="45809.280125731297" u="1"/>
        <n v="87087.191310142211" u="1"/>
        <n v="8705.6479529006683" u="1"/>
        <n v="81297.269231619677" u="1"/>
        <n v="3574.9249370851803" u="1"/>
        <n v="37367.30047075844" u="1"/>
        <n v="44803.816726280624" u="1"/>
        <n v="137966.18978369393" u="1"/>
        <n v="10777.235885052371" u="1"/>
        <n v="29826.479443698037" u="1"/>
        <n v="1063.991848340346" u="1"/>
        <n v="117075.43193560306" u="1"/>
        <n v="19111.497264945665" u="1"/>
        <n v="24011.390556301762" u="1"/>
        <n v="30072.934522865595" u="1"/>
        <n v="42061.277460266414" u="1"/>
        <n v="182519.49251855904" u="1"/>
        <n v="247438.49805910021" u="1"/>
        <n v="378019.42404324329" u="1"/>
        <n v="16058.107689658727" u="1"/>
        <n v="55904.207149989277" u="1"/>
        <n v="75567.593166425315" u="1"/>
        <n v="17137.380972420633" u="1"/>
        <n v="18366.588813940409" u="1"/>
        <n v="11053.523733778704" u="1"/>
        <n v="14233.855546817962" u="1"/>
        <n v="61936.569668155484" u="1"/>
        <n v="95797.972146729284" u="1"/>
        <n v="102872.64041945053" u="1"/>
        <n v="113120.5785632608" u="1"/>
        <n v="226138.73996189199" u="1"/>
        <n v="5530.0055768449492" u="1"/>
        <n v="6229.0753915488776" u="1"/>
        <n v="8763.681104735706" u="1"/>
        <n v="16727.073690354689" u="1"/>
        <n v="21168.191261541262" u="1"/>
        <n v="212090.58245324186" u="1"/>
        <n v="330651.66695151344" u="1"/>
        <n v="4410.6293346650591" u="1"/>
        <n v="24439.980517840926" u="1"/>
        <n v="77802.249306716883" u="1"/>
        <n v="370762.73182747868" u="1"/>
        <n v="487302.80870510143" u="1"/>
        <n v="87377.314373599191" u="1"/>
        <n v="95797.972146729328" u="1"/>
        <n v="13829.761265112102" u="1"/>
        <n v="53292.713502007384" u="1"/>
        <n v="67918.813810594685" u="1"/>
        <n v="313911.57846408687" u="1"/>
        <n v="10047.484025888994" u="1"/>
        <n v="36768.354349522146" u="1"/>
        <n v="144260.86960248041" u="1"/>
        <n v="7043.3519734654947" u="1"/>
        <n v="13980.287617808823" u="1"/>
        <n v="148888.75327797368" u="1"/>
        <n v="12728.841343247725" u="1"/>
        <n v="33921.738555781987" u="1"/>
        <n v="38155.884038389646" u="1"/>
        <n v="65400.971208475108" u="1"/>
        <n v="522103.06629626302" u="1"/>
        <n v="1260752.8821167843" u="1"/>
        <n v="7628.4014944014589" u="1"/>
        <n v="47421.961994633901" u="1"/>
        <n v="85682.413908943563" u="1"/>
        <n v="5788.0606076482045" u="1"/>
        <n v="67458.552804026403" u="1"/>
        <n v="211328.15084449819" u="1"/>
        <n v="216895.55087802556" u="1"/>
        <n v="320793.54422652553" u="1"/>
        <n v="828752.97054677294" u="1"/>
        <n v="4713.0677963568533" u="1"/>
        <n v="18765.02924725843" u="1"/>
        <n v="23065.274652323587" u="1"/>
        <n v="27233.494996899713" u="1"/>
        <n v="39828.054412625876" u="1"/>
        <n v="55925.296693295226" u="1"/>
        <n v="61025.456216837265" u="1"/>
        <n v="108886.67841562846" u="1"/>
        <n v="956040.24993317062" u="1"/>
        <n v="12936.024380619052" u="1"/>
        <n v="27797.413340223131" u="1"/>
        <n v="41025.370923951814" u="1"/>
        <n v="80526.088519355559" u="1"/>
        <n v="134968.02606321563" u="1"/>
        <n v="374827.83817924419" u="1"/>
        <n v="977665.40013446764" u="1"/>
        <n v="1728.2020071333106" u="1"/>
        <n v="4719.6590223695121" u="1"/>
        <n v="7744.7779394593254" u="1"/>
        <n v="13648.184890433266" u="1"/>
        <n v="80100.884100329393" u="1"/>
        <n v="71008.858365427644" u="1"/>
        <n v="17561.052647000015" u="1"/>
        <n v="35636.31389862077" u="1"/>
        <n v="112574.67645504804" u="1"/>
        <n v="25901.987446140578" u="1"/>
        <n v="42558.96741072747" u="1"/>
        <n v="55490.335315878248" u="1"/>
        <n v="5002.2245980501466" u="1"/>
        <n v="20975.440261524327" u="1"/>
        <n v="22004.299804188391" u="1"/>
        <n v="37130.136728197591" u="1"/>
        <n v="39873.769522991483" u="1"/>
        <n v="6616.7859270341169" u="1"/>
        <n v="251683.62058128093" u="1"/>
        <n v="3329.170187606378" u="1"/>
        <n v="12608.408304237817" u="1"/>
        <n v="12370.311898500111" u="1"/>
        <n v="13001.703154312461" u="1"/>
        <n v="13619.290428348591" u="1"/>
        <n v="57621.664390773476" u="1"/>
        <n v="62258.65986995925" u="1"/>
        <n v="143446.51338046117" u="1"/>
        <n v="189485.38508322788" u="1"/>
        <n v="5762.120568345068" u="1"/>
        <n v="5932.5341618355887" u="1"/>
        <n v="34666.315153434916" u="1"/>
        <n v="45712.310378429218" u="1"/>
        <n v="424296.62758511462" u="1"/>
        <n v="1950.9341693124663" u="1"/>
        <n v="15387.290807073909" u="1"/>
        <n v="32567.400995071883" u="1"/>
        <n v="32874.503633184693" u="1"/>
        <n v="99448.574078849386" u="1"/>
        <n v="24166.003413354352" u="1"/>
        <n v="38991.823966611773" u="1"/>
        <n v="53239.779707316986" u="1"/>
        <n v="70898.112509430575" u="1"/>
        <n v="508419.18735663616" u="1"/>
        <n v="1343.6202746136519" u="1"/>
        <n v="7047.7183059654953" u="1"/>
        <n v="4840885.5403511021" u="1"/>
        <n v="2844.430604668757" u="1"/>
        <n v="31229.794560963113" u="1"/>
        <n v="41260.105597928268" u="1"/>
        <n v="108717.08947832955" u="1"/>
        <n v="235316.01047637127" u="1"/>
        <n v="13338.941355751596" u="1"/>
        <n v="11175.038330291298" u="1"/>
        <n v="25998.089418332256" u="1"/>
        <n v="69785.555128746681" u="1"/>
        <n v="9066.6555722370631" u="1"/>
        <n v="18153.20028552449" u="1"/>
        <n v="53901.650849048696" u="1"/>
        <n v="76888.298611857448" u="1"/>
        <n v="88748.618079979744" u="1"/>
        <n v="119148.19224831535" u="1"/>
        <n v="977258.71694803564" u="1"/>
        <n v="1224.796712913125" u="1"/>
        <n v="4381.3709174855458" u="1"/>
        <n v="8255.7165844408737" u="1"/>
        <n v="33258.754339564308" u="1"/>
        <n v="61140.051226917014" u="1"/>
        <n v="17438.551469656057" u="1"/>
        <n v="45269.290716435367" u="1"/>
        <n v="96794.553180581963" u="1"/>
        <n v="350078.97693651391" u="1"/>
        <n v="403030.40358725784" u="1"/>
        <n v="370.77869846009298" u="1"/>
        <n v="14596.525833234926" u="1"/>
        <n v="19859.407371388967" u="1"/>
        <n v="26417.511364257218" u="1"/>
        <n v="37442.544807659462" u="1"/>
        <n v="43963.622925270072" u="1"/>
        <n v="52687.515004588211" u="1"/>
        <n v="113447.19912052693" u="1"/>
        <n v="335854.86622295459" u="1"/>
        <n v="999035.79605176381" u="1"/>
        <n v="31331.361020271372" u="1"/>
        <n v="238640.42515855489" u="1"/>
        <n v="465727.54173655499" u="1"/>
        <n v="11204.069556025774" u="1"/>
        <n v="19575.999711305285" u="1"/>
        <n v="24037.983137787229" u="1"/>
        <n v="25503.072619142193" u="1"/>
        <n v="32229.28831217355" u="1"/>
        <n v="72969.427154463439" u="1"/>
        <n v="7902.7706937018229" u="1"/>
        <n v="86171.404971826021" u="1"/>
        <n v="128915.9194850301" u="1"/>
        <n v="139177.82191000498" u="1"/>
        <n v="7405.0582020664142" u="1"/>
        <n v="55718.166927807324" u="1"/>
        <n v="157076.03422081741" u="1"/>
        <n v="7808.4074312145449" u="1"/>
        <n v="58681.829729922363" u="1"/>
        <n v="92124.535594660716" u="1"/>
        <n v="176201.04742288415" u="1"/>
        <n v="115479.70834519874" u="1"/>
        <n v="405965.31975152699" u="1"/>
        <n v="1948759.3044647311" u="1"/>
        <n v="38288.131452913469" u="1"/>
        <n v="52521.348477475818" u="1"/>
        <n v="7781.9755360730951" u="1"/>
        <n v="8770.1107922306128" u="1"/>
        <n v="13819.296866233393" u="1"/>
        <n v="42158.8945341414" u="1"/>
        <n v="21092.667942505395" u="1"/>
        <n v="123649.05564517337" u="1"/>
        <n v="444.21731528043193" u="1"/>
        <n v="9087.5043927093157" u="1"/>
        <n v="23252.801505688469" u="1"/>
        <n v="6689.1005273295714" u="1"/>
        <n v="843256.89889943716" u="1"/>
        <n v="56108.471260712133" u="1"/>
        <n v="113755.28040684602" u="1"/>
        <n v="116406.89330261023" u="1"/>
        <n v="19074.688618541208" u="1"/>
        <n v="61054.327278235556" u="1"/>
        <n v="13632.518639807715" u="1"/>
        <n v="76009.819952566089" u="1"/>
        <n v="91689.704329621716" u="1"/>
        <n v="125879.74152945682" u="1"/>
        <n v="10858.59415143454" u="1"/>
        <n v="55528.739232624219" u="1"/>
        <n v="7990.5364289135496" u="1"/>
        <n v="28604.790653541924" u="1"/>
        <n v="29458.472702918294" u="1"/>
        <n v="66955.206891049529" u="1"/>
        <n v="72566.486287826585" u="1"/>
        <n v="136477.96869926542" u="1"/>
        <n v="196495.28803880321" u="1"/>
        <n v="19235.767387058426" u="1"/>
        <n v="22051.151688191228" u="1"/>
        <n v="44383.459103177571" u="1"/>
        <n v="202635.7652937056" u="1"/>
        <n v="683117.57305140642" u="1"/>
        <n v="48971.825441256056" u="1"/>
        <n v="56803.234166469585" u="1"/>
        <n v="263678.96673348686" u="1"/>
        <n v="3321.9818969662942" u="1"/>
        <n v="45022.51879009659" u="1"/>
        <n v="46581.695290278432" u="1"/>
        <n v="414000.08337038109" u="1"/>
        <n v="6818.8870974576203" u="1"/>
        <n v="36670.128473657889" u="1"/>
        <n v="56447.69857688748" u="1"/>
        <n v="179405.14411923356" u="1"/>
        <n v="293954.13424895587" u="1"/>
        <n v="3266.0545131384106" u="1"/>
        <n v="12646.743504290742" u="1"/>
        <n v="62591.612552824226" u="1"/>
        <n v="140410.78840108227" u="1"/>
        <n v="22302.693579905746" u="1"/>
        <n v="28593.300907815646" u="1"/>
        <n v="41929.858102370272" u="1"/>
        <n v="139575.34652535981" u="1"/>
        <n v="457777.58782591688" u="1"/>
        <n v="1576285.4210612164" u="1"/>
        <n v="2233040.6764680147" u="1"/>
        <n v="21645.734094078503" u="1"/>
        <n v="36057.814051868372" u="1"/>
        <n v="81821.627606384471" u="1"/>
        <n v="242369.1812080291" u="1"/>
        <n v="713735.70345876203" u="1"/>
        <n v="438.23157380924027" u="1"/>
        <n v="9353.3006070323718" u="1"/>
        <n v="15311.970878571419" u="1"/>
        <n v="69472.28988075089" u="1"/>
        <n v="19859.966933413234" u="1"/>
        <n v="146665.36764272873" u="1"/>
        <n v="10665.539697589487" u="1"/>
        <n v="12326.061493632522" u="1"/>
        <n v="17963.633086381684" u="1"/>
        <n v="21387.043037380765" u="1"/>
        <n v="30939.897788500733" u="1"/>
        <n v="3552.5181017217601" u="1"/>
        <n v="96048.835208829027" u="1"/>
        <n v="98428.922735639921" u="1"/>
        <n v="1528519.199924333" u="1"/>
        <n v="75323.98191567717" u="1"/>
        <n v="117651.54883952482" u="1"/>
        <n v="322900.61062071269" u="1"/>
        <n v="351346.82411468209" u="1"/>
        <n v="7153.3609953254818" u="1"/>
        <n v="21353.970190595097" u="1"/>
        <n v="9424.0141410191918" u="1"/>
        <n v="43668.921724473214" u="1"/>
        <n v="47370.497557983166" u="1"/>
        <n v="13953.123728366341" u="1"/>
        <n v="39873.264682698107" u="1"/>
        <n v="43547.028034089424" u="1"/>
        <n v="285851.96162978455" u="1"/>
        <n v="463564.18154604582" u="1"/>
        <n v="2736.9164092261885" u="1"/>
        <n v="2885.1962381582953" u="1"/>
        <n v="29464.204145899617" u="1"/>
        <n v="108879.88409448076" u="1"/>
        <n v="121873.14129929162" u="1"/>
        <n v="262180.09811949328" u="1"/>
        <n v="182906.36927261695" u="1"/>
        <n v="45253847.853989214" u="1"/>
        <n v="17241.15086617845" u="1"/>
        <n v="252369.93076537404" u="1"/>
        <n v="3127.222679574561" u="1"/>
        <n v="3753.9407742207022" u="1"/>
        <n v="18738.158544950231" u="1"/>
        <n v="54507.305932549483" u="1"/>
        <n v="78784.25757135055" u="1"/>
        <n v="35716.296529642394" u="1"/>
        <n v="8221.7197023507542" u="1"/>
        <n v="10842.721641848348" u="1"/>
        <n v="20154.838659650584" u="1"/>
        <n v="26570.840535789685" u="1"/>
        <n v="26940.462944909585" u="1"/>
        <n v="28608.029489858753" u="1"/>
        <n v="67025.750046324014" u="1"/>
        <n v="3111.3493557222819" u="1"/>
        <n v="43364.3003499033" u="1"/>
        <n v="53863.973673464374" u="1"/>
        <n v="252686.1321846403" u="1"/>
        <n v="689478.00921550102" u="1"/>
        <n v="3302.2137066603182" u="1"/>
        <n v="8763.1877385756252" u="1"/>
        <n v="39224.156178229328" u="1"/>
        <n v="48479.405581081308" u="1"/>
        <n v="69437.219646743994" u="1"/>
        <n v="172925.3546185302" u="1"/>
        <n v="79287.225813253783" u="1"/>
        <n v="171602.49549825542" u="1"/>
        <n v="184513.91869440238" u="1"/>
        <n v="50147.507291108799" u="1"/>
        <n v="65481.904496704476" u="1"/>
        <n v="104297.13009483082" u="1"/>
        <n v="806704.63408795057" u="1"/>
        <n v="1882.8964392545051" u="1"/>
        <n v="191412.56774987225" u="1"/>
        <n v="6932.0489448890166" u="1"/>
        <n v="47269.838423310786" u="1"/>
        <n v="207494.07289221749" u="1"/>
        <n v="14621.189657753304" u="1"/>
        <n v="15236.58896415908" u="1"/>
        <n v="43091.502103207727" u="1"/>
        <n v="68389.786732792127" u="1"/>
        <n v="997.08258823203687" u="1"/>
        <n v="184115.06866515728" u="1"/>
        <n v="203913.72615650148" u="1"/>
        <n v="22697.152982802807" u="1"/>
        <n v="35573.68754545688" u="1"/>
        <n v="84529.285668134791" u="1"/>
        <n v="536504.04791441537" u="1"/>
        <n v="8124.3480394929757" u="1"/>
        <n v="23835.571308301864" u="1"/>
        <n v="28448.069987135113" u="1"/>
        <n v="28938.981658394474" u="1"/>
        <n v="32044.274099560487" u="1"/>
        <n v="57631.614805804325" u="1"/>
        <n v="16611.192533128535" u="1"/>
        <n v="23762.741882575792" u="1"/>
        <n v="147824.19479640829" u="1"/>
        <n v="569832.80382645666" u="1"/>
        <n v="1536938.3910955163" u="1"/>
        <n v="3763.0365472948697" u="1"/>
        <n v="5542.068460600156" u="1"/>
        <n v="11226.189753975574" u="1"/>
        <n v="38749.960596132783" u="1"/>
        <n v="42905.963771507697" u="1"/>
        <n v="60212.0497080321" u="1"/>
        <n v="5462.3129317492858" u="1"/>
        <n v="195186.8053814492" u="1"/>
        <n v="209655.07442555024" u="1"/>
        <n v="505.68444915838762" u="1"/>
        <n v="141222.59249335999" u="1"/>
        <n v="149664.83230094673" u="1"/>
        <n v="157363.67412447606" u="1"/>
        <n v="326708.44044536882" u="1"/>
        <n v="9655.5393846949482" u="1"/>
        <n v="51624.073053299173" u="1"/>
        <n v="53758.38613027268" u="1"/>
        <n v="1200641.0986446007" u="1"/>
        <n v="9716.5175331001701" u="1"/>
        <n v="35535.768031199346" u="1"/>
        <n v="44793.998768469581" u="1"/>
        <n v="128871.88457494318" u="1"/>
        <n v="157193.26720307575" u="1"/>
        <n v="222312.15607579274" u="1"/>
        <n v="604507.38170238782" u="1"/>
        <n v="3977.3030162500158" u="1"/>
        <n v="4078.4339012718569" u="1"/>
        <n v="7012.499271230301" u="1"/>
        <n v="48284.575208940063" u="1"/>
        <n v="54985.686510518884" u="1"/>
        <n v="16709.931037432343" u="1"/>
        <n v="20312.603731615058" u="1"/>
        <n v="22564.810708121015" u="1"/>
        <n v="32925.222337781743" u="1"/>
        <n v="62113.632258047051" u="1"/>
        <n v="90743.901337551681" u="1"/>
        <n v="203626.53010568314" u="1"/>
        <n v="215575.4246014989" u="1"/>
        <n v="390817.36201152881" u="1"/>
        <n v="47331.697654065465" u="1"/>
        <n v="55868.800058161403" u="1"/>
        <n v="67115.527254261513" u="1"/>
        <n v="290308.55140682997" u="1"/>
        <n v="385384.69353706588" u="1"/>
        <n v="580561.04765948711" u="1"/>
        <n v="26353.18689966869" u="1"/>
        <n v="386541.20717560092" u="1"/>
        <n v="9354189.2692844365" u="1"/>
        <n v="14124.616665052867" u="1"/>
        <n v="30685.699943791056" u="1"/>
        <n v="270027.65176839783" u="1"/>
        <n v="34463.710647864405" u="1"/>
        <n v="52252.311358631756" u="1"/>
        <n v="56480.989945886824" u="1"/>
        <n v="73376.706318791403" u="1"/>
        <n v="5431.8188820212017" u="1"/>
        <n v="8629.1028145785895" u="1"/>
        <n v="16696.888681450044" u="1"/>
        <n v="28074.692904892956" u="1"/>
        <n v="88415.718211630039" u="1"/>
        <n v="7449.621000963346" u="1"/>
        <n v="8528.4421846897039" u="1"/>
        <n v="28338.456962285993" u="1"/>
        <n v="37762.515866190442" u="1"/>
        <n v="634.33501400127511" u="1"/>
        <n v="54613.741778952652" u="1"/>
        <n v="17747.361659489856" u="1"/>
        <n v="59235.129497047019" u="1"/>
        <n v="157344.1362432185" u="1"/>
        <n v="151.10550683171289" u="1"/>
        <n v="2614.1183574115953" u="1"/>
        <n v="15965.963058119145" u="1"/>
        <n v="34266.392614810502" u="1"/>
        <n v="59662.784057374229" u="1"/>
        <n v="76074.506250384875" u="1"/>
        <n v="129779.97798469984" u="1"/>
        <n v="2203265.0950721069" u="1"/>
        <n v="53907.39869515317" u="1"/>
        <n v="6610.2655299359394" u="1"/>
        <n v="7005.476903622186" u="1"/>
        <n v="63544.012916407846" u="1"/>
        <n v="90286.322371921415" u="1"/>
        <n v="208877.08877970785" u="1"/>
        <n v="13871.385059919778" u="1"/>
        <n v="26835.514602676772" u="1"/>
        <n v="64045.109107930541" u="1"/>
        <n v="94078.41639036694" u="1"/>
        <n v="8940.1785505155622" u="1"/>
        <n v="17174.286638514081" u="1"/>
        <n v="2569670.6773514408" u="1"/>
        <n v="34834.779283941003" u="1"/>
        <n v="37638.106228414406" u="1"/>
        <n v="54379.554777242382" u="1"/>
        <n v="84536.33396660781" u="1"/>
        <n v="103432.91337012112" u="1"/>
        <n v="122846.55773519691" u="1"/>
        <n v="168998.73443069626" u="1"/>
        <n v="25372.611300047945" u="1"/>
        <n v="69901.027987011956" u="1"/>
        <n v="183145.54341946627" u="1"/>
        <n v="263223.79094062425" u="1"/>
        <n v="270881.27789398824" u="1"/>
        <n v="53640.531346063959" u="1"/>
        <n v="181364.49504238987" u="1"/>
        <n v="34285.469912702763" u="1"/>
        <n v="146356.36328033137" u="1"/>
        <n v="148039.8694381761" u="1"/>
        <n v="183398.9431043645" u="1"/>
        <n v="53009.203795835187" u="1"/>
        <n v="62990.223885750398" u="1"/>
        <n v="104494.51805631039" u="1"/>
        <n v="148223.16977546376" u="1"/>
        <n v="26865.305706980078" u="1"/>
        <n v="39769.336339433561" u="1"/>
        <n v="103376.06919556744" u="1"/>
        <n v="118729.93702533627" u="1"/>
        <n v="68419.679428012241" u="1"/>
        <n v="101712.81449459482" u="1"/>
        <n v="284595.91326962586" u="1"/>
        <n v="2324.1858585164046" u="1"/>
        <n v="22867.382660197884" u="1"/>
        <n v="37044.943596674289" u="1"/>
        <n v="39140.356087413675" u="1"/>
        <n v="87287.580050544871" u="1"/>
        <n v="11546.520870890325" u="1"/>
        <n v="15479.6355915104" u="1"/>
        <n v="17406.178163992026" u="1"/>
        <n v="783758.45679929142" u="1"/>
        <n v="37044.943596674304" u="1"/>
        <n v="720546.61956178909" u="1"/>
        <n v="14077.075964495214" u="1"/>
        <n v="25449.655505551895" u="1"/>
        <n v="37044.943596674311" u="1"/>
        <n v="39877.827262914288" u="1"/>
        <n v="231129.95824117769" u="1"/>
        <n v="393.2629902431421" u="1"/>
        <n v="8315.9080690482169" u="1"/>
        <n v="17022.769971251138" u="1"/>
        <n v="135093.91791207722" u="1"/>
        <n v="243832.55568195123" u="1"/>
        <n v="12112.695549488682" u="1"/>
        <n v="14724.025860369948" u="1"/>
        <n v="41710.851725459775" u="1"/>
        <n v="241125.77400076474" u="1"/>
        <n v="347613.02186699084" u="1"/>
        <n v="627387.21829865349" u="1"/>
        <n v="28501.467389603236" u="1"/>
        <n v="32398.134263504882" u="1"/>
        <n v="85339.601157749305" u="1"/>
        <n v="30522.078073725203" u="1"/>
        <n v="49969.018202493477" u="1"/>
        <n v="361766.57605988858" u="1"/>
        <n v="16310.540292097558" u="1"/>
        <n v="25005.033707205032" u="1"/>
        <n v="168157.23490661709" u="1"/>
        <n v="232735.27829879674" u="1"/>
        <n v="18436.932353028686" u="1"/>
        <n v="41388.840617509515" u="1"/>
        <n v="695805.49981671467" u="1"/>
        <n v="822.62465792672583" u="1"/>
        <n v="25900.927562867913" u="1"/>
        <n v="30347.362623700759" u="1"/>
        <n v="34667.403306012362" u="1"/>
        <n v="141700.01811845021" u="1"/>
        <n v="798.85994558662037" u="1"/>
        <n v="11476.03951270839" u="1"/>
        <n v="42779.783702765541" u="1"/>
        <n v="11494.425392589317" u="1"/>
        <n v="43432.583713263193" u="1"/>
        <n v="69330.539745651913" u="1"/>
        <n v="910329.0666330572" u="1"/>
        <n v="13895.607203163891" u="1"/>
        <n v="30436.618496549527" u="1"/>
        <n v="42439.497716982543" u="1"/>
        <n v="7334.637262241893" u="1"/>
        <n v="18373.945448966751" u="1"/>
        <n v="53523.302992405545" u="1"/>
        <n v="73213.378539116748" u="1"/>
        <n v="199993.38619724597" u="1"/>
        <n v="367579.51201078406" u="1"/>
        <n v="50217.919592080172" u="1"/>
        <n v="92560.49807789881" u="1"/>
        <n v="188134.45883973927" u="1"/>
        <n v="48203.26693933495" u="1"/>
        <n v="656831.66054551839" u="1"/>
        <n v="40007.806059758637" u="1"/>
        <n v="48203.266939334957" u="1"/>
        <n v="58083.250519037349" u="1"/>
        <n v="141628.86407872906" u="1"/>
        <n v="174842.46872203474" u="1"/>
        <n v="202163.06749723977" u="1"/>
        <n v="5311.493431179355" u="1"/>
        <n v="16035.049672045847" u="1"/>
        <n v="19597.200084485074" u="1"/>
        <n v="95133.804278793556" u="1"/>
        <n v="336361.42891163297" u="1"/>
        <n v="9263.1117960999236" u="1"/>
        <n v="30810.672453116829" u="1"/>
        <n v="37956.396437167219" u="1"/>
        <n v="38556.416962402465" u="1"/>
        <n v="39082.097643817178" u="1"/>
        <n v="47015.22430432008" u="1"/>
        <n v="155864.73585452986" u="1"/>
        <n v="295679.33487077837" u="1"/>
        <n v="8348.2076977715333" u="1"/>
        <n v="64397.354226639291" u="1"/>
        <n v="97918.596255927187" u="1"/>
        <n v="151550.46719826647" u="1"/>
        <n v="7940.1182724743621" u="1"/>
        <n v="18237.000579342002" u="1"/>
        <n v="62067.319906648678" u="1"/>
        <n v="65799.138211363374" u="1"/>
        <n v="118824.75831380149" u="1"/>
        <n v="149973.53653934138" u="1"/>
        <n v="540654.48355117638" u="1"/>
        <n v="1161316.2530712043" u="1"/>
        <n v="4110.1365197740888" u="1"/>
        <n v="219478.28530455491" u="1"/>
        <n v="924877.70272584516" u="1"/>
        <n v="38669.218696982352" u="1"/>
        <n v="8782.9077483655747" u="1"/>
        <n v="17491.680994771959" u="1"/>
        <n v="78858.29546512985" u="1"/>
        <n v="82765.853145073736" u="1"/>
        <n v="414804.36957445048" u="1"/>
        <n v="20313.904654432539" u="1"/>
        <n v="71778.24294160858" u="1"/>
        <n v="7202.75518861602" u="1"/>
        <n v="213215.59004174019" u="1"/>
        <n v="883219.14675573749" u="1"/>
        <n v="14927.881869108953" u="1"/>
        <n v="22887.863424201532" u="1"/>
        <n v="73098.64881193843" u="1"/>
        <n v="75169.084113285324" u="1"/>
        <n v="112228.40462299726" u="1"/>
        <n v="154365.74381933076" u="1"/>
        <n v="205834.23647611873" u="1"/>
        <n v="267611.06853174086" u="1"/>
        <n v="47973.238805372072" u="1"/>
        <n v="53992.631838440153" u="1"/>
        <n v="79183.659857907332" u="1"/>
        <n v="7159.1454292500284" u="1"/>
        <n v="13514.768076556182" u="1"/>
        <n v="29027.431553508766" u="1"/>
        <n v="45510.868518354335" u="1"/>
        <n v="107190.46082856989" u="1"/>
        <n v="231587.47337302438" u="1"/>
        <n v="24173.737813052045" u="1"/>
        <n v="81494.008050994642" u="1"/>
        <n v="329926.48804782913" u="1"/>
        <n v="3045.1361303283156" u="1"/>
        <n v="47403.966798376037" u="1"/>
        <n v="65852.736904680656" u="1"/>
        <n v="72666.227669646294" u="1"/>
        <n v="76554.968377086072" u="1"/>
        <n v="118028.35187693348" u="1"/>
        <n v="38024.74774546863" u="1"/>
        <n v="99911.676211272046" u="1"/>
        <n v="220324.47788827843" u="1"/>
        <n v="409374.01437850232" u="1"/>
        <n v="987.14958951207086" u="1"/>
        <n v="2567.6144105980607" u="1"/>
        <n v="25723.80223100572" u="1"/>
        <n v="36671.032830196935" u="1"/>
        <n v="47113.725815165613" u="1"/>
        <n v="48483.765998578063" u="1"/>
        <n v="59429.882447312571" u="1"/>
        <n v="87000.60489215808" u="1"/>
        <n v="128044.69580833829" u="1"/>
        <n v="192302.94731841813" u="1"/>
        <n v="268298.31708233571" u="1"/>
        <n v="343178.05807145493" u="1"/>
        <n v="12280.552909360471" u="1"/>
        <n v="96730.518638656285" u="1"/>
        <n v="876634.26133360597" u="1"/>
        <n v="8810.5511590130773" u="1"/>
        <n v="10595.58352665488" u="1"/>
        <n v="11380.433752174815" u="1"/>
        <n v="21857.75996292568" u="1"/>
        <n v="48846.016980277134" u="1"/>
        <n v="97085.205984039581" u="1"/>
        <n v="2212.5456694611271" u="1"/>
        <n v="13990.016793991985" u="1"/>
        <n v="15327.324535794378" u="1"/>
        <n v="26231.277064344729" u="1"/>
        <n v="54262.873509295525" u="1"/>
        <n v="180760.36651357671" u="1"/>
        <n v="291662.3646789281" u="1"/>
        <n v="431987.91107130446" u="1"/>
        <n v="173.69115402405438" u="1"/>
        <n v="9458.8068636772223" u="1"/>
        <n v="48951.081167345736" u="1"/>
        <n v="55204.989398578749" u="1"/>
        <n v="84095.012064754555" u="1"/>
        <n v="92470.891540214536" u="1"/>
        <n v="11007.2534761268" u="1"/>
        <n v="16061.942419891786" u="1"/>
        <n v="62548.952873365764" u="1"/>
        <n v="144106.00349582094" u="1"/>
        <n v="275250.58149932459" u="1"/>
        <n v="292456.15900799783" u="1"/>
        <n v="998118.20427239221" u="1"/>
        <n v="137.71628717117582" u="1"/>
        <n v="51600.60842853006" u="1"/>
        <n v="93037.425261687924" u="1"/>
        <n v="5415.0416189836596" u="1"/>
        <n v="64439.258143648512" u="1"/>
        <n v="68498.24154325886" u="1"/>
        <n v="85283.08375757141" u="1"/>
        <n v="208350.02192487178" u="1"/>
        <n v="81169.885161715996" u="1"/>
        <n v="154341.85793232609" u="1"/>
        <n v="535088.10155444779" u="1"/>
        <n v="2998.2878895130425" u="1"/>
        <n v="4982.7198155573733" u="1"/>
        <n v="15853.770433332274" u="1"/>
        <n v="31865.908181321694" u="1"/>
        <n v="56191.814439753762" u="1"/>
        <n v="60481.131285669726" u="1"/>
        <n v="106170.38088323905" u="1"/>
        <n v="13576.436883019285" u="1"/>
        <n v="31865.908181321698" u="1"/>
        <n v="41288.924919305871" u="1"/>
        <n v="13589.597020716466" u="1"/>
        <n v="16037.751267025233" u="1"/>
        <n v="24707.195916502656" u="1"/>
        <n v="44269.769938477402" u="1"/>
        <n v="100966.09248834201" u="1"/>
        <n v="28965.082320041671" u="1"/>
        <n v="46054.309253157189" u="1"/>
        <n v="64265.256604599504" u="1"/>
        <n v="238543.2586382966" u="1"/>
        <n v="26102.908075098654" u="1"/>
        <n v="91194.989565631637" u="1"/>
        <n v="101969.19077146034" u="1"/>
        <n v="2423410.1843518275" u="1"/>
        <n v="93386.900481642995" u="1"/>
        <n v="116565.70344505621" u="1"/>
        <n v="151543.83812655113" u="1"/>
        <n v="18778.022619620831" u="1"/>
        <n v="32934.700413907864" u="1"/>
        <n v="34640.274416645691" u="1"/>
        <n v="6477.608126049834" u="1"/>
        <n v="24134.034665380208" u="1"/>
        <n v="26103.506081750857" u="1"/>
        <n v="271107.96565340011" u="1"/>
        <n v="14762.607653843999" u="1"/>
        <n v="23180.187578479443" u="1"/>
        <n v="34980.498659425873" u="1"/>
        <n v="51003.882639690521" u="1"/>
        <n v="56848.58211679454" u="1"/>
        <n v="56958.288859789449" u="1"/>
        <n v="103460.74084844704" u="1"/>
        <n v="3576.25702870856" u="1"/>
        <n v="18972.734198751306" u="1"/>
        <n v="25028.660123006815" u="1"/>
        <n v="72754.392447531252" u="1"/>
        <n v="28681.776963701275" u="1"/>
        <n v="31088.899475933707" u="1"/>
        <n v="35102.843998134529" u="1"/>
        <n v="39114.153598137244" u="1"/>
        <n v="20165.504886234979" u="1"/>
        <n v="82614.921794507914" u="1"/>
        <n v="33553.350376704686" u="1"/>
        <n v="56225.120852128413" u="1"/>
        <n v="119333.3505454057" u="1"/>
        <n v="20813.46536005467" u="1"/>
        <n v="37302.707695836747" u="1"/>
        <n v="56808.253562937869" u="1"/>
        <n v="119207.92380593845" u="1"/>
        <n v="10511.272714097378" u="1"/>
        <n v="13544.155838147779" u="1"/>
        <n v="46833.465116845982" u="1"/>
        <n v="52542.841809918165" u="1"/>
        <n v="107759.97148163657" u="1"/>
        <n v="647466.74378563045" u="1"/>
        <n v="31526.715895832203" u="1"/>
        <n v="21025.121835752921" u="1"/>
        <n v="28171.384734548872" u="1"/>
        <n v="36363.913291428704" u="1"/>
        <n v="42049.946505476721" u="1"/>
        <n v="51943.533792457558" u="1"/>
        <n v="185342.94489451384" u="1"/>
        <n v="4320.8731237203792" u="1"/>
        <n v="19755.82455425532" u="1"/>
        <n v="45590.15766309329" u="1"/>
        <n v="46636.61877576675" u="1"/>
        <n v="183017.69322180131" u="1"/>
        <n v="315113.34544255462" u="1"/>
        <n v="333266.27021351719" u="1"/>
        <n v="1279.6383567749067" u="1"/>
        <n v="3496.5677802497826" u="1"/>
        <n v="7530.2913814984831" u="1"/>
        <n v="126962.64797768118" u="1"/>
        <n v="136987.50482773469" u="1"/>
        <n v="18336.391229671121" u="1"/>
        <n v="52640.887932008249" u="1"/>
        <n v="107135.64639401533" u="1"/>
        <n v="17506.399341042739" u="1"/>
        <n v="52193.677711428129" u="1"/>
        <n v="68729.2052227557" u="1"/>
        <n v="233266.29648955862" u="1"/>
        <n v="266440.62800320849" u="1"/>
        <n v="389240.25715046597" u="1"/>
        <n v="15893.338662070422" u="1"/>
        <n v="63609.806686870405" u="1"/>
        <n v="232777.51646044641" u="1"/>
        <n v="11774087.61547279" u="1"/>
        <n v="15229.421052891405" u="1"/>
        <n v="41733.038780446637" u="1"/>
        <n v="73366.523047453622" u="1"/>
        <n v="128687.4397260601" u="1"/>
        <n v="6685.1924334397099" u="1"/>
        <n v="91041.825379512185" u="1"/>
        <n v="305010.90804951824" u="1"/>
        <n v="812916.51583165326" u="1"/>
        <n v="25663.983150338398" u="1"/>
        <n v="32478.317686287424" u="1"/>
        <n v="44328.129886985836" u="1"/>
        <n v="99488.606795670974" u="1"/>
        <n v="231314.67560974939" u="1"/>
        <n v="1842105.4902048188" u="1"/>
        <n v="1113.2853703941685" u="1"/>
        <n v="15250.165628203149" u="1"/>
        <n v="47396.513867184949" u="1"/>
        <n v="53263.416714072067" u="1"/>
        <n v="515632.60995477421" u="1"/>
        <n v="1426567.1913174337" u="1"/>
        <n v="16186.164455118089" u="1"/>
        <n v="67443.895849370165" u="1"/>
        <n v="383024.11112424184" u="1"/>
        <n v="623662.02004734718" u="1"/>
        <n v="28355.32152342159" u="1"/>
        <n v="43354.977117444476" u="1"/>
        <n v="64123.608455611495" u="1"/>
        <n v="88986.587240375695" u="1"/>
        <n v="97034.348496042279" u="1"/>
        <n v="111386.19361072974" u="1"/>
        <n v="42983.439651252265" u="1"/>
        <n v="84557.131839251029" u="1"/>
        <n v="134547.01790244889" u="1"/>
        <n v="423008.31526845513" u="1"/>
        <n v="39936.908060196074" u="1"/>
        <n v="53826.156014044434" u="1"/>
        <n v="66414.589684218023" u="1"/>
        <n v="25813.673527441551" u="1"/>
        <n v="33778.422293387433" u="1"/>
        <n v="38369.233715569302" u="1"/>
        <n v="78804.380211245938" u="1"/>
        <n v="792217.84864494705" u="1"/>
        <n v="10078.243408022674" u="1"/>
        <n v="28944.373927839355" u="1"/>
        <n v="33440.987298812179" u="1"/>
        <n v="34444.271746730781" u="1"/>
        <n v="186007.19207981319" u="1"/>
        <n v="249815.39826044324" u="1"/>
        <n v="962542.57030671579" u="1"/>
        <n v="12098.88639358213" u="1"/>
        <n v="23037.214673922856" u="1"/>
        <n v="25906.195167408132" u="1"/>
        <n v="25977.816136611385" u="1"/>
        <n v="27573.365791232696" u="1"/>
        <n v="45223.862525521879" u="1"/>
        <n v="107374.96741643676" u="1"/>
        <n v="119792.93931257672" u="1"/>
        <n v="585970.43787789333" u="1"/>
        <n v="15571.385000796019" u="1"/>
        <n v="37299.529663055058" u="1"/>
        <n v="102880.68491098542" u="1"/>
        <n v="233366.15007295363" u="1"/>
        <n v="438346.88924978249" u="1"/>
        <n v="60985.001225843836" u="1"/>
        <n v="19557.084465685322" u="1"/>
        <n v="6542.1975954761447" u="1"/>
        <n v="71773.788355685712" u="1"/>
        <n v="482702.49826158746" u="1"/>
        <n v="31881.804307638016" u="1"/>
        <n v="5474.1257916732275" u="1"/>
        <n v="11033.923150920727" u="1"/>
        <n v="13938.244676164017" u="1"/>
        <n v="135175.23546369458" u="1"/>
        <n v="63270.513257327868" u="1"/>
        <n v="284522.71428967407" u="1"/>
        <n v="334159.94190263067" u="1"/>
        <n v="367332.21569157921" u="1"/>
        <n v="1608.6882199455972" u="1"/>
        <n v="51746.738146131531" u="1"/>
        <n v="823917.04358219262" u="1"/>
        <n v="10386.086002342399" u="1"/>
        <n v="45255.942053780454" u="1"/>
        <n v="1978.1702804440692" u="1"/>
        <n v="7783.4290876228679" u="1"/>
        <n v="385978.05223210732" u="1"/>
        <n v="64088.308531248113" u="1"/>
        <n v="5466.0858472133468" u="1"/>
        <n v="7332.7098280515456" u="1"/>
        <n v="36227.738163481226" u="1"/>
        <n v="94377.697007866445" u="1"/>
        <n v="4339.8863573130602" u="1"/>
        <n v="11169.870550385076" u="1"/>
        <n v="22447.882826607205" u="1"/>
        <n v="226790.38242483753" u="1"/>
        <n v="6218.7321906099423" u="1"/>
        <n v="22323.702238420352" u="1"/>
        <n v="23821.787579169999" u="1"/>
        <n v="70282.203181252495" u="1"/>
        <n v="166407.78316640874" u="1"/>
        <n v="190279.97818755487" u="1"/>
        <n v="223.15659594676245" u="1"/>
        <n v="3111.4171123987085" u="1"/>
        <n v="9692.330408144815" u="1"/>
        <n v="176983.11126698929" u="1"/>
        <n v="188345.82707846432" u="1"/>
        <n v="337609.25145344331" u="1"/>
        <n v="517902.3388669269" u="1"/>
        <n v="40896.778510798889" u="1"/>
        <n v="27588.604876064273" u="1"/>
        <n v="40407.199309267206" u="1"/>
        <n v="95179.100091126005" u="1"/>
        <n v="163502.8406878901" u="1"/>
        <n v="283621.07335746585" u="1"/>
        <n v="26567.303402143094" u="1"/>
        <n v="39006.253354844404" u="1"/>
        <n v="72791.289266510677" u="1"/>
        <n v="177093.1331659038" u="1"/>
        <n v="569055.65901997779" u="1"/>
        <n v="15836.710460057115" u="1"/>
        <n v="103675.61163030555" u="1"/>
        <n v="34921.401660290067" u="1"/>
        <n v="62888.400697031677" u="1"/>
        <n v="154968.99923014725" u="1"/>
        <n v="970978.37646018609" u="1"/>
        <n v="13513.543845243672" u="1"/>
        <n v="15007.97762620343" u="1"/>
        <n v="25031.681256685981" u="1"/>
        <n v="31798.347712426905" u="1"/>
        <n v="39280.176984367667" u="1"/>
        <n v="185843.70586670373" u="1"/>
        <n v="14362.27337451301" u="1"/>
        <n v="27731.065320078109" u="1"/>
        <n v="1253742.570935081" u="1"/>
        <n v="19345.804783316838" u="1"/>
        <n v="59146.799104101054" u="1"/>
        <n v="118580.70283167584" u="1"/>
        <n v="10039.051832796122" u="1"/>
        <n v="33135.505378157708" u="1"/>
        <n v="37933.537069671547" u="1"/>
        <n v="58503.019183934281" u="1"/>
        <n v="7756.1743677014429" u="1"/>
        <n v="23762.134665162088" u="1"/>
        <n v="35656.377894854399" u="1"/>
        <n v="326782.70197991643" u="1"/>
        <n v="8124.4703632184965" u="1"/>
        <n v="26954.322060361465" u="1"/>
        <n v="116570.41921200583" u="1"/>
        <n v="4862.1090456269239" u="1"/>
        <n v="4972.3090434682081" u="1"/>
        <n v="24327.085269678584" u="1"/>
        <n v="35943.256996487558" u="1"/>
        <n v="319928.71646633599" u="1"/>
        <n v="467638.44195655512" u="1"/>
        <n v="42803.274361018135" u="1"/>
        <n v="101761.35319060799" u="1"/>
        <n v="21983.63848981827" u="1"/>
        <n v="71380.362431129601" u="1"/>
        <n v="96584.46308624091" u="1"/>
        <n v="100221.07327547653" u="1"/>
        <n v="591.53900939826292" u="1"/>
        <n v="177979.45244272015" u="1"/>
        <n v="190285.23465662019" u="1"/>
        <n v="1423506.0513997495" u="1"/>
        <n v="13402.757186273857" u="1"/>
        <n v="19665.244976935392" u="1"/>
        <n v="80594.488427072298" u="1"/>
        <n v="95153.416474796657" u="1"/>
        <n v="257013.15127730582" u="1"/>
        <n v="9955.6306740475284" u="1"/>
        <n v="69891.327072777814" u="1"/>
        <n v="105766.2827332368" u="1"/>
        <n v="193797.6384107749" u="1"/>
        <n v="257013.15127730585" u="1"/>
        <n v="1369504.5036647362" u="1"/>
        <n v="10847.190044318224" u="1"/>
        <n v="457.01369884818098" u="1"/>
        <n v="24222.191940238237" u="1"/>
        <n v="197416.88947949049" u="1"/>
        <n v="26234.906343508035" u="1"/>
        <n v="45802.363687079116" u="1"/>
        <n v="208966.88601429743" u="1"/>
        <n v="228189.9067651798" u="1"/>
        <n v="844507.43664999364" u="1"/>
        <n v="22796.483150676017" u="1"/>
        <n v="31878.306631469874" u="1"/>
        <n v="8926.5318625200325" u="1"/>
        <n v="12272.909021348114" u="1"/>
        <n v="62198.250957526339" u="1"/>
        <n v="90507.979365515697" u="1"/>
        <n v="900497.35475203139" u="1"/>
        <n v="31137.644669265224" u="1"/>
        <n v="75874.03979570001" u="1"/>
        <n v="218072.35103715467" u="1"/>
        <n v="524881.19945533876" u="1"/>
        <n v="4338.8760177272889" u="1"/>
        <n v="6295.5307506083245" u="1"/>
        <n v="18263.413907542661" u="1"/>
        <n v="52456.395248707326" u="1"/>
        <n v="54678.692672379606" u="1"/>
        <n v="56688.614323901966" u="1"/>
        <n v="88176.129608832242" u="1"/>
        <n v="940185.82695165358" u="1"/>
        <n v="29479.231318484926" u="1"/>
        <n v="37977.053772585678" u="1"/>
        <n v="73408.867778741987" u="1"/>
        <n v="98112.377134090013" u="1"/>
        <n v="6712.3972020811761" u="1"/>
        <n v="20288.19366207454" u="1"/>
        <n v="68778.730849171698" u="1"/>
        <n v="116655.59635764139" u="1"/>
        <n v="606409.24120148935" u="1"/>
        <n v="1677382.5439850201" u="1"/>
        <n v="8060.9120686161968" u="1"/>
        <n v="13579.240380925119" u="1"/>
        <n v="17496.607617292342" u="1"/>
        <n v="19171.566370327655" u="1"/>
        <n v="30428.916079341543" u="1"/>
        <n v="148425.66704945572" u="1"/>
        <n v="115359.83534756933" u="1"/>
        <n v="23106.232122819838" u="1"/>
        <n v="35710.555170640386" u="1"/>
        <n v="77615.513791147183" u="1"/>
        <n v="142019.046146557" u="1"/>
        <n v="144798.62518396482" u="1"/>
        <n v="6062.1618583013369" u="1"/>
        <n v="8576.684334546806" u="1"/>
        <n v="10653.303546363652" u="1"/>
        <n v="30827.273308638443" u="1"/>
        <n v="57459.101202204132" u="1"/>
        <n v="95889.326911046039" u="1"/>
        <n v="117027.61136550175" u="1"/>
        <n v="195023.85404820289" u="1"/>
        <n v="230468.96353764416" u="1"/>
        <n v="305717.90403986396" u="1"/>
        <n v="12414.43282227125" u="1"/>
        <n v="21452.455712075222" u="1"/>
        <n v="64501.716974670999" u="1"/>
        <n v="109080.54522545695" u="1"/>
        <n v="195023.85404820292" u="1"/>
        <n v="20895.620960024684" u="1"/>
        <n v="39912.307039994783" u="1"/>
        <n v="195023.85404820295" u="1"/>
        <n v="354529.57227856148" u="1"/>
        <n v="784.13967593383791" u="1"/>
        <n v="11761.037155094116" u="1"/>
        <n v="315181.10815208766" u="1"/>
        <n v="16693.220404976186" u="1"/>
        <n v="20997.377803793141" u="1"/>
        <n v="21097.768005950871" u="1"/>
        <n v="51124.370780760379" u="1"/>
        <n v="109857.39202504158" u="1"/>
        <n v="26.768633960648661" u="1"/>
        <n v="10469.708322051374" u="1"/>
        <n v="94517.380719855006" u="1"/>
        <n v="106806.15857546283" u="1"/>
        <n v="18485.958862341875" u="1"/>
        <n v="87335.239330283643" u="1"/>
        <n v="110496.60913474869" u="1"/>
        <n v="118837.21126515928" u="1"/>
        <n v="10782.970416199953" u="1"/>
        <n v="177471.70295278702" u="1"/>
        <n v="198310.83032456145" u="1"/>
        <n v="8525.8836958049087" u="1"/>
        <n v="17835.444050925522" u="1"/>
        <n v="59052.868284912489" u="1"/>
        <n v="300776.81283846032" u="1"/>
        <n v="3750905.6923540845" u="1"/>
        <n v="53413.33129794769" u="1"/>
        <n v="220461.36205844904" u="1"/>
        <n v="359527.49841025716" u="1"/>
        <n v="99161.507080053692" u="1"/>
        <n v="250047.81627071917" u="1"/>
        <n v="539051.59878818213" u="1"/>
        <n v="804075.94628590322" u="1"/>
        <n v="2574.4656956578406" u="1"/>
        <n v="4341.0454557361527" u="1"/>
        <n v="15318.562762944766" u="1"/>
        <n v="52665.102443086296" u="1"/>
        <n v="66637.667001745329" u="1"/>
        <n v="186460.54703359402" u="1"/>
        <n v="34889.064683075594" u="1"/>
        <n v="47538.944052932733" u="1"/>
        <n v="66637.667001745343" u="1"/>
        <n v="183967.57074895667" u="1"/>
        <n v="186460.54703359405" u="1"/>
        <n v="1335445.7631279489" u="1"/>
        <n v="1260340.3959364556" u="1"/>
        <n v="5843.5590688614766" u="1"/>
        <n v="10611.316857375607" u="1"/>
        <n v="21402.838049075584" u="1"/>
        <n v="359.74866852878586" u="1"/>
        <n v="10803.193160866" u="1"/>
        <n v="50961.877249350691" u="1"/>
        <n v="521512.06233611476" u="1"/>
        <n v="566.69698657174445" u="1"/>
        <n v="10356.676007575255" u="1"/>
        <n v="17616.845236637437" u="1"/>
        <n v="24202.662863927686" u="1"/>
        <n v="27279.237466623475" u="1"/>
        <n v="70803.875360414939" u="1"/>
        <n v="77307.895458728686" u="1"/>
        <n v="78237.248422883684" u="1"/>
        <n v="126623.03547480352" u="1"/>
        <n v="180297.06836719735" u="1"/>
        <n v="1555862.8175703271" u="1"/>
        <n v="2629611.4266754328" u="1"/>
        <n v="16033.303591680426" u="1"/>
        <n v="41483.426722467768" u="1"/>
        <n v="52114.653175946325" u="1"/>
        <n v="19866.72119126812" u="1"/>
        <n v="22692.389159426049" u="1"/>
        <n v="60675.266178789163" u="1"/>
        <n v="5348.2524507817407" u="1"/>
        <n v="32685.359498089219" u="1"/>
        <n v="67421.782946889783" u="1"/>
        <n v="108387.73331413972" u="1"/>
        <n v="901584.15404560417" u="1"/>
        <n v="11492.552717954104" u="1"/>
        <n v="18186.502427937641" u="1"/>
        <n v="26647.382336704468" u="1"/>
        <n v="37127.933490490417" u="1"/>
        <n v="157028.64120089266" u="1"/>
        <n v="1499712.9479300254" u="1"/>
        <n v="1899584.8063955407" u="1"/>
        <n v="2441436.89546511" u="1"/>
        <n v="20694.501240904301" u="1"/>
        <n v="26814.518216469623" u="1"/>
        <n v="30434.795387752623" u="1"/>
        <n v="48902.561106332076" u="1"/>
        <n v="66822.006788641404" u="1"/>
        <n v="17521.169711506205" u="1"/>
        <n v="20146.149310064611" u="1"/>
        <n v="23988.62400355289" u="1"/>
        <n v="91479.478630100799" u="1"/>
        <n v="3135.1994958094442" u="1"/>
        <n v="3432.4247798143265" u="1"/>
        <n v="8777.8810383204636" u="1"/>
        <n v="9373.7673499920402" u="1"/>
        <n v="47574.922507580188" u="1"/>
        <n v="169153.00552596882" u="1"/>
        <n v="171666.01698139697" u="1"/>
        <n v="502456.04682444443" u="1"/>
        <n v="7591.2175997867853" u="1"/>
        <n v="46125.615384560893" u="1"/>
        <n v="87630.508988336878" u="1"/>
        <n v="502269.51464111765" u="1"/>
        <n v="561450.93594150001" u="1"/>
        <n v="816196.10735667008" u="1"/>
        <n v="52494.110525114826" u="1"/>
        <n v="716743.01767359616" u="1"/>
        <n v="2894.0303038241022" u="1"/>
        <n v="33266.127634273551" u="1"/>
        <n v="45487.957836431844" u="1"/>
        <n v="84583.371552585217" u="1"/>
        <n v="7400.5908690341666" u="1"/>
        <n v="12402.010602533195" u="1"/>
        <n v="36523.603243920894" u="1"/>
        <n v="61079.709310253624" u="1"/>
        <n v="72065.422927779859" u="1"/>
        <n v="105566.36293722791" u="1"/>
        <n v="94862.364526681529" u="1"/>
        <n v="207460.94871606075" u="1"/>
        <n v="41.182513785613317" u="1"/>
        <n v="9133.5608365421649" u="1"/>
        <n v="12130.090604533209" u="1"/>
        <n v="29687.919565901815" u="1"/>
        <n v="207596.46010183441" u="1"/>
        <n v="473128.42425439879" u="1"/>
        <n v="7129.4137020316221" u="1"/>
        <n v="43922.437822938009" u="1"/>
        <n v="45002.710509970755" u="1"/>
        <n v="75181.210957655989" u="1"/>
        <n v="175526.58474299815" u="1"/>
        <n v="211501.82216596298" u="1"/>
        <n v="359766.48417063826" u="1"/>
        <n v="20631.826211074469" u="1"/>
        <n v="26685.516806614196" u="1"/>
        <n v="49223.788951024253" u="1"/>
        <n v="237605.38388119426" u="1"/>
        <n v="218.78210448607075" u="1"/>
        <n v="5466.1077658837376" u="1"/>
        <n v="9017.7616013321185" u="1"/>
        <n v="20339.820909477723" u="1"/>
        <n v="45695.059902431836" u="1"/>
        <n v="137428.03383849151" u="1"/>
        <n v="33615.730093783124" u="1"/>
        <n v="39540.156281561583" u="1"/>
        <n v="55142.333493485705" u="1"/>
        <n v="633031.4927034654" u="1"/>
        <n v="8778.1541544874381" u="1"/>
        <n v="254908.01582970499" u="1"/>
        <n v="313607.79624112078" u="1"/>
        <n v="427.20154387793315" u="1"/>
        <n v="8565.9221520390056" u="1"/>
        <n v="22928.914019649521" u="1"/>
        <n v="29512.528933135254" u="1"/>
        <n v="35403.771296128354" u="1"/>
        <n v="98106.735422215774" u="1"/>
        <n v="120240.48267155327" u="1"/>
        <n v="2923.9689846108281" u="1"/>
        <n v="27960.033679463126" u="1"/>
        <n v="54766.62024394481" u="1"/>
        <n v="5565.895112609669" u="1"/>
        <n v="27483.660450207983" u="1"/>
        <n v="37341.458651445355" u="1"/>
        <n v="37550.908180666687" u="1"/>
        <n v="71098.409359148252" u="1"/>
        <n v="75902.443314209871" u="1"/>
        <n v="170571.37234070114" u="1"/>
        <n v="193932.98102989988" u="1"/>
        <n v="577514.52559796872" u="1"/>
        <n v="1224741.1485952698" u="1"/>
        <n v="36131.982423507507" u="1"/>
        <n v="102871.3510764761" u="1"/>
        <n v="457186.8020214623" u="1"/>
        <n v="683.69249347687878" u="1"/>
        <n v="14146.340329714327" u="1"/>
        <n v="78548.664633000662" u="1"/>
        <n v="108822.4180872525" u="1"/>
        <n v="15554.232959297758" u="1"/>
        <n v="26315.334754168151" u="1"/>
        <n v="57179.718571379744" u="1"/>
        <n v="114196.998069899" u="1"/>
        <n v="194948.13953014018" u="1"/>
        <n v="13352.872484191603" u="1"/>
        <n v="20279.867905169227" u="1"/>
        <n v="98474.740553074429" u="1"/>
        <n v="115720.0413179991" u="1"/>
        <n v="3247.1590782104486" u="1"/>
        <n v="3867.880682631695" u="1"/>
        <n v="33795.079945594458" u="1"/>
        <n v="212198.08946194276" u="1"/>
        <n v="11349.648276403717" u="1"/>
        <n v="449461.01818131277" u="1"/>
        <n v="13415.52784866193" u="1"/>
        <n v="47021.284051630981" u="1"/>
        <n v="163012.2671788329" u="1"/>
        <n v="237794.23673196221" u="1"/>
        <n v="245271.94663517948" u="1"/>
        <n v="612.39835645656251" u="1"/>
        <n v="70587.753770900614" u="1"/>
        <n v="73443.213087902303" u="1"/>
        <n v="938558.78412908909" u="1"/>
        <n v="13485.018550622161" u="1"/>
        <n v="48838.931027002291" u="1"/>
        <n v="7275.2185716238018" u="1"/>
        <n v="55959.024096832531" u="1"/>
        <n v="122804.29909251" u="1"/>
        <n v="168428.49942519519" u="1"/>
        <n v="19659.283871877873" u="1"/>
        <n v="29177.998546747891" u="1"/>
        <n v="61442.498735595815" u="1"/>
        <n v="95.474794459646787" u="1"/>
        <n v="24704.365571304686" u="1"/>
        <n v="27030.943531821787" u="1"/>
        <n v="317978.92840086744" u="1"/>
        <n v="499076.33634511509" u="1"/>
        <n v="1051983.447043878" u="1"/>
        <n v="26914.01738477996" u="1"/>
        <n v="33545.94462360871" u="1"/>
        <n v="43354.961491153001" u="1"/>
        <n v="60059.137991171025" u="1"/>
        <n v="96937.575421463567" u="1"/>
        <n v="120309.55141157257" u="1"/>
        <n v="236943.2611323522" u="1"/>
        <n v="7507.3367046539424" u="1"/>
        <n v="151674.78069019251" u="1"/>
        <n v="555701.14564528386" u="1"/>
        <n v="11279.841499077353" u="1"/>
        <n v="35511.483535930973" u="1"/>
        <n v="42046.478775183612" u="1"/>
        <n v="105392.20211396998" u="1"/>
        <n v="3157.9647908653396" u="1"/>
        <n v="4489.5239443435839" u="1"/>
        <n v="12685.559890206649" u="1"/>
        <n v="39977.649835493226" u="1"/>
        <n v="44830.41264263101" u="1"/>
        <n v="90920.795138667861" u="1"/>
        <n v="105392.20211396999" u="1"/>
        <n v="216981.53096879279" u="1"/>
        <n v="2288764.5542977541" u="1"/>
        <n v="51561.154160192331" u="1"/>
        <n v="4018.3225363829624" u="1"/>
        <n v="34184.88378102571" u="1"/>
        <n v="34588.587528455428" u="1"/>
        <n v="423161.30733491073" u="1"/>
        <n v="906910.70518568764" u="1"/>
        <n v="195120.67187854197" u="1"/>
        <n v="2618.0484383288231" u="1"/>
        <n v="4003.4509753036609" u="1"/>
        <n v="8343.2970090881008" u="1"/>
        <n v="14158.030923072245" u="1"/>
        <n v="154443.52077952187" u="1"/>
        <n v="388414.28937313176" u="1"/>
        <n v="36736.842636768706" u="1"/>
        <n v="42169.663592292673" u="1"/>
        <n v="61452.006575654879" u="1"/>
        <n v="61579.978840021926" u="1"/>
        <n v="85041.978138235703" u="1"/>
        <n v="13307.200368104068" u="1"/>
        <n v="3686901.1205314137" u="1"/>
        <n v="18102.658468228237" u="1"/>
        <n v="29375.418224404122" u="1"/>
        <n v="96360.256162483391" u="1"/>
        <n v="266103.91102716606" u="1"/>
        <n v="267091.55073176965" u="1"/>
        <n v="483829.43045839923" u="1"/>
        <n v="1293836.8693486534" u="1"/>
        <n v="1297357.6043778162" u="1"/>
        <n v="52309.471024763654" u="1"/>
        <n v="62131.784143064091" u="1"/>
        <n v="418380.10798659077" u="1"/>
        <n v="9496.8988635511996" u="1"/>
        <n v="89526.105909032223" u="1"/>
        <n v="179693.41892270997" u="1"/>
        <n v="1433786.1943903805" u="1"/>
        <n v="11726.935230775523" u="1"/>
        <n v="26145.837619230966" u="1"/>
        <n v="26718.238556689568" u="1"/>
        <n v="44687.384981202391" u="1"/>
        <n v="134046.89225778147" u="1"/>
        <n v="247898.16967371834" u="1"/>
        <n v="691708.53566139168" u="1"/>
        <n v="932292.92539509363" u="1"/>
        <n v="8586.2220306063318" u="1"/>
        <n v="66695.479790578029" u="1"/>
        <n v="82226.007049744818" u="1"/>
        <n v="104170.1357346407" u="1"/>
        <n v="183765.84461529175" u="1"/>
        <n v="723760.82086905837" u="1"/>
        <n v="11941.976188249417" u="1"/>
        <n v="34575.881679696082" u="1"/>
        <n v="77751.13956754432" u="1"/>
        <n v="93736.992513987716" u="1"/>
        <n v="962546.94137342484" u="1"/>
        <n v="143880.01839719558" u="1"/>
        <n v="460431.51978873258" u="1"/>
        <n v="20721.619983888144" u="1"/>
        <n v="24981.424564041787" u="1"/>
        <n v="43699.401815466779" u="1"/>
        <n v="49886.569291041298" u="1"/>
        <n v="218147.93635242773" u="1"/>
        <n v="75.638550319576467" u="1"/>
        <n v="50793.839264196758" u="1"/>
        <n v="2736.0376689016666" u="1"/>
        <n v="8995.9419635886352" u="1"/>
        <n v="27971.988403162337" u="1"/>
        <n v="29425.606876104721" u="1"/>
        <n v="758.84484767790752" u="1"/>
        <n v="77144.322861510111" u="1"/>
        <n v="30347.625942062954" u="1"/>
        <n v="64101.872736756726" u="1"/>
        <n v="74575.034422324941" u="1"/>
        <n v="347954.29823288292" u="1"/>
        <n v="6829.6608632413345" u="1"/>
        <n v="9963.3401856456312" u="1"/>
        <n v="32066.197833229155" u="1"/>
        <n v="85325.977126961807" u="1"/>
        <n v="120637.94309293549" u="1"/>
        <n v="167009.88002550285" u="1"/>
        <n v="351361.0381446649" u="1"/>
        <n v="5080.0061008948514" u="1"/>
        <n v="9405.621208347613" u="1"/>
        <n v="17660.991067630035" u="1"/>
        <n v="25953.445749285398" u="1"/>
        <n v="187887.83847705912" u="1"/>
        <n v="20679.946383780331" u="1"/>
        <n v="60344.188331117417" u="1"/>
        <n v="20889.808618456002" u="1"/>
        <n v="22621.493316443684" u="1"/>
        <n v="83707.890541938643" u="1"/>
        <n v="187994.74239900842" u="1"/>
        <n v="47446.346105070952" u="1"/>
        <n v="63814.918084108453" u="1"/>
        <n v="69061.283625960219" u="1"/>
        <n v="92688.126085754877" u="1"/>
        <n v="2929.9562473339438" u="1"/>
        <n v="8736.4654286254681" u="1"/>
        <n v="15996.589616970021" u="1"/>
        <n v="322655.48523557308" u="1"/>
        <n v="21585.749368229051" u="1"/>
        <n v="39224.599042737595" u="1"/>
        <n v="118284.85393128519" u="1"/>
        <n v="398.83303529281477" u="1"/>
        <n v="614.07570482950166" u="1"/>
        <n v="43999.886858490063" u="1"/>
        <n v="147278.02557436138" u="1"/>
        <n v="204892.04963393146" u="1"/>
        <n v="3098822.4475515774" u="1"/>
        <n v="22942.648540147791" u="1"/>
        <n v="20166.864656962982" u="1"/>
        <n v="57101.543546001318" u="1"/>
        <n v="57952.948947215489" u="1"/>
        <n v="79638.094798026257" u="1"/>
        <n v="87340.319277202347" u="1"/>
        <n v="175706.77645579266" u="1"/>
        <n v="79.276339037305647" u="1"/>
        <n v="60438.943715942332" u="1"/>
        <n v="79283.190941493172" u="1"/>
        <n v="203795.45969068867" u="1"/>
        <n v="436093.76304549963" u="1"/>
        <n v="12789.573402537208" u="1"/>
        <n v="20778.104854345544" u="1"/>
        <n v="29630.869757519227" u="1"/>
        <n v="35199.643078872374" u="1"/>
        <n v="53884.165364800108" u="1"/>
        <n v="14340.272426741993" u="1"/>
        <n v="30615.666977350138" u="1"/>
        <n v="57832.001482726984" u="1"/>
        <n v="33253.933920507654" u="1"/>
        <n v="46102.905669220549" u="1"/>
        <n v="56949.1612954507" u="1"/>
        <n v="247269.25865194353" u="1"/>
        <n v="1640303.6340948557" u="1"/>
        <n v="10125.197513459923" u="1"/>
        <n v="26806.64847783808" u="1"/>
        <n v="740874.55941973347" u="1"/>
        <n v="105438.26867493491" u="1"/>
        <n v="7361.6404257368404" u="1"/>
        <n v="7709.9495279118391" u="1"/>
        <n v="28487.339771230472" u="1"/>
        <n v="65414.35439442499" u="1"/>
        <n v="79396.854217796674" u="1"/>
        <n v="80890.272010017245" u="1"/>
        <n v="11732.982910939887" u="1"/>
        <n v="18820.70282606257" u="1"/>
        <n v="41545.296551005013" u="1"/>
        <n v="59916.114101212064" u="1"/>
        <n v="6393.898402926181" u="1"/>
        <n v="14761.75351846163" u="1"/>
        <n v="22418.972535077126" u="1"/>
        <n v="29724.459211881396" u="1"/>
        <n v="71417.727790778736" u="1"/>
        <n v="10109.05657831676" u="1"/>
        <n v="75022.908094871047" u="1"/>
        <n v="32248.040349966323" u="1"/>
        <n v="33411.755132248516" u="1"/>
        <n v="45217.504069847608" u="1"/>
        <n v="1518012.9770961923" u="1"/>
        <n v="4621.1368169757479" u="1"/>
        <n v="27780.535337562491" u="1"/>
        <n v="110846.60956454308" u="1"/>
        <n v="4022.3400813878702" u="1"/>
        <n v="51889.444709196847" u="1"/>
        <n v="11175.378567425309" u="1"/>
        <n v="52817.221626756473" u="1"/>
        <n v="79105.584790619556" u="1"/>
        <n v="83885.920591346512" u="1"/>
        <n v="196074.29767743722" u="1"/>
        <n v="309864.88318768534" u="1"/>
        <n v="312075.15599717241" u="1"/>
        <n v="437477.93090229988" u="1"/>
        <n v="59135.151397683439" u="1"/>
        <n v="97321.142142548997" u="1"/>
        <n v="109707.35564190472" u="1"/>
        <n v="353670.60546911915" u="1"/>
        <n v="720036.54299659503" u="1"/>
        <n v="5451.7186699035246" u="1"/>
        <n v="9198.0798818681487" u="1"/>
        <n v="34401.345500494244" u="1"/>
        <n v="52273.010782397621" u="1"/>
        <n v="58765.060226126931" u="1"/>
        <n v="95893.889764082924" u="1"/>
        <n v="302778.47636721318" u="1"/>
        <n v="5817.6358995414748" u="1"/>
        <n v="21217.381859764409" u="1"/>
        <n v="22853.858505145021" u="1"/>
        <n v="38347.918939242089" u="1"/>
        <n v="56772.233580393935" u="1"/>
        <n v="17253.635235915361" u="1"/>
        <n v="28202.694115227379" u="1"/>
        <n v="57466.924792544269" u="1"/>
        <n v="63084.157607568741" u="1"/>
        <n v="78879.401574305724" u="1"/>
        <n v="89587.407471377039" u="1"/>
        <n v="11988.207854301956" u="1"/>
        <n v="590210.84735264455" u="1"/>
        <n v="847354.81775887858" u="1"/>
        <n v="12689.904194334616" u="1"/>
        <n v="166246.64886499231" u="1"/>
        <n v="320428.79594449827" u="1"/>
        <n v="375205.63113056723" u="1"/>
        <n v="476624.30337719305" u="1"/>
        <n v="4666.9738409350894" u="1"/>
        <n v="12499.416978339312" u="1"/>
        <n v="17623.928404886297" u="1"/>
        <n v="18764.067422957451" u="1"/>
        <n v="11054.101468301686" u="1"/>
        <n v="78199.589587640672" u="1"/>
        <n v="373193.79567368759" u="1"/>
        <n v="4309.9429865698412" u="1"/>
        <n v="6126.6105881461208" u="1"/>
        <n v="20668.192789602403" u="1"/>
        <n v="15360.835869496517" u="1"/>
        <n v="21357.039655146662" u="1"/>
        <n v="23113.281325267079" u="1"/>
        <n v="34302.097362851884" u="1"/>
        <n v="43675.392787261357" u="1"/>
        <n v="148089.63948416957" u="1"/>
        <n v="178409.95763203557" u="1"/>
        <n v="186220.46530597017" u="1"/>
        <n v="89788.538827717057" u="1"/>
        <n v="98848.346656035123" u="1"/>
        <n v="13966.33863680041" u="1"/>
        <n v="60540.626117877306" u="1"/>
        <n v="61609.409613143012" u="1"/>
        <n v="2173.846618043242" u="1"/>
        <n v="13347.782987953726" u="1"/>
        <n v="18756.414773362489" u="1"/>
        <n v="20563.347230315328" u="1"/>
        <n v="88999.735473295077" u="1"/>
        <n v="191989.23687670528" u="1"/>
        <n v="564617.6524498784" u="1"/>
        <n v="3845.7520952997315" u="1"/>
        <n v="34436.881992554008" u="1"/>
        <n v="56936.548241133358" u="1"/>
        <n v="188436.60931499547" u="1"/>
        <n v="23137.5636854564" u="1"/>
        <n v="34710.805069964568" u="1"/>
        <n v="117553.20854703858" u="1"/>
        <n v="329.04986317069023" u="1"/>
        <n v="14024.321079490166" u="1"/>
        <n v="42975.718392856637" u="1"/>
        <n v="259792.39909428256" u="1"/>
        <n v="864125.62933944189" u="1"/>
        <n v="3792.5741395583423" u="1"/>
        <n v="211276.53335995734" u="1"/>
        <n v="10513.330410023202" u="1"/>
        <n v="19590.601615833191" u="1"/>
        <n v="53338.440710534654" u="1"/>
        <n v="56501.048986359354" u="1"/>
        <n v="206836.53631431019" u="1"/>
        <n v="857596.96263663878" u="1"/>
        <n v="22396.570661384983" u="1"/>
        <n v="87766.395033872512" u="1"/>
        <n v="182495.65199445141" u="1"/>
        <n v="11225.138575351475" u="1"/>
        <n v="54081.234905479418" u="1"/>
        <n v="274867.2447966474" u="1"/>
        <n v="325769.86982530711" u="1"/>
        <n v="5373.4834417755528" u="1"/>
        <n v="7879.7810063637708" u="1"/>
        <n v="12379.917708361179" u="1"/>
        <n v="20623.174342457107" u="1"/>
        <n v="20752.577829450544" u="1"/>
        <n v="250404.30931404981" u="1"/>
        <n v="8325.3235954969296" u="1"/>
        <n v="8529.0273003560924" u="1"/>
        <n v="138135.28770640833" u="1"/>
        <n v="40577.912585696991" u="1"/>
        <n v="43635.154031263897" u="1"/>
        <n v="85479.329155669533" u="1"/>
        <n v="13173.691150302855" u="1"/>
        <n v="25523.096928875664" u="1"/>
        <n v="385291.16232762026" u="1"/>
        <n v="20321.298686586499" u="1"/>
        <n v="40891.795098741975" u="1"/>
        <n v="8795.2632609346929" u="1"/>
        <n v="8803.1749888813938" u="1"/>
        <n v="15788.085109505171" u="1"/>
        <n v="118556.11264242452" u="1"/>
        <n v="446881.28165471187" u="1"/>
        <n v="43584.58572403717" u="1"/>
        <n v="43783.229051664443" u="1"/>
        <n v="50931.061967788293" u="1"/>
        <n v="53753.264440740568" u="1"/>
        <n v="149909.73485950835" u="1"/>
        <n v="886853.4554376069" u="1"/>
        <n v="3926388.0042072572" u="1"/>
        <n v="9032.6931162023157" u="1"/>
        <n v="110009.40547722667" u="1"/>
        <n v="226535.6604593606" u="1"/>
        <n v="274417.88316459314" u="1"/>
        <n v="7997.5487255142216" u="1"/>
        <n v="8878.6913980842037" u="1"/>
        <n v="745831.67846428626" u="1"/>
        <n v="55486.17371480351" u="1"/>
        <n v="1801166.7778487154" u="1"/>
        <n v="33459.904776864489" u="1"/>
        <n v="208219.72884290462" u="1"/>
        <n v="6227.7074811475086" u="1"/>
        <n v="27520.557065686917" u="1"/>
        <n v="44566.167479905082" u="1"/>
        <n v="104883.80145161953" u="1"/>
        <n v="411681.39803424513" u="1"/>
        <n v="64976.315920900255" u="1"/>
        <n v="84831.100079155702" u="1"/>
        <n v="87048.291370698789" u="1"/>
        <n v="103870.48875669927" u="1"/>
        <n v="9994.9142346794633" u="1"/>
        <n v="134853.53724289534" u="1"/>
        <n v="6508.9912422028265" u="1"/>
        <n v="50291.712382695943" u="1"/>
        <n v="4774.6239587945165" u="1"/>
        <n v="8401.6590776501507" u="1"/>
        <n v="12452.37615170667" u="1"/>
        <n v="21184.733758137652" u="1"/>
        <n v="82139.512839644987" u="1"/>
        <n v="578996.27627155266" u="1"/>
        <n v="11070.242749825917" u="1"/>
        <n v="96005.977003284948" u="1"/>
        <n v="1426800.3401684635" u="1"/>
        <n v="8591.903953467845" u="1"/>
        <n v="21169.618643945247" u="1"/>
        <n v="120921.48390611369" u="1"/>
        <n v="9264.4913174522171" u="1"/>
        <n v="18587.271271476791" u="1"/>
        <n v="1551045.4404666782" u="1"/>
        <n v="22194.291859646197" u="1"/>
        <n v="53154.269362814404" u="1"/>
        <n v="67211.611258024728" u="1"/>
        <n v="126074.77772007842" u="1"/>
        <n v="7156.6671527720691" u="1"/>
        <n v="44796.822473678243" u="1"/>
        <n v="18768.322482489348" u="1"/>
        <n v="85388.781481135389" u="1"/>
        <n v="2329604.1221351149" u="1"/>
        <n v="8678.6184708009569" u="1"/>
        <n v="46332.997475016418" u="1"/>
        <n v="36029.08741034894" u="1"/>
        <n v="38013.31728546424" u="1"/>
        <n v="101937.35723936385" u="1"/>
        <n v="219681.72966723613" u="1"/>
        <n v="16671.846319609529" u="1"/>
        <n v="23337.952562435068" u="1"/>
        <n v="30824.956794354854" u="1"/>
        <n v="37228.623248632852" u="1"/>
        <n v="5932.1703366071433" u="1"/>
        <n v="696929.80421979318" u="1"/>
        <n v="17490.362669107752" u="1"/>
        <n v="50779.924551704557" u="1"/>
        <n v="95815.957794105125" u="1"/>
        <n v="114994.32232560951" u="1"/>
        <n v="1517.2854801759609" u="1"/>
        <n v="18972.784923185733" u="1"/>
        <n v="60020.968616051956" u="1"/>
        <n v="505731.89766377333" u="1"/>
        <n v="541518.66636280506" u="1"/>
        <n v="26962.894978792461" u="1"/>
        <n v="111580.45347439752" u="1"/>
        <n v="176970.79136327494" u="1"/>
        <n v="38217.154016543864" u="1"/>
        <n v="167979.05826432942" u="1"/>
        <n v="1152403.6370590588" u="1"/>
        <n v="445.18897730437249" u="1"/>
        <n v="5943.1540655091794" u="1"/>
        <n v="49574.445283567155" u="1"/>
        <n v="107200.378827009" u="1"/>
        <n v="10863.122642552611" u="1"/>
        <n v="15316.752391389029" u="1"/>
        <n v="30928.232795644195" u="1"/>
        <n v="38482.082977599639" u="1"/>
        <n v="45937.094862927355" u="1"/>
        <n v="68841.921502360216" u="1"/>
        <n v="147385.65841833275" u="1"/>
        <n v="312977.54359262105" u="1"/>
        <n v="2486178.0761294998" u="1"/>
        <n v="7231.4600295454829" u="1"/>
        <n v="7380.3129832197983" u="1"/>
        <n v="38347.466689964545" u="1"/>
        <n v="38726.698819890858" u="1"/>
        <n v="55267.557157905452" u="1"/>
        <n v="79017.909258597938" u="1"/>
        <n v="32506.665789785628" u="1"/>
        <n v="48135.889264018908" u="1"/>
        <n v="945272.64967785031" u="1"/>
        <n v="977350.91754220426" u="1"/>
        <n v="71711.244401205156" u="1"/>
        <n v="167144.01579437542" u="1"/>
        <n v="803.81343124400587" u="1"/>
        <n v="8309.3381723285474" u="1"/>
        <n v="46715.948146269526" u="1"/>
        <n v="69445.111685034732" u="1"/>
        <n v="731.86369753824874" u="1"/>
        <n v="34937.015985517501" u="1"/>
        <n v="108167.27856651052" u="1"/>
        <n v="109167.11548023179" u="1"/>
        <n v="173343.60485959213" u="1"/>
        <n v="222755.47096241871" u="1"/>
        <n v="384986.82530803885" u="1"/>
        <n v="1580049.5220412745" u="1"/>
        <n v="1950.6289333645727" u="1"/>
        <n v="25876.86484555083" u="1"/>
        <n v="26620.350759973593" u="1"/>
        <n v="38358.209430337483" u="1"/>
        <n v="1100805.2118678007" u="1"/>
        <n v="14435.117000498534" u="1"/>
        <n v="25106.831781370216" u="1"/>
        <n v="43868.45889211812" u="1"/>
        <n v="63242.147950955667" u="1"/>
        <n v="64771.316139262533" u="1"/>
        <n v="130867.11973307183" u="1"/>
        <n v="614054.95425522688" u="1"/>
        <n v="10192.749323483493" u="1"/>
        <n v="18199.585482141167" u="1"/>
        <n v="30408.936096292735" u="1"/>
        <n v="63007.33680489206" u="1"/>
        <n v="63242.147950955674" u="1"/>
        <n v="151604.9993632515" u="1"/>
        <n v="248482.56108155902" u="1"/>
        <n v="315573.81418776332" u="1"/>
        <n v="6577.5052016066693" u="1"/>
        <n v="106328.39378021704" u="1"/>
        <n v="133131.93575314913" u="1"/>
        <n v="216139.65926272649" u="1"/>
        <n v="8844.2596794553301" u="1"/>
        <n v="11584.133195253004" u="1"/>
        <n v="185417.57318442222" u="1"/>
        <n v="1058744.9601996311" u="1"/>
        <n v="1421.7472573698619" u="1"/>
        <n v="18125.844568309785" u="1"/>
        <n v="37950.010076005943" u="1"/>
        <n v="88630.46589747633" u="1"/>
        <n v="2043607.0844133631" u="1"/>
        <n v="5296.7883104271286" u="1"/>
        <n v="35190.91491677751" u="1"/>
        <n v="49439.704228175353" u="1"/>
        <n v="286579.86364074174" u="1"/>
        <n v="16914.070174294175" u="1"/>
        <n v="18696.995550588836" u="1"/>
        <n v="37917.365330074746" u="1"/>
        <n v="246973.62236682561" u="1"/>
        <n v="738872.59843031934" u="1"/>
        <n v="9137.5161139650118" u="1"/>
        <n v="18827.176742593947" u="1"/>
        <n v="15932.954090660845" u="1"/>
        <n v="22129.479004497054" u="1"/>
        <n v="27043.058756001683" u="1"/>
        <n v="234103.13488752767" u="1"/>
        <n v="274909.91135737806" u="1"/>
        <n v="333627.60820897104" u="1"/>
        <n v="9868.3380953846099" u="1"/>
        <n v="12608.127944989234" u="1"/>
        <n v="14746.40243471666" u="1"/>
        <n v="18563.650627018986" u="1"/>
        <n v="80337.22955409062" u="1"/>
        <n v="154706.2246933048" u="1"/>
        <n v="19942.158782005099" u="1"/>
        <n v="45958.268571082794" u="1"/>
        <n v="47552.990736077343" u="1"/>
        <n v="47754.020091380386" u="1"/>
        <n v="49926.891655696556" u="1"/>
        <n v="74135.826611741504" u="1"/>
        <n v="108058.10080218677" u="1"/>
        <n v="169358.22942518329" u="1"/>
        <n v="291622.56417889975" u="1"/>
        <n v="44026.861502090651" u="1"/>
        <n v="5059.90074523985" u="1"/>
        <n v="26144.180784695021" u="1"/>
        <n v="30758.556850977515" u="1"/>
        <n v="65084.054129658412" u="1"/>
        <n v="10370.275255369697" u="1"/>
        <n v="13525.819049797534" u="1"/>
        <n v="14318.346555811177" u="1"/>
        <n v="9250.3001788375022" u="1"/>
        <n v="64779.902637456456" u="1"/>
        <n v="177808.03217303994" u="1"/>
        <n v="27608.214361699895" u="1"/>
        <n v="71772.664465517388" u="1"/>
        <n v="164411.97038668979" u="1"/>
        <n v="12464.673194277302" u="1"/>
        <n v="15385.417376810979" u="1"/>
        <n v="510789.53464786516" u="1"/>
        <n v="17794.119035550066" u="1"/>
        <n v="43281.546217230352" u="1"/>
        <n v="90828.540627292372" u="1"/>
        <n v="326935.67398683284" u="1"/>
        <n v="78302.653841587598" u="1"/>
        <n v="82845.40861899544" u="1"/>
        <n v="103974.19187903509" u="1"/>
        <n v="209862.42757335783" u="1"/>
        <n v="228635.52934765728" u="1"/>
        <n v="258365.87218225474" u="1"/>
        <n v="11019.198429739907" u="1"/>
        <n v="37743.94968917995" u="1"/>
        <n v="114333.6554946239" u="1"/>
        <n v="11719.072629965529" u="1"/>
        <n v="18535.055732768644" u="1"/>
        <n v="408096.6879743216" u="1"/>
        <n v="13157.598089557587" u="1"/>
        <n v="54966.601370748191" u="1"/>
        <n v="114149.45939203174" u="1"/>
        <n v="2730.8071601077936" u="1"/>
        <n v="21831.126140112377" u="1"/>
        <n v="24773.5566556372" u="1"/>
        <n v="42887.224579027483" u="1"/>
        <n v="55020.339430603533" u="1"/>
        <n v="60995.136426710545" u="1"/>
        <n v="68037.796042408954" u="1"/>
        <n v="23705.770866331819" u="1"/>
        <n v="34038.583739139081" u="1"/>
        <n v="51272.719012451991" u="1"/>
        <n v="98460.858365264619" u="1"/>
        <n v="57466.235093405434" u="1"/>
        <n v="176857.86256845787" u="1"/>
        <n v="536187.44607779675" u="1"/>
        <n v="34937.296968333569" u="1"/>
        <n v="176857.8625684579" u="1"/>
        <n v="15857.352373570968" u="1"/>
        <n v="128087.63426920319" u="1"/>
        <n v="11658.03278031324" u="1"/>
        <n v="134326.44895868696" u="1"/>
        <n v="23007.655183030831" u="1"/>
        <n v="46733.038412893191" u="1"/>
        <n v="96522.512253147113" u="1"/>
        <n v="130016.16537264556" u="1"/>
        <n v="157330.99499369552" u="1"/>
        <n v="178727.43678790671" u="1"/>
        <n v="257763.46318553772" u="1"/>
        <n v="2633.4506775364734" u="1"/>
        <n v="41041.969885214938" u="1"/>
        <n v="57560.746851962009" u="1"/>
        <n v="30554.689291967617" u="1"/>
        <n v="43111.465046273697" u="1"/>
        <n v="6397.4701761234146" u="1"/>
        <n v="16653.853750864084" u="1"/>
        <n v="17684.335085616294" u="1"/>
        <n v="44467.341896684076" u="1"/>
        <n v="228991.68026070407" u="1"/>
        <n v="4141.1790382145" u="1"/>
        <n v="4313.7281648067701" u="1"/>
        <n v="21545.427393646136" u="1"/>
        <n v="29536.793253564167" u="1"/>
        <n v="52555.102278687817" u="1"/>
        <n v="6193.063964322082" u="1"/>
        <n v="57387.789857530006" u="1"/>
        <n v="89813.368518567921" u="1"/>
        <n v="96444.09138517706" u="1"/>
        <n v="29055.029879474114" u="1"/>
        <n v="36289.73656056945" u="1"/>
        <n v="44031.443432209511" u="1"/>
        <n v="83938.159835936051" u="1"/>
        <n v="272324.10453661613" u="1"/>
        <n v="23616.027806886501" u="1"/>
        <n v="51499.314750547761" u="1"/>
        <n v="100148.00220919853" u="1"/>
        <n v="706510.19981389516" u="1"/>
        <n v="9747.4597718355362" u="1"/>
        <n v="18173.040404080108" u="1"/>
        <n v="55586.077301936006" u="1"/>
        <n v="62014.729867581089" u="1"/>
        <n v="106382.89057998342" u="1"/>
        <n v="196790.90308075995" u="1"/>
        <n v="18020.397992712773" u="1"/>
        <n v="56067.567220606797" u="1"/>
        <n v="96494.244088539286" u="1"/>
        <n v="179701.18533567575" u="1"/>
        <n v="3559474.7078708839" u="1"/>
        <n v="41496.312312763701" u="1"/>
        <n v="120224.84481969046" u="1"/>
        <n v="122982.59010157466" u="1"/>
        <n v="9319.3862147067284" u="1"/>
        <n v="29266.633386611917" u="1"/>
        <n v="49498.605998154177" u="1"/>
        <n v="21177.332593897681" u="1"/>
        <n v="26822.163967511129" u="1"/>
        <n v="82743.386971678075" u="1"/>
        <n v="107303.03771334287" u="1"/>
        <n v="136691.7943071303" u="1"/>
        <n v="145337.68687381415" u="1"/>
        <n v="2047.9401764382469" u="1"/>
        <n v="4552.9775692736639" u="1"/>
        <n v="15228.312673272509" u="1"/>
        <n v="103141.11588236761" u="1"/>
        <n v="305210.29791868804" u="1"/>
        <n v="1651576.6627381037" u="1"/>
        <n v="23323.028070844168" u="1"/>
        <n v="27396.332875725613" u="1"/>
        <n v="187396.94821501616" u="1"/>
        <n v="296232.6357445388" u="1"/>
        <n v="632321.38101923303" u="1"/>
        <n v="1430874.9365456172" u="1"/>
        <n v="3445.4793518262741" u="1"/>
        <n v="14635.857988360465" u="1"/>
        <n v="73466.500465520963" u="1"/>
        <n v="210312.8620282968" u="1"/>
        <n v="8763.3043771755965" u="1"/>
        <n v="11157.539295874018" u="1"/>
        <n v="19098.852760623326" u="1"/>
        <n v="58337.933451520767" u="1"/>
        <n v="221780.8255855155" u="1"/>
        <n v="11140098.309617076" u="1"/>
        <n v="4636.3552713102054" u="1"/>
        <n v="13110.210842540648" u="1"/>
        <n v="41863.688927948846" u="1"/>
        <n v="73372.818978784519" u="1"/>
        <n v="84075.379617656421" u="1"/>
        <n v="557549.93479655904" u="1"/>
        <n v="10148.682145982226" u="1"/>
        <n v="13480.881283365085" u="1"/>
        <n v="15162.542278286879" u="1"/>
        <n v="18941.274093792603" u="1"/>
        <n v="33839.462740854935" u="1"/>
        <n v="43256.94634077228" u="1"/>
        <n v="137973.0148181968" u="1"/>
        <n v="34496.053491420702" u="1"/>
        <n v="1198453.23041195" u="1"/>
        <n v="939.81767325925557" u="1"/>
        <n v="13275.575634965604" u="1"/>
        <n v="30444.344168928958" u="1"/>
        <n v="74752.406294297587" u="1"/>
        <n v="214114.51558819663" u="1"/>
        <n v="19200.152363082398" u="1"/>
        <n v="19972.486625908954" u="1"/>
        <n v="21912.952327957399" u="1"/>
        <n v="23283.772717684555" u="1"/>
        <n v="38564.205029662538" u="1"/>
        <n v="43997.161375528871" u="1"/>
        <n v="60653.830717369456" u="1"/>
        <n v="64729.946791993309" u="1"/>
        <n v="205663.59560989999" u="1"/>
        <n v="262144.27000585006" u="1"/>
        <n v="26315.600463179238" u="1"/>
        <n v="48467.437227885988" u="1"/>
        <n v="379545.53151377704" u="1"/>
        <n v="830751.66015449236" u="1"/>
        <n v="12515.693208919172" u="1"/>
        <n v="94353.088263869169" u="1"/>
        <n v="170649.66076629827" u="1"/>
        <n v="6461.4912051562214" u="1"/>
        <n v="8683.7694773528674" u="1"/>
        <n v="19683.164033173674" u="1"/>
        <n v="24170.896906929593" u="1"/>
        <n v="58282.460308642105" u="1"/>
        <n v="68798.4568810286" u="1"/>
        <n v="316827.90855667274" u="1"/>
        <n v="404143.30583656608" u="1"/>
        <n v="33259.455231219705" u="1"/>
        <n v="43883.129664829459" u="1"/>
        <n v="201206.37420647457" u="1"/>
        <n v="18157.212638929734" u="1"/>
        <n v="44874.45621565538" u="1"/>
        <n v="269262.67036728736" u="1"/>
        <n v="5367.8460881292467" u="1"/>
        <n v="63075.69208045218" u="1"/>
        <n v="85219.044260048482" u="1"/>
        <n v="144178.46382871229" u="1"/>
        <n v="171213.28020381878" u="1"/>
        <n v="166.78918083173397" u="1"/>
        <n v="14928.297936689873" u="1"/>
        <n v="46525.548172498879" u="1"/>
        <n v="51649.373909845977" u="1"/>
        <n v="158561.02572794564" u="1"/>
        <n v="16057.990742740505" u="1"/>
        <n v="16705.236577220243" u="1"/>
        <n v="502229.09630067484" u="1"/>
        <n v="1301.6628053181869" u="1"/>
        <n v="7235.0852521498045" u="1"/>
        <n v="14138.894646807757" u="1"/>
        <n v="16367.945374805431" u="1"/>
        <n v="18950.180526545901" u="1"/>
        <n v="27235.818958394604" u="1"/>
        <n v="130089.00323603612" u="1"/>
        <n v="4679.0595349677424" u="1"/>
        <n v="5207.2000478552218" u="1"/>
        <n v="18955.790548078443" u="1"/>
        <n v="24736.503041453361" u="1"/>
        <n v="24765.339674490104" u="1"/>
        <n v="64846.920958057432" u="1"/>
        <n v="107452.46345260018" u="1"/>
        <n v="31624.170289766276" u="1"/>
        <n v="44667.730232742833" u="1"/>
        <n v="44737.256168263935" u="1"/>
        <n v="175078.53961790758" u="1"/>
        <n v="139520.01818142735" u="1"/>
        <n v="4793.4036828536828" u="1"/>
        <n v="27285.232368038338" u="1"/>
        <n v="64394.802578372852" u="1"/>
        <n v="106109.80707182865" u="1"/>
        <n v="337608.92430298729" u="1"/>
        <n v="5634.3971226401754" u="1"/>
        <n v="129598.33045211488" u="1"/>
        <n v="334860.16618026822" u="1"/>
        <n v="90303.796072916462" u="1"/>
        <n v="411943.49194960494" u="1"/>
        <n v="22254.199296271931" u="1"/>
        <n v="31086.796627213396" u="1"/>
        <n v="92566.938707857073" u="1"/>
        <n v="1013967.1224103206" u="1"/>
        <n v="4015.6887741647292" u="1"/>
        <n v="43509.993255703717" u="1"/>
        <n v="51111.423103806046" u="1"/>
        <n v="110830.93957404424" u="1"/>
        <n v="112306.9154900651" u="1"/>
        <n v="140128.8428315174" u="1"/>
        <n v="13526.033144233346" u="1"/>
        <n v="20001.127366736928" u="1"/>
        <n v="25554.605541056804" u="1"/>
        <n v="31380.303417093262" u="1"/>
        <n v="25041.271908620169" u="1"/>
        <n v="57995.984960512236" u="1"/>
        <n v="71668.636914028408" u="1"/>
        <n v="86948.939893134404" u="1"/>
        <n v="1730.2163481770833" u="1"/>
        <n v="2975.0324972929275" u="1"/>
        <n v="15663.772422860611" u="1"/>
        <n v="17225.557664383548" u="1"/>
        <n v="22775.545887502085" u="1"/>
        <n v="121427.52001250605" u="1"/>
        <n v="63796.379794313565" u="1"/>
        <n v="100708.83203867043" u="1"/>
        <n v="503825.55003739177" u="1"/>
        <n v="88465.941065362204" u="1"/>
        <n v="183762.09323268628" u="1"/>
        <n v="189389.26629844203" u="1"/>
        <n v="407023.58918216213" u="1"/>
        <n v="6096.2188736399621" u="1"/>
        <n v="290129.93995259021" u="1"/>
        <n v="402841.00329996046" u="1"/>
        <n v="629431.69891350553" u="1"/>
        <n v="14299.541789900239" u="1"/>
        <n v="945.10432921803817" u="1"/>
        <n v="5423.595022159112" u="1"/>
        <n v="17823.748022347165" u="1"/>
        <n v="41065.866150442409" u="1"/>
        <n v="118822.00743500264" u="1"/>
        <n v="631377.56694459834" u="1"/>
        <n v="128.16046316337997" u="1"/>
        <n v="20296.214461897922" u="1"/>
        <n v="46704.643120206973" u="1"/>
        <n v="74772.905418276961" u="1"/>
        <n v="128340.96984333695" u="1"/>
        <n v="171624.22307399448" u="1"/>
        <n v="443266.08797748596" u="1"/>
        <n v="11103.924011559577" u="1"/>
        <n v="36532.503879121439" u="1"/>
        <n v="51295.492229342977" u="1"/>
        <n v="63455.921053714192" u="1"/>
        <n v="31385.018927415374" u="1"/>
        <n v="67047.695297598868" u="1"/>
        <n v="81189.782637260912" u="1"/>
        <n v="144139.55155268157" u="1"/>
        <n v="612244.91490037774" u="1"/>
        <n v="6771.0476834942983" u="1"/>
        <n v="32958.660697870182" u="1"/>
        <n v="226136.91908196287" u="1"/>
        <n v="268329.02866536798" u="1"/>
        <n v="2169.4380088636444" u="1"/>
        <n v="47201.182412204675" u="1"/>
        <n v="79215.116455297903" u="1"/>
        <n v="6628.3752060865336" u="1"/>
        <n v="9426.4947913362194" u="1"/>
        <n v="17476.293303084873" u="1"/>
        <n v="53161.97609421079" u="1"/>
        <n v="92130.390332114883" u="1"/>
        <n v="106127.24464100572" u="1"/>
        <n v="4333.8425186426866" u="1"/>
        <n v="13865.507833364527" u="1"/>
        <n v="25268.857956537438" u="1"/>
        <n v="9426.494791336223" u="1"/>
        <n v="21271.365854756918" u="1"/>
        <n v="75087.19742885587" u="1"/>
        <n v="523758.27015896956" u="1"/>
        <n v="850.04547985761656" u="1"/>
        <n v="19418.767514203602" u="1"/>
        <n v="22309.574858973236" u="1"/>
        <n v="26328.261161998489" u="1"/>
        <n v="53988.836069088327" u="1"/>
        <n v="248857.554424267" u="1"/>
        <n v="325564.71902657911" u="1"/>
        <n v="2873.0036933961246" u="1"/>
        <n v="7626.9787187843294" u="1"/>
        <n v="16864.442707351263" u="1"/>
        <n v="65065.612769127576" u="1"/>
        <n v="445974.09638703521" u="1"/>
        <n v="493012.5465230479" u="1"/>
        <n v="16937.862119239078" u="1"/>
        <n v="21448.376510313203" u="1"/>
        <n v="26328.261161998496" u="1"/>
        <n v="37437.357932654166" u="1"/>
        <n v="62984.515585505527" u="1"/>
        <n v="12179.999437586092" u="1"/>
        <n v="40169.393381340145" u="1"/>
        <n v="60649.680092675779" u="1"/>
        <n v="91326.522922026867" u="1"/>
        <n v="102902.53246910099" u="1"/>
        <n v="4066.0048868340268" u="1"/>
        <n v="4192.0484999777836" u="1"/>
        <n v="6697.3692952520787" u="1"/>
        <n v="21945.997148856586" u="1"/>
        <n v="42207.112997489632" u="1"/>
        <n v="53422.815416402234" u="1"/>
        <n v="147078.57557496757" u="1"/>
        <n v="654418.5401955843" u="1"/>
        <n v="778.7513428373004" u="1"/>
        <n v="3602.5731778680656" u="1"/>
        <n v="6494.4187264540715" u="1"/>
        <n v="8545.1012844871457" u="1"/>
        <n v="28834.416441262023" u="1"/>
        <n v="46329.573943348398" u="1"/>
        <n v="75052.436525358076" u="1"/>
        <n v="48119.471432739272" u="1"/>
        <n v="235173.08163403199" u="1"/>
        <n v="599963.64872909023" u="1"/>
        <n v="10020.435049980837" u="1"/>
        <n v="68106.766674538841" u="1"/>
        <n v="1538798.8579733686" u="1"/>
        <n v="9955.5223827898262" u="1"/>
        <n v="12635.26311637403" u="1"/>
        <n v="35879.016697285988" u="1"/>
        <n v="38592.667462203906" u="1"/>
        <n v="82415.462653737268" u="1"/>
        <n v="87383.254938928527" u="1"/>
        <n v="365.15762551433068" u="1"/>
        <n v="7994.7587143140827" u="1"/>
        <n v="34056.455496046576" u="1"/>
        <n v="61927.477792485784" u="1"/>
        <n v="242559.38148369719" u="1"/>
        <n v="661961.86293788848" u="1"/>
        <n v="29352.527455846081" u="1"/>
        <n v="37664.574624127388" u="1"/>
        <n v="51699.57598434086" u="1"/>
        <n v="178710.11481909078" u="1"/>
        <n v="980531.33013453044" u="1"/>
        <n v="15821.921033224498" u="1"/>
        <n v="394466.81662175315" u="1"/>
        <n v="17443.613242098778" u="1"/>
        <n v="31679.042393406147" u="1"/>
        <n v="47725.604669749984" u="1"/>
        <n v="279821.80445783067" u="1"/>
        <n v="9178.5088131977154" u="1"/>
        <n v="28710.046993710494" u="1"/>
        <n v="29047.33013138458" u="1"/>
        <n v="791400.94942969992" u="1"/>
        <n v="56451.114330328543" u="1"/>
        <n v="63115.690233855683" u="1"/>
        <n v="165559.33344800223" u="1"/>
        <n v="2279.3535045127446" u="1"/>
        <n v="8920.6773160789653" u="1"/>
        <n v="21969.139900992352" u="1"/>
        <n v="34477.842090336366" u="1"/>
        <n v="85106.807514023123" u="1"/>
        <n v="163614.77474092186" u="1"/>
        <n v="243798.71932565368" u="1"/>
        <n v="1004741.2104421614" u="1"/>
        <n v="2369898.5887903562" u="1"/>
        <n v="9815.6911140070551" u="1"/>
        <n v="14876.842261510796" u="1"/>
        <n v="57549.257826163659" u="1"/>
        <n v="63429.383533538326" u="1"/>
        <n v="285593.1852557066" u="1"/>
        <n v="588143.38796862296" u="1"/>
        <n v="644503.10776837857" u="1"/>
        <n v="61347.0062355884" u="1"/>
        <n v="179452.92040089925" u="1"/>
        <n v="191494.54718986974" u="1"/>
        <n v="269265.73818900686" u="1"/>
        <n v="1314227.9716237755" u="1"/>
        <n v="5159.3811835846036" u="1"/>
        <n v="49109.551939155179" u="1"/>
        <n v="80090.456135609173" u="1"/>
        <n v="10393.883525955282" u="1"/>
        <n v="10564.754974081607" u="1"/>
        <n v="107676.79155371636" u="1"/>
        <n v="272913.25573525205" u="1"/>
        <n v="1113796.2406064498" u="1"/>
        <n v="7388.933988983973" u="1"/>
        <n v="24025.913224828302" u="1"/>
        <n v="332738.4683342175" u="1"/>
        <n v="92062.117531433847" u="1"/>
        <n v="41088.703619453874" u="1"/>
        <n v="286002.65365832648" u="1"/>
        <n v="60414.739890410179" u="1"/>
        <n v="156065.93291929507" u="1"/>
        <n v="2506.6314442394114" u="1"/>
        <n v="23151.016253206431" u="1"/>
        <n v="26355.662399003148" u="1"/>
        <n v="134378.30797148269" u="1"/>
        <n v="180577.42134504227" u="1"/>
        <n v="10467.92876009151" u="1"/>
        <n v="11891.174417707203" u="1"/>
        <n v="19019.957574059878" u="1"/>
        <n v="77059.571478767932" u="1"/>
        <n v="116993.97683793734" u="1"/>
        <n v="23151.016253206439" u="1"/>
        <n v="103581.03411683789" u="1"/>
        <n v="386880.29452252673" u="1"/>
        <n v="14711.101432966545" u="1"/>
        <n v="29567.485466767786" u="1"/>
        <n v="62532.133025941992" u="1"/>
        <n v="93550.288705828731" u="1"/>
        <n v="40331.685563585765" u="1"/>
        <n v="89967.510983855202" u="1"/>
        <n v="105815.47565662955" u="1"/>
        <n v="121086.74227527887" u="1"/>
        <n v="386594.55441019521" u="1"/>
        <n v="8599.7047754592404" u="1"/>
        <n v="14031.776019905299" u="1"/>
        <n v="36666.294873825391" u="1"/>
        <n v="59080.047953580703" u="1"/>
        <n v="74491.733410881861" u="1"/>
        <n v="96396.892796858738" u="1"/>
        <n v="21351.186296383377" u="1"/>
        <n v="927426.53431461251" u="1"/>
        <n v="977355.35585609265" u="1"/>
        <n v="3330.774084480568" u="1"/>
        <n v="6919.2045390340663" u="1"/>
        <n v="7930.4137779035264" u="1"/>
        <n v="16294.195089683026" u="1"/>
        <n v="67245.466854933402" u="1"/>
        <n v="81847.933021061224" u="1"/>
        <n v="33962.989286592114" u="1"/>
        <n v="99059.130506328365" u="1"/>
        <n v="1728914.7373849063" u="1"/>
        <n v="11929.494040151278" u="1"/>
        <n v="27259.135543505923" u="1"/>
        <n v="168063.06049565185" u="1"/>
        <n v="18028.241117471734" u="1"/>
        <n v="31989.707358405292" u="1"/>
        <n v="150831.90123329667" u="1"/>
        <n v="342802.90775380254" u="1"/>
        <n v="13354.183028777255" u="1"/>
        <n v="34358.602722078067" u="1"/>
        <n v="151575.05876677131" u="1"/>
        <n v="13839.702356502759" u="1"/>
        <n v="29267.159911074163" u="1"/>
        <n v="30831.075190382406" u="1"/>
        <n v="80885.629450775523" u="1"/>
        <n v="32911.315218067801" u="1"/>
        <n v="51626.985338630315" u="1"/>
        <n v="158309.87477695517" u="1"/>
        <n v="207686.59866518609" u="1"/>
        <n v="224166.68180282775" u="1"/>
        <n v="22411.442889299524" u="1"/>
        <n v="160645.64383462357" u="1"/>
        <n v="379368.84211480274" u="1"/>
        <n v="41567.611285406441" u="1"/>
        <n v="177563.77505243727" u="1"/>
        <n v="365.61095907854479" u="1"/>
        <n v="16521.023275486932" u="1"/>
        <n v="41608.063996999022" u="1"/>
        <n v="5857.8676927521064" u="1"/>
        <n v="373897.19341062166" u="1"/>
        <n v="1941.725368163249" u="1"/>
        <n v="3140.9822999942903" u="1"/>
        <n v="6451.9931503936396" u="1"/>
        <n v="24207.48807817516" u="1"/>
        <n v="155398.89125100136" u="1"/>
        <n v="95629.955071473436" u="1"/>
        <n v="65700.40235277747" u="1"/>
        <n v="90184.178197655419" u="1"/>
        <n v="273685.7836645139" u="1"/>
        <n v="33599.326812443971" u="1"/>
        <n v="101939.25147256651" u="1"/>
        <n v="22246.518110710505" u="1"/>
        <n v="89004.439972286636" u="1"/>
        <n v="151141.56241094309" u="1"/>
        <n v="344774.75001323334" u="1"/>
        <n v="59070.064002443185" u="1"/>
        <n v="5745.1930482916559" u="1"/>
        <n v="62895.376835716103" u="1"/>
        <n v="27096.356803115781" u="1"/>
        <n v="45890.727218852233" u="1"/>
        <n v="29059.065852656095" u="1"/>
        <n v="23261.696060419461" u="1"/>
        <n v="140574.72225134945" u="1"/>
        <n v="252318.24409404042" u="1"/>
        <n v="406234.85504151462" u="1"/>
        <n v="3431.9279396017737" u="1"/>
        <n v="8796.9852784983577" u="1"/>
        <n v="12294.928342233228" u="1"/>
        <n v="79587.920563732914" u="1"/>
        <n v="178492.58493433142" u="1"/>
        <n v="632844.80588309735" u="1"/>
        <n v="34895.455804142039" u="1"/>
        <n v="35224.28896348743" u="1"/>
        <n v="52799.711608239224" u="1"/>
        <n v="219456.91532233823" u="1"/>
        <n v="403075.95360607567" u="1"/>
        <n v="14217.609867717149" u="1"/>
        <n v="37814.356637576631" u="1"/>
        <n v="54946.314666461971" u="1"/>
        <n v="55346.155844468842" u="1"/>
        <n v="67943.218703369435" u="1"/>
        <n v="111547.5057485037" u="1"/>
        <n v="152854.29412831977" u="1"/>
        <n v="9886.9505610119031" u="1"/>
        <n v="40981.313436991863" u="1"/>
        <n v="149265.0945932763" u="1"/>
        <n v="17638.041013037309" u="1"/>
        <n v="53519.799196974833" u="1"/>
        <n v="99082.863166507144" u="1"/>
        <n v="6212.7185177569672" u="1"/>
        <n v="6762.7771569411516" u="1"/>
        <n v="7380.3146601831586" u="1"/>
        <n v="32376.405093287955" u="1"/>
        <n v="85761.80362562809" u="1"/>
        <n v="150187.92429856985" u="1"/>
        <n v="257264.18996544342" u="1"/>
        <n v="15629.655473784938" u="1"/>
        <n v="37401.643866940445" u="1"/>
        <n v="115032.28400906555" u="1"/>
        <n v="173378.15067354497" u="1"/>
        <n v="204151.68977346655" u="1"/>
        <n v="447.87342487121737" u="1"/>
        <n v="9587.7075122885853" u="1"/>
        <n v="18207.392768975591" u="1"/>
        <n v="617702.22963123373" u="1"/>
        <n v="1844008.7907185678" u="1"/>
        <n v="3112.0025226647322" u="1"/>
        <n v="14012.258532795579" u="1"/>
        <n v="17760.783779306912" u="1"/>
        <n v="749014.66550676862" u="1"/>
        <n v="6812.7552551198396" u="1"/>
        <n v="14993.2733617127" u="1"/>
        <n v="67499.680531985505" u="1"/>
        <n v="2308.3746070226489" u="1"/>
        <n v="9895.2494194361316" u="1"/>
        <n v="18178.474229637632" u="1"/>
        <n v="21712.045288119414" u="1"/>
        <n v="22601.921104917914" u="1"/>
        <n v="87256.086368495569" u="1"/>
        <n v="104428.9112456607" u="1"/>
        <n v="131360.50415233488" u="1"/>
        <n v="87226.601699961815" u="1"/>
        <n v="183302.05119416886" u="1"/>
        <n v="9765.14775641284" u="1"/>
        <n v="51144.086575560672" u="1"/>
        <n v="96585.497723785025" u="1"/>
        <n v="175.37747590778309" u="1"/>
        <n v="22496.086538775686" u="1"/>
        <n v="32133.066906426804" u="1"/>
        <n v="1039515.2000216703" u="1"/>
        <n v="23269.542140280311" u="1"/>
        <n v="46455.608398281242" u="1"/>
        <n v="149359.47055004557" u="1"/>
        <n v="1142269.9427122588" u="1"/>
        <n v="2394.9012577301132" u="1"/>
        <n v="3915.4492251390652" u="1"/>
        <n v="6595.894002899774" u="1"/>
        <n v="96821.471436229447" u="1"/>
        <n v="46656.830319148678" u="1"/>
        <n v="100890.00736307136" u="1"/>
        <n v="204821.62834210257" u="1"/>
        <n v="536655.04337157507" u="1"/>
        <n v="5043.3435861424059" u="1"/>
        <n v="11840.189513505789" u="1"/>
        <n v="41997.532819464803" u="1"/>
        <n v="227181.67833040672" u="1"/>
        <n v="277834.19297205866" u="1"/>
        <n v="358543.21422855265" u="1"/>
        <n v="399206.20513218432" u="1"/>
        <n v="13167.283470464065" u="1"/>
        <n v="13413.867302973404" u="1"/>
        <n v="19753.197340230225" u="1"/>
        <n v="20495.367198951953" u="1"/>
        <n v="169569.51964340359" u="1"/>
        <n v="1451.735124611766" u="1"/>
        <n v="35849.804505146793" u="1"/>
        <n v="35988.548104539492" u="1"/>
        <n v="41526.33635900142" u="1"/>
        <n v="4551.1195924761168" u="1"/>
        <n v="14037.635986962021" u="1"/>
        <n v="32756.507116403918" u="1"/>
        <n v="76665.698168521718" u="1"/>
        <n v="195380.09584581613" u="1"/>
        <n v="270539.7145878732" u="1"/>
        <n v="241.26089326071806" u="1"/>
        <n v="1520.9415897667463" u="1"/>
        <n v="4524.2456353436046" u="1"/>
        <n v="11321.655023839641" u="1"/>
        <n v="13411.447043288636" u="1"/>
        <n v="19501.836767627199" u="1"/>
        <n v="36032.752990894682" u="1"/>
        <n v="59502.812847049594" u="1"/>
        <n v="1032325.8581167277" u="1"/>
        <n v="1425.8827404063245" u="1"/>
        <n v="24828.720112814437" u="1"/>
        <n v="44730.98868869603" u="1"/>
        <n v="48235.702937619964" u="1"/>
        <n v="49295.525020058274" u="1"/>
        <n v="5210.7346207216324" u="1"/>
        <n v="10282.295348011576" u="1"/>
        <n v="19353.669175494477" u="1"/>
        <n v="50755.646953633594" u="1"/>
        <n v="52127.38183224434" u="1"/>
        <n v="630535.86832071329" u="1"/>
        <n v="800867.91321679566" u="1"/>
        <n v="7016.8624408552459" u="1"/>
        <n v="45926.145783453874" u="1"/>
        <n v="91562.382795033118" u="1"/>
        <n v="132752.33401008733" u="1"/>
        <n v="8306.3487738368822" u="1"/>
        <n v="80681.411378192832" u="1"/>
        <n v="5875.3618589014013" u="1"/>
        <n v="6473.0261474188464" u="1"/>
        <n v="7327.6162651925406" u="1"/>
        <n v="10694.525111943187" u="1"/>
        <n v="36169.116571643164" u="1"/>
        <n v="43103.421790560926" u="1"/>
        <n v="66868.775135021962" u="1"/>
        <n v="45251.800825749786" u="1"/>
        <n v="61339.548580818817" u="1"/>
        <n v="67525.955458849596" u="1"/>
        <n v="67773.408236567979" u="1"/>
        <n v="122609.26909670947" u="1"/>
        <n v="142178.86921384407" u="1"/>
        <n v="456869.16951892147" u="1"/>
        <n v="949509.25010711013" u="1"/>
        <n v="33693.139560234762" u="1"/>
        <n v="69560.100199180044" u="1"/>
        <n v="75498.460263694767" u="1"/>
        <n v="85613.147059405499" u="1"/>
        <n v="120744.18506456555" u="1"/>
        <n v="449220.51515562879" u="1"/>
        <n v="529075.79312398739" u="1"/>
        <n v="760853.23737456952" u="1"/>
        <n v="15128.294050906583" u="1"/>
        <n v="51081.410259723067" u="1"/>
        <n v="207833.47242935008" u="1"/>
        <n v="3504713.5671030222" u="1"/>
        <n v="21912.447597519251" u="1"/>
        <n v="35149.987281775109" u="1"/>
        <n v="97903.094007018284" u="1"/>
        <n v="118296.53729828345" u="1"/>
        <n v="62961.529472625429" u="1"/>
        <n v="102071.71679258469" u="1"/>
        <n v="102878.80426132356" u="1"/>
        <n v="107598.8125045107" u="1"/>
        <n v="9466.598922825011" u="1"/>
        <n v="16089.442795101102" u="1"/>
        <n v="72537.647287896631" u="1"/>
        <n v="131592.15092060892" u="1"/>
        <n v="31024.761434920962" u="1"/>
        <n v="36941.674441749768" u="1"/>
        <n v="99451.918499534018" u="1"/>
        <n v="15199.773335388008" u="1"/>
        <n v="61315.346841626524" u="1"/>
        <n v="137.15417987659958" u="1"/>
        <n v="24634.015318069323" u="1"/>
        <n v="33210.212820456261" u="1"/>
        <n v="44890.886925586987" u="1"/>
        <n v="71956.984063011332" u="1"/>
        <n v="124335.91343998976" u="1"/>
        <n v="187596.09105769405" u="1"/>
        <n v="580653.88688555616" u="1"/>
        <n v="1897.5208776176473" u="1"/>
        <n v="31854.443186123965" u="1"/>
        <n v="35982.884510559306" u="1"/>
        <n v="52443.397739075459" u="1"/>
        <n v="122452.03596362629" u="1"/>
        <n v="189237.21344235371" u="1"/>
        <n v="50663.903923054902" u="1"/>
        <n v="54900.893627763173" u="1"/>
        <n v="163271.45980890765" u="1"/>
        <n v="182256.55784798108" u="1"/>
        <n v="296219.58840151387" u="1"/>
        <n v="391409.18975056097" u="1"/>
        <n v="30930.10243779423" u="1"/>
        <n v="61252.410907821941" u="1"/>
        <n v="197994.20372535687" u="1"/>
        <n v="202634.5566313836" u="1"/>
        <n v="296135.80705079838" u="1"/>
        <n v="102520.75585089921" u="1"/>
        <n v="1913.0528552787041" u="1"/>
        <n v="4437.1786775039236" u="1"/>
        <n v="25482.293456518517" u="1"/>
        <n v="34533.911161502918" u="1"/>
        <n v="359920.31608692236" u="1"/>
        <n v="1754.9326035770146" u="1"/>
        <n v="19298.155017840661" u="1"/>
        <n v="23855.189032052811" u="1"/>
        <n v="69435.811779792202" u="1"/>
        <n v="1680364.7979709727" u="1"/>
        <n v="38360.508984237487" u="1"/>
        <n v="41620.103496976983" u="1"/>
        <n v="68939.034430744476" u="1"/>
        <n v="186352.57717480132" u="1"/>
        <n v="25591.765886724232" u="1"/>
        <n v="102116.61465261658" u="1"/>
        <n v="115301.56175476054" u="1"/>
        <n v="166828.82983745163" u="1"/>
        <n v="263984.87851991755" u="1"/>
        <n v="14551.317125411417" u="1"/>
        <n v="53894.242233258898" u="1"/>
        <n v="164534.19083493311" u="1"/>
        <n v="14866.867729361444" u="1"/>
        <n v="45592.077441627829" u="1"/>
        <n v="53894.242233258905" u="1"/>
        <n v="96419.519534241044" u="1"/>
        <n v="10727.289665990555" u="1"/>
        <n v="207626.19744254192" u="1"/>
        <n v="16830.820934723513" u="1"/>
        <n v="36724.83557152759" u="1"/>
        <n v="37803.891653486869" u="1"/>
        <n v="649.44824239912214" u="1"/>
        <n v="41798.556806759225" u="1"/>
        <n v="45011.938476543823" u="1"/>
        <n v="10432.275605541274" u="1"/>
        <n v="20901.992855899" u="1"/>
        <n v="30178.4822464309" u="1"/>
        <n v="279290.42452942912" u="1"/>
        <n v="30087.37722150734" u="1"/>
        <n v="52852.432768549013" u="1"/>
        <n v="70284.410602249176" u="1"/>
        <n v="116931.54532442664" u="1"/>
        <n v="123016.46162116117" u="1"/>
        <n v="492442.79477444239" u="1"/>
        <n v="29617.283999791878" u="1"/>
        <n v="133786.10283635458" u="1"/>
        <n v="134705.90459289539" u="1"/>
        <n v="814.28411372283017" u="1"/>
        <n v="61175.910690699588" u="1"/>
        <n v="66430.172310256108" u="1"/>
        <n v="113779.1693305948" u="1"/>
        <n v="144371.57788695063" u="1"/>
        <n v="172594.75806159235" u="1"/>
        <n v="323690.19825716526" u="1"/>
        <n v="454264.33650572872" u="1"/>
        <n v="1515483.7237616512" u="1"/>
        <n v="47469.45811200657" u="1"/>
        <n v="99292.285653434607" u="1"/>
        <n v="101722.41132574536" u="1"/>
        <n v="113388.16544079894" u="1"/>
        <n v="24963.972019474568" u="1"/>
        <n v="27456.284201108698" u="1"/>
        <n v="116103.28191437319" u="1"/>
        <n v="468262.19490329537" u="1"/>
        <n v="695925.3158175404" u="1"/>
        <n v="48464.112679686332" u="1"/>
        <n v="3502.9525312666883" u="1"/>
        <n v="15735.121622751811" u="1"/>
        <n v="28799.218063094744" u="1"/>
        <n v="53363.642313744567" u="1"/>
        <n v="80535.032082325197" u="1"/>
        <n v="109436.98677255632" u="1"/>
        <n v="178894.7620397979" u="1"/>
        <n v="29609.006220985684" u="1"/>
        <n v="30471.111458371932" u="1"/>
        <n v="359848.04532706208" u="1"/>
        <n v="429815.98588419228" u="1"/>
        <n v="1614534.9333714743" u="1"/>
        <n v="21.688084509963492" u="1"/>
        <n v="46.398965531791021" u="1"/>
        <n v="3677.1293146530193" u="1"/>
        <n v="10333.150326188519" u="1"/>
        <n v="14185.475759280649" u="1"/>
        <n v="15523.727592847526" u="1"/>
        <n v="31933.467536134442" u="1"/>
        <n v="37438.999981642657" u="1"/>
        <n v="55102.579408278296" u="1"/>
        <n v="60085.652806953512" u="1"/>
        <n v="113538.09245915244" u="1"/>
        <n v="1020360.2047871383" u="1"/>
        <n v="224.84291783049116" u="1"/>
        <n v="7643.2927447628463" u="1"/>
        <n v="12793.484325249539" u="1"/>
        <n v="34219.594782050321" u="1"/>
        <n v="436549.93512934237" u="1"/>
        <n v="73980.798381637273" u="1"/>
        <n v="874523.40087707294" u="1"/>
        <n v="170.88061755117329" u="1"/>
        <n v="35282.497937216423" u="1"/>
        <n v="2447929.1886462299" u="1"/>
        <n v="3365.9996352223416" u="1"/>
        <n v="19939.920788933741" u="1"/>
        <n v="100770.02655967398" u="1"/>
        <n v="258536.56389236238" u="1"/>
        <n v="54823.287712877696" u="1"/>
        <n v="61639.229446949612" u="1"/>
        <n v="232308.60286783305" u="1"/>
        <n v="378935.23868405231" u="1"/>
        <n v="114521.99448349178" u="1"/>
        <n v="1089022.7327771415" u="1"/>
        <n v="9171.7884844454547" u="1"/>
        <n v="22672.562462838185" u="1"/>
        <n v="27531.651286207249" u="1"/>
        <n v="58466.560044411832" u="1"/>
        <n v="68852.416376612164" u="1"/>
        <n v="11037.300339464593" u="1"/>
        <n v="31941.928510233887" u="1"/>
        <n v="43051.855309345381" u="1"/>
        <n v="82896.108353129981" u="1"/>
        <n v="126996.77348081852" u="1"/>
        <n v="2120.5435626555591" u="1"/>
        <n v="29061.408516631633" u="1"/>
        <n v="233304.83672896092" u="1"/>
        <n v="4345.1015271065253" u="1"/>
        <n v="12305.832800497476" u="1"/>
        <n v="87056.975883070001" u="1"/>
        <n v="19339.279076442406" u="1"/>
        <n v="29167.56126963003" u="1"/>
        <n v="95774.991474514463" u="1"/>
        <n v="243514.54683828534" u="1"/>
        <n v="1172860.5528116757" u="1"/>
        <n v="51809.730585702571" u="1"/>
        <n v="347229.12353431224" u="1"/>
        <n v="14251.022485311678" u="1"/>
        <n v="64651.438660582229" u="1"/>
        <n v="40984.613326684994" u="1"/>
        <n v="208075.986184154" u="1"/>
        <n v="5278.9034866857055" u="1"/>
        <n v="14952.208252957658" u="1"/>
        <n v="41587.604542020061" u="1"/>
        <n v="14400.834128914805" u="1"/>
        <n v="17889.881915118836" u="1"/>
        <n v="68531.267189321021" u="1"/>
        <n v="110810.35266408921" u="1"/>
        <n v="78782.010454940129" u="1"/>
        <n v="1348754.4354273917" u="1"/>
        <n v="41107.982796462173" u="1"/>
        <n v="44124.971018306664" u="1"/>
        <n v="64985.756140965008" u="1"/>
        <n v="11380.253338673519" u="1"/>
        <n v="15076.40653965278" u="1"/>
        <n v="17118.669410076323" u="1"/>
        <n v="97179.578881949768" u="1"/>
        <n v="23705.742185026043" u="1"/>
        <n v="25706.071458630944" u="1"/>
        <n v="131052.71103053454" u="1"/>
        <n v="139026.06469412136" u="1"/>
        <n v="755.2185485746902" u="1"/>
        <n v="10437.953177063369" u="1"/>
        <n v="51746.5623703725" u="1"/>
        <n v="74299.691035202588" u="1"/>
        <n v="77112.014582315023" u="1"/>
        <n v="82048.164962509793" u="1"/>
        <n v="111232.07749142221" u="1"/>
        <n v="20913.613725982625" u="1"/>
        <n v="23652.601613508996" u="1"/>
        <n v="25558.049763673131" u="1"/>
        <n v="64583.96340983265" u="1"/>
        <n v="66264.926788556346" u="1"/>
        <n v="50830.948000699835" u="1"/>
        <n v="90903.430615325051" u="1"/>
        <n v="98325.168744644965" u="1"/>
        <n v="110962.53454543924" u="1"/>
        <n v="25762.959166202534" u="1"/>
        <n v="26485.949657202436" u="1"/>
        <n v="32252.56093206994" u="1"/>
        <n v="57980.836763416875" u="1"/>
        <n v="8935.5903860424696" u="1"/>
        <n v="116252.40004944243" u="1"/>
        <n v="156193.46828089948" u="1"/>
        <n v="720522.76662341063" u="1"/>
        <n v="9983.1656400224583" u="1"/>
        <n v="20062.417929532148" u="1"/>
        <n v="34588.714849918826" u="1"/>
        <n v="35243.281968898889" u="1"/>
        <n v="38489.944649213874" u="1"/>
        <n v="38733.325124802104" u="1"/>
        <n v="45998.586156567355" u="1"/>
        <n v="69549.500357190729" u="1"/>
        <n v="229295.37273331886" u="1"/>
        <n v="277725.71797779581" u="1"/>
        <n v="3258551.0231627431" u="1"/>
        <n v="2188.1815900850902" u="1"/>
        <n v="4244.6408201066624" u="1"/>
        <n v="8856.7862874305392" u="1"/>
        <n v="17584.577566571312" u="1"/>
        <n v="33448.641652637409" u="1"/>
        <n v="49884.459369496231" u="1"/>
        <n v="117844.22569818045" u="1"/>
        <n v="90312.648743365411" u="1"/>
        <n v="201670.52686155474" u="1"/>
        <n v="26552.683544421121" u="1"/>
        <n v="290985.33432820032" u="1"/>
        <n v="47.2912533304793" u="1"/>
        <n v="7939.9405717747941" u="1"/>
        <n v="20451.272103378171" u="1"/>
        <n v="94984.770212089832" u="1"/>
        <n v="218683.646862839" u="1"/>
        <n v="29286.167591101253" u="1"/>
        <n v="35457.44837612984" u="1"/>
        <n v="166148.52565128048" u="1"/>
        <n v="319467.39784158568" u="1"/>
        <n v="7425.0645215892446" u="1"/>
        <n v="8440.9217194869652" u="1"/>
        <n v="37172.071663586321" u="1"/>
        <n v="173888.48728110315" u="1"/>
        <n v="3146496.6390523696" u="1"/>
        <n v="9474.9942876364075" u="1"/>
        <n v="65869.992881765269" u="1"/>
        <n v="149879.48922152517" u="1"/>
        <n v="7878.2743109018556" u="1"/>
        <n v="11013.820071926135" u="1"/>
        <n v="31472.757532448377" u="1"/>
        <n v="83851.493599413021" u="1"/>
        <n v="359713.18125408946" u="1"/>
        <n v="6027.5589883544981" u="1"/>
        <n v="9794.6285211816848" u="1"/>
        <n v="13338.162488946286" u="1"/>
        <n v="21033.66507514357" u="1"/>
        <n v="34132.98731159843" u="1"/>
        <n v="45390.000589900679" u="1"/>
        <n v="1130.0269333296417" u="1"/>
        <n v="16364.040510862706" u="1"/>
        <n v="29708.495068104265" u="1"/>
        <n v="69466.497426814458" u="1"/>
        <n v="147613.39333141188" u="1"/>
        <n v="1671.2485955532757" u="1"/>
        <n v="16568.747051621183" u="1"/>
        <n v="35721.477234340789" u="1"/>
        <n v="58027.817441988482" u="1"/>
        <n v="1254540.2167743423" u="1"/>
        <n v="37699.519684640676" u="1"/>
        <n v="94266.551103759775" u="1"/>
        <n v="99632.209064392315" u="1"/>
        <n v="213693.93201472022" u="1"/>
        <n v="12006.586551868271" u="1"/>
        <n v="13927.116516549751" u="1"/>
        <n v="72333.231893517848" u="1"/>
        <n v="80955.760299841524" u="1"/>
        <n v="1429044.5490570697" u="1"/>
        <n v="11555.517348362124" u="1"/>
        <n v="14493.717111208338" u="1"/>
        <n v="39545.824927167429" u="1"/>
        <n v="63012.862791693573" u="1"/>
        <n v="214578.36022684796" u="1"/>
        <n v="73496.314125829391" u="1"/>
        <n v="303917.29177015781" u="1"/>
        <n v="209116.02867349179" u="1"/>
        <n v="832579.45186097804" u="1"/>
        <n v="1134185.5278397533" u="1"/>
        <n v="35862.656517127696" u="1"/>
        <n v="94287.226267267484" u="1"/>
        <n v="6811.9764024315964" u="1"/>
        <n v="44480.814284809538" u="1"/>
        <n v="305545.17186151678" u="1"/>
        <n v="43.241639474894001" u="1"/>
        <n v="946.93238401343081" u="1"/>
        <n v="137246.33048895258" u="1"/>
        <n v="137469.47672696199" u="1"/>
        <n v="8593.530754700163" u="1"/>
        <n v="30814.512495017763" u="1"/>
        <n v="549102.20851176267" u="1"/>
        <n v="923.16767167332534" u="1"/>
        <n v="6290.5249250952975" u="1"/>
        <n v="12427.399793369063" u="1"/>
        <n v="599612.65217854676" u="1"/>
        <n v="40510.857799052261" u="1"/>
        <n v="75189.172277956488" u="1"/>
        <n v="12706.365769328311" u="1"/>
        <n v="23021.520202068634" u="1"/>
        <n v="1891.8149566941433" u="1"/>
        <n v="23640.562402978645" u="1"/>
        <n v="54075.661960384285" u="1"/>
        <n v="93545.60702705814" u="1"/>
        <n v="156132.10828601776" u="1"/>
        <n v="12082.823536191725" u="1"/>
        <n v="15828.787116071968" u="1"/>
        <n v="21892.533385097784" u="1"/>
        <n v="27137.962911185328" u="1"/>
        <n v="30026.869331256046" u="1"/>
        <n v="62179.448927992256" u="1"/>
        <n v="95684.50867196951" u="1"/>
        <n v="243880.73711088963" u="1"/>
        <n v="476849.48899292643" u="1"/>
        <n v="10212.907409504074" u="1"/>
        <n v="12777.399864710089" u="1"/>
        <n v="114708.07963207788" u="1"/>
        <n v="161092.84622603434" u="1"/>
        <n v="5185.1376276848487" u="1"/>
        <n v="54425.724672702854" u="1"/>
        <n v="177639.5308319125" u="1"/>
        <n v="11289.026485060145" u="1"/>
        <n v="14834.966279128841" u="1"/>
        <n v="16483.260880223017" u="1"/>
        <n v="130013.0788545523" u="1"/>
        <n v="2363768.3894741158" u="1"/>
        <n v="62478.792965579152" u="1"/>
        <n v="4181.091452262639" u="1"/>
        <n v="22613.775304218914" u="1"/>
        <n v="59753.771430496548" u="1"/>
        <n v="120104.46882650632" u="1"/>
        <n v="196147.19931095591" u="1"/>
        <n v="37571.995786766121" u="1"/>
        <n v="41384.296339378816" u="1"/>
        <n v="939328.91453026386" u="1"/>
        <n v="14516.03415399681" u="1"/>
        <n v="21648.410275343416" u="1"/>
        <n v="37244.017626948014" u="1"/>
        <n v="152003.34493335141" u="1"/>
        <n v="410902.93398099276" u="1"/>
        <n v="3461.823230659727" u="1"/>
        <n v="10033.569102159196" u="1"/>
        <n v="46331.22157653766" u="1"/>
        <n v="66800.67616284042" u="1"/>
        <n v="276667.34123071452" u="1"/>
        <n v="8178.9094750517543" u="1"/>
        <n v="26803.22926247101" u="1"/>
        <n v="88458.933425422234" u="1"/>
        <n v="92438.064478594359" u="1"/>
        <n v="47133.271717085147" u="1"/>
        <n v="67650.748090545661" u="1"/>
        <n v="92594.430439294258" u="1"/>
        <n v="8837.9382680919316" u="1"/>
        <n v="14113.520554588395" u="1"/>
        <n v="21077.926313418473" u="1"/>
        <n v="45089.708824151974" u="1"/>
        <n v="239303.18648012209" u="1"/>
        <n v="608837.46221206279" u="1"/>
        <n v="21709.42369338217" u="1"/>
        <n v="66031.821126423121" u="1"/>
        <n v="83388.930990921668" u="1"/>
        <n v="495152.99967379851" u="1"/>
        <n v="5791.4051844405421" u="1"/>
        <n v="41351.417031215475" u="1"/>
        <n v="2531476.1933548814" u="1"/>
        <n v="66804.274431255137" u="1"/>
        <n v="156970.72592958712" u="1"/>
        <n v="16245.766286392556" u="1"/>
        <n v="39199.726688846029" u="1"/>
        <n v="6839.8582047317968" u="1"/>
        <n v="30920.036970836878" u="1"/>
        <n v="61527.245908470213" u="1"/>
        <n v="69707.864450507885" u="1"/>
        <n v="84316.462072583701" u="1"/>
        <n v="3008.9781932164233" u="1"/>
        <n v="54863.548595828972" u="1"/>
        <n v="8201.8221899333985" u="1"/>
        <n v="31368.302638365152" u="1"/>
        <n v="32977.012592594234" u="1"/>
        <n v="45025.561603948554" u="1"/>
        <n v="60657.983577818799" u="1"/>
        <n v="86127.833564457222" u="1"/>
        <n v="91492.858629965835" u="1"/>
        <n v="932775.1885030577" u="1"/>
        <n v="8689.4558262451028" u="1"/>
        <n v="14970.504116088778" u="1"/>
        <n v="233818.93293706415" u="1"/>
        <n v="2371.4690378653554" u="1"/>
        <n v="10388.129971309016" u="1"/>
        <n v="19651.323753471275" u="1"/>
        <n v="56002.179983354741" u="1"/>
        <n v="10518.67963924057" u="1"/>
        <n v="15798.367730854434" u="1"/>
        <n v="357086.36224354425" u="1"/>
        <n v="61524.776189998207" u="1"/>
        <n v="86743.019905909721" u="1"/>
        <n v="269027.32552689489" u="1"/>
        <n v="540974.53923300258" u="1"/>
        <n v="9499.445905750521" u="1"/>
        <n v="10349.924575821813" u="1"/>
        <n v="22522.417347578918" u="1"/>
        <n v="32800.471549529771" u="1"/>
        <n v="55155.421653561942" u="1"/>
        <n v="90625.630095997971" u="1"/>
        <n v="22938.560662123618" u="1"/>
        <n v="47028.057175602386" u="1"/>
        <n v="52260.919832127249" u="1"/>
        <n v="1151.6745210974159" u="1"/>
        <n v="8949.7735137431519" u="1"/>
        <n v="40726.018659652342" u="1"/>
        <n v="522218.71950560401" u="1"/>
        <n v="12251.710909122434" u="1"/>
        <n v="40484.588116824896" u="1"/>
        <n v="45872.11161055613" u="1"/>
        <n v="4608.1646935288363" u="1"/>
        <n v="6143.0177585104502" u="1"/>
        <n v="17855.109529133948" u="1"/>
        <n v="57574.253375033128" u="1"/>
        <n v="112246.99893962475" u="1"/>
        <n v="7265.7070564307296" u="1"/>
        <n v="8772.9004582178168" u="1"/>
        <n v="8825.6546165088657" u="1"/>
        <n v="24677.973299386442" u="1"/>
        <n v="53031.073194140816" u="1"/>
        <n v="6436.8905886811244" u="1"/>
        <n v="33236.45349052384" u="1"/>
        <n v="40310.325348487815" u="1"/>
        <n v="50927.463281930221" u="1"/>
        <n v="176145.09945873657" u="1"/>
        <n v="39677.117786332703" u="1"/>
        <n v="80322.59378739832" u="1"/>
        <n v="647536.20868914097" u="1"/>
        <n v="273469.89892197395" u="1"/>
        <n v="19609.789650044113" u="1"/>
        <n v="80269.473040196026" u="1"/>
        <n v="319979.80453830725" u="1"/>
        <n v="968.86904155814352" u="1"/>
        <n v="21881.028619043278" u="1"/>
        <n v="49411.099000861999" u="1"/>
        <n v="51214.533969017386" u="1"/>
        <n v="91531.002750390588" u="1"/>
        <n v="113431.05754326914" u="1"/>
        <n v="201079.70731899119" u="1"/>
        <n v="954.50232206609519" u="1"/>
        <n v="11466.210558558341" u="1"/>
        <n v="12804.707651974391" u="1"/>
        <n v="16572.956789140484" u="1"/>
        <n v="22616.713841791054" u="1"/>
        <n v="24200.493518578849" u="1"/>
        <n v="51725.570470241335" u="1"/>
        <n v="8616.2763386549377" u="1"/>
        <n v="40064.773762938661" u="1"/>
        <n v="41360.366370436241" u="1"/>
        <n v="120719.41024231438" u="1"/>
        <n v="159795.43755803735" u="1"/>
        <n v="7631.8593149989829" u="1"/>
        <n v="25339.479325755594" u="1"/>
        <n v="26493.708255183774" u="1"/>
        <n v="40142.767449197447" u="1"/>
        <n v="43942.140582793763" u="1"/>
        <n v="287822.90354708396" u="1"/>
        <n v="4289.2052846500783" u="1"/>
        <n v="18169.195167817299" u="1"/>
        <n v="49459.118506285835" u="1"/>
        <n v="101414.96946214417" u="1"/>
        <n v="351229.72269785393" u="1"/>
        <n v="6877.1096292418642" u="1"/>
        <n v="6992.0804188345573" u="1"/>
        <n v="9406.5678226001091" u="1"/>
        <n v="9806.4071635622458" u="1"/>
        <n v="63991.826285735071" u="1"/>
        <n v="70673.962454068213" u="1"/>
        <n v="1105776.9286660203" u="1"/>
        <n v="26590.071027630296" u="1"/>
        <n v="52352.810861887709" u="1"/>
        <n v="55774.199473391214" u="1"/>
        <n v="98007.473980118608" u="1"/>
        <n v="168704.6568151463" u="1"/>
        <n v="179523.29435798156" u="1"/>
        <n v="402.1720549863993" u="1"/>
        <n v="18277.561428248275" u="1"/>
        <n v="39614.668566893954" u="1"/>
        <n v="120568.1587825671" u="1"/>
        <n v="166590.08119981771" u="1"/>
        <n v="546626.55556035577" u="1"/>
        <n v="25205.305328026414" u="1"/>
        <n v="86261.593844013725" u="1"/>
        <n v="101845.34919360634" u="1"/>
        <n v="127717.9886424057" u="1"/>
        <n v="608343.10493985133" u="1"/>
        <n v="3996.3975073098745" u="1"/>
        <n v="12360.109840027806" u="1"/>
        <n v="22112.757742735335" u="1"/>
        <n v="35804.653375534501" u="1"/>
        <n v="185581.50917385909" u="1"/>
        <n v="14622.385423205804" u="1"/>
        <n v="18476.336534861883" u="1"/>
        <n v="27652.471843005864" u="1"/>
        <n v="103371.18530967399" u="1"/>
        <n v="117240.89472000163" u="1"/>
        <n v="11841.80395197108" u="1"/>
        <n v="31459.698098369296" u="1"/>
        <n v="44077.401588086024" u="1"/>
        <n v="49001.510355265484" u="1"/>
        <n v="75544.725755285559" u="1"/>
        <n v="85258.263563605389" u="1"/>
        <n v="204269.24231304775" u="1"/>
        <n v="95.131606844766765" u="1"/>
        <n v="26356.181518683938" u="1"/>
        <n v="1638440.6401069809" u="1"/>
        <n v="7610.1769334848204" u="1"/>
        <n v="104288.78132056212" u="1"/>
        <n v="266567.31769621331" u="1"/>
        <n v="17053.22304096329" u="1"/>
        <n v="39388.505511765194" u="1"/>
        <n v="146473.08718880318" u="1"/>
        <n v="597611.61773525295" u="1"/>
        <n v="100117.10868918494" u="1"/>
        <n v="203738.64334429259" u="1"/>
        <n v="247833.60320851096" u="1"/>
        <n v="6479.6422833588649" u="1"/>
        <n v="26470.39548219362" u="1"/>
        <n v="183920.51539347455" u="1"/>
        <n v="338190.03648859047" u="1"/>
        <n v="371436.76127602375" u="1"/>
        <n v="664573.64792581752" u="1"/>
        <n v="21088.273892083831" u="1"/>
        <n v="23144.347399923467" u="1"/>
        <n v="41530.729295439742" u="1"/>
        <n v="93762.069757102377" u="1"/>
        <n v="107148.22730219152" u="1"/>
        <n v="276697.15466619539" u="1"/>
        <n v="1223263.9492023634" u="1"/>
        <n v="18871.239130756741" u="1"/>
        <n v="19015.553600042778" u="1"/>
        <n v="16941.411225034037" u="1"/>
        <n v="86700.142793630774" u="1"/>
        <n v="99409.29545328008" u="1"/>
        <n v="514499.28591945342" u="1"/>
        <n v="2962.0341313678814" u="1"/>
        <n v="41230.290580340145" u="1"/>
        <n v="41491.161675702213" u="1"/>
        <n v="349837.21898853802" u="1"/>
        <n v="33682.310068058003" u="1"/>
        <n v="56626.398338157014" u="1"/>
        <n v="218313.61346183406" u="1"/>
        <n v="48176.289891302833" u="1"/>
        <n v="121921.56885715383" u="1"/>
        <n v="19228.724354870159" u="1"/>
        <n v="72530.157561999047" u="1"/>
        <n v="95712.374465339541" u="1"/>
        <n v="7561.3187950316251" u="1"/>
        <n v="9960.9280318119017" u="1"/>
        <n v="24830.577803627293" u="1"/>
        <n v="136950.83459737126" u="1"/>
        <n v="216278.85647043804" u="1"/>
        <n v="4552.3294943055898" u="1"/>
        <n v="509955.69778222375" u="1"/>
        <n v="24830.5778036273" u="1"/>
        <n v="32616.044286524673" u="1"/>
        <n v="66050.242601097518" u="1"/>
        <n v="119237.3001794007" u="1"/>
        <n v="222885.92907834143" u="1"/>
        <n v="268384.46854563238" u="1"/>
        <n v="621276.7610744941" u="1"/>
        <n v="4743.4399012460763" u="1"/>
        <n v="308082.67096771387" u="1"/>
        <n v="6508.314026590936" u="1"/>
        <n v="29613.959937177096" u="1"/>
        <n v="91409.989172988353" u="1"/>
        <n v="109972.70294897938" u="1"/>
        <n v="150891.3709118423" u="1"/>
        <n v="577816.78281366848" u="1"/>
        <n v="598983.98171554389" u="1"/>
        <n v="5489.4832097846365" u="1"/>
        <n v="28215.243575994416" u="1"/>
        <n v="28763.643961281574" u="1"/>
        <n v="93282.845490508596" u="1"/>
        <n v="106020.67353414322" u="1"/>
        <n v="16890.624497581237" u="1"/>
        <n v="51378.63465792904" u="1"/>
        <n v="160291.70073514976" u="1"/>
        <n v="707200.20181293995" u="1"/>
        <n v="41570.022913811736" u="1"/>
        <n v="108795.42905099693" u="1"/>
        <n v="227733.70786969623" u="1"/>
        <n v="310405.63681644993" u="1"/>
        <n v="1167490.4334976876" u="1"/>
        <n v="1246476.3716764438" u="1"/>
        <n v="3856.1242368793814" u="1"/>
        <n v="31258.938501677469" u="1"/>
        <n v="48814.161414018919" u="1"/>
        <n v="57281.914721323257" u="1"/>
        <n v="71792.552470390918" u="1"/>
        <n v="74049.942394957136" u="1"/>
        <n v="189550.67938290257" u="1"/>
        <n v="29953.248106000021" u="1"/>
        <n v="37296.662212485317" u="1"/>
        <n v="5700.7619295031236" u="1"/>
        <n v="28614.537452176086" u="1"/>
        <n v="33933.813723076746" u="1"/>
        <n v="33948.307305577408" u="1"/>
        <n v="167044.84833447443" u="1"/>
        <n v="195481.46890145578" u="1"/>
        <n v="34710.661541091409" u="1"/>
        <n v="35116.129744932361" u="1"/>
        <n v="41403.024352953609" u="1"/>
        <n v="71446.433976373373" u="1"/>
        <n v="98239.063800464341" u="1"/>
        <n v="165837.29214791139" u="1"/>
        <n v="6455.2953180347695" u="1"/>
        <n v="14578.591093366129" u="1"/>
        <n v="23908.010940095417" u="1"/>
        <n v="1770347.6178881666" u="1"/>
        <n v="9161.6477357987114" u="1"/>
        <n v="17944.415656797053" u="1"/>
        <n v="45483.530636523858" u="1"/>
        <n v="132547.42762723591" u="1"/>
        <n v="1636783.8567145746" u="1"/>
        <n v="4085.1891351538134" u="1"/>
        <n v="32342.169605841631" u="1"/>
        <n v="34983.68586653372" u="1"/>
        <n v="289042.72370651935" u="1"/>
        <n v="436.90509609886095" u="1"/>
        <n v="45402.700812827403" u="1"/>
        <n v="75115.895290799788" u="1"/>
        <n v="88410.835582644228" u="1"/>
        <n v="106280.70303419454" u="1"/>
        <n v="109216.12536621305" u="1"/>
        <n v="1233.0616532448466" u="1"/>
        <n v="90530.762557157883" u="1"/>
        <n v="612276.25602348661" u="1"/>
        <n v="4395.2365480444341" u="1"/>
        <n v="59898.351951049866" u="1"/>
        <n v="71887.050053267303" u="1"/>
        <n v="9330.8579677038579" u="1"/>
        <n v="31614.569405605878" u="1"/>
        <n v="49031.556151175209" u="1"/>
        <n v="5158.5441041045333" u="1"/>
        <n v="310718.83319206373" u="1"/>
        <n v="7442.1102511084173" u="1"/>
        <n v="8078.2146454467447" u="1"/>
        <n v="8966.5975401987434" u="1"/>
        <n v="175868.60168397659" u="1"/>
        <n v="268109.64159011777" u="1"/>
        <n v="2109583.9525421429" u="1"/>
        <n v="19009.998815002335" u="1"/>
        <n v="55307.288411794441" u="1"/>
        <n v="149376.67795246228" u="1"/>
        <n v="226242.50996016312" u="1"/>
        <n v="4259.1614685320901" u="1"/>
        <n v="5135.8170317315617" u="1"/>
        <n v="84954.572189903527" u="1"/>
        <n v="264207.78222723259" u="1"/>
        <n v="749995.64429455902" u="1"/>
        <n v="29721.232515424363" u="1"/>
        <n v="42728.930145910759" u="1"/>
        <n v="47576.664592177665" u="1"/>
        <n v="210456.82773631776" u="1"/>
        <n v="366439.04137098795" u="1"/>
        <n v="711091.84321115236" u="1"/>
        <n v="13305.886454363686" u="1"/>
        <n v="37664.391238831835" u="1"/>
        <n v="45627.61070178252" u="1"/>
        <n v="686958.09512881341" u="1"/>
        <n v="6958.3722666439398" u="1"/>
        <n v="11853.62615707497" u="1"/>
        <n v="17355.680467188526" u="1"/>
        <n v="28178.850004911645" u="1"/>
        <n v="102374.5891777932" u="1"/>
        <n v="240548.01099105182" u="1"/>
        <n v="290813.4216099488" u="1"/>
        <n v="8505.6656977959865" u="1"/>
        <n v="8929.3922354726019" u="1"/>
        <n v="43765.731913444055" u="1"/>
        <n v="54638.515600805498" u="1"/>
        <n v="86504.599476543604" u="1"/>
        <n v="172867.09103477083" u="1"/>
        <n v="237598.52089483786" u="1"/>
        <n v="448380.11762631999" u="1"/>
        <n v="1572.1271240377423" u="1"/>
        <n v="2820.2182032198039" u="1"/>
        <n v="24260.772661734936" u="1"/>
        <n v="48068.024412511135" u="1"/>
        <n v="348747.83069105708" u="1"/>
        <n v="3327.9301314012132" u="1"/>
        <n v="13997.331174222789" u="1"/>
        <n v="19699.709990307158" u="1"/>
        <n v="46944.159404894315" u="1"/>
        <n v="67134.717561857295" u="1"/>
        <n v="124716.03544834002" u="1"/>
        <n v="137403.87499292346" u="1"/>
        <n v="36809.059054082347" u="1"/>
        <n v="90490.082709791925" u="1"/>
        <n v="1412920.4219329953" u="1"/>
        <n v="9850.2878566193776" u="1"/>
        <n v="15419.464723096116" u="1"/>
        <n v="27176.916366194291" u="1"/>
        <n v="80351.462158156864" u="1"/>
        <n v="97198.489417956385" u="1"/>
        <n v="111146.93941864836" u="1"/>
        <n v="157630.99043374846" u="1"/>
        <n v="207969.9658489057" u="1"/>
        <n v="18440.223075340982" u="1"/>
        <n v="31682.300984637634" u="1"/>
        <n v="33664.538433328999" u="1"/>
        <n v="136686.36745481857" u="1"/>
        <n v="368604.64114828926" u="1"/>
        <n v="55524.177524174142" u="1"/>
        <n v="85931.846207773764" u="1"/>
        <n v="138162.51332095664" u="1"/>
        <n v="40342.597713252217" u="1"/>
        <n v="49824.540305343791" u="1"/>
        <n v="62474.75964334108" u="1"/>
        <n v="97949.260550038613" u="1"/>
        <n v="34327.824579309134" u="1"/>
        <n v="47967.148513228189" u="1"/>
        <n v="515242.99758155009" u="1"/>
        <n v="6577.26363568137" u="1"/>
        <n v="7677.6467764936533" u="1"/>
        <n v="56467.068487109114" u="1"/>
        <n v="77155.483742227516" u="1"/>
        <n v="176872.69774492158" u="1"/>
        <n v="280562.9823000647" u="1"/>
        <n v="293554.23002384719" u="1"/>
        <n v="480407.32308908179" u="1"/>
        <n v="780960.51253304328" u="1"/>
        <n v="28808.237712357306" u="1"/>
        <n v="71501.576142300444" u="1"/>
        <n v="145072.90261074697" u="1"/>
        <n v="417577.27017337672" u="1"/>
        <n v="6815.0800428721086" u="1"/>
        <n v="64688.136954351205" u="1"/>
        <n v="91512.837493126572" u="1"/>
        <n v="94124.340181911481" u="1"/>
        <n v="23381.231397958953" u="1"/>
        <n v="65144.579851125854" u="1"/>
        <n v="18139.584421022104" u="1"/>
        <n v="61698.694311760817" u="1"/>
        <n v="119056.67307895313" u="1"/>
        <n v="211036.56351428785" u="1"/>
        <n v="713535.6398909759" u="1"/>
        <n v="955.22595591719221" u="1"/>
        <n v="85996.092190429059" u="1"/>
        <n v="96448.77064699991" u="1"/>
        <n v="169619.4089854573" u="1"/>
        <n v="306301.71121778799" u="1"/>
        <n v="1499526.7237508462" u="1"/>
        <n v="8828.2869039302859" u="1"/>
        <n v="16184.442513417747" u="1"/>
        <n v="41989.474150608658" u="1"/>
        <n v="126801.09921471181" u="1"/>
        <n v="9111.7585329867197" u="1"/>
        <n v="39806.469573399023" u="1"/>
        <n v="42354.083626096552" u="1"/>
        <n v="62630.322114261908" u="1"/>
        <n v="64853.663059969622" u="1"/>
        <n v="174395.54458641438" u="1"/>
        <n v="8792.0169918455267" u="1"/>
        <n v="41017.2739006681" u="1"/>
        <n v="94715.649197315288" u="1"/>
        <n v="11236.783446497386" u="1"/>
        <n v="17641.418277548633" u="1"/>
        <n v="55587.005890337678" u="1"/>
        <n v="153911.71022030682" u="1"/>
        <n v="234928.96684074664" u="1"/>
        <n v="68.980710590902319" u="1"/>
        <n v="23843.783781252132" u="1"/>
        <n v="31086.450426028787" u="1"/>
        <n v="36473.722724088497" u="1"/>
        <n v="39597.205505691905" u="1"/>
        <n v="40117.419834412241" u="1"/>
        <n v="63274.010167191649" u="1"/>
        <n v="194851.27146868687" u="1"/>
        <n v="324927.60186528624" u="1"/>
        <n v="309.15901201692532" u="1"/>
        <n v="52931.334165604028" u="1"/>
        <n v="76127.802270733126" u="1"/>
        <n v="63111.051917552686" u="1"/>
        <n v="63939.415404595995" u="1"/>
        <n v="27434.67957899296" u="1"/>
        <n v="54356.910212821771" u="1"/>
        <n v="107854.17333001958" u="1"/>
        <n v="83548.642755034758" u="1"/>
        <n v="161876.06071840815" u="1"/>
        <n v="280415.14505527652" u="1"/>
        <n v="106427.89253720501" u="1"/>
        <n v="295900.2933078045" u="1"/>
        <n v="6318.4199432443493" u="1"/>
        <n v="17364.606988915664" u="1"/>
        <n v="35247.060895721181" u="1"/>
        <n v="57628.802570763626" u="1"/>
        <n v="84609.818011809752" u="1"/>
        <n v="137298.88737557968" u="1"/>
        <n v="15017.887052660175" u="1"/>
        <n v="29509.571301061802" u="1"/>
        <n v="42569.46826825582" u="1"/>
        <n v="64793.198069903527" u="1"/>
        <n v="83927.846619744698" u="1"/>
        <n v="95951.056807131987" u="1"/>
        <n v="201305.15266721728" u="1"/>
        <n v="263379.07534353761" u="1"/>
        <n v="1782.3534255079055" u="1"/>
        <n v="3556.72480701214" u="1"/>
        <n v="31727.903222307315" u="1"/>
        <n v="127104.06220555023" u="1"/>
        <n v="173294.65721871564" u="1"/>
        <n v="556062.83953397116" u="1"/>
        <n v="1799.3202882976523" u="1"/>
        <n v="95560.777246416226" u="1"/>
        <n v="491555.0820060863" u="1"/>
        <n v="9400.8980384091301" u="1"/>
        <n v="14966.117542411808" u="1"/>
        <n v="41479.539183032757" u="1"/>
        <n v="450153.16001598758" u="1"/>
        <n v="10162.017968514721" u="1"/>
        <n v="11259.938773011136" u="1"/>
        <n v="2366004.180748486" u="1"/>
        <n v="16143.983812969836" u="1"/>
        <n v="21023.346335276707" u="1"/>
        <n v="40173.885853474276" u="1"/>
        <n v="91923.543519575629" u="1"/>
        <n v="105991.74944495481" u="1"/>
        <n v="21033.448145220184" u="1"/>
        <n v="52520.323224785679" u="1"/>
        <n v="63669.712046081084" u="1"/>
        <n v="66639.79865787091" u="1"/>
        <n v="106588.29229620742" u="1"/>
        <n v="43457.312629581669" u="1"/>
        <n v="69092.12888355412" u="1"/>
        <n v="83647.578976473043" u="1"/>
        <n v="20897.134498433996" u="1"/>
        <n v="27885.288573452344" u="1"/>
        <n v="30923.565569673458" u="1"/>
        <n v="33821.855460599807" u="1"/>
        <n v="63709.481225401847" u="1"/>
        <n v="412623.34644882451" u="1"/>
        <n v="317.37850547535129" u="1"/>
        <n v="16883.476735528326" u="1"/>
        <n v="95595.032763115596" u="1"/>
        <n v="106745.49493059216" u="1"/>
        <n v="214755.69635313161" u="1"/>
        <n v="3245.726654044382" u="1"/>
        <n v="14942.466937128458" u="1"/>
        <n v="36387.716379799938" u="1"/>
        <n v="127398.2350321354" u="1"/>
        <n v="175153.34246916178" u="1"/>
        <n v="250027.68423848311" u="1"/>
        <n v="691.00471265844942" u="1"/>
        <n v="4692.3586548317371" u="1"/>
        <n v="27496.069423390552" u="1"/>
        <n v="54569.699365131506" u="1"/>
        <n v="1364.8773670750675" u="1"/>
        <n v="11558.069768781428" u="1"/>
        <n v="104902.80319658044" u="1"/>
        <n v="145367.01597738481" u="1"/>
        <n v="528398.8132292818" u="1"/>
        <n v="31027.607683684386" u="1"/>
        <n v="34746.050086389572" u="1"/>
        <n v="75249.664581678095" u="1"/>
        <n v="116353.78780416683" u="1"/>
        <n v="221296.43624017469" u="1"/>
        <n v="494502.49603029725" u="1"/>
        <n v="513190.48557620985" u="1"/>
        <n v="4504.239748100932" u="1"/>
        <n v="13601.27612355346" u="1"/>
        <n v="16115.825208701361" u="1"/>
        <n v="25400.002276414863" u="1"/>
        <n v="44266.459451051625" u="1"/>
        <n v="66416.503499558909" u="1"/>
        <n v="22657.33654442582" u="1"/>
        <n v="37963.249524112653" u="1"/>
        <n v="41418.577158231783" u="1"/>
        <n v="44538.652487256397" u="1"/>
        <n v="114389.59980806036" u="1"/>
        <n v="180355.10729553117" u="1"/>
        <n v="216420.62790495227" u="1"/>
        <n v="338612.10909142264" u="1"/>
        <n v="4300.5820918436821" u="1"/>
        <n v="16115.825208701364" u="1"/>
        <n v="18726.065712753538" u="1"/>
        <n v="18770.022471716988" u="1"/>
        <n v="357385.89564257854" u="1"/>
        <n v="558323.26334121986" u="1"/>
        <n v="79084.292352567136" u="1"/>
        <n v="91347.279815804737" u="1"/>
        <n v="999.04366031706593" u="1"/>
        <n v="6845.0963179083019" u="1"/>
        <n v="12492.420014302439" u="1"/>
        <n v="30542.378810814338" u="1"/>
        <n v="9282.3456604846542" u="1"/>
        <n v="96750.593136820942" u="1"/>
        <n v="14872.879422890601" u="1"/>
        <n v="35972.824126565538" u="1"/>
        <n v="43329.085039042635" u="1"/>
        <n v="84539.463404990558" u="1"/>
        <n v="179435.6126842759" u="1"/>
        <n v="10275.038084788621" u="1"/>
        <n v="61086.227144212906" u="1"/>
        <n v="78594.893228948509" u="1"/>
        <n v="33035.090223658539" u="1"/>
        <n v="2413.0323299183951" u="1"/>
        <n v="8133.0851098096318" u="1"/>
        <n v="16435.99350578482" u="1"/>
        <n v="63300.692745295433" u="1"/>
        <n v="88199.745088769458" u="1"/>
        <n v="328670.04746112158" u="1"/>
        <n v="206.26262029524435" u="1"/>
        <n v="548.41643861781711" u="1"/>
        <n v="108842.63703290919" u="1"/>
        <n v="109035.22549204573" u="1"/>
        <n v="414080.83098779345" u="1"/>
        <n v="1235239.601080175" u="1"/>
        <n v="157.52311522997095" u="1"/>
        <n v="3941.0867703381564" u="1"/>
        <n v="23232.206778286069" u="1"/>
        <n v="26765.144906100435" u="1"/>
        <n v="52433.656856122077" u="1"/>
        <n v="9443.2458367534236" u="1"/>
        <n v="21904.264039579844" u="1"/>
        <n v="271600.60864339391" u="1"/>
        <n v="539080.73168583936" u="1"/>
        <n v="18427.072898477101" u="1"/>
        <n v="33739.217426449934" u="1"/>
        <n v="43746.115857189252" u="1"/>
        <n v="83282.296585032731" u="1"/>
        <n v="181090.9828079498" u="1"/>
        <n v="2175.385206517341" u="1"/>
        <n v="22430.461858903564" u="1"/>
        <n v="1382190.7957247545" u="1"/>
        <n v="47434.655040827514" u="1"/>
        <n v="62547.344588488981" u="1"/>
        <n v="152717.44034400332" u="1"/>
        <n v="49875.031879156842" u="1"/>
        <n v="55493.694703929221" u="1"/>
        <n v="83282.91867779498" u="1"/>
        <n v="259744.69313926608" u="1"/>
        <n v="394945.18557320407" u="1"/>
        <n v="411561.59086154139" u="1"/>
        <n v="800410.1098562039" u="1"/>
        <n v="4311.7546921315825" u="1"/>
        <n v="25013.955476438459" u="1"/>
        <n v="33066.500876861566" u="1"/>
        <n v="73663.762648611417" u="1"/>
        <n v="120694.04239556476" u="1"/>
        <n v="159611.62516004615" u="1"/>
        <n v="210406.33357599008" u="1"/>
        <n v="488558.11032377958" u="1"/>
        <n v="46303.256105545319" u="1"/>
        <n v="128357.03905575519" u="1"/>
        <n v="1920584.5060579567" u="1"/>
        <n v="492.75598138313438" u="1"/>
        <n v="8995.06745259934" u="1"/>
        <n v="20062.987387626607" u="1"/>
        <n v="90280.242200390014" u="1"/>
        <n v="15425.699339038883" u="1"/>
        <n v="9410.781597909936" u="1"/>
        <n v="17231.507501878823" u="1"/>
        <n v="147064.80162849982" u="1"/>
        <n v="161559.67657006209" u="1"/>
        <n v="928899.07711894019" u="1"/>
        <n v="3611.2623881264162" u="1"/>
        <n v="65595.480697647581" u="1"/>
        <n v="75287.54524434045" u="1"/>
        <n v="189264.33572959763" u="1"/>
        <n v="252666.02237885114" u="1"/>
        <n v="607785.62128650642" u="1"/>
        <n v="3264.1148666750287" u="1"/>
        <n v="17506.027778533728" u="1"/>
        <n v="21280.198173207937" u="1"/>
        <n v="24040.043198403044" u="1"/>
        <n v="91113.659048451111" u="1"/>
        <n v="95490.657739894174" u="1"/>
        <n v="2623.2586313885586" u="1"/>
        <n v="14954.600107200509" u="1"/>
        <n v="23555.193867068097" u="1"/>
        <n v="56051.944592763663" u="1"/>
        <n v="56067.427091748774" u="1"/>
        <n v="71420.829171629433" u="1"/>
        <n v="2852737.6182941124" u="1"/>
        <n v="18740.488616290149" u="1"/>
        <n v="378177.87665008701" u="1"/>
        <n v="7892.8473974677736" u="1"/>
        <n v="47801.721348651095" u="1"/>
        <n v="102702.10299914551" u="1"/>
        <n v="26165.640937075539" u="1"/>
        <n v="37744.452532831099" u="1"/>
        <n v="57604.77632666126" u="1"/>
        <n v="404.14418319687366" u="1"/>
        <n v="19264.69938417177" u="1"/>
        <n v="20294.906372498113" u="1"/>
        <n v="83065.467529590431" u="1"/>
        <n v="8865.0174027052562" u="1"/>
        <n v="51889.219322700534" u="1"/>
        <n v="169017.17383062094" u="1"/>
        <n v="2385.6115079875044" u="1"/>
        <n v="14882.311741144589" u="1"/>
        <n v="37171.391505837768" u="1"/>
        <n v="244306.57306441365" u="1"/>
        <n v="3768.5630774228034" u="1"/>
        <n v="4179.3386638798211" u="1"/>
        <n v="12734.045125204824" u="1"/>
        <n v="14183.671718469404" u="1"/>
        <n v="18763.326913291759" u="1"/>
        <n v="102309.46286137824" u="1"/>
        <n v="184762.16974255769" u="1"/>
        <n v="8657.0511372788314" u="1"/>
        <n v="24516.414885370228" u="1"/>
        <n v="263792.16548254568" u="1"/>
        <n v="19212.855899577527" u="1"/>
        <n v="22761.362986658351" u="1"/>
        <n v="55247.334414403755" u="1"/>
        <n v="100370.95554190125" u="1"/>
        <n v="162576.27136331837" u="1"/>
        <n v="168747.26284239849" u="1"/>
        <n v="263562.27381533006" u="1"/>
        <n v="312761.74105250003" u="1"/>
        <n v="14208.459240927505" u="1"/>
        <n v="44332.860764778765" u="1"/>
        <n v="56017.034697747447" u="1"/>
        <n v="180792.65202767684" u="1"/>
        <n v="78249.277244489291" u="1"/>
        <n v="182065.68266728785" u="1"/>
        <n v="406766.84087357752" u="1"/>
        <n v="505018.95494718867" u="1"/>
        <n v="2984.942313864703" u="1"/>
        <n v="74399.452971322666" u="1"/>
        <n v="89636.911229091289" u="1"/>
        <n v="254203.05767861055" u="1"/>
        <n v="301730.10343405383" u="1"/>
        <n v="4537.2698632029424" u="1"/>
        <n v="22138.666905749596" u="1"/>
        <n v="47631.051724900448" u="1"/>
        <n v="142046.2857675688" u="1"/>
        <n v="10646.77693609965" u="1"/>
        <n v="207651.15937366753" u="1"/>
        <n v="4954.179087115489" u="1"/>
        <n v="15048.430664957648" u="1"/>
        <n v="21153.521806115052" u="1"/>
        <n v="25238.030751016697" u="1"/>
        <n v="35031.653099740623" u="1"/>
        <n v="125188.4283066799" u="1"/>
        <n v="160257.109324741" u="1"/>
        <n v="253115.23470059491" u="1"/>
        <n v="29955.059124622239" u="1"/>
        <n v="51692.406987509472" u="1"/>
        <n v="144400.41369163434" u="1"/>
        <n v="5447.3537245349989" u="1"/>
        <n v="8053.0801182366831" u="1"/>
        <n v="23525.803703116519" u="1"/>
        <n v="42254.248875787547" u="1"/>
        <n v="45420.961095153798" u="1"/>
        <n v="91011.120991633754" u="1"/>
        <n v="244606.06128030183" u="1"/>
        <n v="1035799.0888570799" u="1"/>
        <n v="14840.185673298587" u="1"/>
        <n v="91592.385933085621" u="1"/>
        <n v="221016.9403330916" u="1"/>
        <n v="410549.22634285525" u="1"/>
        <n v="4824.7943944126255" u="1"/>
        <n v="10703.548646172163" u="1"/>
        <n v="129778.41043812242" u="1"/>
        <n v="154774.90962519127" u="1"/>
        <n v="402726.18300410209" u="1"/>
        <n v="779410.02595349238" u="1"/>
        <n v="123.54754135683996" u="1"/>
        <n v="7563.8446581610369" u="1"/>
        <n v="22770.795304912335" u="1"/>
        <n v="55057.013422276359" u="1"/>
        <n v="67790.962841355635" u="1"/>
        <n v="92732.077872191265" u="1"/>
        <n v="213932.34575439029" u="1"/>
        <n v="332044.04307961086" u="1"/>
        <n v="633256.82035576785" u="1"/>
        <n v="100.79420249028863" u="1"/>
        <n v="32346.697878660205" u="1"/>
        <n v="81005.460083139245" u="1"/>
        <n v="147304.79342014311" u="1"/>
        <n v="358778.82560697518" u="1"/>
        <n v="1204728.1269449743" u="1"/>
        <n v="73.270555776903691" u="1"/>
        <n v="4906.5704316440497" u="1"/>
        <n v="7091.5880864981336" u="1"/>
        <n v="23885.955220039516" u="1"/>
        <n v="83141.146533453546" u="1"/>
        <n v="6422.3233242033493" u="1"/>
        <n v="57622.271567491909" u="1"/>
        <n v="6899.420124360212" u="1"/>
        <n v="3415.9094767352121" u="1"/>
        <n v="3949.1672776943487" u="1"/>
        <n v="33260.453379733204" u="1"/>
        <n v="3415.9094767352126" u="1"/>
        <n v="29263.982856093309" u="1"/>
        <n v="37988.910369670484" u="1"/>
        <n v="56455.049175351538" u="1"/>
        <n v="56663.386861004881" u="1"/>
        <n v="61356.616069980053" u="1"/>
        <n v="128173.59807436295" u="1"/>
        <n v="6709.8369696522932" u="1"/>
        <n v="19765.113330185544" u="1"/>
        <n v="34767.143198377737" u="1"/>
        <n v="37737.227253626275" u="1"/>
        <n v="47209.578320747489" u="1"/>
        <n v="81379.10443002182" u="1"/>
        <n v="105999.4935463287" u="1"/>
        <n v="25689.164715373863" u="1"/>
        <n v="44357.820690917921" u="1"/>
        <n v="73034.228192785915" u="1"/>
        <n v="77673.584772381349" u="1"/>
        <n v="241036.66132491216" u="1"/>
        <n v="25584217.555444751" u="1"/>
        <n v="8853.4780034835348" u="1"/>
        <n v="27867.320563635643" u="1"/>
        <n v="280716.46384387399" u="1"/>
        <n v="327159.09352914413" u="1"/>
        <n v="10764.203863178809" u="1"/>
        <n v="24177.242986498692" u="1"/>
        <n v="419478.30362346012" u="1"/>
        <n v="17059.760521388289" u="1"/>
        <n v="35217.716470048945" u="1"/>
        <n v="201731.63787962674" u="1"/>
        <n v="445393.8651682114" u="1"/>
        <n v="221.97374930445585" u="1"/>
        <n v="488881.88492788916" u="1"/>
        <n v="965674.79482946172" u="1"/>
        <n v="11338.023834025504" u="1"/>
        <n v="31395.729847311308" u="1"/>
        <n v="33551.263426227015" u="1"/>
        <n v="117685.99945599875" u="1"/>
        <n v="217452.71117797936" u="1"/>
        <n v="877.46630178850728" u="1"/>
        <n v="7687.8260241872895" u="1"/>
        <n v="12607.712180516048" u="1"/>
        <n v="71600.398834781023" u="1"/>
        <n v="441606.25972016447" u="1"/>
        <n v="8164.1758847636993" u="1"/>
        <n v="14950.228894568383" u="1"/>
        <n v="42840.608849005832" u="1"/>
        <n v="71414.309159035212" u="1"/>
        <n v="2716.6645546869095" u="1"/>
        <n v="39066.700685304895" u="1"/>
        <n v="53695.25081698133" u="1"/>
        <n v="1596.1687313078617" u="1"/>
        <n v="78747.927067923811" u="1"/>
        <n v="278696.20935055672" u="1"/>
        <n v="19252.932266240707" u="1"/>
        <n v="172583.05960685268" u="1"/>
        <n v="686370.26173161413" u="1"/>
        <n v="726503.69367253908" u="1"/>
        <n v="195.32042638240688" u="1"/>
        <n v="33823.908765789376" u="1"/>
        <n v="60592.582611361853" u="1"/>
        <n v="985916.5053288046" u="1"/>
        <n v="1991.1634521386832" u="1"/>
        <n v="7408.971125458751" u="1"/>
        <n v="75826.949693604925" u="1"/>
        <n v="115850.41949982502" u="1"/>
        <n v="273342.98443534994" u="1"/>
        <n v="321139.34671198303" u="1"/>
        <n v="4706.4070442172069" u="1"/>
        <n v="23118.784576171394" u="1"/>
        <n v="39697.371658209151" u="1"/>
        <n v="191152.15591424279" u="1"/>
        <n v="261896.88438796959" u="1"/>
        <n v="891364.29249538016" u="1"/>
        <n v="2055.0372418480742" u="1"/>
        <n v="5228.3343495340005" u="1"/>
        <n v="24725.746861111867" u="1"/>
        <n v="429269.66361579113" u="1"/>
        <n v="6993.9065675749134" u="1"/>
        <n v="10492.121869668345" u="1"/>
        <n v="26144.981466144425" u="1"/>
        <n v="40508.566480942478" u="1"/>
        <n v="92579.966942552826" u="1"/>
        <n v="211219.49604796083" u="1"/>
        <n v="48482.068503424496" u="1"/>
        <n v="104410.33553286883" u="1"/>
        <n v="652474.2101649642" u="1"/>
        <n v="92579.966942552855" u="1"/>
        <n v="93747.486160718152" u="1"/>
        <n v="122550.87381703503" u="1"/>
        <n v="135845.70044369382" u="1"/>
        <n v="16771.843868570988" u="1"/>
        <n v="24139.239330872719" u="1"/>
        <n v="147057.03308822235" u="1"/>
        <n v="168412.9212718067" u="1"/>
        <n v="212807.29082879561" u="1"/>
        <n v="238714.23557368398" u="1"/>
        <n v="3050.7902786145746" u="1"/>
        <n v="32732.870861879535" u="1"/>
        <n v="61912.861146815769" u="1"/>
        <n v="62315.313043446331" u="1"/>
        <n v="82438.856216295666" u="1"/>
        <n v="111154.70526096545" u="1"/>
        <n v="265688.95832147985" u="1"/>
        <n v="356617.49847718852" u="1"/>
        <n v="23629.136266025344" u="1"/>
        <n v="142841.63777158986" u="1"/>
        <n v="165861.25545449081" u="1"/>
        <n v="233237.00321744516" u="1"/>
        <n v="533699.2383636788" u="1"/>
        <n v="3753.6596987699504" u="1"/>
        <n v="52923.979942345199" u="1"/>
        <n v="582661.90570558945" u="1"/>
        <n v="32237.897853053069" u="1"/>
        <n v="48690.397758017032" u="1"/>
        <n v="820567.57429968484" u="1"/>
        <n v="1310019.9209378804" u="1"/>
        <n v="3360.9934278249775" u="1"/>
        <n v="13777.540747390383" u="1"/>
        <n v="14086.28151588547" u="1"/>
        <n v="50428.184737965465" u="1"/>
        <n v="327140.02841606678" u="1"/>
        <n v="532047.05344766495" u="1"/>
        <n v="44131.006958410762" u="1"/>
        <n v="98195.936752935828" u="1"/>
        <n v="1036.1408813184316" u="1"/>
        <n v="67260.409682620651" u="1"/>
        <n v="85188.282230643381" u="1"/>
        <n v="147318.08990688575" u="1"/>
        <n v="986312.23030693631" u="1"/>
        <n v="24778.820731642081" u="1"/>
        <n v="70956.724287298683" u="1"/>
        <n v="156644.60049215972" u="1"/>
        <n v="1290189.3249983415" u="1"/>
        <n v="12365.796650522776" u="1"/>
        <n v="34699.160003751982" u="1"/>
        <n v="64247.856189248552" u="1"/>
        <n v="328313.14619904192" u="1"/>
        <n v="358827.86917379336" u="1"/>
        <n v="95269.171326417694" u="1"/>
        <n v="1073940.8135937077" u="1"/>
        <n v="10351.58689060747" u="1"/>
        <n v="28341.623682356665" u="1"/>
        <n v="63985.975433976935" u="1"/>
        <n v="74797.051304743916" u="1"/>
        <n v="34354.644825940093" u="1"/>
        <n v="36436.725224997375" u="1"/>
        <n v="48344.26076554427" u="1"/>
        <n v="60677.725848834118" u="1"/>
        <n v="31396.753280510802" u="1"/>
        <n v="28327.626279942284" u="1"/>
        <n v="29165.26357449259" u="1"/>
        <n v="209354.41312559022" u="1"/>
        <n v="3979.2916677581402" u="1"/>
        <n v="27548.177974211379" u="1"/>
        <n v="208181.05637668251" u="1"/>
        <n v="5951.8156464396143" u="1"/>
        <n v="16975.902432892777" u="1"/>
        <n v="28958.248954981274" u="1"/>
        <n v="49738.041716659245" u="1"/>
        <n v="297158.43520020443" u="1"/>
        <n v="101252.7220487016" u="1"/>
        <n v="205800.72107468694" u="1"/>
        <n v="16560.388230884972" u="1"/>
        <n v="32276.239753558228" u="1"/>
        <n v="116176.93702051237" u="1"/>
        <n v="429486.28178723442" u="1"/>
        <n v="28528.230103041122" u="1"/>
        <n v="29771.873332325998" u="1"/>
        <n v="113686.00540272321" u="1"/>
        <n v="129164.88448287093" u="1"/>
        <n v="277613.96788719995" u="1"/>
        <n v="277814.86037379078" u="1"/>
        <n v="14842.010330071296" u="1"/>
        <n v="51487.106893831122" u="1"/>
        <n v="157456.71293470697" u="1"/>
        <n v="170254.03193759645" u="1"/>
        <n v="1972.8357521741516" u="1"/>
        <n v="3738.1224757727991" u="1"/>
        <n v="59992.4495862638" u="1"/>
        <n v="99614.536532784812" u="1"/>
        <n v="14509.464613769516" u="1"/>
        <n v="17266.92873868009" u="1"/>
        <n v="21930.642503985735" u="1"/>
        <n v="343673.42504982202" u="1"/>
        <n v="501143.14591377863" u="1"/>
        <n v="62182.902436319127" u="1"/>
        <n v="804912.4167241836" u="1"/>
        <n v="7569.0408419524701" u="1"/>
        <n v="15232.279577231559" u="1"/>
        <n v="41253.623222442809" u="1"/>
        <n v="55587.127410150555" u="1"/>
        <n v="104783.61315573388" u="1"/>
        <n v="7670.9149717570081" u="1"/>
        <n v="273559.82144251105" u="1"/>
        <n v="2648.9906694528859" u="1"/>
        <n v="23218.439953345973" u="1"/>
        <n v="96500.854211445389" u="1"/>
        <n v="15389.7852012065" u="1"/>
        <n v="51889.830419341197" u="1"/>
        <n v="767419.10435690323" u="1"/>
        <n v="60595.014909857004" u="1"/>
        <n v="90810.514780772311" u="1"/>
        <n v="96905.708306125787" u="1"/>
        <n v="22847.58783498409" u="1"/>
        <n v="26665.42442147464" u="1"/>
        <n v="31633.796236973343" u="1"/>
        <n v="40571.18305131849" u="1"/>
        <n v="44756.350115180052" u="1"/>
        <n v="66422.018639531205" u="1"/>
        <n v="169756.41054973155" u="1"/>
        <n v="55288.76140445903" u="1"/>
        <n v="88035.988865588704" u="1"/>
        <n v="102834.79557884215" u="1"/>
        <n v="21312.912614780089" u="1"/>
        <n v="22399.029796890325" u="1"/>
        <n v="93920.97641499294" u="1"/>
        <n v="296430.19903981051" u="1"/>
        <n v="407.31567260754775" u="1"/>
        <n v="19190.948762773529" u="1"/>
        <n v="20594.171622422953" u="1"/>
        <n v="30696.292606447427" u="1"/>
        <n v="31327.219923770368" u="1"/>
        <n v="39705.951715618779" u="1"/>
        <n v="78887.234341233474" u="1"/>
        <n v="81557.857920955576" u="1"/>
        <n v="21964.99549947046" u="1"/>
        <n v="224936.27742808318" u="1"/>
        <n v="17610.323393220879" u="1"/>
        <n v="107673.30176794181" u="1"/>
        <n v="108377.93733160218" u="1"/>
        <n v="202675.89763944989" u="1"/>
        <n v="17332.900101429044" u="1"/>
        <n v="23021.317876985515" u="1"/>
        <n v="37274.799810619326" u="1"/>
        <n v="44364.035429780124" u="1"/>
        <n v="61707.165496281566" u="1"/>
        <n v="91283.760539001043" u="1"/>
        <n v="163061.56152095029" u="1"/>
        <n v="267419.59921605908" u="1"/>
        <n v="1038069.7069585614" u="1"/>
        <n v="5069.9462030183204" u="1"/>
        <n v="17345.816890866106" u="1"/>
        <n v="36221.239846882818" u="1"/>
        <n v="158394.11991902761" u="1"/>
        <n v="833099.32793140411" u="1"/>
        <n v="4555.6778758197834" u="1"/>
        <n v="8104.1668414586611" u="1"/>
        <n v="21140.603927586832" u="1"/>
        <n v="66183.619907839675" u="1"/>
        <n v="233088.87059502947" u="1"/>
        <n v="383044.15912771999" u="1"/>
        <n v="1389.3216444984701" u="1"/>
        <n v="12783.820365620995" u="1"/>
        <n v="1935.6586730076021" u="1"/>
        <n v="20466.59504325633" u="1"/>
        <n v="35492.763064887549" u="1"/>
        <n v="38462.182812421117" u="1"/>
        <n v="52898.476231947177" u="1"/>
        <n v="124665.4936364945" u="1"/>
        <n v="15470.283907734858" u="1"/>
        <n v="90500.33511914486" u="1"/>
        <n v="163746.49425450282" u="1"/>
        <n v="225130.76869329324" u="1"/>
        <n v="683893.70375908981" u="1"/>
        <n v="104802.68699959197" u="1"/>
        <n v="121221.68856514912" u="1"/>
        <n v="123988.77260882354" u="1"/>
        <n v="58356.197684363462" u="1"/>
        <n v="140745.96868520696" u="1"/>
        <n v="396737.35173480969" u="1"/>
        <n v="468271.29845791287" u="1"/>
        <n v="33775.78297091143" u="1"/>
        <n v="36002.17415454919" u="1"/>
        <n v="67805.799645768595" u="1"/>
        <n v="104122.64240604485" u="1"/>
        <n v="86102.05659202268" u="1"/>
        <n v="112562.67272919201" u="1"/>
        <n v="134448.83836730089" u="1"/>
        <n v="10236.307975464668" u="1"/>
        <n v="39553.834786210587" u="1"/>
        <n v="43537.022071943888" u="1"/>
        <n v="63283.534609294031" u="1"/>
        <n v="224283.19714439774" u="1"/>
        <n v="70630.255586859712" u="1"/>
        <n v="80196.585033989308" u="1"/>
        <n v="58267.101282795658" u="1"/>
        <n v="65636.401829759474" u="1"/>
        <n v="112044.25775516534" u="1"/>
        <n v="9302.5961625033051" u="1"/>
        <n v="12259.048119748351" u="1"/>
        <n v="12288.798792155701" u="1"/>
        <n v="24548.567110974232" u="1"/>
        <n v="30151.793235269066" u="1"/>
        <n v="31325.973461318332" u="1"/>
        <n v="9834.5185540525308" u="1"/>
        <n v="13235.79767638366" u="1"/>
        <n v="45374.883211682434" u="1"/>
        <n v="59415.0775924763" u="1"/>
        <n v="94939.058471759548" u="1"/>
        <n v="950080.62654451584" u="1"/>
        <n v="7499.2165858344788" u="1"/>
        <n v="13458.341784183869" u="1"/>
        <n v="22791.630059899195" u="1"/>
        <n v="36456.803416444978" u="1"/>
        <n v="65150.032409984015" u="1"/>
        <n v="205314.34497917909" u="1"/>
        <n v="11524.258249886852" u="1"/>
        <n v="13036.053346904328" u="1"/>
        <n v="24203.590664550138" u="1"/>
        <n v="53075.994263557805" u="1"/>
        <n v="79359.311211360342" u="1"/>
        <n v="51709.414726525814" u="1"/>
        <n v="54749.701665667992" u="1"/>
        <n v="75891.138147094403" u="1"/>
        <n v="10619.67099458859" u="1"/>
        <n v="18761.372282002994" u="1"/>
        <n v="61464.524994905958" u="1"/>
        <n v="632263.7054171284" u="1"/>
        <n v="153.47350137438565" u="1"/>
        <n v="449.70147966660994" u="1"/>
        <n v="25152.298045299172" u="1"/>
        <n v="26784.040730693207" u="1"/>
        <n v="28398.203861290171" u="1"/>
        <n v="29729.380771158812" u="1"/>
        <n v="75934.769346764893" u="1"/>
        <n v="300452.60551254003" u="1"/>
        <n v="29722.160358333564" u="1"/>
        <n v="43728.259949422863" u="1"/>
        <n v="282580.92220183532" u="1"/>
        <n v="9544.3876932556268" u="1"/>
        <n v="59302.234560257188" u="1"/>
        <n v="189500.0561817385" u="1"/>
        <n v="1403117.2526727431" u="1"/>
        <n v="1890.5588031515499" u="1"/>
        <n v="5972.3865818263057" u="1"/>
        <n v="13921.373224800256" u="1"/>
        <n v="90771.519458543349" u="1"/>
        <n v="3688.044615068196" u="1"/>
        <n v="8327.4613948342085" u="1"/>
        <n v="60036.713986382783" u="1"/>
        <n v="497150.88029927795" u="1"/>
        <n v="1185451.8247822674" u="1"/>
        <n v="208326.44395546452" u="1"/>
        <n v="227902.90070477055" u="1"/>
        <n v="109595.06950346418" u="1"/>
        <n v="208470.75807320772" u="1"/>
        <n v="4479.5454070475735" u="1"/>
        <n v="16577.258407061552" u="1"/>
        <n v="34101.174981052471" u="1"/>
        <n v="74555.82236664425" u="1"/>
        <n v="10673.359692674276" u="1"/>
        <n v="43282.516486188593" u="1"/>
        <n v="50648.541415494932" u="1"/>
        <n v="120556.55144111069" u="1"/>
        <n v="1718.3715076691603" u="1"/>
        <n v="8844.2132108532278" u="1"/>
        <n v="20657.630560592137" u="1"/>
        <n v="30735.967999180342" u="1"/>
        <n v="175734.01751577735" u="1"/>
        <n v="6616.9552589286477" u="1"/>
        <n v="200183.43202168983" u="1"/>
        <n v="2459847.2483228398" u="1"/>
        <n v="3379.9290314259888" u="1"/>
        <n v="5112.7868700892486" u="1"/>
        <n v="15955.080902727192" u="1"/>
        <n v="27656.721339991953" u="1"/>
        <n v="69176.877651079136" u="1"/>
        <n v="82801.242851176503" u="1"/>
        <n v="1725819.8499999358" u="1"/>
        <n v="7547.7929177374017" u="1"/>
        <n v="32938.4875202576" u="1"/>
        <n v="661.56697843576114" u="1"/>
        <n v="349283.17329554673" u="1"/>
        <n v="6031.9347631835772" u="1"/>
        <n v="12802.383816610705" u="1"/>
        <n v="60550.351402207933" u="1"/>
        <n v="66468.476430865718" u="1"/>
        <n v="142156.26261255046" u="1"/>
        <n v="217013.86850350743" u="1"/>
        <n v="52855.746440838171" u="1"/>
        <n v="111774.57888780176" u="1"/>
        <n v="2693.4060396490668" u="1"/>
        <n v="6148.524027564853" u="1"/>
        <n v="23440.675735413559" u="1"/>
        <n v="105772.75320748136" u="1"/>
        <n v="8122.8831431962781" u="1"/>
        <n v="23440.675735413563" u="1"/>
        <n v="220832.68695997875" u="1"/>
        <n v="23440.675735413566" u="1"/>
        <n v="45963.066035794691" u="1"/>
        <n v="311785.83648773341" u="1"/>
        <n v="1504.4890966082116" u="1"/>
        <n v="4449.8298271724116" u="1"/>
        <n v="21899.751541256046" u="1"/>
        <n v="11268.514350834123" u="1"/>
        <n v="126001.73486160941" u="1"/>
        <n v="1480.7243842681064" u="1"/>
        <n v="149408.47917613227" u="1"/>
        <n v="17.571205881861687" u="1"/>
        <n v="29930.802288107912" u="1"/>
        <n v="55934.280568198665" u="1"/>
        <n v="689691.91460931743" u="1"/>
        <n v="1071695.8227569903" u="1"/>
        <n v="3038.007159670949" u="1"/>
        <n v="51090.923765948399" u="1"/>
        <n v="55915.434517244066" u="1"/>
        <n v="21029.196470588311" u="1"/>
        <n v="25441.574609097956" u="1"/>
        <n v="86251.162872698056" u="1"/>
        <n v="294805.36219137465" u="1"/>
        <n v="2524426.9696084154" u="1"/>
        <n v="18966.260937798022" u="1"/>
        <n v="20707.943445396897" u="1"/>
        <n v="43880.534241535781" u="1"/>
        <n v="95428.407096414594" u="1"/>
        <n v="205977.09058926496" u="1"/>
        <n v="236894.14190940649" u="1"/>
        <n v="4481.1023789519259" u="1"/>
        <n v="6800.4239691388993" u="1"/>
        <n v="43853.442556399932" u="1"/>
        <n v="11067.196388088696" u="1"/>
        <n v="36564.972119976577" u="1"/>
        <n v="9047.0535753784243" u="1"/>
        <n v="28250.657880729465" u="1"/>
        <n v="79620.881690368435" u="1"/>
        <n v="169556.66109007676" u="1"/>
        <n v="8253.3190760663929" u="1"/>
        <n v="11150.545838261554" u="1"/>
        <n v="14554.568036271179" u="1"/>
        <n v="21784.45514467101" u="1"/>
        <n v="8478.7829511483978" u="1"/>
        <n v="67479.129116540498" u="1"/>
        <n v="1273289.8871484124" u="1"/>
        <n v="4966.4169307015209" u="1"/>
        <n v="217107.68770777612" u="1"/>
        <n v="873209.55826191045" u="1"/>
        <n v="9435.3317766219807" u="1"/>
        <n v="2969.6559927218746" u="1"/>
        <n v="9957.2749660785848" u="1"/>
        <n v="12777.598908744025" u="1"/>
        <n v="123342.04588639454" u="1"/>
        <n v="327592.42217797303" u="1"/>
        <n v="411696.42583222367" u="1"/>
        <n v="6334.6841840228462" u="1"/>
        <n v="12727.094329126377" u="1"/>
        <n v="86760.887829361454" u="1"/>
        <n v="116999.79355527164" u="1"/>
        <n v="628605.37256375013" u="1"/>
        <n v="1281524.3800721765" u="1"/>
        <n v="23917.581465022991" u="1"/>
        <n v="41244.842321533994" u="1"/>
        <n v="81748.568596244877" u="1"/>
        <n v="276854.70786417648" u="1"/>
        <n v="8116.114073910283" u="1"/>
        <n v="14334.044278145861" u="1"/>
        <n v="20413.750088005287" u="1"/>
        <n v="30671.971231930605" u="1"/>
        <n v="44637.721840551996" u="1"/>
        <n v="85588.99992381793" u="1"/>
        <n v="402069.16156085307" u="1"/>
        <n v="8168.4100417621812" u="1"/>
        <n v="8214.5113140142894" u="1"/>
        <n v="57349.928252746635" u="1"/>
        <n v="127002.17385670364" u="1"/>
        <n v="483562.96367654658" u="1"/>
        <n v="950818.26185320632" u="1"/>
        <n v="11003.825591501696" u="1"/>
        <n v="55825.454380434378" u="1"/>
        <n v="3381.1884635062756" u="1"/>
        <n v="8458.1291126525557" u="1"/>
        <n v="16305.613067269785" u="1"/>
        <n v="24006.023760476975" u="1"/>
        <n v="24710.102806236704" u="1"/>
        <n v="39820.357615711466" u="1"/>
        <n v="59938.092966298413" u="1"/>
        <n v="106016.7896927144" u="1"/>
        <n v="174248.16423062122" u="1"/>
        <n v="17515.795244205263" u="1"/>
        <n v="37407.168084010023" u="1"/>
        <n v="38782.528598880854" u="1"/>
        <n v="282088.93514877226" u="1"/>
        <n v="2277324.4251657333" u="1"/>
        <n v="3585.5394880793742" u="1"/>
        <n v="5374.127005259822" u="1"/>
        <n v="9574.0888277008817" u="1"/>
        <n v="16858.341193877906" u="1"/>
        <n v="22246.916307444433" u="1"/>
        <n v="40673.497837563875" u="1"/>
        <n v="44382.204860129328" u="1"/>
        <n v="115051.69728871035" u="1"/>
        <n v="1853.6153008736458" u="1"/>
        <n v="7441.1601962271689" u="1"/>
        <n v="29546.736930622013" u="1"/>
        <n v="36450.432545353629" u="1"/>
        <n v="1809.7742474387962" u="1"/>
        <n v="3057.2678876470168" u="1"/>
        <n v="23321.983819382531" u="1"/>
        <n v="57958.761187607488" u="1"/>
        <n v="359.53655256856837" u="1"/>
        <n v="11000.630087500462" u="1"/>
        <n v="49476.872318257774" u="1"/>
        <n v="51706.336790092901" u="1"/>
        <n v="2304.2693428444131" u="1"/>
        <n v="43566.055521838607" u="1"/>
        <n v="95036.400220896467" u="1"/>
        <n v="119646.84848412646" u="1"/>
        <n v="144408.97772499901" u="1"/>
        <n v="45255.089957490178" u="1"/>
        <n v="77569.979714854155" u="1"/>
        <n v="190594.92555873172" u="1"/>
        <n v="631746.24977022468" u="1"/>
        <n v="26603.392163297198" u="1"/>
        <n v="4742.950941394537" u="1"/>
        <n v="9743.8903417192159" u="1"/>
        <n v="59412.373223322589" u="1"/>
        <n v="14766.848689038343" u="1"/>
        <n v="22880.60910480846" u="1"/>
        <n v="28619.144466142305" u="1"/>
        <n v="59412.373223322596" u="1"/>
        <n v="81922.663860934292" u="1"/>
        <n v="311072.5284967139" u="1"/>
        <n v="8130.6299695251" u="1"/>
        <n v="26749.345712564362" u="1"/>
        <n v="59412.373223322604" u="1"/>
        <n v="278578.14766339504" u="1"/>
        <n v="9262.4813537121008" u="1"/>
        <n v="30628.969725680447" u="1"/>
        <n v="71391.798753097974" u="1"/>
        <n v="519083.92369628238" u="1"/>
        <n v="32797.207584432654" u="1"/>
        <n v="33317.244148053491" u="1"/>
        <n v="96195.580980414117" u="1"/>
        <n v="246920.68780274279" u="1"/>
        <n v="22644.696819022098" u="1"/>
        <n v="3396.8024628813328" u="1"/>
        <n v="5602.8809174790749" u="1"/>
        <n v="8438.6189554207976" u="1"/>
        <n v="12403.489186397192" u="1"/>
        <n v="450570.59708854486" u="1"/>
        <n v="28082.209360607219" u="1"/>
        <n v="603121.12111620046" u="1"/>
        <n v="418.76993445928974" u="1"/>
        <n v="27075.661720266551" u="1"/>
        <n v="7563.517179174105" u="1"/>
        <n v="7593.0330310227582" u="1"/>
        <n v="21173.86098749916" u="1"/>
        <n v="76325.531561182055" u="1"/>
        <n v="386211.17898695695" u="1"/>
        <n v="2827.5033101820241" u="1"/>
        <n v="6447.7782195251366" u="1"/>
        <n v="9772.1647444933296" u="1"/>
        <n v="92111.053720574942" u="1"/>
        <n v="471809.50098420645" u="1"/>
        <n v="835110.20199827396" u="1"/>
        <n v="20056.466114993083" u="1"/>
        <n v="25391.768481808362" u="1"/>
        <n v="69636.141396380786" u="1"/>
        <n v="19319.838038270442" u="1"/>
        <n v="49876.888566042362" u="1"/>
        <n v="56745.238550269838" u="1"/>
        <n v="122631.30273962503" u="1"/>
        <n v="1273961.405238969" u="1"/>
        <n v="8183.9509330739647" u="1"/>
        <n v="9861.2742812197848" u="1"/>
        <n v="21062.193800420202" u="1"/>
        <n v="33144.053164297366" u="1"/>
        <n v="164027.15727541398" u="1"/>
        <n v="1905.1046147868021" u="1"/>
        <n v="33144.053164297373" u="1"/>
        <n v="33773.526555295008" u="1"/>
        <n v="92054.780405748927" u="1"/>
        <n v="180728.80981159242" u="1"/>
        <n v="621.53863043352601" u="1"/>
        <n v="3886.3306640735846" u="1"/>
        <n v="252685.32934022244" u="1"/>
        <n v="3254.157013295468" u="1"/>
        <n v="145468.10445852912" u="1"/>
        <n v="934461.79321045312" u="1"/>
        <n v="12204.797585429618" u="1"/>
        <n v="72508.132189498763" u="1"/>
        <n v="199741.24100733551" u="1"/>
        <n v="607.07587814232625" u="1"/>
        <n v="201040.26839805467" u="1"/>
        <n v="618.10590807363315" u="1"/>
        <n v="21346.782432742501" u="1"/>
        <n v="12595.791987347253" u="1"/>
        <n v="86499.242088388201" u="1"/>
        <n v="11985.358746261916" u="1"/>
        <n v="12455.126178468156" u="1"/>
        <n v="48721.514039570393" u="1"/>
        <n v="80129.900558912632" u="1"/>
        <n v="147644.83263810264" u="1"/>
        <n v="185772.8505100949" u="1"/>
        <n v="37032.932582611655" u="1"/>
        <n v="262528.41894324037" u="1"/>
        <n v="465306.54119488719" u="1"/>
        <n v="5810.8366391322761" u="1"/>
        <n v="83203.218139361692" u="1"/>
        <n v="86261.565608209741" u="1"/>
        <n v="92847.884842750282" u="1"/>
        <n v="219729.56306601479" u="1"/>
        <n v="232152.99902992891" u="1"/>
        <n v="251296.96421693559" u="1"/>
        <n v="621568.07403420529" u="1"/>
        <n v="79807.858642993349" u="1"/>
        <n v="15223.058278628134" u="1"/>
        <n v="88721.580748577646" u="1"/>
        <n v="90927.14580972059" u="1"/>
        <n v="13185.174432078757" u="1"/>
        <n v="50649.736370204279" u="1"/>
        <n v="131006.6980274056" u="1"/>
        <n v="202715.53592345025" u="1"/>
        <n v="281602.61352253531" u="1"/>
        <n v="10190.343594421505" u="1"/>
        <n v="19936.099580930953" u="1"/>
        <n v="21532.518334307239" u="1"/>
        <n v="46892.176301066087" u="1"/>
        <n v="51782.153938148243" u="1"/>
        <n v="281199.44463281444" u="1"/>
        <n v="25256.82909537134" u="1"/>
        <n v="60277.247295065419" u="1"/>
        <n v="37897.791747432602" u="1"/>
        <n v="82601.820255711165" u="1"/>
        <n v="228997.49229103824" u="1"/>
        <n v="17526.390028759815" u="1"/>
        <n v="73749.649651185755" u="1"/>
        <n v="79668.054538937096" u="1"/>
        <n v="82017.924497319138" u="1"/>
        <n v="165609.39801409264" u="1"/>
        <n v="19157.34309002549" u="1"/>
        <n v="19231.738439144603" u="1"/>
        <n v="63190.073666122727" u="1"/>
        <n v="68062.188009053338" u="1"/>
        <n v="79668.054538937111" u="1"/>
        <n v="27541.934317860749" u="1"/>
        <n v="30902.172558066064" u="1"/>
        <n v="49431.566348722692" u="1"/>
        <n v="67030.94273618891" u="1"/>
        <n v="167656.779432785" u="1"/>
        <n v="197988.90004417367" u="1"/>
        <n v="210426.01817514867" u="1"/>
        <n v="19243.69779781115" u="1"/>
        <n v="36072.690679660926" u="1"/>
        <n v="50212.997881189673" u="1"/>
        <n v="78534.623846158254" u="1"/>
        <n v="1432.7429597121377" u="1"/>
        <n v="59739.508596611071" u="1"/>
        <n v="337180.53378993989" u="1"/>
        <n v="50142.462887928508" u="1"/>
        <n v="65273.659026811467" u="1"/>
        <n v="66146.804156527796" u="1"/>
        <n v="36769.261520702588" u="1"/>
        <n v="26289.80374683797" u="1"/>
        <n v="52472.825730496763" u="1"/>
        <n v="53665.547118834409" u="1"/>
        <n v="57845.054281802637" u="1"/>
        <n v="84335.928861040753" u="1"/>
        <n v="141425.36631061029" u="1"/>
        <n v="200655.62947598391" u="1"/>
        <n v="6904.450671716837" u="1"/>
        <n v="13754.839597864639" u="1"/>
        <n v="37411.737091628165" u="1"/>
        <n v="71469.253139038745" u="1"/>
        <n v="12664897.805778533" u="1"/>
        <n v="32177.336858711536" u="1"/>
        <n v="35721.261361187971" u="1"/>
        <n v="188523.73256020335" u="1"/>
        <n v="193821.6431233063" u="1"/>
        <n v="12698.039973290943" u="1"/>
        <n v="27488.643723526464" u="1"/>
        <n v="39166.770637320929" u="1"/>
        <n v="113258.77898643613" u="1"/>
        <n v="7268.4900592316199" u="1"/>
        <n v="79522.447165401871" u="1"/>
        <n v="13833.050622310413" u="1"/>
        <n v="23355.873819326058" u="1"/>
        <n v="32110.172929466593" u="1"/>
        <n v="82106.024561392143" u="1"/>
        <n v="124023.29746943784" u="1"/>
        <n v="9937.5407457054789" u="1"/>
        <n v="17874.553185819044" u="1"/>
        <n v="100195.79415615929" u="1"/>
        <n v="118799.79037919889" u="1"/>
        <n v="1791309.4073933584" u="1"/>
        <n v="4645.9965482943244" u="1"/>
        <n v="11946.13732834531" u="1"/>
        <n v="46029.462072849114" u="1"/>
        <n v="72256.379979088582" u="1"/>
        <n v="295337.993279394" u="1"/>
        <n v="2580.510354243158" u="1"/>
        <n v="4150.0708162643714" u="1"/>
        <n v="34739.690361730856" u="1"/>
        <n v="44409.800584256525" u="1"/>
        <n v="130691.29306591122" u="1"/>
        <n v="47501.84933195031" u="1"/>
        <n v="22588.772235490662" u="1"/>
        <n v="23392.529713169923" u="1"/>
        <n v="24689.009637256422" u="1"/>
        <n v="71164.981886281341" u="1"/>
        <n v="43290.221931605454" u="1"/>
        <n v="84500.03286655304" u="1"/>
        <n v="105318.92171855681" u="1"/>
        <n v="122493.91144821144" u="1"/>
        <n v="12313.250913349721" u="1"/>
        <n v="21307.550339595764" u="1"/>
        <n v="23356.854721960794" u="1"/>
        <n v="32377.001296163096" u="1"/>
        <n v="66979.481486171557" u="1"/>
        <n v="111817.81833098343" u="1"/>
        <n v="16243.534513378741" u="1"/>
        <n v="39652.514538568837" u="1"/>
        <n v="7444.6953893910522" u="1"/>
        <n v="59760.874248905289" u="1"/>
        <n v="68104.533808317821" u="1"/>
        <n v="102803.88349497304" u="1"/>
        <n v="227770.47109317413" u="1"/>
        <n v="5095.8290963199624" u="1"/>
        <n v="155242.64209384317" u="1"/>
        <n v="856563.99611448357" u="1"/>
        <n v="1593644.5743886132" u="1"/>
        <n v="84751.317196433112" u="1"/>
        <n v="22949.642968070501" u="1"/>
        <n v="45113.181867231942" u="1"/>
        <n v="57779.032490978636" u="1"/>
        <n v="67239.66451140125" u="1"/>
        <n v="104538.6445149811" u="1"/>
        <n v="161525.16931938753" u="1"/>
        <n v="4393.1621713214508" u="1"/>
        <n v="22997.518551796282" u="1"/>
        <n v="31682.481640207225" u="1"/>
        <n v="78947.310945506528" u="1"/>
        <n v="91191.484523547362" u="1"/>
        <n v="94131.361545836524" u="1"/>
        <n v="2089.2385227155046" u="1"/>
        <n v="3439.8059444378314" u="1"/>
        <n v="17718.88932715507" u="1"/>
        <n v="130014.61420538968" u="1"/>
        <n v="243589.4392504174" u="1"/>
        <n v="332420.70461180853" u="1"/>
        <n v="19205.137867738216" u="1"/>
        <n v="60003.173555891284" u="1"/>
        <n v="65312.019182619209" u="1"/>
        <n v="22641.408785319349" u="1"/>
        <n v="65906.784643049832" u="1"/>
        <n v="69037.960279323626" u="1"/>
        <n v="302618.33382936189" u="1"/>
        <n v="998.11791828442733" u="1"/>
        <n v="2993.3847716566202" u="1"/>
        <n v="3053.3485176757422" u="1"/>
        <n v="5109.1568426385229" u="1"/>
        <n v="9847.7420415221368" u="1"/>
        <n v="70111.401534355959" u="1"/>
        <n v="84072.865945195677" u="1"/>
        <n v="204173.24127774494" u="1"/>
        <n v="290988.78461983002" u="1"/>
        <n v="136.59207258202338" u="1"/>
        <n v="219.00972892451142" u="1"/>
        <n v="13674.031772808536" u="1"/>
        <n v="33882.663470262793" u="1"/>
        <n v="95030.119541191278" u="1"/>
        <n v="9704.3051799480872" u="1"/>
        <n v="11933.869151212533" u="1"/>
        <n v="17206.120733282718" u="1"/>
        <n v="33882.6634702628" u="1"/>
        <n v="34430.389362694259" u="1"/>
        <n v="130518.24941773355" u="1"/>
        <n v="532516.34343615058" u="1"/>
        <n v="638975.96643330634" u="1"/>
        <n v="2199.2182755344643" u="1"/>
        <n v="2210.2821916077596" u="1"/>
        <n v="6123.0594026745221" u="1"/>
        <n v="46689.488639329669" u="1"/>
        <n v="544757.95634386782" u="1"/>
        <n v="867842.48953131691" u="1"/>
        <n v="100687.06872743917" u="1"/>
        <n v="104997.06275924601" u="1"/>
        <n v="408933.03865598596" u="1"/>
        <n v="553596.30468764156" u="1"/>
        <n v="725975.07750105183" u="1"/>
        <n v="8382.1544020553956" u="1"/>
        <n v="15792.23110691848" u="1"/>
        <n v="49902.715838823438" u="1"/>
        <n v="64838.700337011884" u="1"/>
        <n v="70473.626122196918" u="1"/>
        <n v="138807.49843241199" u="1"/>
        <n v="148213.1991487203" u="1"/>
        <n v="1599858.1889653553" u="1"/>
        <n v="27114.626597981514" u="1"/>
        <n v="31185.686113093943" u="1"/>
        <n v="209055.9944426649" u="1"/>
        <n v="1774154.6138303096" u="1"/>
        <n v="22672.510030364519" u="1"/>
        <n v="48394.050630012149" u="1"/>
        <n v="54134.83475377359" u="1"/>
        <n v="112623.16851986702" u="1"/>
        <n v="118893.8369910429" u="1"/>
        <n v="211511.49877274732" u="1"/>
        <n v="70653.638628941742" u="1"/>
        <n v="4700.449019204565" u="1"/>
        <n v="7519.0274078046214" u="1"/>
        <n v="10111.187378564471" u="1"/>
        <n v="20705.219639005711" u="1"/>
        <n v="46106.386611909766" u="1"/>
        <n v="64644.822041121297" u="1"/>
        <n v="70253.35121583959" u="1"/>
        <n v="70553.564125111414" u="1"/>
        <n v="385932.12432896189" u="1"/>
        <n v="4078.5929428531899" u="1"/>
        <n v="40157.971125103177" u="1"/>
        <n v="61213.781917903761" u="1"/>
        <n v="71895.414260215795" u="1"/>
        <n v="88579.180644401611" u="1"/>
        <n v="162285.00216910811" u="1"/>
        <n v="199475.49844247219" u="1"/>
        <n v="1819640.2664957806" u="1"/>
        <n v="10770.932650110646" u="1"/>
        <n v="20326.26160737914" u="1"/>
        <n v="62181.802582209129" u="1"/>
        <n v="78589.900238786067" u="1"/>
        <n v="900137.19563271268" u="1"/>
        <n v="1938662.45407163" u="1"/>
        <n v="7315.2982205209855" u="1"/>
        <n v="26017.246040556354" u="1"/>
        <n v="207077.28004274244" u="1"/>
        <n v="3928759.9629331212" u="1"/>
        <n v="6293.9926605371475" u="1"/>
        <n v="26386.893057473888" u="1"/>
        <n v="38278.334095390201" u="1"/>
        <n v="95240.611551566166" u="1"/>
        <n v="524323.78559057554" u="1"/>
        <n v="574275.61184958497" u="1"/>
        <n v="8291.7411126543957" u="1"/>
        <n v="20567.069142660792" u="1"/>
        <n v="95423.408263333404" u="1"/>
        <n v="2921987.0160335796" u="1"/>
        <n v="3498.896878381674" u="1"/>
        <n v="6765.733043915754" u="1"/>
        <n v="7895.0887242892122" u="1"/>
        <n v="27126.086215958836" u="1"/>
        <n v="51113.668940340278" u="1"/>
        <n v="69327.205218138814" u="1"/>
        <n v="15127.837597821212" u="1"/>
        <n v="47660.252496455447" u="1"/>
        <n v="55953.597961379681" u="1"/>
        <n v="125266.94483855942" u="1"/>
        <n v="149919.8522350206" u="1"/>
        <n v="167531.04856246873" u="1"/>
        <n v="68581.048344920477" u="1"/>
        <n v="91043.359497723752" u="1"/>
        <n v="183129.80125392397" u="1"/>
        <n v="3522.9341278159845" u="1"/>
        <n v="17846.985464817149" u="1"/>
        <n v="29601.371033888328" u="1"/>
        <n v="101122.07089298801" u="1"/>
        <n v="139282.55773014651" u="1"/>
        <n v="167269.27858597675" u="1"/>
        <n v="167762.21382717212" u="1"/>
        <n v="180866.38677836093" u="1"/>
        <n v="1724482.3014482297" u="1"/>
        <n v="21542.615085019013" u="1"/>
        <n v="47186.141480599086" u="1"/>
        <n v="63774.834508706605" u="1"/>
        <n v="120291.36285958202" u="1"/>
        <n v="4073457.5316404179" u="1"/>
        <n v="41512.156049468504" u="1"/>
        <n v="44211.51786637542" u="1"/>
        <n v="77168.426009361414" u="1"/>
        <n v="29765.228923179839" u="1"/>
        <n v="39397.692986596907" u="1"/>
        <n v="17046.39994026276" u="1"/>
        <n v="52642.51276797054" u="1"/>
        <n v="72707.208868085174" u="1"/>
        <n v="559651.48471128498" u="1"/>
        <n v="61111.342803185406" u="1"/>
        <n v="150904.01948521705" u="1"/>
        <n v="41512.645621380361" u="1"/>
        <n v="42643.648708995031" u="1"/>
        <n v="71963.760672353412" u="1"/>
        <n v="107273.919180928" u="1"/>
        <n v="112938.6418897024" u="1"/>
        <n v="775345.73212536843" u="1"/>
        <n v="35678.833039792131" u="1"/>
        <n v="84117.884926204104" u="1"/>
        <n v="264867.31209395261" u="1"/>
        <n v="7192.6764187052031" u="1"/>
        <n v="8451.0394506065259" u="1"/>
        <n v="28784.880246014523" u="1"/>
        <n v="39865.434216683134" u="1"/>
        <n v="55235.532799230488" u="1"/>
        <n v="57469.063358487329" u="1"/>
        <n v="81430.37864989684" u="1"/>
        <n v="112938.64188970243" u="1"/>
        <n v="34914.257915176931" u="1"/>
        <n v="80460.278625656909" u="1"/>
        <n v="97865.884925321923" u="1"/>
        <n v="188.30594368303636" u="1"/>
        <n v="37011.28988150401" u="1"/>
        <n v="118760.38864213217" u="1"/>
        <n v="119944.62858751036" u="1"/>
        <n v="182726.40948026959" u="1"/>
        <n v="22085.377884398156" u="1"/>
        <n v="89137.981813063263" u="1"/>
        <n v="192625.62643460397" u="1"/>
        <n v="256478.55821104691" u="1"/>
        <n v="77201.424445814759" u="1"/>
        <n v="77640.280843063898" u="1"/>
        <n v="273197.18490993365" u="1"/>
        <n v="32888.628460985638" u="1"/>
        <n v="370579.11611619405" u="1"/>
        <n v="252321.18371579918" u="1"/>
        <n v="44658.724233655019" u="1"/>
        <n v="93902.749501985352" u="1"/>
        <n v="102166.37561628794" u="1"/>
        <n v="336563.26365961647" u="1"/>
        <n v="366904.86028813355" u="1"/>
        <n v="101.51489648153682" u="1"/>
        <n v="21255.797287118519" u="1"/>
        <n v="35161.832091853714" u="1"/>
        <n v="63524.088259892458" u="1"/>
        <n v="78063.449733591944" u="1"/>
        <n v="110501.81405329252" u="1"/>
        <n v="389198.11154011422" u="1"/>
        <n v="24239.37357020759" u="1"/>
        <n v="46532.250841617992" u="1"/>
        <n v="49789.249857828843" u="1"/>
        <n v="60010.490816113612" u="1"/>
        <n v="2318541.7608128474" u="1"/>
        <n v="6036.0158329989117" u="1"/>
        <n v="35161.832091853728" u="1"/>
        <n v="53392.01051190593" u="1"/>
        <n v="115816.50631546348" u="1"/>
        <n v="25489.100154063563" u="1"/>
        <n v="42184.45495948202" u="1"/>
        <n v="87274.551751443461" u="1"/>
        <n v="87873.715278674747" u="1"/>
        <n v="115087.42726630402" u="1"/>
        <n v="20373.194021676292" u="1"/>
        <n v="42607.677695527702" u="1"/>
        <n v="95971.443784715841" u="1"/>
        <n v="282258.93130290828" u="1"/>
        <n v="9535.4483023867961" u="1"/>
        <n v="74884.259645819402" u="1"/>
        <n v="156129.71684830118" u="1"/>
        <n v="5784.9716906257363" u="1"/>
        <n v="33366.024656234971" u="1"/>
        <n v="45934.723304729625" u="1"/>
        <n v="51714.616767292762" u="1"/>
        <n v="94555.007358331466" u="1"/>
        <n v="159811.78006466676" u="1"/>
        <n v="254353.10777088243" u="1"/>
        <n v="8052.3347265167276" u="1"/>
        <n v="8325.9552217761848" u="1"/>
        <n v="11675.456714738251" u="1"/>
        <n v="122366.63268481624" u="1"/>
        <n v="575770.86391041323" u="1"/>
        <n v="3605.708147700002" u="1"/>
        <n v="15204.418205662896" u="1"/>
        <n v="26438.408354043939" u="1"/>
        <n v="54253.951125634179" u="1"/>
        <n v="549766.42850531149" u="1"/>
        <n v="3605.7081477000024" u="1"/>
        <n v="19350.444482530362" u="1"/>
        <n v="67746.008904191345" u="1"/>
        <n v="45792.572934749958" u="1"/>
        <n v="48876.441406542297" u="1"/>
        <n v="54066.302690350298" u="1"/>
        <n v="67746.00890419136" u="1"/>
        <n v="3605.7081477000033" u="1"/>
        <n v="215005.83143968499" u="1"/>
        <n v="217616.68024558498" u="1"/>
        <n v="190.36616997399756" u="1"/>
        <n v="26226.624659188587" u="1"/>
        <n v="28924.203728243971" u="1"/>
        <n v="38338.833598871235" u="1"/>
        <n v="73729.472014960251" u="1"/>
        <n v="81.678652341466417" u="1"/>
        <n v="32880.458733029736" u="1"/>
        <n v="55958.58816940317" u="1"/>
        <n v="38854.565552143169" u="1"/>
        <n v="68508.122839604621" u="1"/>
        <n v="105887.42927310472" u="1"/>
        <n v="332886.78445944731" u="1"/>
        <n v="397776.97872951417" u="1"/>
        <n v="13262.553502519717" u="1"/>
        <n v="14065.189757465963" u="1"/>
        <n v="23492.382777570911" u="1"/>
        <n v="29806.275089389954" u="1"/>
        <n v="32194.326735621231" u="1"/>
        <n v="66168.188905294519" u="1"/>
        <n v="5167.2369676845765" u="1"/>
        <n v="12955.173535295145" u="1"/>
        <n v="13180.374022522577" u="1"/>
        <n v="61813.94472577922" u="1"/>
        <n v="925009.38520614931" u="1"/>
        <n v="7134.5517994388465" u="1"/>
        <n v="60983.124729496762" u="1"/>
        <n v="86600.623647011918" u="1"/>
        <n v="125239.61582310835" u="1"/>
        <n v="13347.812440574864" u="1"/>
        <n v="24237.112051098" u="1"/>
        <n v="37560.222970696217" u="1"/>
        <n v="43499.577321265009" u="1"/>
        <n v="50091.048406923379" u="1"/>
        <n v="54280.554200288301" u="1"/>
        <n v="348378.84847400605" u="1"/>
        <n v="14394.109136354897" u="1"/>
        <n v="15073.916704558531" u="1"/>
        <n v="25515.345054974001" u="1"/>
        <n v="67367.069140273903" u="1"/>
        <n v="89225.618590654325" u="1"/>
        <n v="267175.4511924414" u="1"/>
        <n v="4734.661920067153" u="1"/>
        <n v="11669.369997598096" u="1"/>
        <n v="25058.122405302194" u="1"/>
        <n v="28715.348576022294" u="1"/>
        <n v="33935.12299829063" u="1"/>
        <n v="101892.11009099864" u="1"/>
        <n v="8199.7525275016251" u="1"/>
        <n v="10538.878692812868" u="1"/>
        <n v="35518.660177263206" u="1"/>
        <n v="142184.12973714835" u="1"/>
        <n v="6724.2659562862173" u="1"/>
        <n v="30678.613328195777" u="1"/>
        <n v="36584.217629721832" u="1"/>
        <n v="83971.036520815192" u="1"/>
        <n v="15541.015232702099" u="1"/>
        <n v="43446.125416744107" u="1"/>
        <n v="12494.67492964003" u="1"/>
        <n v="62769.94829528057" u="1"/>
        <n v="182333.54694411973" u="1"/>
        <n v="36837.55068849989" u="1"/>
        <n v="89695.100659628282" u="1"/>
        <n v="102332.35812548366" u="1"/>
        <n v="7729.900810954402" u="1"/>
        <n v="26217.012112095217" u="1"/>
        <n v="46812.181141054723" u="1"/>
        <n v="83091.678022708846" u="1"/>
        <n v="95473.841759552713" u="1"/>
        <n v="7444.9908318044145" u="1"/>
        <n v="40377.736252124574" u="1"/>
        <n v="46421.588462494299" u="1"/>
        <n v="46818.65702182769" u="1"/>
        <n v="65045.813778427037" u="1"/>
        <n v="70463.895108090859" u="1"/>
        <n v="93028.013455462569" u="1"/>
        <n v="218305.32041871079" u="1"/>
        <n v="278233.52408019995" u="1"/>
        <n v="283231.33718954492" u="1"/>
        <n v="524867.17571101873" u="1"/>
        <n v="23309.559463430589" u="1"/>
        <n v="52442.409733759123" u="1"/>
        <n v="8458.8903235970774" u="1"/>
        <n v="15446.794173947046" u="1"/>
        <n v="74906.072290046533" u="1"/>
        <n v="7411.6778312565866" u="1"/>
        <n v="18532.361029580537" u="1"/>
        <n v="21271.515399203046" u="1"/>
        <n v="34223.615062053461" u="1"/>
        <n v="36675.359010671353" u="1"/>
        <n v="52950.51782132683" u="1"/>
        <n v="77888.575984611147" u="1"/>
        <n v="130957.87780802006" u="1"/>
        <n v="253068.05834656407" u="1"/>
        <n v="1369.2130417491503" u="1"/>
        <n v="53170.823401374859" u="1"/>
        <n v="56582.818395861083" u="1"/>
        <n v="82978.30830648198" u="1"/>
        <n v="445929.01244496088" u="1"/>
        <n v="1297.9189047288337" u="1"/>
        <n v="4347.0902624931441" u="1"/>
        <n v="9802.3605239863282" u="1"/>
        <n v="35120.848924532977" u="1"/>
        <n v="43157.806817658595" u="1"/>
        <n v="68368.954896555966" u="1"/>
        <n v="27223.944701726567" u="1"/>
        <n v="66680.635440623533" u="1"/>
        <n v="180596.66036752544" u="1"/>
        <n v="8321.5167221850188" u="1"/>
        <n v="25353.196970475245" u="1"/>
        <n v="68963.718638449995" u="1"/>
        <n v="15374.432357537344" u="1"/>
        <n v="44375.232270875895" u="1"/>
        <n v="196525.44998102749" u="1"/>
        <n v="5029.4152486625289" u="1"/>
        <n v="88116.526485873866" u="1"/>
        <n v="97326.99980098191" u="1"/>
        <n v="8516.3992491220561" u="1"/>
        <n v="8611.2639136687594" u="1"/>
        <n v="15161.008371115808" u="1"/>
        <n v="33473.639689288342" u="1"/>
        <n v="39620.686439243647" u="1"/>
        <n v="2568.4518946438911" u="1"/>
        <n v="148545.42491939472" u="1"/>
        <n v="31342.232487054553" u="1"/>
        <n v="37413.320818614862" u="1"/>
        <n v="115992.78756489637" u="1"/>
        <n v="116092.63480992582" u="1"/>
        <n v="16489.349137752743" u="1"/>
        <n v="19635.35638729735" u="1"/>
        <n v="32440.693717128936" u="1"/>
        <n v="50188.505999991139" u="1"/>
        <n v="60632.594698681176" u="1"/>
        <n v="91178.709182421982" u="1"/>
        <n v="5064.5530316921786" u="1"/>
        <n v="30431.745329684345" u="1"/>
        <n v="33107.43707150306" u="1"/>
        <n v="65222.215609560961" u="1"/>
        <n v="96602.956184018651" u="1"/>
        <n v="163978.78280451387" u="1"/>
        <n v="11887.561842205188" u="1"/>
        <n v="29970.65827923458" u="1"/>
        <n v="59177.524595397466" u="1"/>
        <n v="163978.7828045139" u="1"/>
        <n v="827935.84838385123" u="1"/>
        <n v="11954.207825737903" u="1"/>
        <n v="397430.86959287722" u="1"/>
        <n v="1864.6158913005779" u="1"/>
        <n v="18336.592446889765" u="1"/>
        <n v="44053.049340920174" u="1"/>
        <n v="169435.52988866801" u="1"/>
        <n v="353916.59184180963" u="1"/>
        <n v="679105.87303076021" u="1"/>
        <n v="13543.440785742147" u="1"/>
        <n v="46640.101974479927" u="1"/>
        <n v="438.73315089425364" u="1"/>
        <n v="24982.263495081737" u="1"/>
        <n v="94027.268399559442" u="1"/>
        <n v="248706.48129865003" u="1"/>
        <n v="314302.19107713929" u="1"/>
        <n v="6021.5919733468772" u="1"/>
        <n v="8935.1714575159076" u="1"/>
        <n v="22898.18081369661" u="1"/>
        <n v="2402404.2450676947" u="1"/>
        <n v="17467.170267683439" u="1"/>
        <n v="29880.823639248327" u="1"/>
        <n v="1196034.5225488178" u="1"/>
        <n v="7521.1173349593437" u="1"/>
        <n v="9290.0102643555729" u="1"/>
        <n v="12540.133323201158" u="1"/>
        <n v="43532.338387470394" u="1"/>
        <n v="43847.27678118553" u="1"/>
        <n v="55667.929293683934" u="1"/>
        <n v="33621.083076623152" u="1"/>
        <n v="78225.822466085621" u="1"/>
        <n v="95098.888986560574" u="1"/>
        <n v="137558.96514667515" u="1"/>
        <n v="11202.595197694174" u="1"/>
        <n v="125579.74108449028" u="1"/>
        <n v="153739.40743719033" u="1"/>
        <n v="18352.076742909412" u="1"/>
        <n v="24352.614018813245" u="1"/>
        <n v="29907.923708058377" u="1"/>
        <n v="35887.138312095929" u="1"/>
        <n v="52336.511500803637" u="1"/>
        <n v="63021.072111429188" u="1"/>
        <n v="82428.754153743008" u="1"/>
        <n v="85150.954400634524" u="1"/>
        <n v="330810.51033135742" u="1"/>
        <n v="29026.400447384975" u="1"/>
        <n v="36357.852639213481" u="1"/>
        <n v="54925.982101939415" u="1"/>
        <n v="60974.787493076132" u="1"/>
        <n v="1674.4981925797347" u="1"/>
        <n v="4325.5750715879394" u="1"/>
        <n v="5358.267899676609" u="1"/>
        <n v="8009.85654753979" u="1"/>
        <n v="36177.34456400304" u="1"/>
        <n v="54286.014901348186" u="1"/>
        <n v="55816.481932551702" u="1"/>
        <n v="77880.974100894891" u="1"/>
        <n v="120652.83151862922" u="1"/>
        <n v="591848.37317270914" u="1"/>
        <n v="778045.65944856114" u="1"/>
        <n v="1182449.5668469546" u="1"/>
        <n v="6286.6158015415476" u="1"/>
        <n v="24109.593135607371" u="1"/>
        <n v="50339.219410941165" u="1"/>
        <n v="509035.58938562765" u="1"/>
        <n v="157741.97579645971" u="1"/>
        <n v="90196.301374510804" u="1"/>
        <n v="53.674542967249359" u="1"/>
        <n v="7747.2831788840722" u="1"/>
        <n v="337145.79905152926" u="1"/>
        <n v="28597.609906314327" u="1"/>
        <n v="50337.842122809008" u="1"/>
        <n v="28491.862111561626" u="1"/>
        <n v="70815.423529989115" u="1"/>
        <n v="96982.699029543001" u="1"/>
        <n v="184254.26679305098" u="1"/>
        <n v="203717.3921739595" u="1"/>
        <n v="311432.98873044178" u="1"/>
        <n v="1273840.8354939476" u="1"/>
        <n v="2422576.8354694638" u="1"/>
        <n v="11580.098150301641" u="1"/>
        <n v="25371.759260712584" u="1"/>
        <n v="30273.766730694202" u="1"/>
        <n v="55036.120964343303" u="1"/>
        <n v="106077.00820407578" u="1"/>
        <n v="114343.68037136678" u="1"/>
        <n v="634587.67689545103" u="1"/>
        <n v="5946.1726618643306" u="1"/>
        <n v="23411.883179393262" u="1"/>
        <n v="29222.186051451616" u="1"/>
        <n v="36126.392170624145" u="1"/>
        <n v="212434.53879244436" u="1"/>
        <n v="756466.85279190494" u="1"/>
        <n v="2008.6036693739779" u="1"/>
        <n v="172663.97866101004" u="1"/>
        <n v="308592.94241277577" u="1"/>
        <n v="7122.0695548993835" u="1"/>
        <n v="23488.186181396351" u="1"/>
        <n v="33433.939013068652" u="1"/>
        <n v="38409.800039985959" u="1"/>
        <n v="55392.980741548803" u="1"/>
        <n v="89001.644179153373" u="1"/>
        <n v="89963.230121625922" u="1"/>
        <n v="99707.683696803535" u="1"/>
        <n v="9985.4375164895846" u="1"/>
        <n v="26676.144346768964" u="1"/>
        <n v="31522.15725755395" u="1"/>
        <n v="96452.531707598187" u="1"/>
        <n v="12740.024011215733" u="1"/>
        <n v="90511.61590469029" u="1"/>
        <n v="123854.67159299634" u="1"/>
        <n v="851015.26501469582" u="1"/>
        <n v="79405.68883097783" u="1"/>
        <n v="6076.7961529871236" u="1"/>
        <n v="22399.101782007168" u="1"/>
        <n v="24691.473235318579" u="1"/>
        <n v="32344.159348959365" u="1"/>
        <n v="40857.907608024099" u="1"/>
        <n v="113451.70548825873" u="1"/>
        <n v="1552402.308620895" u="1"/>
        <n v="53.187216554119615" u="1"/>
        <n v="17202.516172718537" u="1"/>
        <n v="14196.74657651592" u="1"/>
        <n v="20734.425640131969" u="1"/>
        <n v="28498.20005822368" u="1"/>
        <n v="52566.203321674453" u="1"/>
        <n v="66241.312566217297" u="1"/>
        <n v="273972.90251047973" u="1"/>
        <n v="418369.9652174121" u="1"/>
        <n v="24570.273810221304" u="1"/>
        <n v="55542.040451417197" u="1"/>
        <n v="72392.791278056015" u="1"/>
        <n v="326912.61068746826" u="1"/>
        <n v="509643.19580968475" u="1"/>
        <n v="2518968.7607578165" u="1"/>
        <n v="17706.836876881542" u="1"/>
        <n v="47265.503345502519" u="1"/>
        <n v="50929.792587747797" u="1"/>
        <n v="65049.545098068818" u="1"/>
        <n v="78313.761414224995" u="1"/>
        <n v="530.13589066388977" u="1"/>
        <n v="5508.3822936895085" u="1"/>
        <n v="17093.592242601331" u="1"/>
        <n v="18916.423539646803" u="1"/>
        <n v="76784.155201793634" u="1"/>
        <n v="2766.7138775095814" u="1"/>
        <n v="41472.976974391771" u="1"/>
        <n v="45195.413170081731" u="1"/>
        <n v="48923.040812129126" u="1"/>
        <n v="215288.49349804502" u="1"/>
        <n v="342332.65749847598" u="1"/>
        <n v="10399.130875023393" u="1"/>
        <n v="32650.3401757871" u="1"/>
        <n v="42591.454962924632" u="1"/>
        <n v="43037.19613692577" u="1"/>
        <n v="306122.86920392601" u="1"/>
        <n v="41.731613969421502" u="1"/>
        <n v="6286.5949129428927" u="1"/>
        <n v="12313.489448040495" u="1"/>
        <n v="14127.528894417232" u="1"/>
        <n v="20738.335136345893" u="1"/>
        <n v="232797.10160387171" u="1"/>
        <n v="2102.2630147016325" u="1"/>
        <n v="16125.239476122651" u="1"/>
        <n v="46001.33624195314" u="1"/>
        <n v="66082.980842974212" u="1"/>
        <n v="199183.2301377767" u="1"/>
        <n v="124932.44044860717" u="1"/>
        <n v="1978.4260917763404" u="1"/>
        <n v="11260.681081317562" u="1"/>
        <n v="44712.095396823286" u="1"/>
        <n v="118964.6109301675" u="1"/>
        <n v="181803.36881303132" u="1"/>
        <n v="108945.32451011383" u="1"/>
        <n v="282170.94335276692" u="1"/>
        <n v="11449.183828253703" u="1"/>
        <n v="51443.348598794204" u="1"/>
        <n v="70189.623429261585" u="1"/>
        <n v="110961.27512350229" u="1"/>
        <n v="10156.848270899654" u="1"/>
        <n v="17672.530571088006" u="1"/>
        <n v="27643.416695444441" u="1"/>
        <n v="35327.031911545579" u="1"/>
        <n v="210083.05758070396" u="1"/>
        <n v="225899.44412543229" u="1"/>
        <n v="1884.7244940498983" u="1"/>
        <n v="8383.358190822004" u="1"/>
        <n v="13981.644355659617" u="1"/>
        <n v="44807.661325448338" u="1"/>
        <n v="53972.027353011552" u="1"/>
        <n v="110503.80288116501" u="1"/>
        <n v="30812.018776634693" u="1"/>
        <n v="52717.036284070717" u="1"/>
        <n v="102079.51846804009" u="1"/>
        <n v="156.35627733937858" u="1"/>
        <n v="14788.277683870745" u="1"/>
        <n v="108555.65431899652" u="1"/>
        <n v="373706.3704057968" u="1"/>
        <n v="32524.908473194559" u="1"/>
        <n v="43591.144154217036" u="1"/>
        <n v="60997.710303201551" u="1"/>
        <n v="86840.127645062035" u="1"/>
        <n v="111980.32351809941" u="1"/>
        <n v="176322.37597271628" u="1"/>
        <n v="921109.16237385781" u="1"/>
        <n v="8020.969993084319" u="1"/>
        <n v="9101.3988479529871" u="1"/>
        <n v="9520.2324415180246" u="1"/>
        <n v="13665.8124944705" u="1"/>
        <n v="17123.895672079747" u="1"/>
        <n v="26554.366266992569" u="1"/>
        <n v="35685.04153355302" u="1"/>
        <n v="5651.5242681882801" u="1"/>
        <n v="9350.2218618109928" u="1"/>
        <n v="12032.889183901301" u="1"/>
        <n v="82216.582088509909" u="1"/>
        <n v="403585.63800780691" u="1"/>
        <n v="19486.194128354662" u="1"/>
        <n v="23696.997986472539" u="1"/>
        <n v="49576.882564685657" u="1"/>
        <n v="108467.38969680047" u="1"/>
        <n v="32565.493287818204" u="1"/>
        <n v="40717.065942741639" u="1"/>
        <n v="43987.960860357271" u="1"/>
        <n v="78743.148846477299" u="1"/>
        <n v="87140.658680201639" u="1"/>
        <n v="429833.78333397856" u="1"/>
        <n v="58349.975487565753" u="1"/>
        <n v="153503.14894764303" u="1"/>
        <n v="203790.8731874068" u="1"/>
        <n v="4526.2433520158129" u="1"/>
        <n v="19082.359777594134" u="1"/>
        <n v="51667.742264233355" u="1"/>
        <n v="281.05364728811395" u="1"/>
        <n v="42558.529228026942" u="1"/>
        <n v="50950.634607136883" u="1"/>
        <n v="10222.307876195247" u="1"/>
        <n v="19832.730216792112" u="1"/>
        <n v="21630.192220048659" u="1"/>
        <n v="74042.101700721818" u="1"/>
        <n v="115717.18869108908" u="1"/>
        <n v="821354.00876391307" u="1"/>
        <n v="1023522.6609897611" u="1"/>
        <n v="74829.98904084161" u="1"/>
        <n v="7352.0411478667338" u="1"/>
        <n v="28635.483863897323" u="1"/>
        <n v="40428.366914299848" u="1"/>
        <n v="59934.774056656162" u="1"/>
        <n v="382412.45952237537" u="1"/>
        <n v="20000.158711544162" u="1"/>
        <n v="22541.077614743943" u="1"/>
        <n v="25233.220168453074" u="1"/>
        <n v="25321.066805065719" u="1"/>
        <n v="100243.46128364958" u="1"/>
        <n v="6391.9101828104976" u="1"/>
        <n v="15337.065393959232" u="1"/>
        <n v="31889.926915618627" u="1"/>
        <n v="151787.65590510197" u="1"/>
        <n v="549470.51265320566" u="1"/>
        <n v="1001204.7948991834" u="1"/>
        <n v="2884.8800044408176" u="1"/>
        <n v="6390.9865718792926" u="1"/>
        <n v="32428.012794657392" u="1"/>
        <n v="14992.405880467102" u="1"/>
        <n v="43385.911050112896" u="1"/>
        <n v="13441.101114164405" u="1"/>
        <n v="32649.017041887895" u="1"/>
        <n v="34571.05331528667" u="1"/>
        <n v="72910.71269053602" u="1"/>
        <n v="176002.38580668034" u="1"/>
        <n v="201358.94172593212" u="1"/>
        <n v="240863.49835846358" u="1"/>
        <n v="245476.79462218026" u="1"/>
        <n v="28746.222667499984" u="1"/>
        <n v="29723.92446047573" u="1"/>
        <n v="46962.677924525247" u="1"/>
        <n v="175839.60115121279" u="1"/>
        <n v="176890.56535141772" u="1"/>
        <n v="29678.782635814117" u="1"/>
        <n v="44202.749627138342" u="1"/>
        <n v="235398.36289009973" u="1"/>
        <n v="5887.0044460294575" u="1"/>
        <n v="14389.15880963482" u="1"/>
        <n v="71725.808944556804" u="1"/>
        <n v="77058.694118588202" u="1"/>
        <n v="93164.962291721531" u="1"/>
        <n v="135289.96955516355" u="1"/>
        <n v="228376.59691710214" u="1"/>
        <n v="475754.91231693781" u="1"/>
        <n v="43707.373159355506" u="1"/>
        <n v="59868.521678344558" u="1"/>
        <n v="210134.70662937421" u="1"/>
        <n v="263044.70905401552" u="1"/>
        <n v="914.80090622442412" u="1"/>
        <n v="44746.245030039514" u="1"/>
        <n v="88881.96270566099" u="1"/>
        <n v="288062.72241567227" u="1"/>
        <n v="119621.1626133333" u="1"/>
        <n v="6838.4741380332325" u="1"/>
        <n v="30632.178802900995" u="1"/>
        <n v="65400.141589875057" u="1"/>
        <n v="158245.62958982529" u="1"/>
        <n v="170307.07901905163" u="1"/>
        <n v="256503.63122206272" u="1"/>
        <n v="9280.289780515759" u="1"/>
        <n v="17474.325369066315" u="1"/>
        <n v="56069.194359860434" u="1"/>
        <n v="73035.431316995528" u="1"/>
        <n v="161419.28454610845" u="1"/>
        <n v="11974.772945002052" u="1"/>
        <n v="31956.953802178363" u="1"/>
        <n v="34783.322742113771" u="1"/>
        <n v="22142.510122643911" u="1"/>
        <n v="29252.963164854289" u="1"/>
        <n v="271391.73868693557" u="1"/>
        <n v="9536.5028636508559" u="1"/>
        <n v="24799.13761528533" u="1"/>
        <n v="75786.12357474443" u="1"/>
        <n v="158571.67208960152" u="1"/>
        <n v="5437.4544466133357" u="1"/>
        <n v="21976.841672865477" u="1"/>
        <n v="44664.698719747379" u="1"/>
        <n v="78809.598618703312" u="1"/>
        <n v="128836.57889707023" u="1"/>
        <n v="108077.77070361731" u="1"/>
        <n v="146318.90548500975" u="1"/>
        <n v="451149.11513800954" u="1"/>
        <n v="30588.411607900151" u="1"/>
        <n v="116357.39245532801" u="1"/>
        <n v="18292.7697080166" u="1"/>
        <n v="23282.372063539569" u="1"/>
        <n v="50339.603834911613" u="1"/>
        <n v="79676.529120291787" u="1"/>
        <n v="109601.974735568" u="1"/>
        <n v="203010.34049779995" u="1"/>
        <n v="9645.5912273774502" u="1"/>
        <n v="51448.470802004245" u="1"/>
        <n v="80065.492425079923" u="1"/>
        <n v="235938.42420976548" u="1"/>
        <n v="22249.562175942614" u="1"/>
        <n v="51522.239748679378" u="1"/>
        <n v="196825.72602886349" u="1"/>
        <n v="1034414.1997282464" u="1"/>
        <n v="99050.361066503639" u="1"/>
        <n v="820476.61084153422" u="1"/>
        <n v="13884.095366210006" u="1"/>
        <n v="83343.460333552954" u="1"/>
        <n v="235365.68334757729" u="1"/>
        <n v="816974.65441410814" u="1"/>
        <n v="4287382.8321204334" u="1"/>
        <n v="859.18575383458017" u="1"/>
        <n v="31993.673864081025" u="1"/>
        <n v="41600.945896037578" u="1"/>
        <n v="47449.578080234351" u="1"/>
        <n v="59660.389178850026" u="1"/>
        <n v="1253700.8150321685" u="1"/>
        <n v="10402.220307650532" u="1"/>
        <n v="18449.879227908998" u="1"/>
        <n v="57993.755021865072" u="1"/>
        <n v="66288.956311828821" u="1"/>
        <n v="252973.43343053342" u="1"/>
        <n v="9206.3723172551236" u="1"/>
        <n v="12287.931463385357" u="1"/>
        <n v="46509.50776290441" u="1"/>
        <n v="65520.847571320948" u="1"/>
        <n v="180516.05318637492" u="1"/>
        <n v="248498.135477681" u="1"/>
        <n v="689215.52239439101" u="1"/>
        <n v="12495.153305120513" u="1"/>
        <n v="19837.053659091358" u="1"/>
        <n v="66046.680820415466" u="1"/>
      </sharedItems>
    </cacheField>
    <cacheField name="Depreciated Replacement Cost" numFmtId="0">
      <sharedItems containsNonDate="0" containsString="0" containsBlank="1" containsNumber="1" minValue="0" maxValue="73647772.619136244" count="8000">
        <m/>
        <n v="5970.3683297484467" u="1"/>
        <n v="84440.085870474737" u="1"/>
        <n v="541530.8967423467" u="1"/>
        <n v="779348.20998532441" u="1"/>
        <n v="86039.297706469835" u="1"/>
        <n v="387313.84642143548" u="1"/>
        <n v="105012.5253796115" u="1"/>
        <n v="157485.22086621626" u="1"/>
        <n v="494736.04160414007" u="1"/>
        <n v="439884.71705289325" u="1"/>
        <n v="24815.843148392949" u="1"/>
        <n v="411359.99610579247" u="1"/>
        <n v="87794.320863769884" u="1"/>
        <n v="53178.811398688238" u="1"/>
        <n v="64376.070787764569" u="1"/>
        <n v="136872.67857605976" u="1"/>
        <n v="240548.19873474856" u="1"/>
        <n v="34478.368518718184" u="1"/>
        <n v="89802.497012886612" u="1"/>
        <n v="131851.02303298525" u="1"/>
        <n v="49599.924516961648" u="1"/>
        <n v="848004.79481466278" u="1"/>
        <n v="84305.318912853036" u="1"/>
        <n v="546333.32762297627" u="1"/>
        <n v="174995.34686282696" u="1"/>
        <n v="109895.14453628274" u="1"/>
        <n v="427069.03913448041" u="1"/>
        <n v="36709.784243829636" u="1"/>
        <n v="69600.132665372104" u="1"/>
        <n v="160191.84290026687" u="1"/>
        <n v="73455.385816241309" u="1"/>
        <n v="57319.615255075332" u="1"/>
        <n v="56612.738494195801" u="1"/>
        <n v="317733.40395176073" u="1"/>
        <n v="422661.43243514054" u="1"/>
        <n v="56547.4713632688" u="1"/>
        <n v="38237.017757714842" u="1"/>
        <n v="125067.3619264983" u="1"/>
        <n v="40859.002254999803" u="1"/>
        <n v="20340.037989633202" u="1"/>
        <n v="1170595.3561347399" u="1"/>
        <n v="68255.499874354486" u="1"/>
        <n v="1654035.3751928906" u="1"/>
        <n v="525474.12001872482" u="1"/>
        <n v="226096.6096669074" u="1"/>
        <n v="1137691.7919515306" u="1"/>
        <n v="1118521.1590801682" u="1"/>
        <n v="73826.980934577194" u="1"/>
        <n v="542666.14342316263" u="1"/>
        <n v="19964.406118863473" u="1"/>
        <n v="172767.6884941443" u="1"/>
        <n v="279998.95121927385" u="1"/>
        <n v="84305.273552080587" u="1"/>
        <n v="131501.44329403149" u="1"/>
        <n v="33755.751600826959" u="1"/>
        <n v="48135.744321916805" u="1"/>
        <n v="20290.193163581949" u="1"/>
        <n v="316627.22218808037" u="1"/>
        <n v="763500.89701931807" u="1"/>
        <n v="651581.75364264485" u="1"/>
        <n v="137514.56603873038" u="1"/>
        <n v="102391.66690656441" u="1"/>
        <n v="18409.801256530533" u="1"/>
        <n v="415284.09418678773" u="1"/>
        <n v="58389.044487391715" u="1"/>
        <n v="1782864.9984573657" u="1"/>
        <n v="3463981.7275557155" u="1"/>
        <n v="708364.80033067032" u="1"/>
        <n v="64649.76209622591" u="1"/>
        <n v="38825.320512889688" u="1"/>
        <n v="21398.366073548921" u="1"/>
        <n v="9008.5627554884923" u="1"/>
        <n v="34315.826524811884" u="1"/>
        <n v="23348.294050831915" u="1"/>
        <n v="151062.83658592036" u="1"/>
        <n v="19065.638532920537" u="1"/>
        <n v="48711.965222158076" u="1"/>
        <n v="57285.204312142741" u="1"/>
        <n v="187068.06332463966" u="1"/>
        <n v="88956.012325021191" u="1"/>
        <n v="79073.316884763306" u="1"/>
        <n v="15024.363482411647" u="1"/>
        <n v="209745.02858036562" u="1"/>
        <n v="24475.222830545354" u="1"/>
        <n v="93733.043207137787" u="1"/>
        <n v="96265.278444155803" u="1"/>
        <n v="96486.543128064746" u="1"/>
        <n v="34732.084850871979" u="1"/>
        <n v="48363.849195950104" u="1"/>
        <n v="37453.640687212639" u="1"/>
        <n v="25689.283761534818" u="1"/>
        <n v="32614.650260077589" u="1"/>
        <n v="322720.63772833155" u="1"/>
        <n v="49281.874000507014" u="1"/>
        <n v="10938.675767132045" u="1"/>
        <n v="58132.03392412285" u="1"/>
        <n v="77941.323207886482" u="1"/>
        <n v="25317.77736172589" u="1"/>
        <n v="63899.120791648893" u="1"/>
        <n v="29258.741021874659" u="1"/>
        <n v="10861.455413867539" u="1"/>
        <n v="17301.32147012309" u="1"/>
        <n v="14169.522017634834" u="1"/>
        <n v="116533.33038750189" u="1"/>
        <n v="27202.350397430382" u="1"/>
        <n v="10320.350547411832" u="1"/>
        <n v="16373.540037210254" u="1"/>
        <n v="8036.8390310969753" u="1"/>
        <n v="1750.1482637911286" u="1"/>
        <n v="30055.191238570769" u="1"/>
        <n v="9821.1864653108805" u="1"/>
        <n v="8226.4624430579661" u="1"/>
        <n v="8459.7493821808366" u="1"/>
        <n v="14292.300151923986" u="1"/>
        <n v="9051.7628279392793" u="1"/>
        <n v="10958.131298261927" u="1"/>
        <n v="428334.76219197118" u="1"/>
        <n v="52730.025350618576" u="1"/>
        <n v="23863.193546866009" u="1"/>
        <n v="86296.124544649661" u="1"/>
        <n v="79300.489580867288" u="1"/>
        <n v="14055.392727455755" u="1"/>
        <n v="27640.626006930066" u="1"/>
        <n v="29509.502283837239" u="1"/>
        <n v="33763.809295273968" u="1"/>
        <n v="232653.66076444788" u="1"/>
        <n v="5634.4962990034528" u="1"/>
        <n v="30277.908339457776" u="1"/>
        <n v="27983.117054280006" u="1"/>
        <n v="48349.804806319124" u="1"/>
        <n v="433992.1245460182" u="1"/>
        <n v="56930.520459007072" u="1"/>
        <n v="41453.276361627097" u="1"/>
        <n v="72977.548626616044" u="1"/>
        <n v="40444.07077371065" u="1"/>
        <n v="9874.1312030600784" u="1"/>
        <n v="33745.373047943613" u="1"/>
        <n v="28848.639954119084" u="1"/>
        <n v="71417.398730052693" u="1"/>
        <n v="57578.293982860254" u="1"/>
        <n v="69550.334417923936" u="1"/>
        <n v="16339.63375851954" u="1"/>
        <n v="15084.585963933439" u="1"/>
        <n v="39380.55856743711" u="1"/>
        <n v="84560.0433955302" u="1"/>
        <n v="38775.584501890051" u="1"/>
        <n v="16573.42202169188" u="1"/>
        <n v="22672.32734083027" u="1"/>
        <n v="54335.67033364989" u="1"/>
        <n v="25847.424657278192" u="1"/>
        <n v="114183.05349603684" u="1"/>
        <n v="79339.236450159064" u="1"/>
        <n v="22696.458393904875" u="1"/>
        <n v="48560.389956927509" u="1"/>
        <n v="20812.205000357011" u="1"/>
        <n v="81043.588342110932" u="1"/>
        <n v="10242.52647035064" u="1"/>
        <n v="86442.528787835297" u="1"/>
        <n v="109561.88256279851" u="1"/>
        <n v="107576.76424778263" u="1"/>
        <n v="91559.143787697976" u="1"/>
        <n v="102378.94974119304" u="1"/>
        <n v="93445.901894718263" u="1"/>
        <n v="64673.16437529269" u="1"/>
        <n v="135067.15990543005" u="1"/>
        <n v="92277.701050485921" u="1"/>
        <n v="46535.16690913096" u="1"/>
        <n v="55498.490347228872" u="1"/>
        <n v="26744.160714406135" u="1"/>
        <n v="39662.069851729771" u="1"/>
        <n v="23744.828251054147" u="1"/>
        <n v="57813.580993480544" u="1"/>
        <n v="9815.9073672177601" u="1"/>
        <n v="37565.915881955741" u="1"/>
        <n v="109698.43731629562" u="1"/>
        <n v="56029.414791954376" u="1"/>
        <n v="33259.259989305887" u="1"/>
        <n v="302473.94743963308" u="1"/>
        <n v="65095.145421957801" u="1"/>
        <n v="27815.892958485994" u="1"/>
        <n v="102791.32353160248" u="1"/>
        <n v="327286.25644370157" u="1"/>
        <n v="121064.93598702476" u="1"/>
        <n v="17150.541451609777" u="1"/>
        <n v="29461.654862990123" u="1"/>
        <n v="15217.67280022157" u="1"/>
        <n v="29346.282358912751" u="1"/>
        <n v="47945.101754549745" u="1"/>
        <n v="47907.442249037638" u="1"/>
        <n v="236832.3299400442" u="1"/>
        <n v="30620.453976481742" u="1"/>
        <n v="21510.475122171552" u="1"/>
        <n v="363781.69708471233" u="1"/>
        <n v="10905.627093908539" u="1"/>
        <n v="36022.902615142724" u="1"/>
        <n v="35834.63910953435" u="1"/>
        <n v="9357.3479096154042" u="1"/>
        <n v="8454.5939998595568" u="1"/>
        <n v="14848.31875535908" u="1"/>
        <n v="6469.8506209252446" u="1"/>
        <n v="23841.814075193564" u="1"/>
        <n v="85466.519315237543" u="1"/>
        <n v="37790.787339152703" u="1"/>
        <n v="8970.562090650641" u="1"/>
        <n v="13887.175345458279" u="1"/>
        <n v="49315.818699206706" u="1"/>
        <n v="328692.79089800734" u="1"/>
        <n v="331752.5876856331" u="1"/>
        <n v="175238.81716573937" u="1"/>
        <n v="1103545.8462779722" u="1"/>
        <n v="218762.08016373788" u="1"/>
        <n v="307953.75843284227" u="1"/>
        <n v="148518.2605182449" u="1"/>
        <n v="1070111.8999588266" u="1"/>
        <n v="309942.59395354346" u="1"/>
        <n v="10050.995709509569" u="1"/>
        <n v="401834.71427651617" u="1"/>
        <n v="493823.6286536032" u="1"/>
        <n v="2605718.3738273932" u="1"/>
        <n v="1366334.6777233051" u="1"/>
        <n v="161894.7583396422" u="1"/>
        <n v="39511.586608357589" u="1"/>
        <n v="393365.30075415689" u="1"/>
        <n v="65099.383246308091" u="1"/>
        <n v="222156.33467890753" u="1"/>
        <n v="1576270.6885847808" u="1"/>
        <n v="542037.31502049696" u="1"/>
        <n v="114336.7464961318" u="1"/>
        <n v="424624.22219388373" u="1"/>
        <n v="97461.225298298348" u="1"/>
        <n v="550842.61334520159" u="1"/>
        <n v="1776854.9789056396" u="1"/>
        <n v="411228.56782129849" u="1"/>
        <n v="88238.334778656164" u="1"/>
        <n v="416323.09575110563" u="1"/>
        <n v="252567.11330571451" u="1"/>
        <n v="103969.04385100027" u="1"/>
        <n v="339785.0864401118" u="1"/>
        <n v="92540.222418140926" u="1"/>
        <n v="439453.25192245969" u="1"/>
        <n v="656659.19987966737" u="1"/>
        <n v="701111.46270683617" u="1"/>
        <n v="408223.98228721053" u="1"/>
        <n v="144172.16050123179" u="1"/>
        <n v="1134354.8430252736" u="1"/>
        <n v="679782.07377878053" u="1"/>
        <n v="231121.97155627902" u="1"/>
        <n v="43353.630481146225" u="1"/>
        <n v="67845.149991242797" u="1"/>
        <n v="205622.71851155913" u="1"/>
        <n v="43354.696742891261" u="1"/>
        <n v="724626.62261419534" u="1"/>
        <n v="64947.244302339866" u="1"/>
        <n v="571777.28549815738" u="1"/>
        <n v="394326.78577894287" u="1"/>
        <n v="748942.15391849726" u="1"/>
        <n v="344222.23432467459" u="1"/>
        <n v="486265.4796219191" u="1"/>
        <n v="268994.43977521022" u="1"/>
        <n v="226821.57827211288" u="1"/>
        <n v="312438.55607061484" u="1"/>
        <n v="289264.49691780587" u="1"/>
        <n v="211755.99082618303" u="1"/>
        <n v="212377.9569449166" u="1"/>
        <n v="509543.64477379969" u="1"/>
        <n v="244206.72258999827" u="1"/>
        <n v="192459.27518439677" u="1"/>
        <n v="260051.05311750367" u="1"/>
        <n v="445884.64297362306" u="1"/>
        <n v="226983.65475352082" u="1"/>
        <n v="22343.345991136724" u="1"/>
        <n v="3118495.481136329" u="1"/>
        <n v="108047.51347269515" u="1"/>
        <n v="170082.49113470915" u="1"/>
        <n v="163305.32564379397" u="1"/>
        <n v="163478.35885590228" u="1"/>
        <n v="120696.1315732228" u="1"/>
        <n v="116023.64080853254" u="1"/>
        <n v="123345.47506403687" u="1"/>
        <n v="118914.09632939557" u="1"/>
        <n v="135663.60653466801" u="1"/>
        <n v="252149.23891896967" u="1"/>
        <n v="267305.01779296761" u="1"/>
        <n v="834055.05383904302" u="1"/>
        <n v="906167.09219678259" u="1"/>
        <n v="918752.50777854584" u="1"/>
        <n v="886447.21151675889" u="1"/>
        <n v="689264.76264199219" u="1"/>
        <n v="375403.48610591004" u="1"/>
        <n v="580512.6481729506" u="1"/>
        <n v="628599.12935441406" u="1"/>
        <n v="678241.13607476139" u="1"/>
        <n v="353160.93682843988" u="1"/>
        <n v="321545.7527540169" u="1"/>
        <n v="133076.04949839809" u="1"/>
        <n v="121638.81144821749" u="1"/>
        <n v="177665.13895786426" u="1"/>
        <n v="117995.84339665892" u="1"/>
        <n v="162936.37809270088" u="1"/>
        <n v="550672.55082837073" u="1"/>
        <n v="2130507.5246545523" u="1"/>
        <n v="599404.04406426894" u="1"/>
        <n v="226489.12498379115" u="1"/>
        <n v="326426.70635735861" u="1"/>
        <n v="200810.78743193948" u="1"/>
        <n v="189055.37386692769" u="1"/>
        <n v="131583.86554799549" u="1"/>
        <n v="238053.74421141201" u="1"/>
        <n v="199043.32824185345" u="1"/>
        <n v="218159.74875275168" u="1"/>
        <n v="172656.4671700527" u="1"/>
        <n v="205529.86031017633" u="1"/>
        <n v="183917.18402958941" u="1"/>
        <n v="176569.11861738062" u="1"/>
        <n v="260818.40434364081" u="1"/>
        <n v="189254.10625404038" u="1"/>
        <n v="393069.28017820581" u="1"/>
        <n v="358782.17841493234" u="1"/>
        <n v="254277.35598599538" u="1"/>
        <n v="252834.2703396068" u="1"/>
        <n v="98040.504903536843" u="1"/>
        <n v="101073.85179460341" u="1"/>
        <n v="63692.198538657962" u="1"/>
        <n v="208795.42785354803" u="1"/>
        <n v="204746.52418961699" u="1"/>
        <n v="53370.351416187186" u="1"/>
        <n v="184405.05698092649" u="1"/>
        <n v="704066.85515051568" u="1"/>
        <n v="450541.68625859922" u="1"/>
        <n v="668539.61430078861" u="1"/>
        <n v="903783.23072201025" u="1"/>
        <n v="107380.52149839539" u="1"/>
        <n v="309610.54449960706" u="1"/>
        <n v="549555.14795831358" u="1"/>
        <n v="320726.73799501476" u="1"/>
        <n v="239727.90923916211" u="1"/>
        <n v="198417.61531582067" u="1"/>
        <n v="235928.21304823703" u="1"/>
        <n v="327015.91469267593" u="1"/>
        <n v="114603.72888371498" u="1"/>
        <n v="2117456.4061511648" u="1"/>
        <n v="5016709.6428141557" u="1"/>
        <n v="373488.36549763416" u="1"/>
        <n v="204471.06777802214" u="1"/>
        <n v="161088.47931388335" u="1"/>
        <n v="213365.42023370741" u="1"/>
        <n v="324012.01134651358" u="1"/>
        <n v="65269.947977853917" u="1"/>
        <n v="1683237.5836130651" u="1"/>
        <n v="102323.7220578061" u="1"/>
        <n v="69054.935955475943" u="1"/>
        <n v="179003.07929267734" u="1"/>
        <n v="292410.11282827717" u="1"/>
        <n v="259101.71193782004" u="1"/>
        <n v="284150.87532789324" u="1"/>
        <n v="205251.721684102" u="1"/>
        <n v="575670.76243384881" u="1"/>
        <n v="466714.84659676161" u="1"/>
        <n v="98811.541700999485" u="1"/>
        <n v="35587.810457731393" u="1"/>
        <n v="58152.947527509808" u="1"/>
        <n v="200957.41365471596" u="1"/>
        <n v="79061.894041448279" u="1"/>
        <n v="456405.58091356541" u="1"/>
        <n v="42160.331265023407" u="1"/>
        <n v="18709.326040834072" u="1"/>
        <n v="58301.917313978644" u="1"/>
        <n v="1069181.5282604359" u="1"/>
        <n v="209735.33776409557" u="1"/>
        <n v="23479.988761489374" u="1"/>
        <n v="26750.581347647247" u="1"/>
        <n v="109488.85465658076" u="1"/>
        <n v="113689.29263214757" u="1"/>
        <n v="237605.84102846461" u="1"/>
        <n v="38413.660539364901" u="1"/>
        <n v="342657.90801146999" u="1"/>
        <n v="1655803.6187752252" u="1"/>
        <n v="161850.95001453263" u="1"/>
        <n v="7617.7398872314707" u="1"/>
        <n v="53103.189198238077" u="1"/>
        <n v="695939.05450450582" u="1"/>
        <n v="171510.78965444339" u="1"/>
        <n v="162665.93760900659" u="1"/>
        <n v="71196.802277747149" u="1"/>
        <n v="313664.01548574056" u="1"/>
        <n v="232769.45323957078" u="1"/>
        <n v="47062.792495999442" u="1"/>
        <n v="48843.846966236" u="1"/>
        <n v="73237.023864824238" u="1"/>
        <n v="229211.11833062785" u="1"/>
        <n v="342997.86500223185" u="1"/>
        <n v="302437.99416588113" u="1"/>
        <n v="83522.35990230873" u="1"/>
        <n v="67497.181549566769" u="1"/>
        <n v="129304.390073665" u="1"/>
        <n v="40794.886830654985" u="1"/>
        <n v="503902.01860494149" u="1"/>
        <n v="64265.216751394386" u="1"/>
        <n v="273597.84100420994" u="1"/>
        <n v="1969414.6824198447" u="1"/>
        <n v="1301942.3480855669" u="1"/>
        <n v="49690.286694329901" u="1"/>
        <n v="459570.4815849454" u="1"/>
        <n v="178436.39983046806" u="1"/>
        <n v="647783.5648363384" u="1"/>
        <n v="220752.45997486502" u="1"/>
        <n v="357761.45193396835" u="1"/>
        <n v="2717617.4000468086" u="1"/>
        <n v="1727761.3114664501" u="1"/>
        <n v="161755.13118618709" u="1"/>
        <n v="1146008.2120059468" u="1"/>
        <n v="65863.468852020815" u="1"/>
        <n v="870499.51652725483" u="1"/>
        <n v="1475150.4371036976" u="1"/>
        <n v="1743079.0917396958" u="1"/>
        <n v="2235828.412504551" u="1"/>
        <n v="1451424.484695873" u="1"/>
        <n v="1337827.7958910814" u="1"/>
        <n v="1046547.1520245322" u="1"/>
        <n v="1298988.222673404" u="1"/>
        <n v="671027.12484236318" u="1"/>
        <n v="372869.44043660723" u="1"/>
        <n v="251461.66698008261" u="1"/>
        <n v="129888.25371691692" u="1"/>
        <n v="2259083.9121594247" u="1"/>
        <n v="1685212.5569832441" u="1"/>
        <n v="803948.94881285902" u="1"/>
        <n v="21857.210204206225" u="1"/>
        <n v="2626122.9390344713" u="1"/>
        <n v="6822.8330214252137" u="1"/>
        <n v="4759.9242559057639" u="1"/>
        <n v="11308.738037130443" u="1"/>
        <n v="7755.6378088940583" u="1"/>
        <n v="46902.404991939628" u="1"/>
        <n v="16643.999765037755" u="1"/>
        <n v="176352.82999077806" u="1"/>
        <n v="224048.13110777654" u="1"/>
        <n v="614275.19197194919" u="1"/>
        <n v="18236.275777222239" u="1"/>
        <n v="157044.03170837479" u="1"/>
        <n v="121422.42973804551" u="1"/>
        <n v="57802.404276698231" u="1"/>
        <n v="156142.91282930714" u="1"/>
        <n v="97848.854433058688" u="1"/>
        <n v="26348.486385414613" u="1"/>
        <n v="2355215.0903852237" u="1"/>
        <n v="1852653.4043469904" u="1"/>
        <n v="1235722.7078439989" u="1"/>
        <n v="123431.80406516057" u="1"/>
        <n v="154821.99120907299" u="1"/>
        <n v="28329.504056390138" u="1"/>
        <n v="13201.162676364769" u="1"/>
        <n v="444631.06937174295" u="1"/>
        <n v="56063.323209593778" u="1"/>
        <n v="386677.59173115622" u="1"/>
        <n v="921683.89891742612" u="1"/>
        <n v="215815.47731875596" u="1"/>
        <n v="238462.57037600272" u="1"/>
        <n v="565555.64395302185" u="1"/>
        <n v="35806.474239716197" u="1"/>
        <n v="59204.012986789385" u="1"/>
        <n v="14464.948071993487" u="1"/>
        <n v="15003.42650259105" u="1"/>
        <n v="79188.975615237694" u="1"/>
        <n v="70597.546944779548" u="1"/>
        <n v="103663.4926220222" u="1"/>
        <n v="55938.786636390134" u="1"/>
        <n v="13248.217516886096" u="1"/>
        <n v="289501.04969996586" u="1"/>
        <n v="90600.555127178814" u="1"/>
        <n v="3627501.066080045" u="1"/>
        <n v="352105.61946506787" u="1"/>
        <n v="155486.40452727015" u="1"/>
        <n v="81864.704367026774" u="1"/>
        <n v="66508.615458310378" u="1"/>
        <n v="20482.119443859938" u="1"/>
        <n v="1382305.7210602742" u="1"/>
        <n v="649147.45171098271" u="1"/>
        <n v="246270.33103960488" u="1"/>
        <n v="101029.24972641158" u="1"/>
        <n v="1317810.1923146285" u="1"/>
        <n v="297187.57327926729" u="1"/>
        <n v="148183.55450174358" u="1"/>
        <n v="76325.447822059534" u="1"/>
        <n v="45038.778675842281" u="1"/>
        <n v="231948.00651218355" u="1"/>
        <n v="313222.63141916814" u="1"/>
        <n v="7692.3064272346246" u="1"/>
        <n v="11146.736276135021" u="1"/>
        <n v="21907.803720961958" u="1"/>
        <n v="16301.674901874172" u="1"/>
        <n v="75905.566417701164" u="1"/>
        <n v="7600.5451726757019" u="1"/>
        <n v="25574.483050197014" u="1"/>
        <n v="19828.696620571802" u="1"/>
        <n v="57745.501053940301" u="1"/>
        <n v="8654.4852098544343" u="1"/>
        <n v="8272.4301871390126" u="1"/>
        <n v="65257.730818387288" u="1"/>
        <n v="304724.35376144818" u="1"/>
        <n v="142739.31351855129" u="1"/>
        <n v="21907.529893625622" u="1"/>
        <n v="238444.40288629767" u="1"/>
        <n v="274078.26281469269" u="1"/>
        <n v="27952.898454678842" u="1"/>
        <n v="539495.86408453295" u="1"/>
        <n v="4013104.2594132195" u="1"/>
        <n v="323536.65435734892" u="1"/>
        <n v="37888.926851993529" u="1"/>
        <n v="22105.612536135603" u="1"/>
        <n v="73495.926353358955" u="1"/>
        <n v="155346.92721547448" u="1"/>
        <n v="55810.996880536848" u="1"/>
        <n v="81102.525376707476" u="1"/>
        <n v="42140.348126148754" u="1"/>
        <n v="256598.39006903983" u="1"/>
        <n v="158208.89640324487" u="1"/>
        <n v="274618.29817209009" u="1"/>
        <n v="352974.07206543448" u="1"/>
        <n v="263902.95233278984" u="1"/>
        <n v="158523.9833701785" u="1"/>
        <n v="99311.625910577801" u="1"/>
        <n v="41226.764326444878" u="1"/>
        <n v="78624.133417500445" u="1"/>
        <n v="46582.964427343075" u="1"/>
        <n v="116905.98228526856" u="1"/>
        <n v="80837.906508838467" u="1"/>
        <n v="1497934.0814533245" u="1"/>
        <n v="1243217.7614787882" u="1"/>
        <n v="28428.886409900217" u="1"/>
        <n v="161879.01709037478" u="1"/>
        <n v="436014.11294679553" u="1"/>
        <n v="186532.53314762333" u="1"/>
        <n v="32545.028346486964" u="1"/>
        <n v="16170.895803074689" u="1"/>
        <n v="344216.31693011092" u="1"/>
        <n v="139328.80722138594" u="1"/>
        <n v="290982.65862005309" u="1"/>
        <n v="134411.90386039761" u="1"/>
        <n v="7595844.5570820048" u="1"/>
        <n v="2279847.1959470902" u="1"/>
        <n v="51975.171642996487" u="1"/>
        <n v="112475.11944461742" u="1"/>
        <n v="60877.022034619091" u="1"/>
        <n v="178568.43845285769" u="1"/>
        <n v="1588194.569715214" u="1"/>
        <n v="158174.66887626093" u="1"/>
        <n v="36235.027922252113" u="1"/>
        <n v="238458.50562130084" u="1"/>
        <n v="413769.71099614352" u="1"/>
        <n v="167097.97342444351" u="1"/>
        <n v="150286.72579381207" u="1"/>
        <n v="643641.47815987631" u="1"/>
        <n v="240670.47706447876" u="1"/>
        <n v="5429.6563608526612" u="1"/>
        <n v="12151.339350072729" u="1"/>
        <n v="212252.22493649385" u="1"/>
        <n v="239295.73922806772" u="1"/>
        <n v="29877.602725515808" u="1"/>
        <n v="78382.15563538039" u="1"/>
        <n v="27302.650807671249" u="1"/>
        <n v="13295.167442193622" u="1"/>
        <n v="60952.077351344422" u="1"/>
        <n v="6389780.2746254709" u="1"/>
        <n v="273123.4717980235" u="1"/>
        <n v="233739.3660195297" u="1"/>
        <n v="13264.431209663158" u="1"/>
        <n v="55864.886123651602" u="1"/>
        <n v="53749.935209696363" u="1"/>
        <n v="2987910.1082169889" u="1"/>
        <n v="8869.7046784356498" u="1"/>
        <n v="18065.380759492473" u="1"/>
        <n v="970845.72430397687" u="1"/>
        <n v="263799.83272865269" u="1"/>
        <n v="2705834.7516368227" u="1"/>
        <n v="296250.39676862548" u="1"/>
        <n v="27199.53223510916" u="1"/>
        <n v="126481.95299864915" u="1"/>
        <n v="32209.388370387765" u="1"/>
        <n v="3494608.4945108788" u="1"/>
        <n v="121250.85296124899" u="1"/>
        <n v="324485.55864807847" u="1"/>
        <n v="1922139.3475730098" u="1"/>
        <n v="44007.579465720264" u="1"/>
        <n v="714793.04582431237" u="1"/>
        <n v="1970801.5453479982" u="1"/>
        <n v="97558.882929486732" u="1"/>
        <n v="244672.39487982282" u="1"/>
        <n v="269518.06405300915" u="1"/>
        <n v="2603848.3732115482" u="1"/>
        <n v="127870.47636933104" u="1"/>
        <n v="85640.193668890512" u="1"/>
        <n v="1322594.013399177" u="1"/>
        <n v="472281.67105634417" u="1"/>
        <n v="3118716.9345376813" u="1"/>
        <n v="183749.48570716323" u="1"/>
        <n v="210747.86062300802" u="1"/>
        <n v="207826.89865220495" u="1"/>
        <n v="770633.0922682368" u="1"/>
        <n v="110004.64796716231" u="1"/>
        <n v="519979.1951501054" u="1"/>
        <n v="393804.87585871411" u="1"/>
        <n v="36685.373465460172" u="1"/>
        <n v="68047.81363977732" u="1"/>
        <n v="126927.58529552461" u="1"/>
        <n v="457867.64206280559" u="1"/>
        <n v="44464.016408355361" u="1"/>
        <n v="51975.311197937386" u="1"/>
        <n v="405316.93605826021" u="1"/>
        <n v="189849.99855846877" u="1"/>
        <n v="616159.19053404394" u="1"/>
        <n v="263904.06455564359" u="1"/>
        <n v="548607.23814659833" u="1"/>
        <n v="26210.702087870326" u="1"/>
        <n v="30479.485543663559" u="1"/>
        <n v="94814.847708094603" u="1"/>
        <n v="869805.92417531647" u="1"/>
        <n v="236113.09323432253" u="1"/>
        <n v="124329.92715407569" u="1"/>
        <n v="37588.862176629977" u="1"/>
        <n v="7242.3402680106647" u="1"/>
        <n v="165524.12859242101" u="1"/>
        <n v="35385.076675703873" u="1"/>
        <n v="308994.24682912044" u="1"/>
        <n v="22483.19152499046" u="1"/>
        <n v="512047.92594756157" u="1"/>
        <n v="237954.67387336103" u="1"/>
        <n v="36468.508847771081" u="1"/>
        <n v="132031.40748209372" u="1"/>
        <n v="505600.06588054111" u="1"/>
        <n v="14979.008512461078" u="1"/>
        <n v="525077.90640308894" u="1"/>
        <n v="2219182.6038143751" u="1"/>
        <n v="1173222.1047891462" u="1"/>
        <n v="41257.949128475768" u="1"/>
        <n v="865673.79815458378" u="1"/>
        <n v="165853.24203363678" u="1"/>
        <n v="1296766.9549015081" u="1"/>
        <n v="153385.90259903844" u="1"/>
        <n v="63798.694302439631" u="1"/>
        <n v="265944.05355237704" u="1"/>
        <n v="3513115.8129925746" u="1"/>
        <n v="289468.88714964286" u="1"/>
        <n v="119106.17678427839" u="1"/>
        <n v="168060.49174839721" u="1"/>
        <n v="137864.50345861627" u="1"/>
        <n v="25743.925037174813" u="1"/>
        <n v="29678.931219188904" u="1"/>
        <n v="162928.76270505536" u="1"/>
        <n v="18461331.311906185" u="1"/>
        <n v="1373131.7029065068" u="1"/>
        <n v="3678.4109905227378" u="1"/>
        <n v="53604.571025070349" u="1"/>
        <n v="335216.76130197622" u="1"/>
        <n v="480718.2723055341" u="1"/>
        <n v="53051.524682072282" u="1"/>
        <n v="236936.84567330286" u="1"/>
        <n v="64566.531464636108" u="1"/>
        <n v="96912.427519549514" u="1"/>
        <n v="304736.04481672414" u="1"/>
        <n v="274009.65972454537" u="1"/>
        <n v="15112.725486587953" u="1"/>
        <n v="252104.93345908335" u="1"/>
        <n v="54240.745500659847" u="1"/>
        <n v="32298.462640865233" u="1"/>
        <n v="39662.188111916374" u="1"/>
        <n v="84015.597107139925" u="1"/>
        <n v="148080.17633695537" u="1"/>
        <n v="21242.51012498081" u="1"/>
        <n v="55981.173972554214" u="1"/>
        <n v="81347.539202361164" u="1"/>
        <n v="30474.535928814246" u="1"/>
        <n v="520609.57180948707" u="1"/>
        <n v="52204.192901612761" u="1"/>
        <n v="335249.4658104491" u="1"/>
        <n v="107980.07073923481" u="1"/>
        <n v="67707.632953422726" u="1"/>
        <n v="262645.16131051496" u="1"/>
        <n v="22614.97877531741" u="1"/>
        <n v="42743.354367695851" u="1"/>
        <n v="99308.565721385559" u="1"/>
        <n v="44489.377583034293" u="1"/>
        <n v="35428.24407759319" u="1"/>
        <n v="34879.744092675377" u="1"/>
        <n v="197407.3230358462" u="1"/>
        <n v="261565.15269135765" u="1"/>
        <n v="34969.003289913278" u="1"/>
        <n v="23697.940812303299" u="1"/>
        <n v="75904.791543894782" u="1"/>
        <n v="25390.675750815979" u="1"/>
        <n v="12376.265832190791" u="1"/>
        <n v="721884.55442717485" u="1"/>
        <n v="42400.009203525216" u="1"/>
        <n v="1010783.6746817934" u="1"/>
        <n v="323223.66257543606" u="1"/>
        <n v="138566.61170164269" u="1"/>
        <n v="699402.84070975077" u="1"/>
        <n v="689433.9286009256" u="1"/>
        <n v="45845.792807771766" u="1"/>
        <n v="336091.69246659754" u="1"/>
        <n v="12686.654023602385" u="1"/>
        <n v="108167.66303193802" u="1"/>
        <n v="172794.99832191932" u="1"/>
        <n v="52012.752092142735" u="1"/>
        <n v="81025.614157509466" u="1"/>
        <n v="20797.297725024793" u="1"/>
        <n v="29656.972764725819" u="1"/>
        <n v="12501.015919045291" u="1"/>
        <n v="194517.16301121004" u="1"/>
        <n v="470401.47872889438" u="1"/>
        <n v="402755.33190784848" u="1"/>
        <n v="82982.606515302105" u="1"/>
        <n v="62582.926562586537" u="1"/>
        <n v="11432.389406251097" u="1"/>
        <n v="255859.21877688786" u="1"/>
        <n v="36272.318924932217" u="1"/>
        <n v="1100482.4172279413" u="1"/>
        <n v="2121579.7447578404" u="1"/>
        <n v="438678.61506513413" u="1"/>
        <n v="39815.405023676634" u="1"/>
        <n v="23948.380528484042" u="1"/>
        <n v="13183.773696502853" u="1"/>
        <n v="5580.5999654856432" u="1"/>
        <n v="20964.150962590327" u="1"/>
        <n v="14760.549228235875" u="1"/>
        <n v="95885.965975706931" u="1"/>
        <n v="11274.863689810523" u="1"/>
        <n v="29926.765038913396" u="1"/>
        <n v="35422.123428441002" u="1"/>
        <n v="113929.50169414352" u="1"/>
        <n v="55015.177531743415" u="1"/>
        <n v="48829.666317858311" u="1"/>
        <n v="9243.0305104671061" u="1"/>
        <n v="129359.38946104281" u="1"/>
        <n v="14560.078935956055" u="1"/>
        <n v="58528.352562935346" u="1"/>
        <n v="58587.201914435973" u="1"/>
        <n v="59384.236149280841" u="1"/>
        <n v="21150.844864684484" u="1"/>
        <n v="29837.086581757401" u="1"/>
        <n v="23405.522064812452" u="1"/>
        <n v="15750.834901137459" u="1"/>
        <n v="20110.233687671291" u="1"/>
        <n v="198373.97255209018" u="1"/>
        <n v="30363.116133684118" u="1"/>
        <n v="6739.4410095429739" u="1"/>
        <n v="35891.162140690489" u="1"/>
        <n v="47649.787475197634" u="1"/>
        <n v="15590.334168422914" u="1"/>
        <n v="39365.188309350044" u="1"/>
        <n v="17762.781469036086" u="1"/>
        <n v="6707.9571625455228" u="1"/>
        <n v="10832.632447333668" u="1"/>
        <n v="8815.6334984503519" u="1"/>
        <n v="71839.1542523526" u="1"/>
        <n v="16780.827037784235" u="1"/>
        <n v="6358.4838962936383" u="1"/>
        <n v="9835.6793097304198" u="1"/>
        <n v="4734.0109443781412" u="1"/>
        <n v="1078.2860039800635" u="1"/>
        <n v="18801.027771040281" u="1"/>
        <n v="6135.439002760244" u="1"/>
        <n v="5176.5771701842841" u="1"/>
        <n v="5212.1466190668125" u="1"/>
        <n v="8957.5333695487516" u="1"/>
        <n v="5455.2897158586775" u="1"/>
        <n v="6751.4277808076586" u="1"/>
        <n v="264012.82349475898" u="1"/>
        <n v="32462.085572851931" u="1"/>
        <n v="14645.870335636806" u="1"/>
        <n v="53218.481867961644" u="1"/>
        <n v="49874.208423700285" u="1"/>
        <n v="8659.6853375317642" u="1"/>
        <n v="17017.765594053602" u="1"/>
        <n v="18336.708171467846" u="1"/>
        <n v="20869.368499060922" u="1"/>
        <n v="143440.88818260567" u="1"/>
        <n v="3470.341947626428" u="1"/>
        <n v="18654.559426586347" u="1"/>
        <n v="17542.979452432064" u="1"/>
        <n v="29788.857833614908" u="1"/>
        <n v="264318.99379094539" u="1"/>
        <n v="37339.756446532097" u="1"/>
        <n v="25514.41000325507" u="1"/>
        <n v="44962.287434092432" u="1"/>
        <n v="24986.989651290707" u="1"/>
        <n v="6099.2137269549694" u="1"/>
        <n v="20855.210384252223" u="1"/>
        <n v="17811.700631128751" u="1"/>
        <n v="44097.95917011494" u="1"/>
        <n v="36625.638144521668" u="1"/>
        <n v="43501.658834560352" u="1"/>
        <n v="10221.39227027079" u="1"/>
        <n v="9293.782851008069" u="1"/>
        <n v="24262.804478176717" u="1"/>
        <n v="52335.872207677385" u="1"/>
        <n v="24648.338816571333" u="1"/>
        <n v="9889.1830788220395" u="1"/>
        <n v="13896.770358686254" u="1"/>
        <n v="33571.70421799527" u="1"/>
        <n v="15954.170796172981" u="1"/>
        <n v="69856.148578233959" u="1"/>
        <n v="49987.323242906052" u="1"/>
        <n v="14235.934045591654" u="1"/>
        <n v="30322.075490893771" u="1"/>
        <n v="12822.63327521555" u="1"/>
        <n v="49977.565303624055" u="1"/>
        <n v="6469.7778729676502" u="1"/>
        <n v="53538.42056005475" u="1"/>
        <n v="67477.11694238428" u="1"/>
        <n v="66441.893089716614" u="1"/>
        <n v="55844.57748094861" u="1"/>
        <n v="62217.360676378055" u="1"/>
        <n v="57502.209915627333" u="1"/>
        <n v="40224.035668739816" u="1"/>
        <n v="83340.703592162638" u="1"/>
        <n v="56933.828199087926" u="1"/>
        <n v="28572.791685638098" u="1"/>
        <n v="34193.243293461623" u="1"/>
        <n v="16561.816012320473" u="1"/>
        <n v="24436.246742523916" u="1"/>
        <n v="14629.455400858405" u="1"/>
        <n v="35673.66974438481" u="1"/>
        <n v="6054.9813562199133" u="1"/>
        <n v="23060.845970633316" u="1"/>
        <n v="67638.449074202334" u="1"/>
        <n v="34804.55446305743" u="1"/>
        <n v="20589.024745629427" u="1"/>
        <n v="183850.80510548034" u="1"/>
        <n v="40105.850280077153" u="1"/>
        <n v="17056.251568610744" u="1"/>
        <n v="63354.780728641097" u="1"/>
        <n v="201628.0842650444" u="1"/>
        <n v="74641.745924407136" u="1"/>
        <n v="10878.173615401367" u="1"/>
        <n v="18141.485661651895" u="1"/>
        <n v="9375.7791457520434" u="1"/>
        <n v="18141.793050416978" u="1"/>
        <n v="29661.180713811475" u="1"/>
        <n v="29605.433455664348" u="1"/>
        <n v="145915.05871117191" u="1"/>
        <n v="18866.63725284419" u="1"/>
        <n v="13146.52855612323" u="1"/>
        <n v="225475.87551057129" u="1"/>
        <n v="6719.0793507485205" u="1"/>
        <n v="22480.498704105121" u="1"/>
        <n v="22045.338312175372" u="1"/>
        <n v="5807.0523021635954" u="1"/>
        <n v="5201.6598827616781" u="1"/>
        <n v="9148.2159699180575" u="1"/>
        <n v="3557.2358266097654" u="1"/>
        <n v="14689.209456510507" u="1"/>
        <n v="52656.882558557278" u="1"/>
        <n v="23805.585318888217" u="1"/>
        <n v="5526.8640664932409" u="1"/>
        <n v="8646.0980203940217" u="1"/>
        <n v="30384.029843839111" u="1"/>
        <n v="190392.45549236127" u="1"/>
        <n v="204729.8114414523" u="1"/>
        <n v="107966.60363763852" u="1"/>
        <n v="681681.41141486797" u="1"/>
        <n v="134807.33354940056" u="1"/>
        <n v="191224.93630460015" u="1"/>
        <n v="90802.705054227175" u="1"/>
        <n v="658177.03347638482" u="1"/>
        <n v="189781.3050968718" u="1"/>
        <n v="6192.5313551156823" u="1"/>
        <n v="249457.6878645641" u="1"/>
        <n v="303612.99547447928" u="1"/>
        <n v="1585842.815180809" u="1"/>
        <n v="842490.05749647145" u="1"/>
        <n v="98202.594369758444" u="1"/>
        <n v="24657.466898925588" u="1"/>
        <n v="243141.26974859374" u="1"/>
        <n v="40153.148718132521" u="1"/>
        <n v="135907.11724324836" u="1"/>
        <n v="971693.6137053105" u="1"/>
        <n v="329841.25355382747" u="1"/>
        <n v="70444.153811479133" u="1"/>
        <n v="257256.02440166846" u="1"/>
        <n v="60335.037503854241" u="1"/>
        <n v="344528.3788782609" u="1"/>
        <n v="1094646.1494265287" u="1"/>
        <n v="250348.70305145558" u="1"/>
        <n v="54728.267696373172" u="1"/>
        <n v="253497.54541172925" u="1"/>
        <n v="154386.65158122469" u="1"/>
        <n v="63986.332837520189" u="1"/>
        <n v="208914.83698604576" u="1"/>
        <n v="56039.687876567194" u="1"/>
        <n v="272039.23790946516" u="1"/>
        <n v="402140.45284530573" u="1"/>
        <n v="434289.72416421783" u="1"/>
        <n v="253687.542745143" u="1"/>
        <n v="88128.776766498122" u="1"/>
        <n v="703389.01268438564" u="1"/>
        <n v="418997.300439068" u="1"/>
        <n v="142230.35838924712" u="1"/>
        <n v="26290.71524766885" u="1"/>
        <n v="41841.49232509984" u="1"/>
        <n v="128690.52963716502" u="1"/>
        <n v="26711.315647848969" u="1"/>
        <n v="449825.12985047896" u="1"/>
        <n v="39423.508541654555" u="1"/>
        <n v="353277.71834548371" u="1"/>
        <n v="239325.51119579558" u="1"/>
        <n v="460944.66026164487" u="1"/>
        <n v="211708.22931379633" u="1"/>
        <n v="299817.34405852732" u="1"/>
        <n v="166924.69601167983" u="1"/>
        <n v="139747.32216211647" u="1"/>
        <n v="192810.42114688782" u="1"/>
        <n v="178619.65731340914" u="1"/>
        <n v="130686.0164489314" u="1"/>
        <n v="131052.45615326891" u="1"/>
        <n v="312796.6194618732" u="1"/>
        <n v="150980.77412530719" u="1"/>
        <n v="118819.2054478716" u="1"/>
        <n v="162502.46351369823" u="1"/>
        <n v="274611.2386271893" u="1"/>
        <n v="139881.24746134673" u="1"/>
        <n v="13817.839731151998" u="1"/>
        <n v="1909992.3185230549" u="1"/>
        <n v="66709.956586716944" u="1"/>
        <n v="104857.00513436738" u="1"/>
        <n v="100979.30703572134" u="1"/>
        <n v="101083.39070790532" u="1"/>
        <n v="74640.742790624572" u="1"/>
        <n v="72009.99782264838" u="1"/>
        <n v="76134.364232984692" u="1"/>
        <n v="73636.835182173279" u="1"/>
        <n v="83073.816385257291" u="1"/>
        <n v="155684.45800885462" u="1"/>
        <n v="162102.96075316402" u="1"/>
        <n v="506246.15188179165" u="1"/>
        <n v="558828.66884832876" u="1"/>
        <n v="567751.57587427087" u="1"/>
        <n v="547665.68250895699" u="1"/>
        <n v="421830.51955611259" u="1"/>
        <n v="232944.22229128628" u="1"/>
        <n v="361649.39768837072" u="1"/>
        <n v="385702.67078305507" u="1"/>
        <n v="419810.49230214744" u="1"/>
        <n v="216859.76107125182" u="1"/>
        <n v="200706.88129042121" u="1"/>
        <n v="82939.675503427483" u="1"/>
        <n v="75319.166447637777" u="1"/>
        <n v="111222.93454178699" u="1"/>
        <n v="73499.496554783211" u="1"/>
        <n v="101010.11608506613" u="1"/>
        <n v="339484.10058693588" u="1"/>
        <n v="1310894.3006505365" u="1"/>
        <n v="368667.27451398072" u="1"/>
        <n v="138780.61375719518" u="1"/>
        <n v="196675.14471929063" u="1"/>
        <n v="125451.8850484401" u="1"/>
        <n v="116381.97367630142" u="1"/>
        <n v="82984.450551236747" u="1"/>
        <n v="149729.81070465062" u="1"/>
        <n v="124372.43327360539" u="1"/>
        <n v="135400.00096883113" u="1"/>
        <n v="107066.93210450494" u="1"/>
        <n v="126722.18713461046" u="1"/>
        <n v="114831.83188561891" u="1"/>
        <n v="110209.1354459907" u="1"/>
        <n v="161802.60094789721" u="1"/>
        <n v="114978.19619060718" u="1"/>
        <n v="245529.52310145891" u="1"/>
        <n v="221658.46121399265" u="1"/>
        <n v="157466.88914867022" u="1"/>
        <n v="157821.45207558069" u="1"/>
        <n v="60270.636876752833" u="1"/>
        <n v="62890.522555618511" u="1"/>
        <n v="39241.478946580683" u="1"/>
        <n v="129613.10420878758" u="1"/>
        <n v="127070.71776755431" u="1"/>
        <n v="32961.31497095988" u="1"/>
        <n v="114853.58228899298" u="1"/>
        <n v="435548.11810210819" u="1"/>
        <n v="278188.16919036448" u="1"/>
        <n v="408004.39074555447" u="1"/>
        <n v="556105.34196699795" u="1"/>
        <n v="65990.21132585645" u="1"/>
        <n v="186375.59741586755" u="1"/>
        <n v="328264.1777575491" u="1"/>
        <n v="193508.39137649623" u="1"/>
        <n v="147252.99704221432" u="1"/>
        <n v="121586.7290524389" u="1"/>
        <n v="144566.92632437721" u="1"/>
        <n v="202494.68758760625" u="1"/>
        <n v="71035.746568338305" u="1"/>
        <n v="1306212.2350715566" u="1"/>
        <n v="3063935.4764185362" u="1"/>
        <n v="229800.31033918713" u="1"/>
        <n v="126533.79526342179" u="1"/>
        <n v="98825.313344278577" u="1"/>
        <n v="131487.50159356033" u="1"/>
        <n v="200752.1237385986" u="1"/>
        <n v="40213.548098246218" u="1"/>
        <n v="1040003.9798978098" u="1"/>
        <n v="62571.486912681619" u="1"/>
        <n v="42503.023511707419" u="1"/>
        <n v="110906.90276902018" u="1"/>
        <n v="178648.40683280662" u="1"/>
        <n v="161039.30626502799" u="1"/>
        <n v="176571.51408049776" u="1"/>
        <n v="123270.9674368768" u="1"/>
        <n v="355218.32523356174" u="1"/>
        <n v="287551.13914814137" u="1"/>
        <n v="61082.007417633104" u="1"/>
        <n v="21130.266830023305" u="1"/>
        <n v="35308.90338799006" u="1"/>
        <n v="123921.87789871845" u="1"/>
        <n v="49255.091009722266" u="1"/>
        <n v="280968.42089619447" u="1"/>
        <n v="24922.670636332514" u="1"/>
        <n v="11527.025927523802" u="1"/>
        <n v="36668.907014928125" u="1"/>
        <n v="659124.06830046233" u="1"/>
        <n v="130592.14038410973" u="1"/>
        <n v="14466.284816510126" u="1"/>
        <n v="16256.494357261039" u="1"/>
        <n v="68183.062874534371" u="1"/>
        <n v="71080.05464357321" u="1"/>
        <n v="146716.1400714507" u="1"/>
        <n v="23667.087742334152" u="1"/>
        <n v="211753.04278677102" u="1"/>
        <n v="1014887.4768456182" u="1"/>
        <n v="100601.95426780303" u="1"/>
        <n v="4693.3751113000972" u="1"/>
        <n v="32717.471350186785" u="1"/>
        <n v="426948.79815894866" u="1"/>
        <n v="105669.72401260873" u="1"/>
        <n v="100428.81392944642" u="1"/>
        <n v="44333.724456851924" u="1"/>
        <n v="192522.07226187066" u="1"/>
        <n v="143497.43931494377" u="1"/>
        <n v="28995.915092774416" u="1"/>
        <n v="30222.749338656333" u="1"/>
        <n v="44507.074625877416" u="1"/>
        <n v="140245.29767980298" u="1"/>
        <n v="211103.99178173122" u="1"/>
        <n v="186876.52300819696" u="1"/>
        <n v="51459.064106350153" u="1"/>
        <n v="41585.771719329772" u="1"/>
        <n v="79697.13951758176" u="1"/>
        <n v="25134.188007682802" u="1"/>
        <n v="308986.252507717" u="1"/>
        <n v="39873.178537796492" u="1"/>
        <n v="168502.64240537112" u="1"/>
        <n v="1213045.5575881004" u="1"/>
        <n v="803357.9501504869" u="1"/>
        <n v="30622.180063879292" u="1"/>
        <n v="284209.95732806856" u="1"/>
        <n v="109724.04948662213" u="1"/>
        <n v="397741.70144226454" u="1"/>
        <n v="135742.20780954405" u="1"/>
        <n v="223577.63599389978" u="1"/>
        <n v="1672284.744734128" u="1"/>
        <n v="1065403.799123635" u="1"/>
        <n v="99703.614196009847" u="1"/>
        <n v="706383.87435878685" u="1"/>
        <n v="40454.958967690545" u="1"/>
        <n v="538816.22157373535" u="1"/>
        <n v="908958.5243492407" u="1"/>
        <n v="1073704.3493250718" u="1"/>
        <n v="1381800.9832308614" u="1"/>
        <n v="892018.13527897617" u="1"/>
        <n v="815650.23303591507" u="1"/>
        <n v="643377.20427255519" u="1"/>
        <n v="792924.39973532222" u="1"/>
        <n v="412700.72191795567" u="1"/>
        <n v="229146.8866343947" u="1"/>
        <n v="157581.05449523218" u="1"/>
        <n v="80292.869697958784" u="1"/>
        <n v="1390741.7226751584" u="1"/>
        <n v="1037460.3324395837" u="1"/>
        <n v="500645.58053299075" u="1"/>
        <n v="13466.472719398445" u="1"/>
        <n v="1604606.5225543249" u="1"/>
        <n v="4209.8236241163249" u="1"/>
        <n v="2932.6428002336079" u="1"/>
        <n v="6967.4405308383775" u="1"/>
        <n v="4778.3355697841198" u="1"/>
        <n v="28915.489275801829" u="1"/>
        <n v="10254.555210089073" u="1"/>
        <n v="108867.4106749466" u="1"/>
        <n v="138710.81006767944" u="1"/>
        <n v="379413.05710349907" u="1"/>
        <n v="11331.723045746639" u="1"/>
        <n v="97254.196861996927" u="1"/>
        <n v="73238.327900318283" u="1"/>
        <n v="35791.656104336253" u="1"/>
        <n v="96614.466106562977" u="1"/>
        <n v="60339.630731428479" u="1"/>
        <n v="16233.598423203397" u="1"/>
        <n v="1454555.6581493111" u="1"/>
        <n v="1138789.0588493953" u="1"/>
        <n v="760936.8249464666" u="1"/>
        <n v="76662.888145497956" u="1"/>
        <n v="98909.383849476653" u="1"/>
        <n v="17454.125662205945" u="1"/>
        <n v="8133.3846078579718" u="1"/>
        <n v="271322.66329933086" u="1"/>
        <n v="34565.323556636358" u="1"/>
        <n v="232902.46746467351" u="1"/>
        <n v="564897.46693511051" u="1"/>
        <n v="133973.04818808654" u="1"/>
        <n v="151231.4602515627" u="1"/>
        <n v="349326.1890326041" u="1"/>
        <n v="22209.856708323012" u="1"/>
        <n v="36476.257414227686" u="1"/>
        <n v="8912.0169856594748" u="1"/>
        <n v="9253.3968396169785" u="1"/>
        <n v="48753.265388995016" u="1"/>
        <n v="44044.464489010352" u="1"/>
        <n v="62488.708896204887" u="1"/>
        <n v="34464.514782871629" u="1"/>
        <n v="8104.7227194651168" u="1"/>
        <n v="176679.82738419969" u="1"/>
        <n v="55860.149722856746" u="1"/>
        <n v="2234781.5512912259" u="1"/>
        <n v="216159.97638084853" u="1"/>
        <n v="95360.028028480199" u="1"/>
        <n v="50741.950049459585" u="1"/>
        <n v="40976.705046371433" u="1"/>
        <n v="12619.263856149442" u="1"/>
        <n v="850184.66325608734" u="1"/>
        <n v="400469.92658566986" u="1"/>
        <n v="151760.80851262144" u="1"/>
        <n v="62198.163034465993" u="1"/>
        <n v="813300.87611560326" u="1"/>
        <n v="182931.01163861493" u="1"/>
        <n v="91858.82109791346" u="1"/>
        <n v="47083.61745568108" u="1"/>
        <n v="28273.40768698146" u="1"/>
        <n v="142698.87527796882" u="1"/>
        <n v="193291.13668556802" u="1"/>
        <n v="4739.3163941697276" u="1"/>
        <n v="6867.6294261933981" u="1"/>
        <n v="13493.261750923157" u="1"/>
        <n v="10058.76916456487" u="1"/>
        <n v="46878.890226767115" u="1"/>
        <n v="4527.9544184036058" u="1"/>
        <n v="15450.179629755719" u="1"/>
        <n v="12280.533965257202" u="1"/>
        <n v="35861.262812303852" u="1"/>
        <n v="5332.1255498798264" u="1"/>
        <n v="5096.7371589260583" u="1"/>
        <n v="40301.005983258765" u="1"/>
        <n v="188978.41287214388" u="1"/>
        <n v="87943.294387740476" u="1"/>
        <n v="13497.475245269041" u="1"/>
        <n v="147276.53946754796" u="1"/>
        <n v="170904.85123938424" u="1"/>
        <n v="17234.200815446653" u="1"/>
        <n v="332560.91270432068" u="1"/>
        <n v="2456351.6859528664" u="1"/>
        <n v="201800.25437584045" u="1"/>
        <n v="23516.233703600497" u="1"/>
        <n v="13619.516186296074" u="1"/>
        <n v="45304.536939564816" u="1"/>
        <n v="94486.435729391451" u="1"/>
        <n v="33455.875317272963" u="1"/>
        <n v="49686.701664757675" u="1"/>
        <n v="26298.5487523349" u="1"/>
        <n v="158230.87160394384" u="1"/>
        <n v="95064.949208247563" u="1"/>
        <n v="166679.48371512551" u="1"/>
        <n v="216977.55267859867" u="1"/>
        <n v="163814.45534225769" u="1"/>
        <n v="98018.970849593985" u="1"/>
        <n v="61242.673563596363" u="1"/>
        <n v="25466.377342834567" u="1"/>
        <n v="48860.563998404963" u="1"/>
        <n v="28700.287629974115" u="1"/>
        <n v="71653.504953435084" u="1"/>
        <n v="49805.142217329441" u="1"/>
        <n v="919493.04334618349" u="1"/>
        <n v="765965.23060951347" u="1"/>
        <n v="17515.35624652249" u="1"/>
        <n v="101313.33522937563" u="1"/>
        <n v="268386.74879588612" u="1"/>
        <n v="114756.44563498117" u="1"/>
        <n v="20146.086922995182" u="1"/>
        <n v="9853.6379195033296" u="1"/>
        <n v="213586.8248788515" u="1"/>
        <n v="85581.161621297069" u="1"/>
        <n v="179830.19920430682" u="1"/>
        <n v="81673.413562973263" u="1"/>
        <n v="4662402.261294378" u="1"/>
        <n v="1400674.1280741775" u="1"/>
        <n v="32022.487063869212" u="1"/>
        <n v="71357.985278809181" u="1"/>
        <n v="37533.893824757797" u="1"/>
        <n v="110385.16531663483" u="1"/>
        <n v="979412.6215389641" u="1"/>
        <n v="97433.012103280169" u="1"/>
        <n v="22437.504827469835" u="1"/>
        <n v="146870.49379722233" u="1"/>
        <n v="253008.45673197109" u="1"/>
        <n v="104435.64188597069" u="1"/>
        <n v="92587.346634912872" u="1"/>
        <n v="399310.51011649758" u="1"/>
        <n v="146771.46936098515" u="1"/>
        <n v="3388.1728048920577" u="1"/>
        <n v="7600.8784784600257" u="1"/>
        <n v="130686.81547778718" u="1"/>
        <n v="147642.96215955989" u="1"/>
        <n v="18383.229170819115" u="1"/>
        <n v="48441.396958845653" u="1"/>
        <n v="16821.469841471899" u="1"/>
        <n v="8191.3019999999997" u="1"/>
        <n v="37599.242018107754" u="1"/>
        <n v="3935827.7646657582" u="1"/>
        <n v="166493.97102739729" u="1"/>
        <n v="144356.61245045895" u="1"/>
        <n v="8172.3650618911761" u="1"/>
        <n v="34470.08694642131" u="1"/>
        <n v="33175.752765479461" u="1"/>
        <n v="1821554.9167593522" u="1"/>
        <n v="5464.7246819399006" u="1"/>
        <n v="11130.284006530463" u="1"/>
        <n v="598036.06213126925" u="1"/>
        <n v="162815.41876505394" u="1"/>
        <n v="1651049.2600398932" u="1"/>
        <n v="182587.49646221098" u="1"/>
        <n v="16757.937330630084" u="1"/>
        <n v="77736.268390286539" u="1"/>
        <n v="19844.565969121981" u="1"/>
        <n v="2118452.1095427037" u="1"/>
        <n v="75595.059160809469" u="1"/>
        <n v="200003.89354709021" u="1"/>
        <n v="1176671.5943802004" u="1"/>
        <n v="26362.009890321155" u="1"/>
        <n v="446328.41510380385" u="1"/>
        <n v="1215370.2751927231" u="1"/>
        <n v="59937.477703002645" u="1"/>
        <n v="150416.23106334123" u="1"/>
        <n v="166440.86256567229" u="1"/>
        <n v="1574648.6008150224" u="1"/>
        <n v="79627.811084630885" u="1"/>
        <n v="52800.671251972686" u="1"/>
        <n v="815395.97334285744" u="1"/>
        <n v="291019.77741195826" u="1"/>
        <n v="1920386.9258082248" u="1"/>
        <n v="113011.02240223445" u="1"/>
        <n v="129169.58365552982" u="1"/>
        <n v="128764.57845843685" u="1"/>
        <n v="475849.90210244805" u="1"/>
        <n v="68076.901598660392" u="1"/>
        <n v="320365.02283334068" u="1"/>
        <n v="243590.50118600082" u="1"/>
        <n v="23523.827949856903" u="1"/>
        <n v="41664.821791698116" u="1"/>
        <n v="78185.332956474187" u="1"/>
        <n v="281607.53957499564" u="1"/>
        <n v="28295.647018512769" u="1"/>
        <n v="32097.170368321778" u="1"/>
        <n v="249638.50392729702" u="1"/>
        <n v="116999.84778350974" u="1"/>
        <n v="380109.75818024622" u="1"/>
        <n v="162462.19346458279" u="1"/>
        <n v="336966.31116143137" u="1"/>
        <n v="16148.707969814946" u="1"/>
        <n v="18778.753406327083" u="1"/>
        <n v="57030.938307660937" u="1"/>
        <n v="535348.71162442816" u="1"/>
        <n v="145272.66709532903" u="1"/>
        <n v="76412.568767500634" u="1"/>
        <n v="23856.341530886279" u="1"/>
        <n v="4462.087189196629" u="1"/>
        <n v="102154.66367010641" u="1"/>
        <n v="21799.756427174099" u="1"/>
        <n v="190466.96116314828" u="1"/>
        <n v="13657.979996828162" u="1"/>
        <n v="315979.14152550814" u="1"/>
        <n v="146752.15679419783" u="1"/>
        <n v="23130.507120827737" u="1"/>
        <n v="80913.33175203047" u="1"/>
        <n v="311355.49845901155" u="1"/>
        <n v="9254.8772462966717" u="1"/>
        <n v="324199.64540327596" u="1"/>
        <n v="1368833.8995129874" u="1"/>
        <n v="723833.88561146031" u="1"/>
        <n v="25430.539646527071" u="1"/>
        <n v="533863.3025247847" u="1"/>
        <n v="103192.72153716171" u="1"/>
        <n v="797999.06317218998" u="1"/>
        <n v="94502.77750875811" u="1"/>
        <n v="39507.879159669086" u="1"/>
        <n v="163851.11862812802" u="1"/>
        <n v="2161863.5558865266" u="1"/>
        <n v="178893.94539105095" u="1"/>
        <n v="73524.019840614463" u="1"/>
        <n v="103923.81803443562" u="1"/>
        <n v="84970.635141876177" u="1"/>
        <n v="15904.363578073058" u="1"/>
        <n v="18218.494348601569" u="1"/>
        <n v="99491.063169146932" u="1"/>
        <n v="11358712.473626744" u="1"/>
        <n v="820599.40759235923" u="1"/>
        <n v="5866.8359309666821" u="1"/>
        <n v="82975.806924743942" u="1"/>
        <n v="532140.18755028304" u="1"/>
        <n v="765833.50114164827" u="1"/>
        <n v="84547.286763583063" u="1"/>
        <n v="380597.42133898288" u="1"/>
        <n v="103191.49892794194" u="1"/>
        <n v="154754.26327894078" u="1"/>
        <n v="486156.80388846132" u="1"/>
        <n v="432256.65837567532" u="1"/>
        <n v="24385.510608247412" u="1"/>
        <n v="404226.58576869767" u="1"/>
        <n v="86271.87599329988" u="1"/>
        <n v="52256.635478479744" u="1"/>
        <n v="63259.722739421799" u="1"/>
        <n v="134499.16391867143" u="1"/>
        <n v="236376.8426873252" u="1"/>
        <n v="33880.477735156601" u="1"/>
        <n v="88245.228278559109" u="1"/>
        <n v="129564.58910755777" u="1"/>
        <n v="48739.810218979663" u="1"/>
        <n v="833299.50935544888" u="1"/>
        <n v="82843.376966387368" u="1"/>
        <n v="536859.33928269334" u="1"/>
        <n v="171960.74547214207" u="1"/>
        <n v="107989.44838825472" u="1"/>
        <n v="419273.12106888066" u="1"/>
        <n v="36073.1983898904" u="1"/>
        <n v="68393.193948631553" u="1"/>
        <n v="157413.94967078246" u="1"/>
        <n v="72181.592998618624" u="1"/>
        <n v="56325.633487646279" u="1"/>
        <n v="55631.0147052791" u="1"/>
        <n v="312223.57613756851" u="1"/>
        <n v="415332.04343337513" u="1"/>
        <n v="55566.879374310367" u="1"/>
        <n v="37573.948085615746" u="1"/>
        <n v="122898.56374280178" u="1"/>
        <n v="40150.464643641419" u="1"/>
        <n v="19987.320567847659" u="1"/>
        <n v="1150296.0146988775" u="1"/>
        <n v="67071.878489250055" u="1"/>
        <n v="1622071.0690284842" u="1"/>
        <n v="516361.85204152146" u="1"/>
        <n v="222175.85921025585" u="1"/>
        <n v="1117963.032553527" u="1"/>
        <n v="1100322.804192743" u="1"/>
        <n v="72546.744270971802" u="1"/>
        <n v="533255.74787247204" u="1"/>
        <n v="19618.202544547919" u="1"/>
        <n v="169771.71701736722" u="1"/>
        <n v="275143.47807674296" u="1"/>
        <n v="82843.332392217912" u="1"/>
        <n v="129221.07144500199" u="1"/>
        <n v="33170.391746477362" u="1"/>
        <n v="47301.020431941361" u="1"/>
        <n v="19938.340102941802" u="1"/>
        <n v="311136.5767166107" u="1"/>
        <n v="750260.9970710061" u="1"/>
        <n v="640282.6480881481" u="1"/>
        <n v="135129.92038487954" u="1"/>
        <n v="100616.08886772222" u="1"/>
        <n v="18090.556148035786" u="1"/>
        <n v="408082.63590609201" u="1"/>
        <n v="57376.517704373349" u="1"/>
        <n v="1751948.2643800706" u="1"/>
        <n v="3403912.6802570606" u="1"/>
        <n v="696081.01766597689" u="1"/>
        <n v="63528.667955828918" u="1"/>
        <n v="38152.049058908931" u="1"/>
        <n v="21027.296141637671" u="1"/>
        <n v="8852.3449042372449" u="1"/>
        <n v="33720.754388543472" u="1"/>
        <n v="22943.410338967777" u="1"/>
        <n v="148443.24982431481" u="1"/>
        <n v="18735.020523679137" u="1"/>
        <n v="47867.249062236253" u="1"/>
        <n v="56291.819266267412" u="1"/>
        <n v="183824.10846929907" u="1"/>
        <n v="87413.422515916754" u="1"/>
        <n v="77702.103297166235" u="1"/>
        <n v="14763.825387340927" u="1"/>
        <n v="206107.83155296047" u="1"/>
        <n v="24050.79700111393" u="1"/>
        <n v="92107.614712216309" u="1"/>
        <n v="94595.938355528822" u="1"/>
        <n v="94813.366079601197" u="1"/>
        <n v="34129.79436212853" u="1"/>
        <n v="47525.169730124355" u="1"/>
        <n v="36804.155588590467" u="1"/>
        <n v="25243.804852375251" u="1"/>
        <n v="32049.07829024965" u="1"/>
        <n v="317124.3260914241" u="1"/>
        <n v="48427.275029399956" u="1"/>
        <n v="10748.987748048829" u="1"/>
        <n v="57123.963971681405" u="1"/>
        <n v="76589.739568443358" u="1"/>
        <n v="24878.74076007746" u="1"/>
        <n v="62791.043552487346" u="1"/>
        <n v="28751.364009934638" u="1"/>
        <n v="10673.106476054809" u="1"/>
        <n v="17001.298554456218" u="1"/>
        <n v="13923.807762993771" u="1"/>
        <n v="114512.52119003073" u="1"/>
        <n v="26730.633338515407" u="1"/>
        <n v="10141.384930982724" u="1"/>
        <n v="16089.605816911813" u="1"/>
        <n v="7897.4718802687094" u="1"/>
        <n v="1719.7988719334808" u="1"/>
        <n v="29534.002951196708" u="1"/>
        <n v="9650.8768734268742" u="1"/>
        <n v="8083.807024970256" u="1"/>
        <n v="8313.0485258424433" u="1"/>
        <n v="14044.456796688311" u="1"/>
        <n v="8894.7958424836888" u="1"/>
        <n v="10768.105900026174" u="1"/>
        <n v="420906.99174933584" u="1"/>
        <n v="51815.63184742866" u="1"/>
        <n v="23449.380942007065" u="1"/>
        <n v="84799.659957170166" u="1"/>
        <n v="77925.336582355158" u="1"/>
        <n v="13811.657593453634" u="1"/>
        <n v="27161.308792937052" u="1"/>
        <n v="28997.776810707113" u="1"/>
        <n v="33178.309712118935" u="1"/>
        <n v="228857.19965315302" u="1"/>
        <n v="5536.7882706970413" u="1"/>
        <n v="29752.857905825549" u="1"/>
        <n v="27497.860689176883" u="1"/>
        <n v="47511.368884822245" u="1"/>
        <n v="426466.24955389078" u="1"/>
        <n v="55943.286000180378" u="1"/>
        <n v="40734.433418939916" u="1"/>
        <n v="71712.042003033101" u="1"/>
        <n v="39742.728505958439" u="1"/>
        <n v="9702.9034943364913" u="1"/>
        <n v="33160.193168499507" u="1"/>
        <n v="28367.238019465287" u="1"/>
        <n v="70178.946728953524" u="1"/>
        <n v="56579.826457145893" u="1"/>
        <n v="68344.259254607343" u="1"/>
        <n v="16302.482672608547" u="1"/>
        <n v="14823.003548373898" u="1"/>
        <n v="38697.658707886163" u="1"/>
        <n v="83093.684261503673" u="1"/>
        <n v="38103.175522088473" u="1"/>
        <n v="16286.02163981283" u="1"/>
        <n v="22279.165595035527" u="1"/>
        <n v="53393.433275840929" u="1"/>
        <n v="25399.203420446782" u="1"/>
        <n v="112203.00054523849" u="1"/>
        <n v="77963.411540618719" u="1"/>
        <n v="22302.878190542368" u="1"/>
        <n v="47718.302269813154" u="1"/>
        <n v="20451.299711333482" u="1"/>
        <n v="79638.208197450076" u="1"/>
        <n v="10064.910404390794" u="1"/>
        <n v="84943.52539845086" u="1"/>
        <n v="107661.96552413728" u="1"/>
        <n v="105711.27122614476" u="1"/>
        <n v="89530.482570182256" u="1"/>
        <n v="100603.59223123014" u="1"/>
        <n v="91825.452728913893" u="1"/>
        <n v="63551.664415027495" u="1"/>
        <n v="132724.95482036477" u="1"/>
        <n v="90677.509702789626" u="1"/>
        <n v="45728.19869683389" u="1"/>
        <n v="54536.088780513906" u="1"/>
        <n v="26280.389141323947" u="1"/>
        <n v="38974.2882936073" u="1"/>
        <n v="23333.068223579219" u="1"/>
        <n v="56811.033346194759" u="1"/>
        <n v="9645.6893203873969" u="1"/>
        <n v="36914.483814638588" u="1"/>
        <n v="107796.15227612862" u="1"/>
        <n v="55057.806442960966" u="1"/>
        <n v="32682.509816080928" u="1"/>
        <n v="297228.73447825212" u="1"/>
        <n v="63966.327871287998" u="1"/>
        <n v="27333.536433194327" u="1"/>
        <n v="101008.81503105447" u="1"/>
        <n v="321610.77222791483" u="1"/>
        <n v="118965.54403349254" u="1"/>
        <n v="16853.133218344869" u="1"/>
        <n v="28950.759113920936" u="1"/>
        <n v="14953.78252044894" u="1"/>
        <n v="28837.387289105012" u="1"/>
        <n v="47113.683805048873" u="1"/>
        <n v="47076.677354545653" u="1"/>
        <n v="232725.41092374281" u="1"/>
        <n v="30089.463445097674" u="1"/>
        <n v="21137.461102711935" u="1"/>
        <n v="357473.34395607573" u="1"/>
        <n v="10716.512173204923" u="1"/>
        <n v="35398.228003319433" u="1"/>
        <n v="35213.229182779418" u="1"/>
        <n v="9195.0817608937487" u="1"/>
        <n v="8307.9825432145935" u="1"/>
        <n v="14590.833459023375" u="1"/>
        <n v="6357.6566795219333" u="1"/>
        <n v="23428.372212617953" u="1"/>
        <n v="83984.440945609153" u="1"/>
        <n v="37135.455766797451" u="1"/>
        <n v="8815.0032104659476" u="1"/>
        <n v="13646.357275883858" u="1"/>
        <n v="48460.631091706004" u="1"/>
        <n v="322992.91591133678" u="1"/>
        <n v="325999.65263906145" u="1"/>
        <n v="172199.99374668029" u="1"/>
        <n v="1084409.2131055221" u="1"/>
        <n v="214968.51807997361" u="1"/>
        <n v="302613.51984730171" u="1"/>
        <n v="145942.7993531886" u="1"/>
        <n v="1047917.3180013907" u="1"/>
        <n v="304567.86689076526" u="1"/>
        <n v="9876.7009862232717" u="1"/>
        <n v="394866.4822370389" u="1"/>
        <n v="485260.21312781825" u="1"/>
        <n v="2560532.5060731606" u="1"/>
        <n v="1342641.0127916874" u="1"/>
        <n v="159087.33478461945" u="1"/>
        <n v="38826.414586247338" u="1"/>
        <n v="386543.93715726386" u="1"/>
        <n v="63970.492207354786" u="1"/>
        <n v="218303.91269025599" u="1"/>
        <n v="1548936.5147942936" u="1"/>
        <n v="532637.82400858076" u="1"/>
        <n v="112354.02834880001" u="1"/>
        <n v="417260.7963754927" u="1"/>
        <n v="95771.146246882796" u="1"/>
        <n v="541290.42929875292" u="1"/>
        <n v="1749642.4021738013" u="1"/>
        <n v="404097.43658740324" u="1"/>
        <n v="86708.19024492224" u="1"/>
        <n v="409103.62010224233" u="1"/>
        <n v="248187.3367744016" u="1"/>
        <n v="102166.11245474014" u="1"/>
        <n v="333892.85950762418" u="1"/>
        <n v="90935.47867678589" u="1"/>
        <n v="431832.67529952689" u="1"/>
        <n v="645272.04612452863" u="1"/>
        <n v="688953.46046336484" u="1"/>
        <n v="401144.95369263453" u="1"/>
        <n v="141672.06523242424" u="1"/>
        <n v="1116017.0967813628" u="1"/>
        <n v="667993.94533174962" u="1"/>
        <n v="227114.07609576546" u="1"/>
        <n v="42601.833420779534" u="1"/>
        <n v="66668.644500065144" u="1"/>
        <n v="202057.00662985578" u="1"/>
        <n v="42602.881192436493" u="1"/>
        <n v="712060.84303128975" u="1"/>
        <n v="63820.991510969805" u="1"/>
        <n v="561862.07245483657" u="1"/>
        <n v="387488.7490313311" u="1"/>
        <n v="736630.2061811802" u="1"/>
        <n v="338253.06263118319" u="1"/>
        <n v="477833.13026431372" u="1"/>
        <n v="264329.79631090013" u="1"/>
        <n v="222888.25610554442" u="1"/>
        <n v="307020.5464277718" u="1"/>
        <n v="284248.34957241046" u="1"/>
        <n v="208083.9216211047" u="1"/>
        <n v="208695.10220020707" u="1"/>
        <n v="501766.72464348993" u="1"/>
        <n v="239971.92393236823" u="1"/>
        <n v="189121.83110605465" u="1"/>
        <n v="255654.39383665577" u="1"/>
        <n v="438152.53933824238" u="1"/>
        <n v="223047.52201213024" u="1"/>
        <n v="21955.889124238402" u="1"/>
        <n v="3064417.5248160451" u="1"/>
        <n v="106173.85716970044" u="1"/>
        <n v="167133.08377399165" u="1"/>
        <n v="160473.44138407498" u="1"/>
        <n v="160643.47402025078" u="1"/>
        <n v="118603.13507195303" u="1"/>
        <n v="114011.6701586736" u="1"/>
        <n v="121206.53619009403" u="1"/>
        <n v="116852.00217339449" u="1"/>
        <n v="133864.56150274197" u="1"/>
        <n v="248306.99301755353" u="1"/>
        <n v="262669.67066360975" u="1"/>
        <n v="819591.67140252772" u="1"/>
        <n v="890453.21198527759" u="1"/>
        <n v="902820.38336620119" u="1"/>
        <n v="871075.29455404065" u="1"/>
        <n v="677312.19450369175" u="1"/>
        <n v="368947.88812940929" u="1"/>
        <n v="570445.95485203236" u="1"/>
        <n v="617698.56641763239" u="1"/>
        <n v="666479.7290908061" u="1"/>
        <n v="347036.75873314898" u="1"/>
        <n v="315969.81484498765" u="1"/>
        <n v="130768.37233946632" u="1"/>
        <n v="119529.46789709231" u="1"/>
        <n v="175465.17604001611" u="1"/>
        <n v="115696.51481023336" u="1"/>
        <n v="160801.76310663734" u="1"/>
        <n v="541123.31584290764" u="1"/>
        <n v="2093562.3074640103" u="1"/>
        <n v="589009.7542828077" u="1"/>
        <n v="222561.56790314737" u="1"/>
        <n v="320766.12763439858" u="1"/>
        <n v="197328.51944179024" u="1"/>
        <n v="185776.95697906191" u="1"/>
        <n v="129302.06441132503" u="1"/>
        <n v="233925.64460080955" u="1"/>
        <n v="195591.70983303519" u="1"/>
        <n v="214376.63172235718" u="1"/>
        <n v="169662.42438675702" u="1"/>
        <n v="201965.75868630043" u="1"/>
        <n v="180727.86869959655" u="1"/>
        <n v="173507.22638702139" u="1"/>
        <n v="256295.54184057185" u="1"/>
        <n v="185972.2431398085" u="1"/>
        <n v="386253.04988609819" u="1"/>
        <n v="352560.52214184101" u="1"/>
        <n v="249867.9220671631" u="1"/>
        <n v="248449.86102735935" u="1"/>
        <n v="96444.410408251541" u="1"/>
        <n v="99321.12604093978" u="1"/>
        <n v="62587.709546658109" u="1"/>
        <n v="205174.69789076975" u="1"/>
        <n v="201196.00642910341" u="1"/>
        <n v="52444.853992785102" u="1"/>
        <n v="181207.28142634395" u="1"/>
        <n v="692495.04031553352" u="1"/>
        <n v="442753.27171485132" u="1"/>
        <n v="656946.441798463" u="1"/>
        <n v="888110.68914879626" u="1"/>
        <n v="105518.43153021514" u="1"/>
        <n v="304241.57551984524" u="1"/>
        <n v="540025.28990123305" u="1"/>
        <n v="315165.00265406078" u="1"/>
        <n v="235570.77786507262" u="1"/>
        <n v="194976.84742017073" u="1"/>
        <n v="231573.78649918601" u="1"/>
        <n v="321345.11848413234" u="1"/>
        <n v="112616.38098399735" u="1"/>
        <n v="2080737.5089346711" u="1"/>
        <n v="4929714.6779098623" u="1"/>
        <n v="367011.68863929372" u="1"/>
        <n v="200925.32671828769" u="1"/>
        <n v="158295.03747607037" u="1"/>
        <n v="209665.44184815174" u="1"/>
        <n v="318393.30594744103" u="1"/>
        <n v="64138.099168989385" u="1"/>
        <n v="1654048.4925677516" u="1"/>
        <n v="100549.32225333547" u="1"/>
        <n v="67857.451516941685" u="1"/>
        <n v="175898.97965176395" u="1"/>
        <n v="287339.41723009892" u="1"/>
        <n v="254608.61866722198" u="1"/>
        <n v="279223.40350139805" u="1"/>
        <n v="201692.44327339501" u="1"/>
        <n v="565688.03244944685" u="1"/>
        <n v="458621.52555751143" u="1"/>
        <n v="97098.046758207609" u="1"/>
        <n v="34970.680796614666" u="1"/>
        <n v="57144.514911425867" u="1"/>
        <n v="197647.66029740174" u="1"/>
        <n v="77690.878537839308" u="1"/>
        <n v="448491.03326766542" u="1"/>
        <n v="41429.227254647281" u="1"/>
        <n v="18384.886860935214" u="1"/>
        <n v="57290.901406799843" u="1"/>
        <n v="1050640.8081171913" u="1"/>
        <n v="206098.30878552745" u="1"/>
        <n v="23072.821326319034" u="1"/>
        <n v="26286.698434104233" u="1"/>
        <n v="108027.92285733549" u="1"/>
        <n v="111717.80200846873" u="1"/>
        <n v="233485.50852508086" u="1"/>
        <n v="37747.52769764181" u="1"/>
        <n v="336715.86336387228" u="1"/>
        <n v="1628403.9446910315" u="1"/>
        <n v="159044.28614144825" u="1"/>
        <n v="7485.6403516147411" u="1"/>
        <n v="52182.324645667482" u="1"/>
        <n v="683870.74720095936" u="1"/>
        <n v="168536.61411130274" u="1"/>
        <n v="159845.14100307005" u="1"/>
        <n v="69962.175648653269" u="1"/>
        <n v="308224.75510159472" u="1"/>
        <n v="227774.19635677029" u="1"/>
        <n v="46246.674707051468" u="1"/>
        <n v="47996.843839653884" u="1"/>
        <n v="71967.017670636516" u="1"/>
        <n v="225236.35905321813" u="1"/>
        <n v="337049.92514670186" u="1"/>
        <n v="297193.40467167512" u="1"/>
        <n v="82073.995279725321" u="1"/>
        <n v="66326.710193215913" u="1"/>
        <n v="127062.117413428" u="1"/>
        <n v="40087.461047464436" u="1"/>
        <n v="495163.83331121417" u="1"/>
        <n v="63150.791027381762" u="1"/>
        <n v="268853.36977292306" u="1"/>
        <n v="1935262.9827247027" u="1"/>
        <n v="1279365.3131476666" u="1"/>
        <n v="48828.605422173889" u="1"/>
        <n v="451601.05126844335" u="1"/>
        <n v="175342.127001038" u="1"/>
        <n v="636774.30305231898" u="1"/>
        <n v="216924.38263426046" u="1"/>
        <n v="351557.4961200846" u="1"/>
        <n v="2672742.2939496259" u="1"/>
        <n v="1697800.1326548934" u="1"/>
        <n v="158950.12891128214" u="1"/>
        <n v="1126135.2372312772" u="1"/>
        <n v="64523.134437378612" u="1"/>
        <n v="855404.14918863191" u="1"/>
        <n v="1449569.7936857147" u="1"/>
        <n v="1712575.2881803571" u="1"/>
        <n v="2197738.0410877578" u="1"/>
        <n v="1426255.2739786033" u="1"/>
        <n v="1314628.4699507733" u="1"/>
        <n v="1028398.9355154365" u="1"/>
        <n v="1276462.4153438073" u="1"/>
        <n v="659390.81631908508" u="1"/>
        <n v="366403.4963827933" u="1"/>
        <n v="247101.0600382314" u="1"/>
        <n v="127635.85625361779" u="1"/>
        <n v="2219909.0466306489" u="1"/>
        <n v="1655989.2178448057" u="1"/>
        <n v="790007.63756176899" u="1"/>
        <n v="21478.1834376593" u="1"/>
        <n v="2580583.2348893648" u="1"/>
        <n v="6704.5179979322902" u="1"/>
        <n v="4677.3822167860108" u="1"/>
        <n v="11112.632753249571" u="1"/>
        <n v="7621.1469798380931" u="1"/>
        <n v="46089.068489189223" u="1"/>
        <n v="16355.375491655592" u="1"/>
        <n v="173294.68843024437" u="1"/>
        <n v="220162.90340070537" u="1"/>
        <n v="603623.02101289819" u="1"/>
        <n v="17920.039781085437" u="1"/>
        <n v="154320.72480013708" u="1"/>
        <n v="119316.83847091178" u="1"/>
        <n v="56800.050445310408" u="1"/>
        <n v="153435.2322600128" u="1"/>
        <n v="96152.053489132813" u="1"/>
        <n v="25891.576216881418" u="1"/>
        <n v="2317618.0272008209" u="1"/>
        <n v="1820526.4666993539" u="1"/>
        <n v="1214293.9903669353" u="1"/>
        <n v="121291.36815651617" u="1"/>
        <n v="152137.21679504283" u="1"/>
        <n v="27838.240980267768" u="1"/>
        <n v="12972.240780242835" u="1"/>
        <n v="436920.70400691498" u="1"/>
        <n v="55091.126853358073" u="1"/>
        <n v="379972.19996703218" u="1"/>
        <n v="905700.94113273104" u="1"/>
        <n v="212073.01239415328" u="1"/>
        <n v="234327.38129433795" u="1"/>
        <n v="555748.3206474781" u="1"/>
        <n v="35185.552721108405" u="1"/>
        <n v="58177.353802047357" u="1"/>
        <n v="14214.110822190132" u="1"/>
        <n v="14743.251476534559" u="1"/>
        <n v="77815.756384915643" u="1"/>
        <n v="69373.312026661995" u="1"/>
        <n v="101865.85980198713" u="1"/>
        <n v="54968.749873909372" u="1"/>
        <n v="13018.47964087073" u="1"/>
        <n v="284480.80028320348" u="1"/>
        <n v="89029.447234799998" u="1"/>
        <n v="3564596.4233156512" u="1"/>
        <n v="345999.74167087593" u="1"/>
        <n v="152790.10849500538" u="1"/>
        <n v="80445.0852161535" u="1"/>
        <n v="65355.286866547758" u="1"/>
        <n v="20126.938181827689" u="1"/>
        <n v="1358335.101619923" u="1"/>
        <n v="637890.55948478065" u="1"/>
        <n v="241999.74726435164" u="1"/>
        <n v="99277.297419017152" u="1"/>
        <n v="1294957.9924479013" u="1"/>
        <n v="292024.60506823909" u="1"/>
        <n v="145613.89748726247" u="1"/>
        <n v="75001.885143064253" u="1"/>
        <n v="44257.759392446169" u="1"/>
        <n v="227925.78674607637" u="1"/>
        <n v="307791.02509398025" u="1"/>
        <n v="7558.9138302305555" u="1"/>
        <n v="10953.440271346553" u="1"/>
        <n v="21527.899610193832" u="1"/>
        <n v="16018.98689779543" u="1"/>
        <n v="74768.903826909111" u="1"/>
        <n v="7468.7438112998225" u="1"/>
        <n v="25130.994904817875" u="1"/>
        <n v="19484.846390157254" u="1"/>
        <n v="56744.133983640757" u="1"/>
        <n v="8504.4074316488677" u="1"/>
        <n v="8128.977640541224" u="1"/>
        <n v="64126.093867779411" u="1"/>
        <n v="301437.4502015732" u="1"/>
        <n v="140264.06530724693" u="1"/>
        <n v="21527.630531308416" u="1"/>
        <n v="234309.52884780697" u="1"/>
        <n v="269325.46056935121" u="1"/>
        <n v="27468.166111534123" u="1"/>
        <n v="530140.44447613053" u="1"/>
        <n v="3943512.8560707928" u="1"/>
        <n v="317926.19214305968" u="1"/>
        <n v="37231.89343837514" u="1"/>
        <n v="21722.278214699727" u="1"/>
        <n v="72221.430520641763" u="1"/>
        <n v="152653.04986491709" u="1"/>
        <n v="54843.176125383034" u="1"/>
        <n v="79696.123202544928" u="1"/>
        <n v="41409.590644192416" u="1"/>
        <n v="252148.70700425885" u="1"/>
        <n v="155465.38952920015" u="1"/>
        <n v="269856.13115176489" u="1"/>
        <n v="346853.13439955993" u="1"/>
        <n v="259326.60055823281" u="1"/>
        <n v="155775.01256029104" u="1"/>
        <n v="97589.458987272985" u="1"/>
        <n v="40511.84933812503" u="1"/>
        <n v="77260.70913858425" u="1"/>
        <n v="45775.167356348691" u="1"/>
        <n v="114878.71091615986" u="1"/>
        <n v="79436.093101170758" u="1"/>
        <n v="1471958.3459367929" u="1"/>
        <n v="1221659.0719733757" u="1"/>
        <n v="27935.899940364379" u="1"/>
        <n v="159071.86650499253" u="1"/>
        <n v="428453.17457199568" u="1"/>
        <n v="183297.86494275124" u="1"/>
        <n v="31980.663693079674" u="1"/>
        <n v="15890.475644639864" u="1"/>
        <n v="338247.24785039807" u="1"/>
        <n v="137136.03495089401" u="1"/>
        <n v="285936.71656305797" u="1"/>
        <n v="132081.06159692252" u="1"/>
        <n v="7464124.709271335" u="1"/>
        <n v="2240312.273474019" u="1"/>
        <n v="51073.868088493662" u="1"/>
        <n v="113861.35416418151" u="1"/>
        <n v="59821.351132284661" u="1"/>
        <n v="175471.8759363342" u="1"/>
        <n v="1561808.2892555853" u="1"/>
        <n v="155431.7555431466" u="1"/>
        <n v="35606.674836895138" u="1"/>
        <n v="234323.38702671183" u="1"/>
        <n v="406594.51369563234" u="1"/>
        <n v="164200.32070610049" u="1"/>
        <n v="147680.59760085581" u="1"/>
        <n v="632480.0652438089" u="1"/>
        <n v="236497.00058359187" u="1"/>
        <n v="5335.5004702020369" u="1"/>
        <n v="11940.622482730427" u="1"/>
        <n v="208571.55051562982" u="1"/>
        <n v="235146.10213162727" u="1"/>
        <n v="29359.494007732294" u="1"/>
        <n v="77022.927502974941" u="1"/>
        <n v="26829.194435283884" u="1"/>
        <n v="13064.615405623794" u="1"/>
        <n v="59895.104911725735" u="1"/>
        <n v="6278974.8363371678" u="1"/>
        <n v="268387.22662233526" u="1"/>
        <n v="229686.08221572282" u="1"/>
        <n v="13034.412171345297" u="1"/>
        <n v="54896.130872952439" u="1"/>
        <n v="52817.855408372154" u="1"/>
        <n v="2936096.6381323002" u="1"/>
        <n v="8715.8947707171119" u="1"/>
        <n v="17752.108260772955" u="1"/>
        <n v="954010.24931604636" u="1"/>
        <n v="259225.26915532345" u="1"/>
        <n v="2658912.761724045" u="1"/>
        <n v="291113.10665125056" u="1"/>
        <n v="26727.86404606103" u="1"/>
        <n v="124288.62433393272" u="1"/>
        <n v="31650.844063386827" u="1"/>
        <n v="3434008.3472072231" u="1"/>
        <n v="119148.23701394412" u="1"/>
        <n v="318858.64144608867" u="1"/>
        <n v="1888807.4513723217" u="1"/>
        <n v="43244.442249551706" u="1"/>
        <n v="701153.14549170749" u="1"/>
        <n v="1936625.7960067033" u="1"/>
        <n v="95867.110393137249" u="1"/>
        <n v="240429.52098017273" u="1"/>
        <n v="264844.34039891069" u="1"/>
        <n v="2558694.93321366" u="1"/>
        <n v="125653.06926466057" u="1"/>
        <n v="84155.10360526813" u="1"/>
        <n v="1299887.8864644039" u="1"/>
        <n v="464091.81548889307" u="1"/>
        <n v="3063223.8732793368" u="1"/>
        <n v="180563.07844056503" u="1"/>
        <n v="206618.86493797775" u="1"/>
        <n v="204477.8618878164" u="1"/>
        <n v="757269.5126335274" u="1"/>
        <n v="108097.05291570861" u="1"/>
        <n v="510962.21488738677" u="1"/>
        <n v="386975.88957214681" u="1"/>
        <n v="36049.210919816367" u="1"/>
        <n v="66867.793750070196" u="1"/>
        <n v="124592.90789966329" u="1"/>
        <n v="449927.74075535825" u="1"/>
        <n v="43692.964100696023" u="1"/>
        <n v="51074.005223406682" u="1"/>
        <n v="398288.31866996671" u="1"/>
        <n v="186557.80205167452" u="1"/>
        <n v="604662.41107893176" u="1"/>
        <n v="259327.69349398505" u="1"/>
        <n v="539093.81783191767" u="1"/>
        <n v="25756.181242415929" u="1"/>
        <n v="29950.939551576914" u="1"/>
        <n v="93170.659597549617" u="1"/>
        <n v="854722.58444973291" u="1"/>
        <n v="232018.6465308372" u="1"/>
        <n v="122173.91685660619" u="1"/>
        <n v="36937.032196688422" u="1"/>
        <n v="7116.750552380423" u="1"/>
        <n v="162653.76798099175" u="1"/>
        <n v="34771.462629304384" u="1"/>
        <n v="303635.96509219933" u="1"/>
        <n v="22093.309591031084" u="1"/>
        <n v="503168.48214500269" u="1"/>
        <n v="233755.73209361022" u="1"/>
        <n v="35836.10696023747" u="1"/>
        <n v="130692.46420611673" u="1"/>
        <n v="496832.43468030047" u="1"/>
        <n v="14719.25691975944" u="1"/>
        <n v="515972.50918222615" u="1"/>
        <n v="2179677.1471015164" u="1"/>
        <n v="1152877.2127985829" u="1"/>
        <n v="40542.49336324208" u="1"/>
        <n v="851095.70993625943" u="1"/>
        <n v="162977.17425270664" u="1"/>
        <n v="1274279.6666662218" u="1"/>
        <n v="150726.03145570247" u="1"/>
        <n v="63134.584926489828" u="1"/>
        <n v="261332.30695898319" u="1"/>
        <n v="3452259.6951472564" u="1"/>
        <n v="284449.19546496694" u="1"/>
        <n v="117040.75175333713" u="1"/>
        <n v="165752.0030520095" u="1"/>
        <n v="135473.78952580789" u="1"/>
        <n v="25297.498591443458" u="1"/>
        <n v="29164.267672035337" u="1"/>
        <n v="160103.40843849373" u="1"/>
        <n v="18141192.618636131" u="1"/>
        <n v="1349320.1704861629" u="1"/>
        <n v="5815.069731575798" u="1"/>
        <n v="82243.667451878558" u="1"/>
        <n v="527444.83295425121" u="1"/>
        <n v="758839.59025094751" u="1"/>
        <n v="83801.281292139669" u="1"/>
        <n v="377239.20879775652" u="1"/>
        <n v="102280.98570210715" u="1"/>
        <n v="153388.78448530304" u="1"/>
        <n v="481867.18503062194" u="1"/>
        <n v="428442.62903706648" u="1"/>
        <n v="24170.344338174637" u="1"/>
        <n v="400659.88060015033" u="1"/>
        <n v="85510.653558064878" u="1"/>
        <n v="51795.547518375533" u="1"/>
        <n v="62701.548715250443" u="1"/>
        <n v="133312.40658997733" u="1"/>
        <n v="234291.16466361348" u="1"/>
        <n v="33581.532343375802" u="1"/>
        <n v="87466.59391139535" u="1"/>
        <n v="128421.372144844" u="1"/>
        <n v="48309.753069988656" u="1"/>
        <n v="825946.86662584217" u="1"/>
        <n v="82112.405993154534" u="1"/>
        <n v="532122.34511255194" u="1"/>
        <n v="170443.4447767997" u="1"/>
        <n v="107036.60031424073" u="1"/>
        <n v="415573.65235356695" u="1"/>
        <n v="35754.905462920782" u="1"/>
        <n v="67789.724590261278" u="1"/>
        <n v="156025.00305604027" u="1"/>
        <n v="71544.69658980731" u="1"/>
        <n v="55828.642603931759" u="1"/>
        <n v="55140.152810820757" u="1"/>
        <n v="309468.66223047231" u="1"/>
        <n v="411667.34893249237" u="1"/>
        <n v="55076.583379831158" u="1"/>
        <n v="37242.413249566198" u="1"/>
        <n v="121814.16465095352" u="1"/>
        <n v="39729.38481439004" u="1"/>
        <n v="19810.961856954887" u="1"/>
        <n v="1140146.3439809461" u="1"/>
        <n v="66480.06779669784" u="1"/>
        <n v="1607758.6772429391" u="1"/>
        <n v="511805.7180529199" u="1"/>
        <n v="220215.48398193001" u="1"/>
        <n v="1108098.652854525" u="1"/>
        <n v="1090614.0735675129" u="1"/>
        <n v="71906.625939169098" u="1"/>
        <n v="528550.55009712675" u="1"/>
        <n v="19445.100757390152" u="1"/>
        <n v="168273.73127897867" u="1"/>
        <n v="272715.74150547764" u="1"/>
        <n v="82112.361812286574" u="1"/>
        <n v="128080.88552048728" u="1"/>
        <n v="32877.711819302567" u="1"/>
        <n v="46883.65848695366" u="1"/>
        <n v="19762.413572621728" u="1"/>
        <n v="308391.25398087589" u="1"/>
        <n v="743641.04709685023" u="1"/>
        <n v="634633.09531089966" u="1"/>
        <n v="133937.59755795414" u="1"/>
        <n v="99728.299848301132" u="1"/>
        <n v="17930.933593788406" u="1"/>
        <n v="404481.90676574409" u="1"/>
        <n v="56870.254312864185" u="1"/>
        <n v="1736489.897341423" u="1"/>
        <n v="3361304.5814461689" u="1"/>
        <n v="689939.12633362971" u="1"/>
        <n v="62968.120885630415" u="1"/>
        <n v="37815.413331918564" u="1"/>
        <n v="20841.761175682048" u="1"/>
        <n v="8774.2359786116249" u="1"/>
        <n v="33423.218320409265" u="1"/>
        <n v="22740.9684830357" u="1"/>
        <n v="147133.456443512" u="1"/>
        <n v="18569.711519058434" u="1"/>
        <n v="47444.890982275341" u="1"/>
        <n v="55795.126743329762" u="1"/>
        <n v="182202.13104162877" u="1"/>
        <n v="86642.127611364558" u="1"/>
        <n v="77016.496503367729" u="1"/>
        <n v="14633.556339805564" u="1"/>
        <n v="204289.23303925787" u="1"/>
        <n v="23838.584086398223" u="1"/>
        <n v="91294.900464755614" u="1"/>
        <n v="93761.268311215317" u="1"/>
        <n v="93976.777555369423" u="1"/>
        <n v="33828.649117756824" u="1"/>
        <n v="47105.829997211506" u="1"/>
        <n v="36479.413039279374" u="1"/>
        <n v="25021.065397795472" u="1"/>
        <n v="31766.29230533569" u="1"/>
        <n v="314326.17027297028" u="1"/>
        <n v="47999.975543846434" u="1"/>
        <n v="10654.143738507224" u="1"/>
        <n v="56619.928995460679" u="1"/>
        <n v="75913.947748721781" u="1"/>
        <n v="24659.222459253248" u="1"/>
        <n v="62237.004932906581" u="1"/>
        <n v="28497.675503964623" u="1"/>
        <n v="10578.93200714844" u="1"/>
        <n v="16851.287096622782" u="1"/>
        <n v="13800.950635673235" u="1"/>
        <n v="113502.1165912952" u="1"/>
        <n v="26494.774809057915" u="1"/>
        <n v="10051.902122768171" u="1"/>
        <n v="15947.638706762587" u="1"/>
        <n v="7827.7883048545718" u="1"/>
        <n v="1704.624176004656" u="1"/>
        <n v="29273.408807509681" u="1"/>
        <n v="9565.7220774848756" u="1"/>
        <n v="8012.4793159263972" u="1"/>
        <n v="8239.6980976732448" u="1"/>
        <n v="13920.535119070468" u="1"/>
        <n v="8816.3123497558881" u="1"/>
        <n v="10673.093200908297" u="1"/>
        <n v="417193.10652801819" u="1"/>
        <n v="51358.435095833709" u="1"/>
        <n v="23242.474639577584" u="1"/>
        <n v="84051.427663430441" u="1"/>
        <n v="77237.76008309907" u="1"/>
        <n v="13689.790026452574" u="1"/>
        <n v="26921.650185940554" u="1"/>
        <n v="28741.914074142049" u="1"/>
        <n v="32885.559920541404" u="1"/>
        <n v="226837.87142091928" u="1"/>
        <n v="5487.9342565438292" u="1"/>
        <n v="29490.332689009454" u="1"/>
        <n v="27255.232506625329" u="1"/>
        <n v="47092.150924073831" u="1"/>
        <n v="422703.3120578269" u="1"/>
        <n v="55449.668770767006" u="1"/>
        <n v="40375.011947596315" u="1"/>
        <n v="71079.288691241614" u="1"/>
        <n v="39392.057372082345" u="1"/>
        <n v="9617.2896399746969" u="1"/>
        <n v="32867.603228777451" u="1"/>
        <n v="28116.938860470003" u="1"/>
        <n v="69559.720728403932" u="1"/>
        <n v="56080.592694288745" u="1"/>
        <n v="67741.221672949032" u="1"/>
        <n v="16158.637237262003" u="1"/>
        <n v="14692.212340594131" u="1"/>
        <n v="38356.208778110711" u="1"/>
        <n v="82360.504694490417" u="1"/>
        <n v="37766.971032187699" u="1"/>
        <n v="16142.321448873308" u="1"/>
        <n v="22082.584722138155" u="1"/>
        <n v="52922.314746936463" u="1"/>
        <n v="25175.092802031068" u="1"/>
        <n v="111212.97406983934" u="1"/>
        <n v="77275.499085848554" u="1"/>
        <n v="22106.088088861092" u="1"/>
        <n v="47297.258426255983" u="1"/>
        <n v="20270.847066821716" u="1"/>
        <n v="78935.518125119648" u="1"/>
        <n v="9976.1023714108887" u="1"/>
        <n v="84194.023703758634" u="1"/>
        <n v="106712.00700480666" u="1"/>
        <n v="104778.52471532582" u="1"/>
        <n v="88740.507723974806" u="1"/>
        <n v="99715.913476248708" u="1"/>
        <n v="91015.228146011708" u="1"/>
        <n v="62990.91443489489" u="1"/>
        <n v="131553.85227783216" u="1"/>
        <n v="89877.414028941479" u="1"/>
        <n v="45324.714590685362" u="1"/>
        <n v="54054.887997156438" u="1"/>
        <n v="26048.503354782853" u="1"/>
        <n v="38630.397514546064" u="1"/>
        <n v="23127.188209841755" u="1"/>
        <n v="56309.75952255186" u="1"/>
        <n v="9560.5802969722135" u="1"/>
        <n v="36588.767780980023" u="1"/>
        <n v="106845.00975604514" u="1"/>
        <n v="54572.002268464239" u="1"/>
        <n v="32394.134729468453" u="1"/>
        <n v="294606.12799756171" u="1"/>
        <n v="63401.919095953112" u="1"/>
        <n v="27092.358170548501" u="1"/>
        <n v="100117.56078078048" u="1"/>
        <n v="318773.03012002143" u="1"/>
        <n v="117915.84805672642" u="1"/>
        <n v="16704.429101712412" u="1"/>
        <n v="28695.311239386334" u="1"/>
        <n v="14821.837380562625" u="1"/>
        <n v="28582.939754201143" u="1"/>
        <n v="46697.974830298452" u="1"/>
        <n v="46661.294907299663" u="1"/>
        <n v="230671.95141559216" u="1"/>
        <n v="29823.968179405627" u="1"/>
        <n v="20950.954092982116" u="1"/>
        <n v="354737.26441462903" u="1"/>
        <n v="10621.954712853112" u="1"/>
        <n v="35085.890697407798" u="1"/>
        <n v="34902.524219401952" u="1"/>
        <n v="9113.94868653292" u="1"/>
        <n v="8234.676814892111" u="1"/>
        <n v="14462.090810855518" u="1"/>
        <n v="6301.559708820263" u="1"/>
        <n v="23221.651281330149" u="1"/>
        <n v="83243.40176079495" u="1"/>
        <n v="36807.78998061984" u="1"/>
        <n v="8737.2237703736009" u="1"/>
        <n v="13525.948241096647" u="1"/>
        <n v="48033.037287955638" u="1"/>
        <n v="320142.97841800132" u="1"/>
        <n v="323123.18511577568" u="1"/>
        <n v="170680.58203715077" u="1"/>
        <n v="1074840.896519297" u="1"/>
        <n v="213071.73703809147" u="1"/>
        <n v="299943.40055453137" u="1"/>
        <n v="144655.06877066049" u="1"/>
        <n v="1038670.9887249079" u="1"/>
        <n v="301880.5033593761" u="1"/>
        <n v="9789.5536245801286" u="1"/>
        <n v="391382.36621730053" u="1"/>
        <n v="480978.50536492566" u="1"/>
        <n v="2537939.5721960459" u="1"/>
        <n v="1330794.1803258788" u="1"/>
        <n v="157683.62300710817" u="1"/>
        <n v="38483.828575192209" u="1"/>
        <n v="383172.44925737678" u="1"/>
        <n v="63406.046687878115" u="1"/>
        <n v="216377.70169593018" u="1"/>
        <n v="1535269.4278990496" u="1"/>
        <n v="527938.07850262267" u="1"/>
        <n v="111362.66927513413" u="1"/>
        <n v="414071.6116772567" u="1"/>
        <n v="94926.106721174991" u="1"/>
        <n v="536514.3372755287" u="1"/>
        <n v="1734204.3809781508" u="1"/>
        <n v="400531.87097045552" u="1"/>
        <n v="85943.117978055277" u="1"/>
        <n v="405493.88227781095" u="1"/>
        <n v="245997.44850874512" u="1"/>
        <n v="101264.64675661009" u="1"/>
        <n v="330946.74604138051" u="1"/>
        <n v="90133.106806108393" u="1"/>
        <n v="428022.38698806043" u="1"/>
        <n v="639578.46924695931" u="1"/>
        <n v="682874.45934162918" u="1"/>
        <n v="397605.43939534668" u="1"/>
        <n v="140422.01759802052" u="1"/>
        <n v="1106169.8871038801" u="1"/>
        <n v="662099.88110823417" u="1"/>
        <n v="225110.12836550875" u="1"/>
        <n v="42225.934890596182" u="1"/>
        <n v="66080.391754476354" u="1"/>
        <n v="200274.15068900416" u="1"/>
        <n v="42226.973417209119" u="1"/>
        <n v="705777.95323983766" u="1"/>
        <n v="63257.865115284774" u="1"/>
        <n v="556904.46593317634" u="1"/>
        <n v="384069.73065752519" u="1"/>
        <n v="730130.52789134649" u="1"/>
        <n v="335268.47678443743" u="1"/>
        <n v="473616.95558551082" u="1"/>
        <n v="261997.4745787452" u="1"/>
        <n v="220921.59502226021" u="1"/>
        <n v="304311.54160635022" u="1"/>
        <n v="281740.27589971264" u="1"/>
        <n v="206247.88701856555" u="1"/>
        <n v="206853.67482785229" u="1"/>
        <n v="497339.37119075324" u="1"/>
        <n v="237854.52460355323" u="1"/>
        <n v="187453.10906688357" u="1"/>
        <n v="253398.61977339117" u="1"/>
        <n v="434286.48752055195" u="1"/>
        <n v="221079.45564143502" u="1"/>
        <n v="21762.160690789242" u="1"/>
        <n v="3037378.5466559031" u="1"/>
        <n v="105237.02901820309" u="1"/>
        <n v="165658.38009363291" u="1"/>
        <n v="159057.49925421551" u="1"/>
        <n v="159226.03160242504" u="1"/>
        <n v="117556.63682131816" u="1"/>
        <n v="113005.68483374412" u="1"/>
        <n v="120137.06675312262" u="1"/>
        <n v="115820.95509539396" u="1"/>
        <n v="132683.40360712953" u="1"/>
        <n v="246116.0489615163" u="1"/>
        <n v="260351.99709893091" u="1"/>
        <n v="812359.98018427007" u="1"/>
        <n v="882596.27187952504" u="1"/>
        <n v="894854.32116002869" u="1"/>
        <n v="863389.33607268124" u="1"/>
        <n v="671335.91043454153" u="1"/>
        <n v="364024.53881113639" u="1"/>
        <n v="565412.60819157306" u="1"/>
        <n v="612248.28494924144" u="1"/>
        <n v="660599.02559882822" u="1"/>
        <n v="343974.66968550358" u="1"/>
        <n v="313181.84589047299" u="1"/>
        <n v="129614.53376000043" u="1"/>
        <n v="118474.79612152974" u="1"/>
        <n v="173916.95389848648" u="1"/>
        <n v="114675.66320896659" u="1"/>
        <n v="159382.92402040231" u="1"/>
        <n v="536348.69835017598" u="1"/>
        <n v="2075089.6988687394" u="1"/>
        <n v="583812.60939207696" u="1"/>
        <n v="220597.78936282545" u="1"/>
        <n v="317935.83827291866" u="1"/>
        <n v="195587.38544671569" u="1"/>
        <n v="184137.74853512901" u="1"/>
        <n v="128161.16384298986" u="1"/>
        <n v="231861.59479550831" u="1"/>
        <n v="193865.90062862603" u="1"/>
        <n v="212485.0732071599" u="1"/>
        <n v="168165.40299510912" u="1"/>
        <n v="200183.70787436247" u="1"/>
        <n v="179133.2110346001" u="1"/>
        <n v="171976.2802718418" u="1"/>
        <n v="254034.11058903742" u="1"/>
        <n v="184331.31158269252" u="1"/>
        <n v="382844.93474004435" u="1"/>
        <n v="349449.6940052954" u="1"/>
        <n v="247663.20510774691" u="1"/>
        <n v="246257.65637123559" u="1"/>
        <n v="95593.430316414029" u="1"/>
        <n v="98444.76316410795" u="1"/>
        <n v="62035.465050658197" u="1"/>
        <n v="203364.33290938055" u="1"/>
        <n v="199420.74754884659" u="1"/>
        <n v="51982.105281084048" u="1"/>
        <n v="179608.39364905265" u="1"/>
        <n v="686384.78995980846" u="1"/>
        <n v="438846.62519972021" u="1"/>
        <n v="651149.85554730007" u="1"/>
        <n v="880274.41836218908" u="1"/>
        <n v="104587.386546125" u="1"/>
        <n v="301557.09102996415" u="1"/>
        <n v="535260.36087269266" u="1"/>
        <n v="312384.13498358376" u="1"/>
        <n v="233492.21217802787" u="1"/>
        <n v="193256.46347234567" u="1"/>
        <n v="229530.48838301672" u="1"/>
        <n v="318509.72037986061" u="1"/>
        <n v="111622.70703413857" u="1"/>
        <n v="2062378.0603264242" u="1"/>
        <n v="4886217.1954577155" u="1"/>
        <n v="363773.35021012346" u="1"/>
        <n v="199152.45618842042" u="1"/>
        <n v="156898.31655716387" u="1"/>
        <n v="207815.45265537393" u="1"/>
        <n v="315583.95324790478" u="1"/>
        <n v="63572.174764557123" u="1"/>
        <n v="1639453.9470450948" u="1"/>
        <n v="99662.122351100144" u="1"/>
        <n v="67258.709297674563" u="1"/>
        <n v="174346.92983130721" u="1"/>
        <n v="284804.06943100988" u="1"/>
        <n v="252362.07203192293" u="1"/>
        <n v="276759.66758815036" u="1"/>
        <n v="201808.59452343287" u="1"/>
        <n v="560696.66745724599" u="1"/>
        <n v="454574.86503788631" u="1"/>
        <n v="96241.299286811642" u="1"/>
        <n v="34662.115966056299" u="1"/>
        <n v="56640.29860338381" u="1"/>
        <n v="195903.71035360111" u="1"/>
        <n v="77005.370786034851" u="1"/>
        <n v="444533.75944471546" u="1"/>
        <n v="41063.675249459229" u="1"/>
        <n v="18222.667270985788" u="1"/>
        <n v="56785.393453210418" u="1"/>
        <n v="1041370.4480455689" u="1"/>
        <n v="204279.79429624334" u="1"/>
        <n v="22869.237608733863" u="1"/>
        <n v="26054.756977332723" u="1"/>
        <n v="107074.73530271195" u="1"/>
        <n v="110732.0566966293" u="1"/>
        <n v="231425.34227338893" u="1"/>
        <n v="37414.461276780276" u="1"/>
        <n v="333744.84104007343" u="1"/>
        <n v="1614035.6745908167" u="1"/>
        <n v="157640.95420490604" u="1"/>
        <n v="7419.5905838063773" u="1"/>
        <n v="51721.892369382185" u="1"/>
        <n v="677008.15495912498" u="1"/>
        <n v="167049.5263397324" u="1"/>
        <n v="158434.74270010181" u="1"/>
        <n v="69344.862334106336" u="1"/>
        <n v="305505.12490952184" u="1"/>
        <n v="225764.42403597527" u="1"/>
        <n v="45838.615812577482" u="1"/>
        <n v="47573.342276362819" u="1"/>
        <n v="71332.014573542663" u="1"/>
        <n v="223248.97941451328" u="1"/>
        <n v="334075.9552189369" u="1"/>
        <n v="294571.10992457205" u="1"/>
        <n v="81349.812968433631" u="1"/>
        <n v="65741.474515040478" u="1"/>
        <n v="125940.98108330954" u="1"/>
        <n v="39733.748155869165" u="1"/>
        <n v="490794.74066435045" u="1"/>
        <n v="62593.57816537546" u="1"/>
        <n v="266481.13415727962" u="1"/>
        <n v="1918187.1328771319" u="1"/>
        <n v="1268076.7956787166" u="1"/>
        <n v="48397.764786095882" u="1"/>
        <n v="447616.33611019253" u="1"/>
        <n v="173794.99058632291" u="1"/>
        <n v="631155.70626068092" u="1"/>
        <n v="215010.34396395815" u="1"/>
        <n v="348455.51821314258" u="1"/>
        <n v="2649159.2737088948" u="1"/>
        <n v="1682819.5432491149" u="1"/>
        <n v="157547.62777382965" u="1"/>
        <n v="1116198.7498439422" u="1"/>
        <n v="63953.812662931174" u="1"/>
        <n v="847856.46551932022" u="1"/>
        <n v="1436779.4719767228" u="1"/>
        <n v="1697464.3297552362" u="1"/>
        <n v="2178346.2348428657" u="1"/>
        <n v="1413670.6686199685" u="1"/>
        <n v="1303028.8069806197" u="1"/>
        <n v="1019324.8272608883" u="1"/>
        <n v="1265199.5116790091" u="1"/>
        <n v="653572.66205744632" u="1"/>
        <n v="363170.52435588627" u="1"/>
        <n v="244920.75656730589" u="1"/>
        <n v="126509.6575219682" u="1"/>
        <n v="2200321.6138662612" u="1"/>
        <n v="1638853.759005277" u="1"/>
        <n v="784297.51546109852" u="1"/>
        <n v="21288.670054385828" u="1"/>
        <n v="2557813.3828168116" u="1"/>
        <n v="6645.3604861858275" u="1"/>
        <n v="4636.1111972261351" u="1"/>
        <n v="11014.580111309131" u="1"/>
        <n v="7553.9015653101123" u="1"/>
        <n v="45682.400237814029" u="1"/>
        <n v="16211.063354964517" u="1"/>
        <n v="171765.61764997747" u="1"/>
        <n v="218220.2895471697" u="1"/>
        <n v="598296.93553337245" u="1"/>
        <n v="17761.921783017035" u="1"/>
        <n v="152959.07134601823" u="1"/>
        <n v="118264.04283734492" u="1"/>
        <n v="56298.873529616489" u="1"/>
        <n v="152081.39197536564" u="1"/>
        <n v="95303.653017169869" u="1"/>
        <n v="25663.121132614819" u="1"/>
        <n v="2297168.4563725786" u="1"/>
        <n v="1804462.9978755368" u="1"/>
        <n v="1203579.6316284034" u="1"/>
        <n v="120221.15020219397" u="1"/>
        <n v="150794.8295880277" u="1"/>
        <n v="27592.60944220658" u="1"/>
        <n v="12857.779832181872" u="1"/>
        <n v="433065.52132450114" u="1"/>
        <n v="54605.028675240203" u="1"/>
        <n v="376619.5040849701" u="1"/>
        <n v="897709.46224038326" u="1"/>
        <n v="210201.7799318519" u="1"/>
        <n v="232259.78675350558" u="1"/>
        <n v="550844.658994706" u="1"/>
        <n v="34875.091961804501" u="1"/>
        <n v="57664.024209676347" u="1"/>
        <n v="14088.692197288454" u="1"/>
        <n v="14613.163963506315" u="1"/>
        <n v="77129.146769754632" u="1"/>
        <n v="68761.194567603219" u="1"/>
        <n v="100967.04339196955" u="1"/>
        <n v="54483.731492669001" u="1"/>
        <n v="12903.610702863047" u="1"/>
        <n v="281970.67557482223" u="1"/>
        <n v="88243.893288610576" u="1"/>
        <n v="3533144.1019334537" u="1"/>
        <n v="342946.80277378001" u="1"/>
        <n v="151441.96047887296" u="1"/>
        <n v="79735.27564071682" u="1"/>
        <n v="64778.622570666455" u="1"/>
        <n v="19949.347550811563" u="1"/>
        <n v="1345414.1878324542" u="1"/>
        <n v="632262.11337167968" u="1"/>
        <n v="239864.455376725" u="1"/>
        <n v="98273.712590497278" u="1"/>
        <n v="1283531.8925145376" u="1"/>
        <n v="289447.91737646051" u="1"/>
        <n v="144329.06898002193" u="1"/>
        <n v="74340.103803566657" u="1"/>
        <n v="43867.249750748117" u="1"/>
        <n v="225914.67686302273" u="1"/>
        <n v="305075.22193138639" u="1"/>
        <n v="7492.2175317285219" u="1"/>
        <n v="10856.792268952318" u="1"/>
        <n v="21337.947554809773" u="1"/>
        <n v="15877.642895756055" u="1"/>
        <n v="74109.178204906973" u="1"/>
        <n v="7402.8431306118819" u="1"/>
        <n v="24909.250832128309" u="1"/>
        <n v="19312.921274949993" u="1"/>
        <n v="56243.450448490978" u="1"/>
        <n v="8429.3685425460826" u="1"/>
        <n v="8057.2513672423311" u="1"/>
        <n v="63560.27539247548" u="1"/>
        <n v="298777.70799391222" u="1"/>
        <n v="139026.44120159477" u="1"/>
        <n v="21337.680850149816" u="1"/>
        <n v="232242.09182856159" u="1"/>
        <n v="266949.05944668048" u="1"/>
        <n v="27225.799939961762" u="1"/>
        <n v="525462.73467192939" u="1"/>
        <n v="3905329.7291098889" u="1"/>
        <n v="315120.96103591507" u="1"/>
        <n v="36903.376731565942" u="1"/>
        <n v="21530.611053981786" u="1"/>
        <n v="71584.182604283138" u="1"/>
        <n v="151306.11118963844" u="1"/>
        <n v="54359.265747806123" u="1"/>
        <n v="78992.922115463662" u="1"/>
        <n v="41044.211903214258" u="1"/>
        <n v="249923.86547186825" u="1"/>
        <n v="154093.63609217783" u="1"/>
        <n v="267475.04764160217" u="1"/>
        <n v="343792.66556662263" u="1"/>
        <n v="257038.42467095423" u="1"/>
        <n v="154400.52715534726" u="1"/>
        <n v="96728.375525620577" u="1"/>
        <n v="40154.391843965095" u="1"/>
        <n v="76578.99699912619" u="1"/>
        <n v="45371.268820851503" u="1"/>
        <n v="113865.07523160552" u="1"/>
        <n v="78735.186397336889" u="1"/>
        <n v="1458970.4781785265" u="1"/>
        <n v="1210879.7272206699" u="1"/>
        <n v="27689.406705596452" u="1"/>
        <n v="157668.29121230147" u="1"/>
        <n v="424672.70538459567" u="1"/>
        <n v="181680.53084031516" u="1"/>
        <n v="31698.481366376029" u="1"/>
        <n v="15750.265565422456" u="1"/>
        <n v="335262.71331054153" u="1"/>
        <n v="135926.01111309204" u="1"/>
        <n v="283413.74553456041" u="1"/>
        <n v="130915.64046518496" u="1"/>
        <n v="7398264.7853659987" u="1"/>
        <n v="2220544.8122374839" u="1"/>
        <n v="50623.216311242257" u="1"/>
        <n v="112856.69515685056" u="1"/>
        <n v="59293.515681117453" u="1"/>
        <n v="173923.5946780724" u="1"/>
        <n v="1548027.6278798007" u="1"/>
        <n v="154060.29887658943" u="1"/>
        <n v="35292.498294216653" u="1"/>
        <n v="232255.8277294173" u="1"/>
        <n v="403006.91504537675" u="1"/>
        <n v="162751.49434692907" u="1"/>
        <n v="146377.53350437767" u="1"/>
        <n v="626899.35878577526" u="1"/>
        <n v="234410.26234314841" u="1"/>
        <n v="5288.4225248767252" u="1"/>
        <n v="11835.264049059278" u="1"/>
        <n v="206731.21330519771" u="1"/>
        <n v="233071.28358340697" u="1"/>
        <n v="29100.43964884054" u="1"/>
        <n v="76343.313436772209" u="1"/>
        <n v="26592.466249090201" u="1"/>
        <n v="12949.339387338878" u="1"/>
        <n v="59366.618691916396" u="1"/>
        <n v="6223572.1171930162" u="1"/>
        <n v="266019.10403449106" u="1"/>
        <n v="227659.44031381945" u="1"/>
        <n v="12919.402652186369" u="1"/>
        <n v="54411.753247602857" u="1"/>
        <n v="52351.815507710053" u="1"/>
        <n v="2910189.9030899568" u="1"/>
        <n v="8638.9898168578402" u="1"/>
        <n v="17595.472011413192" u="1"/>
        <n v="945592.51182208152" u="1"/>
        <n v="256937.98736865877" u="1"/>
        <n v="2635451.7667676569" u="1"/>
        <n v="288544.46159256296" u="1"/>
        <n v="26492.029951536966" u="1"/>
        <n v="123191.96000157449" u="1"/>
        <n v="31371.571909886345" u="1"/>
        <n v="3403708.2735553933" u="1"/>
        <n v="118096.92904029167" u="1"/>
        <n v="316045.18284509378" u="1"/>
        <n v="1872141.5032719774" u="1"/>
        <n v="42862.87364146742" u="1"/>
        <n v="694966.50009031" u="1"/>
        <n v="1919537.9213360562" u="1"/>
        <n v="95021.224124962522" u="1"/>
        <n v="238308.0840303477" u="1"/>
        <n v="262507.47857186152" u="1"/>
        <n v="2536118.2132147159" u="1"/>
        <n v="124544.36571232532" u="1"/>
        <n v="83412.558573456947" u="1"/>
        <n v="1288418.2874661887" u="1"/>
        <n v="459996.88770516758" u="1"/>
        <n v="3036195.4273386374" u="1"/>
        <n v="178969.87480726594" u="1"/>
        <n v="204795.75730617208" u="1"/>
        <n v="202673.64545939449" u="1"/>
        <n v="750587.72281617287" u="1"/>
        <n v="107143.25538998176" u="1"/>
        <n v="506453.72475602746" u="1"/>
        <n v="383561.39642886311" u="1"/>
        <n v="35731.129646994465" u="1"/>
        <n v="66277.783805216619" u="1"/>
        <n v="123493.55871231333" u="1"/>
        <n v="445444.64004171436" u="1"/>
        <n v="43307.437946866354" u="1"/>
        <n v="50623.35223614132" u="1"/>
        <n v="394774.00997582002" u="1"/>
        <n v="184911.70379827736" u="1"/>
        <n v="600851.98297821777" u="1"/>
        <n v="257039.50796315575" u="1"/>
        <n v="534337.10767457716" u="1"/>
        <n v="25528.920819688727" u="1"/>
        <n v="29686.666555533582" u="1"/>
        <n v="92348.565542277109" u="1"/>
        <n v="847180.91458694125" u="1"/>
        <n v="229971.42317909451" u="1"/>
        <n v="121095.91170787143" u="1"/>
        <n v="36611.117206717652" u="1"/>
        <n v="7053.9556945652994" u="1"/>
        <n v="161218.58767527714" u="1"/>
        <n v="34464.655606104636" u="1"/>
        <n v="300956.82422373875" u="1"/>
        <n v="21898.3686240514" u="1"/>
        <n v="498728.76024372317" u="1"/>
        <n v="231693.18151631363" u="1"/>
        <n v="35519.906016470668" u="1"/>
        <n v="129539.29540429806" u="1"/>
        <n v="492210.88657942385" u="1"/>
        <n v="14589.381123408617" u="1"/>
        <n v="511674.70819831855" u="1"/>
        <n v="2160444.7016859152" u="1"/>
        <n v="1142704.7668033014" u="1"/>
        <n v="40184.765480625225" u="1"/>
        <n v="843586.04190741037" u="1"/>
        <n v="161539.14036224157" u="1"/>
        <n v="1263036.0225485787" u="1"/>
        <n v="149396.09588403453" u="1"/>
        <n v="62577.515059491416" u="1"/>
        <n v="259026.43366228629" u="1"/>
        <n v="3421798.5801900756" u="1"/>
        <n v="281939.349622629" u="1"/>
        <n v="116008.03923786653" u="1"/>
        <n v="164289.48537802117" u="1"/>
        <n v="134278.43255940368" u="1"/>
        <n v="25074.285368577777" u="1"/>
        <n v="28906.935898458549" u="1"/>
        <n v="158690.73130521289" u="1"/>
        <n v="17981123.27200111" u="1"/>
        <n v="1337414.404275991" u="1"/>
        <n v="0" u="1"/>
        <n v="16198.846916689459" u="1"/>
        <n v="31490.146734817536" u="1"/>
        <n v="194409.14279992043" u="1"/>
        <n v="987807.6763190229" u="1"/>
        <n v="3872153.5608378868" u="1"/>
        <n v="13974.345487443767" u="1"/>
        <n v="41065.348600584737" u="1"/>
        <n v="120142.11604948924" u="1"/>
        <n v="94185.49147965778" u="1"/>
        <n v="738669.06967363041" u="1"/>
        <n v="4613022.4688941985" u="1"/>
        <n v="43310.027483940168" u="1"/>
        <n v="76026.635823546734" u="1"/>
        <n v="84757.567906508615" u="1"/>
        <n v="124067.80426665267" u="1"/>
        <n v="82503.738592134381" u="1"/>
        <n v="99615.923062010726" u="1"/>
        <n v="190420.81995132132" u="1"/>
        <n v="351660.59714966587" u="1"/>
        <n v="1095501.6449941988" u="1"/>
        <n v="122217.97829755096" u="1"/>
        <n v="148221.67474731841" u="1"/>
        <n v="169425.55809356473" u="1"/>
        <n v="208763.31621369376" u="1"/>
        <n v="311717.22362581547" u="1"/>
        <n v="40555.246002105305" u="1"/>
        <n v="148533.48915172528" u="1"/>
        <n v="279716.15628504311" u="1"/>
        <n v="36115.136844179549" u="1"/>
        <n v="53850.167213637746" u="1"/>
        <n v="72199.195743615128" u="1"/>
        <n v="96128.063057388979" u="1"/>
        <n v="2380094.8582609431" u="1"/>
        <n v="5801483.5375781236" u="1"/>
        <n v="121970.18785539411" u="1"/>
        <n v="27059.977253259087" u="1"/>
        <n v="38341.637164220447" u="1"/>
        <n v="62793.702668171289" u="1"/>
        <n v="96436.846596918898" u="1"/>
        <n v="132376.38985752265" u="1"/>
        <n v="258442.35752082086" u="1"/>
        <n v="27485.682920224506" u="1"/>
        <n v="145869.18354154844" u="1"/>
        <n v="21700.083734420794" u="1"/>
        <n v="65964.535064297466" u="1"/>
        <n v="117438.73383876399" u="1"/>
        <n v="420270.03228077799" u="1"/>
        <n v="529933.21568229201" u="1"/>
        <n v="10967.17809182678" u="1"/>
        <n v="54684.891790554444" u="1"/>
        <n v="329427.57942894101" u="1"/>
        <n v="411921.99277786753" u="1"/>
        <n v="970260.5979638244" u="1"/>
        <n v="10128.121817495135" u="1"/>
        <n v="17643.922190714562" u="1"/>
        <n v="59544.976366831266" u="1"/>
        <n v="61343.281469584021" u="1"/>
        <n v="142315.02414815503" u="1"/>
        <n v="301575.24194544763" u="1"/>
        <n v="21198.226345382027" u="1"/>
        <n v="38996.056303079284" u="1"/>
        <n v="48819.237355825127" u="1"/>
        <n v="753895.41488071228" u="1"/>
        <n v="99347.837345384614" u="1"/>
        <n v="102470.3078203605" u="1"/>
        <n v="104634.1905916176" u="1"/>
        <n v="948553.88475368393" u="1"/>
        <n v="64067.631984815249" u="1"/>
        <n v="79543.110722451383" u="1"/>
        <n v="250295.40766797392" u="1"/>
        <n v="536340.87271237327" u="1"/>
        <n v="629608.62891732785" u="1"/>
        <n v="15176.970826111599" u="1"/>
        <n v="17307.784605764013" u="1"/>
        <n v="30034.607315554545" u="1"/>
        <n v="43128.478595123292" u="1"/>
        <n v="250600.74782584104" u="1"/>
        <n v="253221.83174844971" u="1"/>
        <n v="13741.782583331746" u="1"/>
        <n v="18192.288494938679" u="1"/>
        <n v="46506.78734322235" u="1"/>
        <n v="121990.45629640449" u="1"/>
        <n v="102629.12718745077" u="1"/>
        <n v="159189.56218234173" u="1"/>
        <n v="54420.872485017047" u="1"/>
        <n v="60998.594353358058" u="1"/>
        <n v="223494.83966200092" u="1"/>
        <n v="5523953.777640922" u="1"/>
        <n v="9563912.29515047" u="1"/>
        <n v="18058.630983594092" u="1"/>
        <n v="43675.98107091742" u="1"/>
        <n v="172855.57052981484" u="1"/>
        <n v="83878.103673338745" u="1"/>
        <n v="120540.5389156485" u="1"/>
        <n v="285456.19422131113" u="1"/>
        <n v="405171.47193561727" u="1"/>
        <n v="124550.77656912501" u="1"/>
        <n v="146647.38408874162" u="1"/>
        <n v="452369.4291883363" u="1"/>
        <n v="1282312.8547850593" u="1"/>
        <n v="33342.452202782224" u="1"/>
        <n v="43432.837885681583" u="1"/>
        <n v="121238.21928845391" u="1"/>
        <n v="274692.60876859596" u="1"/>
        <n v="287825.59837086487" u="1"/>
        <n v="363520.14318475325" u="1"/>
        <n v="2503444.4527008464" u="1"/>
        <n v="3830648.5805021287" u="1"/>
        <n v="29658.204245090354" u="1"/>
        <n v="128672.91037282477" u="1"/>
        <n v="138364.51171073559" u="1"/>
        <n v="230924.54402494655" u="1"/>
        <n v="69796.694067633551" u="1"/>
        <n v="76798.871470477417" u="1"/>
        <n v="187922.28118493906" u="1"/>
        <n v="278708.67544046772" u="1"/>
        <n v="384557.91115183767" u="1"/>
        <n v="5755.4114642480454" u="1"/>
        <n v="31550.669898221509" u="1"/>
        <n v="53943.428094565817" u="1"/>
        <n v="76910.131832075436" u="1"/>
        <n v="153980.8178266777" u="1"/>
        <n v="155489.48239721416" u="1"/>
        <n v="173855.16126051487" u="1"/>
        <n v="182158.45357933253" u="1"/>
        <n v="36259.948327111808" u="1"/>
        <n v="158334.12775114845" u="1"/>
        <n v="48777.909859258172" u="1"/>
        <n v="68429.04509174198" u="1"/>
        <n v="157617.58859075757" u="1"/>
        <n v="280344.59619439475" u="1"/>
        <n v="28520.520429035223" u="1"/>
        <n v="76250.821274428105" u="1"/>
        <n v="103149.96058548141" u="1"/>
        <n v="133724.908395142" u="1"/>
        <n v="150777.68026962448" u="1"/>
        <n v="177166.43587449307" u="1"/>
        <n v="830716.10295244539" u="1"/>
        <n v="1340630.1806314676" u="1"/>
        <n v="16611.153928888027" u="1"/>
        <n v="38675.420848180307" u="1"/>
        <n v="228986.50496744527" u="1"/>
        <n v="415762.88727992302" u="1"/>
        <n v="2188882.176719591" u="1"/>
        <n v="24870.0354445267" u="1"/>
        <n v="76870.512912041755" u="1"/>
        <n v="847873.40857321268" u="1"/>
        <n v="1255082.6663843757" u="1"/>
        <n v="277312.34883330541" u="1"/>
        <n v="11731.295467543343" u="1"/>
        <n v="662625.72669966624" u="1"/>
        <n v="104530.08502041346" u="1"/>
        <n v="200971.9296899919" u="1"/>
        <n v="11335.238007580043" u="1"/>
        <n v="51117.529761214959" u="1"/>
        <n v="121179.84443149617" u="1"/>
        <n v="168324.42388928178" u="1"/>
        <n v="113622.57778721426" u="1"/>
        <n v="114310.08515012884" u="1"/>
        <n v="166982.59658935911" u="1"/>
        <n v="2363659.060739316" u="1"/>
        <n v="637683.58357487095" u="1"/>
        <n v="49252.60421551772" u="1"/>
        <n v="2170703.961749909" u="1"/>
        <n v="17945.752508326768" u="1"/>
        <n v="26892.002187423594" u="1"/>
        <n v="54611.888194417028" u="1"/>
        <n v="67239.543536962505" u="1"/>
        <n v="73123.705444357911" u="1"/>
        <n v="293796.88253581384" u="1"/>
        <n v="17545.009720225913" u="1"/>
        <n v="29611.00855061047" u="1"/>
        <n v="48500.823040215502" u="1"/>
        <n v="78122.495983115456" u="1"/>
        <n v="88053.312919058866" u="1"/>
        <n v="96769.690087023308" u="1"/>
        <n v="168852.33772128346" u="1"/>
        <n v="898388.39217408327" u="1"/>
        <n v="148424.57649761575" u="1"/>
        <n v="196730.78821185848" u="1"/>
        <n v="59085.585053697403" u="1"/>
        <n v="235919.7185268288" u="1"/>
        <n v="11924.688694255898" u="1"/>
        <n v="638425.59631124686" u="1"/>
        <n v="2577582.8732033549" u="1"/>
        <n v="39360.490520239306" u="1"/>
        <n v="51043.435159592162" u="1"/>
        <n v="88430.561468463507" u="1"/>
        <n v="317171.92479928839" u="1"/>
        <n v="365951.50947274169" u="1"/>
        <n v="386391.15614209924" u="1"/>
        <n v="37081.462754199565" u="1"/>
        <n v="313257.57795176329" u="1"/>
        <n v="417704.38530871412" u="1"/>
        <n v="858586.7336966896" u="1"/>
        <n v="147573.1077819739" u="1"/>
        <n v="300897.77524127136" u="1"/>
        <n v="540933.21884356148" u="1"/>
        <n v="63193.327194085825" u="1"/>
        <n v="213801.50898088538" u="1"/>
        <n v="378030.67907744017" u="1"/>
        <n v="28141.588776215362" u="1"/>
        <n v="336654.3465323259" u="1"/>
        <n v="2503472.9978519678" u="1"/>
        <n v="6932.7515941624351" u="1"/>
        <n v="381434.61570808326" u="1"/>
        <n v="1731678.1556477784" u="1"/>
        <n v="1916229.8592186084" u="1"/>
        <n v="82430.687209511118" u="1"/>
        <n v="325599.88081183343" u="1"/>
        <n v="467873.05797079328" u="1"/>
        <n v="25593.700580312445" u="1"/>
        <n v="127806.07009189844" u="1"/>
        <n v="169655.45594836309" u="1"/>
        <n v="247002.05443554276" u="1"/>
        <n v="66095.629524066302" u="1"/>
        <n v="84595.974493353919" u="1"/>
        <n v="84769.106263288297" u="1"/>
        <n v="90493.480683853995" u="1"/>
        <n v="246903.70781754295" u="1"/>
        <n v="544696.4905707885" u="1"/>
        <n v="718178.02785386867" u="1"/>
        <n v="751590.35212627426" u="1"/>
        <n v="2309865.5399128757" u="1"/>
        <n v="14082.357598113607" u="1"/>
        <n v="42955.150994258365" u="1"/>
        <n v="133295.63183591707" u="1"/>
        <n v="192820.80440512899" u="1"/>
        <n v="307092.27288644924" u="1"/>
        <n v="39418.698138161912" u="1"/>
        <n v="110569.27171173191" u="1"/>
        <n v="183254.76270979032" u="1"/>
        <n v="15069.341414337987" u="1"/>
        <n v="40851.904725316606" u="1"/>
        <n v="139061.36442772043" u="1"/>
        <n v="192323.62077490537" u="1"/>
        <n v="194230.17262924949" u="1"/>
        <n v="7490744.3256326439" u="1"/>
        <n v="66319.625730634085" u="1"/>
        <n v="46580.637104245849" u="1"/>
        <n v="241262.71083175851" u="1"/>
        <n v="259697.59650044114" u="1"/>
        <n v="4745.2349441642291" u="1"/>
        <n v="140374.09196100524" u="1"/>
        <n v="163231.51177198501" u="1"/>
        <n v="14750.914914677247" u="1"/>
        <n v="30075.053401230049" u="1"/>
        <n v="120885.6692520302" u="1"/>
        <n v="368015.35887390189" u="1"/>
        <n v="42134.021589127726" u="1"/>
        <n v="98873.670378459676" u="1"/>
        <n v="123612.86235832474" u="1"/>
        <n v="32820.907931208945" u="1"/>
        <n v="54084.244944909704" u="1"/>
        <n v="93167.116226477476" u="1"/>
        <n v="415077.59597811417" u="1"/>
        <n v="1695877.1050832723" u="1"/>
        <n v="1889607.6534554844" u="1"/>
        <n v="8247.2962245078688" u="1"/>
        <n v="104043.85990451148" u="1"/>
        <n v="243786.50747945803" u="1"/>
        <n v="327289.13896591222" u="1"/>
        <n v="6219.202572839522" u="1"/>
        <n v="22220.494926985408" u="1"/>
        <n v="27711.364275752552" u="1"/>
        <n v="62270.271084823064" u="1"/>
        <n v="73448.714827014206" u="1"/>
        <n v="100731.60421658072" u="1"/>
        <n v="155812.8152812086" u="1"/>
        <n v="191207.78103160765" u="1"/>
        <n v="256099.12541228265" u="1"/>
        <n v="258704.60841292102" u="1"/>
        <n v="314128.02469343343" u="1"/>
        <n v="317637.46310167876" u="1"/>
        <n v="6120.6420031633388" u="1"/>
        <n v="132522.55725226508" u="1"/>
        <n v="562327.44179342198" u="1"/>
        <n v="185055.69157724167" u="1"/>
        <n v="205643.84078033068" u="1"/>
        <n v="41859.956101839794" u="1"/>
        <n v="77683.210012165233" u="1"/>
        <n v="320460.43110058166" u="1"/>
        <n v="10846.814407983527" u="1"/>
        <n v="79375.721112752159" u="1"/>
        <n v="85849.665005964256" u="1"/>
        <n v="112547.37357409189" u="1"/>
        <n v="184894.70839229564" u="1"/>
        <n v="192809.26661209928" u="1"/>
        <n v="24085.834427728223" u="1"/>
        <n v="30000.271140311001" u="1"/>
        <n v="50782.000062094012" u="1"/>
        <n v="152229.19622836408" u="1"/>
        <n v="189748.38914513809" u="1"/>
        <n v="91666.361705184594" u="1"/>
        <n v="273905.86628022703" u="1"/>
        <n v="476031.03717297351" u="1"/>
        <n v="1509573.9866773658" u="1"/>
        <n v="6311.9120503025988" u="1"/>
        <n v="17728.795610220262" u="1"/>
        <n v="64046.232585129619" u="1"/>
        <n v="216830.05853084003" u="1"/>
        <n v="647494.10024525365" u="1"/>
        <n v="2222410.4167868812" u="1"/>
        <n v="41334.757990339232" u="1"/>
        <n v="80501.132876143209" u="1"/>
        <n v="89284.659877625032" u="1"/>
        <n v="129340.07376243907" u="1"/>
        <n v="162569.44501932827" u="1"/>
        <n v="187982.15191121379" u="1"/>
        <n v="51711.497474656266" u="1"/>
        <n v="116127.96373780386" u="1"/>
        <n v="2995055.9512648727" u="1"/>
        <n v="5232251.7536473656" u="1"/>
        <n v="23883.18795418668" u="1"/>
        <n v="32334.711226988868" u="1"/>
        <n v="139523.76584288318" u="1"/>
        <n v="247374.25171187281" u="1"/>
        <n v="311349.27298290533" u="1"/>
        <n v="521368.85460680909" u="1"/>
        <n v="1299499.0556861318" u="1"/>
        <n v="31306.406212439833" u="1"/>
        <n v="49540.06457947196" u="1"/>
        <n v="68324.52373209683" u="1"/>
        <n v="214818.74584351605" u="1"/>
        <n v="1686674.875885318" u="1"/>
        <n v="234475.48143759061" u="1"/>
        <n v="262592.90968943114" u="1"/>
        <n v="25389.744542972083" u="1"/>
        <n v="30869.300775718602" u="1"/>
        <n v="35334.3490787595" u="1"/>
        <n v="145970.97959556922" u="1"/>
        <n v="76732.508504520345" u="1"/>
        <n v="144280.45237506763" u="1"/>
        <n v="204712.7570274485" u="1"/>
        <n v="321956.62959719088" u="1"/>
        <n v="498286.72038168996" u="1"/>
        <n v="3923.5154648738112" u="1"/>
        <n v="215457.5105160388" u="1"/>
        <n v="1126284.1291693028" u="1"/>
        <n v="291422.54876495455" u="1"/>
        <n v="154885.11269613102" u="1"/>
        <n v="408642.86348925577" u="1"/>
        <n v="71813.235197251139" u="1"/>
        <n v="123556.2195840982" u="1"/>
        <n v="184916.5128805218" u="1"/>
        <n v="335209.6492983966" u="1"/>
        <n v="930386.48247703328" u="1"/>
        <n v="159352.85938897025" u="1"/>
        <n v="311030.33168047521" u="1"/>
        <n v="12903.090726802284" u="1"/>
        <n v="49384.071715287217" u="1"/>
        <n v="68320.973041206162" u="1"/>
        <n v="82284.064297796518" u="1"/>
        <n v="5254902.806906499" u="1"/>
        <n v="24575.94950804154" u="1"/>
        <n v="58082.421779687051" u="1"/>
        <n v="3895725.1368639055" u="1"/>
        <n v="10094.827262829738" u="1"/>
        <n v="30154.563632346566" u="1"/>
        <n v="37694.689620606739" u="1"/>
        <n v="68522.562711896637" u="1"/>
        <n v="1896893.7930753476" u="1"/>
        <n v="4227.137992840062" u="1"/>
        <n v="21934.122608174581" u="1"/>
        <n v="345225.41546001285" u="1"/>
        <n v="867232.64440054307" u="1"/>
        <n v="140356.58472893009" u="1"/>
        <n v="258126.50540028489" u="1"/>
        <n v="75877.931433926206" u="1"/>
        <n v="27409.459712549113" u="1"/>
        <n v="89548.071423812609" u="1"/>
        <n v="149630.76690961909" u="1"/>
        <n v="249988.23790468898" u="1"/>
        <n v="322317.14591908257" u="1"/>
        <n v="1148581.4892936363" u="1"/>
        <n v="61757.639182432555" u="1"/>
        <n v="106175.43763186522" u="1"/>
        <n v="155331.1393603718" u="1"/>
        <n v="37656.111486224225" u="1"/>
        <n v="53784.43534298645" u="1"/>
        <n v="118260.38653543184" u="1"/>
        <n v="154443.43264082063" u="1"/>
        <n v="79781.09269699885" u="1"/>
        <n v="142630.38560713688" u="1"/>
        <n v="253954.38654687215" u="1"/>
        <n v="53396.301492205566" u="1"/>
        <n v="278354.13517339068" u="1"/>
        <n v="1110627.5900184615" u="1"/>
        <n v="20860.836692037425" u="1"/>
        <n v="37481.354419520139" u="1"/>
        <n v="134577.36114753492" u="1"/>
        <n v="314168.839172523" u="1"/>
        <n v="472264.59544775053" u="1"/>
        <n v="129149.71166184297" u="1"/>
        <n v="148005.15347695863" u="1"/>
        <n v="382259.19675233273" u="1"/>
        <n v="661838.70717660466" u="1"/>
        <n v="869539.53880068252" u="1"/>
        <n v="37024.032420576157" u="1"/>
        <n v="91974.032899725484" u="1"/>
        <n v="95694.915270152138" u="1"/>
        <n v="299042.59680982586" u="1"/>
        <n v="670955.02888136054" u="1"/>
        <n v="2110163.5008476125" u="1"/>
        <n v="103024.52460963215" u="1"/>
        <n v="2147110.6967708562" u="1"/>
        <n v="91461.275687371322" u="1"/>
        <n v="233174.13287993256" u="1"/>
        <n v="333451.73637034104" u="1"/>
        <n v="373908.91053841589" u="1"/>
        <n v="705145.04402214836" u="1"/>
        <n v="1937073.6460089586" u="1"/>
        <n v="160569.77224459057" u="1"/>
        <n v="169287.49149933719" u="1"/>
        <n v="203627.08458499511" u="1"/>
        <n v="372759.30243041733" u="1"/>
        <n v="440364.83921041398" u="1"/>
        <n v="682341.59547074186" u="1"/>
        <n v="32100.741936445476" u="1"/>
        <n v="45606.980348179146" u="1"/>
        <n v="91931.382743984839" u="1"/>
        <n v="111063.83573013186" u="1"/>
        <n v="196863.15714869075" u="1"/>
        <n v="520369.86590409058" u="1"/>
        <n v="25599.947404209935" u="1"/>
        <n v="38094.571276869901" u="1"/>
        <n v="53079.604750859158" u="1"/>
        <n v="6985016.2498111036" u="1"/>
        <n v="116037.09911823421" u="1"/>
        <n v="131386.21516651157" u="1"/>
        <n v="148817.06223547837" u="1"/>
        <n v="332232.47582567355" u="1"/>
        <n v="925562.90662593674" u="1"/>
        <n v="9700.7022019407232" u="1"/>
        <n v="35654.561466839106" u="1"/>
        <n v="56330.413198636947" u="1"/>
        <n v="95302.338559090727" u="1"/>
        <n v="119680.91187682121" u="1"/>
        <n v="181671.51881075144" u="1"/>
        <n v="233230.37748722124" u="1"/>
        <n v="148761.47017582267" u="1"/>
        <n v="226545.81170890038" u="1"/>
        <n v="531935.97720135353" u="1"/>
        <n v="33290.453714059593" u="1"/>
        <n v="62355.537900757525" u="1"/>
        <n v="72915.30632628093" u="1"/>
        <n v="161799.38578682364" u="1"/>
        <n v="342802.98365282477" u="1"/>
        <n v="20902.793741511508" u="1"/>
        <n v="45398.48937391652" u="1"/>
        <n v="837396.30406494183" u="1"/>
        <n v="108972.43631733657" u="1"/>
        <n v="393461.66281867976" u="1"/>
        <n v="1010923.3946091654" u="1"/>
        <n v="36535.831461678201" u="1"/>
        <n v="112603.67834032833" u="1"/>
        <n v="258321.40736302757" u="1"/>
        <n v="73259.819929020436" u="1"/>
        <n v="188320.66654970151" u="1"/>
        <n v="193550.68723715591" u="1"/>
        <n v="1052234.62687793" u="1"/>
        <n v="49208.686702396757" u="1"/>
        <n v="43887.955100007319" u="1"/>
        <n v="132575.65735273968" u="1"/>
        <n v="161811.80402015976" u="1"/>
        <n v="164675.2614049952" u="1"/>
        <n v="202389.79541151098" u="1"/>
        <n v="349374.52509743848" u="1"/>
        <n v="503373.81305872387" u="1"/>
        <n v="558819.99954216927" u="1"/>
        <n v="6603.4222410450038" u="1"/>
        <n v="6878.564834421878" u="1"/>
        <n v="24412.379428225206" u="1"/>
        <n v="38626.523702291204" u="1"/>
        <n v="1798289.5626471997" u="1"/>
        <n v="22903.659657088232" u="1"/>
        <n v="278695.75082106981" u="1"/>
        <n v="639252.11602263339" u="1"/>
        <n v="3156481.6958886618" u="1"/>
        <n v="782780.47684427258" u="1"/>
        <n v="112897.95211753083" u="1"/>
        <n v="278510.31186952296" u="1"/>
        <n v="1643354.9648582372" u="1"/>
        <n v="97635.232766950154" u="1"/>
        <n v="113239.46346700774" u="1"/>
        <n v="233602.1511736227" u="1"/>
        <n v="43889.405191602353" u="1"/>
        <n v="91550.983486502897" u="1"/>
        <n v="118457.30380491608" u="1"/>
        <n v="123741.46302003844" u="1"/>
        <n v="205446.99322921495" u="1"/>
        <n v="1537851.0604259314" u="1"/>
        <n v="1974066.1587237217" u="1"/>
        <n v="25214.406574907684" u="1"/>
        <n v="280180.7502131543" u="1"/>
        <n v="317493.563287033" u="1"/>
        <n v="825343.48150637175" u="1"/>
        <n v="976421.42468528694" u="1"/>
        <n v="99160.783036061941" u="1"/>
        <n v="171474.28301541501" u="1"/>
        <n v="180904.20443797437" u="1"/>
        <n v="200458.89633234305" u="1"/>
        <n v="680286.43615612597" u="1"/>
        <n v="70586.313221188539" u="1"/>
        <n v="185464.01915926582" u="1"/>
        <n v="217372.29172761561" u="1"/>
        <n v="659056.01911417185" u="1"/>
        <n v="2115957.1145346407" u="1"/>
        <n v="39290.221005911517" u="1"/>
        <n v="137107.29374247979" u="1"/>
        <n v="143366.01036687358" u="1"/>
        <n v="286424.74949482677" u="1"/>
        <n v="804267.65321540576" u="1"/>
        <n v="28478.154560713294" u="1"/>
        <n v="34483.892141133438" u="1"/>
        <n v="124382.29316193488" u="1"/>
        <n v="227925.47451193741" u="1"/>
        <n v="35796.717155655002" u="1"/>
        <n v="91556.525013416336" u="1"/>
        <n v="1057002.249439009" u="1"/>
        <n v="55549.460041797618" u="1"/>
        <n v="81216.388038855919" u="1"/>
        <n v="247003.1233024066" u="1"/>
        <n v="496156.98640677717" u="1"/>
        <n v="1109924.2176752496" u="1"/>
        <n v="90149.480153911049" u="1"/>
        <n v="863617.91367033008" u="1"/>
        <n v="31139.3019034176" u="1"/>
        <n v="38097.359223172592" u="1"/>
        <n v="136887.21337985594" u="1"/>
        <n v="156721.73081055607" u="1"/>
        <n v="5021.8261787506854" u="1"/>
        <n v="15575.873893155062" u="1"/>
        <n v="49325.621401104574" u="1"/>
        <n v="76288.117067328974" u="1"/>
        <n v="76343.821922101226" u="1"/>
        <n v="119478.23895646409" u="1"/>
        <n v="495228.84221142426" u="1"/>
        <n v="43583397.754015304" u="1"/>
        <n v="22954.230825963779" u="1"/>
        <n v="42091.938779155302" u="1"/>
        <n v="115261.08287789016" u="1"/>
        <n v="267106.39812306652" u="1"/>
        <n v="556032.53105029091" u="1"/>
        <n v="782463.80147134687" u="1"/>
        <n v="12871.131241181822" u="1"/>
        <n v="63363.842869750151" u="1"/>
        <n v="114650.45436897743" u="1"/>
        <n v="144891.47256996372" u="1"/>
        <n v="177969.28830428314" u="1"/>
        <n v="189329.31667398824" u="1"/>
        <n v="378471.74608849658" u="1"/>
        <n v="56391.358356134311" u="1"/>
        <n v="190222.64151308555" u="1"/>
        <n v="294152.50186848035" u="1"/>
        <n v="4233.5710377961368" u="1"/>
        <n v="50759.987935662357" u="1"/>
        <n v="147252.53151903598" u="1"/>
        <n v="624290.32647854323" u="1"/>
        <n v="73272.667362831548" u="1"/>
        <n v="141164.93845222506" u="1"/>
        <n v="142847.77038861404" u="1"/>
        <n v="28006.890015756915" u="1"/>
        <n v="123526.63642099872" u="1"/>
        <n v="144551.65705966851" u="1"/>
        <n v="274525.6369088238" u="1"/>
        <n v="1371907.5335206552" u="1"/>
        <n v="4622946.9975254685" u="1"/>
        <n v="46395.722483807855" u="1"/>
        <n v="95749.153996397872" u="1"/>
        <n v="36212.533903735435" u="1"/>
        <n v="46515.085162861644" u="1"/>
        <n v="59229.709516640105" u="1"/>
        <n v="59782.333070920169" u="1"/>
        <n v="443646.08202247939" u="1"/>
        <n v="50258.151664848192" u="1"/>
        <n v="137996.61505045142" u="1"/>
        <n v="211561.31600242222" u="1"/>
        <n v="318506.82821459032" u="1"/>
        <n v="13923.085306826732" u="1"/>
        <n v="20923.111896751863" u="1"/>
        <n v="42915.749468448666" u="1"/>
        <n v="117034.33030678079" u="1"/>
        <n v="6243752.2805615868" u="1"/>
        <n v="34156.912944041651" u="1"/>
        <n v="55669.2534855388" u="1"/>
        <n v="68464.486671315884" u="1"/>
        <n v="238848.68211773792" u="1"/>
        <n v="337516.92373192601" u="1"/>
        <n v="368014.24443176656" u="1"/>
        <n v="41388.235300549903" u="1"/>
        <n v="56991.7207405644" u="1"/>
        <n v="115008.49676753988" u="1"/>
        <n v="181819.78858486505" u="1"/>
        <n v="209579.97339610831" u="1"/>
        <n v="222774.10101433445" u="1"/>
        <n v="240683.05682010046" u="1"/>
        <n v="123445.84558244766" u="1"/>
        <n v="343992.0718979112" u="1"/>
        <n v="11009.983312030579" u="1"/>
        <n v="28088.832665650334" u="1"/>
        <n v="115413.84615581523" u="1"/>
        <n v="125704.59834108254" u="1"/>
        <n v="147605.96266224777" u="1"/>
        <n v="1153470.4808515715" u="1"/>
        <n v="1521234.2439932316" u="1"/>
        <n v="41309.857165990703" u="1"/>
        <n v="44841.314398867828" u="1"/>
        <n v="96599.054226352688" u="1"/>
        <n v="102529.1412759115" u="1"/>
        <n v="148103.52774444828" u="1"/>
        <n v="206314.71791999775" u="1"/>
        <n v="417051.60388534609" u="1"/>
        <n v="567402.46010153694" u="1"/>
        <n v="5691.4174861134288" u="1"/>
        <n v="14782.572553081478" u="1"/>
        <n v="16300.215345748136" u="1"/>
        <n v="39502.060462675108" u="1"/>
        <n v="97946.706333439768" u="1"/>
        <n v="173449.23631606071" u="1"/>
        <n v="175616.05823348332" u="1"/>
        <n v="248283.70058942967" u="1"/>
        <n v="1738144.5882888124" u="1"/>
        <n v="85037.224836867317" u="1"/>
        <n v="1420918.2597605803" u="1"/>
        <n v="2637009.9540833379" u="1"/>
        <n v="105514.23200541871" u="1"/>
        <n v="107089.83633052703" u="1"/>
        <n v="512785.2111001655" u="1"/>
        <n v="106621.2823009266" u="1"/>
        <n v="142598.573373541" u="1"/>
        <n v="204505.90153425641" u="1"/>
        <n v="221546.21955782338" u="1"/>
        <n v="351170.90742121363" u="1"/>
        <n v="7854.5586842755783" u="1"/>
        <n v="8848.554367509465" u="1"/>
        <n v="52130.512411523698" u="1"/>
        <n v="144264.78587005156" u="1"/>
        <n v="650473.99296987825" u="1"/>
        <n v="149912.30546166931" u="1"/>
        <n v="561169.96874304698" u="1"/>
        <n v="877447.74531844421" u="1"/>
        <n v="7874.4871228807069" u="1"/>
        <n v="36679.589118875883" u="1"/>
        <n v="43284.26362100424" u="1"/>
        <n v="44110.071807768618" u="1"/>
        <n v="108598.87494700566" u="1"/>
        <n v="290596.18332837056" u="1"/>
        <n v="581865.84114101855" u="1"/>
        <n v="666682.58707548585" u="1"/>
        <n v="30947.260914554674" u="1"/>
        <n v="33085.552551347966" u="1"/>
        <n v="1281346.3662680085" u="1"/>
        <n v="6454.8376788894284" u="1"/>
        <n v="122187.98905049125" u="1"/>
        <n v="189496.51597137324" u="1"/>
        <n v="258211.6675100624" u="1"/>
        <n v="25907.772114491727" u="1"/>
        <n v="13099.374376559175" u="1"/>
        <n v="15350.044791810666" u="1"/>
        <n v="27036.487042532226" u="1"/>
        <n v="182200.33352301037" u="1"/>
        <n v="339337.94252025773" u="1"/>
        <n v="116216.60873532367" u="1"/>
        <n v="152941.4298986537" u="1"/>
        <n v="1520796.7623192687" u="1"/>
        <n v="7048.0833453824544" u="1"/>
        <n v="12094.971156245465" u="1"/>
        <n v="35893.760059737251" u="1"/>
        <n v="94181.708048016517" u="1"/>
        <n v="254784.84161878581" u="1"/>
        <n v="449561.14554018108" u="1"/>
        <n v="29695.896306539446" u="1"/>
        <n v="88783.578939457831" u="1"/>
        <n v="180633.9768162184" u="1"/>
        <n v="227245.89331608184" u="1"/>
        <n v="8142.994743999654" u="1"/>
        <n v="123862.46950695186" u="1"/>
        <n v="7049.620770432959" u="1"/>
        <n v="118092.09070070929" u="1"/>
        <n v="121910.76073623" u="1"/>
        <n v="122484.50834643806" u="1"/>
        <n v="400703.75791761384" u="1"/>
        <n v="10632.652855964841" u="1"/>
        <n v="109574.3885870505" u="1"/>
        <n v="13827.101153960764" u="1"/>
        <n v="121662.78748322636" u="1"/>
        <n v="163591.76971763" u="1"/>
        <n v="237333.83511603737" u="1"/>
        <n v="149367.26303367896" u="1"/>
        <n v="541735.70211507636" u="1"/>
        <n v="36175.552045523582" u="1"/>
        <n v="137044.36656895356" u="1"/>
        <n v="157305.83069013362" u="1"/>
        <n v="187542.37233063838" u="1"/>
        <n v="445881.54431915353" u="1"/>
        <n v="2471985.6748278365" u="1"/>
        <n v="60911.125849328069" u="1"/>
        <n v="82543.548892958701" u="1"/>
        <n v="239731.43094759388" u="1"/>
        <n v="21193.524306554715" u="1"/>
        <n v="22611.780743524359" u="1"/>
        <n v="46696.60597856612" u="1"/>
        <n v="209748.01343405969" u="1"/>
        <n v="346950.3807982991" u="1"/>
        <n v="368347.88037089445" u="1"/>
        <n v="2384006.7100407146" u="1"/>
        <n v="48384.452615540024" u="1"/>
        <n v="116575.30865279592" u="1"/>
        <n v="168794.15458758402" u="1"/>
        <n v="234596.54376492486" u="1"/>
        <n v="289850.16176115652" u="1"/>
        <n v="4680208.1244127797" u="1"/>
        <n v="171937.83830911957" u="1"/>
        <n v="159197.47692399775" u="1"/>
        <n v="343045.61773087434" u="1"/>
        <n v="64776.25560477758" u="1"/>
        <n v="142607.51859824714" u="1"/>
        <n v="36519.622409438962" u="1"/>
        <n v="83453.605527732187" u="1"/>
        <n v="520802.08053719148" u="1"/>
        <n v="37548.124106580151" u="1"/>
        <n v="114873.99802750188" u="1"/>
        <n v="866105.23671812983" u="1"/>
        <n v="5335747.4654742926" u="1"/>
        <n v="23121.537695651416" u="1"/>
        <n v="40121.311995941258" u="1"/>
        <n v="75744.826804316705" u="1"/>
        <n v="80039.939681588556" u="1"/>
        <n v="120017.68706551124" u="1"/>
        <n v="392849.11302425875" u="1"/>
        <n v="76860.249131710589" u="1"/>
        <n v="101986.13258790327" u="1"/>
        <n v="241228.99771678695" u="1"/>
        <n v="250278.94172853921" u="1"/>
        <n v="248813.24529988592" u="1"/>
        <n v="327836.1491099234" u="1"/>
        <n v="189235.82241563703" u="1"/>
        <n v="1569399.4818386207" u="1"/>
        <n v="29432.232343637785" u="1"/>
        <n v="40919.754665369852" u="1"/>
        <n v="664196.16289940872" u="1"/>
        <n v="712768.25184434722" u="1"/>
        <n v="46723.709606886747" u="1"/>
        <n v="58356.677150279531" u="1"/>
        <n v="142543.11688542992" u="1"/>
        <n v="434336.34852085315" u="1"/>
        <n v="122303.12194881754" u="1"/>
        <n v="207374.27691086999" u="1"/>
        <n v="489523.07914888317" u="1"/>
        <n v="6627.6317932981392" u="1"/>
        <n v="29803.867518640891" u="1"/>
        <n v="189907.50852405376" u="1"/>
        <n v="41062.466947077766" u="1"/>
        <n v="90011.838975496619" u="1"/>
        <n v="117782.30896120181" u="1"/>
        <n v="373225.36017412925" u="1"/>
        <n v="4040838.7798358239" u="1"/>
        <n v="87431.439858293743" u="1"/>
        <n v="159876.74169824267" u="1"/>
        <n v="202022.99375575306" u="1"/>
        <n v="265616.6692498328" u="1"/>
        <n v="436919.20020657685" u="1"/>
        <n v="22752.185457396001" u="1"/>
        <n v="30963.493947672254" u="1"/>
        <n v="37173.723956568574" u="1"/>
        <n v="39017.033645540614" u="1"/>
        <n v="44615.017848369993" u="1"/>
        <n v="186092.60466518582" u="1"/>
        <n v="30231.509365043436" u="1"/>
        <n v="329727.4121434181" u="1"/>
        <n v="390599.05303137354" u="1"/>
        <n v="1224860.8820805466" u="1"/>
        <n v="35573.206881522543" u="1"/>
        <n v="44460.018280367898" u="1"/>
        <n v="68371.503063667857" u="1"/>
        <n v="179701.06259653051" u="1"/>
        <n v="297325.80063032394" u="1"/>
        <n v="883275.78264878201" u="1"/>
        <n v="2317176.4401134127" u="1"/>
        <n v="44700.051185338867" u="1"/>
        <n v="97583.193377224554" u="1"/>
        <n v="355198.40561999223" u="1"/>
        <n v="15469.566586352417" u="1"/>
        <n v="28421.667983130952" u="1"/>
        <n v="4254106.8627951536" u="1"/>
        <n v="17506.41453521798" u="1"/>
        <n v="102445.33651977967" u="1"/>
        <n v="52321.438851546241" u="1"/>
        <n v="169130.73493397972" u="1"/>
        <n v="856300.29239708302" u="1"/>
        <n v="1081842.5970389531" u="1"/>
        <n v="10648.692599999998" u="1"/>
        <n v="86267.851162610576" u="1"/>
        <n v="114326.28270406263" u="1"/>
        <n v="129580.52918805131" u="1"/>
        <n v="169715.70690760977" u="1"/>
        <n v="384680.8855612012" u="1"/>
        <n v="44293.686592506114" u="1"/>
        <n v="70158.447802347029" u="1"/>
        <n v="195413.60011874366" u="1"/>
        <n v="12784.758035581122" u="1"/>
        <n v="21272.785053269366" u="1"/>
        <n v="50571.72083805273" u="1"/>
        <n v="120240.2206210579" u="1"/>
        <n v="161684.93710492476" u="1"/>
        <n v="202640.71718965733" u="1"/>
        <n v="313051.56528935494" u="1"/>
        <n v="488303.75934082991" u="1"/>
        <n v="30346.280145358352" u="1"/>
        <n v="49939.224489857792" u="1"/>
        <n v="142421.10580056231" u="1"/>
        <n v="148546.44578696141" u="1"/>
        <n v="20124.509448677542" u="1"/>
        <n v="92642.751556878473" u="1"/>
        <n v="259882.7892828022" u="1"/>
        <n v="290935.49974490999" u="1"/>
        <n v="30183.957905108902" u="1"/>
        <n v="155165.92276185914" u="1"/>
        <n v="318323.07169502793" u="1"/>
        <n v="638380.10423962609" u="1"/>
        <n v="4871289.9000124503" u="1"/>
        <n v="25582.763363246577" u="1"/>
        <n v="29116.875457011731" u="1"/>
        <n v="528896.66522077727" u="1"/>
        <n v="1946462.9887086882" u="1"/>
        <n v="114209.36455090929" u="1"/>
        <n v="155633.25119082641" u="1"/>
        <n v="268608.94952947856" u="1"/>
        <n v="20200.805271338089" u="1"/>
        <n v="891026.09014129569" u="1"/>
        <n v="205314.50128063824" u="1"/>
        <n v="270903.79125125019" u="1"/>
        <n v="1369921.7335921512" u="1"/>
        <n v="14039.569550919005" u="1"/>
        <n v="363315.7345203727" u="1"/>
        <n v="620137.64908806619" u="1"/>
        <n v="46026.538215506909" u="1"/>
        <n v="116306.63546169274" u="1"/>
        <n v="167667.94837921139" u="1"/>
        <n v="438343.65957713674" u="1"/>
        <n v="3241911.3827191875" u="1"/>
        <n v="96192.694514731949" u="1"/>
        <n v="137848.72917087376" u="1"/>
        <n v="168097.68620593057" u="1"/>
        <n v="220366.68875841104" u="1"/>
        <n v="226736.65563625601" u="1"/>
        <n v="332423.64847134863" u="1"/>
        <n v="2390972.6978618791" u="1"/>
        <n v="5799.2599005386874" u="1"/>
        <n v="9955.3079606658575" u="1"/>
        <n v="75816.904651697463" u="1"/>
        <n v="21547.146648639471" u="1"/>
        <n v="22473.557957905159" u="1"/>
        <n v="52081.762278280963" u="1"/>
        <n v="482871.27194151457" u="1"/>
        <n v="171465.77862776551" u="1"/>
        <n v="191353.33685635263" u="1"/>
        <n v="241166.91950463178" u="1"/>
        <n v="908959.33434837102" u="1"/>
        <n v="18235.005208175426" u="1"/>
        <n v="66309.399262856445" u="1"/>
        <n v="189784.60712530871" u="1"/>
        <n v="26828.993324356696" u="1"/>
        <n v="50336.955963149245" u="1"/>
        <n v="241116.18806740741" u="1"/>
        <n v="278219.79604729655" u="1"/>
        <n v="446344.53611221438" u="1"/>
        <n v="13455.206925232549" u="1"/>
        <n v="31684.942447310874" u="1"/>
        <n v="91013.088109931457" u="1"/>
        <n v="97165.148610268487" u="1"/>
        <n v="128364.98441866522" u="1"/>
        <n v="500252.2692740215" u="1"/>
        <n v="10057417.286199642" u="1"/>
        <n v="78459.962021987041" u="1"/>
        <n v="80337.412648791884" u="1"/>
        <n v="179643.48683090834" u="1"/>
        <n v="426474.42681434599" u="1"/>
        <n v="503171.42052108189" u="1"/>
        <n v="11358.39756475552" u="1"/>
        <n v="243384.76114699029" u="1"/>
        <n v="264878.13797734567" u="1"/>
        <n v="292823.10330576519" u="1"/>
        <n v="734106.42561826133" u="1"/>
        <n v="39472.050973789359" u="1"/>
        <n v="56887.383535851055" u="1"/>
        <n v="74679.168580844795" u="1"/>
        <n v="327415.2363378235" u="1"/>
        <n v="572647.05263695028" u="1"/>
        <n v="71246.73559001628" u="1"/>
        <n v="107508.30749218875" u="1"/>
        <n v="400739.56620078202" u="1"/>
        <n v="13091.530636448802" u="1"/>
        <n v="75178.706127237092" u="1"/>
        <n v="198456.65474569163" u="1"/>
        <n v="13359.377767976381" u="1"/>
        <n v="78283.589251076715" u="1"/>
        <n v="932413.07434610953" u="1"/>
        <n v="17414.615687096826" u="1"/>
        <n v="27274.139578968992" u="1"/>
        <n v="646053.98175499518" u="1"/>
        <n v="58321.132836474106" u="1"/>
        <n v="108730.15498577063" u="1"/>
        <n v="174321.27224820189" u="1"/>
        <n v="343737.58977262909" u="1"/>
        <n v="127341.2018692337" u="1"/>
        <n v="184314.54447789281" u="1"/>
        <n v="778425.13552922779" u="1"/>
        <n v="47271.462141220414" u="1"/>
        <n v="79903.12234785792" u="1"/>
        <n v="203140.64583415998" u="1"/>
        <n v="16746.218657472913" u="1"/>
        <n v="16749.542176497191" u="1"/>
        <n v="26307.194476709832" u="1"/>
        <n v="249714.9388841872" u="1"/>
        <n v="78652.828610618453" u="1"/>
        <n v="124249.42185038414" u="1"/>
        <n v="390632.20924578939" u="1"/>
        <n v="445987.44181119499" u="1"/>
        <n v="97190.148083203152" u="1"/>
        <n v="102876.34815315052" u="1"/>
        <n v="252331.53914608218" u="1"/>
        <n v="301175.48777310282" u="1"/>
        <n v="5358.4945466814379" u="1"/>
        <n v="68812.56897640739" u="1"/>
        <n v="75036.842160156433" u="1"/>
        <n v="358123.09413133998" u="1"/>
        <n v="55415.767585965245" u="1"/>
        <n v="89717.414557342781" u="1"/>
        <n v="109811.00063650741" u="1"/>
        <n v="148935.36199866844" u="1"/>
        <n v="195138.50898012909" u="1"/>
        <n v="216623.91913054202" u="1"/>
        <n v="4665.9770903324898" u="1"/>
        <n v="26996.70011027166" u="1"/>
        <n v="43084.993565954377" u="1"/>
        <n v="147046.81088773441" u="1"/>
        <n v="176767.06599937266" u="1"/>
        <n v="503453.48288563924" u="1"/>
        <n v="14101.091016099028" u="1"/>
        <n v="18154.846666444115" u="1"/>
        <n v="31930.570170862877" u="1"/>
        <n v="325266.26286935573" u="1"/>
        <n v="12274.810512969618" u="1"/>
        <n v="22816.604266156181" u="1"/>
        <n v="23159.45504260181" u="1"/>
        <n v="269224.3394706375" u="1"/>
        <n v="600716.06849932636" u="1"/>
        <n v="1566501.4188051128" u="1"/>
        <n v="78315.671413153555" u="1"/>
        <n v="82910.144338818442" u="1"/>
        <n v="134240.81703439465" u="1"/>
        <n v="408003.39103681885" u="1"/>
        <n v="23831.223823742781" u="1"/>
        <n v="60663.289453949066" u="1"/>
        <n v="157462.38442588228" u="1"/>
        <n v="29768.067020183473" u="1"/>
        <n v="76425.982394521532" u="1"/>
        <n v="84841.421257892536" u="1"/>
        <n v="175514.21999067272" u="1"/>
        <n v="702417.14941267413" u="1"/>
        <n v="49670.41418697637" u="1"/>
        <n v="95927.505669422593" u="1"/>
        <n v="383813.80335053639" u="1"/>
        <n v="3744935.6115818238" u="1"/>
        <n v="6767.6359396156422" u="1"/>
        <n v="19047.528397857081" u="1"/>
        <n v="45119.827727130811" u="1"/>
        <n v="115093.82107219775" u="1"/>
        <n v="199698.37388864899" u="1"/>
        <n v="223666.97191358887" u="1"/>
        <n v="22475.999052789066" u="1"/>
        <n v="35386.636481217749" u="1"/>
        <n v="376378.28695491905" u="1"/>
        <n v="462080.42202979315" u="1"/>
        <n v="13490.843288233722" u="1"/>
        <n v="27811.412545624313" u="1"/>
        <n v="86105.799455996515" u="1"/>
        <n v="170557.22568537528" u="1"/>
        <n v="959042.35739573115" u="1"/>
        <n v="10018058.599242182" u="1"/>
        <n v="189144.80414752377" u="1"/>
        <n v="503353.79939856427" u="1"/>
        <n v="8734.8031559730771" u="1"/>
        <n v="51995.654375116996" u="1"/>
        <n v="184026.09720746666" u="1"/>
        <n v="194654.8230101481" u="1"/>
        <n v="304719.62468230305" u="1"/>
        <n v="188409.43982772093" u="1"/>
        <n v="532250.29735211818" u="1"/>
        <n v="47984.79271525261" u="1"/>
        <n v="199842.35238039895" u="1"/>
        <n v="572896.8825461464" u="1"/>
        <n v="1157711.9993178947" u="1"/>
        <n v="12180.722847218747" u="1"/>
        <n v="21170.753043823326" u="1"/>
        <n v="47949.097777443414" u="1"/>
        <n v="221850.76115722946" u="1"/>
        <n v="253519.01360091724" u="1"/>
        <n v="8724.3467268548593" u="1"/>
        <n v="47722.485944685162" u="1"/>
        <n v="3476056.7556241606" u="1"/>
        <n v="16226.532682547784" u="1"/>
        <n v="51285.024614266258" u="1"/>
        <n v="61516.829871176225" u="1"/>
        <n v="499815.82932835072" u="1"/>
        <n v="608734.46226203721" u="1"/>
        <n v="14358.322857978121" u="1"/>
        <n v="69878.610932100812" u="1"/>
        <n v="77906.337067023822" u="1"/>
        <n v="95263.466765839359" u="1"/>
        <n v="262757.24567482504" u="1"/>
        <n v="452656.47259260877" u="1"/>
        <n v="208934.96950376255" u="1"/>
        <n v="237860.66247719611" u="1"/>
        <n v="274467.11137105821" u="1"/>
        <n v="299248.53468078293" u="1"/>
        <n v="111833.65206163831" u="1"/>
        <n v="171943.79110861305" u="1"/>
        <n v="3750.5381906592811" u="1"/>
        <n v="30402.745825994512" u="1"/>
        <n v="51300.790940537314" u="1"/>
        <n v="125143.98660000542" u="1"/>
        <n v="153253.58338904311" u="1"/>
        <n v="200836.53847008009" u="1"/>
        <n v="221449.2412706436" u="1"/>
        <n v="11435.245456813896" u="1"/>
        <n v="13868.988543596735" u="1"/>
        <n v="20832.205416659941" u="1"/>
        <n v="46341.742550201976" u="1"/>
        <n v="47369.31514887861" u="1"/>
        <n v="48162.88227987499" u="1"/>
        <n v="133677.84611212055" u="1"/>
        <n v="207652.48636157822" u="1"/>
        <n v="3521.7936777353007" u="1"/>
        <n v="7385.3966752957713" u="1"/>
        <n v="30320.769511398852" u="1"/>
        <n v="101009.80436744593" u="1"/>
        <n v="120093.72372099187" u="1"/>
        <n v="543734.17672230001" u="1"/>
        <n v="1684647.5666288272" u="1"/>
        <n v="7686.5078904456141" u="1"/>
        <n v="23642.889494483272" u="1"/>
        <n v="41886.881763037854" u="1"/>
        <n v="104348.74159467085" u="1"/>
        <n v="140959.40303540049" u="1"/>
        <n v="30107.959866734411" u="1"/>
        <n v="62635.355832575726" u="1"/>
        <n v="155235.4569662807" u="1"/>
        <n v="187745.56016631622" u="1"/>
        <n v="222718.09234342229" u="1"/>
        <n v="39768.738287237647" u="1"/>
        <n v="52887.681503925727" u="1"/>
        <n v="126069.94783561688" u="1"/>
        <n v="9546.0747550988835" u="1"/>
        <n v="66383.378535071985" u="1"/>
        <n v="95245.566678950971" u="1"/>
        <n v="122724.46798978987" u="1"/>
        <n v="252084.06610751926" u="1"/>
        <n v="232156.02420426239" u="1"/>
        <n v="1290063.4236408153" u="1"/>
        <n v="1770145.6076898188" u="1"/>
        <n v="114235.15364572193" u="1"/>
        <n v="142859.82914663223" u="1"/>
        <n v="153416.95055821911" u="1"/>
        <n v="206027.34545870649" u="1"/>
        <n v="3867.7424996442314" u="1"/>
        <n v="175165.59603372065" u="1"/>
        <n v="10123.156770812269" u="1"/>
        <n v="73543.38540267483" u="1"/>
        <n v="146289.40593881448" u="1"/>
        <n v="298635.7735320442" u="1"/>
        <n v="38558.523650062998" u="1"/>
        <n v="103074.07471713002" u="1"/>
        <n v="21333.090509390051" u="1"/>
        <n v="23247.203490709493" u="1"/>
        <n v="628644.44325026253" u="1"/>
        <n v="41912.829008764646" u="1"/>
        <n v="48624.515726929312" u="1"/>
        <n v="86689.888304973152" u="1"/>
        <n v="221203.26943600789" u="1"/>
        <n v="309770.68705420371" u="1"/>
        <n v="39193.303739648793" u="1"/>
        <n v="73591.123516038904" u="1"/>
        <n v="18137.769827266169" u="1"/>
        <n v="67029.950565642037" u="1"/>
        <n v="96771.227294825352" u="1"/>
        <n v="125272.1114867682" u="1"/>
        <n v="178874.64617365185" u="1"/>
        <n v="224440.57982279209" u="1"/>
        <n v="666990.96766764892" u="1"/>
        <n v="912775.63332290994" u="1"/>
        <n v="7322.4164742159955" u="1"/>
        <n v="43735.197766878293" u="1"/>
        <n v="50951.734633387125" u="1"/>
        <n v="92498.029230410903" u="1"/>
        <n v="176662.10396090028" u="1"/>
        <n v="250183.31083272735" u="1"/>
        <n v="377998.44269371009" u="1"/>
        <n v="35376.685743793882" u="1"/>
        <n v="87994.555309744697" u="1"/>
        <n v="171187.18429797131" u="1"/>
        <n v="179188.4724321914" u="1"/>
        <n v="14460.75706739716" u="1"/>
        <n v="93207.99969197734" u="1"/>
        <n v="101920.66043500067" u="1"/>
        <n v="113219.21443454812" u="1"/>
        <n v="304276.62149369216" u="1"/>
        <n v="2966954.6291840333" u="1"/>
        <n v="24848.567435936915" u="1"/>
        <n v="69435.332627805736" u="1"/>
        <n v="72378.657192318118" u="1"/>
        <n v="97528.635960193496" u="1"/>
        <n v="149632.84304537918" u="1"/>
        <n v="614944.74372158584" u="1"/>
        <n v="633954.5884692017" u="1"/>
        <n v="662789.63756565854" u="1"/>
        <n v="792289.88814365061" u="1"/>
        <n v="119649.49218218337" u="1"/>
        <n v="183858.23247168458" u="1"/>
        <n v="720820.4203127838" u="1"/>
        <n v="9967.4916604405225" u="1"/>
        <n v="195539.69869910952" u="1"/>
        <n v="913776.60710288677" u="1"/>
        <n v="214534.87898514504" u="1"/>
        <n v="238739.94124746206" u="1"/>
        <n v="2617083.3245520578" u="1"/>
        <n v="201695.28619715775" u="1"/>
        <n v="204479.9159292164" u="1"/>
        <n v="486779.39453088085" u="1"/>
        <n v="690214.11070502712" u="1"/>
        <n v="29633.742859213624" u="1"/>
        <n v="116380.7877425137" u="1"/>
        <n v="269130.81234661897" u="1"/>
        <n v="370504.20573009434" u="1"/>
        <n v="21362.747013219821" u="1"/>
        <n v="30752.547840984796" u="1"/>
        <n v="132594.05730896143" u="1"/>
        <n v="438939.6108618548" u="1"/>
        <n v="3809.140340558708" u="1"/>
        <n v="16992.500171239146" u="1"/>
        <n v="59294.919202707235" u="1"/>
        <n v="71616.751727316005" u="1"/>
        <n v="81685.349503515463" u="1"/>
        <n v="222702.61367500093" u="1"/>
        <n v="335921.86823209695" u="1"/>
        <n v="628141.65499425842" u="1"/>
        <n v="803887.29359179828" u="1"/>
        <n v="29309.845035816001" u="1"/>
        <n v="61854.289711273021" u="1"/>
        <n v="108361.5468558452" u="1"/>
        <n v="286382.00704503461" u="1"/>
        <n v="2615914.275929763" u="1"/>
        <n v="27958.694769191923" u="1"/>
        <n v="76506.191678647578" u="1"/>
        <n v="118293.77609230774" u="1"/>
        <n v="118298.7935616496" u="1"/>
        <n v="150725.20536457925" u="1"/>
        <n v="75287.154405154317" u="1"/>
        <n v="77352.519191625353" u="1"/>
        <n v="93998.709167075926" u="1"/>
        <n v="148426.37785454857" u="1"/>
        <n v="308308.72524939594" u="1"/>
        <n v="372242.49832651834" u="1"/>
        <n v="48156.330060271182" u="1"/>
        <n v="190321.88226772833" u="1"/>
        <n v="7540.3763369045564" u="1"/>
        <n v="114989.30347534874" u="1"/>
        <n v="197418.39163457236" u="1"/>
        <n v="1238724.6789003154" u="1"/>
        <n v="3262777.8844114901" u="1"/>
        <n v="37032.622081305861" u="1"/>
        <n v="57315.711128319992" u="1"/>
        <n v="68940.70578936112" u="1"/>
        <n v="75250.198234298703" u="1"/>
        <n v="75687.889821852179" u="1"/>
        <n v="134850.28003534791" u="1"/>
        <n v="201799.76285358568" u="1"/>
        <n v="272135.1284199619" u="1"/>
        <n v="12028.905689440471" u="1"/>
        <n v="53327.481640125727" u="1"/>
        <n v="115515.73693432732" u="1"/>
        <n v="137101.60943031785" u="1"/>
        <n v="2262042.3530231668" u="1"/>
        <n v="5827.9359257585402" u="1"/>
        <n v="17372.060133400904" u="1"/>
        <n v="75024.836852316104" u="1"/>
        <n v="118779.05888612568" u="1"/>
        <n v="206064.37037241922" u="1"/>
        <n v="237674.29518856743" u="1"/>
        <n v="296535.89786756033" u="1"/>
        <n v="340224.4802936613" u="1"/>
        <n v="352659.01836480742" u="1"/>
        <n v="21186.787213458294" u="1"/>
        <n v="43064.791818985133" u="1"/>
        <n v="232302.27374001045" u="1"/>
        <n v="533964.8057682435" u="1"/>
        <n v="17888.954253503722" u="1"/>
        <n v="19504.057216055189" u="1"/>
        <n v="46443.335043860316" u="1"/>
        <n v="49959.055119289296" u="1"/>
        <n v="101464.00739736103" u="1"/>
        <n v="132660.37770981988" u="1"/>
        <n v="743552.64344222378" u="1"/>
        <n v="26307.115489430158" u="1"/>
        <n v="42533.860126583801" u="1"/>
        <n v="169808.25696689993" u="1"/>
        <n v="19710.635006117096" u="1"/>
        <n v="413842.61808187491" u="1"/>
        <n v="54060.543210666336" u="1"/>
        <n v="64324.225314536299" u="1"/>
        <n v="70930.818390152999" u="1"/>
        <n v="88071.906294274391" u="1"/>
        <n v="784786.75622745673" u="1"/>
        <n v="3967227.6286796555" u="1"/>
        <n v="10200.343153819271" u="1"/>
        <n v="13194.087990420394" u="1"/>
        <n v="206987.87481709337" u="1"/>
        <n v="1132604.683291547" u="1"/>
        <n v="62010.825609646992" u="1"/>
        <n v="78581.567966770876" u="1"/>
        <n v="96268.051232549566" u="1"/>
        <n v="101125.65785345342" u="1"/>
        <n v="146804.80993833963" u="1"/>
        <n v="258214.79611932574" u="1"/>
        <n v="267583.3701383447" u="1"/>
        <n v="361915.5016613428" u="1"/>
        <n v="382899.02973711491" u="1"/>
        <n v="16241.980332141951" u="1"/>
        <n v="35543.071123753107" u="1"/>
        <n v="280464.74950056867" u="1"/>
        <n v="33416.841881629785" u="1"/>
        <n v="69449.643362620816" u="1"/>
        <n v="83071.83655481723" u="1"/>
        <n v="116777.85825627128" u="1"/>
        <n v="119194.13936658227" u="1"/>
        <n v="215236.51093904785" u="1"/>
        <n v="609957.85416854685" u="1"/>
        <n v="1152200.2525473679" u="1"/>
        <n v="18554.03083376334" u="1"/>
        <n v="100313.82095650333" u="1"/>
        <n v="104459.0612016605" u="1"/>
        <n v="172252.24731254112" u="1"/>
        <n v="214659.01071881346" u="1"/>
        <n v="312795.44983783318" u="1"/>
        <n v="679942.65383703308" u="1"/>
        <n v="125035.7417769983" u="1"/>
        <n v="221024.22482185462" u="1"/>
        <n v="48460.926791593891" u="1"/>
        <n v="95299.814322770369" u="1"/>
        <n v="345296.07179477043" u="1"/>
        <n v="360292.478124279" u="1"/>
        <n v="700461.08804585598" u="1"/>
        <n v="1177723.4380481369" u="1"/>
        <n v="46285.420330108012" u="1"/>
        <n v="65409.320751215346" u="1"/>
        <n v="456449.37242826243" u="1"/>
        <n v="500002.19895057462" u="1"/>
        <n v="18432.358823093688" u="1"/>
        <n v="39149.045245873276" u="1"/>
        <n v="11818.350107382905" u="1"/>
        <n v="316993.32919023489" u="1"/>
        <n v="133941.01146586964" u="1"/>
        <n v="182993.4881590954" u="1"/>
        <n v="252201.46673433104" u="1"/>
        <n v="316440.39960051898" u="1"/>
        <n v="528790.09953608748" u="1"/>
        <n v="107732.13988765227" u="1"/>
        <n v="152072.52945323725" u="1"/>
        <n v="191907.99809093791" u="1"/>
        <n v="272885.44449874799" u="1"/>
        <n v="290208.61427481042" u="1"/>
        <n v="24012.309584021881" u="1"/>
        <n v="273042.07548906608" u="1"/>
        <n v="1026045.0132641697" u="1"/>
        <n v="16279.141176478279" u="1"/>
        <n v="28959.463073057035" u="1"/>
        <n v="342706.86132687907" u="1"/>
        <n v="350139.90121661685" u="1"/>
        <n v="3034271.3465242358" u="1"/>
        <n v="18355.05591323167" u="1"/>
        <n v="24007.479561027671" u="1"/>
        <n v="51245.916275902833" u="1"/>
        <n v="105005.80832667014" u="1"/>
        <n v="536510.93849334226" u="1"/>
        <n v="23666.896387962493" u="1"/>
        <n v="150542.28936896176" u="1"/>
        <n v="185797.11853493931" u="1"/>
        <n v="295377.36625399231" u="1"/>
        <n v="4812580.1653385442" u="1"/>
        <n v="72216.106370353082" u="1"/>
        <n v="185371.94369240009" u="1"/>
        <n v="189954.3963563384" u="1"/>
        <n v="4358565.2819362199" u="1"/>
        <n v="9057.6726900898921" u="1"/>
        <n v="51361.903850348011" u="1"/>
        <n v="127725.20611171678" u="1"/>
        <n v="222052.27414638788" u="1"/>
        <n v="27825.683051478518" u="1"/>
        <n v="128967.6281226163" u="1"/>
        <n v="154885.74136656593" u="1"/>
        <n v="148006.13127711636" u="1"/>
        <n v="184902.80816035497" u="1"/>
        <n v="444955.27113274176" u="1"/>
        <n v="29893.451160943318" u="1"/>
        <n v="41867.175177667843" u="1"/>
        <n v="123611.42537009674" u="1"/>
        <n v="230151.61473490117" u="1"/>
        <n v="788355.42726692162" u="1"/>
        <n v="2298234.2142412816" u="1"/>
        <n v="2349200.4792422219" u="1"/>
        <n v="3153654.4980519647" u="1"/>
        <n v="44866.601916169071" u="1"/>
        <n v="88102.511384283251" u="1"/>
        <n v="358549.76266120159" u="1"/>
        <n v="669518.87366381928" u="1"/>
        <n v="1388239.8242060908" u="1"/>
        <n v="12260.701108071522" u="1"/>
        <n v="33119.459126024427" u="1"/>
        <n v="203410.71748228947" u="1"/>
        <n v="63945.767856491235" u="1"/>
        <n v="132824.26833220065" u="1"/>
        <n v="42095.557630428993" u="1"/>
        <n v="107648.05833031103" u="1"/>
        <n v="129361.63683308415" u="1"/>
        <n v="377391.85943140363" u="1"/>
        <n v="25093.660084850009" u="1"/>
        <n v="32576.544130346836" u="1"/>
        <n v="47862.953932196586" u="1"/>
        <n v="173502.1023595898" u="1"/>
        <n v="203674.24503913615" u="1"/>
        <n v="242518.34403078756" u="1"/>
        <n v="6637.1789041365046" u="1"/>
        <n v="153717.72317090584" u="1"/>
        <n v="200460.00930398703" u="1"/>
        <n v="40374.294134248514" u="1"/>
        <n v="113160.82203263928" u="1"/>
        <n v="330510.86732793349" u="1"/>
        <n v="127139.76707781212" u="1"/>
        <n v="142280.37996680278" u="1"/>
        <n v="85109.843746447048" u="1"/>
        <n v="145495.24815146578" u="1"/>
        <n v="56296.586548734907" u="1"/>
        <n v="173472.41592487314" u="1"/>
        <n v="334757.078960096" u="1"/>
        <n v="385203.51506907493" u="1"/>
        <n v="28598.8595749575" u="1"/>
        <n v="28630.919708567191" u="1"/>
        <n v="62346.887492885362" u="1"/>
        <n v="82538.132973412401" u="1"/>
        <n v="90343.870501497338" u="1"/>
        <n v="146218.73846745168" u="1"/>
        <n v="157930.82117327309" u="1"/>
        <n v="356324.05544651404" u="1"/>
        <n v="7668.9678245968989" u="1"/>
        <n v="116533.81164202359" u="1"/>
        <n v="119694.26569149751" u="1"/>
        <n v="156429.41870845991" u="1"/>
        <n v="5950.8376522459712" u="1"/>
        <n v="13575.141611179315" u="1"/>
        <n v="15483.731656116976" u="1"/>
        <n v="34552.77004200207" u="1"/>
        <n v="96887.539359432703" u="1"/>
        <n v="159677.88387497544" u="1"/>
        <n v="337343.74468453007" u="1"/>
        <n v="1278368.3866389557" u="1"/>
        <n v="1879476.0716821151" u="1"/>
        <n v="31986.245583493303" u="1"/>
        <n v="37178.721634491318" u="1"/>
        <n v="54279.749192309631" u="1"/>
        <n v="171993.19246123845" u="1"/>
        <n v="428492.37013046857" u="1"/>
        <n v="645793.34686467017" u="1"/>
        <n v="6574.9083857318747" u="1"/>
        <n v="256222.69887247804" u="1"/>
        <n v="371374.11103080289" u="1"/>
        <n v="52956.982621261981" u="1"/>
        <n v="647032.56020540767" u="1"/>
        <n v="110831.52899884753" u="1"/>
        <n v="339914.25605470908" u="1"/>
        <n v="860203.65824447642" u="1"/>
        <n v="888989.04842173704" u="1"/>
        <n v="13283.291885564533" u="1"/>
        <n v="21034.089418380809" u="1"/>
        <n v="133815.36059638642" u="1"/>
        <n v="2771968.8101118328" u="1"/>
        <n v="16777.109691996284" u="1"/>
        <n v="130359.52607455959" u="1"/>
        <n v="8639.2285035998975" u="1"/>
        <n v="29004.158508982844" u="1"/>
        <n v="36118.948428702206" u="1"/>
        <n v="43774.94845269002" u="1"/>
        <n v="115903.27136966803" u="1"/>
        <n v="126728.00543903688" u="1"/>
        <n v="219577.73366788513" u="1"/>
        <n v="1440122.6860696096" u="1"/>
        <n v="92939.971739827393" u="1"/>
        <n v="4962.2676938362092" u="1"/>
        <n v="64353.90275696975" u="1"/>
        <n v="76853.25642848495" u="1"/>
        <n v="205604.25160525809" u="1"/>
        <n v="365955.74337526213" u="1"/>
        <n v="699590.10712576122" u="1"/>
        <n v="45878.732351235252" u="1"/>
        <n v="57906.745702369139" u="1"/>
        <n v="131778.31199501583" u="1"/>
        <n v="33717.909259203334" u="1"/>
        <n v="62580.926320873914" u="1"/>
        <n v="32733.628108419172" u="1"/>
        <n v="53277.176324170141" u="1"/>
        <n v="58232.523989684589" u="1"/>
        <n v="265053.07276560954" u="1"/>
        <n v="299186.45679970761" u="1"/>
        <n v="540813.94072632398" u="1"/>
        <n v="52280.458338795856" u="1"/>
        <n v="52899.510518911979" u="1"/>
        <n v="55517.407759960231" u="1"/>
        <n v="202905.71901236242" u="1"/>
        <n v="4060.0576799218943" u="1"/>
        <n v="617174.61658242228" u="1"/>
        <n v="104490.37768484837" u="1"/>
        <n v="111093.24133892044" u="1"/>
        <n v="197926.90045226476" u="1"/>
        <n v="3411043.0913373888" u="1"/>
        <n v="94009.038703898099" u="1"/>
        <n v="273366.25238557043" u="1"/>
        <n v="68312.625038043552" u="1"/>
        <n v="71532.857880867436" u="1"/>
        <n v="230489.06161694217" u="1"/>
        <n v="551453.6925422271" u="1"/>
        <n v="1968324.3546958845" u="1"/>
        <n v="5697598.0436946861" u="1"/>
        <n v="26514.467870751185" u="1"/>
        <n v="32423.681729566822" u="1"/>
        <n v="40268.219300101206" u="1"/>
        <n v="43182.032688837913" u="1"/>
        <n v="227137.76601028143" u="1"/>
        <n v="361371.930754826" u="1"/>
        <n v="92086.659833096841" u="1"/>
        <n v="22208.732141285331" u="1"/>
        <n v="49108.574839643261" u="1"/>
        <n v="83906.067620097645" u="1"/>
        <n v="93701.461940630397" u="1"/>
        <n v="154992.28478074321" u="1"/>
        <n v="162864.32654744756" u="1"/>
        <n v="233932.00737292698" u="1"/>
        <n v="248482.02064556256" u="1"/>
        <n v="471866.23027264228" u="1"/>
        <n v="49531.931212457763" u="1"/>
        <n v="91331.385900939349" u="1"/>
        <n v="309613.07408378844" u="1"/>
        <n v="4005717.7486002501" u="1"/>
        <n v="48293.060020743244" u="1"/>
        <n v="153467.59505445318" u="1"/>
        <n v="160672.95285784377" u="1"/>
        <n v="176254.33658819771" u="1"/>
        <n v="235623.90671742713" u="1"/>
        <n v="282019.02683382103" u="1"/>
        <n v="365827.43305151921" u="1"/>
        <n v="455543.08407970803" u="1"/>
        <n v="135356.32025508204" u="1"/>
        <n v="146767.635146835" u="1"/>
        <n v="199079.30583443522" u="1"/>
        <n v="44648.489805086232" u="1"/>
        <n v="116616.1844267807" u="1"/>
        <n v="281685.3021257217" u="1"/>
        <n v="390735.8113844723" u="1"/>
        <n v="1253450.1187968643" u="1"/>
        <n v="35223.672987824037" u="1"/>
        <n v="96666.153940361692" u="1"/>
        <n v="281102.88666169485" u="1"/>
        <n v="378233.11659854132" u="1"/>
        <n v="1523.5181154548118" u="1"/>
        <n v="81934.588779699465" u="1"/>
        <n v="152799.58886585361" u="1"/>
        <n v="192292.04098072095" u="1"/>
        <n v="1178503.7783599677" u="1"/>
        <n v="43255.670417708141" u="1"/>
        <n v="207911.39334677075" u="1"/>
        <n v="486791.25189490657" u="1"/>
        <n v="16921.780349393655" u="1"/>
        <n v="39437.565000447976" u="1"/>
        <n v="50746.458037554738" u="1"/>
        <n v="207304.70852327644" u="1"/>
        <n v="275109.47131479305" u="1"/>
        <n v="628707.6784178135" u="1"/>
        <n v="63042.899167416326" u="1"/>
        <n v="87047.035818299133" u="1"/>
        <n v="131285.07309088769" u="1"/>
        <n v="31923.656000667626" u="1"/>
        <n v="121709.711431734" u="1"/>
        <n v="134343.87180367261" u="1"/>
        <n v="6528.4390496962242" u="1"/>
        <n v="49213.813509918531" u="1"/>
        <n v="194149.43920132471" u="1"/>
        <n v="20440.9317858861" u="1"/>
        <n v="141283.81800064439" u="1"/>
        <n v="245082.63395928839" u="1"/>
        <n v="281222.43325213931" u="1"/>
        <n v="457046.19583256246" u="1"/>
        <n v="830240.25758535357" u="1"/>
        <n v="180632.68199064815" u="1"/>
        <n v="203880.39491353798" u="1"/>
        <n v="366188.47116925562" u="1"/>
        <n v="2078465.2836792869" u="1"/>
        <n v="11811.610062596515" u="1"/>
        <n v="55055.527370201955" u="1"/>
        <n v="558715.29906759609" u="1"/>
        <n v="1035512.3302804325" u="1"/>
        <n v="53994.949405120336" u="1"/>
        <n v="96143.968060582323" u="1"/>
        <n v="128295.858575955" u="1"/>
        <n v="387710.53572881239" u="1"/>
        <n v="7978.3690045178555" u="1"/>
        <n v="12072.074966745917" u="1"/>
        <n v="36324.640133626715" u="1"/>
        <n v="59716.331359306612" u="1"/>
        <n v="176141.22232371737" u="1"/>
        <n v="364132.25890576723" u="1"/>
        <n v="3148072.4143492645" u="1"/>
        <n v="37777.372884182296" u="1"/>
        <n v="46096.927671976788" u="1"/>
        <n v="49206.479511464568" u="1"/>
        <n v="537507.15656863817" u="1"/>
        <n v="540486.43724652345" u="1"/>
        <n v="131744.11808941254" u="1"/>
        <n v="20240.985219878639" u="1"/>
        <n v="64544.49923030725" u="1"/>
        <n v="161619.28450253629" u="1"/>
        <n v="175774.42207423944" u="1"/>
        <n v="1187447.2020804528" u="1"/>
        <n v="1593921.3448384018" u="1"/>
        <n v="2271328.6286791861" u="1"/>
        <n v="29653.165514562832" u="1"/>
        <n v="78539.489196201117" u="1"/>
        <n v="98214.013819665444" u="1"/>
        <n v="181080.4863783351" u="1"/>
        <n v="190067.77604158924" u="1"/>
        <n v="1043041.7234268807" u="1"/>
        <n v="2020180.7517535468" u="1"/>
        <n v="16495.761234429054" u="1"/>
        <n v="77103.15516237577" u="1"/>
        <n v="79571.036790655227" u="1"/>
        <n v="12317.337823586931" u="1"/>
        <n v="98620.197770627681" u="1"/>
        <n v="308743.74485591066" u="1"/>
        <n v="7628.8350269524963" u="1"/>
        <n v="54369.44759748278" u="1"/>
        <n v="82167.776387804653" u="1"/>
        <n v="95306.374688613956" u="1"/>
        <n v="203931.22342038323" u="1"/>
        <n v="302526.46224076411" u="1"/>
        <n v="358049.85876928555" u="1"/>
        <n v="17588.140481639282" u="1"/>
        <n v="57419.742949896674" u="1"/>
        <n v="206038.89544059447" u="1"/>
        <n v="181997.36638455818" u="1"/>
        <n v="344225.58103055967" u="1"/>
        <n v="573532.74925208651" u="1"/>
        <n v="72887.855259078147" u="1"/>
        <n v="76082.38760160665" u="1"/>
        <n v="95077.768000213939" u="1"/>
        <n v="100623.06246401129" u="1"/>
        <n v="271070.11538088048" u="1"/>
        <n v="458025.71905395837" u="1"/>
        <n v="14124.238161344396" u="1"/>
        <n v="32935.800090153229" u="1"/>
        <n v="46764.063916298903" u="1"/>
        <n v="208677.400058511" u="1"/>
        <n v="615159.5080623033" u="1"/>
        <n v="483354.59159101913" u="1"/>
        <n v="854092.75584901962" u="1"/>
        <n v="114849.27254152644" u="1"/>
        <n v="15208.484938978161" u="1"/>
        <n v="77971.136970879001" u="1"/>
        <n v="105386.22431787036" u="1"/>
        <n v="128779.54770744382" u="1"/>
        <n v="450609.97647755034" u="1"/>
        <n v="20686.633271893919" u="1"/>
        <n v="44917.157019299892" u="1"/>
        <n v="367717.23074549716" u="1"/>
        <n v="619922.34383695852" u="1"/>
        <n v="51844.519066201785" u="1"/>
        <n v="62376.156306916761" u="1"/>
        <n v="85719.529726588196" u="1"/>
        <n v="92270.686158682394" u="1"/>
        <n v="105386.22431787039" u="1"/>
        <n v="35004.539743090179" u="1"/>
        <n v="52125.14313771356" u="1"/>
        <n v="160594.90540698954" u="1"/>
        <n v="331078.11771688471" u="1"/>
        <n v="491193.62991295569" u="1"/>
        <n v="992363.92226400634" u="1"/>
        <n v="31072.629445218154" u="1"/>
        <n v="41336.071186126501" u="1"/>
        <n v="499469.87369632034" u="1"/>
        <n v="46245.279225973296" u="1"/>
        <n v="83480.687711911261" u="1"/>
        <n v="28903.386672937606" u="1"/>
        <n v="41381.903691255226" u="1"/>
        <n v="46228.222196206865" u="1"/>
        <n v="486116.83674531302" u="1"/>
        <n v="94203.774614537338" u="1"/>
        <n v="169402.61963760949" u="1"/>
        <n v="47548.831007665147" u="1"/>
        <n v="181384.34671727527" u="1"/>
        <n v="216515.33480771389" u="1"/>
        <n v="329520.56471694045" u="1"/>
        <n v="980749.90955646173" u="1"/>
        <n v="20766.474413176235" u="1"/>
        <n v="45778.519541019901" u="1"/>
        <n v="46740.121353425784" u="1"/>
        <n v="88124.801536001411" u="1"/>
        <n v="96627.716033328528" u="1"/>
        <n v="50096.334112797253" u="1"/>
        <n v="70567.452578019991" u="1"/>
        <n v="96675.704064567777" u="1"/>
        <n v="314504.40697505628" u="1"/>
        <n v="648062.90168350004" u="1"/>
        <n v="198778.90342581528" u="1"/>
        <n v="1471312.6221809718" u="1"/>
        <n v="27403.327579906079" u="1"/>
        <n v="167983.50330359218" u="1"/>
        <n v="175078.69570071975" u="1"/>
        <n v="10278.330970242041" u="1"/>
        <n v="118448.7980668775" u="1"/>
        <n v="424794.55401173839" u="1"/>
        <n v="722812.48237911449" u="1"/>
        <n v="47016.431902004799" u="1"/>
        <n v="79785.588651407277" u="1"/>
        <n v="182982.01067834935" u="1"/>
        <n v="637862.51384014764" u="1"/>
        <n v="60421.646134169816" u="1"/>
        <n v="43960.580132410985" u="1"/>
        <n v="44274.953569253616" u="1"/>
        <n v="51557.11630979694" u="1"/>
        <n v="52591.446657997709" u="1"/>
        <n v="108145.4273923873" u="1"/>
        <n v="120440.43422732998" u="1"/>
        <n v="28675.710677360032" u="1"/>
        <n v="116710.06789751956" u="1"/>
        <n v="208174.84549413662" u="1"/>
        <n v="25782.563974793673" u="1"/>
        <n v="47630.850179284433" u="1"/>
        <n v="51500.739679438251" u="1"/>
        <n v="69878.797918339449" u="1"/>
        <n v="12105.661367425984" u="1"/>
        <n v="74437.991599377187" u="1"/>
        <n v="197426.45309754042" u="1"/>
        <n v="887949.66082750575" u="1"/>
        <n v="16731.679229635505" u="1"/>
        <n v="111040.48121159439" u="1"/>
        <n v="159606.24673122342" u="1"/>
        <n v="44451.216281500121" u="1"/>
        <n v="102648.79134296818" u="1"/>
        <n v="426166.7671532227" u="1"/>
        <n v="457726.11747818283" u="1"/>
        <n v="847843.28541630658" u="1"/>
        <n v="130060.13148078778" u="1"/>
        <n v="168866.65172043032" u="1"/>
        <n v="433566.02827819262" u="1"/>
        <n v="48010.078619587206" u="1"/>
        <n v="187030.12203126505" u="1"/>
        <n v="335536.92440736352" u="1"/>
        <n v="362417.66928401438" u="1"/>
        <n v="44808.045365204627" u="1"/>
        <n v="139187.01173585645" u="1"/>
        <n v="155445.61756936842" u="1"/>
        <n v="6204085.7546650767" u="1"/>
        <n v="144053.51315872686" u="1"/>
        <n v="961887.45024281088" u="1"/>
        <n v="6295.4629959895829" u="1"/>
        <n v="16792.75538459724" u="1"/>
        <n v="42625.231030763083" u="1"/>
        <n v="185545.12888582353" u="1"/>
        <n v="123246.90134680553" u="1"/>
        <n v="198708.43253636523" u="1"/>
        <n v="10611.088310744783" u="1"/>
        <n v="66170.915215364046" u="1"/>
        <n v="1508916.7120174575" u="1"/>
        <n v="68604.556441817636" u="1"/>
        <n v="77545.969032505265" u="1"/>
        <n v="268079.87428720633" u="1"/>
        <n v="4624219.1164462222" u="1"/>
        <n v="20434.39966377521" u="1"/>
        <n v="147555.41383810976" u="1"/>
        <n v="784002.19885002438" u="1"/>
        <n v="989012.42864198668" u="1"/>
        <n v="125358.04488060714" u="1"/>
        <n v="220193.9328176546" u="1"/>
        <n v="333786.30753816821" u="1"/>
        <n v="416186.18303862365" u="1"/>
        <n v="606828.74763096101" u="1"/>
        <n v="2140209.6430546753" u="1"/>
        <n v="20346.230196417047" u="1"/>
        <n v="30532.884714062773" u="1"/>
        <n v="46640.556568515909" u="1"/>
        <n v="77200.172126001387" u="1"/>
        <n v="88728.232846075378" u="1"/>
        <n v="104046.77409451992" u="1"/>
        <n v="223375.55291625921" u="1"/>
        <n v="255701.56405761489" u="1"/>
        <n v="738311.01210922608" u="1"/>
        <n v="8549.5270320297896" u="1"/>
        <n v="96304.950037462564" u="1"/>
        <n v="112446.58739276632" u="1"/>
        <n v="519186.40295418643" u="1"/>
        <n v="3404447.5227594147" u="1"/>
        <n v="47743.495724944318" u="1"/>
        <n v="124329.74498539879" u="1"/>
        <n v="342538.514218906" u="1"/>
        <n v="729825.58819118992" u="1"/>
        <n v="1172691.8960972689" u="1"/>
        <n v="3576.8216951893037" u="1"/>
        <n v="15011.479050822643" u="1"/>
        <n v="16713.539327288665" u="1"/>
        <n v="33902.542548970756" u="1"/>
        <n v="34193.558860412355" u="1"/>
        <n v="48582.124871840664" u="1"/>
        <n v="64746.684882528287" u="1"/>
        <n v="184109.42574959627" u="1"/>
        <n v="4282463.0692031914" u="1"/>
        <n v="16023.178141996643" u="1"/>
        <n v="52241.079990213737" u="1"/>
        <n v="52636.68459104326" u="1"/>
        <n v="70884.664701354224" u="1"/>
        <n v="85973.373788120414" u="1"/>
        <n v="95548.129021002809" u="1"/>
        <n v="158920.1244568199" u="1"/>
        <n v="421312.94385944388" u="1"/>
        <n v="16207.461617259978" u="1"/>
        <n v="94101.83314436971" u="1"/>
        <n v="171410.48866164687" u="1"/>
        <n v="404033.15352141246" u="1"/>
        <n v="405120.05903244298" u="1"/>
        <n v="557110.74644477339" u="1"/>
        <n v="928150.24491970497" u="1"/>
        <n v="9217495.6264412757" u="1"/>
        <n v="11989.194046478893" u="1"/>
        <n v="92552.575406576638" u="1"/>
        <n v="176682.18150269584" u="1"/>
        <n v="1235773.7053129012" u="1"/>
        <n v="7225987.6004989604" u="1"/>
        <n v="7677.6650784355534" u="1"/>
        <n v="52955.249196815916" u="1"/>
        <n v="151706.57380506338" u="1"/>
        <n v="232562.12900836626" u="1"/>
        <n v="241299.3599781754" u="1"/>
        <n v="404677.48116859165" u="1"/>
        <n v="16042.818789706247" u="1"/>
        <n v="35264.978373271661" u="1"/>
        <n v="93307.345639013904" u="1"/>
        <n v="157345.62465800761" u="1"/>
        <n v="231913.7944136319" u="1"/>
        <n v="234311.22781147313" u="1"/>
        <n v="373480.02823125047" u="1"/>
        <n v="13718.983963026651" u="1"/>
        <n v="38498.191415322261" u="1"/>
        <n v="487932.95980852738" u="1"/>
        <n v="605425.03362901206" u="1"/>
        <n v="21466.080969732011" u="1"/>
        <n v="79833.786096350581" u="1"/>
        <n v="96768.528383076744" u="1"/>
        <n v="28507.957597070097" u="1"/>
        <n v="164868.70410805254" u="1"/>
        <n v="1136492.2514662358" u="1"/>
        <n v="27265.980179213133" u="1"/>
        <n v="36926.062579147241" u="1"/>
        <n v="73933.37418214613" u="1"/>
        <n v="86039.498728140607" u="1"/>
        <n v="122613.85421756707" u="1"/>
        <n v="436799.68528940703" u="1"/>
        <n v="184463.49401473472" u="1"/>
        <n v="189207.47557737015" u="1"/>
        <n v="38104.425123804751" u="1"/>
        <n v="59115.860998857766" u="1"/>
        <n v="44636.896749832697" u="1"/>
        <n v="126295.86690288775" u="1"/>
        <n v="284579.56855022587" u="1"/>
        <n v="46658.51078289764" u="1"/>
        <n v="63235.343925692207" u="1"/>
        <n v="243031.99615841242" u="1"/>
        <n v="791070.72804931563" u="1"/>
        <n v="23541.736699849695" u="1"/>
        <n v="163034.86217102944" u="1"/>
        <n v="177341.68478030997" u="1"/>
        <n v="449669.6484492296" u="1"/>
        <n v="62762.466978613505" u="1"/>
        <n v="185726.63044221813" u="1"/>
        <n v="366030.12893605826" u="1"/>
        <n v="29166.075515371747" u="1"/>
        <n v="36941.482208718051" u="1"/>
        <n v="216341.55802483248" u="1"/>
        <n v="24146.835446980309" u="1"/>
        <n v="119831.60670655212" u="1"/>
        <n v="151759.13122523369" u="1"/>
        <n v="44127.033842106524" u="1"/>
        <n v="45972.237709923844" u="1"/>
        <n v="66273.826132093585" u="1"/>
        <n v="117988.04381543619" u="1"/>
        <n v="199383.46762247279" u="1"/>
        <n v="274228.4106215213" u="1"/>
        <n v="4094.0842036452386" u="1"/>
        <n v="11905.281332158374" u="1"/>
        <n v="73513.937644963706" u="1"/>
        <n v="161518.78199825744" u="1"/>
        <n v="783812.01841290249" u="1"/>
        <n v="4597171.3700000625" u="1"/>
        <n v="19603.64126737183" u="1"/>
        <n v="69517.786466259189" u="1"/>
        <n v="72974.408937375701" u="1"/>
        <n v="443677.51638765982" u="1"/>
        <n v="18949.418701382172" u="1"/>
        <n v="40168.383112670606" u="1"/>
        <n v="59320.677913071158" u="1"/>
        <n v="67353.851784303377" u="1"/>
        <n v="93989.409289892501" u="1"/>
        <n v="182777.07428294656" u="1"/>
        <n v="31299.576896084407" u="1"/>
        <n v="153526.11214717972" u="1"/>
        <n v="180933.56665569998" u="1"/>
        <n v="55221.858727833853" u="1"/>
        <n v="112536.22716192401" u="1"/>
        <n v="112847.70458842057" u="1"/>
        <n v="130546.23223466874" u="1"/>
        <n v="250865.07543908758" u="1"/>
        <n v="1274537.0615585183" u="1"/>
        <n v="1727138.5591219752" u="1"/>
        <n v="2725867.8531237333" u="1"/>
        <n v="34821.025747066109" u="1"/>
        <n v="39884.027651999088" u="1"/>
        <n v="112589.86548278008" u="1"/>
        <n v="378462.75662971195" u="1"/>
        <n v="20142.958088441927" u="1"/>
        <n v="48343.578651150441" u="1"/>
        <n v="73848.009009421963" u="1"/>
        <n v="86927.95690178372" u="1"/>
        <n v="414185.6734747049" u="1"/>
        <n v="516835.97342322732" u="1"/>
        <n v="113361.05675769487" u="1"/>
        <n v="142616.52361402329" u="1"/>
        <n v="533527.58541636309" u="1"/>
        <n v="955140.53188231948" u="1"/>
        <n v="70142.074165248821" u="1"/>
        <n v="475442.48430690251" u="1"/>
        <n v="492988.97150850599" u="1"/>
        <n v="7311.7227862842337" u="1"/>
        <n v="14978.053348993642" u="1"/>
        <n v="34568.517544563249" u="1"/>
        <n v="45173.00412864855" u="1"/>
        <n v="46481.721420087524" u="1"/>
        <n v="129668.73283889174" u="1"/>
        <n v="159872.68316301669" u="1"/>
        <n v="164837.0564263823" u="1"/>
        <n v="287382.49569458031" u="1"/>
        <n v="22582.412420713066" u="1"/>
        <n v="28069.373702787794" u="1"/>
        <n v="75852.172070959336" u="1"/>
        <n v="673992.25021396624" u="1"/>
        <n v="54472.102989816973" u="1"/>
        <n v="142113.43962694271" u="1"/>
        <n v="157454.36682402686" u="1"/>
        <n v="2218261.9123472827" u="1"/>
        <n v="56424.510651053024" u="1"/>
        <n v="99032.49561696907" u="1"/>
        <n v="100862.52690091493" u="1"/>
        <n v="124097.9076474329" u="1"/>
        <n v="255145.87862987889" u="1"/>
        <n v="5869.2742681790214" u="1"/>
        <n v="44236.416010498579" u="1"/>
        <n v="239248.88989769525" u="1"/>
        <n v="133894.46360785828" u="1"/>
        <n v="150756.99679034404" u="1"/>
        <n v="140505.71538905299" u="1"/>
        <n v="288373.32690986089" u="1"/>
        <n v="713325.25168716279" u="1"/>
        <n v="130770.63402760396" u="1"/>
        <n v="170934.58115981711" u="1"/>
        <n v="458875.37034400553" u="1"/>
        <n v="24676.715347107223" u="1"/>
        <n v="48918.611687977202" u="1"/>
        <n v="58236.808345497702" u="1"/>
        <n v="92310.371486068078" u="1"/>
        <n v="101988.10158554488" u="1"/>
        <n v="126824.1759216819" u="1"/>
        <n v="146183.36167950521" u="1"/>
        <n v="379667.83724723494" u="1"/>
        <n v="13185.831573433386" u="1"/>
        <n v="45193.68023974212" u="1"/>
        <n v="156596.00071699877" u="1"/>
        <n v="15807.148577136839" u="1"/>
        <n v="30444.061597764543" u="1"/>
        <n v="44563.154409238203" u="1"/>
        <n v="163738.06344105012" u="1"/>
        <n v="203246.48940615496" u="1"/>
        <n v="283242.19161358691" u="1"/>
        <n v="21415.426686135783" u="1"/>
        <n v="88238.284908898757" u="1"/>
        <n v="119303.95183688507" u="1"/>
        <n v="137370.64121639135" u="1"/>
        <n v="262911.25907762232" u="1"/>
        <n v="109188.12452932271" u="1"/>
        <n v="148992.47379724961" u="1"/>
        <n v="152655.47196147632" u="1"/>
        <n v="202437.02940670488" u="1"/>
        <n v="250584.8110544174" u="1"/>
        <n v="268463.24886926933" u="1"/>
        <n v="301008.85628043924" u="1"/>
        <n v="7277.4677619978629" u="1"/>
        <n v="226162.79084457306" u="1"/>
        <n v="1610942.5588700799" u="1"/>
        <n v="67208.126976216226" u="1"/>
        <n v="68370.158864042736" u="1"/>
        <n v="154093.88709023729" u="1"/>
        <n v="211154.5792201997" u="1"/>
        <n v="1187671.3953128415" u="1"/>
        <n v="188848.47815343461" u="1"/>
        <n v="398887.44371662027" u="1"/>
        <n v="601816.43070830218" u="1"/>
        <n v="14042131.526709443" u="1"/>
        <n v="128698.01806937561" u="1"/>
        <n v="134412.51942552003" u="1"/>
        <n v="267040.08353141375" u="1"/>
        <n v="71128.012243443911" u="1"/>
        <n v="72122.795015455951" u="1"/>
        <n v="132927.53036347794" u="1"/>
        <n v="1249065.3139994447" u="1"/>
        <n v="99117.214458908609" u="1"/>
        <n v="102240.72965166067" u="1"/>
        <n v="181059.85709377" u="1"/>
        <n v="286644.97036688705" u="1"/>
        <n v="375004.77974048955" u="1"/>
        <n v="843326.04554258136" u="1"/>
        <n v="74404.504433174472" u="1"/>
        <n v="86533.411438083102" u="1"/>
        <n v="188891.43997196472" u="1"/>
        <n v="295366.65806257632" u="1"/>
        <n v="11118.823535582767" u="1"/>
        <n v="44394.716507121848" u="1"/>
        <n v="158201.06166289296" u="1"/>
        <n v="183775.15885118427" u="1"/>
        <n v="10399.365742894795" u="1"/>
        <n v="473391.35877965338" u="1"/>
        <n v="19978.185012895101" u="1"/>
        <n v="89122.367340159224" u="1"/>
        <n v="93836.148964935026" u="1"/>
        <n v="113065.97422383272" u="1"/>
        <n v="252487.23814021971" u="1"/>
        <n v="42636.305872474732" u="1"/>
        <n v="53097.340370289683" u="1"/>
        <n v="65915.059809880026" u="1"/>
        <n v="114055.41497967918" u="1"/>
        <n v="267617.55108985357" u="1"/>
        <n v="609594.61312968156" u="1"/>
        <n v="743271.00475970819" u="1"/>
        <n v="3167799.0746634211" u="1"/>
        <n v="7426.1282105878199" u="1"/>
        <n v="10542.539256235168" u="1"/>
        <n v="21951.015210057005" u="1"/>
        <n v="882829.89853452612" u="1"/>
        <n v="1041244.5702055257" u="1"/>
        <n v="19277.425850931213" u="1"/>
        <n v="54905.530547389077" u="1"/>
        <n v="174312.58028894378" u="1"/>
        <n v="31072.729732100484" u="1"/>
        <n v="70508.112361713924" u="1"/>
        <n v="109394.08269220605" u="1"/>
        <n v="33510.991160507023" u="1"/>
        <n v="146735.01207304886" u="1"/>
        <n v="228012.27312399371" u="1"/>
        <n v="229695.09338558553" u="1"/>
        <n v="307180.71550600673" u="1"/>
        <n v="8059.42046773736" u="1"/>
        <n v="82394.671581681381" u="1"/>
        <n v="328339.15937558701" u="1"/>
        <n v="330064.2883176335" u="1"/>
        <n v="31901.260696019435" u="1"/>
        <n v="136179.0947919731" u="1"/>
        <n v="315596.73628599761" u="1"/>
        <n v="870075.30105533544" u="1"/>
        <n v="64223.396017230545" u="1"/>
        <n v="107039.87587228892" u="1"/>
        <n v="350536.57569785928" u="1"/>
        <n v="81795.152666020862" u="1"/>
        <n v="206905.82891511498" u="1"/>
        <n v="221349.35542780728" u="1"/>
        <n v="30198.246209948669" u="1"/>
        <n v="33804.632896880226" u="1"/>
        <n v="38725.51518369939" u="1"/>
        <n v="155447.18642684631" u="1"/>
        <n v="11576.702224017019" u="1"/>
        <n v="266693.96488508699" u="1"/>
        <n v="19149443.08632208" u="1"/>
        <n v="41880921.279249072" u="1"/>
        <n v="61494.402160324709" u="1"/>
        <n v="260519.23741466645" u="1"/>
        <n v="33286.185047234932" u="1"/>
        <n v="36743.595758416013" u="1"/>
        <n v="51342.968263098854" u="1"/>
        <n v="159632.62479196413" u="1"/>
        <n v="278946.25622377009" u="1"/>
        <n v="344965.25786357245" u="1"/>
        <n v="101422.32138562691" u="1"/>
        <n v="112930.97566621231" u="1"/>
        <n v="126908.76859318333" u="1"/>
        <n v="150636.59516336344" u="1"/>
        <n v="28153.764506509833" u="1"/>
        <n v="37264.648492030799" u="1"/>
        <n v="78900.070361964026" u="1"/>
        <n v="85565.941355321585" u="1"/>
        <n v="295299.53479665588" u="1"/>
        <n v="65137.39571851596" u="1"/>
        <n v="109596.12569916743" u="1"/>
        <n v="142545.12837532311" u="1"/>
        <n v="166683.06896144582" u="1"/>
        <n v="240709.03781613355" u="1"/>
        <n v="210138.73197722662" u="1"/>
        <n v="40773.809560756337" u="1"/>
        <n v="67478.451095682525" u="1"/>
        <n v="71314.798140899497" u="1"/>
        <n v="108815.7318234994" u="1"/>
        <n v="706110.44027341576" u="1"/>
        <n v="31618.368086547103" u="1"/>
        <n v="84058.64929594539" u="1"/>
        <n v="1644472.0702998333" u="1"/>
        <n v="39904.130611392779" u="1"/>
        <n v="41644.501468636197" u="1"/>
        <n v="196265.86756532599" u="1"/>
        <n v="200984.46927245485" u="1"/>
        <n v="255415.86263117541" u="1"/>
        <n v="595332.1431245436" u="1"/>
        <n v="16770.807494875789" u="1"/>
        <n v="52187.829324350365" u="1"/>
        <n v="402106.28089284943" u="1"/>
        <n v="11536.162607016024" u="1"/>
        <n v="19392.889453552823" u="1"/>
        <n v="42934.094554426192" u="1"/>
        <n v="67898.272078261507" u="1"/>
        <n v="124486.26218074224" u="1"/>
        <n v="40314.427788865098" u="1"/>
        <n v="208954.18908446847" u="1"/>
        <n v="604654.55752907041" u="1"/>
        <n v="803431.20620726398" u="1"/>
        <n v="2112645.7574021854" u="1"/>
        <n v="24319.589486943994" u="1"/>
        <n v="60691.910594054381" u="1"/>
        <n v="148432.33647457452" u="1"/>
        <n v="177868.78195248012" u="1"/>
        <n v="219053.43512698245" u="1"/>
        <n v="14534.577732370119" u="1"/>
        <n v="18956.557583800044" u="1"/>
        <n v="123032.20003044835" u="1"/>
        <n v="124648.19125059596" u="1"/>
        <n v="125612.15544356804" u="1"/>
        <n v="422100.15119517723" u="1"/>
        <n v="561910.05964996235" u="1"/>
        <n v="13375.593108881101" u="1"/>
        <n v="384014.72739661031" u="1"/>
        <n v="1107048.9334933371" u="1"/>
        <n v="264680.48158170085" u="1"/>
        <n v="355348.24982221093" u="1"/>
        <n v="15787.58966125478" u="1"/>
        <n v="38925.258765746141" u="1"/>
        <n v="57523.081753564766" u="1"/>
        <n v="67975.858879022708" u="1"/>
        <n v="111580.55391905546" u="1"/>
        <n v="295573.99245805515" u="1"/>
        <n v="627425.51446319185" u="1"/>
        <n v="17265.904364221304" u="1"/>
        <n v="28033.425716379261" u="1"/>
        <n v="61801.802548847074" u="1"/>
        <n v="142644.25062468089" u="1"/>
        <n v="755537.34374904272" u="1"/>
        <n v="25718.180327186736" u="1"/>
        <n v="75175.947715448507" u="1"/>
        <n v="3475007.451918893" u="1"/>
        <n v="20634.659126214272" u="1"/>
        <n v="2376083.7682134826" u="1"/>
        <n v="45474.643460555933" u="1"/>
        <n v="116312.6993539119" u="1"/>
        <n v="302843.48017910268" u="1"/>
        <n v="7156.515396849878" u="1"/>
        <n v="7116.7556602644254" u="1"/>
        <n v="199978.06162663363" u="1"/>
        <n v="7574576.1018756032" u="1"/>
        <n v="37310.373918966347" u="1"/>
        <n v="54810.121217676824" u="1"/>
        <n v="156061.61165231696" u="1"/>
        <n v="437722.07816748373" u="1"/>
        <n v="38439.475517012361" u="1"/>
        <n v="84998.399947734739" u="1"/>
        <n v="123383.16354006165" u="1"/>
        <n v="138036.37570523709" u="1"/>
        <n v="214265.76515000526" u="1"/>
        <n v="366342.3265861058" u="1"/>
        <n v="53021019.588866144" u="1"/>
        <n v="17090.487122960196" u="1"/>
        <n v="46327.784055623721" u="1"/>
        <n v="124509.6959320882" u="1"/>
        <n v="7471.8538070281065" u="1"/>
        <n v="33063.047265246438" u="1"/>
        <n v="9318.4790898719693" u="1"/>
        <n v="73185.821988266107" u="1"/>
        <n v="1772827.2128252736" u="1"/>
        <n v="11919.420452505648" u="1"/>
        <n v="20085.233518682438" u="1"/>
        <n v="153416.99611382678" u="1"/>
        <n v="45557.49767383156" u="1"/>
        <n v="94130.504341790831" u="1"/>
        <n v="109130.00627471542" u="1"/>
        <n v="10310.451279522042" u="1"/>
        <n v="16355.597754656757" u="1"/>
        <n v="256200.1896748165" u="1"/>
        <n v="336454.2120897565" u="1"/>
        <n v="403164.01289526268" u="1"/>
        <n v="420229.38145527954" u="1"/>
        <n v="421693.74618341617" u="1"/>
        <n v="432759.23834300926" u="1"/>
        <n v="1027306.3511252443" u="1"/>
        <n v="19345.145981692061" u="1"/>
        <n v="191469.85285408923" u="1"/>
        <n v="206748.91094468327" u="1"/>
        <n v="284242.91058397293" u="1"/>
        <n v="36970.460749337348" u="1"/>
        <n v="103642.73332546116" u="1"/>
        <n v="225497.37447689526" u="1"/>
        <n v="653360.12224232382" u="1"/>
        <n v="92566.145489167291" u="1"/>
        <n v="161935.44833206729" u="1"/>
        <n v="92991.629627907532" u="1"/>
        <n v="28174.925526077153" u="1"/>
        <n v="77953.223097613765" u="1"/>
        <n v="294187.75280374248" u="1"/>
        <n v="524722.40992399759" u="1"/>
        <n v="24901.423993708067" u="1"/>
        <n v="63427.22027774118" u="1"/>
        <n v="129928.11756904972" u="1"/>
        <n v="418844.29458164726" u="1"/>
        <n v="891493.63740935782" u="1"/>
        <n v="1522735.8565893648" u="1"/>
        <n v="44488.564672153887" u="1"/>
        <n v="51138.926180936425" u="1"/>
        <n v="68917.283851852902" u="1"/>
        <n v="179005.39541789403" u="1"/>
        <n v="35365.104187745252" u="1"/>
        <n v="56480.961291297972" u="1"/>
        <n v="149776.74136623539" u="1"/>
        <n v="1108311.3891065284" u="1"/>
        <n v="74791.929934808228" u="1"/>
        <n v="127229.48791712926" u="1"/>
        <n v="1599989.110943079" u="1"/>
        <n v="15051.570132946008" u="1"/>
        <n v="43727.327077738737" u="1"/>
        <n v="44617.373227981298" u="1"/>
        <n v="101647.16844378145" u="1"/>
        <n v="280583.25531855231" u="1"/>
        <n v="14627220.340322332" u="1"/>
        <n v="7793.3637508244046" u="1"/>
        <n v="130236.80909217804" u="1"/>
        <n v="199172.23680394652" u="1"/>
        <n v="244210.21247510653" u="1"/>
        <n v="47072.025270779268" u="1"/>
        <n v="110804.90086159349" u="1"/>
        <n v="140789.59310156948" u="1"/>
        <n v="165718.63253310492" u="1"/>
        <n v="223981.0813817498" u="1"/>
        <n v="275487.28603085235" u="1"/>
        <n v="304805.95503616327" u="1"/>
        <n v="563006.70546512818" u="1"/>
        <n v="43418.847386764362" u="1"/>
        <n v="70219.463851522392" u="1"/>
        <n v="1087867.7487124354" u="1"/>
        <n v="64555.861324168181" u="1"/>
        <n v="96423.240105126446" u="1"/>
        <n v="130268.77380388568" u="1"/>
        <n v="275487.28603085247" u="1"/>
        <n v="462975.27498483862" u="1"/>
        <n v="677606.64721268369" u="1"/>
        <n v="38883.049541589658" u="1"/>
        <n v="87352.722213039902" u="1"/>
        <n v="1001396.3614189962" u="1"/>
        <n v="1085952.8626430198" u="1"/>
        <n v="19282.218367671427" u="1"/>
        <n v="26945.069013943321" u="1"/>
        <n v="71668.775819282309" u="1"/>
        <n v="171256.87107409997" u="1"/>
        <n v="252107.20835194679" u="1"/>
        <n v="168353.42135680863" u="1"/>
        <n v="183149.34405712032" u="1"/>
        <n v="723871.11680203909" u="1"/>
        <n v="1685324.8322163036" u="1"/>
        <n v="77978.4873338529" u="1"/>
        <n v="132089.47273779288" u="1"/>
        <n v="437256.2209258927" u="1"/>
        <n v="4537.14154742746" u="1"/>
        <n v="25342.009419873866" u="1"/>
        <n v="37551.529088756404" u="1"/>
        <n v="110301.75073211204" u="1"/>
        <n v="229742.72044333105" u="1"/>
        <n v="258892.28051290044" u="1"/>
        <n v="373826.7945128812" u="1"/>
        <n v="627873.06844232068" u="1"/>
        <n v="7203297.989974861" u="1"/>
        <n v="30287.867191615711" u="1"/>
        <n v="104340.91635748657" u="1"/>
        <n v="170495.02190991957" u="1"/>
        <n v="288243.73769136594" u="1"/>
        <n v="434092.10348199069" u="1"/>
        <n v="1412731.7843067409" u="1"/>
        <n v="43195.266120386346" u="1"/>
        <n v="74787.739647588838" u="1"/>
        <n v="79225.605371751735" u="1"/>
        <n v="410020.75116844487" u="1"/>
        <n v="88257.089612215423" u="1"/>
        <n v="96924.471281287842" u="1"/>
        <n v="118194.2021247278" u="1"/>
        <n v="123039.78183981776" u="1"/>
        <n v="137409.76939071825" u="1"/>
        <n v="142569.34250943494" u="1"/>
        <n v="1030221.2798354027" u="1"/>
        <n v="6168.1383968391037" u="1"/>
        <n v="139279.40670687379" u="1"/>
        <n v="188035.21908398397" u="1"/>
        <n v="13287.80995135203" u="1"/>
        <n v="22204.248529037042" u="1"/>
        <n v="56067.288331662465" u="1"/>
        <n v="273754.09039357747" u="1"/>
        <n v="20782.509202048808" u="1"/>
        <n v="173043.72981651692" u="1"/>
        <n v="222283.946335049" u="1"/>
        <n v="367063.79228118109" u="1"/>
        <n v="1014287.4660983616" u="1"/>
        <n v="477232.82573927683" u="1"/>
        <n v="850532.79376623419" u="1"/>
        <n v="7988.5081506217684" u="1"/>
        <n v="20445.995231816476" u="1"/>
        <n v="51013.922630554895" u="1"/>
        <n v="127437.98861003376" u="1"/>
        <n v="402675.04154991073" u="1"/>
        <n v="36797.956462251474" u="1"/>
        <n v="180277.26596771981" u="1"/>
        <n v="213979.83111081907" u="1"/>
        <n v="324051.61073294136" u="1"/>
        <n v="9399.2120895801309" u="1"/>
        <n v="19779.999717533145" u="1"/>
        <n v="42503.955426483473" u="1"/>
        <n v="66922.624287947634" u="1"/>
        <n v="1080121.3821716523" u="1"/>
        <n v="17317.528947950548" u="1"/>
        <n v="86271.222407186055" u="1"/>
        <n v="17053.676486682874" u="1"/>
        <n v="42485.789830709284" u="1"/>
        <n v="63542.229141149874" u="1"/>
        <n v="96913.862843824376" u="1"/>
        <n v="2112002.2214013641" u="1"/>
        <n v="6768.5903872180579" u="1"/>
        <n v="24967.026905402538" u="1"/>
        <n v="41614.749521058504" u="1"/>
        <n v="53272.589527047807" u="1"/>
        <n v="94712.807138790478" u="1"/>
        <n v="364975.55538804107" u="1"/>
        <n v="900024.48212654353" u="1"/>
        <n v="81806.292126833665" u="1"/>
        <n v="94631.015600535975" u="1"/>
        <n v="230233.5675227652" u="1"/>
        <n v="342419.54694918368" u="1"/>
        <n v="15949.633926266928" u="1"/>
        <n v="25705.653193601225" u="1"/>
        <n v="161038.2613802022" u="1"/>
        <n v="393726.46406350104" u="1"/>
        <n v="902328.86223055574" u="1"/>
        <n v="39929.120212179289" u="1"/>
        <n v="59897.497313596978" u="1"/>
        <n v="76982.294693399657" u="1"/>
        <n v="159120.55515058647" u="1"/>
        <n v="1434605.7125955187" u="1"/>
        <n v="121782.468236828" u="1"/>
        <n v="148216.55929886672" u="1"/>
        <n v="157048.09892892482" u="1"/>
        <n v="185064.33852433041" u="1"/>
        <n v="371661.36168892076" u="1"/>
        <n v="297872.20970509178" u="1"/>
        <n v="829401.01534695807" u="1"/>
        <n v="2038452.2412397501" u="1"/>
        <n v="48987.83562414506" u="1"/>
        <n v="284342.890675259" u="1"/>
        <n v="5756.1952997194603" u="1"/>
        <n v="15365.04855240598" u="1"/>
        <n v="37513.531506688989" u="1"/>
        <n v="104154.71444050793" u="1"/>
        <n v="153122.21507928098" u="1"/>
        <n v="21862.644759060975" u="1"/>
        <n v="92649.857371171704" u="1"/>
        <n v="162236.58196700783" u="1"/>
        <n v="260166.94106420246" u="1"/>
        <n v="394632.48885825602" u="1"/>
        <n v="6051795.4864088818" u="1"/>
        <n v="20993.32036075943" u="1"/>
        <n v="22220.335130678366" u="1"/>
        <n v="67765.762735567463" u="1"/>
        <n v="103545.631712733" u="1"/>
        <n v="142701.11684249301" u="1"/>
        <n v="707522.06407064188" u="1"/>
        <n v="48414.843442559431" u="1"/>
        <n v="74075.550340277972" u="1"/>
        <n v="479971.69171924063" u="1"/>
        <n v="487552.61229533731" u="1"/>
        <n v="109805.08432271831" u="1"/>
        <n v="163469.37729156169" u="1"/>
        <n v="278477.83806234488" u="1"/>
        <n v="546052.58918920089" u="1"/>
        <n v="68273.998052915791" u="1"/>
        <n v="77395.090640540351" u="1"/>
        <n v="1271021.8332383931" u="1"/>
        <n v="139419.97397412118" u="1"/>
        <n v="2185942.0226402837" u="1"/>
        <n v="44038.502348248861" u="1"/>
        <n v="120725.20421462037" u="1"/>
        <n v="202528.02501093177" u="1"/>
        <n v="303220.65852732043" u="1"/>
        <n v="8059017.2572125811" u="1"/>
        <n v="71023.184611099758" u="1"/>
        <n v="207326.88833249308" u="1"/>
        <n v="221285.20380933391" u="1"/>
        <n v="259515.6715805495" u="1"/>
        <n v="50719.524748285883" u="1"/>
        <n v="71884.92767098092" u="1"/>
        <n v="95221.699989991961" u="1"/>
        <n v="118403.51280243881" u="1"/>
        <n v="203952.9952756493" u="1"/>
        <n v="629534.26860899234" u="1"/>
        <n v="33660.645833931172" u="1"/>
        <n v="38319.736138657652" u="1"/>
        <n v="102416.24229506389" u="1"/>
        <n v="124252.17022888425" u="1"/>
        <n v="322454.39942361414" u="1"/>
        <n v="345542.74005805812" u="1"/>
        <n v="352282.42207416205" u="1"/>
        <n v="663411.81643066742" u="1"/>
        <n v="44197.829327576103" u="1"/>
        <n v="72454.030171679478" u="1"/>
        <n v="128041.49175232259" u="1"/>
        <n v="176829.90335174135" u="1"/>
        <n v="942332.12376682356" u="1"/>
        <n v="123225.42965948861" u="1"/>
        <n v="209317.10392395506" u="1"/>
        <n v="410936.11421161308" u="1"/>
        <n v="897076.96455548308" u="1"/>
        <n v="37602.354728710568" u="1"/>
        <n v="312366.2895750567" u="1"/>
        <n v="785404.31551867537" u="1"/>
        <n v="15832.317133657791" u="1"/>
        <n v="30912.431776191705" u="1"/>
        <n v="36413.604054041534" u="1"/>
        <n v="45394.224625215298" u="1"/>
        <n v="58961.362501427429" u="1"/>
        <n v="61433.831364939928" u="1"/>
        <n v="67523.85380013645" u="1"/>
        <n v="101873.09530141999" u="1"/>
        <n v="88622.946207716828" u="1"/>
        <n v="98870.495380584616" u="1"/>
        <n v="159884.88264781897" u="1"/>
        <n v="43948.871953340757" u="1"/>
        <n v="95269.04505218743" u="1"/>
        <n v="134720.0264799571" u="1"/>
        <n v="191741.58871132857" u="1"/>
        <n v="224379.66537818994" u="1"/>
        <n v="181091.9809636267" u="1"/>
        <n v="101589.5509661266" u="1"/>
        <n v="175837.78219363542" u="1"/>
        <n v="152607.78846558678" u="1"/>
        <n v="212221.82693960023" u="1"/>
        <n v="868748.47018013662" u="1"/>
        <n v="131798.87042582125" u="1"/>
        <n v="292545.67661755043" u="1"/>
        <n v="37925.296671102958" u="1"/>
        <n v="91130.060284695646" u="1"/>
        <n v="120370.01372005773" u="1"/>
        <n v="172372.55557491418" u="1"/>
        <n v="5547484.2621046519" u="1"/>
        <n v="203668.37827427371" u="1"/>
        <n v="979534.78232914791" u="1"/>
        <n v="1078337.6516293613" u="1"/>
        <n v="30385.846105080785" u="1"/>
        <n v="31340.259602282102" u="1"/>
        <n v="69327.53916682268" u="1"/>
        <n v="79521.133295807915" u="1"/>
        <n v="1203485.8789189742" u="1"/>
        <n v="3163.486490878835" u="1"/>
        <n v="47144.228583508746" u="1"/>
        <n v="63385.350312115472" u="1"/>
        <n v="89513.087720883719" u="1"/>
        <n v="103981.98286765098" u="1"/>
        <n v="131442.2828905558" u="1"/>
        <n v="234811.11467588492" u="1"/>
        <n v="248476.86667621692" u="1"/>
        <n v="344834.75119818316" u="1"/>
        <n v="11100.801138932558" u="1"/>
        <n v="13783.989943659002" u="1"/>
        <n v="87697.697429236374" u="1"/>
        <n v="289276.93120531936" u="1"/>
        <n v="348142.51905938727" u="1"/>
        <n v="1432328.6489123772" u="1"/>
        <n v="41778.702113517065" u="1"/>
        <n v="62261.884462467693" u="1"/>
        <n v="64988.985389084861" u="1"/>
        <n v="101433.23290540307" u="1"/>
        <n v="409212.47745179926" u="1"/>
        <n v="1713931.6415841475" u="1"/>
        <n v="37846.908532021393" u="1"/>
        <n v="58590.687303911647" u="1"/>
        <n v="161880.06747810016" u="1"/>
        <n v="307766.32292016316" u="1"/>
        <n v="536628.06126735848" u="1"/>
        <n v="35957.782152748776" u="1"/>
        <n v="41813.570358004421" u="1"/>
        <n v="78691.84216823359" u="1"/>
        <n v="123016.63366140578" u="1"/>
        <n v="2396966.9124062927" u="1"/>
        <n v="119216.7301399298" u="1"/>
        <n v="45074.234735403297" u="1"/>
        <n v="49843.097966173584" u="1"/>
        <n v="109095.17245488404" u="1"/>
        <n v="112905.84387458385" u="1"/>
        <n v="236338.71129766808" u="1"/>
        <n v="96990.737139554112" u="1"/>
        <n v="166569.93630691373" u="1"/>
        <n v="66015.401997729874" u="1"/>
        <n v="122305.54755127955" u="1"/>
        <n v="209765.58886046323" u="1"/>
        <n v="2683380.5467023905" u="1"/>
        <n v="35462.499592919499" u="1"/>
        <n v="153357.04854068623" u="1"/>
        <n v="306317.75089743763" u="1"/>
        <n v="427389.87355074409" u="1"/>
        <n v="485795.87356872729" u="1"/>
        <n v="87987.876646109871" u="1"/>
        <n v="10634.839387819044" u="1"/>
        <n v="23047.180378586567" u="1"/>
        <n v="96531.796688132396" u="1"/>
        <n v="299791.65371217346" u="1"/>
        <n v="18229.102629868234" u="1"/>
        <n v="159244.37669020079" u="1"/>
        <n v="2285960.4129468179" u="1"/>
        <n v="12673.113868511238" u="1"/>
        <n v="47994.988391400155" u="1"/>
        <n v="59613.016126983915" u="1"/>
        <n v="90165.47080308749" u="1"/>
        <n v="201994.3708501572" u="1"/>
        <n v="386033.97861880017" u="1"/>
        <n v="416223.38714706502" u="1"/>
        <n v="24975.353846754413" u="1"/>
        <n v="41003.816931086694" u="1"/>
        <n v="49915.828200112315" u="1"/>
        <n v="50055.284434575857" u="1"/>
        <n v="146078.13441234187" u="1"/>
        <n v="319235.99411124748" u="1"/>
        <n v="13301.926893982691" u="1"/>
        <n v="30047.593820241047" u="1"/>
        <n v="101351.89160818399" u="1"/>
        <n v="270339.67819383356" u="1"/>
        <n v="340285.6031891905" u="1"/>
        <n v="1916971.1252434044" u="1"/>
        <n v="23633.317614720494" u="1"/>
        <n v="52721.888708507518" u="1"/>
        <n v="56694.198552692047" u="1"/>
        <n v="211056.89106463446" u="1"/>
        <n v="17620.759181373476" u="1"/>
        <n v="139944.63799226994" u="1"/>
        <n v="159813.15216427983" u="1"/>
        <n v="329393.73189537332" u="1"/>
        <n v="254812.46140255372" u="1"/>
        <n v="57595.105761210332" u="1"/>
        <n v="262131.47734142799" u="1"/>
        <n v="536700.94872164354" u="1"/>
        <n v="7211.4707700612098" u="1"/>
        <n v="45374.980701845663" u="1"/>
        <n v="63191.287944593481" u="1"/>
        <n v="7492.563116050198" u="1"/>
        <n v="26068.497628743025" u="1"/>
        <n v="396812.10031910008" u="1"/>
        <n v="76607.69312778626" u="1"/>
        <n v="208347.89379663055" u="1"/>
        <n v="149796.07504601334" u="1"/>
        <n v="188298.93800205342" u="1"/>
        <n v="219673.7487081367" u="1"/>
        <n v="242052.37724960942" u="1"/>
        <n v="314354.79556823085" u="1"/>
        <n v="464783.43132741534" u="1"/>
        <n v="83940.508178284363" u="1"/>
        <n v="140266.64118948151" u="1"/>
        <n v="434694.30654949998" u="1"/>
        <n v="530721.74853299744" u="1"/>
        <n v="6579957.225155131" u="1"/>
        <n v="51141.685945965903" u="1"/>
        <n v="133496.06823375245" u="1"/>
        <n v="209217.13569073856" u="1"/>
        <n v="267616.7361861117" u="1"/>
        <n v="333184.34713721549" u="1"/>
        <n v="10108.466544676099" u="1"/>
        <n v="101266.49024620661" u="1"/>
        <n v="130404.495282313" u="1"/>
        <n v="190539.60487384815" u="1"/>
        <n v="1310220.6614261153" u="1"/>
        <n v="34874.614658083512" u="1"/>
        <n v="66066.160374261031" u="1"/>
        <n v="194297.23434645036" u="1"/>
        <n v="313208.28547614213" u="1"/>
        <n v="6665.0960011366151" u="1"/>
        <n v="14747.62179513007" u="1"/>
        <n v="67928.591941301536" u="1"/>
        <n v="1204987.2286089833" u="1"/>
        <n v="1752797.4454883384" u="1"/>
        <n v="26718.164103512438" u="1"/>
        <n v="95444.843154261718" u="1"/>
        <n v="102561.88278856738" u="1"/>
        <n v="110286.67899942851" u="1"/>
        <n v="142233.38339146308" u="1"/>
        <n v="160370.58091866638" u="1"/>
        <n v="209449.43461493016" u="1"/>
        <n v="233418.87531038924" u="1"/>
        <n v="404824.25768046285" u="1"/>
        <n v="69775.541608005995" u="1"/>
        <n v="114336.04262248725" u="1"/>
        <n v="170933.75207162841" u="1"/>
        <n v="235876.15487447218" u="1"/>
        <n v="244903.76843696157" u="1"/>
        <n v="246540.31217452546" u="1"/>
        <n v="430757.64629456855" u="1"/>
        <n v="458635.37185143185" u="1"/>
        <n v="34405.307907227907" u="1"/>
        <n v="67658.041203657762" u="1"/>
        <n v="119560.49422382092" u="1"/>
        <n v="126284.14547685678" u="1"/>
        <n v="137300.23529872519" u="1"/>
        <n v="137744.7210684492" u="1"/>
        <n v="105584.76422373347" u="1"/>
        <n v="142081.9677298023" u="1"/>
        <n v="148216.23974805823" u="1"/>
        <n v="153367.28411027812" u="1"/>
        <n v="213757.69340303051" u="1"/>
        <n v="258770.66611899206" u="1"/>
        <n v="312132.26217012107" u="1"/>
        <n v="420992.75184766506" u="1"/>
        <n v="244735.33433581606" u="1"/>
        <n v="327528.4553794532" u="1"/>
        <n v="28471.447923463347" u="1"/>
        <n v="37265.094583307851" u="1"/>
        <n v="75249.770762527303" u="1"/>
        <n v="95927.037000204669" u="1"/>
        <n v="125093.4708801034" u="1"/>
        <n v="586235.46578758734" u="1"/>
        <n v="1349826.4697764865" u="1"/>
        <n v="10374444.249101978" u="1"/>
        <n v="31412.34396469823" u="1"/>
        <n v="39362.9159836775" u="1"/>
        <n v="6973770.5924336193" u="1"/>
        <n v="5860.5037488024564" u="1"/>
        <n v="57295.112919674284" u="1"/>
        <n v="89471.825402365896" u="1"/>
        <n v="121560.70835189107" u="1"/>
        <n v="128600.03745449746" u="1"/>
        <n v="275157.05955393618" u="1"/>
        <n v="341099.00955734146" u="1"/>
        <n v="537661.62999639206" u="1"/>
        <n v="20250.538997702963" u="1"/>
        <n v="31826.646110353195" u="1"/>
        <n v="70472.273822476374" u="1"/>
        <n v="144441.27498741663" u="1"/>
        <n v="144576.67805489348" u="1"/>
        <n v="240042.45065323508" u="1"/>
        <n v="8968.035348282996" u="1"/>
        <n v="20702.911637253808" u="1"/>
        <n v="94665.313918140368" u="1"/>
        <n v="104095.25462579344" u="1"/>
        <n v="129243.95280653861" u="1"/>
        <n v="500979.11297386757" u="1"/>
        <n v="6040.8957297277975" u="1"/>
        <n v="44146.645515744458" u="1"/>
        <n v="58204.385328363598" u="1"/>
        <n v="310016.1651440881" u="1"/>
        <n v="598799.25214331527" u="1"/>
        <n v="16541.492413578555" u="1"/>
        <n v="16810.230012211076" u="1"/>
        <n v="89116.829655967711" u="1"/>
        <n v="125018.42402657418" u="1"/>
        <n v="224947.8022376516" u="1"/>
        <n v="338272.00359524233" u="1"/>
        <n v="1823675.948131267" u="1"/>
        <n v="6252907.9893752262" u="1"/>
        <n v="54119.387295845998" u="1"/>
        <n v="250106.59281131346" u="1"/>
        <n v="302522.622115898" u="1"/>
        <n v="410829.4855093899" u="1"/>
        <n v="588499.11115000024" u="1"/>
        <n v="834799.5446083995" u="1"/>
        <n v="74414.656699159954" u="1"/>
        <n v="384822.55282223795" u="1"/>
        <n v="584377.94963287842" u="1"/>
        <n v="41726.615282872532" u="1"/>
        <n v="64890.196715848877" u="1"/>
        <n v="88019.922839449544" u="1"/>
        <n v="113641.84321638824" u="1"/>
        <n v="312107.25264518935" u="1"/>
        <n v="246178.0468376622" u="1"/>
        <n v="31183.114769176758" u="1"/>
        <n v="68675.214473454107" u="1"/>
        <n v="99336.339397750824" u="1"/>
        <n v="171012.68730869409" u="1"/>
        <n v="296836.18348638207" u="1"/>
        <n v="10492.253572255238" u="1"/>
        <n v="22415.696669529316" u="1"/>
        <n v="29269.292585733467" u="1"/>
        <n v="157903.34159897376" u="1"/>
        <n v="264315.60210844083" u="1"/>
        <n v="1459388.5542284674" u="1"/>
        <n v="15956.457976587437" u="1"/>
        <n v="217512.04653045474" u="1"/>
        <n v="271568.13885998901" u="1"/>
        <n v="392478.03843448707" u="1"/>
        <n v="2246357.1962859263" u="1"/>
        <n v="22655.59606121033" u="1"/>
        <n v="65126.94224613237" u="1"/>
        <n v="165066.03946426857" u="1"/>
        <n v="167826.2689495348" u="1"/>
        <n v="196310.12366115602" u="1"/>
        <n v="239323.7344131025" u="1"/>
        <n v="322163.31567223015" u="1"/>
        <n v="19365.420873745425" u="1"/>
        <n v="38736.140130777836" u="1"/>
        <n v="51785.525088292125" u="1"/>
        <n v="102632.21622242349" u="1"/>
        <n v="237027.55950484128" u="1"/>
        <n v="324934.04033796611" u="1"/>
        <n v="1225767.7561186552" u="1"/>
        <n v="1154918.276168203" u="1"/>
        <n v="8042.3363721399601" u="1"/>
        <n v="57505.540089187147" u="1"/>
        <n v="59467.438319025045" u="1"/>
        <n v="76167.164512661329" u="1"/>
        <n v="36462.889523208709" u="1"/>
        <n v="162172.85041331642" u="1"/>
        <n v="184515.09475642099" u="1"/>
        <n v="192942.76504267601" u="1"/>
        <n v="211899.41575908251" u="1"/>
        <n v="7995.3247929824356" u="1"/>
        <n v="11424.143845652894" u="1"/>
        <n v="52700.403050350316" u="1"/>
        <n v="72007.338382046029" u="1"/>
        <n v="140121.33988477674" u="1"/>
        <n v="342487.99444396218" u="1"/>
        <n v="977866.34080890007" u="1"/>
        <n v="443765.34157336643" u="1"/>
        <n v="33696.882313712587" u="1"/>
        <n v="107987.89029475773" u="1"/>
        <n v="15639.229191019724" u="1"/>
        <n v="138183.39988514702" u="1"/>
        <n v="366411.00640769955" u="1"/>
        <n v="68096.608601774526" u="1"/>
        <n v="577669.66841908824" u="1"/>
        <n v="94706.370468963098" u="1"/>
        <n v="179122.66458779329" u="1"/>
        <n v="718005.71798878978" u="1"/>
        <n v="1418003.8159658709" u="1"/>
        <n v="7865719.6392966993" u="1"/>
        <n v="94893.970615401617" u="1"/>
        <n v="571971.68950538733" u="1"/>
        <n v="13633483.104590788" u="1"/>
        <n v="16777.96559646578" u="1"/>
        <n v="246978.42386840415" u="1"/>
        <n v="429920.29284371471" u="1"/>
        <n v="552167.08681597444" u="1"/>
        <n v="105308.00020653954" u="1"/>
        <n v="553397.68682654167" u="1"/>
        <n v="27366.085650259178" u="1"/>
        <n v="188478.11919625365" u="1"/>
        <n v="251654.58410902342" u="1"/>
        <n v="614831.38213795912" u="1"/>
        <n v="14039.825787098627" u="1"/>
        <n v="34458.212729176586" u="1"/>
        <n v="147277.1191445025" u="1"/>
        <n v="202979.7882570902" u="1"/>
        <n v="299372.93858326285" u="1"/>
        <n v="102799.22525780354" u="1"/>
        <n v="317072.46579558251" u="1"/>
        <n v="928427.85701617668" u="1"/>
        <n v="60963.231505756514" u="1"/>
        <n v="66673.968091516057" u="1"/>
        <n v="109333.58368690603" u="1"/>
        <n v="950037.70930668386" u="1"/>
        <n v="1092848.4631569295" u="1"/>
        <n v="20449.56398124613" u="1"/>
        <n v="193856.59368363157" u="1"/>
        <n v="312613.08921882382" u="1"/>
        <n v="348466.28522349853" u="1"/>
        <n v="613305.87235194293" u="1"/>
        <n v="1453631.2214546821" u="1"/>
        <n v="13557.799246623577" u="1"/>
        <n v="61132.455454081122" u="1"/>
        <n v="340031.39294007036" u="1"/>
        <n v="532938.55997160636" u="1"/>
        <n v="5077317.6006032061" u="1"/>
        <n v="48656.161797410532" u="1"/>
        <n v="51919.89371476417" u="1"/>
        <n v="56536.362427601998" u="1"/>
        <n v="85306.414793391334" u="1"/>
        <n v="104900.81935703231" u="1"/>
        <n v="246171.77559302159" u="1"/>
        <n v="272339.65699381189" u="1"/>
        <n v="446681.07367514062" u="1"/>
        <n v="810098.91732498747" u="1"/>
        <n v="1711252.9065580927" u="1"/>
        <n v="47100.15084921271" u="1"/>
        <n v="73352.231252307261" u="1"/>
        <n v="93819.613281292492" u="1"/>
        <n v="4738.8829707621298" u="1"/>
        <n v="88492.352795582628" u="1"/>
        <n v="122022.23036677888" u="1"/>
        <n v="4182096.2537242295" u="1"/>
        <n v="43570.866789217223" u="1"/>
        <n v="74498.806017233801" u="1"/>
        <n v="13415.371667946016" u="1"/>
        <n v="172791.40290895264" u="1"/>
        <n v="190099.30892598507" u="1"/>
        <n v="211527.86867471688" u="1"/>
        <n v="289823.71886666369" u="1"/>
        <n v="51740.839285360504" u="1"/>
        <n v="135861.12144694579" u="1"/>
        <n v="178245.05452612188" u="1"/>
        <n v="599907.76128584682" u="1"/>
        <n v="7359569.6575607639" u="1"/>
        <n v="27615.263162475057" u="1"/>
        <n v="66851.555625150431" u="1"/>
        <n v="215722.37447254208" u="1"/>
        <n v="27787.102352570859" u="1"/>
        <n v="228728.39316576696" u="1"/>
        <n v="16175304.6587997" u="1"/>
        <n v="56709.027349933735" u="1"/>
        <n v="81390.722394705168" u="1"/>
        <n v="95282.439415969944" u="1"/>
        <n v="138077.40407893236" u="1"/>
        <n v="292316.48841798317" u="1"/>
        <n v="23912.055589772895" u="1"/>
        <n v="66129.86502289529" u="1"/>
        <n v="74728.265806139403" u="1"/>
        <n v="117382.29208312527" u="1"/>
        <n v="137463.0394803822" u="1"/>
        <n v="932739.34797453135" u="1"/>
        <n v="47703.477080024692" u="1"/>
        <n v="109878.93824500956" u="1"/>
        <n v="142079.55660709032" u="1"/>
        <n v="221035.49450138165" u="1"/>
        <n v="224984.02359860914" u="1"/>
        <n v="301479.94253332913" u="1"/>
        <n v="327404.48149231984" u="1"/>
        <n v="4811.7888626200074" u="1"/>
        <n v="40662.370281014111" u="1"/>
        <n v="163328.08037369046" u="1"/>
        <n v="197704.27122774732" u="1"/>
        <n v="18726.732513984432" u="1"/>
        <n v="86747.088344684613" u="1"/>
        <n v="265777.63136961835" u="1"/>
        <n v="286302.87438371213" u="1"/>
        <n v="36987.181187673377" u="1"/>
        <n v="118368.77493976204" u="1"/>
        <n v="156986.35822599809" u="1"/>
        <n v="3539319.2503480455" u="1"/>
        <n v="28985.08651195679" u="1"/>
        <n v="40526.457457315002" u="1"/>
        <n v="91637.750041892519" u="1"/>
        <n v="219487.05069869012" u="1"/>
        <n v="25755.83359138243" u="1"/>
        <n v="27022.795845003602" u="1"/>
        <n v="52152.086986507187" u="1"/>
        <n v="86545.443101170633" u="1"/>
        <n v="90759.348690287879" u="1"/>
        <n v="175320.4895153926" u="1"/>
        <n v="126610.6489235239" u="1"/>
        <n v="470506.17246049427" u="1"/>
        <n v="885572.97342857986" u="1"/>
        <n v="98163.431454516583" u="1"/>
        <n v="259001.91321181966" u="1"/>
        <n v="299098.4505420691" u="1"/>
        <n v="100215.49476598142" u="1"/>
        <n v="201196.77446026402" u="1"/>
        <n v="19113.343083048545" u="1"/>
        <n v="22542.742834083139" u="1"/>
        <n v="32705.295253662473" u="1"/>
        <n v="38252.063956967861" u="1"/>
        <n v="141536.93255350008" u="1"/>
        <n v="238424.42161962827" u="1"/>
        <n v="580914.19701745431" u="1"/>
        <n v="972840.8933444923" u="1"/>
        <n v="1218565.349751208" u="1"/>
        <n v="6690117.5210217088" u="1"/>
        <n v="125513.13960655978" u="1"/>
        <n v="149693.19001766914" u="1"/>
        <n v="169304.0877792541" u="1"/>
        <n v="192464.44120535758" u="1"/>
        <n v="193042.11314749185" u="1"/>
        <n v="291512.53161975194" u="1"/>
        <n v="52083.793880205048" u="1"/>
        <n v="96208.734600476004" u="1"/>
        <n v="194769.07281653397" u="1"/>
        <n v="2044051.1589362656" u="1"/>
        <n v="7454.7035383852872" u="1"/>
        <n v="85101.110846585056" u="1"/>
        <n v="21512.737785973033" u="1"/>
        <n v="89791.793953762361" u="1"/>
        <n v="69701724.817156285" u="1"/>
        <n v="171891.91444548088" u="1"/>
        <n v="772284.08928188868" u="1"/>
        <n v="874282.52497311356" u="1"/>
        <n v="1327912.298659805" u="1"/>
        <n v="27269.11207772349" u="1"/>
        <n v="101331.63273831207" u="1"/>
        <n v="160687.72686144145" u="1"/>
        <n v="871522.1694049706" u="1"/>
        <n v="936403.75906697754" u="1"/>
        <n v="462686.80619863851" u="1"/>
        <n v="35786.806121017522" u="1"/>
        <n v="138223.62883350969" u="1"/>
        <n v="312835.13072056742" u="1"/>
        <n v="815643.1043749887" u="1"/>
        <n v="4734129.9315769747" u="1"/>
        <n v="6967021.6336696595" u="1"/>
        <n v="69032.043055400412" u="1"/>
        <n v="91577.399954922876" u="1"/>
        <n v="101922.16392545277" u="1"/>
        <n v="50212.867149158817" u="1"/>
        <n v="99065.397547964953" u="1"/>
        <n v="133182.13174503244" u="1"/>
        <n v="394888.69461923384" u="1"/>
        <n v="529149.43097649422" u="1"/>
        <n v="659902.43662633246" u="1"/>
        <n v="1068230.8606048082" u="1"/>
        <n v="1285443.2849971948" u="1"/>
        <n v="5738.2753871091663" u="1"/>
        <n v="81857.799935328992" u="1"/>
        <n v="282507.16024708305" u="1"/>
        <n v="585318.60422761855" u="1"/>
        <n v="851809.73975173873" u="1"/>
        <n v="82773.566677370545" u="1"/>
        <n v="115652.2122034131" u="1"/>
        <n v="51498.156062696115" u="1"/>
        <n v="1065451.0425383628" u="1"/>
        <n v="1116649.6247328771" u="1"/>
        <n v="60278.763771776328" u="1"/>
        <n v="235748.30815568939" u="1"/>
        <n v="379961.69697456353" u="1"/>
        <n v="512194.37719544506" u="1"/>
        <n v="11509.626284619739" u="1"/>
        <n v="38882.609957640154" u="1"/>
        <n v="62490.279450325521" u="1"/>
        <n v="72338.070507169119" u="1"/>
        <n v="87655.022685226373" u="1"/>
        <n v="6357.037107997161" u="1"/>
        <n v="21464.686070976579" u="1"/>
        <n v="29172.06210098727" u="1"/>
        <n v="94791.515867860915" u="1"/>
        <n v="104449.53930126438" u="1"/>
        <n v="226634.47093005682" u="1"/>
        <n v="240329.5481615327" u="1"/>
        <n v="409458.24444257864" u="1"/>
        <n v="917533.60742022935" u="1"/>
        <n v="1166848.1134470101" u="1"/>
        <n v="4723675.0661270944" u="1"/>
        <n v="48359.556618572482" u="1"/>
        <n v="120817.58872559719" u="1"/>
        <n v="124041.24534845653" u="1"/>
        <n v="186939.22607147615" u="1"/>
        <n v="285919.70166024996" u="1"/>
        <n v="94870.805339350394" u="1"/>
        <n v="106162.11695779936" u="1"/>
        <n v="148279.58007205985" u="1"/>
        <n v="158201.92274420208" u="1"/>
        <n v="239560.66303836103" u="1"/>
        <n v="251008.41632620146" u="1"/>
        <n v="5880265.2255529342" u="1"/>
        <n v="16755.027201340872" u="1"/>
        <n v="63030.174680171214" u="1"/>
        <n v="65182.877755300411" u="1"/>
        <n v="95289.15715138719" u="1"/>
        <n v="101339.98696014639" u="1"/>
        <n v="101935.32604436998" u="1"/>
        <n v="111503.08153281503" u="1"/>
        <n v="132429.74828601227" u="1"/>
        <n v="564841.20557789947" u="1"/>
        <n v="9361518.9726755098" u="1"/>
        <n v="116378.83542291689" u="1"/>
        <n v="231985.10103380898" u="1"/>
        <n v="488196.98724306095" u="1"/>
        <n v="25387.632170775792" u="1"/>
        <n v="89408.129166609695" u="1"/>
        <n v="216442.16233561648" u="1"/>
        <n v="216590.06043891975" u="1"/>
        <n v="378086.03777943546" u="1"/>
        <n v="57874.099498037504" u="1"/>
        <n v="132188.9838547227" u="1"/>
        <n v="313791.14199989953" u="1"/>
        <n v="326535.01163762889" u="1"/>
        <n v="563171.31272759207" u="1"/>
        <n v="35884.70047208816" u="1"/>
        <n v="162278.48203821469" u="1"/>
        <n v="80744.535346512654" u="1"/>
        <n v="160351.3002350328" u="1"/>
        <n v="238146.8955322181" u="1"/>
        <n v="3563342.0582643179" u="1"/>
        <n v="17039.251989199955" u="1"/>
        <n v="49682.341942550469" u="1"/>
        <n v="143447.57397864055" u="1"/>
        <n v="195806.63750500968" u="1"/>
        <n v="915986.37705466035" u="1"/>
        <n v="3160193.024476137" u="1"/>
        <n v="191720.34457740531" u="1"/>
        <n v="255771.95876107638" u="1"/>
        <n v="640358.59645270114" u="1"/>
        <n v="36582.389778037963" u="1"/>
        <n v="53842.741298054883" u="1"/>
        <n v="31767.120765281084" u="1"/>
        <n v="42895.918660698786" u="1"/>
        <n v="1166382.3059290892" u="1"/>
        <n v="23009.589693309983" u="1"/>
        <n v="43391.418454684666" u="1"/>
        <n v="105191.41304356849" u="1"/>
        <n v="156740.49237882128" u="1"/>
        <n v="171868.60323429547" u="1"/>
        <n v="228474.71693569858" u="1"/>
        <n v="263470.49901579367" u="1"/>
        <n v="283662.76022231637" u="1"/>
        <n v="317833.76841344556" u="1"/>
        <n v="356096.77555472706" u="1"/>
        <n v="83322.508189935412" u="1"/>
        <n v="85093.184638497944" u="1"/>
        <n v="283716.93555435771" u="1"/>
        <n v="1023113.9353162964" u="1"/>
        <n v="55100.446673074708" u="1"/>
        <n v="62752.599511137043" u="1"/>
        <n v="103043.96783963926" u="1"/>
        <n v="532393.44167155842" u="1"/>
        <n v="955333.51418117643" u="1"/>
        <n v="198643.33386178577" u="1"/>
        <n v="308360.99125098635" u="1"/>
        <n v="19642.763612179631" u="1"/>
        <n v="59146.758331029589" u="1"/>
        <n v="144477.55070271296" u="1"/>
        <n v="465224.29688150476" u="1"/>
        <n v="15481.534668166572" u="1"/>
        <n v="1062223.3012674798" u="1"/>
        <n v="178664.41997907415" u="1"/>
        <n v="681912.79813023971" u="1"/>
        <n v="1561510.3075094079" u="1"/>
        <n v="68593.05086224727" u="1"/>
        <n v="95670.300404433146" u="1"/>
        <n v="99722.131776349066" u="1"/>
        <n v="138502.93902438902" u="1"/>
        <n v="575834.89080095827" u="1"/>
        <n v="633247.24821515731" u="1"/>
        <n v="5536.5329371645976" u="1"/>
        <n v="17095.705316651525" u="1"/>
        <n v="53425.546539890631" u="1"/>
        <n v="8012.316045697451" u="1"/>
        <n v="42704.002381683546" u="1"/>
        <n v="365059.51864606561" u="1"/>
        <n v="249832.46420787284" u="1"/>
        <n v="1617828.7929826814" u="1"/>
        <n v="13614.376554168237" u="1"/>
        <n v="29690.001101829104" u="1"/>
        <n v="83404.090269699867" u="1"/>
        <n v="115956.22948067015" u="1"/>
        <n v="167341.6256000936" u="1"/>
        <n v="21832.212195891323" u="1"/>
        <n v="29003.22537301822" u="1"/>
        <n v="75985.028496666389" u="1"/>
        <n v="334879.40213794808" u="1"/>
        <n v="22082.359030037329" u="1"/>
        <n v="103448.62760802018" u="1"/>
        <n v="114390.43962525739" u="1"/>
        <n v="2793.7359391695218" u="1"/>
        <n v="10624.074580458528" u="1"/>
        <n v="51829.167217900002" u="1"/>
        <n v="62171.409306954418" u="1"/>
        <n v="640286.6970780706" u="1"/>
        <n v="26124.729337833913" u="1"/>
        <n v="10801.0087267991" u="1"/>
        <n v="70833.573736505539" u="1"/>
        <n v="223358.49928057013" u="1"/>
        <n v="370283.08350105118" u="1"/>
        <n v="31482.818890397561" u="1"/>
        <n v="45117.648653015342" u="1"/>
        <n v="106603.67027150447" u="1"/>
        <n v="237032.5222425973" u="1"/>
        <n v="1095738.0847017334" u="1"/>
        <n v="7488.0451079348659" u="1"/>
        <n v="23336.382455424591" u="1"/>
        <n v="60044.122910978709" u="1"/>
        <n v="170566.21493727376" u="1"/>
        <n v="185910.63762131456" u="1"/>
        <n v="228408.53765669241" u="1"/>
        <n v="355445.85964786611" u="1"/>
        <n v="447570.01193712669" u="1"/>
        <n v="33354.041016879375" u="1"/>
        <n v="190503.76248100301" u="1"/>
        <n v="228889.51214626717" u="1"/>
        <n v="21796.626501016341" u="1"/>
        <n v="237001.78197540808" u="1"/>
        <n v="312060.78168212622" u="1"/>
        <n v="162053.43034104392" u="1"/>
        <n v="199350.25109061398" u="1"/>
        <n v="57415.151901562116" u="1"/>
        <n v="59735.489420054546" u="1"/>
        <n v="75831.042319333297" u="1"/>
        <n v="480699.34202981298" u="1"/>
        <n v="1723681.2582456772" u="1"/>
        <n v="19123.374382642622" u="1"/>
        <n v="42213.437707958976" u="1"/>
        <n v="158912.92402081535" u="1"/>
        <n v="203591.06608888583" u="1"/>
        <n v="125257.51175749785" u="1"/>
        <n v="240726.00035042883" u="1"/>
        <n v="65975.194905894692" u="1"/>
        <n v="87432.625148712978" u="1"/>
        <n v="533870.51405036927" u="1"/>
        <n v="879638.12888737686" u="1"/>
        <n v="98659.997050426493" u="1"/>
        <n v="184804.30080133677" u="1"/>
        <n v="39150.830771525973" u="1"/>
        <n v="66155.167364585737" u="1"/>
        <n v="374097.22939728148" u="1"/>
        <n v="881991.67014735553" u="1"/>
        <n v="43072.543255258926" u="1"/>
        <n v="160063.96002679586" u="1"/>
        <n v="284019.48176635144" u="1"/>
        <n v="287147.19163441408" u="1"/>
        <n v="929671.01326106512" u="1"/>
        <n v="1060516.8216300835" u="1"/>
        <n v="34114.414617339302" u="1"/>
        <n v="38225.347428743946" u="1"/>
        <n v="67896.149641037453" u="1"/>
        <n v="88929.03282471787" u="1"/>
        <n v="246085.10865914228" u="1"/>
        <n v="41497.0189144904" u="1"/>
        <n v="98137.523855983745" u="1"/>
        <n v="132678.81395753351" u="1"/>
        <n v="396013.7614853821" u="1"/>
        <n v="671018.28382558899" u="1"/>
        <n v="41615.708308305766" u="1"/>
        <n v="44035.477107662235" u="1"/>
        <n v="53939.603250772663" u="1"/>
        <n v="608128.08581065014" u="1"/>
        <n v="61202.12108243681" u="1"/>
        <n v="78041.452395980465" u="1"/>
        <n v="169975.72336719069" u="1"/>
        <n v="389379.48062706157" u="1"/>
        <n v="609634.9934192556" u="1"/>
        <n v="384204.08966332674" u="1"/>
        <n v="1815543.4098258896" u="1"/>
        <n v="15644191.20501939" u="1"/>
        <n v="149295.01772544565" u="1"/>
        <n v="367975.0180683434" u="1"/>
        <n v="12527.193006543899" u="1"/>
        <n v="32476.094109988997" u="1"/>
        <n v="58043.598282153704" u="1"/>
        <n v="143178.39080935507" u="1"/>
        <n v="19927.838226114778" u="1"/>
        <n v="631838.64119744382" u="1"/>
        <n v="49251.43928309693" u="1"/>
        <n v="71641.021481916425" u="1"/>
        <n v="117822.28525851476" u="1"/>
        <n v="4706.1852663681429" u="1"/>
        <n v="14646.987226805482" u="1"/>
        <n v="36479.60935833463" u="1"/>
        <n v="49171.325250915441" u="1"/>
        <n v="150420.85612228385" u="1"/>
        <n v="738077.04863655218" u="1"/>
        <n v="4034.7667128920671" u="1"/>
        <n v="80967.556189106588" u="1"/>
        <n v="94433.181076726163" u="1"/>
        <n v="974651.48565998382" u="1"/>
        <n v="62378.382769786665" u="1"/>
        <n v="192469.95344270091" u="1"/>
        <n v="302084.17951465235" u="1"/>
        <n v="82543.843880363958" u="1"/>
        <n v="232337.01000000886" u="1"/>
        <n v="7860.3720518801292" u="1"/>
        <n v="277965.69178424793" u="1"/>
        <n v="663320.54823951912" u="1"/>
        <n v="37314.399623437072" u="1"/>
        <n v="130748.69880456314" u="1"/>
        <n v="145830.37757685879" u="1"/>
        <n v="146998.17165893893" u="1"/>
        <n v="237744.30653862032" u="1"/>
        <n v="385257.57296083297" u="1"/>
        <n v="133766.97096171908" u="1"/>
        <n v="149439.96509980937" u="1"/>
        <n v="3216534.4450428588" u="1"/>
        <n v="68693.480532468879" u="1"/>
        <n v="106953.43744780862" u="1"/>
        <n v="107643.38447420053" u="1"/>
        <n v="108047.51412518771" u="1"/>
        <n v="172576.27999047609" u="1"/>
        <n v="219276.42015553016" u="1"/>
        <n v="21867.91079391347" u="1"/>
        <n v="131133.12329594302" u="1"/>
        <n v="308081.14498742454" u="1"/>
        <n v="1175161.2295509735" u="1"/>
        <n v="12081.917706310491" u="1"/>
        <n v="74478.396248764999" u="1"/>
        <n v="113209.46255977824" u="1"/>
        <n v="231391.31137089839" u="1"/>
        <n v="257347.72037327688" u="1"/>
        <n v="1042052.1573369127" u="1"/>
        <n v="73281.256459613229" u="1"/>
        <n v="63728.043393669097" u="1"/>
        <n v="240026.87652939578" u="1"/>
        <n v="292048.95855589205" u="1"/>
        <n v="424345.7802457175" u="1"/>
        <n v="1025904.0338307683" u="1"/>
        <n v="54368.279727502093" u="1"/>
        <n v="64180.14489812497" u="1"/>
        <n v="102604.75796689752" u="1"/>
        <n v="141088.48119196488" u="1"/>
        <n v="215336.70451709087" u="1"/>
        <n v="251351.44767503871" u="1"/>
        <n v="1200534.5577259108" u="1"/>
        <n v="3324678.988213303" u="1"/>
        <n v="78044.076195691639" u="1"/>
        <n v="78747.337709216285" u="1"/>
        <n v="1304144.2861941443" u="1"/>
        <n v="39626.674699195675" u="1"/>
        <n v="56925.718415249226" u="1"/>
        <n v="87239.598482597678" u="1"/>
        <n v="174109.44372661758" u="1"/>
        <n v="2883129.4600347178" u="1"/>
        <n v="10573.399990215366" u="1"/>
        <n v="46760.028303435654" u="1"/>
        <n v="62973.575274220799" u="1"/>
        <n v="109338.94997291284" u="1"/>
        <n v="420209.42759082688" u="1"/>
        <n v="524185.89890738914" u="1"/>
        <n v="693234.9395971417" u="1"/>
        <n v="4363136.4646456558" u="1"/>
        <n v="73333.720276661843" u="1"/>
        <n v="119756.96231129279" u="1"/>
        <n v="994816.03524216928" u="1"/>
        <n v="42560.248928077541" u="1"/>
        <n v="57859.197013640645" u="1"/>
        <n v="241216.81636271987" u="1"/>
        <n v="780796.56927201641" u="1"/>
        <n v="845889.61819707335" u="1"/>
        <n v="2358338.11539046" u="1"/>
        <n v="249644.41221993417" u="1"/>
        <n v="532350.03841669532" u="1"/>
        <n v="1216402.9824487744" u="1"/>
        <n v="158146.73995790107" u="1"/>
        <n v="1263629.4937124285" u="1"/>
        <n v="83934.182263962022" u="1"/>
        <n v="94321.559317860156" u="1"/>
        <n v="111193.57631292165" u="1"/>
        <n v="225332.46851710544" u="1"/>
        <n v="247386.03909905508" u="1"/>
        <n v="455038.31291926914" u="1"/>
        <n v="19931.087760890048" u="1"/>
        <n v="34707.971811749449" u="1"/>
        <n v="44695.852048145869" u="1"/>
        <n v="119430.25041874984" u="1"/>
        <n v="123133.80677347527" u="1"/>
        <n v="166916.73168562661" u="1"/>
        <n v="548558.97514532553" u="1"/>
        <n v="175669.03917392716" u="1"/>
        <n v="213352.48411871438" u="1"/>
        <n v="289106.73554548778" u="1"/>
        <n v="740202.61951830029" u="1"/>
        <n v="760793.15658761037" u="1"/>
        <n v="23146.348882276463" u="1"/>
        <n v="105187.33127763961" u="1"/>
        <n v="59810.705540315408" u="1"/>
        <n v="314020.55675383087" u="1"/>
        <n v="1579827.0558455081" u="1"/>
        <n v="67549.101892774284" u="1"/>
        <n v="193101.44292853918" u="1"/>
        <n v="286607.32642458705" u="1"/>
        <n v="332389.17261147167" u="1"/>
        <n v="50826.883972764903" u="1"/>
        <n v="58817.280589670838" u="1"/>
        <n v="94422.270083721509" u="1"/>
        <n v="162565.03886632505" u="1"/>
        <n v="724367.68355764647" u="1"/>
        <n v="988348.40598656971" u="1"/>
        <n v="55750.23101734891" u="1"/>
        <n v="83120.977601062375" u="1"/>
        <n v="241369.26071748097" u="1"/>
        <n v="267787.93147015083" u="1"/>
        <n v="1428256.1103730872" u="1"/>
        <n v="22101.049623966552" u="1"/>
        <n v="103002.61686751805" u="1"/>
        <n v="216663.81963915995" u="1"/>
        <n v="2155731.1093758452" u="1"/>
        <n v="89489.033929719939" u="1"/>
        <n v="345526.35764290788" u="1"/>
        <n v="431522.2254439242" u="1"/>
        <n v="51087.381076620091" u="1"/>
        <n v="64244.54261089889" u="1"/>
        <n v="207065.56917664767" u="1"/>
        <n v="20791916.106682561" u="1"/>
        <n v="37355.38751294282" u="1"/>
        <n v="49927.187582447965" u="1"/>
        <n v="287627.63970850024" u="1"/>
        <n v="477744.72895988665" u="1"/>
        <n v="70768.857817066048" u="1"/>
        <n v="195723.34767226534" u="1"/>
        <n v="442068.13974087144" u="1"/>
        <n v="16669.423257780218" u="1"/>
        <n v="23695.403723969583" u="1"/>
        <n v="23720.89754245961" u="1"/>
        <n v="39169.119509073505" u="1"/>
        <n v="85609.148901666078" u="1"/>
        <n v="123394.93487272663" u="1"/>
        <n v="186277.45284661168" u="1"/>
        <n v="1716901.6219327475" u="1"/>
        <n v="5519396.7115653316" u="1"/>
        <n v="713392.4156249545" u="1"/>
        <n v="14082.422181533764" u="1"/>
        <n v="15881.68752963742" u="1"/>
        <n v="54890.464863654124" u="1"/>
        <n v="60745.247665601171" u="1"/>
        <n v="76840.814855015633" u="1"/>
        <n v="413278.26204126875" u="1"/>
        <n v="19723.574756670696" u="1"/>
        <n v="130541.15827158809" u="1"/>
        <n v="135290.24285742897" u="1"/>
        <n v="224141.26576614412" u="1"/>
        <n v="271943.9976428888" u="1"/>
        <n v="4142053.5951938299" u="1"/>
        <n v="61903.1256611512" u="1"/>
        <n v="76332.500757224625" u="1"/>
        <n v="324530.05510548607" u="1"/>
        <n v="347687.53997917118" u="1"/>
        <n v="1430541.9475550391" u="1"/>
        <n v="1010145.2418028128" u="1"/>
        <n v="6859836.7022609683" u="1"/>
        <n v="40636.195597859296" u="1"/>
        <n v="205365.26976597906" u="1"/>
        <n v="280065.70456280967" u="1"/>
        <n v="383447.17702257761" u="1"/>
        <n v="416462.84674249287" u="1"/>
        <n v="45643.298125068963" u="1"/>
        <n v="45666.407601177663" u="1"/>
        <n v="171948.45146275108" u="1"/>
        <n v="551172.58035989502" u="1"/>
        <n v="677657.88488729263" u="1"/>
        <n v="1271963.4355091508" u="1"/>
        <n v="10702.389351156231" u="1"/>
        <n v="120306.62545905076" u="1"/>
        <n v="141388.74080864468" u="1"/>
        <n v="211188.70714369963" u="1"/>
        <n v="107633.96328393856" u="1"/>
        <n v="118996.01158361242" u="1"/>
        <n v="152257.50047868895" u="1"/>
        <n v="206364.79700279157" u="1"/>
        <n v="548632.8861334133" u="1"/>
        <n v="22348.781027913108" u="1"/>
        <n v="25009.929393903414" u="1"/>
        <n v="49087.89951214067" u="1"/>
        <n v="122463.11265915979" u="1"/>
        <n v="538379.75428970915" u="1"/>
        <n v="21692.593779591109" u="1"/>
        <n v="25009.929393903418" u="1"/>
        <n v="48803.888277195198" u="1"/>
        <n v="123390.08940609456" u="1"/>
        <n v="228617.04747762036" u="1"/>
        <n v="233550.14793915121" u="1"/>
        <n v="6939.6513109121297" u="1"/>
        <n v="25009.929393903421" u="1"/>
        <n v="151602.64231563653" u="1"/>
        <n v="191195.84474054666" u="1"/>
        <n v="224418.92929987845" u="1"/>
        <n v="10909186.636872051" u="1"/>
        <n v="26433.675054508734" u="1"/>
        <n v="91887.934219014598" u="1"/>
        <n v="157376.78146967778" u="1"/>
        <n v="163342.2794495711" u="1"/>
        <n v="273946.33788026206" u="1"/>
        <n v="413807.43655886652" u="1"/>
        <n v="434383.12166959344" u="1"/>
        <n v="20461.212096020441" u="1"/>
        <n v="110773.55972342074" u="1"/>
        <n v="4097.8099327443524" u="1"/>
        <n v="18806.170261463165" u="1"/>
        <n v="64868.220939688465" u="1"/>
        <n v="109044.6468322912" u="1"/>
        <n v="401490.51330975577" u="1"/>
        <n v="8724101.2474578582" u="1"/>
        <n v="125416.15477171015" u="1"/>
        <n v="171396.7391651519" u="1"/>
        <n v="367681.36057968147" u="1"/>
        <n v="385472.90698309417" u="1"/>
        <n v="53414.521288371849" u="1"/>
        <n v="83800.461740213417" u="1"/>
        <n v="256562.27608405915" u="1"/>
        <n v="312307.33816977392" u="1"/>
        <n v="2958120.9594893958" u="1"/>
        <n v="105556.00698411941" u="1"/>
        <n v="197157.92342717791" u="1"/>
        <n v="90878.701361414729" u="1"/>
        <n v="103878.34376321708" u="1"/>
        <n v="206958.45200135451" u="1"/>
        <n v="1120041.093737206" u="1"/>
        <n v="36128.866462129372" u="1"/>
        <n v="39007.383856703353" u="1"/>
        <n v="39393.816491869955" u="1"/>
        <n v="52544.175835895992" u="1"/>
        <n v="97509.183838136058" u="1"/>
        <n v="149530.57370015173" u="1"/>
        <n v="179922.54966329614" u="1"/>
        <n v="15854.886521571407" u="1"/>
        <n v="169621.90709253622" u="1"/>
        <n v="177124.20830795175" u="1"/>
        <n v="125449.03096932017" u="1"/>
        <n v="148709.86561580549" u="1"/>
        <n v="165948.84934276657" u="1"/>
        <n v="181578.55540347958" u="1"/>
        <n v="192182.63505925675" u="1"/>
        <n v="1862869.7153859031" u="1"/>
        <n v="8194.9798971567052" u="1"/>
        <n v="8432.4225044468731" u="1"/>
        <n v="51539.394996694726" u="1"/>
        <n v="140141.18608307742" u="1"/>
        <n v="342622.54785645625" u="1"/>
        <n v="30114.031457509307" u="1"/>
        <n v="47175.589243967981" u="1"/>
        <n v="55100.72491727634" u="1"/>
        <n v="71386.07434462331" u="1"/>
        <n v="136741.6150008078" u="1"/>
        <n v="177599.36436916655" u="1"/>
        <n v="576129.68326225714" u="1"/>
        <n v="910845.32847635169" u="1"/>
        <n v="27479.357862547302" u="1"/>
        <n v="236810.63934782083" u="1"/>
        <n v="411615.99756293878" u="1"/>
        <n v="833073.10883045092" u="1"/>
        <n v="916164.39230786962" u="1"/>
        <n v="91219.162476470388" u="1"/>
        <n v="326016.35462885618" u="1"/>
        <n v="47814.08826117008" u="1"/>
        <n v="95030.523833550105" u="1"/>
        <n v="1196125.3638380021" u="1"/>
        <n v="5316.6462649948917" u="1"/>
        <n v="153978.2657503708" u="1"/>
        <n v="248631.96037835011" u="1"/>
        <n v="355352.89647450752" u="1"/>
        <n v="188105.99201989398" u="1"/>
        <n v="239425.29723794668" u="1"/>
        <n v="270897.82226201845" u="1"/>
        <n v="545001.83060766361" u="1"/>
        <n v="23573.103218173255" u="1"/>
        <n v="64953.257470979312" u="1"/>
        <n v="120015.67373593197" u="1"/>
        <n v="186278.78813547775" u="1"/>
        <n v="423753.07618156378" u="1"/>
        <n v="439847.72244499426" u="1"/>
        <n v="611521.92234756285" u="1"/>
        <n v="5764298.6589524029" u="1"/>
        <n v="6024276.9153039604" u="1"/>
        <n v="109709.78357326754" u="1"/>
        <n v="161858.64930371026" u="1"/>
        <n v="302559.24355535681" u="1"/>
        <n v="32045.967141679663" u="1"/>
        <n v="48038.54060123791" u="1"/>
        <n v="75844.281783654849" u="1"/>
        <n v="49784.904316874876" u="1"/>
        <n v="53525.750827982381" u="1"/>
        <n v="89130.076868130505" u="1"/>
        <n v="94464.371119415504" u="1"/>
        <n v="182967.17315223292" u="1"/>
        <n v="185407.77696302399" u="1"/>
        <n v="218513.79721011838" u="1"/>
        <n v="272939.57543030026" u="1"/>
        <n v="4972581.6425779071" u="1"/>
        <n v="5071.9310235617522" u="1"/>
        <n v="57720.601982947795" u="1"/>
        <n v="67768.597060486878" u="1"/>
        <n v="403028.58063309808" u="1"/>
        <n v="17958.822383332554" u="1"/>
        <n v="25775.93528286177" u="1"/>
        <n v="36416.099531827989" u="1"/>
        <n v="203592.19645070902" u="1"/>
        <n v="22169.418800244541" u="1"/>
        <n v="28249.628131779202" u="1"/>
        <n v="40786.358237480919" u="1"/>
        <n v="68070.966184714576" u="1"/>
        <n v="39703.603125397443" u="1"/>
        <n v="61465.894541303634" u="1"/>
        <n v="159129.44367950561" u="1"/>
        <n v="161489.62534387285" u="1"/>
        <n v="269542.48966309009" u="1"/>
        <n v="18851.786215475669" u="1"/>
        <n v="32369.583897832708" u="1"/>
        <n v="36176.09413281631" u="1"/>
        <n v="73136.14462193528" u="1"/>
        <n v="166197.3218471453" u="1"/>
        <n v="175327.30765323844" u="1"/>
        <n v="54458.611743704758" u="1"/>
        <n v="247830.97574113117" u="1"/>
        <n v="1385054.8522765734" u="1"/>
        <n v="31523.321413947084" u="1"/>
        <n v="65106.137933923637" u="1"/>
        <n v="251371.76961684809" u="1"/>
        <n v="832229.53845395416" u="1"/>
        <n v="21170.630059989686" u="1"/>
        <n v="39127.523144229657" u="1"/>
        <n v="53772.502383539279" u="1"/>
        <n v="55118.545825499634" u="1"/>
        <n v="68426.296059610788" u="1"/>
        <n v="98360.565680615764" u="1"/>
        <n v="120712.55594988712" u="1"/>
        <n v="241444.97293400051" u="1"/>
        <n v="247187.64743448212" u="1"/>
        <n v="372745.77487801033" u="1"/>
        <n v="34466.008446843902" u="1"/>
        <n v="82619.596455182604" u="1"/>
        <n v="157601.88387136426" u="1"/>
        <n v="469542.50789352454" u="1"/>
        <n v="869326.82853979198" u="1"/>
        <n v="897372.80517697555" u="1"/>
        <n v="110175.958283192" u="1"/>
        <n v="165706.70894541877" u="1"/>
        <n v="1351121.0557400393" u="1"/>
        <n v="21764.035645640921" u="1"/>
        <n v="35719.432237701156" u="1"/>
        <n v="46338.229079029275" u="1"/>
        <n v="61041.2475806929" u="1"/>
        <n v="64666.34777723904" u="1"/>
        <n v="124433.9747454332" u="1"/>
        <n v="16142.463626909393" u="1"/>
        <n v="26183.17399581023" u="1"/>
        <n v="28147.391894189735" u="1"/>
        <n v="74287.687121339812" u="1"/>
        <n v="154321.76153164147" u="1"/>
        <n v="170117.72963252885" u="1"/>
        <n v="564902.39917823987" u="1"/>
        <n v="574816.18019031524" u="1"/>
        <n v="62831.853989718336" u="1"/>
        <n v="151953.69860355114" u="1"/>
        <n v="5917.5964784625212" u="1"/>
        <n v="397532.29785118694" u="1"/>
        <n v="175002.91100638377" u="1"/>
        <n v="296612.22280684375" u="1"/>
        <n v="488210.26805326878" u="1"/>
        <n v="47553.917593006787" u="1"/>
        <n v="91956.832642411813" u="1"/>
        <n v="106123.03957624988" u="1"/>
        <n v="154073.62630920022" u="1"/>
        <n v="190834.77125394793" u="1"/>
        <n v="337891.50349977554" u="1"/>
        <n v="1300035.3189444973" u="1"/>
        <n v="23379.261737315872" u="1"/>
        <n v="89556.928235080399" u="1"/>
        <n v="134972.00469860568" u="1"/>
        <n v="142252.77082094067" u="1"/>
        <n v="675473.21793155943" u="1"/>
        <n v="2085988.4793206223" u="1"/>
        <n v="88313.105288777704" u="1"/>
        <n v="93514.518141206325" u="1"/>
        <n v="130362.11145735568" u="1"/>
        <n v="2151910.965004486" u="1"/>
        <n v="17686.719013888123" u="1"/>
        <n v="24302.825720635898" u="1"/>
        <n v="42653.07337841751" u="1"/>
        <n v="54838.620355260602" u="1"/>
        <n v="57956.994374688329" u="1"/>
        <n v="317104.66587012541" u="1"/>
        <n v="339056.32744378073" u="1"/>
        <n v="365936.79948765342" u="1"/>
        <n v="8202.5907530007353" u="1"/>
        <n v="127794.5037130327" u="1"/>
        <n v="161370.07830494959" u="1"/>
        <n v="2007091.4424442835" u="1"/>
        <n v="11195.716873626161" u="1"/>
        <n v="8266.0290651817304" u="1"/>
        <n v="10592.151571463719" u="1"/>
        <n v="36767.88213360442" u="1"/>
        <n v="131096.04744667368" u="1"/>
        <n v="188233.78824714501" u="1"/>
        <n v="25778.211127249269" u="1"/>
        <n v="142172.32441721385" u="1"/>
        <n v="239413.09469844418" u="1"/>
        <n v="477599.19852248154" u="1"/>
        <n v="100193.77829555258" u="1"/>
        <n v="102770.83026086091" u="1"/>
        <n v="260319.2486032887" u="1"/>
        <n v="17294.895186730744" u="1"/>
        <n v="128591.42865924537" u="1"/>
        <n v="134015.341760749" u="1"/>
        <n v="146903.08424013955" u="1"/>
        <n v="154432.7005705036" u="1"/>
        <n v="371673.80095517018" u="1"/>
        <n v="442636.52097540337" u="1"/>
        <n v="248715.8921276624" u="1"/>
        <n v="532297.24880339415" u="1"/>
        <n v="932599.55610847089" u="1"/>
        <n v="1335.3732417365845" u="1"/>
        <n v="248954.6250144995" u="1"/>
        <n v="979029.83953786339" u="1"/>
        <n v="34724.71034220366" u="1"/>
        <n v="61475.922730380895" u="1"/>
        <n v="233525.22722992761" u="1"/>
        <n v="12307.327301646645" u="1"/>
        <n v="140970.8524200705" u="1"/>
        <n v="1998606.2678450525" u="1"/>
        <n v="204798.29060019093" u="1"/>
        <n v="27010.321757878817" u="1"/>
        <n v="47459.200143478483" u="1"/>
        <n v="70069.56319942369" u="1"/>
        <n v="473721.26624602568" u="1"/>
        <n v="42570.742356251081" u="1"/>
        <n v="190270.05229803611" u="1"/>
        <n v="221546.3155446465" u="1"/>
        <n v="676939.24226126249" u="1"/>
        <n v="160118.79714446733" u="1"/>
        <n v="396257.76108545111" u="1"/>
        <n v="28946.541560101938" u="1"/>
        <n v="78633.659246658732" u="1"/>
        <n v="111479.10293945506" u="1"/>
        <n v="205743.52848795813" u="1"/>
        <n v="62902.517428914813" u="1"/>
        <n v="77182.563694859782" u="1"/>
        <n v="385539.67786635272" u="1"/>
        <n v="1502523.7248889708" u="1"/>
        <n v="36922.692205269253" u="1"/>
        <n v="74874.717098947542" u="1"/>
        <n v="76970.396419069017" u="1"/>
        <n v="571741.12800129037" u="1"/>
        <n v="1055091.6507979766" u="1"/>
        <n v="270312.18206269725" u="1"/>
        <n v="372183.08294846158" u="1"/>
        <n v="538086.03438509675" u="1"/>
        <n v="8832.9026165087107" u="1"/>
        <n v="64099.839980294812" u="1"/>
        <n v="372430.14602862229" u="1"/>
        <n v="621470.10514155391" u="1"/>
        <n v="36171.368565602228" u="1"/>
        <n v="97672.582122650914" u="1"/>
        <n v="164409.44312976193" u="1"/>
        <n v="2066703.3132601816" u="1"/>
        <n v="111966.80971668661" u="1"/>
        <n v="142045.77710461471" u="1"/>
        <n v="165291.58178673469" u="1"/>
        <n v="169396.22324534549" u="1"/>
        <n v="77584.090747632668" u="1"/>
        <n v="247487.27415116588" u="1"/>
        <n v="5609942.7029165858" u="1"/>
        <n v="100686.33354430905" u="1"/>
        <n v="121345.08614295165" u="1"/>
        <n v="371432.82123445004" u="1"/>
        <n v="754205.91545438196" u="1"/>
        <n v="67589551.503393799" u="1"/>
        <n v="67571.063478842145" u="1"/>
        <n v="259477.56262417499" u="1"/>
        <n v="4230920.2185039194" u="1"/>
        <n v="106769.85095297558" u="1"/>
        <n v="188815.49087168698" u="1"/>
        <n v="123257.67701053846" u="1"/>
        <n v="548212.96095962403" u="1"/>
        <n v="1006934.5917404448" u="1"/>
        <n v="60305.955423060106" u="1"/>
        <n v="170257.83027733717" u="1"/>
        <n v="372798.24472244701" u="1"/>
        <n v="688958.07554686326" u="1"/>
        <n v="1316280.722617113" u="1"/>
        <n v="396162.80704407307" u="1"/>
        <n v="33583.5950886555" u="1"/>
        <n v="35419.045046600004" u="1"/>
        <n v="552835.1547218723" u="1"/>
        <n v="133605.79329987912" u="1"/>
        <n v="465427.09614043357" u="1"/>
        <n v="64584.977453126674" u="1"/>
        <n v="86168.258321120869" u="1"/>
        <n v="157181.24346049177" u="1"/>
        <n v="212401.30108842748" u="1"/>
        <n v="309290.6837891012" u="1"/>
        <n v="205372.97994612833" u="1"/>
        <n v="7485.5161523196994" u="1"/>
        <n v="25594.058822461335" u="1"/>
        <n v="56427.705599454028" u="1"/>
        <n v="186378.76630572634" u="1"/>
        <n v="788379.00279563642" u="1"/>
        <n v="15223.709883273443" u="1"/>
        <n v="49062.234655771586" u="1"/>
        <n v="485506.23056946672" u="1"/>
        <n v="6706.5717820906166" u="1"/>
        <n v="32549.837470618706" u="1"/>
        <n v="56868.352535242964" u="1"/>
        <n v="122361.78337299445" u="1"/>
        <n v="148868.51044304328" u="1"/>
        <n v="533616.49227114068" u="1"/>
        <n v="600255.9949906884" u="1"/>
        <n v="68876.640684317899" u="1"/>
        <n v="185115.89559963331" u="1"/>
        <n v="69351.15815883367" u="1"/>
        <n v="127303.52794509812" u="1"/>
        <n v="130057.32732191117" u="1"/>
        <n v="540192.38151597744" u="1"/>
        <n v="119630.51096406733" u="1"/>
        <n v="180166.90326303721" u="1"/>
        <n v="192833.33412548457" u="1"/>
        <n v="203015.13031234796" u="1"/>
        <n v="347315.6999047345" u="1"/>
        <n v="51171.565509326094" u="1"/>
        <n v="62463.242638425079" u="1"/>
        <n v="63885.369107268933" u="1"/>
        <n v="172717.64404479251" u="1"/>
        <n v="379277.30807388877" u="1"/>
        <n v="43780.263138257484" u="1"/>
        <n v="65578.592490867071" u="1"/>
        <n v="95817.000240716225" u="1"/>
        <n v="119151.07844044235" u="1"/>
        <n v="425787.50089675887" u="1"/>
        <n v="134828.30026921644" u="1"/>
        <n v="190925.31725009676" u="1"/>
        <n v="292530.83969501092" u="1"/>
        <n v="721020.74692207179" u="1"/>
        <n v="741098.79050136555" u="1"/>
        <n v="87344.406784617808" u="1"/>
        <n v="151033.45689613037" u="1"/>
        <n v="188282.79875357763" u="1"/>
        <n v="5782953.1247015176" u="1"/>
        <n v="94631.969236193923" u="1"/>
        <n v="2544455.1625045389" u="1"/>
        <n v="6827.7099033417908" u="1"/>
        <n v="12786.383102649545" u="1"/>
        <n v="19652.899966056269" u="1"/>
        <n v="30238.171971445048" u="1"/>
        <n v="48538.457752412025" u="1"/>
        <n v="59688.874744530134" u="1"/>
        <n v="85900.376463301873" u="1"/>
        <n v="209873.99680341955" u="1"/>
        <n v="524138.60504272388" u="1"/>
        <n v="763403.35917049728" u="1"/>
        <n v="53269.716560282868" u="1"/>
        <n v="201450.2107002257" u="1"/>
        <n v="1236795.4314283859" u="1"/>
        <n v="3393869.78989289" u="1"/>
        <n v="7865.1147082354273" u="1"/>
        <n v="33415.426594970049" u="1"/>
        <n v="39616.874132431811" u="1"/>
        <n v="184708.37220874894" u="1"/>
        <n v="290890.9192909518" u="1"/>
        <n v="1281380.2744711991" u="1"/>
        <n v="24825.219349838575" u="1"/>
        <n v="117768.04527785956" u="1"/>
        <n v="155071.16852000565" u="1"/>
        <n v="195471.69762042782" u="1"/>
        <n v="51041.633667844697" u="1"/>
        <n v="115123.90133752108" u="1"/>
        <n v="189887.91408767353" u="1"/>
        <n v="354117.43711118842" u="1"/>
        <n v="462508.96658485988" u="1"/>
        <n v="2733301.4374020724" u="1"/>
        <n v="64031.618312638922" u="1"/>
        <n v="202094.80934350827" u="1"/>
        <n v="431069.93870207027" u="1"/>
        <n v="767160.99519133556" u="1"/>
        <n v="7104.1420865218734" u="1"/>
        <n v="183344.77997858054" u="1"/>
        <n v="509164.64208121906" u="1"/>
        <n v="33675.474635254584" u="1"/>
        <n v="76530.113516843849" u="1"/>
        <n v="97308.006657336911" u="1"/>
        <n v="320828.60020097089" u="1"/>
        <n v="412400.53721354948" u="1"/>
        <n v="4158.0542591429858" u="1"/>
        <n v="57484.550004385892" u="1"/>
        <n v="61713.010093986377" u="1"/>
        <n v="258107.3146909377" u="1"/>
        <n v="559059.30752918089" u="1"/>
        <n v="1109801.7643748573" u="1"/>
        <n v="1290260.5368469055" u="1"/>
        <n v="37566.228114947633" u="1"/>
        <n v="151230.11447111104" u="1"/>
        <n v="61074.376907876314" u="1"/>
        <n v="166173.37642613781" u="1"/>
        <n v="187010.92191003094" u="1"/>
        <n v="1210770.3100101233" u="1"/>
        <n v="17927.154003988133" u="1"/>
        <n v="47317.645972358761" u="1"/>
        <n v="82662.452229659553" u="1"/>
        <n v="30262.388557389208" u="1"/>
        <n v="65652.185031784029" u="1"/>
        <n v="97917.393391986203" u="1"/>
        <n v="313964.47525081615" u="1"/>
        <n v="23502.277542063654" u="1"/>
        <n v="33979.135574715299" u="1"/>
        <n v="60074.373226791999" u="1"/>
        <n v="1014069.0721190281" u="1"/>
        <n v="17235.837389051179" u="1"/>
        <n v="30618.479995921138" u="1"/>
        <n v="54192.672558156446" u="1"/>
        <n v="273991.19964989845" u="1"/>
        <n v="15144.411405000714" u="1"/>
        <n v="126668.45870791022" u="1"/>
        <n v="320399.4138096114" u="1"/>
        <n v="405379.39153925789" u="1"/>
        <n v="9919.9488319504053" u="1"/>
        <n v="63783.998391806686" u="1"/>
        <n v="6110084.4553519674" u="1"/>
        <n v="9113518.7256462052" u="1"/>
        <n v="90597.122069623496" u="1"/>
        <n v="127044.96474774455" u="1"/>
        <n v="299387.87453295343" u="1"/>
        <n v="492672.68943653628" u="1"/>
        <n v="1384128.9600319208" u="1"/>
        <n v="2361221.8269233154" u="1"/>
        <n v="63783.998391806701" u="1"/>
        <n v="71455.648627946532" u="1"/>
        <n v="467980.04903877567" u="1"/>
        <n v="1619172.5039533232" u="1"/>
        <n v="32274.709693258308" u="1"/>
        <n v="33086.562842239116" u="1"/>
        <n v="57176.220573518731" u="1"/>
        <n v="2572029.5460963035" u="1"/>
        <n v="232564.41853794802" u="1"/>
        <n v="70286.358095840696" u="1"/>
        <n v="333856.5996073921" u="1"/>
        <n v="570366.18736784975" u="1"/>
        <n v="29995.343678862228" u="1"/>
        <n v="125711.61978875406" u="1"/>
        <n v="24337.066021770181" u="1"/>
        <n v="183971.5737321123" u="1"/>
        <n v="233395.62856099152" u="1"/>
        <n v="307076.30676731374" u="1"/>
        <n v="98045.548689684103" u="1"/>
        <n v="335077.40492169966" u="1"/>
        <n v="18798.762041008322" u="1"/>
        <n v="41309.746248046358" u="1"/>
        <n v="57997.388546950519" u="1"/>
        <n v="65969.46006562408" u="1"/>
        <n v="121168.07578756279" u="1"/>
        <n v="33771.099570190185" u="1"/>
        <n v="39194.389944425064" u="1"/>
        <n v="62458.96054663523" u="1"/>
        <n v="80074.045931981382" u="1"/>
        <n v="272254.10975565255" u="1"/>
        <n v="2344032.8149539591" u="1"/>
        <n v="9951.4903649489352" u="1"/>
        <n v="1204123.1430920311" u="1"/>
        <n v="41417.954868772504" u="1"/>
        <n v="119937.2793241488" u="1"/>
        <n v="121143.79262853794" u="1"/>
        <n v="578609.24287705868" u="1"/>
        <n v="80840.529015847715" u="1"/>
        <n v="180616.15940485118" u="1"/>
        <n v="195099.90298477543" u="1"/>
        <n v="234698.64275922021" u="1"/>
        <n v="430374.21694279695" u="1"/>
        <n v="520377.26279778738" u="1"/>
        <n v="31005.806482967288" u="1"/>
        <n v="33157.39049130831" u="1"/>
        <n v="46577.289432182537" u="1"/>
        <n v="80722.258923326299" u="1"/>
        <n v="109524.18281647163" u="1"/>
        <n v="202393.39802700761" u="1"/>
        <n v="301605.17085311352" u="1"/>
        <n v="31716.988116756329" u="1"/>
        <n v="153133.58114877151" u="1"/>
        <n v="206007.51741509477" u="1"/>
        <n v="325697.55040750181" u="1"/>
        <n v="40098.144741553057" u="1"/>
        <n v="202916.8501093282" u="1"/>
        <n v="261875.67458792275" u="1"/>
        <n v="144824.69923186209" u="1"/>
        <n v="290092.9848639667" u="1"/>
        <n v="73647772.619136244" u="1"/>
        <n v="17941.522646036021" u="1"/>
        <n v="26903.701989316516" u="1"/>
        <n v="50758.495072502381" u="1"/>
        <n v="75993.330315350089" u="1"/>
        <n v="865107.12927868799" u="1"/>
        <n v="53041.659463718446" u="1"/>
        <n v="160134.59930485184" u="1"/>
        <n v="215208.31984284837" u="1"/>
        <n v="266799.66483905312" u="1"/>
        <n v="291786.93819126941" u="1"/>
        <n v="1984165.6287035164" u="1"/>
        <n v="28305.720973595973" u="1"/>
        <n v="244326.19481023983" u="1"/>
        <n v="14956.439257810385" u="1"/>
        <n v="23536.977731186755" u="1"/>
        <n v="28305.720973595977" u="1"/>
        <n v="133708.23043859884" u="1"/>
        <n v="534928.11707313824" u="1"/>
        <n v="908568.17724300968" u="1"/>
        <n v="2307970.7772998242" u="1"/>
        <n v="38554.064594143572" u="1"/>
        <n v="346401.73263378342" u="1"/>
        <n v="2139975.8941341713" u="1"/>
        <n v="22465.579640162701" u="1"/>
        <n v="44860.25079061147" u="1"/>
        <n v="116903.58949504409" u="1"/>
        <n v="240194.72659885231" u="1"/>
        <n v="469473.06977447437" u="1"/>
        <n v="20562.085751513772" u="1"/>
        <n v="32809.302220615187" u="1"/>
        <n v="176013.77153987761" u="1"/>
        <n v="435524.38652539346" u="1"/>
        <n v="111103.36496214935" u="1"/>
        <n v="336962.21532440116" u="1"/>
        <n v="13300.903213121626" u="1"/>
        <n v="21090.95052422463" u="1"/>
        <n v="83565.154385567163" u="1"/>
        <n v="98686.604593528464" u="1"/>
        <n v="113998.72051979278" u="1"/>
        <n v="169675.7658466897" u="1"/>
        <n v="186707.29325722682" u="1"/>
        <n v="652371.36997975525" u="1"/>
        <n v="2394620.2402426205" u="1"/>
        <n v="58862.711350520185" u="1"/>
        <n v="59410.564970310348" u="1"/>
        <n v="133457.1819842729" u="1"/>
        <n v="152056.81324184753" u="1"/>
        <n v="958403.18549670884" u="1"/>
        <n v="88261.256167018568" u="1"/>
        <n v="135875.17852361285" u="1"/>
        <n v="188330.98143004489" u="1"/>
        <n v="321245.37475410517" u="1"/>
        <n v="1730974.3514080644" u="1"/>
        <n v="11255.902350404278" u="1"/>
        <n v="41169.028639386524" u="1"/>
        <n v="60610.742947983781" u="1"/>
        <n v="275028.15061412711" u="1"/>
        <n v="459009.41352362873" u="1"/>
        <n v="624933.75399719435" u="1"/>
        <n v="104612.03249984962" u="1"/>
        <n v="183455.06719742052" u="1"/>
        <n v="16607.378670531507" u="1"/>
        <n v="232192.2085999171" u="1"/>
        <n v="356938.72289788135" u="1"/>
        <n v="745400.37062777311" u="1"/>
        <n v="13169.81478561632" u="1"/>
        <n v="33294.047160397284" u="1"/>
        <n v="42691.652416245823" u="1"/>
        <n v="73450.963899587092" u="1"/>
        <n v="124066.20720077415" u="1"/>
        <n v="152477.9769670289" u="1"/>
        <n v="631313.01129076374" u="1"/>
        <n v="36350.694217957011" u="1"/>
        <n v="37455.305260126719" u="1"/>
        <n v="68705.278514566409" u="1"/>
        <n v="236324.90456930071" u="1"/>
        <n v="321339.15965021041" u="1"/>
        <n v="339342.45870362263" u="1"/>
        <n v="354299.22711438686" u="1"/>
        <n v="521696.94216977496" u="1"/>
        <n v="27778.867681082513" u="1"/>
        <n v="28557.021975684955" u="1"/>
        <n v="148779.22074103029" u="1"/>
        <n v="183103.74419287604" u="1"/>
        <n v="1059409.6720031248" u="1"/>
        <n v="124044.22460088282" u="1"/>
        <n v="2334144.1181218466" u="1"/>
        <n v="2400591.2276836657" u="1"/>
        <n v="79262.131722941995" u="1"/>
        <n v="119285.96378897448" u="1"/>
        <n v="169989.1366575532" u="1"/>
        <n v="269581.32572683232" u="1"/>
        <n v="1085329.2594815237" u="1"/>
        <n v="92509.817610706639" u="1"/>
        <n v="188067.15661023179" u="1"/>
        <n v="237937.64362855419" u="1"/>
        <n v="248197.04652132353" u="1"/>
        <n v="639483.6820420092" u="1"/>
        <n v="1103070.7741351272" u="1"/>
        <n v="1251467.6542537571" u="1"/>
        <n v="7639.7460867904147" u="1"/>
        <n v="27832.842780404237" u="1"/>
        <n v="61174.866476874129" u="1"/>
        <n v="178532.27889071387" u="1"/>
        <n v="284209.70012442028" u="1"/>
        <n v="31974.910682704642" u="1"/>
        <n v="71243.884016962576" u="1"/>
        <n v="709138.66994060588" u="1"/>
        <n v="50686.338795707023" u="1"/>
        <n v="169988.21402335932" u="1"/>
        <n v="182368.15231113648" u="1"/>
        <n v="1682682.9004780757" u="1"/>
        <n v="40780.755662982265" u="1"/>
        <n v="65474.411234620427" u="1"/>
        <n v="135052.24563957326" u="1"/>
        <n v="135875.23900894262" u="1"/>
        <n v="195139.29098324536" u="1"/>
        <n v="214165.70787761331" u="1"/>
        <n v="40226.364503699988" u="1"/>
        <n v="92298.209338159053" u="1"/>
        <n v="7773.374543328544" u="1"/>
        <n v="20832.080385043962" u="1"/>
        <n v="35394.932890328448" u="1"/>
        <n v="171477.8488003645" u="1"/>
        <n v="223779.91281562747" u="1"/>
        <n v="689915.03909291315" u="1"/>
        <n v="1601450.0502816304" u="1"/>
        <n v="8987.8866853469808" u="1"/>
        <n v="61796.890714915338" u="1"/>
        <n v="526074.75138846645" u="1"/>
        <n v="649022.89203101979" u="1"/>
        <n v="355283.72072299046" u="1"/>
        <n v="579582.45795075782" u="1"/>
        <n v="78417.610778729562" u="1"/>
        <n v="121147.51778866473" u="1"/>
        <n v="139908.3177972846" u="1"/>
        <n v="292656.14532281371" u="1"/>
        <n v="853139.65776788676" u="1"/>
        <n v="27129.212782028011" u="1"/>
        <n v="31753.735020825974" u="1"/>
        <n v="889931.90551875287" u="1"/>
        <n v="57592.53283145075" u="1"/>
        <n v="61056.8130575049" u="1"/>
        <n v="62564.656538370094" u="1"/>
        <n v="318851.64224235126" u="1"/>
        <n v="477078.56900417292" u="1"/>
        <n v="901595.29689004272" u="1"/>
        <n v="157176.73864167184" u="1"/>
        <n v="247299.59290543091" u="1"/>
        <n v="2636031.0915049734" u="1"/>
        <n v="7265.5157666923906" u="1"/>
        <n v="20941.716057771737" u="1"/>
        <n v="58073.157309738453" u="1"/>
        <n v="118116.79485547412" u="1"/>
        <n v="156061.89856036511" u="1"/>
        <n v="405425.08810994588" u="1"/>
        <n v="425288.05295982648" u="1"/>
        <n v="4735.1403969462799" u="1"/>
        <n v="28123.977126643258" u="1"/>
        <n v="36232.883270252831" u="1"/>
        <n v="65430.000382008424" u="1"/>
        <n v="176752.8868311469" u="1"/>
        <n v="278950.64325580531" u="1"/>
        <n v="281096.39654862921" u="1"/>
        <n v="322454.6161562677" u="1"/>
        <n v="980964.06326197181" u="1"/>
        <n v="1091922.7338317554" u="1"/>
        <n v="183768.56367561355" u="1"/>
        <n v="32520.272339994081" u="1"/>
        <n v="111350.77249168933" u="1"/>
        <n v="236579.46765433252" u="1"/>
        <n v="247604.58954975323" u="1"/>
        <n v="7648.8822413199341" u="1"/>
        <n v="52086.352996290494" u="1"/>
        <n v="124746.83574092998" u="1"/>
        <n v="149180.56773084681" u="1"/>
        <n v="197751.48986168855" u="1"/>
        <n v="504970.15460941481" u="1"/>
        <n v="66205.089183163553" u="1"/>
        <n v="116151.03618414534" u="1"/>
        <n v="188715.25236347615" u="1"/>
        <n v="41215.956878145218" u="1"/>
        <n v="82018.009276002937" u="1"/>
        <n v="196706.44250862877" u="1"/>
        <n v="347893.66397732479" u="1"/>
        <n v="3214511.2111758352" u="1"/>
        <n v="5051.0447186284946" u="1"/>
        <n v="17780.050974454021" u="1"/>
        <n v="18697.908765962507" u="1"/>
        <n v="45242.539464251648" u="1"/>
        <n v="52207.537188938266" u="1"/>
        <n v="72835.158971698082" u="1"/>
        <n v="147161.1149406232" u="1"/>
        <n v="555900.77195789793" u="1"/>
        <n v="982849.64840259298" u="1"/>
        <n v="1340658.1532768232" u="1"/>
        <n v="5000552.414317661" u="1"/>
        <n v="61899.588541805955" u="1"/>
        <n v="68066.627916025696" u="1"/>
        <n v="169899.18645490153" u="1"/>
        <n v="349767.33859099832" u="1"/>
        <n v="370846.98113728716" u="1"/>
        <n v="6006.1493901184258" u="1"/>
        <n v="6931.7632148437779" u="1"/>
        <n v="22769.963120479242" u="1"/>
        <n v="42788.222182453857" u="1"/>
        <n v="93336.466567737705" u="1"/>
        <n v="579406.2141396933" u="1"/>
        <n v="1432714.1296067657" u="1"/>
        <n v="22894.973134789663" u="1"/>
        <n v="240744.19493593508" u="1"/>
        <n v="40345.421310593723" u="1"/>
        <n v="365555.58650949143" u="1"/>
        <n v="431806.30271128967" u="1"/>
        <n v="28691.028501066059" u="1"/>
        <n v="94813.545657374518" u="1"/>
        <n v="269452.36563242093" u="1"/>
        <n v="291712.80244687351" u="1"/>
        <n v="264476.504799877" u="1"/>
        <n v="42285.186106615227" u="1"/>
        <n v="53914.222529832608" u="1"/>
        <n v="322996.04360616626" u="1"/>
        <n v="368090.49661916791" u="1"/>
        <n v="439417.07277905545" u="1"/>
        <n v="482230.6459585675" u="1"/>
        <n v="197218.32913123799" u="1"/>
        <n v="4826.9751428264108" u="1"/>
        <n v="10529.652650704269" u="1"/>
        <n v="64514.02419237906" u="1"/>
        <n v="138902.67668781255" u="1"/>
        <n v="570404.70667648502" u="1"/>
        <n v="41726.321478818318" u="1"/>
        <n v="135969.90648681863" u="1"/>
        <n v="138815.97504976101" u="1"/>
        <n v="608883.24936931452" u="1"/>
        <n v="976600.09858024772" u="1"/>
        <n v="49521.760366651164" u="1"/>
        <n v="107511.42816169193" u="1"/>
        <n v="160369.803069307" u="1"/>
        <n v="167821.74618462764" u="1"/>
        <n v="221487.06736109307" u="1"/>
        <n v="270060.40107234317" u="1"/>
        <n v="325426.08555071481" u="1"/>
        <n v="46435.976689804185" u="1"/>
        <n v="30580.976334813924" u="1"/>
        <n v="92809.155647014602" u="1"/>
        <n v="103595.63992877773" u="1"/>
        <n v="183529.53021188214" u="1"/>
        <n v="237162.24240195935" u="1"/>
        <n v="246258.79967890968" u="1"/>
        <n v="503185.80814753921" u="1"/>
        <n v="20234.420352670386" u="1"/>
        <n v="56605.171759242301" u="1"/>
        <n v="74889.459729883587" u="1"/>
        <n v="109675.20081198888" u="1"/>
        <n v="309157.84589728317" u="1"/>
        <n v="19393.294038357479" u="1"/>
        <n v="117786.0741966936" u="1"/>
        <n v="219905.17021726273" u="1"/>
        <n v="268363.32844210527" u="1"/>
        <n v="5205.8610336886022" u="1"/>
        <n v="30383.854288751234" u="1"/>
        <n v="62376.113703051822" u="1"/>
        <n v="79242.090125149407" u="1"/>
        <n v="82347.850819274536" u="1"/>
        <n v="12658.398310496053" u="1"/>
        <n v="31863.605821419718" u="1"/>
        <n v="42381.788296592807" u="1"/>
        <n v="74270.586766033317" u="1"/>
        <n v="117786.07419669363" u="1"/>
        <n v="165145.02413435659" u="1"/>
        <n v="188638.3423899461" u="1"/>
        <n v="682484.59618839156" u="1"/>
        <n v="136316.37906061253" u="1"/>
        <n v="1405474.8948973315" u="1"/>
        <n v="24716.726305771466" u="1"/>
        <n v="84702.951284282084" u="1"/>
        <n v="466473.63148844935" u="1"/>
        <n v="1206001.0616591347" u="1"/>
        <n v="2458323.1589940405" u="1"/>
        <n v="30594.589067149282" u="1"/>
        <n v="167056.0922353006" u="1"/>
        <n v="168366.88083371223" u="1"/>
        <n v="1853625.2222017781" u="1"/>
        <n v="25487.040206943773" u="1"/>
        <n v="424806.89213514776" u="1"/>
        <n v="31439.964243081751" u="1"/>
        <n v="50720.425441870997" u="1"/>
        <n v="132216.89311909582" u="1"/>
        <n v="143659.04439697956" u="1"/>
        <n v="158500.36533716024" u="1"/>
        <n v="492380.94951405446" u="1"/>
        <n v="8410.7112348579612" u="1"/>
        <n v="37086.47985645281" u="1"/>
        <n v="63350.783594048997" u="1"/>
        <n v="70226.891720924817" u="1"/>
        <n v="74853.531981304317" u="1"/>
        <n v="232014.17920642259" u="1"/>
        <n v="47435.834234656286" u="1"/>
        <n v="122160.6517210895" u="1"/>
        <n v="2611923.0634630527" u="1"/>
        <n v="112296.91630718201" u="1"/>
        <n v="16974.688337701915" u="1"/>
        <n v="94886.1897619417" u="1"/>
        <n v="22402.15188984351" u="1"/>
        <n v="201914.02967740182" u="1"/>
        <n v="1319491.3488505343" u="1"/>
        <n v="1624778.6463176317" u="1"/>
        <n v="21709.498459217306" u="1"/>
        <n v="24449.079662719811" u="1"/>
        <n v="49940.111326620688" u="1"/>
        <n v="947454.56838956906" u="1"/>
        <n v="31351.633523550518" u="1"/>
        <n v="97168.349376235172" u="1"/>
        <n v="123899.49544934473" u="1"/>
        <n v="159112.85293202125" u="1"/>
        <n v="194094.48346902503" u="1"/>
        <n v="228112.76790105473" u="1"/>
        <n v="369754.44183873467" u="1"/>
        <n v="99527.945369232126" u="1"/>
        <n v="176971.48516822048" u="1"/>
        <n v="264478.40708805993" u="1"/>
        <n v="27582.543197336352" u="1"/>
        <n v="42314.710875919423" u="1"/>
        <n v="72929.999644728465" u="1"/>
        <n v="124200.08499797317" u="1"/>
        <n v="131156.38532172373" u="1"/>
        <n v="189526.26891866399" u="1"/>
        <n v="270861.05742300383" u="1"/>
        <n v="159725.9203930588" u="1"/>
        <n v="432082.71808111365" u="1"/>
        <n v="43747.839620815219" u="1"/>
        <n v="46856.370472881492" u="1"/>
        <n v="208252.1724498469" u="1"/>
        <n v="42409.191467013283" u="1"/>
        <n v="175273.6070347869" u="1"/>
        <n v="500396.78612926224" u="1"/>
        <n v="3087414.4779379442" u="1"/>
        <n v="7199.2347610512097" u="1"/>
        <n v="26550.011809875556" u="1"/>
        <n v="40236.315848414066" u="1"/>
        <n v="89878.202562702252" u="1"/>
        <n v="114556.93241166319" u="1"/>
        <n v="410864.94496786455" u="1"/>
        <n v="43519.86186813387" u="1"/>
        <n v="52839.852875643315" u="1"/>
        <n v="57517.995107779599" u="1"/>
        <n v="25657.158958038322" u="1"/>
        <n v="67727.910331085834" u="1"/>
        <n v="84215.953773965681" u="1"/>
        <n v="164172.39767576975" u="1"/>
        <n v="35972.564074715076" u="1"/>
        <n v="44905.579264646949" u="1"/>
        <n v="110682.99053239563" u="1"/>
        <n v="158586.7481361102" u="1"/>
        <n v="543206.4969223818" u="1"/>
        <n v="646866.1122332511" u="1"/>
        <n v="25797.935759858574" u="1"/>
        <n v="215186.42429166485" u="1"/>
        <n v="268155.86338853126" u="1"/>
        <n v="339529.60201135016" u="1"/>
        <n v="452041.89783174859" u="1"/>
        <n v="156699.34740633712" u="1"/>
        <n v="214981.44529080315" u="1"/>
        <n v="310948.12730548374" u="1"/>
        <n v="619013.9933180135" u="1"/>
        <n v="7757.2806419718081" u="1"/>
        <n v="15012.397290749162" u="1"/>
        <n v="25914.398273682807" u="1"/>
        <n v="68093.653761406778" u="1"/>
        <n v="97003.953446804153" u="1"/>
        <n v="239797.84290283511" u="1"/>
        <n v="22235.038418473097" u="1"/>
        <n v="143347.08876698808" u="1"/>
        <n v="201107.94905480431" u="1"/>
        <n v="216784.03435269959" u="1"/>
        <n v="52683.86160622735" u="1"/>
        <n v="296877.26163292921" u="1"/>
        <n v="545791.04006970732" u="1"/>
        <n v="49277.026786978691" u="1"/>
        <n v="203065.15456718471" u="1"/>
        <n v="491092.21954526741" u="1"/>
        <n v="72915.188788429383" u="1"/>
        <n v="18194.760883112729" u="1"/>
        <n v="33481.551467204423" u="1"/>
        <n v="910353.92312214989" u="1"/>
        <n v="30469.025302251415" u="1"/>
        <n v="41032.528906691034" u="1"/>
        <n v="51586.499911870349" u="1"/>
        <n v="56132.550541168355" u="1"/>
        <n v="99465.557664633059" u="1"/>
        <n v="121079.49125180952" u="1"/>
        <n v="185915.25411698406" u="1"/>
        <n v="11195.159413163845" u="1"/>
        <n v="99441.947067542947" u="1"/>
        <n v="164605.55819016736" u="1"/>
        <n v="1128295.056589378" u="1"/>
        <n v="12497.509490934028" u="1"/>
        <n v="36073.566676295108" u="1"/>
        <n v="102753.6614385412" u="1"/>
        <n v="1010282.6870886246" u="1"/>
        <n v="125985.30852082648" u="1"/>
        <n v="276080.1081483172" u="1"/>
        <n v="4739.8625264198436" u="1"/>
        <n v="8302.6929477909398" u="1"/>
        <n v="33594.561052137942" u="1"/>
        <n v="40709.767077245793" u="1"/>
        <n v="189225.97959873424" u="1"/>
        <n v="198914.94818516914" u="1"/>
        <n v="480781.52251521969" u="1"/>
        <n v="39056.487361789288" u="1"/>
        <n v="136993.62006207852" u="1"/>
        <n v="266730.16411128227" u="1"/>
        <n v="653705.82193316286" u="1"/>
        <n v="1008038.2759749524" u="1"/>
        <n v="13655.619522526198" u="1"/>
        <n v="70918.358592347082" u="1"/>
        <n v="105621.79073958728" u="1"/>
        <n v="145940.64923322268" u="1"/>
        <n v="223649.8293570774" u="1"/>
        <n v="257414.53633466104" u="1"/>
        <n v="46634.1855664506" u="1"/>
        <n v="58090.61593917416" u="1"/>
        <n v="559629.24555245077" u="1"/>
        <n v="1167016.6127191652" u="1"/>
        <n v="3993158.3498337376" u="1"/>
        <n v="83244.82931079097" u="1"/>
        <n v="524304.93932232913" u="1"/>
        <n v="38949.356011884796" u="1"/>
        <n v="41812.294609467237" u="1"/>
        <n v="73261.525410144415" u="1"/>
        <n v="524401.82726081135" u="1"/>
        <n v="12825.414560707799" u="1"/>
        <n v="8505.024210692618" u="1"/>
        <n v="31127.992257036556" u="1"/>
        <n v="65799.332771222369" u="1"/>
        <n v="126352.60076341782" u="1"/>
        <n v="117066.86497969386" u="1"/>
        <n v="134432.49300075241" u="1"/>
        <n v="135703.89171881939" u="1"/>
        <n v="155767.95339642646" u="1"/>
        <n v="202315.78683413306" u="1"/>
        <n v="1073982.4536530268" u="1"/>
        <n v="203844.12047809424" u="1"/>
        <n v="4616337.5858126841" u="1"/>
        <n v="102621.36372145405" u="1"/>
        <n v="214628.52518499852" u="1"/>
        <n v="12082.097044538859" u="1"/>
        <n v="66996.803758003341" u="1"/>
        <n v="74196.973465444738" u="1"/>
        <n v="224742.78456839843" u="1"/>
        <n v="66103.599765181076" u="1"/>
        <n v="76118.661767195328" u="1"/>
        <n v="110130.09122273819" u="1"/>
        <n v="182787.16165200633" u="1"/>
        <n v="777446.88077064999" u="1"/>
        <n v="122395.00874511999" u="1"/>
        <n v="850249.91925802943" u="1"/>
        <n v="95433.825501218234" u="1"/>
        <n v="173624.4816510232" u="1"/>
        <n v="503837.25216687907" u="1"/>
        <n v="539151.92724941997" u="1"/>
        <n v="25879.148517819835" u="1"/>
        <n v="58303.123610664319" u="1"/>
        <n v="124184.7084403378" u="1"/>
        <n v="523356.86894047935" u="1"/>
        <n v="21223.68711283325" u="1"/>
        <n v="39116.176134121255" u="1"/>
        <n v="66749.603532523077" u="1"/>
        <n v="151085.86777726945" u="1"/>
        <n v="428123.66567604739" u="1"/>
        <n v="26756.515827568401" u="1"/>
        <n v="115132.32298754342" u="1"/>
        <n v="266965.33691061148" u="1"/>
        <n v="586311.95913780795" u="1"/>
        <n v="12691.931248737106" u="1"/>
        <n v="35881.918333556692" u="1"/>
        <n v="103830.63242558531" u="1"/>
        <n v="108811.522085063" u="1"/>
        <n v="244436.4852103944" u="1"/>
        <n v="264567.75295179011" u="1"/>
        <n v="432131.42479606252" u="1"/>
        <n v="14842.359495050476" u="1"/>
        <n v="34849.038275365107" u="1"/>
        <n v="497415.82679089846" u="1"/>
        <n v="521318.41081186844" u="1"/>
        <n v="994564.70980707346" u="1"/>
        <n v="118317.02529293332" u="1"/>
        <n v="276852.72471834626" u="1"/>
        <n v="942297.06667008984" u="1"/>
        <n v="10072.563429365029" u="1"/>
        <n v="28615.065826909853" u="1"/>
        <n v="33305.337867589384" u="1"/>
        <n v="74636.25095997061" u="1"/>
        <n v="120308.17412899737" u="1"/>
        <n v="139860.4577994078" u="1"/>
        <n v="198865.38349639933" u="1"/>
        <n v="726952.38293420384" u="1"/>
        <n v="1113775.9923460125" u="1"/>
        <n v="22497.620822518096" u="1"/>
        <n v="148299.24958998276" u="1"/>
        <n v="308065.9909356077" u="1"/>
        <n v="48375.082094851983" u="1"/>
        <n v="51174.744802155066" u="1"/>
        <n v="498939.74754015548" u="1"/>
        <n v="22697.980675880706" u="1"/>
        <n v="32421.809711953072" u="1"/>
        <n v="40762.998635162032" u="1"/>
        <n v="86380.069502382816" u="1"/>
        <n v="125057.77219801024" u="1"/>
        <n v="34100.265782327137" u="1"/>
        <n v="87975.461665367999" u="1"/>
        <n v="135295.77326992957" u="1"/>
        <n v="1169399.5305568222" u="1"/>
        <n v="20902.116095972131" u="1"/>
        <n v="22595.213187059435" u="1"/>
        <n v="51754.174314147953" u="1"/>
        <n v="78932.650651470802" u="1"/>
        <n v="393718.02707612514" u="1"/>
        <n v="2558767.7227937602" u="1"/>
        <n v="59506.166647288454" u="1"/>
        <n v="210968.16982803526" u="1"/>
        <n v="9066984.2280862648" u="1"/>
        <n v="18065.801466292127" u="1"/>
        <n v="136410.7006006522" u="1"/>
        <n v="176597.31541018156" u="1"/>
        <n v="2584212.2680892302" u="1"/>
        <n v="54025.637044448449" u="1"/>
        <n v="190013.55255533574" u="1"/>
        <n v="327687.55019348679" u="1"/>
        <n v="14780.533255473081" u="1"/>
        <n v="52137.605364100295" u="1"/>
        <n v="53825.902135434124" u="1"/>
        <n v="121012.81374468088" u="1"/>
        <n v="262078.19645541371" u="1"/>
        <n v="452187.64914853021" u="1"/>
        <n v="771480.30146908259" u="1"/>
        <n v="122716.36914387363" u="1"/>
        <n v="23035.565011306015" u="1"/>
        <n v="58811.538459923162" u="1"/>
        <n v="132481.78530117756" u="1"/>
        <n v="144520.59779420332" u="1"/>
        <n v="303301.69993917807" u="1"/>
        <n v="9894.0896533126506" u="1"/>
        <n v="21469.82373228285" u="1"/>
        <n v="318802.3038110382" u="1"/>
        <n v="492075.5948865785" u="1"/>
        <n v="15341.311099739622" u="1"/>
        <n v="16688.55067731467" u="1"/>
        <n v="32040.388953811547" u="1"/>
        <n v="47613.329587878165" u="1"/>
        <n v="78920.218932283271" u="1"/>
        <n v="161638.63236976234" u="1"/>
        <n v="238759.55752259778" u="1"/>
        <n v="21431.962562120119" u="1"/>
        <n v="251145.02657073844" u="1"/>
        <n v="273577.30439192086" u="1"/>
        <n v="1024004.6602466854" u="1"/>
        <n v="50200.718748353815" u="1"/>
        <n v="480292.75166552555" u="1"/>
        <n v="488602.13188095187" u="1"/>
        <n v="10618.52319230419" u="1"/>
        <n v="48723.020295487266" u="1"/>
        <n v="49494.831657405062" u="1"/>
        <n v="168373.57538516913" u="1"/>
        <n v="6365818.4613376204" u="1"/>
        <n v="18191.441953326885" u="1"/>
        <n v="19733.490066787159" u="1"/>
        <n v="119791.05258457764" u="1"/>
        <n v="121271.00980296498" u="1"/>
        <n v="128576.055887244" u="1"/>
        <n v="135268.50796110672" u="1"/>
        <n v="173066.44595762008" u="1"/>
        <n v="181945.21816191747" u="1"/>
        <n v="361248.43945693079" u="1"/>
        <n v="1057772.9982678073" u="1"/>
        <n v="7902.1229661352972" u="1"/>
        <n v="668477.664113187" u="1"/>
        <n v="69437.613388090249" u="1"/>
        <n v="208263.30174985755" u="1"/>
        <n v="79109.60516612255" u="1"/>
        <n v="82231.989332773956" u="1"/>
        <n v="309189.47202259966" u="1"/>
        <n v="8234.4339235494263" u="1"/>
        <n v="130426.32035185416" u="1"/>
        <n v="182140.72396324997" u="1"/>
        <n v="415719.68960333202" u="1"/>
        <n v="615203.66718140466" u="1"/>
        <n v="1691738.6385331443" u="1"/>
        <n v="109841.82378985826" u="1"/>
        <n v="167285.35322686125" u="1"/>
        <n v="266393.69726037496" u="1"/>
        <n v="603925.6823351268" u="1"/>
        <n v="62023.488738458749" u="1"/>
        <n v="160456.20715493284" u="1"/>
        <n v="165224.6037746238" u="1"/>
        <n v="540710.30074207229" u="1"/>
        <n v="36789.396793049738" u="1"/>
        <n v="159453.34008369214" u="1"/>
        <n v="11259.318631209284" u="1"/>
        <n v="35597.694550785258" u="1"/>
        <n v="53371.571458790429" u="1"/>
        <n v="65065.87774835946" u="1"/>
        <n v="78184.121142581542" u="1"/>
        <n v="153062.49424754072" u="1"/>
        <n v="176210.13184004405" u="1"/>
        <n v="415856.02849344909" u="1"/>
        <n v="98573.974583891672" u="1"/>
        <n v="147878.20918250814" u="1"/>
        <n v="174231.89706175023" u="1"/>
        <n v="291944.2216751051" u="1"/>
        <n v="49296.871034051976" u="1"/>
        <n v="172886.50005816354" u="1"/>
        <n v="310821.52920812758" u="1"/>
        <n v="319836.44854701683" u="1"/>
        <n v="619552.21877771209" u="1"/>
        <n v="58217.75111556099" u="1"/>
        <n v="83415.979868643408" u="1"/>
        <n v="469585.53766599065" u="1"/>
        <n v="610229.37106642104" u="1"/>
        <n v="62633.897670547929" u="1"/>
        <n v="370952.8809915306" u="1"/>
        <n v="24832.555592568577" u="1"/>
        <n v="24926.694066968605" u="1"/>
        <n v="93390.900528058395" u="1"/>
        <n v="123798.64943633381" u="1"/>
        <n v="353393.76011804875" u="1"/>
        <n v="627216.70944130304" u="1"/>
        <n v="967957.98706315982" u="1"/>
        <n v="2069501.8650008112" u="1"/>
        <n v="4553077.2950372379" u="1"/>
        <n v="190919.37256721294" u="1"/>
        <n v="236096.9084526407" u="1"/>
        <n v="98707.18359932382" u="1"/>
        <n v="17301.394327495338" u="1"/>
        <n v="90340.755063870136" u="1"/>
        <n v="210098.24986165197" u="1"/>
        <n v="532987.1181971723" u="1"/>
        <n v="10446.306827974226" u="1"/>
        <n v="21783.951287731015" u="1"/>
        <n v="108198.49127682297" u="1"/>
        <n v="216481.80118099647" u="1"/>
        <n v="24001.712200252477" u="1"/>
        <n v="199548.4214180086" u="1"/>
        <n v="208002.71474165923" u="1"/>
        <n v="2837067.6246048203" u="1"/>
        <n v="62306.405366187733" u="1"/>
        <n v="129006.92946243609" u="1"/>
        <n v="160026.52823861604" u="1"/>
        <n v="254374.67683404376" u="1"/>
        <n v="431575.96568723407" u="1"/>
        <n v="474518.70932645502" u="1"/>
        <n v="1263326.6267937901" u="1"/>
        <n v="16327.07700409513" u="1"/>
        <n v="255558.41171196452" u="1"/>
        <n v="279035.43737018289" u="1"/>
        <n v="304196.91501679405" u="1"/>
        <n v="44221.066054266179" u="1"/>
        <n v="121323.53046697017" u="1"/>
        <n v="180361.65237852841" u="1"/>
        <n v="235464.04937494078" u="1"/>
        <n v="350583.35527533619" u="1"/>
        <n v="36942.893882650562" u="1"/>
        <n v="93492.241337012354" u="1"/>
        <n v="980523.85304778931" u="1"/>
        <n v="1887479.2664010727" u="1"/>
        <n v="12032.382845840919" u="1"/>
        <n v="28979.428840098808" u="1"/>
        <n v="83706.281855646579" u="1"/>
        <n v="95397.449400439524" u="1"/>
        <n v="114231.44614294205" u="1"/>
        <n v="139714.55496316348" u="1"/>
        <n v="583020.73453490622" u="1"/>
        <n v="21240.533401379224" u="1"/>
        <n v="22120.78295753069" u="1"/>
        <n v="42455.560680382114" u="1"/>
        <n v="46335.40314772597" u="1"/>
        <n v="113445.270560921" u="1"/>
        <n v="145302.75263352189" u="1"/>
        <n v="145306.48919324839" u="1"/>
        <n v="19352.253065646881" u="1"/>
        <n v="43846.371653281574" u="1"/>
        <n v="54061.503235128708" u="1"/>
        <n v="82505.799061838625" u="1"/>
        <n v="317761.00029310246" u="1"/>
        <n v="14241.654687588112" u="1"/>
        <n v="42034.926374166018" u="1"/>
        <n v="76335.30160611766" u="1"/>
        <n v="194530.19090304076" u="1"/>
        <n v="425156.4103737988" u="1"/>
        <n v="432595.44919102837" u="1"/>
        <n v="730222.36889913352" u="1"/>
        <n v="70795.762100208478" u="1"/>
        <n v="263544.61143247085" u="1"/>
        <n v="321976.77186538" u="1"/>
        <n v="98356.53133720989" u="1"/>
        <n v="143934.38723697048" u="1"/>
        <n v="183695.20860686919" u="1"/>
        <n v="8071.2318134546967" u="1"/>
        <n v="55168.32496713366" u="1"/>
        <n v="154391.13933144521" u="1"/>
        <n v="179913.03611531516" u="1"/>
        <n v="471866.22431427217" u="1"/>
        <n v="10821.256698633579" u="1"/>
        <n v="31895.610794924352" u="1"/>
        <n v="52515.767979057884" u="1"/>
        <n v="70584.156390550066" u="1"/>
        <n v="203904.40459516883" u="1"/>
        <n v="288070.0985580149" u="1"/>
        <n v="87140.858954228432" u="1"/>
        <n v="368301.78693606943" u="1"/>
        <n v="445192.77816763101" u="1"/>
        <n v="25826.132316800155" u="1"/>
        <n v="49435.104902374835" u="1"/>
        <n v="374195.42781582358" u="1"/>
        <n v="465873.497441958" u="1"/>
        <n v="23410.055139687771" u="1"/>
        <n v="797487.45883434743" u="1"/>
        <n v="122544.11170285352" u="1"/>
        <n v="219641.15329987547" u="1"/>
        <n v="236067.31118807691" u="1"/>
        <n v="71966.514400748245" u="1"/>
        <n v="219961.15509726928" u="1"/>
        <n v="490300.06074061489" u="1"/>
        <n v="1427435.4366339238" u="1"/>
        <n v="54179.223043227285" u="1"/>
        <n v="91774.030690726533" u="1"/>
        <n v="199162.33827140252" u="1"/>
        <n v="386312.81917500554" u="1"/>
        <n v="1056282.9864656879" u="1"/>
        <n v="8446.0658212182952" u="1"/>
        <n v="31236.427690744869" u="1"/>
        <n v="128445.82357686938" u="1"/>
        <n v="221568.54219094501" u="1"/>
        <n v="248075.6523583603" u="1"/>
        <n v="543657.50918146747" u="1"/>
        <n v="986931.84207246755" u="1"/>
        <n v="78359.560445263298" u="1"/>
        <n v="228200.36586945073" u="1"/>
        <n v="71625.665141166406" u="1"/>
        <n v="117801.17854638181" u="1"/>
        <n v="127099.81156434771" u="1"/>
        <n v="189677.62413720565" u="1"/>
        <n v="216926.71981733516" u="1"/>
        <n v="279352.06030696153" u="1"/>
        <n v="48169.899797767881" u="1"/>
        <n v="68005.951448605134" u="1"/>
        <n v="76672.179410694589" u="1"/>
        <n v="88398.264814032591" u="1"/>
        <n v="110721.06293451886" u="1"/>
        <n v="8184939.3818093799" u="1"/>
        <n v="6740.8848080033749" u="1"/>
        <n v="134462.66383630619" u="1"/>
        <n v="306265.84573946736" u="1"/>
        <n v="1183037.6256083851" u="1"/>
        <n v="25908.600621002108" u="1"/>
        <n v="51839.15906693654" u="1"/>
        <n v="125486.78520774833" u="1"/>
        <n v="212748.1592894803" u="1"/>
        <n v="422211.46724244719" u="1"/>
        <n v="60799.96209278817" u="1"/>
        <n v="136977.09694172346" u="1"/>
        <n v="161864.07848787654" u="1"/>
        <n v="286206.70558176411" u="1"/>
        <n v="2568057.8415217418" u="1"/>
        <n v="52290.43538673759" u="1"/>
        <n v="19095.972293463659" u="1"/>
        <n v="115396.50101191341" u="1"/>
        <n v="131558.19469050807" u="1"/>
        <n v="145004.61909608723" u="1"/>
        <n v="27024.561009851146" u="1"/>
        <n v="36570.702615626615" u="1"/>
        <n v="131530.9555102521" u="1"/>
        <n v="384604.1089423059" u="1"/>
        <n v="391471.057525835" u="1"/>
        <n v="450776.21136332338" u="1"/>
        <n v="93002.375302836357" u="1"/>
        <n v="106686.94149226758" u="1"/>
        <n v="600411.75204602024" u="1"/>
        <n v="4780.3764321138733" u="1"/>
        <n v="111393.69707694236" u="1"/>
        <n v="255183.81758066462" u="1"/>
        <n v="1198410.0137076247" u="1"/>
        <n v="13213024.764020016" u="1"/>
        <n v="22551.295717598066" u="1"/>
        <n v="26067.301030244198" u="1"/>
        <n v="74480.727117727365" u="1"/>
        <n v="180748.7797541263" u="1"/>
        <n v="222137.57438862397" u="1"/>
        <n v="258493.6172395568" u="1"/>
        <n v="262694.58609916852" u="1"/>
        <n v="534849.47520279873" u="1"/>
        <n v="44597.797407677608" u="1"/>
        <n v="104380.7306073464" u="1"/>
        <n v="249451.09252107941" u="1"/>
        <n v="264355.93314950686" u="1"/>
        <n v="558673.19285293308" u="1"/>
        <n v="69498.248751080304" u="1"/>
        <n v="458724.013429938" u="1"/>
        <n v="545905.70455295127" u="1"/>
        <n v="854398.02667077188" u="1"/>
        <n v="1395884.014338369" u="1"/>
        <n v="6054.5620491001591" u="1"/>
        <n v="183483.75652446999" u="1"/>
        <n v="196761.9166374632" u="1"/>
        <n v="371827.566508358" u="1"/>
        <n v="408482.70532200753" u="1"/>
        <n v="477327.87520230486" u="1"/>
        <n v="619764.20347136259" u="1"/>
        <n v="688099.72131038189" u="1"/>
        <n v="16959.324789888025" u="1"/>
        <n v="64845.804276797237" u="1"/>
        <n v="124099.94459462838" u="1"/>
        <n v="238663.88237161297" u="1"/>
        <n v="252005.03440461349" u="1"/>
        <n v="467231.89552532218" u="1"/>
        <n v="31684.790317439423" u="1"/>
        <n v="257523.99745748917" u="1"/>
        <n v="19938.99229272818" u="1"/>
        <n v="57965.05579814472" u="1"/>
        <n v="80130.910360133828" u="1"/>
        <n v="85056.105010439496" u="1"/>
        <n v="404722.46797736519" u="1"/>
        <n v="407203.36918813194" u="1"/>
        <n v="129564.68161636297" u="1"/>
        <n v="281994.54128276964" u="1"/>
        <n v="8361.1175223732644" u="1"/>
        <n v="57072.851486771826" u="1"/>
        <n v="64648.127223672098" u="1"/>
        <n v="88149.646180104712" u="1"/>
        <n v="473762.28082008334" u="1"/>
        <n v="2257284.7392133726" u="1"/>
        <n v="92711.540018881788" u="1"/>
        <n v="39802.213613711407" u="1"/>
        <n v="100424.65929729768" u="1"/>
        <n v="131766.9726932715" u="1"/>
        <n v="6775.7906047868564" u="1"/>
        <n v="25070.72812715247" u="1"/>
        <n v="146270.52740695426" u="1"/>
        <n v="159158.52812452582" u="1"/>
        <n v="220731.95945806138" u="1"/>
        <n v="311089.54630362371" u="1"/>
        <n v="671082.48072738317" u="1"/>
        <n v="66148.520426968083" u="1"/>
        <n v="112632.93345058824" u="1"/>
        <n v="240473.74707965867" u="1"/>
        <n v="359261.02746970986" u="1"/>
        <n v="1044892.4616184147" u="1"/>
        <n v="50391.217040113392" u="1"/>
        <n v="94236.894196335925" u="1"/>
        <n v="110871.31432972351" u="1"/>
        <n v="111911.1318332762" u="1"/>
        <n v="134064.12011559593" u="1"/>
        <n v="215368.07522629923" u="1"/>
        <n v="366018.92830859899" u="1"/>
        <n v="2843997.0538025489" u="1"/>
        <n v="29411.95461153565" u="1"/>
        <n v="197537.10948671444" u="1"/>
        <n v="591474.28427878779" u="1"/>
        <n v="847535.50936994876" u="1"/>
        <n v="87128.974742676393" u="1"/>
        <n v="93260.505454618862" u="1"/>
        <n v="249092.48209450353" u="1"/>
        <n v="456740.3347794427" u="1"/>
        <n v="71164.399950113671" u="1"/>
        <n v="74695.125999053998" u="1"/>
        <n v="27992.495274425943" u="1"/>
        <n v="80428.652015837695" u="1"/>
        <n v="890320.65603034699" u="1"/>
        <n v="2178710.4272193545" u="1"/>
        <n v="14837.087403847985" u="1"/>
        <n v="21250.035468091482" u="1"/>
        <n v="151678.53590586531" u="1"/>
        <n v="237530.96133251049" u="1"/>
        <n v="478787.21410618979" u="1"/>
        <n v="484619.90405496373" u="1"/>
        <n v="6444492.5242013009" u="1"/>
        <n v="48012.072785979806" u="1"/>
        <n v="272534.6732095179" u="1"/>
        <n v="42409.888847512935" u="1"/>
        <n v="382811.49618733971" u="1"/>
        <n v="26824.661266298579" u="1"/>
        <n v="83447.086411625758" u="1"/>
        <n v="200786.00736076734" u="1"/>
        <n v="351888.47278072475" u="1"/>
        <n v="123658.58888100259" u="1"/>
        <n v="164626.11168890886" u="1"/>
        <n v="427908.18426481355" u="1"/>
        <n v="589884.9410510048" u="1"/>
        <n v="980355.77526688529" u="1"/>
        <n v="32882.796277037662" u="1"/>
        <n v="407475.80957094237" u="1"/>
        <n v="44811.113030347711" u="1"/>
        <n v="252656.99641700712" u="1"/>
        <n v="303836.38377685903" u="1"/>
        <n v="382120.81426775671" u="1"/>
        <n v="433231.13631026691" u="1"/>
        <n v="1511976.4358346816" u="1"/>
        <n v="98828.444019299975" u="1"/>
        <n v="117592.86223878607" u="1"/>
        <n v="118279.816748652" u="1"/>
        <n v="121506.88159837513" u="1"/>
        <n v="131403.99489097443" u="1"/>
        <n v="150605.85961751215" u="1"/>
        <n v="1705036.9574292973" u="1"/>
        <n v="36488.004676065357" u="1"/>
        <n v="328456.22877875925" u="1"/>
        <n v="7512.3577386892393" u="1"/>
        <n v="16677.177728064868" u="1"/>
        <n v="76114.511239303203" u="1"/>
        <n v="218138.11403652211" u="1"/>
        <n v="474811.71410676371" u="1"/>
        <n v="1012533.1129082076" u="1"/>
        <n v="123218.69480026308" u="1"/>
        <n v="129902.60092241029" u="1"/>
        <n v="350065.13872844668" u="1"/>
        <n v="1809679.9987821607" u="1"/>
        <n v="86160.716661808663" u="1"/>
        <n v="136108.35240506814" u="1"/>
        <n v="223113.29941028066" u="1"/>
        <n v="4054739.6053233556" u="1"/>
        <n v="85586.672856430974" u="1"/>
        <n v="11996.166440442705" u="1"/>
        <n v="143497.10896211123" u="1"/>
        <n v="173012.60154129882" u="1"/>
        <n v="1668002.1566330986" u="1"/>
        <n v="41608.921384603454" u="1"/>
        <n v="65529.728316714929" u="1"/>
        <n v="100691.62768724153" u="1"/>
        <n v="216961.6316527485" u="1"/>
        <n v="19132.946582440014" u="1"/>
        <n v="27621.442720639701" u="1"/>
        <n v="64857.48182127421" u="1"/>
        <n v="70439.956682006115" u="1"/>
        <n v="609599.59674004279" u="1"/>
        <n v="32640.626343151773" u="1"/>
        <n v="62650.009966796737" u="1"/>
        <n v="395330.76610474172" u="1"/>
        <n v="452968.59326869284" u="1"/>
        <n v="24370.96931102559" u="1"/>
        <n v="205700.13308512693" u="1"/>
        <n v="243647.91566089288" u="1"/>
        <n v="319612.23054694023" u="1"/>
        <n v="435609.14916084911" u="1"/>
        <n v="85808.838761726714" u="1"/>
        <n v="149393.64440919639" u="1"/>
        <n v="217575.10375451267" u="1"/>
        <n v="1038451.8713651991" u="1"/>
        <n v="16301.980636241155" u="1"/>
        <n v="128964.73484718462" u="1"/>
        <n v="144200.26771572526" u="1"/>
        <n v="261083.24951118772" u="1"/>
        <n v="390635.01331840927" u="1"/>
        <n v="685918.86843114905" u="1"/>
        <n v="752321.26892916497" u="1"/>
        <n v="14582.45757173315" u="1"/>
        <n v="36144.62685691737" u="1"/>
        <n v="142094.38491483929" u="1"/>
        <n v="161755.87432909053" u="1"/>
        <n v="172807.17630904194" u="1"/>
        <n v="275193.23557504849" u="1"/>
        <n v="443666.66305935552" u="1"/>
        <n v="738229.59513264289" u="1"/>
        <n v="174479.64302971892" u="1"/>
        <n v="9802.1494006637477" u="1"/>
        <n v="48648.828293586841" u="1"/>
        <n v="252299.58770200494" u="1"/>
        <n v="898877.98341950926" u="1"/>
        <n v="30979.865151033926" u="1"/>
        <n v="320787.35596451757" u="1"/>
        <n v="509660.96930473403" u="1"/>
        <n v="174111.12448165799" u="1"/>
        <n v="208807.17876622075" u="1"/>
        <n v="15553.85815871142" u="1"/>
        <n v="142324.10595500073" u="1"/>
        <n v="326152.553018259" u="1"/>
        <n v="326452.70046728157" u="1"/>
        <n v="4419.397107128988" u="1"/>
        <n v="91248.431770514566" u="1"/>
        <n v="388139.68649946974" u="1"/>
        <n v="422095.27270875615" u="1"/>
        <n v="92940.608910789437" u="1"/>
        <n v="123199.40141357231" u="1"/>
        <n v="224938.68336174131" u="1"/>
        <n v="95118.587090942805" u="1"/>
        <n v="179759.95257100617" u="1"/>
        <n v="29393.232756416612" u="1"/>
        <n v="52140.999626639328" u="1"/>
        <n v="202353.84297660005" u="1"/>
        <n v="384126.92240385193" u="1"/>
        <n v="4514.5122037493384" u="1"/>
        <n v="37520.126507669964" u="1"/>
        <n v="45860.040801233205" u="1"/>
        <n v="347596.93453346903" u="1"/>
        <n v="193666.13764717054" u="1"/>
        <n v="212993.2587543393" u="1"/>
        <n v="283576.49488658935" u="1"/>
        <n v="435992.80967184721" u="1"/>
        <n v="3313758.7807391207" u="1"/>
        <n v="21629.346518625716" u="1"/>
        <n v="46967.861598842042" u="1"/>
        <n v="172386.28743353044" u="1"/>
        <n v="302441.28147505876" u="1"/>
        <n v="304525.79376556998" u="1"/>
        <n v="976191.65759109659" u="1"/>
        <n v="3925154.2806324335" u="1"/>
        <n v="16283.322421926599" u="1"/>
        <n v="85113.820607899339" u="1"/>
        <n v="128852.3998657995" u="1"/>
        <n v="3682907.1542062955" u="1"/>
        <n v="162837.82062510742" u="1"/>
        <n v="207271.83930197472" u="1"/>
        <n v="318307.63831882027" u="1"/>
        <n v="11892.680760893476" u="1"/>
        <n v="45017.621770458354" u="1"/>
        <n v="64014.935427315941" u="1"/>
        <n v="177612.07152351292" u="1"/>
        <n v="177966.49070639163" u="1"/>
        <n v="56972.429821127575" u="1"/>
        <n v="64929.861282509817" u="1"/>
        <n v="73009.444098102889" u="1"/>
        <n v="95397.449473261135" u="1"/>
        <n v="207933.19331206393" u="1"/>
        <n v="141263.29899112502" u="1"/>
        <n v="237042.43467667553" u="1"/>
        <n v="687834.43372256891" u="1"/>
        <n v="201999.83292600556" u="1"/>
        <n v="612438.05980428786" u="1"/>
        <n v="19821.5096591045" u="1"/>
        <n v="30755.867340062916" u="1"/>
        <n v="56542.442286908008" u="1"/>
        <n v="75181.092304163234" u="1"/>
        <n v="160303.29272578473" u="1"/>
        <n v="292495.15343260427" u="1"/>
        <n v="302291.88788920821" u="1"/>
        <n v="30885.971928238687" u="1"/>
        <n v="116281.5368212155" u="1"/>
        <n v="154258.8181289059" u="1"/>
        <n v="84097.220755551039" u="1"/>
        <n v="90108.526875428404" u="1"/>
        <n v="100196.62749402075" u="1"/>
        <n v="396104.44249453861" u="1"/>
        <n v="42681.617549153176" u="1"/>
        <n v="78086.065446011664" u="1"/>
        <n v="97792.826132397211" u="1"/>
        <n v="100083.36609747012" u="1"/>
        <n v="206023.0106448892" u="1"/>
        <n v="244473.59599577342" u="1"/>
        <n v="4867993.7502130661" u="1"/>
        <n v="7834947.7455360312" u="1"/>
        <n v="4512.4466595467929" u="1"/>
        <n v="32828.470823288983" u="1"/>
        <n v="35619.005178217732" u="1"/>
        <n v="42532.712755242828" u="1"/>
        <n v="485093.11078717647" u="1"/>
        <n v="16523.902418462501" u="1"/>
        <n v="17068.848935475864" u="1"/>
        <n v="288113.16636576934" u="1"/>
        <n v="934498.15180335403" u="1"/>
        <n v="30820177.67209677" u="1"/>
        <n v="15627.975529419149" u="1"/>
        <n v="37825.826186194994" u="1"/>
        <n v="59131.321886432852" u="1"/>
        <n v="95458.837301899068" u="1"/>
        <n v="252827.85071655596" u="1"/>
        <n v="254659.9958289307" u="1"/>
        <n v="28305.311797618608" u="1"/>
        <n v="134301.85301493842" u="1"/>
        <n v="142340.52042369108" u="1"/>
        <n v="183155.26815396865" u="1"/>
        <n v="262980.68654575292" u="1"/>
        <n v="759891.11613767047" u="1"/>
        <n v="16405.043012994276" u="1"/>
        <n v="29975.691492756036" u="1"/>
        <n v="35696.330976207086" u="1"/>
        <n v="133737.67974101909" u="1"/>
        <n v="173543.48352817382" u="1"/>
        <n v="28478.055272445032" u="1"/>
        <n v="109220.27623928191" u="1"/>
        <n v="166713.44345873169" u="1"/>
        <n v="412473.28803186142" u="1"/>
        <n v="36859.559714328483" u="1"/>
        <n v="67039.587909188587" u="1"/>
        <n v="114436.82235380934" u="1"/>
        <n v="139134.14503477103" u="1"/>
        <n v="24871.461229912056" u="1"/>
        <n v="80005.623528647586" u="1"/>
        <n v="250990.53431808954" u="1"/>
        <n v="344080.18263902259" u="1"/>
        <n v="813690.59529681969" u="1"/>
        <n v="203378.32561764395" u="1"/>
        <n v="441103.43794155109" u="1"/>
        <n v="15939.139773039093" u="1"/>
        <n v="47965.99244971374" u="1"/>
        <n v="75846.030404152916" u="1"/>
        <n v="122349.08632875068" u="1"/>
        <n v="161842.23373905726" u="1"/>
        <n v="165458.70045171573" u="1"/>
        <n v="1765322.7118325534" u="1"/>
        <n v="13008.84528562804" u="1"/>
        <n v="81042.463130846721" u="1"/>
        <n v="30800.582212214336" u="1"/>
        <n v="946434.16477639554" u="1"/>
        <n v="134536.15052287499" u="1"/>
        <n v="302617.47426727449" u="1"/>
        <n v="392235.59107644652" u="1"/>
        <n v="1042514.7481372992" u="1"/>
        <n v="47362.844599921882" u="1"/>
        <n v="151369.25382013229" u="1"/>
        <n v="87259.8620248347" u="1"/>
        <n v="263535.76262995624" u="1"/>
        <n v="462148.28542670561" u="1"/>
        <n v="841913.88945629774" u="1"/>
        <n v="566669.52830465871" u="1"/>
        <n v="55979.076012377176" u="1"/>
        <n v="64910.489281005095" u="1"/>
        <n v="227433.45784993516" u="1"/>
        <n v="633891.54517346888" u="1"/>
        <n v="1989101.0527522659" u="1"/>
        <n v="51165.952215708836" u="1"/>
        <n v="82684.696805554588" u="1"/>
        <n v="149312.25806303567" u="1"/>
        <n v="423031.13889414317" u="1"/>
        <n v="701013.47414316819" u="1"/>
        <n v="19677.45578086533" u="1"/>
        <n v="104116.30501360801" u="1"/>
        <n v="130334.12661753318" u="1"/>
        <n v="179858.68980449805" u="1"/>
        <n v="438480.71730981208" u="1"/>
        <n v="220124.53170186508" u="1"/>
        <n v="881135.01895528461" u="1"/>
        <n v="66266.791260109778" u="1"/>
        <n v="82285.747445145214" u="1"/>
        <n v="142958.75233733025" u="1"/>
        <n v="188745.63248573238" u="1"/>
        <n v="1598229.1752965348" u="1"/>
        <n v="23500.185360814205" u="1"/>
        <n v="48811.59378078852" u="1"/>
        <n v="120108.20478087023" u="1"/>
        <n v="540348.79174520378" u="1"/>
        <n v="20041.148067581948" u="1"/>
        <n v="68453.947326124457" u="1"/>
        <n v="95182.114776075367" u="1"/>
        <n v="17007.37187926576" u="1"/>
        <n v="126583.63181861961" u="1"/>
        <n v="149362.85668737837" u="1"/>
        <n v="1875105.7058728852" u="1"/>
        <n v="36055.48896120592" u="1"/>
        <n v="36891.180545862" u="1"/>
        <n v="178439.81452751835" u="1"/>
        <n v="975756.99490048131" u="1"/>
        <n v="1306748.8798930191" u="1"/>
        <n v="10471.552055116892" u="1"/>
        <n v="25776.769333528027" u="1"/>
        <n v="42541.36418638991" u="1"/>
        <n v="389611.22782986437" u="1"/>
        <n v="1205692.2344369357" u="1"/>
        <n v="39615.736666755809" u="1"/>
        <n v="259551.51125925154" u="1"/>
        <n v="1369409.5546388668" u="1"/>
        <n v="25102.92509281524" u="1"/>
        <n v="39876.669822862292" u="1"/>
        <n v="74579.521959223552" u="1"/>
        <n v="78496.171342917849" u="1"/>
        <n v="93197.212333861215" u="1"/>
        <n v="102576.61270656082" u="1"/>
        <n v="114281.02455548701" u="1"/>
        <n v="180648.47818888485" u="1"/>
        <n v="33058.206918158954" u="1"/>
        <n v="49034.731856555263" u="1"/>
        <n v="61516.519709095584" u="1"/>
        <n v="118686.06937687151" u="1"/>
        <n v="172968.16036677733" u="1"/>
        <n v="199412.20972994767" u="1"/>
        <n v="214832.99109657475" u="1"/>
        <n v="249341.67770113886" u="1"/>
        <n v="2212537.2288462101" u="1"/>
        <n v="29807.025555604509" u="1"/>
        <n v="446296.39880755858" u="1"/>
        <n v="554304.25385376601" u="1"/>
        <n v="32954.444708049159" u="1"/>
        <n v="92832.876255764451" u="1"/>
        <n v="187327.0858744063" u="1"/>
        <n v="107762.21981620346" u="1"/>
        <n v="247418.68446809793" u="1"/>
        <n v="285366.49504467193" u="1"/>
        <n v="33251.544273629348" u="1"/>
        <n v="35918.384686949554" u="1"/>
        <n v="69696.602395595342" u="1"/>
        <n v="98776.14109943177" u="1"/>
        <n v="110867.94182977383" u="1"/>
        <n v="719720.0741182036" u="1"/>
        <n v="3062.7729113432561" u="1"/>
        <n v="114039.84047786533" u="1"/>
        <n v="1923912.9072380289" u="1"/>
        <n v="16577.653680992549" u="1"/>
        <n v="352254.56353811699" u="1"/>
        <n v="409916.97219029121" u="1"/>
        <n v="39682.808685351629" u="1"/>
        <n v="103281.38675783742" u="1"/>
        <n v="137207.51983281458" u="1"/>
        <n v="6943722.4598544668" u="1"/>
        <n v="30183.500156724378" u="1"/>
        <n v="582609.83384989528" u="1"/>
        <n v="11025.572854298167" u="1"/>
        <n v="17850.865243913038" u="1"/>
        <n v="52680.240767879521" u="1"/>
        <n v="172304.48770097314" u="1"/>
        <n v="179631.90183147832" u="1"/>
        <n v="331553.52310001804" u="1"/>
        <n v="44011.270736207953" u="1"/>
        <n v="133639.88856252388" u="1"/>
        <n v="298748.63397845853" u="1"/>
        <n v="15820.727032857212" u="1"/>
        <n v="24648.149056246941" u="1"/>
        <n v="58190.348916520161" u="1"/>
        <n v="124098.25488674402" u="1"/>
        <n v="79889.861897347029" u="1"/>
        <n v="95433.325803010259" u="1"/>
        <n v="555469.08261006628" u="1"/>
        <n v="22747.663974699433" u="1"/>
        <n v="55390.201942845204" u="1"/>
        <n v="29876.016272966528" u="1"/>
        <n v="35385.17732575535" u="1"/>
        <n v="104542.01539594974" u="1"/>
        <n v="212465.78071011044" u="1"/>
        <n v="216957.20680195396" u="1"/>
        <n v="307139.4521916458" u="1"/>
        <n v="460238.81554560567" u="1"/>
        <n v="20104.047415460871" u="1"/>
        <n v="545012.87338977575" u="1"/>
        <n v="12466.604396700655" u="1"/>
        <n v="67715.748677091658" u="1"/>
        <n v="177429.79459370169" u="1"/>
        <n v="178490.99608535061" u="1"/>
        <n v="208306.5270356613" u="1"/>
        <n v="6458.231011228796" u="1"/>
        <n v="71113.530647608306" u="1"/>
        <n v="75196.09136721112" u="1"/>
        <n v="98675.690745619941" u="1"/>
        <n v="134479.68864136821" u="1"/>
        <n v="191713.23317525227" u="1"/>
        <n v="7561.3368196713782" u="1"/>
        <n v="30106.596268384947" u="1"/>
        <n v="57540.500784579439" u="1"/>
        <n v="77601.766739052662" u="1"/>
        <n v="101158.05126658759" u="1"/>
        <n v="144896.51864006987" u="1"/>
        <n v="242350.19297103345" u="1"/>
        <n v="550770.72324738069" u="1"/>
        <n v="42422.147614996946" u="1"/>
        <n v="65859.01980731549" u="1"/>
        <n v="132836.51701071559" u="1"/>
        <n v="281970.94077554025" u="1"/>
        <n v="902035.35303813859" u="1"/>
        <n v="90862.023922551103" u="1"/>
        <n v="282698.61094701185" u="1"/>
        <n v="417306.53428751993" u="1"/>
        <n v="5522.5565136279729" u="1"/>
        <n v="7184.9232864412133" u="1"/>
        <n v="76511.420728736543" u="1"/>
        <n v="297269.94544774393" u="1"/>
        <n v="11329.353038771091" u="1"/>
        <n v="38517.702790503674" u="1"/>
        <n v="69706.596700166512" u="1"/>
        <n v="20564.114165563522" u="1"/>
        <n v="27488.200890756445" u="1"/>
        <n v="100901.98178522983" u="1"/>
        <n v="445171.22580296703" u="1"/>
        <n v="455651.83599719056" u="1"/>
        <n v="296883.9328223645" u="1"/>
        <n v="88474.759551696465" u="1"/>
        <n v="144432.37326421388" u="1"/>
        <n v="81468.701319379761" u="1"/>
        <n v="326265.16078321182" u="1"/>
        <n v="634161.76540965051" u="1"/>
        <n v="23746.750251024318" u="1"/>
        <n v="222382.17037548366" u="1"/>
        <n v="397296.87114277075" u="1"/>
        <n v="17978.60529495302" u="1"/>
        <n v="98922.621154074746" u="1"/>
        <n v="123420.94007068034" u="1"/>
        <n v="259982.26191568008" u="1"/>
        <n v="350503.96788644488" u="1"/>
        <n v="1669771.6406121389" u="1"/>
        <n v="23167.628947173973" u="1"/>
        <n v="74013.976658814296" u="1"/>
        <n v="119893.6262497578" u="1"/>
        <n v="618477.93873993715" u="1"/>
        <n v="748209.12073938013" u="1"/>
        <n v="73002.827236492405" u="1"/>
        <n v="180704.43671725917" u="1"/>
        <n v="216441.34431020461" u="1"/>
        <n v="23775.837193011885" u="1"/>
        <n v="62136.998966845356" u="1"/>
        <n v="200702.6470555921" u="1"/>
        <n v="218604.41719205028" u="1"/>
        <n v="1295723.1083569836" u="1"/>
        <n v="67805.080358323612" u="1"/>
        <n v="171490.65507815115" u="1"/>
        <n v="229163.5443860605" u="1"/>
        <n v="414280.36628353916" u="1"/>
        <n v="466565.00035227201" u="1"/>
        <n v="115072.6808264931" u="1"/>
        <n v="462250.40829473682" u="1"/>
        <n v="8893.7392969588418" u="1"/>
        <n v="72676.291916731003" u="1"/>
        <n v="4351.2083574088165" u="1"/>
        <n v="13953.194623075316" u="1"/>
        <n v="4191709.5636221832" u="1"/>
        <n v="15425.762698380608" u="1"/>
        <n v="18137.764077572625" u="1"/>
        <n v="22495.599860793711" u="1"/>
        <n v="36674.624558374555" u="1"/>
        <n v="44146.256298593878" u="1"/>
        <n v="94993.07445289864" u="1"/>
        <n v="163369.0613482417" u="1"/>
        <n v="179676.64340485289" u="1"/>
        <n v="203486.14833330692" u="1"/>
        <n v="246064.13576430292" u="1"/>
        <n v="352961.96997203998" u="1"/>
        <n v="8346.2728396614475" u="1"/>
        <n v="21878.483874561993" u="1"/>
        <n v="102394.1556817988" u="1"/>
        <n v="61220.62409984367" u="1"/>
        <n v="68383.282133445056" u="1"/>
        <n v="123362.7372158418" u="1"/>
        <n v="132495.35542568268" u="1"/>
        <n v="181090.85911954788" u="1"/>
        <n v="192412.99767546979" u="1"/>
        <n v="634392.91258453694" u="1"/>
        <n v="1492300.0092407756" u="1"/>
        <n v="17055.142145708876" u="1"/>
        <n v="42055.154174445925" u="1"/>
        <n v="56850.340916939138" u="1"/>
        <n v="196767.85513340784" u="1"/>
        <n v="122414.67347650214" u="1"/>
        <n v="304473.63611096062" u="1"/>
        <n v="437718.15374044469" u="1"/>
        <n v="1124346.570325339" u="1"/>
        <n v="2330297.3204969736" u="1"/>
        <n v="13750.687210162198" u="1"/>
        <n v="584358.12291876099" u="1"/>
        <n v="15072.111402297898" u="1"/>
        <n v="47535.242276319492" u="1"/>
        <n v="520281.11843366706" u="1"/>
        <n v="13323.010242852422" u="1"/>
        <n v="91560.989396351404" u="1"/>
        <n v="259507.92896516062" u="1"/>
        <n v="25086.16841246856" u="1"/>
        <n v="65778.110113848728" u="1"/>
        <n v="91755.493253349036" u="1"/>
        <n v="117361.61987526412" u="1"/>
        <n v="133825.83131382795" u="1"/>
        <n v="161301.3518904318" u="1"/>
        <n v="411502.27517673007" u="1"/>
        <n v="79691.20045055775" u="1"/>
        <n v="195289.51640674437" u="1"/>
        <n v="45463.525485467027" u="1"/>
        <n v="165937.61990412901" u="1"/>
        <n v="401267.81825201819" u="1"/>
        <n v="6562.5560787310787" u="1"/>
        <n v="60999.110633516437" u="1"/>
        <n v="265018.66694256058" u="1"/>
        <n v="630296.98590646544" u="1"/>
        <n v="708064.04255756759" u="1"/>
        <n v="6625.758306603876" u="1"/>
        <n v="159170.50746461906" u="1"/>
        <n v="170955.91345834098" u="1"/>
        <n v="204262.58354978162" u="1"/>
        <n v="294062.88226896315" u="1"/>
        <n v="332728.89711954043" u="1"/>
        <n v="679419.46804150729" u="1"/>
        <n v="35567.937801085922" u="1"/>
        <n v="248952.83669879966" u="1"/>
        <n v="390777.845148038" u="1"/>
        <n v="585363.93608796014" u="1"/>
        <n v="653853.41938033106" u="1"/>
        <n v="28465.186234999645" u="1"/>
        <n v="54797.04926050613" u="1"/>
        <n v="66508.712805410032" u="1"/>
        <n v="360662.99647568457" u="1"/>
        <n v="1190733.3098833808" u="1"/>
        <n v="55876.892837126587" u="1"/>
        <n v="123358.3851651162" u="1"/>
        <n v="1192143.0773913902" u="1"/>
        <n v="219932.51928488104" u="1"/>
        <n v="1324521.5374218132" u="1"/>
        <n v="5780.3458701763102" u="1"/>
        <n v="94800.552436745609" u="1"/>
        <n v="218189.45865543219" u="1"/>
        <n v="726395.19933409616" u="1"/>
        <n v="148731.39693484973" u="1"/>
        <n v="164093.07209713361" u="1"/>
        <n v="436995.35874191695" u="1"/>
        <n v="15949.969162178784" u="1"/>
        <n v="114267.55373364591" u="1"/>
        <n v="194770.96150384328" u="1"/>
        <n v="333794.5036350661" u="1"/>
        <n v="518895.52614144923" u="1"/>
        <n v="678922.62595208909" u="1"/>
        <n v="25365.593688482695" u="1"/>
        <n v="98595.698108038749" u="1"/>
        <n v="120141.79568062749" u="1"/>
        <n v="158737.19645071682" u="1"/>
        <n v="424771.3912971369" u="1"/>
        <n v="20960.557965892673" u="1"/>
        <n v="670122.18242704624" u="1"/>
        <n v="25216.068640553567" u="1"/>
        <n v="61616.840064145348" u="1"/>
        <n v="1737292.7988308743" u="1"/>
        <n v="5347.7432105076223" u="1"/>
        <n v="64963.793445160685" u="1"/>
        <n v="355241.04483236652" u="1"/>
        <n v="26999.018041577525" u="1"/>
        <n v="159777.88732380615" u="1"/>
        <n v="213025.32562220981" u="1"/>
        <n v="40083.463066540411" u="1"/>
        <n v="146461.28512798561" u="1"/>
        <n v="318427.93315735518" u="1"/>
        <n v="463001.23700980737" u="1"/>
        <n v="103138.62314968058" u="1"/>
        <n v="113354.50952876317" u="1"/>
        <n v="120398.07262902854" u="1"/>
        <n v="179776.26414197771" u="1"/>
        <n v="839986.14289743605" u="1"/>
        <n v="66800.513428814214" u="1"/>
        <n v="89671.768447066599" u="1"/>
        <n v="219426.97626709816" u="1"/>
        <n v="414144.53687374847" u="1"/>
        <n v="137822.41923180825" u="1"/>
        <n v="642989.51357231371" u="1"/>
        <n v="20526.057599133055" u="1"/>
        <n v="44995.673658681641" u="1"/>
        <n v="217884.00517282553" u="1"/>
        <n v="12152.328852583272" u="1"/>
        <n v="48561.183271311304" u="1"/>
        <n v="56178.514752625553" u="1"/>
        <n v="77227.285478158388" u="1"/>
        <n v="339010.04192403605" u="1"/>
        <n v="1060372.5421729379" u="1"/>
        <n v="4168.4391858858417" u="1"/>
        <n v="16660.273234423887" u="1"/>
        <n v="104796.74264051218" u="1"/>
        <n v="126022.8267436396" u="1"/>
        <n v="399746.46020914975" u="1"/>
        <n v="1038851.1941169027" u="1"/>
        <n v="54380.649920082535" u="1"/>
        <n v="94807.420249662828" u="1"/>
        <n v="101256.31841906214" u="1"/>
        <n v="137525.56915029421" u="1"/>
        <n v="204002.66444265959" u="1"/>
        <n v="296554.22140941361" u="1"/>
        <n v="339090.68734717171" u="1"/>
        <n v="138118.80969683483" u="1"/>
        <n v="161137.81995941018" u="1"/>
        <n v="245474.88925864434" u="1"/>
        <n v="249062.24821549273" u="1"/>
        <n v="338131.94551712909" u="1"/>
        <n v="47715.374188591166" u="1"/>
        <n v="118197.25443690267" u="1"/>
        <n v="146952.14971206535" u="1"/>
        <n v="436472.77363150538" u="1"/>
        <n v="74321.539830915484" u="1"/>
        <n v="92346.4705388398" u="1"/>
        <n v="1050971.4191329647" u="1"/>
        <n v="4297028.3363934495" u="1"/>
        <n v="34033.914494072305" u="1"/>
        <n v="174790.49910128798" u="1"/>
        <n v="291706.96819071448" u="1"/>
        <n v="36028.111145037386" u="1"/>
        <n v="58908.716783773823" u="1"/>
        <n v="121956.02331596054" u="1"/>
        <n v="258783.67995346815" u="1"/>
        <n v="34861.848266745117" u="1"/>
        <n v="45519.177100297748" u="1"/>
        <n v="109932.61512491551" u="1"/>
        <n v="273566.43593867309" u="1"/>
        <n v="38559.133141140657" u="1"/>
        <n v="56680.838116653031" u="1"/>
        <n v="97160.366292780236" u="1"/>
        <n v="113063.8612992538" u="1"/>
        <n v="13228.612530015558" u="1"/>
        <n v="27239.232139802007" u="1"/>
        <n v="46219.828237182672" u="1"/>
        <n v="118095.96831494955" u="1"/>
        <n v="127837.83964166643" u="1"/>
        <n v="262373.66306717449" u="1"/>
        <n v="14870.129078697604" u="1"/>
        <n v="29208.837514104136" u="1"/>
        <n v="97109.669398382044" u="1"/>
        <n v="149734.65469677997" u="1"/>
        <n v="220692.93914104829" u="1"/>
        <n v="298007.01609653258" u="1"/>
        <n v="42236.980147241717" u="1"/>
        <n v="48291.781373880178" u="1"/>
        <n v="102159.57832999351" u="1"/>
        <n v="103597.60375502957" u="1"/>
        <n v="107324.4301194367" u="1"/>
        <n v="276327.50239503343" u="1"/>
        <n v="442120.76987523149" u="1"/>
        <n v="1224370.0674345368" u="1"/>
        <n v="2548735.2006593719" u="1"/>
        <n v="27820.557709160123" u="1"/>
        <n v="28865.756474667272" u="1"/>
        <n v="102280.21564814122" u="1"/>
        <n v="115678.91723040456" u="1"/>
        <n v="492309.85863405908" u="1"/>
        <n v="633083.12373653415" u="1"/>
        <n v="1669032.3820962321" u="1"/>
        <n v="101809.76756493714" u="1"/>
        <n v="156928.49469624911" u="1"/>
        <n v="229423.98531580466" u="1"/>
        <n v="401496.01298175461" u="1"/>
        <n v="149084.92363456881" u="1"/>
        <n v="159433.99045993353" u="1"/>
        <n v="210632.08134419966" u="1"/>
        <n v="234786.90789874259" u="1"/>
        <n v="677412.69987828762" u="1"/>
        <n v="906257.94953781972" u="1"/>
        <n v="8922.5978109160405" u="1"/>
        <n v="18167.450990475594" u="1"/>
        <n v="19018.292021115922" u="1"/>
        <n v="25434.827281697122" u="1"/>
        <n v="254129.59600339076" u="1"/>
        <n v="780524.20002404763" u="1"/>
        <n v="43464.66110756436" u="1"/>
        <n v="45923.106889566734" u="1"/>
        <n v="151591.86415199097" u="1"/>
        <n v="292992.45643443323" u="1"/>
        <n v="50705.876862847144" u="1"/>
        <n v="179550.36340330663" u="1"/>
        <n v="368215.29252433788" u="1"/>
        <n v="424969.63115566142" u="1"/>
        <n v="8151.704858087086" u="1"/>
        <n v="73445.950376785317" u="1"/>
        <n v="128563.47924029201" u="1"/>
        <n v="136396.37434280672" u="1"/>
        <n v="237502.5187834056" u="1"/>
        <n v="487244.90760081081" u="1"/>
        <n v="497447.47229413077" u="1"/>
        <n v="19722.264440175677" u="1"/>
        <n v="78139.260692461306" u="1"/>
        <n v="100662.81717770302" u="1"/>
        <n v="131754.01062443931" u="1"/>
        <n v="665694.09576803772" u="1"/>
        <n v="113134.28298125592" u="1"/>
        <n v="562992.29827000154" u="1"/>
        <n v="16713.944751862346" u="1"/>
        <n v="92793.678478594491" u="1"/>
        <n v="95673.147713071943" u="1"/>
        <n v="195903.28813565811" u="1"/>
        <n v="252230.62554776619" u="1"/>
        <n v="500047.75620873482" u="1"/>
        <n v="48091.503747612995" u="1"/>
        <n v="238332.72832420902" u="1"/>
        <n v="391783.1887867332" u="1"/>
        <n v="29714.598753364877" u="1"/>
        <n v="42929.255631533815" u="1"/>
        <n v="204230.27528088191" u="1"/>
        <n v="545931.92693228903" u="1"/>
        <n v="481060.29709963041" u="1"/>
        <n v="970882.01643133012" u="1"/>
        <n v="20272.187696315748" u="1"/>
        <n v="51955.85574933514" u="1"/>
        <n v="130863.72389818802" u="1"/>
        <n v="354916.9270145754" u="1"/>
        <n v="8404612.005205784" u="1"/>
        <n v="17412.054106205338" u="1"/>
        <n v="185648.32296684102" u="1"/>
        <n v="133079.32245322439" u="1"/>
        <n v="742602.74934315123" u="1"/>
        <n v="176629.16189970495" u="1"/>
        <n v="2419648.0517430124" u="1"/>
        <n v="8709.4974191388173" u="1"/>
        <n v="29399.472407912624" u="1"/>
        <n v="46803.93097131938" u="1"/>
        <n v="174002.07898408588" u="1"/>
        <n v="403500.15455381258" u="1"/>
        <n v="1159283.4956420977" u="1"/>
        <n v="42720.324227359837" u="1"/>
        <n v="174154.56046537217" u="1"/>
        <n v="384052.08762313426" u="1"/>
        <n v="4797482.4772849884" u="1"/>
        <n v="15529.794969903043" u="1"/>
        <n v="16273.540260607006" u="1"/>
        <n v="71792.764688492505" u="1"/>
        <n v="90219.116910214565" u="1"/>
        <n v="388107.05843135226" u="1"/>
        <n v="15879.832717035411" u="1"/>
        <n v="31713.564883340419" u="1"/>
        <n v="35106.02983794891" u="1"/>
        <n v="58421.879762873104" u="1"/>
        <n v="101099.71368549536" u="1"/>
        <n v="167144.25680294895" u="1"/>
        <n v="6259.2365524354736" u="1"/>
        <n v="29348.054160213564" u="1"/>
        <n v="99459.081622097045" u="1"/>
        <n v="143001.08175595349" u="1"/>
        <n v="288098.5542450865" u="1"/>
        <n v="327507.51179863565" u="1"/>
        <n v="3812.4356403036895" u="1"/>
        <n v="26720.34363995809" u="1"/>
        <n v="136580.38420019322" u="1"/>
        <n v="316333.44426820544" u="1"/>
        <n v="36076.960367912143" u="1"/>
        <n v="185770.57684381463" u="1"/>
        <n v="442261.82418410206" u="1"/>
        <n v="48353.058422078568" u="1"/>
        <n v="48910.975179272005" u="1"/>
        <n v="1108956.6837443742" u="1"/>
        <n v="35022.577624970123" u="1"/>
        <n v="211110.0301674903" u="1"/>
        <n v="108760.86563898185" u="1"/>
        <n v="193518.35111704218" u="1"/>
        <n v="1326711.2561714198" u="1"/>
        <n v="508311.69038941711" u="1"/>
        <n v="110198.15126761509" u="1"/>
        <n v="122681.94127290329" u="1"/>
        <n v="217617.99249838945" u="1"/>
      </sharedItems>
    </cacheField>
    <cacheField name="Depreciation" numFmtId="0">
      <sharedItems containsNonDate="0" containsString="0" containsBlank="1"/>
    </cacheField>
    <cacheField name="Depreciation as % of GRC" numFmtId="0">
      <sharedItems containsNonDate="0" containsString="0" containsBlank="1"/>
    </cacheField>
    <cacheField name="SCIAv" numFmtId="0">
      <sharedItems containsNonDate="0" containsString="0" containsBlank="1"/>
    </cacheField>
    <cacheField name="SCICrit" numFmtId="0">
      <sharedItems containsNonDate="0" containsString="0" containsBlank="1"/>
    </cacheField>
    <cacheField name="Number of elements" numFmtId="0">
      <sharedItems containsNonDate="0" containsString="0" containsBlank="1"/>
    </cacheField>
    <cacheField name="Number of structures" numFmtId="0">
      <sharedItems containsNonDate="0" containsString="0" containsBlank="1"/>
    </cacheField>
    <cacheField name="Obstacle Crossed" numFmtId="0">
      <sharedItems containsNonDate="0" containsString="0" containsBlank="1"/>
    </cacheField>
    <cacheField name="Route Type Supported" numFmtId="0">
      <sharedItems containsNonDate="0" containsString="0" containsBlank="1"/>
    </cacheField>
    <cacheField name="Structure Type" numFmtId="0">
      <sharedItems containsNonDate="0" containsString="0" containsBlank="1" containsNumber="1" containsInteger="1" minValue="0" maxValue="0" count="2">
        <m/>
        <n v="0" u="1"/>
      </sharedItems>
    </cacheField>
    <cacheField name="Identifier of Structure" numFmtId="0">
      <sharedItems containsNonDate="0" containsString="0" containsBlank="1" containsNumber="1" containsInteger="1" minValue="16000002" maxValue="21006178" count="1705">
        <m/>
        <n v="21006176" u="1"/>
        <n v="16047789" u="1"/>
        <n v="16047837" u="1"/>
        <n v="16047965" u="1"/>
        <n v="16047997" u="1"/>
        <n v="16047908" u="1"/>
        <n v="16047916" u="1"/>
        <n v="16047924" u="1"/>
        <n v="16047932" u="1"/>
        <n v="16047972" u="1"/>
        <n v="16048229" u="1"/>
        <n v="16048004" u="1"/>
        <n v="16048245" u="1"/>
        <n v="16048269" u="1"/>
        <n v="16048277" u="1"/>
        <n v="16048164" u="1"/>
        <n v="16000005" u="1"/>
        <n v="16000013" u="1"/>
        <n v="16047955" u="1"/>
        <n v="16048188" u="1"/>
        <n v="16048421" u="1"/>
        <n v="16000021" u="1"/>
        <n v="16047963" u="1"/>
        <n v="16048429" u="1"/>
        <n v="16048204" u="1"/>
        <n v="16000037" u="1"/>
        <n v="16048212" u="1"/>
        <n v="16048445" u="1"/>
        <n v="16000045" u="1"/>
        <n v="16048220" u="1"/>
        <n v="16000053" u="1"/>
        <n v="16047995" u="1"/>
        <n v="16048469" u="1"/>
        <n v="16000069" u="1"/>
        <n v="16047794" u="1"/>
        <n v="16000093" u="1"/>
        <n v="16048268" u="1"/>
        <n v="16000109" u="1"/>
        <n v="16000117" u="1"/>
        <n v="16000125" u="1"/>
        <n v="16048300" u="1"/>
        <n v="16000133" u="1"/>
        <n v="16000141" u="1"/>
        <n v="16000149" u="1"/>
        <n v="16000157" u="1"/>
        <n v="16000181" u="1"/>
        <n v="16000189" u="1"/>
        <n v="16000197" u="1"/>
        <n v="16047906" u="1"/>
        <n v="16000205" u="1"/>
        <n v="16047914" u="1"/>
        <n v="16047922" u="1"/>
        <n v="16000221" u="1"/>
        <n v="16047930" u="1"/>
        <n v="16000229" u="1"/>
        <n v="16000004" u="1"/>
        <n v="16000012" u="1"/>
        <n v="16000245" u="1"/>
        <n v="16000020" u="1"/>
        <n v="16000253" u="1"/>
        <n v="16000028" u="1"/>
        <n v="16000261" u="1"/>
        <n v="16047970" u="1"/>
        <n v="16000036" u="1"/>
        <n v="16000269" u="1"/>
        <n v="16047978" u="1"/>
        <n v="16000044" u="1"/>
        <n v="16000052" u="1"/>
        <n v="16000285" u="1"/>
        <n v="16048227" u="1"/>
        <n v="16000060" u="1"/>
        <n v="16000293" u="1"/>
        <n v="16048002" u="1"/>
        <n v="16048235" u="1"/>
        <n v="16000068" u="1"/>
        <n v="16000301" u="1"/>
        <n v="16000309" u="1"/>
        <n v="16047785" u="1"/>
        <n v="16000084" u="1"/>
        <n v="16000317" u="1"/>
        <n v="16000092" u="1"/>
        <n v="16048275" u="1"/>
        <n v="16000108" u="1"/>
        <n v="16048283" u="1"/>
        <n v="16000349" u="1"/>
        <n v="16000124" u="1"/>
        <n v="16000357" u="1"/>
        <n v="16000132" u="1"/>
        <n v="16000365" u="1"/>
        <n v="16000373" u="1"/>
        <n v="16000148" u="1"/>
        <n v="16000381" u="1"/>
        <n v="16000156" u="1"/>
        <n v="16000389" u="1"/>
        <n v="16000164" u="1"/>
        <n v="16000397" u="1"/>
        <n v="16000172" u="1"/>
        <n v="16000405" u="1"/>
        <n v="16048347" u="1"/>
        <n v="16000180" u="1"/>
        <n v="16000413" u="1"/>
        <n v="16000188" u="1"/>
        <n v="16000421" u="1"/>
        <n v="16000196" u="1"/>
        <n v="16000429" u="1"/>
        <n v="16048371" u="1"/>
        <n v="16000204" u="1"/>
        <n v="16000437" u="1"/>
        <n v="16000212" u="1"/>
        <n v="16048387" u="1"/>
        <n v="16000220" u="1"/>
        <n v="16000453" u="1"/>
        <n v="16000228" u="1"/>
        <n v="16000461" u="1"/>
        <n v="16048170" u="1"/>
        <n v="16000003" u="1"/>
        <n v="16000236" u="1"/>
        <n v="16000469" u="1"/>
        <n v="16048411" u="1"/>
        <n v="16000011" u="1"/>
        <n v="16000477" u="1"/>
        <n v="16048419" u="1"/>
        <n v="16000019" u="1"/>
        <n v="16000252" u="1"/>
        <n v="16000485" u="1"/>
        <n v="16047961" u="1"/>
        <n v="16048427" u="1"/>
        <n v="16000027" u="1"/>
        <n v="16000260" u="1"/>
        <n v="16000493" u="1"/>
        <n v="16048202" u="1"/>
        <n v="16000035" u="1"/>
        <n v="16000268" u="1"/>
        <n v="16000501" u="1"/>
        <n v="16048210" u="1"/>
        <n v="16000043" u="1"/>
        <n v="16000276" u="1"/>
        <n v="16000509" u="1"/>
        <n v="16047985" u="1"/>
        <n v="16000051" u="1"/>
        <n v="16000284" u="1"/>
        <n v="16000517" u="1"/>
        <n v="16000059" u="1"/>
        <n v="16048001" u="1"/>
        <n v="16000067" u="1"/>
        <n v="16000300" u="1"/>
        <n v="16000075" u="1"/>
        <n v="16000308" u="1"/>
        <n v="16000541" u="1"/>
        <n v="16048250" u="1"/>
        <n v="16000549" u="1"/>
        <n v="16048258" u="1"/>
        <n v="16000091" u="1"/>
        <n v="16000324" u="1"/>
        <n v="16000557" u="1"/>
        <n v="16000099" u="1"/>
        <n v="16000332" u="1"/>
        <n v="16000340" u="1"/>
        <n v="16000115" u="1"/>
        <n v="16000348" u="1"/>
        <n v="16000581" u="1"/>
        <n v="16000123" u="1"/>
        <n v="16000356" u="1"/>
        <n v="16000589" u="1"/>
        <n v="16047832" u="1"/>
        <n v="16048298" u="1"/>
        <n v="16000131" u="1"/>
        <n v="16000364" u="1"/>
        <n v="16000139" u="1"/>
        <n v="16000372" u="1"/>
        <n v="16000605" u="1"/>
        <n v="16000613" u="1"/>
        <n v="16000155" u="1"/>
        <n v="16000388" u="1"/>
        <n v="16000621" u="1"/>
        <n v="16000163" u="1"/>
        <n v="16000396" u="1"/>
        <n v="16000629" u="1"/>
        <n v="16000171" u="1"/>
        <n v="16000637" u="1"/>
        <n v="16000179" u="1"/>
        <n v="16000412" u="1"/>
        <n v="16000645" u="1"/>
        <n v="16000187" u="1"/>
        <n v="16000420" u="1"/>
        <n v="16000653" u="1"/>
        <n v="16000195" u="1"/>
        <n v="16000428" u="1"/>
        <n v="16000661" u="1"/>
        <n v="16047904" u="1"/>
        <n v="16000203" u="1"/>
        <n v="16000436" u="1"/>
        <n v="16000669" u="1"/>
        <n v="16047912" u="1"/>
        <n v="16000211" u="1"/>
        <n v="16000677" u="1"/>
        <n v="16000685" u="1"/>
        <n v="16047928" u="1"/>
        <n v="16000227" u="1"/>
        <n v="16000460" u="1"/>
        <n v="16000693" u="1"/>
        <n v="16047936" u="1"/>
        <n v="16000002" u="1"/>
        <n v="16000235" u="1"/>
        <n v="16000701" u="1"/>
        <n v="16047944" u="1"/>
        <n v="16000010" u="1"/>
        <n v="16000243" u="1"/>
        <n v="16000476" u="1"/>
        <n v="16000709" u="1"/>
        <n v="16000018" u="1"/>
        <n v="16000251" u="1"/>
        <n v="16000484" u="1"/>
        <n v="16000717" u="1"/>
        <n v="16048193" u="1"/>
        <n v="16000026" u="1"/>
        <n v="16000259" u="1"/>
        <n v="16000492" u="1"/>
        <n v="16000725" u="1"/>
        <n v="16047968" u="1"/>
        <n v="16048434" u="1"/>
        <n v="16000034" u="1"/>
        <n v="16000267" u="1"/>
        <n v="16000500" u="1"/>
        <n v="16000733" u="1"/>
        <n v="16047976" u="1"/>
        <n v="16000275" u="1"/>
        <n v="16000741" u="1"/>
        <n v="16000283" u="1"/>
        <n v="16000516" u="1"/>
        <n v="16000749" u="1"/>
        <n v="16048225" u="1"/>
        <n v="16000058" u="1"/>
        <n v="16000757" u="1"/>
        <n v="16000066" u="1"/>
        <n v="16000299" u="1"/>
        <n v="16000532" u="1"/>
        <n v="16000765" u="1"/>
        <n v="16048241" u="1"/>
        <n v="16000074" u="1"/>
        <n v="16000307" u="1"/>
        <n v="16000540" u="1"/>
        <n v="16000773" u="1"/>
        <n v="16000082" u="1"/>
        <n v="16000548" u="1"/>
        <n v="16047799" u="1"/>
        <n v="16000323" u="1"/>
        <n v="16000556" u="1"/>
        <n v="16000789" u="1"/>
        <n v="16048265" u="1"/>
        <n v="16000098" u="1"/>
        <n v="16000797" u="1"/>
        <n v="16048273" u="1"/>
        <n v="16000339" u="1"/>
        <n v="16000572" u="1"/>
        <n v="16000805" u="1"/>
        <n v="16000114" u="1"/>
        <n v="16000347" u="1"/>
        <n v="16000580" u="1"/>
        <n v="16000122" u="1"/>
        <n v="16000355" u="1"/>
        <n v="16000588" u="1"/>
        <n v="16000130" u="1"/>
        <n v="16000363" u="1"/>
        <n v="16000596" u="1"/>
        <n v="16000829" u="1"/>
        <n v="16048305" u="1"/>
        <n v="16000138" u="1"/>
        <n v="16000371" u="1"/>
        <n v="16000604" u="1"/>
        <n v="16000837" u="1"/>
        <n v="16000146" u="1"/>
        <n v="16000379" u="1"/>
        <n v="16000612" u="1"/>
        <n v="16000845" u="1"/>
        <n v="16000154" u="1"/>
        <n v="16000387" u="1"/>
        <n v="16000620" u="1"/>
        <n v="16000853" u="1"/>
        <n v="16000162" u="1"/>
        <n v="16000628" u="1"/>
        <n v="16000861" u="1"/>
        <n v="16000170" u="1"/>
        <n v="16000636" u="1"/>
        <n v="16000869" u="1"/>
        <n v="16048345" u="1"/>
        <n v="16000178" u="1"/>
        <n v="16000411" u="1"/>
        <n v="16000644" u="1"/>
        <n v="16000877" u="1"/>
        <n v="16000186" u="1"/>
        <n v="16000419" u="1"/>
        <n v="16000652" u="1"/>
        <n v="16000885" u="1"/>
        <n v="16000194" u="1"/>
        <n v="16000427" u="1"/>
        <n v="16000660" u="1"/>
        <n v="16000893" u="1"/>
        <n v="16000202" u="1"/>
        <n v="16000435" u="1"/>
        <n v="16000668" u="1"/>
        <n v="16048377" u="1"/>
        <n v="16000210" u="1"/>
        <n v="16000676" u="1"/>
        <n v="16000909" u="1"/>
        <n v="16000218" u="1"/>
        <n v="16000684" u="1"/>
        <n v="16000917" u="1"/>
        <n v="16048393" u="1"/>
        <n v="16000226" u="1"/>
        <n v="16000692" u="1"/>
        <n v="16000925" u="1"/>
        <n v="16048168" u="1"/>
        <n v="16000234" u="1"/>
        <n v="16000700" u="1"/>
        <n v="16000009" u="1"/>
        <n v="16000475" u="1"/>
        <n v="16000941" u="1"/>
        <n v="16048184" u="1"/>
        <n v="16048417" u="1"/>
        <n v="16000017" u="1"/>
        <n v="16000250" u="1"/>
        <n v="16000716" u="1"/>
        <n v="16000949" u="1"/>
        <n v="16048425" u="1"/>
        <n v="16000025" u="1"/>
        <n v="16000491" u="1"/>
        <n v="16000724" u="1"/>
        <n v="16000957" u="1"/>
        <n v="16048200" u="1"/>
        <n v="16000033" u="1"/>
        <n v="16000266" u="1"/>
        <n v="16000732" u="1"/>
        <n v="16000965" u="1"/>
        <n v="16048208" u="1"/>
        <n v="16000041" u="1"/>
        <n v="16000274" u="1"/>
        <n v="16000507" u="1"/>
        <n v="16000973" u="1"/>
        <n v="16000282" u="1"/>
        <n v="16000515" u="1"/>
        <n v="16000748" u="1"/>
        <n v="16000981" u="1"/>
        <n v="16000290" u="1"/>
        <n v="16000523" u="1"/>
        <n v="16000756" u="1"/>
        <n v="16000989" u="1"/>
        <n v="16000065" u="1"/>
        <n v="16000298" u="1"/>
        <n v="16000531" u="1"/>
        <n v="16000764" u="1"/>
        <n v="16000997" u="1"/>
        <n v="16000073" u="1"/>
        <n v="16000306" u="1"/>
        <n v="16000539" u="1"/>
        <n v="16000772" u="1"/>
        <n v="16001005" u="1"/>
        <n v="16000081" u="1"/>
        <n v="16000314" u="1"/>
        <n v="16000547" u="1"/>
        <n v="16000780" u="1"/>
        <n v="16001013" u="1"/>
        <n v="16048256" u="1"/>
        <n v="16000089" u="1"/>
        <n v="16000322" u="1"/>
        <n v="16000555" u="1"/>
        <n v="16000788" u="1"/>
        <n v="16001021" u="1"/>
        <n v="16000097" u="1"/>
        <n v="16000330" u="1"/>
        <n v="16000563" u="1"/>
        <n v="16000796" u="1"/>
        <n v="16000105" u="1"/>
        <n v="16000338" u="1"/>
        <n v="16000571" u="1"/>
        <n v="16000804" u="1"/>
        <n v="16001037" u="1"/>
        <n v="16000113" u="1"/>
        <n v="16000346" u="1"/>
        <n v="16000579" u="1"/>
        <n v="16000812" u="1"/>
        <n v="16001045" u="1"/>
        <n v="16000121" u="1"/>
        <n v="16000587" u="1"/>
        <n v="16000820" u="1"/>
        <n v="16001053" u="1"/>
        <n v="16000129" u="1"/>
        <n v="16000362" u="1"/>
        <n v="16000828" u="1"/>
        <n v="16001061" u="1"/>
        <n v="16048304" u="1"/>
        <n v="16000137" u="1"/>
        <n v="16000370" u="1"/>
        <n v="16000603" u="1"/>
        <n v="16000836" u="1"/>
        <n v="16048312" u="1"/>
        <n v="16000145" u="1"/>
        <n v="16000378" u="1"/>
        <n v="16000611" u="1"/>
        <n v="16000844" u="1"/>
        <n v="16001077" u="1"/>
        <n v="16000153" u="1"/>
        <n v="16000386" u="1"/>
        <n v="16000619" u="1"/>
        <n v="16000852" u="1"/>
        <n v="16001085" u="1"/>
        <n v="16000161" u="1"/>
        <n v="16000394" u="1"/>
        <n v="16000860" u="1"/>
        <n v="16001093" u="1"/>
        <n v="16047878" u="1"/>
        <n v="16000169" u="1"/>
        <n v="16000402" u="1"/>
        <n v="16000635" u="1"/>
        <n v="16000868" u="1"/>
        <n v="16001101" u="1"/>
        <n v="16000177" u="1"/>
        <n v="16000410" u="1"/>
        <n v="16000643" u="1"/>
        <n v="16001109" u="1"/>
        <n v="16000418" u="1"/>
        <n v="16000651" u="1"/>
        <n v="16000884" u="1"/>
        <n v="16001117" u="1"/>
        <n v="16000193" u="1"/>
        <n v="16000426" u="1"/>
        <n v="16000659" u="1"/>
        <n v="16000892" u="1"/>
        <n v="16001125" u="1"/>
        <n v="16047910" u="1"/>
        <n v="16000201" u="1"/>
        <n v="16000434" u="1"/>
        <n v="16000667" u="1"/>
        <n v="16001133" u="1"/>
        <n v="16000442" u="1"/>
        <n v="16000675" u="1"/>
        <n v="16000908" u="1"/>
        <n v="16001141" u="1"/>
        <n v="16047926" u="1"/>
        <n v="16000450" u="1"/>
        <n v="16000683" u="1"/>
        <n v="16000916" u="1"/>
        <n v="16001149" u="1"/>
        <n v="16000225" u="1"/>
        <n v="16000458" u="1"/>
        <n v="16000691" u="1"/>
        <n v="16000924" u="1"/>
        <n v="16001157" u="1"/>
        <n v="16000699" u="1"/>
        <n v="16000932" u="1"/>
        <n v="16001165" u="1"/>
        <n v="16047950" u="1"/>
        <n v="16000008" u="1"/>
        <n v="16000241" u="1"/>
        <n v="16000474" u="1"/>
        <n v="16000707" u="1"/>
        <n v="16000940" u="1"/>
        <n v="16001173" u="1"/>
        <n v="16000016" u="1"/>
        <n v="16000482" u="1"/>
        <n v="16000715" u="1"/>
        <n v="16000948" u="1"/>
        <n v="16000024" u="1"/>
        <n v="16000257" u="1"/>
        <n v="16000490" u="1"/>
        <n v="16000723" u="1"/>
        <n v="16000956" u="1"/>
        <n v="16047974" u="1"/>
        <n v="16000498" u="1"/>
        <n v="16000731" u="1"/>
        <n v="16000964" u="1"/>
        <n v="16001197" u="1"/>
        <n v="16000273" u="1"/>
        <n v="16000506" u="1"/>
        <n v="16000972" u="1"/>
        <n v="16048223" u="1"/>
        <n v="16000281" u="1"/>
        <n v="16000514" u="1"/>
        <n v="16000747" u="1"/>
        <n v="16000980" u="1"/>
        <n v="16048231" u="1"/>
        <n v="16000056" u="1"/>
        <n v="16000289" u="1"/>
        <n v="16000755" u="1"/>
        <n v="16000988" u="1"/>
        <n v="16001221" u="1"/>
        <n v="16000064" u="1"/>
        <n v="16000297" u="1"/>
        <n v="16000530" u="1"/>
        <n v="16000763" u="1"/>
        <n v="16000996" u="1"/>
        <n v="16001229" u="1"/>
        <n v="16048014" u="1"/>
        <n v="16048247" u="1"/>
        <n v="16000072" u="1"/>
        <n v="16000538" u="1"/>
        <n v="16000771" u="1"/>
        <n v="16001237" u="1"/>
        <n v="16000313" u="1"/>
        <n v="16000546" u="1"/>
        <n v="16001245" u="1"/>
        <n v="16000088" u="1"/>
        <n v="16000321" u="1"/>
        <n v="16000554" u="1"/>
        <n v="16000787" u="1"/>
        <n v="16001020" u="1"/>
        <n v="16048271" u="1"/>
        <n v="16000096" u="1"/>
        <n v="16000562" u="1"/>
        <n v="16000795" u="1"/>
        <n v="16001261" u="1"/>
        <n v="16000337" u="1"/>
        <n v="16000570" u="1"/>
        <n v="16000803" u="1"/>
        <n v="16001269" u="1"/>
        <n v="16000112" u="1"/>
        <n v="16000345" u="1"/>
        <n v="16000578" u="1"/>
        <n v="16000811" u="1"/>
        <n v="16001044" u="1"/>
        <n v="16001277" u="1"/>
        <n v="16000120" u="1"/>
        <n v="16000353" u="1"/>
        <n v="16000586" u="1"/>
        <n v="16000819" u="1"/>
        <n v="16001052" u="1"/>
        <n v="16001285" u="1"/>
        <n v="16000128" u="1"/>
        <n v="16000361" u="1"/>
        <n v="16001060" u="1"/>
        <n v="16001293" u="1"/>
        <n v="16000136" u="1"/>
        <n v="16000602" u="1"/>
        <n v="16000835" u="1"/>
        <n v="16001068" u="1"/>
        <n v="16001301" u="1"/>
        <n v="16000144" u="1"/>
        <n v="16000377" u="1"/>
        <n v="16000610" u="1"/>
        <n v="16000843" u="1"/>
        <n v="16001076" u="1"/>
        <n v="16001309" u="1"/>
        <n v="16000152" u="1"/>
        <n v="16000385" u="1"/>
        <n v="16000618" u="1"/>
        <n v="16000851" u="1"/>
        <n v="16001084" u="1"/>
        <n v="16001317" u="1"/>
        <n v="16000160" u="1"/>
        <n v="16000393" u="1"/>
        <n v="16000626" u="1"/>
        <n v="16001092" u="1"/>
        <n v="16001325" u="1"/>
        <n v="16000168" u="1"/>
        <n v="16000401" u="1"/>
        <n v="16000634" u="1"/>
        <n v="16001333" u="1"/>
        <n v="16000176" u="1"/>
        <n v="16000409" u="1"/>
        <n v="16000642" u="1"/>
        <n v="16000875" u="1"/>
        <n v="16001108" u="1"/>
        <n v="16001341" u="1"/>
        <n v="16000417" u="1"/>
        <n v="16000650" u="1"/>
        <n v="16001116" u="1"/>
        <n v="16000192" u="1"/>
        <n v="16000425" u="1"/>
        <n v="16000891" u="1"/>
        <n v="16001124" u="1"/>
        <n v="16001357" u="1"/>
        <n v="16000200" u="1"/>
        <n v="16000433" u="1"/>
        <n v="16000666" u="1"/>
        <n v="16001132" u="1"/>
        <n v="16001365" u="1"/>
        <n v="16000208" u="1"/>
        <n v="16000441" u="1"/>
        <n v="16000674" u="1"/>
        <n v="16001140" u="1"/>
        <n v="16001373" u="1"/>
        <n v="16048158" u="1"/>
        <n v="16048391" u="1"/>
        <n v="16000216" u="1"/>
        <n v="16000449" u="1"/>
        <n v="16000682" u="1"/>
        <n v="16000915" u="1"/>
        <n v="16001148" u="1"/>
        <n v="16048166" u="1"/>
        <n v="16000224" u="1"/>
        <n v="16000690" u="1"/>
        <n v="16000923" u="1"/>
        <n v="16001156" u="1"/>
        <n v="16001389" u="1"/>
        <n v="16000007" u="1"/>
        <n v="16000232" u="1"/>
        <n v="16000465" u="1"/>
        <n v="16000931" u="1"/>
        <n v="16001164" u="1"/>
        <n v="16001397" u="1"/>
        <n v="16000240" u="1"/>
        <n v="16000706" u="1"/>
        <n v="16000939" u="1"/>
        <n v="16001172" u="1"/>
        <n v="16001405" u="1"/>
        <n v="16048423" u="1"/>
        <n v="16000023" u="1"/>
        <n v="16000481" u="1"/>
        <n v="16000714" u="1"/>
        <n v="16000947" u="1"/>
        <n v="16001180" u="1"/>
        <n v="16001413" u="1"/>
        <n v="16048198" u="1"/>
        <n v="16048431" u="1"/>
        <n v="16000955" u="1"/>
        <n v="16001188" u="1"/>
        <n v="16001421" u="1"/>
        <n v="16000039" u="1"/>
        <n v="16000264" u="1"/>
        <n v="16000497" u="1"/>
        <n v="16000730" u="1"/>
        <n v="16000963" u="1"/>
        <n v="16048214" u="1"/>
        <n v="16000272" u="1"/>
        <n v="16000505" u="1"/>
        <n v="16000971" u="1"/>
        <n v="16001204" u="1"/>
        <n v="16000280" u="1"/>
        <n v="16000513" u="1"/>
        <n v="16000746" u="1"/>
        <n v="16000979" u="1"/>
        <n v="16001445" u="1"/>
        <n v="16000063" u="1"/>
        <n v="16000288" u="1"/>
        <n v="16000754" u="1"/>
        <n v="16000987" u="1"/>
        <n v="16001453" u="1"/>
        <n v="16000071" u="1"/>
        <n v="16000529" u="1"/>
        <n v="16000762" u="1"/>
        <n v="16000995" u="1"/>
        <n v="16001228" u="1"/>
        <n v="16001461" u="1"/>
        <n v="16000079" u="1"/>
        <n v="16000304" u="1"/>
        <n v="16000537" u="1"/>
        <n v="16001236" u="1"/>
        <n v="16001469" u="1"/>
        <n v="16048254" u="1"/>
        <n v="16000087" u="1"/>
        <n v="16000312" u="1"/>
        <n v="16000545" u="1"/>
        <n v="16000778" u="1"/>
        <n v="16001011" u="1"/>
        <n v="16001244" u="1"/>
        <n v="16001477" u="1"/>
        <n v="16048262" u="1"/>
        <n v="16000095" u="1"/>
        <n v="16000320" u="1"/>
        <n v="16000553" u="1"/>
        <n v="16000786" u="1"/>
        <n v="16001019" u="1"/>
        <n v="16001252" u="1"/>
        <n v="16001485" u="1"/>
        <n v="16000561" u="1"/>
        <n v="16000794" u="1"/>
        <n v="16001027" u="1"/>
        <n v="16001493" u="1"/>
        <n v="16000111" u="1"/>
        <n v="16000336" u="1"/>
        <n v="16000569" u="1"/>
        <n v="16000802" u="1"/>
        <n v="16001035" u="1"/>
        <n v="16001268" u="1"/>
        <n v="16001501" u="1"/>
        <n v="16000119" u="1"/>
        <n v="16000344" u="1"/>
        <n v="16000577" u="1"/>
        <n v="16000810" u="1"/>
        <n v="16001276" u="1"/>
        <n v="16001509" u="1"/>
        <n v="16000127" u="1"/>
        <n v="16000352" u="1"/>
        <n v="16000818" u="1"/>
        <n v="16001051" u="1"/>
        <n v="16001284" u="1"/>
        <n v="16001517" u="1"/>
        <n v="16048302" u="1"/>
        <n v="16000135" u="1"/>
        <n v="16000593" u="1"/>
        <n v="16001059" u="1"/>
        <n v="16001292" u="1"/>
        <n v="16001525" u="1"/>
        <n v="16000143" u="1"/>
        <n v="16000368" u="1"/>
        <n v="16000601" u="1"/>
        <n v="16000834" u="1"/>
        <n v="16001067" u="1"/>
        <n v="16000151" u="1"/>
        <n v="16000376" u="1"/>
        <n v="16000609" u="1"/>
        <n v="16000842" u="1"/>
        <n v="16001075" u="1"/>
        <n v="16001308" u="1"/>
        <n v="16000159" u="1"/>
        <n v="16000384" u="1"/>
        <n v="16000617" u="1"/>
        <n v="16000850" u="1"/>
        <n v="16001083" u="1"/>
        <n v="16001316" u="1"/>
        <n v="16000167" u="1"/>
        <n v="16000392" u="1"/>
        <n v="16000625" u="1"/>
        <n v="16000858" u="1"/>
        <n v="16001091" u="1"/>
        <n v="16001324" u="1"/>
        <n v="16000400" u="1"/>
        <n v="16000633" u="1"/>
        <n v="16000866" u="1"/>
        <n v="16001099" u="1"/>
        <n v="16001332" u="1"/>
        <n v="16000408" u="1"/>
        <n v="16000641" u="1"/>
        <n v="16000874" u="1"/>
        <n v="16001107" u="1"/>
        <n v="16001340" u="1"/>
        <n v="16000416" u="1"/>
        <n v="16000649" u="1"/>
        <n v="16000882" u="1"/>
        <n v="16001115" u="1"/>
        <n v="16001348" u="1"/>
        <n v="16000199" u="1"/>
        <n v="16000657" u="1"/>
        <n v="16000890" u="1"/>
        <n v="16001123" u="1"/>
        <n v="16001356" u="1"/>
        <n v="16048374" u="1"/>
        <n v="16000207" u="1"/>
        <n v="16000432" u="1"/>
        <n v="16000665" u="1"/>
        <n v="16001131" u="1"/>
        <n v="16001364" u="1"/>
        <n v="16000215" u="1"/>
        <n v="16000440" u="1"/>
        <n v="16000673" u="1"/>
        <n v="16000906" u="1"/>
        <n v="16001139" u="1"/>
        <n v="16001372" u="1"/>
        <n v="16000223" u="1"/>
        <n v="16000448" u="1"/>
        <n v="16000681" u="1"/>
        <n v="16000914" u="1"/>
        <n v="16001380" u="1"/>
        <n v="16000231" u="1"/>
        <n v="16000456" u="1"/>
        <n v="16000689" u="1"/>
        <n v="16000922" u="1"/>
        <n v="16001155" u="1"/>
        <n v="16001388" u="1"/>
        <n v="16000006" u="1"/>
        <n v="16000697" u="1"/>
        <n v="16000930" u="1"/>
        <n v="16001163" u="1"/>
        <n v="16001396" u="1"/>
        <n v="16000014" u="1"/>
        <n v="16000247" u="1"/>
        <n v="16000705" u="1"/>
        <n v="16000938" u="1"/>
        <n v="16001404" u="1"/>
        <n v="16001637" u="1"/>
        <n v="16000022" u="1"/>
        <n v="16000480" u="1"/>
        <n v="16000713" u="1"/>
        <n v="16000946" u="1"/>
        <n v="16001179" u="1"/>
        <n v="16001412" u="1"/>
        <n v="16000263" u="1"/>
        <n v="16000721" u="1"/>
        <n v="16000954" u="1"/>
        <n v="16001187" u="1"/>
        <n v="16001420" u="1"/>
        <n v="16001653" u="1"/>
        <n v="16000038" u="1"/>
        <n v="16000271" u="1"/>
        <n v="16000729" u="1"/>
        <n v="16000962" u="1"/>
        <n v="16001195" u="1"/>
        <n v="16000046" u="1"/>
        <n v="16000279" u="1"/>
        <n v="16000504" u="1"/>
        <n v="16000737" u="1"/>
        <n v="16000970" u="1"/>
        <n v="16000054" u="1"/>
        <n v="16000287" u="1"/>
        <n v="16000512" u="1"/>
        <n v="16000745" u="1"/>
        <n v="16001211" u="1"/>
        <n v="16001444" u="1"/>
        <n v="16000062" u="1"/>
        <n v="16000295" u="1"/>
        <n v="16000520" u="1"/>
        <n v="16000753" u="1"/>
        <n v="16001219" u="1"/>
        <n v="16001452" u="1"/>
        <n v="16000070" u="1"/>
        <n v="16000303" u="1"/>
        <n v="16000528" u="1"/>
        <n v="16000761" u="1"/>
        <n v="16000994" u="1"/>
        <n v="16001227" u="1"/>
        <n v="16001460" u="1"/>
        <n v="16000078" u="1"/>
        <n v="16000536" u="1"/>
        <n v="16000769" u="1"/>
        <n v="16001235" u="1"/>
        <n v="16001468" u="1"/>
        <n v="16000319" u="1"/>
        <n v="16000777" u="1"/>
        <n v="16001010" u="1"/>
        <n v="16001243" u="1"/>
        <n v="16000094" u="1"/>
        <n v="16000327" u="1"/>
        <n v="16000552" u="1"/>
        <n v="16000785" u="1"/>
        <n v="16001018" u="1"/>
        <n v="16001251" u="1"/>
        <n v="16001484" u="1"/>
        <n v="16000335" u="1"/>
        <n v="16000560" u="1"/>
        <n v="16000793" u="1"/>
        <n v="16001026" u="1"/>
        <n v="16001259" u="1"/>
        <n v="16001492" u="1"/>
        <n v="16000110" u="1"/>
        <n v="16000343" u="1"/>
        <n v="16000568" u="1"/>
        <n v="16000801" u="1"/>
        <n v="16001034" u="1"/>
        <n v="16001267" u="1"/>
        <n v="16001500" u="1"/>
        <n v="16000118" u="1"/>
        <n v="16000351" u="1"/>
        <n v="16000576" u="1"/>
        <n v="16000809" u="1"/>
        <n v="16001042" u="1"/>
        <n v="16001275" u="1"/>
        <n v="16001508" u="1"/>
        <n v="16000126" u="1"/>
        <n v="16000359" u="1"/>
        <n v="16000584" u="1"/>
        <n v="16000817" u="1"/>
        <n v="16001050" u="1"/>
        <n v="16001283" u="1"/>
        <n v="16001516" u="1"/>
        <n v="16000134" u="1"/>
        <n v="16000592" u="1"/>
        <n v="16000825" u="1"/>
        <n v="16001291" u="1"/>
        <n v="16001524" u="1"/>
        <n v="16000142" u="1"/>
        <n v="16000375" u="1"/>
        <n v="16000600" u="1"/>
        <n v="16000833" u="1"/>
        <n v="16001066" u="1"/>
        <n v="16001532" u="1"/>
        <n v="16000150" u="1"/>
        <n v="16000383" u="1"/>
        <n v="16000608" u="1"/>
        <n v="16000841" u="1"/>
        <n v="16001074" u="1"/>
        <n v="16001307" u="1"/>
        <n v="16001540" u="1"/>
        <n v="16000158" u="1"/>
        <n v="16000391" u="1"/>
        <n v="16000616" u="1"/>
        <n v="16000849" u="1"/>
        <n v="16001082" u="1"/>
        <n v="16001315" u="1"/>
        <n v="16000399" u="1"/>
        <n v="16000624" u="1"/>
        <n v="16000857" u="1"/>
        <n v="16001323" u="1"/>
        <n v="16000174" u="1"/>
        <n v="16000407" u="1"/>
        <n v="16000632" u="1"/>
        <n v="16000865" u="1"/>
        <n v="16001098" u="1"/>
        <n v="16001331" u="1"/>
        <n v="16000182" u="1"/>
        <n v="16000415" u="1"/>
        <n v="16000640" u="1"/>
        <n v="16000873" u="1"/>
        <n v="16001106" u="1"/>
        <n v="16001339" u="1"/>
        <n v="16000190" u="1"/>
        <n v="16000423" u="1"/>
        <n v="16000648" u="1"/>
        <n v="16000881" u="1"/>
        <n v="16001114" u="1"/>
        <n v="16001347" u="1"/>
        <n v="16001580" u="1"/>
        <n v="16000198" u="1"/>
        <n v="16000431" u="1"/>
        <n v="16000656" u="1"/>
        <n v="16000889" u="1"/>
        <n v="16001355" u="1"/>
        <n v="16000206" u="1"/>
        <n v="16000439" u="1"/>
        <n v="16000664" u="1"/>
        <n v="16001130" u="1"/>
        <n v="16001363" u="1"/>
        <n v="16001596" u="1"/>
        <n v="16000214" u="1"/>
        <n v="16000447" u="1"/>
        <n v="16000672" u="1"/>
        <n v="16001138" u="1"/>
        <n v="16000222" u="1"/>
        <n v="16000455" u="1"/>
        <n v="16000680" u="1"/>
        <n v="16000913" u="1"/>
        <n v="16001146" u="1"/>
        <n v="16001379" u="1"/>
        <n v="16000230" u="1"/>
        <n v="16000688" u="1"/>
        <n v="16000921" u="1"/>
        <n v="16001154" u="1"/>
        <n v="16001387" u="1"/>
        <n v="16000238" u="1"/>
        <n v="16000471" u="1"/>
        <n v="16000696" u="1"/>
        <n v="16000929" u="1"/>
        <n v="16001162" u="1"/>
        <n v="16001395" u="1"/>
        <n v="16000479" u="1"/>
        <n v="16000704" u="1"/>
        <n v="16000937" u="1"/>
        <n v="16001170" u="1"/>
        <n v="16001403" u="1"/>
        <n v="16000254" u="1"/>
        <n v="16000487" u="1"/>
        <n v="16000945" u="1"/>
        <n v="16001178" u="1"/>
        <n v="16001411" u="1"/>
        <n v="16001644" u="1"/>
        <n v="16000262" u="1"/>
        <n v="16000720" u="1"/>
        <n v="16000953" u="1"/>
        <n v="16001186" u="1"/>
        <n v="16001419" u="1"/>
        <n v="16000270" u="1"/>
        <n v="16000503" u="1"/>
        <n v="16000728" u="1"/>
        <n v="16000961" u="1"/>
        <n v="16001194" u="1"/>
        <n v="16001427" u="1"/>
        <n v="16001660" u="1"/>
        <n v="16000511" u="1"/>
        <n v="16000969" u="1"/>
        <n v="16001202" u="1"/>
        <n v="16001435" u="1"/>
        <n v="16000286" u="1"/>
        <n v="16000519" u="1"/>
        <n v="16000744" u="1"/>
        <n v="16000977" u="1"/>
        <n v="16001210" u="1"/>
        <n v="16000294" u="1"/>
        <n v="16000527" u="1"/>
        <n v="16000752" u="1"/>
        <n v="16000985" u="1"/>
        <n v="16001218" u="1"/>
        <n v="16001451" u="1"/>
        <n v="16000302" u="1"/>
        <n v="16000535" u="1"/>
        <n v="16000760" u="1"/>
        <n v="16000993" u="1"/>
        <n v="16001226" u="1"/>
        <n v="16000543" u="1"/>
        <n v="16000768" u="1"/>
        <n v="16001001" u="1"/>
        <n v="16001234" u="1"/>
        <n v="16001467" u="1"/>
        <n v="16000318" u="1"/>
        <n v="16000551" u="1"/>
        <n v="16001009" u="1"/>
        <n v="16001242" u="1"/>
        <n v="16000559" u="1"/>
        <n v="16000784" u="1"/>
        <n v="16001017" u="1"/>
        <n v="16001250" u="1"/>
        <n v="16001483" u="1"/>
        <n v="16000334" u="1"/>
        <n v="16000567" u="1"/>
        <n v="16000792" u="1"/>
        <n v="16001025" u="1"/>
        <n v="16001258" u="1"/>
        <n v="16001491" u="1"/>
        <n v="16000342" u="1"/>
        <n v="16000575" u="1"/>
        <n v="16000800" u="1"/>
        <n v="16001266" u="1"/>
        <n v="16001499" u="1"/>
        <n v="16000350" u="1"/>
        <n v="16000583" u="1"/>
        <n v="16000808" u="1"/>
        <n v="16001041" u="1"/>
        <n v="16001274" u="1"/>
        <n v="16001507" u="1"/>
        <n v="16000358" u="1"/>
        <n v="16000591" u="1"/>
        <n v="16001049" u="1"/>
        <n v="16001282" u="1"/>
        <n v="16001515" u="1"/>
        <n v="16000366" u="1"/>
        <n v="16000599" u="1"/>
        <n v="16000824" u="1"/>
        <n v="16001290" u="1"/>
        <n v="16001523" u="1"/>
        <n v="16000374" u="1"/>
        <n v="16000607" u="1"/>
        <n v="16000832" u="1"/>
        <n v="16001065" u="1"/>
        <n v="16001531" u="1"/>
        <n v="16000382" u="1"/>
        <n v="16000615" u="1"/>
        <n v="16000840" u="1"/>
        <n v="16001073" u="1"/>
        <n v="16001306" u="1"/>
        <n v="16000390" u="1"/>
        <n v="16000848" u="1"/>
        <n v="16001081" u="1"/>
        <n v="16001314" u="1"/>
        <n v="16000398" u="1"/>
        <n v="16000631" u="1"/>
        <n v="16000856" u="1"/>
        <n v="16001322" u="1"/>
        <n v="16000406" u="1"/>
        <n v="16000864" u="1"/>
        <n v="16001097" u="1"/>
        <n v="16000414" u="1"/>
        <n v="16000647" u="1"/>
        <n v="16001105" u="1"/>
        <n v="16001338" u="1"/>
        <n v="16000655" u="1"/>
        <n v="16000880" u="1"/>
        <n v="16001346" u="1"/>
        <n v="16000430" u="1"/>
        <n v="16001121" u="1"/>
        <n v="16001354" u="1"/>
        <n v="16000671" u="1"/>
        <n v="16001362" u="1"/>
        <n v="16001595" u="1"/>
        <n v="16000446" u="1"/>
        <n v="16000679" u="1"/>
        <n v="16000904" u="1"/>
        <n v="16001370" u="1"/>
        <n v="16000454" u="1"/>
        <n v="16000687" u="1"/>
        <n v="16000912" u="1"/>
        <n v="16001145" u="1"/>
        <n v="16001378" u="1"/>
        <n v="16001611" u="1"/>
        <n v="16000695" u="1"/>
        <n v="16000920" u="1"/>
        <n v="16001153" u="1"/>
        <n v="16001386" u="1"/>
        <n v="16000470" u="1"/>
        <n v="16000703" u="1"/>
        <n v="16000928" u="1"/>
        <n v="16001161" u="1"/>
        <n v="16000478" u="1"/>
        <n v="16000711" u="1"/>
        <n v="16000936" u="1"/>
        <n v="16001169" u="1"/>
        <n v="16001402" u="1"/>
        <n v="16000719" u="1"/>
        <n v="16001177" u="1"/>
        <n v="16000727" u="1"/>
        <n v="16000952" u="1"/>
        <n v="16001418" u="1"/>
        <n v="16000502" u="1"/>
        <n v="16000735" u="1"/>
        <n v="16000960" u="1"/>
        <n v="16001193" u="1"/>
        <n v="16001426" u="1"/>
        <n v="16000743" u="1"/>
        <n v="16000968" u="1"/>
        <n v="16001201" u="1"/>
        <n v="16001434" u="1"/>
        <n v="16000518" u="1"/>
        <n v="16000751" u="1"/>
        <n v="16000976" u="1"/>
        <n v="16001209" u="1"/>
        <n v="16001442" u="1"/>
        <n v="16000526" u="1"/>
        <n v="16000984" u="1"/>
        <n v="16001217" u="1"/>
        <n v="16001450" u="1"/>
        <n v="16001916" u="1"/>
        <n v="16000534" u="1"/>
        <n v="16000767" u="1"/>
        <n v="16001225" u="1"/>
        <n v="16000542" u="1"/>
        <n v="16000775" u="1"/>
        <n v="16001233" u="1"/>
        <n v="16001466" u="1"/>
        <n v="16000550" u="1"/>
        <n v="16000783" u="1"/>
        <n v="16001008" u="1"/>
        <n v="16001241" u="1"/>
        <n v="16001474" u="1"/>
        <n v="16000558" u="1"/>
        <n v="16000791" u="1"/>
        <n v="16001016" u="1"/>
        <n v="16001249" u="1"/>
        <n v="16001482" u="1"/>
        <n v="16000566" u="1"/>
        <n v="16000799" u="1"/>
        <n v="16001024" u="1"/>
        <n v="16001257" u="1"/>
        <n v="16001490" u="1"/>
        <n v="16000574" u="1"/>
        <n v="16000807" u="1"/>
        <n v="16001032" u="1"/>
        <n v="16001265" u="1"/>
        <n v="16001498" u="1"/>
        <n v="16000582" u="1"/>
        <n v="16001040" u="1"/>
        <n v="16001273" u="1"/>
        <n v="16001506" u="1"/>
        <n v="16000590" u="1"/>
        <n v="16000823" u="1"/>
        <n v="16001048" u="1"/>
        <n v="16000598" u="1"/>
        <n v="16000831" u="1"/>
        <n v="16001289" u="1"/>
        <n v="16001522" u="1"/>
        <n v="16000606" u="1"/>
        <n v="16000839" u="1"/>
        <n v="16001530" u="1"/>
        <n v="16000614" u="1"/>
        <n v="16001072" u="1"/>
        <n v="16001305" u="1"/>
        <n v="16002237" u="1"/>
        <n v="16000622" u="1"/>
        <n v="16000855" u="1"/>
        <n v="16001313" u="1"/>
        <n v="16000630" u="1"/>
        <n v="16001088" u="1"/>
        <n v="16001321" u="1"/>
        <n v="16000638" u="1"/>
        <n v="16000871" u="1"/>
        <n v="16001096" u="1"/>
        <n v="16000646" u="1"/>
        <n v="16000879" u="1"/>
        <n v="16001104" u="1"/>
        <n v="16001337" u="1"/>
        <n v="16000654" u="1"/>
        <n v="16000887" u="1"/>
        <n v="16001112" u="1"/>
        <n v="16001345" u="1"/>
        <n v="16002277" u="1"/>
        <n v="16000662" u="1"/>
        <n v="16000895" u="1"/>
        <n v="16001120" u="1"/>
        <n v="16001353" u="1"/>
        <n v="16002285" u="1"/>
        <n v="16000670" u="1"/>
        <n v="16001361" u="1"/>
        <n v="16000678" u="1"/>
        <n v="16000911" u="1"/>
        <n v="16001136" u="1"/>
        <n v="16001369" u="1"/>
        <n v="16000686" u="1"/>
        <n v="16001144" u="1"/>
        <n v="16001377" u="1"/>
        <n v="16000694" u="1"/>
        <n v="16000927" u="1"/>
        <n v="16001152" u="1"/>
        <n v="16001385" u="1"/>
        <n v="16000702" u="1"/>
        <n v="16000935" u="1"/>
        <n v="16001160" u="1"/>
        <n v="16001393" u="1"/>
        <n v="16000710" u="1"/>
        <n v="16000943" u="1"/>
        <n v="16001168" u="1"/>
        <n v="16001401" u="1"/>
        <n v="16000718" u="1"/>
        <n v="16000951" u="1"/>
        <n v="16001176" u="1"/>
        <n v="16000726" u="1"/>
        <n v="16000959" u="1"/>
        <n v="16001184" u="1"/>
        <n v="16001417" u="1"/>
        <n v="16000734" u="1"/>
        <n v="16000967" u="1"/>
        <n v="16001192" u="1"/>
        <n v="16001425" u="1"/>
        <n v="16002357" u="1"/>
        <n v="16000742" u="1"/>
        <n v="16000975" u="1"/>
        <n v="16001433" u="1"/>
        <n v="16001666" u="1"/>
        <n v="16002132" u="1"/>
        <n v="16000750" u="1"/>
        <n v="16000983" u="1"/>
        <n v="16001208" u="1"/>
        <n v="16001441" u="1"/>
        <n v="16000758" u="1"/>
        <n v="16000991" u="1"/>
        <n v="16001216" u="1"/>
        <n v="16001915" u="1"/>
        <n v="16000766" u="1"/>
        <n v="16000999" u="1"/>
        <n v="16001224" u="1"/>
        <n v="16001457" u="1"/>
        <n v="16000774" u="1"/>
        <n v="16001007" u="1"/>
        <n v="16001232" u="1"/>
        <n v="16001465" u="1"/>
        <n v="16002397" u="1"/>
        <n v="16000782" u="1"/>
        <n v="16001015" u="1"/>
        <n v="16001240" u="1"/>
        <n v="16001473" u="1"/>
        <n v="16002405" u="1"/>
        <n v="16000790" u="1"/>
        <n v="16001023" u="1"/>
        <n v="16001248" u="1"/>
        <n v="16001481" u="1"/>
        <n v="16002413" u="1"/>
        <n v="16000798" u="1"/>
        <n v="16001031" u="1"/>
        <n v="16001489" u="1"/>
        <n v="16002421" u="1"/>
        <n v="16000806" u="1"/>
        <n v="16001039" u="1"/>
        <n v="16001264" u="1"/>
        <n v="16001497" u="1"/>
        <n v="16002429" u="1"/>
        <n v="16001047" u="1"/>
        <n v="16001272" u="1"/>
        <n v="16001505" u="1"/>
        <n v="16002437" u="1"/>
        <n v="16000822" u="1"/>
        <n v="16001055" u="1"/>
        <n v="16001280" u="1"/>
        <n v="16001513" u="1"/>
        <n v="16002445" u="1"/>
        <n v="16000830" u="1"/>
        <n v="16001063" u="1"/>
        <n v="16001288" u="1"/>
        <n v="16001521" u="1"/>
        <n v="16002220" u="1"/>
        <n v="16002453" u="1"/>
        <n v="16000838" u="1"/>
        <n v="16001071" u="1"/>
        <n v="16001529" u="1"/>
        <n v="16002461" u="1"/>
        <n v="16000846" u="1"/>
        <n v="16001079" u="1"/>
        <n v="16001304" u="1"/>
        <n v="16002469" u="1"/>
        <n v="16000854" u="1"/>
        <n v="16001087" u="1"/>
        <n v="16001312" u="1"/>
        <n v="16002244" u="1"/>
        <n v="16000862" u="1"/>
        <n v="16001095" u="1"/>
        <n v="16001320" u="1"/>
        <n v="16002485" u="1"/>
        <n v="16000870" u="1"/>
        <n v="16001103" u="1"/>
        <n v="16001328" u="1"/>
        <n v="16002260" u="1"/>
        <n v="16002493" u="1"/>
        <n v="16000878" u="1"/>
        <n v="16001111" u="1"/>
        <n v="16001569" u="1"/>
        <n v="16002268" u="1"/>
        <n v="16002501" u="1"/>
        <n v="16000886" u="1"/>
        <n v="16001119" u="1"/>
        <n v="16001344" u="1"/>
        <n v="16002509" u="1"/>
        <n v="16000894" u="1"/>
        <n v="16001127" u="1"/>
        <n v="16001352" u="1"/>
        <n v="16002284" u="1"/>
        <n v="16000902" u="1"/>
        <n v="16001135" u="1"/>
        <n v="16001360" u="1"/>
        <n v="16002525" u="1"/>
        <n v="16000910" u="1"/>
        <n v="16001143" u="1"/>
        <n v="16001368" u="1"/>
        <n v="16002533" u="1"/>
        <n v="16000918" u="1"/>
        <n v="16001151" u="1"/>
        <n v="16001376" u="1"/>
        <n v="16002541" u="1"/>
        <n v="16000926" u="1"/>
        <n v="16001159" u="1"/>
        <n v="16001384" u="1"/>
        <n v="16000934" u="1"/>
        <n v="16001167" u="1"/>
        <n v="16001392" u="1"/>
        <n v="16002557" u="1"/>
        <n v="16000942" u="1"/>
        <n v="16001175" u="1"/>
        <n v="16001400" u="1"/>
        <n v="16001866" u="1"/>
        <n v="16002565" u="1"/>
        <n v="16000950" u="1"/>
        <n v="16001183" u="1"/>
        <n v="16001408" u="1"/>
        <n v="16002573" u="1"/>
        <n v="16000958" u="1"/>
        <n v="16001191" u="1"/>
        <n v="16001416" u="1"/>
        <n v="16002581" u="1"/>
        <n v="16000966" u="1"/>
        <n v="16001199" u="1"/>
        <n v="16001424" u="1"/>
        <n v="16002589" u="1"/>
        <n v="16000974" u="1"/>
        <n v="16001432" u="1"/>
        <n v="16002597" u="1"/>
        <n v="16001215" u="1"/>
        <n v="16002605" u="1"/>
        <n v="16000990" u="1"/>
        <n v="16002613" u="1"/>
        <n v="16000998" u="1"/>
        <n v="16001231" u="1"/>
        <n v="16001456" u="1"/>
        <n v="16002396" u="1"/>
        <n v="16002629" u="1"/>
        <n v="16001247" u="1"/>
        <n v="16001472" u="1"/>
        <n v="16002637" u="1"/>
        <n v="16001255" u="1"/>
        <n v="16001480" u="1"/>
        <n v="16002412" u="1"/>
        <n v="16002645" u="1"/>
        <n v="16001263" u="1"/>
        <n v="16001488" u="1"/>
        <n v="16002420" u="1"/>
        <n v="16002653" u="1"/>
        <n v="16001038" u="1"/>
        <n v="16001271" u="1"/>
        <n v="16001496" u="1"/>
        <n v="16002428" u="1"/>
        <n v="16002661" u="1"/>
        <n v="16001046" u="1"/>
        <n v="16001279" u="1"/>
        <n v="16001504" u="1"/>
        <n v="16002436" u="1"/>
        <n v="16002669" u="1"/>
        <n v="16001287" u="1"/>
        <n v="16001512" u="1"/>
        <n v="16002677" u="1"/>
        <n v="16001295" u="1"/>
        <n v="16002452" u="1"/>
        <n v="16002685" u="1"/>
        <n v="16001070" u="1"/>
        <n v="16001303" u="1"/>
        <n v="16001528" u="1"/>
        <n v="16002460" u="1"/>
        <n v="16001078" u="1"/>
        <n v="16001311" u="1"/>
        <n v="16002235" u="1"/>
        <n v="16002468" u="1"/>
        <n v="16002701" u="1"/>
        <n v="16001086" u="1"/>
        <n v="16001319" u="1"/>
        <n v="16002243" u="1"/>
        <n v="16002476" u="1"/>
        <n v="16001094" u="1"/>
        <n v="16001327" u="1"/>
        <n v="16002251" u="1"/>
        <n v="16002484" u="1"/>
        <n v="16002717" u="1"/>
        <n v="16001102" u="1"/>
        <n v="16001335" u="1"/>
        <n v="16002492" u="1"/>
        <n v="16002725" u="1"/>
        <n v="16001110" u="1"/>
        <n v="16002267" u="1"/>
        <n v="16002500" u="1"/>
        <n v="16002733" u="1"/>
        <n v="16001118" u="1"/>
        <n v="16001351" u="1"/>
        <n v="16002275" u="1"/>
        <n v="16002508" u="1"/>
        <n v="16002741" u="1"/>
        <n v="16001126" u="1"/>
        <n v="16001359" u="1"/>
        <n v="16002516" u="1"/>
        <n v="16002749" u="1"/>
        <n v="16001134" u="1"/>
        <n v="16001367" u="1"/>
        <n v="16002524" u="1"/>
        <n v="16002757" u="1"/>
        <n v="16001142" u="1"/>
        <n v="16002532" u="1"/>
        <n v="16001150" u="1"/>
        <n v="16001383" u="1"/>
        <n v="16002540" u="1"/>
        <n v="16001158" u="1"/>
        <n v="16001391" u="1"/>
        <n v="16001616" u="1"/>
        <n v="16002548" u="1"/>
        <n v="16001166" u="1"/>
        <n v="16002556" u="1"/>
        <n v="16001174" u="1"/>
        <n v="16001407" u="1"/>
        <n v="16001865" u="1"/>
        <n v="16002564" u="1"/>
        <n v="16001415" u="1"/>
        <n v="16001423" u="1"/>
        <n v="16001198" u="1"/>
        <n v="16001431" u="1"/>
        <n v="16002588" u="1"/>
        <n v="16001206" u="1"/>
        <n v="16001664" u="1"/>
        <n v="16001214" u="1"/>
        <n v="16002604" u="1"/>
        <n v="16001222" u="1"/>
        <n v="16001455" u="1"/>
        <n v="16001913" u="1"/>
        <n v="16002612" u="1"/>
        <n v="16001230" u="1"/>
        <n v="16001238" u="1"/>
        <n v="16001471" u="1"/>
        <n v="16002628" u="1"/>
        <n v="16001246" u="1"/>
        <n v="16001479" u="1"/>
        <n v="16002636" u="1"/>
        <n v="16001487" u="1"/>
        <n v="16002411" u="1"/>
        <n v="16002644" u="1"/>
        <n v="16001262" u="1"/>
        <n v="16001495" u="1"/>
        <n v="16002186" u="1"/>
        <n v="16002419" u="1"/>
        <n v="16002652" u="1"/>
        <n v="16001503" u="1"/>
        <n v="16002427" u="1"/>
        <n v="16002660" u="1"/>
        <n v="16001511" u="1"/>
        <n v="16002435" u="1"/>
        <n v="16002668" u="1"/>
        <n v="16001519" u="1"/>
        <n v="16002443" u="1"/>
        <n v="16001294" u="1"/>
        <n v="16001527" u="1"/>
        <n v="16002451" u="1"/>
        <n v="16002684" u="1"/>
        <n v="16001302" u="1"/>
        <n v="16002692" u="1"/>
        <n v="16001310" u="1"/>
        <n v="16001543" u="1"/>
        <n v="16002234" u="1"/>
        <n v="16002467" u="1"/>
        <n v="16001318" u="1"/>
        <n v="16002009" u="1"/>
        <n v="16002242" u="1"/>
        <n v="16002475" u="1"/>
        <n v="16001326" u="1"/>
        <n v="16001334" u="1"/>
        <n v="16002258" u="1"/>
        <n v="16002491" u="1"/>
        <n v="16002724" u="1"/>
        <n v="16001342" u="1"/>
        <n v="16002266" u="1"/>
        <n v="16002732" u="1"/>
        <n v="16002274" u="1"/>
        <n v="16002507" u="1"/>
        <n v="16001358" u="1"/>
        <n v="16002748" u="1"/>
        <n v="16001366" u="1"/>
        <n v="16002523" u="1"/>
        <n v="16002756" u="1"/>
        <n v="16002531" u="1"/>
        <n v="16001382" u="1"/>
        <n v="16002539" u="1"/>
        <n v="16001390" u="1"/>
        <n v="16002555" u="1"/>
        <n v="16001406" u="1"/>
        <n v="16001639" u="1"/>
        <n v="16001864" u="1"/>
        <n v="16002563" u="1"/>
        <n v="16001414" u="1"/>
        <n v="16002571" u="1"/>
        <n v="16001422" u="1"/>
        <n v="16001655" u="1"/>
        <n v="16002579" u="1"/>
        <n v="16001430" u="1"/>
        <n v="16002587" u="1"/>
        <n v="16002595" u="1"/>
        <n v="16001446" u="1"/>
        <n v="16002603" u="1"/>
        <n v="16001454" u="1"/>
        <n v="16002611" u="1"/>
        <n v="16001462" u="1"/>
        <n v="16002619" u="1"/>
        <n v="16001470" u="1"/>
        <n v="16002627" u="1"/>
        <n v="16001478" u="1"/>
        <n v="16002635" u="1"/>
        <n v="16001486" u="1"/>
        <n v="16002410" u="1"/>
        <n v="16002643" u="1"/>
        <n v="16001494" u="1"/>
        <n v="16002418" u="1"/>
        <n v="16002651" u="1"/>
        <n v="16001502" u="1"/>
        <n v="16002426" u="1"/>
        <n v="16002659" u="1"/>
        <n v="16001510" u="1"/>
        <n v="16002434" u="1"/>
        <n v="16002667" u="1"/>
        <n v="16001518" u="1"/>
        <n v="16001526" u="1"/>
        <n v="16002450" u="1"/>
        <n v="16002683" u="1"/>
        <n v="16002458" u="1"/>
        <n v="16002691" u="1"/>
        <n v="16002466" u="1"/>
        <n v="16002699" u="1"/>
        <n v="16002474" u="1"/>
        <n v="16002707" u="1"/>
        <n v="16002249" u="1"/>
        <n v="16002482" u="1"/>
        <n v="16002715" u="1"/>
        <n v="16002257" u="1"/>
        <n v="16002490" u="1"/>
        <n v="16002723" u="1"/>
        <n v="16002498" u="1"/>
        <n v="16002739" u="1"/>
        <n v="16002281" u="1"/>
        <n v="16001606" u="1"/>
        <n v="16002064" u="1"/>
        <n v="16002530" u="1"/>
        <n v="16002538" u="1"/>
        <n v="16002546" u="1"/>
        <n v="16002554" u="1"/>
        <n v="16001638" u="1"/>
        <n v="16002562" u="1"/>
        <n v="16002570" u="1"/>
        <n v="16001654" u="1"/>
        <n v="16002578" u="1"/>
        <n v="16001662" u="1"/>
        <n v="16002586" u="1"/>
        <n v="16002602" u="1"/>
        <n v="16002618" u="1"/>
        <n v="16002626" u="1"/>
        <n v="16002401" u="1"/>
        <n v="16002409" u="1"/>
        <n v="16002642" u="1"/>
        <n v="16002650" u="1"/>
        <n v="16002425" u="1"/>
        <n v="16002658" u="1"/>
        <n v="16002433" u="1"/>
        <n v="16002666" u="1"/>
        <n v="16002449" u="1"/>
        <n v="16002682" u="1"/>
        <n v="16002457" u="1"/>
        <n v="16002232" u="1"/>
        <n v="16002465" u="1"/>
        <n v="16002698" u="1"/>
        <n v="16002473" u="1"/>
        <n v="16002706" u="1"/>
        <n v="16002481" u="1"/>
        <n v="16002256" u="1"/>
        <n v="16002489" u="1"/>
        <n v="16002497" u="1"/>
        <n v="16002280" u="1"/>
        <n v="16002513" u="1"/>
        <n v="16002746" u="1"/>
        <n v="16002063" u="1"/>
        <n v="16002521" u="1"/>
        <n v="16002529" u="1"/>
        <n v="16002537" u="1"/>
        <n v="16002545" u="1"/>
        <n v="16002553" u="1"/>
        <n v="16002561" u="1"/>
        <n v="16002569" u="1"/>
        <n v="16002577" u="1"/>
        <n v="16002585" u="1"/>
        <n v="16002601" u="1"/>
        <n v="16002609" u="1"/>
        <n v="16002617" u="1"/>
        <n v="16002625" u="1"/>
        <n v="16002400" u="1"/>
        <n v="16002633" u="1"/>
        <n v="16002408" u="1"/>
        <n v="16002641" u="1"/>
        <n v="16002416" u="1"/>
        <n v="16002649" u="1"/>
        <n v="16002424" u="1"/>
        <n v="16002657" u="1"/>
        <n v="16002432" u="1"/>
        <n v="16002665" u="1"/>
        <n v="16002440" u="1"/>
        <n v="16002673" u="1"/>
        <n v="16002448" u="1"/>
        <n v="16002681" u="1"/>
        <n v="16002231" u="1"/>
        <n v="16002456" u="1"/>
        <n v="16002464" u="1"/>
        <n v="16002697" u="1"/>
        <n v="16002472" u="1"/>
        <n v="16002255" u="1"/>
        <n v="16002480" u="1"/>
        <n v="16002713" u="1"/>
        <n v="16002488" u="1"/>
        <n v="16002496" u="1"/>
        <n v="16002745" u="1"/>
        <n v="16002528" u="1"/>
        <n v="16002544" u="1"/>
        <n v="16002552" u="1"/>
        <n v="16002560" u="1"/>
        <n v="16002568" u="1"/>
        <n v="16002576" u="1"/>
        <n v="16002584" u="1"/>
        <n v="16002600" u="1"/>
        <n v="16002608" u="1"/>
        <n v="16002616" u="1"/>
        <n v="16002624" u="1"/>
        <n v="16002407" u="1"/>
        <n v="16002415" u="1"/>
        <n v="16002640" u="1"/>
        <n v="16002423" u="1"/>
        <n v="16002648" u="1"/>
        <n v="16002431" u="1"/>
        <n v="16002656" u="1"/>
        <n v="16002664" u="1"/>
        <n v="16002447" u="1"/>
        <n v="16002672" u="1"/>
        <n v="16002455" u="1"/>
        <n v="16002680" u="1"/>
        <n v="16002230" u="1"/>
        <n v="16002463" u="1"/>
        <n v="16002471" u="1"/>
        <n v="16002696" u="1"/>
        <n v="16002479" u="1"/>
        <n v="16002704" u="1"/>
        <n v="16002254" u="1"/>
        <n v="16002487" u="1"/>
        <n v="16002495" u="1"/>
        <n v="16002720" u="1"/>
        <n v="16002503" u="1"/>
        <n v="16002728" u="1"/>
        <n v="16002519" u="1"/>
        <n v="16002294" u="1"/>
        <n v="16002527" u="1"/>
        <n v="16002551" u="1"/>
        <n v="16002559" u="1"/>
        <n v="16002575" u="1"/>
        <n v="16002583" u="1"/>
        <n v="16002591" u="1"/>
        <n v="16002599" u="1"/>
        <n v="16002607" u="1"/>
        <n v="16002615" u="1"/>
        <n v="16002623" u="1"/>
        <n v="16002398" u="1"/>
        <n v="16002406" u="1"/>
        <n v="16002639" u="1"/>
        <n v="16002414" u="1"/>
        <n v="16002422" u="1"/>
        <n v="16002655" u="1"/>
        <n v="16002430" u="1"/>
        <n v="16002663" u="1"/>
        <n v="16002438" u="1"/>
        <n v="16002671" u="1"/>
        <n v="16002679" u="1"/>
        <n v="16002695" u="1"/>
        <n v="16002470" u="1"/>
        <n v="16002703" u="1"/>
        <n v="16002478" u="1"/>
        <n v="16002486" u="1"/>
        <n v="16002719" u="1"/>
        <n v="16002494" u="1"/>
        <n v="16002526" u="1"/>
        <n v="16002534" u="1"/>
        <n v="16002550" u="1"/>
        <n v="16002558" u="1"/>
        <n v="16002566" u="1"/>
        <n v="16002574" u="1"/>
        <n v="16002590" u="1"/>
        <n v="16002598" u="1"/>
        <n v="16002606" u="1"/>
        <n v="16002614" u="1"/>
        <n v="16002654" u="1"/>
        <n v="16002662" u="1"/>
        <n v="21006178" u="1"/>
        <n v="16002670" u="1"/>
        <n v="16002686" u="1"/>
        <n v="16002694" u="1"/>
        <n v="16002710" u="1"/>
        <n v="16002718" u="1"/>
        <n v="16002726" u="1"/>
        <n v="16002734" u="1"/>
      </sharedItems>
    </cacheField>
    <cacheField name="DRC as % of GRC " numFmtId="0" formula="'Depreciated Replacement Cost'/'Gross Replacement Cost'" databaseField="0"/>
  </cacheFields>
  <extLst>
    <ext xmlns:x14="http://schemas.microsoft.com/office/spreadsheetml/2009/9/main" uri="{725AE2AE-9491-48be-B2B4-4EB974FC3084}">
      <x14:pivotCacheDefinition pivotCacheId="15185822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3">
  <r>
    <x v="0"/>
    <m/>
    <m/>
    <m/>
    <m/>
    <m/>
    <m/>
    <m/>
    <m/>
    <m/>
    <m/>
    <m/>
    <m/>
    <m/>
    <m/>
    <m/>
    <m/>
    <n v="87.307424385278225"/>
    <n v="88.362922389435553"/>
    <n v="90.25698924444859"/>
    <n v="93.245700210511913"/>
    <n v="58"/>
    <n v="76.247713153021692"/>
    <n v="86.420779872042601"/>
    <n v="78.096645435392546"/>
    <n v="84.836398265009933"/>
    <n v="87.027971521651551"/>
    <n v="82.97687861271676"/>
    <n v="58"/>
    <n v="75.954059751399285"/>
    <n v="78.141481109435887"/>
    <n v="273"/>
    <n v="283"/>
    <n v="89"/>
    <n v="55"/>
    <n v="0"/>
    <n v="0.96594117851698802"/>
    <n v="0.95597299677135306"/>
    <n v="0.99467268949941368"/>
    <n v="1"/>
    <n v="0"/>
    <n v="1"/>
    <n v="0.96483439728617226"/>
    <n v="0"/>
    <n v="0"/>
    <n v="0"/>
    <n v="0"/>
    <n v="0"/>
    <n v="0"/>
    <n v="134"/>
    <n v="101"/>
    <n v="7"/>
    <n v="26"/>
    <n v="0"/>
    <n v="0"/>
    <n v="0"/>
    <n v="0"/>
    <n v="0"/>
    <n v="0"/>
    <n v="1885707.6590073826"/>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r>
    <x v="1"/>
    <m/>
    <m/>
    <m/>
    <m/>
    <m/>
    <m/>
    <m/>
    <m/>
    <m/>
    <m/>
    <m/>
    <m/>
    <m/>
    <m/>
    <m/>
    <m/>
    <m/>
    <m/>
    <m/>
    <m/>
    <m/>
    <m/>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92">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r>
    <m/>
    <m/>
    <x v="0"/>
    <m/>
    <x v="0"/>
    <x v="0"/>
    <x v="0"/>
    <m/>
    <x v="0"/>
    <x v="0"/>
    <x v="0"/>
    <x v="0"/>
    <x v="0"/>
    <x v="0"/>
    <x v="0"/>
    <x v="0"/>
    <x v="0"/>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2">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r>
    <x v="0"/>
    <x v="0"/>
    <m/>
    <m/>
    <x v="0"/>
    <x v="0"/>
    <m/>
    <m/>
    <m/>
    <m/>
    <m/>
    <m/>
    <m/>
    <m/>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A63702-1138-4757-82B6-D221547EE2FD}" name="PivotTable1" cacheId="2" applyNumberFormats="0" applyBorderFormats="0" applyFontFormats="0" applyPatternFormats="0" applyAlignmentFormats="0" applyWidthHeightFormats="1" dataCaption="Values" updatedVersion="8" minRefreshableVersion="3" enableDrill="0" useAutoFormatting="1" rowGrandTotals="0" colGrandTotals="0" itemPrintTitles="1" createdVersion="6" indent="0" compact="0" outline="1" outlineData="1" compactData="0" multipleFieldFilters="0" chartFormat="1" customListSort="0">
  <location ref="G62:O64" firstHeaderRow="0" firstDataRow="1" firstDataCol="2"/>
  <pivotFields count="17">
    <pivotField name="Structure ID" compact="0" showAll="0">
      <items count="7583">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h="1" m="1" x="60"/>
        <item h="1" m="1" x="61"/>
        <item h="1" m="1" x="62"/>
        <item h="1" m="1" x="63"/>
        <item h="1" m="1" x="64"/>
        <item h="1" m="1" x="65"/>
        <item h="1" m="1" x="66"/>
        <item h="1" m="1" x="67"/>
        <item h="1" m="1" x="68"/>
        <item h="1" m="1" x="69"/>
        <item h="1" m="1" x="70"/>
        <item h="1" m="1" x="71"/>
        <item h="1" m="1" x="72"/>
        <item h="1" m="1" x="73"/>
        <item h="1" m="1" x="74"/>
        <item h="1" m="1" x="75"/>
        <item h="1" m="1" x="76"/>
        <item h="1" m="1" x="77"/>
        <item h="1" m="1" x="78"/>
        <item h="1" m="1" x="79"/>
        <item h="1" m="1" x="80"/>
        <item h="1" m="1" x="81"/>
        <item h="1" m="1" x="82"/>
        <item h="1" m="1" x="83"/>
        <item h="1" m="1" x="84"/>
        <item h="1" m="1" x="85"/>
        <item h="1" m="1" x="86"/>
        <item h="1" m="1" x="87"/>
        <item h="1" m="1" x="88"/>
        <item h="1" m="1" x="89"/>
        <item h="1" m="1" x="90"/>
        <item h="1" m="1" x="91"/>
        <item h="1" m="1" x="92"/>
        <item h="1" m="1" x="93"/>
        <item h="1" m="1" x="94"/>
        <item h="1" m="1" x="95"/>
        <item h="1" m="1" x="96"/>
        <item h="1" m="1" x="97"/>
        <item h="1" m="1" x="98"/>
        <item h="1" m="1" x="99"/>
        <item h="1" m="1" x="100"/>
        <item h="1" m="1" x="101"/>
        <item h="1" m="1" x="102"/>
        <item h="1" m="1" x="103"/>
        <item h="1" m="1" x="104"/>
        <item h="1" m="1" x="105"/>
        <item h="1" m="1" x="106"/>
        <item h="1" m="1" x="107"/>
        <item h="1" m="1" x="108"/>
        <item h="1" m="1" x="109"/>
        <item h="1" m="1" x="110"/>
        <item h="1" m="1" x="111"/>
        <item h="1" m="1" x="112"/>
        <item h="1" m="1" x="113"/>
        <item h="1" m="1" x="114"/>
        <item h="1" m="1" x="115"/>
        <item h="1" m="1" x="116"/>
        <item h="1" m="1" x="117"/>
        <item h="1" m="1" x="118"/>
        <item h="1" m="1" x="119"/>
        <item h="1" m="1" x="120"/>
        <item h="1" m="1" x="121"/>
        <item h="1" m="1" x="122"/>
        <item h="1" m="1" x="123"/>
        <item h="1" m="1" x="124"/>
        <item h="1" m="1" x="125"/>
        <item h="1" m="1" x="126"/>
        <item h="1" m="1" x="127"/>
        <item h="1" m="1" x="128"/>
        <item h="1" m="1" x="129"/>
        <item h="1" m="1" x="130"/>
        <item h="1" m="1" x="131"/>
        <item h="1" m="1" x="132"/>
        <item h="1" m="1" x="133"/>
        <item h="1" m="1" x="134"/>
        <item h="1" m="1" x="135"/>
        <item h="1" m="1" x="136"/>
        <item h="1" m="1" x="137"/>
        <item h="1" m="1" x="138"/>
        <item h="1" m="1" x="139"/>
        <item h="1" m="1" x="140"/>
        <item h="1" m="1" x="141"/>
        <item h="1" m="1" x="142"/>
        <item h="1" m="1" x="143"/>
        <item h="1" m="1" x="144"/>
        <item h="1" m="1" x="145"/>
        <item h="1" m="1" x="146"/>
        <item h="1" m="1" x="147"/>
        <item h="1" m="1" x="148"/>
        <item h="1" m="1" x="149"/>
        <item h="1" m="1" x="150"/>
        <item h="1" m="1" x="151"/>
        <item h="1" m="1" x="152"/>
        <item h="1" m="1" x="153"/>
        <item h="1" m="1" x="154"/>
        <item h="1" m="1" x="155"/>
        <item h="1" m="1" x="156"/>
        <item h="1" m="1" x="157"/>
        <item h="1" m="1" x="158"/>
        <item h="1" m="1" x="159"/>
        <item h="1" m="1" x="160"/>
        <item h="1" m="1" x="161"/>
        <item h="1" m="1" x="162"/>
        <item h="1" m="1" x="163"/>
        <item h="1" m="1" x="164"/>
        <item h="1" m="1" x="165"/>
        <item h="1" m="1" x="166"/>
        <item h="1" m="1" x="167"/>
        <item h="1" m="1" x="168"/>
        <item h="1" m="1" x="169"/>
        <item h="1" m="1" x="170"/>
        <item h="1" m="1" x="171"/>
        <item h="1" m="1" x="172"/>
        <item h="1" m="1" x="173"/>
        <item h="1" m="1" x="174"/>
        <item h="1" m="1" x="175"/>
        <item h="1" m="1" x="176"/>
        <item h="1" m="1" x="177"/>
        <item h="1" m="1" x="178"/>
        <item h="1" m="1" x="179"/>
        <item h="1" m="1" x="180"/>
        <item h="1" m="1" x="181"/>
        <item h="1" m="1" x="182"/>
        <item h="1" m="1" x="183"/>
        <item h="1" m="1" x="184"/>
        <item h="1" m="1" x="185"/>
        <item h="1" m="1" x="186"/>
        <item h="1" m="1" x="187"/>
        <item h="1" m="1" x="188"/>
        <item h="1" m="1" x="189"/>
        <item h="1" m="1" x="190"/>
        <item h="1" m="1" x="191"/>
        <item h="1" m="1" x="192"/>
        <item h="1" m="1" x="193"/>
        <item h="1" m="1" x="194"/>
        <item h="1" m="1" x="195"/>
        <item h="1" m="1" x="196"/>
        <item h="1" m="1" x="197"/>
        <item h="1" m="1" x="198"/>
        <item h="1" m="1" x="199"/>
        <item h="1" m="1" x="200"/>
        <item h="1" m="1" x="201"/>
        <item h="1" m="1" x="202"/>
        <item h="1" m="1" x="203"/>
        <item h="1" m="1" x="204"/>
        <item h="1" m="1" x="205"/>
        <item h="1" m="1" x="206"/>
        <item h="1" m="1" x="207"/>
        <item h="1" m="1" x="208"/>
        <item h="1" m="1" x="209"/>
        <item h="1" m="1" x="210"/>
        <item h="1" m="1" x="211"/>
        <item h="1" m="1" x="212"/>
        <item h="1" m="1" x="213"/>
        <item h="1" m="1" x="214"/>
        <item h="1" m="1" x="215"/>
        <item h="1" m="1" x="216"/>
        <item h="1" m="1" x="217"/>
        <item h="1" m="1" x="218"/>
        <item h="1" m="1" x="219"/>
        <item h="1" m="1" x="220"/>
        <item h="1" m="1" x="221"/>
        <item h="1" m="1" x="222"/>
        <item h="1" m="1" x="223"/>
        <item h="1" m="1" x="224"/>
        <item h="1" m="1" x="225"/>
        <item h="1" m="1" x="226"/>
        <item h="1" m="1" x="227"/>
        <item h="1" m="1" x="228"/>
        <item h="1" m="1" x="229"/>
        <item h="1" m="1" x="230"/>
        <item h="1" m="1" x="231"/>
        <item h="1" m="1" x="232"/>
        <item h="1" m="1" x="233"/>
        <item h="1" m="1" x="234"/>
        <item h="1" m="1" x="235"/>
        <item h="1" m="1" x="236"/>
        <item h="1" m="1" x="237"/>
        <item h="1" m="1" x="238"/>
        <item h="1" m="1" x="239"/>
        <item h="1" m="1" x="240"/>
        <item h="1" m="1" x="241"/>
        <item h="1" m="1" x="242"/>
        <item h="1" m="1" x="243"/>
        <item h="1" m="1" x="244"/>
        <item h="1" m="1" x="245"/>
        <item h="1" m="1" x="246"/>
        <item h="1" m="1" x="247"/>
        <item h="1" m="1" x="248"/>
        <item h="1" m="1" x="249"/>
        <item h="1" m="1" x="250"/>
        <item h="1" m="1" x="251"/>
        <item h="1" m="1" x="252"/>
        <item h="1" m="1" x="253"/>
        <item h="1" m="1" x="254"/>
        <item h="1" m="1" x="255"/>
        <item h="1" m="1" x="256"/>
        <item h="1" m="1" x="257"/>
        <item h="1" m="1" x="258"/>
        <item h="1" m="1" x="259"/>
        <item h="1" m="1" x="260"/>
        <item h="1" m="1" x="261"/>
        <item h="1" m="1" x="262"/>
        <item h="1" m="1" x="263"/>
        <item h="1" m="1" x="264"/>
        <item h="1" m="1" x="265"/>
        <item h="1" m="1" x="266"/>
        <item h="1" m="1" x="267"/>
        <item h="1" m="1" x="268"/>
        <item h="1" m="1" x="269"/>
        <item h="1" m="1" x="270"/>
        <item h="1" m="1" x="271"/>
        <item h="1" m="1" x="272"/>
        <item h="1" m="1" x="273"/>
        <item h="1" m="1" x="274"/>
        <item h="1" m="1" x="275"/>
        <item h="1" m="1" x="276"/>
        <item h="1" m="1" x="277"/>
        <item h="1" m="1" x="278"/>
        <item h="1" m="1" x="279"/>
        <item h="1" m="1" x="280"/>
        <item h="1" m="1" x="281"/>
        <item h="1" m="1" x="282"/>
        <item h="1" m="1" x="283"/>
        <item h="1" m="1" x="284"/>
        <item h="1" m="1" x="285"/>
        <item h="1" m="1" x="286"/>
        <item h="1" m="1" x="287"/>
        <item h="1" m="1" x="288"/>
        <item h="1" m="1" x="289"/>
        <item h="1" m="1" x="290"/>
        <item h="1" m="1" x="291"/>
        <item h="1" m="1" x="292"/>
        <item h="1" m="1" x="293"/>
        <item h="1" m="1" x="294"/>
        <item h="1" m="1" x="295"/>
        <item h="1" m="1" x="296"/>
        <item h="1" m="1" x="297"/>
        <item h="1" m="1" x="298"/>
        <item h="1" m="1" x="299"/>
        <item h="1" m="1" x="300"/>
        <item h="1" m="1" x="301"/>
        <item h="1" m="1" x="302"/>
        <item h="1" m="1" x="303"/>
        <item h="1" m="1" x="304"/>
        <item h="1" m="1" x="305"/>
        <item h="1" m="1" x="306"/>
        <item h="1" m="1" x="307"/>
        <item h="1" m="1" x="308"/>
        <item h="1" m="1" x="309"/>
        <item h="1" m="1" x="310"/>
        <item h="1" m="1" x="311"/>
        <item h="1" m="1" x="312"/>
        <item h="1" m="1" x="313"/>
        <item h="1" m="1" x="314"/>
        <item h="1" m="1" x="315"/>
        <item h="1" m="1" x="316"/>
        <item h="1" m="1" x="317"/>
        <item h="1" m="1" x="318"/>
        <item h="1" m="1" x="319"/>
        <item h="1" m="1" x="320"/>
        <item h="1" m="1" x="321"/>
        <item h="1" m="1" x="322"/>
        <item h="1" m="1" x="323"/>
        <item h="1" m="1" x="324"/>
        <item h="1" m="1" x="325"/>
        <item h="1" m="1" x="326"/>
        <item h="1" m="1" x="327"/>
        <item h="1" m="1" x="328"/>
        <item h="1" m="1" x="329"/>
        <item h="1" m="1" x="330"/>
        <item h="1" m="1" x="331"/>
        <item h="1" m="1" x="332"/>
        <item h="1" m="1" x="333"/>
        <item h="1" m="1" x="334"/>
        <item h="1" m="1" x="335"/>
        <item h="1" m="1" x="336"/>
        <item h="1" m="1" x="337"/>
        <item h="1" m="1" x="338"/>
        <item h="1" m="1" x="339"/>
        <item h="1" m="1" x="340"/>
        <item h="1" m="1" x="341"/>
        <item h="1" m="1" x="342"/>
        <item h="1" m="1" x="343"/>
        <item h="1" m="1" x="344"/>
        <item h="1" m="1" x="345"/>
        <item h="1" m="1" x="346"/>
        <item h="1" m="1" x="347"/>
        <item h="1" m="1" x="348"/>
        <item h="1" m="1" x="349"/>
        <item h="1" m="1" x="350"/>
        <item h="1" m="1" x="351"/>
        <item h="1" m="1" x="352"/>
        <item h="1" m="1" x="353"/>
        <item h="1" m="1" x="354"/>
        <item h="1" m="1" x="355"/>
        <item h="1" m="1" x="356"/>
        <item h="1" m="1" x="357"/>
        <item h="1" m="1" x="358"/>
        <item h="1" m="1" x="359"/>
        <item h="1" m="1" x="360"/>
        <item h="1" m="1" x="361"/>
        <item h="1" m="1" x="362"/>
        <item h="1" m="1" x="363"/>
        <item h="1" m="1" x="364"/>
        <item h="1" m="1" x="365"/>
        <item h="1" m="1" x="366"/>
        <item h="1" m="1" x="367"/>
        <item h="1" m="1" x="368"/>
        <item h="1" m="1" x="369"/>
        <item h="1" m="1" x="370"/>
        <item h="1" m="1" x="371"/>
        <item h="1" m="1" x="372"/>
        <item h="1" m="1" x="373"/>
        <item h="1" m="1" x="374"/>
        <item h="1" m="1" x="375"/>
        <item h="1" m="1" x="376"/>
        <item h="1" m="1" x="377"/>
        <item h="1" m="1" x="378"/>
        <item h="1" m="1" x="379"/>
        <item h="1" m="1" x="380"/>
        <item h="1" m="1" x="381"/>
        <item h="1" m="1" x="382"/>
        <item h="1" m="1" x="383"/>
        <item h="1" m="1" x="384"/>
        <item h="1" m="1" x="385"/>
        <item h="1" m="1" x="386"/>
        <item h="1" m="1" x="387"/>
        <item h="1" m="1" x="388"/>
        <item h="1" m="1" x="389"/>
        <item h="1" m="1" x="390"/>
        <item h="1" m="1" x="391"/>
        <item h="1" m="1" x="392"/>
        <item h="1" m="1" x="393"/>
        <item h="1" m="1" x="394"/>
        <item h="1" m="1" x="395"/>
        <item h="1" m="1" x="396"/>
        <item h="1" m="1" x="397"/>
        <item h="1" m="1" x="398"/>
        <item h="1" m="1" x="399"/>
        <item h="1" m="1" x="400"/>
        <item h="1" m="1" x="401"/>
        <item h="1" m="1" x="402"/>
        <item h="1" m="1" x="403"/>
        <item h="1" m="1" x="404"/>
        <item h="1" m="1" x="405"/>
        <item h="1" m="1" x="406"/>
        <item h="1" m="1" x="407"/>
        <item h="1" m="1" x="408"/>
        <item h="1" m="1" x="409"/>
        <item h="1" m="1" x="410"/>
        <item h="1" m="1" x="411"/>
        <item h="1" m="1" x="412"/>
        <item h="1" m="1" x="413"/>
        <item h="1" m="1" x="414"/>
        <item h="1" m="1" x="415"/>
        <item h="1" m="1" x="416"/>
        <item h="1" m="1" x="417"/>
        <item h="1" m="1" x="418"/>
        <item h="1" m="1" x="419"/>
        <item h="1" m="1" x="420"/>
        <item h="1" m="1" x="421"/>
        <item h="1" m="1" x="422"/>
        <item h="1" m="1" x="423"/>
        <item h="1" m="1" x="424"/>
        <item h="1" m="1" x="425"/>
        <item h="1" m="1" x="426"/>
        <item h="1" m="1" x="427"/>
        <item h="1" m="1" x="428"/>
        <item h="1" m="1" x="429"/>
        <item h="1" m="1" x="430"/>
        <item h="1" m="1" x="431"/>
        <item h="1" m="1" x="432"/>
        <item h="1" m="1" x="433"/>
        <item h="1" m="1" x="434"/>
        <item h="1" m="1" x="435"/>
        <item h="1" m="1" x="436"/>
        <item h="1" m="1" x="437"/>
        <item h="1" m="1" x="438"/>
        <item h="1" m="1" x="439"/>
        <item h="1" m="1" x="440"/>
        <item h="1" m="1" x="441"/>
        <item h="1" m="1" x="442"/>
        <item h="1" m="1" x="443"/>
        <item h="1" m="1" x="444"/>
        <item h="1" m="1" x="445"/>
        <item h="1" m="1" x="446"/>
        <item h="1" m="1" x="447"/>
        <item h="1" m="1" x="448"/>
        <item h="1" m="1" x="449"/>
        <item h="1" m="1" x="450"/>
        <item h="1" m="1" x="451"/>
        <item h="1" m="1" x="452"/>
        <item h="1" m="1" x="453"/>
        <item h="1" m="1" x="454"/>
        <item h="1" m="1" x="455"/>
        <item h="1" m="1" x="456"/>
        <item h="1" m="1" x="457"/>
        <item h="1" m="1" x="458"/>
        <item h="1" m="1" x="459"/>
        <item h="1" m="1" x="460"/>
        <item h="1" m="1" x="461"/>
        <item h="1" m="1" x="462"/>
        <item h="1" m="1" x="463"/>
        <item h="1" m="1" x="464"/>
        <item h="1" m="1" x="465"/>
        <item h="1" m="1" x="466"/>
        <item h="1" m="1" x="467"/>
        <item h="1" m="1" x="468"/>
        <item h="1" m="1" x="469"/>
        <item h="1" m="1" x="470"/>
        <item h="1" m="1" x="471"/>
        <item h="1" m="1" x="472"/>
        <item h="1" m="1" x="473"/>
        <item h="1" m="1" x="474"/>
        <item h="1" m="1" x="475"/>
        <item h="1" m="1" x="476"/>
        <item h="1" m="1" x="477"/>
        <item h="1" m="1" x="478"/>
        <item h="1" m="1" x="479"/>
        <item h="1" m="1" x="480"/>
        <item h="1" m="1" x="481"/>
        <item h="1" m="1" x="482"/>
        <item h="1" m="1" x="483"/>
        <item h="1" m="1" x="484"/>
        <item h="1" m="1" x="485"/>
        <item h="1" m="1" x="486"/>
        <item h="1" m="1" x="487"/>
        <item h="1" m="1" x="488"/>
        <item h="1" m="1" x="489"/>
        <item h="1" m="1" x="490"/>
        <item h="1" m="1" x="491"/>
        <item h="1" m="1" x="492"/>
        <item h="1" m="1" x="493"/>
        <item h="1" m="1" x="494"/>
        <item h="1" m="1" x="495"/>
        <item h="1" m="1" x="496"/>
        <item h="1" m="1" x="497"/>
        <item h="1" m="1" x="498"/>
        <item h="1" m="1" x="499"/>
        <item h="1" m="1" x="500"/>
        <item h="1" m="1" x="501"/>
        <item h="1" m="1" x="502"/>
        <item h="1" m="1" x="503"/>
        <item h="1" m="1" x="504"/>
        <item h="1" m="1" x="505"/>
        <item h="1" m="1" x="506"/>
        <item h="1" m="1" x="507"/>
        <item h="1" m="1" x="508"/>
        <item h="1" m="1" x="509"/>
        <item h="1" m="1" x="510"/>
        <item h="1" m="1" x="511"/>
        <item h="1" m="1" x="512"/>
        <item h="1" m="1" x="513"/>
        <item h="1" m="1" x="514"/>
        <item h="1" m="1" x="515"/>
        <item h="1" m="1" x="516"/>
        <item h="1" m="1" x="517"/>
        <item h="1" m="1" x="518"/>
        <item h="1" m="1" x="519"/>
        <item h="1" m="1" x="520"/>
        <item h="1" m="1" x="521"/>
        <item h="1" m="1" x="522"/>
        <item h="1" m="1" x="523"/>
        <item h="1" m="1" x="524"/>
        <item h="1" m="1" x="525"/>
        <item h="1" m="1" x="526"/>
        <item h="1" m="1" x="527"/>
        <item h="1" m="1" x="528"/>
        <item h="1" m="1" x="529"/>
        <item h="1" m="1" x="530"/>
        <item h="1" m="1" x="531"/>
        <item h="1" m="1" x="532"/>
        <item h="1" m="1" x="533"/>
        <item h="1" m="1" x="534"/>
        <item h="1" m="1" x="535"/>
        <item h="1" m="1" x="536"/>
        <item h="1" m="1" x="537"/>
        <item h="1" m="1" x="538"/>
        <item h="1" m="1" x="539"/>
        <item h="1" m="1" x="540"/>
        <item h="1" m="1" x="541"/>
        <item h="1" m="1" x="542"/>
        <item h="1" m="1" x="543"/>
        <item h="1" m="1" x="544"/>
        <item h="1" m="1" x="545"/>
        <item h="1" m="1" x="546"/>
        <item h="1" m="1" x="547"/>
        <item h="1" m="1" x="548"/>
        <item h="1" m="1" x="549"/>
        <item h="1" m="1" x="550"/>
        <item h="1" m="1" x="551"/>
        <item h="1" m="1" x="552"/>
        <item h="1" m="1" x="553"/>
        <item h="1" m="1" x="554"/>
        <item h="1" m="1" x="555"/>
        <item h="1" m="1" x="556"/>
        <item h="1" m="1" x="557"/>
        <item h="1" m="1" x="558"/>
        <item h="1" m="1" x="559"/>
        <item h="1" m="1" x="560"/>
        <item h="1" m="1" x="561"/>
        <item h="1" m="1" x="562"/>
        <item h="1" m="1" x="563"/>
        <item h="1" m="1" x="564"/>
        <item h="1" m="1" x="565"/>
        <item h="1" m="1" x="566"/>
        <item h="1" m="1" x="567"/>
        <item h="1" m="1" x="568"/>
        <item h="1" m="1" x="569"/>
        <item h="1" m="1" x="570"/>
        <item h="1" m="1" x="571"/>
        <item h="1" m="1" x="572"/>
        <item h="1" m="1" x="573"/>
        <item h="1" m="1" x="574"/>
        <item h="1" m="1" x="575"/>
        <item h="1" m="1" x="576"/>
        <item h="1" m="1" x="577"/>
        <item h="1" m="1" x="578"/>
        <item h="1" m="1" x="579"/>
        <item h="1" m="1" x="580"/>
        <item h="1" m="1" x="581"/>
        <item h="1" m="1" x="582"/>
        <item h="1" m="1" x="583"/>
        <item h="1" m="1" x="584"/>
        <item h="1" m="1" x="585"/>
        <item h="1" m="1" x="586"/>
        <item h="1" m="1" x="587"/>
        <item h="1" m="1" x="588"/>
        <item h="1" m="1" x="589"/>
        <item h="1" m="1" x="590"/>
        <item h="1" m="1" x="591"/>
        <item h="1" m="1" x="592"/>
        <item h="1" m="1" x="593"/>
        <item h="1" m="1" x="594"/>
        <item h="1" m="1" x="595"/>
        <item h="1" m="1" x="596"/>
        <item h="1" m="1" x="597"/>
        <item h="1" m="1" x="598"/>
        <item h="1" m="1" x="599"/>
        <item h="1" m="1" x="600"/>
        <item h="1" m="1" x="601"/>
        <item h="1" m="1" x="602"/>
        <item h="1" m="1" x="603"/>
        <item h="1" m="1" x="604"/>
        <item h="1" m="1" x="605"/>
        <item h="1" m="1" x="606"/>
        <item h="1" m="1" x="607"/>
        <item h="1" m="1" x="608"/>
        <item h="1" m="1" x="609"/>
        <item h="1" m="1" x="610"/>
        <item h="1" m="1" x="611"/>
        <item h="1" m="1" x="612"/>
        <item h="1" m="1" x="613"/>
        <item h="1" m="1" x="614"/>
        <item h="1" m="1" x="615"/>
        <item h="1" m="1" x="616"/>
        <item h="1" m="1" x="617"/>
        <item h="1" m="1" x="618"/>
        <item h="1" m="1" x="619"/>
        <item h="1" m="1" x="620"/>
        <item h="1" m="1" x="621"/>
        <item h="1" m="1" x="622"/>
        <item h="1" m="1" x="623"/>
        <item h="1" m="1" x="624"/>
        <item h="1" m="1" x="625"/>
        <item h="1" m="1" x="626"/>
        <item h="1" m="1" x="627"/>
        <item h="1" m="1" x="628"/>
        <item h="1" m="1" x="629"/>
        <item h="1" m="1" x="630"/>
        <item h="1" m="1" x="631"/>
        <item h="1" m="1" x="632"/>
        <item h="1" m="1" x="633"/>
        <item h="1" m="1" x="634"/>
        <item h="1" m="1" x="635"/>
        <item h="1" m="1" x="636"/>
        <item h="1" m="1" x="637"/>
        <item h="1" m="1" x="638"/>
        <item h="1" m="1" x="639"/>
        <item h="1" m="1" x="640"/>
        <item h="1" m="1" x="641"/>
        <item h="1" m="1" x="642"/>
        <item h="1" m="1" x="643"/>
        <item h="1" m="1" x="644"/>
        <item h="1" m="1" x="645"/>
        <item h="1" m="1" x="646"/>
        <item h="1" m="1" x="647"/>
        <item h="1" m="1" x="648"/>
        <item h="1" m="1" x="649"/>
        <item h="1" m="1" x="650"/>
        <item h="1" m="1" x="651"/>
        <item h="1" m="1" x="652"/>
        <item h="1" m="1" x="1284"/>
        <item h="1" m="1" x="1390"/>
        <item h="1" m="1" x="1496"/>
        <item h="1" m="1" x="1602"/>
        <item h="1" m="1" x="1708"/>
        <item h="1" m="1" x="1815"/>
        <item h="1" m="1" x="1922"/>
        <item h="1" m="1" x="2029"/>
        <item h="1" m="1" x="2136"/>
        <item h="1" m="1" x="2243"/>
        <item h="1" m="1" x="2349"/>
        <item h="1" m="1" x="2455"/>
        <item h="1" m="1" x="2561"/>
        <item h="1" m="1" x="2667"/>
        <item h="1" m="1" x="2774"/>
        <item h="1" m="1" x="2881"/>
        <item h="1" m="1" x="2988"/>
        <item h="1" m="1" x="3095"/>
        <item h="1" m="1" x="3201"/>
        <item h="1" m="1" x="3307"/>
        <item h="1" m="1" x="3413"/>
        <item h="1" m="1" x="3519"/>
        <item h="1" m="1" x="3627"/>
        <item h="1" m="1" x="3735"/>
        <item h="1" m="1" x="3843"/>
        <item h="1" m="1" x="3951"/>
        <item h="1" m="1" x="4058"/>
        <item h="1" m="1" x="4165"/>
        <item h="1" m="1" x="4272"/>
        <item h="1" m="1" x="4379"/>
        <item h="1" m="1" x="4486"/>
        <item h="1" m="1" x="4593"/>
        <item h="1" m="1" x="4700"/>
        <item h="1" m="1" x="4807"/>
        <item h="1" m="1" x="4913"/>
        <item h="1" m="1" x="5019"/>
        <item h="1" m="1" x="5125"/>
        <item h="1" m="1" x="5232"/>
        <item h="1" m="1" x="5339"/>
        <item h="1" m="1" x="5446"/>
        <item h="1" m="1" x="5553"/>
        <item h="1" m="1" x="5660"/>
        <item h="1" m="1" x="5767"/>
        <item h="1" m="1" x="5873"/>
        <item h="1" m="1" x="5979"/>
        <item h="1" m="1" x="6085"/>
        <item h="1" m="1" x="6191"/>
        <item h="1" m="1" x="6297"/>
        <item h="1" m="1" x="6403"/>
        <item h="1" m="1" x="6509"/>
        <item h="1" m="1" x="6614"/>
        <item h="1" m="1" x="6719"/>
        <item h="1" m="1" x="6824"/>
        <item h="1" m="1" x="6929"/>
        <item h="1" m="1" x="7036"/>
        <item h="1" m="1" x="7143"/>
        <item h="1" m="1" x="7250"/>
        <item h="1" m="1" x="7357"/>
        <item h="1" m="1" x="7463"/>
        <item h="1" m="1" x="7569"/>
        <item h="1" m="1" x="747"/>
        <item h="1" m="1" x="853"/>
        <item h="1" m="1" x="959"/>
        <item h="1" m="1" x="1065"/>
        <item h="1" m="1" x="1171"/>
        <item h="1" m="1" x="1277"/>
        <item h="1" m="1" x="1384"/>
        <item h="1" m="1" x="1490"/>
        <item h="1" m="1" x="1596"/>
        <item h="1" m="1" x="1702"/>
        <item h="1" m="1" x="1809"/>
        <item h="1" m="1" x="1916"/>
        <item h="1" m="1" x="2023"/>
        <item h="1" m="1" x="2130"/>
        <item h="1" m="1" x="2237"/>
        <item h="1" m="1" x="2343"/>
        <item h="1" m="1" x="2449"/>
        <item h="1" m="1" x="2555"/>
        <item h="1" m="1" x="2661"/>
        <item h="1" m="1" x="2768"/>
        <item h="1" m="1" x="2875"/>
        <item h="1" m="1" x="2982"/>
        <item h="1" m="1" x="3089"/>
        <item h="1" m="1" x="3195"/>
        <item h="1" m="1" x="3301"/>
        <item h="1" m="1" x="3407"/>
        <item h="1" m="1" x="3513"/>
        <item h="1" m="1" x="3621"/>
        <item h="1" m="1" x="3729"/>
        <item h="1" m="1" x="3837"/>
        <item h="1" m="1" x="3945"/>
        <item h="1" m="1" x="4052"/>
        <item h="1" m="1" x="4159"/>
        <item h="1" m="1" x="4266"/>
        <item h="1" m="1" x="4373"/>
        <item h="1" m="1" x="4480"/>
        <item h="1" m="1" x="4587"/>
        <item h="1" m="1" x="4694"/>
        <item h="1" m="1" x="4801"/>
        <item h="1" m="1" x="4908"/>
        <item h="1" m="1" x="5014"/>
        <item h="1" m="1" x="5120"/>
        <item h="1" m="1" x="5227"/>
        <item h="1" m="1" x="5334"/>
        <item h="1" m="1" x="5441"/>
        <item h="1" m="1" x="5548"/>
        <item h="1" m="1" x="5655"/>
        <item h="1" m="1" x="5762"/>
        <item h="1" m="1" x="5868"/>
        <item h="1" m="1" x="5974"/>
        <item h="1" m="1" x="6080"/>
        <item h="1" m="1" x="6186"/>
        <item h="1" m="1" x="6292"/>
        <item h="1" m="1" x="6398"/>
        <item h="1" m="1" x="6504"/>
        <item h="1" m="1" x="6609"/>
        <item h="1" m="1" x="6714"/>
        <item h="1" m="1" x="6819"/>
        <item h="1" m="1" x="6924"/>
        <item h="1" m="1" x="7031"/>
        <item h="1" m="1" x="7138"/>
        <item h="1" m="1" x="7245"/>
        <item h="1" m="1" x="7352"/>
        <item h="1" m="1" x="7458"/>
        <item h="1" m="1" x="7564"/>
        <item h="1" m="1" x="742"/>
        <item h="1" m="1" x="848"/>
        <item h="1" m="1" x="954"/>
        <item h="1" m="1" x="1060"/>
        <item h="1" m="1" x="1166"/>
        <item h="1" m="1" x="1272"/>
        <item h="1" m="1" x="1379"/>
        <item h="1" m="1" x="1485"/>
        <item h="1" m="1" x="1591"/>
        <item h="1" m="1" x="1697"/>
        <item h="1" m="1" x="1803"/>
        <item h="1" m="1" x="1910"/>
        <item h="1" m="1" x="2017"/>
        <item h="1" m="1" x="2124"/>
        <item h="1" m="1" x="2231"/>
        <item h="1" m="1" x="2337"/>
        <item h="1" m="1" x="2443"/>
        <item h="1" m="1" x="2549"/>
        <item h="1" m="1" x="2655"/>
        <item h="1" m="1" x="2762"/>
        <item h="1" m="1" x="2869"/>
        <item h="1" m="1" x="2976"/>
        <item h="1" m="1" x="3083"/>
        <item h="1" m="1" x="3189"/>
        <item h="1" m="1" x="3295"/>
        <item h="1" m="1" x="3401"/>
        <item h="1" m="1" x="3507"/>
        <item h="1" m="1" x="3615"/>
        <item h="1" m="1" x="3723"/>
        <item h="1" m="1" x="3831"/>
        <item h="1" m="1" x="3939"/>
        <item h="1" m="1" x="4046"/>
        <item h="1" m="1" x="4153"/>
        <item h="1" m="1" x="4260"/>
        <item h="1" m="1" x="4367"/>
        <item h="1" m="1" x="4474"/>
        <item h="1" m="1" x="4581"/>
        <item h="1" m="1" x="4688"/>
        <item h="1" m="1" x="4795"/>
        <item h="1" m="1" x="4902"/>
        <item h="1" m="1" x="5008"/>
        <item h="1" m="1" x="5114"/>
        <item h="1" m="1" x="5220"/>
        <item h="1" m="1" x="5327"/>
        <item h="1" m="1" x="5434"/>
        <item h="1" m="1" x="5541"/>
        <item h="1" m="1" x="5648"/>
        <item h="1" m="1" x="5755"/>
        <item h="1" m="1" x="5861"/>
        <item h="1" m="1" x="5967"/>
        <item h="1" m="1" x="6073"/>
        <item h="1" m="1" x="6179"/>
        <item h="1" m="1" x="6285"/>
        <item h="1" m="1" x="6391"/>
        <item h="1" m="1" x="6497"/>
        <item h="1" m="1" x="6602"/>
        <item h="1" m="1" x="6707"/>
        <item h="1" m="1" x="6812"/>
        <item h="1" m="1" x="6917"/>
        <item h="1" m="1" x="7024"/>
        <item h="1" m="1" x="7131"/>
        <item h="1" m="1" x="7238"/>
        <item h="1" m="1" x="7345"/>
        <item h="1" m="1" x="7451"/>
        <item h="1" m="1" x="7557"/>
        <item h="1" m="1" x="735"/>
        <item h="1" m="1" x="841"/>
        <item h="1" m="1" x="947"/>
        <item h="1" m="1" x="1053"/>
        <item h="1" m="1" x="1159"/>
        <item h="1" m="1" x="1265"/>
        <item h="1" m="1" x="1372"/>
        <item h="1" m="1" x="1478"/>
        <item h="1" m="1" x="1584"/>
        <item h="1" m="1" x="1690"/>
        <item h="1" m="1" x="1796"/>
        <item h="1" m="1" x="1903"/>
        <item h="1" m="1" x="2010"/>
        <item h="1" m="1" x="2117"/>
        <item h="1" m="1" x="2224"/>
        <item h="1" m="1" x="2330"/>
        <item h="1" m="1" x="2436"/>
        <item h="1" m="1" x="2542"/>
        <item h="1" m="1" x="2648"/>
        <item h="1" m="1" x="2755"/>
        <item h="1" m="1" x="2862"/>
        <item h="1" m="1" x="2969"/>
        <item h="1" m="1" x="3076"/>
        <item h="1" m="1" x="3182"/>
        <item h="1" m="1" x="3288"/>
        <item h="1" m="1" x="3394"/>
        <item h="1" m="1" x="3500"/>
        <item h="1" m="1" x="3608"/>
        <item h="1" m="1" x="3716"/>
        <item h="1" m="1" x="3824"/>
        <item h="1" m="1" x="3932"/>
        <item h="1" m="1" x="4039"/>
        <item h="1" m="1" x="4146"/>
        <item h="1" m="1" x="4253"/>
        <item h="1" m="1" x="4360"/>
        <item h="1" m="1" x="4467"/>
        <item h="1" m="1" x="4574"/>
        <item h="1" m="1" x="4681"/>
        <item h="1" m="1" x="4788"/>
        <item h="1" m="1" x="4895"/>
        <item h="1" m="1" x="5001"/>
        <item h="1" m="1" x="5107"/>
        <item h="1" m="1" x="5213"/>
        <item h="1" m="1" x="5320"/>
        <item h="1" m="1" x="5427"/>
        <item h="1" m="1" x="5534"/>
        <item h="1" m="1" x="5641"/>
        <item h="1" m="1" x="5748"/>
        <item h="1" m="1" x="5854"/>
        <item h="1" m="1" x="5960"/>
        <item h="1" m="1" x="6066"/>
        <item h="1" m="1" x="6172"/>
        <item h="1" m="1" x="6278"/>
        <item h="1" m="1" x="6384"/>
        <item h="1" m="1" x="6490"/>
        <item h="1" m="1" x="6595"/>
        <item h="1" m="1" x="6700"/>
        <item h="1" m="1" x="6805"/>
        <item h="1" m="1" x="6910"/>
        <item h="1" m="1" x="7017"/>
        <item h="1" m="1" x="7124"/>
        <item h="1" m="1" x="7231"/>
        <item h="1" m="1" x="7338"/>
        <item h="1" m="1" x="7444"/>
        <item h="1" m="1" x="7550"/>
        <item h="1" m="1" x="728"/>
        <item h="1" m="1" x="834"/>
        <item h="1" m="1" x="940"/>
        <item h="1" m="1" x="1046"/>
        <item h="1" m="1" x="1152"/>
        <item h="1" m="1" x="1258"/>
        <item h="1" m="1" x="1365"/>
        <item h="1" m="1" x="1471"/>
        <item h="1" m="1" x="1577"/>
        <item h="1" m="1" x="1683"/>
        <item h="1" m="1" x="1789"/>
        <item h="1" m="1" x="1896"/>
        <item h="1" m="1" x="2003"/>
        <item h="1" m="1" x="2110"/>
        <item h="1" m="1" x="2217"/>
        <item h="1" m="1" x="2323"/>
        <item h="1" m="1" x="2429"/>
        <item h="1" m="1" x="2535"/>
        <item h="1" m="1" x="2641"/>
        <item h="1" m="1" x="2748"/>
        <item h="1" m="1" x="2855"/>
        <item h="1" m="1" x="2962"/>
        <item h="1" m="1" x="3069"/>
        <item h="1" m="1" x="3175"/>
        <item h="1" m="1" x="3281"/>
        <item h="1" m="1" x="3387"/>
        <item h="1" m="1" x="3493"/>
        <item h="1" m="1" x="3601"/>
        <item h="1" m="1" x="3709"/>
        <item h="1" m="1" x="3817"/>
        <item h="1" m="1" x="3925"/>
        <item h="1" m="1" x="4032"/>
        <item h="1" m="1" x="4139"/>
        <item h="1" m="1" x="4246"/>
        <item h="1" m="1" x="4353"/>
        <item h="1" m="1" x="4460"/>
        <item h="1" m="1" x="4567"/>
        <item h="1" m="1" x="4674"/>
        <item h="1" m="1" x="4781"/>
        <item h="1" m="1" x="4888"/>
        <item h="1" m="1" x="4994"/>
        <item h="1" m="1" x="5100"/>
        <item h="1" m="1" x="5206"/>
        <item h="1" m="1" x="5313"/>
        <item h="1" m="1" x="5420"/>
        <item h="1" m="1" x="5527"/>
        <item h="1" m="1" x="5634"/>
        <item h="1" m="1" x="5741"/>
        <item h="1" m="1" x="5847"/>
        <item h="1" m="1" x="5953"/>
        <item h="1" m="1" x="6059"/>
        <item h="1" m="1" x="6165"/>
        <item h="1" m="1" x="6271"/>
        <item h="1" m="1" x="6377"/>
        <item h="1" m="1" x="6483"/>
        <item h="1" m="1" x="6588"/>
        <item h="1" m="1" x="6693"/>
        <item h="1" m="1" x="6798"/>
        <item h="1" m="1" x="6903"/>
        <item h="1" m="1" x="7010"/>
        <item h="1" m="1" x="7117"/>
        <item h="1" m="1" x="7224"/>
        <item h="1" m="1" x="7331"/>
        <item h="1" m="1" x="7438"/>
        <item h="1" m="1" x="7544"/>
        <item h="1" m="1" x="722"/>
        <item h="1" m="1" x="828"/>
        <item h="1" m="1" x="934"/>
        <item h="1" m="1" x="1040"/>
        <item h="1" m="1" x="1146"/>
        <item h="1" m="1" x="1252"/>
        <item h="1" m="1" x="1359"/>
        <item h="1" m="1" x="1465"/>
        <item h="1" m="1" x="1571"/>
        <item h="1" m="1" x="1677"/>
        <item h="1" m="1" x="1783"/>
        <item h="1" m="1" x="1890"/>
        <item h="1" m="1" x="1997"/>
        <item h="1" m="1" x="2104"/>
        <item h="1" m="1" x="2211"/>
        <item h="1" m="1" x="2317"/>
        <item h="1" m="1" x="2423"/>
        <item h="1" m="1" x="2529"/>
        <item h="1" m="1" x="2635"/>
        <item h="1" m="1" x="2742"/>
        <item h="1" m="1" x="2849"/>
        <item h="1" m="1" x="2956"/>
        <item h="1" m="1" x="3063"/>
        <item h="1" m="1" x="3169"/>
        <item h="1" m="1" x="3275"/>
        <item h="1" m="1" x="3381"/>
        <item h="1" m="1" x="3487"/>
        <item h="1" m="1" x="3595"/>
        <item h="1" m="1" x="3703"/>
        <item h="1" m="1" x="3811"/>
        <item h="1" m="1" x="3919"/>
        <item h="1" m="1" x="4027"/>
        <item h="1" m="1" x="4134"/>
        <item h="1" m="1" x="4241"/>
        <item h="1" m="1" x="4348"/>
        <item h="1" m="1" x="4455"/>
        <item h="1" m="1" x="4562"/>
        <item h="1" m="1" x="4669"/>
        <item h="1" m="1" x="4776"/>
        <item h="1" m="1" x="4883"/>
        <item h="1" m="1" x="4989"/>
        <item h="1" m="1" x="5095"/>
        <item h="1" m="1" x="5201"/>
        <item h="1" m="1" x="5308"/>
        <item h="1" m="1" x="5415"/>
        <item h="1" m="1" x="5522"/>
        <item h="1" m="1" x="5629"/>
        <item h="1" m="1" x="5736"/>
        <item h="1" m="1" x="5842"/>
        <item h="1" m="1" x="5948"/>
        <item h="1" m="1" x="6054"/>
        <item h="1" m="1" x="6160"/>
        <item h="1" m="1" x="2739"/>
        <item h="1" m="1" x="6266"/>
        <item h="1" m="1" x="2846"/>
        <item h="1" m="1" x="6372"/>
        <item h="1" m="1" x="2953"/>
        <item h="1" m="1" x="6478"/>
        <item h="1" m="1" x="3060"/>
        <item h="1" m="1" x="6583"/>
        <item h="1" m="1" x="3166"/>
        <item h="1" m="1" x="6688"/>
        <item h="1" m="1" x="3272"/>
        <item h="1" m="1" x="6793"/>
        <item h="1" m="1" x="3378"/>
        <item h="1" m="1" x="6898"/>
        <item h="1" m="1" x="3484"/>
        <item h="1" m="1" x="7004"/>
        <item h="1" m="1" x="3591"/>
        <item h="1" m="1" x="7111"/>
        <item h="1" m="1" x="3699"/>
        <item h="1" m="1" x="7218"/>
        <item h="1" m="1" x="3807"/>
        <item h="1" m="1" x="7325"/>
        <item h="1" m="1" x="3915"/>
        <item h="1" m="1" x="7432"/>
        <item h="1" m="1" x="4023"/>
        <item h="1" m="1" x="7538"/>
        <item h="1" m="1" x="4130"/>
        <item h="1" m="1" x="716"/>
        <item h="1" m="1" x="4237"/>
        <item h="1" m="1" x="822"/>
        <item h="1" m="1" x="4344"/>
        <item h="1" m="1" x="928"/>
        <item h="1" m="1" x="4451"/>
        <item h="1" m="1" x="1034"/>
        <item h="1" m="1" x="4558"/>
        <item h="1" m="1" x="1140"/>
        <item h="1" m="1" x="4665"/>
        <item h="1" m="1" x="1246"/>
        <item h="1" m="1" x="4772"/>
        <item h="1" m="1" x="1353"/>
        <item h="1" m="1" x="4879"/>
        <item h="1" m="1" x="1459"/>
        <item h="1" m="1" x="4985"/>
        <item h="1" m="1" x="1565"/>
        <item h="1" m="1" x="5091"/>
        <item h="1" m="1" x="1671"/>
        <item h="1" m="1" x="5197"/>
        <item h="1" m="1" x="1777"/>
        <item h="1" m="1" x="5304"/>
        <item h="1" m="1" x="1884"/>
        <item h="1" m="1" x="5411"/>
        <item h="1" m="1" x="1991"/>
        <item h="1" m="1" x="5518"/>
        <item h="1" m="1" x="2098"/>
        <item h="1" m="1" x="5625"/>
        <item h="1" m="1" x="2205"/>
        <item h="1" m="1" x="5732"/>
        <item h="1" m="1" x="2311"/>
        <item h="1" m="1" x="5838"/>
        <item h="1" m="1" x="2417"/>
        <item h="1" m="1" x="5944"/>
        <item h="1" m="1" x="2523"/>
        <item h="1" m="1" x="6050"/>
        <item h="1" m="1" x="2629"/>
        <item h="1" m="1" x="6156"/>
        <item h="1" m="1" x="2735"/>
        <item h="1" m="1" x="6262"/>
        <item h="1" m="1" x="2842"/>
        <item h="1" m="1" x="6368"/>
        <item h="1" m="1" x="2949"/>
        <item h="1" m="1" x="6474"/>
        <item h="1" m="1" x="3056"/>
        <item h="1" m="1" x="6579"/>
        <item h="1" m="1" x="3162"/>
        <item h="1" m="1" x="6684"/>
        <item h="1" m="1" x="3268"/>
        <item h="1" m="1" x="6789"/>
        <item h="1" m="1" x="3374"/>
        <item h="1" m="1" x="6894"/>
        <item h="1" m="1" x="3480"/>
        <item h="1" m="1" x="7000"/>
        <item h="1" m="1" x="3587"/>
        <item h="1" m="1" x="7107"/>
        <item h="1" m="1" x="3695"/>
        <item h="1" m="1" x="7214"/>
        <item h="1" m="1" x="3803"/>
        <item h="1" m="1" x="7321"/>
        <item h="1" m="1" x="3911"/>
        <item h="1" m="1" x="7428"/>
        <item h="1" m="1" x="4019"/>
        <item h="1" m="1" x="7534"/>
        <item h="1" m="1" x="4126"/>
        <item h="1" m="1" x="712"/>
        <item h="1" m="1" x="4233"/>
        <item h="1" m="1" x="818"/>
        <item h="1" m="1" x="4340"/>
        <item h="1" m="1" x="924"/>
        <item h="1" m="1" x="4447"/>
        <item h="1" m="1" x="1030"/>
        <item h="1" m="1" x="4554"/>
        <item h="1" m="1" x="1136"/>
        <item h="1" m="1" x="4661"/>
        <item h="1" m="1" x="1242"/>
        <item h="1" m="1" x="4768"/>
        <item h="1" m="1" x="1349"/>
        <item h="1" m="1" x="4875"/>
        <item h="1" m="1" x="1455"/>
        <item h="1" m="1" x="4981"/>
        <item h="1" m="1" x="1561"/>
        <item h="1" m="1" x="5087"/>
        <item h="1" m="1" x="1667"/>
        <item h="1" m="1" x="5193"/>
        <item h="1" m="1" x="1773"/>
        <item h="1" m="1" x="5300"/>
        <item h="1" m="1" x="1880"/>
        <item h="1" m="1" x="5407"/>
        <item h="1" m="1" x="1987"/>
        <item h="1" m="1" x="5514"/>
        <item h="1" m="1" x="2094"/>
        <item h="1" m="1" x="5621"/>
        <item h="1" m="1" x="2201"/>
        <item h="1" m="1" x="5728"/>
        <item h="1" m="1" x="2307"/>
        <item h="1" m="1" x="5834"/>
        <item h="1" m="1" x="2413"/>
        <item h="1" m="1" x="5940"/>
        <item h="1" m="1" x="2519"/>
        <item h="1" m="1" x="6046"/>
        <item h="1" m="1" x="2625"/>
        <item h="1" m="1" x="6152"/>
        <item h="1" m="1" x="2731"/>
        <item h="1" m="1" x="6258"/>
        <item h="1" m="1" x="2838"/>
        <item h="1" m="1" x="6364"/>
        <item h="1" m="1" x="2945"/>
        <item h="1" m="1" x="6470"/>
        <item h="1" m="1" x="3052"/>
        <item h="1" m="1" x="6575"/>
        <item h="1" m="1" x="3158"/>
        <item h="1" m="1" x="6680"/>
        <item h="1" m="1" x="3264"/>
        <item h="1" m="1" x="6785"/>
        <item h="1" m="1" x="3370"/>
        <item h="1" m="1" x="6890"/>
        <item h="1" m="1" x="3476"/>
        <item h="1" m="1" x="6996"/>
        <item h="1" m="1" x="3583"/>
        <item h="1" m="1" x="7103"/>
        <item h="1" m="1" x="3691"/>
        <item h="1" m="1" x="7210"/>
        <item h="1" m="1" x="3799"/>
        <item h="1" m="1" x="7317"/>
        <item h="1" m="1" x="3907"/>
        <item h="1" m="1" x="7424"/>
        <item h="1" m="1" x="4015"/>
        <item h="1" m="1" x="7530"/>
        <item h="1" m="1" x="4122"/>
        <item h="1" m="1" x="708"/>
        <item h="1" m="1" x="4229"/>
        <item h="1" m="1" x="814"/>
        <item h="1" m="1" x="4336"/>
        <item h="1" m="1" x="920"/>
        <item h="1" m="1" x="4443"/>
        <item h="1" m="1" x="1026"/>
        <item h="1" m="1" x="4550"/>
        <item h="1" m="1" x="1132"/>
        <item h="1" m="1" x="4657"/>
        <item h="1" m="1" x="1238"/>
        <item h="1" m="1" x="4764"/>
        <item h="1" m="1" x="1345"/>
        <item h="1" m="1" x="4871"/>
        <item h="1" m="1" x="1451"/>
        <item h="1" m="1" x="4977"/>
        <item h="1" m="1" x="1557"/>
        <item h="1" m="1" x="5083"/>
        <item h="1" m="1" x="1663"/>
        <item h="1" m="1" x="5189"/>
        <item h="1" m="1" x="1769"/>
        <item h="1" m="1" x="5296"/>
        <item h="1" m="1" x="1876"/>
        <item h="1" m="1" x="5403"/>
        <item h="1" m="1" x="1983"/>
        <item h="1" m="1" x="5510"/>
        <item h="1" m="1" x="2090"/>
        <item h="1" m="1" x="5617"/>
        <item h="1" m="1" x="2197"/>
        <item h="1" m="1" x="5724"/>
        <item h="1" m="1" x="2303"/>
        <item h="1" m="1" x="5830"/>
        <item h="1" m="1" x="2409"/>
        <item h="1" m="1" x="5936"/>
        <item h="1" m="1" x="2515"/>
        <item h="1" m="1" x="6042"/>
        <item h="1" m="1" x="2621"/>
        <item h="1" m="1" x="6148"/>
        <item h="1" m="1" x="2727"/>
        <item h="1" m="1" x="6254"/>
        <item h="1" m="1" x="2834"/>
        <item h="1" m="1" x="6360"/>
        <item h="1" m="1" x="2941"/>
        <item h="1" m="1" x="6466"/>
        <item h="1" m="1" x="3048"/>
        <item h="1" m="1" x="6571"/>
        <item h="1" m="1" x="3154"/>
        <item h="1" m="1" x="6676"/>
        <item h="1" m="1" x="3260"/>
        <item h="1" m="1" x="6781"/>
        <item h="1" m="1" x="3366"/>
        <item h="1" m="1" x="6886"/>
        <item h="1" m="1" x="3472"/>
        <item h="1" m="1" x="6992"/>
        <item h="1" m="1" x="3579"/>
        <item h="1" m="1" x="7099"/>
        <item h="1" m="1" x="3687"/>
        <item h="1" m="1" x="7206"/>
        <item h="1" m="1" x="3795"/>
        <item h="1" m="1" x="7313"/>
        <item h="1" m="1" x="3903"/>
        <item h="1" m="1" x="7420"/>
        <item h="1" m="1" x="4011"/>
        <item h="1" m="1" x="7526"/>
        <item h="1" m="1" x="4118"/>
        <item h="1" m="1" x="704"/>
        <item h="1" m="1" x="4225"/>
        <item h="1" m="1" x="810"/>
        <item h="1" m="1" x="4332"/>
        <item h="1" m="1" x="916"/>
        <item h="1" m="1" x="4439"/>
        <item h="1" m="1" x="1022"/>
        <item h="1" m="1" x="4546"/>
        <item h="1" m="1" x="1128"/>
        <item h="1" m="1" x="4653"/>
        <item h="1" m="1" x="1234"/>
        <item h="1" m="1" x="4760"/>
        <item h="1" m="1" x="1341"/>
        <item h="1" m="1" x="4867"/>
        <item h="1" m="1" x="1447"/>
        <item h="1" m="1" x="4973"/>
        <item h="1" m="1" x="1553"/>
        <item h="1" m="1" x="5079"/>
        <item h="1" m="1" x="1659"/>
        <item h="1" m="1" x="5185"/>
        <item h="1" m="1" x="1765"/>
        <item h="1" m="1" x="5292"/>
        <item h="1" m="1" x="1872"/>
        <item h="1" m="1" x="5399"/>
        <item h="1" m="1" x="1979"/>
        <item h="1" m="1" x="5506"/>
        <item h="1" m="1" x="2086"/>
        <item h="1" m="1" x="5613"/>
        <item h="1" m="1" x="2193"/>
        <item h="1" m="1" x="5720"/>
        <item h="1" m="1" x="2299"/>
        <item h="1" m="1" x="5826"/>
        <item h="1" m="1" x="2405"/>
        <item h="1" m="1" x="5932"/>
        <item h="1" m="1" x="2511"/>
        <item h="1" m="1" x="6038"/>
        <item h="1" m="1" x="2617"/>
        <item h="1" m="1" x="6144"/>
        <item h="1" m="1" x="2723"/>
        <item h="1" m="1" x="6250"/>
        <item h="1" m="1" x="2830"/>
        <item h="1" m="1" x="6356"/>
        <item h="1" m="1" x="2937"/>
        <item h="1" m="1" x="6462"/>
        <item h="1" m="1" x="3044"/>
        <item h="1" m="1" x="6567"/>
        <item h="1" m="1" x="3150"/>
        <item h="1" m="1" x="6672"/>
        <item h="1" m="1" x="3256"/>
        <item h="1" m="1" x="6777"/>
        <item h="1" m="1" x="3362"/>
        <item h="1" m="1" x="6882"/>
        <item h="1" m="1" x="3468"/>
        <item h="1" m="1" x="6988"/>
        <item h="1" m="1" x="3575"/>
        <item h="1" m="1" x="7095"/>
        <item h="1" m="1" x="3683"/>
        <item h="1" m="1" x="7202"/>
        <item h="1" m="1" x="3791"/>
        <item h="1" m="1" x="7309"/>
        <item h="1" m="1" x="3899"/>
        <item h="1" m="1" x="7416"/>
        <item h="1" m="1" x="4007"/>
        <item h="1" m="1" x="7522"/>
        <item h="1" m="1" x="4114"/>
        <item h="1" m="1" x="700"/>
        <item h="1" m="1" x="4221"/>
        <item h="1" m="1" x="806"/>
        <item h="1" m="1" x="4328"/>
        <item h="1" m="1" x="912"/>
        <item h="1" m="1" x="4435"/>
        <item h="1" m="1" x="1018"/>
        <item h="1" m="1" x="4542"/>
        <item h="1" m="1" x="1124"/>
        <item h="1" m="1" x="4649"/>
        <item h="1" m="1" x="1230"/>
        <item h="1" m="1" x="4756"/>
        <item h="1" m="1" x="1337"/>
        <item h="1" m="1" x="4863"/>
        <item h="1" m="1" x="1443"/>
        <item h="1" m="1" x="4969"/>
        <item h="1" m="1" x="1549"/>
        <item h="1" m="1" x="5075"/>
        <item h="1" m="1" x="1655"/>
        <item h="1" m="1" x="5181"/>
        <item h="1" m="1" x="1761"/>
        <item h="1" m="1" x="5288"/>
        <item h="1" m="1" x="1868"/>
        <item h="1" m="1" x="5395"/>
        <item h="1" m="1" x="1975"/>
        <item h="1" m="1" x="5502"/>
        <item h="1" m="1" x="2082"/>
        <item h="1" m="1" x="5609"/>
        <item h="1" m="1" x="2189"/>
        <item h="1" m="1" x="5716"/>
        <item h="1" m="1" x="2295"/>
        <item h="1" m="1" x="5822"/>
        <item h="1" m="1" x="2401"/>
        <item h="1" m="1" x="5928"/>
        <item h="1" m="1" x="2507"/>
        <item h="1" m="1" x="6034"/>
        <item h="1" m="1" x="2613"/>
        <item h="1" m="1" x="6140"/>
        <item h="1" m="1" x="2719"/>
        <item h="1" m="1" x="6246"/>
        <item h="1" m="1" x="2826"/>
        <item h="1" m="1" x="6352"/>
        <item h="1" m="1" x="2933"/>
        <item h="1" m="1" x="6458"/>
        <item h="1" m="1" x="3040"/>
        <item h="1" m="1" x="6563"/>
        <item h="1" m="1" x="3146"/>
        <item h="1" m="1" x="6668"/>
        <item h="1" m="1" x="3252"/>
        <item h="1" m="1" x="6773"/>
        <item h="1" m="1" x="3358"/>
        <item h="1" m="1" x="6878"/>
        <item h="1" m="1" x="3464"/>
        <item h="1" m="1" x="6984"/>
        <item h="1" m="1" x="3571"/>
        <item h="1" m="1" x="7091"/>
        <item h="1" m="1" x="3679"/>
        <item h="1" m="1" x="7198"/>
        <item h="1" m="1" x="3787"/>
        <item h="1" m="1" x="7305"/>
        <item h="1" m="1" x="3895"/>
        <item h="1" m="1" x="7412"/>
        <item h="1" m="1" x="4003"/>
        <item h="1" m="1" x="7518"/>
        <item h="1" m="1" x="4110"/>
        <item h="1" m="1" x="696"/>
        <item h="1" m="1" x="4217"/>
        <item h="1" m="1" x="802"/>
        <item h="1" m="1" x="4324"/>
        <item h="1" m="1" x="908"/>
        <item h="1" m="1" x="4431"/>
        <item h="1" m="1" x="1014"/>
        <item h="1" m="1" x="4538"/>
        <item h="1" m="1" x="1120"/>
        <item h="1" m="1" x="4645"/>
        <item h="1" m="1" x="1226"/>
        <item h="1" m="1" x="4752"/>
        <item h="1" m="1" x="1333"/>
        <item h="1" m="1" x="4859"/>
        <item h="1" m="1" x="1439"/>
        <item h="1" m="1" x="4965"/>
        <item h="1" m="1" x="1545"/>
        <item h="1" m="1" x="5071"/>
        <item h="1" m="1" x="1651"/>
        <item h="1" m="1" x="5177"/>
        <item h="1" m="1" x="1757"/>
        <item h="1" m="1" x="5284"/>
        <item h="1" m="1" x="1864"/>
        <item h="1" m="1" x="5391"/>
        <item h="1" m="1" x="1971"/>
        <item h="1" m="1" x="5498"/>
        <item h="1" m="1" x="2078"/>
        <item h="1" m="1" x="5605"/>
        <item h="1" m="1" x="2185"/>
        <item h="1" m="1" x="5712"/>
        <item h="1" m="1" x="2291"/>
        <item h="1" m="1" x="5818"/>
        <item h="1" m="1" x="2397"/>
        <item h="1" m="1" x="5924"/>
        <item h="1" m="1" x="2503"/>
        <item h="1" m="1" x="6030"/>
        <item h="1" m="1" x="2609"/>
        <item h="1" m="1" x="6136"/>
        <item h="1" m="1" x="2715"/>
        <item h="1" m="1" x="6242"/>
        <item h="1" m="1" x="2822"/>
        <item h="1" m="1" x="6348"/>
        <item h="1" m="1" x="2929"/>
        <item h="1" m="1" x="6454"/>
        <item h="1" m="1" x="3036"/>
        <item h="1" m="1" x="6560"/>
        <item h="1" m="1" x="3143"/>
        <item h="1" m="1" x="6665"/>
        <item h="1" m="1" x="3249"/>
        <item h="1" m="1" x="6770"/>
        <item h="1" m="1" x="3355"/>
        <item h="1" m="1" x="6875"/>
        <item h="1" m="1" x="3461"/>
        <item h="1" m="1" x="6981"/>
        <item h="1" m="1" x="3568"/>
        <item h="1" m="1" x="7088"/>
        <item h="1" m="1" x="3676"/>
        <item h="1" m="1" x="7195"/>
        <item h="1" m="1" x="3784"/>
        <item h="1" m="1" x="7302"/>
        <item h="1" m="1" x="3892"/>
        <item h="1" m="1" x="7409"/>
        <item h="1" m="1" x="4000"/>
        <item h="1" m="1" x="7515"/>
        <item h="1" m="1" x="4107"/>
        <item h="1" m="1" x="693"/>
        <item h="1" m="1" x="4214"/>
        <item h="1" m="1" x="799"/>
        <item h="1" m="1" x="4321"/>
        <item h="1" m="1" x="905"/>
        <item h="1" m="1" x="4428"/>
        <item h="1" m="1" x="1011"/>
        <item h="1" m="1" x="4535"/>
        <item h="1" m="1" x="1117"/>
        <item h="1" m="1" x="4642"/>
        <item h="1" m="1" x="1223"/>
        <item h="1" m="1" x="4749"/>
        <item h="1" m="1" x="1330"/>
        <item h="1" m="1" x="4856"/>
        <item h="1" m="1" x="1436"/>
        <item h="1" m="1" x="4962"/>
        <item h="1" m="1" x="1542"/>
        <item h="1" m="1" x="5068"/>
        <item h="1" m="1" x="1648"/>
        <item h="1" m="1" x="5174"/>
        <item h="1" m="1" x="1754"/>
        <item h="1" m="1" x="5281"/>
        <item h="1" m="1" x="1861"/>
        <item h="1" m="1" x="5388"/>
        <item h="1" m="1" x="1968"/>
        <item h="1" m="1" x="5495"/>
        <item h="1" m="1" x="2075"/>
        <item h="1" m="1" x="5602"/>
        <item h="1" m="1" x="2182"/>
        <item h="1" m="1" x="5709"/>
        <item h="1" m="1" x="2288"/>
        <item h="1" m="1" x="5815"/>
        <item h="1" m="1" x="2394"/>
        <item h="1" m="1" x="5921"/>
        <item h="1" m="1" x="2500"/>
        <item h="1" m="1" x="6027"/>
        <item h="1" m="1" x="2606"/>
        <item h="1" m="1" x="6133"/>
        <item h="1" m="1" x="2712"/>
        <item h="1" m="1" x="6239"/>
        <item h="1" m="1" x="2819"/>
        <item h="1" m="1" x="6345"/>
        <item h="1" m="1" x="2926"/>
        <item h="1" m="1" x="6451"/>
        <item h="1" m="1" x="3033"/>
        <item h="1" m="1" x="6557"/>
        <item h="1" m="1" x="3140"/>
        <item h="1" m="1" x="6662"/>
        <item h="1" m="1" x="3246"/>
        <item h="1" m="1" x="6767"/>
        <item h="1" m="1" x="3352"/>
        <item h="1" m="1" x="6872"/>
        <item h="1" m="1" x="3458"/>
        <item h="1" m="1" x="6978"/>
        <item h="1" m="1" x="3565"/>
        <item h="1" m="1" x="7085"/>
        <item h="1" m="1" x="3673"/>
        <item h="1" m="1" x="7192"/>
        <item h="1" m="1" x="3781"/>
        <item h="1" m="1" x="7299"/>
        <item h="1" m="1" x="3889"/>
        <item h="1" m="1" x="7406"/>
        <item h="1" m="1" x="3997"/>
        <item h="1" m="1" x="7512"/>
        <item h="1" m="1" x="4104"/>
        <item h="1" m="1" x="690"/>
        <item h="1" m="1" x="4211"/>
        <item h="1" m="1" x="796"/>
        <item h="1" m="1" x="4318"/>
        <item h="1" m="1" x="902"/>
        <item h="1" m="1" x="4425"/>
        <item h="1" m="1" x="1008"/>
        <item h="1" m="1" x="4532"/>
        <item h="1" m="1" x="1114"/>
        <item h="1" m="1" x="4639"/>
        <item h="1" m="1" x="653"/>
        <item h="1" m="1" x="1220"/>
        <item h="1" m="1" x="4746"/>
        <item h="1" m="1" x="1327"/>
        <item h="1" m="1" x="4853"/>
        <item h="1" m="1" x="1433"/>
        <item h="1" m="1" x="4959"/>
        <item h="1" m="1" x="1539"/>
        <item h="1" m="1" x="5065"/>
        <item h="1" m="1" x="1645"/>
        <item h="1" m="1" x="5171"/>
        <item h="1" m="1" x="1751"/>
        <item h="1" m="1" x="5278"/>
        <item h="1" m="1" x="1858"/>
        <item h="1" m="1" x="5385"/>
        <item h="1" m="1" x="1965"/>
        <item h="1" m="1" x="5492"/>
        <item h="1" m="1" x="2072"/>
        <item h="1" m="1" x="5599"/>
        <item h="1" m="1" x="2179"/>
        <item h="1" m="1" x="5706"/>
        <item h="1" m="1" x="2285"/>
        <item h="1" m="1" x="5812"/>
        <item h="1" m="1" x="2391"/>
        <item h="1" m="1" x="5918"/>
        <item h="1" m="1" x="2497"/>
        <item h="1" m="1" x="6024"/>
        <item h="1" m="1" x="2603"/>
        <item h="1" m="1" x="6130"/>
        <item h="1" m="1" x="2709"/>
        <item h="1" m="1" x="6236"/>
        <item h="1" m="1" x="2816"/>
        <item h="1" m="1" x="6342"/>
        <item h="1" m="1" x="2923"/>
        <item h="1" m="1" x="6448"/>
        <item h="1" m="1" x="3030"/>
        <item h="1" m="1" x="6554"/>
        <item h="1" m="1" x="3137"/>
        <item h="1" m="1" x="6659"/>
        <item h="1" m="1" x="3243"/>
        <item h="1" m="1" x="6764"/>
        <item h="1" m="1" x="3349"/>
        <item h="1" m="1" x="6869"/>
        <item h="1" m="1" x="3455"/>
        <item h="1" m="1" x="6974"/>
        <item h="1" m="1" x="3561"/>
        <item h="1" m="1" x="7081"/>
        <item h="1" m="1" x="3669"/>
        <item h="1" m="1" x="7188"/>
        <item h="1" m="1" x="3777"/>
        <item h="1" m="1" x="7295"/>
        <item h="1" m="1" x="3885"/>
        <item h="1" m="1" x="7402"/>
        <item h="1" m="1" x="3993"/>
        <item h="1" m="1" x="7508"/>
        <item h="1" m="1" x="4100"/>
        <item h="1" m="1" x="686"/>
        <item h="1" m="1" x="4207"/>
        <item h="1" m="1" x="792"/>
        <item h="1" m="1" x="4314"/>
        <item h="1" m="1" x="898"/>
        <item h="1" m="1" x="4421"/>
        <item h="1" m="1" x="1004"/>
        <item h="1" m="1" x="4528"/>
        <item h="1" m="1" x="1110"/>
        <item h="1" m="1" x="4635"/>
        <item h="1" m="1" x="1216"/>
        <item h="1" m="1" x="4742"/>
        <item h="1" m="1" x="1323"/>
        <item h="1" m="1" x="4849"/>
        <item h="1" m="1" x="1429"/>
        <item h="1" m="1" x="4955"/>
        <item h="1" m="1" x="1535"/>
        <item h="1" m="1" x="5061"/>
        <item h="1" m="1" x="1641"/>
        <item h="1" m="1" x="5167"/>
        <item h="1" m="1" x="1747"/>
        <item h="1" m="1" x="5274"/>
        <item h="1" m="1" x="1854"/>
        <item h="1" m="1" x="5381"/>
        <item h="1" m="1" x="1961"/>
        <item h="1" m="1" x="5488"/>
        <item h="1" m="1" x="2068"/>
        <item h="1" m="1" x="5595"/>
        <item h="1" m="1" x="2175"/>
        <item h="1" m="1" x="5702"/>
        <item h="1" m="1" x="2281"/>
        <item h="1" m="1" x="5808"/>
        <item h="1" m="1" x="2387"/>
        <item h="1" m="1" x="5914"/>
        <item h="1" m="1" x="2493"/>
        <item h="1" m="1" x="6020"/>
        <item h="1" m="1" x="2599"/>
        <item h="1" m="1" x="6126"/>
        <item h="1" m="1" x="2705"/>
        <item h="1" m="1" x="6232"/>
        <item h="1" m="1" x="2812"/>
        <item h="1" m="1" x="6338"/>
        <item h="1" m="1" x="2919"/>
        <item h="1" m="1" x="6444"/>
        <item h="1" m="1" x="3026"/>
        <item h="1" m="1" x="6550"/>
        <item h="1" m="1" x="3133"/>
        <item h="1" m="1" x="6655"/>
        <item h="1" m="1" x="3239"/>
        <item h="1" m="1" x="6760"/>
        <item h="1" m="1" x="3345"/>
        <item h="1" m="1" x="6865"/>
        <item h="1" m="1" x="3451"/>
        <item h="1" m="1" x="6970"/>
        <item h="1" m="1" x="3557"/>
        <item h="1" m="1" x="7077"/>
        <item h="1" m="1" x="3665"/>
        <item h="1" m="1" x="7184"/>
        <item h="1" m="1" x="3773"/>
        <item h="1" m="1" x="7291"/>
        <item h="1" m="1" x="3881"/>
        <item h="1" m="1" x="7398"/>
        <item h="1" m="1" x="3989"/>
        <item h="1" m="1" x="7504"/>
        <item h="1" m="1" x="4096"/>
        <item h="1" m="1" x="682"/>
        <item h="1" m="1" x="4203"/>
        <item h="1" m="1" x="788"/>
        <item h="1" m="1" x="4310"/>
        <item h="1" m="1" x="894"/>
        <item h="1" m="1" x="4417"/>
        <item h="1" m="1" x="1000"/>
        <item h="1" m="1" x="4524"/>
        <item h="1" m="1" x="1106"/>
        <item h="1" m="1" x="4631"/>
        <item h="1" m="1" x="1212"/>
        <item h="1" m="1" x="4738"/>
        <item h="1" m="1" x="1319"/>
        <item h="1" m="1" x="4845"/>
        <item h="1" m="1" x="1425"/>
        <item h="1" m="1" x="4951"/>
        <item h="1" m="1" x="1531"/>
        <item h="1" m="1" x="5057"/>
        <item h="1" m="1" x="1637"/>
        <item h="1" m="1" x="5163"/>
        <item h="1" m="1" x="1743"/>
        <item h="1" m="1" x="5270"/>
        <item h="1" m="1" x="1850"/>
        <item h="1" m="1" x="5377"/>
        <item h="1" m="1" x="1957"/>
        <item h="1" m="1" x="5484"/>
        <item h="1" m="1" x="2064"/>
        <item h="1" m="1" x="5591"/>
        <item h="1" m="1" x="2171"/>
        <item h="1" m="1" x="5698"/>
        <item h="1" m="1" x="2277"/>
        <item h="1" m="1" x="5804"/>
        <item h="1" m="1" x="2383"/>
        <item h="1" m="1" x="5910"/>
        <item h="1" m="1" x="2489"/>
        <item h="1" m="1" x="6016"/>
        <item h="1" m="1" x="2595"/>
        <item h="1" m="1" x="6122"/>
        <item h="1" m="1" x="2701"/>
        <item h="1" m="1" x="6228"/>
        <item h="1" m="1" x="2808"/>
        <item h="1" m="1" x="6334"/>
        <item h="1" m="1" x="2915"/>
        <item h="1" m="1" x="6440"/>
        <item h="1" m="1" x="3022"/>
        <item h="1" m="1" x="6546"/>
        <item h="1" m="1" x="3129"/>
        <item h="1" m="1" x="6651"/>
        <item h="1" m="1" x="3235"/>
        <item h="1" m="1" x="6756"/>
        <item h="1" m="1" x="3341"/>
        <item h="1" m="1" x="6861"/>
        <item h="1" m="1" x="3447"/>
        <item h="1" m="1" x="6966"/>
        <item h="1" m="1" x="3553"/>
        <item h="1" m="1" x="7073"/>
        <item h="1" m="1" x="3661"/>
        <item h="1" m="1" x="7180"/>
        <item h="1" m="1" x="3769"/>
        <item h="1" m="1" x="7287"/>
        <item h="1" m="1" x="3877"/>
        <item h="1" m="1" x="7394"/>
        <item h="1" m="1" x="3985"/>
        <item h="1" m="1" x="7500"/>
        <item h="1" m="1" x="4092"/>
        <item h="1" m="1" x="678"/>
        <item h="1" m="1" x="4199"/>
        <item h="1" m="1" x="784"/>
        <item h="1" m="1" x="4306"/>
        <item h="1" m="1" x="890"/>
        <item h="1" m="1" x="4413"/>
        <item h="1" m="1" x="996"/>
        <item h="1" m="1" x="4520"/>
        <item h="1" m="1" x="1102"/>
        <item h="1" m="1" x="4627"/>
        <item h="1" m="1" x="1208"/>
        <item h="1" m="1" x="4734"/>
        <item h="1" m="1" x="1315"/>
        <item h="1" m="1" x="4841"/>
        <item h="1" m="1" x="1421"/>
        <item h="1" m="1" x="4947"/>
        <item h="1" m="1" x="1527"/>
        <item h="1" m="1" x="5053"/>
        <item h="1" m="1" x="1633"/>
        <item h="1" m="1" x="5159"/>
        <item h="1" m="1" x="1739"/>
        <item h="1" m="1" x="5266"/>
        <item h="1" m="1" x="1846"/>
        <item h="1" m="1" x="5373"/>
        <item h="1" m="1" x="1953"/>
        <item h="1" m="1" x="5480"/>
        <item h="1" m="1" x="2060"/>
        <item h="1" m="1" x="5587"/>
        <item h="1" m="1" x="2167"/>
        <item h="1" m="1" x="5694"/>
        <item h="1" m="1" x="2273"/>
        <item h="1" m="1" x="5800"/>
        <item h="1" m="1" x="2379"/>
        <item h="1" m="1" x="5906"/>
        <item h="1" m="1" x="2485"/>
        <item h="1" m="1" x="6012"/>
        <item h="1" m="1" x="2591"/>
        <item h="1" m="1" x="6118"/>
        <item h="1" m="1" x="2697"/>
        <item h="1" m="1" x="6224"/>
        <item h="1" m="1" x="2804"/>
        <item h="1" m="1" x="6330"/>
        <item h="1" m="1" x="2911"/>
        <item h="1" m="1" x="6436"/>
        <item h="1" m="1" x="3018"/>
        <item h="1" m="1" x="6542"/>
        <item h="1" m="1" x="3125"/>
        <item h="1" m="1" x="6647"/>
        <item h="1" m="1" x="3231"/>
        <item h="1" m="1" x="6752"/>
        <item h="1" m="1" x="3337"/>
        <item h="1" m="1" x="6857"/>
        <item h="1" m="1" x="3443"/>
        <item h="1" m="1" x="6962"/>
        <item h="1" m="1" x="3549"/>
        <item h="1" m="1" x="7069"/>
        <item h="1" m="1" x="3657"/>
        <item h="1" m="1" x="7176"/>
        <item h="1" m="1" x="3765"/>
        <item h="1" m="1" x="7283"/>
        <item h="1" m="1" x="3873"/>
        <item h="1" m="1" x="7390"/>
        <item h="1" m="1" x="3981"/>
        <item h="1" m="1" x="7496"/>
        <item h="1" m="1" x="4088"/>
        <item h="1" m="1" x="674"/>
        <item h="1" m="1" x="4195"/>
        <item h="1" m="1" x="780"/>
        <item h="1" m="1" x="4302"/>
        <item h="1" m="1" x="886"/>
        <item h="1" m="1" x="4409"/>
        <item h="1" m="1" x="992"/>
        <item h="1" m="1" x="4516"/>
        <item h="1" m="1" x="1098"/>
        <item h="1" m="1" x="4623"/>
        <item h="1" m="1" x="1204"/>
        <item h="1" m="1" x="4730"/>
        <item h="1" m="1" x="1311"/>
        <item h="1" m="1" x="4837"/>
        <item h="1" m="1" x="1417"/>
        <item h="1" m="1" x="4943"/>
        <item h="1" m="1" x="1523"/>
        <item h="1" m="1" x="5049"/>
        <item h="1" m="1" x="1629"/>
        <item h="1" m="1" x="5155"/>
        <item h="1" m="1" x="1735"/>
        <item h="1" m="1" x="5262"/>
        <item h="1" m="1" x="1842"/>
        <item h="1" m="1" x="5369"/>
        <item h="1" m="1" x="1949"/>
        <item h="1" m="1" x="5476"/>
        <item h="1" m="1" x="2056"/>
        <item h="1" m="1" x="5583"/>
        <item h="1" m="1" x="2163"/>
        <item h="1" m="1" x="5690"/>
        <item h="1" m="1" x="2269"/>
        <item h="1" m="1" x="5796"/>
        <item h="1" m="1" x="2375"/>
        <item h="1" m="1" x="5902"/>
        <item h="1" m="1" x="2481"/>
        <item h="1" m="1" x="6008"/>
        <item h="1" m="1" x="2587"/>
        <item h="1" m="1" x="6114"/>
        <item h="1" m="1" x="2693"/>
        <item h="1" m="1" x="6220"/>
        <item h="1" m="1" x="2800"/>
        <item h="1" m="1" x="6326"/>
        <item h="1" m="1" x="2907"/>
        <item h="1" m="1" x="6432"/>
        <item h="1" m="1" x="3014"/>
        <item h="1" m="1" x="6538"/>
        <item h="1" m="1" x="3121"/>
        <item h="1" m="1" x="6643"/>
        <item h="1" m="1" x="3227"/>
        <item h="1" m="1" x="6748"/>
        <item h="1" m="1" x="3333"/>
        <item h="1" m="1" x="6853"/>
        <item h="1" m="1" x="3439"/>
        <item h="1" m="1" x="6958"/>
        <item h="1" m="1" x="3545"/>
        <item h="1" m="1" x="7065"/>
        <item h="1" m="1" x="3653"/>
        <item h="1" m="1" x="7172"/>
        <item h="1" m="1" x="3761"/>
        <item h="1" m="1" x="7279"/>
        <item h="1" m="1" x="3869"/>
        <item h="1" m="1" x="7386"/>
        <item h="1" m="1" x="3977"/>
        <item h="1" m="1" x="7492"/>
        <item h="1" m="1" x="4084"/>
        <item h="1" m="1" x="670"/>
        <item h="1" m="1" x="4191"/>
        <item h="1" m="1" x="776"/>
        <item h="1" m="1" x="4298"/>
        <item h="1" m="1" x="882"/>
        <item h="1" m="1" x="4405"/>
        <item h="1" m="1" x="988"/>
        <item h="1" m="1" x="4512"/>
        <item h="1" m="1" x="1094"/>
        <item h="1" m="1" x="4619"/>
        <item h="1" m="1" x="1200"/>
        <item h="1" m="1" x="4726"/>
        <item h="1" m="1" x="1307"/>
        <item h="1" m="1" x="4833"/>
        <item h="1" m="1" x="1413"/>
        <item h="1" m="1" x="4939"/>
        <item h="1" m="1" x="1519"/>
        <item h="1" m="1" x="5045"/>
        <item h="1" m="1" x="1625"/>
        <item h="1" m="1" x="5151"/>
        <item h="1" m="1" x="1731"/>
        <item h="1" m="1" x="5258"/>
        <item h="1" m="1" x="1838"/>
        <item h="1" m="1" x="5365"/>
        <item h="1" m="1" x="1945"/>
        <item h="1" m="1" x="5472"/>
        <item h="1" m="1" x="2052"/>
        <item h="1" m="1" x="5579"/>
        <item h="1" m="1" x="2159"/>
        <item h="1" m="1" x="5686"/>
        <item h="1" m="1" x="2265"/>
        <item h="1" m="1" x="5792"/>
        <item h="1" m="1" x="2371"/>
        <item h="1" m="1" x="5898"/>
        <item h="1" m="1" x="2477"/>
        <item h="1" m="1" x="6004"/>
        <item h="1" m="1" x="2583"/>
        <item h="1" m="1" x="6110"/>
        <item h="1" m="1" x="2689"/>
        <item h="1" m="1" x="6216"/>
        <item h="1" m="1" x="2796"/>
        <item h="1" m="1" x="6322"/>
        <item h="1" m="1" x="2903"/>
        <item h="1" m="1" x="6428"/>
        <item h="1" m="1" x="3010"/>
        <item h="1" m="1" x="6534"/>
        <item h="1" m="1" x="3117"/>
        <item h="1" m="1" x="6639"/>
        <item h="1" m="1" x="3223"/>
        <item h="1" m="1" x="6744"/>
        <item h="1" m="1" x="3329"/>
        <item h="1" m="1" x="6849"/>
        <item h="1" m="1" x="3435"/>
        <item h="1" m="1" x="6954"/>
        <item h="1" m="1" x="3541"/>
        <item h="1" m="1" x="7061"/>
        <item h="1" m="1" x="3649"/>
        <item h="1" m="1" x="7168"/>
        <item h="1" m="1" x="3757"/>
        <item h="1" m="1" x="7275"/>
        <item h="1" m="1" x="3865"/>
        <item h="1" m="1" x="7382"/>
        <item h="1" m="1" x="3973"/>
        <item h="1" m="1" x="7488"/>
        <item h="1" m="1" x="4080"/>
        <item h="1" m="1" x="666"/>
        <item h="1" m="1" x="4187"/>
        <item h="1" m="1" x="772"/>
        <item h="1" m="1" x="4294"/>
        <item h="1" m="1" x="878"/>
        <item h="1" m="1" x="4401"/>
        <item h="1" m="1" x="984"/>
        <item h="1" m="1" x="4508"/>
        <item h="1" m="1" x="1090"/>
        <item h="1" m="1" x="4615"/>
        <item h="1" m="1" x="1196"/>
        <item h="1" m="1" x="4722"/>
        <item h="1" m="1" x="1303"/>
        <item h="1" m="1" x="4829"/>
        <item h="1" m="1" x="1409"/>
        <item h="1" m="1" x="4935"/>
        <item h="1" m="1" x="1515"/>
        <item h="1" m="1" x="5041"/>
        <item h="1" m="1" x="1621"/>
        <item h="1" m="1" x="5147"/>
        <item h="1" m="1" x="1727"/>
        <item h="1" m="1" x="5254"/>
        <item h="1" m="1" x="1834"/>
        <item h="1" m="1" x="5361"/>
        <item h="1" m="1" x="1941"/>
        <item h="1" m="1" x="5468"/>
        <item h="1" m="1" x="2048"/>
        <item h="1" m="1" x="5575"/>
        <item h="1" m="1" x="2155"/>
        <item h="1" m="1" x="5682"/>
        <item h="1" m="1" x="2262"/>
        <item h="1" m="1" x="5789"/>
        <item h="1" m="1" x="2368"/>
        <item h="1" m="1" x="5895"/>
        <item h="1" m="1" x="2474"/>
        <item h="1" m="1" x="6001"/>
        <item h="1" m="1" x="2580"/>
        <item h="1" m="1" x="6107"/>
        <item h="1" m="1" x="2686"/>
        <item h="1" m="1" x="6213"/>
        <item h="1" m="1" x="2793"/>
        <item h="1" m="1" x="6319"/>
        <item h="1" m="1" x="2900"/>
        <item h="1" m="1" x="6425"/>
        <item h="1" m="1" x="3007"/>
        <item h="1" m="1" x="6531"/>
        <item h="1" m="1" x="3114"/>
        <item h="1" m="1" x="6636"/>
        <item h="1" m="1" x="3220"/>
        <item h="1" m="1" x="6741"/>
        <item h="1" m="1" x="3326"/>
        <item h="1" m="1" x="6846"/>
        <item h="1" m="1" x="3432"/>
        <item h="1" m="1" x="6951"/>
        <item h="1" m="1" x="3538"/>
        <item h="1" m="1" x="7058"/>
        <item h="1" m="1" x="3646"/>
        <item h="1" m="1" x="7165"/>
        <item h="1" m="1" x="3754"/>
        <item h="1" m="1" x="7272"/>
        <item h="1" m="1" x="3862"/>
        <item h="1" m="1" x="7379"/>
        <item h="1" m="1" x="3970"/>
        <item h="1" m="1" x="7485"/>
        <item h="1" m="1" x="4077"/>
        <item h="1" m="1" x="663"/>
        <item h="1" m="1" x="4184"/>
        <item h="1" m="1" x="769"/>
        <item h="1" m="1" x="4291"/>
        <item h="1" m="1" x="875"/>
        <item h="1" m="1" x="4398"/>
        <item h="1" m="1" x="981"/>
        <item h="1" m="1" x="4505"/>
        <item h="1" m="1" x="1087"/>
        <item h="1" m="1" x="4612"/>
        <item h="1" m="1" x="1193"/>
        <item h="1" m="1" x="4719"/>
        <item h="1" m="1" x="1300"/>
        <item h="1" m="1" x="4826"/>
        <item h="1" m="1" x="1406"/>
        <item h="1" m="1" x="4932"/>
        <item h="1" m="1" x="1512"/>
        <item h="1" m="1" x="5038"/>
        <item h="1" m="1" x="1618"/>
        <item h="1" m="1" x="5144"/>
        <item h="1" m="1" x="1724"/>
        <item h="1" m="1" x="5251"/>
        <item h="1" m="1" x="1831"/>
        <item h="1" m="1" x="5358"/>
        <item h="1" m="1" x="1938"/>
        <item h="1" m="1" x="5465"/>
        <item h="1" m="1" x="2045"/>
        <item h="1" m="1" x="5572"/>
        <item h="1" m="1" x="2152"/>
        <item h="1" m="1" x="5679"/>
        <item h="1" m="1" x="2259"/>
        <item h="1" m="1" x="5786"/>
        <item h="1" m="1" x="2365"/>
        <item h="1" m="1" x="5892"/>
        <item h="1" m="1" x="2471"/>
        <item h="1" m="1" x="5998"/>
        <item h="1" m="1" x="2577"/>
        <item h="1" m="1" x="6104"/>
        <item h="1" m="1" x="2683"/>
        <item h="1" m="1" x="6210"/>
        <item h="1" m="1" x="2790"/>
        <item h="1" m="1" x="6316"/>
        <item h="1" m="1" x="2897"/>
        <item h="1" m="1" x="6422"/>
        <item h="1" m="1" x="3004"/>
        <item h="1" m="1" x="6528"/>
        <item h="1" m="1" x="3111"/>
        <item h="1" m="1" x="6633"/>
        <item h="1" m="1" x="3217"/>
        <item h="1" m="1" x="6738"/>
        <item h="1" m="1" x="3323"/>
        <item h="1" m="1" x="6843"/>
        <item h="1" m="1" x="3429"/>
        <item h="1" m="1" x="6948"/>
        <item h="1" m="1" x="3535"/>
        <item h="1" m="1" x="7055"/>
        <item h="1" m="1" x="3643"/>
        <item h="1" m="1" x="7162"/>
        <item h="1" m="1" x="3751"/>
        <item h="1" m="1" x="7269"/>
        <item h="1" m="1" x="3859"/>
        <item h="1" m="1" x="7376"/>
        <item h="1" m="1" x="3967"/>
        <item h="1" m="1" x="7482"/>
        <item h="1" m="1" x="4074"/>
        <item h="1" m="1" x="660"/>
        <item h="1" m="1" x="4181"/>
        <item h="1" m="1" x="766"/>
        <item h="1" m="1" x="4288"/>
        <item h="1" m="1" x="872"/>
        <item h="1" m="1" x="4395"/>
        <item h="1" m="1" x="978"/>
        <item h="1" m="1" x="4502"/>
        <item h="1" m="1" x="1084"/>
        <item h="1" m="1" x="4609"/>
        <item h="1" m="1" x="1190"/>
        <item h="1" m="1" x="4716"/>
        <item h="1" m="1" x="1297"/>
        <item h="1" m="1" x="4823"/>
        <item h="1" m="1" x="1403"/>
        <item h="1" m="1" x="4929"/>
        <item h="1" m="1" x="1509"/>
        <item h="1" m="1" x="5035"/>
        <item h="1" m="1" x="1615"/>
        <item h="1" m="1" x="5141"/>
        <item h="1" m="1" x="1721"/>
        <item h="1" m="1" x="5248"/>
        <item h="1" m="1" x="7005"/>
        <item h="1" m="1" x="1828"/>
        <item h="1" m="1" x="3592"/>
        <item h="1" m="1" x="5355"/>
        <item h="1" m="1" x="7112"/>
        <item h="1" m="1" x="1935"/>
        <item h="1" m="1" x="3700"/>
        <item h="1" m="1" x="5462"/>
        <item h="1" m="1" x="7219"/>
        <item h="1" m="1" x="2042"/>
        <item h="1" m="1" x="3808"/>
        <item h="1" m="1" x="5569"/>
        <item h="1" m="1" x="7326"/>
        <item h="1" m="1" x="2149"/>
        <item h="1" m="1" x="3916"/>
        <item h="1" m="1" x="5676"/>
        <item h="1" m="1" x="7433"/>
        <item h="1" m="1" x="2256"/>
        <item h="1" m="1" x="4024"/>
        <item h="1" m="1" x="5783"/>
        <item h="1" m="1" x="7539"/>
        <item h="1" m="1" x="2362"/>
        <item h="1" m="1" x="4131"/>
        <item h="1" m="1" x="5889"/>
        <item h="1" m="1" x="717"/>
        <item h="1" m="1" x="2468"/>
        <item h="1" m="1" x="4238"/>
        <item h="1" m="1" x="5995"/>
        <item h="1" m="1" x="823"/>
        <item h="1" m="1" x="2574"/>
        <item h="1" m="1" x="4345"/>
        <item h="1" m="1" x="6101"/>
        <item h="1" m="1" x="929"/>
        <item h="1" m="1" x="2680"/>
        <item h="1" m="1" x="4452"/>
        <item h="1" m="1" x="6207"/>
        <item h="1" m="1" x="1035"/>
        <item h="1" m="1" x="2787"/>
        <item h="1" m="1" x="4559"/>
        <item h="1" m="1" x="6313"/>
        <item h="1" m="1" x="1141"/>
        <item h="1" m="1" x="2894"/>
        <item h="1" m="1" x="4666"/>
        <item h="1" m="1" x="6419"/>
        <item h="1" m="1" x="1247"/>
        <item h="1" m="1" x="3001"/>
        <item h="1" m="1" x="4773"/>
        <item h="1" m="1" x="6525"/>
        <item h="1" m="1" x="1354"/>
        <item h="1" m="1" x="3108"/>
        <item h="1" m="1" x="4880"/>
        <item h="1" m="1" x="6630"/>
        <item h="1" m="1" x="1460"/>
        <item h="1" m="1" x="3214"/>
        <item h="1" m="1" x="4986"/>
        <item h="1" m="1" x="6735"/>
        <item h="1" m="1" x="1566"/>
        <item h="1" m="1" x="3320"/>
        <item h="1" m="1" x="5092"/>
        <item h="1" m="1" x="6840"/>
        <item h="1" m="1" x="1672"/>
        <item h="1" m="1" x="3426"/>
        <item h="1" m="1" x="5198"/>
        <item h="1" m="1" x="6945"/>
        <item h="1" m="1" x="1778"/>
        <item h="1" m="1" x="3532"/>
        <item h="1" m="1" x="5305"/>
        <item h="1" m="1" x="7052"/>
        <item h="1" m="1" x="1885"/>
        <item h="1" m="1" x="3640"/>
        <item h="1" m="1" x="5412"/>
        <item h="1" m="1" x="7159"/>
        <item h="1" m="1" x="1992"/>
        <item h="1" m="1" x="3748"/>
        <item h="1" m="1" x="5519"/>
        <item h="1" m="1" x="7266"/>
        <item h="1" m="1" x="2099"/>
        <item h="1" m="1" x="3856"/>
        <item h="1" m="1" x="5626"/>
        <item h="1" m="1" x="7373"/>
        <item h="1" m="1" x="2206"/>
        <item h="1" m="1" x="3964"/>
        <item h="1" m="1" x="5733"/>
        <item h="1" m="1" x="7479"/>
        <item h="1" m="1" x="2312"/>
        <item h="1" m="1" x="4071"/>
        <item h="1" m="1" x="5839"/>
        <item h="1" m="1" x="657"/>
        <item h="1" m="1" x="2418"/>
        <item h="1" m="1" x="4178"/>
        <item h="1" m="1" x="5945"/>
        <item h="1" m="1" x="763"/>
        <item h="1" m="1" x="2524"/>
        <item h="1" m="1" x="4285"/>
        <item h="1" m="1" x="6051"/>
        <item h="1" m="1" x="869"/>
        <item h="1" m="1" x="2630"/>
        <item h="1" m="1" x="4392"/>
        <item h="1" m="1" x="6157"/>
        <item h="1" m="1" x="975"/>
        <item h="1" m="1" x="2736"/>
        <item h="1" m="1" x="4499"/>
        <item h="1" m="1" x="6263"/>
        <item h="1" m="1" x="1081"/>
        <item h="1" m="1" x="2843"/>
        <item h="1" m="1" x="4606"/>
        <item h="1" m="1" x="6369"/>
        <item h="1" m="1" x="1187"/>
        <item h="1" m="1" x="2950"/>
        <item h="1" m="1" x="4713"/>
        <item h="1" m="1" x="6475"/>
        <item h="1" m="1" x="1294"/>
        <item h="1" m="1" x="3057"/>
        <item h="1" m="1" x="4820"/>
        <item h="1" m="1" x="6580"/>
        <item h="1" m="1" x="1400"/>
        <item h="1" m="1" x="3163"/>
        <item h="1" m="1" x="4926"/>
        <item h="1" m="1" x="6685"/>
        <item h="1" m="1" x="1506"/>
        <item h="1" m="1" x="3269"/>
        <item h="1" m="1" x="5032"/>
        <item h="1" m="1" x="6790"/>
        <item h="1" m="1" x="1612"/>
        <item h="1" m="1" x="3375"/>
        <item h="1" m="1" x="5138"/>
        <item h="1" m="1" x="6895"/>
        <item h="1" m="1" x="1718"/>
        <item h="1" m="1" x="3481"/>
        <item h="1" m="1" x="5245"/>
        <item h="1" m="1" x="7001"/>
        <item h="1" m="1" x="1825"/>
        <item h="1" m="1" x="3588"/>
        <item h="1" m="1" x="5352"/>
        <item h="1" m="1" x="7108"/>
        <item h="1" m="1" x="1932"/>
        <item h="1" m="1" x="3696"/>
        <item h="1" m="1" x="5459"/>
        <item h="1" m="1" x="7215"/>
        <item h="1" m="1" x="2039"/>
        <item h="1" m="1" x="3804"/>
        <item h="1" m="1" x="5566"/>
        <item h="1" m="1" x="7322"/>
        <item h="1" m="1" x="2146"/>
        <item h="1" m="1" x="3912"/>
        <item h="1" m="1" x="5673"/>
        <item h="1" m="1" x="7429"/>
        <item h="1" m="1" x="2253"/>
        <item h="1" m="1" x="4020"/>
        <item h="1" m="1" x="5780"/>
        <item h="1" m="1" x="7535"/>
        <item h="1" m="1" x="2359"/>
        <item h="1" m="1" x="4127"/>
        <item h="1" m="1" x="5886"/>
        <item h="1" m="1" x="713"/>
        <item h="1" m="1" x="2465"/>
        <item h="1" m="1" x="4234"/>
        <item h="1" m="1" x="5992"/>
        <item h="1" m="1" x="819"/>
        <item h="1" m="1" x="2571"/>
        <item h="1" m="1" x="4341"/>
        <item h="1" m="1" x="6098"/>
        <item h="1" m="1" x="925"/>
        <item h="1" m="1" x="2677"/>
        <item h="1" m="1" x="4448"/>
        <item h="1" m="1" x="6204"/>
        <item h="1" m="1" x="1031"/>
        <item h="1" m="1" x="2784"/>
        <item h="1" m="1" x="4555"/>
        <item h="1" m="1" x="6310"/>
        <item h="1" m="1" x="1137"/>
        <item h="1" m="1" x="2891"/>
        <item h="1" m="1" x="4662"/>
        <item h="1" m="1" x="6416"/>
        <item h="1" m="1" x="1243"/>
        <item h="1" m="1" x="2998"/>
        <item h="1" m="1" x="4769"/>
        <item h="1" m="1" x="6522"/>
        <item h="1" m="1" x="1350"/>
        <item h="1" m="1" x="3105"/>
        <item h="1" m="1" x="4876"/>
        <item h="1" m="1" x="6627"/>
        <item h="1" m="1" x="1456"/>
        <item h="1" m="1" x="3211"/>
        <item h="1" m="1" x="4982"/>
        <item h="1" m="1" x="6732"/>
        <item h="1" m="1" x="1562"/>
        <item h="1" m="1" x="3317"/>
        <item h="1" m="1" x="5088"/>
        <item h="1" m="1" x="6837"/>
        <item h="1" m="1" x="1668"/>
        <item h="1" m="1" x="3423"/>
        <item h="1" m="1" x="5194"/>
        <item h="1" m="1" x="6942"/>
        <item h="1" m="1" x="1774"/>
        <item h="1" m="1" x="3529"/>
        <item h="1" m="1" x="5301"/>
        <item h="1" m="1" x="7049"/>
        <item h="1" m="1" x="1881"/>
        <item h="1" m="1" x="3637"/>
        <item h="1" m="1" x="5408"/>
        <item h="1" m="1" x="7156"/>
        <item h="1" m="1" x="1988"/>
        <item h="1" m="1" x="3745"/>
        <item h="1" m="1" x="5515"/>
        <item h="1" m="1" x="7263"/>
        <item h="1" m="1" x="2095"/>
        <item h="1" m="1" x="3853"/>
        <item h="1" m="1" x="5622"/>
        <item h="1" m="1" x="7370"/>
        <item h="1" m="1" x="2202"/>
        <item h="1" m="1" x="3961"/>
        <item h="1" m="1" x="5729"/>
        <item h="1" m="1" x="7476"/>
        <item h="1" m="1" x="2308"/>
        <item h="1" m="1" x="4068"/>
        <item h="1" m="1" x="5835"/>
        <item h="1" m="1" x="654"/>
        <item h="1" m="1" x="2414"/>
        <item h="1" m="1" x="4175"/>
        <item h="1" m="1" x="5941"/>
        <item h="1" m="1" x="760"/>
        <item h="1" m="1" x="2520"/>
        <item h="1" m="1" x="4282"/>
        <item h="1" m="1" x="6047"/>
        <item h="1" m="1" x="866"/>
        <item h="1" m="1" x="2626"/>
        <item h="1" m="1" x="4389"/>
        <item h="1" m="1" x="6153"/>
        <item h="1" m="1" x="972"/>
        <item h="1" m="1" x="2732"/>
        <item h="1" m="1" x="4496"/>
        <item h="1" m="1" x="6259"/>
        <item h="1" m="1" x="1078"/>
        <item h="1" m="1" x="2839"/>
        <item h="1" m="1" x="4603"/>
        <item h="1" m="1" x="6365"/>
        <item h="1" m="1" x="1184"/>
        <item h="1" m="1" x="2946"/>
        <item h="1" m="1" x="4710"/>
        <item h="1" m="1" x="6471"/>
        <item h="1" m="1" x="1291"/>
        <item h="1" m="1" x="3053"/>
        <item h="1" m="1" x="4817"/>
        <item h="1" m="1" x="6576"/>
        <item h="1" m="1" x="1397"/>
        <item h="1" m="1" x="3159"/>
        <item h="1" m="1" x="4923"/>
        <item h="1" m="1" x="6681"/>
        <item h="1" m="1" x="1503"/>
        <item h="1" m="1" x="3265"/>
        <item h="1" m="1" x="5029"/>
        <item h="1" m="1" x="6786"/>
        <item h="1" m="1" x="1609"/>
        <item h="1" m="1" x="3371"/>
        <item h="1" m="1" x="5135"/>
        <item h="1" m="1" x="6891"/>
        <item h="1" m="1" x="1715"/>
        <item h="1" m="1" x="3477"/>
        <item h="1" m="1" x="5242"/>
        <item h="1" m="1" x="6997"/>
        <item h="1" m="1" x="1822"/>
        <item h="1" m="1" x="3584"/>
        <item h="1" m="1" x="5349"/>
        <item h="1" m="1" x="7104"/>
        <item h="1" m="1" x="1929"/>
        <item h="1" m="1" x="3692"/>
        <item h="1" m="1" x="5456"/>
        <item h="1" m="1" x="7211"/>
        <item h="1" m="1" x="2036"/>
        <item h="1" m="1" x="3800"/>
        <item h="1" m="1" x="5563"/>
        <item h="1" m="1" x="7318"/>
        <item h="1" m="1" x="2143"/>
        <item h="1" m="1" x="3908"/>
        <item h="1" m="1" x="5670"/>
        <item h="1" m="1" x="7425"/>
        <item h="1" m="1" x="2250"/>
        <item h="1" m="1" x="4016"/>
        <item h="1" m="1" x="5777"/>
        <item h="1" m="1" x="7531"/>
        <item h="1" m="1" x="2356"/>
        <item h="1" m="1" x="4123"/>
        <item h="1" m="1" x="5883"/>
        <item h="1" m="1" x="709"/>
        <item h="1" m="1" x="2462"/>
        <item h="1" m="1" x="4230"/>
        <item h="1" m="1" x="5989"/>
        <item h="1" m="1" x="815"/>
        <item h="1" m="1" x="2568"/>
        <item h="1" m="1" x="4337"/>
        <item h="1" m="1" x="6095"/>
        <item h="1" m="1" x="921"/>
        <item h="1" m="1" x="2674"/>
        <item h="1" m="1" x="4444"/>
        <item h="1" m="1" x="6201"/>
        <item h="1" m="1" x="1027"/>
        <item h="1" m="1" x="2781"/>
        <item h="1" m="1" x="4551"/>
        <item h="1" m="1" x="6307"/>
        <item h="1" m="1" x="1133"/>
        <item h="1" m="1" x="2888"/>
        <item h="1" m="1" x="4658"/>
        <item h="1" m="1" x="6413"/>
        <item h="1" m="1" x="1239"/>
        <item h="1" m="1" x="2995"/>
        <item h="1" m="1" x="4765"/>
        <item h="1" m="1" x="6519"/>
        <item h="1" m="1" x="1346"/>
        <item h="1" m="1" x="3102"/>
        <item h="1" m="1" x="4872"/>
        <item h="1" m="1" x="6624"/>
        <item h="1" m="1" x="1452"/>
        <item h="1" m="1" x="3208"/>
        <item h="1" m="1" x="4978"/>
        <item h="1" m="1" x="6729"/>
        <item h="1" m="1" x="1558"/>
        <item h="1" m="1" x="3314"/>
        <item h="1" m="1" x="5084"/>
        <item h="1" m="1" x="6834"/>
        <item h="1" m="1" x="1664"/>
        <item h="1" m="1" x="3420"/>
        <item h="1" m="1" x="5190"/>
        <item h="1" m="1" x="6939"/>
        <item h="1" m="1" x="1770"/>
        <item h="1" m="1" x="3526"/>
        <item h="1" m="1" x="5297"/>
        <item h="1" m="1" x="7046"/>
        <item h="1" m="1" x="1877"/>
        <item h="1" m="1" x="3634"/>
        <item h="1" m="1" x="5404"/>
        <item h="1" m="1" x="7153"/>
        <item h="1" m="1" x="1984"/>
        <item h="1" m="1" x="3742"/>
        <item h="1" m="1" x="5511"/>
        <item h="1" m="1" x="7260"/>
        <item h="1" m="1" x="2091"/>
        <item h="1" m="1" x="3850"/>
        <item h="1" m="1" x="5618"/>
        <item h="1" m="1" x="7367"/>
        <item h="1" m="1" x="2198"/>
        <item h="1" m="1" x="3958"/>
        <item h="1" m="1" x="5725"/>
        <item h="1" m="1" x="7473"/>
        <item h="1" m="1" x="2304"/>
        <item h="1" m="1" x="4065"/>
        <item h="1" m="1" x="5831"/>
        <item h="1" m="1" x="7579"/>
        <item h="1" m="1" x="2410"/>
        <item h="1" m="1" x="4172"/>
        <item h="1" m="1" x="5937"/>
        <item h="1" m="1" x="757"/>
        <item h="1" m="1" x="2516"/>
        <item h="1" m="1" x="4279"/>
        <item h="1" m="1" x="6043"/>
        <item h="1" m="1" x="863"/>
        <item h="1" m="1" x="2622"/>
        <item h="1" m="1" x="4386"/>
        <item h="1" m="1" x="6149"/>
        <item h="1" m="1" x="969"/>
        <item h="1" m="1" x="2728"/>
        <item h="1" m="1" x="4493"/>
        <item h="1" m="1" x="6255"/>
        <item h="1" m="1" x="1075"/>
        <item h="1" m="1" x="2835"/>
        <item h="1" m="1" x="4600"/>
        <item h="1" m="1" x="6361"/>
        <item h="1" m="1" x="1181"/>
        <item h="1" m="1" x="2942"/>
        <item h="1" m="1" x="4707"/>
        <item h="1" m="1" x="6467"/>
        <item h="1" m="1" x="1288"/>
        <item h="1" m="1" x="3049"/>
        <item h="1" m="1" x="4814"/>
        <item h="1" m="1" x="6572"/>
        <item h="1" m="1" x="1394"/>
        <item h="1" m="1" x="3155"/>
        <item h="1" m="1" x="4920"/>
        <item h="1" m="1" x="6677"/>
        <item h="1" m="1" x="1500"/>
        <item h="1" m="1" x="3261"/>
        <item h="1" m="1" x="5026"/>
        <item h="1" m="1" x="6782"/>
        <item h="1" m="1" x="1606"/>
        <item h="1" m="1" x="3367"/>
        <item h="1" m="1" x="5132"/>
        <item h="1" m="1" x="6887"/>
        <item h="1" m="1" x="1712"/>
        <item h="1" m="1" x="3473"/>
        <item h="1" m="1" x="5239"/>
        <item h="1" m="1" x="6993"/>
        <item h="1" m="1" x="1819"/>
        <item h="1" m="1" x="3580"/>
        <item h="1" m="1" x="5346"/>
        <item h="1" m="1" x="7100"/>
        <item h="1" m="1" x="1926"/>
        <item h="1" m="1" x="3688"/>
        <item h="1" m="1" x="5453"/>
        <item h="1" m="1" x="7207"/>
        <item h="1" m="1" x="2033"/>
        <item h="1" m="1" x="3796"/>
        <item h="1" m="1" x="5560"/>
        <item h="1" m="1" x="7314"/>
        <item h="1" m="1" x="2140"/>
        <item h="1" m="1" x="3904"/>
        <item h="1" m="1" x="5667"/>
        <item h="1" m="1" x="7421"/>
        <item h="1" m="1" x="2247"/>
        <item h="1" m="1" x="4012"/>
        <item h="1" m="1" x="5774"/>
        <item h="1" m="1" x="7527"/>
        <item h="1" m="1" x="2353"/>
        <item h="1" m="1" x="4119"/>
        <item h="1" m="1" x="5880"/>
        <item h="1" m="1" x="705"/>
        <item h="1" m="1" x="2459"/>
        <item h="1" m="1" x="4226"/>
        <item h="1" m="1" x="5986"/>
        <item h="1" m="1" x="811"/>
        <item h="1" m="1" x="2565"/>
        <item h="1" m="1" x="4333"/>
        <item h="1" m="1" x="6092"/>
        <item h="1" m="1" x="917"/>
        <item h="1" m="1" x="2671"/>
        <item h="1" m="1" x="4440"/>
        <item h="1" m="1" x="6198"/>
        <item h="1" m="1" x="1023"/>
        <item h="1" m="1" x="2778"/>
        <item h="1" m="1" x="4547"/>
        <item h="1" m="1" x="6304"/>
        <item h="1" m="1" x="1129"/>
        <item h="1" m="1" x="2885"/>
        <item h="1" m="1" x="4654"/>
        <item h="1" m="1" x="6410"/>
        <item h="1" m="1" x="1235"/>
        <item h="1" m="1" x="2992"/>
        <item h="1" m="1" x="4761"/>
        <item h="1" m="1" x="6516"/>
        <item h="1" m="1" x="1342"/>
        <item h="1" m="1" x="3099"/>
        <item h="1" m="1" x="4868"/>
        <item h="1" m="1" x="6621"/>
        <item h="1" m="1" x="1448"/>
        <item h="1" m="1" x="3205"/>
        <item h="1" m="1" x="4974"/>
        <item h="1" m="1" x="6726"/>
        <item h="1" m="1" x="1554"/>
        <item h="1" m="1" x="3311"/>
        <item h="1" m="1" x="5080"/>
        <item h="1" m="1" x="6831"/>
        <item h="1" m="1" x="1660"/>
        <item h="1" m="1" x="3417"/>
        <item h="1" m="1" x="5186"/>
        <item h="1" m="1" x="6936"/>
        <item h="1" m="1" x="1766"/>
        <item h="1" m="1" x="3523"/>
        <item h="1" m="1" x="5293"/>
        <item h="1" m="1" x="7043"/>
        <item h="1" m="1" x="1873"/>
        <item h="1" m="1" x="3631"/>
        <item h="1" m="1" x="5400"/>
        <item h="1" m="1" x="7150"/>
        <item h="1" m="1" x="1980"/>
        <item h="1" m="1" x="3739"/>
        <item h="1" m="1" x="5507"/>
        <item h="1" m="1" x="7257"/>
        <item h="1" m="1" x="2087"/>
        <item h="1" m="1" x="3847"/>
        <item h="1" m="1" x="5614"/>
        <item h="1" m="1" x="7364"/>
        <item h="1" m="1" x="2194"/>
        <item h="1" m="1" x="3955"/>
        <item h="1" m="1" x="5721"/>
        <item h="1" m="1" x="7470"/>
        <item h="1" m="1" x="2300"/>
        <item h="1" m="1" x="4062"/>
        <item h="1" m="1" x="5827"/>
        <item h="1" m="1" x="7576"/>
        <item h="1" m="1" x="2406"/>
        <item h="1" m="1" x="4169"/>
        <item h="1" m="1" x="5933"/>
        <item h="1" m="1" x="754"/>
        <item h="1" m="1" x="2512"/>
        <item h="1" m="1" x="4276"/>
        <item h="1" m="1" x="6039"/>
        <item h="1" m="1" x="860"/>
        <item h="1" m="1" x="2618"/>
        <item h="1" m="1" x="4383"/>
        <item h="1" m="1" x="6145"/>
        <item h="1" m="1" x="966"/>
        <item h="1" m="1" x="2724"/>
        <item h="1" m="1" x="4490"/>
        <item h="1" m="1" x="6251"/>
        <item h="1" m="1" x="1072"/>
        <item h="1" m="1" x="2831"/>
        <item h="1" m="1" x="4597"/>
        <item h="1" m="1" x="6357"/>
        <item h="1" m="1" x="1178"/>
        <item h="1" m="1" x="2938"/>
        <item h="1" m="1" x="4704"/>
        <item h="1" m="1" x="6463"/>
        <item h="1" m="1" x="1285"/>
        <item h="1" m="1" x="3045"/>
        <item h="1" m="1" x="4811"/>
        <item h="1" m="1" x="6568"/>
        <item h="1" m="1" x="1391"/>
        <item h="1" m="1" x="3151"/>
        <item h="1" m="1" x="4917"/>
        <item h="1" m="1" x="6673"/>
        <item h="1" m="1" x="1497"/>
        <item h="1" m="1" x="3257"/>
        <item h="1" m="1" x="5023"/>
        <item h="1" m="1" x="6778"/>
        <item h="1" m="1" x="1603"/>
        <item h="1" m="1" x="3363"/>
        <item h="1" m="1" x="5129"/>
        <item h="1" m="1" x="6883"/>
        <item h="1" m="1" x="1709"/>
        <item h="1" m="1" x="3469"/>
        <item h="1" m="1" x="5236"/>
        <item h="1" m="1" x="6989"/>
        <item h="1" m="1" x="1816"/>
        <item h="1" m="1" x="3576"/>
        <item h="1" m="1" x="5343"/>
        <item h="1" m="1" x="7096"/>
        <item h="1" m="1" x="1923"/>
        <item h="1" m="1" x="3684"/>
        <item h="1" m="1" x="5450"/>
        <item h="1" m="1" x="7203"/>
        <item h="1" m="1" x="2030"/>
        <item h="1" m="1" x="3792"/>
        <item h="1" m="1" x="5557"/>
        <item h="1" m="1" x="7310"/>
        <item h="1" m="1" x="2137"/>
        <item h="1" m="1" x="3900"/>
        <item h="1" m="1" x="5664"/>
        <item h="1" m="1" x="7417"/>
        <item h="1" m="1" x="2244"/>
        <item h="1" m="1" x="4008"/>
        <item h="1" m="1" x="5771"/>
        <item h="1" m="1" x="7523"/>
        <item h="1" m="1" x="2350"/>
        <item h="1" m="1" x="4115"/>
        <item h="1" m="1" x="5877"/>
        <item h="1" m="1" x="701"/>
        <item h="1" m="1" x="2456"/>
        <item h="1" m="1" x="4222"/>
        <item h="1" m="1" x="5983"/>
        <item h="1" m="1" x="807"/>
        <item h="1" m="1" x="2562"/>
        <item h="1" m="1" x="4329"/>
        <item h="1" m="1" x="6089"/>
        <item h="1" m="1" x="913"/>
        <item h="1" m="1" x="2668"/>
        <item h="1" m="1" x="4436"/>
        <item h="1" m="1" x="6195"/>
        <item h="1" m="1" x="1019"/>
        <item h="1" m="1" x="2775"/>
        <item h="1" m="1" x="4543"/>
        <item h="1" m="1" x="6301"/>
        <item h="1" m="1" x="1125"/>
        <item h="1" m="1" x="2882"/>
        <item h="1" m="1" x="4650"/>
        <item h="1" m="1" x="6407"/>
        <item h="1" m="1" x="1231"/>
        <item h="1" m="1" x="2989"/>
        <item h="1" m="1" x="4757"/>
        <item h="1" m="1" x="6513"/>
        <item h="1" m="1" x="1338"/>
        <item h="1" m="1" x="3096"/>
        <item h="1" m="1" x="4864"/>
        <item h="1" m="1" x="6618"/>
        <item h="1" m="1" x="1444"/>
        <item h="1" m="1" x="3202"/>
        <item h="1" m="1" x="4970"/>
        <item h="1" m="1" x="6723"/>
        <item h="1" m="1" x="1550"/>
        <item h="1" m="1" x="3308"/>
        <item h="1" m="1" x="5076"/>
        <item h="1" m="1" x="6828"/>
        <item h="1" m="1" x="1656"/>
        <item h="1" m="1" x="3414"/>
        <item h="1" m="1" x="5182"/>
        <item h="1" m="1" x="6933"/>
        <item h="1" m="1" x="1762"/>
        <item h="1" m="1" x="3520"/>
        <item h="1" m="1" x="5289"/>
        <item h="1" m="1" x="7040"/>
        <item h="1" m="1" x="1869"/>
        <item h="1" m="1" x="3628"/>
        <item h="1" m="1" x="5396"/>
        <item h="1" m="1" x="7147"/>
        <item h="1" m="1" x="1976"/>
        <item h="1" m="1" x="3736"/>
        <item h="1" m="1" x="5503"/>
        <item h="1" m="1" x="7254"/>
        <item h="1" m="1" x="2083"/>
        <item h="1" m="1" x="3844"/>
        <item h="1" m="1" x="5610"/>
        <item h="1" m="1" x="7361"/>
        <item h="1" m="1" x="2190"/>
        <item h="1" m="1" x="3952"/>
        <item h="1" m="1" x="5717"/>
        <item h="1" m="1" x="7467"/>
        <item h="1" m="1" x="2296"/>
        <item h="1" m="1" x="4059"/>
        <item h="1" m="1" x="5823"/>
        <item h="1" m="1" x="7573"/>
        <item h="1" m="1" x="2402"/>
        <item h="1" m="1" x="4166"/>
        <item h="1" m="1" x="5929"/>
        <item h="1" m="1" x="751"/>
        <item h="1" m="1" x="2508"/>
        <item h="1" m="1" x="4273"/>
        <item h="1" m="1" x="6035"/>
        <item h="1" m="1" x="857"/>
        <item h="1" m="1" x="2614"/>
        <item h="1" m="1" x="4380"/>
        <item h="1" m="1" x="6141"/>
        <item h="1" m="1" x="963"/>
        <item h="1" m="1" x="2720"/>
        <item h="1" m="1" x="4487"/>
        <item h="1" m="1" x="6247"/>
        <item h="1" m="1" x="1069"/>
        <item h="1" m="1" x="2827"/>
        <item h="1" m="1" x="4594"/>
        <item h="1" m="1" x="6353"/>
        <item h="1" m="1" x="1175"/>
        <item h="1" m="1" x="2934"/>
        <item h="1" m="1" x="4701"/>
        <item h="1" m="1" x="6459"/>
        <item h="1" m="1" x="1281"/>
        <item h="1" m="1" x="3041"/>
        <item h="1" m="1" x="4808"/>
        <item h="1" m="1" x="6564"/>
        <item h="1" m="1" x="1387"/>
        <item h="1" m="1" x="3147"/>
        <item h="1" m="1" x="4914"/>
        <item h="1" m="1" x="6669"/>
        <item h="1" m="1" x="1493"/>
        <item h="1" m="1" x="3253"/>
        <item h="1" m="1" x="5020"/>
        <item h="1" m="1" x="6774"/>
        <item h="1" m="1" x="1599"/>
        <item h="1" m="1" x="3359"/>
        <item h="1" m="1" x="5126"/>
        <item h="1" m="1" x="6879"/>
        <item h="1" m="1" x="1705"/>
        <item h="1" m="1" x="3465"/>
        <item h="1" m="1" x="5233"/>
        <item h="1" m="1" x="6985"/>
        <item h="1" m="1" x="1812"/>
        <item h="1" m="1" x="3572"/>
        <item h="1" m="1" x="5340"/>
        <item h="1" m="1" x="7092"/>
        <item h="1" m="1" x="1919"/>
        <item h="1" m="1" x="3680"/>
        <item h="1" m="1" x="5447"/>
        <item h="1" m="1" x="7199"/>
        <item h="1" m="1" x="2026"/>
        <item h="1" m="1" x="3788"/>
        <item h="1" m="1" x="5554"/>
        <item h="1" m="1" x="7306"/>
        <item h="1" m="1" x="2133"/>
        <item h="1" m="1" x="3896"/>
        <item h="1" m="1" x="5661"/>
        <item h="1" m="1" x="7413"/>
        <item h="1" m="1" x="2240"/>
        <item h="1" m="1" x="4004"/>
        <item h="1" m="1" x="5768"/>
        <item h="1" m="1" x="7519"/>
        <item h="1" m="1" x="2346"/>
        <item h="1" m="1" x="4111"/>
        <item h="1" m="1" x="5874"/>
        <item h="1" m="1" x="697"/>
        <item h="1" m="1" x="2452"/>
        <item h="1" m="1" x="4218"/>
        <item h="1" m="1" x="5980"/>
        <item h="1" m="1" x="803"/>
        <item h="1" m="1" x="2558"/>
        <item h="1" m="1" x="4325"/>
        <item h="1" m="1" x="6086"/>
        <item h="1" m="1" x="909"/>
        <item h="1" m="1" x="2664"/>
        <item h="1" m="1" x="4432"/>
        <item h="1" m="1" x="6192"/>
        <item h="1" m="1" x="1015"/>
        <item h="1" m="1" x="2771"/>
        <item h="1" m="1" x="4539"/>
        <item h="1" m="1" x="6298"/>
        <item h="1" m="1" x="1121"/>
        <item h="1" m="1" x="2878"/>
        <item h="1" m="1" x="4646"/>
        <item h="1" m="1" x="6404"/>
        <item h="1" m="1" x="1227"/>
        <item h="1" m="1" x="2985"/>
        <item h="1" m="1" x="4753"/>
        <item h="1" m="1" x="6510"/>
        <item h="1" m="1" x="1334"/>
        <item h="1" m="1" x="3092"/>
        <item h="1" m="1" x="4860"/>
        <item h="1" m="1" x="6615"/>
        <item h="1" m="1" x="1440"/>
        <item h="1" m="1" x="3198"/>
        <item h="1" m="1" x="4966"/>
        <item h="1" m="1" x="6720"/>
        <item h="1" m="1" x="1546"/>
        <item h="1" m="1" x="3304"/>
        <item h="1" m="1" x="5072"/>
        <item h="1" m="1" x="6825"/>
        <item h="1" m="1" x="1652"/>
        <item h="1" m="1" x="3410"/>
        <item h="1" m="1" x="5178"/>
        <item h="1" m="1" x="6930"/>
        <item h="1" m="1" x="1758"/>
        <item h="1" m="1" x="3516"/>
        <item h="1" m="1" x="5285"/>
        <item h="1" m="1" x="7037"/>
        <item h="1" m="1" x="1865"/>
        <item h="1" m="1" x="3624"/>
        <item h="1" m="1" x="5392"/>
        <item h="1" m="1" x="7144"/>
        <item h="1" m="1" x="1972"/>
        <item h="1" m="1" x="3732"/>
        <item h="1" m="1" x="5499"/>
        <item h="1" m="1" x="7251"/>
        <item h="1" m="1" x="2079"/>
        <item h="1" m="1" x="3840"/>
        <item h="1" m="1" x="5606"/>
        <item h="1" m="1" x="7358"/>
        <item h="1" m="1" x="2186"/>
        <item h="1" m="1" x="3948"/>
        <item h="1" m="1" x="5713"/>
        <item h="1" m="1" x="7464"/>
        <item h="1" m="1" x="2292"/>
        <item h="1" m="1" x="4055"/>
        <item h="1" m="1" x="5819"/>
        <item h="1" m="1" x="7570"/>
        <item h="1" m="1" x="2398"/>
        <item h="1" m="1" x="4162"/>
        <item h="1" m="1" x="5925"/>
        <item h="1" m="1" x="748"/>
        <item h="1" m="1" x="2504"/>
        <item h="1" m="1" x="4269"/>
        <item h="1" m="1" x="6031"/>
        <item h="1" m="1" x="854"/>
        <item h="1" m="1" x="2610"/>
        <item h="1" m="1" x="4376"/>
        <item h="1" m="1" x="6137"/>
        <item h="1" m="1" x="960"/>
        <item h="1" m="1" x="2716"/>
        <item h="1" m="1" x="4483"/>
        <item h="1" m="1" x="6243"/>
        <item h="1" m="1" x="1066"/>
        <item h="1" m="1" x="2823"/>
        <item h="1" m="1" x="4590"/>
        <item h="1" m="1" x="6349"/>
        <item h="1" m="1" x="1172"/>
        <item h="1" m="1" x="2930"/>
        <item h="1" m="1" x="4697"/>
        <item h="1" m="1" x="6455"/>
        <item h="1" m="1" x="1278"/>
        <item h="1" m="1" x="3037"/>
        <item h="1" m="1" x="4804"/>
        <item h="1" m="1" x="6561"/>
        <item h="1" m="1" x="1385"/>
        <item h="1" m="1" x="3144"/>
        <item h="1" m="1" x="4911"/>
        <item h="1" m="1" x="6666"/>
        <item h="1" m="1" x="1491"/>
        <item h="1" m="1" x="3250"/>
        <item h="1" m="1" x="5017"/>
        <item h="1" m="1" x="6771"/>
        <item h="1" m="1" x="1597"/>
        <item h="1" m="1" x="3356"/>
        <item h="1" m="1" x="5123"/>
        <item h="1" m="1" x="6876"/>
        <item h="1" m="1" x="1703"/>
        <item h="1" m="1" x="3462"/>
        <item h="1" m="1" x="5230"/>
        <item h="1" m="1" x="6982"/>
        <item h="1" m="1" x="1810"/>
        <item h="1" m="1" x="3569"/>
        <item h="1" m="1" x="5337"/>
        <item h="1" m="1" x="7089"/>
        <item h="1" m="1" x="1917"/>
        <item h="1" m="1" x="3677"/>
        <item h="1" m="1" x="5444"/>
        <item h="1" m="1" x="7196"/>
        <item h="1" m="1" x="2024"/>
        <item h="1" m="1" x="3785"/>
        <item h="1" m="1" x="5551"/>
        <item h="1" m="1" x="7303"/>
        <item h="1" m="1" x="2131"/>
        <item h="1" m="1" x="3893"/>
        <item h="1" m="1" x="5658"/>
        <item h="1" m="1" x="7410"/>
        <item h="1" m="1" x="2238"/>
        <item h="1" m="1" x="4001"/>
        <item h="1" m="1" x="5765"/>
        <item h="1" m="1" x="7516"/>
        <item h="1" m="1" x="2344"/>
        <item h="1" m="1" x="4108"/>
        <item h="1" m="1" x="5871"/>
        <item h="1" m="1" x="694"/>
        <item h="1" m="1" x="2450"/>
        <item h="1" m="1" x="4215"/>
        <item h="1" m="1" x="5977"/>
        <item h="1" m="1" x="800"/>
        <item h="1" m="1" x="2556"/>
        <item h="1" m="1" x="4322"/>
        <item h="1" m="1" x="6083"/>
        <item h="1" m="1" x="906"/>
        <item h="1" m="1" x="2662"/>
        <item h="1" m="1" x="4429"/>
        <item h="1" m="1" x="6189"/>
        <item h="1" m="1" x="1012"/>
        <item h="1" m="1" x="2769"/>
        <item h="1" m="1" x="4536"/>
        <item h="1" m="1" x="6295"/>
        <item h="1" m="1" x="1118"/>
        <item h="1" m="1" x="2876"/>
        <item h="1" m="1" x="4643"/>
        <item h="1" m="1" x="6401"/>
        <item h="1" m="1" x="1224"/>
        <item h="1" m="1" x="2983"/>
        <item h="1" m="1" x="4750"/>
        <item h="1" m="1" x="6507"/>
        <item h="1" m="1" x="1331"/>
        <item h="1" m="1" x="3090"/>
        <item h="1" m="1" x="4857"/>
        <item h="1" m="1" x="6612"/>
        <item h="1" m="1" x="1437"/>
        <item h="1" m="1" x="3196"/>
        <item h="1" m="1" x="4963"/>
        <item h="1" m="1" x="6717"/>
        <item h="1" m="1" x="1543"/>
        <item h="1" m="1" x="3302"/>
        <item h="1" m="1" x="5069"/>
        <item h="1" m="1" x="6822"/>
        <item h="1" m="1" x="1649"/>
        <item h="1" m="1" x="3408"/>
        <item h="1" m="1" x="5175"/>
        <item h="1" m="1" x="6927"/>
        <item h="1" m="1" x="1755"/>
        <item h="1" m="1" x="3514"/>
        <item h="1" m="1" x="5282"/>
        <item h="1" m="1" x="7034"/>
        <item h="1" m="1" x="1862"/>
        <item h="1" m="1" x="3622"/>
        <item h="1" m="1" x="5389"/>
        <item h="1" m="1" x="7141"/>
        <item h="1" m="1" x="1969"/>
        <item h="1" m="1" x="3730"/>
        <item h="1" m="1" x="5496"/>
        <item h="1" m="1" x="7248"/>
        <item h="1" m="1" x="2076"/>
        <item h="1" m="1" x="3838"/>
        <item h="1" m="1" x="5603"/>
        <item h="1" m="1" x="7355"/>
        <item h="1" m="1" x="2183"/>
        <item h="1" m="1" x="3946"/>
        <item h="1" m="1" x="5710"/>
        <item h="1" m="1" x="7461"/>
        <item h="1" m="1" x="2289"/>
        <item h="1" m="1" x="4053"/>
        <item h="1" m="1" x="5816"/>
        <item h="1" m="1" x="7567"/>
        <item h="1" m="1" x="2395"/>
        <item h="1" m="1" x="4160"/>
        <item h="1" m="1" x="5922"/>
        <item h="1" m="1" x="745"/>
        <item h="1" m="1" x="2501"/>
        <item h="1" m="1" x="4267"/>
        <item h="1" m="1" x="6028"/>
        <item h="1" m="1" x="851"/>
        <item h="1" m="1" x="2607"/>
        <item h="1" m="1" x="4374"/>
        <item h="1" m="1" x="6134"/>
        <item h="1" m="1" x="957"/>
        <item h="1" m="1" x="2713"/>
        <item h="1" m="1" x="4481"/>
        <item h="1" m="1" x="6240"/>
        <item h="1" m="1" x="1063"/>
        <item h="1" m="1" x="2820"/>
        <item h="1" m="1" x="4588"/>
        <item h="1" m="1" x="6346"/>
        <item h="1" m="1" x="1169"/>
        <item h="1" m="1" x="2927"/>
        <item h="1" m="1" x="4695"/>
        <item h="1" m="1" x="6452"/>
        <item h="1" m="1" x="1275"/>
        <item h="1" m="1" x="3034"/>
        <item h="1" m="1" x="4802"/>
        <item h="1" m="1" x="6558"/>
        <item h="1" m="1" x="1382"/>
        <item h="1" m="1" x="3141"/>
        <item h="1" m="1" x="4909"/>
        <item h="1" m="1" x="6663"/>
        <item h="1" m="1" x="1488"/>
        <item h="1" m="1" x="3247"/>
        <item h="1" m="1" x="5015"/>
        <item h="1" m="1" x="6768"/>
        <item h="1" m="1" x="1594"/>
        <item h="1" m="1" x="3353"/>
        <item h="1" m="1" x="5121"/>
        <item h="1" m="1" x="6873"/>
        <item h="1" m="1" x="1700"/>
        <item h="1" m="1" x="3459"/>
        <item h="1" m="1" x="5228"/>
        <item h="1" m="1" x="6979"/>
        <item h="1" m="1" x="1807"/>
        <item h="1" m="1" x="3566"/>
        <item h="1" m="1" x="5335"/>
        <item h="1" m="1" x="7086"/>
        <item h="1" m="1" x="1914"/>
        <item h="1" m="1" x="3674"/>
        <item h="1" m="1" x="5442"/>
        <item h="1" m="1" x="7193"/>
        <item h="1" m="1" x="2021"/>
        <item h="1" m="1" x="3782"/>
        <item h="1" m="1" x="5549"/>
        <item h="1" m="1" x="7300"/>
        <item h="1" m="1" x="2128"/>
        <item h="1" m="1" x="3890"/>
        <item h="1" m="1" x="5656"/>
        <item h="1" m="1" x="7407"/>
        <item h="1" m="1" x="2235"/>
        <item h="1" m="1" x="3998"/>
        <item h="1" m="1" x="5763"/>
        <item h="1" m="1" x="7513"/>
        <item h="1" m="1" x="2341"/>
        <item h="1" m="1" x="4105"/>
        <item h="1" m="1" x="5869"/>
        <item h="1" m="1" x="691"/>
        <item h="1" m="1" x="2447"/>
        <item h="1" m="1" x="4212"/>
        <item h="1" m="1" x="5975"/>
        <item h="1" m="1" x="797"/>
        <item h="1" m="1" x="2553"/>
        <item h="1" m="1" x="4319"/>
        <item h="1" m="1" x="6081"/>
        <item h="1" m="1" x="903"/>
        <item h="1" m="1" x="2659"/>
        <item h="1" m="1" x="4426"/>
        <item h="1" m="1" x="6187"/>
        <item h="1" m="1" x="1009"/>
        <item h="1" m="1" x="2766"/>
        <item h="1" m="1" x="4533"/>
        <item h="1" m="1" x="6293"/>
        <item h="1" m="1" x="1115"/>
        <item h="1" m="1" x="2873"/>
        <item h="1" m="1" x="4640"/>
        <item h="1" m="1" x="6399"/>
        <item h="1" m="1" x="1221"/>
        <item h="1" m="1" x="2980"/>
        <item h="1" m="1" x="4747"/>
        <item h="1" m="1" x="6505"/>
        <item h="1" m="1" x="1328"/>
        <item h="1" m="1" x="3087"/>
        <item h="1" m="1" x="4854"/>
        <item h="1" m="1" x="6610"/>
        <item h="1" m="1" x="1434"/>
        <item h="1" m="1" x="3193"/>
        <item h="1" m="1" x="4960"/>
        <item h="1" m="1" x="6715"/>
        <item h="1" m="1" x="1540"/>
        <item h="1" m="1" x="3299"/>
        <item h="1" m="1" x="5066"/>
        <item h="1" m="1" x="6820"/>
        <item h="1" m="1" x="1646"/>
        <item h="1" m="1" x="3405"/>
        <item h="1" m="1" x="5172"/>
        <item h="1" m="1" x="6925"/>
        <item h="1" m="1" x="1752"/>
        <item h="1" m="1" x="3511"/>
        <item h="1" m="1" x="5279"/>
        <item h="1" m="1" x="7032"/>
        <item h="1" m="1" x="1859"/>
        <item h="1" m="1" x="3619"/>
        <item h="1" m="1" x="5386"/>
        <item h="1" m="1" x="7139"/>
        <item h="1" m="1" x="1966"/>
        <item h="1" m="1" x="3727"/>
        <item h="1" m="1" x="5493"/>
        <item h="1" m="1" x="7246"/>
        <item h="1" m="1" x="2073"/>
        <item h="1" m="1" x="3835"/>
        <item h="1" m="1" x="5600"/>
        <item h="1" m="1" x="7353"/>
        <item h="1" m="1" x="2180"/>
        <item h="1" m="1" x="3943"/>
        <item h="1" m="1" x="5707"/>
        <item h="1" m="1" x="7459"/>
        <item h="1" m="1" x="2286"/>
        <item h="1" m="1" x="4050"/>
        <item h="1" m="1" x="5813"/>
        <item h="1" m="1" x="7565"/>
        <item h="1" m="1" x="2392"/>
        <item h="1" m="1" x="4157"/>
        <item h="1" m="1" x="5919"/>
        <item h="1" m="1" x="743"/>
        <item h="1" m="1" x="2498"/>
        <item h="1" m="1" x="4264"/>
        <item h="1" m="1" x="6025"/>
        <item h="1" m="1" x="849"/>
        <item h="1" m="1" x="2604"/>
        <item h="1" m="1" x="4371"/>
        <item h="1" m="1" x="6131"/>
        <item h="1" m="1" x="955"/>
        <item h="1" m="1" x="2710"/>
        <item h="1" m="1" x="4478"/>
        <item h="1" m="1" x="6237"/>
        <item h="1" m="1" x="1061"/>
        <item h="1" m="1" x="2817"/>
        <item h="1" m="1" x="4585"/>
        <item h="1" m="1" x="6343"/>
        <item h="1" m="1" x="1167"/>
        <item h="1" m="1" x="2924"/>
        <item h="1" m="1" x="4692"/>
        <item h="1" m="1" x="6449"/>
        <item h="1" m="1" x="1273"/>
        <item h="1" m="1" x="3031"/>
        <item h="1" m="1" x="4799"/>
        <item h="1" m="1" x="6555"/>
        <item h="1" m="1" x="1380"/>
        <item h="1" m="1" x="3138"/>
        <item h="1" m="1" x="4906"/>
        <item h="1" m="1" x="6660"/>
        <item h="1" m="1" x="1486"/>
        <item h="1" m="1" x="3244"/>
        <item h="1" m="1" x="5012"/>
        <item h="1" m="1" x="6765"/>
        <item h="1" m="1" x="1592"/>
        <item h="1" m="1" x="3350"/>
        <item h="1" m="1" x="5118"/>
        <item h="1" m="1" x="6870"/>
        <item h="1" m="1" x="1698"/>
        <item h="1" m="1" x="3456"/>
        <item h="1" m="1" x="5224"/>
        <item h="1" m="1" x="6975"/>
        <item h="1" m="1" x="1804"/>
        <item h="1" m="1" x="3562"/>
        <item h="1" m="1" x="5331"/>
        <item h="1" m="1" x="7082"/>
        <item h="1" m="1" x="1911"/>
        <item h="1" m="1" x="3670"/>
        <item h="1" m="1" x="5438"/>
        <item h="1" m="1" x="7189"/>
        <item h="1" m="1" x="2018"/>
        <item h="1" m="1" x="3778"/>
        <item h="1" m="1" x="5545"/>
        <item h="1" m="1" x="7296"/>
        <item h="1" m="1" x="2125"/>
        <item h="1" m="1" x="3886"/>
        <item h="1" m="1" x="5652"/>
        <item h="1" m="1" x="7403"/>
        <item h="1" m="1" x="2232"/>
        <item h="1" m="1" x="3994"/>
        <item h="1" m="1" x="5759"/>
        <item h="1" m="1" x="7509"/>
        <item h="1" m="1" x="2338"/>
        <item h="1" m="1" x="4101"/>
        <item h="1" m="1" x="5865"/>
        <item h="1" m="1" x="687"/>
        <item h="1" m="1" x="2444"/>
        <item h="1" m="1" x="4208"/>
        <item h="1" m="1" x="5971"/>
        <item h="1" m="1" x="793"/>
        <item h="1" m="1" x="2550"/>
        <item h="1" m="1" x="4315"/>
        <item h="1" m="1" x="6077"/>
        <item h="1" m="1" x="899"/>
        <item h="1" m="1" x="2656"/>
        <item h="1" m="1" x="4422"/>
        <item h="1" m="1" x="6183"/>
        <item h="1" m="1" x="1005"/>
        <item h="1" m="1" x="2763"/>
        <item h="1" m="1" x="4529"/>
        <item h="1" m="1" x="6289"/>
        <item h="1" m="1" x="1111"/>
        <item h="1" m="1" x="2870"/>
        <item h="1" m="1" x="4636"/>
        <item h="1" m="1" x="6395"/>
        <item h="1" m="1" x="1217"/>
        <item h="1" m="1" x="2977"/>
        <item h="1" m="1" x="4743"/>
        <item h="1" m="1" x="6501"/>
        <item h="1" m="1" x="1324"/>
        <item h="1" m="1" x="3084"/>
        <item h="1" m="1" x="4850"/>
        <item h="1" m="1" x="6606"/>
        <item h="1" m="1" x="1430"/>
        <item h="1" m="1" x="3190"/>
        <item h="1" m="1" x="4956"/>
        <item h="1" m="1" x="6711"/>
        <item h="1" m="1" x="1536"/>
        <item h="1" m="1" x="3296"/>
        <item h="1" m="1" x="5062"/>
        <item h="1" m="1" x="6816"/>
        <item h="1" m="1" x="1642"/>
        <item h="1" m="1" x="3402"/>
        <item h="1" m="1" x="5168"/>
        <item h="1" m="1" x="6921"/>
        <item h="1" m="1" x="1748"/>
        <item h="1" m="1" x="3508"/>
        <item h="1" m="1" x="5275"/>
        <item h="1" m="1" x="7028"/>
        <item h="1" m="1" x="1855"/>
        <item h="1" m="1" x="3616"/>
        <item h="1" m="1" x="5382"/>
        <item h="1" m="1" x="7135"/>
        <item h="1" m="1" x="1962"/>
        <item h="1" m="1" x="3724"/>
        <item h="1" m="1" x="5489"/>
        <item h="1" m="1" x="7242"/>
        <item h="1" m="1" x="2069"/>
        <item h="1" m="1" x="3832"/>
        <item h="1" m="1" x="5596"/>
        <item h="1" m="1" x="7349"/>
        <item h="1" m="1" x="2176"/>
        <item h="1" m="1" x="3940"/>
        <item h="1" m="1" x="5703"/>
        <item h="1" m="1" x="7455"/>
        <item h="1" m="1" x="2282"/>
        <item h="1" m="1" x="4047"/>
        <item h="1" m="1" x="5809"/>
        <item h="1" m="1" x="7561"/>
        <item h="1" m="1" x="2388"/>
        <item h="1" m="1" x="4154"/>
        <item h="1" m="1" x="5915"/>
        <item h="1" m="1" x="739"/>
        <item h="1" m="1" x="2494"/>
        <item h="1" m="1" x="4261"/>
        <item h="1" m="1" x="6021"/>
        <item h="1" m="1" x="845"/>
        <item h="1" m="1" x="2600"/>
        <item h="1" m="1" x="4368"/>
        <item h="1" m="1" x="6127"/>
        <item h="1" m="1" x="951"/>
        <item h="1" m="1" x="2706"/>
        <item h="1" m="1" x="4475"/>
        <item h="1" m="1" x="6233"/>
        <item h="1" m="1" x="1057"/>
        <item h="1" m="1" x="2813"/>
        <item h="1" m="1" x="4582"/>
        <item h="1" m="1" x="6339"/>
        <item h="1" m="1" x="1163"/>
        <item h="1" m="1" x="2920"/>
        <item h="1" m="1" x="4689"/>
        <item h="1" m="1" x="6445"/>
        <item h="1" m="1" x="1269"/>
        <item h="1" m="1" x="3027"/>
        <item h="1" m="1" x="4796"/>
        <item h="1" m="1" x="6551"/>
        <item h="1" m="1" x="1376"/>
        <item h="1" m="1" x="3134"/>
        <item h="1" m="1" x="4903"/>
        <item h="1" m="1" x="6656"/>
        <item h="1" m="1" x="1482"/>
        <item h="1" m="1" x="3240"/>
        <item h="1" m="1" x="5009"/>
        <item h="1" m="1" x="6761"/>
        <item h="1" m="1" x="1588"/>
        <item h="1" m="1" x="3346"/>
        <item h="1" m="1" x="5115"/>
        <item h="1" m="1" x="6866"/>
        <item h="1" m="1" x="1694"/>
        <item h="1" m="1" x="3452"/>
        <item h="1" m="1" x="5221"/>
        <item h="1" m="1" x="6971"/>
        <item h="1" m="1" x="1800"/>
        <item h="1" m="1" x="3558"/>
        <item h="1" m="1" x="5328"/>
        <item h="1" m="1" x="7078"/>
        <item h="1" m="1" x="1907"/>
        <item h="1" m="1" x="3666"/>
        <item h="1" m="1" x="5435"/>
        <item h="1" m="1" x="7185"/>
        <item h="1" m="1" x="2014"/>
        <item h="1" m="1" x="3774"/>
        <item h="1" m="1" x="5542"/>
        <item h="1" m="1" x="7292"/>
        <item h="1" m="1" x="2121"/>
        <item h="1" m="1" x="3882"/>
        <item h="1" m="1" x="5649"/>
        <item h="1" m="1" x="7399"/>
        <item h="1" m="1" x="2228"/>
        <item h="1" m="1" x="3990"/>
        <item h="1" m="1" x="5756"/>
        <item h="1" m="1" x="7505"/>
        <item h="1" m="1" x="2334"/>
        <item h="1" m="1" x="4097"/>
        <item h="1" m="1" x="5862"/>
        <item h="1" m="1" x="683"/>
        <item h="1" m="1" x="2440"/>
        <item h="1" m="1" x="4204"/>
        <item h="1" m="1" x="5968"/>
        <item h="1" m="1" x="789"/>
        <item h="1" m="1" x="2546"/>
        <item h="1" m="1" x="4311"/>
        <item h="1" m="1" x="6074"/>
        <item h="1" m="1" x="895"/>
        <item h="1" m="1" x="2652"/>
        <item h="1" m="1" x="4418"/>
        <item h="1" m="1" x="6180"/>
        <item h="1" m="1" x="1001"/>
        <item h="1" m="1" x="2759"/>
        <item h="1" m="1" x="4525"/>
        <item h="1" m="1" x="6286"/>
        <item h="1" m="1" x="1107"/>
        <item h="1" m="1" x="2866"/>
        <item h="1" m="1" x="4632"/>
        <item h="1" m="1" x="6392"/>
        <item h="1" m="1" x="1213"/>
        <item h="1" m="1" x="2973"/>
        <item h="1" m="1" x="4739"/>
        <item h="1" m="1" x="6498"/>
        <item h="1" m="1" x="1320"/>
        <item h="1" m="1" x="3080"/>
        <item h="1" m="1" x="4846"/>
        <item h="1" m="1" x="6603"/>
        <item h="1" m="1" x="1426"/>
        <item h="1" m="1" x="3186"/>
        <item h="1" m="1" x="4952"/>
        <item h="1" m="1" x="6708"/>
        <item h="1" m="1" x="1532"/>
        <item h="1" m="1" x="3292"/>
        <item h="1" m="1" x="5058"/>
        <item h="1" m="1" x="6813"/>
        <item h="1" m="1" x="1638"/>
        <item h="1" m="1" x="3398"/>
        <item h="1" m="1" x="5164"/>
        <item h="1" m="1" x="6918"/>
        <item h="1" m="1" x="1744"/>
        <item h="1" m="1" x="3504"/>
        <item h="1" m="1" x="5271"/>
        <item h="1" m="1" x="7025"/>
        <item h="1" m="1" x="1851"/>
        <item h="1" m="1" x="3612"/>
        <item h="1" m="1" x="5378"/>
        <item h="1" m="1" x="7132"/>
        <item h="1" m="1" x="1958"/>
        <item h="1" m="1" x="3720"/>
        <item h="1" m="1" x="5485"/>
        <item h="1" m="1" x="7239"/>
        <item h="1" m="1" x="2065"/>
        <item h="1" m="1" x="3828"/>
        <item h="1" m="1" x="5592"/>
        <item h="1" m="1" x="7346"/>
        <item h="1" m="1" x="2172"/>
        <item h="1" m="1" x="3936"/>
        <item h="1" m="1" x="5699"/>
        <item h="1" m="1" x="7452"/>
        <item h="1" m="1" x="2278"/>
        <item h="1" m="1" x="4043"/>
        <item h="1" m="1" x="5805"/>
        <item h="1" m="1" x="7558"/>
        <item h="1" m="1" x="2384"/>
        <item h="1" m="1" x="4150"/>
        <item h="1" m="1" x="5911"/>
        <item h="1" m="1" x="736"/>
        <item h="1" m="1" x="2490"/>
        <item h="1" m="1" x="4257"/>
        <item h="1" m="1" x="6017"/>
        <item h="1" m="1" x="842"/>
        <item h="1" m="1" x="2596"/>
        <item h="1" m="1" x="4364"/>
        <item h="1" m="1" x="6123"/>
        <item h="1" m="1" x="948"/>
        <item h="1" m="1" x="2702"/>
        <item h="1" m="1" x="4471"/>
        <item h="1" m="1" x="6229"/>
        <item h="1" m="1" x="1054"/>
        <item h="1" m="1" x="2809"/>
        <item h="1" m="1" x="4578"/>
        <item h="1" m="1" x="6335"/>
        <item h="1" m="1" x="1160"/>
        <item h="1" m="1" x="2916"/>
        <item h="1" m="1" x="4685"/>
        <item h="1" m="1" x="6441"/>
        <item h="1" m="1" x="1266"/>
        <item h="1" m="1" x="3023"/>
        <item h="1" m="1" x="4792"/>
        <item h="1" m="1" x="6547"/>
        <item h="1" m="1" x="1373"/>
        <item h="1" m="1" x="3130"/>
        <item h="1" m="1" x="4899"/>
        <item h="1" m="1" x="6652"/>
        <item h="1" m="1" x="1479"/>
        <item h="1" m="1" x="3236"/>
        <item h="1" m="1" x="5005"/>
        <item h="1" m="1" x="6757"/>
        <item h="1" m="1" x="1585"/>
        <item h="1" m="1" x="3342"/>
        <item h="1" m="1" x="5111"/>
        <item h="1" m="1" x="6862"/>
        <item h="1" m="1" x="1691"/>
        <item h="1" m="1" x="3448"/>
        <item h="1" m="1" x="5217"/>
        <item h="1" m="1" x="6967"/>
        <item h="1" m="1" x="1797"/>
        <item h="1" m="1" x="3554"/>
        <item h="1" m="1" x="5324"/>
        <item h="1" m="1" x="7074"/>
        <item h="1" m="1" x="1904"/>
        <item h="1" m="1" x="3662"/>
        <item h="1" m="1" x="5431"/>
        <item h="1" m="1" x="7181"/>
        <item h="1" m="1" x="2011"/>
        <item h="1" m="1" x="3770"/>
        <item h="1" m="1" x="5538"/>
        <item h="1" m="1" x="7288"/>
        <item h="1" m="1" x="2118"/>
        <item h="1" m="1" x="3878"/>
        <item h="1" m="1" x="5645"/>
        <item h="1" m="1" x="7395"/>
        <item h="1" m="1" x="2225"/>
        <item h="1" m="1" x="3986"/>
        <item h="1" m="1" x="5752"/>
        <item h="1" m="1" x="7501"/>
        <item h="1" m="1" x="2331"/>
        <item h="1" m="1" x="4093"/>
        <item h="1" m="1" x="5858"/>
        <item h="1" m="1" x="679"/>
        <item h="1" m="1" x="2437"/>
        <item h="1" m="1" x="4200"/>
        <item h="1" m="1" x="5964"/>
        <item h="1" m="1" x="785"/>
        <item h="1" m="1" x="2543"/>
        <item h="1" m="1" x="4307"/>
        <item h="1" m="1" x="6070"/>
        <item h="1" m="1" x="891"/>
        <item h="1" m="1" x="2649"/>
        <item h="1" m="1" x="4414"/>
        <item h="1" m="1" x="6176"/>
        <item h="1" m="1" x="997"/>
        <item h="1" m="1" x="2756"/>
        <item h="1" m="1" x="4521"/>
        <item h="1" m="1" x="6282"/>
        <item h="1" m="1" x="1103"/>
        <item h="1" m="1" x="2863"/>
        <item h="1" m="1" x="4628"/>
        <item h="1" m="1" x="6388"/>
        <item h="1" m="1" x="1209"/>
        <item h="1" m="1" x="2970"/>
        <item h="1" m="1" x="4735"/>
        <item h="1" m="1" x="6494"/>
        <item h="1" m="1" x="1316"/>
        <item h="1" m="1" x="3077"/>
        <item h="1" m="1" x="4842"/>
        <item h="1" m="1" x="6599"/>
        <item h="1" m="1" x="1422"/>
        <item h="1" m="1" x="3183"/>
        <item h="1" m="1" x="4948"/>
        <item h="1" m="1" x="6704"/>
        <item h="1" m="1" x="1528"/>
        <item h="1" m="1" x="3289"/>
        <item h="1" m="1" x="5054"/>
        <item h="1" m="1" x="6809"/>
        <item h="1" m="1" x="1634"/>
        <item h="1" m="1" x="3395"/>
        <item h="1" m="1" x="5160"/>
        <item h="1" m="1" x="6914"/>
        <item h="1" m="1" x="1740"/>
        <item h="1" m="1" x="3501"/>
        <item h="1" m="1" x="5267"/>
        <item h="1" m="1" x="7021"/>
        <item h="1" m="1" x="1847"/>
        <item h="1" m="1" x="3609"/>
        <item h="1" m="1" x="5374"/>
        <item h="1" m="1" x="7128"/>
        <item h="1" m="1" x="1954"/>
        <item h="1" m="1" x="3717"/>
        <item h="1" m="1" x="5481"/>
        <item h="1" m="1" x="7235"/>
        <item h="1" m="1" x="2061"/>
        <item h="1" m="1" x="3825"/>
        <item h="1" m="1" x="5588"/>
        <item h="1" m="1" x="7342"/>
        <item h="1" m="1" x="2168"/>
        <item h="1" m="1" x="3933"/>
        <item h="1" m="1" x="5695"/>
        <item h="1" m="1" x="7448"/>
        <item h="1" m="1" x="2274"/>
        <item h="1" m="1" x="4040"/>
        <item h="1" m="1" x="5801"/>
        <item h="1" m="1" x="7554"/>
        <item h="1" m="1" x="2380"/>
        <item h="1" m="1" x="4147"/>
        <item h="1" m="1" x="5907"/>
        <item h="1" m="1" x="732"/>
        <item h="1" m="1" x="2486"/>
        <item h="1" m="1" x="4254"/>
        <item h="1" m="1" x="6013"/>
        <item h="1" m="1" x="838"/>
        <item h="1" m="1" x="2592"/>
        <item h="1" m="1" x="4361"/>
        <item h="1" m="1" x="6119"/>
        <item h="1" m="1" x="944"/>
        <item h="1" m="1" x="2698"/>
        <item h="1" m="1" x="4468"/>
        <item h="1" m="1" x="6225"/>
        <item h="1" m="1" x="1050"/>
        <item h="1" m="1" x="2805"/>
        <item h="1" m="1" x="4575"/>
        <item h="1" m="1" x="6331"/>
        <item h="1" m="1" x="1156"/>
        <item h="1" m="1" x="2912"/>
        <item h="1" m="1" x="4682"/>
        <item h="1" m="1" x="6437"/>
        <item h="1" m="1" x="1262"/>
        <item h="1" m="1" x="3019"/>
        <item h="1" m="1" x="4789"/>
        <item h="1" m="1" x="6543"/>
        <item h="1" m="1" x="1369"/>
        <item h="1" m="1" x="3126"/>
        <item h="1" m="1" x="4896"/>
        <item h="1" m="1" x="6648"/>
        <item h="1" m="1" x="1475"/>
        <item h="1" m="1" x="3232"/>
        <item h="1" m="1" x="5002"/>
        <item h="1" m="1" x="6753"/>
        <item h="1" m="1" x="1581"/>
        <item h="1" m="1" x="3338"/>
        <item h="1" m="1" x="5108"/>
        <item h="1" m="1" x="6858"/>
        <item h="1" m="1" x="1687"/>
        <item h="1" m="1" x="3444"/>
        <item h="1" m="1" x="5214"/>
        <item h="1" m="1" x="6963"/>
        <item h="1" m="1" x="1793"/>
        <item h="1" m="1" x="3550"/>
        <item h="1" m="1" x="5321"/>
        <item h="1" m="1" x="7070"/>
        <item h="1" m="1" x="1900"/>
        <item h="1" m="1" x="3658"/>
        <item h="1" m="1" x="5428"/>
        <item h="1" m="1" x="7177"/>
        <item h="1" m="1" x="2007"/>
        <item h="1" m="1" x="3766"/>
        <item h="1" m="1" x="5535"/>
        <item h="1" m="1" x="7284"/>
        <item h="1" m="1" x="2114"/>
        <item h="1" m="1" x="3874"/>
        <item h="1" m="1" x="5642"/>
        <item h="1" m="1" x="7391"/>
        <item h="1" m="1" x="2221"/>
        <item h="1" m="1" x="3982"/>
        <item h="1" m="1" x="5749"/>
        <item h="1" m="1" x="7497"/>
        <item h="1" m="1" x="2327"/>
        <item h="1" m="1" x="4089"/>
        <item h="1" m="1" x="5855"/>
        <item h="1" m="1" x="675"/>
        <item h="1" m="1" x="2433"/>
        <item h="1" m="1" x="4196"/>
        <item h="1" m="1" x="5961"/>
        <item h="1" m="1" x="781"/>
        <item h="1" m="1" x="2539"/>
        <item h="1" m="1" x="4303"/>
        <item h="1" m="1" x="6067"/>
        <item h="1" m="1" x="887"/>
        <item h="1" m="1" x="2645"/>
        <item h="1" m="1" x="4410"/>
        <item h="1" m="1" x="6173"/>
        <item h="1" m="1" x="993"/>
        <item h="1" m="1" x="2752"/>
        <item h="1" m="1" x="4517"/>
        <item h="1" m="1" x="6279"/>
        <item h="1" m="1" x="1099"/>
        <item h="1" m="1" x="2859"/>
        <item h="1" m="1" x="4624"/>
        <item h="1" m="1" x="6385"/>
        <item h="1" m="1" x="1205"/>
        <item h="1" m="1" x="2966"/>
        <item h="1" m="1" x="4731"/>
        <item h="1" m="1" x="6491"/>
        <item h="1" m="1" x="1312"/>
        <item h="1" m="1" x="3073"/>
        <item h="1" m="1" x="4838"/>
        <item h="1" m="1" x="6596"/>
        <item h="1" m="1" x="1418"/>
        <item h="1" m="1" x="3179"/>
        <item h="1" m="1" x="4944"/>
        <item h="1" m="1" x="6701"/>
        <item h="1" m="1" x="1524"/>
        <item h="1" m="1" x="3285"/>
        <item h="1" m="1" x="5050"/>
        <item h="1" m="1" x="6806"/>
        <item h="1" m="1" x="1630"/>
        <item h="1" m="1" x="3391"/>
        <item h="1" m="1" x="5156"/>
        <item h="1" m="1" x="6911"/>
        <item h="1" m="1" x="1736"/>
        <item h="1" m="1" x="3497"/>
        <item h="1" m="1" x="5263"/>
        <item h="1" m="1" x="7018"/>
        <item h="1" m="1" x="1843"/>
        <item h="1" m="1" x="3605"/>
        <item h="1" m="1" x="5370"/>
        <item h="1" m="1" x="7125"/>
        <item h="1" m="1" x="1950"/>
        <item h="1" m="1" x="3713"/>
        <item h="1" m="1" x="5477"/>
        <item h="1" m="1" x="7232"/>
        <item h="1" m="1" x="2057"/>
        <item h="1" m="1" x="3821"/>
        <item h="1" m="1" x="5584"/>
        <item h="1" m="1" x="7339"/>
        <item h="1" m="1" x="2164"/>
        <item h="1" m="1" x="3929"/>
        <item h="1" m="1" x="5691"/>
        <item h="1" m="1" x="7445"/>
        <item h="1" m="1" x="2270"/>
        <item h="1" m="1" x="4036"/>
        <item h="1" m="1" x="5797"/>
        <item h="1" m="1" x="7551"/>
        <item h="1" m="1" x="2376"/>
        <item h="1" m="1" x="4143"/>
        <item h="1" m="1" x="5903"/>
        <item h="1" m="1" x="729"/>
        <item h="1" m="1" x="2482"/>
        <item h="1" m="1" x="4250"/>
        <item h="1" m="1" x="6009"/>
        <item h="1" m="1" x="835"/>
        <item h="1" m="1" x="2588"/>
        <item h="1" m="1" x="4357"/>
        <item h="1" m="1" x="6115"/>
        <item h="1" m="1" x="941"/>
        <item h="1" m="1" x="2694"/>
        <item h="1" m="1" x="4464"/>
        <item h="1" m="1" x="6221"/>
        <item h="1" m="1" x="1047"/>
        <item h="1" m="1" x="2801"/>
        <item h="1" m="1" x="4571"/>
        <item h="1" m="1" x="6327"/>
        <item h="1" m="1" x="1153"/>
        <item h="1" m="1" x="2908"/>
        <item h="1" m="1" x="4678"/>
        <item h="1" m="1" x="6433"/>
        <item h="1" m="1" x="1259"/>
        <item h="1" m="1" x="3015"/>
        <item h="1" m="1" x="4785"/>
        <item h="1" m="1" x="6539"/>
        <item h="1" m="1" x="1366"/>
        <item h="1" m="1" x="3122"/>
        <item h="1" m="1" x="4892"/>
        <item h="1" m="1" x="6644"/>
        <item h="1" m="1" x="1472"/>
        <item h="1" m="1" x="3228"/>
        <item h="1" m="1" x="4998"/>
        <item h="1" m="1" x="6749"/>
        <item h="1" m="1" x="1578"/>
        <item h="1" m="1" x="3334"/>
        <item h="1" m="1" x="5104"/>
        <item h="1" m="1" x="6854"/>
        <item h="1" m="1" x="1684"/>
        <item h="1" m="1" x="3440"/>
        <item h="1" m="1" x="5210"/>
        <item h="1" m="1" x="6959"/>
        <item h="1" m="1" x="1790"/>
        <item h="1" m="1" x="3546"/>
        <item h="1" m="1" x="5317"/>
        <item h="1" m="1" x="7066"/>
        <item h="1" m="1" x="1897"/>
        <item h="1" m="1" x="3654"/>
        <item h="1" m="1" x="5424"/>
        <item h="1" m="1" x="7173"/>
        <item h="1" m="1" x="2004"/>
        <item h="1" m="1" x="3762"/>
        <item h="1" m="1" x="5531"/>
        <item h="1" m="1" x="7280"/>
        <item h="1" m="1" x="2111"/>
        <item h="1" m="1" x="3870"/>
        <item h="1" m="1" x="5638"/>
        <item h="1" m="1" x="7387"/>
        <item h="1" m="1" x="2218"/>
        <item h="1" m="1" x="3978"/>
        <item h="1" m="1" x="5745"/>
        <item h="1" m="1" x="7493"/>
        <item h="1" m="1" x="2324"/>
        <item h="1" m="1" x="4085"/>
        <item h="1" m="1" x="5851"/>
        <item h="1" m="1" x="671"/>
        <item h="1" m="1" x="2430"/>
        <item h="1" m="1" x="4192"/>
        <item h="1" m="1" x="5957"/>
        <item h="1" m="1" x="777"/>
        <item h="1" m="1" x="2536"/>
        <item h="1" m="1" x="4299"/>
        <item h="1" m="1" x="6063"/>
        <item h="1" m="1" x="883"/>
        <item h="1" m="1" x="2642"/>
        <item h="1" m="1" x="4406"/>
        <item h="1" m="1" x="6169"/>
        <item h="1" m="1" x="989"/>
        <item h="1" m="1" x="2749"/>
        <item h="1" m="1" x="4513"/>
        <item h="1" m="1" x="6275"/>
        <item h="1" m="1" x="1095"/>
        <item h="1" m="1" x="2856"/>
        <item h="1" m="1" x="4620"/>
        <item h="1" m="1" x="6381"/>
        <item h="1" m="1" x="1201"/>
        <item h="1" m="1" x="2963"/>
        <item h="1" m="1" x="4727"/>
        <item h="1" m="1" x="6487"/>
        <item h="1" m="1" x="1308"/>
        <item h="1" m="1" x="3070"/>
        <item h="1" m="1" x="4834"/>
        <item h="1" m="1" x="6592"/>
        <item h="1" m="1" x="1414"/>
        <item h="1" m="1" x="3176"/>
        <item h="1" m="1" x="4940"/>
        <item h="1" m="1" x="6697"/>
        <item h="1" m="1" x="1520"/>
        <item h="1" m="1" x="3282"/>
        <item h="1" m="1" x="5046"/>
        <item h="1" m="1" x="6802"/>
        <item h="1" m="1" x="1626"/>
        <item h="1" m="1" x="3388"/>
        <item h="1" m="1" x="5152"/>
        <item h="1" m="1" x="6907"/>
        <item h="1" m="1" x="1732"/>
        <item h="1" m="1" x="3494"/>
        <item h="1" m="1" x="5259"/>
        <item h="1" m="1" x="7014"/>
        <item h="1" m="1" x="1839"/>
        <item h="1" m="1" x="3602"/>
        <item h="1" m="1" x="5366"/>
        <item h="1" m="1" x="7121"/>
        <item h="1" m="1" x="1946"/>
        <item h="1" m="1" x="3710"/>
        <item h="1" m="1" x="5473"/>
        <item h="1" m="1" x="7228"/>
        <item h="1" m="1" x="2053"/>
        <item h="1" m="1" x="3818"/>
        <item h="1" m="1" x="5580"/>
        <item h="1" m="1" x="7335"/>
        <item h="1" m="1" x="2160"/>
        <item h="1" m="1" x="3926"/>
        <item h="1" m="1" x="5687"/>
        <item h="1" m="1" x="7441"/>
        <item h="1" m="1" x="2266"/>
        <item h="1" m="1" x="4033"/>
        <item h="1" m="1" x="5793"/>
        <item h="1" m="1" x="7547"/>
        <item h="1" m="1" x="2372"/>
        <item h="1" m="1" x="4140"/>
        <item h="1" m="1" x="5899"/>
        <item h="1" m="1" x="725"/>
        <item h="1" m="1" x="2478"/>
        <item h="1" m="1" x="4247"/>
        <item h="1" m="1" x="6005"/>
        <item h="1" m="1" x="831"/>
        <item h="1" m="1" x="2584"/>
        <item h="1" m="1" x="4354"/>
        <item h="1" m="1" x="6111"/>
        <item h="1" m="1" x="937"/>
        <item h="1" m="1" x="2690"/>
        <item h="1" m="1" x="4461"/>
        <item h="1" m="1" x="6217"/>
        <item h="1" m="1" x="1043"/>
        <item h="1" m="1" x="2797"/>
        <item h="1" m="1" x="4568"/>
        <item h="1" m="1" x="6323"/>
        <item h="1" m="1" x="1149"/>
        <item h="1" m="1" x="2904"/>
        <item h="1" m="1" x="4675"/>
        <item h="1" m="1" x="6429"/>
        <item h="1" m="1" x="1255"/>
        <item h="1" m="1" x="3011"/>
        <item h="1" m="1" x="4782"/>
        <item h="1" m="1" x="6535"/>
        <item h="1" m="1" x="1362"/>
        <item h="1" m="1" x="3118"/>
        <item h="1" m="1" x="4889"/>
        <item h="1" m="1" x="6640"/>
        <item h="1" m="1" x="1468"/>
        <item h="1" m="1" x="3224"/>
        <item h="1" m="1" x="4995"/>
        <item h="1" m="1" x="6745"/>
        <item h="1" m="1" x="1574"/>
        <item h="1" m="1" x="3330"/>
        <item h="1" m="1" x="5101"/>
        <item h="1" m="1" x="6850"/>
        <item h="1" m="1" x="1680"/>
        <item h="1" m="1" x="3436"/>
        <item h="1" m="1" x="5207"/>
        <item h="1" m="1" x="6955"/>
        <item h="1" m="1" x="1786"/>
        <item h="1" m="1" x="3542"/>
        <item h="1" m="1" x="5314"/>
        <item h="1" m="1" x="7062"/>
        <item h="1" m="1" x="1893"/>
        <item h="1" m="1" x="3650"/>
        <item h="1" m="1" x="5421"/>
        <item h="1" m="1" x="7169"/>
        <item h="1" m="1" x="2000"/>
        <item h="1" m="1" x="3758"/>
        <item h="1" m="1" x="5528"/>
        <item h="1" m="1" x="7276"/>
        <item h="1" m="1" x="2107"/>
        <item h="1" m="1" x="3866"/>
        <item h="1" m="1" x="5635"/>
        <item h="1" m="1" x="7383"/>
        <item h="1" m="1" x="2214"/>
        <item h="1" m="1" x="3974"/>
        <item h="1" m="1" x="5742"/>
        <item h="1" m="1" x="7489"/>
        <item h="1" m="1" x="2320"/>
        <item h="1" m="1" x="4081"/>
        <item h="1" m="1" x="5848"/>
        <item h="1" m="1" x="667"/>
        <item h="1" m="1" x="2426"/>
        <item h="1" m="1" x="4188"/>
        <item h="1" m="1" x="5954"/>
        <item h="1" m="1" x="773"/>
        <item h="1" m="1" x="2532"/>
        <item h="1" m="1" x="4295"/>
        <item h="1" m="1" x="6060"/>
        <item h="1" m="1" x="879"/>
        <item h="1" m="1" x="2638"/>
        <item h="1" m="1" x="4402"/>
        <item h="1" m="1" x="6166"/>
        <item h="1" m="1" x="985"/>
        <item h="1" m="1" x="2745"/>
        <item h="1" m="1" x="4509"/>
        <item h="1" m="1" x="6272"/>
        <item h="1" m="1" x="1091"/>
        <item h="1" m="1" x="2852"/>
        <item h="1" m="1" x="4616"/>
        <item h="1" m="1" x="6378"/>
        <item h="1" m="1" x="1197"/>
        <item h="1" m="1" x="2959"/>
        <item h="1" m="1" x="4723"/>
        <item h="1" m="1" x="6484"/>
        <item h="1" m="1" x="1304"/>
        <item h="1" m="1" x="3066"/>
        <item h="1" m="1" x="4830"/>
        <item h="1" m="1" x="6589"/>
        <item h="1" m="1" x="1410"/>
        <item h="1" m="1" x="3172"/>
        <item h="1" m="1" x="4936"/>
        <item h="1" m="1" x="6694"/>
        <item h="1" m="1" x="1516"/>
        <item h="1" m="1" x="3278"/>
        <item h="1" m="1" x="5042"/>
        <item h="1" m="1" x="6799"/>
        <item h="1" m="1" x="1622"/>
        <item h="1" m="1" x="3384"/>
        <item h="1" m="1" x="5148"/>
        <item h="1" m="1" x="6904"/>
        <item h="1" m="1" x="1728"/>
        <item h="1" m="1" x="3490"/>
        <item h="1" m="1" x="5255"/>
        <item h="1" m="1" x="7011"/>
        <item h="1" m="1" x="1835"/>
        <item h="1" m="1" x="3598"/>
        <item h="1" m="1" x="5362"/>
        <item h="1" m="1" x="7118"/>
        <item h="1" m="1" x="1942"/>
        <item h="1" m="1" x="3706"/>
        <item h="1" m="1" x="5469"/>
        <item h="1" m="1" x="7225"/>
        <item h="1" m="1" x="2049"/>
        <item h="1" m="1" x="3814"/>
        <item h="1" m="1" x="5576"/>
        <item h="1" m="1" x="7332"/>
        <item h="1" m="1" x="2156"/>
        <item h="1" m="1" x="3922"/>
        <item h="1" m="1" x="5683"/>
        <item h="1" m="1" x="7439"/>
        <item h="1" m="1" x="2263"/>
        <item h="1" m="1" x="4030"/>
        <item h="1" m="1" x="5790"/>
        <item h="1" m="1" x="7545"/>
        <item h="1" m="1" x="2369"/>
        <item h="1" m="1" x="4137"/>
        <item h="1" m="1" x="5896"/>
        <item h="1" m="1" x="723"/>
        <item h="1" m="1" x="2475"/>
        <item h="1" m="1" x="4244"/>
        <item h="1" m="1" x="6002"/>
        <item h="1" m="1" x="829"/>
        <item h="1" m="1" x="2581"/>
        <item h="1" m="1" x="4351"/>
        <item h="1" m="1" x="6108"/>
        <item h="1" m="1" x="935"/>
        <item h="1" m="1" x="2687"/>
        <item h="1" m="1" x="4458"/>
        <item h="1" m="1" x="6214"/>
        <item h="1" m="1" x="1041"/>
        <item h="1" m="1" x="2794"/>
        <item h="1" m="1" x="4565"/>
        <item h="1" m="1" x="6320"/>
        <item h="1" m="1" x="1147"/>
        <item h="1" m="1" x="2901"/>
        <item h="1" m="1" x="4672"/>
        <item h="1" m="1" x="6426"/>
        <item h="1" m="1" x="1253"/>
        <item h="1" m="1" x="3008"/>
        <item h="1" m="1" x="4779"/>
        <item h="1" m="1" x="6532"/>
        <item h="1" m="1" x="1360"/>
        <item h="1" m="1" x="3115"/>
        <item h="1" m="1" x="4886"/>
        <item h="1" m="1" x="6637"/>
        <item h="1" m="1" x="1466"/>
        <item h="1" m="1" x="3221"/>
        <item h="1" m="1" x="4992"/>
        <item h="1" m="1" x="6742"/>
        <item h="1" m="1" x="1572"/>
        <item h="1" m="1" x="3327"/>
        <item h="1" m="1" x="5098"/>
        <item h="1" m="1" x="6847"/>
        <item h="1" m="1" x="1678"/>
        <item h="1" m="1" x="3433"/>
        <item h="1" m="1" x="5204"/>
        <item h="1" m="1" x="6952"/>
        <item h="1" m="1" x="1784"/>
        <item h="1" m="1" x="3539"/>
        <item h="1" m="1" x="5311"/>
        <item h="1" m="1" x="7059"/>
        <item h="1" m="1" x="1891"/>
        <item h="1" m="1" x="3647"/>
        <item h="1" m="1" x="5418"/>
        <item h="1" m="1" x="7166"/>
        <item h="1" m="1" x="1998"/>
        <item h="1" m="1" x="3755"/>
        <item h="1" m="1" x="5525"/>
        <item h="1" m="1" x="7273"/>
        <item h="1" m="1" x="2105"/>
        <item h="1" m="1" x="3863"/>
        <item h="1" m="1" x="5632"/>
        <item h="1" m="1" x="7380"/>
        <item h="1" m="1" x="2212"/>
        <item h="1" m="1" x="3971"/>
        <item h="1" m="1" x="5739"/>
        <item h="1" m="1" x="7486"/>
        <item h="1" m="1" x="2318"/>
        <item h="1" m="1" x="4078"/>
        <item h="1" m="1" x="5845"/>
        <item h="1" m="1" x="664"/>
        <item h="1" m="1" x="2424"/>
        <item h="1" m="1" x="4185"/>
        <item h="1" m="1" x="5951"/>
        <item h="1" m="1" x="770"/>
        <item h="1" m="1" x="2530"/>
        <item h="1" m="1" x="4292"/>
        <item h="1" m="1" x="6057"/>
        <item h="1" m="1" x="876"/>
        <item h="1" m="1" x="2636"/>
        <item h="1" m="1" x="4399"/>
        <item h="1" m="1" x="6163"/>
        <item h="1" m="1" x="982"/>
        <item h="1" m="1" x="2743"/>
        <item h="1" m="1" x="4506"/>
        <item h="1" m="1" x="6269"/>
        <item h="1" m="1" x="1088"/>
        <item h="1" m="1" x="2850"/>
        <item h="1" m="1" x="4613"/>
        <item h="1" m="1" x="6375"/>
        <item h="1" m="1" x="1194"/>
        <item h="1" m="1" x="2957"/>
        <item h="1" m="1" x="4720"/>
        <item h="1" m="1" x="6481"/>
        <item h="1" m="1" x="1301"/>
        <item h="1" m="1" x="3064"/>
        <item h="1" m="1" x="4827"/>
        <item h="1" m="1" x="6586"/>
        <item h="1" m="1" x="1407"/>
        <item h="1" m="1" x="3170"/>
        <item h="1" m="1" x="4933"/>
        <item h="1" m="1" x="6691"/>
        <item h="1" m="1" x="1513"/>
        <item h="1" m="1" x="3276"/>
        <item h="1" m="1" x="5039"/>
        <item h="1" m="1" x="6796"/>
        <item h="1" m="1" x="1619"/>
        <item h="1" m="1" x="3382"/>
        <item h="1" m="1" x="5145"/>
        <item h="1" m="1" x="6901"/>
        <item h="1" m="1" x="1725"/>
        <item h="1" m="1" x="3488"/>
        <item h="1" m="1" x="5252"/>
        <item h="1" m="1" x="7008"/>
        <item h="1" m="1" x="1832"/>
        <item h="1" m="1" x="3596"/>
        <item h="1" m="1" x="5359"/>
        <item h="1" m="1" x="7115"/>
        <item h="1" m="1" x="1939"/>
        <item h="1" m="1" x="3704"/>
        <item h="1" m="1" x="5466"/>
        <item h="1" m="1" x="7222"/>
        <item h="1" m="1" x="2046"/>
        <item h="1" m="1" x="3812"/>
        <item h="1" m="1" x="5573"/>
        <item h="1" m="1" x="7329"/>
        <item h="1" m="1" x="2153"/>
        <item h="1" m="1" x="3920"/>
        <item h="1" m="1" x="5680"/>
        <item h="1" m="1" x="7436"/>
        <item h="1" m="1" x="2260"/>
        <item h="1" m="1" x="4028"/>
        <item h="1" m="1" x="5787"/>
        <item h="1" m="1" x="7542"/>
        <item h="1" m="1" x="2366"/>
        <item h="1" m="1" x="4135"/>
        <item h="1" m="1" x="5893"/>
        <item h="1" m="1" x="720"/>
        <item h="1" m="1" x="2472"/>
        <item h="1" m="1" x="4242"/>
        <item h="1" m="1" x="5999"/>
        <item h="1" m="1" x="826"/>
        <item h="1" m="1" x="2578"/>
        <item h="1" m="1" x="4349"/>
        <item h="1" m="1" x="6105"/>
        <item h="1" m="1" x="932"/>
        <item h="1" m="1" x="2684"/>
        <item h="1" m="1" x="4456"/>
        <item h="1" m="1" x="6211"/>
        <item h="1" m="1" x="1038"/>
        <item h="1" m="1" x="2791"/>
        <item h="1" m="1" x="4563"/>
        <item h="1" m="1" x="6317"/>
        <item h="1" m="1" x="1144"/>
        <item h="1" m="1" x="2898"/>
        <item h="1" m="1" x="4670"/>
        <item h="1" m="1" x="6423"/>
        <item h="1" m="1" x="1250"/>
        <item h="1" m="1" x="3005"/>
        <item h="1" m="1" x="4777"/>
        <item h="1" m="1" x="6529"/>
        <item h="1" m="1" x="1357"/>
        <item h="1" m="1" x="3112"/>
        <item h="1" m="1" x="4884"/>
        <item h="1" m="1" x="6634"/>
        <item h="1" m="1" x="1463"/>
        <item h="1" m="1" x="3218"/>
        <item h="1" m="1" x="4990"/>
        <item h="1" m="1" x="6739"/>
        <item h="1" m="1" x="1569"/>
        <item h="1" m="1" x="3324"/>
        <item h="1" m="1" x="5096"/>
        <item h="1" m="1" x="6844"/>
        <item h="1" m="1" x="1675"/>
        <item h="1" m="1" x="3430"/>
        <item h="1" m="1" x="5202"/>
        <item h="1" m="1" x="6949"/>
        <item h="1" m="1" x="1781"/>
        <item h="1" m="1" x="3536"/>
        <item h="1" m="1" x="5309"/>
        <item h="1" m="1" x="7056"/>
        <item h="1" m="1" x="1888"/>
        <item h="1" m="1" x="3644"/>
        <item h="1" m="1" x="5416"/>
        <item h="1" m="1" x="7163"/>
        <item h="1" m="1" x="1995"/>
        <item h="1" m="1" x="3752"/>
        <item h="1" m="1" x="5523"/>
        <item h="1" m="1" x="7270"/>
        <item h="1" m="1" x="2102"/>
        <item h="1" m="1" x="3860"/>
        <item h="1" m="1" x="5630"/>
        <item h="1" m="1" x="7377"/>
        <item h="1" m="1" x="2209"/>
        <item h="1" m="1" x="3968"/>
        <item h="1" m="1" x="5737"/>
        <item h="1" m="1" x="7483"/>
        <item h="1" m="1" x="2315"/>
        <item h="1" m="1" x="4075"/>
        <item h="1" m="1" x="5843"/>
        <item h="1" m="1" x="661"/>
        <item h="1" m="1" x="2421"/>
        <item h="1" m="1" x="4182"/>
        <item h="1" m="1" x="5949"/>
        <item h="1" m="1" x="767"/>
        <item h="1" m="1" x="2527"/>
        <item h="1" m="1" x="4289"/>
        <item h="1" m="1" x="6055"/>
        <item h="1" m="1" x="873"/>
        <item h="1" m="1" x="2633"/>
        <item h="1" m="1" x="4396"/>
        <item h="1" m="1" x="6161"/>
        <item h="1" m="1" x="979"/>
        <item h="1" m="1" x="2740"/>
        <item h="1" m="1" x="4503"/>
        <item h="1" m="1" x="6267"/>
        <item h="1" m="1" x="1085"/>
        <item h="1" m="1" x="2847"/>
        <item h="1" m="1" x="4610"/>
        <item h="1" m="1" x="6373"/>
        <item h="1" m="1" x="1191"/>
        <item h="1" m="1" x="2954"/>
        <item h="1" m="1" x="4717"/>
        <item h="1" m="1" x="6479"/>
        <item h="1" m="1" x="1298"/>
        <item h="1" m="1" x="3061"/>
        <item h="1" m="1" x="4824"/>
        <item h="1" m="1" x="6584"/>
        <item h="1" m="1" x="1404"/>
        <item h="1" m="1" x="3167"/>
        <item h="1" m="1" x="4930"/>
        <item h="1" m="1" x="6689"/>
        <item h="1" m="1" x="1510"/>
        <item h="1" m="1" x="3273"/>
        <item h="1" m="1" x="5036"/>
        <item h="1" m="1" x="6794"/>
        <item h="1" m="1" x="1616"/>
        <item h="1" m="1" x="3379"/>
        <item h="1" m="1" x="5142"/>
        <item h="1" m="1" x="6899"/>
        <item h="1" m="1" x="1722"/>
        <item h="1" m="1" x="3485"/>
        <item h="1" m="1" x="5249"/>
        <item h="1" m="1" x="7006"/>
        <item h="1" m="1" x="1829"/>
        <item h="1" m="1" x="3593"/>
        <item h="1" m="1" x="5356"/>
        <item h="1" m="1" x="7113"/>
        <item h="1" m="1" x="1936"/>
        <item h="1" m="1" x="3701"/>
        <item h="1" m="1" x="5463"/>
        <item h="1" m="1" x="7220"/>
        <item h="1" m="1" x="2043"/>
        <item h="1" m="1" x="3809"/>
        <item h="1" m="1" x="5570"/>
        <item h="1" m="1" x="7327"/>
        <item h="1" m="1" x="2150"/>
        <item h="1" m="1" x="3917"/>
        <item h="1" m="1" x="5677"/>
        <item h="1" m="1" x="7434"/>
        <item h="1" m="1" x="2257"/>
        <item h="1" m="1" x="4025"/>
        <item h="1" m="1" x="5784"/>
        <item h="1" m="1" x="7540"/>
        <item h="1" m="1" x="2363"/>
        <item h="1" m="1" x="4132"/>
        <item h="1" m="1" x="5890"/>
        <item h="1" m="1" x="718"/>
        <item h="1" m="1" x="2469"/>
        <item h="1" m="1" x="4239"/>
        <item h="1" m="1" x="5996"/>
        <item h="1" m="1" x="824"/>
        <item h="1" m="1" x="2575"/>
        <item h="1" m="1" x="4346"/>
        <item h="1" m="1" x="5225"/>
        <item h="1" m="1" x="6102"/>
        <item h="1" m="1" x="6976"/>
        <item h="1" m="1" x="930"/>
        <item h="1" m="1" x="1805"/>
        <item h="1" m="1" x="2681"/>
        <item h="1" m="1" x="3563"/>
        <item h="1" m="1" x="4453"/>
        <item h="1" m="1" x="5332"/>
        <item h="1" m="1" x="6208"/>
        <item h="1" m="1" x="7083"/>
        <item h="1" m="1" x="1036"/>
        <item h="1" m="1" x="1912"/>
        <item h="1" m="1" x="2788"/>
        <item h="1" m="1" x="3671"/>
        <item h="1" m="1" x="4560"/>
        <item h="1" m="1" x="5439"/>
        <item h="1" m="1" x="6314"/>
        <item h="1" m="1" x="7190"/>
        <item h="1" m="1" x="1142"/>
        <item h="1" m="1" x="2019"/>
        <item h="1" m="1" x="2895"/>
        <item h="1" m="1" x="3779"/>
        <item h="1" m="1" x="4667"/>
        <item h="1" m="1" x="5546"/>
        <item h="1" m="1" x="6420"/>
        <item h="1" m="1" x="7297"/>
        <item h="1" m="1" x="1248"/>
        <item h="1" m="1" x="2126"/>
        <item h="1" m="1" x="3002"/>
        <item h="1" m="1" x="3887"/>
        <item h="1" m="1" x="4774"/>
        <item h="1" m="1" x="5653"/>
        <item h="1" m="1" x="6526"/>
        <item h="1" m="1" x="7404"/>
        <item h="1" m="1" x="1355"/>
        <item h="1" m="1" x="2233"/>
        <item h="1" m="1" x="3109"/>
        <item h="1" m="1" x="3995"/>
        <item h="1" m="1" x="4881"/>
        <item h="1" m="1" x="5760"/>
        <item h="1" m="1" x="6631"/>
        <item h="1" m="1" x="7510"/>
        <item h="1" m="1" x="1461"/>
        <item h="1" m="1" x="2339"/>
        <item h="1" m="1" x="3215"/>
        <item h="1" m="1" x="4102"/>
        <item h="1" m="1" x="4987"/>
        <item h="1" m="1" x="5866"/>
        <item h="1" m="1" x="6736"/>
        <item h="1" m="1" x="688"/>
        <item h="1" m="1" x="1567"/>
        <item h="1" m="1" x="2445"/>
        <item h="1" m="1" x="3321"/>
        <item h="1" m="1" x="4209"/>
        <item h="1" m="1" x="5093"/>
        <item h="1" m="1" x="5972"/>
        <item h="1" m="1" x="6841"/>
        <item h="1" m="1" x="794"/>
        <item h="1" m="1" x="1673"/>
        <item h="1" m="1" x="2551"/>
        <item h="1" m="1" x="3427"/>
        <item h="1" m="1" x="4316"/>
        <item h="1" m="1" x="5199"/>
        <item h="1" m="1" x="6078"/>
        <item h="1" m="1" x="6946"/>
        <item h="1" m="1" x="900"/>
        <item h="1" m="1" x="1779"/>
        <item h="1" m="1" x="2657"/>
        <item h="1" m="1" x="3533"/>
        <item h="1" m="1" x="4423"/>
        <item h="1" m="1" x="5306"/>
        <item h="1" m="1" x="6184"/>
        <item h="1" m="1" x="7053"/>
        <item h="1" m="1" x="1006"/>
        <item h="1" m="1" x="1886"/>
        <item h="1" m="1" x="2764"/>
        <item h="1" m="1" x="3641"/>
        <item h="1" m="1" x="4530"/>
        <item h="1" m="1" x="5413"/>
        <item h="1" m="1" x="6290"/>
        <item h="1" m="1" x="7160"/>
        <item h="1" m="1" x="1112"/>
        <item h="1" m="1" x="1993"/>
        <item h="1" m="1" x="2871"/>
        <item h="1" m="1" x="3749"/>
        <item h="1" m="1" x="4637"/>
        <item h="1" m="1" x="5520"/>
        <item h="1" m="1" x="6396"/>
        <item h="1" m="1" x="7267"/>
        <item h="1" m="1" x="1218"/>
        <item h="1" m="1" x="2100"/>
        <item h="1" m="1" x="2978"/>
        <item h="1" m="1" x="3857"/>
        <item h="1" m="1" x="4744"/>
        <item h="1" m="1" x="5627"/>
        <item h="1" m="1" x="6502"/>
        <item h="1" m="1" x="7374"/>
        <item h="1" m="1" x="1325"/>
        <item h="1" m="1" x="2207"/>
        <item h="1" m="1" x="3085"/>
        <item h="1" m="1" x="3965"/>
        <item h="1" m="1" x="4851"/>
        <item h="1" m="1" x="5734"/>
        <item h="1" m="1" x="6607"/>
        <item h="1" m="1" x="7480"/>
        <item h="1" m="1" x="1431"/>
        <item h="1" m="1" x="2313"/>
        <item h="1" m="1" x="3191"/>
        <item h="1" m="1" x="4072"/>
        <item h="1" m="1" x="4957"/>
        <item h="1" m="1" x="5840"/>
        <item h="1" m="1" x="6712"/>
        <item h="1" m="1" x="658"/>
        <item h="1" m="1" x="1537"/>
        <item h="1" m="1" x="2419"/>
        <item h="1" m="1" x="3297"/>
        <item h="1" m="1" x="4179"/>
        <item h="1" m="1" x="5063"/>
        <item h="1" m="1" x="5946"/>
        <item h="1" m="1" x="6817"/>
        <item h="1" m="1" x="764"/>
        <item h="1" m="1" x="1643"/>
        <item h="1" m="1" x="2525"/>
        <item h="1" m="1" x="3403"/>
        <item h="1" m="1" x="4286"/>
        <item h="1" m="1" x="5169"/>
        <item h="1" m="1" x="6052"/>
        <item h="1" m="1" x="6922"/>
        <item h="1" m="1" x="870"/>
        <item h="1" m="1" x="1749"/>
        <item h="1" m="1" x="2631"/>
        <item h="1" m="1" x="3509"/>
        <item h="1" m="1" x="4393"/>
        <item h="1" m="1" x="5276"/>
        <item h="1" m="1" x="6158"/>
        <item h="1" m="1" x="7029"/>
        <item h="1" m="1" x="976"/>
        <item h="1" m="1" x="1856"/>
        <item h="1" m="1" x="2737"/>
        <item h="1" m="1" x="3617"/>
        <item h="1" m="1" x="4500"/>
        <item h="1" m="1" x="5383"/>
        <item h="1" m="1" x="6264"/>
        <item h="1" m="1" x="7136"/>
        <item h="1" m="1" x="1082"/>
        <item h="1" m="1" x="1963"/>
        <item h="1" m="1" x="2844"/>
        <item h="1" m="1" x="3725"/>
        <item h="1" m="1" x="4607"/>
        <item h="1" m="1" x="5490"/>
        <item h="1" m="1" x="6370"/>
        <item h="1" m="1" x="7243"/>
        <item h="1" m="1" x="1188"/>
        <item h="1" m="1" x="2070"/>
        <item h="1" m="1" x="2951"/>
        <item h="1" m="1" x="3833"/>
        <item h="1" m="1" x="4714"/>
        <item h="1" m="1" x="5597"/>
        <item h="1" m="1" x="6476"/>
        <item h="1" m="1" x="7350"/>
        <item h="1" m="1" x="1295"/>
        <item h="1" m="1" x="2177"/>
        <item h="1" m="1" x="3058"/>
        <item h="1" m="1" x="3941"/>
        <item h="1" m="1" x="4821"/>
        <item h="1" m="1" x="5704"/>
        <item h="1" m="1" x="6581"/>
        <item h="1" m="1" x="7456"/>
        <item h="1" m="1" x="1401"/>
        <item h="1" m="1" x="2283"/>
        <item h="1" m="1" x="3164"/>
        <item h="1" m="1" x="4048"/>
        <item h="1" m="1" x="4927"/>
        <item h="1" m="1" x="5810"/>
        <item h="1" m="1" x="6686"/>
        <item h="1" m="1" x="7562"/>
        <item h="1" m="1" x="1507"/>
        <item h="1" m="1" x="2389"/>
        <item h="1" m="1" x="3270"/>
        <item h="1" m="1" x="4155"/>
        <item h="1" m="1" x="5033"/>
        <item h="1" m="1" x="5916"/>
        <item h="1" m="1" x="6791"/>
        <item h="1" m="1" x="740"/>
        <item h="1" m="1" x="1613"/>
        <item h="1" m="1" x="2495"/>
        <item h="1" m="1" x="3376"/>
        <item h="1" m="1" x="4262"/>
        <item h="1" m="1" x="5139"/>
        <item h="1" m="1" x="6022"/>
        <item h="1" m="1" x="6896"/>
        <item h="1" m="1" x="846"/>
        <item h="1" m="1" x="1719"/>
        <item h="1" m="1" x="2601"/>
        <item h="1" m="1" x="3482"/>
        <item h="1" m="1" x="4369"/>
        <item h="1" m="1" x="5246"/>
        <item h="1" m="1" x="6128"/>
        <item h="1" m="1" x="7002"/>
        <item h="1" m="1" x="952"/>
        <item h="1" m="1" x="1826"/>
        <item h="1" m="1" x="2707"/>
        <item h="1" m="1" x="3589"/>
        <item h="1" m="1" x="4476"/>
        <item h="1" m="1" x="5353"/>
        <item h="1" m="1" x="6234"/>
        <item h="1" m="1" x="7109"/>
        <item h="1" m="1" x="1058"/>
        <item h="1" m="1" x="1933"/>
        <item h="1" m="1" x="2814"/>
        <item h="1" m="1" x="3697"/>
        <item h="1" m="1" x="4583"/>
        <item h="1" m="1" x="5460"/>
        <item h="1" m="1" x="6340"/>
        <item h="1" m="1" x="7216"/>
        <item h="1" m="1" x="1164"/>
        <item h="1" m="1" x="2040"/>
        <item h="1" m="1" x="2921"/>
        <item h="1" m="1" x="3805"/>
        <item h="1" m="1" x="4690"/>
        <item h="1" m="1" x="5567"/>
        <item h="1" m="1" x="6446"/>
        <item h="1" m="1" x="7323"/>
        <item h="1" m="1" x="1270"/>
        <item h="1" m="1" x="2147"/>
        <item h="1" m="1" x="3028"/>
        <item h="1" m="1" x="3913"/>
        <item h="1" m="1" x="4797"/>
        <item h="1" m="1" x="5674"/>
        <item h="1" m="1" x="6552"/>
        <item h="1" m="1" x="7430"/>
        <item h="1" m="1" x="1377"/>
        <item h="1" m="1" x="2254"/>
        <item h="1" m="1" x="3135"/>
        <item h="1" m="1" x="4021"/>
        <item h="1" m="1" x="4904"/>
        <item h="1" m="1" x="5781"/>
        <item h="1" m="1" x="6657"/>
        <item h="1" m="1" x="7536"/>
        <item h="1" m="1" x="1483"/>
        <item h="1" m="1" x="2360"/>
        <item h="1" m="1" x="3241"/>
        <item h="1" m="1" x="4128"/>
        <item h="1" m="1" x="5010"/>
        <item h="1" m="1" x="5887"/>
        <item h="1" m="1" x="6762"/>
        <item h="1" m="1" x="714"/>
        <item h="1" m="1" x="1589"/>
        <item h="1" m="1" x="2466"/>
        <item h="1" m="1" x="3347"/>
        <item h="1" m="1" x="4235"/>
        <item h="1" m="1" x="5116"/>
        <item h="1" m="1" x="5993"/>
        <item h="1" m="1" x="6867"/>
        <item h="1" m="1" x="820"/>
        <item h="1" m="1" x="1695"/>
        <item h="1" m="1" x="2572"/>
        <item h="1" m="1" x="3453"/>
        <item h="1" m="1" x="4342"/>
        <item h="1" m="1" x="5222"/>
        <item h="1" m="1" x="6099"/>
        <item h="1" m="1" x="6972"/>
        <item h="1" m="1" x="926"/>
        <item h="1" m="1" x="1801"/>
        <item h="1" m="1" x="2678"/>
        <item h="1" m="1" x="3559"/>
        <item h="1" m="1" x="4449"/>
        <item h="1" m="1" x="5329"/>
        <item h="1" m="1" x="6205"/>
        <item h="1" m="1" x="7079"/>
        <item h="1" m="1" x="1032"/>
        <item h="1" m="1" x="1908"/>
        <item h="1" m="1" x="2785"/>
        <item h="1" m="1" x="3667"/>
        <item h="1" m="1" x="4556"/>
        <item h="1" m="1" x="5436"/>
        <item h="1" m="1" x="6311"/>
        <item h="1" m="1" x="7186"/>
        <item h="1" m="1" x="1138"/>
        <item h="1" m="1" x="2015"/>
        <item h="1" m="1" x="2892"/>
        <item h="1" m="1" x="3775"/>
        <item h="1" m="1" x="4663"/>
        <item h="1" m="1" x="5543"/>
        <item h="1" m="1" x="6417"/>
        <item h="1" m="1" x="7293"/>
        <item h="1" m="1" x="1244"/>
        <item h="1" m="1" x="2122"/>
        <item h="1" m="1" x="2999"/>
        <item h="1" m="1" x="3883"/>
        <item h="1" m="1" x="4770"/>
        <item h="1" m="1" x="5650"/>
        <item h="1" m="1" x="6523"/>
        <item h="1" m="1" x="7400"/>
        <item h="1" m="1" x="1351"/>
        <item h="1" m="1" x="2229"/>
        <item h="1" m="1" x="3106"/>
        <item h="1" m="1" x="3991"/>
        <item h="1" m="1" x="4877"/>
        <item h="1" m="1" x="5757"/>
        <item h="1" m="1" x="6628"/>
        <item h="1" m="1" x="7506"/>
        <item h="1" m="1" x="1457"/>
        <item h="1" m="1" x="2335"/>
        <item h="1" m="1" x="3212"/>
        <item h="1" m="1" x="4098"/>
        <item h="1" m="1" x="4983"/>
        <item h="1" m="1" x="5863"/>
        <item h="1" m="1" x="6733"/>
        <item h="1" m="1" x="684"/>
        <item h="1" m="1" x="1563"/>
        <item h="1" m="1" x="2441"/>
        <item h="1" m="1" x="3318"/>
        <item h="1" m="1" x="4205"/>
        <item h="1" m="1" x="5089"/>
        <item h="1" m="1" x="5969"/>
        <item h="1" m="1" x="6838"/>
        <item h="1" m="1" x="790"/>
        <item h="1" m="1" x="1669"/>
        <item h="1" m="1" x="2547"/>
        <item h="1" m="1" x="3424"/>
        <item h="1" m="1" x="4312"/>
        <item h="1" m="1" x="5195"/>
        <item h="1" m="1" x="6075"/>
        <item h="1" m="1" x="6943"/>
        <item h="1" m="1" x="896"/>
        <item h="1" m="1" x="1775"/>
        <item h="1" m="1" x="2653"/>
        <item h="1" m="1" x="3530"/>
        <item h="1" m="1" x="4419"/>
        <item h="1" m="1" x="5302"/>
        <item h="1" m="1" x="6181"/>
        <item h="1" m="1" x="7050"/>
        <item h="1" m="1" x="1002"/>
        <item h="1" m="1" x="1882"/>
        <item h="1" m="1" x="2760"/>
        <item h="1" m="1" x="3638"/>
        <item h="1" m="1" x="4526"/>
        <item h="1" m="1" x="5409"/>
        <item h="1" m="1" x="6287"/>
        <item h="1" m="1" x="7157"/>
        <item h="1" m="1" x="1108"/>
        <item h="1" m="1" x="1989"/>
        <item h="1" m="1" x="2867"/>
        <item h="1" m="1" x="3746"/>
        <item h="1" m="1" x="4633"/>
        <item h="1" m="1" x="5516"/>
        <item h="1" m="1" x="6393"/>
        <item h="1" m="1" x="7264"/>
        <item h="1" m="1" x="1214"/>
        <item h="1" m="1" x="2096"/>
        <item h="1" m="1" x="2974"/>
        <item h="1" m="1" x="3854"/>
        <item h="1" m="1" x="4740"/>
        <item h="1" m="1" x="5623"/>
        <item h="1" m="1" x="6499"/>
        <item h="1" m="1" x="7371"/>
        <item h="1" m="1" x="1321"/>
        <item h="1" m="1" x="2203"/>
        <item h="1" m="1" x="3081"/>
        <item h="1" m="1" x="3962"/>
        <item h="1" m="1" x="4847"/>
        <item h="1" m="1" x="5730"/>
        <item h="1" m="1" x="6604"/>
        <item h="1" m="1" x="7477"/>
        <item h="1" m="1" x="1427"/>
        <item h="1" m="1" x="2309"/>
        <item h="1" m="1" x="3187"/>
        <item h="1" m="1" x="4069"/>
        <item h="1" m="1" x="4953"/>
        <item h="1" m="1" x="5836"/>
        <item h="1" m="1" x="6709"/>
        <item h="1" m="1" x="655"/>
        <item h="1" m="1" x="1533"/>
        <item h="1" m="1" x="2415"/>
        <item h="1" m="1" x="3293"/>
        <item h="1" m="1" x="4176"/>
        <item h="1" m="1" x="5059"/>
        <item h="1" m="1" x="5942"/>
        <item h="1" m="1" x="6814"/>
        <item h="1" m="1" x="761"/>
        <item h="1" m="1" x="1639"/>
        <item h="1" m="1" x="2521"/>
        <item h="1" m="1" x="3399"/>
        <item h="1" m="1" x="4283"/>
        <item h="1" m="1" x="5165"/>
        <item h="1" m="1" x="6048"/>
        <item h="1" m="1" x="6919"/>
        <item h="1" m="1" x="867"/>
        <item h="1" m="1" x="1745"/>
        <item h="1" m="1" x="2627"/>
        <item h="1" m="1" x="3505"/>
        <item h="1" m="1" x="4390"/>
        <item h="1" m="1" x="5272"/>
        <item h="1" m="1" x="6154"/>
        <item h="1" m="1" x="7026"/>
        <item h="1" m="1" x="973"/>
        <item h="1" m="1" x="1852"/>
        <item h="1" m="1" x="2733"/>
        <item h="1" m="1" x="3613"/>
        <item h="1" m="1" x="4497"/>
        <item h="1" m="1" x="5379"/>
        <item h="1" m="1" x="6260"/>
        <item h="1" m="1" x="7133"/>
        <item h="1" m="1" x="1079"/>
        <item h="1" m="1" x="1959"/>
        <item h="1" m="1" x="2840"/>
        <item h="1" m="1" x="3721"/>
        <item h="1" m="1" x="4604"/>
        <item h="1" m="1" x="5486"/>
        <item h="1" m="1" x="6366"/>
        <item h="1" m="1" x="7240"/>
        <item h="1" m="1" x="1185"/>
        <item h="1" m="1" x="2066"/>
        <item h="1" m="1" x="2947"/>
        <item h="1" m="1" x="3829"/>
        <item h="1" m="1" x="4711"/>
        <item h="1" m="1" x="5593"/>
        <item h="1" m="1" x="6472"/>
        <item h="1" m="1" x="7347"/>
        <item h="1" m="1" x="1292"/>
        <item h="1" m="1" x="2173"/>
        <item h="1" m="1" x="3054"/>
        <item h="1" m="1" x="3937"/>
        <item h="1" m="1" x="4818"/>
        <item h="1" m="1" x="5700"/>
        <item h="1" m="1" x="6577"/>
        <item h="1" m="1" x="7453"/>
        <item h="1" m="1" x="1398"/>
        <item h="1" m="1" x="2279"/>
        <item h="1" m="1" x="3160"/>
        <item h="1" m="1" x="4044"/>
        <item h="1" m="1" x="4924"/>
        <item h="1" m="1" x="5806"/>
        <item h="1" m="1" x="6682"/>
        <item h="1" m="1" x="7559"/>
        <item h="1" m="1" x="1504"/>
        <item h="1" m="1" x="2385"/>
        <item h="1" m="1" x="3266"/>
        <item h="1" m="1" x="4151"/>
        <item h="1" m="1" x="5030"/>
        <item h="1" m="1" x="5912"/>
        <item h="1" m="1" x="6787"/>
        <item h="1" m="1" x="737"/>
        <item h="1" m="1" x="1610"/>
        <item h="1" m="1" x="2491"/>
        <item h="1" m="1" x="3372"/>
        <item h="1" m="1" x="4258"/>
        <item h="1" m="1" x="5136"/>
        <item h="1" m="1" x="6018"/>
        <item h="1" m="1" x="6892"/>
        <item h="1" m="1" x="843"/>
        <item h="1" m="1" x="1716"/>
        <item h="1" m="1" x="2597"/>
        <item h="1" m="1" x="3478"/>
        <item h="1" m="1" x="4365"/>
        <item h="1" m="1" x="5243"/>
        <item h="1" m="1" x="6124"/>
        <item h="1" m="1" x="6998"/>
        <item h="1" m="1" x="949"/>
        <item h="1" m="1" x="1823"/>
        <item h="1" m="1" x="2703"/>
        <item h="1" m="1" x="3585"/>
        <item h="1" m="1" x="4472"/>
        <item h="1" m="1" x="5350"/>
        <item h="1" m="1" x="6230"/>
        <item h="1" m="1" x="7105"/>
        <item h="1" m="1" x="1055"/>
        <item h="1" m="1" x="1930"/>
        <item h="1" m="1" x="2810"/>
        <item h="1" m="1" x="3693"/>
        <item h="1" m="1" x="4579"/>
        <item h="1" m="1" x="5457"/>
        <item h="1" m="1" x="6336"/>
        <item h="1" m="1" x="7212"/>
        <item h="1" m="1" x="1161"/>
        <item h="1" m="1" x="2037"/>
        <item h="1" m="1" x="2917"/>
        <item h="1" m="1" x="3801"/>
        <item h="1" m="1" x="4686"/>
        <item h="1" m="1" x="5564"/>
        <item h="1" m="1" x="6442"/>
        <item h="1" m="1" x="7319"/>
        <item h="1" m="1" x="1267"/>
        <item h="1" m="1" x="2144"/>
        <item h="1" m="1" x="3024"/>
        <item h="1" m="1" x="3909"/>
        <item h="1" m="1" x="4793"/>
        <item h="1" m="1" x="5671"/>
        <item h="1" m="1" x="6548"/>
        <item h="1" m="1" x="7426"/>
        <item h="1" m="1" x="1374"/>
        <item h="1" m="1" x="2251"/>
        <item h="1" m="1" x="3131"/>
        <item h="1" m="1" x="4017"/>
        <item h="1" m="1" x="4900"/>
        <item h="1" m="1" x="5778"/>
        <item h="1" m="1" x="6653"/>
        <item h="1" m="1" x="7532"/>
        <item h="1" m="1" x="1480"/>
        <item h="1" m="1" x="2357"/>
        <item h="1" m="1" x="3237"/>
        <item h="1" m="1" x="4124"/>
        <item h="1" m="1" x="5006"/>
        <item h="1" m="1" x="5884"/>
        <item h="1" m="1" x="6758"/>
        <item h="1" m="1" x="710"/>
        <item h="1" m="1" x="1586"/>
        <item h="1" m="1" x="2463"/>
        <item h="1" m="1" x="3343"/>
        <item h="1" m="1" x="4231"/>
        <item h="1" m="1" x="5112"/>
        <item h="1" m="1" x="5990"/>
        <item h="1" m="1" x="6863"/>
        <item h="1" m="1" x="816"/>
        <item h="1" m="1" x="1692"/>
        <item h="1" m="1" x="2569"/>
        <item h="1" m="1" x="3449"/>
        <item h="1" m="1" x="4338"/>
        <item h="1" m="1" x="5218"/>
        <item h="1" m="1" x="6096"/>
        <item h="1" m="1" x="6968"/>
        <item h="1" m="1" x="922"/>
        <item h="1" m="1" x="1798"/>
        <item h="1" m="1" x="2675"/>
        <item h="1" m="1" x="3555"/>
        <item h="1" m="1" x="4445"/>
        <item h="1" m="1" x="5325"/>
        <item h="1" m="1" x="6202"/>
        <item h="1" m="1" x="7075"/>
        <item h="1" m="1" x="1028"/>
        <item h="1" m="1" x="1905"/>
        <item h="1" m="1" x="2782"/>
        <item h="1" m="1" x="3663"/>
        <item h="1" m="1" x="4552"/>
        <item h="1" m="1" x="5432"/>
        <item h="1" m="1" x="6308"/>
        <item h="1" m="1" x="7182"/>
        <item h="1" m="1" x="1134"/>
        <item h="1" m="1" x="2012"/>
        <item h="1" m="1" x="2889"/>
        <item h="1" m="1" x="3771"/>
        <item h="1" m="1" x="4659"/>
        <item h="1" m="1" x="5539"/>
        <item h="1" m="1" x="6414"/>
        <item h="1" m="1" x="7289"/>
        <item h="1" m="1" x="1240"/>
        <item h="1" m="1" x="2119"/>
        <item h="1" m="1" x="2996"/>
        <item h="1" m="1" x="3879"/>
        <item h="1" m="1" x="4766"/>
        <item h="1" m="1" x="5646"/>
        <item h="1" m="1" x="6520"/>
        <item h="1" m="1" x="7396"/>
        <item h="1" m="1" x="1347"/>
        <item h="1" m="1" x="2226"/>
        <item h="1" m="1" x="3103"/>
        <item h="1" m="1" x="3987"/>
        <item h="1" m="1" x="4873"/>
        <item h="1" m="1" x="5753"/>
        <item h="1" m="1" x="6625"/>
        <item h="1" m="1" x="7502"/>
        <item h="1" m="1" x="1453"/>
        <item h="1" m="1" x="2332"/>
        <item h="1" m="1" x="3209"/>
        <item h="1" m="1" x="4094"/>
        <item h="1" m="1" x="4979"/>
        <item h="1" m="1" x="5859"/>
        <item h="1" m="1" x="6730"/>
        <item h="1" m="1" x="680"/>
        <item h="1" m="1" x="1559"/>
        <item h="1" m="1" x="2438"/>
        <item h="1" m="1" x="3315"/>
        <item h="1" m="1" x="4201"/>
        <item h="1" m="1" x="5085"/>
        <item h="1" m="1" x="5965"/>
        <item h="1" m="1" x="6835"/>
        <item h="1" m="1" x="786"/>
        <item h="1" m="1" x="1665"/>
        <item h="1" m="1" x="2544"/>
        <item h="1" m="1" x="3421"/>
        <item h="1" m="1" x="4308"/>
        <item h="1" m="1" x="5191"/>
        <item h="1" m="1" x="6071"/>
        <item h="1" m="1" x="6940"/>
        <item h="1" m="1" x="892"/>
        <item h="1" m="1" x="1771"/>
        <item h="1" m="1" x="2650"/>
        <item h="1" m="1" x="3527"/>
        <item h="1" m="1" x="4415"/>
        <item h="1" m="1" x="5298"/>
        <item h="1" m="1" x="6177"/>
        <item h="1" m="1" x="7047"/>
        <item h="1" m="1" x="998"/>
        <item h="1" m="1" x="1878"/>
        <item h="1" m="1" x="2757"/>
        <item h="1" m="1" x="3635"/>
        <item h="1" m="1" x="4522"/>
        <item h="1" m="1" x="5405"/>
        <item h="1" m="1" x="6283"/>
        <item h="1" m="1" x="7154"/>
        <item h="1" m="1" x="1104"/>
        <item h="1" m="1" x="1985"/>
        <item h="1" m="1" x="2864"/>
        <item h="1" m="1" x="3743"/>
        <item h="1" m="1" x="4629"/>
        <item h="1" m="1" x="5512"/>
        <item h="1" m="1" x="6389"/>
        <item h="1" m="1" x="7261"/>
        <item h="1" m="1" x="1210"/>
        <item h="1" m="1" x="2092"/>
        <item h="1" m="1" x="2971"/>
        <item h="1" m="1" x="3851"/>
        <item h="1" m="1" x="4736"/>
        <item h="1" m="1" x="5619"/>
        <item h="1" m="1" x="6495"/>
        <item h="1" m="1" x="7368"/>
        <item h="1" m="1" x="1317"/>
        <item h="1" m="1" x="2199"/>
        <item h="1" m="1" x="3078"/>
        <item h="1" m="1" x="3959"/>
        <item h="1" m="1" x="4843"/>
        <item h="1" m="1" x="5726"/>
        <item h="1" m="1" x="6600"/>
        <item h="1" m="1" x="7474"/>
        <item h="1" m="1" x="1423"/>
        <item h="1" m="1" x="2305"/>
        <item h="1" m="1" x="3184"/>
        <item h="1" m="1" x="4066"/>
        <item h="1" m="1" x="4949"/>
        <item h="1" m="1" x="5832"/>
        <item h="1" m="1" x="6705"/>
        <item h="1" m="1" x="7580"/>
        <item h="1" m="1" x="1529"/>
        <item h="1" m="1" x="2411"/>
        <item h="1" m="1" x="3290"/>
        <item h="1" m="1" x="4173"/>
        <item h="1" m="1" x="5055"/>
        <item h="1" m="1" x="5938"/>
        <item h="1" m="1" x="6810"/>
        <item h="1" m="1" x="758"/>
        <item h="1" m="1" x="1635"/>
        <item h="1" m="1" x="2517"/>
        <item h="1" m="1" x="3396"/>
        <item h="1" m="1" x="4280"/>
        <item h="1" m="1" x="5161"/>
        <item h="1" m="1" x="6044"/>
        <item h="1" m="1" x="6915"/>
        <item h="1" m="1" x="864"/>
        <item h="1" m="1" x="1741"/>
        <item h="1" m="1" x="2623"/>
        <item h="1" m="1" x="3502"/>
        <item h="1" m="1" x="4387"/>
        <item h="1" m="1" x="5268"/>
        <item h="1" m="1" x="6150"/>
        <item h="1" m="1" x="7022"/>
        <item h="1" m="1" x="970"/>
        <item h="1" m="1" x="1848"/>
        <item h="1" m="1" x="2729"/>
        <item h="1" m="1" x="3610"/>
        <item h="1" m="1" x="4494"/>
        <item h="1" m="1" x="5375"/>
        <item h="1" m="1" x="6256"/>
        <item h="1" m="1" x="7129"/>
        <item h="1" m="1" x="1076"/>
        <item h="1" m="1" x="1955"/>
        <item h="1" m="1" x="2836"/>
        <item h="1" m="1" x="3718"/>
        <item h="1" m="1" x="4601"/>
        <item h="1" m="1" x="5482"/>
        <item h="1" m="1" x="6362"/>
        <item h="1" m="1" x="7236"/>
        <item h="1" m="1" x="1182"/>
        <item h="1" m="1" x="2062"/>
        <item h="1" m="1" x="2943"/>
        <item h="1" m="1" x="3826"/>
        <item h="1" m="1" x="4708"/>
        <item h="1" m="1" x="5589"/>
        <item h="1" m="1" x="6468"/>
        <item h="1" m="1" x="7343"/>
        <item h="1" m="1" x="1289"/>
        <item h="1" m="1" x="2169"/>
        <item h="1" m="1" x="3050"/>
        <item h="1" m="1" x="3934"/>
        <item h="1" m="1" x="4815"/>
        <item h="1" m="1" x="5696"/>
        <item h="1" m="1" x="6573"/>
        <item h="1" m="1" x="7449"/>
        <item h="1" m="1" x="1395"/>
        <item h="1" m="1" x="2275"/>
        <item h="1" m="1" x="3156"/>
        <item h="1" m="1" x="4041"/>
        <item h="1" m="1" x="4921"/>
        <item h="1" m="1" x="5802"/>
        <item h="1" m="1" x="6678"/>
        <item h="1" m="1" x="7555"/>
        <item h="1" m="1" x="1501"/>
        <item h="1" m="1" x="2381"/>
        <item h="1" m="1" x="3262"/>
        <item h="1" m="1" x="4148"/>
        <item h="1" m="1" x="5027"/>
        <item h="1" m="1" x="5908"/>
        <item h="1" m="1" x="6783"/>
        <item h="1" m="1" x="733"/>
        <item h="1" m="1" x="1607"/>
        <item h="1" m="1" x="2487"/>
        <item h="1" m="1" x="3368"/>
        <item h="1" m="1" x="4255"/>
        <item h="1" m="1" x="5133"/>
        <item h="1" m="1" x="6014"/>
        <item h="1" m="1" x="6888"/>
        <item h="1" m="1" x="839"/>
        <item h="1" m="1" x="1713"/>
        <item h="1" m="1" x="2593"/>
        <item h="1" m="1" x="3474"/>
        <item h="1" m="1" x="4362"/>
        <item h="1" m="1" x="5240"/>
        <item h="1" m="1" x="6120"/>
        <item h="1" m="1" x="6994"/>
        <item h="1" m="1" x="945"/>
        <item h="1" m="1" x="1820"/>
        <item h="1" m="1" x="2699"/>
        <item h="1" m="1" x="3581"/>
        <item h="1" m="1" x="4469"/>
        <item h="1" m="1" x="5347"/>
        <item h="1" m="1" x="6226"/>
        <item h="1" m="1" x="7101"/>
        <item h="1" m="1" x="1051"/>
        <item h="1" m="1" x="1927"/>
        <item h="1" m="1" x="2806"/>
        <item h="1" m="1" x="3689"/>
        <item h="1" m="1" x="4576"/>
        <item h="1" m="1" x="5454"/>
        <item h="1" m="1" x="6332"/>
        <item h="1" m="1" x="7208"/>
        <item h="1" m="1" x="1157"/>
        <item h="1" m="1" x="2034"/>
        <item h="1" m="1" x="2913"/>
        <item h="1" m="1" x="3797"/>
        <item h="1" m="1" x="4683"/>
        <item h="1" m="1" x="5561"/>
        <item h="1" m="1" x="6438"/>
        <item h="1" m="1" x="7315"/>
        <item h="1" m="1" x="1263"/>
        <item h="1" m="1" x="2141"/>
        <item h="1" m="1" x="3020"/>
        <item h="1" m="1" x="3905"/>
        <item h="1" m="1" x="4790"/>
        <item h="1" m="1" x="5668"/>
        <item h="1" m="1" x="6544"/>
        <item h="1" m="1" x="7422"/>
        <item h="1" m="1" x="1370"/>
        <item h="1" m="1" x="2248"/>
        <item h="1" m="1" x="3127"/>
        <item h="1" m="1" x="4013"/>
        <item h="1" m="1" x="4897"/>
        <item h="1" m="1" x="5775"/>
        <item h="1" m="1" x="6649"/>
        <item h="1" m="1" x="7528"/>
        <item h="1" m="1" x="1476"/>
        <item h="1" m="1" x="2354"/>
        <item h="1" m="1" x="3233"/>
        <item h="1" m="1" x="4120"/>
        <item h="1" m="1" x="5003"/>
        <item h="1" m="1" x="5881"/>
        <item h="1" m="1" x="6754"/>
        <item h="1" m="1" x="706"/>
        <item h="1" m="1" x="1582"/>
        <item h="1" m="1" x="2460"/>
        <item h="1" m="1" x="3339"/>
        <item h="1" m="1" x="4227"/>
        <item h="1" m="1" x="5109"/>
        <item h="1" m="1" x="5987"/>
        <item h="1" m="1" x="6859"/>
        <item h="1" m="1" x="812"/>
        <item h="1" m="1" x="1688"/>
        <item h="1" m="1" x="2566"/>
        <item h="1" m="1" x="3445"/>
        <item h="1" m="1" x="4334"/>
        <item h="1" m="1" x="5215"/>
        <item h="1" m="1" x="6093"/>
        <item h="1" m="1" x="6964"/>
        <item h="1" m="1" x="918"/>
        <item h="1" m="1" x="1794"/>
        <item h="1" m="1" x="2672"/>
        <item h="1" m="1" x="3551"/>
        <item h="1" m="1" x="4441"/>
        <item h="1" m="1" x="5322"/>
        <item h="1" m="1" x="6199"/>
        <item h="1" m="1" x="7071"/>
        <item h="1" m="1" x="1024"/>
        <item h="1" m="1" x="1901"/>
        <item h="1" m="1" x="2779"/>
        <item h="1" m="1" x="3659"/>
        <item h="1" m="1" x="4548"/>
        <item h="1" m="1" x="5429"/>
        <item h="1" m="1" x="6305"/>
        <item h="1" m="1" x="7178"/>
        <item h="1" m="1" x="1130"/>
        <item h="1" m="1" x="2008"/>
        <item h="1" m="1" x="2886"/>
        <item h="1" m="1" x="3767"/>
        <item h="1" m="1" x="4655"/>
        <item h="1" m="1" x="5536"/>
        <item h="1" m="1" x="6411"/>
        <item h="1" m="1" x="7285"/>
        <item h="1" m="1" x="1236"/>
        <item h="1" m="1" x="2115"/>
        <item h="1" m="1" x="2993"/>
        <item h="1" m="1" x="3875"/>
        <item h="1" m="1" x="4762"/>
        <item h="1" m="1" x="5643"/>
        <item h="1" m="1" x="6517"/>
        <item h="1" m="1" x="7392"/>
        <item h="1" m="1" x="1343"/>
        <item h="1" m="1" x="2222"/>
        <item h="1" m="1" x="3100"/>
        <item h="1" m="1" x="3983"/>
        <item h="1" m="1" x="4869"/>
        <item h="1" m="1" x="5750"/>
        <item h="1" m="1" x="6622"/>
        <item h="1" m="1" x="7498"/>
        <item h="1" m="1" x="1449"/>
        <item h="1" m="1" x="2328"/>
        <item h="1" m="1" x="3206"/>
        <item h="1" m="1" x="4090"/>
        <item h="1" m="1" x="4975"/>
        <item h="1" m="1" x="5856"/>
        <item h="1" m="1" x="6727"/>
        <item h="1" m="1" x="676"/>
        <item h="1" m="1" x="1555"/>
        <item h="1" m="1" x="2434"/>
        <item h="1" m="1" x="3312"/>
        <item h="1" m="1" x="4197"/>
        <item h="1" m="1" x="5081"/>
        <item h="1" m="1" x="5962"/>
        <item h="1" m="1" x="6832"/>
        <item h="1" m="1" x="782"/>
        <item h="1" m="1" x="1661"/>
        <item h="1" m="1" x="2540"/>
        <item h="1" m="1" x="3418"/>
        <item h="1" m="1" x="4304"/>
        <item h="1" m="1" x="5187"/>
        <item h="1" m="1" x="6068"/>
        <item h="1" m="1" x="6937"/>
        <item h="1" m="1" x="888"/>
        <item h="1" m="1" x="1767"/>
        <item h="1" m="1" x="2646"/>
        <item h="1" m="1" x="3524"/>
        <item h="1" m="1" x="4411"/>
        <item h="1" m="1" x="5294"/>
        <item h="1" m="1" x="6174"/>
        <item h="1" m="1" x="7044"/>
        <item h="1" m="1" x="994"/>
        <item h="1" m="1" x="1874"/>
        <item h="1" m="1" x="2753"/>
        <item h="1" m="1" x="3632"/>
        <item h="1" m="1" x="4518"/>
        <item h="1" m="1" x="5401"/>
        <item h="1" m="1" x="6280"/>
        <item h="1" m="1" x="7151"/>
        <item h="1" m="1" x="1100"/>
        <item h="1" m="1" x="1981"/>
        <item h="1" m="1" x="2860"/>
        <item h="1" m="1" x="3740"/>
        <item h="1" m="1" x="4625"/>
        <item h="1" m="1" x="5508"/>
        <item h="1" m="1" x="6386"/>
        <item h="1" m="1" x="7258"/>
        <item h="1" m="1" x="1206"/>
        <item h="1" m="1" x="2088"/>
        <item h="1" m="1" x="2967"/>
        <item h="1" m="1" x="3848"/>
        <item h="1" m="1" x="4732"/>
        <item h="1" m="1" x="5615"/>
        <item h="1" m="1" x="6492"/>
        <item h="1" m="1" x="7365"/>
        <item h="1" m="1" x="1313"/>
        <item h="1" m="1" x="2195"/>
        <item h="1" m="1" x="3074"/>
        <item h="1" m="1" x="3956"/>
        <item h="1" m="1" x="4839"/>
        <item h="1" m="1" x="5722"/>
        <item h="1" m="1" x="6597"/>
        <item h="1" m="1" x="7471"/>
        <item h="1" m="1" x="1419"/>
        <item h="1" m="1" x="2301"/>
        <item h="1" m="1" x="3180"/>
        <item h="1" m="1" x="4063"/>
        <item h="1" m="1" x="4945"/>
        <item h="1" m="1" x="5828"/>
        <item h="1" m="1" x="6702"/>
        <item h="1" m="1" x="7577"/>
        <item h="1" m="1" x="1525"/>
        <item h="1" m="1" x="2407"/>
        <item h="1" m="1" x="3286"/>
        <item h="1" m="1" x="4170"/>
        <item h="1" m="1" x="5051"/>
        <item h="1" m="1" x="5934"/>
        <item h="1" m="1" x="6807"/>
        <item h="1" m="1" x="755"/>
        <item h="1" m="1" x="1631"/>
        <item h="1" m="1" x="2513"/>
        <item h="1" m="1" x="3392"/>
        <item h="1" m="1" x="4277"/>
        <item h="1" m="1" x="5157"/>
        <item h="1" m="1" x="6040"/>
        <item h="1" m="1" x="6912"/>
        <item h="1" m="1" x="861"/>
        <item h="1" m="1" x="1737"/>
        <item h="1" m="1" x="2619"/>
        <item h="1" m="1" x="3498"/>
        <item h="1" m="1" x="4384"/>
        <item h="1" m="1" x="5264"/>
        <item h="1" m="1" x="6146"/>
        <item h="1" m="1" x="7019"/>
        <item h="1" m="1" x="967"/>
        <item h="1" m="1" x="1844"/>
        <item h="1" m="1" x="2725"/>
        <item h="1" m="1" x="3606"/>
        <item h="1" m="1" x="4491"/>
        <item h="1" m="1" x="5371"/>
        <item h="1" m="1" x="6252"/>
        <item h="1" m="1" x="7126"/>
        <item h="1" m="1" x="1073"/>
        <item h="1" m="1" x="1951"/>
        <item h="1" m="1" x="2832"/>
        <item h="1" m="1" x="3714"/>
        <item h="1" m="1" x="4598"/>
        <item h="1" m="1" x="5478"/>
        <item h="1" m="1" x="6358"/>
        <item h="1" m="1" x="7233"/>
        <item h="1" m="1" x="1179"/>
        <item h="1" m="1" x="2058"/>
        <item h="1" m="1" x="2939"/>
        <item h="1" m="1" x="3822"/>
        <item h="1" m="1" x="4705"/>
        <item h="1" m="1" x="5585"/>
        <item h="1" m="1" x="6464"/>
        <item h="1" m="1" x="7340"/>
        <item h="1" m="1" x="1286"/>
        <item h="1" m="1" x="2165"/>
        <item h="1" m="1" x="3046"/>
        <item h="1" m="1" x="3930"/>
        <item h="1" m="1" x="4812"/>
        <item h="1" m="1" x="5692"/>
        <item h="1" m="1" x="6569"/>
        <item h="1" m="1" x="7446"/>
        <item h="1" m="1" x="1392"/>
        <item h="1" m="1" x="2271"/>
        <item h="1" m="1" x="3152"/>
        <item h="1" m="1" x="4037"/>
        <item h="1" m="1" x="4918"/>
        <item h="1" m="1" x="5798"/>
        <item h="1" m="1" x="6674"/>
        <item h="1" m="1" x="7552"/>
        <item h="1" m="1" x="1498"/>
        <item h="1" m="1" x="2377"/>
        <item h="1" m="1" x="3258"/>
        <item h="1" m="1" x="4144"/>
        <item h="1" m="1" x="5024"/>
        <item h="1" m="1" x="5904"/>
        <item h="1" m="1" x="6779"/>
        <item h="1" m="1" x="730"/>
        <item h="1" m="1" x="1604"/>
        <item h="1" m="1" x="2483"/>
        <item h="1" m="1" x="3364"/>
        <item h="1" m="1" x="4251"/>
        <item h="1" m="1" x="5130"/>
        <item h="1" m="1" x="6010"/>
        <item h="1" m="1" x="6884"/>
        <item h="1" m="1" x="836"/>
        <item h="1" m="1" x="1710"/>
        <item h="1" m="1" x="2589"/>
        <item h="1" m="1" x="3470"/>
        <item h="1" m="1" x="4358"/>
        <item h="1" m="1" x="5237"/>
        <item h="1" m="1" x="6116"/>
        <item h="1" m="1" x="6990"/>
        <item h="1" m="1" x="942"/>
        <item h="1" m="1" x="1817"/>
        <item h="1" m="1" x="2695"/>
        <item h="1" m="1" x="3577"/>
        <item h="1" m="1" x="4465"/>
        <item h="1" m="1" x="5344"/>
        <item h="1" m="1" x="6222"/>
        <item h="1" m="1" x="7097"/>
        <item h="1" m="1" x="1048"/>
        <item h="1" m="1" x="1924"/>
        <item h="1" m="1" x="2802"/>
        <item h="1" m="1" x="3685"/>
        <item h="1" m="1" x="4572"/>
        <item h="1" m="1" x="5451"/>
        <item h="1" m="1" x="6328"/>
        <item h="1" m="1" x="7204"/>
        <item h="1" m="1" x="1154"/>
        <item h="1" m="1" x="2031"/>
        <item h="1" m="1" x="2909"/>
        <item h="1" m="1" x="3793"/>
        <item h="1" m="1" x="4679"/>
        <item h="1" m="1" x="5558"/>
        <item h="1" m="1" x="6434"/>
        <item h="1" m="1" x="7311"/>
        <item h="1" m="1" x="1260"/>
        <item h="1" m="1" x="2138"/>
        <item h="1" m="1" x="3016"/>
        <item h="1" m="1" x="3901"/>
        <item h="1" m="1" x="4786"/>
        <item h="1" m="1" x="5665"/>
        <item h="1" m="1" x="6540"/>
        <item h="1" m="1" x="7418"/>
        <item h="1" m="1" x="1367"/>
        <item h="1" m="1" x="2245"/>
        <item h="1" m="1" x="3123"/>
        <item h="1" m="1" x="4009"/>
        <item h="1" m="1" x="4893"/>
        <item h="1" m="1" x="5772"/>
        <item h="1" m="1" x="6645"/>
        <item h="1" m="1" x="7524"/>
        <item h="1" m="1" x="1473"/>
        <item h="1" m="1" x="2351"/>
        <item h="1" m="1" x="3229"/>
        <item h="1" m="1" x="4116"/>
        <item h="1" m="1" x="4999"/>
        <item h="1" m="1" x="5878"/>
        <item h="1" m="1" x="6750"/>
        <item h="1" m="1" x="702"/>
        <item h="1" m="1" x="1579"/>
        <item h="1" m="1" x="2457"/>
        <item h="1" m="1" x="3335"/>
        <item h="1" m="1" x="4223"/>
        <item h="1" m="1" x="5105"/>
        <item h="1" m="1" x="5984"/>
        <item h="1" m="1" x="6855"/>
        <item h="1" m="1" x="808"/>
        <item h="1" m="1" x="1685"/>
        <item h="1" m="1" x="2563"/>
        <item h="1" m="1" x="3441"/>
        <item h="1" m="1" x="4330"/>
        <item h="1" m="1" x="5211"/>
        <item h="1" m="1" x="6090"/>
        <item h="1" m="1" x="6960"/>
        <item h="1" m="1" x="914"/>
        <item h="1" m="1" x="1791"/>
        <item h="1" m="1" x="2669"/>
        <item h="1" m="1" x="3547"/>
        <item h="1" m="1" x="4437"/>
        <item h="1" m="1" x="5318"/>
        <item h="1" m="1" x="6196"/>
        <item h="1" m="1" x="7067"/>
        <item h="1" m="1" x="1020"/>
        <item h="1" m="1" x="1898"/>
        <item h="1" m="1" x="2776"/>
        <item h="1" m="1" x="3655"/>
        <item h="1" m="1" x="4544"/>
        <item h="1" m="1" x="5425"/>
        <item h="1" m="1" x="6302"/>
        <item h="1" m="1" x="7174"/>
        <item h="1" m="1" x="1126"/>
        <item h="1" m="1" x="2005"/>
        <item h="1" m="1" x="2883"/>
        <item h="1" m="1" x="3763"/>
        <item h="1" m="1" x="4651"/>
        <item h="1" m="1" x="5532"/>
        <item h="1" m="1" x="6408"/>
        <item h="1" m="1" x="7281"/>
        <item h="1" m="1" x="1232"/>
        <item h="1" m="1" x="2112"/>
        <item h="1" m="1" x="2990"/>
        <item h="1" m="1" x="3871"/>
        <item h="1" m="1" x="4758"/>
        <item h="1" m="1" x="5639"/>
        <item h="1" m="1" x="6514"/>
        <item h="1" m="1" x="7388"/>
        <item h="1" m="1" x="1339"/>
        <item h="1" m="1" x="2219"/>
        <item h="1" m="1" x="3097"/>
        <item h="1" m="1" x="3979"/>
        <item h="1" m="1" x="4865"/>
        <item h="1" m="1" x="5746"/>
        <item h="1" m="1" x="6619"/>
        <item h="1" m="1" x="7494"/>
        <item h="1" m="1" x="1445"/>
        <item h="1" m="1" x="2325"/>
        <item h="1" m="1" x="3203"/>
        <item h="1" m="1" x="4086"/>
        <item h="1" m="1" x="4971"/>
        <item h="1" m="1" x="5852"/>
        <item h="1" m="1" x="6724"/>
        <item h="1" m="1" x="672"/>
        <item h="1" m="1" x="1551"/>
        <item h="1" m="1" x="2431"/>
        <item h="1" m="1" x="3309"/>
        <item h="1" m="1" x="4193"/>
        <item h="1" m="1" x="5077"/>
        <item h="1" m="1" x="5958"/>
        <item h="1" m="1" x="6829"/>
        <item h="1" m="1" x="778"/>
        <item h="1" m="1" x="1657"/>
        <item h="1" m="1" x="2537"/>
        <item h="1" m="1" x="3415"/>
        <item h="1" m="1" x="4300"/>
        <item h="1" m="1" x="5183"/>
        <item h="1" m="1" x="6064"/>
        <item h="1" m="1" x="6934"/>
        <item h="1" m="1" x="884"/>
        <item h="1" m="1" x="1763"/>
        <item h="1" m="1" x="2643"/>
        <item h="1" m="1" x="3521"/>
        <item h="1" m="1" x="4407"/>
        <item h="1" m="1" x="5290"/>
        <item h="1" m="1" x="6170"/>
        <item h="1" m="1" x="7041"/>
        <item h="1" m="1" x="990"/>
        <item h="1" m="1" x="1870"/>
        <item h="1" m="1" x="2750"/>
        <item h="1" m="1" x="3629"/>
        <item h="1" m="1" x="4514"/>
        <item h="1" m="1" x="5397"/>
        <item h="1" m="1" x="6276"/>
        <item h="1" m="1" x="7148"/>
        <item h="1" m="1" x="1096"/>
        <item h="1" m="1" x="1977"/>
        <item h="1" m="1" x="2857"/>
        <item h="1" m="1" x="3737"/>
        <item h="1" m="1" x="4621"/>
        <item h="1" m="1" x="5504"/>
        <item h="1" m="1" x="6382"/>
        <item h="1" m="1" x="7255"/>
        <item h="1" m="1" x="1202"/>
        <item h="1" m="1" x="2084"/>
        <item h="1" m="1" x="2964"/>
        <item h="1" m="1" x="3845"/>
        <item h="1" m="1" x="4728"/>
        <item h="1" m="1" x="5611"/>
        <item h="1" m="1" x="6488"/>
        <item h="1" m="1" x="7362"/>
        <item h="1" m="1" x="1309"/>
        <item h="1" m="1" x="2191"/>
        <item h="1" m="1" x="3071"/>
        <item h="1" m="1" x="3953"/>
        <item h="1" m="1" x="4835"/>
        <item h="1" m="1" x="5718"/>
        <item h="1" m="1" x="6593"/>
        <item h="1" m="1" x="7468"/>
        <item h="1" m="1" x="1415"/>
        <item h="1" m="1" x="2297"/>
        <item h="1" m="1" x="3177"/>
        <item h="1" m="1" x="4060"/>
        <item h="1" m="1" x="4941"/>
        <item h="1" m="1" x="5824"/>
        <item h="1" m="1" x="6698"/>
        <item h="1" m="1" x="7574"/>
        <item h="1" m="1" x="1521"/>
        <item h="1" m="1" x="2403"/>
        <item h="1" m="1" x="3283"/>
        <item h="1" m="1" x="4167"/>
        <item h="1" m="1" x="5047"/>
        <item h="1" m="1" x="5930"/>
        <item h="1" m="1" x="6803"/>
        <item h="1" m="1" x="752"/>
        <item h="1" m="1" x="1627"/>
        <item h="1" m="1" x="2509"/>
        <item h="1" m="1" x="3389"/>
        <item h="1" m="1" x="4274"/>
        <item h="1" m="1" x="5153"/>
        <item h="1" m="1" x="6036"/>
        <item h="1" m="1" x="6908"/>
        <item h="1" m="1" x="858"/>
        <item h="1" m="1" x="1733"/>
        <item h="1" m="1" x="2615"/>
        <item h="1" m="1" x="3495"/>
        <item h="1" m="1" x="4381"/>
        <item h="1" m="1" x="5260"/>
        <item h="1" m="1" x="6142"/>
        <item h="1" m="1" x="7015"/>
        <item h="1" m="1" x="964"/>
        <item h="1" m="1" x="1840"/>
        <item h="1" m="1" x="2721"/>
        <item h="1" m="1" x="3603"/>
        <item h="1" m="1" x="4488"/>
        <item h="1" m="1" x="5367"/>
        <item h="1" m="1" x="6248"/>
        <item h="1" m="1" x="7122"/>
        <item h="1" m="1" x="1070"/>
        <item h="1" m="1" x="1947"/>
        <item h="1" m="1" x="2828"/>
        <item h="1" m="1" x="3711"/>
        <item h="1" m="1" x="4595"/>
        <item h="1" m="1" x="5474"/>
        <item h="1" m="1" x="6354"/>
        <item h="1" m="1" x="7229"/>
        <item h="1" m="1" x="1176"/>
        <item h="1" m="1" x="2054"/>
        <item h="1" m="1" x="2935"/>
        <item h="1" m="1" x="3819"/>
        <item h="1" m="1" x="4702"/>
        <item h="1" m="1" x="5581"/>
        <item h="1" m="1" x="6460"/>
        <item h="1" m="1" x="7336"/>
        <item h="1" m="1" x="1282"/>
        <item h="1" m="1" x="2161"/>
        <item h="1" m="1" x="3042"/>
        <item h="1" m="1" x="3927"/>
        <item h="1" m="1" x="4809"/>
        <item h="1" m="1" x="5688"/>
        <item h="1" m="1" x="6565"/>
        <item h="1" m="1" x="7442"/>
        <item h="1" m="1" x="1388"/>
        <item h="1" m="1" x="2267"/>
        <item h="1" m="1" x="3148"/>
        <item h="1" m="1" x="4034"/>
        <item h="1" m="1" x="4915"/>
        <item h="1" m="1" x="5794"/>
        <item h="1" m="1" x="6670"/>
        <item h="1" m="1" x="7548"/>
        <item h="1" m="1" x="1494"/>
        <item h="1" m="1" x="2373"/>
        <item h="1" m="1" x="3254"/>
        <item h="1" m="1" x="4141"/>
        <item h="1" m="1" x="5021"/>
        <item h="1" m="1" x="5900"/>
        <item h="1" m="1" x="6775"/>
        <item h="1" m="1" x="726"/>
        <item h="1" m="1" x="1600"/>
        <item h="1" m="1" x="2479"/>
        <item h="1" m="1" x="3360"/>
        <item h="1" m="1" x="4248"/>
        <item h="1" m="1" x="5127"/>
        <item h="1" m="1" x="6006"/>
        <item h="1" m="1" x="6880"/>
        <item h="1" m="1" x="832"/>
        <item h="1" m="1" x="1706"/>
        <item h="1" m="1" x="2585"/>
        <item h="1" m="1" x="3466"/>
        <item h="1" m="1" x="4355"/>
        <item h="1" m="1" x="5234"/>
        <item h="1" m="1" x="6112"/>
        <item h="1" m="1" x="6986"/>
        <item h="1" m="1" x="938"/>
        <item h="1" m="1" x="1813"/>
        <item h="1" m="1" x="2691"/>
        <item h="1" m="1" x="3573"/>
        <item h="1" m="1" x="4462"/>
        <item h="1" m="1" x="5341"/>
        <item h="1" m="1" x="6218"/>
        <item h="1" m="1" x="7093"/>
        <item h="1" m="1" x="1044"/>
        <item h="1" m="1" x="1920"/>
        <item h="1" m="1" x="2798"/>
        <item h="1" m="1" x="3681"/>
        <item h="1" m="1" x="4569"/>
        <item h="1" m="1" x="5448"/>
        <item h="1" m="1" x="6324"/>
        <item h="1" m="1" x="7200"/>
        <item h="1" m="1" x="1150"/>
        <item h="1" m="1" x="2027"/>
        <item h="1" m="1" x="2905"/>
        <item h="1" m="1" x="3789"/>
        <item h="1" m="1" x="4676"/>
        <item h="1" m="1" x="5555"/>
        <item h="1" m="1" x="6430"/>
        <item h="1" m="1" x="7307"/>
        <item h="1" m="1" x="1256"/>
        <item h="1" m="1" x="2134"/>
        <item h="1" m="1" x="3012"/>
        <item h="1" m="1" x="3897"/>
        <item h="1" m="1" x="4783"/>
        <item h="1" m="1" x="5662"/>
        <item h="1" m="1" x="6536"/>
        <item h="1" m="1" x="7414"/>
        <item h="1" m="1" x="1363"/>
        <item h="1" m="1" x="2241"/>
        <item h="1" m="1" x="3119"/>
        <item h="1" m="1" x="4005"/>
        <item h="1" m="1" x="4890"/>
        <item h="1" m="1" x="5769"/>
        <item h="1" m="1" x="6641"/>
        <item h="1" m="1" x="7520"/>
        <item h="1" m="1" x="1469"/>
        <item h="1" m="1" x="2347"/>
        <item h="1" m="1" x="3225"/>
        <item h="1" m="1" x="4112"/>
        <item h="1" m="1" x="4996"/>
        <item h="1" m="1" x="5875"/>
        <item h="1" m="1" x="6746"/>
        <item h="1" m="1" x="698"/>
        <item h="1" m="1" x="1575"/>
        <item h="1" m="1" x="2453"/>
        <item h="1" m="1" x="3331"/>
        <item h="1" m="1" x="4219"/>
        <item h="1" m="1" x="5102"/>
        <item h="1" m="1" x="5981"/>
        <item h="1" m="1" x="6851"/>
        <item h="1" m="1" x="804"/>
        <item h="1" m="1" x="1681"/>
        <item h="1" m="1" x="2559"/>
        <item h="1" m="1" x="3437"/>
        <item h="1" m="1" x="4326"/>
        <item h="1" m="1" x="5208"/>
        <item h="1" m="1" x="6087"/>
        <item h="1" m="1" x="6956"/>
        <item h="1" m="1" x="910"/>
        <item h="1" m="1" x="1787"/>
        <item h="1" m="1" x="2665"/>
        <item h="1" m="1" x="3543"/>
        <item h="1" m="1" x="4433"/>
        <item h="1" m="1" x="5315"/>
        <item h="1" m="1" x="6193"/>
        <item h="1" m="1" x="7063"/>
        <item h="1" m="1" x="1016"/>
        <item h="1" m="1" x="1894"/>
        <item h="1" m="1" x="2772"/>
        <item h="1" m="1" x="3651"/>
        <item h="1" m="1" x="4540"/>
        <item h="1" m="1" x="5422"/>
        <item h="1" m="1" x="6299"/>
        <item h="1" m="1" x="7170"/>
        <item h="1" m="1" x="1122"/>
        <item h="1" m="1" x="2001"/>
        <item h="1" m="1" x="2879"/>
        <item h="1" m="1" x="3759"/>
        <item h="1" m="1" x="4647"/>
        <item h="1" m="1" x="5529"/>
        <item h="1" m="1" x="6405"/>
        <item h="1" m="1" x="7277"/>
        <item h="1" m="1" x="1228"/>
        <item h="1" m="1" x="2108"/>
        <item h="1" m="1" x="2986"/>
        <item h="1" m="1" x="3867"/>
        <item h="1" m="1" x="4754"/>
        <item h="1" m="1" x="5636"/>
        <item h="1" m="1" x="6511"/>
        <item h="1" m="1" x="7384"/>
        <item h="1" m="1" x="1335"/>
        <item h="1" m="1" x="2215"/>
        <item h="1" m="1" x="3093"/>
        <item h="1" m="1" x="3975"/>
        <item h="1" m="1" x="4861"/>
        <item h="1" m="1" x="5743"/>
        <item h="1" m="1" x="6616"/>
        <item h="1" m="1" x="7490"/>
        <item h="1" m="1" x="1441"/>
        <item h="1" m="1" x="2321"/>
        <item h="1" m="1" x="3199"/>
        <item h="1" m="1" x="4082"/>
        <item h="1" m="1" x="4967"/>
        <item h="1" m="1" x="5849"/>
        <item h="1" m="1" x="6721"/>
        <item h="1" m="1" x="668"/>
        <item h="1" m="1" x="1547"/>
        <item h="1" m="1" x="2427"/>
        <item h="1" m="1" x="3305"/>
        <item h="1" m="1" x="4189"/>
        <item h="1" m="1" x="5073"/>
        <item h="1" m="1" x="5955"/>
        <item h="1" m="1" x="6826"/>
        <item h="1" m="1" x="774"/>
        <item h="1" m="1" x="1653"/>
        <item h="1" m="1" x="2533"/>
        <item h="1" m="1" x="3411"/>
        <item h="1" m="1" x="4296"/>
        <item h="1" m="1" x="5179"/>
        <item h="1" m="1" x="6061"/>
        <item h="1" m="1" x="6931"/>
        <item h="1" m="1" x="880"/>
        <item h="1" m="1" x="1759"/>
        <item h="1" m="1" x="2639"/>
        <item h="1" m="1" x="3517"/>
        <item h="1" m="1" x="4403"/>
        <item h="1" m="1" x="5286"/>
        <item h="1" m="1" x="6167"/>
        <item h="1" m="1" x="7038"/>
        <item h="1" m="1" x="986"/>
        <item h="1" m="1" x="1866"/>
        <item h="1" m="1" x="2746"/>
        <item h="1" m="1" x="3625"/>
        <item h="1" m="1" x="4510"/>
        <item h="1" m="1" x="5393"/>
        <item h="1" m="1" x="6273"/>
        <item h="1" m="1" x="7145"/>
        <item h="1" m="1" x="1092"/>
        <item h="1" m="1" x="1973"/>
        <item h="1" m="1" x="2853"/>
        <item h="1" m="1" x="3733"/>
        <item h="1" m="1" x="4617"/>
        <item h="1" m="1" x="5500"/>
        <item h="1" m="1" x="6379"/>
        <item h="1" m="1" x="7252"/>
        <item h="1" m="1" x="1198"/>
        <item h="1" m="1" x="2080"/>
        <item h="1" m="1" x="2960"/>
        <item h="1" m="1" x="3841"/>
        <item h="1" m="1" x="4724"/>
        <item h="1" m="1" x="5607"/>
        <item h="1" m="1" x="6485"/>
        <item h="1" m="1" x="7359"/>
        <item h="1" m="1" x="1305"/>
        <item h="1" m="1" x="2187"/>
        <item h="1" m="1" x="3067"/>
        <item h="1" m="1" x="3949"/>
        <item h="1" m="1" x="4831"/>
        <item h="1" m="1" x="5714"/>
        <item h="1" m="1" x="6590"/>
        <item h="1" m="1" x="7465"/>
        <item h="1" m="1" x="1411"/>
        <item h="1" m="1" x="2293"/>
        <item h="1" m="1" x="3173"/>
        <item h="1" m="1" x="4056"/>
        <item h="1" m="1" x="4937"/>
        <item h="1" m="1" x="5820"/>
        <item h="1" m="1" x="6695"/>
        <item h="1" m="1" x="7571"/>
        <item h="1" m="1" x="1517"/>
        <item h="1" m="1" x="2399"/>
        <item h="1" m="1" x="3279"/>
        <item h="1" m="1" x="4163"/>
        <item h="1" m="1" x="5043"/>
        <item h="1" m="1" x="5926"/>
        <item h="1" m="1" x="6800"/>
        <item h="1" m="1" x="749"/>
        <item h="1" m="1" x="1623"/>
        <item h="1" m="1" x="2505"/>
        <item h="1" m="1" x="3385"/>
        <item h="1" m="1" x="4270"/>
        <item h="1" m="1" x="5149"/>
        <item h="1" m="1" x="6032"/>
        <item h="1" m="1" x="6905"/>
        <item h="1" m="1" x="855"/>
        <item h="1" m="1" x="1729"/>
        <item h="1" m="1" x="2611"/>
        <item h="1" m="1" x="3491"/>
        <item h="1" m="1" x="4377"/>
        <item h="1" m="1" x="5256"/>
        <item h="1" m="1" x="6138"/>
        <item h="1" m="1" x="7012"/>
        <item h="1" m="1" x="961"/>
        <item h="1" m="1" x="1836"/>
        <item h="1" m="1" x="2717"/>
        <item h="1" m="1" x="3599"/>
        <item h="1" m="1" x="4484"/>
        <item h="1" m="1" x="5363"/>
        <item h="1" m="1" x="6244"/>
        <item h="1" m="1" x="7119"/>
        <item h="1" m="1" x="1067"/>
        <item h="1" m="1" x="1943"/>
        <item h="1" m="1" x="2824"/>
        <item h="1" m="1" x="3707"/>
        <item h="1" m="1" x="4591"/>
        <item h="1" m="1" x="5470"/>
        <item h="1" m="1" x="6350"/>
        <item h="1" m="1" x="7226"/>
        <item h="1" m="1" x="1173"/>
        <item h="1" m="1" x="2050"/>
        <item h="1" m="1" x="2931"/>
        <item h="1" m="1" x="3815"/>
        <item h="1" m="1" x="4698"/>
        <item h="1" m="1" x="5577"/>
        <item h="1" m="1" x="6456"/>
        <item h="1" m="1" x="7333"/>
        <item h="1" m="1" x="1279"/>
        <item h="1" m="1" x="2157"/>
        <item h="1" m="1" x="3038"/>
        <item h="1" m="1" x="3923"/>
        <item h="1" m="1" x="4805"/>
        <item h="1" m="1" x="5684"/>
        <item h="1" m="1" x="6562"/>
        <item h="1" m="1" x="7440"/>
        <item h="1" m="1" x="1386"/>
        <item h="1" m="1" x="2264"/>
        <item h="1" m="1" x="3145"/>
        <item h="1" m="1" x="4031"/>
        <item h="1" m="1" x="4912"/>
        <item h="1" m="1" x="5791"/>
        <item h="1" m="1" x="6667"/>
        <item h="1" m="1" x="7546"/>
        <item h="1" m="1" x="1492"/>
        <item h="1" m="1" x="2370"/>
        <item h="1" m="1" x="3251"/>
        <item h="1" m="1" x="4138"/>
        <item h="1" m="1" x="5018"/>
        <item h="1" m="1" x="5897"/>
        <item h="1" m="1" x="6772"/>
        <item h="1" m="1" x="724"/>
        <item h="1" m="1" x="1598"/>
        <item h="1" m="1" x="2476"/>
        <item h="1" m="1" x="3357"/>
        <item h="1" m="1" x="4245"/>
        <item h="1" m="1" x="5124"/>
        <item h="1" m="1" x="6003"/>
        <item h="1" m="1" x="6877"/>
        <item h="1" m="1" x="830"/>
        <item h="1" m="1" x="1704"/>
        <item h="1" m="1" x="2582"/>
        <item h="1" m="1" x="3463"/>
        <item h="1" m="1" x="4352"/>
        <item h="1" m="1" x="5231"/>
        <item h="1" m="1" x="6109"/>
        <item h="1" m="1" x="6983"/>
        <item h="1" m="1" x="936"/>
        <item h="1" m="1" x="1811"/>
        <item h="1" m="1" x="2688"/>
        <item h="1" m="1" x="3570"/>
        <item h="1" m="1" x="4459"/>
        <item h="1" m="1" x="5338"/>
        <item h="1" m="1" x="6215"/>
        <item h="1" m="1" x="7090"/>
        <item h="1" m="1" x="1042"/>
        <item h="1" m="1" x="1918"/>
        <item h="1" m="1" x="2795"/>
        <item h="1" m="1" x="3678"/>
        <item h="1" m="1" x="4566"/>
        <item h="1" m="1" x="5445"/>
        <item h="1" m="1" x="6321"/>
        <item h="1" m="1" x="7197"/>
        <item h="1" m="1" x="1148"/>
        <item h="1" m="1" x="2025"/>
        <item h="1" m="1" x="2902"/>
        <item h="1" m="1" x="3786"/>
        <item h="1" m="1" x="4673"/>
        <item h="1" m="1" x="5552"/>
        <item h="1" m="1" x="6427"/>
        <item h="1" m="1" x="7304"/>
        <item h="1" m="1" x="1254"/>
        <item h="1" m="1" x="2132"/>
        <item h="1" m="1" x="3009"/>
        <item h="1" m="1" x="3894"/>
        <item h="1" m="1" x="4780"/>
        <item h="1" m="1" x="5659"/>
        <item h="1" m="1" x="6533"/>
        <item h="1" m="1" x="7411"/>
        <item h="1" m="1" x="1361"/>
        <item h="1" m="1" x="2239"/>
        <item h="1" m="1" x="3116"/>
        <item h="1" m="1" x="4002"/>
        <item h="1" m="1" x="4887"/>
        <item h="1" m="1" x="5766"/>
        <item h="1" m="1" x="6638"/>
        <item h="1" m="1" x="7517"/>
        <item h="1" m="1" x="1467"/>
        <item h="1" m="1" x="2345"/>
        <item h="1" m="1" x="3222"/>
        <item h="1" m="1" x="4109"/>
        <item h="1" m="1" x="4993"/>
        <item h="1" m="1" x="5872"/>
        <item h="1" m="1" x="6743"/>
        <item h="1" m="1" x="695"/>
        <item h="1" m="1" x="1573"/>
        <item h="1" m="1" x="2451"/>
        <item h="1" m="1" x="3328"/>
        <item h="1" m="1" x="4216"/>
        <item h="1" m="1" x="5099"/>
        <item h="1" m="1" x="5978"/>
        <item h="1" m="1" x="6848"/>
        <item h="1" m="1" x="801"/>
        <item h="1" m="1" x="1679"/>
        <item h="1" m="1" x="2557"/>
        <item h="1" m="1" x="3434"/>
        <item h="1" m="1" x="4323"/>
        <item h="1" m="1" x="5205"/>
        <item h="1" m="1" x="6084"/>
        <item h="1" m="1" x="6953"/>
        <item h="1" m="1" x="907"/>
        <item h="1" m="1" x="1785"/>
        <item h="1" m="1" x="2663"/>
        <item h="1" m="1" x="3540"/>
        <item h="1" m="1" x="4430"/>
        <item h="1" m="1" x="5312"/>
        <item h="1" m="1" x="6190"/>
        <item h="1" m="1" x="7060"/>
        <item h="1" m="1" x="1013"/>
        <item h="1" m="1" x="1892"/>
        <item h="1" m="1" x="2770"/>
        <item h="1" m="1" x="3648"/>
        <item h="1" m="1" x="4537"/>
        <item h="1" m="1" x="5419"/>
        <item h="1" m="1" x="6296"/>
        <item h="1" m="1" x="7167"/>
        <item h="1" m="1" x="1119"/>
        <item h="1" m="1" x="1999"/>
        <item h="1" m="1" x="2877"/>
        <item h="1" m="1" x="3756"/>
        <item h="1" m="1" x="4644"/>
        <item h="1" m="1" x="5526"/>
        <item h="1" m="1" x="6402"/>
        <item h="1" m="1" x="7274"/>
        <item h="1" m="1" x="1225"/>
        <item h="1" m="1" x="2106"/>
        <item h="1" m="1" x="2984"/>
        <item h="1" m="1" x="3864"/>
        <item h="1" m="1" x="4751"/>
        <item h="1" m="1" x="5633"/>
        <item h="1" m="1" x="6508"/>
        <item h="1" m="1" x="7381"/>
        <item h="1" m="1" x="1332"/>
        <item h="1" m="1" x="2213"/>
        <item h="1" m="1" x="3091"/>
        <item h="1" m="1" x="3972"/>
        <item h="1" m="1" x="4858"/>
        <item h="1" m="1" x="5740"/>
        <item h="1" m="1" x="6613"/>
        <item h="1" m="1" x="7487"/>
        <item h="1" m="1" x="1438"/>
        <item h="1" m="1" x="2319"/>
        <item h="1" m="1" x="3197"/>
        <item h="1" m="1" x="4079"/>
        <item h="1" m="1" x="4964"/>
        <item h="1" m="1" x="5846"/>
        <item h="1" m="1" x="6718"/>
        <item h="1" m="1" x="665"/>
        <item h="1" m="1" x="1544"/>
        <item h="1" m="1" x="2425"/>
        <item h="1" m="1" x="3303"/>
        <item h="1" m="1" x="4186"/>
        <item h="1" m="1" x="5070"/>
        <item h="1" m="1" x="5952"/>
        <item h="1" m="1" x="6823"/>
        <item h="1" m="1" x="771"/>
        <item h="1" m="1" x="1650"/>
        <item h="1" m="1" x="2531"/>
        <item h="1" m="1" x="3409"/>
        <item h="1" m="1" x="4293"/>
        <item h="1" m="1" x="5176"/>
        <item h="1" m="1" x="6058"/>
        <item h="1" m="1" x="6928"/>
        <item h="1" m="1" x="877"/>
        <item h="1" m="1" x="1756"/>
        <item h="1" m="1" x="2637"/>
        <item h="1" m="1" x="3515"/>
        <item h="1" m="1" x="4400"/>
        <item h="1" m="1" x="5283"/>
        <item h="1" m="1" x="6164"/>
        <item h="1" m="1" x="7035"/>
        <item h="1" m="1" x="983"/>
        <item h="1" m="1" x="1863"/>
        <item h="1" m="1" x="2744"/>
        <item h="1" m="1" x="3623"/>
        <item h="1" m="1" x="4507"/>
        <item h="1" m="1" x="5390"/>
        <item h="1" m="1" x="6270"/>
        <item h="1" m="1" x="7142"/>
        <item h="1" m="1" x="1089"/>
        <item h="1" m="1" x="1970"/>
        <item h="1" m="1" x="2851"/>
        <item h="1" m="1" x="3731"/>
        <item h="1" m="1" x="4614"/>
        <item h="1" m="1" x="5497"/>
        <item h="1" m="1" x="6376"/>
        <item h="1" m="1" x="7249"/>
        <item h="1" m="1" x="1195"/>
        <item h="1" m="1" x="2077"/>
        <item h="1" m="1" x="2958"/>
        <item h="1" m="1" x="3839"/>
        <item h="1" m="1" x="4721"/>
        <item h="1" m="1" x="5604"/>
        <item h="1" m="1" x="6482"/>
        <item h="1" m="1" x="7356"/>
        <item h="1" m="1" x="1302"/>
        <item h="1" m="1" x="2184"/>
        <item h="1" m="1" x="3065"/>
        <item h="1" m="1" x="3947"/>
        <item h="1" m="1" x="4828"/>
        <item h="1" m="1" x="5711"/>
        <item h="1" m="1" x="6587"/>
        <item h="1" m="1" x="7462"/>
        <item h="1" m="1" x="1408"/>
        <item h="1" m="1" x="2290"/>
        <item h="1" m="1" x="3171"/>
        <item h="1" m="1" x="4054"/>
        <item h="1" m="1" x="4934"/>
        <item h="1" m="1" x="5817"/>
        <item h="1" m="1" x="6692"/>
        <item h="1" m="1" x="7568"/>
        <item h="1" m="1" x="1514"/>
        <item h="1" m="1" x="2396"/>
        <item h="1" m="1" x="3277"/>
        <item h="1" m="1" x="4161"/>
        <item h="1" m="1" x="5040"/>
        <item h="1" m="1" x="5923"/>
        <item h="1" m="1" x="6797"/>
        <item h="1" m="1" x="746"/>
        <item h="1" m="1" x="1620"/>
        <item h="1" m="1" x="2502"/>
        <item h="1" m="1" x="3383"/>
        <item h="1" m="1" x="4268"/>
        <item h="1" m="1" x="5146"/>
        <item h="1" m="1" x="6029"/>
        <item h="1" m="1" x="6902"/>
        <item h="1" m="1" x="852"/>
        <item h="1" m="1" x="1726"/>
        <item h="1" m="1" x="2608"/>
        <item h="1" m="1" x="3489"/>
        <item h="1" m="1" x="4375"/>
        <item h="1" m="1" x="5253"/>
        <item h="1" m="1" x="6135"/>
        <item h="1" m="1" x="7009"/>
        <item h="1" m="1" x="958"/>
        <item h="1" m="1" x="1833"/>
        <item h="1" m="1" x="2714"/>
        <item h="1" m="1" x="3597"/>
        <item h="1" m="1" x="4482"/>
        <item h="1" m="1" x="5360"/>
        <item h="1" m="1" x="6241"/>
        <item h="1" m="1" x="7116"/>
        <item h="1" m="1" x="1064"/>
        <item h="1" m="1" x="1940"/>
        <item h="1" m="1" x="2821"/>
        <item h="1" m="1" x="3705"/>
        <item h="1" m="1" x="4589"/>
        <item h="1" m="1" x="5467"/>
        <item h="1" m="1" x="6347"/>
        <item h="1" m="1" x="7223"/>
        <item h="1" m="1" x="1170"/>
        <item h="1" m="1" x="2047"/>
        <item h="1" m="1" x="2928"/>
        <item h="1" m="1" x="3813"/>
        <item h="1" m="1" x="4696"/>
        <item h="1" m="1" x="5574"/>
        <item h="1" m="1" x="6453"/>
        <item h="1" m="1" x="7330"/>
        <item h="1" m="1" x="1276"/>
        <item h="1" m="1" x="2154"/>
        <item h="1" m="1" x="3035"/>
        <item h="1" m="1" x="3921"/>
        <item h="1" m="1" x="4803"/>
        <item h="1" m="1" x="5681"/>
        <item h="1" m="1" x="6559"/>
        <item h="1" m="1" x="7437"/>
        <item h="1" m="1" x="1383"/>
        <item h="1" m="1" x="2261"/>
        <item h="1" m="1" x="3142"/>
        <item h="1" m="1" x="4029"/>
        <item h="1" m="1" x="4910"/>
        <item h="1" m="1" x="5788"/>
        <item h="1" m="1" x="6664"/>
        <item h="1" m="1" x="7543"/>
        <item h="1" m="1" x="1489"/>
        <item h="1" m="1" x="2367"/>
        <item h="1" m="1" x="3248"/>
        <item h="1" m="1" x="4136"/>
        <item h="1" m="1" x="5016"/>
        <item h="1" m="1" x="5894"/>
        <item h="1" m="1" x="6769"/>
        <item h="1" m="1" x="721"/>
        <item h="1" m="1" x="1595"/>
        <item h="1" m="1" x="2473"/>
        <item h="1" m="1" x="3354"/>
        <item h="1" m="1" x="4243"/>
        <item h="1" m="1" x="5122"/>
        <item h="1" m="1" x="6000"/>
        <item h="1" m="1" x="6874"/>
        <item h="1" m="1" x="827"/>
        <item h="1" m="1" x="1701"/>
        <item h="1" m="1" x="2579"/>
        <item h="1" m="1" x="3460"/>
        <item h="1" m="1" x="4350"/>
        <item h="1" m="1" x="5229"/>
        <item h="1" m="1" x="6106"/>
        <item h="1" m="1" x="6980"/>
        <item h="1" m="1" x="933"/>
        <item h="1" m="1" x="1808"/>
        <item h="1" m="1" x="2685"/>
        <item h="1" m="1" x="3567"/>
        <item h="1" m="1" x="4457"/>
        <item h="1" m="1" x="5336"/>
        <item h="1" m="1" x="6212"/>
        <item h="1" m="1" x="7087"/>
        <item h="1" m="1" x="1039"/>
        <item h="1" m="1" x="1915"/>
        <item h="1" m="1" x="2792"/>
        <item h="1" m="1" x="3675"/>
        <item h="1" m="1" x="4564"/>
        <item h="1" m="1" x="5443"/>
        <item h="1" m="1" x="6318"/>
        <item h="1" m="1" x="7194"/>
        <item h="1" m="1" x="1145"/>
        <item h="1" m="1" x="2022"/>
        <item h="1" m="1" x="2899"/>
        <item h="1" m="1" x="3783"/>
        <item h="1" m="1" x="4671"/>
        <item h="1" m="1" x="5550"/>
        <item h="1" m="1" x="6424"/>
        <item h="1" m="1" x="7301"/>
        <item h="1" m="1" x="1251"/>
        <item h="1" m="1" x="2129"/>
        <item h="1" m="1" x="3006"/>
        <item h="1" m="1" x="3891"/>
        <item h="1" m="1" x="4778"/>
        <item h="1" m="1" x="5657"/>
        <item h="1" m="1" x="6530"/>
        <item h="1" m="1" x="7408"/>
        <item h="1" m="1" x="1358"/>
        <item h="1" m="1" x="2236"/>
        <item h="1" m="1" x="3113"/>
        <item h="1" m="1" x="3999"/>
        <item h="1" m="1" x="4885"/>
        <item h="1" m="1" x="5764"/>
        <item h="1" m="1" x="6635"/>
        <item h="1" m="1" x="7514"/>
        <item h="1" m="1" x="1464"/>
        <item h="1" m="1" x="2342"/>
        <item h="1" m="1" x="3219"/>
        <item h="1" m="1" x="4106"/>
        <item h="1" m="1" x="4991"/>
        <item h="1" m="1" x="5870"/>
        <item h="1" m="1" x="6740"/>
        <item h="1" m="1" x="692"/>
        <item h="1" m="1" x="1570"/>
        <item h="1" m="1" x="2448"/>
        <item h="1" m="1" x="3325"/>
        <item h="1" m="1" x="4213"/>
        <item h="1" m="1" x="5097"/>
        <item h="1" m="1" x="5976"/>
        <item h="1" m="1" x="6845"/>
        <item h="1" m="1" x="798"/>
        <item h="1" m="1" x="1676"/>
        <item h="1" m="1" x="2554"/>
        <item h="1" m="1" x="3431"/>
        <item h="1" m="1" x="4320"/>
        <item h="1" m="1" x="5203"/>
        <item h="1" m="1" x="6082"/>
        <item h="1" m="1" x="6950"/>
        <item h="1" m="1" x="904"/>
        <item h="1" m="1" x="1782"/>
        <item h="1" m="1" x="2660"/>
        <item h="1" m="1" x="3537"/>
        <item h="1" m="1" x="4427"/>
        <item h="1" m="1" x="5310"/>
        <item h="1" m="1" x="6188"/>
        <item h="1" m="1" x="7057"/>
        <item h="1" m="1" x="1010"/>
        <item h="1" m="1" x="1889"/>
        <item h="1" m="1" x="2767"/>
        <item h="1" m="1" x="3645"/>
        <item h="1" m="1" x="4534"/>
        <item h="1" m="1" x="5417"/>
        <item h="1" m="1" x="6294"/>
        <item h="1" m="1" x="7164"/>
        <item h="1" m="1" x="1116"/>
        <item h="1" m="1" x="1996"/>
        <item h="1" m="1" x="2874"/>
        <item h="1" m="1" x="3753"/>
        <item h="1" m="1" x="4641"/>
        <item h="1" m="1" x="5524"/>
        <item h="1" m="1" x="6400"/>
        <item h="1" m="1" x="7271"/>
        <item h="1" m="1" x="1222"/>
        <item h="1" m="1" x="2103"/>
        <item h="1" m="1" x="2981"/>
        <item h="1" m="1" x="3861"/>
        <item h="1" m="1" x="4748"/>
        <item h="1" m="1" x="5631"/>
        <item h="1" m="1" x="6506"/>
        <item h="1" m="1" x="7378"/>
        <item h="1" m="1" x="1329"/>
        <item h="1" m="1" x="2210"/>
        <item h="1" m="1" x="3088"/>
        <item h="1" m="1" x="3969"/>
        <item h="1" m="1" x="4855"/>
        <item h="1" m="1" x="5738"/>
        <item h="1" m="1" x="6611"/>
        <item h="1" m="1" x="7484"/>
        <item h="1" m="1" x="1435"/>
        <item h="1" m="1" x="2316"/>
        <item h="1" m="1" x="3194"/>
        <item h="1" m="1" x="4076"/>
        <item h="1" m="1" x="4961"/>
        <item h="1" m="1" x="5844"/>
        <item h="1" m="1" x="6716"/>
        <item h="1" m="1" x="662"/>
        <item h="1" m="1" x="1541"/>
        <item h="1" m="1" x="2422"/>
        <item h="1" m="1" x="3300"/>
        <item h="1" m="1" x="4183"/>
        <item h="1" m="1" x="5067"/>
        <item h="1" m="1" x="5950"/>
        <item h="1" m="1" x="6821"/>
        <item h="1" m="1" x="768"/>
        <item h="1" m="1" x="1647"/>
        <item h="1" m="1" x="2528"/>
        <item h="1" m="1" x="3406"/>
        <item h="1" m="1" x="4290"/>
        <item h="1" m="1" x="5173"/>
        <item h="1" m="1" x="6056"/>
        <item h="1" m="1" x="6926"/>
        <item h="1" m="1" x="874"/>
        <item h="1" m="1" x="1753"/>
        <item h="1" m="1" x="2634"/>
        <item h="1" m="1" x="3512"/>
        <item h="1" m="1" x="4397"/>
        <item h="1" m="1" x="5280"/>
        <item h="1" m="1" x="6162"/>
        <item h="1" m="1" x="7033"/>
        <item h="1" m="1" x="980"/>
        <item h="1" m="1" x="1860"/>
        <item h="1" m="1" x="2741"/>
        <item h="1" m="1" x="3620"/>
        <item h="1" m="1" x="4504"/>
        <item h="1" m="1" x="5387"/>
        <item h="1" m="1" x="6268"/>
        <item h="1" m="1" x="7140"/>
        <item h="1" m="1" x="1086"/>
        <item h="1" m="1" x="1967"/>
        <item h="1" m="1" x="2848"/>
        <item h="1" m="1" x="3728"/>
        <item h="1" m="1" x="4611"/>
        <item h="1" m="1" x="5494"/>
        <item h="1" m="1" x="6374"/>
        <item h="1" m="1" x="7247"/>
        <item h="1" m="1" x="1192"/>
        <item h="1" m="1" x="2074"/>
        <item h="1" m="1" x="2955"/>
        <item h="1" m="1" x="3836"/>
        <item h="1" m="1" x="4718"/>
        <item h="1" m="1" x="5601"/>
        <item h="1" m="1" x="6480"/>
        <item h="1" m="1" x="7354"/>
        <item h="1" m="1" x="1299"/>
        <item h="1" m="1" x="2181"/>
        <item h="1" m="1" x="3062"/>
        <item h="1" m="1" x="3944"/>
        <item h="1" m="1" x="4825"/>
        <item h="1" m="1" x="5708"/>
        <item h="1" m="1" x="6585"/>
        <item h="1" m="1" x="7460"/>
        <item h="1" m="1" x="1405"/>
        <item h="1" m="1" x="2287"/>
        <item h="1" m="1" x="3168"/>
        <item h="1" m="1" x="4051"/>
        <item h="1" m="1" x="4931"/>
        <item h="1" m="1" x="5814"/>
        <item h="1" m="1" x="6690"/>
        <item h="1" m="1" x="7566"/>
        <item h="1" m="1" x="1511"/>
        <item h="1" m="1" x="2393"/>
        <item h="1" m="1" x="3274"/>
        <item h="1" m="1" x="4158"/>
        <item h="1" m="1" x="5037"/>
        <item h="1" m="1" x="5920"/>
        <item h="1" m="1" x="6795"/>
        <item h="1" m="1" x="744"/>
        <item h="1" m="1" x="1617"/>
        <item h="1" m="1" x="2499"/>
        <item h="1" m="1" x="3380"/>
        <item h="1" m="1" x="4265"/>
        <item h="1" m="1" x="5143"/>
        <item h="1" m="1" x="6026"/>
        <item h="1" m="1" x="6900"/>
        <item h="1" m="1" x="850"/>
        <item h="1" m="1" x="1723"/>
        <item h="1" m="1" x="2605"/>
        <item h="1" m="1" x="3486"/>
        <item h="1" m="1" x="4372"/>
        <item h="1" m="1" x="5250"/>
        <item h="1" m="1" x="6132"/>
        <item h="1" m="1" x="7007"/>
        <item h="1" m="1" x="956"/>
        <item h="1" m="1" x="1830"/>
        <item h="1" m="1" x="2711"/>
        <item h="1" m="1" x="3594"/>
        <item h="1" m="1" x="4479"/>
        <item h="1" m="1" x="5357"/>
        <item h="1" m="1" x="6238"/>
        <item h="1" m="1" x="7114"/>
        <item h="1" m="1" x="1062"/>
        <item h="1" m="1" x="1937"/>
        <item h="1" m="1" x="2818"/>
        <item h="1" m="1" x="3702"/>
        <item h="1" m="1" x="4586"/>
        <item h="1" m="1" x="5464"/>
        <item h="1" m="1" x="6344"/>
        <item h="1" m="1" x="7221"/>
        <item h="1" m="1" x="1168"/>
        <item h="1" m="1" x="2044"/>
        <item h="1" m="1" x="2925"/>
        <item h="1" m="1" x="3810"/>
        <item h="1" m="1" x="4693"/>
        <item h="1" m="1" x="5571"/>
        <item h="1" m="1" x="6450"/>
        <item h="1" m="1" x="7328"/>
        <item h="1" m="1" x="1274"/>
        <item h="1" m="1" x="2151"/>
        <item h="1" m="1" x="3032"/>
        <item h="1" m="1" x="3918"/>
        <item h="1" m="1" x="4800"/>
        <item h="1" m="1" x="5678"/>
        <item h="1" m="1" x="6556"/>
        <item h="1" m="1" x="7435"/>
        <item h="1" m="1" x="1381"/>
        <item h="1" m="1" x="2258"/>
        <item h="1" m="1" x="3139"/>
        <item h="1" m="1" x="4026"/>
        <item h="1" m="1" x="4907"/>
        <item h="1" m="1" x="5785"/>
        <item h="1" m="1" x="6661"/>
        <item h="1" m="1" x="7541"/>
        <item h="1" m="1" x="1487"/>
        <item h="1" m="1" x="2364"/>
        <item h="1" m="1" x="3245"/>
        <item h="1" m="1" x="4133"/>
        <item h="1" m="1" x="5013"/>
        <item h="1" m="1" x="5891"/>
        <item h="1" m="1" x="6766"/>
        <item h="1" m="1" x="719"/>
        <item h="1" m="1" x="1593"/>
        <item h="1" m="1" x="2470"/>
        <item h="1" m="1" x="3351"/>
        <item h="1" m="1" x="4240"/>
        <item h="1" m="1" x="5119"/>
        <item h="1" m="1" x="5997"/>
        <item h="1" m="1" x="6871"/>
        <item h="1" m="1" x="825"/>
        <item h="1" m="1" x="1699"/>
        <item h="1" m="1" x="2576"/>
        <item h="1" m="1" x="3457"/>
        <item h="1" m="1" x="4347"/>
        <item h="1" m="1" x="5226"/>
        <item h="1" m="1" x="6103"/>
        <item h="1" m="1" x="6977"/>
        <item h="1" m="1" x="931"/>
        <item h="1" m="1" x="1806"/>
        <item h="1" m="1" x="2682"/>
        <item h="1" m="1" x="3564"/>
        <item h="1" m="1" x="4454"/>
        <item h="1" m="1" x="5333"/>
        <item h="1" m="1" x="6209"/>
        <item h="1" m="1" x="7084"/>
        <item h="1" m="1" x="1037"/>
        <item h="1" m="1" x="1913"/>
        <item h="1" m="1" x="2789"/>
        <item h="1" m="1" x="3672"/>
        <item h="1" m="1" x="4561"/>
        <item h="1" m="1" x="5440"/>
        <item h="1" m="1" x="6315"/>
        <item h="1" m="1" x="7191"/>
        <item h="1" m="1" x="1143"/>
        <item h="1" m="1" x="2020"/>
        <item h="1" m="1" x="2896"/>
        <item h="1" m="1" x="3780"/>
        <item h="1" m="1" x="4668"/>
        <item h="1" m="1" x="5547"/>
        <item h="1" m="1" x="6421"/>
        <item h="1" m="1" x="7298"/>
        <item h="1" m="1" x="1249"/>
        <item h="1" m="1" x="2127"/>
        <item h="1" m="1" x="3003"/>
        <item h="1" m="1" x="3888"/>
        <item h="1" m="1" x="4775"/>
        <item h="1" m="1" x="5654"/>
        <item h="1" m="1" x="6527"/>
        <item h="1" m="1" x="7405"/>
        <item h="1" m="1" x="1356"/>
        <item h="1" m="1" x="2234"/>
        <item h="1" m="1" x="3110"/>
        <item h="1" m="1" x="3996"/>
        <item h="1" m="1" x="4882"/>
        <item h="1" m="1" x="5761"/>
        <item h="1" m="1" x="6632"/>
        <item h="1" m="1" x="7511"/>
        <item h="1" m="1" x="1462"/>
        <item h="1" m="1" x="2340"/>
        <item h="1" m="1" x="3216"/>
        <item h="1" m="1" x="4103"/>
        <item h="1" m="1" x="4988"/>
        <item h="1" m="1" x="5867"/>
        <item h="1" m="1" x="6737"/>
        <item h="1" m="1" x="689"/>
        <item h="1" m="1" x="1568"/>
        <item h="1" m="1" x="2446"/>
        <item h="1" m="1" x="3322"/>
        <item h="1" m="1" x="4210"/>
        <item h="1" m="1" x="5094"/>
        <item h="1" m="1" x="5973"/>
        <item h="1" m="1" x="6842"/>
        <item h="1" m="1" x="795"/>
        <item h="1" m="1" x="1674"/>
        <item h="1" m="1" x="2552"/>
        <item h="1" m="1" x="3428"/>
        <item h="1" m="1" x="4317"/>
        <item h="1" m="1" x="5200"/>
        <item h="1" m="1" x="6079"/>
        <item h="1" m="1" x="6947"/>
        <item h="1" m="1" x="901"/>
        <item h="1" m="1" x="1780"/>
        <item h="1" m="1" x="2658"/>
        <item h="1" m="1" x="3534"/>
        <item h="1" m="1" x="4424"/>
        <item h="1" m="1" x="5307"/>
        <item h="1" m="1" x="6185"/>
        <item h="1" m="1" x="7054"/>
        <item h="1" m="1" x="1007"/>
        <item h="1" m="1" x="1887"/>
        <item h="1" m="1" x="2765"/>
        <item h="1" m="1" x="3642"/>
        <item h="1" m="1" x="4531"/>
        <item h="1" m="1" x="5414"/>
        <item h="1" m="1" x="6291"/>
        <item h="1" m="1" x="7161"/>
        <item h="1" m="1" x="1113"/>
        <item h="1" m="1" x="1994"/>
        <item h="1" m="1" x="2872"/>
        <item h="1" m="1" x="3750"/>
        <item h="1" m="1" x="4638"/>
        <item h="1" m="1" x="5521"/>
        <item h="1" m="1" x="6397"/>
        <item h="1" m="1" x="7268"/>
        <item h="1" m="1" x="1219"/>
        <item h="1" m="1" x="2101"/>
        <item h="1" m="1" x="2979"/>
        <item h="1" m="1" x="3858"/>
        <item h="1" m="1" x="4745"/>
        <item h="1" m="1" x="5628"/>
        <item h="1" m="1" x="6503"/>
        <item h="1" m="1" x="7375"/>
        <item h="1" m="1" x="1326"/>
        <item h="1" m="1" x="2208"/>
        <item h="1" m="1" x="3086"/>
        <item h="1" m="1" x="3966"/>
        <item h="1" m="1" x="4852"/>
        <item h="1" m="1" x="5735"/>
        <item h="1" m="1" x="6608"/>
        <item h="1" m="1" x="7481"/>
        <item h="1" m="1" x="1432"/>
        <item h="1" m="1" x="2314"/>
        <item h="1" m="1" x="3192"/>
        <item h="1" m="1" x="4073"/>
        <item h="1" m="1" x="4958"/>
        <item h="1" m="1" x="5841"/>
        <item h="1" m="1" x="6713"/>
        <item h="1" m="1" x="659"/>
        <item h="1" m="1" x="1538"/>
        <item h="1" m="1" x="2420"/>
        <item h="1" m="1" x="3298"/>
        <item h="1" m="1" x="4180"/>
        <item h="1" m="1" x="5064"/>
        <item h="1" m="1" x="5947"/>
        <item h="1" m="1" x="6818"/>
        <item h="1" m="1" x="765"/>
        <item h="1" m="1" x="1644"/>
        <item h="1" m="1" x="2526"/>
        <item h="1" m="1" x="3404"/>
        <item h="1" m="1" x="4287"/>
        <item h="1" m="1" x="5170"/>
        <item h="1" m="1" x="6053"/>
        <item h="1" m="1" x="6923"/>
        <item h="1" m="1" x="871"/>
        <item h="1" m="1" x="1750"/>
        <item h="1" m="1" x="2632"/>
        <item h="1" m="1" x="3510"/>
        <item h="1" m="1" x="4394"/>
        <item h="1" m="1" x="5277"/>
        <item h="1" m="1" x="6159"/>
        <item h="1" m="1" x="7030"/>
        <item h="1" m="1" x="977"/>
        <item h="1" m="1" x="1857"/>
        <item h="1" m="1" x="2738"/>
        <item h="1" m="1" x="3618"/>
        <item h="1" m="1" x="4501"/>
        <item h="1" m="1" x="5384"/>
        <item h="1" m="1" x="6265"/>
        <item h="1" m="1" x="7137"/>
        <item h="1" m="1" x="1083"/>
        <item h="1" m="1" x="1964"/>
        <item h="1" m="1" x="2845"/>
        <item h="1" m="1" x="3726"/>
        <item h="1" m="1" x="4608"/>
        <item h="1" m="1" x="5491"/>
        <item h="1" m="1" x="6371"/>
        <item h="1" m="1" x="7244"/>
        <item h="1" m="1" x="1189"/>
        <item h="1" m="1" x="2071"/>
        <item h="1" m="1" x="2952"/>
        <item h="1" m="1" x="3834"/>
        <item h="1" m="1" x="4715"/>
        <item h="1" m="1" x="5598"/>
        <item h="1" m="1" x="6477"/>
        <item h="1" m="1" x="7351"/>
        <item h="1" m="1" x="1296"/>
        <item h="1" m="1" x="2178"/>
        <item h="1" m="1" x="3059"/>
        <item h="1" m="1" x="3942"/>
        <item h="1" m="1" x="4822"/>
        <item h="1" m="1" x="5705"/>
        <item h="1" m="1" x="6582"/>
        <item h="1" m="1" x="7457"/>
        <item h="1" m="1" x="1402"/>
        <item h="1" m="1" x="2284"/>
        <item h="1" m="1" x="3165"/>
        <item h="1" m="1" x="4049"/>
        <item h="1" m="1" x="4928"/>
        <item h="1" m="1" x="5811"/>
        <item h="1" m="1" x="6687"/>
        <item h="1" m="1" x="7563"/>
        <item h="1" m="1" x="1508"/>
        <item h="1" m="1" x="2390"/>
        <item h="1" m="1" x="3271"/>
        <item h="1" m="1" x="4156"/>
        <item h="1" m="1" x="5034"/>
        <item h="1" m="1" x="5917"/>
        <item h="1" m="1" x="6792"/>
        <item h="1" m="1" x="741"/>
        <item h="1" m="1" x="1614"/>
        <item h="1" m="1" x="2496"/>
        <item h="1" m="1" x="3377"/>
        <item h="1" m="1" x="4263"/>
        <item h="1" m="1" x="5140"/>
        <item h="1" m="1" x="6023"/>
        <item h="1" m="1" x="6897"/>
        <item h="1" m="1" x="847"/>
        <item h="1" m="1" x="1720"/>
        <item h="1" m="1" x="2602"/>
        <item h="1" m="1" x="3483"/>
        <item h="1" m="1" x="4370"/>
        <item h="1" m="1" x="5247"/>
        <item h="1" m="1" x="6129"/>
        <item h="1" m="1" x="7003"/>
        <item h="1" m="1" x="953"/>
        <item h="1" m="1" x="1827"/>
        <item h="1" m="1" x="2708"/>
        <item h="1" m="1" x="3590"/>
        <item h="1" m="1" x="4477"/>
        <item h="1" m="1" x="5354"/>
        <item h="1" m="1" x="6235"/>
        <item h="1" m="1" x="7110"/>
        <item h="1" m="1" x="1059"/>
        <item h="1" m="1" x="1934"/>
        <item h="1" m="1" x="2815"/>
        <item h="1" m="1" x="3698"/>
        <item h="1" m="1" x="4584"/>
        <item h="1" m="1" x="5461"/>
        <item h="1" m="1" x="6341"/>
        <item h="1" m="1" x="7217"/>
        <item h="1" m="1" x="1165"/>
        <item h="1" m="1" x="2041"/>
        <item h="1" m="1" x="2922"/>
        <item h="1" m="1" x="3806"/>
        <item h="1" m="1" x="4691"/>
        <item h="1" m="1" x="5568"/>
        <item h="1" m="1" x="6447"/>
        <item h="1" m="1" x="7324"/>
        <item h="1" m="1" x="1271"/>
        <item h="1" m="1" x="2148"/>
        <item h="1" m="1" x="3029"/>
        <item h="1" m="1" x="3914"/>
        <item h="1" m="1" x="4798"/>
        <item h="1" m="1" x="5675"/>
        <item h="1" m="1" x="6553"/>
        <item h="1" m="1" x="7431"/>
        <item h="1" m="1" x="1378"/>
        <item h="1" m="1" x="2255"/>
        <item h="1" m="1" x="3136"/>
        <item h="1" m="1" x="4022"/>
        <item h="1" m="1" x="4905"/>
        <item h="1" m="1" x="5782"/>
        <item h="1" m="1" x="6658"/>
        <item h="1" m="1" x="7537"/>
        <item h="1" m="1" x="1484"/>
        <item h="1" m="1" x="2361"/>
        <item h="1" m="1" x="3242"/>
        <item h="1" m="1" x="4129"/>
        <item h="1" m="1" x="5011"/>
        <item h="1" m="1" x="5888"/>
        <item h="1" m="1" x="6763"/>
        <item h="1" m="1" x="715"/>
        <item h="1" m="1" x="1590"/>
        <item h="1" m="1" x="2467"/>
        <item h="1" m="1" x="3348"/>
        <item h="1" m="1" x="4236"/>
        <item h="1" m="1" x="5117"/>
        <item h="1" m="1" x="5994"/>
        <item h="1" m="1" x="6868"/>
        <item h="1" m="1" x="821"/>
        <item h="1" m="1" x="1696"/>
        <item h="1" m="1" x="2573"/>
        <item h="1" m="1" x="3454"/>
        <item h="1" m="1" x="4343"/>
        <item h="1" m="1" x="5223"/>
        <item h="1" m="1" x="6100"/>
        <item h="1" m="1" x="6973"/>
        <item h="1" m="1" x="927"/>
        <item h="1" m="1" x="1802"/>
        <item h="1" m="1" x="2679"/>
        <item h="1" m="1" x="3560"/>
        <item h="1" m="1" x="4450"/>
        <item h="1" m="1" x="5330"/>
        <item h="1" m="1" x="6206"/>
        <item h="1" m="1" x="7080"/>
        <item h="1" m="1" x="1033"/>
        <item h="1" m="1" x="1909"/>
        <item h="1" m="1" x="2786"/>
        <item h="1" m="1" x="3668"/>
        <item h="1" m="1" x="4557"/>
        <item h="1" m="1" x="5437"/>
        <item h="1" m="1" x="6312"/>
        <item h="1" m="1" x="7187"/>
        <item h="1" m="1" x="1139"/>
        <item h="1" m="1" x="2016"/>
        <item h="1" m="1" x="2893"/>
        <item h="1" m="1" x="3776"/>
        <item h="1" m="1" x="4664"/>
        <item h="1" m="1" x="5544"/>
        <item h="1" m="1" x="6418"/>
        <item h="1" m="1" x="7294"/>
        <item h="1" m="1" x="1245"/>
        <item h="1" m="1" x="2123"/>
        <item h="1" m="1" x="3000"/>
        <item h="1" m="1" x="3884"/>
        <item h="1" m="1" x="4771"/>
        <item h="1" m="1" x="5651"/>
        <item h="1" m="1" x="6524"/>
        <item h="1" m="1" x="7401"/>
        <item h="1" m="1" x="1352"/>
        <item h="1" m="1" x="2230"/>
        <item h="1" m="1" x="3107"/>
        <item h="1" m="1" x="3992"/>
        <item h="1" m="1" x="4878"/>
        <item h="1" m="1" x="5758"/>
        <item h="1" m="1" x="6629"/>
        <item h="1" m="1" x="7507"/>
        <item h="1" m="1" x="1458"/>
        <item h="1" m="1" x="2336"/>
        <item h="1" m="1" x="3213"/>
        <item h="1" m="1" x="4099"/>
        <item h="1" m="1" x="4984"/>
        <item h="1" m="1" x="5864"/>
        <item h="1" m="1" x="6734"/>
        <item h="1" m="1" x="685"/>
        <item h="1" m="1" x="1564"/>
        <item h="1" m="1" x="2442"/>
        <item h="1" m="1" x="3319"/>
        <item h="1" m="1" x="4206"/>
        <item h="1" m="1" x="5090"/>
        <item h="1" m="1" x="5970"/>
        <item h="1" m="1" x="6839"/>
        <item h="1" m="1" x="791"/>
        <item h="1" m="1" x="1670"/>
        <item h="1" m="1" x="2548"/>
        <item h="1" m="1" x="3425"/>
        <item h="1" m="1" x="4313"/>
        <item h="1" m="1" x="5196"/>
        <item h="1" m="1" x="6076"/>
        <item h="1" m="1" x="6944"/>
        <item h="1" m="1" x="897"/>
        <item h="1" m="1" x="1776"/>
        <item h="1" m="1" x="2654"/>
        <item h="1" m="1" x="3531"/>
        <item h="1" m="1" x="4420"/>
        <item h="1" m="1" x="5303"/>
        <item h="1" m="1" x="6182"/>
        <item h="1" m="1" x="7051"/>
        <item h="1" m="1" x="1003"/>
        <item h="1" m="1" x="1883"/>
        <item h="1" m="1" x="2761"/>
        <item h="1" m="1" x="3639"/>
        <item h="1" m="1" x="4527"/>
        <item h="1" m="1" x="5410"/>
        <item h="1" m="1" x="6288"/>
        <item h="1" m="1" x="7158"/>
        <item h="1" m="1" x="1109"/>
        <item h="1" m="1" x="1990"/>
        <item h="1" m="1" x="2868"/>
        <item h="1" m="1" x="3747"/>
        <item h="1" m="1" x="4634"/>
        <item h="1" m="1" x="5517"/>
        <item h="1" m="1" x="6394"/>
        <item h="1" m="1" x="7265"/>
        <item h="1" m="1" x="1215"/>
        <item h="1" m="1" x="2097"/>
        <item h="1" m="1" x="2975"/>
        <item h="1" m="1" x="3855"/>
        <item h="1" m="1" x="4741"/>
        <item h="1" m="1" x="5624"/>
        <item h="1" m="1" x="6500"/>
        <item h="1" m="1" x="7372"/>
        <item h="1" m="1" x="1322"/>
        <item h="1" m="1" x="2204"/>
        <item h="1" m="1" x="3082"/>
        <item h="1" m="1" x="3963"/>
        <item h="1" m="1" x="4848"/>
        <item h="1" m="1" x="5731"/>
        <item h="1" m="1" x="6605"/>
        <item h="1" m="1" x="7478"/>
        <item h="1" m="1" x="1428"/>
        <item h="1" m="1" x="2310"/>
        <item h="1" m="1" x="3188"/>
        <item h="1" m="1" x="4070"/>
        <item h="1" m="1" x="4954"/>
        <item h="1" m="1" x="5837"/>
        <item h="1" m="1" x="6710"/>
        <item h="1" m="1" x="656"/>
        <item h="1" m="1" x="1534"/>
        <item h="1" m="1" x="2416"/>
        <item h="1" m="1" x="3294"/>
        <item h="1" m="1" x="4177"/>
        <item h="1" m="1" x="5060"/>
        <item h="1" m="1" x="5943"/>
        <item h="1" m="1" x="6815"/>
        <item h="1" m="1" x="762"/>
        <item h="1" m="1" x="1640"/>
        <item h="1" m="1" x="2522"/>
        <item h="1" m="1" x="3400"/>
        <item h="1" m="1" x="4284"/>
        <item h="1" m="1" x="5166"/>
        <item h="1" m="1" x="6049"/>
        <item h="1" m="1" x="6920"/>
        <item h="1" m="1" x="868"/>
        <item h="1" m="1" x="1746"/>
        <item h="1" m="1" x="2628"/>
        <item h="1" m="1" x="3506"/>
        <item h="1" m="1" x="4391"/>
        <item h="1" m="1" x="5273"/>
        <item h="1" m="1" x="6155"/>
        <item h="1" m="1" x="7027"/>
        <item h="1" m="1" x="974"/>
        <item h="1" m="1" x="1853"/>
        <item h="1" m="1" x="2734"/>
        <item h="1" m="1" x="3614"/>
        <item h="1" m="1" x="4498"/>
        <item h="1" m="1" x="5380"/>
        <item h="1" m="1" x="6261"/>
        <item h="1" m="1" x="7134"/>
        <item h="1" m="1" x="1080"/>
        <item h="1" m="1" x="1960"/>
        <item h="1" m="1" x="2841"/>
        <item h="1" m="1" x="3722"/>
        <item h="1" m="1" x="4605"/>
        <item h="1" m="1" x="5487"/>
        <item h="1" m="1" x="6367"/>
        <item h="1" m="1" x="7241"/>
        <item h="1" m="1" x="1186"/>
        <item h="1" m="1" x="2067"/>
        <item h="1" m="1" x="2948"/>
        <item h="1" m="1" x="3830"/>
        <item h="1" m="1" x="4712"/>
        <item h="1" m="1" x="5594"/>
        <item h="1" m="1" x="6473"/>
        <item h="1" m="1" x="7348"/>
        <item h="1" m="1" x="1293"/>
        <item h="1" m="1" x="2174"/>
        <item h="1" m="1" x="3055"/>
        <item h="1" m="1" x="3938"/>
        <item h="1" m="1" x="4819"/>
        <item h="1" m="1" x="5701"/>
        <item h="1" m="1" x="6578"/>
        <item h="1" m="1" x="7454"/>
        <item h="1" m="1" x="1399"/>
        <item h="1" m="1" x="2280"/>
        <item h="1" m="1" x="3161"/>
        <item h="1" m="1" x="4045"/>
        <item h="1" m="1" x="4925"/>
        <item h="1" m="1" x="5807"/>
        <item h="1" m="1" x="6683"/>
        <item h="1" m="1" x="7560"/>
        <item h="1" m="1" x="1505"/>
        <item h="1" m="1" x="2386"/>
        <item h="1" m="1" x="3267"/>
        <item h="1" m="1" x="4152"/>
        <item h="1" m="1" x="5031"/>
        <item h="1" m="1" x="5913"/>
        <item h="1" m="1" x="6788"/>
        <item h="1" m="1" x="738"/>
        <item h="1" m="1" x="1611"/>
        <item h="1" m="1" x="2492"/>
        <item h="1" m="1" x="3373"/>
        <item h="1" m="1" x="4259"/>
        <item h="1" m="1" x="5137"/>
        <item h="1" m="1" x="6019"/>
        <item h="1" m="1" x="6893"/>
        <item h="1" m="1" x="844"/>
        <item h="1" m="1" x="1717"/>
        <item h="1" m="1" x="2598"/>
        <item h="1" m="1" x="3479"/>
        <item h="1" m="1" x="4366"/>
        <item h="1" m="1" x="5244"/>
        <item h="1" m="1" x="6125"/>
        <item h="1" m="1" x="6999"/>
        <item h="1" m="1" x="950"/>
        <item h="1" m="1" x="1824"/>
        <item h="1" m="1" x="2704"/>
        <item h="1" m="1" x="3586"/>
        <item h="1" m="1" x="4473"/>
        <item h="1" m="1" x="5351"/>
        <item h="1" m="1" x="6231"/>
        <item h="1" m="1" x="7106"/>
        <item h="1" m="1" x="1056"/>
        <item h="1" m="1" x="1931"/>
        <item h="1" m="1" x="2811"/>
        <item h="1" m="1" x="3694"/>
        <item h="1" m="1" x="4580"/>
        <item h="1" m="1" x="5458"/>
        <item h="1" m="1" x="6337"/>
        <item h="1" m="1" x="7213"/>
        <item h="1" m="1" x="1162"/>
        <item h="1" m="1" x="2038"/>
        <item h="1" m="1" x="2918"/>
        <item h="1" m="1" x="3802"/>
        <item h="1" m="1" x="4687"/>
        <item h="1" m="1" x="5565"/>
        <item h="1" m="1" x="6443"/>
        <item h="1" m="1" x="7320"/>
        <item h="1" m="1" x="1268"/>
        <item h="1" m="1" x="2145"/>
        <item h="1" m="1" x="3025"/>
        <item h="1" m="1" x="3910"/>
        <item h="1" m="1" x="4794"/>
        <item h="1" m="1" x="5672"/>
        <item h="1" m="1" x="6549"/>
        <item h="1" m="1" x="7427"/>
        <item h="1" m="1" x="1375"/>
        <item h="1" m="1" x="2252"/>
        <item h="1" m="1" x="3132"/>
        <item h="1" m="1" x="4018"/>
        <item h="1" m="1" x="4901"/>
        <item h="1" m="1" x="5779"/>
        <item h="1" m="1" x="6654"/>
        <item h="1" m="1" x="7533"/>
        <item h="1" m="1" x="1481"/>
        <item h="1" m="1" x="2358"/>
        <item h="1" m="1" x="3238"/>
        <item h="1" m="1" x="4125"/>
        <item h="1" m="1" x="5007"/>
        <item h="1" m="1" x="5885"/>
        <item h="1" m="1" x="6759"/>
        <item h="1" m="1" x="711"/>
        <item h="1" m="1" x="1587"/>
        <item h="1" m="1" x="2464"/>
        <item h="1" m="1" x="3344"/>
        <item h="1" m="1" x="4232"/>
        <item h="1" m="1" x="5113"/>
        <item h="1" m="1" x="5991"/>
        <item h="1" m="1" x="6864"/>
        <item h="1" m="1" x="817"/>
        <item h="1" m="1" x="1693"/>
        <item h="1" m="1" x="2570"/>
        <item h="1" m="1" x="3450"/>
        <item h="1" m="1" x="4339"/>
        <item h="1" m="1" x="5219"/>
        <item h="1" m="1" x="6097"/>
        <item h="1" m="1" x="6969"/>
        <item h="1" m="1" x="923"/>
        <item h="1" m="1" x="1799"/>
        <item h="1" m="1" x="2676"/>
        <item h="1" m="1" x="3556"/>
        <item h="1" m="1" x="4446"/>
        <item h="1" m="1" x="5326"/>
        <item h="1" m="1" x="6203"/>
        <item h="1" m="1" x="7076"/>
        <item h="1" m="1" x="1029"/>
        <item h="1" m="1" x="1906"/>
        <item h="1" m="1" x="2783"/>
        <item h="1" m="1" x="3664"/>
        <item h="1" m="1" x="4553"/>
        <item h="1" m="1" x="5433"/>
        <item h="1" m="1" x="6309"/>
        <item h="1" m="1" x="7183"/>
        <item h="1" m="1" x="1135"/>
        <item h="1" m="1" x="2013"/>
        <item h="1" m="1" x="2890"/>
        <item h="1" m="1" x="3772"/>
        <item h="1" m="1" x="4660"/>
        <item h="1" m="1" x="5540"/>
        <item h="1" m="1" x="6415"/>
        <item h="1" m="1" x="7290"/>
        <item h="1" m="1" x="1241"/>
        <item h="1" m="1" x="2120"/>
        <item h="1" m="1" x="2997"/>
        <item h="1" m="1" x="3880"/>
        <item h="1" m="1" x="4767"/>
        <item h="1" m="1" x="5647"/>
        <item h="1" m="1" x="6521"/>
        <item h="1" m="1" x="7397"/>
        <item h="1" m="1" x="1348"/>
        <item h="1" m="1" x="2227"/>
        <item h="1" m="1" x="3104"/>
        <item h="1" m="1" x="3988"/>
        <item h="1" m="1" x="4874"/>
        <item h="1" m="1" x="5754"/>
        <item h="1" m="1" x="6626"/>
        <item h="1" m="1" x="7503"/>
        <item h="1" m="1" x="1454"/>
        <item h="1" m="1" x="2333"/>
        <item h="1" m="1" x="3210"/>
        <item h="1" m="1" x="4095"/>
        <item h="1" m="1" x="4980"/>
        <item h="1" m="1" x="5860"/>
        <item h="1" m="1" x="6731"/>
        <item h="1" m="1" x="681"/>
        <item h="1" m="1" x="1560"/>
        <item h="1" m="1" x="2439"/>
        <item h="1" m="1" x="3316"/>
        <item h="1" m="1" x="4202"/>
        <item h="1" m="1" x="5086"/>
        <item h="1" m="1" x="5966"/>
        <item h="1" m="1" x="6836"/>
        <item h="1" m="1" x="787"/>
        <item h="1" m="1" x="1666"/>
        <item h="1" m="1" x="2545"/>
        <item h="1" m="1" x="3422"/>
        <item h="1" m="1" x="4309"/>
        <item h="1" m="1" x="5192"/>
        <item h="1" m="1" x="6072"/>
        <item h="1" m="1" x="6941"/>
        <item h="1" m="1" x="893"/>
        <item h="1" m="1" x="1772"/>
        <item h="1" m="1" x="2651"/>
        <item h="1" m="1" x="3528"/>
        <item h="1" m="1" x="4416"/>
        <item h="1" m="1" x="5299"/>
        <item h="1" m="1" x="6178"/>
        <item h="1" m="1" x="7048"/>
        <item h="1" m="1" x="999"/>
        <item h="1" m="1" x="1879"/>
        <item h="1" m="1" x="2758"/>
        <item h="1" m="1" x="3636"/>
        <item h="1" m="1" x="4523"/>
        <item h="1" m="1" x="5406"/>
        <item h="1" m="1" x="6284"/>
        <item h="1" m="1" x="7155"/>
        <item h="1" m="1" x="1105"/>
        <item h="1" m="1" x="1986"/>
        <item h="1" m="1" x="2865"/>
        <item h="1" m="1" x="3744"/>
        <item h="1" m="1" x="4630"/>
        <item h="1" m="1" x="5513"/>
        <item h="1" m="1" x="6390"/>
        <item h="1" m="1" x="7262"/>
        <item h="1" m="1" x="1211"/>
        <item h="1" m="1" x="2093"/>
        <item h="1" m="1" x="2972"/>
        <item h="1" m="1" x="3852"/>
        <item h="1" m="1" x="4737"/>
        <item h="1" m="1" x="5620"/>
        <item h="1" m="1" x="6496"/>
        <item h="1" m="1" x="7369"/>
        <item h="1" m="1" x="1318"/>
        <item h="1" m="1" x="2200"/>
        <item h="1" m="1" x="3079"/>
        <item h="1" m="1" x="3960"/>
        <item h="1" m="1" x="4844"/>
        <item h="1" m="1" x="5727"/>
        <item h="1" m="1" x="6601"/>
        <item h="1" m="1" x="7475"/>
        <item h="1" m="1" x="1424"/>
        <item h="1" m="1" x="2306"/>
        <item h="1" m="1" x="3185"/>
        <item h="1" m="1" x="4067"/>
        <item h="1" m="1" x="4950"/>
        <item h="1" m="1" x="5833"/>
        <item h="1" m="1" x="6706"/>
        <item h="1" m="1" x="7581"/>
        <item h="1" m="1" x="1530"/>
        <item h="1" m="1" x="2412"/>
        <item h="1" m="1" x="3291"/>
        <item h="1" m="1" x="4174"/>
        <item h="1" m="1" x="5056"/>
        <item h="1" m="1" x="5939"/>
        <item h="1" m="1" x="6811"/>
        <item h="1" m="1" x="759"/>
        <item h="1" m="1" x="1636"/>
        <item h="1" m="1" x="2518"/>
        <item h="1" m="1" x="3397"/>
        <item h="1" m="1" x="4281"/>
        <item h="1" m="1" x="5162"/>
        <item h="1" m="1" x="6045"/>
        <item h="1" m="1" x="6916"/>
        <item h="1" m="1" x="865"/>
        <item h="1" m="1" x="1742"/>
        <item h="1" m="1" x="2624"/>
        <item h="1" m="1" x="3503"/>
        <item h="1" m="1" x="4388"/>
        <item h="1" m="1" x="5269"/>
        <item h="1" m="1" x="6151"/>
        <item h="1" m="1" x="7023"/>
        <item h="1" m="1" x="971"/>
        <item h="1" m="1" x="1849"/>
        <item h="1" m="1" x="2730"/>
        <item h="1" m="1" x="3611"/>
        <item h="1" m="1" x="4495"/>
        <item h="1" m="1" x="5376"/>
        <item h="1" m="1" x="6257"/>
        <item h="1" m="1" x="7130"/>
        <item h="1" m="1" x="1077"/>
        <item h="1" m="1" x="1956"/>
        <item h="1" m="1" x="2837"/>
        <item h="1" m="1" x="3719"/>
        <item h="1" m="1" x="4602"/>
        <item h="1" m="1" x="5483"/>
        <item h="1" m="1" x="6363"/>
        <item h="1" m="1" x="7237"/>
        <item h="1" m="1" x="1183"/>
        <item h="1" m="1" x="2063"/>
        <item h="1" m="1" x="2944"/>
        <item h="1" m="1" x="3827"/>
        <item h="1" m="1" x="4709"/>
        <item h="1" m="1" x="5590"/>
        <item h="1" m="1" x="6469"/>
        <item h="1" m="1" x="7344"/>
        <item h="1" m="1" x="1290"/>
        <item h="1" m="1" x="2170"/>
        <item h="1" m="1" x="3051"/>
        <item h="1" m="1" x="3935"/>
        <item h="1" m="1" x="4816"/>
        <item h="1" m="1" x="5697"/>
        <item h="1" m="1" x="6574"/>
        <item h="1" m="1" x="7450"/>
        <item h="1" m="1" x="1396"/>
        <item h="1" m="1" x="2276"/>
        <item h="1" m="1" x="3157"/>
        <item h="1" m="1" x="4042"/>
        <item h="1" m="1" x="4922"/>
        <item h="1" m="1" x="5803"/>
        <item h="1" m="1" x="6679"/>
        <item h="1" m="1" x="7556"/>
        <item h="1" m="1" x="1502"/>
        <item h="1" m="1" x="2382"/>
        <item h="1" m="1" x="3263"/>
        <item h="1" m="1" x="4149"/>
        <item h="1" m="1" x="5028"/>
        <item h="1" m="1" x="5909"/>
        <item h="1" m="1" x="6784"/>
        <item h="1" m="1" x="734"/>
        <item h="1" m="1" x="1608"/>
        <item h="1" m="1" x="2488"/>
        <item h="1" m="1" x="3369"/>
        <item h="1" m="1" x="4256"/>
        <item h="1" m="1" x="5134"/>
        <item h="1" m="1" x="6015"/>
        <item h="1" m="1" x="6889"/>
        <item h="1" m="1" x="840"/>
        <item h="1" m="1" x="1714"/>
        <item h="1" m="1" x="2594"/>
        <item h="1" m="1" x="3475"/>
        <item h="1" m="1" x="4363"/>
        <item h="1" m="1" x="5241"/>
        <item h="1" m="1" x="6121"/>
        <item h="1" m="1" x="6995"/>
        <item h="1" m="1" x="946"/>
        <item h="1" m="1" x="1821"/>
        <item h="1" m="1" x="2700"/>
        <item h="1" m="1" x="3582"/>
        <item h="1" m="1" x="4470"/>
        <item h="1" m="1" x="5348"/>
        <item h="1" m="1" x="6227"/>
        <item h="1" m="1" x="7102"/>
        <item h="1" m="1" x="1052"/>
        <item h="1" m="1" x="1928"/>
        <item h="1" m="1" x="2807"/>
        <item h="1" m="1" x="3690"/>
        <item h="1" m="1" x="4577"/>
        <item h="1" m="1" x="5455"/>
        <item h="1" m="1" x="6333"/>
        <item h="1" m="1" x="7209"/>
        <item h="1" m="1" x="1158"/>
        <item h="1" m="1" x="2035"/>
        <item h="1" m="1" x="2914"/>
        <item h="1" m="1" x="3798"/>
        <item h="1" m="1" x="4684"/>
        <item h="1" m="1" x="5562"/>
        <item h="1" m="1" x="6439"/>
        <item h="1" m="1" x="7316"/>
        <item h="1" m="1" x="1264"/>
        <item h="1" m="1" x="2142"/>
        <item h="1" m="1" x="3021"/>
        <item h="1" m="1" x="3906"/>
        <item h="1" m="1" x="4791"/>
        <item h="1" m="1" x="5669"/>
        <item h="1" m="1" x="6545"/>
        <item h="1" m="1" x="7423"/>
        <item h="1" m="1" x="1371"/>
        <item h="1" m="1" x="2249"/>
        <item h="1" m="1" x="3128"/>
        <item h="1" m="1" x="4014"/>
        <item h="1" m="1" x="4898"/>
        <item h="1" m="1" x="5776"/>
        <item h="1" m="1" x="6650"/>
        <item h="1" m="1" x="7529"/>
        <item h="1" m="1" x="1477"/>
        <item h="1" m="1" x="2355"/>
        <item h="1" m="1" x="3234"/>
        <item h="1" m="1" x="4121"/>
        <item h="1" m="1" x="5004"/>
        <item h="1" m="1" x="5882"/>
        <item h="1" m="1" x="6755"/>
        <item h="1" m="1" x="707"/>
        <item h="1" m="1" x="1583"/>
        <item h="1" m="1" x="2461"/>
        <item h="1" m="1" x="3340"/>
        <item h="1" m="1" x="4228"/>
        <item h="1" m="1" x="5110"/>
        <item h="1" m="1" x="5988"/>
        <item h="1" m="1" x="6860"/>
        <item h="1" m="1" x="813"/>
        <item h="1" m="1" x="1689"/>
        <item h="1" m="1" x="2567"/>
        <item h="1" m="1" x="3446"/>
        <item h="1" m="1" x="4335"/>
        <item h="1" m="1" x="5216"/>
        <item h="1" m="1" x="6094"/>
        <item h="1" m="1" x="6965"/>
        <item h="1" m="1" x="919"/>
        <item h="1" m="1" x="1795"/>
        <item h="1" m="1" x="2673"/>
        <item h="1" m="1" x="3552"/>
        <item h="1" m="1" x="4442"/>
        <item h="1" m="1" x="5323"/>
        <item h="1" m="1" x="6200"/>
        <item h="1" m="1" x="7072"/>
        <item h="1" m="1" x="1025"/>
        <item h="1" m="1" x="1902"/>
        <item h="1" m="1" x="2780"/>
        <item h="1" m="1" x="3660"/>
        <item h="1" m="1" x="4549"/>
        <item h="1" m="1" x="5430"/>
        <item h="1" m="1" x="6306"/>
        <item h="1" m="1" x="7179"/>
        <item h="1" m="1" x="1131"/>
        <item h="1" m="1" x="2009"/>
        <item h="1" m="1" x="2887"/>
        <item h="1" m="1" x="3768"/>
        <item h="1" m="1" x="4656"/>
        <item h="1" m="1" x="5537"/>
        <item h="1" m="1" x="6412"/>
        <item h="1" m="1" x="7286"/>
        <item h="1" m="1" x="1237"/>
        <item h="1" m="1" x="2116"/>
        <item h="1" m="1" x="2994"/>
        <item h="1" m="1" x="3876"/>
        <item h="1" m="1" x="4763"/>
        <item h="1" m="1" x="5644"/>
        <item h="1" m="1" x="6518"/>
        <item h="1" m="1" x="7393"/>
        <item h="1" m="1" x="1344"/>
        <item h="1" m="1" x="2223"/>
        <item h="1" m="1" x="3101"/>
        <item h="1" m="1" x="3984"/>
        <item h="1" m="1" x="4870"/>
        <item h="1" m="1" x="5751"/>
        <item h="1" m="1" x="6623"/>
        <item h="1" m="1" x="7499"/>
        <item h="1" m="1" x="1450"/>
        <item h="1" m="1" x="2329"/>
        <item h="1" m="1" x="3207"/>
        <item h="1" m="1" x="4091"/>
        <item h="1" m="1" x="4976"/>
        <item h="1" m="1" x="5857"/>
        <item h="1" m="1" x="6728"/>
        <item h="1" m="1" x="677"/>
        <item h="1" m="1" x="1556"/>
        <item h="1" m="1" x="2435"/>
        <item h="1" m="1" x="3313"/>
        <item h="1" m="1" x="4198"/>
        <item h="1" m="1" x="5082"/>
        <item h="1" m="1" x="5963"/>
        <item h="1" m="1" x="6833"/>
        <item h="1" m="1" x="783"/>
        <item h="1" m="1" x="1662"/>
        <item h="1" m="1" x="2541"/>
        <item h="1" m="1" x="3419"/>
        <item h="1" m="1" x="4305"/>
        <item h="1" m="1" x="5188"/>
        <item h="1" m="1" x="6069"/>
        <item h="1" m="1" x="6938"/>
        <item h="1" m="1" x="889"/>
        <item h="1" m="1" x="1768"/>
        <item h="1" m="1" x="2647"/>
        <item h="1" m="1" x="3525"/>
        <item h="1" m="1" x="4412"/>
        <item h="1" m="1" x="5295"/>
        <item h="1" m="1" x="6175"/>
        <item h="1" m="1" x="7045"/>
        <item h="1" m="1" x="995"/>
        <item h="1" m="1" x="1875"/>
        <item h="1" m="1" x="2754"/>
        <item h="1" m="1" x="3633"/>
        <item h="1" m="1" x="4519"/>
        <item h="1" m="1" x="5402"/>
        <item h="1" m="1" x="6281"/>
        <item h="1" m="1" x="7152"/>
        <item h="1" m="1" x="1101"/>
        <item h="1" m="1" x="1982"/>
        <item h="1" m="1" x="2861"/>
        <item h="1" m="1" x="3741"/>
        <item h="1" m="1" x="4626"/>
        <item h="1" m="1" x="5509"/>
        <item h="1" m="1" x="6387"/>
        <item h="1" m="1" x="7259"/>
        <item h="1" m="1" x="1207"/>
        <item h="1" m="1" x="2089"/>
        <item h="1" m="1" x="2968"/>
        <item h="1" m="1" x="3849"/>
        <item h="1" m="1" x="4733"/>
        <item h="1" m="1" x="5616"/>
        <item h="1" m="1" x="6493"/>
        <item h="1" m="1" x="7366"/>
        <item h="1" m="1" x="1314"/>
        <item h="1" m="1" x="2196"/>
        <item h="1" m="1" x="3075"/>
        <item h="1" m="1" x="3957"/>
        <item h="1" m="1" x="4840"/>
        <item h="1" m="1" x="5723"/>
        <item h="1" m="1" x="6598"/>
        <item h="1" m="1" x="7472"/>
        <item h="1" m="1" x="1420"/>
        <item h="1" m="1" x="2302"/>
        <item h="1" m="1" x="3181"/>
        <item h="1" m="1" x="4064"/>
        <item h="1" m="1" x="4946"/>
        <item h="1" m="1" x="5829"/>
        <item h="1" m="1" x="6703"/>
        <item h="1" m="1" x="7578"/>
        <item h="1" m="1" x="1526"/>
        <item h="1" m="1" x="2408"/>
        <item h="1" m="1" x="3287"/>
        <item h="1" m="1" x="4171"/>
        <item h="1" m="1" x="5052"/>
        <item h="1" m="1" x="5935"/>
        <item h="1" m="1" x="6808"/>
        <item h="1" m="1" x="756"/>
        <item h="1" m="1" x="1632"/>
        <item h="1" m="1" x="2514"/>
        <item h="1" m="1" x="3393"/>
        <item h="1" m="1" x="4278"/>
        <item h="1" m="1" x="5158"/>
        <item h="1" m="1" x="6041"/>
        <item h="1" m="1" x="6913"/>
        <item h="1" m="1" x="862"/>
        <item h="1" m="1" x="1738"/>
        <item h="1" m="1" x="2620"/>
        <item h="1" m="1" x="3499"/>
        <item h="1" m="1" x="4385"/>
        <item h="1" m="1" x="5265"/>
        <item h="1" m="1" x="6147"/>
        <item h="1" m="1" x="7020"/>
        <item h="1" m="1" x="968"/>
        <item h="1" m="1" x="1845"/>
        <item h="1" m="1" x="2726"/>
        <item h="1" m="1" x="3607"/>
        <item h="1" m="1" x="4492"/>
        <item h="1" m="1" x="5372"/>
        <item h="1" m="1" x="6253"/>
        <item h="1" m="1" x="7127"/>
        <item h="1" m="1" x="1074"/>
        <item h="1" m="1" x="1952"/>
        <item h="1" m="1" x="2833"/>
        <item h="1" m="1" x="3715"/>
        <item h="1" m="1" x="4599"/>
        <item h="1" m="1" x="5479"/>
        <item h="1" m="1" x="6359"/>
        <item h="1" m="1" x="7234"/>
        <item h="1" m="1" x="1180"/>
        <item h="1" m="1" x="2059"/>
        <item h="1" m="1" x="2940"/>
        <item h="1" m="1" x="3823"/>
        <item h="1" m="1" x="4706"/>
        <item h="1" m="1" x="5586"/>
        <item h="1" m="1" x="6465"/>
        <item h="1" m="1" x="7341"/>
        <item h="1" m="1" x="1287"/>
        <item h="1" m="1" x="2166"/>
        <item h="1" m="1" x="3047"/>
        <item h="1" m="1" x="3931"/>
        <item h="1" m="1" x="4813"/>
        <item h="1" m="1" x="5693"/>
        <item h="1" m="1" x="6570"/>
        <item h="1" m="1" x="7447"/>
        <item h="1" m="1" x="1393"/>
        <item h="1" m="1" x="2272"/>
        <item h="1" m="1" x="3153"/>
        <item h="1" m="1" x="4038"/>
        <item h="1" m="1" x="4919"/>
        <item h="1" m="1" x="5799"/>
        <item h="1" m="1" x="6675"/>
        <item h="1" m="1" x="7553"/>
        <item h="1" m="1" x="1499"/>
        <item h="1" m="1" x="2378"/>
        <item h="1" m="1" x="3259"/>
        <item h="1" m="1" x="4145"/>
        <item h="1" m="1" x="5025"/>
        <item h="1" m="1" x="5905"/>
        <item h="1" m="1" x="6780"/>
        <item h="1" m="1" x="731"/>
        <item h="1" m="1" x="1605"/>
        <item h="1" m="1" x="2484"/>
        <item h="1" m="1" x="3365"/>
        <item h="1" m="1" x="4252"/>
        <item h="1" m="1" x="5131"/>
        <item h="1" m="1" x="6011"/>
        <item h="1" m="1" x="6885"/>
        <item h="1" m="1" x="837"/>
        <item h="1" m="1" x="1711"/>
        <item h="1" m="1" x="2590"/>
        <item h="1" m="1" x="3471"/>
        <item h="1" m="1" x="4359"/>
        <item h="1" m="1" x="5238"/>
        <item h="1" m="1" x="6117"/>
        <item h="1" m="1" x="6991"/>
        <item h="1" m="1" x="943"/>
        <item h="1" m="1" x="1818"/>
        <item h="1" m="1" x="2696"/>
        <item h="1" m="1" x="3578"/>
        <item h="1" m="1" x="4466"/>
        <item h="1" m="1" x="5345"/>
        <item h="1" m="1" x="6223"/>
        <item h="1" m="1" x="7098"/>
        <item h="1" m="1" x="1049"/>
        <item h="1" m="1" x="1925"/>
        <item h="1" m="1" x="2803"/>
        <item h="1" m="1" x="3686"/>
        <item h="1" m="1" x="4573"/>
        <item h="1" m="1" x="5452"/>
        <item h="1" m="1" x="6329"/>
        <item h="1" m="1" x="7205"/>
        <item h="1" m="1" x="1155"/>
        <item h="1" m="1" x="2032"/>
        <item h="1" m="1" x="2910"/>
        <item h="1" m="1" x="3794"/>
        <item h="1" m="1" x="4680"/>
        <item h="1" m="1" x="5559"/>
        <item h="1" m="1" x="6435"/>
        <item h="1" m="1" x="7312"/>
        <item h="1" m="1" x="1261"/>
        <item h="1" m="1" x="2139"/>
        <item h="1" m="1" x="3017"/>
        <item h="1" m="1" x="3902"/>
        <item h="1" m="1" x="4787"/>
        <item h="1" m="1" x="5666"/>
        <item h="1" m="1" x="6541"/>
        <item h="1" m="1" x="7419"/>
        <item h="1" m="1" x="1368"/>
        <item h="1" m="1" x="2246"/>
        <item h="1" m="1" x="3124"/>
        <item h="1" m="1" x="4010"/>
        <item h="1" m="1" x="4894"/>
        <item h="1" m="1" x="5773"/>
        <item h="1" m="1" x="6646"/>
        <item h="1" m="1" x="7525"/>
        <item h="1" m="1" x="1474"/>
        <item h="1" m="1" x="2352"/>
        <item h="1" m="1" x="3230"/>
        <item h="1" m="1" x="4117"/>
        <item h="1" m="1" x="5000"/>
        <item h="1" m="1" x="5879"/>
        <item h="1" m="1" x="6751"/>
        <item h="1" m="1" x="703"/>
        <item h="1" m="1" x="1580"/>
        <item h="1" m="1" x="2458"/>
        <item h="1" m="1" x="3336"/>
        <item h="1" m="1" x="4224"/>
        <item h="1" m="1" x="5106"/>
        <item h="1" m="1" x="5985"/>
        <item h="1" m="1" x="6856"/>
        <item h="1" m="1" x="809"/>
        <item h="1" m="1" x="1686"/>
        <item h="1" m="1" x="2564"/>
        <item h="1" m="1" x="3442"/>
        <item h="1" m="1" x="4331"/>
        <item h="1" m="1" x="5212"/>
        <item h="1" m="1" x="6091"/>
        <item h="1" m="1" x="6961"/>
        <item h="1" m="1" x="915"/>
        <item h="1" m="1" x="1792"/>
        <item h="1" m="1" x="2670"/>
        <item h="1" m="1" x="3548"/>
        <item h="1" m="1" x="4438"/>
        <item h="1" m="1" x="5319"/>
        <item h="1" m="1" x="6197"/>
        <item h="1" m="1" x="7068"/>
        <item h="1" m="1" x="1021"/>
        <item h="1" m="1" x="1899"/>
        <item h="1" m="1" x="2777"/>
        <item h="1" m="1" x="3656"/>
        <item h="1" m="1" x="4545"/>
        <item h="1" m="1" x="5426"/>
        <item h="1" m="1" x="6303"/>
        <item h="1" m="1" x="7175"/>
        <item h="1" m="1" x="1127"/>
        <item h="1" m="1" x="2006"/>
        <item h="1" m="1" x="2884"/>
        <item h="1" m="1" x="3764"/>
        <item h="1" m="1" x="4652"/>
        <item h="1" m="1" x="5533"/>
        <item h="1" m="1" x="6409"/>
        <item h="1" m="1" x="7282"/>
        <item h="1" m="1" x="1233"/>
        <item h="1" m="1" x="2113"/>
        <item h="1" m="1" x="2991"/>
        <item h="1" m="1" x="3872"/>
        <item h="1" m="1" x="4759"/>
        <item h="1" m="1" x="5640"/>
        <item h="1" m="1" x="6515"/>
        <item h="1" m="1" x="7389"/>
        <item h="1" m="1" x="1340"/>
        <item h="1" m="1" x="2220"/>
        <item h="1" m="1" x="3098"/>
        <item h="1" m="1" x="3980"/>
        <item h="1" m="1" x="4866"/>
        <item h="1" m="1" x="5747"/>
        <item h="1" m="1" x="6620"/>
        <item h="1" m="1" x="7495"/>
        <item h="1" m="1" x="1446"/>
        <item h="1" m="1" x="2326"/>
        <item h="1" m="1" x="3204"/>
        <item h="1" m="1" x="4087"/>
        <item h="1" m="1" x="4972"/>
        <item h="1" m="1" x="5853"/>
        <item h="1" m="1" x="6725"/>
        <item h="1" m="1" x="673"/>
        <item h="1" m="1" x="1552"/>
        <item h="1" m="1" x="2432"/>
        <item h="1" m="1" x="3310"/>
        <item h="1" m="1" x="4194"/>
        <item h="1" m="1" x="5078"/>
        <item h="1" m="1" x="5959"/>
        <item h="1" m="1" x="6830"/>
        <item h="1" m="1" x="779"/>
        <item h="1" m="1" x="1658"/>
        <item h="1" m="1" x="2538"/>
        <item h="1" m="1" x="3416"/>
        <item h="1" m="1" x="4301"/>
        <item h="1" m="1" x="5184"/>
        <item h="1" m="1" x="6065"/>
        <item h="1" m="1" x="6935"/>
        <item h="1" m="1" x="885"/>
        <item h="1" m="1" x="1764"/>
        <item h="1" m="1" x="2644"/>
        <item h="1" m="1" x="3522"/>
        <item h="1" m="1" x="4408"/>
        <item h="1" m="1" x="5291"/>
        <item h="1" m="1" x="6171"/>
        <item h="1" m="1" x="7042"/>
        <item h="1" m="1" x="991"/>
        <item h="1" m="1" x="1871"/>
        <item h="1" m="1" x="2751"/>
        <item h="1" m="1" x="3630"/>
        <item h="1" m="1" x="4515"/>
        <item h="1" m="1" x="5398"/>
        <item h="1" m="1" x="6277"/>
        <item h="1" m="1" x="7149"/>
        <item h="1" m="1" x="1097"/>
        <item h="1" m="1" x="1978"/>
        <item h="1" m="1" x="2858"/>
        <item h="1" m="1" x="3738"/>
        <item h="1" m="1" x="4622"/>
        <item h="1" m="1" x="5505"/>
        <item h="1" m="1" x="6383"/>
        <item h="1" m="1" x="7256"/>
        <item h="1" m="1" x="1203"/>
        <item h="1" m="1" x="2085"/>
        <item h="1" m="1" x="2965"/>
        <item h="1" m="1" x="3846"/>
        <item h="1" m="1" x="4729"/>
        <item h="1" m="1" x="5612"/>
        <item h="1" m="1" x="6489"/>
        <item h="1" m="1" x="7363"/>
        <item h="1" m="1" x="1310"/>
        <item h="1" m="1" x="2192"/>
        <item h="1" m="1" x="3072"/>
        <item h="1" m="1" x="3954"/>
        <item h="1" m="1" x="4836"/>
        <item h="1" m="1" x="5719"/>
        <item h="1" m="1" x="6594"/>
        <item h="1" m="1" x="7469"/>
        <item h="1" m="1" x="1416"/>
        <item h="1" m="1" x="2298"/>
        <item h="1" m="1" x="3178"/>
        <item h="1" m="1" x="4061"/>
        <item h="1" m="1" x="4942"/>
        <item h="1" m="1" x="5825"/>
        <item h="1" m="1" x="6699"/>
        <item h="1" m="1" x="7575"/>
        <item h="1" m="1" x="1522"/>
        <item h="1" m="1" x="2404"/>
        <item h="1" m="1" x="3284"/>
        <item h="1" m="1" x="4168"/>
        <item h="1" m="1" x="5048"/>
        <item h="1" m="1" x="5931"/>
        <item h="1" m="1" x="6804"/>
        <item h="1" m="1" x="753"/>
        <item h="1" m="1" x="1628"/>
        <item h="1" m="1" x="2510"/>
        <item h="1" m="1" x="3390"/>
        <item h="1" m="1" x="4275"/>
        <item h="1" m="1" x="5154"/>
        <item h="1" m="1" x="6037"/>
        <item h="1" m="1" x="6909"/>
        <item h="1" m="1" x="859"/>
        <item h="1" m="1" x="1734"/>
        <item h="1" m="1" x="2616"/>
        <item h="1" m="1" x="3496"/>
        <item h="1" m="1" x="4382"/>
        <item h="1" m="1" x="5261"/>
        <item h="1" m="1" x="6143"/>
        <item h="1" m="1" x="7016"/>
        <item h="1" m="1" x="965"/>
        <item h="1" m="1" x="1841"/>
        <item h="1" m="1" x="2722"/>
        <item h="1" m="1" x="3604"/>
        <item h="1" m="1" x="4489"/>
        <item h="1" m="1" x="5368"/>
        <item h="1" m="1" x="6249"/>
        <item h="1" m="1" x="7123"/>
        <item h="1" m="1" x="1071"/>
        <item h="1" m="1" x="1948"/>
        <item h="1" m="1" x="2829"/>
        <item h="1" m="1" x="3712"/>
        <item h="1" m="1" x="4596"/>
        <item h="1" m="1" x="5475"/>
        <item h="1" m="1" x="6355"/>
        <item h="1" m="1" x="7230"/>
        <item h="1" m="1" x="1177"/>
        <item h="1" m="1" x="2055"/>
        <item h="1" m="1" x="2936"/>
        <item h="1" m="1" x="3820"/>
        <item h="1" m="1" x="4703"/>
        <item h="1" m="1" x="5582"/>
        <item h="1" m="1" x="6461"/>
        <item h="1" m="1" x="7337"/>
        <item h="1" m="1" x="1283"/>
        <item h="1" m="1" x="2162"/>
        <item h="1" m="1" x="3043"/>
        <item h="1" m="1" x="3928"/>
        <item h="1" m="1" x="4810"/>
        <item h="1" m="1" x="5689"/>
        <item h="1" m="1" x="6566"/>
        <item h="1" m="1" x="7443"/>
        <item h="1" m="1" x="1389"/>
        <item h="1" m="1" x="2268"/>
        <item h="1" m="1" x="3149"/>
        <item h="1" m="1" x="4035"/>
        <item h="1" m="1" x="4916"/>
        <item h="1" m="1" x="5795"/>
        <item h="1" m="1" x="6671"/>
        <item h="1" m="1" x="7549"/>
        <item h="1" m="1" x="1495"/>
        <item h="1" m="1" x="2374"/>
        <item h="1" m="1" x="3255"/>
        <item h="1" m="1" x="4142"/>
        <item h="1" m="1" x="5022"/>
        <item h="1" m="1" x="5901"/>
        <item h="1" m="1" x="6776"/>
        <item h="1" m="1" x="727"/>
        <item h="1" m="1" x="1601"/>
        <item h="1" m="1" x="2480"/>
        <item h="1" m="1" x="3361"/>
        <item h="1" m="1" x="4249"/>
        <item h="1" m="1" x="5128"/>
        <item h="1" m="1" x="6007"/>
        <item h="1" m="1" x="6881"/>
        <item h="1" m="1" x="833"/>
        <item h="1" m="1" x="1707"/>
        <item h="1" m="1" x="2586"/>
        <item h="1" m="1" x="3467"/>
        <item h="1" m="1" x="4356"/>
        <item h="1" m="1" x="5235"/>
        <item h="1" m="1" x="6113"/>
        <item h="1" m="1" x="6987"/>
        <item h="1" m="1" x="939"/>
        <item h="1" m="1" x="1814"/>
        <item h="1" m="1" x="2692"/>
        <item h="1" m="1" x="3574"/>
        <item h="1" m="1" x="4463"/>
        <item h="1" m="1" x="5342"/>
        <item h="1" m="1" x="6219"/>
        <item h="1" m="1" x="7094"/>
        <item h="1" m="1" x="1045"/>
        <item h="1" m="1" x="1921"/>
        <item h="1" m="1" x="2799"/>
        <item h="1" m="1" x="3682"/>
        <item h="1" m="1" x="4570"/>
        <item h="1" m="1" x="5449"/>
        <item h="1" m="1" x="6325"/>
        <item h="1" m="1" x="7201"/>
        <item h="1" m="1" x="1151"/>
        <item h="1" m="1" x="2028"/>
        <item h="1" m="1" x="2906"/>
        <item h="1" m="1" x="3790"/>
        <item h="1" m="1" x="4677"/>
        <item h="1" m="1" x="5556"/>
        <item h="1" m="1" x="6431"/>
        <item h="1" m="1" x="7308"/>
        <item h="1" m="1" x="1257"/>
        <item h="1" m="1" x="2135"/>
        <item h="1" m="1" x="3013"/>
        <item h="1" m="1" x="3898"/>
        <item h="1" m="1" x="4784"/>
        <item h="1" m="1" x="5663"/>
        <item h="1" m="1" x="6537"/>
        <item h="1" m="1" x="7415"/>
        <item h="1" m="1" x="1364"/>
        <item h="1" m="1" x="2242"/>
        <item h="1" m="1" x="3120"/>
        <item h="1" m="1" x="4006"/>
        <item h="1" m="1" x="4891"/>
        <item h="1" m="1" x="5770"/>
        <item h="1" m="1" x="6642"/>
        <item h="1" m="1" x="7521"/>
        <item h="1" m="1" x="1470"/>
        <item h="1" m="1" x="2348"/>
        <item h="1" m="1" x="3226"/>
        <item h="1" m="1" x="4113"/>
        <item h="1" m="1" x="4997"/>
        <item h="1" m="1" x="5876"/>
        <item h="1" m="1" x="6747"/>
        <item h="1" m="1" x="699"/>
        <item h="1" m="1" x="1576"/>
        <item h="1" m="1" x="2454"/>
        <item h="1" m="1" x="3332"/>
        <item h="1" m="1" x="4220"/>
        <item h="1" m="1" x="5103"/>
        <item h="1" m="1" x="5982"/>
        <item h="1" m="1" x="6852"/>
        <item h="1" m="1" x="805"/>
        <item h="1" m="1" x="1682"/>
        <item h="1" m="1" x="2560"/>
        <item h="1" m="1" x="3438"/>
        <item h="1" m="1" x="4327"/>
        <item h="1" m="1" x="5209"/>
        <item h="1" m="1" x="6088"/>
        <item h="1" m="1" x="6957"/>
        <item h="1" m="1" x="911"/>
        <item h="1" m="1" x="1788"/>
        <item h="1" m="1" x="2666"/>
        <item h="1" m="1" x="3544"/>
        <item h="1" m="1" x="4434"/>
        <item h="1" m="1" x="5316"/>
        <item h="1" m="1" x="6194"/>
        <item h="1" m="1" x="7064"/>
        <item h="1" m="1" x="1017"/>
        <item h="1" m="1" x="1895"/>
        <item h="1" m="1" x="2773"/>
        <item h="1" m="1" x="3652"/>
        <item h="1" m="1" x="4541"/>
        <item h="1" m="1" x="5423"/>
        <item h="1" m="1" x="6300"/>
        <item h="1" m="1" x="7171"/>
        <item h="1" m="1" x="1123"/>
        <item h="1" m="1" x="2002"/>
        <item h="1" m="1" x="2880"/>
        <item h="1" m="1" x="3760"/>
        <item h="1" m="1" x="4648"/>
        <item h="1" m="1" x="5530"/>
        <item h="1" m="1" x="6406"/>
        <item h="1" m="1" x="7278"/>
        <item h="1" m="1" x="1229"/>
        <item h="1" m="1" x="2109"/>
        <item h="1" m="1" x="2987"/>
        <item h="1" m="1" x="3868"/>
        <item h="1" m="1" x="4755"/>
        <item h="1" m="1" x="5637"/>
        <item h="1" m="1" x="6512"/>
        <item h="1" m="1" x="7385"/>
        <item h="1" m="1" x="1336"/>
        <item h="1" m="1" x="2216"/>
        <item h="1" m="1" x="3094"/>
        <item h="1" m="1" x="3976"/>
        <item h="1" m="1" x="4862"/>
        <item h="1" m="1" x="5744"/>
        <item h="1" m="1" x="6617"/>
        <item h="1" m="1" x="7491"/>
        <item h="1" m="1" x="1442"/>
        <item h="1" m="1" x="2322"/>
        <item h="1" m="1" x="3200"/>
        <item h="1" m="1" x="4083"/>
        <item h="1" m="1" x="4968"/>
        <item h="1" m="1" x="5850"/>
        <item h="1" m="1" x="6722"/>
        <item h="1" m="1" x="669"/>
        <item h="1" m="1" x="1548"/>
        <item h="1" m="1" x="2428"/>
        <item h="1" m="1" x="3306"/>
        <item h="1" m="1" x="4190"/>
        <item h="1" m="1" x="5074"/>
        <item h="1" m="1" x="5956"/>
        <item h="1" m="1" x="6827"/>
        <item h="1" m="1" x="775"/>
        <item h="1" m="1" x="1654"/>
        <item h="1" m="1" x="2534"/>
        <item h="1" m="1" x="3412"/>
        <item h="1" m="1" x="4297"/>
        <item h="1" m="1" x="5180"/>
        <item h="1" m="1" x="6062"/>
        <item h="1" m="1" x="6932"/>
        <item h="1" m="1" x="881"/>
        <item h="1" m="1" x="1760"/>
        <item h="1" m="1" x="2640"/>
        <item h="1" m="1" x="3518"/>
        <item h="1" m="1" x="4404"/>
        <item h="1" m="1" x="5287"/>
        <item h="1" m="1" x="6168"/>
        <item h="1" m="1" x="7039"/>
        <item h="1" m="1" x="987"/>
        <item h="1" m="1" x="1867"/>
        <item h="1" m="1" x="2747"/>
        <item h="1" m="1" x="3626"/>
        <item h="1" m="1" x="4511"/>
        <item h="1" m="1" x="5394"/>
        <item h="1" m="1" x="6274"/>
        <item h="1" m="1" x="7146"/>
        <item h="1" m="1" x="1093"/>
        <item h="1" m="1" x="1974"/>
        <item h="1" m="1" x="2854"/>
        <item h="1" m="1" x="3734"/>
        <item h="1" m="1" x="4618"/>
        <item h="1" m="1" x="5501"/>
        <item h="1" m="1" x="6380"/>
        <item h="1" m="1" x="7253"/>
        <item h="1" m="1" x="1199"/>
        <item h="1" m="1" x="2081"/>
        <item h="1" m="1" x="2961"/>
        <item h="1" m="1" x="3842"/>
        <item h="1" m="1" x="4725"/>
        <item h="1" m="1" x="5608"/>
        <item h="1" m="1" x="6486"/>
        <item h="1" m="1" x="7360"/>
        <item h="1" m="1" x="1306"/>
        <item h="1" m="1" x="2188"/>
        <item h="1" m="1" x="3068"/>
        <item h="1" m="1" x="3950"/>
        <item h="1" m="1" x="4832"/>
        <item h="1" m="1" x="5715"/>
        <item h="1" m="1" x="6591"/>
        <item h="1" m="1" x="7466"/>
        <item h="1" m="1" x="1412"/>
        <item h="1" m="1" x="2294"/>
        <item h="1" m="1" x="3174"/>
        <item h="1" m="1" x="4057"/>
        <item h="1" m="1" x="4938"/>
        <item h="1" m="1" x="5821"/>
        <item h="1" m="1" x="6696"/>
        <item h="1" m="1" x="7572"/>
        <item h="1" m="1" x="1518"/>
        <item h="1" m="1" x="2400"/>
        <item h="1" m="1" x="3280"/>
        <item h="1" m="1" x="4164"/>
        <item h="1" m="1" x="5044"/>
        <item h="1" m="1" x="5927"/>
        <item h="1" m="1" x="6801"/>
        <item h="1" m="1" x="750"/>
        <item h="1" m="1" x="1624"/>
        <item h="1" m="1" x="2506"/>
        <item h="1" m="1" x="3386"/>
        <item h="1" m="1" x="4271"/>
        <item h="1" m="1" x="5150"/>
        <item h="1" m="1" x="6033"/>
        <item h="1" m="1" x="6906"/>
        <item h="1" m="1" x="856"/>
        <item h="1" m="1" x="1730"/>
        <item h="1" m="1" x="2612"/>
        <item h="1" m="1" x="3492"/>
        <item h="1" m="1" x="4378"/>
        <item h="1" m="1" x="5257"/>
        <item h="1" m="1" x="6139"/>
        <item h="1" m="1" x="7013"/>
        <item h="1" m="1" x="962"/>
        <item h="1" m="1" x="1837"/>
        <item h="1" m="1" x="2718"/>
        <item h="1" m="1" x="3600"/>
        <item h="1" m="1" x="4485"/>
        <item h="1" m="1" x="5364"/>
        <item h="1" m="1" x="6245"/>
        <item h="1" m="1" x="7120"/>
        <item h="1" m="1" x="1068"/>
        <item h="1" m="1" x="1944"/>
        <item h="1" m="1" x="2825"/>
        <item h="1" m="1" x="3708"/>
        <item h="1" m="1" x="4592"/>
        <item h="1" m="1" x="5471"/>
        <item h="1" m="1" x="6351"/>
        <item h="1" m="1" x="7227"/>
        <item h="1" m="1" x="1174"/>
        <item h="1" m="1" x="2051"/>
        <item h="1" m="1" x="2932"/>
        <item h="1" m="1" x="3816"/>
        <item h="1" m="1" x="4699"/>
        <item h="1" m="1" x="5578"/>
        <item h="1" m="1" x="6457"/>
        <item h="1" m="1" x="7334"/>
        <item h="1" m="1" x="1280"/>
        <item h="1" m="1" x="2158"/>
        <item h="1" m="1" x="3039"/>
        <item h="1" m="1" x="3924"/>
        <item h="1" m="1" x="4806"/>
        <item h="1" m="1" x="5685"/>
        <item h="1" x="0"/>
        <item t="default"/>
      </items>
    </pivotField>
    <pivotField dataField="1" compact="0" outline="0" showAll="0">
      <items count="8001">
        <item m="1" x="5471"/>
        <item m="1" x="7581"/>
        <item m="1" x="3459"/>
        <item m="1" x="6705"/>
        <item m="1" x="2495"/>
        <item m="1" x="7457"/>
        <item m="1" x="5564"/>
        <item m="1" x="7584"/>
        <item m="1" x="2506"/>
        <item m="1" x="3565"/>
        <item m="1" x="2739"/>
        <item m="1" x="3763"/>
        <item m="1" x="6605"/>
        <item m="1" x="4788"/>
        <item m="1" x="7318"/>
        <item m="1" x="5249"/>
        <item m="1" x="7991"/>
        <item m="1" x="4086"/>
        <item m="1" x="3523"/>
        <item m="1" x="6513"/>
        <item m="1" x="5886"/>
        <item m="1" x="5369"/>
        <item m="1" x="5134"/>
        <item m="1" x="3285"/>
        <item m="1" x="3328"/>
        <item m="1" x="6364"/>
        <item m="1" x="2581"/>
        <item m="1" x="5464"/>
        <item m="1" x="6141"/>
        <item m="1" x="4341"/>
        <item m="1" x="7621"/>
        <item m="1" x="3868"/>
        <item m="1" x="5591"/>
        <item m="1" x="2924"/>
        <item m="1" x="5603"/>
        <item m="1" x="3401"/>
        <item m="1" x="4555"/>
        <item m="1" x="4301"/>
        <item m="1" x="4926"/>
        <item m="1" x="6956"/>
        <item m="1" x="6563"/>
        <item m="1" x="4715"/>
        <item m="1" x="4196"/>
        <item m="1" x="6953"/>
        <item m="1" x="4217"/>
        <item m="1" x="5726"/>
        <item m="1" x="6004"/>
        <item m="1" x="5473"/>
        <item m="1" x="4766"/>
        <item m="1" x="2738"/>
        <item m="1" x="6218"/>
        <item m="1" x="3485"/>
        <item m="1" x="2980"/>
        <item m="1" x="6964"/>
        <item m="1" x="5745"/>
        <item m="1" x="3345"/>
        <item m="1" x="7117"/>
        <item m="1" x="6103"/>
        <item m="1" x="6108"/>
        <item m="1" x="3711"/>
        <item m="1" x="7550"/>
        <item m="1" x="3521"/>
        <item m="1" x="5764"/>
        <item m="1" x="7580"/>
        <item m="1" x="4820"/>
        <item m="1" x="3586"/>
        <item m="1" x="2502"/>
        <item m="1" x="7269"/>
        <item m="1" x="7155"/>
        <item m="1" x="4089"/>
        <item m="1" x="5561"/>
        <item m="1" x="5575"/>
        <item m="1" x="2753"/>
        <item m="1" x="3690"/>
        <item m="1" x="6433"/>
        <item m="1" x="5992"/>
        <item m="1" x="4583"/>
        <item m="1" x="3410"/>
        <item m="1" x="5215"/>
        <item m="1" x="5593"/>
        <item m="1" x="6478"/>
        <item m="1" x="5267"/>
        <item m="1" x="5174"/>
        <item m="1" x="5841"/>
        <item m="1" x="3300"/>
        <item m="1" x="7056"/>
        <item m="1" x="3411"/>
        <item m="1" x="3784"/>
        <item m="1" x="5206"/>
        <item m="1" x="6786"/>
        <item m="1" x="6330"/>
        <item m="1" x="5546"/>
        <item m="1" x="3704"/>
        <item m="1" x="5970"/>
        <item m="1" x="6250"/>
        <item m="1" x="4537"/>
        <item m="1" x="3675"/>
        <item m="1" x="7617"/>
        <item m="1" x="7308"/>
        <item m="1" x="4751"/>
        <item m="1" x="4424"/>
        <item m="1" x="7647"/>
        <item m="1" x="6630"/>
        <item m="1" x="2931"/>
        <item m="1" x="6342"/>
        <item m="1" x="4303"/>
        <item m="1" x="2909"/>
        <item m="1" x="3827"/>
        <item m="1" x="5580"/>
        <item m="1" x="4481"/>
        <item m="1" x="4717"/>
        <item m="1" x="2824"/>
        <item m="1" x="3221"/>
        <item m="1" x="7715"/>
        <item m="1" x="4608"/>
        <item m="1" x="6318"/>
        <item m="1" x="7467"/>
        <item m="1" x="7953"/>
        <item m="1" x="7014"/>
        <item m="1" x="4277"/>
        <item m="1" x="3768"/>
        <item m="1" x="4200"/>
        <item m="1" x="5009"/>
        <item m="1" x="6200"/>
        <item m="1" x="3240"/>
        <item m="1" x="4170"/>
        <item m="1" x="6038"/>
        <item m="1" x="4913"/>
        <item m="1" x="3760"/>
        <item m="1" x="7543"/>
        <item m="1" x="3741"/>
        <item m="1" x="4541"/>
        <item m="1" x="7234"/>
        <item m="1" x="4954"/>
        <item m="1" x="3869"/>
        <item m="1" x="3434"/>
        <item m="1" x="6206"/>
        <item m="1" x="2816"/>
        <item m="1" x="2969"/>
        <item m="1" x="2498"/>
        <item m="1" x="6158"/>
        <item m="1" x="6491"/>
        <item m="1" x="3393"/>
        <item m="1" x="7793"/>
        <item m="1" x="4202"/>
        <item m="1" x="6347"/>
        <item m="1" x="7089"/>
        <item m="1" x="4001"/>
        <item m="1" x="7518"/>
        <item m="1" x="7249"/>
        <item m="1" x="5921"/>
        <item m="1" x="4504"/>
        <item m="1" x="4139"/>
        <item m="1" x="5401"/>
        <item m="1" x="7380"/>
        <item m="1" x="4222"/>
        <item m="1" x="6648"/>
        <item m="1" x="3935"/>
        <item m="1" x="2995"/>
        <item m="1" x="5939"/>
        <item m="1" x="6700"/>
        <item m="1" x="2509"/>
        <item m="1" x="3674"/>
        <item m="1" x="4193"/>
        <item m="1" x="4343"/>
        <item m="1" x="7214"/>
        <item m="1" x="4867"/>
        <item m="1" x="4370"/>
        <item m="1" x="4103"/>
        <item m="1" x="6784"/>
        <item m="1" x="5409"/>
        <item m="1" x="6147"/>
        <item m="1" x="6019"/>
        <item m="1" x="5220"/>
        <item m="1" x="3878"/>
        <item m="1" x="5628"/>
        <item m="1" x="4651"/>
        <item m="1" x="2856"/>
        <item m="1" x="4440"/>
        <item m="1" x="5912"/>
        <item m="1" x="3807"/>
        <item m="1" x="3748"/>
        <item m="1" x="6156"/>
        <item m="1" x="6930"/>
        <item m="1" x="3829"/>
        <item m="1" x="2864"/>
        <item m="1" x="7856"/>
        <item m="1" x="7875"/>
        <item m="1" x="5283"/>
        <item m="1" x="7789"/>
        <item m="1" x="5689"/>
        <item m="1" x="2928"/>
        <item m="1" x="4570"/>
        <item m="1" x="2794"/>
        <item m="1" x="7603"/>
        <item m="1" x="4720"/>
        <item m="1" x="4713"/>
        <item m="1" x="6161"/>
        <item m="1" x="6762"/>
        <item m="1" x="3719"/>
        <item m="1" x="7054"/>
        <item m="1" x="4991"/>
        <item m="1" x="7070"/>
        <item m="1" x="5402"/>
        <item m="1" x="4042"/>
        <item m="1" x="5449"/>
        <item m="1" x="5742"/>
        <item m="1" x="7521"/>
        <item m="1" x="5506"/>
        <item m="1" x="2991"/>
        <item m="1" x="6737"/>
        <item m="1" x="2586"/>
        <item m="1" x="3496"/>
        <item m="1" x="6072"/>
        <item m="1" x="3890"/>
        <item m="1" x="4659"/>
        <item m="1" x="3125"/>
        <item m="1" x="2847"/>
        <item m="1" x="5913"/>
        <item m="1" x="6857"/>
        <item m="1" x="6646"/>
        <item m="1" x="3299"/>
        <item m="1" x="3641"/>
        <item m="1" x="5785"/>
        <item m="1" x="7059"/>
        <item m="1" x="6702"/>
        <item m="1" x="4994"/>
        <item m="1" x="3725"/>
        <item m="1" x="5371"/>
        <item m="1" x="6729"/>
        <item m="1" x="5397"/>
        <item m="1" x="3925"/>
        <item m="1" x="5208"/>
        <item m="1" x="7629"/>
        <item m="1" x="3438"/>
        <item m="1" x="6487"/>
        <item m="1" x="5914"/>
        <item m="1" x="5079"/>
        <item m="1" x="3246"/>
        <item m="1" x="7712"/>
        <item m="1" x="6059"/>
        <item m="1" x="2755"/>
        <item m="1" x="6496"/>
        <item m="1" x="7846"/>
        <item m="1" x="3723"/>
        <item m="1" x="3376"/>
        <item m="1" x="3871"/>
        <item m="1" x="4477"/>
        <item m="1" x="4485"/>
        <item m="1" x="3160"/>
        <item m="1" x="6048"/>
        <item m="1" x="3805"/>
        <item m="1" x="4534"/>
        <item m="1" x="7022"/>
        <item m="1" x="3624"/>
        <item m="1" x="6588"/>
        <item m="1" x="3074"/>
        <item m="1" x="2911"/>
        <item m="1" x="4792"/>
        <item m="1" x="5457"/>
        <item m="1" x="6426"/>
        <item m="1" x="7047"/>
        <item m="1" x="5083"/>
        <item m="1" x="5251"/>
        <item m="1" x="5013"/>
        <item m="1" x="5568"/>
        <item m="1" x="7172"/>
        <item m="1" x="4259"/>
        <item m="1" x="4805"/>
        <item m="1" x="7163"/>
        <item m="1" x="6974"/>
        <item m="1" x="6891"/>
        <item m="1" x="4171"/>
        <item m="1" x="7003"/>
        <item m="1" x="7190"/>
        <item m="1" x="5508"/>
        <item m="1" x="3214"/>
        <item m="1" x="4478"/>
        <item m="1" x="5622"/>
        <item m="1" x="4101"/>
        <item m="1" x="5273"/>
        <item m="1" x="4469"/>
        <item m="1" x="5148"/>
        <item m="1" x="6718"/>
        <item m="1" x="6726"/>
        <item m="1" x="6776"/>
        <item m="1" x="4544"/>
        <item m="1" x="4471"/>
        <item m="1" x="6463"/>
        <item m="1" x="2867"/>
        <item m="1" x="7964"/>
        <item m="1" x="7564"/>
        <item m="1" x="3124"/>
        <item m="1" x="5798"/>
        <item m="1" x="4316"/>
        <item m="1" x="7602"/>
        <item m="1" x="6938"/>
        <item m="1" x="3664"/>
        <item m="1" x="4140"/>
        <item m="1" x="2889"/>
        <item m="1" x="6253"/>
        <item m="1" x="3280"/>
        <item m="1" x="5885"/>
        <item m="1" x="4198"/>
        <item m="1" x="5784"/>
        <item m="1" x="2540"/>
        <item m="1" x="7549"/>
        <item m="1" x="6399"/>
        <item m="1" x="3766"/>
        <item m="1" x="4855"/>
        <item m="1" x="2946"/>
        <item m="1" x="3930"/>
        <item m="1" x="7557"/>
        <item m="1" x="3196"/>
        <item m="1" x="4228"/>
        <item m="1" x="2587"/>
        <item m="1" x="4814"/>
        <item m="1" x="4668"/>
        <item m="1" x="3511"/>
        <item m="1" x="3378"/>
        <item m="1" x="7954"/>
        <item m="1" x="5390"/>
        <item m="1" x="3386"/>
        <item m="1" x="5210"/>
        <item m="1" x="3759"/>
        <item m="1" x="7501"/>
        <item m="1" x="3290"/>
        <item m="1" x="2932"/>
        <item m="1" x="5898"/>
        <item m="1" x="4833"/>
        <item m="1" x="5817"/>
        <item m="1" x="7143"/>
        <item m="1" x="5436"/>
        <item m="1" x="4445"/>
        <item m="1" x="6290"/>
        <item m="1" x="7433"/>
        <item m="1" x="3589"/>
        <item m="1" x="5871"/>
        <item m="1" x="2634"/>
        <item m="1" x="5038"/>
        <item m="1" x="4724"/>
        <item m="1" x="7881"/>
        <item m="1" x="5444"/>
        <item m="1" x="5361"/>
        <item m="1" x="3678"/>
        <item m="1" x="7520"/>
        <item m="1" x="6295"/>
        <item m="1" x="4552"/>
        <item m="1" x="6335"/>
        <item m="1" x="4024"/>
        <item m="1" x="3901"/>
        <item m="1" x="7945"/>
        <item m="1" x="5207"/>
        <item m="1" x="4891"/>
        <item m="1" x="7173"/>
        <item m="1" x="7885"/>
        <item m="1" x="6730"/>
        <item m="1" x="6284"/>
        <item m="1" x="5950"/>
        <item m="1" x="2618"/>
        <item m="1" x="4889"/>
        <item m="1" x="7384"/>
        <item m="1" x="5732"/>
        <item m="1" x="6041"/>
        <item m="1" x="7992"/>
        <item m="1" x="5674"/>
        <item m="1" x="2751"/>
        <item m="1" x="4997"/>
        <item m="1" x="3081"/>
        <item m="1" x="5734"/>
        <item m="1" x="6566"/>
        <item m="1" x="5459"/>
        <item m="1" x="4416"/>
        <item m="1" x="4843"/>
        <item m="1" x="3173"/>
        <item m="1" x="7897"/>
        <item m="1" x="3476"/>
        <item m="1" x="7932"/>
        <item m="1" x="3115"/>
        <item m="1" x="4692"/>
        <item m="1" x="7361"/>
        <item m="1" x="3482"/>
        <item m="1" x="3155"/>
        <item m="1" x="7506"/>
        <item m="1" x="2758"/>
        <item m="1" x="6397"/>
        <item m="1" x="5418"/>
        <item m="1" x="2914"/>
        <item m="1" x="6389"/>
        <item m="1" x="6894"/>
        <item m="1" x="4206"/>
        <item m="1" x="2918"/>
        <item m="1" x="2673"/>
        <item m="1" x="6652"/>
        <item m="1" x="6327"/>
        <item m="1" x="3922"/>
        <item m="1" x="4520"/>
        <item m="1" x="4620"/>
        <item m="1" x="6780"/>
        <item m="1" x="4783"/>
        <item m="1" x="6903"/>
        <item m="1" x="6994"/>
        <item m="1" x="2915"/>
        <item m="1" x="4949"/>
        <item m="1" x="7527"/>
        <item m="1" x="7758"/>
        <item m="1" x="6371"/>
        <item m="1" x="2767"/>
        <item m="1" x="4866"/>
        <item m="1" x="3585"/>
        <item m="1" x="7093"/>
        <item m="1" x="6753"/>
        <item m="1" x="6568"/>
        <item m="1" x="5519"/>
        <item m="1" x="2648"/>
        <item m="1" x="4456"/>
        <item m="1" x="4823"/>
        <item m="1" x="5535"/>
        <item m="1" x="3764"/>
        <item m="1" x="6492"/>
        <item m="1" x="5337"/>
        <item m="1" x="4017"/>
        <item m="1" x="5458"/>
        <item m="1" x="2687"/>
        <item m="1" x="7292"/>
        <item m="1" x="6887"/>
        <item m="1" x="4398"/>
        <item m="1" x="7667"/>
        <item m="1" x="3519"/>
        <item m="1" x="6031"/>
        <item m="1" x="5703"/>
        <item m="1" x="5135"/>
        <item m="1" x="4993"/>
        <item m="1" x="3688"/>
        <item m="1" x="4014"/>
        <item m="1" x="7649"/>
        <item m="1" x="2833"/>
        <item m="1" x="7614"/>
        <item m="1" x="2543"/>
        <item m="1" x="3877"/>
        <item m="1" x="4063"/>
        <item m="1" x="7507"/>
        <item m="1" x="6515"/>
        <item m="1" x="6189"/>
        <item m="1" x="7626"/>
        <item m="1" x="3785"/>
        <item m="1" x="6404"/>
        <item m="1" x="4625"/>
        <item m="1" x="3342"/>
        <item m="1" x="5455"/>
        <item m="1" x="7863"/>
        <item m="1" x="5523"/>
        <item m="1" x="4135"/>
        <item m="1" x="5352"/>
        <item m="1" x="5088"/>
        <item m="1" x="7710"/>
        <item m="1" x="7037"/>
        <item m="1" x="7052"/>
        <item m="1" x="7427"/>
        <item m="1" x="3304"/>
        <item m="1" x="3471"/>
        <item m="1" x="7703"/>
        <item m="1" x="3456"/>
        <item m="1" x="2766"/>
        <item m="1" x="6148"/>
        <item m="1" x="7343"/>
        <item m="1" x="7755"/>
        <item m="1" x="3260"/>
        <item m="1" x="3799"/>
        <item m="1" x="7336"/>
        <item m="1" x="4020"/>
        <item m="1" x="5264"/>
        <item m="1" x="7416"/>
        <item m="1" x="4795"/>
        <item m="1" x="4626"/>
        <item m="1" x="2948"/>
        <item m="1" x="5649"/>
        <item m="1" x="6670"/>
        <item m="1" x="3693"/>
        <item m="1" x="3736"/>
        <item m="1" x="7460"/>
        <item m="1" x="6592"/>
        <item m="1" x="4132"/>
        <item m="1" x="2695"/>
        <item m="1" x="7871"/>
        <item m="1" x="5268"/>
        <item m="1" x="2629"/>
        <item m="1" x="5500"/>
        <item m="1" x="7898"/>
        <item m="1" x="6285"/>
        <item m="1" x="5143"/>
        <item m="1" x="6663"/>
        <item m="1" x="3091"/>
        <item m="1" x="6516"/>
        <item m="1" x="7645"/>
        <item m="1" x="5429"/>
        <item m="1" x="3398"/>
        <item m="1" x="4747"/>
        <item m="1" x="3399"/>
        <item m="1" x="4890"/>
        <item m="1" x="6020"/>
        <item m="1" x="5757"/>
        <item m="1" x="3270"/>
        <item m="1" x="3457"/>
        <item m="1" x="7644"/>
        <item m="1" x="4225"/>
        <item m="1" x="5654"/>
        <item m="1" x="7251"/>
        <item m="1" x="5100"/>
        <item m="1" x="5363"/>
        <item m="1" x="7699"/>
        <item m="1" x="5042"/>
        <item m="1" x="6793"/>
        <item m="1" x="2620"/>
        <item m="1" x="5851"/>
        <item m="1" x="6260"/>
        <item m="1" x="6385"/>
        <item m="1" x="5954"/>
        <item m="1" x="3284"/>
        <item m="1" x="6968"/>
        <item m="1" x="4008"/>
        <item m="1" x="2811"/>
        <item m="1" x="3683"/>
        <item m="1" x="7442"/>
        <item m="1" x="4418"/>
        <item m="1" x="2770"/>
        <item m="1" x="3228"/>
        <item m="1" x="7196"/>
        <item m="1" x="6056"/>
        <item m="1" x="7402"/>
        <item m="1" x="4091"/>
        <item m="1" x="6649"/>
        <item m="1" x="5534"/>
        <item m="1" x="7390"/>
        <item m="1" x="4102"/>
        <item m="1" x="7558"/>
        <item m="1" x="6390"/>
        <item m="1" x="3708"/>
        <item m="1" x="4291"/>
        <item m="1" x="4775"/>
        <item m="1" x="5749"/>
        <item m="1" x="2957"/>
        <item m="1" x="7080"/>
        <item m="1" x="2692"/>
        <item m="1" x="6246"/>
        <item m="1" x="5101"/>
        <item m="1" x="6239"/>
        <item m="1" x="3597"/>
        <item m="1" x="5968"/>
        <item m="1" x="7393"/>
        <item m="1" x="3537"/>
        <item m="1" x="4491"/>
        <item m="1" x="2628"/>
        <item m="1" x="6714"/>
        <item m="1" x="3042"/>
        <item m="1" x="4442"/>
        <item m="1" x="7547"/>
        <item m="1" x="6532"/>
        <item m="1" x="2760"/>
        <item m="1" x="4275"/>
        <item m="1" x="7259"/>
        <item m="1" x="7019"/>
        <item m="1" x="5818"/>
        <item m="1" x="5002"/>
        <item m="1" x="3038"/>
        <item m="1" x="5214"/>
        <item m="1" x="5542"/>
        <item m="1" x="2891"/>
        <item m="1" x="3416"/>
        <item m="1" x="5485"/>
        <item m="1" x="4589"/>
        <item m="1" x="4292"/>
        <item m="1" x="2609"/>
        <item m="1" x="5720"/>
        <item m="1" x="7970"/>
        <item m="1" x="6813"/>
        <item m="1" x="7459"/>
        <item m="1" x="3339"/>
        <item m="1" x="4732"/>
        <item m="1" x="7683"/>
        <item m="1" x="7664"/>
        <item m="1" x="3571"/>
        <item m="1" x="6418"/>
        <item m="1" x="6913"/>
        <item m="1" x="6480"/>
        <item m="1" x="7633"/>
        <item m="1" x="3324"/>
        <item m="1" x="6237"/>
        <item m="1" x="7002"/>
        <item m="1" x="5630"/>
        <item m="1" x="3512"/>
        <item m="1" x="7902"/>
        <item m="1" x="5737"/>
        <item m="1" x="7830"/>
        <item m="1" x="4241"/>
        <item m="1" x="4933"/>
        <item m="1" x="6531"/>
        <item m="1" x="6535"/>
        <item m="1" x="5877"/>
        <item m="1" x="6644"/>
        <item m="1" x="5058"/>
        <item m="1" x="7838"/>
        <item m="1" x="7289"/>
        <item m="1" x="7461"/>
        <item m="1" x="3875"/>
        <item m="1" x="4211"/>
        <item m="1" x="7478"/>
        <item m="1" x="7563"/>
        <item m="1" x="6779"/>
        <item m="1" x="7417"/>
        <item m="1" x="3910"/>
        <item m="1" x="5795"/>
        <item m="1" x="3938"/>
        <item m="1" x="4644"/>
        <item m="1" x="4038"/>
        <item m="1" x="7815"/>
        <item m="1" x="7489"/>
        <item m="1" x="7206"/>
        <item m="1" x="3718"/>
        <item m="1" x="4567"/>
        <item m="1" x="6706"/>
        <item m="1" x="3631"/>
        <item m="1" x="6886"/>
        <item m="1" x="6228"/>
        <item m="1" x="3058"/>
        <item m="1" x="7418"/>
        <item m="1" x="5380"/>
        <item m="1" x="5658"/>
        <item m="1" x="3899"/>
        <item m="1" x="3681"/>
        <item m="1" x="3439"/>
        <item m="1" x="6681"/>
        <item m="1" x="4484"/>
        <item m="1" x="5026"/>
        <item m="1" x="2940"/>
        <item m="1" x="2921"/>
        <item m="1" x="7690"/>
        <item m="1" x="5725"/>
        <item m="1" x="6660"/>
        <item m="1" x="5762"/>
        <item m="1" x="3109"/>
        <item m="1" x="6232"/>
        <item m="1" x="4587"/>
        <item m="1" x="4333"/>
        <item m="1" x="7146"/>
        <item m="1" x="2846"/>
        <item m="1" x="2935"/>
        <item m="1" x="6023"/>
        <item m="1" x="2976"/>
        <item m="1" x="4856"/>
        <item m="1" x="4694"/>
        <item m="1" x="6696"/>
        <item m="1" x="5961"/>
        <item m="1" x="5740"/>
        <item m="1" x="2972"/>
        <item m="1" x="6481"/>
        <item m="1" x="3894"/>
        <item m="1" x="4848"/>
        <item m="1" x="5195"/>
        <item m="1" x="7505"/>
        <item m="1" x="3400"/>
        <item m="1" x="3527"/>
        <item m="1" x="7850"/>
        <item m="1" x="7605"/>
        <item m="1" x="5074"/>
        <item m="1" x="4227"/>
        <item m="1" x="7927"/>
        <item m="1" x="3093"/>
        <item m="1" x="7585"/>
        <item m="1" x="4095"/>
        <item m="1" x="2934"/>
        <item m="1" x="6254"/>
        <item m="1" x="4257"/>
        <item m="1" x="6136"/>
        <item m="1" x="3358"/>
        <item m="1" x="7264"/>
        <item m="1" x="4754"/>
        <item m="1" x="7861"/>
        <item m="1" x="5642"/>
        <item m="1" x="4622"/>
        <item m="1" x="5328"/>
        <item m="1" x="3325"/>
        <item m="1" x="6497"/>
        <item m="1" x="4490"/>
        <item m="1" x="3600"/>
        <item m="1" x="3179"/>
        <item m="1" x="2877"/>
        <item m="1" x="4647"/>
        <item m="1" x="5204"/>
        <item m="1" x="5812"/>
        <item m="1" x="4705"/>
        <item m="1" x="3449"/>
        <item m="1" x="4004"/>
        <item m="1" x="2836"/>
        <item m="1" x="6363"/>
        <item m="1" x="3165"/>
        <item m="1" x="4846"/>
        <item m="1" x="3207"/>
        <item m="1" x="5536"/>
        <item m="1" x="6439"/>
        <item m="1" x="4057"/>
        <item m="1" x="3660"/>
        <item m="1" x="7025"/>
        <item m="1" x="6664"/>
        <item m="1" x="4183"/>
        <item m="1" x="7450"/>
        <item m="1" x="3195"/>
        <item m="1" x="7086"/>
        <item m="1" x="6975"/>
        <item m="1" x="3547"/>
        <item m="1" x="6742"/>
        <item m="1" x="5434"/>
        <item m="1" x="3650"/>
        <item m="1" x="5695"/>
        <item m="1" x="5327"/>
        <item m="1" x="6673"/>
        <item m="1" x="7943"/>
        <item m="1" x="7519"/>
        <item m="1" x="4276"/>
        <item m="1" x="5704"/>
        <item m="1" x="3809"/>
        <item m="1" x="2939"/>
        <item m="1" x="4366"/>
        <item m="1" x="3646"/>
        <item m="1" x="4695"/>
        <item m="1" x="5900"/>
        <item m="1" x="6579"/>
        <item m="1" x="7464"/>
        <item m="1" x="6617"/>
        <item m="1" x="7337"/>
        <item m="1" x="6829"/>
        <item m="1" x="6051"/>
        <item m="1" x="6540"/>
        <item m="1" x="2517"/>
        <item m="1" x="7250"/>
        <item m="1" x="7456"/>
        <item m="1" x="5537"/>
        <item m="1" x="4556"/>
        <item m="1" x="5072"/>
        <item m="1" x="6450"/>
        <item m="1" x="4460"/>
        <item m="1" x="2732"/>
        <item m="1" x="6524"/>
        <item m="1" x="3144"/>
        <item m="1" x="5771"/>
        <item m="1" x="2659"/>
        <item m="1" x="6328"/>
        <item m="1" x="7434"/>
        <item m="1" x="6643"/>
        <item m="1" x="7705"/>
        <item m="1" x="3098"/>
        <item m="1" x="7957"/>
        <item m="1" x="5192"/>
        <item m="1" x="3151"/>
        <item m="1" x="7595"/>
        <item m="1" x="7071"/>
        <item m="1" x="5433"/>
        <item m="1" x="5832"/>
        <item m="1" x="7759"/>
        <item m="1" x="3956"/>
        <item m="1" x="6009"/>
        <item m="1" x="5282"/>
        <item m="1" x="6889"/>
        <item m="1" x="7567"/>
        <item m="1" x="4829"/>
        <item m="1" x="3275"/>
        <item m="1" x="6298"/>
        <item m="1" x="7136"/>
        <item m="1" x="4068"/>
        <item m="1" x="7651"/>
        <item m="1" x="4777"/>
        <item m="1" x="7706"/>
        <item m="1" x="5167"/>
        <item m="1" x="3640"/>
        <item m="1" x="4048"/>
        <item m="1" x="4598"/>
        <item m="1" x="6510"/>
        <item m="1" x="4340"/>
        <item m="1" x="7498"/>
        <item m="1" x="7889"/>
        <item m="1" x="4283"/>
        <item m="1" x="6068"/>
        <item m="1" x="7227"/>
        <item m="1" x="2535"/>
        <item m="1" x="7661"/>
        <item m="1" x="6373"/>
        <item m="1" x="5570"/>
        <item m="1" x="5237"/>
        <item m="1" x="5525"/>
        <item m="1" x="5077"/>
        <item m="1" x="3350"/>
        <item m="1" x="4764"/>
        <item m="1" x="6168"/>
        <item m="1" x="7074"/>
        <item m="1" x="3029"/>
        <item m="1" x="6993"/>
        <item m="1" x="7411"/>
        <item m="1" x="5917"/>
        <item m="1" x="3666"/>
        <item m="1" x="7400"/>
        <item m="1" x="6221"/>
        <item m="1" x="3181"/>
        <item m="1" x="3356"/>
        <item m="1" x="7891"/>
        <item m="1" x="4151"/>
        <item m="1" x="3767"/>
        <item m="1" x="6057"/>
        <item m="1" x="7588"/>
        <item m="1" x="7219"/>
        <item m="1" x="3099"/>
        <item m="1" x="4786"/>
        <item m="1" x="6861"/>
        <item m="1" x="7691"/>
        <item m="1" x="6014"/>
        <item m="1" x="7978"/>
        <item m="1" x="7740"/>
        <item m="1" x="6387"/>
        <item m="1" x="3158"/>
        <item m="1" x="3444"/>
        <item m="1" x="6289"/>
        <item m="1" x="4982"/>
        <item m="1" x="5422"/>
        <item m="1" x="3860"/>
        <item m="1" x="5233"/>
        <item m="1" x="5847"/>
        <item m="1" x="6278"/>
        <item m="1" x="7698"/>
        <item m="1" x="4404"/>
        <item m="1" x="7872"/>
        <item m="1" x="5505"/>
        <item m="1" x="7340"/>
        <item m="1" x="3786"/>
        <item m="1" x="7841"/>
        <item m="1" x="4674"/>
        <item m="1" x="6264"/>
        <item m="1" x="7697"/>
        <item m="1" x="4943"/>
        <item m="1" x="3897"/>
        <item m="1" x="3715"/>
        <item m="1" x="5407"/>
        <item m="1" x="2823"/>
        <item m="1" x="2626"/>
        <item m="1" x="4393"/>
        <item m="1" x="3216"/>
        <item m="1" x="4892"/>
        <item m="1" x="2636"/>
        <item m="1" x="4231"/>
        <item m="1" x="4649"/>
        <item m="1" x="7979"/>
        <item m="1" x="7113"/>
        <item m="1" x="4566"/>
        <item m="1" x="6100"/>
        <item m="1" x="5553"/>
        <item m="1" x="2694"/>
        <item m="1" x="3463"/>
        <item m="1" x="6223"/>
        <item m="1" x="4591"/>
        <item m="1" x="4658"/>
        <item m="1" x="7983"/>
        <item m="1" x="3306"/>
        <item m="1" x="7158"/>
        <item m="1" x="3776"/>
        <item m="1" x="5288"/>
        <item m="1" x="5345"/>
        <item m="1" x="6457"/>
        <item m="1" x="5710"/>
        <item m="1" x="6191"/>
        <item m="1" x="7750"/>
        <item m="1" x="4780"/>
        <item m="1" x="5571"/>
        <item m="1" x="6469"/>
        <item m="1" x="5905"/>
        <item m="1" x="6770"/>
        <item m="1" x="4394"/>
        <item m="1" x="6207"/>
        <item m="1" x="6612"/>
        <item m="1" x="2975"/>
        <item m="1" x="5310"/>
        <item m="1" x="3752"/>
        <item m="1" x="3193"/>
        <item m="1" x="2492"/>
        <item m="1" x="3283"/>
        <item m="1" x="7870"/>
        <item m="1" x="5821"/>
        <item m="1" x="6805"/>
        <item m="1" x="6049"/>
        <item m="1" x="6370"/>
        <item m="1" x="4859"/>
        <item m="1" x="2913"/>
        <item m="1" x="6877"/>
        <item m="1" x="2544"/>
        <item m="1" x="3417"/>
        <item m="1" x="5518"/>
        <item m="1" x="5000"/>
        <item m="1" x="7763"/>
        <item m="1" x="4723"/>
        <item m="1" x="5889"/>
        <item m="1" x="3117"/>
        <item m="1" x="5349"/>
        <item m="1" x="7942"/>
        <item m="1" x="5940"/>
        <item m="1" x="5212"/>
        <item m="1" x="3825"/>
        <item m="1" x="7428"/>
        <item m="1" x="6153"/>
        <item m="1" x="7317"/>
        <item m="1" x="5201"/>
        <item m="1" x="6422"/>
        <item m="1" x="7810"/>
        <item m="1" x="2717"/>
        <item m="1" x="5815"/>
        <item m="1" x="4145"/>
        <item m="1" x="6272"/>
        <item m="1" x="6873"/>
        <item m="1" x="2769"/>
        <item m="1" x="3773"/>
        <item m="1" x="3231"/>
        <item m="1" x="5105"/>
        <item m="1" x="3782"/>
        <item m="1" x="2956"/>
        <item m="1" x="3958"/>
        <item m="1" x="4752"/>
        <item m="1" x="6539"/>
        <item m="1" x="7451"/>
        <item m="1" x="5656"/>
        <item m="1" x="4828"/>
        <item m="1" x="4749"/>
        <item m="1" x="2901"/>
        <item m="1" x="3862"/>
        <item m="1" x="7057"/>
        <item m="1" x="6286"/>
        <item m="1" x="2704"/>
        <item m="1" x="5330"/>
        <item m="1" x="6193"/>
        <item m="1" x="5744"/>
        <item m="1" x="6772"/>
        <item m="1" x="6077"/>
        <item m="1" x="7784"/>
        <item m="1" x="5619"/>
        <item m="1" x="6572"/>
        <item m="1" x="3739"/>
        <item m="1" x="7058"/>
        <item m="1" x="7468"/>
        <item m="1" x="5747"/>
        <item m="1" x="6241"/>
        <item m="1" x="5046"/>
        <item m="1" x="5147"/>
        <item m="1" x="5145"/>
        <item m="1" x="3309"/>
        <item m="1" x="4619"/>
        <item m="1" x="4860"/>
        <item m="1" x="7826"/>
        <item m="1" x="3473"/>
        <item m="1" x="5975"/>
        <item m="1" x="2838"/>
        <item m="1" x="4328"/>
        <item m="1" x="5624"/>
        <item m="1" x="5081"/>
        <item m="1" x="7087"/>
        <item m="1" x="5442"/>
        <item m="1" x="6073"/>
        <item m="1" x="6639"/>
        <item m="1" x="6080"/>
        <item m="1" x="6855"/>
        <item m="1" x="6170"/>
        <item m="1" x="7636"/>
        <item m="1" x="7776"/>
        <item m="1" x="5602"/>
        <item m="1" x="4345"/>
        <item m="1" x="7011"/>
        <item m="1" x="3340"/>
        <item m="1" x="6701"/>
        <item m="1" x="6297"/>
        <item m="1" x="2490"/>
        <item m="1" x="4032"/>
        <item m="1" x="7879"/>
        <item m="1" x="3248"/>
        <item m="1" x="6547"/>
        <item m="1" x="6785"/>
        <item m="1" x="4148"/>
        <item m="1" x="7747"/>
        <item m="1" x="3576"/>
        <item m="1" x="5006"/>
        <item m="1" x="5446"/>
        <item m="1" x="2697"/>
        <item m="1" x="5866"/>
        <item m="1" x="4771"/>
        <item m="1" x="2549"/>
        <item m="1" x="3360"/>
        <item m="1" x="7893"/>
        <item m="1" x="3749"/>
        <item m="1" x="7668"/>
        <item m="1" x="5091"/>
        <item m="1" x="6904"/>
        <item m="1" x="3088"/>
        <item m="1" x="3316"/>
        <item m="1" x="6416"/>
        <item m="1" x="4457"/>
        <item m="1" x="3237"/>
        <item m="1" x="7684"/>
        <item m="1" x="3821"/>
        <item m="1" x="7995"/>
        <item m="1" x="7660"/>
        <item m="1" x="3888"/>
        <item m="1" x="6811"/>
        <item m="1" x="6754"/>
        <item m="1" x="4896"/>
        <item m="1" x="3051"/>
        <item m="1" x="7811"/>
        <item m="1" x="4363"/>
        <item m="1" x="4410"/>
        <item m="1" x="5419"/>
        <item m="1" x="4757"/>
        <item m="1" x="4221"/>
        <item m="1" x="5278"/>
        <item m="1" x="6489"/>
        <item m="1" x="4712"/>
        <item m="1" x="4617"/>
        <item m="1" x="4239"/>
        <item m="1" x="6915"/>
        <item m="1" x="7749"/>
        <item m="1" x="6852"/>
        <item m="1" x="6202"/>
        <item m="1" x="6139"/>
        <item m="1" x="7908"/>
        <item m="1" x="6878"/>
        <item m="1" x="5365"/>
        <item m="1" x="7248"/>
        <item m="1" x="2830"/>
        <item m="1" x="3568"/>
        <item m="1" x="2699"/>
        <item m="1" x="3110"/>
        <item m="1" x="5996"/>
        <item m="1" x="6257"/>
        <item m="1" x="2812"/>
        <item m="1" x="7658"/>
        <item m="1" x="3154"/>
        <item m="1" x="4256"/>
        <item m="1" x="3895"/>
        <item m="1" x="5985"/>
        <item m="1" x="7914"/>
        <item m="1" x="5489"/>
        <item m="1" x="4568"/>
        <item m="1" x="3362"/>
        <item m="1" x="4087"/>
        <item m="1" x="6118"/>
        <item m="1" x="5275"/>
        <item m="1" x="5018"/>
        <item m="1" x="4305"/>
        <item m="1" x="4385"/>
        <item m="1" x="3835"/>
        <item m="1" x="7847"/>
        <item m="1" x="4302"/>
        <item m="1" x="6764"/>
        <item m="1" x="3653"/>
        <item m="1" x="6083"/>
        <item m="1" x="3370"/>
        <item m="1" x="5443"/>
        <item m="1" x="3883"/>
        <item m="1" x="4499"/>
        <item m="1" x="4804"/>
        <item m="1" x="6098"/>
        <item m="1" x="4981"/>
        <item m="1" x="4657"/>
        <item m="1" x="4573"/>
        <item m="1" x="5085"/>
        <item m="1" x="2950"/>
        <item m="1" x="5991"/>
        <item m="1" x="4109"/>
        <item m="1" x="5304"/>
        <item m="1" x="2733"/>
        <item m="1" x="7682"/>
        <item m="1" x="4639"/>
        <item m="1" x="6120"/>
        <item m="1" x="6369"/>
        <item m="1" x="4085"/>
        <item m="1" x="4368"/>
        <item m="1" x="5065"/>
        <item m="1" x="7472"/>
        <item m="1" x="7204"/>
        <item m="1" x="3747"/>
        <item m="1" x="6955"/>
        <item m="1" x="7238"/>
        <item m="1" x="4164"/>
        <item m="1" x="3580"/>
        <item m="1" x="7462"/>
        <item m="1" x="4027"/>
        <item m="1" x="3491"/>
        <item m="1" x="3257"/>
        <item m="1" x="2809"/>
        <item m="1" x="5172"/>
        <item m="1" x="7174"/>
        <item m="1" x="5019"/>
        <item m="1" x="6655"/>
        <item m="1" x="2774"/>
        <item m="1" x="7655"/>
        <item m="1" x="5312"/>
        <item m="1" x="7696"/>
        <item m="1" x="7198"/>
        <item m="1" x="7399"/>
        <item m="1" x="7068"/>
        <item m="1" x="3171"/>
        <item m="1" x="3479"/>
        <item m="1" x="6039"/>
        <item m="1" x="5604"/>
        <item m="1" x="5609"/>
        <item m="1" x="3957"/>
        <item m="1" x="5448"/>
        <item m="1" x="4359"/>
        <item m="1" x="2743"/>
        <item m="1" x="6270"/>
        <item m="1" x="7662"/>
        <item m="1" x="3796"/>
        <item m="1" x="3986"/>
        <item m="1" x="2489"/>
        <item m="1" x="5964"/>
        <item m="1" x="7463"/>
        <item m="1" x="4177"/>
        <item m="1" x="7335"/>
        <item m="1" x="6152"/>
        <item m="1" x="6216"/>
        <item m="1" x="3096"/>
        <item m="1" x="5364"/>
        <item m="1" x="7946"/>
        <item m="1" x="7794"/>
        <item m="1" x="5895"/>
        <item m="1" x="2571"/>
        <item m="1" x="7574"/>
        <item m="1" x="4630"/>
        <item m="1" x="2970"/>
        <item m="1" x="3817"/>
        <item m="1" x="6427"/>
        <item m="1" x="3626"/>
        <item m="1" x="4031"/>
        <item m="1" x="7475"/>
        <item m="1" x="4874"/>
        <item m="1" x="5231"/>
        <item m="1" x="5545"/>
        <item m="1" x="6087"/>
        <item m="1" x="3780"/>
        <item m="1" x="3409"/>
        <item m="1" x="4849"/>
        <item m="1" x="2756"/>
        <item m="1" x="5271"/>
        <item m="1" x="7807"/>
        <item m="1" x="4066"/>
        <item m="1" x="7819"/>
        <item m="1" x="3659"/>
        <item m="1" x="3382"/>
        <item m="1" x="7388"/>
        <item m="1" x="4957"/>
        <item m="1" x="5248"/>
        <item m="1" x="2580"/>
        <item m="1" x="4051"/>
        <item m="1" x="4501"/>
        <item m="1" x="5348"/>
        <item m="1" x="6631"/>
        <item m="1" x="2494"/>
        <item m="1" x="3677"/>
        <item m="1" x="2898"/>
        <item m="1" x="5846"/>
        <item m="1" x="4635"/>
        <item m="1" x="6801"/>
        <item m="1" x="7858"/>
        <item m="1" x="4488"/>
        <item m="1" x="3864"/>
        <item m="1" x="5441"/>
        <item m="1" x="3061"/>
        <item m="1" x="5218"/>
        <item m="1" x="4327"/>
        <item m="1" x="4590"/>
        <item m="1" x="7934"/>
        <item m="1" x="6249"/>
        <item m="1" x="5445"/>
        <item m="1" x="7306"/>
        <item m="1" x="5235"/>
        <item m="1" x="5164"/>
        <item m="1" x="4314"/>
        <item m="1" x="2671"/>
        <item m="1" x="4462"/>
        <item m="1" x="7687"/>
        <item m="1" x="7720"/>
        <item m="1" x="4903"/>
        <item m="1" x="4748"/>
        <item m="1" x="7076"/>
        <item m="1" x="6556"/>
        <item m="1" x="7474"/>
        <item m="1" x="3265"/>
        <item m="1" x="6856"/>
        <item m="1" x="4216"/>
        <item m="1" x="7286"/>
        <item m="1" x="5461"/>
        <item m="1" x="5285"/>
        <item m="1" x="7924"/>
        <item m="1" x="6544"/>
        <item m="1" x="5258"/>
        <item m="1" x="6952"/>
        <item m="1" x="4579"/>
        <item m="1" x="6304"/>
        <item m="1" x="6053"/>
        <item m="1" x="7796"/>
        <item m="1" x="7435"/>
        <item m="1" x="2684"/>
        <item m="1" x="5849"/>
        <item m="1" x="3596"/>
        <item m="1" x="4513"/>
        <item m="1" x="5309"/>
        <item m="1" x="4081"/>
        <item m="1" x="7122"/>
        <item m="1" x="2500"/>
        <item m="1" x="5901"/>
        <item m="1" x="3694"/>
        <item m="1" x="3369"/>
        <item m="1" x="5468"/>
        <item m="1" x="5972"/>
        <item m="1" x="6827"/>
        <item m="1" x="6430"/>
        <item m="1" x="3865"/>
        <item m="1" x="7236"/>
        <item m="1" x="5793"/>
        <item m="1" x="3540"/>
        <item m="1" x="4924"/>
        <item m="1" x="4224"/>
        <item m="1" x="5883"/>
        <item m="1" x="6233"/>
        <item m="1" x="6419"/>
        <item m="1" x="7546"/>
        <item m="1" x="3969"/>
        <item m="1" x="7880"/>
        <item m="1" x="5311"/>
        <item m="1" x="7091"/>
        <item m="1" x="4863"/>
        <item m="1" x="4322"/>
        <item m="1" x="4346"/>
        <item m="1" x="7623"/>
        <item m="1" x="7150"/>
        <item m="1" x="7149"/>
        <item m="1" x="2938"/>
        <item m="1" x="3872"/>
        <item m="1" x="3913"/>
        <item m="1" x="6224"/>
        <item m="1" x="6095"/>
        <item m="1" x="4901"/>
        <item m="1" x="6949"/>
        <item m="1" x="4043"/>
        <item m="1" x="4672"/>
        <item m="1" x="4557"/>
        <item m="1" x="7471"/>
        <item m="1" x="4129"/>
        <item m="1" x="7192"/>
        <item m="1" x="5909"/>
        <item m="1" x="3175"/>
        <item m="1" x="5924"/>
        <item m="1" x="5370"/>
        <item m="1" x="5358"/>
        <item m="1" x="4324"/>
        <item m="1" x="2835"/>
        <item m="1" x="4551"/>
        <item m="1" x="2990"/>
        <item m="1" x="3713"/>
        <item m="1" x="7271"/>
        <item m="1" x="5155"/>
        <item m="1" x="3668"/>
        <item m="1" x="2632"/>
        <item m="1" x="4487"/>
        <item m="1" x="3989"/>
        <item m="1" x="3021"/>
        <item m="1" x="6441"/>
        <item m="1" x="2532"/>
        <item m="1" x="2885"/>
        <item m="1" x="5934"/>
        <item m="1" x="7015"/>
        <item m="1" x="2821"/>
        <item m="1" x="4313"/>
        <item m="1" x="3949"/>
        <item m="1" x="3705"/>
        <item m="1" x="4770"/>
        <item m="1" x="4923"/>
        <item m="1" x="7840"/>
        <item m="1" x="7559"/>
        <item m="1" x="5920"/>
        <item m="1" x="5368"/>
        <item m="1" x="3129"/>
        <item m="1" x="2725"/>
        <item m="1" x="3975"/>
        <item m="1" x="6299"/>
        <item m="1" x="3663"/>
        <item m="1" x="3469"/>
        <item m="1" x="7049"/>
        <item m="1" x="3816"/>
        <item m="1" x="6711"/>
        <item m="1" x="5236"/>
        <item m="1" x="6581"/>
        <item m="1" x="2799"/>
        <item m="1" x="3940"/>
        <item m="1" x="5533"/>
        <item m="1" x="4271"/>
        <item m="1" x="4917"/>
        <item m="1" x="6757"/>
        <item m="1" x="4180"/>
        <item m="1" x="7637"/>
        <item m="1" x="4378"/>
        <item m="1" x="6950"/>
        <item m="1" x="7760"/>
        <item m="1" x="4696"/>
        <item m="1" x="3844"/>
        <item m="1" x="2641"/>
        <item m="1" x="4840"/>
        <item m="1" x="4044"/>
        <item m="1" x="4011"/>
        <item m="1" x="5746"/>
        <item m="1" x="5490"/>
        <item m="1" x="2985"/>
        <item m="1" x="6537"/>
        <item m="1" x="6037"/>
        <item m="1" x="4466"/>
        <item m="1" x="2519"/>
        <item m="1" x="3085"/>
        <item m="1" x="4272"/>
        <item m="1" x="3472"/>
        <item m="1" x="2598"/>
        <item m="1" x="7977"/>
        <item m="1" x="3239"/>
        <item m="1" x="5165"/>
        <item m="1" x="3089"/>
        <item m="1" x="6266"/>
        <item m="1" x="7711"/>
        <item m="1" x="3995"/>
        <item m="1" x="5532"/>
        <item m="1" x="5548"/>
        <item m="1" x="4510"/>
        <item m="1" x="3454"/>
        <item m="1" x="7578"/>
        <item m="1" x="3902"/>
        <item m="1" x="3188"/>
        <item m="1" x="4576"/>
        <item m="1" x="3429"/>
        <item m="1" x="3035"/>
        <item m="1" x="3447"/>
        <item m="1" x="3919"/>
        <item m="1" x="4880"/>
        <item m="1" x="7176"/>
        <item m="1" x="3543"/>
        <item m="1" x="7167"/>
        <item m="1" x="7024"/>
        <item m="1" x="4728"/>
        <item m="1" x="7606"/>
        <item m="1" x="6571"/>
        <item m="1" x="4633"/>
        <item m="1" x="7210"/>
        <item m="1" x="7533"/>
        <item m="1" x="2851"/>
        <item m="1" x="5569"/>
        <item m="1" x="5141"/>
        <item m="1" x="6812"/>
        <item m="1" x="5517"/>
        <item m="1" x="6003"/>
        <item m="1" x="6310"/>
        <item m="1" x="6300"/>
        <item m="1" x="5626"/>
        <item m="1" x="6918"/>
        <item m="1" x="3478"/>
        <item m="1" x="2703"/>
        <item m="1" x="2661"/>
        <item m="1" x="3167"/>
        <item m="1" x="2977"/>
        <item m="1" x="5075"/>
        <item m="1" x="6683"/>
        <item m="1" x="3123"/>
        <item m="1" x="2611"/>
        <item m="1" x="4562"/>
        <item m="1" x="5590"/>
        <item m="1" x="6634"/>
        <item m="1" x="6901"/>
        <item m="1" x="7316"/>
        <item m="1" x="5040"/>
        <item m="1" x="3055"/>
        <item m="1" x="5853"/>
        <item m="1" x="2592"/>
        <item m="1" x="5949"/>
        <item m="1" x="5173"/>
        <item m="1" x="3301"/>
        <item m="1" x="6157"/>
        <item m="1" x="6446"/>
        <item m="1" x="3415"/>
        <item m="1" x="3100"/>
        <item m="1" x="6668"/>
        <item m="1" x="3617"/>
        <item m="1" x="5225"/>
        <item m="1" x="7721"/>
        <item m="1" x="2987"/>
        <item m="1" x="4074"/>
        <item m="1" x="3535"/>
        <item m="1" x="3590"/>
        <item m="1" x="4419"/>
        <item m="1" x="6184"/>
        <item m="1" x="3831"/>
        <item m="1" x="4719"/>
        <item m="1" x="6765"/>
        <item m="1" x="2786"/>
        <item m="1" x="5247"/>
        <item m="1" x="6865"/>
        <item m="1" x="7161"/>
        <item m="1" x="2662"/>
        <item m="1" x="4553"/>
        <item m="1" x="6210"/>
        <item m="1" x="7929"/>
        <item m="1" x="3497"/>
        <item m="1" x="2854"/>
        <item m="1" x="7094"/>
        <item m="1" x="3321"/>
        <item m="1" x="3819"/>
        <item m="1" x="5888"/>
        <item m="1" x="6704"/>
        <item m="1" x="3233"/>
        <item m="1" x="6749"/>
        <item m="1" x="5483"/>
        <item m="1" x="4703"/>
        <item m="1" x="3915"/>
        <item m="1" x="5216"/>
        <item m="1" x="7026"/>
        <item m="1" x="2599"/>
        <item m="1" x="5131"/>
        <item m="1" x="2589"/>
        <item m="1" x="2595"/>
        <item m="1" x="3387"/>
        <item m="1" x="7906"/>
        <item m="1" x="5682"/>
        <item m="1" x="6946"/>
        <item m="1" x="3467"/>
        <item m="1" x="2551"/>
        <item m="1" x="6983"/>
        <item m="1" x="3936"/>
        <item m="1" x="3546"/>
        <item m="1" x="4581"/>
        <item m="1" x="4157"/>
        <item m="1" x="4067"/>
        <item m="1" x="3644"/>
        <item m="1" x="5031"/>
        <item m="1" x="2798"/>
        <item m="1" x="5915"/>
        <item m="1" x="5438"/>
        <item m="1" x="5625"/>
        <item m="1" x="7437"/>
        <item m="1" x="3272"/>
        <item m="1" x="3954"/>
        <item m="1" x="2534"/>
        <item m="1" x="4760"/>
        <item m="1" x="7609"/>
        <item m="1" x="5080"/>
        <item m="1" x="2493"/>
        <item m="1" x="7542"/>
        <item m="1" x="5029"/>
        <item m="1" x="5881"/>
        <item m="1" x="6375"/>
        <item m="1" x="3062"/>
        <item m="1" x="7272"/>
        <item m="1" x="5169"/>
        <item m="1" x="3645"/>
        <item m="1" x="4588"/>
        <item m="1" x="5475"/>
        <item m="1" x="3190"/>
        <item m="1" x="6989"/>
        <item m="1" x="7579"/>
        <item m="1" x="2657"/>
        <item m="1" x="4925"/>
        <item m="1" x="2960"/>
        <item m="1" x="2904"/>
        <item m="1" x="6881"/>
        <item m="1" x="5758"/>
        <item m="1" x="3892"/>
        <item m="1" x="5512"/>
        <item m="1" x="6035"/>
        <item m="1" x="4986"/>
        <item m="1" x="7332"/>
        <item m="1" x="5057"/>
        <item m="1" x="6971"/>
        <item m="1" x="4019"/>
        <item m="1" x="3368"/>
        <item m="1" x="4274"/>
        <item m="1" x="3070"/>
        <item m="1" x="5653"/>
        <item m="1" x="5891"/>
        <item m="1" x="6912"/>
        <item m="1" x="6490"/>
        <item m="1" x="2541"/>
        <item m="1" x="5078"/>
        <item m="1" x="3830"/>
        <item m="1" x="4898"/>
        <item m="1" x="3561"/>
        <item m="1" x="4414"/>
        <item m="1" x="6195"/>
        <item m="1" x="3679"/>
        <item m="1" x="5716"/>
        <item m="1" x="2574"/>
        <item m="1" x="6858"/>
        <item m="1" x="3505"/>
        <item m="1" x="3889"/>
        <item m="1" x="3976"/>
        <item m="1" x="5182"/>
        <item m="1" x="5329"/>
        <item m="1" x="5104"/>
        <item m="1" x="5997"/>
        <item m="1" x="3317"/>
        <item m="1" x="5748"/>
        <item m="1" x="5239"/>
        <item m="1" x="3946"/>
        <item m="1" x="2958"/>
        <item m="1" x="7106"/>
        <item m="1" x="5765"/>
        <item m="1" x="3490"/>
        <item m="1" x="5777"/>
        <item m="1" x="4125"/>
        <item m="1" x="4762"/>
        <item m="1" x="3498"/>
        <item m="1" x="2596"/>
        <item m="1" x="3185"/>
        <item m="1" x="6135"/>
        <item m="1" x="3854"/>
        <item m="1" x="3808"/>
        <item m="1" x="3170"/>
        <item m="1" x="6443"/>
        <item m="1" x="5291"/>
        <item m="1" x="6001"/>
        <item m="1" x="3605"/>
        <item m="1" x="3847"/>
        <item m="1" x="2510"/>
        <item m="1" x="2868"/>
        <item m="1" x="3278"/>
        <item m="1" x="3833"/>
        <item m="1" x="7137"/>
        <item m="1" x="6282"/>
        <item m="1" x="5211"/>
        <item m="1" x="6316"/>
        <item m="1" x="4878"/>
        <item m="1" x="3720"/>
        <item m="1" x="6062"/>
        <item m="1" x="5808"/>
        <item m="1" x="3987"/>
        <item m="1" x="3794"/>
        <item m="1" x="4220"/>
        <item m="1" x="2951"/>
        <item m="1" x="6787"/>
        <item m="1" x="6271"/>
        <item m="1" x="2773"/>
        <item m="1" x="3772"/>
        <item m="1" x="6748"/>
        <item m="1" x="4794"/>
        <item m="1" x="7901"/>
        <item m="1" x="5118"/>
        <item m="1" x="3606"/>
        <item m="1" x="3778"/>
        <item m="1" x="7128"/>
        <item m="1" x="4873"/>
        <item m="1" x="2607"/>
        <item m="1" x="6853"/>
        <item m="1" x="2949"/>
        <item m="1" x="3136"/>
        <item m="1" x="6398"/>
        <item m="1" x="7685"/>
        <item m="1" x="7444"/>
        <item m="1" x="7837"/>
        <item m="1" x="4245"/>
        <item m="1" x="5166"/>
        <item m="1" x="4973"/>
        <item m="1" x="4010"/>
        <item m="1" x="7469"/>
        <item m="1" x="5838"/>
        <item m="1" x="6778"/>
        <item m="1" x="7045"/>
        <item m="1" x="7601"/>
        <item m="1" x="6467"/>
        <item m="1" x="4850"/>
        <item m="1" x="3406"/>
        <item m="1" x="5679"/>
        <item m="1" x="4118"/>
        <item m="1" x="5340"/>
        <item m="1" x="7851"/>
        <item m="1" x="7778"/>
        <item m="1" x="7827"/>
        <item m="1" x="4379"/>
        <item m="1" x="5175"/>
        <item m="1" x="4242"/>
        <item m="1" x="4698"/>
        <item m="1" x="2849"/>
        <item m="1" x="4899"/>
        <item m="1" x="6261"/>
        <item m="1" x="4002"/>
        <item m="1" x="3426"/>
        <item m="1" x="7061"/>
        <item m="1" x="7470"/>
        <item m="1" x="4782"/>
        <item m="1" x="6795"/>
        <item m="1" x="7719"/>
        <item m="1" x="6396"/>
        <item m="1" x="7508"/>
        <item m="1" x="4455"/>
        <item m="1" x="7951"/>
        <item m="1" x="5189"/>
        <item m="1" x="4290"/>
        <item m="1" x="7023"/>
        <item m="1" x="4543"/>
        <item m="1" x="2685"/>
        <item m="1" x="6222"/>
        <item m="1" x="7899"/>
        <item m="1" x="6352"/>
        <item m="1" x="5322"/>
        <item m="1" x="7907"/>
        <item m="1" x="6495"/>
        <item m="1" x="5544"/>
        <item m="1" x="4295"/>
        <item m="1" x="7157"/>
        <item m="1" x="6995"/>
        <item m="1" x="3879"/>
        <item m="1" x="6960"/>
        <item m="1" x="5299"/>
        <item m="1" x="6940"/>
        <item m="1" x="4188"/>
        <item m="1" x="3361"/>
        <item m="1" x="4124"/>
        <item m="1" x="7586"/>
        <item m="1" x="3530"/>
        <item m="1" x="7031"/>
        <item m="1" x="3033"/>
        <item m="1" x="7551"/>
        <item m="1" x="4554"/>
        <item m="1" x="2768"/>
        <item m="1" x="4437"/>
        <item m="1" x="5952"/>
        <item m="1" x="4969"/>
        <item m="1" x="5644"/>
        <item m="1" x="6584"/>
        <item m="1" x="5426"/>
        <item m="1" x="7825"/>
        <item m="1" x="4204"/>
        <item m="1" x="4006"/>
        <item m="1" x="4592"/>
        <item m="1" x="7036"/>
        <item m="1" x="4212"/>
        <item m="1" x="6252"/>
        <item m="1" x="5063"/>
        <item m="1" x="7900"/>
        <item m="1" x="2707"/>
        <item m="1" x="7385"/>
        <item m="1" x="7201"/>
        <item m="1" x="7389"/>
        <item m="1" x="6746"/>
        <item m="1" x="6822"/>
        <item m="1" x="4872"/>
        <item m="1" x="4136"/>
        <item m="1" x="5681"/>
        <item m="1" x="4420"/>
        <item m="1" x="2567"/>
        <item m="1" x="6437"/>
        <item m="1" x="7672"/>
        <item m="1" x="3005"/>
        <item m="1" x="6578"/>
        <item m="1" x="6587"/>
        <item m="1" x="3569"/>
        <item m="1" x="4816"/>
        <item m="1" x="6924"/>
        <item m="1" x="6944"/>
        <item m="1" x="5111"/>
        <item m="1" x="6659"/>
        <item m="1" x="5121"/>
        <item m="1" x="3477"/>
        <item m="1" x="5923"/>
        <item m="1" x="4875"/>
        <item m="1" x="7230"/>
        <item m="1" x="6522"/>
        <item m="1" x="4533"/>
        <item m="1" x="3575"/>
        <item m="1" x="5827"/>
        <item m="1" x="5123"/>
        <item m="1" x="5492"/>
        <item m="1" x="5223"/>
        <item m="1" x="6941"/>
        <item m="1" x="5094"/>
        <item m="1" x="7969"/>
        <item m="1" x="6137"/>
        <item m="1" x="6981"/>
        <item m="1" x="7288"/>
        <item m="1" x="7556"/>
        <item m="1" x="7930"/>
        <item m="1" x="6010"/>
        <item m="1" x="4248"/>
        <item m="1" x="5982"/>
        <item m="1" x="3552"/>
        <item m="1" x="5386"/>
        <item m="1" x="7919"/>
        <item m="1" x="4736"/>
        <item m="1" x="5293"/>
        <item m="1" x="6817"/>
        <item m="1" x="5988"/>
        <item m="1" x="4197"/>
        <item m="1" x="4811"/>
        <item m="1" x="7971"/>
        <item m="1" x="3189"/>
        <item m="1" x="2735"/>
        <item m="1" x="6384"/>
        <item m="1" x="3499"/>
        <item m="1" x="3560"/>
        <item m="1" x="3243"/>
        <item m="1" x="7363"/>
        <item m="1" x="7144"/>
        <item m="1" x="7110"/>
        <item m="1" x="7536"/>
        <item m="1" x="3661"/>
        <item m="1" x="4426"/>
        <item m="1" x="2936"/>
        <item m="1" x="4155"/>
        <item m="1" x="3779"/>
        <item m="1" x="6724"/>
        <item m="1" x="5698"/>
        <item m="1" x="7782"/>
        <item m="1" x="7424"/>
        <item m="1" x="7497"/>
        <item m="1" x="2575"/>
        <item m="1" x="4759"/>
        <item m="1" x="7067"/>
        <item m="1" x="4972"/>
        <item m="1" x="6693"/>
        <item m="1" x="6280"/>
        <item m="1" x="5338"/>
        <item m="1" x="3924"/>
        <item m="1" x="3274"/>
        <item m="1" x="3917"/>
        <item m="1" x="3988"/>
        <item m="1" x="5086"/>
        <item m="1" x="2583"/>
        <item m="1" x="6451"/>
        <item m="1" x="7620"/>
        <item m="1" x="7744"/>
        <item m="1" x="7439"/>
        <item m="1" x="3856"/>
        <item m="1" x="5655"/>
        <item m="1" x="2566"/>
        <item m="1" x="4436"/>
        <item m="1" x="6598"/>
        <item m="1" x="2855"/>
        <item m="1" x="5528"/>
        <item m="1" x="4476"/>
        <item m="1" x="2783"/>
        <item m="1" x="2616"/>
        <item m="1" x="4667"/>
        <item m="1" x="5415"/>
        <item m="1" x="6509"/>
        <item m="1" x="4413"/>
        <item m="1" x="6085"/>
        <item m="1" x="7530"/>
        <item m="1" x="4452"/>
        <item m="1" x="7413"/>
        <item m="1" x="2585"/>
        <item m="1" x="4586"/>
        <item m="1" x="5933"/>
        <item m="1" x="3090"/>
        <item m="1" x="2982"/>
        <item m="1" x="3584"/>
        <item m="1" x="7996"/>
        <item m="1" x="7030"/>
        <item m="1" x="6460"/>
        <item m="1" x="6596"/>
        <item m="1" x="4516"/>
        <item m="1" x="3293"/>
        <item m="1" x="3932"/>
        <item m="1" x="5120"/>
        <item m="1" x="6575"/>
        <item m="1" x="7187"/>
        <item m="1" x="6367"/>
        <item m="1" x="3101"/>
        <item m="1" x="4123"/>
        <item m="1" x="3594"/>
        <item m="1" x="4373"/>
        <item m="1" x="6432"/>
        <item m="1" x="5807"/>
        <item m="1" x="2752"/>
        <item m="1" x="4781"/>
        <item m="1" x="7218"/>
        <item m="1" x="5117"/>
        <item m="1" x="4289"/>
        <item m="1" x="7695"/>
        <item m="1" x="5229"/>
        <item m="1" x="6666"/>
        <item m="1" x="7965"/>
        <item m="1" x="3557"/>
        <item m="1" x="6112"/>
        <item m="1" x="3648"/>
        <item m="1" x="6687"/>
        <item m="1" x="7282"/>
        <item m="1" x="3131"/>
        <item m="1" x="6456"/>
        <item m="1" x="4797"/>
        <item m="1" x="3515"/>
        <item m="1" x="3331"/>
        <item m="1" x="6815"/>
        <item m="1" x="7997"/>
        <item m="1" x="3254"/>
        <item m="1" x="4979"/>
        <item m="1" x="2899"/>
        <item m="1" x="6412"/>
        <item m="1" x="6553"/>
        <item m="1" x="7421"/>
        <item m="1" x="3744"/>
        <item m="1" x="4304"/>
        <item m="1" x="3528"/>
        <item m="1" x="6623"/>
        <item m="1" x="4584"/>
        <item m="1" x="3529"/>
        <item m="1" x="3198"/>
        <item m="1" x="5011"/>
        <item m="1" x="3016"/>
        <item m="1" x="5981"/>
        <item m="1" x="6925"/>
        <item m="1" x="5430"/>
        <item m="1" x="6230"/>
        <item m="1" x="4355"/>
        <item m="1" x="6797"/>
        <item m="1" x="5589"/>
        <item m="1" x="3728"/>
        <item m="1" x="5003"/>
        <item m="1" x="5979"/>
        <item m="1" x="4012"/>
        <item m="1" x="3709"/>
        <item m="1" x="3452"/>
        <item m="1" x="2917"/>
        <item m="1" x="7886"/>
        <item m="1" x="2796"/>
        <item m="1" x="6909"/>
        <item m="1" x="6159"/>
        <item m="1" x="2780"/>
        <item m="1" x="7905"/>
        <item m="1" x="2730"/>
        <item m="1" x="3351"/>
        <item m="1" x="3313"/>
        <item m="1" x="6132"/>
        <item m="1" x="7279"/>
        <item m="1" x="2748"/>
        <item m="1" x="7590"/>
        <item m="1" x="3166"/>
        <item m="1" x="3751"/>
        <item m="1" x="3623"/>
        <item m="1" x="2800"/>
        <item m="1" x="4297"/>
        <item m="1" x="6248"/>
        <item m="1" x="7798"/>
        <item m="1" x="5702"/>
        <item m="1" x="2651"/>
        <item m="1" x="5066"/>
        <item m="1" x="4064"/>
        <item m="1" x="3069"/>
        <item m="1" x="5783"/>
        <item m="1" x="4968"/>
        <item m="1" x="5507"/>
        <item m="1" x="6752"/>
        <item m="1" x="6379"/>
        <item m="1" x="5670"/>
        <item m="1" x="4351"/>
        <item m="1" x="5389"/>
        <item m="1" x="5027"/>
        <item m="1" x="5663"/>
        <item m="1" x="3298"/>
        <item m="1" x="3018"/>
        <item m="1" x="6512"/>
        <item m="1" x="6954"/>
        <item m="1" x="2797"/>
        <item m="1" x="3114"/>
        <item m="1" x="3852"/>
        <item m="1" x="5540"/>
        <item m="1" x="4342"/>
        <item m="1" x="5323"/>
        <item m="1" x="5393"/>
        <item m="1" x="4016"/>
        <item m="1" x="6351"/>
        <item m="1" x="6017"/>
        <item m="1" x="7828"/>
        <item m="1" x="4325"/>
        <item m="1" x="7278"/>
        <item m="1" x="6089"/>
        <item m="1" x="6980"/>
        <item m="1" x="7013"/>
        <item m="1" x="5061"/>
        <item m="1" x="5334"/>
        <item m="1" x="5904"/>
        <item m="1" x="7171"/>
        <item m="1" x="6548"/>
        <item m="1" x="6740"/>
        <item m="1" x="3127"/>
        <item m="1" x="7377"/>
        <item m="1" x="3604"/>
        <item m="1" x="6294"/>
        <item m="1" x="4902"/>
        <item m="1" x="5375"/>
        <item m="1" x="3315"/>
        <item m="1" x="3458"/>
        <item m="1" x="7560"/>
        <item m="1" x="4496"/>
        <item m="1" x="7258"/>
        <item m="1" x="4535"/>
        <item m="1" x="5414"/>
        <item m="1" x="5392"/>
        <item m="1" x="6892"/>
        <item m="1" x="2666"/>
        <item m="1" x="6882"/>
        <item m="1" x="4169"/>
        <item m="1" x="7890"/>
        <item m="1" x="7072"/>
        <item m="1" x="6997"/>
        <item m="1" x="3689"/>
        <item m="1" x="7183"/>
        <item m="1" x="6599"/>
        <item m="1" x="7654"/>
        <item m="1" x="4594"/>
        <item m="1" x="4547"/>
        <item m="1" x="7008"/>
        <item m="1" x="6296"/>
        <item m="1" x="5359"/>
        <item m="1" x="3500"/>
        <item m="1" x="5928"/>
        <item m="1" x="5686"/>
        <item m="1" x="5265"/>
        <item m="1" x="4689"/>
        <item m="1" x="6961"/>
        <item m="1" x="7243"/>
        <item m="1" x="5693"/>
        <item m="1" x="4203"/>
        <item m="1" x="2539"/>
        <item m="1" x="3558"/>
        <item m="1" x="4502"/>
        <item m="1" x="5021"/>
        <item m="1" x="5926"/>
        <item m="1" x="2862"/>
        <item m="1" x="3619"/>
        <item m="1" x="3054"/>
        <item m="1" x="7079"/>
        <item m="1" x="4000"/>
        <item m="1" x="3418"/>
        <item m="1" x="3022"/>
        <item m="1" x="5294"/>
        <item m="1" x="3651"/>
        <item m="1" x="5048"/>
        <item m="1" x="5797"/>
        <item m="1" x="6506"/>
        <item m="1" x="5709"/>
        <item m="1" x="6372"/>
        <item m="1" x="7194"/>
        <item m="1" x="5966"/>
        <item m="1" x="3502"/>
        <item m="1" x="2979"/>
        <item m="1" x="6720"/>
        <item m="1" x="7764"/>
        <item m="1" x="4286"/>
        <item m="1" x="7539"/>
        <item m="1" x="5321"/>
        <item m="1" x="3639"/>
        <item m="1" x="5680"/>
        <item m="1" x="4226"/>
        <item m="1" x="7674"/>
        <item m="1" x="6354"/>
        <item m="1" x="6026"/>
        <item m="1" x="7598"/>
        <item m="1" x="7653"/>
        <item m="1" x="5638"/>
        <item m="1" x="5549"/>
        <item m="1" x="6131"/>
        <item m="1" x="2966"/>
        <item m="1" x="4699"/>
        <item m="1" x="5062"/>
        <item m="1" x="6967"/>
        <item m="1" x="6733"/>
        <item m="1" x="4959"/>
        <item m="1" x="5773"/>
        <item m="1" x="5465"/>
        <item m="1" x="7126"/>
        <item m="1" x="3262"/>
        <item m="1" x="7275"/>
        <item m="1" x="4796"/>
        <item m="1" x="2674"/>
        <item m="1" x="4090"/>
        <item m="1" x="7370"/>
        <item m="1" x="3286"/>
        <item m="1" x="2501"/>
        <item m="1" x="5039"/>
        <item m="1" x="2895"/>
        <item m="1" x="5044"/>
        <item m="1" x="7294"/>
        <item m="1" x="4439"/>
        <item m="1" x="3909"/>
        <item m="1" x="3968"/>
        <item m="1" x="5198"/>
        <item m="1" x="6945"/>
        <item m="1" x="2724"/>
        <item m="1" x="3250"/>
        <item m="1" x="7761"/>
        <item m="1" x="4383"/>
        <item m="1" x="7490"/>
        <item m="1" x="5701"/>
        <item m="1" x="5873"/>
        <item m="1" x="4133"/>
        <item m="1" x="2577"/>
        <item m="1" x="7375"/>
        <item m="1" x="2813"/>
        <item m="1" x="3465"/>
        <item m="1" x="6564"/>
        <item m="1" x="7328"/>
        <item m="1" x="4753"/>
        <item m="1" x="6126"/>
        <item m="1" x="5126"/>
        <item m="1" x="7642"/>
        <item m="1" x="3466"/>
        <item m="1" x="3404"/>
        <item m="1" x="6628"/>
        <item m="1" x="3672"/>
        <item m="1" x="2873"/>
        <item m="1" x="6996"/>
        <item m="1" x="2682"/>
        <item m="1" x="5691"/>
        <item m="1" x="6542"/>
        <item m="1" x="7982"/>
        <item m="1" x="5493"/>
        <item m="1" x="6110"/>
        <item m="1" x="6527"/>
        <item m="1" x="2965"/>
        <item m="1" x="6600"/>
        <item m="1" x="4126"/>
        <item m="1" x="5379"/>
        <item m="1" x="3318"/>
        <item m="1" x="3245"/>
        <item m="1" x="7353"/>
        <item m="1" x="2795"/>
        <item m="1" x="3667"/>
        <item m="1" x="3960"/>
        <item m="1" x="4235"/>
        <item m="1" x="5454"/>
        <item m="1" x="7688"/>
        <item m="1" x="7246"/>
        <item m="1" x="6408"/>
        <item m="1" x="3867"/>
        <item m="1" x="3903"/>
        <item m="1" x="6317"/>
        <item m="1" x="4834"/>
        <item m="1" x="5176"/>
        <item m="1" x="5495"/>
        <item m="1" x="6799"/>
        <item m="1" x="7033"/>
        <item m="1" x="5028"/>
        <item m="1" x="6880"/>
        <item m="1" x="3998"/>
        <item m="1" x="3395"/>
        <item m="1" x="7391"/>
        <item m="1" x="2646"/>
        <item m="1" x="5256"/>
        <item m="1" x="3961"/>
        <item m="1" x="3559"/>
        <item m="1" x="4595"/>
        <item m="1" x="6435"/>
        <item m="1" x="5486"/>
        <item m="1" x="2906"/>
        <item m="1" x="5470"/>
        <item m="1" x="3194"/>
        <item m="1" x="4772"/>
        <item m="1" x="3541"/>
        <item m="1" x="3944"/>
        <item m="1" x="7860"/>
        <item m="1" x="6999"/>
        <item m="1" x="7373"/>
        <item m="1" x="4666"/>
        <item m="1" x="7038"/>
        <item m="1" x="4938"/>
        <item m="1" x="5778"/>
        <item m="1" x="5503"/>
        <item m="1" x="6863"/>
        <item m="1" x="4261"/>
        <item m="1" x="3846"/>
        <item m="1" x="4507"/>
        <item m="1" x="4546"/>
        <item m="1" x="3453"/>
        <item m="1" x="6551"/>
        <item m="1" x="7903"/>
        <item m="1" x="6066"/>
        <item m="1" x="2715"/>
        <item m="1" x="3710"/>
        <item m="1" x="4323"/>
        <item m="1" x="3610"/>
        <item m="1" x="3162"/>
        <item m="1" x="2548"/>
        <item m="1" x="6830"/>
        <item m="1" x="2608"/>
        <item m="1" x="6869"/>
        <item m="1" x="7915"/>
        <item m="1" x="7522"/>
        <item m="1" x="5944"/>
        <item m="1" x="6833"/>
        <item m="1" x="7502"/>
        <item m="1" x="3028"/>
        <item m="1" x="6129"/>
        <item m="1" x="5431"/>
        <item m="1" x="2942"/>
        <item m="1" x="4474"/>
        <item m="1" x="3730"/>
        <item m="1" x="4956"/>
        <item m="1" x="3451"/>
        <item m="1" x="6991"/>
        <item m="1" x="4039"/>
        <item m="1" x="7783"/>
        <item m="1" x="7355"/>
        <item m="1" x="6428"/>
        <item m="1" x="7319"/>
        <item m="1" x="2790"/>
        <item m="1" x="7175"/>
        <item m="1" x="6985"/>
        <item m="1" x="7728"/>
        <item m="1" x="3900"/>
        <item m="1" x="5669"/>
        <item m="1" x="4401"/>
        <item m="1" x="5416"/>
        <item m="1" x="7130"/>
        <item m="1" x="2927"/>
        <item m="1" x="3495"/>
        <item m="1" x="3217"/>
        <item m="1" x="4311"/>
        <item m="1" x="6336"/>
        <item m="1" x="4190"/>
        <item m="1" x="3142"/>
        <item m="1" x="3159"/>
        <item m="1" x="6846"/>
        <item m="1" x="7491"/>
        <item m="1" x="5385"/>
        <item m="1" x="3982"/>
        <item m="1" x="6359"/>
        <item m="1" x="7635"/>
        <item m="1" x="5274"/>
        <item m="1" x="6070"/>
        <item m="1" x="5014"/>
        <item m="1" x="3145"/>
        <item m="1" x="7100"/>
        <item m="1" x="7724"/>
        <item m="1" x="3094"/>
        <item m="1" x="5069"/>
        <item m="1" x="7974"/>
        <item m="1" x="7043"/>
        <item m="1" x="5469"/>
        <item m="1" x="3616"/>
        <item m="1" x="3996"/>
        <item m="1" x="7027"/>
        <item m="1" x="5739"/>
        <item m="1" x="3510"/>
        <item m="1" x="4978"/>
        <item m="1" x="2759"/>
        <item m="1" x="7656"/>
        <item m="1" x="5582"/>
        <item m="1" x="3372"/>
        <item m="1" x="4348"/>
        <item m="1" x="6376"/>
        <item m="1" x="7277"/>
        <item m="1" x="4531"/>
        <item m="1" x="2929"/>
        <item m="1" x="5948"/>
        <item m="1" x="6102"/>
        <item m="1" x="6818"/>
        <item m="1" x="4094"/>
        <item m="1" x="6562"/>
        <item m="1" x="2784"/>
        <item m="1" x="6594"/>
        <item m="1" x="7926"/>
        <item m="1" x="2888"/>
        <item m="1" x="5146"/>
        <item m="1" x="4369"/>
        <item m="1" x="7577"/>
        <item m="1" x="5109"/>
        <item m="1" x="3104"/>
        <item m="1" x="3722"/>
        <item m="1" x="5413"/>
        <item m="1" x="7188"/>
        <item m="1" x="3635"/>
        <item m="1" x="2994"/>
        <item m="1" x="7397"/>
        <item m="1" x="5376"/>
        <item m="1" x="4451"/>
        <item m="1" x="4793"/>
        <item m="1" x="4530"/>
        <item m="1" x="6117"/>
        <item m="1" x="6145"/>
        <item m="1" x="5037"/>
        <item m="1" x="3046"/>
        <item m="1" x="6647"/>
        <item m="1" x="2558"/>
        <item m="1" x="5406"/>
        <item m="1" x="2782"/>
        <item m="1" x="7135"/>
        <item m="1" x="2505"/>
        <item m="1" x="5825"/>
        <item m="1" x="4580"/>
        <item m="1" x="5801"/>
        <item m="1" x="7659"/>
        <item m="1" x="6591"/>
        <item m="1" x="6440"/>
        <item m="1" x="4400"/>
        <item m="1" x="3948"/>
        <item m="1" x="4656"/>
        <item m="1" x="7419"/>
        <item m="1" x="2688"/>
        <item m="1" x="4214"/>
        <item m="1" x="7455"/>
        <item m="1" x="7005"/>
        <item m="1" x="6094"/>
        <item m="1" x="7181"/>
        <item m="1" x="3267"/>
        <item m="1" x="6071"/>
        <item m="1" x="5717"/>
        <item m="1" x="6559"/>
        <item m="1" x="4077"/>
        <item m="1" x="2568"/>
        <item m="1" x="4740"/>
        <item m="1" x="7717"/>
        <item m="1" x="3252"/>
        <item m="1" x="3460"/>
        <item m="1" x="5677"/>
        <item m="1" x="3716"/>
        <item m="1" x="3375"/>
        <item m="1" x="4288"/>
        <item m="1" x="2729"/>
        <item m="1" x="6182"/>
        <item m="1" x="7235"/>
        <item m="1" x="6220"/>
        <item m="1" x="7321"/>
        <item m="1" x="3699"/>
        <item m="1" x="6283"/>
        <item m="1" x="5255"/>
        <item m="1" x="6574"/>
        <item m="1" x="5342"/>
        <item m="1" x="4515"/>
        <item m="1" x="7109"/>
        <item m="1" x="5859"/>
        <item m="1" x="3224"/>
        <item m="1" x="2779"/>
        <item m="1" x="5425"/>
        <item m="1" x="3526"/>
        <item m="1" x="7632"/>
        <item m="1" x="4166"/>
        <item m="1" x="3423"/>
        <item m="1" x="4988"/>
        <item m="1" x="6484"/>
        <item m="1" x="3455"/>
        <item m="1" x="5184"/>
        <item m="1" x="5974"/>
        <item m="1" x="5347"/>
        <item m="1" x="3320"/>
        <item m="1" x="3538"/>
        <item m="1" x="2700"/>
        <item m="1" x="5171"/>
        <item m="1" x="5178"/>
        <item m="1" x="3828"/>
        <item m="1" x="6957"/>
        <item m="1" x="7531"/>
        <item m="1" x="6678"/>
        <item m="1" x="4951"/>
        <item m="1" x="7594"/>
        <item m="1" x="4821"/>
        <item m="1" x="3201"/>
        <item m="1" x="6093"/>
        <item m="1" x="7757"/>
        <item m="1" x="7845"/>
        <item m="1" x="4079"/>
        <item m="1" x="7631"/>
        <item m="1" x="7195"/>
        <item m="1" x="5947"/>
        <item m="1" x="4052"/>
        <item m="1" x="5894"/>
        <item m="1" x="4055"/>
        <item m="1" x="3178"/>
        <item m="1" x="5161"/>
        <item m="1" x="7671"/>
        <item m="1" x="7786"/>
        <item m="1" x="4932"/>
        <item m="1" x="4175"/>
        <item m="1" x="2678"/>
        <item m="1" x="4596"/>
        <item m="1" x="3524"/>
        <item m="1" x="6657"/>
        <item m="1" x="3845"/>
        <item m="1" x="3851"/>
        <item m="1" x="7803"/>
        <item m="1" x="5858"/>
        <item m="1" x="5332"/>
        <item m="1" x="5828"/>
        <item m="1" x="4195"/>
        <item m="1" x="4279"/>
        <item m="1" x="5688"/>
        <item m="1" x="6885"/>
        <item m="1" x="7212"/>
        <item m="1" x="4475"/>
        <item m="1" x="7358"/>
        <item m="1" x="6047"/>
        <item m="1" x="7039"/>
        <item m="1" x="2723"/>
        <item m="1" x="3354"/>
        <item m="1" x="7928"/>
        <item m="1" x="5867"/>
        <item m="1" x="4808"/>
        <item m="1" x="6225"/>
        <item m="1" x="4876"/>
        <item m="1" x="6549"/>
        <item m="1" x="4572"/>
        <item m="1" x="7199"/>
        <item m="1" x="6405"/>
        <item m="1" x="6870"/>
        <item m="1" x="4524"/>
        <item m="1" x="5632"/>
        <item m="1" x="3588"/>
        <item m="1" x="5752"/>
        <item m="1" x="4529"/>
        <item m="1" x="6028"/>
        <item m="1" x="6860"/>
        <item m="1" x="3974"/>
        <item m="1" x="3348"/>
        <item m="1" x="6005"/>
        <item m="1" x="4606"/>
        <item m="1" x="6511"/>
        <item m="1" x="6042"/>
        <item m="1" x="4921"/>
        <item m="1" x="7499"/>
        <item m="1" x="7608"/>
        <item m="1" x="4463"/>
        <item m="1" x="7240"/>
        <item m="1" x="2993"/>
        <item m="1" x="5501"/>
        <item m="1" x="5543"/>
        <item m="1" x="7232"/>
        <item m="1" x="4929"/>
        <item m="1" x="2690"/>
        <item m="1" x="2677"/>
        <item m="1" x="4574"/>
        <item m="1" x="2820"/>
        <item m="1" x="7309"/>
        <item m="1" x="4113"/>
        <item m="1" x="4842"/>
        <item m="1" x="3039"/>
        <item m="1" x="6653"/>
        <item m="1" x="6075"/>
        <item m="1" x="3665"/>
        <item m="1" x="7516"/>
        <item m="1" x="5367"/>
        <item m="1" x="6212"/>
        <item m="1" x="6569"/>
        <item m="1" x="2511"/>
        <item m="1" x="6235"/>
        <item m="1" x="5848"/>
        <item m="1" x="3908"/>
        <item m="1" x="7364"/>
        <item m="1" x="4709"/>
        <item m="1" x="5668"/>
        <item m="1" x="6576"/>
        <item m="1" x="7878"/>
        <item m="1" x="5381"/>
        <item m="1" x="5292"/>
        <item m="1" x="6632"/>
        <item m="1" x="3481"/>
        <item m="1" x="2617"/>
        <item m="1" x="2706"/>
        <item m="1" x="4665"/>
        <item m="1" x="6836"/>
        <item m="1" x="4773"/>
        <item m="1" x="4569"/>
        <item m="1" x="5222"/>
        <item m="1" x="6345"/>
        <item m="1" x="6165"/>
        <item m="1" x="2713"/>
        <item m="1" x="5922"/>
        <item m="1" x="7368"/>
        <item m="1" x="4399"/>
        <item m="1" x="7524"/>
        <item m="1" x="4244"/>
        <item m="1" x="5911"/>
        <item m="1" x="5355"/>
        <item m="1" x="6820"/>
        <item m="1" x="7409"/>
        <item m="1" x="4205"/>
        <item m="1" x="6142"/>
        <item m="1" x="5110"/>
        <item m="1" x="7412"/>
        <item m="1" x="4357"/>
        <item m="1" x="3636"/>
        <item m="1" x="3802"/>
        <item m="1" x="6273"/>
        <item m="1" x="6123"/>
        <item m="1" x="3311"/>
        <item m="1" x="3215"/>
        <item m="1" x="6247"/>
        <item m="1" x="2763"/>
        <item m="1" x="2747"/>
        <item m="1" x="3882"/>
        <item m="1" x="6541"/>
        <item m="1" x="6320"/>
        <item m="1" x="7407"/>
        <item m="1" x="4003"/>
        <item m="1" x="3692"/>
        <item m="1" x="3336"/>
        <item m="1" x="7571"/>
        <item m="1" x="6867"/>
        <item m="1" x="3034"/>
        <item m="1" x="4691"/>
        <item m="1" x="3025"/>
        <item m="1" x="6417"/>
        <item m="1" x="5395"/>
        <item m="1" x="2637"/>
        <item m="1" x="4258"/>
        <item m="1" x="4910"/>
        <item m="1" x="5125"/>
        <item m="1" x="6238"/>
        <item m="1" x="7859"/>
        <item m="1" x="7652"/>
        <item m="1" x="5339"/>
        <item m="1" x="7352"/>
        <item m="1" x="5971"/>
        <item m="1" x="7012"/>
        <item m="1" x="5577"/>
        <item m="1" x="6346"/>
        <item m="1" x="7894"/>
        <item m="1" x="6992"/>
        <item m="1" x="4918"/>
        <item m="1" x="4827"/>
        <item m="1" x="4179"/>
        <item m="1" x="6086"/>
        <item m="1" x="4660"/>
        <item m="1" x="5181"/>
        <item m="1" x="5741"/>
        <item m="1" x="4465"/>
        <item m="1" x="4888"/>
        <item m="1" x="7600"/>
        <item m="1" x="4223"/>
        <item m="1" x="5931"/>
        <item m="1" x="2860"/>
        <item m="1" x="7387"/>
        <item m="1" x="6536"/>
        <item m="1" x="2593"/>
        <item m="1" x="3037"/>
        <item m="1" x="3574"/>
        <item m="1" x="5149"/>
        <item m="1" x="5107"/>
        <item m="1" x="7630"/>
        <item m="1" x="5122"/>
        <item m="1" x="3618"/>
        <item m="1" x="7984"/>
        <item m="1" x="3097"/>
        <item m="1" x="5005"/>
        <item m="1" x="2817"/>
        <item m="1" x="7836"/>
        <item m="1" x="5466"/>
        <item m="1" x="7349"/>
        <item m="1" x="6468"/>
        <item m="1" x="5269"/>
        <item m="1" x="3432"/>
        <item m="1" x="4161"/>
        <item m="1" x="5586"/>
        <item m="1" x="6277"/>
        <item m="1" x="6633"/>
        <item m="1" x="5666"/>
        <item m="1" x="5779"/>
        <item m="1" x="3814"/>
        <item m="1" x="7017"/>
        <item m="1" x="3445"/>
        <item m="1" x="7252"/>
        <item m="1" x="7975"/>
        <item m="1" x="4646"/>
        <item m="1" x="2676"/>
        <item m="1" x="5768"/>
        <item m="1" x="4700"/>
        <item m="1" x="5662"/>
        <item m="1" x="3721"/>
        <item m="1" x="4479"/>
        <item m="1" x="6337"/>
        <item m="1" x="6410"/>
        <item m="1" x="2831"/>
        <item m="1" x="4117"/>
        <item m="1" x="5353"/>
        <item m="1" x="3072"/>
        <item m="1" x="4309"/>
        <item m="1" x="6760"/>
        <item m="1" x="4996"/>
        <item m="1" x="6074"/>
        <item m="1" x="3255"/>
        <item m="1" x="2702"/>
        <item m="1" x="4247"/>
        <item m="1" x="5033"/>
        <item m="1" x="4236"/>
        <item m="1" x="6658"/>
        <item m="1" x="3291"/>
        <item m="1" x="4895"/>
        <item m="1" x="6311"/>
        <item m="1" x="5263"/>
        <item m="1" x="4036"/>
        <item m="1" x="6169"/>
        <item m="1" x="3461"/>
        <item m="1" x="6866"/>
        <item m="1" x="5661"/>
        <item m="1" x="7342"/>
        <item m="1" x="4300"/>
        <item m="1" x="4847"/>
        <item m="1" x="7125"/>
        <item m="1" x="3079"/>
        <item m="1" x="6395"/>
        <item m="1" x="7452"/>
        <item m="1" x="2761"/>
        <item m="1" x="4825"/>
        <item m="1" x="3229"/>
        <item m="1" x="4386"/>
        <item m="1" x="2775"/>
        <item m="1" x="3563"/>
        <item m="1" x="6403"/>
        <item m="1" x="4232"/>
        <item m="1" x="5133"/>
        <item m="1" x="5261"/>
        <item m="1" x="6962"/>
        <item m="1" x="4192"/>
        <item m="1" x="4029"/>
        <item m="1" x="5243"/>
        <item m="1" x="5993"/>
        <item m="1" x="2613"/>
        <item m="1" x="5687"/>
        <item m="1" x="7722"/>
        <item m="1" x="6716"/>
        <item m="1" x="7625"/>
        <item m="1" x="6471"/>
        <item m="1" x="3676"/>
        <item m="1" x="7329"/>
        <item m="1" x="6929"/>
        <item m="1" x="6959"/>
        <item m="1" x="3112"/>
        <item m="1" x="7746"/>
        <item m="1" x="6671"/>
        <item m="1" x="4693"/>
        <item m="1" x="3287"/>
        <item m="1" x="4593"/>
        <item m="1" x="6732"/>
        <item m="1" x="4121"/>
        <item m="1" x="3620"/>
        <item m="1" x="3212"/>
        <item m="1" x="7245"/>
        <item m="1" x="2537"/>
        <item m="1" x="6392"/>
        <item m="1" x="5491"/>
        <item m="1" x="4338"/>
        <item m="1" x="7790"/>
        <item m="1" x="7727"/>
        <item m="1" x="6874"/>
        <item m="1" x="3643"/>
        <item m="1" x="4761"/>
        <item m="1" x="4965"/>
        <item m="1" x="2622"/>
        <item m="1" x="6557"/>
        <item m="1" x="3781"/>
        <item m="1" x="3493"/>
        <item m="1" x="4540"/>
        <item m="1" x="3806"/>
        <item m="1" x="3060"/>
        <item m="1" x="5314"/>
        <item m="1" x="5896"/>
        <item m="1" x="7765"/>
        <item m="1" x="4071"/>
        <item m="1" x="6055"/>
        <item m="1" x="3001"/>
        <item m="1" x="3642"/>
        <item m="1" x="7822"/>
        <item m="1" x="7044"/>
        <item m="1" x="5906"/>
        <item m="1" x="3138"/>
        <item m="1" x="4673"/>
        <item m="1" x="6844"/>
        <item m="1" x="6625"/>
        <item m="1" x="7209"/>
        <item m="1" x="4922"/>
        <item m="1" x="6902"/>
        <item m="1" x="7273"/>
        <item m="1" x="6448"/>
        <item m="1" x="7865"/>
        <item m="1" x="6835"/>
        <item m="1" x="2845"/>
        <item m="1" x="4497"/>
        <item m="1" x="5032"/>
        <item m="1" x="3973"/>
        <item m="1" x="4134"/>
        <item m="1" x="6011"/>
        <item m="1" x="7134"/>
        <item m="1" x="6518"/>
        <item m="1" x="4037"/>
        <item m="1" x="3549"/>
        <item m="1" x="3918"/>
        <item m="1" x="4045"/>
        <item m="1" x="3266"/>
        <item m="1" x="7480"/>
        <item m="1" x="4468"/>
        <item m="1" x="6640"/>
        <item m="1" x="2930"/>
        <item m="1" x="7741"/>
        <item m="1" x="2655"/>
        <item m="1" x="5089"/>
        <item m="1" x="5608"/>
        <item m="1" x="5850"/>
        <item m="1" x="7123"/>
        <item m="1" x="5300"/>
        <item m="1" x="4035"/>
        <item m="1" x="3147"/>
        <item m="1" x="4470"/>
        <item m="1" x="4802"/>
        <item m="1" x="6958"/>
        <item m="1" x="7371"/>
        <item m="1" x="7734"/>
        <item m="1" x="3997"/>
        <item m="1" x="6834"/>
        <item m="1" x="3614"/>
        <item m="1" x="7769"/>
        <item m="1" x="6444"/>
        <item m="1" x="5427"/>
        <item m="1" x="5052"/>
        <item m="1" x="3083"/>
        <item m="1" x="5531"/>
        <item m="1" x="4928"/>
        <item m="1" x="7689"/>
        <item m="1" x="6723"/>
        <item m="1" x="6104"/>
        <item m="1" x="7742"/>
        <item m="1" x="2557"/>
        <item m="1" x="5763"/>
        <item m="1" x="5957"/>
        <item m="1" x="3294"/>
        <item m="1" x="3205"/>
        <item m="1" x="6879"/>
        <item m="1" x="2573"/>
        <item m="1" x="6741"/>
        <item m="1" x="4093"/>
        <item m="1" x="4560"/>
        <item m="1" x="5460"/>
        <item m="1" x="3840"/>
        <item m="1" x="6201"/>
        <item m="1" x="5667"/>
        <item m="1" x="3334"/>
        <item m="1" x="6209"/>
        <item m="1" x="7582"/>
        <item m="1" x="2764"/>
        <item m="1" x="5835"/>
        <item m="1" x="3550"/>
        <item m="1" x="4441"/>
        <item m="1" x="3024"/>
        <item m="1" x="2772"/>
        <item m="1" x="6908"/>
        <item m="1" x="2825"/>
        <item m="1" x="7153"/>
        <item m="1" x="3887"/>
        <item m="1" x="4964"/>
        <item m="1" x="3259"/>
        <item m="1" x="6725"/>
        <item m="1" x="4750"/>
        <item m="1" x="2560"/>
        <item m="1" x="6947"/>
        <item m="1" x="5128"/>
        <item m="1" x="4742"/>
        <item m="1" x="3873"/>
        <item m="1" x="3591"/>
        <item m="1" x="5597"/>
        <item m="1" x="3513"/>
        <item m="1" x="7624"/>
        <item m="1" x="4201"/>
        <item m="1" x="5331"/>
        <item m="1" x="4882"/>
        <item m="1" x="7792"/>
        <item m="1" x="5879"/>
        <item m="1" x="4229"/>
        <item m="1" x="5684"/>
        <item m="1" x="3783"/>
        <item m="1" x="5234"/>
        <item m="1" x="5719"/>
        <item m="1" x="7479"/>
        <item m="1" x="4637"/>
        <item m="1" x="3108"/>
        <item m="1" x="3007"/>
        <item m="1" x="3048"/>
        <item m="1" x="4962"/>
        <item m="1" x="5711"/>
        <item m="1" x="3906"/>
        <item m="1" x="3684"/>
        <item m="1" x="3539"/>
        <item m="1" x="3137"/>
        <item m="1" x="2881"/>
        <item m="1" x="2771"/>
        <item m="1" x="3622"/>
        <item m="1" x="7348"/>
        <item m="1" x="7362"/>
        <item m="1" x="7466"/>
        <item m="1" x="3172"/>
        <item m="1" x="7852"/>
        <item m="1" x="3450"/>
        <item m="1" x="6890"/>
        <item m="1" x="6092"/>
        <item m="1" x="6090"/>
        <item m="1" x="3182"/>
        <item m="1" x="3927"/>
        <item m="1" x="6686"/>
        <item m="1" x="3273"/>
        <item m="1" x="5324"/>
        <item m="1" x="4374"/>
        <item m="1" x="4147"/>
        <item m="1" x="4267"/>
        <item m="1" x="7154"/>
        <item m="1" x="2878"/>
        <item m="1" x="4904"/>
        <item m="1" x="4425"/>
        <item m="1" x="2672"/>
        <item m="1" x="3177"/>
        <item m="1" x="4911"/>
        <item m="1" x="7517"/>
        <item m="1" x="4983"/>
        <item m="1" x="7133"/>
        <item m="1" x="7751"/>
        <item m="1" x="2900"/>
        <item m="1" x="3338"/>
        <item m="1" x="5529"/>
        <item m="1" x="5615"/>
        <item m="1" x="2887"/>
        <item m="1" x="3855"/>
        <item m="1" x="4380"/>
        <item m="1" x="4784"/>
        <item m="1" x="3729"/>
        <item m="1" x="7544"/>
        <item m="1" x="3204"/>
        <item m="1" x="2720"/>
        <item m="1" x="7554"/>
        <item m="1" x="6898"/>
        <item m="1" x="5084"/>
        <item m="1" x="5227"/>
        <item m="1" x="3707"/>
        <item m="1" x="7191"/>
        <item m="1" x="5647"/>
        <item m="1" x="5927"/>
        <item m="1" x="6151"/>
        <item m="1" x="3191"/>
        <item m="1" x="5978"/>
        <item m="1" x="6777"/>
        <item m="1" x="6084"/>
        <item m="1" x="5482"/>
        <item m="1" x="2653"/>
        <item m="1" x="5071"/>
        <item m="1" x="5774"/>
        <item m="1" x="6525"/>
        <item m="1" x="6256"/>
        <item m="1" x="4522"/>
        <item m="1" x="5008"/>
        <item m="1" x="5880"/>
        <item m="1" x="6099"/>
        <item m="1" x="6173"/>
        <item m="1" x="2665"/>
        <item m="1" x="7702"/>
        <item m="1" x="3876"/>
        <item m="1" x="4176"/>
        <item m="1" x="3755"/>
        <item m="1" x="3671"/>
        <item m="1" x="4347"/>
        <item m="1" x="7066"/>
        <item m="1" x="4306"/>
        <item m="1" x="4082"/>
        <item m="1" x="4152"/>
        <item m="1" x="7748"/>
        <item m="1" x="5217"/>
        <item m="1" x="6528"/>
        <item m="1" x="4652"/>
        <item m="1" x="4493"/>
        <item m="1" x="4885"/>
        <item m="1" x="5800"/>
        <item m="1" x="6796"/>
        <item m="1" x="4360"/>
        <item m="1" x="6208"/>
        <item m="1" x="4423"/>
        <item m="1" x="7804"/>
        <item m="1" x="5423"/>
        <item m="1" x="6150"/>
        <item m="1" x="7028"/>
        <item m="1" x="3669"/>
        <item m="1" x="7111"/>
        <item m="1" x="6899"/>
        <item m="1" x="2967"/>
        <item m="1" x="4122"/>
        <item m="1" x="4213"/>
        <item m="1" x="5016"/>
        <item m="1" x="6621"/>
        <item m="1" x="5633"/>
        <item m="1" x="3249"/>
        <item m="1" x="7561"/>
        <item m="1" x="7140"/>
        <item m="1" x="4685"/>
        <item m="1" x="7303"/>
        <item m="1" x="7513"/>
        <item m="1" x="5279"/>
        <item m="1" x="2968"/>
        <item m="1" x="6407"/>
        <item m="1" x="3967"/>
        <item m="1" x="7381"/>
        <item m="1" x="6661"/>
        <item m="1" x="7537"/>
        <item m="1" x="2870"/>
        <item m="1" x="6138"/>
        <item m="1" x="4670"/>
        <item m="1" x="2961"/>
        <item m="1" x="2693"/>
        <item m="1" x="7833"/>
        <item m="1" x="5892"/>
        <item m="1" x="7189"/>
        <item m="1" x="4839"/>
        <item m="1" x="3842"/>
        <item m="1" x="5043"/>
        <item m="1" x="6174"/>
        <item m="1" x="7849"/>
        <item m="1" x="2664"/>
        <item m="1" x="7883"/>
        <item m="1" x="4007"/>
        <item m="1" x="7486"/>
        <item m="1" x="4744"/>
        <item m="1" x="6309"/>
        <item m="1" x="7545"/>
        <item m="1" x="7939"/>
        <item m="1" x="4392"/>
        <item m="1" x="5050"/>
        <item m="1" x="3824"/>
        <item m="1" x="3670"/>
        <item m="1" x="6054"/>
        <item m="1" x="3269"/>
        <item m="1" x="7208"/>
        <item m="1" x="6319"/>
        <item m="1" x="5439"/>
        <item m="1" x="3474"/>
        <item m="1" x="4948"/>
        <item m="1" x="6932"/>
        <item m="1" x="4565"/>
        <item m="1" x="5998"/>
        <item m="1" x="6791"/>
        <item m="1" x="7735"/>
        <item m="1" x="4611"/>
        <item m="1" x="5144"/>
        <item m="1" x="5001"/>
        <item m="1" x="4661"/>
        <item m="1" x="3545"/>
        <item m="1" x="4597"/>
        <item m="1" x="4246"/>
        <item m="1" x="6868"/>
        <item m="1" x="6933"/>
        <item m="1" x="3211"/>
        <item m="1" x="2818"/>
        <item m="1" x="7315"/>
        <item m="1" x="3319"/>
        <item m="1" x="6050"/>
        <item m="1" x="3066"/>
        <item m="1" x="7948"/>
        <item m="1" x="3057"/>
        <item m="1" x="3810"/>
        <item m="1" x="2815"/>
        <item m="1" x="5378"/>
        <item m="1" x="7256"/>
        <item m="1" x="2829"/>
        <item m="1" x="5792"/>
        <item m="1" x="4632"/>
        <item m="1" x="5388"/>
        <item m="1" x="4815"/>
        <item m="1" x="3637"/>
        <item m="1" x="5802"/>
        <item m="1" x="4237"/>
        <item m="1" x="4640"/>
        <item m="1" x="5576"/>
        <item m="1" x="3071"/>
        <item m="1" x="5127"/>
        <item m="1" x="6970"/>
        <item m="1" x="7147"/>
        <item m="1" x="3327"/>
        <item m="1" x="6217"/>
        <item m="1" x="5623"/>
        <item m="1" x="6243"/>
        <item m="1" x="3556"/>
        <item m="1" x="4273"/>
        <item m="1" x="5156"/>
        <item m="1" x="6213"/>
        <item m="1" x="7357"/>
        <item m="1" x="5521"/>
        <item m="1" x="6927"/>
        <item m="1" x="5240"/>
        <item m="1" x="7152"/>
        <item m="1" x="3176"/>
        <item m="1" x="4337"/>
        <item m="1" x="7753"/>
        <item m="1" x="7693"/>
        <item m="1" x="3826"/>
        <item m="1" x="4886"/>
        <item m="1" x="3753"/>
        <item m="1" x="7131"/>
        <item m="1" x="2644"/>
        <item m="1" x="6800"/>
        <item m="1" x="2850"/>
        <item m="1" x="6301"/>
        <item m="1" x="7910"/>
        <item m="1" x="2863"/>
        <item m="1" x="2902"/>
        <item m="1" x="3230"/>
        <item m="1" x="3798"/>
        <item m="1" x="7305"/>
        <item m="1" x="4046"/>
        <item m="1" x="5634"/>
        <item m="1" x="5951"/>
        <item m="1" x="4615"/>
        <item m="1" x="6449"/>
        <item m="1" x="6111"/>
        <item m="1" x="4199"/>
        <item m="1" x="3963"/>
        <item m="1" x="6635"/>
        <item m="1" x="5453"/>
        <item m="1" x="4163"/>
        <item m="1" x="3436"/>
        <item m="1" x="7673"/>
        <item m="1" x="7844"/>
        <item m="1" x="6452"/>
        <item m="1" x="3837"/>
        <item m="1" x="2997"/>
        <item m="1" x="4287"/>
        <item m="1" x="4178"/>
        <item m="1" x="3592"/>
        <item m="1" x="5373"/>
        <item m="1" x="5574"/>
        <item m="1" x="3775"/>
        <item m="1" x="6499"/>
        <item m="1" x="2667"/>
        <item m="1" x="4711"/>
        <item m="1" x="3964"/>
        <item m="1" x="6590"/>
        <item m="1" x="5142"/>
        <item m="1" x="7958"/>
        <item m="1" x="2727"/>
        <item m="1" x="7169"/>
        <item m="1" x="6105"/>
        <item m="1" x="4464"/>
        <item m="1" x="7404"/>
        <item m="1" x="2876"/>
        <item m="1" x="2857"/>
        <item m="1" x="5869"/>
        <item m="1" x="7097"/>
        <item m="1" x="3609"/>
        <item m="1" x="6969"/>
        <item m="1" x="4687"/>
        <item m="1" x="3220"/>
        <item m="1" x="3132"/>
        <item m="1" x="7383"/>
        <item m="1" x="7829"/>
        <item m="1" x="3448"/>
        <item m="1" x="4500"/>
        <item m="1" x="6498"/>
        <item m="1" x="7791"/>
        <item m="1" x="2737"/>
        <item m="1" x="7446"/>
        <item m="1" x="6163"/>
        <item m="1" x="5946"/>
        <item m="1" x="3380"/>
        <item m="1" x="5659"/>
        <item m="1" x="5724"/>
        <item m="1" x="5199"/>
        <item m="1" x="4331"/>
        <item m="1" x="4296"/>
        <item m="1" x="4523"/>
        <item m="1" x="4282"/>
        <item m="1" x="7104"/>
        <item m="1" x="5836"/>
        <item m="1" x="5346"/>
        <item m="1" x="5554"/>
        <item m="1" x="6821"/>
        <item m="1" x="4955"/>
        <item m="1" x="7347"/>
        <item m="1" x="4627"/>
        <item m="1" x="2954"/>
        <item m="1" x="7666"/>
        <item m="1" x="4449"/>
        <item m="1" x="5938"/>
        <item m="1" x="5095"/>
        <item m="1" x="7001"/>
        <item m="1" x="5180"/>
        <item m="1" x="6735"/>
        <item m="1" x="6690"/>
        <item m="1" x="6292"/>
        <item m="1" x="3192"/>
        <item m="1" x="3522"/>
        <item m="1" x="3598"/>
        <item m="1" x="4021"/>
        <item m="1" x="2497"/>
        <item m="1" x="3953"/>
        <item m="1" x="7857"/>
        <item m="1" x="5937"/>
        <item m="1" x="3047"/>
        <item m="1" x="4648"/>
        <item m="1" x="7304"/>
        <item m="1" x="5185"/>
        <item m="1" x="5297"/>
        <item m="1" x="5193"/>
        <item m="1" x="2920"/>
        <item m="1" x="4682"/>
        <item m="1" x="6079"/>
        <item m="1" x="6306"/>
        <item m="1" x="7029"/>
        <item m="1" x="5187"/>
        <item m="1" x="5870"/>
        <item m="1" x="7839"/>
        <item m="1" x="5315"/>
        <item m="1" x="5620"/>
        <item m="1" x="7129"/>
        <item m="1" x="3026"/>
        <item m="1" x="7484"/>
        <item m="1" x="7423"/>
        <item m="1" x="7509"/>
        <item m="1" x="6546"/>
        <item m="1" x="2670"/>
        <item m="1" x="4270"/>
        <item m="1" x="5034"/>
        <item m="1" x="5319"/>
        <item m="1" x="4240"/>
        <item m="1" x="6792"/>
        <item m="1" x="3834"/>
        <item m="1" x="6642"/>
        <item m="1" x="6482"/>
        <item m="1" x="7101"/>
        <item m="1" x="6626"/>
        <item m="1" x="4550"/>
        <item m="1" x="6789"/>
        <item m="1" x="7918"/>
        <item m="1" x="5158"/>
        <item m="1" x="7180"/>
        <item m="1" x="7229"/>
        <item m="1" x="6803"/>
        <item m="1" x="2525"/>
        <item m="1" x="6721"/>
        <item m="1" x="7913"/>
        <item m="1" x="4767"/>
        <item m="1" x="3346"/>
        <item m="1" x="3573"/>
        <item m="1" x="6192"/>
        <item m="1" x="6654"/>
        <item m="1" x="4813"/>
        <item m="1" x="3613"/>
        <item m="1" x="6179"/>
        <item m="1" x="4641"/>
        <item m="1" x="3536"/>
        <item m="1" x="5612"/>
        <item m="1" x="5884"/>
        <item m="1" x="5463"/>
        <item m="1" x="2844"/>
        <item m="1" x="4714"/>
        <item m="1" x="6831"/>
        <item m="1" x="6756"/>
        <item m="1" x="6343"/>
        <item m="1" x="7708"/>
        <item m="1" x="7726"/>
        <item m="1" x="5242"/>
        <item m="1" x="2848"/>
        <item m="1" x="4494"/>
        <item m="1" x="3801"/>
        <item m="1" x="3314"/>
        <item m="1" x="5837"/>
        <item m="1" x="3031"/>
        <item m="1" x="5400"/>
        <item m="1" x="5524"/>
        <item m="1" x="6744"/>
        <item m="1" x="3570"/>
        <item m="1" x="7770"/>
        <item m="1" x="2778"/>
        <item m="1" x="4778"/>
        <item m="1" x="6130"/>
        <item m="1" x="5738"/>
        <item m="1" x="2749"/>
        <item m="1" x="6501"/>
        <item m="1" x="7692"/>
        <item m="1" x="4396"/>
        <item m="1" x="5723"/>
        <item m="1" x="4931"/>
        <item m="1" x="7296"/>
        <item m="1" x="5987"/>
        <item m="1" x="6032"/>
        <item m="1" x="5722"/>
        <item m="1" x="7797"/>
        <item m="1" x="7285"/>
        <item m="1" x="6462"/>
        <item m="1" x="6558"/>
        <item m="1" x="7739"/>
        <item m="1" x="4505"/>
        <item m="1" x="5878"/>
        <item m="1" x="6888"/>
        <item m="1" x="5023"/>
        <item m="1" x="6573"/>
        <item m="1" x="7253"/>
        <item m="1" x="3992"/>
        <item m="1" x="4105"/>
        <item m="1" x="6514"/>
        <item m="1" x="5450"/>
        <item m="1" x="6936"/>
        <item m="1" x="3595"/>
        <item m="1" x="5260"/>
        <item m="1" x="3383"/>
        <item m="1" x="2853"/>
        <item m="1" x="7431"/>
        <item m="1" x="4999"/>
        <item m="1" x="7767"/>
        <item m="1" x="7430"/>
        <item m="1" x="7398"/>
        <item m="1" x="7284"/>
        <item m="1" x="5098"/>
        <item m="1" x="5377"/>
        <item m="1" x="7862"/>
        <item m="1" x="5041"/>
        <item m="1" x="3762"/>
        <item m="1" x="3352"/>
        <item m="1" x="2579"/>
        <item m="1" x="3952"/>
        <item m="1" x="6406"/>
        <item m="1" x="4265"/>
        <item m="1" x="2538"/>
        <item m="1" x="5162"/>
        <item m="1" x="6096"/>
        <item m="1" x="6231"/>
        <item m="1" x="4838"/>
        <item m="1" x="5051"/>
        <item m="1" x="2668"/>
        <item m="1" x="4397"/>
        <item m="1" x="5499"/>
        <item m="1" x="2807"/>
        <item m="1" x="4334"/>
        <item m="1" x="3462"/>
        <item m="1" x="4403"/>
        <item m="1" x="6064"/>
        <item m="1" x="4446"/>
        <item m="1" x="6303"/>
        <item m="1" x="5639"/>
        <item m="1" x="6226"/>
        <item m="1" x="6175"/>
        <item m="1" x="3373"/>
        <item m="1" x="4716"/>
        <item m="1" x="5799"/>
        <item m="1" x="4281"/>
        <item m="1" x="6401"/>
        <item m="1" x="4269"/>
        <item m="1" x="2627"/>
        <item m="1" x="6978"/>
        <item m="1" x="6712"/>
        <item m="1" x="7718"/>
        <item m="1" x="5362"/>
        <item m="1" x="7267"/>
        <item m="1" x="6081"/>
        <item m="1" x="2801"/>
        <item m="1" x="2923"/>
        <item m="1" x="4731"/>
        <item m="1" x="4260"/>
        <item m="1" x="4984"/>
        <item m="1" x="3857"/>
        <item m="1" x="4806"/>
        <item m="1" x="4539"/>
        <item m="1" x="6986"/>
        <item m="1" x="4582"/>
        <item m="1" x="4831"/>
        <item m="1" x="7956"/>
        <item m="1" x="6442"/>
        <item m="1" x="2711"/>
        <item m="1" x="6893"/>
        <item m="1" x="5520"/>
        <item m="1" x="5272"/>
        <item m="1" x="4116"/>
        <item m="1" x="6609"/>
        <item m="1" x="4527"/>
        <item m="1" x="2605"/>
        <item m="1" x="7042"/>
        <item m="1" x="7367"/>
        <item m="1" x="6215"/>
        <item m="1" x="3950"/>
        <item m="1" x="7834"/>
        <item m="1" x="6832"/>
        <item m="1" x="7639"/>
        <item m="1" x="2623"/>
        <item m="1" x="4389"/>
        <item m="1" x="7848"/>
        <item m="1" x="6910"/>
        <item m="1" x="5766"/>
        <item m="1" x="5925"/>
        <item m="1" x="4415"/>
        <item m="1" x="6851"/>
        <item m="1" x="6713"/>
        <item m="1" x="6052"/>
        <item m="1" x="7118"/>
        <item m="1" x="4097"/>
        <item m="1" x="4745"/>
        <item m="1" x="6570"/>
        <item m="1" x="6177"/>
        <item m="1" x="3053"/>
        <item m="1" x="4430"/>
        <item m="1" x="7552"/>
        <item m="1" x="7874"/>
        <item m="1" x="5743"/>
        <item m="1" x="4181"/>
        <item m="1" x="2564"/>
        <item m="1" x="7925"/>
        <item m="1" x="3308"/>
        <item m="1" x="4990"/>
        <item m="1" x="3566"/>
        <item m="1" x="7670"/>
        <item m="1" x="6928"/>
        <item m="1" x="6638"/>
        <item m="1" x="7425"/>
        <item m="1" x="6810"/>
        <item m="1" x="6424"/>
        <item m="1" x="6194"/>
        <item m="1" x="6002"/>
        <item m="1" x="5595"/>
        <item m="1" x="7382"/>
        <item m="1" x="3912"/>
        <item m="1" x="6185"/>
        <item m="1" x="7263"/>
        <item m="1" x="3726"/>
        <item m="1" x="4053"/>
        <item m="1" x="4511"/>
        <item m="1" x="4391"/>
        <item m="1" x="7082"/>
        <item m="1" x="7325"/>
        <item m="1" x="4050"/>
        <item m="1" x="6124"/>
        <item m="1" x="7354"/>
        <item m="1" x="3991"/>
        <item m="1" x="5090"/>
        <item m="1" x="7733"/>
        <item m="1" x="5675"/>
        <item m="1" x="3225"/>
        <item m="1" x="7976"/>
        <item m="1" x="7220"/>
        <item m="1" x="6323"/>
        <item m="1" x="2643"/>
        <item m="1" x="6033"/>
        <item m="1" x="6082"/>
        <item m="1" x="7050"/>
        <item m="1" x="7254"/>
        <item m="1" x="3771"/>
        <item m="1" x="4934"/>
        <item m="1" x="4388"/>
        <item m="1" x="6205"/>
        <item m="1" x="3366"/>
        <item m="1" x="6895"/>
        <item m="1" x="7185"/>
        <item m="1" x="6000"/>
        <item m="1" x="4107"/>
        <item m="1" x="4266"/>
        <item m="1" x="5699"/>
        <item m="1" x="5864"/>
        <item m="1" x="4075"/>
        <item m="1" x="5613"/>
        <item m="1" x="7503"/>
        <item m="1" x="3959"/>
        <item m="1" x="3427"/>
        <item m="1" x="6251"/>
        <item m="1" x="2762"/>
        <item m="1" x="7921"/>
        <item m="1" x="4230"/>
        <item m="1" x="6383"/>
        <item m="1" x="7730"/>
        <item m="1" x="4819"/>
        <item m="1" x="5960"/>
        <item m="1" x="3655"/>
        <item m="1" x="6620"/>
        <item m="1" x="5119"/>
        <item m="1" x="4612"/>
        <item m="1" x="2792"/>
        <item m="1" x="2922"/>
        <item m="1" x="5631"/>
        <item m="1" x="5160"/>
        <item m="1" x="5456"/>
        <item m="1" x="2491"/>
        <item m="1" x="7604"/>
        <item m="1" x="3006"/>
        <item m="1" x="3750"/>
        <item m="1" x="2514"/>
        <item m="1" x="7004"/>
        <item m="1" x="5396"/>
        <item m="1" x="5712"/>
        <item m="1" x="2600"/>
        <item m="1" x="7496"/>
        <item m="1" x="7406"/>
        <item m="1" x="4756"/>
        <item m="1" x="4238"/>
        <item m="1" x="3341"/>
        <item m="1" x="7679"/>
        <item m="1" x="3483"/>
        <item m="1" x="2742"/>
        <item m="1" x="6667"/>
        <item m="1" x="4447"/>
        <item m="1" x="5932"/>
        <item m="1" x="2716"/>
        <item m="1" x="6672"/>
        <item m="1" x="2981"/>
        <item m="1" x="5526"/>
        <item m="1" x="6358"/>
        <item m="1" x="7680"/>
        <item m="1" x="6883"/>
        <item m="1" x="4746"/>
        <item m="1" x="2633"/>
        <item m="1" x="3533"/>
        <item m="1" x="6146"/>
        <item m="1" x="7170"/>
        <item m="1" x="4060"/>
        <item m="1" x="5629"/>
        <item m="1" x="7989"/>
        <item m="1" x="4697"/>
        <item m="1" x="4977"/>
        <item m="1" x="5476"/>
        <item m="1" x="4013"/>
        <item m="1" x="4356"/>
        <item m="1" x="7987"/>
        <item m="1" x="5219"/>
        <item m="1" x="6615"/>
        <item m="1" x="6618"/>
        <item m="1" x="5262"/>
        <item m="1" x="6421"/>
        <item m="1" x="3384"/>
        <item m="1" x="7415"/>
        <item m="1" x="6679"/>
        <item m="1" x="2912"/>
        <item m="1" x="3396"/>
        <item m="1" x="7591"/>
        <item m="1" x="6479"/>
        <item m="1" x="5259"/>
        <item m="1" x="4083"/>
        <item m="1" x="7773"/>
        <item m="1" x="4897"/>
        <item m="1" x="7260"/>
        <item m="1" x="6759"/>
        <item m="1" x="7619"/>
        <item m="1" x="5759"/>
        <item m="1" x="4989"/>
        <item m="1" x="2691"/>
        <item m="1" x="7799"/>
        <item m="1" x="3235"/>
        <item m="1" x="4835"/>
        <item m="1" x="2859"/>
        <item m="1" x="6709"/>
        <item m="1" x="4669"/>
        <item m="1" x="3333"/>
        <item m="1" x="5203"/>
        <item m="1" x="7310"/>
        <item m="1" x="5301"/>
        <item m="1" x="6160"/>
        <item m="1" x="4362"/>
        <item m="1" x="4907"/>
        <item m="1" x="4023"/>
        <item m="1" x="5605"/>
        <item m="1" x="4358"/>
        <item m="1" x="7756"/>
        <item m="1" x="7643"/>
        <item m="1" x="6766"/>
        <item m="1" x="7333"/>
        <item m="1" x="6274"/>
        <item m="1" x="3218"/>
        <item m="1" x="4832"/>
        <item m="1" x="6603"/>
        <item m="1" x="7223"/>
        <item m="1" x="6360"/>
        <item m="1" x="4733"/>
        <item m="1" x="5718"/>
        <item m="1" x="5769"/>
        <item m="1" x="3920"/>
        <item m="1" x="6761"/>
        <item m="1" x="3849"/>
        <item m="1" x="6030"/>
        <item m="1" x="3045"/>
        <item m="1" x="4953"/>
        <item m="1" x="5676"/>
        <item m="1" x="7338"/>
        <item m="1" x="4472"/>
        <item m="1" x="7233"/>
        <item m="1" x="3706"/>
        <item m="1" x="7477"/>
        <item m="1" x="4722"/>
        <item m="1" x="3893"/>
        <item m="1" x="4643"/>
        <item m="1" x="5399"/>
        <item m="1" x="4367"/>
        <item m="1" x="7041"/>
        <item m="1" x="4521"/>
        <item m="1" x="6122"/>
        <item m="1" x="7334"/>
        <item m="1" x="7262"/>
        <item m="1" x="4710"/>
        <item m="1" x="5177"/>
        <item m="1" x="4335"/>
        <item m="1" x="3126"/>
        <item m="1" x="2722"/>
        <item m="1" x="3163"/>
        <item m="1" x="5289"/>
        <item m="1" x="2973"/>
        <item m="1" x="6650"/>
        <item m="1" x="7904"/>
        <item m="1" x="6493"/>
        <item m="1" x="2992"/>
        <item m="1" x="6423"/>
        <item m="1" x="5831"/>
        <item m="1" x="2789"/>
        <item m="1" x="2520"/>
        <item m="1" x="4264"/>
        <item m="1" x="6771"/>
        <item m="1" x="7034"/>
        <item m="1" x="6802"/>
        <item m="1" x="7119"/>
        <item m="1" x="3955"/>
        <item m="1" x="7108"/>
        <item m="1" x="3572"/>
        <item m="1" x="7842"/>
        <item m="1" x="3970"/>
        <item m="1" x="3615"/>
        <item m="1" x="6034"/>
        <item m="1" x="2933"/>
        <item m="1" x="2696"/>
        <item m="1" x="5356"/>
        <item m="1" x="7327"/>
        <item m="1" x="3405"/>
        <item m="1" x="6060"/>
        <item m="1" x="6911"/>
        <item m="1" x="3881"/>
        <item m="1" x="7476"/>
        <item m="1" x="4601"/>
        <item m="1" x="7010"/>
        <item m="1" x="5387"/>
        <item m="1" x="5809"/>
        <item m="1" x="5941"/>
        <item m="1" x="7866"/>
        <item m="1" x="5541"/>
        <item m="1" x="3680"/>
        <item m="1" x="5106"/>
        <item m="1" x="2814"/>
        <item m="1" x="5820"/>
        <item m="1" x="4841"/>
        <item m="1" x="5842"/>
        <item m="1" x="7270"/>
        <item m="1" x="6362"/>
        <item m="1" x="7766"/>
        <item m="1" x="3696"/>
        <item m="1" x="7988"/>
        <item m="1" x="7205"/>
        <item m="1" x="4939"/>
        <item m="1" x="4528"/>
        <item m="1" x="4600"/>
        <item m="1" x="7515"/>
        <item m="1" x="5645"/>
        <item m="1" x="4185"/>
        <item m="1" x="5806"/>
        <item m="1" x="3379"/>
        <item m="1" x="5070"/>
        <item m="1" x="3256"/>
        <item m="1" x="6143"/>
        <item m="1" x="2731"/>
        <item m="1" x="4130"/>
        <item m="1" x="2601"/>
        <item m="1" x="5761"/>
        <item m="1" x="5640"/>
        <item m="1" x="3023"/>
        <item m="1" x="2705"/>
        <item m="1" x="3433"/>
        <item m="1" x="6171"/>
        <item m="1" x="3532"/>
        <item m="1" x="3374"/>
        <item m="1" x="5477"/>
        <item m="1" x="6698"/>
        <item m="1" x="7768"/>
        <item m="1" x="3397"/>
        <item m="1" x="5650"/>
        <item m="1" x="7268"/>
        <item m="1" x="3258"/>
        <item m="1" x="6560"/>
        <item m="1" x="5789"/>
        <item m="1" x="5678"/>
        <item m="1" x="6196"/>
        <item m="1" x="7723"/>
        <item m="1" x="6611"/>
        <item m="1" x="6324"/>
        <item m="1" x="5124"/>
        <item m="1" x="5024"/>
        <item m="1" x="6199"/>
        <item m="1" x="6854"/>
        <item m="1" x="7725"/>
        <item m="1" x="5584"/>
        <item m="1" x="6333"/>
        <item m="1" x="4381"/>
        <item m="1" x="6595"/>
        <item m="1" x="3329"/>
        <item m="1" x="6728"/>
        <item m="1" x="5805"/>
        <item m="1" x="6380"/>
        <item m="1" x="6694"/>
        <item m="1" x="5916"/>
        <item m="1" x="5862"/>
        <item m="1" x="4407"/>
        <item m="1" x="4208"/>
        <item m="1" x="5958"/>
        <item m="1" x="4812"/>
        <item m="1" x="3209"/>
        <item m="1" x="6187"/>
        <item m="1" x="4364"/>
        <item m="1" x="4506"/>
        <item m="1" x="5899"/>
        <item m="1" x="5585"/>
        <item m="1" x="2728"/>
        <item m="1" x="7432"/>
        <item m="1" x="3302"/>
        <item m="1" x="6121"/>
        <item m="1" x="2679"/>
        <item m="1" x="2919"/>
        <item m="1" x="3080"/>
        <item m="1" x="3891"/>
        <item m="1" x="7360"/>
        <item m="1" x="5579"/>
        <item m="1" x="6734"/>
        <item m="1" x="7344"/>
        <item m="1" x="4662"/>
        <item m="1" x="3184"/>
        <item m="1" x="3698"/>
        <item m="1" x="5690"/>
        <item m="1" x="7593"/>
        <item m="1" x="3394"/>
        <item m="1" x="3691"/>
        <item m="1" x="6505"/>
        <item m="1" x="6916"/>
        <item m="1" x="7801"/>
        <item m="1" x="7160"/>
        <item m="1" x="4645"/>
        <item m="1" x="7221"/>
        <item m="1" x="5115"/>
        <item m="1" x="2955"/>
        <item m="1" x="6308"/>
        <item m="1" x="6349"/>
        <item m="1" x="5976"/>
        <item m="1" x="6411"/>
        <item m="1" x="3880"/>
        <item m="1" x="6906"/>
        <item m="1" x="3984"/>
        <item m="1" x="2718"/>
        <item m="1" x="3488"/>
        <item m="1" x="3611"/>
        <item m="1" x="7802"/>
        <item m="1" x="6465"/>
        <item m="1" x="5727"/>
        <item m="1" x="7541"/>
        <item m="1" x="4609"/>
        <item m="1" x="7069"/>
        <item m="1" x="7139"/>
        <item m="1" x="3551"/>
        <item m="1" x="3425"/>
        <item m="1" x="7814"/>
        <item m="1" x="4789"/>
        <item m="1" x="5411"/>
        <item m="1" x="3014"/>
        <item m="1" x="3120"/>
        <item m="1" x="5114"/>
        <item m="1" x="4495"/>
        <item m="1" x="7300"/>
        <item m="1" x="4937"/>
        <item m="1" x="5136"/>
        <item m="1" x="4947"/>
        <item m="1" x="2952"/>
        <item m="1" x="3330"/>
        <item m="1" x="6824"/>
        <item m="1" x="5360"/>
        <item m="1" x="4483"/>
        <item m="1" x="7297"/>
        <item m="1" x="4104"/>
        <item m="1" x="7618"/>
        <item m="1" x="4508"/>
        <item m="1" x="6166"/>
        <item m="1" x="2883"/>
        <item m="1" x="6116"/>
        <item m="1" x="3174"/>
        <item m="1" x="6065"/>
        <item m="1" x="5772"/>
        <item m="1" x="3412"/>
        <item m="1" x="5022"/>
        <item m="1" x="3277"/>
        <item m="1" x="3183"/>
        <item m="1" x="7392"/>
        <item m="1" x="5834"/>
        <item m="1" x="7487"/>
        <item m="1" x="2619"/>
        <item m="1" x="5893"/>
        <item m="1" x="3305"/>
        <item m="1" x="6552"/>
        <item m="1" x="2562"/>
        <item m="1" x="3800"/>
        <item m="1" x="5868"/>
        <item m="1" x="5280"/>
        <item m="1" x="5910"/>
        <item m="1" x="7869"/>
        <item m="1" x="2839"/>
        <item m="1" x="6097"/>
        <item m="1" x="5168"/>
        <item m="1" x="3297"/>
        <item m="1" x="2529"/>
        <item m="1" x="3078"/>
        <item m="1" x="6561"/>
        <item m="1" x="4092"/>
        <item m="1" x="3542"/>
        <item m="1" x="7762"/>
        <item m="1" x="7420"/>
        <item m="1" x="5504"/>
        <item m="1" x="6763"/>
        <item m="1" x="5516"/>
        <item m="1" x="3928"/>
        <item m="1" x="3391"/>
        <item m="1" x="6229"/>
        <item m="1" x="6263"/>
        <item m="1" x="7993"/>
        <item m="1" x="6931"/>
        <item m="1" x="6043"/>
        <item m="1" x="3385"/>
        <item m="1" x="5404"/>
        <item m="1" x="6850"/>
        <item m="1" x="2550"/>
        <item m="1" x="7351"/>
        <item m="1" x="5592"/>
        <item m="1" x="5986"/>
        <item m="1" x="2594"/>
        <item m="1" x="3858"/>
        <item m="1" x="6470"/>
        <item m="1" x="5447"/>
        <item m="1" x="5383"/>
        <item m="1" x="3073"/>
        <item m="1" x="3013"/>
        <item m="1" x="6684"/>
        <item m="1" x="5994"/>
        <item m="1" x="4654"/>
        <item m="1" x="7818"/>
        <item m="1" x="2530"/>
        <item m="1" x="5935"/>
        <item m="1" x="3219"/>
        <item m="1" x="6607"/>
        <item m="1" x="7548"/>
        <item m="1" x="7916"/>
        <item m="1" x="4563"/>
        <item m="1" x="3981"/>
        <item m="1" x="7596"/>
        <item m="1" x="2669"/>
        <item m="1" x="3793"/>
        <item m="1" x="5782"/>
        <item m="1" x="7046"/>
        <item m="1" x="4405"/>
        <item m="1" x="7613"/>
        <item m="1" x="6259"/>
        <item m="1" x="7346"/>
        <item m="1" x="6738"/>
        <item m="1" x="7449"/>
        <item m="1" x="3658"/>
        <item m="1" x="4390"/>
        <item m="1" x="4219"/>
        <item m="1" x="5736"/>
        <item m="1" x="3789"/>
        <item m="1" x="4150"/>
        <item m="1" x="3724"/>
        <item m="1" x="5244"/>
        <item m="1" x="5967"/>
        <item m="1" x="4801"/>
        <item m="1" x="5919"/>
        <item m="1" x="6109"/>
        <item m="1" x="6008"/>
        <item m="1" x="5343"/>
        <item m="1" x="5696"/>
        <item m="1" x="2750"/>
        <item m="1" x="2570"/>
        <item m="1" x="5845"/>
        <item m="1" x="7482"/>
        <item m="1" x="7575"/>
        <item m="1" x="3761"/>
        <item m="1" x="7607"/>
        <item m="1" x="2896"/>
        <item m="1" x="3442"/>
        <item m="1" x="4920"/>
        <item m="1" x="3874"/>
        <item m="1" x="3241"/>
        <item m="1" x="3288"/>
        <item m="1" x="5781"/>
        <item m="1" x="2663"/>
        <item m="1" x="7244"/>
        <item m="1" x="5872"/>
        <item m="1" x="4618"/>
        <item m="1" x="4894"/>
        <item m="1" x="7677"/>
        <item m="1" x="3307"/>
        <item m="1" x="3148"/>
        <item m="1" x="6859"/>
        <item m="1" x="3222"/>
        <item m="1" x="6966"/>
        <item m="1" x="3486"/>
        <item m="1" x="5276"/>
        <item m="1" x="4826"/>
        <item m="1" x="6348"/>
        <item m="1" x="4144"/>
        <item m="1" x="3790"/>
        <item m="1" x="2689"/>
        <item m="1" x="7912"/>
        <item m="1" x="3514"/>
        <item m="1" x="2719"/>
        <item m="1" x="3441"/>
        <item m="1" x="2804"/>
        <item m="1" x="4018"/>
        <item m="1" x="4285"/>
        <item m="1" x="3509"/>
        <item m="1" x="5908"/>
        <item m="1" x="7882"/>
        <item m="1" x="7800"/>
        <item m="1" x="3518"/>
        <item m="1" x="2604"/>
        <item m="1" x="3923"/>
        <item m="1" x="3323"/>
        <item m="1" x="4836"/>
        <item m="1" x="6739"/>
        <item m="1" x="6366"/>
        <item m="1" x="4329"/>
        <item m="1" x="5890"/>
        <item m="1" x="7103"/>
        <item m="1" x="3234"/>
        <item m="1" x="4807"/>
        <item m="1" x="7821"/>
        <item m="1" x="3627"/>
        <item m="1" x="6697"/>
        <item m="1" x="7525"/>
        <item m="1" x="6809"/>
        <item m="1" x="5692"/>
        <item m="1" x="7745"/>
        <item m="1" x="7716"/>
        <item m="1" x="5087"/>
        <item m="1" x="7454"/>
        <item m="1" x="2947"/>
        <item m="1" x="3030"/>
        <item m="1" x="6101"/>
        <item m="1" x="6454"/>
        <item m="1" x="2721"/>
        <item m="1" x="7998"/>
        <item m="1" x="7806"/>
        <item m="1" x="4062"/>
        <item m="1" x="4881"/>
        <item m="1" x="4184"/>
        <item m="1" x="3421"/>
        <item m="1" x="6186"/>
        <item m="1" x="7222"/>
        <item m="1" x="4040"/>
        <item m="1" x="7207"/>
        <item m="1" x="2828"/>
        <item m="1" x="2999"/>
        <item m="1" x="4830"/>
        <item m="1" x="6717"/>
        <item m="1" x="2777"/>
        <item m="1" x="2496"/>
        <item m="1" x="7495"/>
        <item m="1" x="7064"/>
        <item m="1" x="4604"/>
        <item m="1" x="7274"/>
        <item m="1" x="4160"/>
        <item m="1" x="5049"/>
        <item m="1" x="4613"/>
        <item m="1" x="4210"/>
        <item m="1" x="6291"/>
        <item m="1" x="7341"/>
        <item m="1" x="2905"/>
        <item m="1" x="4971"/>
        <item m="1" x="3582"/>
        <item m="1" x="5497"/>
        <item m="1" x="4799"/>
        <item m="1" x="5394"/>
        <item m="1" x="4967"/>
        <item m="1" x="7854"/>
        <item m="1" x="7298"/>
        <item m="1" x="4536"/>
        <item m="1" x="4115"/>
        <item m="1" x="2658"/>
        <item m="1" x="4431"/>
        <item m="1" x="3435"/>
        <item m="1" x="2561"/>
        <item m="1" x="7494"/>
        <item m="1" x="5410"/>
        <item m="1" x="6884"/>
        <item m="1" x="3735"/>
        <item m="1" x="4893"/>
        <item m="1" x="7884"/>
        <item m="1" x="6409"/>
        <item m="1" x="5839"/>
        <item m="1" x="4726"/>
        <item m="1" x="4168"/>
        <item m="1" x="2565"/>
        <item m="1" x="7107"/>
        <item m="1" x="7937"/>
        <item m="1" x="7322"/>
        <item m="1" x="5186"/>
        <item m="1" x="3082"/>
        <item m="1" x="3263"/>
        <item m="1" x="6783"/>
        <item m="1" x="7895"/>
        <item m="1" x="3951"/>
        <item m="1" x="3128"/>
        <item m="1" x="6897"/>
        <item m="1" x="7121"/>
        <item m="1" x="3503"/>
        <item m="1" x="7873"/>
        <item m="1" x="6585"/>
        <item m="1" x="7867"/>
        <item m="1" x="5547"/>
        <item m="1" x="4927"/>
        <item m="1" x="3757"/>
        <item m="1" x="7911"/>
        <item m="1" x="2640"/>
        <item m="1" x="5190"/>
        <item m="1" x="6604"/>
        <item m="1" x="7510"/>
        <item m="1" x="3788"/>
        <item m="1" x="3599"/>
        <item m="1" x="2765"/>
        <item m="1" x="3884"/>
        <item m="1" x="2708"/>
        <item m="1" x="3202"/>
        <item m="1" x="7795"/>
        <item m="1" x="6691"/>
        <item m="1" x="5151"/>
        <item m="1" x="4336"/>
        <item m="1" x="6234"/>
        <item m="1" x="2944"/>
        <item m="1" x="7504"/>
        <item m="1" x="7935"/>
        <item m="1" x="6204"/>
        <item m="1" x="5596"/>
        <item m="1" x="6134"/>
        <item m="1" x="6242"/>
        <item m="1" x="2907"/>
        <item m="1" x="3068"/>
        <item m="1" x="6180"/>
        <item m="1" x="5715"/>
        <item m="1" x="6819"/>
        <item m="1" x="4127"/>
        <item m="1" x="4650"/>
        <item m="1" x="4284"/>
        <item m="1" x="5513"/>
        <item m="1" x="3169"/>
        <item m="1" x="6543"/>
        <item m="1" x="6167"/>
        <item m="1" x="2916"/>
        <item m="1" x="6006"/>
        <item m="1" x="6582"/>
        <item m="1" x="6255"/>
        <item m="1" x="3027"/>
        <item m="1" x="7403"/>
        <item m="1" x="4871"/>
        <item m="1" x="4069"/>
        <item m="1" x="3907"/>
        <item m="1" x="5295"/>
        <item m="1" x="7112"/>
        <item m="1" x="7301"/>
        <item m="1" x="3593"/>
        <item m="1" x="5238"/>
        <item m="1" x="5010"/>
        <item m="1" x="3811"/>
        <item m="1" x="4065"/>
        <item m="1" x="4985"/>
        <item m="1" x="4375"/>
        <item m="1" x="3310"/>
        <item m="1" x="3863"/>
        <item m="1" x="7159"/>
        <item m="1" x="3480"/>
        <item m="1" x="3743"/>
        <item m="1" x="4262"/>
        <item m="1" x="4030"/>
        <item m="1" x="7281"/>
        <item m="1" x="6782"/>
        <item m="1" x="6864"/>
        <item m="1" x="4940"/>
        <item m="1" x="5103"/>
        <item m="1" x="4005"/>
        <item m="1" x="5621"/>
        <item m="1" x="3326"/>
        <item m="1" x="4209"/>
        <item m="1" x="3980"/>
        <item m="1" x="5306"/>
        <item m="1" x="7255"/>
        <item m="1" x="4041"/>
        <item m="1" x="7177"/>
        <item m="1" x="3701"/>
        <item m="1" x="4153"/>
        <item m="1" x="4758"/>
        <item m="1" x="2652"/>
        <item m="1" x="6287"/>
        <item m="1" x="6091"/>
        <item m="1" x="7809"/>
        <item m="1" x="4525"/>
        <item m="1" x="6692"/>
        <item m="1" x="4942"/>
        <item m="1" x="6520"/>
        <item m="1" x="2754"/>
        <item m="1" x="4800"/>
        <item m="1" x="2527"/>
        <item m="1" x="4946"/>
        <item m="1" x="5408"/>
        <item m="1" x="2523"/>
        <item m="1" x="7035"/>
        <item m="1" x="6357"/>
        <item m="1" x="5819"/>
        <item m="1" x="5729"/>
        <item m="1" x="4542"/>
        <item m="1" x="5154"/>
        <item m="1" x="3180"/>
        <item m="1" x="3731"/>
        <item m="1" x="5563"/>
        <item m="1" x="7986"/>
        <item m="1" x="3135"/>
        <item m="1" x="4186"/>
        <item m="1" x="7408"/>
        <item m="1" x="3271"/>
        <item m="1" x="5478"/>
        <item m="1" x="6119"/>
        <item m="1" x="4454"/>
        <item m="1" x="7949"/>
        <item m="1" x="2650"/>
        <item m="1" x="5672"/>
        <item m="1" x="3972"/>
        <item m="1" x="3236"/>
        <item m="1" x="5281"/>
        <item m="1" x="2552"/>
        <item m="1" x="5776"/>
        <item m="1" x="7534"/>
        <item m="1" x="3770"/>
        <item m="1" x="5226"/>
        <item m="1" x="5573"/>
        <item m="1" x="5017"/>
        <item m="1" x="7311"/>
        <item m="1" x="3507"/>
        <item m="1" x="5252"/>
        <item m="1" x="5351"/>
        <item m="1" x="5296"/>
        <item m="1" x="4467"/>
        <item m="1" x="3206"/>
        <item m="1" x="4776"/>
        <item m="1" x="6012"/>
        <item m="1" x="3929"/>
        <item m="1" x="7701"/>
        <item m="1" x="3238"/>
        <item m="1" x="5955"/>
        <item m="1" x="6871"/>
        <item m="1" x="6804"/>
        <item m="1" x="4365"/>
        <item m="1" x="5598"/>
        <item m="1" x="5150"/>
        <item m="1" x="6334"/>
        <item m="1" x="5183"/>
        <item m="1" x="6045"/>
        <item m="1" x="3244"/>
        <item m="1" x="5903"/>
        <item m="1" x="7241"/>
        <item m="1" x="6616"/>
        <item m="1" x="3009"/>
        <item m="1" x="4729"/>
        <item m="1" x="3567"/>
        <item m="1" x="5030"/>
        <item m="1" x="7098"/>
        <item m="1" x="7127"/>
        <item m="1" x="4319"/>
        <item m="1" x="3554"/>
        <item m="1" x="4887"/>
        <item m="1" x="6022"/>
        <item m="1" x="5600"/>
        <item m="1" x="3562"/>
        <item m="1" x="6526"/>
        <item m="1" x="2874"/>
        <item m="1" x="4905"/>
        <item m="1" x="3303"/>
        <item m="1" x="4769"/>
        <item m="1" x="4514"/>
        <item m="1" x="5417"/>
        <item m="1" x="7788"/>
        <item m="1" x="2680"/>
        <item m="1" x="6378"/>
        <item m="1" x="6583"/>
        <item m="1" x="5550"/>
        <item m="1" x="4154"/>
        <item m="1" x="5298"/>
        <item m="1" x="2582"/>
        <item m="1" x="3792"/>
        <item m="1" x="4734"/>
        <item m="1" x="4402"/>
        <item m="1" x="5897"/>
        <item m="1" x="5830"/>
        <item m="1" x="7145"/>
        <item m="1" x="3702"/>
        <item m="1" x="2630"/>
        <item m="1" x="3150"/>
        <item m="1" x="6951"/>
        <item m="1" x="5320"/>
        <item m="1" x="3484"/>
        <item m="1" x="2516"/>
        <item m="1" x="5326"/>
        <item m="1" x="4545"/>
        <item m="1" x="5980"/>
        <item m="1" x="7414"/>
        <item m="1" x="4779"/>
        <item m="1" x="4787"/>
        <item m="1" x="6155"/>
        <item m="1" x="2776"/>
        <item m="1" x="6414"/>
        <item m="1" x="7864"/>
        <item m="1" x="4845"/>
        <item m="1" x="4352"/>
        <item m="1" x="5606"/>
        <item m="1" x="7634"/>
        <item m="1" x="3279"/>
        <item m="1" x="5472"/>
        <item m="1" x="6825"/>
        <item m="1" x="3581"/>
        <item m="1" x="3939"/>
        <item m="1" x="6905"/>
        <item m="1" x="5694"/>
        <item m="1" x="2612"/>
        <item m="1" x="5887"/>
        <item m="1" x="3289"/>
        <item m="1" x="2524"/>
        <item m="1" x="6745"/>
        <item m="1" x="5354"/>
        <item m="1" x="6722"/>
        <item m="1" x="7566"/>
        <item m="1" x="4486"/>
        <item m="1" x="5770"/>
        <item m="1" x="4909"/>
        <item m="1" x="6942"/>
        <item m="1" x="5756"/>
        <item m="1" x="2569"/>
        <item m="1" x="6178"/>
        <item m="1" x="4684"/>
        <item m="1" x="6183"/>
        <item m="1" x="2606"/>
        <item m="1" x="3965"/>
        <item m="1" x="3197"/>
        <item m="1" x="3489"/>
        <item m="1" x="7565"/>
        <item m="1" x="4809"/>
        <item m="1" x="5254"/>
        <item m="1" x="5012"/>
        <item m="1" x="2675"/>
        <item m="1" x="4106"/>
        <item m="1" x="5474"/>
        <item m="1" x="5918"/>
        <item m="1" x="6188"/>
        <item m="1" x="4701"/>
        <item m="1" x="7650"/>
        <item m="1" x="5484"/>
        <item m="1" x="7293"/>
        <item m="1" x="6288"/>
        <item m="1" x="7165"/>
        <item m="1" x="6736"/>
        <item m="1" x="5760"/>
        <item m="1" x="4146"/>
        <item m="1" x="7523"/>
        <item m="1" x="3113"/>
        <item m="1" x="5382"/>
        <item m="1" x="7182"/>
        <item m="1" x="3199"/>
        <item m="1" x="2893"/>
        <item m="1" x="5930"/>
        <item m="1" x="7500"/>
        <item m="1" x="7009"/>
        <item m="1" x="4022"/>
        <item m="1" x="3947"/>
        <item m="1" x="6768"/>
        <item m="1" x="4602"/>
        <item m="1" x="4960"/>
        <item m="1" x="7526"/>
        <item m="1" x="4182"/>
        <item m="1" x="5990"/>
        <item m="1" x="4438"/>
        <item m="1" x="6262"/>
        <item m="1" x="3634"/>
        <item m="1" x="4676"/>
        <item m="1" x="5856"/>
        <item m="1" x="4810"/>
        <item m="1" x="6922"/>
        <item m="1" x="4629"/>
        <item m="1" x="2803"/>
        <item m="1" x="2746"/>
        <item m="1" x="3063"/>
        <item m="1" x="3344"/>
        <item m="1" x="3638"/>
        <item m="1" x="6502"/>
        <item m="1" x="7573"/>
        <item m="1" x="2563"/>
        <item m="1" x="2556"/>
        <item m="1" x="3649"/>
        <item m="1" x="5488"/>
        <item m="1" x="4851"/>
        <item m="1" x="4663"/>
        <item m="1" x="3612"/>
        <item m="1" x="2710"/>
        <item m="1" x="3134"/>
        <item m="1" x="2974"/>
        <item m="1" x="3896"/>
        <item m="1" x="5277"/>
        <item m="1" x="7018"/>
        <item m="1" x="2962"/>
        <item m="1" x="4817"/>
        <item m="1" x="2872"/>
        <item m="1" x="2542"/>
        <item m="1" x="3990"/>
        <item m="1" x="7166"/>
        <item m="1" x="7665"/>
        <item m="1" x="2852"/>
        <item m="1" x="4142"/>
        <item m="1" x="7051"/>
        <item m="1" x="5556"/>
        <item m="1" x="3820"/>
        <item m="1" x="5025"/>
        <item m="1" x="5097"/>
        <item m="1" x="3832"/>
        <item m="1" x="6682"/>
        <item m="1" x="4690"/>
        <item m="1" x="3381"/>
        <item m="1" x="7955"/>
        <item m="1" x="5305"/>
        <item m="1" x="7940"/>
        <item m="1" x="6293"/>
        <item m="1" x="4458"/>
        <item m="1" x="2884"/>
        <item m="1" x="3424"/>
        <item m="1" x="7663"/>
        <item m="1" x="3803"/>
        <item m="1" x="5673"/>
        <item m="1" x="5566"/>
        <item m="1" x="4585"/>
        <item m="1" x="5197"/>
        <item m="1" x="4149"/>
        <item m="1" x="4384"/>
        <item m="1" x="5755"/>
        <item m="1" x="3437"/>
        <item m="1" x="2819"/>
        <item m="1" x="2553"/>
        <item m="1" x="4763"/>
        <item m="1" x="2536"/>
        <item m="1" x="6344"/>
        <item m="1" x="7453"/>
        <item m="1" x="7587"/>
        <item m="1" x="5708"/>
        <item m="1" x="7892"/>
        <item m="1" x="3487"/>
        <item m="1" x="3977"/>
        <item m="1" x="4250"/>
        <item m="1" x="4970"/>
        <item m="1" x="6413"/>
        <item m="1" x="7237"/>
        <item m="1" x="6258"/>
        <item m="1" x="4034"/>
        <item m="1" x="2945"/>
        <item m="1" x="6637"/>
        <item m="1" x="6021"/>
        <item m="1" x="3367"/>
        <item m="1" x="2871"/>
        <item m="1" x="6656"/>
        <item m="1" x="2791"/>
        <item m="1" x="6629"/>
        <item m="1" x="3187"/>
        <item m="1" x="4119"/>
        <item m="1" x="4653"/>
        <item m="1" x="3149"/>
        <item m="1" x="3737"/>
        <item m="1" x="5728"/>
        <item m="1" x="6400"/>
        <item m="1" x="4084"/>
        <item m="1" x="6586"/>
        <item m="1" x="3804"/>
        <item m="1" x="2521"/>
        <item m="1" x="3608"/>
        <item m="1" x="4482"/>
        <item m="1" x="4173"/>
        <item m="1" x="2625"/>
        <item m="1" x="3777"/>
        <item m="1" x="4218"/>
        <item m="1" x="5813"/>
        <item m="1" x="3208"/>
        <item m="1" x="6707"/>
        <item m="1" x="4110"/>
        <item m="1" x="4411"/>
        <item m="1" x="4564"/>
        <item m="1" x="2908"/>
        <item m="1" x="3242"/>
        <item m="1" x="6312"/>
        <item m="1" x="4172"/>
        <item m="1" x="6914"/>
        <item m="1" x="3343"/>
        <item m="1" x="5876"/>
        <item m="1" x="2555"/>
        <item m="1" x="5479"/>
        <item m="1" x="7638"/>
        <item m="1" x="6774"/>
        <item m="1" x="7326"/>
        <item m="1" x="6279"/>
        <item m="1" x="7138"/>
        <item m="1" x="7197"/>
        <item m="1" x="4919"/>
        <item m="1" x="4945"/>
        <item m="1" x="7065"/>
        <item m="1" x="4739"/>
        <item m="1" x="6240"/>
        <item m="1" x="4865"/>
        <item m="1" x="3044"/>
        <item m="1" x="2635"/>
        <item m="1" x="4049"/>
        <item m="1" x="3859"/>
        <item m="1" x="6458"/>
        <item m="1" x="5578"/>
        <item m="1" x="6276"/>
        <item m="1" x="2686"/>
        <item m="1" x="5366"/>
        <item m="1" x="4518"/>
        <item m="1" x="7242"/>
        <item m="1" x="3407"/>
        <item m="1" x="6382"/>
        <item m="1" x="3758"/>
        <item m="1" x="6554"/>
        <item m="1" x="2757"/>
        <item m="1" x="5132"/>
        <item m="1" x="3015"/>
        <item m="1" x="4941"/>
        <item m="1" x="4791"/>
        <item m="1" x="5587"/>
        <item m="1" x="2978"/>
        <item m="1" x="6872"/>
        <item m="1" x="3364"/>
        <item m="1" x="4852"/>
        <item m="1" x="7568"/>
        <item m="1" x="4108"/>
        <item m="1" x="6438"/>
        <item m="1" x="4025"/>
        <item m="1" x="4577"/>
        <item m="1" x="2621"/>
        <item m="1" x="3468"/>
        <item m="1" x="5538"/>
        <item m="1" x="2546"/>
        <item m="1" x="7675"/>
        <item m="1" x="7422"/>
        <item m="1" x="4350"/>
        <item m="1" x="4605"/>
        <item m="1" x="6508"/>
        <item m="1" x="5636"/>
        <item m="1" x="2712"/>
        <item m="1" x="6862"/>
        <item m="1" x="5270"/>
        <item m="1" x="4683"/>
        <item m="1" x="6896"/>
        <item m="1" x="6645"/>
        <item m="1" x="3607"/>
        <item m="1" x="4884"/>
        <item m="1" x="5683"/>
        <item m="1" x="7628"/>
        <item m="1" x="7320"/>
        <item m="1" x="2576"/>
        <item m="1" x="7887"/>
        <item m="1" x="6265"/>
        <item m="1" x="3843"/>
        <item m="1" x="3403"/>
        <item m="1" x="3931"/>
        <item m="1" x="2528"/>
        <item m="1" x="5047"/>
        <item m="1" x="6680"/>
        <item m="1" x="4519"/>
        <item m="1" x="5810"/>
        <item m="1" x="3157"/>
        <item m="1" x="7737"/>
        <item m="1" x="4047"/>
        <item m="1" x="2861"/>
        <item m="1" x="4165"/>
        <item m="1" x="7615"/>
        <item m="1" x="5213"/>
        <item m="1" x="4315"/>
        <item m="1" x="4961"/>
        <item m="1" x="4642"/>
        <item m="1" x="4492"/>
        <item m="1" x="3357"/>
        <item m="1" x="5562"/>
        <item m="1" x="6926"/>
        <item m="1" x="5657"/>
        <item m="1" x="4869"/>
        <item m="1" x="7314"/>
        <item m="1" x="7186"/>
        <item m="1" x="4280"/>
        <item m="1" x="3011"/>
        <item m="1" x="2988"/>
        <item m="1" x="2504"/>
        <item m="1" x="2953"/>
        <item m="1" x="5829"/>
        <item m="1" x="3322"/>
        <item m="1" x="6464"/>
        <item m="1" x="3647"/>
        <item m="1" x="6476"/>
        <item m="1" x="7599"/>
        <item m="1" x="3685"/>
        <item m="1" x="5610"/>
        <item m="1" x="6088"/>
        <item m="1" x="4088"/>
        <item m="1" x="7313"/>
        <item m="1" x="6314"/>
        <item m="1" x="5786"/>
        <item m="1" x="2714"/>
        <item m="1" x="3686"/>
        <item m="1" x="4958"/>
        <item m="1" x="6843"/>
        <item m="1" x="4189"/>
        <item m="1" x="7092"/>
        <item m="1" x="3738"/>
        <item m="1" x="6731"/>
        <item m="1" x="6601"/>
        <item m="1" x="5882"/>
        <item m="1" x="6315"/>
        <item m="1" x="4785"/>
        <item m="1" x="3247"/>
        <item m="1" x="5372"/>
        <item m="1" x="2926"/>
        <item m="1" x="7356"/>
        <item m="1" x="5860"/>
        <item m="1" x="7226"/>
        <item m="1" x="7669"/>
        <item m="1" x="3312"/>
        <item m="1" x="3813"/>
        <item m="1" x="5498"/>
        <item m="1" x="3156"/>
        <item m="1" x="5099"/>
        <item m="1" x="6519"/>
        <item m="1" x="4321"/>
        <item m="1" x="6841"/>
        <item m="1" x="7641"/>
        <item m="1" x="7365"/>
        <item m="1" x="3064"/>
        <item m="1" x="6197"/>
        <item m="1" x="6580"/>
        <item m="1" x="5617"/>
        <item m="1" x="7780"/>
        <item m="1" x="5451"/>
        <item m="1" x="3111"/>
        <item m="1" x="2615"/>
        <item m="1" x="2533"/>
        <item m="1" x="7114"/>
        <item m="1" x="4349"/>
        <item m="1" x="6144"/>
        <item m="1" x="7772"/>
        <item m="1" x="5140"/>
        <item m="1" x="5660"/>
        <item m="1" x="5646"/>
        <item m="1" x="4730"/>
        <item m="1" x="7006"/>
        <item m="1" x="7429"/>
        <item m="1" x="7115"/>
        <item m="1" x="4614"/>
        <item m="1" x="5551"/>
        <item m="1" x="3095"/>
        <item m="1" x="6305"/>
        <item m="1" x="5064"/>
        <item m="1" x="2943"/>
        <item m="1" x="3010"/>
        <item m="1" x="5616"/>
        <item m="1" x="3769"/>
        <item m="1" x="3052"/>
        <item m="1" x="3077"/>
        <item m="1" x="6268"/>
        <item m="1" x="2660"/>
        <item m="1" x="7808"/>
        <item m="1" x="3703"/>
        <item m="1" x="4371"/>
        <item m="1" x="6415"/>
        <item m="1" x="7920"/>
        <item m="1" x="7441"/>
        <item m="1" x="4156"/>
        <item m="1" x="4443"/>
        <item m="1" x="6125"/>
        <item m="1" x="7938"/>
        <item m="1" x="6919"/>
        <item m="1" x="7084"/>
        <item m="1" x="3756"/>
        <item m="1" x="3335"/>
        <item m="1" x="6361"/>
        <item m="1" x="3017"/>
        <item m="1" x="4707"/>
        <item m="1" x="4681"/>
        <item m="1" x="6236"/>
        <item m="1" x="7627"/>
        <item m="1" x="3065"/>
        <item m="1" x="7694"/>
        <item m="1" x="4916"/>
        <item m="1" x="4298"/>
        <item m="1" x="7973"/>
        <item m="1" x="5943"/>
        <item m="1" x="7713"/>
        <item m="1" x="5437"/>
        <item m="1" x="5157"/>
        <item m="1" x="7824"/>
        <item m="1" x="3797"/>
        <item m="1" x="4774"/>
        <item m="1" x="5854"/>
        <item m="1" x="3583"/>
        <item m="1" x="6577"/>
        <item m="1" x="7952"/>
        <item m="1" x="2740"/>
        <item m="1" x="3087"/>
        <item m="1" x="5963"/>
        <item m="1" x="4664"/>
        <item m="1" x="3504"/>
        <item m="1" x="4607"/>
        <item m="1" x="3377"/>
        <item m="1" x="3941"/>
        <item m="1" x="6214"/>
        <item m="1" x="7944"/>
        <item m="1" x="3164"/>
        <item m="1" x="2869"/>
        <item m="1" x="2508"/>
        <item m="1" x="6391"/>
        <item m="1" x="6781"/>
        <item m="1" x="5059"/>
        <item m="1" x="5552"/>
        <item m="1" x="5303"/>
        <item m="1" x="4078"/>
        <item m="1" x="5983"/>
        <item m="1" x="6190"/>
        <item m="1" x="7331"/>
        <item m="1" x="5286"/>
        <item m="1" x="5969"/>
        <item m="1" x="4906"/>
        <item m="1" x="3431"/>
        <item m="1" x="3861"/>
        <item m="1" x="3056"/>
        <item m="1" x="4174"/>
        <item m="1" x="7438"/>
        <item m="1" x="7291"/>
        <item m="1" x="5284"/>
        <item m="1" x="2910"/>
        <item m="1" x="5152"/>
        <item m="1" x="6920"/>
        <item m="1" x="7053"/>
        <item m="1" x="6015"/>
        <item m="1" x="4621"/>
        <item m="1" x="7085"/>
        <item m="1" x="4191"/>
        <item m="1" x="6466"/>
        <item m="1" x="6550"/>
        <item m="1" x="5863"/>
        <item m="1" x="3347"/>
        <item m="1" x="5511"/>
        <item m="1" x="4864"/>
        <item m="1" x="4578"/>
        <item m="1" x="7877"/>
        <item m="1" x="4320"/>
        <item m="1" x="2996"/>
        <item m="1" x="5671"/>
        <item m="1" x="5055"/>
        <item m="1" x="5565"/>
        <item m="1" x="4671"/>
        <item m="1" x="7855"/>
        <item m="1" x="4332"/>
        <item m="1" x="3734"/>
        <item m="1" x="2639"/>
        <item m="1" x="4098"/>
        <item m="1" x="4028"/>
        <item m="1" x="3153"/>
        <item m="1" x="7261"/>
        <item m="1" x="3525"/>
        <item m="1" x="6606"/>
        <item m="1" x="3885"/>
        <item m="1" x="3143"/>
        <item m="1" x="7247"/>
        <item m="1" x="7646"/>
        <item m="1" x="6313"/>
        <item m="1" x="3791"/>
        <item m="1" x="3102"/>
        <item m="1" x="6719"/>
        <item m="1" x="3075"/>
        <item m="1" x="4908"/>
        <item m="1" x="7445"/>
        <item m="1" x="7831"/>
        <item m="1" x="4824"/>
        <item m="1" x="4987"/>
        <item m="1" x="7648"/>
        <item m="1" x="7820"/>
        <item m="1" x="7266"/>
        <item m="1" x="4215"/>
        <item m="1" x="7132"/>
        <item m="1" x="7021"/>
        <item m="1" x="6517"/>
        <item m="1" x="5432"/>
        <item m="1" x="6555"/>
        <item m="1" x="5989"/>
        <item m="1" x="3886"/>
        <item m="1" x="6977"/>
        <item m="1" x="4798"/>
        <item m="1" x="7610"/>
        <item m="1" x="5067"/>
        <item m="1" x="7200"/>
        <item m="1" x="3838"/>
        <item m="1" x="3673"/>
        <item m="1" x="5618"/>
        <item m="1" x="6934"/>
        <item m="1" x="5200"/>
        <item m="1" x="3390"/>
        <item m="1" x="6840"/>
        <item m="1" x="4294"/>
        <item m="1" x="2971"/>
        <item m="1" x="4299"/>
        <item m="1" x="5643"/>
        <item m="1" x="2842"/>
        <item m="1" x="5004"/>
        <item m="1" x="2499"/>
        <item m="1" x="4131"/>
        <item m="1" x="5336"/>
        <item m="1" x="3945"/>
        <item m="1" x="3717"/>
        <item m="1" x="7168"/>
        <item m="1" x="5811"/>
        <item m="1" x="6461"/>
        <item m="1" x="6058"/>
        <item m="1" x="4628"/>
        <item m="1" x="4678"/>
        <item m="1" x="3020"/>
        <item m="1" x="6743"/>
        <item m="1" x="4623"/>
        <item m="1" x="3687"/>
        <item m="1" x="6507"/>
        <item m="1" x="3544"/>
        <item m="1" x="6420"/>
        <item m="1" x="7040"/>
        <item m="1" x="6486"/>
        <item m="1" x="7060"/>
        <item m="1" x="7589"/>
        <item m="1" x="6040"/>
        <item m="1" x="3911"/>
        <item m="1" x="5733"/>
        <item m="1" x="5530"/>
        <item m="1" x="3121"/>
        <item m="1" x="4344"/>
        <item m="1" x="2785"/>
        <item m="1" x="4853"/>
        <item m="1" x="6923"/>
        <item m="1" x="3041"/>
        <item m="1" x="5232"/>
        <item m="1" x="6848"/>
        <item m="1" x="5875"/>
        <item m="1" x="4636"/>
        <item m="1" x="6984"/>
        <item m="1" x="6477"/>
        <item m="1" x="3774"/>
        <item m="1" x="6227"/>
        <item m="1" x="3937"/>
        <item m="1" x="7239"/>
        <item m="1" x="4059"/>
        <item m="1" x="7078"/>
        <item m="1" x="3133"/>
        <item m="1" x="4498"/>
        <item m="1" x="5965"/>
        <item m="1" x="7124"/>
        <item m="1" x="4138"/>
        <item m="1" x="3633"/>
        <item m="1" x="3008"/>
        <item m="1" x="6459"/>
        <item m="1" x="7228"/>
        <item m="1" x="7179"/>
        <item m="1" x="7709"/>
        <item m="1" x="3122"/>
        <item m="1" x="5902"/>
        <item m="1" x="5796"/>
        <item m="1" x="4975"/>
        <item m="1" x="2578"/>
        <item m="1" x="2989"/>
        <item m="1" x="4818"/>
        <item m="1" x="4526"/>
        <item m="1" x="3579"/>
        <item m="1" x="7465"/>
        <item m="1" x="7612"/>
        <item m="1" x="5685"/>
        <item m="1" x="4738"/>
        <item m="1" x="7378"/>
        <item m="1" x="7823"/>
        <item m="1" x="6244"/>
        <item m="1" x="4072"/>
        <item m="1" x="2744"/>
        <item m="1" x="7597"/>
        <item m="1" x="7396"/>
        <item m="1" x="4489"/>
        <item m="1" x="7211"/>
        <item m="1" x="3587"/>
        <item m="1" x="5068"/>
        <item m="1" x="3603"/>
        <item m="1" x="4935"/>
        <item m="1" x="5995"/>
        <item m="1" x="6374"/>
        <item m="1" x="6455"/>
        <item m="1" x="7102"/>
        <item m="1" x="7359"/>
        <item m="1" x="6483"/>
        <item m="1" x="7224"/>
        <item m="1" x="4448"/>
        <item m="1" x="2840"/>
        <item m="1" x="4310"/>
        <item m="1" x="5424"/>
        <item m="1" x="6473"/>
        <item m="1" x="5374"/>
        <item m="1" x="6710"/>
        <item m="1" x="4128"/>
        <item m="1" x="6368"/>
        <item m="1" x="3140"/>
        <item m="1" x="3251"/>
        <item m="1" x="4406"/>
        <item m="1" x="5194"/>
        <item m="1" x="3363"/>
        <item m="1" x="5188"/>
        <item m="1" x="6044"/>
        <item m="1" x="7583"/>
        <item m="1" x="5824"/>
        <item m="1" x="7483"/>
        <item m="1" x="5775"/>
        <item m="1" x="5614"/>
        <item m="1" x="5403"/>
        <item m="1" x="3295"/>
        <item m="1" x="3470"/>
        <item m="1" x="3632"/>
        <item m="1" x="6988"/>
        <item m="1" x="3662"/>
        <item m="1" x="6842"/>
        <item m="1" x="6331"/>
        <item m="1" x="6826"/>
        <item m="1" x="5803"/>
        <item m="1" x="5794"/>
        <item m="1" x="3103"/>
        <item m="1" x="2983"/>
        <item m="1" x="6703"/>
        <item m="1" x="6114"/>
        <item m="1" x="3106"/>
        <item m="1" x="5539"/>
        <item m="1" x="4870"/>
        <item m="1" x="5956"/>
        <item m="1" x="4610"/>
        <item m="1" x="7738"/>
        <item m="1" x="6816"/>
        <item m="1" x="5527"/>
        <item m="1" x="3548"/>
        <item m="1" x="7967"/>
        <item m="1" x="4409"/>
        <item m="1" x="7909"/>
        <item m="1" x="3999"/>
        <item m="1" x="7994"/>
        <item m="1" x="6807"/>
        <item m="1" x="2806"/>
        <item m="1" x="6447"/>
        <item m="1" x="4862"/>
        <item m="1" x="4599"/>
        <item m="1" x="3993"/>
        <item m="1" x="6545"/>
        <item m="1" x="4517"/>
        <item m="1" x="7116"/>
        <item m="1" x="4112"/>
        <item m="1" x="2526"/>
        <item m="1" x="5241"/>
        <item m="1" x="6245"/>
        <item m="1" x="5767"/>
        <item m="1" x="5440"/>
        <item m="1" x="5852"/>
        <item m="1" x="4318"/>
        <item m="1" x="5020"/>
        <item m="1" x="7835"/>
        <item m="1" x="5635"/>
        <item m="1" x="6775"/>
        <item m="1" x="6593"/>
        <item m="1" x="7436"/>
        <item m="1" x="6767"/>
        <item m="1" x="7369"/>
        <item m="1" x="3040"/>
        <item m="1" x="7295"/>
        <item m="1" x="4234"/>
        <item m="1" x="3629"/>
        <item m="1" x="6651"/>
        <item m="1" x="2810"/>
        <item m="1" x="7980"/>
        <item m="1" x="5421"/>
        <item m="1" x="7372"/>
        <item m="1" x="7345"/>
        <item m="1" x="6474"/>
        <item m="1" x="7088"/>
        <item m="1" x="5588"/>
        <item m="1" x="4765"/>
        <item m="1" x="3043"/>
        <item m="1" x="3371"/>
        <item m="1" x="4058"/>
        <item m="1" x="6107"/>
        <item m="1" x="4688"/>
        <item m="1" x="5221"/>
        <item m="1" x="6069"/>
        <item m="1" x="4708"/>
        <item m="1" x="7752"/>
        <item m="1" x="3795"/>
        <item m="1" x="3494"/>
        <item m="1" x="4421"/>
        <item m="1" x="3656"/>
        <item m="1" x="6715"/>
        <item m="1" x="3652"/>
        <item m="1" x="2584"/>
        <item m="1" x="5973"/>
        <item m="1" x="7105"/>
        <item m="1" x="3979"/>
        <item m="1" x="7203"/>
        <item m="1" x="4768"/>
        <item m="1" x="5153"/>
        <item m="1" x="4167"/>
        <item m="1" x="7640"/>
        <item m="1" x="3282"/>
        <item m="1" x="7732"/>
        <item m="1" x="5627"/>
        <item m="1" x="6267"/>
        <item m="1" x="6837"/>
        <item m="1" x="4822"/>
        <item m="1" x="6453"/>
        <item m="1" x="7202"/>
        <item m="1" x="7896"/>
        <item m="1" x="4339"/>
        <item m="1" x="7410"/>
        <item m="1" x="2602"/>
        <item m="1" x="4263"/>
        <item m="1" x="3848"/>
        <item m="1" x="7922"/>
        <item m="1" x="7999"/>
        <item m="1" x="3994"/>
        <item m="1" x="6365"/>
        <item m="1" x="6814"/>
        <item m="1" x="6624"/>
        <item m="1" x="4143"/>
        <item m="1" x="5502"/>
        <item m="1" x="4061"/>
        <item m="1" x="6529"/>
        <item m="1" x="4706"/>
        <item m="1" x="7095"/>
        <item m="1" x="6181"/>
        <item m="1" x="2642"/>
        <item m="1" x="4114"/>
        <item m="1" x="6154"/>
        <item m="1" x="5112"/>
        <item m="1" x="6332"/>
        <item m="1" x="7395"/>
        <item m="1" x="2654"/>
        <item m="1" x="3130"/>
        <item m="1" x="6921"/>
        <item m="1" x="7947"/>
        <item m="1" x="2559"/>
        <item m="1" x="5651"/>
        <item m="1" x="7990"/>
        <item m="1" x="7339"/>
        <item m="1" x="5428"/>
        <item m="1" x="2603"/>
        <item m="1" x="6677"/>
        <item m="1" x="7287"/>
        <item m="1" x="4995"/>
        <item m="1" x="4912"/>
        <item m="1" x="4857"/>
        <item m="1" x="7178"/>
        <item m="1" x="6589"/>
        <item m="1" x="6302"/>
        <item m="1" x="4293"/>
        <item m="1" x="5333"/>
        <item m="1" x="5790"/>
        <item m="1" x="6747"/>
        <item m="1" x="6790"/>
        <item m="1" x="4755"/>
        <item m="1" x="7290"/>
        <item m="1" x="5840"/>
        <item m="1" x="5929"/>
        <item m="1" x="4417"/>
        <item m="1" x="3700"/>
        <item m="1" x="6203"/>
        <item m="1" x="3430"/>
        <item m="1" x="7817"/>
        <item m="1" x="5139"/>
        <item m="1" x="6602"/>
        <item m="1" x="6025"/>
        <item m="1" x="5452"/>
        <item m="1" x="7736"/>
        <item m="1" x="2882"/>
        <item m="1" x="6353"/>
        <item m="1" x="6875"/>
        <item m="1" x="4141"/>
        <item m="1" x="6900"/>
        <item m="1" x="5130"/>
        <item m="1" x="3508"/>
        <item m="1" x="3050"/>
        <item m="1" x="6325"/>
        <item m="1" x="6695"/>
        <item m="1" x="5054"/>
        <item m="1" x="4718"/>
        <item m="1" x="7458"/>
        <item m="1" x="3092"/>
        <item m="1" x="5560"/>
        <item m="1" x="2808"/>
        <item m="1" x="6172"/>
        <item m="1" x="4412"/>
        <item m="1" x="5788"/>
        <item m="1" x="3742"/>
        <item m="1" x="6917"/>
        <item m="1" x="5257"/>
        <item m="1" x="6445"/>
        <item m="1" x="5224"/>
        <item m="1" x="7787"/>
        <item m="1" x="4268"/>
        <item m="1" x="4532"/>
        <item m="1" x="5945"/>
        <item m="1" x="6939"/>
        <item m="1" x="7257"/>
        <item m="1" x="6976"/>
        <item m="1" x="4702"/>
        <item m="1" x="5462"/>
        <item m="1" x="5391"/>
        <item m="1" x="5398"/>
        <item m="1" x="5341"/>
        <item m="1" x="6773"/>
        <item m="1" x="6798"/>
        <item m="1" x="6935"/>
        <item m="1" x="3107"/>
        <item m="1" x="2726"/>
        <item m="1" x="4422"/>
        <item m="1" x="3223"/>
        <item m="1" x="5302"/>
        <item m="1" x="7225"/>
        <item m="1" x="7164"/>
        <item m="1" x="4252"/>
        <item m="1" x="6485"/>
        <item m="1" x="5093"/>
        <item m="1" x="5557"/>
        <item m="1" x="5594"/>
        <item m="1" x="3402"/>
        <item m="1" x="7302"/>
        <item m="1" x="7216"/>
        <item m="1" x="7447"/>
        <item m="1" x="4073"/>
        <item m="1" x="5843"/>
        <item m="1" x="3253"/>
        <item m="1" x="6613"/>
        <item m="1" x="5780"/>
        <item m="1" x="4453"/>
        <item m="1" x="5555"/>
        <item m="1" x="6641"/>
        <item m="1" x="4450"/>
        <item m="1" x="3933"/>
        <item m="1" x="4015"/>
        <item m="1" x="5874"/>
        <item m="1" x="2513"/>
        <item m="1" x="7569"/>
        <item m="1" x="6828"/>
        <item m="1" x="3754"/>
        <item m="1" x="3714"/>
        <item m="1" x="6627"/>
        <item m="1" x="5942"/>
        <item m="1" x="7962"/>
        <item m="1" x="3492"/>
        <item m="1" x="3012"/>
        <item m="1" x="4803"/>
        <item m="1" x="2793"/>
        <item m="1" x="3227"/>
        <item m="1" x="3349"/>
        <item m="1" x="3261"/>
        <item m="1" x="3516"/>
        <item m="1" x="6685"/>
        <item m="1" x="6078"/>
        <item m="1" x="5205"/>
        <item m="1" x="4549"/>
        <item m="1" x="6619"/>
        <item m="1" x="7576"/>
        <item m="1" x="5510"/>
        <item m="1" x="3787"/>
        <item m="1" x="6622"/>
        <item m="1" x="3004"/>
        <item m="1" x="6162"/>
        <item m="1" x="3914"/>
        <item m="1" x="7492"/>
        <item m="1" x="4395"/>
        <item m="1" x="6402"/>
        <item m="1" x="6326"/>
        <item m="1" x="7405"/>
        <item m="1" x="4877"/>
        <item m="1" x="2518"/>
        <item m="1" x="3414"/>
        <item m="1" x="3682"/>
        <item m="1" x="6386"/>
        <item m="1" x="3564"/>
        <item m="1" x="5102"/>
        <item m="1" x="4952"/>
        <item m="1" x="5611"/>
        <item m="1" x="6567"/>
        <item m="1" x="2522"/>
        <item m="1" x="7096"/>
        <item m="1" x="7215"/>
        <item m="1" x="4428"/>
        <item m="1" x="2886"/>
        <item m="1" x="5707"/>
        <item m="1" x="3059"/>
        <item m="1" x="4655"/>
        <item m="1" x="7592"/>
        <item m="1" x="7963"/>
        <item m="1" x="5509"/>
        <item m="1" x="7704"/>
        <item m="1" x="7283"/>
        <item m="1" x="5664"/>
        <item m="1" x="7972"/>
        <item m="1" x="4930"/>
        <item m="1" x="4686"/>
        <item m="1" x="2959"/>
        <item m="1" x="6533"/>
        <item m="1" x="5705"/>
        <item m="1" x="2925"/>
        <item m="1" x="7553"/>
        <item m="1" x="7083"/>
        <item m="1" x="2503"/>
        <item m="1" x="4837"/>
        <item m="1" x="3905"/>
        <item m="1" x="4207"/>
        <item m="1" x="7081"/>
        <item m="1" x="5481"/>
        <item m="1" x="2879"/>
        <item m="1" x="6689"/>
        <item m="1" x="3332"/>
        <item m="1" x="7678"/>
        <item m="1" x="5730"/>
        <item m="1" x="5480"/>
        <item m="1" x="3365"/>
        <item m="1" x="5335"/>
        <item m="1" x="2802"/>
        <item m="1" x="6808"/>
        <item m="1" x="7816"/>
        <item m="1" x="6727"/>
        <item m="1" x="4858"/>
        <item m="1" x="3943"/>
        <item m="1" x="7493"/>
        <item m="1" x="6674"/>
        <item m="1" x="6321"/>
        <item m="1" x="6982"/>
        <item m="1" x="6597"/>
        <item m="1" x="3815"/>
        <item m="1" x="6388"/>
        <item m="1" x="7785"/>
        <item m="1" x="4194"/>
        <item m="1" x="2890"/>
        <item m="1" x="3141"/>
        <item m="1" x="3625"/>
        <item m="1" x="4575"/>
        <item m="1" x="7077"/>
        <item m="1" x="3822"/>
        <item m="1" x="3898"/>
        <item m="1" x="6127"/>
        <item m="1" x="7151"/>
        <item m="1" x="4159"/>
        <item m="1" x="3139"/>
        <item m="1" x="3419"/>
        <item m="1" x="5266"/>
        <item m="1" x="7774"/>
        <item m="1" x="7813"/>
        <item m="1" x="6838"/>
        <item m="1" x="7540"/>
        <item m="1" x="3712"/>
        <item m="1" x="5607"/>
        <item m="1" x="7141"/>
        <item m="1" x="7981"/>
        <item m="1" x="4249"/>
        <item m="1" x="2531"/>
        <item m="1" x="4677"/>
        <item m="1" x="7142"/>
        <item m="1" x="2736"/>
        <item m="1" x="4033"/>
        <item m="1" x="5700"/>
        <item m="1" x="4944"/>
        <item m="1" x="6016"/>
        <item m="1" x="3531"/>
        <item m="1" x="5735"/>
        <item m="1" x="4387"/>
        <item m="1" x="6534"/>
        <item m="1" x="5522"/>
        <item m="1" x="6849"/>
        <item m="1" x="2963"/>
        <item m="1" x="7754"/>
        <item m="1" x="7443"/>
        <item m="1" x="7960"/>
        <item m="1" x="6429"/>
        <item m="1" x="4616"/>
        <item m="1" x="5515"/>
        <item m="1" x="6029"/>
        <item m="1" x="4883"/>
        <item m="1" x="2547"/>
        <item m="1" x="6013"/>
        <item m="1" x="4427"/>
        <item m="1" x="7386"/>
        <item m="1" x="2701"/>
        <item m="1" x="4725"/>
        <item m="1" x="5648"/>
        <item m="1" x="3355"/>
        <item m="1" x="6115"/>
        <item m="1" x="7968"/>
        <item m="1" x="4326"/>
        <item m="1" x="4100"/>
        <item m="1" x="4548"/>
        <item m="1" x="7966"/>
        <item m="1" x="6636"/>
        <item m="1" x="5959"/>
        <item m="1" x="7020"/>
        <item m="1" x="5015"/>
        <item m="1" x="7016"/>
        <item m="1" x="6608"/>
        <item m="1" x="6538"/>
        <item m="1" x="7562"/>
        <item m="1" x="7805"/>
        <item m="1" x="2631"/>
        <item m="1" x="5865"/>
        <item m="1" x="5637"/>
        <item m="1" x="5823"/>
        <item m="1" x="3839"/>
        <item m="1" x="4099"/>
        <item m="1" x="5826"/>
        <item m="1" x="2984"/>
        <item m="1" x="2841"/>
        <item m="1" x="7073"/>
        <item m="1" x="7676"/>
        <item m="1" x="5706"/>
        <item m="1" x="3934"/>
        <item m="1" x="3740"/>
        <item m="1" x="7941"/>
        <item m="1" x="4844"/>
        <item m="1" x="7324"/>
        <item m="1" x="4680"/>
        <item m="1" x="7062"/>
        <item m="1" x="7714"/>
        <item m="1" x="3904"/>
        <item m="1" x="2591"/>
        <item m="1" x="7193"/>
        <item m="1" x="7832"/>
        <item m="1" x="5317"/>
        <item m="1" x="7231"/>
        <item m="1" x="7184"/>
        <item m="1" x="2880"/>
        <item m="1" x="5245"/>
        <item m="1" x="6662"/>
        <item m="1" x="2866"/>
        <item m="1" x="2998"/>
        <item m="1" x="4980"/>
        <item m="1" x="5113"/>
        <item m="1" x="7779"/>
        <item m="1" x="3765"/>
        <item m="1" x="5816"/>
        <item m="1" x="2865"/>
        <item m="1" x="6675"/>
        <item m="1" x="3520"/>
        <item m="1" x="3084"/>
        <item m="1" x="6488"/>
        <item m="1" x="6973"/>
        <item m="1" x="7379"/>
        <item m="1" x="5999"/>
        <item m="1" x="4070"/>
        <item m="1" x="3359"/>
        <item m="1" x="4009"/>
        <item m="1" x="3812"/>
        <item m="1" x="2832"/>
        <item m="1" x="3657"/>
        <item m="1" x="5228"/>
        <item m="1" x="6845"/>
        <item m="1" x="7743"/>
        <item m="1" x="7657"/>
        <item m="1" x="4790"/>
        <item m="1" x="5962"/>
        <item m="1" x="4503"/>
        <item m="1" x="5814"/>
        <item m="1" x="7000"/>
        <item m="1" x="7700"/>
        <item m="1" x="2827"/>
        <item m="1" x="7555"/>
        <item m="1" x="6339"/>
        <item m="1" x="4461"/>
        <item m="1" x="6614"/>
        <item m="1" x="3413"/>
        <item m="1" x="3866"/>
        <item m="1" x="6669"/>
        <item m="1" x="6751"/>
        <item m="1" x="4992"/>
        <item m="1" x="5936"/>
        <item m="1" x="7512"/>
        <item m="1" x="5073"/>
        <item m="1" x="2614"/>
        <item m="1" x="6758"/>
        <item m="1" x="4704"/>
        <item m="1" x="3119"/>
        <item m="1" x="4974"/>
        <item m="1" x="7265"/>
        <item m="1" x="6503"/>
        <item m="1" x="7775"/>
        <item m="1" x="4473"/>
        <item m="1" x="3870"/>
        <item m="1" x="6688"/>
        <item m="1" x="4372"/>
        <item m="1" x="6907"/>
        <item m="1" x="7120"/>
        <item m="1" x="2610"/>
        <item m="1" x="5412"/>
        <item m="1" x="5641"/>
        <item m="1" x="4735"/>
        <item m="1" x="6431"/>
        <item m="1" x="5753"/>
        <item m="1" x="7099"/>
        <item m="1" x="3003"/>
        <item m="1" x="3281"/>
        <item m="1" x="5599"/>
        <item m="1" x="3916"/>
        <item m="1" x="6472"/>
        <item m="1" x="7572"/>
        <item m="1" x="4634"/>
        <item m="1" x="5384"/>
        <item m="1" x="2964"/>
        <item m="1" x="2681"/>
        <item m="1" x="6211"/>
        <item m="1" x="7448"/>
        <item m="1" x="7707"/>
        <item m="1" x="5170"/>
        <item m="1" x="4963"/>
        <item m="1" x="2903"/>
        <item m="1" x="4253"/>
        <item m="1" x="3464"/>
        <item m="1" x="6965"/>
        <item m="1" x="5230"/>
        <item m="1" x="6565"/>
        <item m="1" x="7538"/>
        <item m="1" x="5196"/>
        <item m="1" x="5601"/>
        <item m="1" x="6394"/>
        <item m="1" x="5202"/>
        <item m="1" x="6676"/>
        <item m="1" x="5822"/>
        <item m="1" x="3420"/>
        <item m="1" x="2986"/>
        <item m="1" x="6338"/>
        <item m="1" x="3353"/>
        <item m="1" x="2683"/>
        <item m="1" x="5754"/>
        <item m="1" x="7853"/>
        <item m="1" x="3076"/>
        <item m="1" x="3695"/>
        <item m="1" x="7731"/>
        <item m="1" x="4432"/>
        <item m="1" x="3049"/>
        <item m="1" x="2894"/>
        <item m="1" x="3978"/>
        <item m="1" x="3942"/>
        <item m="1" x="4900"/>
        <item m="1" x="3268"/>
        <item m="1" x="4377"/>
        <item m="1" x="7535"/>
        <item m="1" x="7950"/>
        <item m="1" x="7985"/>
        <item m="1" x="7529"/>
        <item m="1" x="2590"/>
        <item m="1" x="2826"/>
        <item m="1" x="5731"/>
        <item m="1" x="5467"/>
        <item m="1" x="4741"/>
        <item m="1" x="5191"/>
        <item m="1" x="3475"/>
        <item m="1" x="6823"/>
        <item m="1" x="5697"/>
        <item m="1" x="2937"/>
        <item m="1" x="6036"/>
        <item m="1" x="5984"/>
        <item m="1" x="7376"/>
        <item m="1" x="5179"/>
        <item m="1" x="7622"/>
        <item m="1" x="7771"/>
        <item m="1" x="2834"/>
        <item m="1" x="3440"/>
        <item m="1" x="4854"/>
        <item m="1" x="3983"/>
        <item m="1" x="6755"/>
        <item m="1" x="5163"/>
        <item m="1" x="3168"/>
        <item m="1" x="6133"/>
        <item m="1" x="4638"/>
        <item m="1" x="7374"/>
        <item m="1" x="3962"/>
        <item m="1" x="4361"/>
        <item m="1" x="6937"/>
        <item m="1" x="4509"/>
        <item m="1" x="5076"/>
        <item m="1" x="2781"/>
        <item m="1" x="5583"/>
        <item m="1" x="6061"/>
        <item m="1" x="4254"/>
        <item m="1" x="6350"/>
        <item m="1" x="6987"/>
        <item m="1" x="7394"/>
        <item m="1" x="4111"/>
        <item m="1" x="3985"/>
        <item m="1" x="6128"/>
        <item m="1" x="6322"/>
        <item m="1" x="6948"/>
        <item m="1" x="4868"/>
        <item m="1" x="3921"/>
        <item m="1" x="3146"/>
        <item m="1" x="3601"/>
        <item m="1" x="4480"/>
        <item m="1" x="4096"/>
        <item m="1" x="4435"/>
        <item m="1" x="5791"/>
        <item m="1" x="5253"/>
        <item m="1" x="6018"/>
        <item m="1" x="7276"/>
        <item m="1" x="7280"/>
        <item m="1" x="4721"/>
        <item m="1" x="3337"/>
        <item m="1" x="2741"/>
        <item m="1" x="6063"/>
        <item m="1" x="4376"/>
        <item m="1" x="7959"/>
        <item m="1" x="3534"/>
        <item m="1" x="4433"/>
        <item m="1" x="5290"/>
        <item m="1" x="5435"/>
        <item m="1" x="7485"/>
        <item m="1" x="3732"/>
        <item m="1" x="5977"/>
        <item m="1" x="7777"/>
        <item m="1" x="3443"/>
        <item m="1" x="5325"/>
        <item m="1" x="3745"/>
        <item m="1" x="5250"/>
        <item m="1" x="4631"/>
        <item m="1" x="6434"/>
        <item m="1" x="5514"/>
        <item m="1" x="6113"/>
        <item m="1" x="5116"/>
        <item m="1" x="5405"/>
        <item m="1" x="4444"/>
        <item m="1" x="4233"/>
        <item m="1" x="3697"/>
        <item m="1" x="7961"/>
        <item m="1" x="4861"/>
        <item m="1" x="5804"/>
        <item m="1" x="2698"/>
        <item m="1" x="6140"/>
        <item m="1" x="5313"/>
        <item m="1" x="5420"/>
        <item m="1" x="7426"/>
        <item m="1" x="7729"/>
        <item m="1" x="7299"/>
        <item m="1" x="3446"/>
        <item m="1" x="4076"/>
        <item m="1" x="3428"/>
        <item m="1" x="7923"/>
        <item m="1" x="4976"/>
        <item m="1" x="2709"/>
        <item m="1" x="7007"/>
        <item m="1" x="2822"/>
        <item m="1" x="4312"/>
        <item m="1" x="7048"/>
        <item m="1" x="7075"/>
        <item m="1" x="3553"/>
        <item m="1" x="3630"/>
        <item m="1" x="3841"/>
        <item m="1" x="2745"/>
        <item m="1" x="6219"/>
        <item m="1" x="6340"/>
        <item m="1" x="3577"/>
        <item m="1" x="3118"/>
        <item m="1" x="3853"/>
        <item m="1" x="3086"/>
        <item m="1" x="6106"/>
        <item m="1" x="3966"/>
        <item m="1" x="2649"/>
        <item m="1" x="6750"/>
        <item m="1" x="4120"/>
        <item m="1" x="6972"/>
        <item m="1" x="5308"/>
        <item m="1" x="6341"/>
        <item m="1" x="5307"/>
        <item m="1" x="2892"/>
        <item m="1" x="5056"/>
        <item m="1" x="5713"/>
        <item m="1" x="6176"/>
        <item m="1" x="4558"/>
        <item m="1" x="5855"/>
        <item m="1" x="6381"/>
        <item m="1" x="6425"/>
        <item m="1" x="5316"/>
        <item m="1" x="5246"/>
        <item m="1" x="5344"/>
        <item m="1" x="5496"/>
        <item m="1" x="4561"/>
        <item m="1" x="2647"/>
        <item m="1" x="4679"/>
        <item m="1" x="3555"/>
        <item m="1" x="4914"/>
        <item m="1" x="2572"/>
        <item m="1" x="3621"/>
        <item m="1" x="5129"/>
        <item m="1" x="3392"/>
        <item m="1" x="3067"/>
        <item m="1" x="4080"/>
        <item m="1" x="3226"/>
        <item m="1" x="5137"/>
        <item m="1" x="6521"/>
        <item m="1" x="2656"/>
        <item m="1" x="4675"/>
        <item m="1" x="3276"/>
        <item m="1" x="7570"/>
        <item m="1" x="3422"/>
        <item m="1" x="7473"/>
        <item m="1" x="5567"/>
        <item m="1" x="3019"/>
        <item m="1" x="6943"/>
        <item m="1" x="2638"/>
        <item m="1" x="5108"/>
        <item m="1" x="6329"/>
        <item m="1" x="4727"/>
        <item m="1" x="7888"/>
        <item m="1" x="4187"/>
        <item m="1" x="7032"/>
        <item m="1" x="3210"/>
        <item m="1" x="5751"/>
        <item m="1" x="3032"/>
        <item m="1" x="2897"/>
        <item m="1" x="7514"/>
        <item m="1" x="5053"/>
        <item m="1" x="6847"/>
        <item m="1" x="3517"/>
        <item m="1" x="6504"/>
        <item m="1" x="5750"/>
        <item m="1" x="2624"/>
        <item m="1" x="4054"/>
        <item m="1" x="4382"/>
        <item m="1" x="5209"/>
        <item m="1" x="7917"/>
        <item m="1" x="7781"/>
        <item m="1" x="2588"/>
        <item m="1" x="4330"/>
        <item m="1" x="6699"/>
        <item m="1" x="4434"/>
        <item m="1" x="5861"/>
        <item m="1" x="4538"/>
        <item m="1" x="6475"/>
        <item m="1" x="2805"/>
        <item m="1" x="4056"/>
        <item m="1" x="2645"/>
        <item m="1" x="4429"/>
        <item m="1" x="6788"/>
        <item m="1" x="5007"/>
        <item m="1" x="7217"/>
        <item m="1" x="2507"/>
        <item m="1" x="6794"/>
        <item m="1" x="6494"/>
        <item m="1" x="4158"/>
        <item m="1" x="4936"/>
        <item m="1" x="4353"/>
        <item m="1" x="2843"/>
        <item m="1" x="6990"/>
        <item m="1" x="6281"/>
        <item m="1" x="3389"/>
        <item m="1" x="7148"/>
        <item m="1" x="6530"/>
        <item m="1" x="7366"/>
        <item m="1" x="5665"/>
        <item m="1" x="6998"/>
        <item m="1" x="5045"/>
        <item m="1" x="3213"/>
        <item m="1" x="7931"/>
        <item m="1" x="4251"/>
        <item m="1" x="6523"/>
        <item m="1" x="7681"/>
        <item m="1" x="5844"/>
        <item m="1" x="4026"/>
        <item m="1" x="4743"/>
        <item m="1" x="4737"/>
        <item m="1" x="3296"/>
        <item m="1" x="7330"/>
        <item m="1" x="4559"/>
        <item m="1" x="6769"/>
        <item m="1" x="7528"/>
        <item m="1" x="4137"/>
        <item m="1" x="6046"/>
        <item m="1" x="5494"/>
        <item m="1" x="6610"/>
        <item m="1" x="4243"/>
        <item m="1" x="7307"/>
        <item m="1" x="7616"/>
        <item m="1" x="5357"/>
        <item m="1" x="6355"/>
        <item m="1" x="4950"/>
        <item m="1" x="6500"/>
        <item m="1" x="5159"/>
        <item m="1" x="4317"/>
        <item m="1" x="5092"/>
        <item m="1" x="4308"/>
        <item m="1" x="3116"/>
        <item m="1" x="4307"/>
        <item m="1" x="2875"/>
        <item m="1" x="5652"/>
        <item m="1" x="6275"/>
        <item m="1" x="6436"/>
        <item m="1" x="4255"/>
        <item m="1" x="3232"/>
        <item m="1" x="5833"/>
        <item m="1" x="7511"/>
        <item m="1" x="5714"/>
        <item m="1" x="4571"/>
        <item m="1" x="4998"/>
        <item m="1" x="7323"/>
        <item m="1" x="2788"/>
        <item m="1" x="6963"/>
        <item m="1" x="5558"/>
        <item m="1" x="6007"/>
        <item m="1" x="7350"/>
        <item m="1" x="6377"/>
        <item m="1" x="2515"/>
        <item m="1" x="7090"/>
        <item m="1" x="2554"/>
        <item m="1" x="3292"/>
        <item m="1" x="6393"/>
        <item m="1" x="2734"/>
        <item m="1" x="6198"/>
        <item m="1" x="7156"/>
        <item m="1" x="3727"/>
        <item m="1" x="5787"/>
        <item m="1" x="6269"/>
        <item m="1" x="4512"/>
        <item m="1" x="7481"/>
        <item m="1" x="7488"/>
        <item m="1" x="3200"/>
        <item m="1" x="3203"/>
        <item m="1" x="3264"/>
        <item m="1" x="7440"/>
        <item m="1" x="5060"/>
        <item m="1" x="4966"/>
        <item m="1" x="7312"/>
        <item m="1" x="3036"/>
        <item m="1" x="6149"/>
        <item m="1" x="6356"/>
        <item m="1" x="2858"/>
        <item m="1" x="7213"/>
        <item m="1" x="4162"/>
        <item m="1" x="6839"/>
        <item m="1" x="5096"/>
        <item m="1" x="3823"/>
        <item m="1" x="6076"/>
        <item m="1" x="4459"/>
        <item m="1" x="5318"/>
        <item m="1" x="3186"/>
        <item m="1" x="3926"/>
        <item m="1" x="3836"/>
        <item m="1" x="6164"/>
        <item m="1" x="7936"/>
        <item m="1" x="3388"/>
        <item m="1" x="3654"/>
        <item m="1" x="7933"/>
        <item m="1" x="6806"/>
        <item m="1" x="5287"/>
        <item m="1" x="6876"/>
        <item m="1" x="7686"/>
        <item m="1" x="4354"/>
        <item m="1" x="6708"/>
        <item m="1" x="5082"/>
        <item m="1" x="3161"/>
        <item m="1" x="2837"/>
        <item m="1" x="2597"/>
        <item m="1" x="7162"/>
        <item m="1" x="5953"/>
        <item m="1" x="6024"/>
        <item m="1" x="5138"/>
        <item m="1" x="7401"/>
        <item m="1" x="4879"/>
        <item m="1" x="2512"/>
        <item m="1" x="7532"/>
        <item m="1" x="6307"/>
        <item m="1" x="5721"/>
        <item m="1" x="6979"/>
        <item m="1" x="3746"/>
        <item m="1" x="7812"/>
        <item m="1" x="4408"/>
        <item m="1" x="2545"/>
        <item m="1" x="5572"/>
        <item m="1" x="4624"/>
        <item m="1" x="3602"/>
        <item m="1" x="6067"/>
        <item m="1" x="5907"/>
        <item m="1" x="5559"/>
        <item m="1" x="4915"/>
        <item m="1" x="5487"/>
        <item m="1" x="3002"/>
        <item m="1" x="5035"/>
        <item m="1" x="7611"/>
        <item m="1" x="7843"/>
        <item m="1" x="3506"/>
        <item m="1" x="3850"/>
        <item m="1" x="5350"/>
        <item m="1" x="3818"/>
        <item m="1" x="2941"/>
        <item m="1" x="6027"/>
        <item m="1" x="7055"/>
        <item m="1" x="3000"/>
        <item m="1" x="7063"/>
        <item m="1" x="3105"/>
        <item m="1" x="5857"/>
        <item m="1" x="7868"/>
        <item m="1" x="3501"/>
        <item m="1" x="3152"/>
        <item m="1" x="3733"/>
        <item m="1" x="3628"/>
        <item m="1" x="4278"/>
        <item m="1" x="3971"/>
        <item m="1" x="3408"/>
        <item m="1" x="5581"/>
        <item m="1" x="3578"/>
        <item m="1" x="4603"/>
        <item m="1" x="2787"/>
        <item m="1" x="6665"/>
        <item m="1" x="7876"/>
        <item m="1" x="5036"/>
        <item m="1" x="1867"/>
        <item m="1" x="1868"/>
        <item m="1" x="1869"/>
        <item m="1" x="1870"/>
        <item m="1" x="1871"/>
        <item m="1" x="1872"/>
        <item m="1" x="1873"/>
        <item m="1" x="1875"/>
        <item m="1" x="1876"/>
        <item m="1" x="1877"/>
        <item m="1" x="1878"/>
        <item m="1" x="1879"/>
        <item m="1" x="1880"/>
        <item m="1" x="1881"/>
        <item m="1" x="1883"/>
        <item m="1" x="1884"/>
        <item m="1" x="1885"/>
        <item m="1" x="1886"/>
        <item m="1" x="1887"/>
        <item m="1" x="1888"/>
        <item m="1" x="1889"/>
        <item m="1" x="1890"/>
        <item m="1" x="1891"/>
        <item m="1" x="1892"/>
        <item m="1" x="1893"/>
        <item m="1" x="1894"/>
        <item m="1" x="1896"/>
        <item m="1" x="1897"/>
        <item m="1" x="1898"/>
        <item m="1" x="1899"/>
        <item m="1" x="1900"/>
        <item m="1" x="1901"/>
        <item m="1" x="1902"/>
        <item m="1" x="1903"/>
        <item m="1" x="1904"/>
        <item m="1" x="1905"/>
        <item m="1" x="1907"/>
        <item m="1" x="1908"/>
        <item m="1" x="1909"/>
        <item m="1" x="1910"/>
        <item m="1" x="1911"/>
        <item m="1" x="1912"/>
        <item m="1" x="1913"/>
        <item m="1" x="1914"/>
        <item m="1" x="1915"/>
        <item m="1" x="1916"/>
        <item m="1" x="1917"/>
        <item m="1" x="1918"/>
        <item m="1" x="1919"/>
        <item m="1" x="1920"/>
        <item m="1" x="1921"/>
        <item m="1" x="1922"/>
        <item m="1" x="1923"/>
        <item m="1" x="1925"/>
        <item m="1" x="1926"/>
        <item m="1" x="1927"/>
        <item m="1" x="1929"/>
        <item m="1" x="1930"/>
        <item m="1" x="1934"/>
        <item m="1" x="1935"/>
        <item m="1" x="1936"/>
        <item m="1" x="1937"/>
        <item m="1" x="1939"/>
        <item m="1" x="1940"/>
        <item m="1" x="1941"/>
        <item m="1" x="1942"/>
        <item m="1" x="1943"/>
        <item m="1" x="1944"/>
        <item m="1" x="1945"/>
        <item m="1" x="1946"/>
        <item m="1" x="1947"/>
        <item m="1" x="1948"/>
        <item m="1" x="1949"/>
        <item m="1" x="1950"/>
        <item m="1" x="1951"/>
        <item m="1" x="1953"/>
        <item m="1" x="1954"/>
        <item m="1" x="1955"/>
        <item m="1" x="1956"/>
        <item m="1" x="1959"/>
        <item m="1" x="1960"/>
        <item m="1" x="1961"/>
        <item m="1" x="1962"/>
        <item m="1" x="1964"/>
        <item m="1" x="1965"/>
        <item m="1" x="1966"/>
        <item m="1" x="1967"/>
        <item m="1" x="1968"/>
        <item m="1" x="1969"/>
        <item m="1" x="1970"/>
        <item m="1" x="1971"/>
        <item m="1" x="1973"/>
        <item m="1" x="1974"/>
        <item m="1" x="1975"/>
        <item m="1" x="1976"/>
        <item m="1" x="1977"/>
        <item m="1" x="1978"/>
        <item m="1" x="1979"/>
        <item m="1" x="1980"/>
        <item m="1" x="1981"/>
        <item m="1" x="1982"/>
        <item m="1" x="1983"/>
        <item m="1" x="1984"/>
        <item m="1" x="1985"/>
        <item m="1" x="1987"/>
        <item m="1" x="1988"/>
        <item m="1" x="1989"/>
        <item m="1" x="1990"/>
        <item m="1" x="1991"/>
        <item m="1" x="1993"/>
        <item m="1" x="1995"/>
        <item m="1" x="1996"/>
        <item m="1" x="1997"/>
        <item m="1" x="1998"/>
        <item m="1" x="1999"/>
        <item m="1" x="2000"/>
        <item m="1" x="2001"/>
        <item m="1" x="2002"/>
        <item m="1" x="2003"/>
        <item m="1" x="2006"/>
        <item m="1" x="2007"/>
        <item m="1" x="2008"/>
        <item m="1" x="2009"/>
        <item m="1" x="2010"/>
        <item m="1" x="2011"/>
        <item m="1" x="2012"/>
        <item m="1" x="2014"/>
        <item m="1" x="2015"/>
        <item m="1" x="2016"/>
        <item m="1" x="2017"/>
        <item m="1" x="2018"/>
        <item m="1" x="2019"/>
        <item m="1" x="2020"/>
        <item m="1" x="2021"/>
        <item m="1" x="2023"/>
        <item m="1" x="2024"/>
        <item m="1" x="2025"/>
        <item m="1" x="2027"/>
        <item m="1" x="2028"/>
        <item m="1" x="2030"/>
        <item m="1" x="2031"/>
        <item m="1" x="2032"/>
        <item m="1" x="2033"/>
        <item m="1" x="2034"/>
        <item m="1" x="2035"/>
        <item m="1" x="2037"/>
        <item m="1" x="2038"/>
        <item m="1" x="2039"/>
        <item m="1" x="2040"/>
        <item m="1" x="2041"/>
        <item m="1" x="2042"/>
        <item m="1" x="2043"/>
        <item m="1" x="2044"/>
        <item m="1" x="2045"/>
        <item m="1" x="2046"/>
        <item m="1" x="2048"/>
        <item m="1" x="2049"/>
        <item m="1" x="2051"/>
        <item m="1" x="2052"/>
        <item m="1" x="2053"/>
        <item m="1" x="2054"/>
        <item m="1" x="2056"/>
        <item m="1" x="2057"/>
        <item m="1" x="2058"/>
        <item m="1" x="2059"/>
        <item m="1" x="2061"/>
        <item m="1" x="2062"/>
        <item m="1" x="2063"/>
        <item m="1" x="2064"/>
        <item m="1" x="2065"/>
        <item m="1" x="2066"/>
        <item m="1" x="2067"/>
        <item m="1" x="2068"/>
        <item m="1" x="2069"/>
        <item m="1" x="2070"/>
        <item m="1" x="2071"/>
        <item m="1" x="2072"/>
        <item m="1" x="2074"/>
        <item m="1" x="2075"/>
        <item m="1" x="2076"/>
        <item m="1" x="2077"/>
        <item m="1" x="2078"/>
        <item m="1" x="2079"/>
        <item m="1" x="2080"/>
        <item m="1" x="2081"/>
        <item m="1" x="2082"/>
        <item m="1" x="2083"/>
        <item m="1" x="2085"/>
        <item m="1" x="2087"/>
        <item m="1" x="2088"/>
        <item m="1" x="2089"/>
        <item m="1" x="2090"/>
        <item m="1" x="2091"/>
        <item m="1" x="2092"/>
        <item m="1" x="2094"/>
        <item m="1" x="2096"/>
        <item m="1" x="2097"/>
        <item m="1" x="2098"/>
        <item m="1" x="2099"/>
        <item m="1" x="2101"/>
        <item m="1" x="2102"/>
        <item m="1" x="2103"/>
        <item m="1" x="2105"/>
        <item m="1" x="2106"/>
        <item m="1" x="2107"/>
        <item m="1" x="2108"/>
        <item m="1" x="2109"/>
        <item m="1" x="2114"/>
        <item m="1" x="2115"/>
        <item m="1" x="2116"/>
        <item m="1" x="2117"/>
        <item m="1" x="2118"/>
        <item m="1" x="2119"/>
        <item m="1" x="2120"/>
        <item m="1" x="2124"/>
        <item m="1" x="2126"/>
        <item m="1" x="2127"/>
        <item m="1" x="2128"/>
        <item m="1" x="2129"/>
        <item m="1" x="2130"/>
        <item m="1" x="2131"/>
        <item m="1" x="2133"/>
        <item m="1" x="2134"/>
        <item m="1" x="2135"/>
        <item m="1" x="2136"/>
        <item m="1" x="2137"/>
        <item m="1" x="2138"/>
        <item m="1" x="2139"/>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9"/>
        <item m="1" x="2190"/>
        <item m="1" x="2191"/>
        <item m="1" x="2193"/>
        <item m="1" x="2195"/>
        <item m="1" x="2197"/>
        <item m="1" x="2198"/>
        <item m="1" x="2199"/>
        <item m="1" x="2201"/>
        <item m="1" x="2202"/>
        <item m="1" x="2203"/>
        <item m="1" x="2204"/>
        <item m="1" x="2205"/>
        <item m="1" x="2206"/>
        <item m="1" x="2207"/>
        <item m="1" x="2209"/>
        <item m="1" x="2210"/>
        <item m="1" x="2211"/>
        <item m="1" x="2212"/>
        <item m="1" x="2213"/>
        <item m="1" x="2214"/>
        <item m="1" x="2216"/>
        <item m="1" x="2217"/>
        <item m="1" x="2218"/>
        <item m="1" x="2219"/>
        <item m="1" x="2220"/>
        <item m="1" x="2223"/>
        <item m="1" x="2224"/>
        <item m="1" x="2225"/>
        <item m="1" x="2226"/>
        <item m="1" x="2227"/>
        <item m="1" x="2228"/>
        <item m="1" x="2229"/>
        <item m="1" x="2231"/>
        <item m="1" x="2232"/>
        <item m="1" x="2233"/>
        <item m="1" x="2234"/>
        <item m="1" x="2235"/>
        <item m="1" x="2236"/>
        <item m="1" x="2237"/>
        <item m="1" x="2239"/>
        <item m="1" x="2240"/>
        <item m="1" x="2241"/>
        <item m="1" x="2243"/>
        <item m="1" x="2244"/>
        <item m="1" x="2245"/>
        <item m="1" x="2246"/>
        <item m="1" x="2247"/>
        <item m="1" x="2248"/>
        <item m="1" x="2251"/>
        <item m="1" x="2252"/>
        <item m="1" x="2254"/>
        <item m="1" x="2255"/>
        <item m="1" x="2256"/>
        <item m="1" x="2257"/>
        <item m="1" x="2258"/>
        <item m="1" x="2259"/>
        <item m="1" x="2260"/>
        <item m="1" x="2261"/>
        <item m="1" x="2263"/>
        <item m="1" x="2264"/>
        <item m="1" x="2265"/>
        <item m="1" x="2266"/>
        <item m="1" x="2268"/>
        <item m="1" x="2269"/>
        <item m="1" x="2270"/>
        <item m="1" x="2271"/>
        <item m="1" x="2272"/>
        <item m="1" x="2273"/>
        <item m="1" x="2274"/>
        <item m="1" x="2277"/>
        <item m="1" x="2278"/>
        <item m="1" x="2279"/>
        <item m="1" x="2280"/>
        <item m="1" x="2281"/>
        <item m="1" x="2282"/>
        <item m="1" x="2283"/>
        <item m="1" x="2284"/>
        <item m="1" x="2285"/>
        <item m="1" x="2286"/>
        <item m="1" x="2287"/>
        <item m="1" x="2289"/>
        <item m="1" x="2290"/>
        <item m="1" x="2291"/>
        <item m="1" x="2292"/>
        <item m="1" x="2293"/>
        <item m="1" x="2294"/>
        <item m="1" x="2295"/>
        <item m="1" x="2296"/>
        <item m="1" x="2297"/>
        <item m="1" x="2298"/>
        <item m="1" x="2299"/>
        <item m="1" x="2300"/>
        <item m="1" x="2301"/>
        <item m="1" x="2303"/>
        <item m="1" x="2304"/>
        <item m="1" x="2306"/>
        <item m="1" x="2307"/>
        <item m="1" x="2309"/>
        <item m="1" x="2311"/>
        <item m="1" x="2312"/>
        <item m="1" x="2313"/>
        <item m="1" x="2314"/>
        <item m="1" x="2315"/>
        <item m="1" x="2316"/>
        <item m="1" x="2317"/>
        <item m="1" x="2318"/>
        <item m="1" x="2319"/>
        <item m="1" x="2320"/>
        <item m="1" x="2322"/>
        <item m="1" x="2323"/>
        <item m="1" x="2324"/>
        <item m="1" x="2325"/>
        <item m="1" x="2326"/>
        <item m="1" x="2327"/>
        <item m="1" x="2328"/>
        <item m="1" x="2329"/>
        <item m="1" x="2330"/>
        <item m="1" x="2331"/>
        <item m="1" x="2333"/>
        <item m="1" x="2334"/>
        <item m="1" x="2335"/>
        <item m="1" x="2336"/>
        <item m="1" x="2337"/>
        <item m="1" x="2338"/>
        <item m="1" x="2339"/>
        <item m="1" x="2340"/>
        <item m="1" x="2341"/>
        <item m="1" x="2342"/>
        <item m="1" x="2343"/>
        <item m="1" x="2344"/>
        <item m="1" x="2345"/>
        <item m="1" x="2346"/>
        <item m="1" x="2348"/>
        <item m="1" x="2349"/>
        <item m="1" x="2350"/>
        <item m="1" x="2351"/>
        <item m="1" x="2352"/>
        <item m="1" x="2356"/>
        <item m="1" x="2357"/>
        <item m="1" x="2358"/>
        <item m="1" x="2359"/>
        <item m="1" x="2360"/>
        <item m="1" x="2361"/>
        <item m="1" x="2362"/>
        <item m="1" x="2364"/>
        <item m="1" x="2365"/>
        <item m="1" x="2366"/>
        <item m="1" x="2367"/>
        <item m="1" x="2370"/>
        <item m="1" x="2371"/>
        <item m="1" x="2372"/>
        <item m="1" x="2373"/>
        <item m="1" x="2374"/>
        <item m="1" x="2375"/>
        <item m="1" x="2376"/>
        <item m="1" x="2377"/>
        <item m="1" x="2378"/>
        <item m="1" x="2379"/>
        <item m="1" x="2380"/>
        <item m="1" x="2382"/>
        <item m="1" x="2383"/>
        <item m="1" x="2385"/>
        <item m="1" x="2386"/>
        <item m="1" x="2387"/>
        <item m="1" x="2388"/>
        <item m="1" x="2392"/>
        <item m="1" x="2393"/>
        <item m="1" x="2394"/>
        <item m="1" x="2395"/>
        <item m="1" x="2397"/>
        <item m="1" x="2398"/>
        <item m="1" x="2399"/>
        <item m="1" x="2400"/>
        <item m="1" x="2401"/>
        <item m="1" x="2402"/>
        <item m="1" x="2403"/>
        <item m="1" x="2404"/>
        <item m="1" x="2405"/>
        <item m="1" x="2406"/>
        <item m="1" x="2407"/>
        <item m="1" x="2408"/>
        <item m="1" x="2409"/>
        <item m="1" x="2411"/>
        <item m="1" x="2412"/>
        <item m="1" x="2413"/>
        <item m="1" x="2414"/>
        <item m="1" x="2416"/>
        <item m="1" x="2417"/>
        <item m="1" x="2418"/>
        <item m="1" x="2419"/>
        <item m="1" x="2421"/>
        <item m="1" x="2422"/>
        <item m="1" x="2423"/>
        <item m="1" x="2424"/>
        <item m="1" x="2425"/>
        <item m="1" x="2426"/>
        <item m="1" x="2427"/>
        <item m="1" x="2428"/>
        <item m="1" x="2429"/>
        <item m="1" x="2432"/>
        <item m="1" x="2434"/>
        <item m="1" x="2435"/>
        <item m="1" x="2436"/>
        <item m="1" x="2437"/>
        <item m="1" x="2438"/>
        <item m="1" x="2440"/>
        <item m="1" x="2441"/>
        <item m="1" x="2443"/>
        <item m="1" x="2444"/>
        <item m="1" x="2445"/>
        <item m="1" x="2446"/>
        <item m="1" x="2447"/>
        <item m="1" x="2448"/>
        <item m="1" x="2449"/>
        <item m="1" x="2450"/>
        <item m="1" x="2451"/>
        <item m="1" x="2452"/>
        <item m="1" x="2453"/>
        <item m="1" x="2454"/>
        <item m="1" x="2455"/>
        <item m="1" x="2456"/>
        <item m="1" x="2457"/>
        <item m="1" x="2459"/>
        <item m="1" x="2460"/>
        <item m="1" x="2462"/>
        <item m="1" x="2463"/>
        <item m="1" x="2464"/>
        <item m="1" x="2465"/>
        <item m="1" x="2467"/>
        <item m="1" x="2468"/>
        <item m="1" x="2469"/>
        <item m="1" x="2470"/>
        <item m="1" x="2471"/>
        <item m="1" x="2472"/>
        <item m="1" x="2473"/>
        <item m="1" x="2474"/>
        <item m="1" x="2475"/>
        <item m="1" x="2476"/>
        <item m="1" x="2477"/>
        <item m="1" x="2478"/>
        <item m="1" x="2479"/>
        <item m="1" x="2481"/>
        <item m="1" x="2482"/>
        <item m="1" x="2483"/>
        <item m="1" x="2484"/>
        <item m="1" x="2485"/>
        <item m="1" x="2487"/>
        <item m="1" x="2488"/>
        <item m="1" x="623"/>
        <item m="1" x="624"/>
        <item m="1" x="626"/>
        <item m="1" x="628"/>
        <item m="1" x="629"/>
        <item m="1" x="631"/>
        <item m="1" x="632"/>
        <item m="1" x="633"/>
        <item m="1" x="634"/>
        <item m="1" x="635"/>
        <item m="1" x="636"/>
        <item m="1" x="637"/>
        <item m="1" x="638"/>
        <item m="1" x="639"/>
        <item m="1" x="640"/>
        <item m="1" x="641"/>
        <item m="1" x="644"/>
        <item m="1" x="645"/>
        <item m="1" x="646"/>
        <item m="1" x="648"/>
        <item m="1" x="649"/>
        <item m="1" x="653"/>
        <item m="1" x="654"/>
        <item m="1" x="655"/>
        <item m="1" x="656"/>
        <item m="1" x="657"/>
        <item m="1" x="658"/>
        <item m="1" x="659"/>
        <item m="1" x="660"/>
        <item m="1" x="661"/>
        <item m="1" x="663"/>
        <item m="1" x="664"/>
        <item m="1" x="665"/>
        <item m="1" x="667"/>
        <item m="1" x="668"/>
        <item m="1" x="670"/>
        <item m="1" x="671"/>
        <item m="1" x="673"/>
        <item m="1" x="674"/>
        <item m="1" x="676"/>
        <item m="1" x="678"/>
        <item m="1" x="680"/>
        <item m="1" x="681"/>
        <item m="1" x="682"/>
        <item m="1" x="683"/>
        <item m="1" x="684"/>
        <item m="1" x="685"/>
        <item m="1" x="686"/>
        <item m="1" x="687"/>
        <item m="1" x="688"/>
        <item m="1" x="689"/>
        <item m="1" x="691"/>
        <item m="1" x="692"/>
        <item m="1" x="693"/>
        <item m="1" x="694"/>
        <item m="1" x="695"/>
        <item m="1" x="696"/>
        <item m="1" x="697"/>
        <item m="1" x="698"/>
        <item m="1" x="699"/>
        <item m="1" x="701"/>
        <item m="1" x="702"/>
        <item m="1" x="703"/>
        <item m="1" x="704"/>
        <item m="1" x="705"/>
        <item m="1" x="706"/>
        <item m="1" x="708"/>
        <item m="1" x="709"/>
        <item m="1" x="710"/>
        <item m="1" x="711"/>
        <item m="1" x="712"/>
        <item m="1" x="713"/>
        <item m="1" x="715"/>
        <item m="1" x="716"/>
        <item m="1" x="717"/>
        <item m="1" x="719"/>
        <item m="1" x="720"/>
        <item m="1" x="722"/>
        <item m="1" x="723"/>
        <item m="1" x="724"/>
        <item m="1" x="726"/>
        <item m="1" x="727"/>
        <item m="1" x="728"/>
        <item m="1" x="729"/>
        <item m="1" x="730"/>
        <item m="1" x="732"/>
        <item m="1" x="734"/>
        <item m="1" x="735"/>
        <item m="1" x="736"/>
        <item m="1" x="737"/>
        <item m="1" x="738"/>
        <item m="1" x="739"/>
        <item m="1" x="740"/>
        <item m="1" x="741"/>
        <item m="1" x="742"/>
        <item m="1" x="743"/>
        <item m="1" x="744"/>
        <item m="1" x="745"/>
        <item m="1" x="746"/>
        <item m="1" x="748"/>
        <item m="1" x="749"/>
        <item m="1" x="750"/>
        <item m="1" x="751"/>
        <item m="1" x="752"/>
        <item m="1" x="753"/>
        <item m="1" x="755"/>
        <item m="1" x="756"/>
        <item m="1" x="757"/>
        <item m="1" x="758"/>
        <item m="1" x="759"/>
        <item m="1" x="760"/>
        <item m="1" x="761"/>
        <item m="1" x="762"/>
        <item m="1" x="763"/>
        <item m="1" x="766"/>
        <item m="1" x="767"/>
        <item m="1" x="768"/>
        <item m="1" x="769"/>
        <item m="1" x="770"/>
        <item m="1" x="773"/>
        <item m="1" x="774"/>
        <item m="1" x="777"/>
        <item m="1" x="778"/>
        <item m="1" x="781"/>
        <item m="1" x="782"/>
        <item m="1" x="783"/>
        <item m="1" x="784"/>
        <item m="1" x="785"/>
        <item m="1" x="787"/>
        <item m="1" x="788"/>
        <item m="1" x="790"/>
        <item m="1" x="791"/>
        <item m="1" x="793"/>
        <item m="1" x="794"/>
        <item m="1" x="795"/>
        <item m="1" x="796"/>
        <item m="1" x="797"/>
        <item m="1" x="799"/>
        <item m="1" x="802"/>
        <item m="1" x="803"/>
        <item m="1" x="804"/>
        <item m="1" x="806"/>
        <item m="1" x="808"/>
        <item m="1" x="809"/>
        <item m="1" x="811"/>
        <item m="1" x="812"/>
        <item m="1" x="813"/>
        <item m="1" x="815"/>
        <item m="1" x="817"/>
        <item m="1" x="818"/>
        <item m="1" x="821"/>
        <item m="1" x="822"/>
        <item m="1" x="823"/>
        <item m="1" x="824"/>
        <item m="1" x="825"/>
        <item m="1" x="826"/>
        <item m="1" x="827"/>
        <item m="1" x="828"/>
        <item m="1" x="829"/>
        <item m="1" x="830"/>
        <item m="1" x="832"/>
        <item m="1" x="833"/>
        <item m="1" x="834"/>
        <item m="1" x="835"/>
        <item m="1" x="836"/>
        <item m="1" x="837"/>
        <item m="1" x="838"/>
        <item m="1" x="839"/>
        <item m="1" x="841"/>
        <item m="1" x="843"/>
        <item m="1" x="845"/>
        <item m="1" x="846"/>
        <item m="1" x="847"/>
        <item m="1" x="848"/>
        <item m="1" x="850"/>
        <item m="1" x="851"/>
        <item m="1" x="852"/>
        <item m="1" x="853"/>
        <item m="1" x="854"/>
        <item m="1" x="855"/>
        <item m="1" x="856"/>
        <item m="1" x="857"/>
        <item m="1" x="858"/>
        <item m="1" x="859"/>
        <item m="1" x="860"/>
        <item m="1" x="861"/>
        <item m="1" x="862"/>
        <item m="1" x="863"/>
        <item m="1" x="864"/>
        <item m="1" x="865"/>
        <item m="1" x="866"/>
        <item m="1" x="868"/>
        <item m="1" x="869"/>
        <item m="1" x="870"/>
        <item m="1" x="871"/>
        <item m="1" x="872"/>
        <item m="1" x="874"/>
        <item m="1" x="875"/>
        <item m="1" x="876"/>
        <item m="1" x="877"/>
        <item m="1" x="878"/>
        <item m="1" x="879"/>
        <item m="1" x="880"/>
        <item m="1" x="881"/>
        <item m="1" x="882"/>
        <item m="1" x="883"/>
        <item m="1" x="884"/>
        <item m="1" x="885"/>
        <item m="1" x="886"/>
        <item m="1" x="887"/>
        <item m="1" x="888"/>
        <item m="1" x="891"/>
        <item m="1" x="893"/>
        <item m="1" x="898"/>
        <item m="1" x="899"/>
        <item m="1" x="900"/>
        <item m="1" x="901"/>
        <item m="1" x="903"/>
        <item m="1" x="904"/>
        <item m="1" x="905"/>
        <item m="1" x="906"/>
        <item m="1" x="907"/>
        <item m="1" x="908"/>
        <item m="1" x="909"/>
        <item m="1" x="911"/>
        <item m="1" x="914"/>
        <item m="1" x="915"/>
        <item m="1" x="916"/>
        <item m="1" x="917"/>
        <item m="1" x="918"/>
        <item m="1" x="919"/>
        <item m="1" x="920"/>
        <item m="1" x="921"/>
        <item m="1" x="922"/>
        <item m="1" x="923"/>
        <item m="1" x="924"/>
        <item m="1" x="926"/>
        <item m="1" x="927"/>
        <item m="1" x="929"/>
        <item m="1" x="930"/>
        <item m="1" x="932"/>
        <item m="1" x="933"/>
        <item m="1" x="934"/>
        <item m="1" x="936"/>
        <item m="1" x="937"/>
        <item m="1" x="938"/>
        <item m="1" x="939"/>
        <item m="1" x="940"/>
        <item m="1" x="941"/>
        <item m="1" x="942"/>
        <item m="1" x="943"/>
        <item m="1" x="944"/>
        <item m="1" x="945"/>
        <item m="1" x="946"/>
        <item m="1" x="947"/>
        <item m="1" x="948"/>
        <item m="1" x="949"/>
        <item m="1" x="950"/>
        <item m="1" x="952"/>
        <item m="1" x="954"/>
        <item m="1" x="956"/>
        <item m="1" x="957"/>
        <item m="1" x="958"/>
        <item m="1" x="961"/>
        <item m="1" x="962"/>
        <item m="1" x="964"/>
        <item m="1" x="966"/>
        <item m="1" x="967"/>
        <item m="1" x="968"/>
        <item m="1" x="972"/>
        <item m="1" x="973"/>
        <item m="1" x="974"/>
        <item m="1" x="976"/>
        <item m="1" x="977"/>
        <item m="1" x="979"/>
        <item m="1" x="980"/>
        <item m="1" x="981"/>
        <item m="1" x="983"/>
        <item m="1" x="984"/>
        <item m="1" x="985"/>
        <item m="1" x="986"/>
        <item m="1" x="989"/>
        <item m="1" x="991"/>
        <item m="1" x="992"/>
        <item m="1" x="993"/>
        <item m="1" x="994"/>
        <item m="1" x="996"/>
        <item m="1" x="997"/>
        <item m="1" x="998"/>
        <item m="1" x="1001"/>
        <item m="1" x="1002"/>
        <item m="1" x="1003"/>
        <item m="1" x="1004"/>
        <item m="1" x="1006"/>
        <item m="1" x="1007"/>
        <item m="1" x="1008"/>
        <item m="1" x="1009"/>
        <item m="1" x="1010"/>
        <item m="1" x="1011"/>
        <item m="1" x="1012"/>
        <item m="1" x="1014"/>
        <item m="1" x="1015"/>
        <item m="1" x="1016"/>
        <item m="1" x="1017"/>
        <item m="1" x="1018"/>
        <item m="1" x="1019"/>
        <item m="1" x="1020"/>
        <item m="1" x="1021"/>
        <item m="1" x="1022"/>
        <item m="1" x="1023"/>
        <item m="1" x="1024"/>
        <item m="1" x="1026"/>
        <item m="1" x="1027"/>
        <item m="1" x="1029"/>
        <item m="1" x="1030"/>
        <item m="1" x="1031"/>
        <item m="1" x="1032"/>
        <item m="1" x="1034"/>
        <item m="1" x="1036"/>
        <item m="1" x="1037"/>
        <item m="1" x="1038"/>
        <item m="1" x="1039"/>
        <item m="1" x="1040"/>
        <item m="1" x="1042"/>
        <item m="1" x="1043"/>
        <item m="1" x="1044"/>
        <item m="1" x="1045"/>
        <item m="1" x="1047"/>
        <item m="1" x="1048"/>
        <item m="1" x="1049"/>
        <item m="1" x="1050"/>
        <item m="1" x="1051"/>
        <item m="1" x="1052"/>
        <item m="1" x="1053"/>
        <item m="1" x="1054"/>
        <item m="1" x="1055"/>
        <item m="1" x="1057"/>
        <item m="1" x="1058"/>
        <item m="1" x="1060"/>
        <item m="1" x="1062"/>
        <item m="1" x="1063"/>
        <item m="1" x="1064"/>
        <item m="1" x="1065"/>
        <item m="1" x="1068"/>
        <item m="1" x="1069"/>
        <item m="1" x="1072"/>
        <item m="1" x="1073"/>
        <item m="1" x="1074"/>
        <item m="1" x="1075"/>
        <item m="1" x="1078"/>
        <item m="1" x="1079"/>
        <item m="1" x="1080"/>
        <item m="1" x="1081"/>
        <item m="1" x="1083"/>
        <item m="1" x="1084"/>
        <item m="1" x="1085"/>
        <item m="1" x="1086"/>
        <item m="1" x="1088"/>
        <item m="1" x="1089"/>
        <item m="1" x="1090"/>
        <item m="1" x="1091"/>
        <item m="1" x="1092"/>
        <item m="1" x="1093"/>
        <item m="1" x="1095"/>
        <item m="1" x="1096"/>
        <item m="1" x="1097"/>
        <item m="1" x="1098"/>
        <item m="1" x="1099"/>
        <item m="1" x="1100"/>
        <item m="1" x="1103"/>
        <item m="1" x="1104"/>
        <item m="1" x="1105"/>
        <item m="1" x="1106"/>
        <item m="1" x="1109"/>
        <item m="1" x="1111"/>
        <item m="1" x="1114"/>
        <item m="1" x="1115"/>
        <item m="1" x="1116"/>
        <item m="1" x="1117"/>
        <item m="1" x="1118"/>
        <item m="1" x="1119"/>
        <item m="1" x="1120"/>
        <item m="1" x="1122"/>
        <item m="1" x="1123"/>
        <item m="1" x="1125"/>
        <item m="1" x="1126"/>
        <item m="1" x="1127"/>
        <item m="1" x="1131"/>
        <item m="1" x="1132"/>
        <item m="1" x="1133"/>
        <item m="1" x="1134"/>
        <item m="1" x="1135"/>
        <item m="1" x="1136"/>
        <item m="1" x="1137"/>
        <item m="1" x="1138"/>
        <item m="1" x="1139"/>
        <item m="1" x="1140"/>
        <item m="1" x="1142"/>
        <item m="1" x="1143"/>
        <item m="1" x="1145"/>
        <item m="1" x="1147"/>
        <item m="1" x="1148"/>
        <item m="1" x="1149"/>
        <item m="1" x="1151"/>
        <item m="1" x="1154"/>
        <item m="1" x="1155"/>
        <item m="1" x="1157"/>
        <item m="1" x="1158"/>
        <item m="1" x="1160"/>
        <item m="1" x="1162"/>
        <item m="1" x="1163"/>
        <item m="1" x="1164"/>
        <item m="1" x="1165"/>
        <item m="1" x="1166"/>
        <item m="1" x="1167"/>
        <item m="1" x="1168"/>
        <item m="1" x="1169"/>
        <item m="1" x="1170"/>
        <item m="1" x="1172"/>
        <item m="1" x="1173"/>
        <item m="1" x="1174"/>
        <item m="1" x="1175"/>
        <item m="1" x="1176"/>
        <item m="1" x="1178"/>
        <item m="1" x="1179"/>
        <item m="1" x="1180"/>
        <item m="1" x="1181"/>
        <item m="1" x="1182"/>
        <item m="1" x="1183"/>
        <item m="1" x="1184"/>
        <item m="1" x="1187"/>
        <item m="1" x="1188"/>
        <item m="1" x="1189"/>
        <item m="1" x="1190"/>
        <item m="1" x="1191"/>
        <item m="1" x="1192"/>
        <item m="1" x="1195"/>
        <item m="1" x="1196"/>
        <item m="1" x="1200"/>
        <item m="1" x="1202"/>
        <item m="1" x="1203"/>
        <item m="1" x="1204"/>
        <item m="1" x="1206"/>
        <item m="1" x="1209"/>
        <item m="1" x="1210"/>
        <item m="1" x="1211"/>
        <item m="1" x="1212"/>
        <item m="1" x="1214"/>
        <item m="1" x="1215"/>
        <item m="1" x="1217"/>
        <item m="1" x="1219"/>
        <item m="1" x="1220"/>
        <item m="1" x="1221"/>
        <item m="1" x="1222"/>
        <item m="1" x="1223"/>
        <item m="1" x="1224"/>
        <item m="1" x="1225"/>
        <item m="1" x="1226"/>
        <item m="1" x="1227"/>
        <item m="1" x="1228"/>
        <item m="1" x="1229"/>
        <item m="1" x="1230"/>
        <item m="1" x="1233"/>
        <item m="1" x="1235"/>
        <item m="1" x="1236"/>
        <item m="1" x="1237"/>
        <item m="1" x="1238"/>
        <item m="1" x="1239"/>
        <item m="1" x="1240"/>
        <item m="1" x="1241"/>
        <item m="1" x="1242"/>
        <item m="1" x="1243"/>
        <item m="1" x="1874"/>
        <item m="1" x="1882"/>
        <item m="1" x="1895"/>
        <item m="1" x="1906"/>
        <item m="1" x="1924"/>
        <item m="1" x="1928"/>
        <item m="1" x="1931"/>
        <item m="1" x="1932"/>
        <item m="1" x="1933"/>
        <item m="1" x="1938"/>
        <item m="1" x="1952"/>
        <item m="1" x="1957"/>
        <item m="1" x="1958"/>
        <item m="1" x="1963"/>
        <item m="1" x="1972"/>
        <item m="1" x="1986"/>
        <item m="1" x="1992"/>
        <item m="1" x="1994"/>
        <item m="1" x="2004"/>
        <item m="1" x="2005"/>
        <item m="1" x="2013"/>
        <item m="1" x="2022"/>
        <item m="1" x="2026"/>
        <item m="1" x="2029"/>
        <item m="1" x="2036"/>
        <item m="1" x="2047"/>
        <item m="1" x="2050"/>
        <item m="1" x="2055"/>
        <item m="1" x="2060"/>
        <item m="1" x="2073"/>
        <item m="1" x="2084"/>
        <item m="1" x="2086"/>
        <item m="1" x="2093"/>
        <item m="1" x="2095"/>
        <item m="1" x="2100"/>
        <item m="1" x="2104"/>
        <item m="1" x="2110"/>
        <item m="1" x="2111"/>
        <item m="1" x="2112"/>
        <item m="1" x="2113"/>
        <item m="1" x="2121"/>
        <item m="1" x="2122"/>
        <item m="1" x="2123"/>
        <item m="1" x="2125"/>
        <item m="1" x="2132"/>
        <item m="1" x="2140"/>
        <item m="1" x="2141"/>
        <item m="1" x="2165"/>
        <item m="1" x="2187"/>
        <item m="1" x="2188"/>
        <item m="1" x="2192"/>
        <item m="1" x="2194"/>
        <item m="1" x="2196"/>
        <item m="1" x="2200"/>
        <item m="1" x="2208"/>
        <item m="1" x="2215"/>
        <item m="1" x="2221"/>
        <item m="1" x="2222"/>
        <item m="1" x="2230"/>
        <item m="1" x="2238"/>
        <item m="1" x="2242"/>
        <item m="1" x="2249"/>
        <item m="1" x="2250"/>
        <item m="1" x="2253"/>
        <item m="1" x="2262"/>
        <item m="1" x="2267"/>
        <item m="1" x="2275"/>
        <item m="1" x="2276"/>
        <item m="1" x="2288"/>
        <item m="1" x="2302"/>
        <item m="1" x="2305"/>
        <item m="1" x="2308"/>
        <item m="1" x="2310"/>
        <item m="1" x="2321"/>
        <item m="1" x="2332"/>
        <item m="1" x="2347"/>
        <item m="1" x="2353"/>
        <item m="1" x="2354"/>
        <item m="1" x="2355"/>
        <item m="1" x="2363"/>
        <item m="1" x="2368"/>
        <item m="1" x="2369"/>
        <item m="1" x="2381"/>
        <item m="1" x="2384"/>
        <item m="1" x="2389"/>
        <item m="1" x="2390"/>
        <item m="1" x="2391"/>
        <item m="1" x="2396"/>
        <item m="1" x="2410"/>
        <item m="1" x="2415"/>
        <item m="1" x="2420"/>
        <item m="1" x="2430"/>
        <item m="1" x="2431"/>
        <item m="1" x="2433"/>
        <item m="1" x="2439"/>
        <item m="1" x="2442"/>
        <item m="1" x="2458"/>
        <item m="1" x="2461"/>
        <item m="1" x="2466"/>
        <item m="1" x="2480"/>
        <item m="1" x="2486"/>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625"/>
        <item m="1" x="627"/>
        <item m="1" x="630"/>
        <item m="1" x="642"/>
        <item m="1" x="643"/>
        <item m="1" x="647"/>
        <item m="1" x="650"/>
        <item m="1" x="651"/>
        <item m="1" x="652"/>
        <item m="1" x="662"/>
        <item m="1" x="666"/>
        <item m="1" x="669"/>
        <item m="1" x="672"/>
        <item m="1" x="675"/>
        <item m="1" x="677"/>
        <item m="1" x="679"/>
        <item m="1" x="690"/>
        <item m="1" x="700"/>
        <item m="1" x="707"/>
        <item m="1" x="714"/>
        <item m="1" x="718"/>
        <item m="1" x="721"/>
        <item m="1" x="725"/>
        <item m="1" x="731"/>
        <item m="1" x="733"/>
        <item m="1" x="747"/>
        <item m="1" x="754"/>
        <item m="1" x="764"/>
        <item m="1" x="765"/>
        <item m="1" x="771"/>
        <item m="1" x="772"/>
        <item m="1" x="775"/>
        <item m="1" x="776"/>
        <item m="1" x="779"/>
        <item m="1" x="780"/>
        <item m="1" x="786"/>
        <item m="1" x="789"/>
        <item m="1" x="792"/>
        <item m="1" x="798"/>
        <item m="1" x="800"/>
        <item m="1" x="801"/>
        <item m="1" x="805"/>
        <item m="1" x="807"/>
        <item m="1" x="810"/>
        <item m="1" x="814"/>
        <item m="1" x="816"/>
        <item m="1" x="819"/>
        <item m="1" x="820"/>
        <item m="1" x="831"/>
        <item m="1" x="840"/>
        <item m="1" x="842"/>
        <item m="1" x="844"/>
        <item m="1" x="849"/>
        <item m="1" x="867"/>
        <item m="1" x="873"/>
        <item m="1" x="889"/>
        <item m="1" x="890"/>
        <item m="1" x="892"/>
        <item m="1" x="894"/>
        <item m="1" x="895"/>
        <item m="1" x="896"/>
        <item m="1" x="897"/>
        <item m="1" x="902"/>
        <item m="1" x="910"/>
        <item m="1" x="912"/>
        <item m="1" x="913"/>
        <item m="1" x="925"/>
        <item m="1" x="928"/>
        <item m="1" x="931"/>
        <item m="1" x="935"/>
        <item m="1" x="951"/>
        <item m="1" x="953"/>
        <item m="1" x="955"/>
        <item m="1" x="959"/>
        <item m="1" x="960"/>
        <item m="1" x="963"/>
        <item m="1" x="965"/>
        <item m="1" x="969"/>
        <item m="1" x="970"/>
        <item m="1" x="971"/>
        <item m="1" x="975"/>
        <item m="1" x="978"/>
        <item m="1" x="982"/>
        <item m="1" x="987"/>
        <item m="1" x="988"/>
        <item m="1" x="990"/>
        <item m="1" x="995"/>
        <item m="1" x="999"/>
        <item m="1" x="1000"/>
        <item m="1" x="1005"/>
        <item m="1" x="1013"/>
        <item m="1" x="1025"/>
        <item m="1" x="1028"/>
        <item m="1" x="1033"/>
        <item m="1" x="1035"/>
        <item m="1" x="1041"/>
        <item m="1" x="1046"/>
        <item m="1" x="1056"/>
        <item m="1" x="1059"/>
        <item m="1" x="1061"/>
        <item m="1" x="1066"/>
        <item m="1" x="1067"/>
        <item m="1" x="1070"/>
        <item m="1" x="1071"/>
        <item m="1" x="1076"/>
        <item m="1" x="1077"/>
        <item m="1" x="1082"/>
        <item m="1" x="1087"/>
        <item m="1" x="1094"/>
        <item m="1" x="1101"/>
        <item m="1" x="1102"/>
        <item m="1" x="1107"/>
        <item m="1" x="1108"/>
        <item m="1" x="1110"/>
        <item m="1" x="1112"/>
        <item m="1" x="1113"/>
        <item m="1" x="1121"/>
        <item m="1" x="1124"/>
        <item m="1" x="1128"/>
        <item m="1" x="1129"/>
        <item m="1" x="1130"/>
        <item m="1" x="1141"/>
        <item m="1" x="1144"/>
        <item m="1" x="1146"/>
        <item m="1" x="1150"/>
        <item m="1" x="1152"/>
        <item m="1" x="1153"/>
        <item m="1" x="1156"/>
        <item m="1" x="1159"/>
        <item m="1" x="1161"/>
        <item m="1" x="1171"/>
        <item m="1" x="1177"/>
        <item m="1" x="1185"/>
        <item m="1" x="1186"/>
        <item m="1" x="1193"/>
        <item m="1" x="1194"/>
        <item m="1" x="1197"/>
        <item m="1" x="1198"/>
        <item m="1" x="1199"/>
        <item m="1" x="1201"/>
        <item m="1" x="1205"/>
        <item m="1" x="1207"/>
        <item m="1" x="1208"/>
        <item m="1" x="1213"/>
        <item m="1" x="1216"/>
        <item m="1" x="1218"/>
        <item m="1" x="1231"/>
        <item m="1" x="1232"/>
        <item m="1" x="1234"/>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x="0"/>
        <item t="default"/>
      </items>
    </pivotField>
    <pivotField compact="0" showAll="0"/>
    <pivotField compact="0" showAll="0"/>
    <pivotField compact="0" showAll="0">
      <items count="8001">
        <item m="1" x="4218"/>
        <item m="1" x="7948"/>
        <item m="1" x="4559"/>
        <item m="1" x="4345"/>
        <item m="1" x="6696"/>
        <item m="1" x="4518"/>
        <item m="1" x="4545"/>
        <item m="1" x="2854"/>
        <item m="1" x="2615"/>
        <item m="1" x="5880"/>
        <item m="1" x="2952"/>
        <item m="1" x="6524"/>
        <item m="1" x="5353"/>
        <item m="1" x="3029"/>
        <item m="1" x="5267"/>
        <item m="1" x="4899"/>
        <item m="1" x="2964"/>
        <item m="1" x="7123"/>
        <item m="1" x="3709"/>
        <item m="1" x="7802"/>
        <item m="1" x="5196"/>
        <item m="1" x="7087"/>
        <item m="1" x="3564"/>
        <item m="1" x="3356"/>
        <item m="1" x="7305"/>
        <item m="1" x="7116"/>
        <item m="1" x="7253"/>
        <item m="1" x="4453"/>
        <item m="1" x="2814"/>
        <item m="1" x="7093"/>
        <item m="1" x="7179"/>
        <item m="1" x="2605"/>
        <item m="1" x="2685"/>
        <item m="1" x="5368"/>
        <item m="1" x="5925"/>
        <item m="1" x="4539"/>
        <item m="1" x="7332"/>
        <item m="1" x="6131"/>
        <item m="1" x="6365"/>
        <item m="1" x="7745"/>
        <item m="1" x="6391"/>
        <item m="1" x="4824"/>
        <item m="1" x="6730"/>
        <item m="1" x="5210"/>
        <item m="1" x="5859"/>
        <item m="1" x="5695"/>
        <item m="1" x="4992"/>
        <item m="1" x="4458"/>
        <item m="1" x="4990"/>
        <item m="1" x="4239"/>
        <item m="1" x="3896"/>
        <item m="1" x="5232"/>
        <item m="1" x="5578"/>
        <item m="1" x="6201"/>
        <item m="1" x="6647"/>
        <item m="1" x="3478"/>
        <item m="1" x="5917"/>
        <item m="1" x="4862"/>
        <item m="1" x="6976"/>
        <item m="1" x="5194"/>
        <item m="1" x="7222"/>
        <item m="1" x="5701"/>
        <item m="1" x="4871"/>
        <item m="1" x="6503"/>
        <item m="1" x="4960"/>
        <item m="1" x="3834"/>
        <item m="1" x="7572"/>
        <item m="1" x="4031"/>
        <item m="1" x="4074"/>
        <item m="1" x="5058"/>
        <item m="1" x="6515"/>
        <item m="1" x="3503"/>
        <item m="1" x="5155"/>
        <item m="1" x="5468"/>
        <item m="1" x="6899"/>
        <item m="1" x="7628"/>
        <item m="1" x="4072"/>
        <item m="1" x="4962"/>
        <item m="1" x="2842"/>
        <item m="1" x="6602"/>
        <item m="1" x="7034"/>
        <item m="1" x="4573"/>
        <item m="1" x="3057"/>
        <item m="1" x="4261"/>
        <item m="1" x="5031"/>
        <item m="1" x="4679"/>
        <item m="1" x="7433"/>
        <item m="1" x="7407"/>
        <item m="1" x="3957"/>
        <item m="1" x="7142"/>
        <item m="1" x="3565"/>
        <item m="1" x="4787"/>
        <item m="1" x="7478"/>
        <item m="1" x="7081"/>
        <item m="1" x="7483"/>
        <item m="1" x="6702"/>
        <item m="1" x="7279"/>
        <item m="1" x="3090"/>
        <item m="1" x="5345"/>
        <item m="1" x="4028"/>
        <item m="1" x="3143"/>
        <item m="1" x="4669"/>
        <item m="1" x="3486"/>
        <item m="1" x="6512"/>
        <item m="1" x="3514"/>
        <item m="1" x="3502"/>
        <item m="1" x="6904"/>
        <item m="1" x="4331"/>
        <item m="1" x="4880"/>
        <item m="1" x="5141"/>
        <item m="1" x="7030"/>
        <item m="1" x="4268"/>
        <item m="1" x="6170"/>
        <item m="1" x="5039"/>
        <item m="1" x="4860"/>
        <item m="1" x="7444"/>
        <item m="1" x="5251"/>
        <item m="1" x="7482"/>
        <item m="1" x="7046"/>
        <item m="1" x="7476"/>
        <item m="1" x="2862"/>
        <item m="1" x="6794"/>
        <item m="1" x="1231"/>
        <item m="1" x="6258"/>
        <item m="1" x="6320"/>
        <item m="1" x="2634"/>
        <item m="1" x="4021"/>
        <item m="1" x="4069"/>
        <item m="1" x="5046"/>
        <item m="1" x="3510"/>
        <item m="1" x="5164"/>
        <item m="1" x="5464"/>
        <item m="1" x="6902"/>
        <item m="1" x="7624"/>
        <item m="1" x="4068"/>
        <item m="1" x="2825"/>
        <item m="1" x="6597"/>
        <item m="1" x="7039"/>
        <item m="1" x="3074"/>
        <item m="1" x="4687"/>
        <item m="1" x="7395"/>
        <item m="1" x="3962"/>
        <item m="1" x="7149"/>
        <item m="1" x="3568"/>
        <item m="1" x="4784"/>
        <item m="1" x="7084"/>
        <item m="1" x="7471"/>
        <item m="1" x="4024"/>
        <item m="1" x="4855"/>
        <item m="1" x="6363"/>
        <item m="1" x="7274"/>
        <item m="1" x="7485"/>
        <item m="1" x="7984"/>
        <item m="1" x="7051"/>
        <item m="1" x="3924"/>
        <item m="1" x="4399"/>
        <item m="1" x="4277"/>
        <item m="1" x="4199"/>
        <item m="1" x="4697"/>
        <item m="1" x="7050"/>
        <item m="1" x="5723"/>
        <item m="1" x="7565"/>
        <item m="1" x="6753"/>
        <item m="1" x="6553"/>
        <item m="1" x="5612"/>
        <item m="1" x="3902"/>
        <item m="1" x="5149"/>
        <item m="1" x="5179"/>
        <item m="1" x="3353"/>
        <item m="1" x="6780"/>
        <item m="1" x="4127"/>
        <item m="1" x="3911"/>
        <item m="1" x="3596"/>
        <item m="1" x="4973"/>
        <item m="1" x="2733"/>
        <item m="1" x="4226"/>
        <item m="1" x="6067"/>
        <item m="1" x="7524"/>
        <item m="1" x="6219"/>
        <item m="1" x="5024"/>
        <item m="1" x="6998"/>
        <item m="1" x="4546"/>
        <item m="1" x="5389"/>
        <item m="1" x="7684"/>
        <item m="1" x="2907"/>
        <item m="1" x="6216"/>
        <item m="1" x="5457"/>
        <item m="1" x="7915"/>
        <item m="1" x="4965"/>
        <item m="1" x="5305"/>
        <item m="1" x="6855"/>
        <item m="1" x="7248"/>
        <item m="1" x="5205"/>
        <item m="1" x="7512"/>
        <item m="1" x="4329"/>
        <item m="1" x="2723"/>
        <item m="1" x="4581"/>
        <item m="1" x="2869"/>
        <item m="1" x="7625"/>
        <item m="1" x="5471"/>
        <item m="1" x="7137"/>
        <item m="1" x="6279"/>
        <item m="1" x="7934"/>
        <item m="1" x="7723"/>
        <item m="1" x="5777"/>
        <item m="1" x="7534"/>
        <item m="1" x="7345"/>
        <item m="1" x="6102"/>
        <item m="1" x="6378"/>
        <item m="1" x="5786"/>
        <item m="1" x="5204"/>
        <item m="1" x="4808"/>
        <item m="1" x="3378"/>
        <item m="1" x="7120"/>
        <item m="1" x="2688"/>
        <item m="1" x="3170"/>
        <item m="1" x="7193"/>
        <item m="1" x="4228"/>
        <item m="1" x="2734"/>
        <item m="1" x="3351"/>
        <item m="1" x="6961"/>
        <item m="1" x="4062"/>
        <item m="1" x="3350"/>
        <item m="1" x="4919"/>
        <item m="1" x="5641"/>
        <item m="1" x="6801"/>
        <item m="1" x="3885"/>
        <item m="1" x="2919"/>
        <item m="1" x="6916"/>
        <item m="1" x="3939"/>
        <item m="1" x="7348"/>
        <item m="1" x="7226"/>
        <item m="1" x="4849"/>
        <item m="1" x="3549"/>
        <item m="1" x="4387"/>
        <item m="1" x="5115"/>
        <item m="1" x="7082"/>
        <item m="1" x="4997"/>
        <item m="1" x="4606"/>
        <item m="1" x="6118"/>
        <item m="1" x="7844"/>
        <item m="1" x="3887"/>
        <item m="1" x="3420"/>
        <item m="1" x="3117"/>
        <item m="1" x="7562"/>
        <item m="1" x="3511"/>
        <item m="1" x="4884"/>
        <item m="1" x="7614"/>
        <item m="1" x="3681"/>
        <item m="1" x="3279"/>
        <item m="1" x="7566"/>
        <item m="1" x="5787"/>
        <item m="1" x="6033"/>
        <item m="1" x="6280"/>
        <item m="1" x="2959"/>
        <item m="1" x="7598"/>
        <item m="1" x="7322"/>
        <item m="1" x="2943"/>
        <item m="1" x="7716"/>
        <item m="1" x="6257"/>
        <item m="1" x="3864"/>
        <item m="1" x="7554"/>
        <item m="1" x="6060"/>
        <item m="1" x="3309"/>
        <item m="1" x="4947"/>
        <item m="1" x="4732"/>
        <item m="1" x="6556"/>
        <item m="1" x="5632"/>
        <item m="1" x="5095"/>
        <item m="1" x="3214"/>
        <item m="1" x="7831"/>
        <item m="1" x="6656"/>
        <item m="1" x="6688"/>
        <item m="1" x="6220"/>
        <item m="1" x="5293"/>
        <item m="1" x="5016"/>
        <item m="1" x="4889"/>
        <item m="1" x="5823"/>
        <item m="1" x="4770"/>
        <item m="1" x="7709"/>
        <item m="1" x="6092"/>
        <item m="1" x="4155"/>
        <item m="1" x="7590"/>
        <item m="1" x="7459"/>
        <item m="1" x="7586"/>
        <item m="1" x="5619"/>
        <item m="1" x="7718"/>
        <item m="1" x="6559"/>
        <item m="1" x="3409"/>
        <item m="1" x="4419"/>
        <item m="1" x="6109"/>
        <item m="1" x="3128"/>
        <item m="1" x="5076"/>
        <item m="1" x="2691"/>
        <item m="1" x="2742"/>
        <item m="1" x="3609"/>
        <item m="1" x="4969"/>
        <item m="1" x="6424"/>
        <item m="1" x="3955"/>
        <item m="1" x="3728"/>
        <item m="1" x="7067"/>
        <item m="1" x="3396"/>
        <item m="1" x="5372"/>
        <item m="1" x="7570"/>
        <item m="1" x="7990"/>
        <item m="1" x="4116"/>
        <item m="1" x="7834"/>
        <item m="1" x="4307"/>
        <item m="1" x="2641"/>
        <item m="1" x="2973"/>
        <item m="1" x="3393"/>
        <item m="1" x="6935"/>
        <item m="1" x="4957"/>
        <item m="1" x="7506"/>
        <item m="1" x="3848"/>
        <item m="1" x="3791"/>
        <item m="1" x="4696"/>
        <item m="1" x="2681"/>
        <item m="1" x="4267"/>
        <item m="1" x="6274"/>
        <item m="1" x="6920"/>
        <item m="1" x="7181"/>
        <item m="1" x="6416"/>
        <item m="1" x="3274"/>
        <item m="1" x="7219"/>
        <item m="1" x="5444"/>
        <item m="1" x="3985"/>
        <item m="1" x="5664"/>
        <item m="1" x="2642"/>
        <item m="1" x="6151"/>
        <item m="1" x="7416"/>
        <item m="1" x="5630"/>
        <item m="1" x="7589"/>
        <item m="1" x="5061"/>
        <item m="1" x="4426"/>
        <item m="1" x="3992"/>
        <item m="1" x="6212"/>
        <item m="1" x="5844"/>
        <item m="1" x="7543"/>
        <item m="1" x="7244"/>
        <item m="1" x="3877"/>
        <item m="1" x="3286"/>
        <item m="1" x="3871"/>
        <item m="1" x="2702"/>
        <item m="1" x="4481"/>
        <item m="1" x="2795"/>
        <item m="1" x="6516"/>
        <item m="1" x="5582"/>
        <item m="1" x="7679"/>
        <item m="1" x="3925"/>
        <item m="1" x="4842"/>
        <item m="1" x="4716"/>
        <item m="1" x="5649"/>
        <item m="1" x="4375"/>
        <item m="1" x="4895"/>
        <item m="1" x="5244"/>
        <item m="1" x="7151"/>
        <item m="1" x="6561"/>
        <item m="1" x="6707"/>
        <item m="1" x="7542"/>
        <item m="1" x="6041"/>
        <item m="1" x="4672"/>
        <item m="1" x="4684"/>
        <item m="1" x="6370"/>
        <item m="1" x="7140"/>
        <item m="1" x="4902"/>
        <item m="1" x="4358"/>
        <item m="1" x="4602"/>
        <item m="1" x="7052"/>
        <item m="1" x="3506"/>
        <item m="1" x="2864"/>
        <item m="1" x="3766"/>
        <item m="1" x="4411"/>
        <item m="1" x="3168"/>
        <item m="1" x="3492"/>
        <item m="1" x="4731"/>
        <item m="1" x="5765"/>
        <item m="1" x="5376"/>
        <item m="1" x="5077"/>
        <item m="1" x="6454"/>
        <item m="1" x="6242"/>
        <item m="1" x="5809"/>
        <item m="1" x="5886"/>
        <item m="1" x="7623"/>
        <item m="1" x="7529"/>
        <item m="1" x="3475"/>
        <item m="1" x="3519"/>
        <item m="1" x="4638"/>
        <item m="1" x="7285"/>
        <item m="1" x="7803"/>
        <item m="1" x="4432"/>
        <item m="1" x="4425"/>
        <item m="1" x="4215"/>
        <item m="1" x="4912"/>
        <item m="1" x="3172"/>
        <item m="1" x="7656"/>
        <item m="1" x="4570"/>
        <item m="1" x="5163"/>
        <item m="1" x="7458"/>
        <item m="1" x="3670"/>
        <item m="1" x="6324"/>
        <item m="1" x="5898"/>
        <item m="1" x="5158"/>
        <item m="1" x="7216"/>
        <item m="1" x="4999"/>
        <item m="1" x="4059"/>
        <item m="1" x="6562"/>
        <item m="1" x="4921"/>
        <item m="1" x="4736"/>
        <item m="1" x="6618"/>
        <item m="1" x="6757"/>
        <item m="1" x="4958"/>
        <item m="1" x="3961"/>
        <item m="1" x="4134"/>
        <item m="1" x="2904"/>
        <item m="1" x="6447"/>
        <item m="1" x="7871"/>
        <item m="1" x="5193"/>
        <item m="1" x="4063"/>
        <item m="1" x="3299"/>
        <item m="1" x="2609"/>
        <item m="1" x="3377"/>
        <item m="1" x="2647"/>
        <item m="1" x="3039"/>
        <item m="1" x="4491"/>
        <item m="1" x="7024"/>
        <item m="1" x="4956"/>
        <item m="1" x="4257"/>
        <item m="1" x="2831"/>
        <item m="1" x="2880"/>
        <item m="1" x="4464"/>
        <item m="1" x="3571"/>
        <item m="1" x="2938"/>
        <item m="1" x="4048"/>
        <item m="1" x="2844"/>
        <item m="1" x="5735"/>
        <item m="1" x="4840"/>
        <item m="1" x="5400"/>
        <item m="1" x="7869"/>
        <item m="1" x="4198"/>
        <item m="1" x="4886"/>
        <item m="1" x="7700"/>
        <item m="1" x="5607"/>
        <item m="1" x="5948"/>
        <item m="1" x="5492"/>
        <item m="1" x="4949"/>
        <item m="1" x="5427"/>
        <item m="1" x="6347"/>
        <item m="1" x="5997"/>
        <item m="1" x="6094"/>
        <item m="1" x="3555"/>
        <item m="1" x="2770"/>
        <item m="1" x="3374"/>
        <item m="1" x="3484"/>
        <item m="1" x="3161"/>
        <item m="1" x="4635"/>
        <item m="1" x="5749"/>
        <item m="1" x="5022"/>
        <item m="1" x="2960"/>
        <item m="1" x="5506"/>
        <item m="1" x="7920"/>
        <item m="1" x="7900"/>
        <item m="1" x="7230"/>
        <item m="1" x="6093"/>
        <item m="1" x="4382"/>
        <item m="1" x="5171"/>
        <item m="1" x="5386"/>
        <item m="1" x="4442"/>
        <item m="1" x="3580"/>
        <item m="1" x="3220"/>
        <item m="1" x="7773"/>
        <item m="1" x="6532"/>
        <item m="1" x="3720"/>
        <item m="1" x="5593"/>
        <item m="1" x="2766"/>
        <item m="1" x="7200"/>
        <item m="1" x="3976"/>
        <item m="1" x="5310"/>
        <item m="1" x="7622"/>
        <item m="1" x="6374"/>
        <item m="1" x="5202"/>
        <item m="1" x="6214"/>
        <item m="1" x="7746"/>
        <item m="1" x="4185"/>
        <item m="1" x="5603"/>
        <item m="1" x="7581"/>
        <item m="1" x="6144"/>
        <item m="1" x="4328"/>
        <item m="1" x="4485"/>
        <item m="1" x="4363"/>
        <item m="1" x="3504"/>
        <item m="1" x="4176"/>
        <item m="1" x="7239"/>
        <item m="1" x="6860"/>
        <item m="1" x="3455"/>
        <item m="1" x="7582"/>
        <item m="1" x="7040"/>
        <item m="1" x="2673"/>
        <item m="1" x="3419"/>
        <item m="1" x="5461"/>
        <item m="1" x="6126"/>
        <item m="1" x="4922"/>
        <item m="1" x="3802"/>
        <item m="1" x="5462"/>
        <item m="1" x="4349"/>
        <item m="1" x="5157"/>
        <item m="1" x="3488"/>
        <item m="1" x="6225"/>
        <item m="1" x="6477"/>
        <item m="1" x="5979"/>
        <item m="1" x="4092"/>
        <item m="1" x="4825"/>
        <item m="1" x="7794"/>
        <item m="1" x="7963"/>
        <item m="1" x="7415"/>
        <item m="1" x="6995"/>
        <item m="1" x="7426"/>
        <item m="1" x="4553"/>
        <item m="1" x="2703"/>
        <item m="1" x="7669"/>
        <item m="1" x="4896"/>
        <item m="1" x="3449"/>
        <item m="1" x="3516"/>
        <item m="1" x="4760"/>
        <item m="1" x="5810"/>
        <item m="1" x="6951"/>
        <item m="1" x="4688"/>
        <item m="1" x="2746"/>
        <item m="1" x="3537"/>
        <item m="1" x="5895"/>
        <item m="1" x="5261"/>
        <item m="1" x="5515"/>
        <item m="1" x="3124"/>
        <item m="1" x="6145"/>
        <item m="1" x="6437"/>
        <item m="1" x="5072"/>
        <item m="1" x="6991"/>
        <item m="1" x="6929"/>
        <item m="1" x="6883"/>
        <item m="1" x="6508"/>
        <item m="1" x="5954"/>
        <item m="1" x="4686"/>
        <item m="1" x="7022"/>
        <item m="1" x="7822"/>
        <item m="1" x="7872"/>
        <item m="1" x="3417"/>
        <item m="1" x="7389"/>
        <item m="1" x="5644"/>
        <item m="1" x="7134"/>
        <item m="1" x="6676"/>
        <item m="1" x="4831"/>
        <item m="1" x="3367"/>
        <item m="1" x="7197"/>
        <item m="1" x="3416"/>
        <item m="1" x="3576"/>
        <item m="1" x="7169"/>
        <item m="1" x="7983"/>
        <item m="1" x="6158"/>
        <item m="1" x="5728"/>
        <item m="1" x="4544"/>
        <item m="1" x="3241"/>
        <item m="1" x="6306"/>
        <item m="1" x="4181"/>
        <item m="1" x="6644"/>
        <item m="1" x="6494"/>
        <item m="1" x="7339"/>
        <item m="1" x="2649"/>
        <item m="1" x="3481"/>
        <item m="1" x="4756"/>
        <item m="1" x="6581"/>
        <item m="1" x="5408"/>
        <item m="1" x="6298"/>
        <item m="1" x="6230"/>
        <item m="1" x="5580"/>
        <item m="1" x="3981"/>
        <item m="1" x="4293"/>
        <item m="1" x="4989"/>
        <item m="1" x="6981"/>
        <item m="1" x="2908"/>
        <item m="1" x="5181"/>
        <item m="1" x="6396"/>
        <item m="1" x="4299"/>
        <item m="1" x="5993"/>
        <item m="1" x="4488"/>
        <item m="1" x="5350"/>
        <item m="1" x="6826"/>
        <item m="1" x="7864"/>
        <item m="1" x="6436"/>
        <item m="1" x="7275"/>
        <item m="1" x="4097"/>
        <item m="1" x="7549"/>
        <item m="1" x="4649"/>
        <item m="1" x="5808"/>
        <item m="1" x="6988"/>
        <item m="1" x="6063"/>
        <item m="1" x="7929"/>
        <item m="1" x="3333"/>
        <item m="1" x="3441"/>
        <item m="1" x="5930"/>
        <item m="1" x="5453"/>
        <item m="1" x="6658"/>
        <item m="1" x="7897"/>
        <item m="1" x="2682"/>
        <item m="1" x="4621"/>
        <item m="1" x="3272"/>
        <item m="1" x="7695"/>
        <item m="1" x="7172"/>
        <item m="1" x="4900"/>
        <item m="1" x="7882"/>
        <item m="1" x="4931"/>
        <item m="1" x="6348"/>
        <item m="1" x="6135"/>
        <item m="1" x="7576"/>
        <item m="1" x="3059"/>
        <item m="1" x="3208"/>
        <item m="1" x="5112"/>
        <item m="1" x="4102"/>
        <item m="1" x="3335"/>
        <item m="1" x="7327"/>
        <item m="1" x="6934"/>
        <item m="1" x="6564"/>
        <item m="1" x="7158"/>
        <item m="1" x="5396"/>
        <item m="1" x="4795"/>
        <item m="1" x="2668"/>
        <item m="1" x="5226"/>
        <item m="1" x="7377"/>
        <item m="1" x="5503"/>
        <item m="1" x="3251"/>
        <item m="1" x="3199"/>
        <item m="1" x="3705"/>
        <item m="1" x="7369"/>
        <item m="1" x="3781"/>
        <item m="1" x="7767"/>
        <item m="1" x="4650"/>
        <item m="1" x="5383"/>
        <item m="1" x="7261"/>
        <item m="1" x="5136"/>
        <item m="1" x="7075"/>
        <item m="1" x="6911"/>
        <item m="1" x="5673"/>
        <item m="1" x="5258"/>
        <item m="1" x="4401"/>
        <item m="1" x="6183"/>
        <item m="1" x="6286"/>
        <item m="1" x="3669"/>
        <item m="1" x="3173"/>
        <item m="1" x="7944"/>
        <item m="1" x="5638"/>
        <item m="1" x="4296"/>
        <item m="1" x="3017"/>
        <item m="1" x="4745"/>
        <item m="1" x="3905"/>
        <item m="1" x="3354"/>
        <item m="1" x="5441"/>
        <item m="1" x="6779"/>
        <item m="1" x="6006"/>
        <item m="1" x="4441"/>
        <item m="1" x="4964"/>
        <item m="1" x="4854"/>
        <item m="1" x="3002"/>
        <item m="1" x="6495"/>
        <item m="1" x="4514"/>
        <item m="1" x="3256"/>
        <item m="1" x="5482"/>
        <item m="1" x="7435"/>
        <item m="1" x="3831"/>
        <item m="1" x="2759"/>
        <item m="1" x="5098"/>
        <item m="1" x="3321"/>
        <item m="1" x="4136"/>
        <item m="1" x="4213"/>
        <item m="1" x="5767"/>
        <item m="1" x="5943"/>
        <item m="1" x="4601"/>
        <item m="1" x="4111"/>
        <item m="1" x="3114"/>
        <item m="1" x="5790"/>
        <item m="1" x="3892"/>
        <item m="1" x="7036"/>
        <item m="1" x="4369"/>
        <item m="1" x="4887"/>
        <item m="1" x="2774"/>
        <item m="1" x="6933"/>
        <item m="1" x="3958"/>
        <item m="1" x="5800"/>
        <item m="1" x="4568"/>
        <item m="1" x="5939"/>
        <item m="1" x="3068"/>
        <item m="1" x="5679"/>
        <item m="1" x="2965"/>
        <item m="1" x="5724"/>
        <item m="1" x="6452"/>
        <item m="1" x="6709"/>
        <item m="1" x="6486"/>
        <item m="1" x="7128"/>
        <item m="1" x="3667"/>
        <item m="1" x="5257"/>
        <item m="1" x="5861"/>
        <item m="1" x="4321"/>
        <item m="1" x="4144"/>
        <item m="1" x="4145"/>
        <item m="1" x="7031"/>
        <item m="1" x="2669"/>
        <item m="1" x="2719"/>
        <item m="1" x="4923"/>
        <item m="1" x="7643"/>
        <item m="1" x="5443"/>
        <item m="1" x="6607"/>
        <item m="1" x="2940"/>
        <item m="1" x="7159"/>
        <item m="1" x="4972"/>
        <item m="1" x="2945"/>
        <item m="1" x="3795"/>
        <item m="1" x="3588"/>
        <item m="1" x="2738"/>
        <item m="1" x="3874"/>
        <item m="1" x="4051"/>
        <item m="1" x="4351"/>
        <item m="1" x="4279"/>
        <item m="1" x="4189"/>
        <item m="1" x="3849"/>
        <item m="1" x="4560"/>
        <item m="1" x="2877"/>
        <item m="1" x="5189"/>
        <item m="1" x="3348"/>
        <item m="1" x="7571"/>
        <item m="1" x="4396"/>
        <item m="1" x="3692"/>
        <item m="1" x="7889"/>
        <item m="1" x="5056"/>
        <item m="1" x="3600"/>
        <item m="1" x="4012"/>
        <item m="1" x="6493"/>
        <item m="1" x="7617"/>
        <item m="1" x="6413"/>
        <item m="1" x="6833"/>
        <item m="1" x="5384"/>
        <item m="1" x="4174"/>
        <item m="1" x="6386"/>
        <item m="1" x="5265"/>
        <item m="1" x="5806"/>
        <item m="1" x="3748"/>
        <item m="1" x="2930"/>
        <item m="1" x="5209"/>
        <item m="1" x="7387"/>
        <item m="1" x="4954"/>
        <item m="1" x="4706"/>
        <item m="1" x="3080"/>
        <item m="1" x="6387"/>
        <item m="1" x="7451"/>
        <item m="1" x="6820"/>
        <item m="1" x="7298"/>
        <item m="1" x="5691"/>
        <item m="1" x="6505"/>
        <item m="1" x="2698"/>
        <item m="1" x="5920"/>
        <item m="1" x="4260"/>
        <item m="1" x="6472"/>
        <item m="1" x="7985"/>
        <item m="1" x="4683"/>
        <item m="1" x="3839"/>
        <item m="1" x="7417"/>
        <item m="1" x="7146"/>
        <item m="1" x="6936"/>
        <item m="1" x="7641"/>
        <item m="1" x="5322"/>
        <item m="1" x="7986"/>
        <item m="1" x="2687"/>
        <item m="1" x="2809"/>
        <item m="1" x="3083"/>
        <item m="1" x="6051"/>
        <item m="1" x="4789"/>
        <item m="1" x="3463"/>
        <item m="1" x="4492"/>
        <item m="1" x="7311"/>
        <item m="1" x="5049"/>
        <item m="1" x="4333"/>
        <item m="1" x="2953"/>
        <item m="1" x="4911"/>
        <item m="1" x="4738"/>
        <item m="1" x="3558"/>
        <item m="1" x="4435"/>
        <item m="1" x="5207"/>
        <item m="1" x="4143"/>
        <item m="1" x="5750"/>
        <item m="1" x="7811"/>
        <item m="1" x="6903"/>
        <item m="1" x="6771"/>
        <item m="1" x="6762"/>
        <item m="1" x="4381"/>
        <item m="1" x="5331"/>
        <item m="1" x="5177"/>
        <item m="1" x="4561"/>
        <item m="1" x="7207"/>
        <item m="1" x="3912"/>
        <item m="1" x="3070"/>
        <item m="1" x="4805"/>
        <item m="1" x="6161"/>
        <item m="1" x="3847"/>
        <item m="1" x="5959"/>
        <item m="1" x="5342"/>
        <item m="1" x="3674"/>
        <item m="1" x="2686"/>
        <item m="1" x="6946"/>
        <item m="1" x="2936"/>
        <item m="1" x="3604"/>
        <item m="1" x="6646"/>
        <item m="1" x="6362"/>
        <item m="1" x="3108"/>
        <item m="1" x="7705"/>
        <item m="1" x="6851"/>
        <item m="1" x="4629"/>
        <item m="1" x="4734"/>
        <item m="1" x="7429"/>
        <item m="1" x="4457"/>
        <item m="1" x="5139"/>
        <item m="1" x="5976"/>
        <item m="1" x="3181"/>
        <item m="1" x="4665"/>
        <item m="1" x="5321"/>
        <item m="1" x="4790"/>
        <item m="1" x="5935"/>
        <item m="1" x="6893"/>
        <item m="1" x="3636"/>
        <item m="1" x="2731"/>
        <item m="1" x="3879"/>
        <item m="1" x="4265"/>
        <item m="1" x="7782"/>
        <item m="1" x="3135"/>
        <item m="1" x="5092"/>
        <item m="1" x="5071"/>
        <item m="1" x="2982"/>
        <item m="1" x="6259"/>
        <item m="1" x="6520"/>
        <item m="1" x="3645"/>
        <item m="1" x="2980"/>
        <item m="1" x="6788"/>
        <item m="1" x="2798"/>
        <item m="1" x="5505"/>
        <item m="1" x="6672"/>
        <item m="1" x="7286"/>
        <item m="1" x="2645"/>
        <item m="1" x="4172"/>
        <item m="1" x="6343"/>
        <item m="1" x="6940"/>
        <item m="1" x="6407"/>
        <item m="1" x="6986"/>
        <item m="1" x="4709"/>
        <item m="1" x="7726"/>
        <item m="1" x="7164"/>
        <item m="1" x="7715"/>
        <item m="1" x="6999"/>
        <item m="1" x="6371"/>
        <item m="1" x="3922"/>
        <item m="1" x="5533"/>
        <item m="1" x="6108"/>
        <item m="1" x="5000"/>
        <item m="1" x="3361"/>
        <item m="1" x="4501"/>
        <item m="1" x="7851"/>
        <item m="1" x="6307"/>
        <item m="1" x="7174"/>
        <item m="1" x="6478"/>
        <item m="1" x="7969"/>
        <item m="1" x="7145"/>
        <item m="1" x="3910"/>
        <item m="1" x="3018"/>
        <item m="1" x="2939"/>
        <item m="1" x="6552"/>
        <item m="1" x="5850"/>
        <item m="1" x="7826"/>
        <item m="1" x="3122"/>
        <item m="1" x="7801"/>
        <item m="1" x="3459"/>
        <item m="1" x="6715"/>
        <item m="1" x="6336"/>
        <item m="1" x="3980"/>
        <item m="1" x="6328"/>
        <item m="1" x="6021"/>
        <item m="1" x="6704"/>
        <item m="1" x="2710"/>
        <item m="1" x="3467"/>
        <item m="1" x="3323"/>
        <item m="1" x="5055"/>
        <item m="1" x="2744"/>
        <item m="1" x="5121"/>
        <item m="1" x="6015"/>
        <item m="1" x="7766"/>
        <item m="1" x="5550"/>
        <item m="1" x="3297"/>
        <item m="1" x="5431"/>
        <item m="1" x="6992"/>
        <item m="1" x="4343"/>
        <item m="1" x="6128"/>
        <item m="1" x="4977"/>
        <item m="1" x="7367"/>
        <item m="1" x="4713"/>
        <item m="1" x="4927"/>
        <item m="1" x="5906"/>
        <item m="1" x="3941"/>
        <item m="1" x="3395"/>
        <item m="1" x="3895"/>
        <item m="1" x="7436"/>
        <item m="1" x="4786"/>
        <item m="1" x="6451"/>
        <item m="1" x="5573"/>
        <item m="1" x="6030"/>
        <item m="1" x="5033"/>
        <item m="1" x="3556"/>
        <item m="1" x="5236"/>
        <item m="1" x="4487"/>
        <item m="1" x="4598"/>
        <item m="1" x="4476"/>
        <item m="1" x="3695"/>
        <item m="1" x="3974"/>
        <item m="1" x="6747"/>
        <item m="1" x="6400"/>
        <item m="1" x="3827"/>
        <item m="1" x="7954"/>
        <item m="1" x="7241"/>
        <item m="1" x="3205"/>
        <item m="1" x="5057"/>
        <item m="1" x="3569"/>
        <item m="1" x="7540"/>
        <item m="1" x="2990"/>
        <item m="1" x="7855"/>
        <item m="1" x="7796"/>
        <item m="1" x="6963"/>
        <item m="1" x="4550"/>
        <item m="1" x="7026"/>
        <item m="1" x="6238"/>
        <item m="1" x="3015"/>
        <item m="1" x="3400"/>
        <item m="1" x="6182"/>
        <item m="1" x="4246"/>
        <item m="1" x="2827"/>
        <item m="1" x="7283"/>
        <item m="1" x="7077"/>
        <item m="1" x="6725"/>
        <item m="1" x="7384"/>
        <item m="1" x="6271"/>
        <item m="1" x="4050"/>
        <item m="1" x="3500"/>
        <item m="1" x="5271"/>
        <item m="1" x="2736"/>
        <item m="1" x="6200"/>
        <item m="1" x="6254"/>
        <item m="1" x="7268"/>
        <item m="1" x="7368"/>
        <item m="1" x="5333"/>
        <item m="1" x="2905"/>
        <item m="1" x="6464"/>
        <item m="1" x="3179"/>
        <item m="1" x="6442"/>
        <item m="1" x="5125"/>
        <item m="1" x="2900"/>
        <item m="1" x="3474"/>
        <item m="1" x="3554"/>
        <item m="1" x="3954"/>
        <item m="1" x="4093"/>
        <item m="1" x="6619"/>
        <item m="1" x="3759"/>
        <item m="1" x="5872"/>
        <item m="1" x="4262"/>
        <item m="1" x="6763"/>
        <item m="1" x="6136"/>
        <item m="1" x="3572"/>
        <item m="1" x="3259"/>
        <item m="1" x="3672"/>
        <item m="1" x="6974"/>
        <item m="1" x="7676"/>
        <item m="1" x="3185"/>
        <item m="1" x="5161"/>
        <item m="1" x="5557"/>
        <item m="1" x="3527"/>
        <item m="1" x="4131"/>
        <item m="1" x="4653"/>
        <item m="1" x="3679"/>
        <item m="1" x="6600"/>
        <item m="1" x="4168"/>
        <item m="1" x="7799"/>
        <item m="1" x="3589"/>
        <item m="1" x="3901"/>
        <item m="1" x="6179"/>
        <item m="1" x="6204"/>
        <item m="1" x="3723"/>
        <item m="1" x="2878"/>
        <item m="1" x="3207"/>
        <item m="1" x="4597"/>
        <item m="1" x="3458"/>
        <item m="1" x="5238"/>
        <item m="1" x="6997"/>
        <item m="1" x="7754"/>
        <item m="1" x="2743"/>
        <item m="1" x="4797"/>
        <item m="1" x="5744"/>
        <item m="1" x="5496"/>
        <item m="1" x="4350"/>
        <item m="1" x="6191"/>
        <item m="1" x="5206"/>
        <item m="1" x="3891"/>
        <item m="1" x="5182"/>
        <item m="1" x="7390"/>
        <item m="1" x="7795"/>
        <item m="1" x="3796"/>
        <item m="1" x="4513"/>
        <item m="1" x="4879"/>
        <item m="1" x="4841"/>
        <item m="1" x="5301"/>
        <item m="1" x="4314"/>
        <item m="1" x="6411"/>
        <item m="1" x="5785"/>
        <item m="1" x="4203"/>
        <item m="1" x="4718"/>
        <item m="1" x="3249"/>
        <item m="1" x="7634"/>
        <item m="1" x="5741"/>
        <item m="1" x="6751"/>
        <item m="1" x="4220"/>
        <item m="1" x="3543"/>
        <item m="1" x="4409"/>
        <item m="1" x="6240"/>
        <item m="1" x="7294"/>
        <item m="1" x="5529"/>
        <item m="1" x="2821"/>
        <item m="1" x="4439"/>
        <item m="1" x="6215"/>
        <item m="1" x="3147"/>
        <item m="1" x="4516"/>
        <item m="1" x="7647"/>
        <item m="1" x="3263"/>
        <item m="1" x="6657"/>
        <item m="1" x="6661"/>
        <item m="1" x="5524"/>
        <item m="1" x="3515"/>
        <item m="1" x="7880"/>
        <item m="1" x="7909"/>
        <item m="1" x="7393"/>
        <item m="1" x="5665"/>
        <item m="1" x="3712"/>
        <item m="1" x="7747"/>
        <item m="1" x="6652"/>
        <item m="1" x="2971"/>
        <item m="1" x="7229"/>
        <item m="1" x="7760"/>
        <item m="1" x="5768"/>
        <item m="1" x="4433"/>
        <item m="1" x="6176"/>
        <item m="1" x="4289"/>
        <item m="1" x="6037"/>
        <item m="1" x="6292"/>
        <item m="1" x="6193"/>
        <item m="1" x="3783"/>
        <item m="1" x="5085"/>
        <item m="1" x="5465"/>
        <item m="1" x="2969"/>
        <item m="1" x="6480"/>
        <item m="1" x="6544"/>
        <item m="1" x="7130"/>
        <item m="1" x="2701"/>
        <item m="1" x="7245"/>
        <item m="1" x="4785"/>
        <item m="1" x="7820"/>
        <item m="1" x="6603"/>
        <item m="1" x="3421"/>
        <item m="1" x="6987"/>
        <item m="1" x="2678"/>
        <item m="1" x="3607"/>
        <item m="1" x="3111"/>
        <item m="1" x="3394"/>
        <item m="1" x="7772"/>
        <item m="1" x="2808"/>
        <item m="1" x="6736"/>
        <item m="1" x="5746"/>
        <item m="1" x="3727"/>
        <item m="1" x="3644"/>
        <item m="1" x="4595"/>
        <item m="1" x="4915"/>
        <item m="1" x="5928"/>
        <item m="1" x="7924"/>
        <item m="1" x="5966"/>
        <item m="1" x="7399"/>
        <item m="1" x="7683"/>
        <item m="1" x="6731"/>
        <item m="1" x="5996"/>
        <item m="1" x="3236"/>
        <item m="1" x="7096"/>
        <item m="1" x="3327"/>
        <item m="1" x="4924"/>
        <item m="1" x="6918"/>
        <item m="1" x="3154"/>
        <item m="1" x="3277"/>
        <item m="1" x="4636"/>
        <item m="1" x="7349"/>
        <item m="1" x="6891"/>
        <item m="1" x="6249"/>
        <item m="1" x="6406"/>
        <item m="1" x="4541"/>
        <item m="1" x="6682"/>
        <item m="1" x="4968"/>
        <item m="1" x="4592"/>
        <item m="1" x="3022"/>
        <item m="1" x="6233"/>
        <item m="1" x="5217"/>
        <item m="1" x="7730"/>
        <item m="1" x="7265"/>
        <item m="1" x="5315"/>
        <item m="1" x="7432"/>
        <item m="1" x="6545"/>
        <item m="1" x="6042"/>
        <item m="1" x="2931"/>
        <item m="1" x="5120"/>
        <item m="1" x="5902"/>
        <item m="1" x="2745"/>
        <item m="1" x="5754"/>
        <item m="1" x="5848"/>
        <item m="1" x="5671"/>
        <item m="1" x="7573"/>
        <item m="1" x="7357"/>
        <item m="1" x="6185"/>
        <item m="1" x="7616"/>
        <item m="1" x="7541"/>
        <item m="1" x="3119"/>
        <item m="1" x="3850"/>
        <item m="1" x="7466"/>
        <item m="1" x="6781"/>
        <item m="1" x="3262"/>
        <item m="1" x="7510"/>
        <item m="1" x="3244"/>
        <item m="1" x="5621"/>
        <item m="1" x="3201"/>
        <item m="1" x="3859"/>
        <item m="1" x="5354"/>
        <item m="1" x="5706"/>
        <item m="1" x="5259"/>
        <item m="1" x="7657"/>
        <item m="1" x="4045"/>
        <item m="1" x="3264"/>
        <item m="1" x="3837"/>
        <item m="1" x="6625"/>
        <item m="1" x="7860"/>
        <item m="1" x="4078"/>
        <item m="1" x="7408"/>
        <item m="1" x="6721"/>
        <item m="1" x="5776"/>
        <item m="1" x="4132"/>
        <item m="1" x="5075"/>
        <item m="1" x="3687"/>
        <item m="1" x="4225"/>
        <item m="1" x="4589"/>
        <item m="1" x="6449"/>
        <item m="1" x="7585"/>
        <item m="1" x="5349"/>
        <item m="1" x="7266"/>
        <item m="1" x="5626"/>
        <item m="1" x="3439"/>
        <item m="1" x="2926"/>
        <item m="1" x="6837"/>
        <item m="1" x="4677"/>
        <item m="1" x="7165"/>
        <item m="1" x="3921"/>
        <item m="1" x="3625"/>
        <item m="1" x="3230"/>
        <item m="1" x="3740"/>
        <item m="1" x="4154"/>
        <item m="1" x="2917"/>
        <item m="1" x="5150"/>
        <item m="1" x="5335"/>
        <item m="1" x="4511"/>
        <item m="1" x="7654"/>
        <item m="1" x="4538"/>
        <item m="1" x="7828"/>
        <item m="1" x="5051"/>
        <item m="1" x="7383"/>
        <item m="1" x="6071"/>
        <item m="1" x="3601"/>
        <item m="1" x="2872"/>
        <item m="1" x="6155"/>
        <item m="1" x="3443"/>
        <item m="1" x="3139"/>
        <item m="1" x="4596"/>
        <item m="1" x="3332"/>
        <item m="1" x="5760"/>
        <item m="1" x="7304"/>
        <item m="1" x="6036"/>
        <item m="1" x="7770"/>
        <item m="1" x="3275"/>
        <item m="1" x="7124"/>
        <item m="1" x="5378"/>
        <item m="1" x="5793"/>
        <item m="1" x="4302"/>
        <item m="1" x="4742"/>
        <item m="1" x="4404"/>
        <item m="1" x="3460"/>
        <item m="1" x="6031"/>
        <item m="1" x="2859"/>
        <item m="1" x="4586"/>
        <item m="1" x="5452"/>
        <item m="1" x="5107"/>
        <item m="1" x="3810"/>
        <item m="1" x="6761"/>
        <item m="1" x="7735"/>
        <item m="1" x="7023"/>
        <item m="1" x="6499"/>
        <item m="1" x="6456"/>
        <item m="1" x="6402"/>
        <item m="1" x="5909"/>
        <item m="1" x="5865"/>
        <item m="1" x="5021"/>
        <item m="1" x="7231"/>
        <item m="1" x="4624"/>
        <item m="1" x="4410"/>
        <item m="1" x="4747"/>
        <item m="1" x="5594"/>
        <item m="1" x="5410"/>
        <item m="1" x="5752"/>
        <item m="1" x="7697"/>
        <item m="1" x="4671"/>
        <item m="1" x="5554"/>
        <item m="1" x="4003"/>
        <item m="1" x="7021"/>
        <item m="1" x="4474"/>
        <item m="1" x="3821"/>
        <item m="1" x="3053"/>
        <item m="1" x="4744"/>
        <item m="1" x="4866"/>
        <item m="1" x="5032"/>
        <item m="1" x="7195"/>
        <item m="1" x="3151"/>
        <item m="1" x="3948"/>
        <item m="1" x="2816"/>
        <item m="1" x="7354"/>
        <item m="1" x="6157"/>
        <item m="1" x="3937"/>
        <item m="1" x="7992"/>
        <item m="1" x="5567"/>
        <item m="1" x="6409"/>
        <item m="1" x="5813"/>
        <item m="1" x="2709"/>
        <item m="1" x="3325"/>
        <item m="1" x="5306"/>
        <item m="1" x="7194"/>
        <item m="1" x="3942"/>
        <item m="1" x="3520"/>
        <item m="1" x="3228"/>
        <item m="1" x="7437"/>
        <item m="1" x="4090"/>
        <item m="1" x="7016"/>
        <item m="1" x="7358"/>
        <item m="1" x="6234"/>
        <item m="1" x="7925"/>
        <item m="1" x="5281"/>
        <item m="1" x="5751"/>
        <item m="1" x="6473"/>
        <item m="1" x="4150"/>
        <item m="1" x="6335"/>
        <item m="1" x="3803"/>
        <item m="1" x="5933"/>
        <item m="1" x="6123"/>
        <item m="1" x="4466"/>
        <item m="1" x="6601"/>
        <item m="1" x="4372"/>
        <item m="1" x="4420"/>
        <item m="1" x="6224"/>
        <item m="1" x="6685"/>
        <item m="1" x="5778"/>
        <item m="1" x="5165"/>
        <item m="1" x="4693"/>
        <item m="1" x="4056"/>
        <item m="1" x="4567"/>
        <item m="1" x="7989"/>
        <item m="1" x="7360"/>
        <item m="1" x="5363"/>
        <item m="1" x="4298"/>
        <item m="1" x="2729"/>
        <item m="1" x="5646"/>
        <item m="1" x="4315"/>
        <item m="1" x="6448"/>
        <item m="1" x="5708"/>
        <item m="1" x="6941"/>
        <item m="1" x="3637"/>
        <item m="1" x="6884"/>
        <item m="1" x="7606"/>
        <item m="1" x="4146"/>
        <item m="1" x="4319"/>
        <item m="1" x="5683"/>
        <item m="1" x="6737"/>
        <item m="1" x="5521"/>
        <item m="1" x="2757"/>
        <item m="1" x="5004"/>
        <item m="1" x="7763"/>
        <item m="1" x="2832"/>
        <item m="1" x="7029"/>
        <item m="1" x="3166"/>
        <item m="1" x="7469"/>
        <item m="1" x="6651"/>
        <item m="1" x="6278"/>
        <item m="1" x="6069"/>
        <item m="1" x="3384"/>
        <item m="1" x="4113"/>
        <item m="1" x="6195"/>
        <item m="1" x="7599"/>
        <item m="1" x="7666"/>
        <item m="1" x="4196"/>
        <item m="1" x="2797"/>
        <item m="1" x="3087"/>
        <item m="1" x="6443"/>
        <item m="1" x="5439"/>
        <item m="1" x="3009"/>
        <item m="1" x="4717"/>
        <item m="1" x="3943"/>
        <item m="1" x="6355"/>
        <item m="1" x="4253"/>
        <item m="1" x="3776"/>
        <item m="1" x="4227"/>
        <item m="1" x="3906"/>
        <item m="1" x="3851"/>
        <item m="1" x="7592"/>
        <item m="1" x="6537"/>
        <item m="1" x="4535"/>
        <item m="1" x="6444"/>
        <item m="1" x="7092"/>
        <item m="1" x="6466"/>
        <item m="1" x="2618"/>
        <item m="1" x="5222"/>
        <item m="1" x="7139"/>
        <item m="1" x="3477"/>
        <item m="1" x="6821"/>
        <item m="1" x="6662"/>
        <item m="1" x="3806"/>
        <item m="1" x="4971"/>
        <item m="1" x="7982"/>
        <item m="1" x="6864"/>
        <item m="1" x="3816"/>
        <item m="1" x="6026"/>
        <item m="1" x="5328"/>
        <item m="1" x="4058"/>
        <item m="1" x="7335"/>
        <item m="1" x="6467"/>
        <item m="1" x="4655"/>
        <item m="1" x="6777"/>
        <item m="1" x="5314"/>
        <item m="1" x="7660"/>
        <item m="1" x="3599"/>
        <item m="1" x="4091"/>
        <item m="1" x="5152"/>
        <item m="1" x="7449"/>
        <item m="1" x="3893"/>
        <item m="1" x="6049"/>
        <item m="1" x="7210"/>
        <item m="1" x="3978"/>
        <item m="1" x="6167"/>
        <item m="1" x="6968"/>
        <item m="1" x="3587"/>
        <item m="1" x="7694"/>
        <item m="1" x="5053"/>
        <item m="1" x="2612"/>
        <item m="1" x="7819"/>
        <item m="1" x="6500"/>
        <item m="1" x="3436"/>
        <item m="1" x="7732"/>
        <item m="1" x="3328"/>
        <item m="1" x="6383"/>
        <item m="1" x="4008"/>
        <item m="1" x="7758"/>
        <item m="1" x="3020"/>
        <item m="1" x="7240"/>
        <item m="1" x="3476"/>
        <item m="1" x="3258"/>
        <item m="1" x="3530"/>
        <item m="1" x="5611"/>
        <item m="1" x="7532"/>
        <item m="1" x="4452"/>
        <item m="1" x="4413"/>
        <item m="1" x="7326"/>
        <item m="1" x="6418"/>
        <item m="1" x="5842"/>
        <item m="1" x="5687"/>
        <item m="1" x="2870"/>
        <item m="1" x="2779"/>
        <item m="1" x="5212"/>
        <item m="1" x="7943"/>
        <item m="1" x="4645"/>
        <item m="1" x="7329"/>
        <item m="1" x="7636"/>
        <item m="1" x="7526"/>
        <item m="1" x="7957"/>
        <item m="1" x="5227"/>
        <item m="1" x="5424"/>
        <item m="1" x="5302"/>
        <item m="1" x="2705"/>
        <item m="1" x="4364"/>
        <item m="1" x="2906"/>
        <item m="1" x="5355"/>
        <item m="1" x="3952"/>
        <item m="1" x="5388"/>
        <item m="1" x="5877"/>
        <item m="1" x="3682"/>
        <item m="1" x="2778"/>
        <item m="1" x="5922"/>
        <item m="1" x="5968"/>
        <item m="1" x="3320"/>
        <item m="1" x="6967"/>
        <item m="1" x="5799"/>
        <item m="1" x="3177"/>
        <item m="1" x="6100"/>
        <item m="1" x="5826"/>
        <item m="1" x="2887"/>
        <item m="1" x="6361"/>
        <item m="1" x="3058"/>
        <item m="1" x="5282"/>
        <item m="1" x="7380"/>
        <item m="1" x="5892"/>
        <item m="1" x="7651"/>
        <item m="1" x="7038"/>
        <item m="1" x="7191"/>
        <item m="1" x="3577"/>
        <item m="1" x="7693"/>
        <item m="1" x="2873"/>
        <item m="1" x="6000"/>
        <item m="1" x="5974"/>
        <item m="1" x="3060"/>
        <item m="1" x="7199"/>
        <item m="1" x="5263"/>
        <item m="1" x="6308"/>
        <item m="1" x="6050"/>
        <item m="1" x="3716"/>
        <item m="1" x="6333"/>
        <item m="1" x="5169"/>
        <item m="1" x="4359"/>
        <item m="1" x="3840"/>
        <item m="1" x="2622"/>
        <item m="1" x="5797"/>
        <item m="1" x="6001"/>
        <item m="1" x="6645"/>
        <item m="1" x="5560"/>
        <item m="1" x="7812"/>
        <item m="1" x="4019"/>
        <item m="1" x="4408"/>
        <item m="1" x="6818"/>
        <item m="1" x="5652"/>
        <item m="1" x="4888"/>
        <item m="1" x="4712"/>
        <item m="1" x="6630"/>
        <item m="1" x="6784"/>
        <item m="1" x="6061"/>
        <item m="1" x="5914"/>
        <item m="1" x="6432"/>
        <item m="1" x="4249"/>
        <item m="1" x="2613"/>
        <item m="1" x="7260"/>
        <item m="1" x="2784"/>
        <item m="1" x="7717"/>
        <item m="1" x="4743"/>
        <item m="1" x="5167"/>
        <item m="1" x="4520"/>
        <item m="1" x="7313"/>
        <item m="1" x="5864"/>
        <item m="1" x="4316"/>
        <item m="1" x="4875"/>
        <item m="1" x="3614"/>
        <item m="1" x="6975"/>
        <item m="1" x="6957"/>
        <item m="1" x="3951"/>
        <item m="1" x="3544"/>
        <item m="1" x="2918"/>
        <item m="1" x="6175"/>
        <item m="1" x="7371"/>
        <item m="1" x="4330"/>
        <item m="1" x="4754"/>
        <item m="1" x="6638"/>
        <item m="1" x="7856"/>
        <item m="1" x="7865"/>
        <item m="1" x="5285"/>
        <item m="1" x="6147"/>
        <item m="1" x="5042"/>
        <item m="1" x="7704"/>
        <item m="1" x="5624"/>
        <item m="1" x="2658"/>
        <item m="1" x="5604"/>
        <item m="1" x="5054"/>
        <item m="1" x="6859"/>
        <item m="1" x="4234"/>
        <item m="1" x="3656"/>
        <item m="1" x="7496"/>
        <item m="1" x="6538"/>
        <item m="1" x="7509"/>
        <item m="1" x="3983"/>
        <item m="1" x="3628"/>
        <item m="1" x="4522"/>
        <item m="1" x="5540"/>
        <item m="1" x="6390"/>
        <item m="1" x="2824"/>
        <item m="1" x="6164"/>
        <item m="1" x="4221"/>
        <item m="1" x="6774"/>
        <item m="1" x="5012"/>
        <item m="1" x="2788"/>
        <item m="1" x="2910"/>
        <item m="1" x="4908"/>
        <item m="1" x="7498"/>
        <item m="1" x="2823"/>
        <item m="1" x="6888"/>
        <item m="1" x="7788"/>
        <item m="1" x="2833"/>
        <item m="1" x="2911"/>
        <item m="1" x="5526"/>
        <item m="1" x="3038"/>
        <item m="1" x="4564"/>
        <item m="1" x="6758"/>
        <item m="1" x="4932"/>
        <item m="1" x="5562"/>
        <item m="1" x="4583"/>
        <item m="1" x="5878"/>
        <item m="1" x="4377"/>
        <item m="1" x="3234"/>
        <item m="1" x="3528"/>
        <item m="1" x="4850"/>
        <item m="1" x="5442"/>
        <item m="1" x="4658"/>
        <item m="1" x="4346"/>
        <item m="1" x="7784"/>
        <item m="1" x="3145"/>
        <item m="1" x="6815"/>
        <item m="1" x="6028"/>
        <item m="1" x="5730"/>
        <item m="1" x="4424"/>
        <item m="1" x="6008"/>
        <item m="1" x="5109"/>
        <item m="1" x="7112"/>
        <item m="1" x="5998"/>
        <item m="1" x="4993"/>
        <item m="1" x="5253"/>
        <item m="1" x="6205"/>
        <item m="1" x="2852"/>
        <item m="1" x="2796"/>
        <item m="1" x="6528"/>
        <item m="1" x="3213"/>
        <item m="1" x="3686"/>
        <item m="1" x="7412"/>
        <item m="1" x="5036"/>
        <item m="1" x="6004"/>
        <item m="1" x="7555"/>
        <item m="1" x="4944"/>
        <item m="1" x="5392"/>
        <item m="1" x="5616"/>
        <item m="1" x="5527"/>
        <item m="1" x="5249"/>
        <item m="1" x="7888"/>
        <item m="1" x="6284"/>
        <item m="1" x="7664"/>
        <item m="1" x="6802"/>
        <item m="1" x="5988"/>
        <item m="1" x="7340"/>
        <item m="1" x="5748"/>
        <item m="1" x="3792"/>
        <item m="1" x="3121"/>
        <item m="1" x="3639"/>
        <item m="1" x="5576"/>
        <item m="1" x="7359"/>
        <item m="1" x="7935"/>
        <item m="1" x="3027"/>
        <item m="1" x="2841"/>
        <item m="1" x="6379"/>
        <item m="1" x="5270"/>
        <item m="1" x="5836"/>
        <item m="1" x="4587"/>
        <item m="1" x="6192"/>
        <item m="1" x="7806"/>
        <item m="1" x="4757"/>
        <item m="1" x="3573"/>
        <item m="1" x="3598"/>
        <item m="1" x="4202"/>
        <item m="1" x="3269"/>
        <item m="1" x="4976"/>
        <item m="1" x="7602"/>
        <item m="1" x="7798"/>
        <item m="1" x="3860"/>
        <item m="1" x="2996"/>
        <item m="1" x="7507"/>
        <item m="1" x="6927"/>
        <item m="1" x="4835"/>
        <item m="1" x="3462"/>
        <item m="1" x="6945"/>
        <item m="1" x="4909"/>
        <item m="1" x="5050"/>
        <item m="1" x="6342"/>
        <item m="1" x="4210"/>
        <item m="1" x="6052"/>
        <item m="1" x="4893"/>
        <item m="1" x="4167"/>
        <item m="1" x="5613"/>
        <item m="1" x="4360"/>
        <item m="1" x="7005"/>
        <item m="1" x="4313"/>
        <item m="1" x="2716"/>
        <item m="1" x="6217"/>
        <item m="1" x="7076"/>
        <item m="1" x="7258"/>
        <item m="1" x="5064"/>
        <item m="1" x="3411"/>
        <item m="1" x="7220"/>
        <item m="1" x="3830"/>
        <item m="1" x="6350"/>
        <item m="1" x="4791"/>
        <item m="1" x="3563"/>
        <item m="1" x="3998"/>
        <item m="1" x="7744"/>
        <item m="1" x="3313"/>
        <item m="1" x="6186"/>
        <item m="1" x="7508"/>
        <item m="1" x="3799"/>
        <item m="1" x="3150"/>
        <item m="1" x="7901"/>
        <item m="1" x="7362"/>
        <item m="1" x="2608"/>
        <item m="1" x="7682"/>
        <item m="1" x="7961"/>
        <item m="1" x="5197"/>
        <item m="1" x="3798"/>
        <item m="1" x="4121"/>
        <item m="1" x="7877"/>
        <item m="1" x="5737"/>
        <item m="1" x="4178"/>
        <item m="1" x="6319"/>
        <item m="1" x="7228"/>
        <item m="1" x="4384"/>
        <item m="1" x="6334"/>
        <item m="1" x="5307"/>
        <item m="1" x="2974"/>
        <item m="1" x="5110"/>
        <item m="1" x="6140"/>
        <item m="1" x="3369"/>
        <item m="1" x="4368"/>
        <item m="1" x="3751"/>
        <item m="1" x="3597"/>
        <item m="1" x="4164"/>
        <item m="1" x="3933"/>
        <item m="1" x="7391"/>
        <item m="1" x="3344"/>
        <item m="1" x="7353"/>
        <item m="1" x="4049"/>
        <item m="1" x="2767"/>
        <item m="1" x="7319"/>
        <item m="1" x="4016"/>
        <item m="1" x="2968"/>
        <item m="1" x="4212"/>
        <item m="1" x="6665"/>
        <item m="1" x="6077"/>
        <item m="1" x="5344"/>
        <item m="1" x="7428"/>
        <item m="1" x="6080"/>
        <item m="1" x="7318"/>
        <item m="1" x="3371"/>
        <item m="1" x="7161"/>
        <item m="1" x="4395"/>
        <item m="1" x="3918"/>
        <item m="1" x="6585"/>
        <item m="1" x="6081"/>
        <item m="1" x="7721"/>
        <item m="1" x="7974"/>
        <item m="1" x="4593"/>
        <item m="1" x="6842"/>
        <item m="1" x="4037"/>
        <item m="1" x="2987"/>
        <item m="1" x="6346"/>
        <item m="1" x="5030"/>
        <item m="1" x="4724"/>
        <item m="1" x="5805"/>
        <item m="1" x="3434"/>
        <item m="1" x="3123"/>
        <item m="1" x="3054"/>
        <item m="1" x="4986"/>
        <item m="1" x="7519"/>
        <item m="1" x="6088"/>
        <item m="1" x="4454"/>
        <item m="1" x="6522"/>
        <item m="1" x="3010"/>
        <item m="1" x="4075"/>
        <item m="1" x="3303"/>
        <item m="1" x="6655"/>
        <item m="1" x="3507"/>
        <item m="1" x="2792"/>
        <item m="1" x="5399"/>
        <item m="1" x="6012"/>
        <item m="1" x="7893"/>
        <item m="1" x="6765"/>
        <item m="1" x="6459"/>
        <item m="1" x="4675"/>
        <item m="1" x="7475"/>
        <item m="1" x="5899"/>
        <item m="1" x="7789"/>
        <item m="1" x="5100"/>
        <item m="1" x="5290"/>
        <item m="1" x="6293"/>
        <item m="1" x="6913"/>
        <item m="1" x="5246"/>
        <item m="1" x="6269"/>
        <item m="1" x="4940"/>
        <item m="1" x="5555"/>
        <item m="1" x="7762"/>
        <item m="1" x="6783"/>
        <item m="1" x="7916"/>
        <item m="1" x="2839"/>
        <item m="1" x="4905"/>
        <item m="1" x="5292"/>
        <item m="1" x="4876"/>
        <item m="1" x="5366"/>
        <item m="1" x="6023"/>
        <item m="1" x="2680"/>
        <item m="1" x="7613"/>
        <item m="1" x="5519"/>
        <item m="1" x="2630"/>
        <item m="1" x="4076"/>
        <item m="1" x="5712"/>
        <item m="1" x="4627"/>
        <item m="1" x="3551"/>
        <item m="1" x="6287"/>
        <item m="1" x="7422"/>
        <item m="1" x="4067"/>
        <item m="1" x="6624"/>
        <item m="1" x="3000"/>
        <item m="1" x="5493"/>
        <item m="1" x="5962"/>
        <item m="1" x="5034"/>
        <item m="1" x="5904"/>
        <item m="1" x="7321"/>
        <item m="1" x="5211"/>
        <item m="1" x="5733"/>
        <item m="1" x="7182"/>
        <item m="1" x="7712"/>
        <item m="1" x="6113"/>
        <item m="1" x="7073"/>
        <item m="1" x="5670"/>
        <item m="1" x="3764"/>
        <item m="1" x="7281"/>
        <item m="1" x="4445"/>
        <item m="1" x="6083"/>
        <item m="1" x="7926"/>
        <item m="1" x="7439"/>
        <item m="1" x="2847"/>
        <item m="1" x="3818"/>
        <item m="1" x="3065"/>
        <item m="1" x="2884"/>
        <item m="1" x="5815"/>
        <item m="1" x="5128"/>
        <item m="1" x="5648"/>
        <item m="1" x="5122"/>
        <item m="1" x="3749"/>
        <item m="1" x="6429"/>
        <item m="1" x="6040"/>
        <item m="1" x="5484"/>
        <item m="1" x="5147"/>
        <item m="1" x="3413"/>
        <item m="1" x="6266"/>
        <item m="1" x="7068"/>
        <item m="1" x="7385"/>
        <item m="1" x="6427"/>
        <item m="1" x="6663"/>
        <item m="1" x="3063"/>
        <item m="1" x="6759"/>
        <item m="1" x="7297"/>
        <item m="1" x="4070"/>
        <item m="1" x="6711"/>
        <item m="1" x="2739"/>
        <item m="1" x="4590"/>
        <item m="1" x="4125"/>
        <item m="1" x="6511"/>
        <item m="1" x="7942"/>
        <item m="1" x="7111"/>
        <item m="1" x="2740"/>
        <item m="1" x="5303"/>
        <item m="1" x="6979"/>
        <item m="1" x="3072"/>
        <item m="1" x="6840"/>
        <item m="1" x="4312"/>
        <item m="1" x="6353"/>
        <item m="1" x="7583"/>
        <item m="1" x="7761"/>
        <item m="1" x="4318"/>
        <item m="1" x="3163"/>
        <item m="1" x="6107"/>
        <item m="1" x="5653"/>
        <item m="1" x="5990"/>
        <item m="1" x="2867"/>
        <item m="1" x="6476"/>
        <item m="1" x="3375"/>
        <item m="1" x="5563"/>
        <item m="1" x="2977"/>
        <item m="1" x="4792"/>
        <item m="1" x="4195"/>
        <item m="1" x="3055"/>
        <item m="1" x="7028"/>
        <item m="1" x="4494"/>
        <item m="1" x="3345"/>
        <item m="1" x="5025"/>
        <item m="1" x="3105"/>
        <item m="1" x="5208"/>
        <item m="1" x="4726"/>
        <item m="1" x="5274"/>
        <item m="1" x="7376"/>
        <item m="1" x="4036"/>
        <item m="1" x="3843"/>
        <item m="1" x="6270"/>
        <item m="1" x="4471"/>
        <item m="1" x="3253"/>
        <item m="1" x="4244"/>
        <item m="1" x="2607"/>
        <item m="1" x="6288"/>
        <item m="1" x="4512"/>
        <item m="1" x="6099"/>
        <item m="1" x="3758"/>
        <item m="1" x="5435"/>
        <item m="1" x="6789"/>
        <item m="1" x="4528"/>
        <item m="1" x="5029"/>
        <item m="1" x="4982"/>
        <item m="1" x="3301"/>
        <item m="1" x="7497"/>
        <item m="1" x="6463"/>
        <item m="1" x="7870"/>
        <item m="1" x="3688"/>
        <item m="1" x="2838"/>
        <item m="1" x="4495"/>
        <item m="1" x="3084"/>
        <item m="1" x="3190"/>
        <item m="1" x="5575"/>
        <item m="1" x="4996"/>
        <item m="1" x="4276"/>
        <item m="1" x="5825"/>
        <item m="1" x="6487"/>
        <item m="1" x="7790"/>
        <item m="1" x="5223"/>
        <item m="1" x="3583"/>
        <item m="1" x="7891"/>
        <item m="1" x="2689"/>
        <item m="1" x="6423"/>
        <item m="1" x="4704"/>
        <item m="1" x="6184"/>
        <item m="1" x="5543"/>
        <item m="1" x="4777"/>
        <item m="1" x="3774"/>
        <item m="1" x="3311"/>
        <item m="1" x="3560"/>
        <item m="1" x="7012"/>
        <item m="1" x="4508"/>
        <item m="1" x="5510"/>
        <item m="1" x="6517"/>
        <item m="1" x="4651"/>
        <item m="1" x="3203"/>
        <item m="1" x="3536"/>
        <item m="1" x="4209"/>
        <item m="1" x="6594"/>
        <item m="1" x="6814"/>
        <item m="1" x="6206"/>
        <item m="1" x="6032"/>
        <item m="1" x="7953"/>
        <item m="1" x="6440"/>
        <item m="1" x="4038"/>
        <item m="1" x="6180"/>
        <item m="1" x="5508"/>
        <item m="1" x="4877"/>
        <item m="1" x="3281"/>
        <item m="1" x="7595"/>
        <item m="1" x="7446"/>
        <item m="1" x="6439"/>
        <item m="1" x="7152"/>
        <item m="1" x="3485"/>
        <item m="1" x="3288"/>
        <item m="1" x="7620"/>
        <item m="1" x="6890"/>
        <item m="1" x="4285"/>
        <item m="1" x="6282"/>
        <item m="1" x="4801"/>
        <item m="1" x="7237"/>
        <item m="1" x="6614"/>
        <item m="1" x="5099"/>
        <item m="1" x="5779"/>
        <item m="1" x="3996"/>
        <item m="1" x="6805"/>
        <item m="1" x="4891"/>
        <item m="1" x="7173"/>
        <item m="1" x="4365"/>
        <item m="1" x="2963"/>
        <item m="1" x="3180"/>
        <item m="1" x="6944"/>
        <item m="1" x="6738"/>
        <item m="1" x="5845"/>
        <item m="1" x="3359"/>
        <item m="1" x="2935"/>
        <item m="1" x="4390"/>
        <item m="1" x="5614"/>
        <item m="1" x="7950"/>
        <item m="1" x="2635"/>
        <item m="1" x="4486"/>
        <item m="1" x="6121"/>
        <item m="1" x="5663"/>
        <item m="1" x="4129"/>
        <item m="1" x="6453"/>
        <item m="1" x="5532"/>
        <item m="1" x="3148"/>
        <item m="1" x="7885"/>
        <item m="1" x="6143"/>
        <item m="1" x="5722"/>
        <item m="1" x="7722"/>
        <item m="1" x="2606"/>
        <item m="1" x="2855"/>
        <item m="1" x="3138"/>
        <item m="1" x="6708"/>
        <item m="1" x="3218"/>
        <item m="1" x="7597"/>
        <item m="1" x="6773"/>
        <item m="1" x="6550"/>
        <item m="1" x="4320"/>
        <item m="1" x="2627"/>
        <item m="1" x="5847"/>
        <item m="1" x="4906"/>
        <item m="1" x="2921"/>
        <item m="1" x="3044"/>
        <item m="1" x="5298"/>
        <item m="1" x="7751"/>
        <item m="1" x="6514"/>
        <item m="1" x="7121"/>
        <item m="1" x="5248"/>
        <item m="1" x="7100"/>
        <item m="1" x="6062"/>
        <item m="1" x="5068"/>
        <item m="1" x="3012"/>
        <item m="1" x="4809"/>
        <item m="1" x="4480"/>
        <item m="1" x="7523"/>
        <item m="1" x="5535"/>
        <item m="1" x="5921"/>
        <item m="1" x="6430"/>
        <item m="1" x="2749"/>
        <item m="1" x="6142"/>
        <item m="1" x="3693"/>
        <item m="1" x="5694"/>
        <item m="1" x="4933"/>
        <item m="1" x="7783"/>
        <item m="1" x="5252"/>
        <item m="1" x="5340"/>
        <item m="1" x="5843"/>
        <item m="1" x="3814"/>
        <item m="1" x="6692"/>
        <item m="1" x="4892"/>
        <item m="1" x="4610"/>
        <item m="1" x="6938"/>
        <item m="1" x="7964"/>
        <item m="1" x="7148"/>
        <item m="1" x="3858"/>
        <item m="1" x="6120"/>
        <item m="1" x="3880"/>
        <item m="1" x="4803"/>
        <item m="1" x="6812"/>
        <item m="1" x="4122"/>
        <item m="1" x="3036"/>
        <item m="1" x="4166"/>
        <item m="1" x="4604"/>
        <item m="1" x="5732"/>
        <item m="1" x="3665"/>
        <item m="1" x="7375"/>
        <item m="1" x="4648"/>
        <item m="1" x="3547"/>
        <item m="1" x="3579"/>
        <item m="1" x="3109"/>
        <item m="1" x="7420"/>
        <item m="1" x="7480"/>
        <item m="1" x="3095"/>
        <item m="1" x="6689"/>
        <item m="1" x="2711"/>
        <item m="1" x="4943"/>
        <item m="1" x="5717"/>
        <item m="1" x="2614"/>
        <item m="1" x="4352"/>
        <item m="1" x="7553"/>
        <item m="1" x="7662"/>
        <item m="1" x="5117"/>
        <item m="1" x="5608"/>
        <item m="1" x="5079"/>
        <item m="1" x="6509"/>
        <item m="1" x="6354"/>
        <item m="1" x="4490"/>
        <item m="1" x="7854"/>
        <item m="1" x="5855"/>
        <item m="1" x="3071"/>
        <item m="1" x="6048"/>
        <item m="1" x="4562"/>
        <item m="1" x="4448"/>
        <item m="1" x="5105"/>
        <item m="1" x="5775"/>
        <item m="1" x="3575"/>
        <item m="1" x="4489"/>
        <item m="1" x="7119"/>
        <item m="1" x="3235"/>
        <item m="1" x="4484"/>
        <item m="1" x="6604"/>
        <item m="1" x="7163"/>
        <item m="1" x="3747"/>
        <item m="1" x="3538"/>
        <item m="1" x="5346"/>
        <item m="1" x="5740"/>
        <item m="1" x="6149"/>
        <item m="1" x="3268"/>
        <item m="1" x="7242"/>
        <item m="1" x="3341"/>
        <item m="1" x="6098"/>
        <item m="1" x="7042"/>
        <item m="1" x="6856"/>
        <item m="1" x="3006"/>
        <item m="1" x="7312"/>
        <item m="1" x="4711"/>
        <item m="1" x="3936"/>
        <item m="1" x="3045"/>
        <item m="1" x="7511"/>
        <item m="1" x="3622"/>
        <item m="1" x="3120"/>
        <item m="1" x="5513"/>
        <item m="1" x="3372"/>
        <item m="1" x="5901"/>
        <item m="1" x="3713"/>
        <item m="1" x="4295"/>
        <item m="1" x="7209"/>
        <item m="1" x="3024"/>
        <item m="1" x="3711"/>
        <item m="1" x="3206"/>
        <item m="1" x="6322"/>
        <item m="1" x="5097"/>
        <item m="1" x="5247"/>
        <item m="1" x="7612"/>
        <item m="1" x="5985"/>
        <item m="1" x="4605"/>
        <item m="1" x="7382"/>
        <item m="1" x="5190"/>
        <item m="1" x="5650"/>
        <item m="1" x="3041"/>
        <item m="1" x="4444"/>
        <item m="1" x="2922"/>
        <item m="1" x="7343"/>
        <item m="1" x="3246"/>
        <item m="1" x="5818"/>
        <item m="1" x="7913"/>
        <item m="1" x="3186"/>
        <item m="1" x="5228"/>
        <item m="1" x="3141"/>
        <item m="1" x="6608"/>
        <item m="1" x="5698"/>
        <item m="1" x="6616"/>
        <item m="1" x="5103"/>
        <item m="1" x="3963"/>
        <item m="1" x="3548"/>
        <item m="1" x="4502"/>
        <item m="1" x="3647"/>
        <item m="1" x="4926"/>
        <item m="1" x="7290"/>
        <item m="1" x="4013"/>
        <item m="1" x="3496"/>
        <item m="1" x="5069"/>
        <item m="1" x="3807"/>
        <item m="1" x="5454"/>
        <item m="1" x="3627"/>
        <item m="1" x="6468"/>
        <item m="1" x="4006"/>
        <item m="1" x="6309"/>
        <item m="1" x="2978"/>
        <item m="1" x="5299"/>
        <item m="1" x="3270"/>
        <item m="1" x="5070"/>
        <item m="1" x="5504"/>
        <item m="1" x="7756"/>
        <item m="1" x="7939"/>
        <item m="1" x="6679"/>
        <item m="1" x="5485"/>
        <item m="1" x="3255"/>
        <item m="1" x="2891"/>
        <item m="1" x="3824"/>
        <item m="1" x="7072"/>
        <item m="1" x="6869"/>
        <item m="1" x="4394"/>
        <item m="1" x="5981"/>
        <item m="1" x="4055"/>
        <item m="1" x="4153"/>
        <item m="1" x="5711"/>
        <item m="1" x="5789"/>
        <item m="1" x="4162"/>
        <item m="1" x="6718"/>
        <item m="1" x="3970"/>
        <item m="1" x="6755"/>
        <item m="1" x="6950"/>
        <item m="1" x="4930"/>
        <item m="1" x="4232"/>
        <item m="1" x="7977"/>
        <item m="1" x="4588"/>
        <item m="1" x="6260"/>
        <item m="1" x="4569"/>
        <item m="1" x="7252"/>
        <item m="1" x="7587"/>
        <item m="1" x="4656"/>
        <item m="1" x="6592"/>
        <item m="1" x="3098"/>
        <item m="1" x="5680"/>
        <item m="1" x="4429"/>
        <item m="1" x="3914"/>
        <item m="1" x="2896"/>
        <item m="1" x="6985"/>
        <item m="1" x="6978"/>
        <item m="1" x="7448"/>
        <item m="1" x="6369"/>
        <item m="1" x="7841"/>
        <item m="1" x="2920"/>
        <item m="1" x="6366"/>
        <item m="1" x="6568"/>
        <item m="1" x="7133"/>
        <item m="1" x="2976"/>
        <item m="1" x="2737"/>
        <item m="1" x="6134"/>
        <item m="1" x="3968"/>
        <item m="1" x="7649"/>
        <item m="1" x="2875"/>
        <item m="1" x="7525"/>
        <item m="1" x="4099"/>
        <item m="1" x="6497"/>
        <item m="1" x="4079"/>
        <item m="1" x="4161"/>
        <item m="1" x="5919"/>
        <item m="1" x="4710"/>
        <item m="1" x="7421"/>
        <item m="1" x="4737"/>
        <item m="1" x="5318"/>
        <item m="1" x="3337"/>
        <item m="1" x="5470"/>
        <item m="1" x="3314"/>
        <item m="1" x="7132"/>
        <item m="1" x="7962"/>
        <item m="1" x="5385"/>
        <item m="1" x="3649"/>
        <item m="1" x="5610"/>
        <item m="1" x="4676"/>
        <item m="1" x="5304"/>
        <item m="1" x="7993"/>
        <item m="1" x="2762"/>
        <item m="1" x="6326"/>
        <item m="1" x="2803"/>
        <item m="1" x="3470"/>
        <item m="1" x="7846"/>
        <item m="1" x="7113"/>
        <item m="1" x="4578"/>
        <item m="1" x="5291"/>
        <item m="1" x="2961"/>
        <item m="1" x="6576"/>
        <item m="1" x="7535"/>
        <item m="1" x="5896"/>
        <item m="1" x="7652"/>
        <item m="1" x="5264"/>
        <item m="1" x="2648"/>
        <item m="1" x="5590"/>
        <item m="1" x="6276"/>
        <item m="1" x="3011"/>
        <item m="1" x="5229"/>
        <item m="1" x="3780"/>
        <item m="1" x="5086"/>
        <item m="1" x="6827"/>
        <item m="1" x="3383"/>
        <item m="1" x="6034"/>
        <item m="1" x="4723"/>
        <item m="1" x="7155"/>
        <item m="1" x="4482"/>
        <item m="1" x="3863"/>
        <item m="1" x="5113"/>
        <item m="1" x="3336"/>
        <item m="1" x="6772"/>
        <item m="1" x="5200"/>
        <item m="1" x="4925"/>
        <item m="1" x="3399"/>
        <item m="1" x="7355"/>
        <item m="1" x="3222"/>
        <item m="1" x="6027"/>
        <item m="1" x="2997"/>
        <item m="1" x="3631"/>
        <item m="1" x="5772"/>
        <item m="1" x="5084"/>
        <item m="1" x="6490"/>
        <item m="1" x="3401"/>
        <item m="1" x="6318"/>
        <item m="1" x="3248"/>
        <item m="1" x="7477"/>
        <item m="1" x="3152"/>
        <item m="1" x="7196"/>
        <item m="1" x="5995"/>
        <item m="1" x="4071"/>
        <item m="1" x="5849"/>
        <item m="1" x="6057"/>
        <item m="1" x="3342"/>
        <item m="1" x="2927"/>
        <item m="1" x="5960"/>
        <item m="1" x="3878"/>
        <item m="1" x="7089"/>
        <item m="1" x="3388"/>
        <item m="1" x="6926"/>
        <item m="1" x="4200"/>
        <item m="1" x="6977"/>
        <item m="1" x="5991"/>
        <item m="1" x="6669"/>
        <item m="1" x="5581"/>
        <item m="1" x="4175"/>
        <item m="1" x="7940"/>
        <item m="1" x="6577"/>
        <item m="1" x="4412"/>
        <item m="1" x="6047"/>
        <item m="1" x="4647"/>
        <item m="1" x="2924"/>
        <item m="1" x="6283"/>
        <item m="1" x="7272"/>
        <item m="1" x="5601"/>
        <item m="1" x="5707"/>
        <item m="1" x="7690"/>
        <item m="1" x="3825"/>
        <item m="1" x="7060"/>
        <item m="1" x="6591"/>
        <item m="1" x="2741"/>
        <item m="1" x="6003"/>
        <item m="1" x="3927"/>
        <item m="1" x="6433"/>
        <item m="1" x="7665"/>
        <item m="1" x="5669"/>
        <item m="1" x="6634"/>
        <item m="1" x="6325"/>
        <item m="1" x="7527"/>
        <item m="1" x="4839"/>
        <item m="1" x="4077"/>
        <item m="1" x="3239"/>
        <item m="1" x="6853"/>
        <item m="1" x="6166"/>
        <item m="1" x="2863"/>
        <item m="1" x="2995"/>
        <item m="1" x="5564"/>
        <item m="1" x="3133"/>
        <item m="1" x="3407"/>
        <item m="1" x="3773"/>
        <item m="1" x="7041"/>
        <item m="1" x="6397"/>
        <item m="1" x="2913"/>
        <item m="1" x="6573"/>
        <item m="1" x="6235"/>
        <item m="1" x="3315"/>
        <item m="1" x="6310"/>
        <item m="1" x="7001"/>
        <item m="1" x="5647"/>
        <item m="1" x="7808"/>
        <item m="1" x="7147"/>
        <item m="1" x="3553"/>
        <item m="1" x="5449"/>
        <item m="1" x="3642"/>
        <item m="1" x="3178"/>
        <item m="1" x="3772"/>
        <item m="1" x="5709"/>
        <item m="1" x="4081"/>
        <item m="1" x="7314"/>
        <item m="1" x="3334"/>
        <item m="1" x="6414"/>
        <item m="1" x="5831"/>
        <item m="1" x="6190"/>
        <item m="1" x="6105"/>
        <item m="1" x="2721"/>
        <item m="1" x="6767"/>
        <item m="1" x="2707"/>
        <item m="1" x="3260"/>
        <item m="1" x="4258"/>
        <item m="1" x="5332"/>
        <item m="1" x="6104"/>
        <item m="1" x="4772"/>
        <item m="1" x="3677"/>
        <item m="1" x="5885"/>
        <item m="1" x="3357"/>
        <item m="1" x="5764"/>
        <item m="1" x="5296"/>
        <item m="1" x="6022"/>
        <item m="1" x="6816"/>
        <item m="1" x="6504"/>
        <item m="1" x="3243"/>
        <item m="1" x="7742"/>
        <item m="1" x="7277"/>
        <item m="1" x="3964"/>
        <item m="1" x="7091"/>
        <item m="1" x="4503"/>
        <item m="1" x="4827"/>
        <item m="1" x="5154"/>
        <item m="1" x="5027"/>
        <item m="1" x="3984"/>
        <item m="1" x="6710"/>
        <item m="1" x="5445"/>
        <item m="1" x="5062"/>
        <item m="1" x="2674"/>
        <item m="1" x="5146"/>
        <item m="1" x="3949"/>
        <item m="1" x="7263"/>
        <item m="1" x="7979"/>
        <item m="1" x="7131"/>
        <item m="1" x="2840"/>
        <item m="1" x="2679"/>
        <item m="1" x="7032"/>
        <item m="1" x="6074"/>
        <item m="1" x="6513"/>
        <item m="1" x="5337"/>
        <item m="1" x="6632"/>
        <item m="1" x="2699"/>
        <item m="1" x="6380"/>
        <item m="1" x="3945"/>
        <item m="1" x="4946"/>
        <item m="1" x="2818"/>
        <item m="1" x="5890"/>
        <item m="1" x="7500"/>
        <item m="1" x="5716"/>
        <item m="1" x="3654"/>
        <item m="1" x="6870"/>
        <item m="1" x="7227"/>
        <item m="1" x="7785"/>
        <item m="1" x="5690"/>
        <item m="1" x="4281"/>
        <item m="1" x="7176"/>
        <item m="1" x="6650"/>
        <item m="1" x="7883"/>
        <item m="1" x="5317"/>
        <item m="1" x="4041"/>
        <item m="1" x="6914"/>
        <item m="1" x="6912"/>
        <item m="1" x="3623"/>
        <item m="1" x="4110"/>
        <item m="1" x="3729"/>
        <item m="1" x="6768"/>
        <item m="1" x="6854"/>
        <item m="1" x="5002"/>
        <item m="1" x="6901"/>
        <item m="1" x="4936"/>
        <item m="1" x="7341"/>
        <item m="1" x="7009"/>
        <item m="1" x="4010"/>
        <item m="1" x="7791"/>
        <item m="1" x="4064"/>
        <item m="1" x="5522"/>
        <item m="1" x="4623"/>
        <item m="1" x="4332"/>
        <item m="1" x="3025"/>
        <item m="1" x="6849"/>
        <item m="1" x="3522"/>
        <item m="1" x="3193"/>
        <item m="1" x="5472"/>
        <item m="1" x="3232"/>
        <item m="1" x="7175"/>
        <item m="1" x="2661"/>
        <item m="1" x="5143"/>
        <item m="1" x="2817"/>
        <item m="1" x="7427"/>
        <item m="1" x="3296"/>
        <item m="1" x="5081"/>
        <item m="1" x="4613"/>
        <item m="1" x="4591"/>
        <item m="1" x="6897"/>
        <item m="1" x="4493"/>
        <item m="1" x="3192"/>
        <item m="1" x="7276"/>
        <item m="1" x="4184"/>
        <item m="1" x="7351"/>
        <item m="1" x="7109"/>
        <item m="1" x="6839"/>
        <item m="1" x="7502"/>
        <item m="1" x="5742"/>
        <item m="1" x="4496"/>
        <item m="1" x="7206"/>
        <item m="1" x="6660"/>
        <item m="1" x="4549"/>
        <item m="1" x="6372"/>
        <item m="1" x="6673"/>
        <item m="1" x="6248"/>
        <item m="1" x="2777"/>
        <item m="1" x="4065"/>
        <item m="1" x="5704"/>
        <item m="1" x="7741"/>
        <item m="1" x="6628"/>
        <item m="1" x="7713"/>
        <item m="1" x="6867"/>
        <item m="1" x="5369"/>
        <item m="1" x="3994"/>
        <item m="1" x="4165"/>
        <item m="1" x="7334"/>
        <item m="1" x="6253"/>
        <item m="1" x="7774"/>
        <item m="1" x="6237"/>
        <item m="1" x="5656"/>
        <item m="1" x="6989"/>
        <item m="1" x="7998"/>
        <item m="1" x="5277"/>
        <item m="1" x="5622"/>
        <item m="1" x="6566"/>
        <item m="1" x="7928"/>
        <item m="1" x="7386"/>
        <item m="1" x="4046"/>
        <item m="1" x="3532"/>
        <item m="1" x="4255"/>
        <item m="1" x="4695"/>
        <item m="1" x="6703"/>
        <item m="1" x="5934"/>
        <item m="1" x="7083"/>
        <item m="1" x="2805"/>
        <item m="1" x="6096"/>
        <item m="1" x="4872"/>
        <item m="1" x="4272"/>
        <item m="1" x="5811"/>
        <item m="1" x="7006"/>
        <item m="1" x="5689"/>
        <item m="1" x="5475"/>
        <item m="1" x="7531"/>
        <item m="1" x="6373"/>
        <item m="1" x="3132"/>
        <item m="1" x="7680"/>
        <item m="1" x="7621"/>
        <item m="1" x="6065"/>
        <item m="1" x="5001"/>
        <item m="1" x="3590"/>
        <item m="1" x="3666"/>
        <item m="1" x="6526"/>
        <item m="1" x="6228"/>
        <item m="1" x="2811"/>
        <item m="1" x="7064"/>
        <item m="1" x="4455"/>
        <item m="1" x="5225"/>
        <item m="1" x="4140"/>
        <item m="1" x="5924"/>
        <item m="1" x="2883"/>
        <item m="1" x="6498"/>
        <item m="1" x="3761"/>
        <item m="1" x="3130"/>
        <item m="1" x="6705"/>
        <item m="1" x="3903"/>
        <item m="1" x="2916"/>
        <item m="1" x="2758"/>
        <item m="1" x="5093"/>
        <item m="1" x="3706"/>
        <item m="1" x="3231"/>
        <item m="1" x="6232"/>
        <item m="1" x="3938"/>
        <item m="1" x="4169"/>
        <item m="1" x="3732"/>
        <item m="1" x="3710"/>
        <item m="1" x="3294"/>
        <item m="1" x="5266"/>
        <item m="1" x="5348"/>
        <item m="1" x="6303"/>
        <item m="1" x="6873"/>
        <item m="1" x="3247"/>
        <item m="1" x="3805"/>
        <item m="1" x="5198"/>
        <item m="1" x="6612"/>
        <item m="1" x="4107"/>
        <item m="1" x="4280"/>
        <item m="1" x="7205"/>
        <item m="1" x="7059"/>
        <item m="1" x="2912"/>
        <item m="1" x="4532"/>
        <item m="1" x="5309"/>
        <item m="1" x="7271"/>
        <item m="1" x="3517"/>
        <item m="1" x="2765"/>
        <item m="1" x="6549"/>
        <item m="1" x="7492"/>
        <item m="1" x="5545"/>
        <item m="1" x="3391"/>
        <item m="1" x="5791"/>
        <item m="1" x="6272"/>
        <item m="1" x="4291"/>
        <item m="1" x="3028"/>
        <item m="1" x="7088"/>
        <item m="1" x="3975"/>
        <item m="1" x="2783"/>
        <item m="1" x="2727"/>
        <item m="1" x="4910"/>
        <item m="1" x="3444"/>
        <item m="1" x="6331"/>
        <item m="1" x="5347"/>
        <item m="1" x="3368"/>
        <item m="1" x="4356"/>
        <item m="1" x="7823"/>
        <item m="1" x="3049"/>
        <item m="1" x="5982"/>
        <item m="1" x="7607"/>
        <item m="1" x="2655"/>
        <item m="1" x="5903"/>
        <item m="1" x="5579"/>
        <item m="1" x="5523"/>
        <item m="1" x="2998"/>
        <item m="1" x="7014"/>
        <item m="1" x="3591"/>
        <item m="1" x="4920"/>
        <item m="1" x="2708"/>
        <item m="1" x="7777"/>
        <item m="1" x="6518"/>
        <item m="1" x="6273"/>
        <item m="1" x="4342"/>
        <item m="1" x="3965"/>
        <item m="1" x="2889"/>
        <item m="1" x="4219"/>
        <item m="1" x="2802"/>
        <item m="1" x="5881"/>
        <item m="1" x="4100"/>
        <item m="1" x="5774"/>
        <item m="1" x="7675"/>
        <item m="1" x="6425"/>
        <item m="1" x="6316"/>
        <item m="1" x="7759"/>
        <item m="1" x="4634"/>
        <item m="1" x="6620"/>
        <item m="1" x="7491"/>
        <item m="1" x="4510"/>
        <item m="1" x="6465"/>
        <item m="1" x="7619"/>
        <item m="1" x="6351"/>
        <item m="1" x="3734"/>
        <item m="1" x="4284"/>
        <item m="1" x="7728"/>
        <item m="1" x="5710"/>
        <item m="1" x="4405"/>
        <item m="1" x="7080"/>
        <item m="1" x="4294"/>
        <item m="1" x="5731"/>
        <item m="1" x="2850"/>
        <item m="1" x="5017"/>
        <item m="1" x="6554"/>
        <item m="1" x="3988"/>
        <item m="1" x="5657"/>
        <item m="1" x="3056"/>
        <item m="1" x="4158"/>
        <item m="1" x="5074"/>
        <item m="1" x="5479"/>
        <item m="1" x="4354"/>
        <item m="1" x="4617"/>
        <item m="1" x="4773"/>
        <item m="1" x="4029"/>
        <item m="1" x="5618"/>
        <item m="1" x="5250"/>
        <item m="1" x="5421"/>
        <item m="1" x="3159"/>
        <item m="1" x="7003"/>
        <item m="1" x="3899"/>
        <item m="1" x="3156"/>
        <item m="1" x="6939"/>
        <item m="1" x="3908"/>
        <item m="1" x="4515"/>
        <item m="1" x="3512"/>
        <item m="1" x="3003"/>
        <item m="1" x="6290"/>
        <item m="1" x="7771"/>
        <item m="1" x="5065"/>
        <item m="1" x="5546"/>
        <item m="1" x="6806"/>
        <item m="1" x="5517"/>
        <item m="1" x="3291"/>
        <item m="1" x="3559"/>
        <item m="1" x="5905"/>
        <item m="1" x="2695"/>
        <item m="1" x="2763"/>
        <item m="1" x="5541"/>
        <item m="1" x="7440"/>
        <item m="1" x="3461"/>
        <item m="1" x="6035"/>
        <item m="1" x="7927"/>
        <item m="1" x="6375"/>
        <item m="1" x="3501"/>
        <item m="1" x="7814"/>
        <item m="1" x="2950"/>
        <item m="1" x="5678"/>
        <item m="1" x="3833"/>
        <item m="1" x="4098"/>
        <item m="1" x="5977"/>
        <item m="1" x="6317"/>
        <item m="1" x="7775"/>
        <item m="1" x="4460"/>
        <item m="1" x="7438"/>
        <item m="1" x="4941"/>
        <item m="1" x="6127"/>
        <item m="1" x="6426"/>
        <item m="1" x="3204"/>
        <item m="1" x="2871"/>
        <item m="1" x="2856"/>
        <item m="1" x="4327"/>
        <item m="1" x="5870"/>
        <item m="1" x="4240"/>
        <item m="1" x="6907"/>
        <item m="1" x="6507"/>
        <item m="1" x="3171"/>
        <item m="1" x="7696"/>
        <item m="1" x="2857"/>
        <item m="1" x="4386"/>
        <item m="1" x="4009"/>
        <item m="1" x="6733"/>
        <item m="1" x="7411"/>
        <item m="1" x="2753"/>
        <item m="1" x="7780"/>
        <item m="1" x="5729"/>
        <item m="1" x="6694"/>
        <item m="1" x="5957"/>
        <item m="1" x="2801"/>
        <item m="1" x="5014"/>
        <item m="1" x="7867"/>
        <item m="1" x="4780"/>
        <item m="1" x="7655"/>
        <item m="1" x="7646"/>
        <item m="1" x="3273"/>
        <item m="1" x="7203"/>
        <item m="1" x="3184"/>
        <item m="1" x="4918"/>
        <item m="1" x="4182"/>
        <item m="1" x="4951"/>
        <item m="1" x="5447"/>
        <item m="1" x="7295"/>
        <item m="1" x="7232"/>
        <item m="1" x="5284"/>
        <item m="1" x="6491"/>
        <item m="1" x="2636"/>
        <item m="1" x="5675"/>
        <item m="1" x="4868"/>
        <item m="1" x="7810"/>
        <item m="1" x="4659"/>
        <item m="1" x="6994"/>
        <item m="1" x="4278"/>
        <item m="1" x="4347"/>
        <item m="1" x="4881"/>
        <item m="1" x="7099"/>
        <item m="1" x="6871"/>
        <item m="1" x="7568"/>
        <item m="1" x="4983"/>
        <item m="1" x="7895"/>
        <item m="1" x="3446"/>
        <item m="1" x="7177"/>
        <item m="1" x="5094"/>
        <item m="1" x="3014"/>
        <item m="1" x="6460"/>
        <item m="1" x="6419"/>
        <item m="1" x="4571"/>
        <item m="1" x="4715"/>
        <item m="1" x="7533"/>
        <item m="1" x="6668"/>
        <item m="1" x="7008"/>
        <item m="1" x="7918"/>
        <item m="1" x="6267"/>
        <item m="1" x="4608"/>
        <item m="1" x="2728"/>
        <item m="1" x="3815"/>
        <item m="1" x="7769"/>
        <item m="1" x="6593"/>
        <item m="1" x="7097"/>
        <item m="1" x="6546"/>
        <item m="1" x="6723"/>
        <item m="1" x="4205"/>
        <item m="1" x="6898"/>
        <item m="1" x="2804"/>
        <item m="1" x="6729"/>
        <item m="1" x="3685"/>
        <item m="1" x="4741"/>
        <item m="1" x="5561"/>
        <item m="1" x="6959"/>
        <item m="1" x="6879"/>
        <item m="1" x="3118"/>
        <item m="1" x="3708"/>
        <item m="1" x="6137"/>
        <item m="1" x="5433"/>
        <item m="1" x="4089"/>
        <item m="1" x="7486"/>
        <item m="1" x="4843"/>
        <item m="1" x="5801"/>
        <item m="1" x="5351"/>
        <item m="1" x="5757"/>
        <item m="1" x="3324"/>
        <item m="1" x="3451"/>
        <item m="1" x="3162"/>
        <item m="1" x="3082"/>
        <item m="1" x="3285"/>
        <item m="1" x="3307"/>
        <item m="1" x="5661"/>
        <item m="1" x="6066"/>
        <item m="1" x="7331"/>
        <item m="1" x="7859"/>
        <item m="1" x="5882"/>
        <item m="1" x="5402"/>
        <item m="1" x="3602"/>
        <item m="1" x="3790"/>
        <item m="1" x="5414"/>
        <item m="1" x="2934"/>
        <item m="1" x="6649"/>
        <item m="1" x="3673"/>
        <item m="1" x="4533"/>
        <item m="1" x="7609"/>
        <item m="1" x="5044"/>
        <item m="1" x="5458"/>
        <item m="1" x="4616"/>
        <item m="1" x="2812"/>
        <item m="1" x="6823"/>
        <item m="1" x="2610"/>
        <item m="1" x="7749"/>
        <item m="1" x="7645"/>
        <item m="1" x="5428"/>
        <item m="1" x="4799"/>
        <item m="1" x="5491"/>
        <item m="1" x="3364"/>
        <item m="1" x="3698"/>
        <item m="1" x="7639"/>
        <item m="1" x="3703"/>
        <item m="1" x="6434"/>
        <item m="1" x="6713"/>
        <item m="1" x="3116"/>
        <item m="1" x="7018"/>
        <item m="1" x="6693"/>
        <item m="1" x="6824"/>
        <item m="1" x="5037"/>
        <item m="1" x="6332"/>
        <item m="1" x="3741"/>
        <item m="1" x="6014"/>
        <item m="1" x="6337"/>
        <item m="1" x="7840"/>
        <item m="1" x="5180"/>
        <item m="1" x="4120"/>
        <item m="1" x="5325"/>
        <item m="1" x="7125"/>
        <item m="1" x="4229"/>
        <item m="1" x="5931"/>
        <item m="1" x="3890"/>
        <item m="1" x="3026"/>
        <item m="1" x="5685"/>
        <item m="1" x="6972"/>
        <item m="1" x="6085"/>
        <item m="1" x="4084"/>
        <item m="1" x="3832"/>
        <item m="1" x="4373"/>
        <item m="1" x="3629"/>
        <item m="1" x="6199"/>
        <item m="1" x="3494"/>
        <item m="1" x="7862"/>
        <item m="1" x="5625"/>
        <item m="1" x="7273"/>
        <item m="1" x="5915"/>
        <item m="1" x="3873"/>
        <item m="1" x="6835"/>
        <item m="1" x="3188"/>
        <item m="1" x="2684"/>
        <item m="1" x="5418"/>
        <item m="1" x="7010"/>
        <item m="1" x="3452"/>
        <item m="1" x="5782"/>
        <item m="1" x="3804"/>
        <item m="1" x="7922"/>
        <item m="1" x="3684"/>
        <item m="1" x="6563"/>
        <item m="1" x="6202"/>
        <item m="1" x="4367"/>
        <item m="1" x="3431"/>
        <item m="1" x="3316"/>
        <item m="1" x="7699"/>
        <item m="1" x="6420"/>
        <item m="1" x="7593"/>
        <item m="1" x="4430"/>
        <item m="1" x="3422"/>
        <item m="1" x="5771"/>
        <item m="1" x="6119"/>
        <item m="1" x="5958"/>
        <item m="1" x="5857"/>
        <item m="1" x="6969"/>
        <item m="1" x="3252"/>
        <item m="1" x="6226"/>
        <item m="1" x="3854"/>
        <item m="1" x="6261"/>
        <item m="1" x="5770"/>
        <item m="1" x="4124"/>
        <item m="1" x="7678"/>
        <item m="1" x="7640"/>
        <item m="1" x="5007"/>
        <item m="1" x="3643"/>
        <item m="1" x="7078"/>
        <item m="1" x="4663"/>
        <item m="1" x="5218"/>
        <item m="1" x="2979"/>
        <item m="1" x="6255"/>
        <item m="1" x="2843"/>
        <item m="1" x="6446"/>
        <item m="1" x="4438"/>
        <item m="1" x="7157"/>
        <item m="1" x="3465"/>
        <item m="1" x="5944"/>
        <item m="1" x="4080"/>
        <item m="1" x="4152"/>
        <item m="1" x="3229"/>
        <item m="1" x="5352"/>
        <item m="1" x="3898"/>
        <item m="1" x="3605"/>
        <item m="1" x="2704"/>
        <item m="1" x="3198"/>
        <item m="1" x="4928"/>
        <item m="1" x="5759"/>
        <item m="1" x="5676"/>
        <item m="1" x="4126"/>
        <item m="1" x="7881"/>
        <item m="1" x="3541"/>
        <item m="1" x="3442"/>
        <item m="1" x="3581"/>
        <item m="1" x="7596"/>
        <item m="1" x="6086"/>
        <item m="1" x="3953"/>
        <item m="1" x="3546"/>
        <item m="1" x="5860"/>
        <item m="1" x="7212"/>
        <item m="1" x="6177"/>
        <item m="1" x="4242"/>
        <item m="1" x="7487"/>
        <item m="1" x="4338"/>
        <item m="1" x="6834"/>
        <item m="1" x="5426"/>
        <item m="1" x="5636"/>
        <item m="1" x="4434"/>
        <item m="1" x="3094"/>
        <item m="1" x="5398"/>
        <item m="1" x="4374"/>
        <item m="1" x="5802"/>
        <item m="1" x="4336"/>
        <item m="1" x="4224"/>
        <item m="1" x="7315"/>
        <item m="1" x="5739"/>
        <item m="1" x="3052"/>
        <item m="1" x="7733"/>
        <item m="1" x="7057"/>
        <item m="1" x="3508"/>
        <item m="1" x="2799"/>
        <item m="1" x="3808"/>
        <item m="1" x="7013"/>
        <item m="1" x="4584"/>
        <item m="1" x="3726"/>
        <item m="1" x="3305"/>
        <item m="1" x="5043"/>
        <item m="1" x="4505"/>
        <item m="1" x="3973"/>
        <item m="1" x="5812"/>
        <item m="1" x="3362"/>
        <item m="1" x="3550"/>
        <item m="1" x="3360"/>
        <item m="1" x="6479"/>
        <item m="1" x="6885"/>
        <item m="1" x="3412"/>
        <item m="1" x="3331"/>
        <item m="1" x="3841"/>
        <item m="1" x="5011"/>
        <item m="1" x="6251"/>
        <item m="1" x="5356"/>
        <item m="1" x="5160"/>
        <item m="1" x="5534"/>
        <item m="1" x="5361"/>
        <item m="1" x="4061"/>
        <item m="1" x="3355"/>
        <item m="1" x="6845"/>
        <item m="1" x="5598"/>
        <item m="1" x="5682"/>
        <item m="1" x="6923"/>
        <item m="1" x="7479"/>
        <item m="1" x="2690"/>
        <item m="1" x="7431"/>
        <item m="1" x="7579"/>
        <item m="1" x="7584"/>
        <item m="1" x="6590"/>
        <item m="1" x="7632"/>
        <item m="1" x="5798"/>
        <item m="1" x="4033"/>
        <item m="1" x="3819"/>
        <item m="1" x="5605"/>
        <item m="1" x="5156"/>
        <item m="1" x="7223"/>
        <item m="1" x="6489"/>
        <item m="1" x="6697"/>
        <item m="1" x="7225"/>
        <item m="1" x="5832"/>
        <item m="1" x="3415"/>
        <item m="1" x="6178"/>
        <item m="1" x="3736"/>
        <item m="1" x="5544"/>
        <item m="1" x="6830"/>
        <item m="1" x="4085"/>
        <item m="1" x="5362"/>
        <item m="1" x="6635"/>
        <item m="1" x="6213"/>
        <item m="1" x="7284"/>
        <item m="1" x="5718"/>
        <item m="1" x="5983"/>
        <item m="1" x="6239"/>
        <item m="1" x="2748"/>
        <item m="1" x="6529"/>
        <item m="1" x="7135"/>
        <item m="1" x="7514"/>
        <item m="1" x="3671"/>
        <item m="1" x="5888"/>
        <item m="1" x="7467"/>
        <item m="1" x="2761"/>
        <item m="1" x="5104"/>
        <item m="1" x="4537"/>
        <item m="1" x="6895"/>
        <item m="1" x="5745"/>
        <item m="1" x="4194"/>
        <item m="1" x="3867"/>
        <item m="1" x="7262"/>
        <item m="1" x="3562"/>
        <item m="1" x="6289"/>
        <item m="1" x="7103"/>
        <item m="1" x="6910"/>
        <item m="1" x="2894"/>
        <item m="1" x="5010"/>
        <item m="1" x="4248"/>
        <item m="1" x="6887"/>
        <item m="1" x="4423"/>
        <item m="1" x="6410"/>
        <item m="1" x="4193"/>
        <item m="1" x="4660"/>
        <item m="1" x="6583"/>
        <item m="1" x="4407"/>
        <item m="1" x="3040"/>
        <item m="1" x="4639"/>
        <item m="1" x="5241"/>
        <item m="1" x="4859"/>
        <item m="1" x="3861"/>
        <item m="1" x="7873"/>
        <item m="1" x="6606"/>
        <item m="1" x="3358"/>
        <item m="1" x="5450"/>
        <item m="1" x="4254"/>
        <item m="1" x="3923"/>
        <item m="1" x="3518"/>
        <item m="1" x="6227"/>
        <item m="1" x="4211"/>
        <item m="1" x="6596"/>
        <item m="1" x="4547"/>
        <item m="1" x="3529"/>
        <item m="1" x="4190"/>
        <item m="1" x="6640"/>
        <item m="1" x="6412"/>
        <item m="1" x="6053"/>
        <item m="1" x="5393"/>
        <item m="1" x="6110"/>
        <item m="1" x="4722"/>
        <item m="1" x="4817"/>
        <item m="1" x="3300"/>
        <item m="1" x="4929"/>
        <item m="1" x="5692"/>
        <item m="1" x="5989"/>
        <item m="1" x="4233"/>
        <item m="1" x="3008"/>
        <item m="1" x="4985"/>
        <item m="1" x="5215"/>
        <item m="1" x="7905"/>
        <item m="1" x="7817"/>
        <item m="1" x="3982"/>
        <item m="1" x="7653"/>
        <item m="1" x="6246"/>
        <item m="1" x="4083"/>
        <item m="1" x="7090"/>
        <item m="1" x="6156"/>
        <item m="1" x="5338"/>
        <item m="1" x="7054"/>
        <item m="1" x="4670"/>
        <item m="1" x="7958"/>
        <item m="1" x="4995"/>
        <item m="1" x="3343"/>
        <item m="1" x="6154"/>
        <item m="1" x="6917"/>
        <item m="1" x="6321"/>
        <item m="1" x="5852"/>
        <item m="1" x="7065"/>
        <item m="1" x="2621"/>
        <item m="1" x="3658"/>
        <item m="1" x="7886"/>
        <item m="1" x="4939"/>
        <item m="1" x="7045"/>
        <item m="1" x="4507"/>
        <item m="1" x="3293"/>
        <item m="1" x="6461"/>
        <item m="1" x="6671"/>
        <item m="1" x="4475"/>
        <item m="1" x="5008"/>
        <item m="1" x="7185"/>
        <item m="1" x="6510"/>
        <item m="1" x="3308"/>
        <item m="1" x="2851"/>
        <item m="1" x="7786"/>
        <item m="1" x="4477"/>
        <item m="1" x="6896"/>
        <item m="1" x="5766"/>
        <item m="1" x="3664"/>
        <item m="1" x="7473"/>
        <item m="1" x="4264"/>
        <item m="1" x="6394"/>
        <item m="1" x="6312"/>
        <item m="1" x="3997"/>
        <item m="1" x="3862"/>
        <item m="1" x="3557"/>
        <item m="1" x="4814"/>
        <item m="1" x="4119"/>
        <item m="1" x="4751"/>
        <item m="1" x="2775"/>
        <item m="1" x="7804"/>
        <item m="1" x="4355"/>
        <item m="1" x="3697"/>
        <item m="1" x="4730"/>
        <item m="1" x="4096"/>
        <item m="1" x="5289"/>
        <item m="1" x="5188"/>
        <item m="1" x="3822"/>
        <item m="1" x="3280"/>
        <item m="1" x="3696"/>
        <item m="1" x="4214"/>
        <item m="1" x="3304"/>
        <item m="1" x="3160"/>
        <item m="1" x="3702"/>
        <item m="1" x="7303"/>
        <item m="1" x="6304"/>
        <item m="1" x="6236"/>
        <item m="1" x="6393"/>
        <item m="1" x="6172"/>
        <item m="1" x="5738"/>
        <item m="1" x="3202"/>
        <item m="1" x="3663"/>
        <item m="1" x="7352"/>
        <item m="1" x="7691"/>
        <item m="1" x="7837"/>
        <item m="1" x="4894"/>
        <item m="1" x="5980"/>
        <item m="1" x="3379"/>
        <item m="1" x="4230"/>
        <item m="1" x="4851"/>
        <item m="1" x="4498"/>
        <item m="1" x="5609"/>
        <item m="1" x="2846"/>
        <item m="1" x="6089"/>
        <item m="1" x="6019"/>
        <item m="1" x="2717"/>
        <item m="1" x="5416"/>
        <item m="1" x="6338"/>
        <item m="1" x="7400"/>
        <item m="1" x="6949"/>
        <item m="1" x="5597"/>
        <item m="1" x="3382"/>
        <item m="1" x="5559"/>
        <item m="1" x="4536"/>
        <item m="1" x="7633"/>
        <item m="1" x="7094"/>
        <item m="1" x="3786"/>
        <item m="1" x="5950"/>
        <item m="1" x="7797"/>
        <item m="1" x="6793"/>
        <item m="1" x="5067"/>
        <item m="1" x="5955"/>
        <item m="1" x="6458"/>
        <item m="1" x="7938"/>
        <item m="1" x="7214"/>
        <item m="1" x="3131"/>
        <item m="1" x="5463"/>
        <item m="1" x="3438"/>
        <item m="1" x="5108"/>
        <item m="1" x="7455"/>
        <item m="1" x="3523"/>
        <item m="1" x="4705"/>
        <item m="1" x="3855"/>
        <item m="1" x="5038"/>
        <item m="1" x="6838"/>
        <item m="1" x="2780"/>
        <item m="1" x="6595"/>
        <item m="1" x="5951"/>
        <item m="1" x="3916"/>
        <item m="1" x="6311"/>
        <item m="1" x="5219"/>
        <item m="1" x="5334"/>
        <item m="1" x="6377"/>
        <item m="1" x="6305"/>
        <item m="1" x="4015"/>
        <item m="1" x="6455"/>
        <item m="1" x="4030"/>
        <item m="1" x="4548"/>
        <item m="1" x="4901"/>
        <item m="1" x="2640"/>
        <item m="1" x="7460"/>
        <item m="1" x="4379"/>
        <item m="1" x="2677"/>
        <item m="1" x="5945"/>
        <item m="1" x="7884"/>
        <item m="1" x="3237"/>
        <item m="1" x="6162"/>
        <item m="1" x="7456"/>
        <item m="1" x="3487"/>
        <item m="1" x="2967"/>
        <item m="1" x="6880"/>
        <item m="1" x="7706"/>
        <item m="1" x="3829"/>
        <item m="1" x="4414"/>
        <item m="1" x="3894"/>
        <item m="1" x="4334"/>
        <item m="1" x="2876"/>
        <item m="1" x="6875"/>
        <item m="1" x="4863"/>
        <item m="1" x="4114"/>
        <item m="1" x="7330"/>
        <item m="1" x="6095"/>
        <item m="1" x="3165"/>
        <item m="1" x="3046"/>
        <item m="1" x="4305"/>
        <item m="1" x="5288"/>
        <item m="1" x="4073"/>
        <item m="1" x="3429"/>
        <item m="1" x="2624"/>
        <item m="1" x="7108"/>
        <item m="1" x="7388"/>
        <item m="1" x="4555"/>
        <item m="1" x="5231"/>
        <item m="1" x="4725"/>
        <item m="1" x="4749"/>
        <item m="1" x="7404"/>
        <item m="1" x="7965"/>
        <item m="1" x="7156"/>
        <item m="1" x="6579"/>
        <item m="1" x="4782"/>
        <item m="1" x="4897"/>
        <item m="1" x="3676"/>
        <item m="1" x="5792"/>
        <item m="1" x="5501"/>
        <item m="1" x="7364"/>
        <item m="1" x="4337"/>
        <item m="1" x="3947"/>
        <item m="1" x="5245"/>
        <item m="1" x="6609"/>
        <item m="1" x="2956"/>
        <item m="1" x="5965"/>
        <item m="1" x="7300"/>
        <item m="1" x="5230"/>
        <item m="1" x="5028"/>
        <item m="1" x="6868"/>
        <item m="1" x="3107"/>
        <item m="1" x="5174"/>
        <item m="1" x="3318"/>
        <item m="1" x="6382"/>
        <item m="1" x="5268"/>
        <item m="1" x="3363"/>
        <item m="1" x="4286"/>
        <item m="1" x="7356"/>
        <item m="1" x="6684"/>
        <item m="1" x="2958"/>
        <item m="1" x="5978"/>
        <item m="1" x="7328"/>
        <item m="1" x="3680"/>
        <item m="1" x="7025"/>
        <item m="1" x="5359"/>
        <item m="1" x="7575"/>
        <item m="1" x="3376"/>
        <item m="1" x="3373"/>
        <item m="1" x="4398"/>
        <item m="1" x="2923"/>
        <item m="1" x="6776"/>
        <item m="1" x="7106"/>
        <item m="1" x="5572"/>
        <item m="1" x="3493"/>
        <item m="1" x="4519"/>
        <item m="1" x="5422"/>
        <item m="1" x="7853"/>
        <item m="1" x="2957"/>
        <item m="1" x="3113"/>
        <item m="1" x="2925"/>
        <item m="1" x="4088"/>
        <item m="1" x="5569"/>
        <item m="1" x="4250"/>
        <item m="1" x="5336"/>
        <item m="1" x="5469"/>
        <item m="1" x="3715"/>
        <item m="1" x="3731"/>
        <item m="1" x="5489"/>
        <item m="1" x="5123"/>
        <item m="1" x="6168"/>
        <item m="1" x="5459"/>
        <item m="1" x="7544"/>
        <item m="1" x="4594"/>
        <item m="1" x="5486"/>
        <item m="1" x="6727"/>
        <item m="1" x="7494"/>
        <item m="1" x="4913"/>
        <item m="1" x="3212"/>
        <item m="1" x="4948"/>
        <item m="1" x="7461"/>
        <item m="1" x="6557"/>
        <item m="1" x="5964"/>
        <item m="1" x="5851"/>
        <item m="1" x="2853"/>
        <item m="1" x="6357"/>
        <item m="1" x="3210"/>
        <item m="1" x="7043"/>
        <item m="1" x="5841"/>
        <item m="1" x="3746"/>
        <item m="1" x="5397"/>
        <item m="1" x="7430"/>
        <item m="1" x="4867"/>
        <item m="1" x="7674"/>
        <item m="1" x="7971"/>
        <item m="1" x="5183"/>
        <item m="1" x="2692"/>
        <item m="1" x="2675"/>
        <item m="1" x="5926"/>
        <item m="1" x="6539"/>
        <item m="1" x="7781"/>
        <item m="1" x="3381"/>
        <item m="1" x="5703"/>
        <item m="1" x="4217"/>
        <item m="1" x="4811"/>
        <item m="1" x="7310"/>
        <item m="1" x="5837"/>
        <item m="1" x="7659"/>
        <item m="1" x="4123"/>
        <item m="1" x="4147"/>
        <item m="1" x="4823"/>
        <item m="1" x="4767"/>
        <item m="1" x="5662"/>
        <item m="1" x="7171"/>
        <item m="1" x="4451"/>
        <item m="1" x="4783"/>
        <item m="1" x="5631"/>
        <item m="1" x="4186"/>
        <item m="1" x="6116"/>
        <item m="1" x="4774"/>
        <item m="1" x="7403"/>
        <item m="1" x="7734"/>
        <item m="1" x="2672"/>
        <item m="1" x="5932"/>
        <item m="1" x="5949"/>
        <item m="1" x="3242"/>
        <item m="1" x="4848"/>
        <item m="1" x="5987"/>
        <item m="1" x="3768"/>
        <item m="1" x="5819"/>
        <item m="1" x="5256"/>
        <item m="1" x="6210"/>
        <item m="1" x="7547"/>
        <item m="1" x="5494"/>
        <item m="1" x="5642"/>
        <item m="1" x="4662"/>
        <item m="1" x="2972"/>
        <item m="1" x="6560"/>
        <item m="1" x="7441"/>
        <item m="1" x="7138"/>
        <item m="1" x="5060"/>
        <item m="1" x="5429"/>
        <item m="1" x="7481"/>
        <item m="1" x="3221"/>
        <item m="1" x="3777"/>
        <item m="1" x="4917"/>
        <item m="1" x="3694"/>
        <item m="1" x="4236"/>
        <item m="1" x="6492"/>
        <item m="1" x="7447"/>
        <item m="1" x="3524"/>
        <item m="1" x="7956"/>
        <item m="1" x="6664"/>
        <item m="1" x="4685"/>
        <item m="1" x="5129"/>
        <item m="1" x="5320"/>
        <item m="1" x="3745"/>
        <item m="1" x="4201"/>
        <item m="1" x="6690"/>
        <item m="1" x="3788"/>
        <item m="1" x="4054"/>
        <item m="1" x="5083"/>
        <item m="1" x="7887"/>
        <item m="1" x="6129"/>
        <item m="1" x="7615"/>
        <item m="1" x="3977"/>
        <item m="1" x="3852"/>
        <item m="1" x="4138"/>
        <item m="1" x="6586"/>
        <item m="1" x="7107"/>
        <item m="1" x="4907"/>
        <item m="1" x="4740"/>
        <item m="1" x="6223"/>
        <item m="1" x="6683"/>
        <item m="1" x="3013"/>
        <item m="1" x="4981"/>
        <item m="1" x="2822"/>
        <item m="1" x="2807"/>
        <item m="1" x="7738"/>
        <item m="1" x="7320"/>
        <item m="1" x="6533"/>
        <item m="1" x="3216"/>
        <item m="1" x="3526"/>
        <item m="1" x="7474"/>
        <item m="1" x="7876"/>
        <item m="1" x="7711"/>
        <item m="1" x="5311"/>
        <item m="1" x="5756"/>
        <item m="1" x="7902"/>
        <item m="1" x="7453"/>
        <item m="1" x="5828"/>
        <item m="1" x="6313"/>
        <item m="1" x="6345"/>
        <item m="1" x="3971"/>
        <item m="1" x="3226"/>
        <item m="1" x="7342"/>
        <item m="1" x="4389"/>
        <item m="1" x="4406"/>
        <item m="1" x="3196"/>
        <item m="1" x="4916"/>
        <item m="1" x="5490"/>
        <item m="1" x="5600"/>
        <item m="1" x="5026"/>
        <item m="1" x="5192"/>
        <item m="1" x="5807"/>
        <item m="1" x="6017"/>
        <item m="1" x="5168"/>
        <item m="1" x="6791"/>
        <item m="1" x="3403"/>
        <item m="1" x="5425"/>
        <item m="1" x="5134"/>
        <item m="1" x="3907"/>
        <item m="1" x="3219"/>
        <item m="1" x="5863"/>
        <item m="1" x="5726"/>
        <item m="1" x="3737"/>
        <item m="1" x="3793"/>
        <item m="1" x="2676"/>
        <item m="1" x="6171"/>
        <item m="1" x="5788"/>
        <item m="1" x="2790"/>
        <item m="1" x="4874"/>
        <item m="1" x="4832"/>
        <item m="1" x="3030"/>
        <item m="1" x="3329"/>
        <item m="1" x="5456"/>
        <item m="1" x="2932"/>
        <item m="1" x="7325"/>
        <item m="1" x="7143"/>
        <item m="1" x="3856"/>
        <item m="1" x="6580"/>
        <item m="1" x="7402"/>
        <item m="1" x="4963"/>
        <item m="1" x="5467"/>
        <item m="1" x="3668"/>
        <item m="1" x="6610"/>
        <item m="1" x="4022"/>
        <item m="1" x="7906"/>
        <item m="1" x="6778"/>
        <item m="1" x="5507"/>
        <item m="1" x="7975"/>
        <item m="1" x="3552"/>
        <item m="1" x="3127"/>
        <item m="1" x="2902"/>
        <item m="1" x="5516"/>
        <item m="1" x="7930"/>
        <item m="1" x="2947"/>
        <item m="1" x="3169"/>
        <item m="1" x="3031"/>
        <item m="1" x="5633"/>
        <item m="1" x="4032"/>
        <item m="1" x="3742"/>
        <item m="1" x="6623"/>
        <item m="1" x="2800"/>
        <item m="1" x="6485"/>
        <item m="1" x="7552"/>
        <item m="1" x="5623"/>
        <item m="1" x="4018"/>
        <item m="1" x="7685"/>
        <item m="1" x="4130"/>
        <item m="1" x="4846"/>
        <item m="1" x="4632"/>
        <item m="1" x="3853"/>
        <item m="1" x="7501"/>
        <item m="1" x="2659"/>
        <item m="1" x="5574"/>
        <item m="1" x="5908"/>
        <item m="1" x="7538"/>
        <item m="1" x="6712"/>
        <item m="1" x="3051"/>
        <item m="1" x="5923"/>
        <item m="1" x="4000"/>
        <item m="1" x="5191"/>
        <item m="1" x="4523"/>
        <item m="1" x="3782"/>
        <item m="1" x="5448"/>
        <item m="1" x="6894"/>
        <item m="1" x="7714"/>
        <item m="1" x="3662"/>
        <item m="1" x="4625"/>
        <item m="1" x="7702"/>
        <item m="1" x="6091"/>
        <item m="1" x="6832"/>
        <item m="1" x="3397"/>
        <item m="1" x="4582"/>
        <item m="1" x="6626"/>
        <item m="1" x="5720"/>
        <item m="1" x="4758"/>
        <item m="1" x="2639"/>
        <item m="1" x="4615"/>
        <item m="1" x="3534"/>
        <item m="1" x="3593"/>
        <item m="1" x="2830"/>
        <item m="1" x="3779"/>
        <item m="1" x="6795"/>
        <item m="1" x="2899"/>
        <item m="1" x="6112"/>
        <item m="1" x="5279"/>
        <item m="1" x="5313"/>
        <item m="1" x="3969"/>
        <item m="1" x="6435"/>
        <item m="1" x="4017"/>
        <item m="1" x="6701"/>
        <item m="1" x="4952"/>
        <item m="1" x="6044"/>
        <item m="1" x="7753"/>
        <item m="1" x="7126"/>
        <item m="1" x="3930"/>
        <item m="1" x="5078"/>
        <item m="1" x="4531"/>
        <item m="1" x="6803"/>
        <item m="1" x="3714"/>
        <item m="1" x="3567"/>
        <item m="1" x="7945"/>
        <item m="1" x="6523"/>
        <item m="1" x="4191"/>
        <item m="1" x="5260"/>
        <item m="1" x="6966"/>
        <item m="1" x="7919"/>
        <item m="1" x="5041"/>
        <item m="1" x="6045"/>
        <item m="1" x="3078"/>
        <item m="1" x="5096"/>
        <item m="1" x="3048"/>
        <item m="1" x="3611"/>
        <item m="1" x="5539"/>
        <item m="1" x="6073"/>
        <item m="1" x="7424"/>
        <item m="1" x="6122"/>
        <item m="1" x="5500"/>
        <item m="1" x="3883"/>
        <item m="1" x="6930"/>
        <item m="1" x="7591"/>
        <item m="1" x="4885"/>
        <item m="1" x="6567"/>
        <item m="1" x="6915"/>
        <item m="1" x="4978"/>
        <item m="1" x="5583"/>
        <item m="1" x="4133"/>
        <item m="1" x="4566"/>
        <item m="1" x="6469"/>
        <item m="1" x="6782"/>
        <item m="1" x="6605"/>
        <item m="1" x="6825"/>
        <item m="1" x="5599"/>
        <item m="1" x="6428"/>
        <item m="1" x="5090"/>
        <item m="1" x="4499"/>
        <item m="1" x="3023"/>
        <item m="1" x="3967"/>
        <item m="1" x="6016"/>
        <item m="1" x="5814"/>
        <item m="1" x="2722"/>
        <item m="1" x="6527"/>
        <item m="1" x="7020"/>
        <item m="1" x="5371"/>
        <item m="1" x="6395"/>
        <item m="1" x="7217"/>
        <item m="1" x="6138"/>
        <item m="1" x="4456"/>
        <item m="1" x="3223"/>
        <item m="1" x="4642"/>
        <item m="1" x="4044"/>
        <item m="1" x="3542"/>
        <item m="1" x="6262"/>
        <item m="1" x="7183"/>
        <item m="1" x="3035"/>
        <item m="1" x="3050"/>
        <item m="1" x="6327"/>
        <item m="1" x="7061"/>
        <item m="1" x="5438"/>
        <item m="1" x="6020"/>
        <item m="1" x="6617"/>
        <item m="1" x="5628"/>
        <item m="1" x="6925"/>
        <item m="1" x="6848"/>
        <item m="1" x="7564"/>
        <item m="1" x="4326"/>
        <item m="1" x="3317"/>
        <item m="1" x="4847"/>
        <item m="1" x="7292"/>
        <item m="1" x="7086"/>
        <item m="1" x="5502"/>
        <item m="1" x="7017"/>
        <item m="1" x="5927"/>
        <item m="1" x="3986"/>
        <item m="1" x="7821"/>
        <item m="1" x="6813"/>
        <item m="1" x="7917"/>
        <item m="1" x="3254"/>
        <item m="1" x="4637"/>
        <item m="1" x="4027"/>
        <item m="1" x="5159"/>
        <item m="1" x="6742"/>
        <item m="1" x="2772"/>
        <item m="1" x="7202"/>
        <item m="1" x="4142"/>
        <item m="1" x="6329"/>
        <item m="1" x="3826"/>
        <item m="1" x="7236"/>
        <item m="1" x="6796"/>
        <item m="1" x="7988"/>
        <item m="1" x="5455"/>
        <item m="1" x="4622"/>
        <item m="1" x="3037"/>
        <item m="1" x="7095"/>
        <item m="1" x="7070"/>
        <item m="1" x="3754"/>
        <item m="1" x="3155"/>
        <item m="1" x="2628"/>
        <item m="1" x="7257"/>
        <item m="1" x="3086"/>
        <item m="1" x="2991"/>
        <item m="1" x="5713"/>
        <item m="1" x="6642"/>
        <item m="1" x="2616"/>
        <item m="1" x="4082"/>
        <item m="1" x="3491"/>
        <item m="1" x="5153"/>
        <item m="1" x="7520"/>
        <item m="1" x="3164"/>
        <item m="1" x="4353"/>
        <item m="1" x="6947"/>
        <item m="1" x="7168"/>
        <item m="1" x="2735"/>
        <item m="1" x="4128"/>
        <item m="1" x="4402"/>
        <item m="1" x="7394"/>
        <item m="1" x="3738"/>
        <item m="1" x="6082"/>
        <item m="1" x="7668"/>
        <item m="1" x="3004"/>
        <item m="1" x="6631"/>
        <item m="1" x="3238"/>
        <item m="1" x="7556"/>
        <item m="1" x="7829"/>
        <item m="1" x="7672"/>
        <item m="1" x="3468"/>
        <item m="1" x="6359"/>
        <item m="1" x="2845"/>
        <item m="1" x="7280"/>
        <item m="1" x="7503"/>
        <item m="1" x="3845"/>
        <item m="1" x="7189"/>
        <item m="1" x="4177"/>
        <item m="1" x="3092"/>
        <item m="1" x="3366"/>
        <item m="1" x="2732"/>
        <item m="1" x="7518"/>
        <item m="1" x="7414"/>
        <item m="1" x="6674"/>
        <item m="1" x="3700"/>
        <item m="1" x="4800"/>
        <item m="1" x="4678"/>
        <item m="1" x="5674"/>
        <item m="1" x="6843"/>
        <item m="1" x="4509"/>
        <item m="1" x="6542"/>
        <item m="1" x="3574"/>
        <item m="1" x="5477"/>
        <item m="1" x="2946"/>
        <item m="1" x="3820"/>
        <item m="1" x="2975"/>
        <item m="1" x="5552"/>
        <item m="1" x="7650"/>
        <item m="1" x="4087"/>
        <item m="1" x="4979"/>
        <item m="1" x="6569"/>
        <item m="1" x="5911"/>
        <item m="1" x="4118"/>
        <item m="1" x="4101"/>
        <item m="1" x="5145"/>
        <item m="1" x="6207"/>
        <item m="1" x="2897"/>
        <item m="1" x="4106"/>
        <item m="1" x="7381"/>
        <item m="1" x="4768"/>
        <item m="1" x="5655"/>
        <item m="1" x="6058"/>
        <item m="1" x="4446"/>
        <item m="1" x="4207"/>
        <item m="1" x="6117"/>
        <item m="1" x="3763"/>
        <item m="1" x="3432"/>
        <item m="1" x="7729"/>
        <item m="1" x="7296"/>
        <item m="1" x="7563"/>
        <item m="1" x="3801"/>
        <item m="1" x="4310"/>
        <item m="1" x="3626"/>
        <item m="1" x="7778"/>
        <item m="1" x="6578"/>
        <item m="1" x="5015"/>
        <item m="1" x="5829"/>
        <item m="1" x="5009"/>
        <item m="1" x="7254"/>
        <item m="1" x="3691"/>
        <item m="1" x="7845"/>
        <item m="1" x="3612"/>
        <item m="1" x="7701"/>
        <item m="1" x="7994"/>
        <item m="1" x="4469"/>
        <item m="1" x="5474"/>
        <item m="1" x="5743"/>
        <item m="1" x="2954"/>
        <item m="1" x="5286"/>
        <item m="1" x="5816"/>
        <item m="1" x="7894"/>
        <item m="1" x="4543"/>
        <item m="1" x="7861"/>
        <item m="1" x="4980"/>
        <item m="1" x="6421"/>
        <item m="1" x="7515"/>
        <item m="1" x="5364"/>
        <item m="1" x="6296"/>
        <item m="1" x="5697"/>
        <item m="1" x="5407"/>
        <item m="1" x="2813"/>
        <item m="1" x="4798"/>
        <item m="1" x="5833"/>
        <item m="1" x="7667"/>
        <item m="1" x="4953"/>
        <item m="1" x="7102"/>
        <item m="1" x="2693"/>
        <item m="1" x="4821"/>
        <item m="1" x="3001"/>
        <item m="1" x="7671"/>
        <item m="1" x="6450"/>
        <item m="1" x="5106"/>
        <item m="1" x="3445"/>
        <item m="1" x="3257"/>
        <item m="1" x="2874"/>
        <item m="1" x="6404"/>
        <item m="1" x="3266"/>
        <item m="1" x="5283"/>
        <item m="1" x="7517"/>
        <item m="1" x="7874"/>
        <item m="1" x="6714"/>
        <item m="1" x="4443"/>
        <item m="1" x="6474"/>
        <item m="1" x="4641"/>
        <item m="1" x="7504"/>
        <item m="1" x="7346"/>
        <item m="1" x="4728"/>
        <item m="1" x="4565"/>
        <item m="1" x="6921"/>
        <item m="1" x="6173"/>
        <item m="1" x="5240"/>
        <item m="1" x="7637"/>
        <item m="1" x="7291"/>
        <item m="1" x="3595"/>
        <item m="1" x="7661"/>
        <item m="1" x="7545"/>
        <item m="1" x="6582"/>
        <item m="1" x="3635"/>
        <item m="1" x="4856"/>
        <item m="1" x="6275"/>
        <item m="1" x="3634"/>
        <item m="1" x="3570"/>
        <item m="1" x="3733"/>
        <item m="1" x="5175"/>
        <item m="1" x="5702"/>
        <item m="1" x="4870"/>
        <item m="1" x="6002"/>
        <item m="1" x="4612"/>
        <item m="1" x="5003"/>
        <item m="1" x="7574"/>
        <item m="1" x="7251"/>
        <item m="1" x="4640"/>
        <item m="1" x="4417"/>
        <item m="1" x="6181"/>
        <item m="1" x="3075"/>
        <item m="1" x="3189"/>
        <item m="1" x="6250"/>
        <item m="1" x="4188"/>
        <item m="1" x="6543"/>
        <item m="1" x="4781"/>
        <item m="1" x="4007"/>
        <item m="1" x="5088"/>
        <item m="1" x="7049"/>
        <item m="1" x="5734"/>
        <item m="1" x="3683"/>
        <item m="1" x="5404"/>
        <item m="1" x="4845"/>
        <item m="1" x="4504"/>
        <item m="1" x="3739"/>
        <item m="1" x="6055"/>
        <item m="1" x="6078"/>
        <item m="1" x="3566"/>
        <item m="1" x="7374"/>
        <item m="1" x="3085"/>
        <item m="1" x="7912"/>
        <item m="1" x="5330"/>
        <item m="1" x="6438"/>
        <item m="1" x="4580"/>
        <item m="1" x="5635"/>
        <item m="1" x="2888"/>
        <item m="1" x="4873"/>
        <item m="1" x="4558"/>
        <item m="1" x="6964"/>
        <item m="1" x="7336"/>
        <item m="1" x="7442"/>
        <item m="1" x="2626"/>
        <item m="1" x="3380"/>
        <item m="1" x="6931"/>
        <item m="1" x="6973"/>
        <item m="1" x="6285"/>
        <item m="1" x="4551"/>
        <item m="1" x="4703"/>
        <item m="1" x="7488"/>
        <item m="1" x="3689"/>
        <item m="1" x="3787"/>
        <item m="1" x="7904"/>
        <item m="1" x="3182"/>
        <item m="1" x="6565"/>
        <item m="1" x="6475"/>
        <item m="1" x="4698"/>
        <item m="1" x="5884"/>
        <item m="1" x="7234"/>
        <item m="1" x="3081"/>
        <item m="1" x="7946"/>
        <item m="1" x="4112"/>
        <item m="1" x="4720"/>
        <item m="1" x="7978"/>
        <item m="1" x="5984"/>
        <item m="1" x="5910"/>
        <item m="1" x="3535"/>
        <item m="1" x="6928"/>
        <item m="1" x="4206"/>
        <item m="1" x="5111"/>
        <item m="1" x="2948"/>
        <item m="1" x="7373"/>
        <item m="1" x="5387"/>
        <item m="1" x="7044"/>
        <item m="1" x="5615"/>
        <item m="1" x="2643"/>
        <item m="1" x="3704"/>
        <item m="1" x="4853"/>
        <item m="1" x="6750"/>
        <item m="1" x="3721"/>
        <item m="1" x="2611"/>
        <item m="1" x="7405"/>
        <item m="1" x="4828"/>
        <item m="1" x="7673"/>
        <item m="1" x="4664"/>
        <item m="1" x="2826"/>
        <item m="1" x="5672"/>
        <item m="1" x="6922"/>
        <item m="1" x="4428"/>
        <item m="1" x="7937"/>
        <item m="1" x="7899"/>
        <item m="1" x="6882"/>
        <item m="1" x="2768"/>
        <item m="1" x="6323"/>
        <item m="1" x="2651"/>
        <item m="1" x="5967"/>
        <item m="1" x="4043"/>
        <item m="1" x="7379"/>
        <item m="1" x="5380"/>
        <item m="1" x="6403"/>
        <item m="1" x="5339"/>
        <item m="1" x="5705"/>
        <item m="1" x="6462"/>
        <item m="1" x="7115"/>
        <item m="1" x="4766"/>
        <item m="1" x="5101"/>
        <item m="1" x="7445"/>
        <item m="1" x="3102"/>
        <item m="1" x="3126"/>
        <item m="1" x="5409"/>
        <item m="1" x="2771"/>
        <item m="1" x="4585"/>
        <item m="1" x="3469"/>
        <item m="1" x="4763"/>
        <item m="1" x="6187"/>
        <item m="1" x="3106"/>
        <item m="1" x="5045"/>
        <item m="1" x="6982"/>
        <item m="1" x="4526"/>
        <item m="1" x="7787"/>
        <item m="1" x="4779"/>
        <item m="1" x="3633"/>
        <item m="1" x="6892"/>
        <item m="1" x="7588"/>
        <item m="1" x="2712"/>
        <item m="1" x="6599"/>
        <item m="1" x="2955"/>
        <item m="1" x="6919"/>
        <item m="1" x="7499"/>
        <item m="1" x="5478"/>
        <item m="1" x="4619"/>
        <item m="1" x="6746"/>
        <item m="1" x="2718"/>
        <item m="1" x="6376"/>
        <item m="1" x="3794"/>
        <item m="1" x="6831"/>
        <item m="1" x="7976"/>
        <item m="1" x="2620"/>
        <item m="1" x="4241"/>
        <item m="1" x="7923"/>
        <item m="1" x="5556"/>
        <item m="1" x="4934"/>
        <item m="1" x="3909"/>
        <item m="1" x="4603"/>
        <item m="1" x="3960"/>
        <item m="1" x="5358"/>
        <item m="1" x="4776"/>
        <item m="1" x="3655"/>
        <item m="1" x="4179"/>
        <item m="1" x="5699"/>
        <item m="1" x="5272"/>
        <item m="1" x="4576"/>
        <item m="1" x="2653"/>
        <item m="1" x="4752"/>
        <item m="1" x="7489"/>
        <item m="1" x="6330"/>
        <item m="1" x="3582"/>
        <item m="1" x="4556"/>
        <item m="1" x="4833"/>
        <item m="1" x="2644"/>
        <item m="1" x="2829"/>
        <item m="1" x="6850"/>
        <item m="1" x="3200"/>
        <item m="1" x="4105"/>
        <item m="1" x="6501"/>
        <item m="1" x="6841"/>
        <item m="1" x="6906"/>
        <item m="1" x="2885"/>
        <item m="1" x="3771"/>
        <item m="1" x="7425"/>
        <item m="1" x="7462"/>
        <item m="1" x="7997"/>
        <item m="1" x="3889"/>
        <item m="1" x="7805"/>
        <item m="1" x="6005"/>
        <item m="1" x="6748"/>
        <item m="1" x="4898"/>
        <item m="1" x="7406"/>
        <item m="1" x="5495"/>
        <item m="1" x="5184"/>
        <item m="1" x="4748"/>
        <item m="1" x="6090"/>
        <item m="1" x="7372"/>
        <item m="1" x="6130"/>
        <item m="1" x="7648"/>
        <item m="1" x="3187"/>
        <item m="1" x="2623"/>
        <item m="1" x="3233"/>
        <item m="1" x="4270"/>
        <item m="1" x="4527"/>
        <item m="1" x="7392"/>
        <item m="1" x="5395"/>
        <item m="1" x="5821"/>
        <item m="1" x="7631"/>
        <item m="1" x="6749"/>
        <item m="1" x="5753"/>
        <item m="1" x="7911"/>
        <item m="1" x="3410"/>
        <item m="1" x="5900"/>
        <item m="1" x="7847"/>
        <item m="1" x="6866"/>
        <item m="1" x="3753"/>
        <item m="1" x="6743"/>
        <item m="1" x="4397"/>
        <item m="1" x="5221"/>
        <item m="1" x="3440"/>
        <item m="1" x="3881"/>
        <item m="1" x="7055"/>
        <item m="1" x="6385"/>
        <item m="1" x="3993"/>
        <item m="1" x="3402"/>
        <item m="1" x="6965"/>
        <item m="1" x="7333"/>
        <item m="1" x="3191"/>
        <item m="1" x="6954"/>
        <item m="1" x="4183"/>
        <item m="1" x="6294"/>
        <item m="1" x="6252"/>
        <item m="1" x="4628"/>
        <item m="1" x="6445"/>
        <item m="1" x="5916"/>
        <item m="1" x="3844"/>
        <item m="1" x="7201"/>
        <item m="1" x="5412"/>
        <item m="1" x="5953"/>
        <item m="1" x="3194"/>
        <item m="1" x="7546"/>
        <item m="1" x="7184"/>
        <item m="1" x="3934"/>
        <item m="1" x="7764"/>
        <item m="1" x="5677"/>
        <item m="1" x="4987"/>
        <item m="1" x="2650"/>
        <item m="1" x="5840"/>
        <item m="1" x="3539"/>
        <item m="1" x="7166"/>
        <item m="1" x="5480"/>
        <item m="1" x="5971"/>
        <item m="1" x="7423"/>
        <item m="1" x="3926"/>
        <item m="1" x="5714"/>
        <item m="1" x="4778"/>
        <item m="1" x="3043"/>
        <item m="1" x="4733"/>
        <item m="1" x="4269"/>
        <item m="1" x="3920"/>
        <item m="1" x="7452"/>
        <item m="1" x="6822"/>
        <item m="1" x="3756"/>
        <item m="1" x="4004"/>
        <item m="1" x="3586"/>
        <item m="1" x="5413"/>
        <item m="1" x="7270"/>
        <item m="1" x="4427"/>
        <item m="1" x="6804"/>
        <item m="1" x="5047"/>
        <item m="1" x="2776"/>
        <item m="1" x="5773"/>
        <item m="1" x="6786"/>
        <item m="1" x="7198"/>
        <item m="1" x="5213"/>
        <item m="1" x="6541"/>
        <item m="1" x="3278"/>
        <item m="1" x="5887"/>
        <item m="1" x="4739"/>
        <item m="1" x="7122"/>
        <item m="1" x="2666"/>
        <item m="1" x="5660"/>
        <item m="1" x="6877"/>
        <item m="1" x="5166"/>
        <item m="1" x="6766"/>
        <item m="1" x="5587"/>
        <item m="1" x="4764"/>
        <item m="1" x="4035"/>
        <item m="1" x="5287"/>
        <item m="1" x="3340"/>
        <item m="1" x="2983"/>
        <item m="1" x="3717"/>
        <item m="1" x="5006"/>
        <item m="1" x="4618"/>
        <item m="1" x="6314"/>
        <item m="1" x="7117"/>
        <item m="1" x="5173"/>
        <item m="1" x="4631"/>
        <item m="1" x="5019"/>
        <item m="1" x="6641"/>
        <item m="1" x="4117"/>
        <item m="1" x="2638"/>
        <item m="1" x="3651"/>
        <item m="1" x="5795"/>
        <item m="1" x="3209"/>
        <item m="1" x="7724"/>
        <item m="1" x="3405"/>
        <item m="1" x="6754"/>
        <item m="1" x="3365"/>
        <item m="1" x="5668"/>
        <item m="1" x="4020"/>
        <item m="1" x="2652"/>
        <item m="1" x="6667"/>
        <item m="1" x="4506"/>
        <item m="1" x="6629"/>
        <item m="1" x="7818"/>
        <item m="1" x="3495"/>
        <item m="1" x="6300"/>
        <item m="1" x="3525"/>
        <item m="1" x="3979"/>
        <item m="1" x="3618"/>
        <item m="1" x="6691"/>
        <item m="1" x="6519"/>
        <item m="1" x="4577"/>
        <item m="1" x="2750"/>
        <item m="1" x="7154"/>
        <item m="1" x="4256"/>
        <item m="1" x="6659"/>
        <item m="1" x="7170"/>
        <item m="1" x="5381"/>
        <item m="1" x="3718"/>
        <item m="1" x="7951"/>
        <item m="1" x="7035"/>
        <item m="1" x="4047"/>
        <item m="1" x="5133"/>
        <item m="1" x="4575"/>
        <item m="1" x="6799"/>
        <item m="1" x="3480"/>
        <item m="1" x="7670"/>
        <item m="1" x="5080"/>
        <item m="1" x="2929"/>
        <item m="1" x="5570"/>
        <item m="1" x="4187"/>
        <item m="1" x="3033"/>
        <item m="1" x="2903"/>
        <item m="1" x="7463"/>
        <item m="1" x="5547"/>
        <item m="1" x="6457"/>
        <item m="1" x="2632"/>
        <item m="1" x="2933"/>
        <item m="1" x="7779"/>
        <item m="1" x="7807"/>
        <item m="1" x="5102"/>
        <item m="1" x="3298"/>
        <item m="1" x="5481"/>
        <item m="1" x="2714"/>
        <item m="1" x="7833"/>
        <item m="1" x="6996"/>
        <item m="1" x="5961"/>
        <item m="1" x="4216"/>
        <item m="1" x="5686"/>
        <item m="1" x="6356"/>
        <item m="1" x="7468"/>
        <item m="1" x="2898"/>
        <item m="1" x="3991"/>
        <item m="1" x="3755"/>
        <item m="1" x="5696"/>
        <item m="1" x="2810"/>
        <item m="1" x="5446"/>
        <item m="1" x="7968"/>
        <item m="1" x="3099"/>
        <item m="1" x="4470"/>
        <item m="1" x="3811"/>
        <item m="1" x="7618"/>
        <item m="1" x="3610"/>
        <item m="1" x="5721"/>
        <item m="1" x="7569"/>
        <item m="1" x="6349"/>
        <item m="1" x="5242"/>
        <item m="1" x="7914"/>
        <item m="1" x="3066"/>
        <item m="1" x="7238"/>
        <item m="1" x="4042"/>
        <item m="1" x="5854"/>
        <item m="1" x="3999"/>
        <item m="1" x="3079"/>
        <item m="1" x="2944"/>
        <item m="1" x="6039"/>
        <item m="1" x="6150"/>
        <item m="1" x="7118"/>
        <item m="1" x="4437"/>
        <item m="1" x="4180"/>
        <item m="1" x="2773"/>
        <item m="1" x="2625"/>
        <item m="1" x="3812"/>
        <item m="1" x="4440"/>
        <item m="1" x="2715"/>
        <item m="1" x="6344"/>
        <item m="1" x="2629"/>
        <item m="1" x="7208"/>
        <item m="1" x="4829"/>
        <item m="1" x="6810"/>
        <item m="1" x="6865"/>
        <item m="1" x="2895"/>
        <item m="1" x="7996"/>
        <item m="1" x="3284"/>
        <item m="1" x="4826"/>
        <item m="1" x="7955"/>
        <item m="1" x="7069"/>
        <item m="1" x="2667"/>
        <item m="1" x="6281"/>
        <item m="1" x="2881"/>
        <item m="1" x="2670"/>
        <item m="1" x="6760"/>
        <item m="1" x="7098"/>
        <item m="1" x="3652"/>
        <item m="1" x="7932"/>
        <item m="1" x="7413"/>
        <item m="1" x="7218"/>
        <item m="1" x="5846"/>
        <item m="1" x="5082"/>
        <item m="1" x="3428"/>
        <item m="1" x="6208"/>
        <item m="1" x="5551"/>
        <item m="1" x="5148"/>
        <item m="1" x="6817"/>
        <item m="1" x="7264"/>
        <item m="1" x="3389"/>
        <item m="1" x="3149"/>
        <item m="1" x="2633"/>
        <item m="1" x="3104"/>
        <item m="1" x="4735"/>
        <item m="1" x="7493"/>
        <item m="1" x="5255"/>
        <item m="1" x="6103"/>
        <item m="1" x="3414"/>
        <item m="1" x="3932"/>
        <item m="1" x="7551"/>
        <item m="1" x="5879"/>
        <item m="1" x="4391"/>
        <item m="1" x="4852"/>
        <item m="1" x="7178"/>
        <item m="1" x="5936"/>
        <item m="1" x="7062"/>
        <item m="1" x="7419"/>
        <item m="1" x="4361"/>
        <item m="1" x="5781"/>
        <item m="1" x="6932"/>
        <item m="1" x="3142"/>
        <item m="1" x="7204"/>
        <item m="1" x="3047"/>
        <item m="1" x="3561"/>
        <item m="1" x="2866"/>
        <item m="1" x="7608"/>
        <item m="1" x="6265"/>
        <item m="1" x="4702"/>
        <item m="1" x="3195"/>
        <item m="1" x="6740"/>
        <item m="1" x="6900"/>
        <item m="1" x="3042"/>
        <item m="1" x="5667"/>
        <item m="1" x="4984"/>
        <item m="1" x="7687"/>
        <item m="1" x="6209"/>
        <item m="1" x="7739"/>
        <item m="1" x="3959"/>
        <item m="1" x="6125"/>
        <item m="1" x="3900"/>
        <item m="1" x="4057"/>
        <item m="1" x="4325"/>
        <item m="1" x="5992"/>
        <item m="1" x="2901"/>
        <item m="1" x="7838"/>
        <item m="1" x="3752"/>
        <item m="1" x="6245"/>
        <item m="1" x="4534"/>
        <item m="1" x="4335"/>
        <item m="1" x="7866"/>
        <item m="1" x="5617"/>
        <item m="1" x="3904"/>
        <item m="1" x="7019"/>
        <item m="1" x="5970"/>
        <item m="1" x="2656"/>
        <item m="1" x="4830"/>
        <item m="1" x="3823"/>
        <item m="1" x="4611"/>
        <item m="1" x="2696"/>
        <item m="1" x="2671"/>
        <item m="1" x="7513"/>
        <item m="1" x="3990"/>
        <item m="1" x="2868"/>
        <item m="1" x="6009"/>
        <item m="1" x="3265"/>
        <item m="1" x="6558"/>
        <item m="1" x="4574"/>
        <item m="1" x="3295"/>
        <item m="1" x="3392"/>
        <item m="1" x="7464"/>
        <item m="1" x="3433"/>
        <item m="1" x="4197"/>
        <item m="1" x="4108"/>
        <item m="1" x="5514"/>
        <item m="1" x="2915"/>
        <item m="1" x="5276"/>
        <item m="1" x="7105"/>
        <item m="1" x="3531"/>
        <item m="1" x="5725"/>
        <item m="1" x="4173"/>
        <item m="1" x="6268"/>
        <item m="1" x="7058"/>
        <item m="1" x="4878"/>
        <item m="1" x="2966"/>
        <item m="1" x="4644"/>
        <item m="1" x="7246"/>
        <item m="1" x="3134"/>
        <item m="1" x="6531"/>
        <item m="1" x="7601"/>
        <item m="1" x="4159"/>
        <item m="1" x="7269"/>
        <item m="1" x="6196"/>
        <item m="1" x="3929"/>
        <item m="1" x="7457"/>
        <item m="1" x="4380"/>
        <item m="1" x="3866"/>
        <item m="1" x="4806"/>
        <item m="1" x="3129"/>
        <item m="1" x="7211"/>
        <item m="1" x="5606"/>
        <item m="1" x="5360"/>
        <item m="1" x="6025"/>
        <item m="1" x="3966"/>
        <item m="1" x="4431"/>
        <item m="1" x="5073"/>
        <item m="1" x="4991"/>
        <item m="1" x="6648"/>
        <item m="1" x="6857"/>
        <item m="1" x="6174"/>
        <item m="1" x="7470"/>
        <item m="1" x="4357"/>
        <item m="1" x="3869"/>
        <item m="1" x="2848"/>
        <item m="1" x="6007"/>
        <item m="1" x="3425"/>
        <item m="1" x="5969"/>
        <item m="1" x="2985"/>
        <item m="1" x="6165"/>
        <item m="1" x="7707"/>
        <item m="1" x="5195"/>
        <item m="1" x="2793"/>
        <item m="1" x="7577"/>
        <item m="1" x="6547"/>
        <item m="1" x="3158"/>
        <item m="1" x="6405"/>
        <item m="1" x="6797"/>
        <item m="1" x="4524"/>
        <item m="1" x="4600"/>
        <item m="1" x="7960"/>
        <item m="1" x="3019"/>
        <item m="1" x="6358"/>
        <item m="1" x="7972"/>
        <item m="1" x="4304"/>
        <item m="1" x="6653"/>
        <item m="1" x="3427"/>
        <item m="1" x="5423"/>
        <item m="1" x="7365"/>
        <item m="1" x="5835"/>
        <item m="1" x="3800"/>
        <item m="1" x="4609"/>
        <item m="1" x="3743"/>
        <item m="1" x="5548"/>
        <item m="1" x="3584"/>
        <item m="1" x="3613"/>
        <item m="1" x="4223"/>
        <item m="1" x="4673"/>
        <item m="1" x="7849"/>
        <item m="1" x="6770"/>
        <item m="1" x="6536"/>
        <item m="1" x="5013"/>
        <item m="1" x="7952"/>
        <item m="1" x="7686"/>
        <item m="1" x="6141"/>
        <item m="1" x="5137"/>
        <item m="1" x="2713"/>
        <item m="1" x="2928"/>
        <item m="1" x="3769"/>
        <item m="1" x="5419"/>
        <item m="1" x="7288"/>
        <item m="1" x="4822"/>
        <item m="1" x="4820"/>
        <item m="1" x="7114"/>
        <item m="1" x="4998"/>
        <item m="1" x="7190"/>
        <item m="1" x="2861"/>
        <item m="1" x="7719"/>
        <item m="1" x="5839"/>
        <item m="1" x="5405"/>
        <item m="1" x="5243"/>
        <item m="1" x="6819"/>
        <item m="1" x="2886"/>
        <item m="1" x="7215"/>
        <item m="1" x="3483"/>
        <item m="1" x="7688"/>
        <item m="1" x="7875"/>
        <item m="1" x="2865"/>
        <item m="1" x="2984"/>
        <item m="1" x="4376"/>
        <item m="1" x="2993"/>
        <item m="1" x="3935"/>
        <item m="1" x="6735"/>
        <item m="1" x="7454"/>
        <item m="1" x="3457"/>
        <item m="1" x="6627"/>
        <item m="1" x="4903"/>
        <item m="1" x="7071"/>
        <item m="1" x="7344"/>
        <item m="1" x="5316"/>
        <item m="1" x="5999"/>
        <item m="1" x="3646"/>
        <item m="1" x="4245"/>
        <item m="1" x="4681"/>
        <item m="1" x="3261"/>
        <item m="1" x="7999"/>
        <item m="1" x="5476"/>
        <item m="1" x="3091"/>
        <item m="1" x="5736"/>
        <item m="1" x="6587"/>
        <item m="1" x="7350"/>
        <item m="1" x="4271"/>
        <item m="1" x="6889"/>
        <item m="1" x="3989"/>
        <item m="1" x="7085"/>
        <item m="1" x="4775"/>
        <item m="1" x="4283"/>
        <item m="1" x="5897"/>
        <item m="1" x="4273"/>
        <item m="1" x="7610"/>
        <item m="1" x="6159"/>
        <item m="1" x="7144"/>
        <item m="1" x="5947"/>
        <item m="1" x="2726"/>
        <item m="1" x="4066"/>
        <item m="1" x="5525"/>
        <item m="1" x="7256"/>
        <item m="1" x="6315"/>
        <item m="1" x="3617"/>
        <item m="1" x="6133"/>
        <item m="1" x="5937"/>
        <item m="1" x="6388"/>
        <item m="1" x="6115"/>
        <item m="1" x="5300"/>
        <item m="1" x="7677"/>
        <item m="1" x="4421"/>
        <item m="1" x="4135"/>
        <item m="1" x="7004"/>
        <item m="1" x="5497"/>
        <item m="1" x="5824"/>
        <item m="1" x="3842"/>
        <item m="1" x="7370"/>
        <item m="1" x="5629"/>
        <item m="1" x="3448"/>
        <item m="1" x="6752"/>
        <item m="1" x="4392"/>
        <item m="1" x="7037"/>
        <item m="1" x="6970"/>
        <item m="1" x="7836"/>
        <item m="1" x="6484"/>
        <item m="1" x="7282"/>
        <item m="1" x="5512"/>
        <item m="1" x="2962"/>
        <item m="1" x="7465"/>
        <item m="1" x="4674"/>
        <item m="1" x="6264"/>
        <item m="1" x="3725"/>
        <item m="1" x="6153"/>
        <item m="1" x="4668"/>
        <item m="1" x="6211"/>
        <item m="1" x="5715"/>
        <item m="1" x="5784"/>
        <item m="1" x="7995"/>
        <item m="1" x="4554"/>
        <item m="1" x="7600"/>
        <item m="1" x="5568"/>
        <item m="1" x="4858"/>
        <item m="1" x="5432"/>
        <item m="1" x="7627"/>
        <item m="1" x="5124"/>
        <item m="1" x="7307"/>
        <item m="1" x="6681"/>
        <item m="1" x="5135"/>
        <item m="1" x="4303"/>
        <item m="1" x="3750"/>
        <item m="1" x="3707"/>
        <item m="1" x="7852"/>
        <item m="1" x="3211"/>
        <item m="1" x="6800"/>
        <item m="1" x="6340"/>
        <item m="1" x="7536"/>
        <item m="1" x="4324"/>
        <item m="1" x="4002"/>
        <item m="1" x="4341"/>
        <item m="1" x="3817"/>
        <item m="1" x="5907"/>
        <item m="1" x="6675"/>
        <item m="1" x="6241"/>
        <item m="1" x="7224"/>
        <item m="1" x="6847"/>
        <item m="1" x="4861"/>
        <item m="1" x="3946"/>
        <item m="1" x="2747"/>
        <item m="1" x="4955"/>
        <item m="1" x="6844"/>
        <item m="1" x="4974"/>
        <item m="1" x="4727"/>
        <item m="1" x="4094"/>
        <item m="1" x="5327"/>
        <item m="1" x="4238"/>
        <item m="1" x="5324"/>
        <item m="1" x="6482"/>
        <item m="1" x="5437"/>
        <item m="1" x="4819"/>
        <item m="1" x="2664"/>
        <item m="1" x="5975"/>
        <item m="1" x="3872"/>
        <item m="1" x="6990"/>
        <item m="1" x="6836"/>
        <item m="1" x="4729"/>
        <item m="1" x="7752"/>
        <item m="1" x="5869"/>
        <item m="1" x="4794"/>
        <item m="1" x="4614"/>
        <item m="1" x="7317"/>
        <item m="1" x="4274"/>
        <item m="1" x="5187"/>
        <item m="1" x="4517"/>
        <item m="1" x="7522"/>
        <item m="1" x="5186"/>
        <item m="1" x="5794"/>
        <item m="1" x="7815"/>
        <item m="1" x="6075"/>
        <item m="1" x="6983"/>
        <item m="1" x="4034"/>
        <item m="1" x="7890"/>
        <item m="1" x="3167"/>
        <item m="1" x="7033"/>
        <item m="1" x="7813"/>
        <item m="1" x="6808"/>
        <item m="1" x="3292"/>
        <item m="1" x="4804"/>
        <item m="1" x="7015"/>
        <item m="1" x="6881"/>
        <item m="1" x="5374"/>
        <item m="1" x="5488"/>
        <item m="1" x="5087"/>
        <item m="1" x="7816"/>
        <item m="1" x="5343"/>
        <item m="1" x="6291"/>
        <item m="1" x="7907"/>
        <item m="1" x="7347"/>
        <item m="1" x="7725"/>
        <item m="1" x="5280"/>
        <item m="1" x="7892"/>
        <item m="1" x="6878"/>
        <item m="1" x="6243"/>
        <item m="1" x="5319"/>
        <item m="1" x="5023"/>
        <item m="1" x="3870"/>
        <item m="1" x="7337"/>
        <item m="1" x="6535"/>
        <item m="1" x="5118"/>
        <item m="1" x="3408"/>
        <item m="1" x="5637"/>
        <item m="1" x="5294"/>
        <item m="1" x="5170"/>
        <item m="1" x="6399"/>
        <item m="1" x="7338"/>
        <item m="1" x="5893"/>
        <item m="1" x="5528"/>
        <item m="1" x="7842"/>
        <item m="1" x="3103"/>
        <item m="1" x="4052"/>
        <item m="1" x="2834"/>
        <item m="1" x="7839"/>
        <item m="1" x="3724"/>
        <item m="1" x="5571"/>
        <item m="1" x="5762"/>
        <item m="1" x="3659"/>
        <item m="1" x="6297"/>
        <item m="1" x="3088"/>
        <item m="1" x="5972"/>
        <item m="1" x="4769"/>
        <item m="1" x="6070"/>
        <item m="1" x="4961"/>
        <item m="1" x="6417"/>
        <item m="1" x="4418"/>
        <item m="1" x="6955"/>
        <item m="1" x="3183"/>
        <item m="1" x="5059"/>
        <item m="1" x="3660"/>
        <item m="1" x="3287"/>
        <item m="1" x="6352"/>
        <item m="1" x="3346"/>
        <item m="1" x="3137"/>
        <item m="1" x="7167"/>
        <item m="1" x="6024"/>
        <item m="1" x="3061"/>
        <item m="1" x="4468"/>
        <item m="1" x="4937"/>
        <item m="1" x="7221"/>
        <item m="1" x="5822"/>
        <item m="1" x="6905"/>
        <item m="1" x="5639"/>
        <item m="1" x="7153"/>
        <item m="1" x="6160"/>
        <item m="1" x="6079"/>
        <item m="1" x="7243"/>
        <item m="1" x="2764"/>
        <item m="1" x="7903"/>
        <item m="1" x="4340"/>
        <item m="1" x="4259"/>
        <item m="1" x="2752"/>
        <item m="1" x="4309"/>
        <item m="1" x="2769"/>
        <item m="1" x="5018"/>
        <item m="1" x="4970"/>
        <item m="1" x="5591"/>
        <item m="1" x="2858"/>
        <item m="1" x="5688"/>
        <item m="1" x="4103"/>
        <item m="1" x="7150"/>
        <item m="1" x="3125"/>
        <item m="1" x="7188"/>
        <item m="1" x="7737"/>
        <item m="1" x="2754"/>
        <item m="1" x="4306"/>
        <item m="1" x="4654"/>
        <item m="1" x="2683"/>
        <item m="1" x="4222"/>
        <item m="1" x="5035"/>
        <item m="1" x="5549"/>
        <item m="1" x="3077"/>
        <item m="1" x="6381"/>
        <item m="1" x="7129"/>
        <item m="1" x="6064"/>
        <item m="1" x="4607"/>
        <item m="1" x="5838"/>
        <item m="1" x="3330"/>
        <item m="1" x="3578"/>
        <item m="1" x="4802"/>
        <item m="1" x="7642"/>
        <item m="1" x="7472"/>
        <item m="1" x="3995"/>
        <item m="1" x="3513"/>
        <item m="1" x="5269"/>
        <item m="1" x="2724"/>
        <item m="1" x="5868"/>
        <item m="1" x="4540"/>
        <item m="1" x="4707"/>
        <item m="1" x="6043"/>
        <item m="1" x="6807"/>
        <item m="1" x="7521"/>
        <item m="1" x="6087"/>
        <item m="1" x="5005"/>
        <item m="1" x="6038"/>
        <item m="1" x="7000"/>
        <item m="1" x="6551"/>
        <item m="1" x="3606"/>
        <item m="1" x="7580"/>
        <item m="1" x="4661"/>
        <item m="1" x="7235"/>
        <item m="1" x="3489"/>
        <item m="1" x="5973"/>
        <item m="1" x="4086"/>
        <item m="1" x="2909"/>
        <item m="1" x="6962"/>
        <item m="1" x="7970"/>
        <item m="1" x="4500"/>
        <item m="1" x="4465"/>
        <item m="1" x="5312"/>
        <item m="1" x="2720"/>
        <item m="1" x="7748"/>
        <item m="1" x="3347"/>
        <item m="1" x="4459"/>
        <item m="1" x="7247"/>
        <item m="1" x="3073"/>
        <item m="1" x="5588"/>
        <item m="1" x="4385"/>
        <item m="1" x="6637"/>
        <item m="1" x="7832"/>
        <item m="1" x="6247"/>
        <item m="1" x="6368"/>
        <item m="1" x="5596"/>
        <item m="1" x="2756"/>
        <item m="1" x="3089"/>
        <item m="1" x="4837"/>
        <item m="1" x="4378"/>
        <item m="1" x="7708"/>
        <item m="1" x="6570"/>
        <item m="1" x="3784"/>
        <item m="1" x="4039"/>
        <item m="1" x="5144"/>
        <item m="1" x="4300"/>
        <item m="1" x="3950"/>
        <item m="1" x="5693"/>
        <item m="1" x="4157"/>
        <item m="1" x="5658"/>
        <item m="1" x="6574"/>
        <item m="1" x="6010"/>
        <item m="1" x="4620"/>
        <item m="1" x="3454"/>
        <item m="1" x="5913"/>
        <item m="1" x="6422"/>
        <item m="1" x="5048"/>
        <item m="1" x="7443"/>
        <item m="1" x="4450"/>
        <item m="1" x="6571"/>
        <item m="1" x="4761"/>
        <item m="1" x="7136"/>
        <item m="1" x="4759"/>
        <item m="1" x="2794"/>
        <item m="1" x="6470"/>
        <item m="1" x="4251"/>
        <item m="1" x="6639"/>
        <item m="1" x="7409"/>
        <item m="1" x="6739"/>
        <item m="1" x="6188"/>
        <item m="1" x="6277"/>
        <item m="1" x="3473"/>
        <item m="1" x="4750"/>
        <item m="1" x="6719"/>
        <item m="1" x="5783"/>
        <item m="1" x="7755"/>
        <item m="1" x="7594"/>
        <item m="1" x="5254"/>
        <item m="1" x="4838"/>
        <item m="1" x="4813"/>
        <item m="1" x="4461"/>
        <item m="1" x="7710"/>
        <item m="1" x="7530"/>
        <item m="1" x="4109"/>
        <item m="1" x="7324"/>
        <item m="1" x="3215"/>
        <item m="1" x="4994"/>
        <item m="1" x="6716"/>
        <item m="1" x="3775"/>
        <item m="1" x="5700"/>
        <item m="1" x="5654"/>
        <item m="1" x="7635"/>
        <item m="1" x="6598"/>
        <item m="1" x="5856"/>
        <item m="1" x="2782"/>
        <item m="1" x="6189"/>
        <item m="1" x="6068"/>
        <item m="1" x="6169"/>
        <item m="1" x="3250"/>
        <item m="1" x="7921"/>
        <item m="1" x="5780"/>
        <item m="1" x="3499"/>
        <item m="1" x="3423"/>
        <item m="1" x="5918"/>
        <item m="1" x="7418"/>
        <item m="1" x="5938"/>
        <item m="1" x="4807"/>
        <item m="1" x="2646"/>
        <item m="1" x="5114"/>
        <item m="1" x="7908"/>
        <item m="1" x="7980"/>
        <item m="1" x="7936"/>
        <item m="1" x="4599"/>
        <item m="1" x="7186"/>
        <item m="1" x="4701"/>
        <item m="1" x="4521"/>
        <item m="1" x="3972"/>
        <item m="1" x="7561"/>
        <item m="1" x="4557"/>
        <item m="1" x="7127"/>
        <item m="1" x="4552"/>
        <item m="1" x="2660"/>
        <item m="1" x="3096"/>
        <item m="1" x="5308"/>
        <item m="1" x="3608"/>
        <item m="1" x="6124"/>
        <item m="1" x="4765"/>
        <item m="1" x="6072"/>
        <item m="1" x="6744"/>
        <item m="1" x="6367"/>
        <item m="1" x="5483"/>
        <item m="1" x="7299"/>
        <item m="1" x="4572"/>
        <item m="1" x="6203"/>
        <item m="1" x="3675"/>
        <item m="1" x="4011"/>
        <item m="1" x="5373"/>
        <item m="1" x="4208"/>
        <item m="1" x="6360"/>
        <item m="1" x="5894"/>
        <item m="1" x="3290"/>
        <item m="1" x="7611"/>
        <item m="1" x="5390"/>
        <item m="1" x="3456"/>
        <item m="1" x="4643"/>
        <item m="1" x="5727"/>
        <item m="1" x="5460"/>
        <item m="1" x="5323"/>
        <item m="1" x="5130"/>
        <item m="1" x="6728"/>
        <item m="1" x="5203"/>
        <item m="1" x="2986"/>
        <item m="1" x="3760"/>
        <item m="1" x="3944"/>
        <item m="1" x="4462"/>
        <item m="1" x="3076"/>
        <item m="1" x="7966"/>
        <item m="1" x="6575"/>
        <item m="1" x="6263"/>
        <item m="1" x="5172"/>
        <item m="1" x="6829"/>
        <item m="1" x="7947"/>
        <item m="1" x="5237"/>
        <item m="1" x="3197"/>
        <item m="1" x="4865"/>
        <item m="1" x="2892"/>
        <item m="1" x="6148"/>
        <item m="1" x="5417"/>
        <item m="1" x="3836"/>
        <item m="1" x="6496"/>
        <item m="1" x="6686"/>
        <item m="1" x="7698"/>
        <item m="1" x="2914"/>
        <item m="1" x="6680"/>
        <item m="1" x="2617"/>
        <item m="1" x="7898"/>
        <item m="1" x="4252"/>
        <item m="1" x="5162"/>
        <item m="1" x="5020"/>
        <item m="1" x="7410"/>
        <item m="1" x="6221"/>
        <item m="1" x="6548"/>
        <item m="1" x="5589"/>
        <item m="1" x="7187"/>
        <item m="1" x="6687"/>
        <item m="1" x="5941"/>
        <item m="1" x="5403"/>
        <item m="1" x="7703"/>
        <item m="1" x="4657"/>
        <item m="1" x="3349"/>
        <item m="1" x="2837"/>
        <item m="1" x="3868"/>
        <item m="1" x="5233"/>
        <item m="1" x="6231"/>
        <item m="1" x="5401"/>
        <item m="1" x="4137"/>
        <item m="1" x="4690"/>
        <item m="1" x="2989"/>
        <item m="1" x="6724"/>
        <item m="1" x="2836"/>
        <item m="1" x="4151"/>
        <item m="1" x="6732"/>
        <item m="1" x="5116"/>
        <item m="1" x="5592"/>
        <item m="1" x="6018"/>
        <item m="1" x="4422"/>
        <item m="1" x="4060"/>
        <item m="1" x="7776"/>
        <item m="1" x="3464"/>
        <item m="1" x="4869"/>
        <item m="1" x="3282"/>
        <item m="1" x="3987"/>
        <item m="1" x="2835"/>
        <item m="1" x="4436"/>
        <item m="1" x="4149"/>
        <item m="1" x="2697"/>
        <item m="1" x="3437"/>
        <item m="1" x="4818"/>
        <item m="1" x="7731"/>
        <item m="1" x="5297"/>
        <item m="1" x="5853"/>
        <item m="1" x="5379"/>
        <item m="1" x="7809"/>
        <item m="1" x="7104"/>
        <item m="1" x="4393"/>
        <item m="1" x="3509"/>
        <item m="1" x="5940"/>
        <item m="1" x="5216"/>
        <item m="1" x="7793"/>
        <item m="1" x="5666"/>
        <item m="1" x="3744"/>
        <item m="1" x="4680"/>
        <item m="1" x="3283"/>
        <item m="1" x="6741"/>
        <item m="1" x="6408"/>
        <item m="1" x="3490"/>
        <item m="1" x="2657"/>
        <item m="1" x="4288"/>
        <item m="1" x="4339"/>
        <item m="1" x="7363"/>
        <item m="1" x="2755"/>
        <item m="1" x="7827"/>
        <item m="1" x="7800"/>
        <item m="1" x="3497"/>
        <item m="1" x="3146"/>
        <item m="1" x="3641"/>
        <item m="1" x="4935"/>
        <item m="1" x="5436"/>
        <item m="1" x="3482"/>
        <item m="1" x="6101"/>
        <item m="1" x="6677"/>
        <item m="1" x="3540"/>
        <item m="1" x="5796"/>
        <item m="1" x="4301"/>
        <item m="1" x="2694"/>
        <item m="1" x="7792"/>
        <item m="1" x="2791"/>
        <item m="1" x="7289"/>
        <item m="1" x="5487"/>
        <item m="1" x="3426"/>
        <item m="1" x="4388"/>
        <item m="1" x="7973"/>
        <item m="1" x="2654"/>
        <item m="1" x="5440"/>
        <item m="1" x="5295"/>
        <item m="1" x="5755"/>
        <item m="1" x="3650"/>
        <item m="1" x="5214"/>
        <item m="1" x="4348"/>
        <item m="1" x="5627"/>
        <item m="1" x="3838"/>
        <item m="1" x="4479"/>
        <item m="1" x="3498"/>
        <item m="1" x="7843"/>
        <item m="1" x="2988"/>
        <item m="1" x="3225"/>
        <item m="1" x="3144"/>
        <item m="1" x="5867"/>
        <item m="1" x="5341"/>
        <item m="1" x="7316"/>
        <item m="1" x="3435"/>
        <item m="1" x="2937"/>
        <item m="1" x="6862"/>
        <item m="1" x="7361"/>
        <item m="1" x="2781"/>
        <item m="1" x="4416"/>
        <item m="1" x="3778"/>
        <item m="1" x="2662"/>
        <item m="1" x="5329"/>
        <item m="1" x="3404"/>
        <item m="1" x="4371"/>
        <item m="1" x="5151"/>
        <item m="1" x="4192"/>
        <item m="1" x="6588"/>
        <item m="1" x="5367"/>
        <item m="1" x="5986"/>
        <item m="1" x="6029"/>
        <item m="1" x="7850"/>
        <item m="1" x="4400"/>
        <item m="1" x="7101"/>
        <item m="1" x="5406"/>
        <item m="1" x="7110"/>
        <item m="1" x="3615"/>
        <item m="1" x="4447"/>
        <item m="1" x="6790"/>
        <item m="1" x="6431"/>
        <item m="1" x="5719"/>
        <item m="1" x="6792"/>
        <item m="1" x="5566"/>
        <item m="1" x="7720"/>
        <item m="1" x="3153"/>
        <item m="1" x="3785"/>
        <item m="1" x="4844"/>
        <item m="1" x="4163"/>
        <item m="1" x="3505"/>
        <item m="1" x="5138"/>
        <item m="1" x="5066"/>
        <item m="1" x="6953"/>
        <item m="1" x="3112"/>
        <item m="1" x="4317"/>
        <item m="1" x="6942"/>
        <item m="1" x="4366"/>
        <item m="1" x="7750"/>
        <item m="1" x="5758"/>
        <item m="1" x="7287"/>
        <item m="1" x="7450"/>
        <item m="1" x="7626"/>
        <item m="1" x="4287"/>
        <item m="1" x="5185"/>
        <item m="1" x="3813"/>
        <item m="1" x="4290"/>
        <item m="1" x="5634"/>
        <item m="1" x="3276"/>
        <item m="1" x="7233"/>
        <item m="1" x="4323"/>
        <item m="1" x="4529"/>
        <item m="1" x="6341"/>
        <item m="1" x="7868"/>
        <item m="1" x="3876"/>
        <item m="1" x="3545"/>
        <item m="1" x="5584"/>
        <item m="1" x="4292"/>
        <item m="1" x="6666"/>
        <item m="1" x="5052"/>
        <item m="1" x="7249"/>
        <item m="1" x="6013"/>
        <item m="1" x="7011"/>
        <item m="1" x="3101"/>
        <item m="1" x="5769"/>
        <item m="1" x="5142"/>
        <item m="1" x="6863"/>
        <item m="1" x="7991"/>
        <item m="1" x="4753"/>
        <item m="1" x="6054"/>
        <item m="1" x="7605"/>
        <item m="1" x="2789"/>
        <item m="1" x="4014"/>
        <item m="1" x="5127"/>
        <item m="1" x="2619"/>
        <item m="1" x="7213"/>
        <item m="1" x="3479"/>
        <item m="1" x="5558"/>
        <item m="1" x="3326"/>
        <item m="1" x="3386"/>
        <item m="1" x="4362"/>
        <item m="1" x="3630"/>
        <item m="1" x="3302"/>
        <item m="1" x="7160"/>
        <item m="1" x="4942"/>
        <item m="1" x="4025"/>
        <item m="1" x="3067"/>
        <item m="1" x="3093"/>
        <item m="1" x="2941"/>
        <item m="1" x="5645"/>
        <item m="1" x="6956"/>
        <item m="1" x="7830"/>
        <item m="1" x="5089"/>
        <item m="1" x="6798"/>
        <item m="1" x="5747"/>
        <item m="1" x="7987"/>
        <item m="1" x="5518"/>
        <item m="1" x="5577"/>
        <item m="1" x="7681"/>
        <item m="1" x="5542"/>
        <item m="1" x="4652"/>
        <item m="1" x="4890"/>
        <item m="1" x="4708"/>
        <item m="1" x="3931"/>
        <item m="1" x="6502"/>
        <item m="1" x="7278"/>
        <item m="1" x="6734"/>
        <item m="1" x="4834"/>
        <item m="1" x="3603"/>
        <item m="1" x="2637"/>
        <item m="1" x="7603"/>
        <item m="1" x="4945"/>
        <item m="1" x="7959"/>
        <item m="1" x="4160"/>
        <item m="1" x="5140"/>
        <item m="1" x="4148"/>
        <item m="1" x="6534"/>
        <item m="1" x="3913"/>
        <item m="1" x="3915"/>
        <item m="1" x="4938"/>
        <item m="1" x="3638"/>
        <item m="1" x="5473"/>
        <item m="1" x="3730"/>
        <item m="1" x="5553"/>
        <item m="1" x="2849"/>
        <item m="1" x="4023"/>
        <item m="1" x="7074"/>
        <item m="1" x="6720"/>
        <item m="1" x="3619"/>
        <item m="1" x="3828"/>
        <item m="1" x="5063"/>
        <item m="1" x="4579"/>
        <item m="1" x="4040"/>
        <item m="1" x="5326"/>
        <item m="1" x="4322"/>
        <item m="1" x="7048"/>
        <item m="1" x="4883"/>
        <item m="1" x="6984"/>
        <item m="1" x="3175"/>
        <item m="1" x="5866"/>
        <item m="1" x="6615"/>
        <item m="1" x="7192"/>
        <item m="1" x="5761"/>
        <item m="1" x="7141"/>
        <item m="1" x="4139"/>
        <item m="1" x="6256"/>
        <item m="1" x="3533"/>
        <item m="1" x="6111"/>
        <item m="1" x="4308"/>
        <item m="1" x="6937"/>
        <item m="1" x="3322"/>
        <item m="1" x="3884"/>
        <item m="1" x="6872"/>
        <item m="1" x="5234"/>
        <item m="1" x="6678"/>
        <item m="1" x="7727"/>
        <item m="1" x="5451"/>
        <item m="1" x="5499"/>
        <item m="1" x="4666"/>
        <item m="1" x="5132"/>
        <item m="1" x="3136"/>
        <item m="1" x="7007"/>
        <item m="1" x="6301"/>
        <item m="1" x="3701"/>
        <item m="1" x="6011"/>
        <item m="1" x="7396"/>
        <item m="1" x="5651"/>
        <item m="1" x="7858"/>
        <item m="1" x="3648"/>
        <item m="1" x="4247"/>
        <item m="1" x="2820"/>
        <item m="1" x="6056"/>
        <item m="1" x="4001"/>
        <item m="1" x="2730"/>
        <item m="1" x="4904"/>
        <item m="1" x="4053"/>
        <item m="1" x="5040"/>
        <item m="1" x="4472"/>
        <item m="1" x="6828"/>
        <item m="1" x="6572"/>
        <item m="1" x="7484"/>
        <item m="1" x="6636"/>
        <item m="1" x="6488"/>
        <item m="1" x="5684"/>
        <item m="1" x="4950"/>
        <item m="1" x="4463"/>
        <item m="1" x="3406"/>
        <item m="1" x="6540"/>
        <item m="1" x="6775"/>
        <item m="1" x="4959"/>
        <item m="1" x="6222"/>
        <item m="1" x="7689"/>
        <item m="1" x="7558"/>
        <item m="1" x="7692"/>
        <item m="1" x="2785"/>
        <item m="1" x="6611"/>
        <item m="1" x="3797"/>
        <item m="1" x="2942"/>
        <item m="1" x="3857"/>
        <item m="1" x="5952"/>
        <item m="1" x="5537"/>
        <item m="1" x="2890"/>
        <item m="1" x="7848"/>
        <item m="1" x="4796"/>
        <item m="1" x="6197"/>
        <item m="1" x="5595"/>
        <item m="1" x="6146"/>
        <item m="1" x="5873"/>
        <item m="1" x="7967"/>
        <item m="1" x="3653"/>
        <item m="1" x="4630"/>
        <item m="1" x="7180"/>
        <item m="1" x="4700"/>
        <item m="1" x="7933"/>
        <item m="1" x="5659"/>
        <item m="1" x="5430"/>
        <item m="1" x="6299"/>
        <item m="1" x="6198"/>
        <item m="1" x="6481"/>
        <item m="1" x="3616"/>
        <item m="1" x="2860"/>
        <item m="1" x="3289"/>
        <item m="1" x="3762"/>
        <item m="1" x="3621"/>
        <item m="1" x="7857"/>
        <item m="1" x="4667"/>
        <item m="1" x="6530"/>
        <item m="1" x="7863"/>
        <item m="1" x="7879"/>
        <item m="1" x="3632"/>
        <item m="1" x="5275"/>
        <item m="1" x="7567"/>
        <item m="1" x="7550"/>
        <item m="1" x="7557"/>
        <item m="1" x="6613"/>
        <item m="1" x="3690"/>
        <item m="1" x="5375"/>
        <item m="1" x="5538"/>
        <item m="1" x="2828"/>
        <item m="1" x="3789"/>
        <item m="1" x="4237"/>
        <item m="1" x="3594"/>
        <item m="1" x="4204"/>
        <item m="1" x="7308"/>
        <item m="1" x="4721"/>
        <item m="1" x="6097"/>
        <item m="1" x="6152"/>
        <item m="1" x="4235"/>
        <item m="1" x="7398"/>
        <item m="1" x="7757"/>
        <item m="1" x="4141"/>
        <item m="1" x="4762"/>
        <item m="1" x="6046"/>
        <item m="1" x="6106"/>
        <item m="1" x="3370"/>
        <item m="1" x="3398"/>
        <item m="1" x="4746"/>
        <item m="1" x="3338"/>
        <item m="1" x="5956"/>
        <item m="1" x="6076"/>
        <item m="1" x="3176"/>
        <item m="1" x="6785"/>
        <item m="1" x="2700"/>
        <item m="1" x="4344"/>
        <item m="1" x="4370"/>
        <item m="1" x="5201"/>
        <item m="1" x="6908"/>
        <item m="1" x="5803"/>
        <item m="1" x="6948"/>
        <item m="1" x="3722"/>
        <item m="1" x="7397"/>
        <item m="1" x="7047"/>
        <item m="1" x="4646"/>
        <item m="1" x="3390"/>
        <item m="1" x="6858"/>
        <item m="1" x="7548"/>
        <item m="1" x="5434"/>
        <item m="1" x="6876"/>
        <item m="1" x="7560"/>
        <item m="1" x="5891"/>
        <item m="1" x="3886"/>
        <item m="1" x="5536"/>
        <item m="1" x="6643"/>
        <item m="1" x="7949"/>
        <item m="1" x="2970"/>
        <item m="1" x="5176"/>
        <item m="1" x="7604"/>
        <item m="1" x="5876"/>
        <item m="1" x="5466"/>
        <item m="1" x="7941"/>
        <item m="1" x="5820"/>
        <item m="1" x="6722"/>
        <item m="1" x="3069"/>
        <item m="1" x="4694"/>
        <item m="1" x="3271"/>
        <item m="1" x="5498"/>
        <item m="1" x="4497"/>
        <item m="1" x="5531"/>
        <item m="1" x="4282"/>
        <item m="1" x="3217"/>
        <item m="1" x="7644"/>
        <item m="1" x="5391"/>
        <item m="1" x="6756"/>
        <item m="1" x="7301"/>
        <item m="1" x="3227"/>
        <item m="1" x="4403"/>
        <item m="1" x="3585"/>
        <item m="1" x="4563"/>
        <item m="1" x="6811"/>
        <item m="1" x="6943"/>
        <item m="1" x="7027"/>
        <item m="1" x="4383"/>
        <item m="1" x="6698"/>
        <item m="1" x="7638"/>
        <item m="1" x="4864"/>
        <item m="1" x="6909"/>
        <item m="1" x="3245"/>
        <item m="1" x="7378"/>
        <item m="1" x="4793"/>
        <item m="1" x="5530"/>
        <item m="1" x="6886"/>
        <item m="1" x="3062"/>
        <item m="1" x="4311"/>
        <item m="1" x="6809"/>
        <item m="1" x="7824"/>
        <item m="1" x="4473"/>
        <item m="1" x="3224"/>
        <item m="1" x="4788"/>
        <item m="1" x="3034"/>
        <item m="1" x="4530"/>
        <item m="1" x="6059"/>
        <item m="1" x="2882"/>
        <item m="1" x="5963"/>
        <item m="1" x="6952"/>
        <item m="1" x="4810"/>
        <item m="1" x="4263"/>
        <item m="1" x="7066"/>
        <item m="1" x="5681"/>
        <item m="1" x="6787"/>
        <item m="1" x="3100"/>
        <item m="1" x="4171"/>
        <item m="1" x="5874"/>
        <item m="1" x="2787"/>
        <item m="1" x="3064"/>
        <item m="1" x="4266"/>
        <item m="1" x="2999"/>
        <item m="1" x="4812"/>
        <item m="1" x="6589"/>
        <item m="1" x="5273"/>
        <item m="1" x="3624"/>
        <item m="1" x="7878"/>
        <item m="1" x="6194"/>
        <item m="1" x="6584"/>
        <item m="1" x="4170"/>
        <item m="1" x="5220"/>
        <item m="1" x="4231"/>
        <item m="1" x="3306"/>
        <item m="1" x="4243"/>
        <item m="1" x="3157"/>
        <item m="1" x="5420"/>
        <item m="1" x="3678"/>
        <item m="1" x="7516"/>
        <item m="1" x="5119"/>
        <item m="1" x="7765"/>
        <item m="1" x="3110"/>
        <item m="1" x="7896"/>
        <item m="1" x="4714"/>
        <item m="1" x="4857"/>
        <item m="1" x="3453"/>
        <item m="1" x="6555"/>
        <item m="1" x="7630"/>
        <item m="1" x="6769"/>
        <item m="1" x="7835"/>
        <item m="1" x="6506"/>
        <item m="1" x="4156"/>
        <item m="1" x="7053"/>
        <item m="1" x="2725"/>
        <item m="1" x="7079"/>
        <item m="1" x="5415"/>
        <item m="1" x="6717"/>
        <item m="1" x="6483"/>
        <item m="1" x="7528"/>
        <item m="1" x="3765"/>
        <item m="1" x="6364"/>
        <item m="1" x="3007"/>
        <item m="1" x="5862"/>
        <item m="1" x="2631"/>
        <item m="1" x="6852"/>
        <item m="1" x="7063"/>
        <item m="1" x="3312"/>
        <item m="1" x="4771"/>
        <item m="1" x="6670"/>
        <item m="1" x="5763"/>
        <item m="1" x="4525"/>
        <item m="1" x="2806"/>
        <item m="1" x="7736"/>
        <item m="1" x="6971"/>
        <item m="1" x="3919"/>
        <item m="1" x="3757"/>
        <item m="1" x="7002"/>
        <item m="1" x="6521"/>
        <item m="1" x="5889"/>
        <item m="1" x="7293"/>
        <item m="1" x="7255"/>
        <item m="1" x="3016"/>
        <item m="1" x="6764"/>
        <item m="1" x="6700"/>
        <item m="1" x="2786"/>
        <item m="1" x="4966"/>
        <item m="1" x="3140"/>
        <item m="1" x="5834"/>
        <item m="1" x="6726"/>
        <item m="1" x="3640"/>
        <item m="1" x="5278"/>
        <item m="1" x="6229"/>
        <item m="1" x="4988"/>
        <item m="1" x="5994"/>
        <item m="1" x="7434"/>
        <item m="1" x="3897"/>
        <item m="1" x="6706"/>
        <item m="1" x="5804"/>
        <item m="1" x="3466"/>
        <item m="1" x="5357"/>
        <item m="1" x="3592"/>
        <item m="1" x="6874"/>
        <item m="1" x="2879"/>
        <item m="1" x="4689"/>
        <item m="1" x="3267"/>
        <item m="1" x="2949"/>
        <item m="1" x="5942"/>
        <item m="1" x="3620"/>
        <item m="1" x="4882"/>
        <item m="1" x="3240"/>
        <item m="1" x="6389"/>
        <item m="1" x="4275"/>
        <item m="1" x="3174"/>
        <item m="1" x="6114"/>
        <item m="1" x="4816"/>
        <item m="1" x="5929"/>
        <item m="1" x="7825"/>
        <item m="1" x="3352"/>
        <item m="1" x="2992"/>
        <item m="1" x="3310"/>
        <item m="1" x="3875"/>
        <item m="1" x="5858"/>
        <item m="1" x="6695"/>
        <item m="1" x="2994"/>
        <item m="1" x="4026"/>
        <item m="1" x="4719"/>
        <item m="1" x="3005"/>
        <item m="1" x="5091"/>
        <item m="1" x="6924"/>
        <item m="1" x="5586"/>
        <item m="1" x="3809"/>
        <item m="1" x="3846"/>
        <item m="1" x="2981"/>
        <item m="1" x="3699"/>
        <item m="1" x="5131"/>
        <item m="1" x="3770"/>
        <item m="1" x="4104"/>
        <item m="1" x="5199"/>
        <item m="1" x="3882"/>
        <item m="1" x="4967"/>
        <item m="1" x="5239"/>
        <item m="1" x="6861"/>
        <item m="1" x="3956"/>
        <item m="1" x="2819"/>
        <item m="1" x="5871"/>
        <item m="1" x="5565"/>
        <item m="1" x="3385"/>
        <item m="1" x="3767"/>
        <item m="1" x="4542"/>
        <item m="1" x="7629"/>
        <item m="1" x="7658"/>
        <item m="1" x="7495"/>
        <item m="1" x="6339"/>
        <item m="1" x="6441"/>
        <item m="1" x="6401"/>
        <item m="1" x="5620"/>
        <item m="1" x="7267"/>
        <item m="1" x="4755"/>
        <item m="1" x="7981"/>
        <item m="1" x="5411"/>
        <item m="1" x="4449"/>
        <item m="1" x="7663"/>
        <item m="1" x="5178"/>
        <item m="1" x="6621"/>
        <item m="1" x="2706"/>
        <item m="1" x="7490"/>
        <item m="1" x="5509"/>
        <item m="1" x="4682"/>
        <item m="1" x="6384"/>
        <item m="1" x="3115"/>
        <item m="1" x="7740"/>
        <item m="1" x="6084"/>
        <item m="1" x="7056"/>
        <item m="1" x="5520"/>
        <item m="1" x="3097"/>
        <item m="1" x="7931"/>
        <item m="1" x="7539"/>
        <item m="1" x="5394"/>
        <item m="1" x="6960"/>
        <item m="1" x="3865"/>
        <item m="1" x="5377"/>
        <item m="1" x="3657"/>
        <item m="1" x="3940"/>
        <item m="1" x="7162"/>
        <item m="1" x="3450"/>
        <item m="1" x="5883"/>
        <item m="1" x="6622"/>
        <item m="1" x="7910"/>
        <item m="1" x="2751"/>
        <item m="1" x="4467"/>
        <item m="1" x="3835"/>
        <item m="1" x="2663"/>
        <item m="1" x="6471"/>
        <item m="1" x="3424"/>
        <item m="1" x="3021"/>
        <item m="1" x="6163"/>
        <item m="1" x="6958"/>
        <item m="1" x="7743"/>
        <item m="1" x="6302"/>
        <item m="1" x="5224"/>
        <item m="1" x="7505"/>
        <item m="1" x="4115"/>
        <item m="1" x="7366"/>
        <item m="1" x="7559"/>
        <item m="1" x="6132"/>
        <item m="1" x="7768"/>
        <item m="1" x="6244"/>
        <item m="1" x="7323"/>
        <item m="1" x="7401"/>
        <item m="1" x="2951"/>
        <item m="1" x="4415"/>
        <item m="1" x="5511"/>
        <item m="1" x="6745"/>
        <item m="1" x="3661"/>
        <item m="1" x="6415"/>
        <item m="1" x="6218"/>
        <item m="1" x="5912"/>
        <item m="1" x="4975"/>
        <item m="1" x="5827"/>
        <item m="1" x="6139"/>
        <item m="1" x="2665"/>
        <item m="1" x="4478"/>
        <item m="1" x="4836"/>
        <item m="1" x="5370"/>
        <item m="1" x="6392"/>
        <item m="1" x="3032"/>
        <item m="1" x="5382"/>
        <item m="1" x="3928"/>
        <item m="1" x="5585"/>
        <item m="1" x="6846"/>
        <item m="1" x="5365"/>
        <item m="1" x="3471"/>
        <item m="1" x="6398"/>
        <item m="1" x="4633"/>
        <item m="1" x="3719"/>
        <item m="1" x="3319"/>
        <item m="1" x="4699"/>
        <item m="1" x="3735"/>
        <item m="1" x="4815"/>
        <item m="1" x="6633"/>
        <item m="1" x="4691"/>
        <item m="1" x="6993"/>
        <item m="1" x="7302"/>
        <item m="1" x="3339"/>
        <item m="1" x="7537"/>
        <item m="1" x="4483"/>
        <item m="1" x="7309"/>
        <item m="1" x="5262"/>
        <item m="1" x="7306"/>
        <item m="1" x="6295"/>
        <item m="1" x="7259"/>
        <item m="1" x="4626"/>
        <item m="1" x="2893"/>
        <item m="1" x="5640"/>
        <item m="1" x="5875"/>
        <item m="1" x="5817"/>
        <item m="1" x="4914"/>
        <item m="1" x="5830"/>
        <item m="1" x="7578"/>
        <item m="1" x="3888"/>
        <item m="1" x="3447"/>
        <item m="1" x="3418"/>
        <item m="1" x="4005"/>
        <item m="1" x="5126"/>
        <item m="1" x="5946"/>
        <item m="1" x="6699"/>
        <item m="1" x="5602"/>
        <item m="1" x="2760"/>
        <item m="1" x="3387"/>
        <item m="1" x="6654"/>
        <item m="1" x="7250"/>
        <item m="1" x="6980"/>
        <item m="1" x="3521"/>
        <item m="1" x="5235"/>
        <item m="1" x="3472"/>
        <item m="1" x="4692"/>
        <item m="1" x="4297"/>
        <item m="1" x="5643"/>
        <item m="1" x="3917"/>
        <item m="1" x="6525"/>
        <item m="1" x="3430"/>
        <item m="1" x="4095"/>
        <item m="1" x="2815"/>
        <item m="1" x="1954"/>
        <item m="1" x="1955"/>
        <item m="1" x="1956"/>
        <item m="1" x="1957"/>
        <item m="1" x="1958"/>
        <item m="1" x="1959"/>
        <item m="1" x="1960"/>
        <item m="1" x="1961"/>
        <item m="1" x="1962"/>
        <item m="1" x="1964"/>
        <item m="1" x="1965"/>
        <item m="1" x="1966"/>
        <item m="1" x="1967"/>
        <item m="1" x="1969"/>
        <item m="1" x="1971"/>
        <item m="1" x="1972"/>
        <item m="1" x="1973"/>
        <item m="1" x="1974"/>
        <item m="1" x="1975"/>
        <item m="1" x="1977"/>
        <item m="1" x="1978"/>
        <item m="1" x="1979"/>
        <item m="1" x="1981"/>
        <item m="1" x="1983"/>
        <item m="1" x="1984"/>
        <item m="1" x="1985"/>
        <item m="1" x="1988"/>
        <item m="1" x="1991"/>
        <item m="1" x="1992"/>
        <item m="1" x="1993"/>
        <item m="1" x="1994"/>
        <item m="1" x="1995"/>
        <item m="1" x="1996"/>
        <item m="1" x="1997"/>
        <item m="1" x="1998"/>
        <item m="1" x="2000"/>
        <item m="1" x="2001"/>
        <item m="1" x="2002"/>
        <item m="1" x="2003"/>
        <item m="1" x="2004"/>
        <item m="1" x="2005"/>
        <item m="1" x="2006"/>
        <item m="1" x="2007"/>
        <item m="1" x="2008"/>
        <item m="1" x="2009"/>
        <item m="1" x="2010"/>
        <item m="1" x="2012"/>
        <item m="1" x="2013"/>
        <item m="1" x="2014"/>
        <item m="1" x="2015"/>
        <item m="1" x="2016"/>
        <item m="1" x="2017"/>
        <item m="1" x="2018"/>
        <item m="1" x="2019"/>
        <item m="1" x="2020"/>
        <item m="1" x="2021"/>
        <item m="1" x="2023"/>
        <item m="1" x="2025"/>
        <item m="1" x="2026"/>
        <item m="1" x="2028"/>
        <item m="1" x="2030"/>
        <item m="1" x="2031"/>
        <item m="1" x="2032"/>
        <item m="1" x="2033"/>
        <item m="1" x="2034"/>
        <item m="1" x="2035"/>
        <item m="1" x="2036"/>
        <item m="1" x="2037"/>
        <item m="1" x="2039"/>
        <item m="1" x="2040"/>
        <item m="1" x="2041"/>
        <item m="1" x="2042"/>
        <item m="1" x="2043"/>
        <item m="1" x="2044"/>
        <item m="1" x="2045"/>
        <item m="1" x="2046"/>
        <item m="1" x="2048"/>
        <item m="1" x="2049"/>
        <item m="1" x="2050"/>
        <item m="1" x="2051"/>
        <item m="1" x="2052"/>
        <item m="1" x="2053"/>
        <item m="1" x="2054"/>
        <item m="1" x="2055"/>
        <item m="1" x="2056"/>
        <item m="1" x="2059"/>
        <item m="1" x="2060"/>
        <item m="1" x="2062"/>
        <item m="1" x="2063"/>
        <item m="1" x="2064"/>
        <item m="1" x="2065"/>
        <item m="1" x="2066"/>
        <item m="1" x="2067"/>
        <item m="1" x="2069"/>
        <item m="1" x="2070"/>
        <item m="1" x="2071"/>
        <item m="1" x="2073"/>
        <item m="1" x="2074"/>
        <item m="1" x="2075"/>
        <item m="1" x="2076"/>
        <item m="1" x="2079"/>
        <item m="1" x="2080"/>
        <item m="1" x="2081"/>
        <item m="1" x="2083"/>
        <item m="1" x="2084"/>
        <item m="1" x="2086"/>
        <item m="1" x="2087"/>
        <item m="1" x="2088"/>
        <item m="1" x="2089"/>
        <item m="1" x="2090"/>
        <item m="1" x="2092"/>
        <item m="1" x="2094"/>
        <item m="1" x="2096"/>
        <item m="1" x="2097"/>
        <item m="1" x="2101"/>
        <item m="1" x="2103"/>
        <item m="1" x="2104"/>
        <item m="1" x="2105"/>
        <item m="1" x="2107"/>
        <item m="1" x="2108"/>
        <item m="1" x="2109"/>
        <item m="1" x="2110"/>
        <item m="1" x="2111"/>
        <item m="1" x="2112"/>
        <item m="1" x="2113"/>
        <item m="1" x="2114"/>
        <item m="1" x="2115"/>
        <item m="1" x="2117"/>
        <item m="1" x="2118"/>
        <item m="1" x="2119"/>
        <item m="1" x="2120"/>
        <item m="1" x="2121"/>
        <item m="1" x="2122"/>
        <item m="1" x="2126"/>
        <item m="1" x="2127"/>
        <item m="1" x="2131"/>
        <item m="1" x="2132"/>
        <item m="1" x="2133"/>
        <item m="1" x="2134"/>
        <item m="1" x="2135"/>
        <item m="1" x="2136"/>
        <item m="1" x="2137"/>
        <item m="1" x="2138"/>
        <item m="1" x="2139"/>
        <item m="1" x="2140"/>
        <item m="1" x="2141"/>
        <item m="1" x="2142"/>
        <item m="1" x="2143"/>
        <item m="1" x="2144"/>
        <item m="1" x="2146"/>
        <item m="1" x="2147"/>
        <item m="1" x="2148"/>
        <item m="1" x="2149"/>
        <item m="1" x="2150"/>
        <item m="1" x="2152"/>
        <item m="1" x="2153"/>
        <item m="1" x="2154"/>
        <item m="1" x="2155"/>
        <item m="1" x="2156"/>
        <item m="1" x="2157"/>
        <item m="1" x="2158"/>
        <item m="1" x="2159"/>
        <item m="1" x="2160"/>
        <item m="1" x="2161"/>
        <item m="1" x="2163"/>
        <item m="1" x="2164"/>
        <item m="1" x="2165"/>
        <item m="1" x="2166"/>
        <item m="1" x="2167"/>
        <item m="1" x="2170"/>
        <item m="1" x="2171"/>
        <item m="1" x="2172"/>
        <item m="1" x="2173"/>
        <item m="1" x="2174"/>
        <item m="1" x="2175"/>
        <item m="1" x="2176"/>
        <item m="1" x="2177"/>
        <item m="1" x="2179"/>
        <item m="1" x="2180"/>
        <item m="1" x="2181"/>
        <item m="1" x="2182"/>
        <item m="1" x="2183"/>
        <item m="1" x="2184"/>
        <item m="1" x="2186"/>
        <item m="1" x="2187"/>
        <item m="1" x="2188"/>
        <item m="1" x="2189"/>
        <item m="1" x="2190"/>
        <item m="1" x="2191"/>
        <item m="1" x="2193"/>
        <item m="1" x="2194"/>
        <item m="1" x="2195"/>
        <item m="1" x="2196"/>
        <item m="1" x="2197"/>
        <item m="1" x="2198"/>
        <item m="1" x="2199"/>
        <item m="1" x="2200"/>
        <item m="1" x="2201"/>
        <item m="1" x="2202"/>
        <item m="1" x="2203"/>
        <item m="1" x="2204"/>
        <item m="1" x="2205"/>
        <item m="1" x="2206"/>
        <item m="1" x="2207"/>
        <item m="1" x="2208"/>
        <item m="1" x="2210"/>
        <item m="1" x="2211"/>
        <item m="1" x="2212"/>
        <item m="1" x="2215"/>
        <item m="1" x="2216"/>
        <item m="1" x="2217"/>
        <item m="1" x="2218"/>
        <item m="1" x="2219"/>
        <item m="1" x="2220"/>
        <item m="1" x="2221"/>
        <item m="1" x="2222"/>
        <item m="1" x="2223"/>
        <item m="1" x="2224"/>
        <item m="1" x="2225"/>
        <item m="1" x="2226"/>
        <item m="1" x="2227"/>
        <item m="1" x="2229"/>
        <item m="1" x="2230"/>
        <item m="1" x="2232"/>
        <item m="1" x="2233"/>
        <item m="1" x="2235"/>
        <item m="1" x="2236"/>
        <item m="1" x="2237"/>
        <item m="1" x="2238"/>
        <item m="1" x="2239"/>
        <item m="1" x="2240"/>
        <item m="1" x="2243"/>
        <item m="1" x="2246"/>
        <item m="1" x="2248"/>
        <item m="1" x="2249"/>
        <item m="1" x="2250"/>
        <item m="1" x="2253"/>
        <item m="1" x="2254"/>
        <item m="1" x="2256"/>
        <item m="1" x="2257"/>
        <item m="1" x="2258"/>
        <item m="1" x="2260"/>
        <item m="1" x="2261"/>
        <item m="1" x="2262"/>
        <item m="1" x="2263"/>
        <item m="1" x="2264"/>
        <item m="1" x="2265"/>
        <item m="1" x="2266"/>
        <item m="1" x="2267"/>
        <item m="1" x="2270"/>
        <item m="1" x="2272"/>
        <item m="1" x="2273"/>
        <item m="1" x="2274"/>
        <item m="1" x="2275"/>
        <item m="1" x="2277"/>
        <item m="1" x="2278"/>
        <item m="1" x="2280"/>
        <item m="1" x="2281"/>
        <item m="1" x="2282"/>
        <item m="1" x="2283"/>
        <item m="1" x="2286"/>
        <item m="1" x="2287"/>
        <item m="1" x="2288"/>
        <item m="1" x="2289"/>
        <item m="1" x="2291"/>
        <item m="1" x="2292"/>
        <item m="1" x="2293"/>
        <item m="1" x="2294"/>
        <item m="1" x="2295"/>
        <item m="1" x="2297"/>
        <item m="1" x="2298"/>
        <item m="1" x="2299"/>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2"/>
        <item m="1" x="2333"/>
        <item m="1" x="2334"/>
        <item m="1" x="2335"/>
        <item m="1" x="2336"/>
        <item m="1" x="2338"/>
        <item m="1" x="2339"/>
        <item m="1" x="2340"/>
        <item m="1" x="2342"/>
        <item m="1" x="2343"/>
        <item m="1" x="2344"/>
        <item m="1" x="2345"/>
        <item m="1" x="2346"/>
        <item m="1" x="2348"/>
        <item m="1" x="2350"/>
        <item m="1" x="2352"/>
        <item m="1" x="2353"/>
        <item m="1" x="2354"/>
        <item m="1" x="2356"/>
        <item m="1" x="2357"/>
        <item m="1" x="2358"/>
        <item m="1" x="2361"/>
        <item m="1" x="2363"/>
        <item m="1" x="2365"/>
        <item m="1" x="2366"/>
        <item m="1" x="2367"/>
        <item m="1" x="2368"/>
        <item m="1" x="2369"/>
        <item m="1" x="2370"/>
        <item m="1" x="2372"/>
        <item m="1" x="2373"/>
        <item m="1" x="2374"/>
        <item m="1" x="2375"/>
        <item m="1" x="2376"/>
        <item m="1" x="2377"/>
        <item m="1" x="2379"/>
        <item m="1" x="2381"/>
        <item m="1" x="2382"/>
        <item m="1" x="2384"/>
        <item m="1" x="2385"/>
        <item m="1" x="2386"/>
        <item m="1" x="2387"/>
        <item m="1" x="2389"/>
        <item m="1" x="2390"/>
        <item m="1" x="2391"/>
        <item m="1" x="2393"/>
        <item m="1" x="2394"/>
        <item m="1" x="2395"/>
        <item m="1" x="2396"/>
        <item m="1" x="2397"/>
        <item m="1" x="2398"/>
        <item m="1" x="2399"/>
        <item m="1" x="2400"/>
        <item m="1" x="2401"/>
        <item m="1" x="2402"/>
        <item m="1" x="2404"/>
        <item m="1" x="2405"/>
        <item m="1" x="2407"/>
        <item m="1" x="2408"/>
        <item m="1" x="2409"/>
        <item m="1" x="2410"/>
        <item m="1" x="2411"/>
        <item m="1" x="2412"/>
        <item m="1" x="2413"/>
        <item m="1" x="2414"/>
        <item m="1" x="2416"/>
        <item m="1" x="2417"/>
        <item m="1" x="2418"/>
        <item m="1" x="2420"/>
        <item m="1" x="2422"/>
        <item m="1" x="2424"/>
        <item m="1" x="2425"/>
        <item m="1" x="2426"/>
        <item m="1" x="2427"/>
        <item m="1" x="2428"/>
        <item m="1" x="2429"/>
        <item m="1" x="2430"/>
        <item m="1" x="2431"/>
        <item m="1" x="2432"/>
        <item m="1" x="2433"/>
        <item m="1" x="2437"/>
        <item m="1" x="2438"/>
        <item m="1" x="2440"/>
        <item m="1" x="2442"/>
        <item m="1" x="2443"/>
        <item m="1" x="2444"/>
        <item m="1" x="2445"/>
        <item m="1" x="2446"/>
        <item m="1" x="2447"/>
        <item m="1" x="2448"/>
        <item m="1" x="2449"/>
        <item m="1" x="2450"/>
        <item m="1" x="2451"/>
        <item m="1" x="2452"/>
        <item m="1" x="2453"/>
        <item m="1" x="2454"/>
        <item m="1" x="2455"/>
        <item m="1" x="2456"/>
        <item m="1" x="2457"/>
        <item m="1" x="2458"/>
        <item m="1" x="2459"/>
        <item m="1" x="2461"/>
        <item m="1" x="2463"/>
        <item m="1" x="2464"/>
        <item m="1" x="2465"/>
        <item m="1" x="2466"/>
        <item m="1" x="2467"/>
        <item m="1" x="2468"/>
        <item m="1" x="2469"/>
        <item m="1" x="2470"/>
        <item m="1" x="2472"/>
        <item m="1" x="2473"/>
        <item m="1" x="2474"/>
        <item m="1" x="2475"/>
        <item m="1" x="2477"/>
        <item m="1" x="2478"/>
        <item m="1" x="2479"/>
        <item m="1" x="2480"/>
        <item m="1" x="2481"/>
        <item m="1" x="2482"/>
        <item m="1" x="2483"/>
        <item m="1" x="2484"/>
        <item m="1" x="2485"/>
        <item m="1" x="2486"/>
        <item m="1" x="2487"/>
        <item m="1" x="2489"/>
        <item m="1" x="2490"/>
        <item m="1" x="2491"/>
        <item m="1" x="2493"/>
        <item m="1" x="2494"/>
        <item m="1" x="2495"/>
        <item m="1" x="2496"/>
        <item m="1" x="2497"/>
        <item m="1" x="2498"/>
        <item m="1" x="2500"/>
        <item m="1" x="2501"/>
        <item m="1" x="2502"/>
        <item m="1" x="2504"/>
        <item m="1" x="2505"/>
        <item m="1" x="2506"/>
        <item m="1" x="2507"/>
        <item m="1" x="2508"/>
        <item m="1" x="2509"/>
        <item m="1" x="2512"/>
        <item m="1" x="2513"/>
        <item m="1" x="2515"/>
        <item m="1" x="2517"/>
        <item m="1" x="2518"/>
        <item m="1" x="2521"/>
        <item m="1" x="2522"/>
        <item m="1" x="2523"/>
        <item m="1" x="2524"/>
        <item m="1" x="2526"/>
        <item m="1" x="2528"/>
        <item m="1" x="2529"/>
        <item m="1" x="2530"/>
        <item m="1" x="2531"/>
        <item m="1" x="2534"/>
        <item m="1" x="2535"/>
        <item m="1" x="2536"/>
        <item m="1" x="2537"/>
        <item m="1" x="2538"/>
        <item m="1" x="2539"/>
        <item m="1" x="2540"/>
        <item m="1" x="2542"/>
        <item m="1" x="2543"/>
        <item m="1" x="2544"/>
        <item m="1" x="2547"/>
        <item m="1" x="2548"/>
        <item m="1" x="2549"/>
        <item m="1" x="2550"/>
        <item m="1" x="2551"/>
        <item m="1" x="2552"/>
        <item m="1" x="2553"/>
        <item m="1" x="2554"/>
        <item m="1" x="2556"/>
        <item m="1" x="2557"/>
        <item m="1" x="2560"/>
        <item m="1" x="2561"/>
        <item m="1" x="2564"/>
        <item m="1" x="2565"/>
        <item m="1" x="2566"/>
        <item m="1" x="2567"/>
        <item m="1" x="2568"/>
        <item m="1" x="2569"/>
        <item m="1" x="2570"/>
        <item m="1" x="2571"/>
        <item m="1" x="2572"/>
        <item m="1" x="2573"/>
        <item m="1" x="2575"/>
        <item m="1" x="2576"/>
        <item m="1" x="2578"/>
        <item m="1" x="2579"/>
        <item m="1" x="2580"/>
        <item m="1" x="2582"/>
        <item m="1" x="2583"/>
        <item m="1" x="2584"/>
        <item m="1" x="2586"/>
        <item m="1" x="2587"/>
        <item m="1" x="2588"/>
        <item m="1" x="2590"/>
        <item m="1" x="2591"/>
        <item m="1" x="2594"/>
        <item m="1" x="2595"/>
        <item m="1" x="2596"/>
        <item m="1" x="2597"/>
        <item m="1" x="2598"/>
        <item m="1" x="2599"/>
        <item m="1" x="2600"/>
        <item m="1" x="2601"/>
        <item m="1" x="2602"/>
        <item m="1" x="2603"/>
        <item m="1" x="2604"/>
        <item m="1" x="652"/>
        <item m="1" x="653"/>
        <item m="1" x="655"/>
        <item m="1" x="656"/>
        <item m="1" x="657"/>
        <item m="1" x="658"/>
        <item m="1" x="659"/>
        <item m="1" x="660"/>
        <item m="1" x="662"/>
        <item m="1" x="663"/>
        <item m="1" x="666"/>
        <item m="1" x="668"/>
        <item m="1" x="673"/>
        <item m="1" x="674"/>
        <item m="1" x="675"/>
        <item m="1" x="676"/>
        <item m="1" x="677"/>
        <item m="1" x="678"/>
        <item m="1" x="679"/>
        <item m="1" x="682"/>
        <item m="1" x="689"/>
        <item m="1" x="690"/>
        <item m="1" x="692"/>
        <item m="1" x="693"/>
        <item m="1" x="694"/>
        <item m="1" x="696"/>
        <item m="1" x="699"/>
        <item m="1" x="700"/>
        <item m="1" x="701"/>
        <item m="1" x="703"/>
        <item m="1" x="705"/>
        <item m="1" x="709"/>
        <item m="1" x="710"/>
        <item m="1" x="711"/>
        <item m="1" x="714"/>
        <item m="1" x="715"/>
        <item m="1" x="716"/>
        <item m="1" x="719"/>
        <item m="1" x="720"/>
        <item m="1" x="722"/>
        <item m="1" x="724"/>
        <item m="1" x="725"/>
        <item m="1" x="727"/>
        <item m="1" x="731"/>
        <item m="1" x="732"/>
        <item m="1" x="733"/>
        <item m="1" x="734"/>
        <item m="1" x="735"/>
        <item m="1" x="736"/>
        <item m="1" x="737"/>
        <item m="1" x="739"/>
        <item m="1" x="740"/>
        <item m="1" x="744"/>
        <item m="1" x="748"/>
        <item m="1" x="749"/>
        <item m="1" x="750"/>
        <item m="1" x="753"/>
        <item m="1" x="754"/>
        <item m="1" x="756"/>
        <item m="1" x="757"/>
        <item m="1" x="758"/>
        <item m="1" x="759"/>
        <item m="1" x="760"/>
        <item m="1" x="761"/>
        <item m="1" x="762"/>
        <item m="1" x="763"/>
        <item m="1" x="764"/>
        <item m="1" x="765"/>
        <item m="1" x="766"/>
        <item m="1" x="767"/>
        <item m="1" x="772"/>
        <item m="1" x="773"/>
        <item m="1" x="774"/>
        <item m="1" x="775"/>
        <item m="1" x="776"/>
        <item m="1" x="784"/>
        <item m="1" x="789"/>
        <item m="1" x="790"/>
        <item m="1" x="791"/>
        <item m="1" x="793"/>
        <item m="1" x="796"/>
        <item m="1" x="800"/>
        <item m="1" x="801"/>
        <item m="1" x="805"/>
        <item m="1" x="806"/>
        <item m="1" x="811"/>
        <item m="1" x="812"/>
        <item m="1" x="813"/>
        <item m="1" x="814"/>
        <item m="1" x="815"/>
        <item m="1" x="816"/>
        <item m="1" x="821"/>
        <item m="1" x="822"/>
        <item m="1" x="823"/>
        <item m="1" x="825"/>
        <item m="1" x="826"/>
        <item m="1" x="827"/>
        <item m="1" x="828"/>
        <item m="1" x="829"/>
        <item m="1" x="830"/>
        <item m="1" x="834"/>
        <item m="1" x="835"/>
        <item m="1" x="836"/>
        <item m="1" x="838"/>
        <item m="1" x="839"/>
        <item m="1" x="840"/>
        <item m="1" x="841"/>
        <item m="1" x="842"/>
        <item m="1" x="844"/>
        <item m="1" x="845"/>
        <item m="1" x="847"/>
        <item m="1" x="849"/>
        <item m="1" x="852"/>
        <item m="1" x="853"/>
        <item m="1" x="856"/>
        <item m="1" x="858"/>
        <item m="1" x="859"/>
        <item m="1" x="860"/>
        <item m="1" x="861"/>
        <item m="1" x="864"/>
        <item m="1" x="866"/>
        <item m="1" x="867"/>
        <item m="1" x="868"/>
        <item m="1" x="870"/>
        <item m="1" x="871"/>
        <item m="1" x="872"/>
        <item m="1" x="873"/>
        <item m="1" x="875"/>
        <item m="1" x="876"/>
        <item m="1" x="877"/>
        <item m="1" x="878"/>
        <item m="1" x="879"/>
        <item m="1" x="882"/>
        <item m="1" x="885"/>
        <item m="1" x="886"/>
        <item m="1" x="888"/>
        <item m="1" x="889"/>
        <item m="1" x="892"/>
        <item m="1" x="894"/>
        <item m="1" x="896"/>
        <item m="1" x="898"/>
        <item m="1" x="899"/>
        <item m="1" x="900"/>
        <item m="1" x="902"/>
        <item m="1" x="903"/>
        <item m="1" x="904"/>
        <item m="1" x="905"/>
        <item m="1" x="906"/>
        <item m="1" x="909"/>
        <item m="1" x="910"/>
        <item m="1" x="912"/>
        <item m="1" x="913"/>
        <item m="1" x="914"/>
        <item m="1" x="915"/>
        <item m="1" x="916"/>
        <item m="1" x="917"/>
        <item m="1" x="919"/>
        <item m="1" x="920"/>
        <item m="1" x="922"/>
        <item m="1" x="925"/>
        <item m="1" x="927"/>
        <item m="1" x="929"/>
        <item m="1" x="930"/>
        <item m="1" x="931"/>
        <item m="1" x="933"/>
        <item m="1" x="935"/>
        <item m="1" x="937"/>
        <item m="1" x="938"/>
        <item m="1" x="939"/>
        <item m="1" x="940"/>
        <item m="1" x="941"/>
        <item m="1" x="942"/>
        <item m="1" x="943"/>
        <item m="1" x="948"/>
        <item m="1" x="949"/>
        <item m="1" x="950"/>
        <item m="1" x="951"/>
        <item m="1" x="952"/>
        <item m="1" x="953"/>
        <item m="1" x="955"/>
        <item m="1" x="957"/>
        <item m="1" x="959"/>
        <item m="1" x="961"/>
        <item m="1" x="962"/>
        <item m="1" x="963"/>
        <item m="1" x="964"/>
        <item m="1" x="965"/>
        <item m="1" x="966"/>
        <item m="1" x="967"/>
        <item m="1" x="968"/>
        <item m="1" x="970"/>
        <item m="1" x="971"/>
        <item m="1" x="972"/>
        <item m="1" x="974"/>
        <item m="1" x="975"/>
        <item m="1" x="976"/>
        <item m="1" x="978"/>
        <item m="1" x="979"/>
        <item m="1" x="980"/>
        <item m="1" x="982"/>
        <item m="1" x="984"/>
        <item m="1" x="985"/>
        <item m="1" x="986"/>
        <item m="1" x="991"/>
        <item m="1" x="992"/>
        <item m="1" x="993"/>
        <item m="1" x="996"/>
        <item m="1" x="997"/>
        <item m="1" x="999"/>
        <item m="1" x="1000"/>
        <item m="1" x="1002"/>
        <item m="1" x="1003"/>
        <item m="1" x="1004"/>
        <item m="1" x="1006"/>
        <item m="1" x="1007"/>
        <item m="1" x="1008"/>
        <item m="1" x="1009"/>
        <item m="1" x="1011"/>
        <item m="1" x="1013"/>
        <item m="1" x="1015"/>
        <item m="1" x="1018"/>
        <item m="1" x="1019"/>
        <item m="1" x="1021"/>
        <item m="1" x="1022"/>
        <item m="1" x="1023"/>
        <item m="1" x="1025"/>
        <item m="1" x="1026"/>
        <item m="1" x="1027"/>
        <item m="1" x="1028"/>
        <item m="1" x="1029"/>
        <item m="1" x="1030"/>
        <item m="1" x="1031"/>
        <item m="1" x="1032"/>
        <item m="1" x="1033"/>
        <item m="1" x="1034"/>
        <item m="1" x="1035"/>
        <item m="1" x="1036"/>
        <item m="1" x="1037"/>
        <item m="1" x="1038"/>
        <item m="1" x="1042"/>
        <item m="1" x="1043"/>
        <item m="1" x="1046"/>
        <item m="1" x="1048"/>
        <item m="1" x="1050"/>
        <item m="1" x="1054"/>
        <item m="1" x="1055"/>
        <item m="1" x="1056"/>
        <item m="1" x="1057"/>
        <item m="1" x="1058"/>
        <item m="1" x="1059"/>
        <item m="1" x="1060"/>
        <item m="1" x="1062"/>
        <item m="1" x="1063"/>
        <item m="1" x="1064"/>
        <item m="1" x="1065"/>
        <item m="1" x="1066"/>
        <item m="1" x="1069"/>
        <item m="1" x="1070"/>
        <item m="1" x="1072"/>
        <item m="1" x="1073"/>
        <item m="1" x="1075"/>
        <item m="1" x="1076"/>
        <item m="1" x="1077"/>
        <item m="1" x="1078"/>
        <item m="1" x="1079"/>
        <item m="1" x="1080"/>
        <item m="1" x="1081"/>
        <item m="1" x="1082"/>
        <item m="1" x="1083"/>
        <item m="1" x="1084"/>
        <item m="1" x="1086"/>
        <item m="1" x="1087"/>
        <item m="1" x="1088"/>
        <item m="1" x="1089"/>
        <item m="1" x="1090"/>
        <item m="1" x="1092"/>
        <item m="1" x="1094"/>
        <item m="1" x="1095"/>
        <item m="1" x="1097"/>
        <item m="1" x="1098"/>
        <item m="1" x="1100"/>
        <item m="1" x="1102"/>
        <item m="1" x="1107"/>
        <item m="1" x="1108"/>
        <item m="1" x="1109"/>
        <item m="1" x="1113"/>
        <item m="1" x="1115"/>
        <item m="1" x="1116"/>
        <item m="1" x="1117"/>
        <item m="1" x="1120"/>
        <item m="1" x="1121"/>
        <item m="1" x="1122"/>
        <item m="1" x="1126"/>
        <item m="1" x="1127"/>
        <item m="1" x="1129"/>
        <item m="1" x="1132"/>
        <item m="1" x="1133"/>
        <item m="1" x="1134"/>
        <item m="1" x="1136"/>
        <item m="1" x="1137"/>
        <item m="1" x="1138"/>
        <item m="1" x="1146"/>
        <item m="1" x="1147"/>
        <item m="1" x="1148"/>
        <item m="1" x="1149"/>
        <item m="1" x="1150"/>
        <item m="1" x="1151"/>
        <item m="1" x="1152"/>
        <item m="1" x="1153"/>
        <item m="1" x="1154"/>
        <item m="1" x="1156"/>
        <item m="1" x="1157"/>
        <item m="1" x="1159"/>
        <item m="1" x="1160"/>
        <item m="1" x="1162"/>
        <item m="1" x="1163"/>
        <item m="1" x="1165"/>
        <item m="1" x="1166"/>
        <item m="1" x="1168"/>
        <item m="1" x="1170"/>
        <item m="1" x="1171"/>
        <item m="1" x="1173"/>
        <item m="1" x="1174"/>
        <item m="1" x="1175"/>
        <item m="1" x="1177"/>
        <item m="1" x="1178"/>
        <item m="1" x="1182"/>
        <item m="1" x="1183"/>
        <item m="1" x="1184"/>
        <item m="1" x="1185"/>
        <item m="1" x="1186"/>
        <item m="1" x="1187"/>
        <item m="1" x="1188"/>
        <item m="1" x="1189"/>
        <item m="1" x="1190"/>
        <item m="1" x="1191"/>
        <item m="1" x="1193"/>
        <item m="1" x="1195"/>
        <item m="1" x="1197"/>
        <item m="1" x="1198"/>
        <item m="1" x="1199"/>
        <item m="1" x="1202"/>
        <item m="1" x="1203"/>
        <item m="1" x="1206"/>
        <item m="1" x="1208"/>
        <item m="1" x="1209"/>
        <item m="1" x="1210"/>
        <item m="1" x="1211"/>
        <item m="1" x="1212"/>
        <item m="1" x="1213"/>
        <item m="1" x="1216"/>
        <item m="1" x="1217"/>
        <item m="1" x="1219"/>
        <item m="1" x="1220"/>
        <item m="1" x="1225"/>
        <item m="1" x="1229"/>
        <item m="1" x="1230"/>
        <item m="1" x="1234"/>
        <item m="1" x="1237"/>
        <item m="1" x="1240"/>
        <item m="1" x="1242"/>
        <item m="1" x="1243"/>
        <item m="1" x="1244"/>
        <item m="1" x="1246"/>
        <item m="1" x="1248"/>
        <item m="1" x="1249"/>
        <item m="1" x="1250"/>
        <item m="1" x="1252"/>
        <item m="1" x="1254"/>
        <item m="1" x="1257"/>
        <item m="1" x="1258"/>
        <item m="1" x="1260"/>
        <item m="1" x="1261"/>
        <item m="1" x="1262"/>
        <item m="1" x="1263"/>
        <item m="1" x="1271"/>
        <item m="1" x="1272"/>
        <item m="1" x="1273"/>
        <item m="1" x="1275"/>
        <item m="1" x="1277"/>
        <item m="1" x="1281"/>
        <item m="1" x="1282"/>
        <item m="1" x="1283"/>
        <item m="1" x="1284"/>
        <item m="1" x="1287"/>
        <item m="1" x="1288"/>
        <item m="1" x="1289"/>
        <item m="1" x="1291"/>
        <item m="1" x="1292"/>
        <item m="1" x="1294"/>
        <item m="1" x="1295"/>
        <item m="1" x="1296"/>
        <item m="1" x="1299"/>
        <item m="1" x="1301"/>
        <item m="1" x="1963"/>
        <item m="1" x="1968"/>
        <item m="1" x="1970"/>
        <item m="1" x="1976"/>
        <item m="1" x="1980"/>
        <item m="1" x="1982"/>
        <item m="1" x="1986"/>
        <item m="1" x="1987"/>
        <item m="1" x="1989"/>
        <item m="1" x="1990"/>
        <item m="1" x="1999"/>
        <item m="1" x="2011"/>
        <item m="1" x="2022"/>
        <item m="1" x="2024"/>
        <item m="1" x="2027"/>
        <item m="1" x="2029"/>
        <item m="1" x="2038"/>
        <item m="1" x="2047"/>
        <item m="1" x="2057"/>
        <item m="1" x="2058"/>
        <item m="1" x="2061"/>
        <item m="1" x="2068"/>
        <item m="1" x="2072"/>
        <item m="1" x="2077"/>
        <item m="1" x="2078"/>
        <item m="1" x="2082"/>
        <item m="1" x="2085"/>
        <item m="1" x="2091"/>
        <item m="1" x="2093"/>
        <item m="1" x="2095"/>
        <item m="1" x="2098"/>
        <item m="1" x="2099"/>
        <item m="1" x="2100"/>
        <item m="1" x="2102"/>
        <item m="1" x="2106"/>
        <item m="1" x="2116"/>
        <item m="1" x="2123"/>
        <item m="1" x="2124"/>
        <item m="1" x="2125"/>
        <item m="1" x="2128"/>
        <item m="1" x="2129"/>
        <item m="1" x="2130"/>
        <item m="1" x="2145"/>
        <item m="1" x="2151"/>
        <item m="1" x="2162"/>
        <item m="1" x="2168"/>
        <item m="1" x="2169"/>
        <item m="1" x="2178"/>
        <item m="1" x="2185"/>
        <item m="1" x="2192"/>
        <item m="1" x="2209"/>
        <item m="1" x="2213"/>
        <item m="1" x="2214"/>
        <item m="1" x="2228"/>
        <item m="1" x="2231"/>
        <item m="1" x="2234"/>
        <item m="1" x="2241"/>
        <item m="1" x="2242"/>
        <item m="1" x="2244"/>
        <item m="1" x="2245"/>
        <item m="1" x="2247"/>
        <item m="1" x="2251"/>
        <item m="1" x="2252"/>
        <item m="1" x="2255"/>
        <item m="1" x="2259"/>
        <item m="1" x="2268"/>
        <item m="1" x="2269"/>
        <item m="1" x="2271"/>
        <item m="1" x="2276"/>
        <item m="1" x="2279"/>
        <item m="1" x="2284"/>
        <item m="1" x="2285"/>
        <item m="1" x="2290"/>
        <item m="1" x="2296"/>
        <item m="1" x="2300"/>
        <item m="1" x="2331"/>
        <item m="1" x="2337"/>
        <item m="1" x="2341"/>
        <item m="1" x="2347"/>
        <item m="1" x="2349"/>
        <item m="1" x="2351"/>
        <item m="1" x="2355"/>
        <item m="1" x="2359"/>
        <item m="1" x="2360"/>
        <item m="1" x="2362"/>
        <item m="1" x="2364"/>
        <item m="1" x="2371"/>
        <item m="1" x="2378"/>
        <item m="1" x="2380"/>
        <item m="1" x="2383"/>
        <item m="1" x="2388"/>
        <item m="1" x="2392"/>
        <item m="1" x="2403"/>
        <item m="1" x="2406"/>
        <item m="1" x="2415"/>
        <item m="1" x="2419"/>
        <item m="1" x="2421"/>
        <item m="1" x="2423"/>
        <item m="1" x="2434"/>
        <item m="1" x="2435"/>
        <item m="1" x="2436"/>
        <item m="1" x="2439"/>
        <item m="1" x="2441"/>
        <item m="1" x="2460"/>
        <item m="1" x="2462"/>
        <item m="1" x="2471"/>
        <item m="1" x="2476"/>
        <item m="1" x="2488"/>
        <item m="1" x="2492"/>
        <item m="1" x="2499"/>
        <item m="1" x="2503"/>
        <item m="1" x="2510"/>
        <item m="1" x="2511"/>
        <item m="1" x="2514"/>
        <item m="1" x="2516"/>
        <item m="1" x="2519"/>
        <item m="1" x="2520"/>
        <item m="1" x="2525"/>
        <item m="1" x="2527"/>
        <item m="1" x="2532"/>
        <item m="1" x="2533"/>
        <item m="1" x="2541"/>
        <item m="1" x="2545"/>
        <item m="1" x="2546"/>
        <item m="1" x="2555"/>
        <item m="1" x="2558"/>
        <item m="1" x="2559"/>
        <item m="1" x="2562"/>
        <item m="1" x="2563"/>
        <item m="1" x="2574"/>
        <item m="1" x="2577"/>
        <item m="1" x="2581"/>
        <item m="1" x="2585"/>
        <item m="1" x="2589"/>
        <item m="1" x="2592"/>
        <item m="1" x="2593"/>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654"/>
        <item m="1" x="661"/>
        <item m="1" x="664"/>
        <item m="1" x="665"/>
        <item m="1" x="667"/>
        <item m="1" x="669"/>
        <item m="1" x="670"/>
        <item m="1" x="671"/>
        <item m="1" x="672"/>
        <item m="1" x="680"/>
        <item m="1" x="681"/>
        <item m="1" x="683"/>
        <item m="1" x="684"/>
        <item m="1" x="685"/>
        <item m="1" x="686"/>
        <item m="1" x="687"/>
        <item m="1" x="688"/>
        <item m="1" x="691"/>
        <item m="1" x="695"/>
        <item m="1" x="697"/>
        <item m="1" x="698"/>
        <item m="1" x="702"/>
        <item m="1" x="704"/>
        <item m="1" x="706"/>
        <item m="1" x="707"/>
        <item m="1" x="708"/>
        <item m="1" x="712"/>
        <item m="1" x="713"/>
        <item m="1" x="717"/>
        <item m="1" x="718"/>
        <item m="1" x="721"/>
        <item m="1" x="723"/>
        <item m="1" x="726"/>
        <item m="1" x="728"/>
        <item m="1" x="729"/>
        <item m="1" x="730"/>
        <item m="1" x="738"/>
        <item m="1" x="741"/>
        <item m="1" x="742"/>
        <item m="1" x="743"/>
        <item m="1" x="745"/>
        <item m="1" x="746"/>
        <item m="1" x="747"/>
        <item m="1" x="751"/>
        <item m="1" x="752"/>
        <item m="1" x="755"/>
        <item m="1" x="768"/>
        <item m="1" x="769"/>
        <item m="1" x="770"/>
        <item m="1" x="771"/>
        <item m="1" x="777"/>
        <item m="1" x="778"/>
        <item m="1" x="779"/>
        <item m="1" x="780"/>
        <item m="1" x="781"/>
        <item m="1" x="782"/>
        <item m="1" x="783"/>
        <item m="1" x="785"/>
        <item m="1" x="786"/>
        <item m="1" x="787"/>
        <item m="1" x="788"/>
        <item m="1" x="792"/>
        <item m="1" x="794"/>
        <item m="1" x="795"/>
        <item m="1" x="797"/>
        <item m="1" x="798"/>
        <item m="1" x="799"/>
        <item m="1" x="802"/>
        <item m="1" x="803"/>
        <item m="1" x="804"/>
        <item m="1" x="807"/>
        <item m="1" x="808"/>
        <item m="1" x="809"/>
        <item m="1" x="810"/>
        <item m="1" x="817"/>
        <item m="1" x="818"/>
        <item m="1" x="819"/>
        <item m="1" x="820"/>
        <item m="1" x="824"/>
        <item m="1" x="831"/>
        <item m="1" x="832"/>
        <item m="1" x="833"/>
        <item m="1" x="837"/>
        <item m="1" x="843"/>
        <item m="1" x="846"/>
        <item m="1" x="848"/>
        <item m="1" x="850"/>
        <item m="1" x="851"/>
        <item m="1" x="854"/>
        <item m="1" x="855"/>
        <item m="1" x="857"/>
        <item m="1" x="862"/>
        <item m="1" x="863"/>
        <item m="1" x="865"/>
        <item m="1" x="869"/>
        <item m="1" x="874"/>
        <item m="1" x="880"/>
        <item m="1" x="881"/>
        <item m="1" x="883"/>
        <item m="1" x="884"/>
        <item m="1" x="887"/>
        <item m="1" x="890"/>
        <item m="1" x="891"/>
        <item m="1" x="893"/>
        <item m="1" x="895"/>
        <item m="1" x="897"/>
        <item m="1" x="901"/>
        <item m="1" x="907"/>
        <item m="1" x="908"/>
        <item m="1" x="911"/>
        <item m="1" x="918"/>
        <item m="1" x="921"/>
        <item m="1" x="923"/>
        <item m="1" x="924"/>
        <item m="1" x="926"/>
        <item m="1" x="928"/>
        <item m="1" x="932"/>
        <item m="1" x="934"/>
        <item m="1" x="936"/>
        <item m="1" x="944"/>
        <item m="1" x="945"/>
        <item m="1" x="946"/>
        <item m="1" x="947"/>
        <item m="1" x="954"/>
        <item m="1" x="956"/>
        <item m="1" x="958"/>
        <item m="1" x="960"/>
        <item m="1" x="969"/>
        <item m="1" x="973"/>
        <item m="1" x="977"/>
        <item m="1" x="981"/>
        <item m="1" x="983"/>
        <item m="1" x="987"/>
        <item m="1" x="988"/>
        <item m="1" x="989"/>
        <item m="1" x="990"/>
        <item m="1" x="994"/>
        <item m="1" x="995"/>
        <item m="1" x="998"/>
        <item m="1" x="1001"/>
        <item m="1" x="1005"/>
        <item m="1" x="1010"/>
        <item m="1" x="1012"/>
        <item m="1" x="1014"/>
        <item m="1" x="1016"/>
        <item m="1" x="1017"/>
        <item m="1" x="1020"/>
        <item m="1" x="1024"/>
        <item m="1" x="1039"/>
        <item m="1" x="1040"/>
        <item m="1" x="1041"/>
        <item m="1" x="1044"/>
        <item m="1" x="1045"/>
        <item m="1" x="1047"/>
        <item m="1" x="1049"/>
        <item m="1" x="1051"/>
        <item m="1" x="1052"/>
        <item m="1" x="1053"/>
        <item m="1" x="1061"/>
        <item m="1" x="1067"/>
        <item m="1" x="1068"/>
        <item m="1" x="1071"/>
        <item m="1" x="1074"/>
        <item m="1" x="1085"/>
        <item m="1" x="1091"/>
        <item m="1" x="1093"/>
        <item m="1" x="1096"/>
        <item m="1" x="1099"/>
        <item m="1" x="1101"/>
        <item m="1" x="1103"/>
        <item m="1" x="1104"/>
        <item m="1" x="1105"/>
        <item m="1" x="1106"/>
        <item m="1" x="1110"/>
        <item m="1" x="1111"/>
        <item m="1" x="1112"/>
        <item m="1" x="1114"/>
        <item m="1" x="1118"/>
        <item m="1" x="1119"/>
        <item m="1" x="1123"/>
        <item m="1" x="1124"/>
        <item m="1" x="1125"/>
        <item m="1" x="1128"/>
        <item m="1" x="1130"/>
        <item m="1" x="1131"/>
        <item m="1" x="1135"/>
        <item m="1" x="1139"/>
        <item m="1" x="1140"/>
        <item m="1" x="1141"/>
        <item m="1" x="1142"/>
        <item m="1" x="1143"/>
        <item m="1" x="1144"/>
        <item m="1" x="1145"/>
        <item m="1" x="1155"/>
        <item m="1" x="1158"/>
        <item m="1" x="1161"/>
        <item m="1" x="1164"/>
        <item m="1" x="1167"/>
        <item m="1" x="1169"/>
        <item m="1" x="1172"/>
        <item m="1" x="1176"/>
        <item m="1" x="1179"/>
        <item m="1" x="1180"/>
        <item m="1" x="1181"/>
        <item m="1" x="1192"/>
        <item m="1" x="1194"/>
        <item m="1" x="1196"/>
        <item m="1" x="1200"/>
        <item m="1" x="1201"/>
        <item m="1" x="1204"/>
        <item m="1" x="1205"/>
        <item m="1" x="1207"/>
        <item m="1" x="1214"/>
        <item m="1" x="1215"/>
        <item m="1" x="1218"/>
        <item m="1" x="1221"/>
        <item m="1" x="1222"/>
        <item m="1" x="1223"/>
        <item m="1" x="1224"/>
        <item m="1" x="1226"/>
        <item m="1" x="1227"/>
        <item m="1" x="1228"/>
        <item m="1" x="1232"/>
        <item m="1" x="1233"/>
        <item m="1" x="1235"/>
        <item m="1" x="1236"/>
        <item m="1" x="1238"/>
        <item m="1" x="1239"/>
        <item m="1" x="1241"/>
        <item m="1" x="1245"/>
        <item m="1" x="1247"/>
        <item m="1" x="1251"/>
        <item m="1" x="1253"/>
        <item m="1" x="1255"/>
        <item m="1" x="1256"/>
        <item m="1" x="1259"/>
        <item m="1" x="1264"/>
        <item m="1" x="1265"/>
        <item m="1" x="1266"/>
        <item m="1" x="1267"/>
        <item m="1" x="1268"/>
        <item m="1" x="1269"/>
        <item m="1" x="1270"/>
        <item m="1" x="1274"/>
        <item m="1" x="1276"/>
        <item m="1" x="1278"/>
        <item m="1" x="1279"/>
        <item m="1" x="1280"/>
        <item m="1" x="1285"/>
        <item m="1" x="1286"/>
        <item m="1" x="1290"/>
        <item m="1" x="1293"/>
        <item m="1" x="1297"/>
        <item m="1" x="1298"/>
        <item m="1" x="1300"/>
        <item m="1" x="1302"/>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x="0"/>
        <item t="default"/>
      </items>
    </pivotField>
    <pivotField dataField="1" compact="0" outline="0" showAll="0">
      <items count="8001">
        <item m="1" x="7370"/>
        <item m="1" x="3642"/>
        <item m="1" x="5252"/>
        <item m="1" x="7353"/>
        <item m="1" x="6688"/>
        <item m="1" x="5349"/>
        <item m="1" x="5379"/>
        <item m="1" x="5608"/>
        <item m="1" x="3968"/>
        <item m="1" x="3371"/>
        <item m="1" x="7858"/>
        <item m="1" x="3349"/>
        <item m="1" x="4748"/>
        <item m="1" x="5737"/>
        <item m="1" x="5207"/>
        <item m="1" x="6486"/>
        <item m="1" x="4755"/>
        <item m="1" x="4966"/>
        <item m="1" x="2911"/>
        <item m="1" x="4934"/>
        <item m="1" x="3680"/>
        <item m="1" x="3757"/>
        <item m="1" x="4619"/>
        <item m="1" x="4312"/>
        <item m="1" x="4980"/>
        <item m="1" x="5837"/>
        <item m="1" x="2720"/>
        <item m="1" x="7263"/>
        <item m="1" x="5754"/>
        <item m="1" x="7853"/>
        <item m="1" x="3785"/>
        <item m="1" x="7909"/>
        <item m="1" x="5300"/>
        <item m="1" x="6994"/>
        <item m="1" x="6431"/>
        <item m="1" x="3612"/>
        <item m="1" x="2616"/>
        <item m="1" x="4541"/>
        <item m="1" x="2621"/>
        <item m="1" x="7325"/>
        <item m="1" x="4165"/>
        <item m="1" x="6229"/>
        <item m="1" x="6121"/>
        <item m="1" x="6255"/>
        <item m="1" x="4467"/>
        <item m="1" x="3840"/>
        <item m="1" x="6023"/>
        <item m="1" x="6195"/>
        <item m="1" x="7139"/>
        <item m="1" x="2704"/>
        <item m="1" x="7424"/>
        <item m="1" x="7527"/>
        <item m="1" x="3768"/>
        <item m="1" x="3085"/>
        <item m="1" x="2612"/>
        <item m="1" x="2890"/>
        <item m="1" x="6590"/>
        <item m="1" x="3524"/>
        <item m="1" x="5717"/>
        <item m="1" x="4031"/>
        <item m="1" x="5290"/>
        <item m="1" x="4986"/>
        <item m="1" x="5876"/>
        <item m="1" x="4740"/>
        <item m="1" x="6884"/>
        <item m="1" x="4702"/>
        <item m="1" x="3608"/>
        <item m="1" x="6020"/>
        <item m="1" x="6494"/>
        <item m="1" x="5504"/>
        <item m="1" x="3508"/>
        <item m="1" x="4627"/>
        <item m="1" x="5056"/>
        <item m="1" x="6516"/>
        <item m="1" x="3698"/>
        <item m="1" x="7643"/>
        <item m="1" x="4120"/>
        <item m="1" x="6057"/>
        <item m="1" x="7704"/>
        <item m="1" x="6936"/>
        <item m="1" x="6633"/>
        <item m="1" x="5134"/>
        <item m="1" x="7648"/>
        <item m="1" x="4455"/>
        <item m="1" x="7692"/>
        <item m="1" x="5234"/>
        <item m="1" x="2624"/>
        <item m="1" x="3707"/>
        <item m="1" x="3972"/>
        <item m="1" x="3488"/>
        <item m="1" x="2665"/>
        <item m="1" x="3928"/>
        <item m="1" x="5537"/>
        <item m="1" x="4224"/>
        <item m="1" x="6060"/>
        <item m="1" x="6295"/>
        <item m="1" x="5186"/>
        <item m="1" x="4530"/>
        <item m="1" x="3138"/>
        <item m="1" x="4594"/>
        <item m="1" x="7141"/>
        <item m="1" x="3476"/>
        <item m="1" x="5332"/>
        <item m="1" x="4600"/>
        <item m="1" x="4139"/>
        <item m="1" x="7159"/>
        <item m="1" x="4022"/>
        <item m="1" x="6187"/>
        <item m="1" x="3328"/>
        <item m="1" x="6320"/>
        <item m="1" x="4226"/>
        <item m="1" x="5880"/>
        <item m="1" x="7095"/>
        <item m="1" x="6005"/>
        <item m="1" x="4390"/>
        <item m="1" x="6413"/>
        <item m="1" x="3195"/>
        <item m="1" x="6397"/>
        <item m="1" x="6395"/>
        <item m="1" x="4045"/>
        <item m="1" x="4773"/>
        <item m="1" x="4193"/>
        <item m="1" x="6454"/>
        <item m="1" x="3303"/>
        <item m="1" x="3222"/>
        <item m="1" x="3706"/>
        <item m="1" x="6899"/>
        <item m="1" x="6576"/>
        <item m="1" x="6753"/>
        <item m="1" x="3663"/>
        <item m="1" x="6922"/>
        <item m="1" x="3050"/>
        <item m="1" x="5237"/>
        <item m="1" x="3669"/>
        <item m="1" x="5128"/>
        <item m="1" x="5686"/>
        <item m="1" x="7133"/>
        <item m="1" x="5162"/>
        <item m="1" x="6616"/>
        <item m="1" x="7463"/>
        <item m="1" x="2673"/>
        <item m="1" x="5869"/>
        <item m="1" x="4615"/>
        <item m="1" x="6063"/>
        <item m="1" x="6202"/>
        <item m="1" x="6391"/>
        <item m="1" x="2899"/>
        <item m="1" x="6318"/>
        <item m="1" x="7023"/>
        <item m="1" x="4182"/>
        <item m="1" x="4490"/>
        <item m="1" x="2872"/>
        <item m="1" x="5138"/>
        <item m="1" x="2839"/>
        <item m="1" x="7235"/>
        <item m="1" x="3116"/>
        <item m="1" x="4156"/>
        <item m="1" x="3620"/>
        <item m="1" x="3884"/>
        <item m="1" x="6287"/>
        <item m="1" x="6311"/>
        <item m="1" x="5874"/>
        <item m="1" x="4782"/>
        <item m="1" x="2791"/>
        <item m="1" x="7144"/>
        <item m="1" x="7383"/>
        <item m="1" x="3312"/>
        <item m="1" x="4652"/>
        <item m="1" x="7797"/>
        <item m="1" x="7517"/>
        <item m="1" x="7050"/>
        <item m="1" x="6784"/>
        <item m="1" x="3006"/>
        <item m="1" x="4742"/>
        <item m="1" x="2750"/>
        <item m="1" x="3758"/>
        <item m="1" x="5906"/>
        <item m="1" x="7096"/>
        <item m="1" x="3847"/>
        <item m="1" x="6339"/>
        <item m="1" x="5496"/>
        <item m="1" x="4008"/>
        <item m="1" x="3048"/>
        <item m="1" x="6043"/>
        <item m="1" x="5889"/>
        <item m="1" x="6403"/>
        <item m="1" x="5428"/>
        <item m="1" x="2867"/>
        <item m="1" x="7823"/>
        <item m="1" x="4011"/>
        <item m="1" x="2957"/>
        <item m="1" x="6235"/>
        <item m="1" x="5985"/>
        <item m="1" x="4866"/>
        <item m="1" x="6369"/>
        <item m="1" x="3144"/>
        <item m="1" x="2766"/>
        <item m="1" x="3417"/>
        <item m="1" x="6132"/>
        <item m="1" x="3295"/>
        <item m="1" x="4017"/>
        <item m="1" x="5752"/>
        <item m="1" x="4618"/>
        <item m="1" x="5456"/>
        <item m="1" x="3372"/>
        <item m="1" x="5279"/>
        <item m="1" x="7171"/>
        <item m="1" x="4250"/>
        <item m="1" x="5420"/>
        <item m="1" x="3089"/>
        <item m="1" x="3249"/>
        <item m="1" x="4674"/>
        <item m="1" x="7958"/>
        <item m="1" x="5700"/>
        <item m="1" x="6740"/>
        <item m="1" x="3610"/>
        <item m="1" x="4234"/>
        <item m="1" x="7551"/>
        <item m="1" x="7259"/>
        <item m="1" x="7750"/>
        <item m="1" x="3650"/>
        <item m="1" x="5114"/>
        <item m="1" x="3830"/>
        <item m="1" x="3649"/>
        <item m="1" x="5722"/>
        <item m="1" x="3329"/>
        <item m="1" x="6877"/>
        <item m="1" x="5439"/>
        <item m="1" x="5026"/>
        <item m="1" x="6336"/>
        <item m="1" x="6219"/>
        <item m="1" x="4119"/>
        <item m="1" x="3386"/>
        <item m="1" x="6970"/>
        <item m="1" x="4190"/>
        <item m="1" x="3298"/>
        <item m="1" x="5058"/>
        <item m="1" x="7748"/>
        <item m="1" x="5174"/>
        <item m="1" x="6747"/>
        <item m="1" x="3941"/>
        <item m="1" x="3595"/>
        <item m="1" x="4850"/>
        <item m="1" x="7729"/>
        <item m="1" x="6832"/>
        <item m="1" x="3337"/>
        <item m="1" x="6047"/>
        <item m="1" x="6995"/>
        <item m="1" x="4086"/>
        <item m="1" x="3782"/>
        <item m="1" x="4888"/>
        <item m="1" x="6795"/>
        <item m="1" x="3567"/>
        <item m="1" x="3250"/>
        <item m="1" x="5514"/>
        <item m="1" x="6211"/>
        <item m="1" x="2799"/>
        <item m="1" x="7284"/>
        <item m="1" x="5220"/>
        <item m="1" x="2652"/>
        <item m="1" x="5059"/>
        <item m="1" x="2703"/>
        <item m="1" x="6445"/>
        <item m="1" x="5951"/>
        <item m="1" x="4958"/>
        <item m="1" x="2933"/>
        <item m="1" x="3505"/>
        <item m="1" x="4430"/>
        <item m="1" x="6497"/>
        <item m="1" x="3185"/>
        <item m="1" x="5021"/>
        <item m="1" x="7630"/>
        <item m="1" x="7618"/>
        <item m="1" x="4274"/>
        <item m="1" x="6329"/>
        <item m="1" x="7250"/>
        <item m="1" x="4626"/>
        <item m="1" x="7003"/>
        <item m="1" x="7575"/>
        <item m="1" x="6655"/>
        <item m="1" x="2870"/>
        <item m="1" x="7191"/>
        <item m="1" x="6801"/>
        <item m="1" x="5392"/>
        <item m="1" x="7432"/>
        <item m="1" x="4730"/>
        <item m="1" x="7782"/>
        <item m="1" x="4400"/>
        <item m="1" x="5247"/>
        <item m="1" x="4670"/>
        <item m="1" x="5366"/>
        <item m="1" x="5051"/>
        <item m="1" x="3458"/>
        <item m="1" x="5243"/>
        <item m="1" x="3989"/>
        <item m="1" x="7479"/>
        <item m="1" x="4856"/>
        <item m="1" x="4112"/>
        <item m="1" x="3209"/>
        <item m="1" x="5164"/>
        <item m="1" x="2895"/>
        <item m="1" x="5868"/>
        <item m="1" x="7975"/>
        <item m="1" x="5044"/>
        <item m="1" x="2746"/>
        <item m="1" x="3137"/>
        <item m="1" x="4513"/>
        <item m="1" x="5916"/>
        <item m="1" x="2934"/>
        <item m="1" x="4834"/>
        <item m="1" x="3626"/>
        <item m="1" x="7409"/>
        <item m="1" x="4160"/>
        <item m="1" x="7395"/>
        <item m="1" x="6239"/>
        <item m="1" x="4548"/>
        <item m="1" x="4291"/>
        <item m="1" x="2733"/>
        <item m="1" x="7198"/>
        <item m="1" x="2685"/>
        <item m="1" x="6522"/>
        <item m="1" x="7304"/>
        <item m="1" x="7821"/>
        <item m="1" x="6684"/>
        <item m="1" x="6223"/>
        <item m="1" x="3322"/>
        <item m="1" x="5954"/>
        <item m="1" x="3186"/>
        <item m="1" x="4203"/>
        <item m="1" x="4807"/>
        <item m="1" x="3101"/>
        <item m="1" x="4116"/>
        <item m="1" x="3139"/>
        <item m="1" x="7453"/>
        <item m="1" x="7301"/>
        <item m="1" x="6773"/>
        <item m="1" x="3993"/>
        <item m="1" x="3835"/>
        <item m="1" x="3983"/>
        <item m="1" x="2915"/>
        <item m="1" x="2994"/>
        <item m="1" x="3550"/>
        <item m="1" x="6523"/>
        <item m="1" x="3771"/>
        <item m="1" x="7047"/>
        <item m="1" x="7930"/>
        <item m="1" x="6910"/>
        <item m="1" x="6928"/>
        <item m="1" x="5486"/>
        <item m="1" x="2836"/>
        <item m="1" x="4048"/>
        <item m="1" x="4382"/>
        <item m="1" x="6948"/>
        <item m="1" x="4279"/>
        <item m="1" x="6492"/>
        <item m="1" x="4960"/>
        <item m="1" x="4329"/>
        <item m="1" x="5393"/>
        <item m="1" x="7042"/>
        <item m="1" x="4638"/>
        <item m="1" x="7736"/>
        <item m="1" x="2701"/>
        <item m="1" x="7830"/>
        <item m="1" x="5052"/>
        <item m="1" x="7425"/>
        <item m="1" x="3381"/>
        <item m="1" x="4769"/>
        <item m="1" x="6989"/>
        <item m="1" x="3359"/>
        <item m="1" x="4322"/>
        <item m="1" x="7408"/>
        <item m="1" x="6530"/>
        <item m="1" x="6460"/>
        <item m="1" x="6366"/>
        <item m="1" x="5653"/>
        <item m="1" x="2657"/>
        <item m="1" x="7594"/>
        <item m="1" x="4307"/>
        <item m="1" x="3638"/>
        <item m="1" x="7005"/>
        <item m="1" x="4167"/>
        <item m="1" x="5527"/>
        <item m="1" x="6558"/>
        <item m="1" x="4406"/>
        <item m="1" x="3743"/>
        <item m="1" x="4898"/>
        <item m="1" x="6979"/>
        <item m="1" x="6718"/>
        <item m="1" x="5228"/>
        <item m="1" x="4668"/>
        <item m="1" x="6002"/>
        <item m="1" x="3541"/>
        <item m="1" x="5879"/>
        <item m="1" x="3540"/>
        <item m="1" x="4387"/>
        <item m="1" x="4810"/>
        <item m="1" x="7956"/>
        <item m="1" x="3939"/>
        <item m="1" x="5771"/>
        <item m="1" x="4717"/>
        <item m="1" x="5048"/>
        <item m="1" x="7946"/>
        <item m="1" x="5768"/>
        <item m="1" x="6208"/>
        <item m="1" x="7285"/>
        <item m="1" x="3384"/>
        <item m="1" x="3809"/>
        <item m="1" x="6629"/>
        <item m="1" x="5972"/>
        <item m="1" x="4573"/>
        <item m="1" x="3023"/>
        <item m="1" x="5219"/>
        <item m="1" x="5149"/>
        <item m="1" x="2747"/>
        <item m="1" x="4346"/>
        <item m="1" x="7045"/>
        <item m="1" x="3059"/>
        <item m="1" x="7765"/>
        <item m="1" x="4145"/>
        <item m="1" x="2777"/>
        <item m="1" x="7466"/>
        <item m="1" x="2945"/>
        <item m="1" x="3367"/>
        <item m="1" x="3464"/>
        <item m="1" x="3118"/>
        <item m="1" x="5258"/>
        <item m="1" x="5472"/>
        <item m="1" x="3517"/>
        <item m="1" x="7421"/>
        <item m="1" x="4445"/>
        <item m="1" x="2822"/>
        <item m="1" x="5429"/>
        <item m="1" x="6622"/>
        <item m="1" x="5470"/>
        <item m="1" x="3189"/>
        <item m="1" x="7163"/>
        <item m="1" x="3277"/>
        <item m="1" x="3963"/>
        <item m="1" x="4774"/>
        <item m="1" x="2610"/>
        <item m="1" x="5833"/>
        <item m="1" x="3630"/>
        <item m="1" x="4067"/>
        <item m="1" x="7951"/>
        <item m="1" x="7356"/>
        <item m="1" x="7434"/>
        <item m="1" x="4687"/>
        <item m="1" x="6166"/>
        <item m="1" x="2995"/>
        <item m="1" x="7997"/>
        <item m="1" x="7805"/>
        <item m="1" x="3485"/>
        <item m="1" x="3934"/>
        <item m="1" x="7598"/>
        <item m="1" x="5436"/>
        <item m="1" x="5489"/>
        <item m="1" x="6209"/>
        <item m="1" x="4344"/>
        <item m="1" x="6338"/>
        <item m="1" x="4463"/>
        <item m="1" x="3107"/>
        <item m="1" x="6619"/>
        <item m="1" x="3136"/>
        <item m="1" x="6527"/>
        <item m="1" x="3580"/>
        <item m="1" x="4825"/>
        <item m="1" x="6696"/>
        <item m="1" x="4927"/>
        <item m="1" x="6660"/>
        <item m="1" x="6717"/>
        <item m="1" x="3376"/>
        <item m="1" x="2782"/>
        <item m="1" x="7194"/>
        <item m="1" x="5854"/>
        <item m="1" x="3916"/>
        <item m="1" x="3404"/>
        <item m="1" x="4443"/>
        <item m="1" x="4376"/>
        <item m="1" x="7247"/>
        <item m="1" x="7106"/>
        <item m="1" x="6874"/>
        <item m="1" x="4998"/>
        <item m="1" x="4820"/>
        <item m="1" x="7635"/>
        <item m="1" x="6556"/>
        <item m="1" x="4516"/>
        <item m="1" x="6755"/>
        <item m="1" x="3721"/>
        <item m="1" x="3149"/>
        <item m="1" x="5652"/>
        <item m="1" x="6962"/>
        <item m="1" x="7668"/>
        <item m="1" x="7879"/>
        <item m="1" x="4808"/>
        <item m="1" x="7493"/>
        <item m="1" x="5336"/>
        <item m="1" x="3881"/>
        <item m="1" x="7331"/>
        <item m="1" x="3833"/>
        <item m="1" x="3732"/>
        <item m="1" x="4446"/>
        <item m="1" x="5802"/>
        <item m="1" x="3762"/>
        <item m="1" x="7419"/>
        <item m="1" x="7282"/>
        <item m="1" x="4418"/>
        <item m="1" x="6182"/>
        <item m="1" x="7740"/>
        <item m="1" x="7271"/>
        <item m="1" x="7684"/>
        <item m="1" x="4451"/>
        <item m="1" x="6457"/>
        <item m="1" x="7793"/>
        <item m="1" x="3883"/>
        <item m="1" x="5169"/>
        <item m="1" x="7170"/>
        <item m="1" x="2741"/>
        <item m="1" x="7835"/>
        <item m="1" x="5934"/>
        <item m="1" x="7885"/>
        <item m="1" x="6089"/>
        <item m="1" x="5941"/>
        <item m="1" x="6975"/>
        <item m="1" x="4936"/>
        <item m="1" x="5073"/>
        <item m="1" x="6875"/>
        <item m="1" x="7872"/>
        <item m="1" x="3970"/>
        <item m="1" x="3046"/>
        <item m="1" x="4027"/>
        <item m="1" x="6892"/>
        <item m="1" x="6950"/>
        <item m="1" x="7142"/>
        <item m="1" x="6459"/>
        <item m="1" x="2897"/>
        <item m="1" x="5926"/>
        <item m="1" x="4480"/>
        <item m="1" x="3135"/>
        <item m="1" x="7076"/>
        <item m="1" x="2608"/>
        <item m="1" x="7283"/>
        <item m="1" x="5007"/>
        <item m="1" x="3309"/>
        <item m="1" x="5966"/>
        <item m="1" x="3718"/>
        <item m="1" x="3793"/>
        <item m="1" x="5000"/>
        <item m="1" x="5294"/>
        <item m="1" x="5049"/>
        <item m="1" x="6426"/>
        <item m="1" x="7279"/>
        <item m="1" x="5773"/>
        <item m="1" x="6791"/>
        <item m="1" x="7058"/>
        <item m="1" x="3320"/>
        <item m="1" x="2924"/>
        <item m="1" x="3545"/>
        <item m="1" x="7778"/>
        <item m="1" x="6789"/>
        <item m="1" x="3687"/>
        <item m="1" x="6957"/>
        <item m="1" x="7680"/>
        <item m="1" x="7291"/>
        <item m="1" x="4721"/>
        <item m="1" x="6511"/>
        <item m="1" x="3374"/>
        <item m="1" x="3028"/>
        <item m="1" x="4339"/>
        <item m="1" x="5312"/>
        <item m="1" x="3987"/>
        <item m="1" x="3344"/>
        <item m="1" x="7389"/>
        <item m="1" x="6050"/>
        <item m="1" x="7621"/>
        <item m="1" x="4505"/>
        <item m="1" x="5921"/>
        <item m="1" x="4881"/>
        <item m="1" x="4837"/>
        <item m="1" x="4188"/>
        <item m="1" x="3160"/>
        <item m="1" x="7218"/>
        <item m="1" x="3305"/>
        <item m="1" x="3446"/>
        <item m="1" x="6927"/>
        <item m="1" x="5038"/>
        <item m="1" x="4796"/>
        <item m="1" x="4816"/>
        <item m="1" x="5344"/>
        <item m="1" x="2749"/>
        <item m="1" x="3697"/>
        <item m="1" x="6260"/>
        <item m="1" x="2949"/>
        <item m="1" x="5340"/>
        <item m="1" x="5431"/>
        <item m="1" x="5405"/>
        <item m="1" x="5331"/>
        <item m="1" x="3070"/>
        <item m="1" x="4591"/>
        <item m="1" x="5806"/>
        <item m="1" x="3576"/>
        <item m="1" x="3063"/>
        <item m="1" x="5739"/>
        <item m="1" x="5725"/>
        <item m="1" x="3036"/>
        <item m="1" x="4488"/>
        <item m="1" x="4108"/>
        <item m="1" x="5786"/>
        <item m="1" x="7481"/>
        <item m="1" x="5654"/>
        <item m="1" x="4389"/>
        <item m="1" x="6534"/>
        <item m="1" x="6238"/>
        <item m="1" x="6568"/>
        <item m="1" x="5662"/>
        <item m="1" x="6410"/>
        <item m="1" x="3390"/>
        <item m="1" x="4785"/>
        <item m="1" x="7881"/>
        <item m="1" x="4348"/>
        <item m="1" x="3645"/>
        <item m="1" x="3114"/>
        <item m="1" x="5020"/>
        <item m="1" x="7803"/>
        <item m="1" x="5707"/>
        <item m="1" x="4436"/>
        <item m="1" x="5883"/>
        <item m="1" x="6508"/>
        <item m="1" x="6690"/>
        <item m="1" x="5560"/>
        <item m="1" x="4930"/>
        <item m="1" x="6788"/>
        <item m="1" x="6228"/>
        <item m="1" x="7582"/>
        <item m="1" x="3441"/>
        <item m="1" x="6142"/>
        <item m="1" x="4132"/>
        <item m="1" x="4211"/>
        <item m="1" x="2738"/>
        <item m="1" x="5547"/>
        <item m="1" x="6800"/>
        <item m="1" x="7368"/>
        <item m="1" x="6008"/>
        <item m="1" x="3270"/>
        <item m="1" x="7971"/>
        <item m="1" x="6088"/>
        <item m="1" x="5087"/>
        <item m="1" x="3986"/>
        <item m="1" x="7215"/>
        <item m="1" x="4839"/>
        <item m="1" x="6792"/>
        <item m="1" x="3247"/>
        <item m="1" x="6084"/>
        <item m="1" x="3043"/>
        <item m="1" x="7942"/>
        <item m="1" x="2752"/>
        <item m="1" x="4325"/>
        <item m="1" x="7615"/>
        <item m="1" x="6893"/>
        <item m="1" x="5297"/>
        <item m="1" x="3667"/>
        <item m="1" x="6477"/>
        <item m="1" x="6163"/>
        <item m="1" x="5292"/>
        <item m="1" x="6427"/>
        <item m="1" x="7894"/>
        <item m="1" x="4977"/>
        <item m="1" x="2939"/>
        <item m="1" x="3745"/>
        <item m="1" x="4780"/>
        <item m="1" x="6525"/>
        <item m="1" x="6203"/>
        <item m="1" x="7645"/>
        <item m="1" x="7574"/>
        <item m="1" x="5973"/>
        <item m="1" x="3145"/>
        <item m="1" x="3641"/>
        <item m="1" x="3389"/>
        <item m="1" x="5444"/>
        <item m="1" x="6007"/>
        <item m="1" x="3739"/>
        <item m="1" x="7940"/>
        <item m="1" x="7176"/>
        <item m="1" x="3439"/>
        <item m="1" x="3730"/>
        <item m="1" x="4891"/>
        <item m="1" x="7727"/>
        <item m="1" x="6016"/>
        <item m="1" x="6434"/>
        <item m="1" x="7728"/>
        <item m="1" x="7786"/>
        <item m="1" x="4598"/>
        <item m="1" x="7040"/>
        <item m="1" x="7887"/>
        <item m="1" x="6657"/>
        <item m="1" x="6277"/>
        <item m="1" x="7990"/>
        <item m="1" x="6966"/>
        <item m="1" x="7497"/>
        <item m="1" x="6719"/>
        <item m="1" x="7920"/>
        <item m="1" x="5859"/>
        <item m="1" x="5004"/>
        <item m="1" x="5017"/>
        <item m="1" x="3781"/>
        <item m="1" x="3196"/>
        <item m="1" x="7344"/>
        <item m="1" x="3552"/>
        <item m="1" x="3462"/>
        <item m="1" x="3907"/>
        <item m="1" x="7124"/>
        <item m="1" x="6289"/>
        <item m="1" x="5905"/>
        <item m="1" x="3067"/>
        <item m="1" x="3103"/>
        <item m="1" x="5847"/>
        <item m="1" x="3082"/>
        <item m="1" x="5619"/>
        <item m="1" x="6490"/>
        <item m="1" x="3493"/>
        <item m="1" x="7530"/>
        <item m="1" x="6819"/>
        <item m="1" x="7410"/>
        <item m="1" x="4734"/>
        <item m="1" x="5901"/>
        <item m="1" x="2986"/>
        <item m="1" x="7617"/>
        <item m="1" x="7336"/>
        <item m="1" x="3220"/>
        <item m="1" x="2864"/>
        <item m="1" x="4337"/>
        <item m="1" x="2844"/>
        <item m="1" x="4121"/>
        <item m="1" x="4079"/>
        <item m="1" x="3949"/>
        <item m="1" x="3846"/>
        <item m="1" x="5116"/>
        <item m="1" x="4409"/>
        <item m="1" x="2880"/>
        <item m="1" x="7988"/>
        <item m="1" x="7839"/>
        <item m="1" x="7315"/>
        <item m="1" x="6461"/>
        <item m="1" x="6515"/>
        <item m="1" x="5346"/>
        <item m="1" x="6479"/>
        <item m="1" x="7087"/>
        <item m="1" x="4185"/>
        <item m="1" x="4524"/>
        <item m="1" x="2914"/>
        <item m="1" x="5908"/>
        <item m="1" x="5647"/>
        <item m="1" x="4602"/>
        <item m="1" x="7225"/>
        <item m="1" x="4676"/>
        <item m="1" x="4718"/>
        <item m="1" x="6561"/>
        <item m="1" x="2926"/>
        <item m="1" x="2916"/>
        <item m="1" x="6368"/>
        <item m="1" x="6226"/>
        <item m="1" x="4634"/>
        <item m="1" x="2651"/>
        <item m="1" x="2690"/>
        <item m="1" x="3180"/>
        <item m="1" x="5347"/>
        <item m="1" x="5342"/>
        <item m="1" x="6814"/>
        <item m="1" x="3099"/>
        <item m="1" x="6026"/>
        <item m="1" x="3056"/>
        <item m="1" x="5367"/>
        <item m="1" x="3310"/>
        <item m="1" x="4432"/>
        <item m="1" x="7490"/>
        <item m="1" x="5783"/>
        <item m="1" x="6138"/>
        <item m="1" x="5573"/>
        <item m="1" x="4665"/>
        <item m="1" x="7542"/>
        <item m="1" x="6114"/>
        <item m="1" x="3990"/>
        <item m="1" x="4621"/>
        <item m="1" x="3789"/>
        <item m="1" x="4546"/>
        <item m="1" x="4097"/>
        <item m="1" x="4711"/>
        <item m="1" x="7034"/>
        <item m="1" x="6070"/>
        <item m="1" x="5071"/>
        <item m="1" x="6275"/>
        <item m="1" x="6158"/>
        <item m="1" x="5811"/>
        <item m="1" x="5419"/>
        <item m="1" x="5018"/>
        <item m="1" x="3647"/>
        <item m="1" x="4191"/>
        <item m="1" x="5027"/>
        <item m="1" x="4220"/>
        <item m="1" x="5261"/>
        <item m="1" x="7238"/>
        <item m="1" x="3860"/>
        <item m="1" x="5354"/>
        <item m="1" x="7044"/>
        <item m="1" x="4790"/>
        <item m="1" x="5502"/>
        <item m="1" x="4614"/>
        <item m="1" x="7274"/>
        <item m="1" x="4812"/>
        <item m="1" x="5900"/>
        <item m="1" x="3694"/>
        <item m="1" x="5765"/>
        <item m="1" x="4460"/>
        <item m="1" x="7739"/>
        <item m="1" x="6598"/>
        <item m="1" x="5682"/>
        <item m="1" x="6316"/>
        <item m="1" x="5532"/>
        <item m="1" x="4392"/>
        <item m="1" x="5860"/>
        <item m="1" x="7860"/>
        <item m="1" x="7501"/>
        <item m="1" x="4552"/>
        <item m="1" x="3895"/>
        <item m="1" x="7567"/>
        <item m="1" x="5808"/>
        <item m="1" x="3285"/>
        <item m="1" x="5569"/>
        <item m="1" x="5552"/>
        <item m="1" x="2961"/>
        <item m="1" x="3435"/>
        <item m="1" x="5580"/>
        <item m="1" x="6697"/>
        <item m="1" x="4873"/>
        <item m="1" x="5311"/>
        <item m="1" x="5473"/>
        <item m="1" x="5202"/>
        <item m="1" x="3658"/>
        <item m="1" x="3480"/>
        <item m="1" x="4922"/>
        <item m="1" x="5699"/>
        <item m="1" x="6878"/>
        <item m="1" x="7741"/>
        <item m="1" x="6240"/>
        <item m="1" x="2827"/>
        <item m="1" x="3538"/>
        <item m="1" x="3302"/>
        <item m="1" x="7230"/>
        <item m="1" x="4650"/>
        <item m="1" x="4560"/>
        <item m="1" x="6887"/>
        <item m="1" x="3777"/>
        <item m="1" x="7498"/>
        <item m="1" x="5708"/>
        <item m="1" x="7910"/>
        <item m="1" x="3419"/>
        <item m="1" x="3560"/>
        <item m="1" x="3957"/>
        <item m="1" x="6120"/>
        <item m="1" x="4130"/>
        <item m="1" x="4725"/>
        <item m="1" x="5222"/>
        <item m="1" x="6654"/>
        <item m="1" x="3033"/>
        <item m="1" x="3280"/>
        <item m="1" x="7553"/>
        <item m="1" x="4056"/>
        <item m="1" x="3416"/>
        <item m="1" x="3152"/>
        <item m="1" x="4988"/>
        <item m="1" x="3073"/>
        <item m="1" x="6399"/>
        <item m="1" x="4137"/>
        <item m="1" x="6495"/>
        <item m="1" x="6804"/>
        <item m="1" x="4868"/>
        <item m="1" x="7016"/>
        <item m="1" x="3825"/>
        <item m="1" x="4709"/>
        <item m="1" x="3497"/>
        <item m="1" x="5348"/>
        <item m="1" x="5995"/>
        <item m="1" x="5576"/>
        <item m="1" x="2734"/>
        <item m="1" x="4609"/>
        <item m="1" x="3181"/>
        <item m="1" x="6787"/>
        <item m="1" x="3921"/>
        <item m="1" x="5352"/>
        <item m="1" x="7566"/>
        <item m="1" x="3863"/>
        <item m="1" x="4393"/>
        <item m="1" x="3409"/>
        <item m="1" x="5633"/>
        <item m="1" x="5697"/>
        <item m="1" x="6359"/>
        <item m="1" x="5165"/>
        <item m="1" x="3478"/>
        <item m="1" x="4642"/>
        <item m="1" x="3203"/>
        <item m="1" x="7164"/>
        <item m="1" x="3839"/>
        <item m="1" x="4496"/>
        <item m="1" x="3515"/>
        <item m="1" x="3583"/>
        <item m="1" x="3530"/>
        <item m="1" x="3487"/>
        <item m="1" x="6364"/>
        <item m="1" x="4021"/>
        <item m="1" x="6985"/>
        <item m="1" x="4910"/>
        <item m="1" x="6693"/>
        <item m="1" x="3811"/>
        <item m="1" x="3088"/>
        <item m="1" x="3607"/>
        <item m="1" x="6620"/>
        <item m="1" x="3668"/>
        <item m="1" x="7010"/>
        <item m="1" x="5523"/>
        <item m="1" x="7293"/>
        <item m="1" x="3586"/>
        <item m="1" x="6817"/>
        <item m="1" x="4459"/>
        <item m="1" x="3325"/>
        <item m="1" x="7634"/>
        <item m="1" x="6999"/>
        <item m="1" x="6678"/>
        <item m="1" x="5646"/>
        <item m="1" x="6323"/>
        <item m="1" x="7715"/>
        <item m="1" x="7185"/>
        <item m="1" x="4219"/>
        <item m="1" x="5604"/>
        <item m="1" x="5735"/>
        <item m="1" x="4303"/>
        <item m="1" x="5053"/>
        <item m="1" x="7644"/>
        <item m="1" x="7702"/>
        <item m="1" x="4216"/>
        <item m="1" x="4349"/>
        <item m="1" x="7364"/>
        <item m="1" x="7357"/>
        <item m="1" x="4470"/>
        <item m="1" x="2956"/>
        <item m="1" x="4362"/>
        <item m="1" x="5081"/>
        <item m="1" x="5154"/>
        <item m="1" x="7855"/>
        <item m="1" x="3178"/>
        <item m="1" x="6547"/>
        <item m="1" x="4666"/>
        <item m="1" x="4947"/>
        <item m="1" x="6035"/>
        <item m="1" x="7241"/>
        <item m="1" x="7038"/>
        <item m="1" x="7020"/>
        <item m="1" x="3798"/>
        <item m="1" x="6248"/>
        <item m="1" x="3714"/>
        <item m="1" x="2838"/>
        <item m="1" x="5394"/>
        <item m="1" x="3173"/>
        <item m="1" x="2881"/>
        <item m="1" x="2780"/>
        <item m="1" x="7994"/>
        <item m="1" x="2793"/>
        <item m="1" x="7581"/>
        <item m="1" x="7817"/>
        <item m="1" x="5309"/>
        <item m="1" x="5666"/>
        <item m="1" x="3197"/>
        <item m="1" x="3873"/>
        <item m="1" x="4586"/>
        <item m="1" x="2671"/>
        <item m="1" x="5462"/>
        <item m="1" x="3350"/>
        <item m="1" x="4536"/>
        <item m="1" x="5939"/>
        <item m="1" x="4928"/>
        <item m="1" x="5723"/>
        <item m="1" x="4603"/>
        <item m="1" x="2834"/>
        <item m="1" x="5597"/>
        <item m="1" x="2951"/>
        <item m="1" x="7919"/>
        <item m="1" x="5714"/>
        <item m="1" x="4249"/>
        <item m="1" x="2698"/>
        <item m="1" x="5400"/>
        <item m="1" x="5484"/>
        <item m="1" x="4689"/>
        <item m="1" x="5384"/>
        <item m="1" x="5047"/>
        <item m="1" x="6729"/>
        <item m="1" x="6385"/>
        <item m="1" x="4014"/>
        <item m="1" x="5509"/>
        <item m="1" x="2920"/>
        <item m="1" x="7720"/>
        <item m="1" x="3472"/>
        <item m="1" x="5006"/>
        <item m="1" x="7730"/>
        <item m="1" x="4422"/>
        <item m="1" x="6438"/>
        <item m="1" x="5530"/>
        <item m="1" x="6725"/>
        <item m="1" x="7265"/>
        <item m="1" x="6507"/>
        <item m="1" x="4848"/>
        <item m="1" x="5187"/>
        <item m="1" x="7048"/>
        <item m="1" x="5183"/>
        <item m="1" x="4802"/>
        <item m="1" x="3652"/>
        <item m="1" x="4271"/>
        <item m="1" x="5563"/>
        <item m="1" x="5208"/>
        <item m="1" x="4002"/>
        <item m="1" x="7832"/>
        <item m="1" x="6672"/>
        <item m="1" x="4651"/>
        <item m="1" x="2977"/>
        <item m="1" x="4159"/>
        <item m="1" x="6458"/>
        <item m="1" x="6743"/>
        <item m="1" x="7057"/>
        <item m="1" x="6699"/>
        <item m="1" x="2650"/>
        <item m="1" x="6714"/>
        <item m="1" x="3992"/>
        <item m="1" x="3215"/>
        <item m="1" x="5766"/>
        <item m="1" x="5271"/>
        <item m="1" x="4731"/>
        <item m="1" x="2605"/>
        <item m="1" x="6749"/>
        <item m="1" x="5077"/>
        <item m="1" x="7874"/>
        <item m="1" x="4661"/>
        <item m="1" x="6418"/>
        <item m="1" x="7458"/>
        <item m="1" x="5338"/>
        <item m="1" x="7578"/>
        <item m="1" x="4906"/>
        <item m="1" x="4378"/>
        <item m="1" x="5173"/>
        <item m="1" x="2849"/>
        <item m="1" x="3796"/>
        <item m="1" x="7955"/>
        <item m="1" x="4023"/>
        <item m="1" x="3933"/>
        <item m="1" x="5542"/>
        <item m="1" x="3150"/>
        <item m="1" x="6079"/>
        <item m="1" x="7738"/>
        <item m="1" x="4335"/>
        <item m="1" x="6190"/>
        <item m="1" x="2805"/>
        <item m="1" x="4057"/>
        <item m="1" x="3184"/>
        <item m="1" x="2858"/>
        <item m="1" x="4340"/>
        <item m="1" x="3609"/>
        <item m="1" x="5777"/>
        <item m="1" x="6850"/>
        <item m="1" x="7273"/>
        <item m="1" x="5200"/>
        <item m="1" x="7161"/>
        <item m="1" x="4114"/>
        <item m="1" x="7708"/>
        <item m="1" x="6398"/>
        <item m="1" x="5083"/>
        <item m="1" x="2783"/>
        <item m="1" x="7442"/>
        <item m="1" x="3368"/>
        <item m="1" x="3696"/>
        <item m="1" x="4964"/>
        <item m="1" x="3266"/>
        <item m="1" x="6400"/>
        <item m="1" x="4605"/>
        <item m="1" x="4886"/>
        <item m="1" x="3140"/>
        <item m="1" x="5968"/>
        <item m="1" x="6807"/>
        <item m="1" x="2809"/>
        <item m="1" x="6544"/>
        <item m="1" x="3221"/>
        <item m="1" x="6712"/>
        <item m="1" x="4861"/>
        <item m="1" x="2962"/>
        <item m="1" x="2629"/>
        <item m="1" x="4380"/>
        <item m="1" x="5930"/>
        <item m="1" x="6545"/>
        <item m="1" x="4484"/>
        <item m="1" x="4066"/>
        <item m="1" x="5553"/>
        <item m="1" x="4415"/>
        <item m="1" x="6321"/>
        <item m="1" x="7775"/>
        <item m="1" x="6003"/>
        <item m="1" x="6679"/>
        <item m="1" x="5690"/>
        <item m="1" x="7723"/>
        <item m="1" x="4669"/>
        <item m="1" x="7907"/>
        <item m="1" x="7525"/>
        <item m="1" x="7358"/>
        <item m="1" x="7815"/>
        <item m="1" x="6636"/>
        <item m="1" x="4364"/>
        <item m="1" x="7328"/>
        <item m="1" x="4148"/>
        <item m="1" x="4304"/>
        <item m="1" x="7018"/>
        <item m="1" x="2770"/>
        <item m="1" x="7311"/>
        <item m="1" x="6851"/>
        <item m="1" x="6924"/>
        <item m="1" x="6332"/>
        <item m="1" x="3648"/>
        <item m="1" x="3679"/>
        <item m="1" x="4878"/>
        <item m="1" x="5590"/>
        <item m="1" x="7169"/>
        <item m="1" x="3491"/>
        <item m="1" x="2852"/>
        <item m="1" x="4172"/>
        <item m="1" x="4386"/>
        <item m="1" x="2871"/>
        <item m="1" x="7943"/>
        <item m="1" x="6883"/>
        <item m="1" x="4363"/>
        <item m="1" x="5829"/>
        <item m="1" x="7004"/>
        <item m="1" x="5611"/>
        <item m="1" x="6086"/>
        <item m="1" x="6237"/>
        <item m="1" x="5668"/>
        <item m="1" x="6956"/>
        <item m="1" x="4099"/>
        <item m="1" x="7216"/>
        <item m="1" x="4515"/>
        <item m="1" x="3912"/>
        <item m="1" x="3321"/>
        <item m="1" x="3878"/>
        <item m="1" x="3838"/>
        <item m="1" x="3109"/>
        <item m="1" x="6879"/>
        <item m="1" x="4025"/>
        <item m="1" x="3190"/>
        <item m="1" x="6446"/>
        <item m="1" x="4015"/>
        <item m="1" x="3579"/>
        <item m="1" x="3927"/>
        <item m="1" x="7054"/>
        <item m="1" x="4851"/>
        <item m="1" x="2821"/>
        <item m="1" x="7430"/>
        <item m="1" x="5764"/>
        <item m="1" x="5129"/>
        <item m="1" x="2723"/>
        <item m="1" x="4613"/>
        <item m="1" x="4595"/>
        <item m="1" x="7685"/>
        <item m="1" x="3568"/>
        <item m="1" x="4355"/>
        <item m="1" x="2991"/>
        <item m="1" x="4899"/>
        <item m="1" x="3643"/>
        <item m="1" x="3331"/>
        <item m="1" x="6930"/>
        <item m="1" x="7494"/>
        <item m="1" x="5464"/>
        <item m="1" x="5295"/>
        <item m="1" x="4462"/>
        <item m="1" x="4830"/>
        <item m="1" x="5713"/>
        <item m="1" x="6728"/>
        <item m="1" x="3242"/>
        <item m="1" x="3499"/>
        <item m="1" x="5223"/>
        <item m="1" x="6903"/>
        <item m="1" x="6724"/>
        <item m="1" x="7691"/>
        <item m="1" x="4245"/>
        <item m="1" x="5395"/>
        <item m="1" x="6815"/>
        <item m="1" x="7694"/>
        <item m="1" x="2835"/>
        <item m="1" x="5819"/>
        <item m="1" x="3074"/>
        <item m="1" x="7165"/>
        <item m="1" x="3547"/>
        <item m="1" x="7399"/>
        <item m="1" x="6044"/>
        <item m="1" x="6206"/>
        <item m="1" x="3253"/>
        <item m="1" x="3399"/>
        <item m="1" x="4417"/>
        <item m="1" x="2627"/>
        <item m="1" x="7944"/>
        <item m="1" x="4044"/>
        <item m="1" x="7666"/>
        <item m="1" x="4260"/>
        <item m="1" x="5526"/>
        <item m="1" x="7902"/>
        <item m="1" x="4704"/>
        <item m="1" x="6250"/>
        <item m="1" x="2680"/>
        <item m="1" x="6911"/>
        <item m="1" x="6100"/>
        <item m="1" x="4580"/>
        <item m="1" x="6623"/>
        <item m="1" x="4791"/>
        <item m="1" x="5080"/>
        <item m="1" x="7552"/>
        <item m="1" x="3903"/>
        <item m="1" x="3969"/>
        <item m="1" x="7402"/>
        <item m="1" x="3049"/>
        <item m="1" x="3892"/>
        <item m="1" x="4764"/>
        <item m="1" x="4703"/>
        <item m="1" x="6389"/>
        <item m="1" x="6597"/>
        <item m="1" x="3590"/>
        <item m="1" x="7287"/>
        <item m="1" x="6710"/>
        <item m="1" x="4862"/>
        <item m="1" x="7393"/>
        <item m="1" x="6566"/>
        <item m="1" x="7146"/>
        <item m="1" x="7521"/>
        <item m="1" x="7431"/>
        <item m="1" x="3256"/>
        <item m="1" x="7639"/>
        <item m="1" x="3313"/>
        <item m="1" x="6947"/>
        <item m="1" x="4373"/>
        <item m="1" x="7369"/>
        <item m="1" x="4819"/>
        <item m="1" x="6968"/>
        <item m="1" x="5296"/>
        <item m="1" x="6376"/>
        <item m="1" x="5368"/>
        <item m="1" x="2972"/>
        <item m="1" x="4256"/>
        <item m="1" x="3341"/>
        <item m="1" x="2802"/>
        <item m="1" x="5353"/>
        <item m="1" x="7196"/>
        <item m="1" x="6061"/>
        <item m="1" x="6456"/>
        <item m="1" x="4579"/>
        <item m="1" x="7469"/>
        <item m="1" x="7531"/>
        <item m="1" x="4458"/>
        <item m="1" x="4372"/>
        <item m="1" x="5423"/>
        <item m="1" x="7367"/>
        <item m="1" x="5636"/>
        <item m="1" x="5555"/>
        <item m="1" x="6638"/>
        <item m="1" x="5277"/>
        <item m="1" x="3246"/>
        <item m="1" x="5434"/>
        <item m="1" x="7838"/>
        <item m="1" x="6983"/>
        <item m="1" x="4944"/>
        <item m="1" x="5401"/>
        <item m="1" x="6196"/>
        <item m="1" x="4781"/>
        <item m="1" x="5592"/>
        <item m="1" x="3014"/>
        <item m="1" x="7675"/>
        <item m="1" x="7689"/>
        <item m="1" x="3754"/>
        <item m="1" x="4442"/>
        <item m="1" x="7006"/>
        <item m="1" x="6811"/>
        <item m="1" x="3342"/>
        <item m="1" x="3148"/>
        <item m="1" x="4414"/>
        <item m="1" x="4624"/>
        <item m="1" x="2854"/>
        <item m="1" x="6210"/>
        <item m="1" x="7347"/>
        <item m="1" x="2826"/>
        <item m="1" x="6205"/>
        <item m="1" x="4357"/>
        <item m="1" x="5927"/>
        <item m="1" x="6360"/>
        <item m="1" x="6111"/>
        <item m="1" x="3394"/>
        <item m="1" x="3587"/>
        <item m="1" x="6421"/>
        <item m="1" x="3874"/>
        <item m="1" x="4990"/>
        <item m="1" x="6109"/>
        <item m="1" x="6437"/>
        <item m="1" x="2878"/>
        <item m="1" x="7158"/>
        <item m="1" x="5660"/>
        <item m="1" x="3044"/>
        <item m="1" x="3281"/>
        <item m="1" x="7555"/>
        <item m="1" x="6677"/>
        <item m="1" x="2819"/>
        <item m="1" x="5518"/>
        <item m="1" x="6243"/>
        <item m="1" x="5899"/>
        <item m="1" x="3925"/>
        <item m="1" x="6443"/>
        <item m="1" x="6834"/>
        <item m="1" x="7093"/>
        <item m="1" x="4265"/>
        <item m="1" x="7847"/>
        <item m="1" x="6394"/>
        <item m="1" x="3603"/>
        <item m="1" x="4338"/>
        <item m="1" x="2669"/>
        <item m="1" x="4765"/>
        <item m="1" x="6071"/>
        <item m="1" x="6586"/>
        <item m="1" x="7660"/>
        <item m="1" x="6021"/>
        <item m="1" x="4588"/>
        <item m="1" x="7993"/>
        <item m="1" x="3072"/>
        <item m="1" x="6186"/>
        <item m="1" x="5817"/>
        <item m="1" x="7925"/>
        <item m="1" x="7771"/>
        <item m="1" x="7787"/>
        <item m="1" x="5681"/>
        <item m="1" x="3922"/>
        <item m="1" x="3108"/>
        <item m="1" x="7987"/>
        <item m="1" x="4892"/>
        <item m="1" x="6652"/>
        <item m="1" x="5693"/>
        <item m="1" x="6776"/>
        <item m="1" x="3201"/>
        <item m="1" x="3018"/>
        <item m="1" x="7936"/>
        <item m="1" x="2646"/>
        <item m="1" x="6917"/>
        <item m="1" x="5492"/>
        <item m="1" x="6234"/>
        <item m="1" x="4118"/>
        <item m="1" x="7303"/>
        <item m="1" x="7856"/>
        <item m="1" x="7695"/>
        <item m="1" x="6939"/>
        <item m="1" x="6840"/>
        <item m="1" x="5891"/>
        <item m="1" x="7471"/>
        <item m="1" x="6765"/>
        <item m="1" x="4187"/>
        <item m="1" x="2722"/>
        <item m="1" x="4673"/>
        <item m="1" x="5457"/>
        <item m="1" x="5148"/>
        <item m="1" x="3908"/>
        <item m="1" x="3936"/>
        <item m="1" x="4352"/>
        <item m="1" x="7129"/>
        <item m="1" x="7878"/>
        <item m="1" x="4972"/>
        <item m="1" x="5534"/>
        <item m="1" x="5233"/>
        <item m="1" x="2697"/>
        <item m="1" x="6059"/>
        <item m="1" x="4875"/>
        <item m="1" x="7798"/>
        <item m="1" x="4273"/>
        <item m="1" x="5909"/>
        <item m="1" x="2874"/>
        <item m="1" x="4391"/>
        <item m="1" x="6078"/>
        <item m="1" x="4461"/>
        <item m="1" x="7178"/>
        <item m="1" x="7831"/>
        <item m="1" x="3127"/>
        <item m="1" x="4843"/>
        <item m="1" x="3236"/>
        <item m="1" x="4474"/>
        <item m="1" x="5231"/>
        <item m="1" x="7381"/>
        <item m="1" x="6775"/>
        <item m="1" x="2832"/>
        <item m="1" x="6880"/>
        <item m="1" x="3585"/>
        <item m="1" x="6881"/>
        <item m="1" x="5961"/>
        <item m="1" x="3724"/>
        <item m="1" x="7017"/>
        <item m="1" x="3471"/>
        <item m="1" x="2795"/>
        <item m="1" x="7114"/>
        <item m="1" x="6861"/>
        <item m="1" x="7558"/>
        <item m="1" x="6263"/>
        <item m="1" x="7565"/>
        <item m="1" x="7153"/>
        <item m="1" x="6247"/>
        <item m="1" x="6430"/>
        <item m="1" x="7375"/>
        <item m="1" x="6192"/>
        <item m="1" x="7844"/>
        <item m="1" x="5536"/>
        <item m="1" x="5641"/>
        <item m="1" x="2862"/>
        <item m="1" x="4058"/>
        <item m="1" x="6249"/>
        <item m="1" x="2999"/>
        <item m="1" x="7777"/>
        <item m="1" x="5131"/>
        <item m="1" x="3849"/>
        <item m="1" x="6052"/>
        <item m="1" x="7222"/>
        <item m="1" x="7799"/>
        <item m="1" x="3918"/>
        <item m="1" x="3287"/>
        <item m="1" x="5814"/>
        <item m="1" x="5638"/>
        <item m="1" x="4931"/>
        <item m="1" x="7031"/>
        <item m="1" x="3565"/>
        <item m="1" x="6441"/>
        <item m="1" x="5742"/>
        <item m="1" x="6113"/>
        <item m="1" x="5089"/>
        <item m="1" x="4473"/>
        <item m="1" x="6033"/>
        <item m="1" x="3674"/>
        <item m="1" x="4772"/>
        <item m="1" x="3899"/>
        <item m="1" x="4737"/>
        <item m="1" x="6365"/>
        <item m="1" x="5282"/>
        <item m="1" x="4093"/>
        <item m="1" x="3729"/>
        <item m="1" x="6266"/>
        <item m="1" x="6592"/>
        <item m="1" x="2774"/>
        <item m="1" x="2706"/>
        <item m="1" x="3308"/>
        <item m="1" x="5895"/>
        <item m="1" x="4133"/>
        <item m="1" x="4504"/>
        <item m="1" x="3012"/>
        <item m="1" x="5109"/>
        <item m="1" x="4140"/>
        <item m="1" x="3146"/>
        <item m="1" x="3776"/>
        <item m="1" x="4091"/>
        <item m="1" x="7433"/>
        <item m="1" x="4342"/>
        <item m="1" x="5398"/>
        <item m="1" x="4506"/>
        <item m="1" x="4636"/>
        <item m="1" x="7669"/>
        <item m="1" x="7506"/>
        <item m="1" x="2965"/>
        <item m="1" x="3064"/>
        <item m="1" x="5753"/>
        <item m="1" x="6053"/>
        <item m="1" x="7449"/>
        <item m="1" x="3622"/>
        <item m="1" x="5093"/>
        <item m="1" x="7416"/>
        <item m="1" x="7062"/>
        <item m="1" x="7392"/>
        <item m="1" x="7905"/>
        <item m="1" x="5615"/>
        <item m="1" x="4447"/>
        <item m="1" x="3304"/>
        <item m="1" x="7327"/>
        <item m="1" x="7205"/>
        <item m="1" x="4655"/>
        <item m="1" x="4144"/>
        <item m="1" x="4381"/>
        <item m="1" x="7213"/>
        <item m="1" x="4867"/>
        <item m="1" x="6602"/>
        <item m="1" x="7952"/>
        <item m="1" x="5528"/>
        <item m="1" x="2672"/>
        <item m="1" x="6011"/>
        <item m="1" x="7845"/>
        <item m="1" x="5471"/>
        <item m="1" x="4243"/>
        <item m="1" x="4732"/>
        <item m="1" x="6548"/>
        <item m="1" x="3859"/>
        <item m="1" x="7134"/>
        <item m="1" x="6031"/>
        <item m="1" x="7181"/>
        <item m="1" x="5747"/>
        <item m="1" x="6379"/>
        <item m="1" x="7292"/>
        <item m="1" x="3891"/>
        <item m="1" x="7338"/>
        <item m="1" x="6793"/>
        <item m="1" x="3412"/>
        <item m="1" x="3383"/>
        <item m="1" x="7406"/>
        <item m="1" x="7173"/>
        <item m="1" x="7613"/>
        <item m="1" x="3392"/>
        <item m="1" x="2969"/>
        <item m="1" x="6068"/>
        <item m="1" x="5152"/>
        <item m="1" x="3716"/>
        <item m="1" x="7981"/>
        <item m="1" x="4544"/>
        <item m="1" x="3518"/>
        <item m="1" x="5691"/>
        <item m="1" x="3901"/>
        <item m="1" x="6285"/>
        <item m="1" x="7081"/>
        <item m="1" x="6671"/>
        <item m="1" x="5677"/>
        <item m="1" x="6781"/>
        <item m="1" x="5986"/>
        <item m="1" x="3722"/>
        <item m="1" x="3827"/>
        <item m="1" x="4261"/>
        <item m="1" x="3985"/>
        <item m="1" x="2863"/>
        <item m="1" x="7677"/>
        <item m="1" x="6056"/>
        <item m="1" x="4534"/>
        <item m="1" x="2833"/>
        <item m="1" x="3075"/>
        <item m="1" x="4897"/>
        <item m="1" x="5925"/>
        <item m="1" x="5741"/>
        <item m="1" x="6337"/>
        <item m="1" x="7342"/>
        <item m="1" x="7826"/>
        <item m="1" x="5426"/>
        <item m="1" x="5712"/>
        <item m="1" x="7029"/>
        <item m="1" x="5307"/>
        <item m="1" x="6557"/>
        <item m="1" x="5257"/>
        <item m="1" x="5498"/>
        <item m="1" x="4106"/>
        <item m="1" x="7333"/>
        <item m="1" x="6976"/>
        <item m="1" x="5422"/>
        <item m="1" x="4284"/>
        <item m="1" x="4162"/>
        <item m="1" x="4257"/>
        <item m="1" x="7217"/>
        <item m="1" x="3110"/>
        <item m="1" x="3282"/>
        <item m="1" x="3445"/>
        <item m="1" x="5850"/>
        <item m="1" x="3784"/>
        <item m="1" x="6246"/>
        <item m="1" x="7452"/>
        <item m="1" x="3125"/>
        <item m="1" x="7314"/>
        <item m="1" x="2664"/>
        <item m="1" x="3029"/>
        <item m="1" x="3775"/>
        <item m="1" x="3336"/>
        <item m="1" x="7109"/>
        <item m="1" x="5698"/>
        <item m="1" x="6101"/>
        <item m="1" x="5621"/>
        <item m="1" x="6127"/>
        <item m="1" x="5305"/>
        <item m="1" x="7716"/>
        <item m="1" x="6778"/>
        <item m="1" x="3909"/>
        <item m="1" x="7535"/>
        <item m="1" x="4880"/>
        <item m="1" x="6017"/>
        <item m="1" x="6935"/>
        <item m="1" x="4388"/>
        <item m="1" x="2776"/>
        <item m="1" x="7966"/>
        <item m="1" x="4712"/>
        <item m="1" x="2666"/>
        <item m="1" x="7511"/>
        <item m="1" x="5830"/>
        <item m="1" x="3636"/>
        <item m="1" x="4229"/>
        <item m="1" x="5445"/>
        <item m="1" x="6583"/>
        <item m="1" x="7746"/>
        <item m="1" x="3428"/>
        <item m="1" x="2935"/>
        <item m="1" x="3400"/>
        <item m="1" x="7220"/>
        <item m="1" x="6593"/>
        <item m="1" x="6175"/>
        <item m="1" x="6484"/>
        <item m="1" x="6971"/>
        <item m="1" x="4064"/>
        <item m="1" x="6097"/>
        <item m="1" x="6705"/>
        <item m="1" x="4760"/>
        <item m="1" x="7312"/>
        <item m="1" x="6481"/>
        <item m="1" x="6513"/>
        <item m="1" x="7320"/>
        <item m="1" x="7012"/>
        <item m="1" x="6333"/>
        <item m="1" x="7676"/>
        <item m="1" x="3141"/>
        <item m="1" x="6315"/>
        <item m="1" x="6015"/>
        <item m="1" x="2674"/>
        <item m="1" x="5743"/>
        <item m="1" x="6551"/>
        <item m="1" x="5260"/>
        <item m="1" x="4692"/>
        <item m="1" x="7899"/>
        <item m="1" x="5225"/>
        <item m="1" x="4326"/>
        <item m="1" x="5539"/>
        <item m="1" x="7162"/>
        <item m="1" x="6866"/>
        <item m="1" x="7515"/>
        <item m="1" x="7726"/>
        <item m="1" x="6584"/>
        <item m="1" x="4792"/>
        <item m="1" x="7924"/>
        <item m="1" x="3443"/>
        <item m="1" x="2955"/>
        <item m="1" x="7207"/>
        <item m="1" x="2982"/>
        <item m="1" x="7482"/>
        <item m="1" x="5195"/>
        <item m="1" x="7929"/>
        <item m="1" x="5670"/>
        <item m="1" x="5589"/>
        <item m="1" x="4838"/>
        <item m="1" x="5642"/>
        <item m="1" x="7524"/>
        <item m="1" x="4657"/>
        <item m="1" x="7968"/>
        <item m="1" x="3994"/>
        <item m="1" x="3783"/>
        <item m="1" x="4984"/>
        <item m="1" x="7588"/>
        <item m="1" x="5369"/>
        <item m="1" x="4727"/>
        <item m="1" x="6958"/>
        <item m="1" x="4574"/>
        <item m="1" x="6419"/>
        <item m="1" x="5494"/>
        <item m="1" x="6029"/>
        <item m="1" x="3232"/>
        <item m="1" x="4900"/>
        <item m="1" x="4715"/>
        <item m="1" x="7322"/>
        <item m="1" x="5459"/>
        <item m="1" x="7866"/>
        <item m="1" x="6665"/>
        <item m="1" x="4207"/>
        <item m="1" x="4174"/>
        <item m="1" x="5709"/>
        <item m="1" x="7686"/>
        <item m="1" x="3398"/>
        <item m="1" x="2820"/>
        <item m="1" x="7620"/>
        <item m="1" x="2667"/>
        <item m="1" x="7053"/>
        <item m="1" x="7200"/>
        <item m="1" x="4675"/>
        <item m="1" x="5657"/>
        <item m="1" x="5501"/>
        <item m="1" x="5586"/>
        <item m="1" x="7272"/>
        <item m="1" x="2681"/>
        <item m="1" x="5884"/>
        <item m="1" x="2930"/>
        <item m="1" x="5025"/>
        <item m="1" x="3218"/>
        <item m="1" x="7536"/>
        <item m="1" x="6270"/>
        <item m="1" x="5918"/>
        <item m="1" x="6835"/>
        <item m="1" x="6022"/>
        <item m="1" x="5424"/>
        <item m="1" x="5441"/>
        <item m="1" x="4403"/>
        <item m="1" x="5831"/>
        <item m="1" x="6764"/>
        <item m="1" x="6737"/>
        <item m="1" x="2847"/>
        <item m="1" x="6723"/>
        <item m="1" x="4464"/>
        <item m="1" x="3254"/>
        <item m="1" x="5213"/>
        <item m="1" x="6048"/>
        <item m="1" x="5881"/>
        <item m="1" x="2993"/>
        <item m="1" x="6573"/>
        <item m="1" x="5785"/>
        <item m="1" x="3211"/>
        <item m="1" x="4691"/>
        <item m="1" x="7922"/>
        <item m="1" x="3704"/>
        <item m="1" x="4111"/>
        <item m="1" x="5545"/>
        <item m="1" x="3816"/>
        <item m="1" x="5559"/>
        <item m="1" x="7820"/>
        <item m="1" x="7755"/>
        <item m="1" x="5443"/>
        <item m="1" x="7032"/>
        <item m="1" x="2762"/>
        <item m="1" x="7599"/>
        <item m="1" x="5033"/>
        <item m="1" x="4026"/>
        <item m="1" x="3378"/>
        <item m="1" x="4001"/>
        <item m="1" x="4818"/>
        <item m="1" x="3872"/>
        <item m="1" x="6624"/>
        <item m="1" x="3208"/>
        <item m="1" x="5644"/>
        <item m="1" x="3536"/>
        <item m="1" x="2978"/>
        <item m="1" x="7359"/>
        <item m="1" x="6611"/>
        <item m="1" x="5843"/>
        <item m="1" x="2879"/>
        <item m="1" x="5865"/>
        <item m="1" x="3736"/>
        <item m="1" x="4366"/>
        <item m="1" x="7870"/>
        <item m="1" x="6000"/>
        <item m="1" x="6973"/>
        <item m="1" x="4904"/>
        <item m="1" x="3078"/>
        <item m="1" x="4166"/>
        <item m="1" x="7411"/>
        <item m="1" x="6560"/>
        <item m="1" x="5214"/>
        <item m="1" x="7623"/>
        <item m="1" x="5535"/>
        <item m="1" x="3069"/>
        <item m="1" x="3274"/>
        <item m="1" x="6157"/>
        <item m="1" x="6860"/>
        <item m="1" x="5782"/>
        <item m="1" x="5421"/>
        <item m="1" x="3119"/>
        <item m="1" x="2641"/>
        <item m="1" x="3555"/>
        <item m="1" x="4953"/>
        <item m="1" x="5150"/>
        <item m="1" x="4982"/>
        <item m="1" x="6896"/>
        <item m="1" x="5177"/>
        <item m="1" x="4707"/>
        <item m="1" x="2813"/>
        <item m="1" x="5845"/>
        <item m="1" x="4561"/>
        <item m="1" x="4000"/>
        <item m="1" x="6952"/>
        <item m="1" x="3979"/>
        <item m="1" x="7015"/>
        <item m="1" x="7384"/>
        <item m="1" x="5179"/>
        <item m="1" x="3828"/>
        <item m="1" x="5119"/>
        <item m="1" x="7451"/>
        <item m="1" x="6822"/>
        <item m="1" x="4353"/>
        <item m="1" x="7049"/>
        <item m="1" x="5618"/>
        <item m="1" x="6327"/>
        <item m="1" x="4671"/>
        <item m="1" x="3779"/>
        <item m="1" x="3613"/>
        <item m="1" x="4110"/>
        <item m="1" x="7687"/>
        <item m="1" x="2643"/>
        <item m="1" x="6733"/>
        <item m="1" x="7576"/>
        <item m="1" x="2804"/>
        <item m="1" x="2882"/>
        <item m="1" x="5194"/>
        <item m="1" x="4034"/>
        <item m="1" x="3628"/>
        <item m="1" x="3410"/>
        <item m="1" x="4723"/>
        <item m="1" x="4648"/>
        <item m="1" x="6152"/>
        <item m="1" x="6064"/>
        <item m="1" x="5023"/>
        <item m="1" x="7444"/>
        <item m="1" x="3943"/>
        <item m="1" x="4423"/>
        <item m="1" x="6274"/>
        <item m="1" x="3738"/>
        <item m="1" x="6984"/>
        <item m="1" x="2950"/>
        <item m="1" x="4181"/>
        <item m="1" x="6357"/>
        <item m="1" x="7079"/>
        <item m="1" x="2851"/>
        <item m="1" x="5648"/>
        <item m="1" x="4612"/>
        <item m="1" x="3117"/>
        <item m="1" x="6857"/>
        <item m="1" x="5108"/>
        <item m="1" x="4917"/>
        <item m="1" x="6902"/>
        <item m="1" x="5345"/>
        <item m="1" x="3573"/>
        <item m="1" x="3142"/>
        <item m="1" x="3230"/>
        <item m="1" x="5751"/>
        <item m="1" x="4963"/>
        <item m="1" x="3841"/>
        <item m="1" x="7681"/>
        <item m="1" x="4637"/>
        <item m="1" x="2794"/>
        <item m="1" x="4215"/>
        <item m="1" x="4201"/>
        <item m="1" x="3470"/>
        <item m="1" x="7120"/>
        <item m="1" x="3862"/>
        <item m="1" x="6823"/>
        <item m="1" x="2988"/>
        <item m="1" x="5815"/>
        <item m="1" x="5583"/>
        <item m="1" x="2996"/>
        <item m="1" x="5964"/>
        <item m="1" x="3932"/>
        <item m="1" x="5775"/>
        <item m="1" x="5684"/>
        <item m="1" x="3172"/>
        <item m="1" x="5446"/>
        <item m="1" x="5568"/>
        <item m="1" x="7665"/>
        <item m="1" x="3351"/>
        <item m="1" x="3194"/>
        <item m="1" x="6117"/>
        <item m="1" x="6595"/>
        <item m="1" x="4123"/>
        <item m="1" x="6216"/>
        <item m="1" x="5842"/>
        <item m="1" x="4646"/>
        <item m="1" x="6149"/>
        <item m="1" x="3850"/>
        <item m="1" x="2954"/>
        <item m="1" x="5896"/>
        <item m="1" x="5506"/>
        <item m="1" x="6720"/>
        <item m="1" x="4306"/>
        <item m="1" x="3520"/>
        <item m="1" x="3780"/>
        <item m="1" x="6159"/>
        <item m="1" x="7441"/>
        <item m="1" x="3984"/>
        <item m="1" x="4779"/>
        <item m="1" x="2740"/>
        <item m="1" x="3168"/>
        <item m="1" x="3659"/>
        <item m="1" x="6836"/>
        <item m="1" x="5796"/>
        <item m="1" x="3700"/>
        <item m="1" x="7427"/>
        <item m="1" x="6601"/>
        <item m="1" x="2617"/>
        <item m="1" x="7976"/>
        <item m="1" x="5101"/>
        <item m="1" x="6030"/>
        <item m="1" x="3041"/>
        <item m="1" x="5057"/>
        <item m="1" x="6920"/>
        <item m="1" x="6095"/>
        <item m="1" x="5378"/>
        <item m="1" x="5554"/>
        <item m="1" x="4202"/>
        <item m="1" x="3848"/>
        <item m="1" x="2830"/>
        <item m="1" x="4383"/>
        <item m="1" x="6680"/>
        <item m="1" x="4131"/>
        <item m="1" x="2714"/>
        <item m="1" x="7033"/>
        <item m="1" x="6042"/>
        <item m="1" x="5990"/>
        <item m="1" x="2797"/>
        <item m="1" x="6711"/>
        <item m="1" x="4597"/>
        <item m="1" x="7412"/>
        <item m="1" x="5255"/>
        <item m="1" x="6448"/>
        <item m="1" x="3676"/>
        <item m="1" x="3814"/>
        <item m="1" x="4741"/>
        <item m="1" x="4955"/>
        <item m="1" x="7701"/>
        <item m="1" x="4421"/>
        <item m="1" x="2869"/>
        <item m="1" x="5328"/>
        <item m="1" x="2888"/>
        <item m="1" x="3248"/>
        <item m="1" x="3601"/>
        <item m="1" x="6108"/>
        <item m="1" x="5045"/>
        <item m="1" x="2868"/>
        <item m="1" x="3259"/>
        <item m="1" x="2654"/>
        <item m="1" x="2810"/>
        <item m="1" x="7206"/>
        <item m="1" x="6498"/>
        <item m="1" x="3691"/>
        <item m="1" x="5034"/>
        <item m="1" x="7092"/>
        <item m="1" x="7528"/>
        <item m="1" x="3494"/>
        <item m="1" x="4629"/>
        <item m="1" x="4959"/>
        <item m="1" x="3773"/>
        <item m="1" x="2772"/>
        <item m="1" x="3787"/>
        <item m="1" x="6645"/>
        <item m="1" x="5458"/>
        <item m="1" x="5065"/>
        <item m="1" x="5293"/>
        <item m="1" x="4855"/>
        <item m="1" x="4803"/>
        <item m="1" x="7969"/>
        <item m="1" x="3756"/>
        <item m="1" x="5112"/>
        <item m="1" x="6416"/>
        <item m="1" x="4416"/>
        <item m="1" x="2886"/>
        <item m="1" x="6943"/>
        <item m="1" x="4572"/>
        <item m="1" x="7603"/>
        <item m="1" x="4102"/>
        <item m="1" x="6294"/>
        <item m="1" x="5085"/>
        <item m="1" x="6806"/>
        <item m="1" x="4360"/>
        <item m="1" x="6846"/>
        <item m="1" x="3481"/>
        <item m="1" x="3521"/>
        <item m="1" x="6499"/>
        <item m="1" x="6414"/>
        <item m="1" x="5218"/>
        <item m="1" x="5524"/>
        <item m="1" x="7671"/>
        <item m="1" x="2647"/>
        <item m="1" x="4688"/>
        <item m="1" x="7642"/>
        <item m="1" x="5362"/>
        <item m="1" x="6946"/>
        <item m="1" x="3289"/>
        <item m="1" x="6476"/>
        <item m="1" x="2990"/>
        <item m="1" x="6396"/>
        <item m="1" x="5756"/>
        <item m="1" x="5774"/>
        <item m="1" x="5239"/>
        <item m="1" x="3961"/>
        <item m="1" x="3431"/>
        <item m="1" x="7486"/>
        <item m="1" x="3169"/>
        <item m="1" x="5230"/>
        <item m="1" x="7186"/>
        <item m="1" x="5738"/>
        <item m="1" x="7166"/>
        <item m="1" x="5159"/>
        <item m="1" x="7221"/>
        <item m="1" x="5882"/>
        <item m="1" x="6643"/>
        <item m="1" x="2808"/>
        <item m="1" x="3479"/>
        <item m="1" x="5907"/>
        <item m="1" x="5971"/>
        <item m="1" x="7779"/>
        <item m="1" x="4124"/>
        <item m="1" x="6785"/>
        <item m="1" x="5028"/>
        <item m="1" x="6411"/>
        <item m="1" x="3623"/>
        <item m="1" x="5273"/>
        <item m="1" x="7253"/>
        <item m="1" x="3854"/>
        <item m="1" x="4135"/>
        <item m="1" x="5306"/>
        <item m="1" x="7436"/>
        <item m="1" x="4684"/>
        <item m="1" x="2620"/>
        <item m="1" x="4489"/>
        <item m="1" x="7229"/>
        <item m="1" x="4157"/>
        <item m="1" x="7655"/>
        <item m="1" x="7503"/>
        <item m="1" x="6125"/>
        <item m="1" x="6865"/>
        <item m="1" x="3740"/>
        <item m="1" x="2824"/>
        <item m="1" x="5745"/>
        <item m="1" x="7836"/>
        <item m="1" x="2728"/>
        <item m="1" x="6921"/>
        <item m="1" x="4535"/>
        <item m="1" x="4795"/>
        <item m="1" x="3744"/>
        <item m="1" x="3166"/>
        <item m="1" x="4069"/>
        <item m="1" x="5688"/>
        <item m="1" x="7857"/>
        <item m="1" x="4101"/>
        <item m="1" x="7374"/>
        <item m="1" x="3365"/>
        <item m="1" x="5996"/>
        <item m="1" x="5171"/>
        <item m="1" x="4164"/>
        <item m="1" x="4869"/>
        <item m="1" x="6455"/>
        <item m="1" x="2748"/>
        <item m="1" x="3764"/>
        <item m="1" x="2700"/>
        <item m="1" x="4658"/>
        <item m="1" x="4331"/>
        <item m="1" x="7983"/>
        <item m="1" x="7290"/>
        <item m="1" x="6603"/>
        <item m="1" x="3960"/>
        <item m="1" x="4759"/>
        <item m="1" x="4060"/>
        <item m="1" x="2691"/>
        <item m="1" x="4630"/>
        <item m="1" x="7240"/>
        <item m="1" x="3755"/>
        <item m="1" x="6914"/>
        <item m="1" x="5762"/>
        <item m="1" x="5099"/>
        <item m="1" x="7945"/>
        <item m="1" x="3155"/>
        <item m="1" x="5812"/>
        <item m="1" x="6019"/>
        <item m="1" x="7343"/>
        <item m="1" x="5720"/>
        <item m="1" x="4251"/>
        <item m="1" x="5631"/>
        <item m="1" x="7962"/>
        <item m="1" x="7549"/>
        <item m="1" x="4175"/>
        <item m="1" x="6135"/>
        <item m="1" x="4589"/>
        <item m="1" x="4452"/>
        <item m="1" x="7009"/>
        <item m="1" x="6686"/>
        <item m="1" x="7661"/>
        <item m="1" x="3347"/>
        <item m="1" x="5318"/>
        <item m="1" x="6301"/>
        <item m="1" x="7097"/>
        <item m="1" x="4502"/>
        <item m="1" x="2893"/>
        <item m="1" x="5620"/>
        <item m="1" x="2705"/>
        <item m="1" x="6745"/>
        <item m="1" x="7288"/>
        <item m="1" x="6640"/>
        <item m="1" x="6051"/>
        <item m="1" x="5427"/>
        <item m="1" x="4971"/>
        <item m="1" x="7688"/>
        <item m="1" x="3335"/>
        <item m="1" x="7967"/>
        <item m="1" x="2707"/>
        <item m="1" x="3725"/>
        <item m="1" x="3532"/>
        <item m="1" x="7609"/>
        <item m="1" x="4815"/>
        <item m="1" x="4950"/>
        <item m="1" x="5792"/>
        <item m="1" x="6870"/>
        <item m="1" x="6227"/>
        <item m="1" x="5807"/>
        <item m="1" x="4456"/>
        <item m="1" x="4239"/>
        <item m="1" x="6304"/>
        <item m="1" x="7625"/>
        <item m="1" x="7422"/>
        <item m="1" x="5106"/>
        <item m="1" x="6388"/>
        <item m="1" x="7865"/>
        <item m="1" x="4089"/>
        <item m="1" x="7440"/>
        <item m="1" x="6474"/>
        <item m="1" x="3047"/>
        <item m="1" x="6541"/>
        <item m="1" x="4477"/>
        <item m="1" x="4475"/>
        <item m="1" x="6813"/>
        <item m="1" x="7928"/>
        <item m="1" x="3455"/>
        <item m="1" x="4180"/>
        <item m="1" x="5185"/>
        <item m="1" x="3076"/>
        <item m="1" x="2903"/>
        <item m="1" x="2730"/>
        <item m="1" x="3681"/>
        <item m="1" x="6867"/>
        <item m="1" x="4852"/>
        <item m="1" x="5750"/>
        <item m="1" x="5976"/>
        <item m="1" x="5595"/>
        <item m="1" x="3836"/>
        <item m="1" x="6691"/>
        <item m="1" x="7751"/>
        <item m="1" x="7465"/>
        <item m="1" x="7073"/>
        <item m="1" x="3235"/>
        <item m="1" x="6233"/>
        <item m="1" x="7790"/>
        <item m="1" x="7128"/>
        <item m="1" x="7917"/>
        <item m="1" x="5341"/>
        <item m="1" x="6953"/>
        <item m="1" x="6926"/>
        <item m="1" x="4163"/>
        <item m="1" x="4708"/>
        <item m="1" x="6932"/>
        <item m="1" x="4879"/>
        <item m="1" x="6501"/>
        <item m="1" x="2686"/>
        <item m="1" x="3427"/>
        <item m="1" x="3672"/>
        <item m="1" x="4280"/>
        <item m="1" x="3572"/>
        <item m="1" x="5005"/>
        <item m="1" x="4635"/>
        <item m="1" x="2960"/>
        <item m="1" x="2860"/>
        <item m="1" x="6299"/>
        <item m="1" x="4254"/>
        <item m="1" x="5965"/>
        <item m="1" x="2884"/>
        <item m="1" x="3098"/>
        <item m="1" x="5846"/>
        <item m="1" x="3858"/>
        <item m="1" x="2638"/>
        <item m="1" x="5256"/>
        <item m="1" x="5512"/>
        <item m="1" x="5201"/>
        <item m="1" x="5763"/>
        <item m="1" x="6635"/>
        <item m="1" x="5391"/>
        <item m="1" x="7637"/>
        <item m="1" x="4945"/>
        <item m="1" x="7804"/>
        <item m="1" x="4870"/>
        <item m="1" x="4384"/>
        <item m="1" x="7794"/>
        <item m="1" x="5226"/>
        <item m="1" x="3905"/>
        <item m="1" x="7893"/>
        <item m="1" x="4294"/>
        <item m="1" x="3188"/>
        <item m="1" x="6375"/>
        <item m="1" x="3238"/>
        <item m="1" x="5911"/>
        <item m="1" x="5531"/>
        <item m="1" x="5550"/>
        <item m="1" x="2708"/>
        <item m="1" x="4526"/>
        <item m="1" x="5724"/>
        <item m="1" x="4297"/>
        <item m="1" x="5144"/>
        <item m="1" x="6169"/>
        <item m="1" x="4208"/>
        <item m="1" x="7242"/>
        <item m="1" x="3306"/>
        <item m="1" x="5136"/>
        <item m="1" x="2902"/>
        <item m="1" x="6716"/>
        <item m="1" x="3973"/>
        <item m="1" x="2755"/>
        <item m="1" x="5215"/>
        <item m="1" x="6185"/>
        <item m="1" x="4199"/>
        <item m="1" x="3002"/>
        <item m="1" x="4507"/>
        <item m="1" x="5943"/>
        <item m="1" x="5801"/>
        <item m="1" x="3083"/>
        <item m="1" x="7388"/>
        <item m="1" x="6779"/>
        <item m="1" x="3234"/>
        <item m="1" x="7064"/>
        <item m="1" x="4913"/>
        <item m="1" x="2904"/>
        <item m="1" x="3425"/>
        <item m="1" x="4996"/>
        <item m="1" x="3534"/>
        <item m="1" x="3466"/>
        <item m="1" x="7495"/>
        <item m="1" x="3334"/>
        <item m="1" x="6774"/>
        <item m="1" x="4248"/>
        <item m="1" x="4706"/>
        <item m="1" x="3765"/>
        <item m="1" x="3911"/>
        <item m="1" x="5238"/>
        <item m="1" x="7822"/>
        <item m="1" x="4512"/>
        <item m="1" x="5022"/>
        <item m="1" x="7423"/>
        <item m="1" x="4070"/>
        <item m="1" x="6673"/>
        <item m="1" x="4557"/>
        <item m="1" x="7387"/>
        <item m="1" x="7000"/>
        <item m="1" x="3889"/>
        <item m="1" x="5278"/>
        <item m="1" x="7600"/>
        <item m="1" x="6082"/>
        <item m="1" x="3375"/>
        <item m="1" x="3051"/>
        <item m="1" x="5862"/>
        <item m="1" x="5203"/>
        <item m="1" x="6783"/>
        <item m="1" x="7585"/>
        <item m="1" x="3546"/>
        <item m="1" x="7714"/>
        <item m="1" x="7101"/>
        <item m="1" x="6041"/>
        <item m="1" x="4398"/>
        <item m="1" x="2910"/>
        <item m="1" x="6198"/>
        <item m="1" x="4962"/>
        <item m="1" x="6133"/>
        <item m="1" x="4333"/>
        <item m="1" x="3574"/>
        <item m="1" x="4301"/>
        <item m="1" x="4593"/>
        <item m="1" x="2731"/>
        <item m="1" x="7901"/>
        <item m="1" x="7270"/>
        <item m="1" x="7616"/>
        <item m="1" x="7078"/>
        <item m="1" x="6941"/>
        <item m="1" x="3054"/>
        <item m="1" x="3379"/>
        <item m="1" x="3817"/>
        <item m="1" x="4550"/>
        <item m="1" x="6373"/>
        <item m="1" x="4568"/>
        <item m="1" x="3689"/>
        <item m="1" x="3897"/>
        <item m="1" x="5304"/>
        <item m="1" x="6862"/>
        <item m="1" x="3265"/>
        <item m="1" x="3953"/>
        <item m="1" x="6085"/>
        <item m="1" x="7682"/>
        <item m="1" x="5074"/>
        <item m="1" x="4356"/>
        <item m="1" x="4857"/>
        <item m="1" x="2942"/>
        <item m="1" x="7900"/>
        <item m="1" x="4310"/>
        <item m="1" x="7172"/>
        <item m="1" x="5770"/>
        <item m="1" x="6404"/>
        <item m="1" x="5111"/>
        <item m="1" x="6703"/>
        <item m="1" x="6503"/>
        <item m="1" x="4374"/>
        <item m="1" x="4995"/>
        <item m="1" x="6500"/>
        <item m="1" x="4238"/>
        <item m="1" x="6938"/>
        <item m="1" x="6181"/>
        <item m="1" x="3999"/>
        <item m="1" x="3000"/>
        <item m="1" x="3224"/>
        <item m="1" x="4010"/>
        <item m="1" x="6452"/>
        <item m="1" x="7788"/>
        <item m="1" x="7098"/>
        <item m="1" x="4457"/>
        <item m="1" x="6901"/>
        <item m="1" x="4196"/>
        <item m="1" x="5229"/>
        <item m="1" x="5989"/>
        <item m="1" x="6632"/>
        <item m="1" x="4644"/>
        <item m="1" x="7516"/>
        <item m="1" x="7690"/>
        <item m="1" x="4235"/>
        <item m="1" x="2928"/>
        <item m="1" x="3450"/>
        <item m="1" x="7657"/>
        <item m="1" x="3503"/>
        <item m="1" x="3675"/>
        <item m="1" x="3223"/>
        <item m="1" x="6675"/>
        <item m="1" x="4543"/>
        <item m="1" x="6155"/>
        <item m="1" x="6750"/>
        <item m="1" x="3531"/>
        <item m="1" x="5272"/>
        <item m="1" x="4876"/>
        <item m="1" x="5178"/>
        <item m="1" x="3852"/>
        <item m="1" x="7332"/>
        <item m="1" x="6280"/>
        <item m="1" x="3988"/>
        <item m="1" x="7195"/>
        <item m="1" x="6761"/>
        <item m="1" x="4213"/>
        <item m="1" x="7504"/>
        <item m="1" x="6049"/>
        <item m="1" x="2639"/>
        <item m="1" x="5100"/>
        <item m="1" x="4293"/>
        <item m="1" x="5317"/>
        <item m="1" x="6161"/>
        <item m="1" x="4328"/>
        <item m="1" x="4262"/>
        <item m="1" x="7025"/>
        <item m="1" x="5291"/>
        <item m="1" x="7926"/>
        <item m="1" x="7439"/>
        <item m="1" x="6937"/>
        <item m="1" x="7396"/>
        <item m="1" x="3821"/>
        <item m="1" x="2800"/>
        <item m="1" x="3210"/>
        <item m="1" x="4967"/>
        <item m="1" x="6105"/>
        <item m="1" x="3294"/>
        <item m="1" x="4155"/>
        <item m="1" x="5984"/>
        <item m="1" x="5776"/>
        <item m="1" x="5092"/>
        <item m="1" x="7355"/>
        <item m="1" x="5861"/>
        <item m="1" x="4806"/>
        <item m="1" x="3129"/>
        <item m="1" x="6025"/>
        <item m="1" x="2932"/>
        <item m="1" x="6193"/>
        <item m="1" x="2756"/>
        <item m="1" x="2692"/>
        <item m="1" x="6742"/>
        <item m="1" x="6218"/>
        <item m="1" x="5818"/>
        <item m="1" x="3053"/>
        <item m="1" x="4317"/>
        <item m="1" x="6046"/>
        <item m="1" x="7341"/>
        <item m="1" x="6630"/>
        <item m="1" x="5629"/>
        <item m="1" x="3437"/>
        <item m="1" x="4664"/>
        <item m="1" x="6174"/>
        <item m="1" x="2947"/>
        <item m="1" x="7202"/>
        <item m="1" x="7349"/>
        <item m="1" x="7187"/>
        <item m="1" x="3015"/>
        <item m="1" x="5956"/>
        <item m="1" x="7184"/>
        <item m="1" x="3468"/>
        <item m="1" x="4951"/>
        <item m="1" x="3593"/>
        <item m="1" x="4529"/>
        <item m="1" x="4654"/>
        <item m="1" x="7476"/>
        <item m="1" x="7340"/>
        <item m="1" x="7484"/>
        <item m="1" x="4667"/>
        <item m="1" x="3581"/>
        <item m="1" x="5866"/>
        <item m="1" x="7138"/>
        <item m="1" x="3424"/>
        <item m="1" x="4542"/>
        <item m="1" x="2656"/>
        <item m="1" x="3271"/>
        <item m="1" x="7219"/>
        <item m="1" x="4036"/>
        <item m="1" x="7275"/>
        <item m="1" x="2632"/>
        <item m="1" x="3102"/>
        <item m="1" x="5711"/>
        <item m="1" x="7382"/>
        <item m="1" x="4909"/>
        <item m="1" x="4929"/>
        <item m="1" x="7059"/>
        <item m="1" x="5188"/>
        <item m="1" x="6352"/>
        <item m="1" x="5598"/>
        <item m="1" x="4408"/>
        <item m="1" x="3091"/>
        <item m="1" x="3489"/>
        <item m="1" x="7323"/>
        <item m="1" x="7848"/>
        <item m="1" x="5397"/>
        <item m="1" x="5577"/>
        <item m="1" x="3695"/>
        <item m="1" x="3666"/>
        <item m="1" x="5455"/>
        <item m="1" x="4283"/>
        <item m="1" x="6821"/>
        <item m="1" x="3794"/>
        <item m="1" x="2815"/>
        <item m="1" x="6471"/>
        <item m="1" x="7237"/>
        <item m="1" x="7377"/>
        <item m="1" x="5210"/>
        <item m="1" x="6387"/>
        <item m="1" x="4836"/>
        <item m="1" x="6965"/>
        <item m="1" x="5875"/>
        <item m="1" x="7854"/>
        <item m="1" x="6848"/>
        <item m="1" x="3886"/>
        <item m="1" x="3588"/>
        <item m="1" x="7457"/>
        <item m="1" x="4885"/>
        <item m="1" x="4939"/>
        <item m="1" x="4697"/>
        <item m="1" x="6706"/>
        <item m="1" x="6027"/>
        <item m="1" x="7583"/>
        <item m="1" x="7784"/>
        <item m="1" x="2754"/>
        <item m="1" x="5716"/>
        <item m="1" x="7456"/>
        <item m="1" x="6130"/>
        <item m="1" x="3175"/>
        <item m="1" x="3735"/>
        <item m="1" x="6450"/>
        <item m="1" x="3128"/>
        <item m="1" x="7339"/>
        <item m="1" x="3115"/>
        <item m="1" x="6797"/>
        <item m="1" x="5626"/>
        <item m="1" x="3640"/>
        <item m="1" x="6969"/>
        <item m="1" x="4441"/>
        <item m="1" x="5701"/>
        <item m="1" x="7632"/>
        <item m="1" x="5358"/>
        <item m="1" x="4521"/>
        <item m="1" x="7268"/>
        <item m="1" x="4804"/>
        <item m="1" x="2876"/>
        <item m="1" x="5731"/>
        <item m="1" x="3528"/>
        <item m="1" x="7414"/>
        <item m="1" x="7226"/>
        <item m="1" x="4729"/>
        <item m="1" x="5094"/>
        <item m="1" x="5146"/>
        <item m="1" x="2818"/>
        <item m="1" x="4722"/>
        <item m="1" x="3832"/>
        <item m="1" x="6487"/>
        <item m="1" x="5913"/>
        <item m="1" x="6146"/>
        <item m="1" x="5789"/>
        <item m="1" x="5872"/>
        <item m="1" x="3300"/>
        <item m="1" x="2711"/>
        <item m="1" x="7698"/>
        <item m="1" x="5864"/>
        <item m="1" x="6820"/>
        <item m="1" x="3720"/>
        <item m="1" x="6577"/>
        <item m="1" x="3558"/>
        <item m="1" x="7234"/>
        <item m="1" x="5683"/>
        <item m="1" x="2725"/>
        <item m="1" x="7400"/>
        <item m="1" x="3824"/>
        <item m="1" x="3258"/>
        <item m="1" x="6933"/>
        <item m="1" x="6493"/>
        <item m="1" x="5054"/>
        <item m="1" x="5942"/>
        <item m="1" x="5030"/>
        <item m="1" x="5848"/>
        <item m="1" x="3509"/>
        <item m="1" x="4776"/>
        <item m="1" x="4289"/>
        <item m="1" x="4292"/>
        <item m="1" x="2918"/>
        <item m="1" x="7913"/>
        <item m="1" x="2675"/>
        <item m="1" x="4784"/>
        <item m="1" x="5824"/>
        <item m="1" x="7243"/>
        <item m="1" x="7204"/>
        <item m="1" x="7455"/>
        <item m="1" x="6649"/>
        <item m="1" x="3340"/>
        <item m="1" x="5730"/>
        <item m="1" x="3473"/>
        <item m="1" x="5635"/>
        <item m="1" x="5276"/>
        <item m="1" x="3617"/>
        <item m="1" x="7769"/>
        <item m="1" x="7089"/>
        <item m="1" x="3094"/>
        <item m="1" x="5503"/>
        <item m="1" x="5533"/>
        <item m="1" x="7953"/>
        <item m="1" x="7305"/>
        <item m="1" x="5788"/>
        <item m="1" x="3843"/>
        <item m="1" x="3003"/>
        <item m="1" x="4767"/>
        <item m="1" x="3269"/>
        <item m="1" x="3124"/>
        <item m="1" x="3496"/>
        <item m="1" x="7995"/>
        <item m="1" x="5924"/>
        <item m="1" x="3352"/>
        <item m="1" x="6018"/>
        <item m="1" x="5705"/>
        <item m="1" x="7488"/>
        <item m="1" x="5478"/>
        <item m="1" x="3726"/>
        <item m="1" x="6864"/>
        <item m="1" x="4209"/>
        <item m="1" x="3391"/>
        <item m="1" x="4989"/>
        <item m="1" x="3733"/>
        <item m="1" x="5508"/>
        <item m="1" x="6282"/>
        <item m="1" x="5718"/>
        <item m="1" x="6378"/>
        <item m="1" x="3267"/>
        <item m="1" x="3405"/>
        <item m="1" x="4525"/>
        <item m="1" x="5411"/>
        <item m="1" x="4197"/>
        <item m="1" x="7295"/>
        <item m="1" x="3495"/>
        <item m="1" x="3011"/>
        <item m="1" x="3813"/>
        <item m="1" x="4514"/>
        <item m="1" x="3453"/>
        <item m="1" x="7932"/>
        <item m="1" x="7947"/>
        <item m="1" x="6124"/>
        <item m="1" x="6232"/>
        <item m="1" x="7203"/>
        <item m="1" x="6845"/>
        <item m="1" x="5493"/>
        <item m="1" x="7722"/>
        <item m="1" x="6738"/>
        <item m="1" x="5250"/>
        <item m="1" x="5142"/>
        <item m="1" x="4198"/>
        <item m="1" x="2789"/>
        <item m="1" x="7752"/>
        <item m="1" x="7800"/>
        <item m="1" x="7529"/>
        <item m="1" x="5448"/>
        <item m="1" x="3842"/>
        <item m="1" x="3723"/>
        <item m="1" x="5902"/>
        <item m="1" x="6587"/>
        <item m="1" x="3021"/>
        <item m="1" x="7996"/>
        <item m="1" x="6009"/>
        <item m="1" x="6955"/>
        <item m="1" x="3837"/>
        <item m="1" x="4787"/>
        <item m="1" x="7809"/>
        <item m="1" x="7888"/>
        <item m="1" x="5403"/>
        <item m="1" x="6869"/>
        <item m="1" x="5857"/>
        <item m="1" x="7941"/>
        <item m="1" x="5430"/>
        <item m="1" x="7115"/>
        <item m="1" x="4976"/>
        <item m="1" x="3656"/>
        <item m="1" x="2946"/>
        <item m="1" x="6170"/>
        <item m="1" x="5447"/>
        <item m="1" x="5413"/>
        <item m="1" x="5827"/>
        <item m="1" x="3537"/>
        <item m="1" x="6954"/>
        <item m="1" x="3227"/>
        <item m="1" x="6663"/>
        <item m="1" x="7653"/>
        <item m="1" x="7330"/>
        <item m="1" x="6676"/>
        <item m="1" x="5732"/>
        <item m="1" x="6762"/>
        <item m="1" x="4214"/>
        <item m="1" x="5141"/>
        <item m="1" x="3677"/>
        <item m="1" x="6637"/>
        <item m="1" x="4062"/>
        <item m="1" x="2785"/>
        <item m="1" x="5263"/>
        <item m="1" x="5841"/>
        <item m="1" x="4584"/>
        <item m="1" x="6139"/>
        <item m="1" x="4377"/>
        <item m="1" x="6796"/>
        <item m="1" x="5805"/>
        <item m="1" x="6386"/>
        <item m="1" x="7785"/>
        <item m="1" x="7744"/>
        <item m="1" x="7360"/>
        <item m="1" x="5517"/>
        <item m="1" x="6744"/>
        <item m="1" x="4316"/>
        <item m="1" x="7298"/>
        <item m="1" x="7496"/>
        <item m="1" x="4919"/>
        <item m="1" x="4757"/>
        <item m="1" x="5696"/>
        <item m="1" x="7897"/>
        <item m="1" x="3433"/>
        <item m="1" x="3976"/>
        <item m="1" x="3956"/>
        <item m="1" x="6829"/>
        <item m="1" x="2979"/>
        <item m="1" x="7841"/>
        <item m="1" x="3591"/>
        <item m="1" x="4604"/>
        <item m="1" x="3157"/>
        <item m="1" x="4385"/>
        <item m="1" x="3229"/>
        <item m="1" x="3213"/>
        <item m="1" x="4592"/>
        <item m="1" x="5727"/>
        <item m="1" x="3639"/>
        <item m="1" x="3575"/>
        <item m="1" x="5404"/>
        <item m="1" x="2987"/>
        <item m="1" x="5350"/>
        <item m="1" x="3436"/>
        <item m="1" x="7886"/>
        <item m="1" x="3422"/>
        <item m="1" x="4854"/>
        <item m="1" x="7571"/>
        <item m="1" x="6615"/>
        <item m="1" x="2843"/>
        <item m="1" x="6565"/>
        <item m="1" x="7507"/>
        <item m="1" x="3820"/>
        <item m="1" x="7756"/>
        <item m="1" x="5920"/>
        <item m="1" x="6639"/>
        <item m="1" x="7258"/>
        <item m="1" x="3522"/>
        <item m="1" x="6038"/>
        <item m="1" x="7401"/>
        <item m="1" x="7561"/>
        <item m="1" x="3153"/>
        <item m="1" x="6314"/>
        <item m="1" x="4743"/>
        <item m="1" x="5617"/>
        <item m="1" x="6104"/>
        <item m="1" x="7882"/>
        <item m="1" x="5469"/>
        <item m="1" x="2883"/>
        <item m="1" x="7248"/>
        <item m="1" x="7569"/>
        <item m="1" x="5267"/>
        <item m="1" x="7052"/>
        <item m="1" x="7037"/>
        <item m="1" x="5744"/>
        <item m="1" x="7537"/>
        <item m="1" x="7749"/>
        <item m="1" x="3577"/>
        <item m="1" x="4926"/>
        <item m="1" x="3156"/>
        <item m="1" x="4431"/>
        <item m="1" x="5264"/>
        <item m="1" x="7652"/>
        <item m="1" x="6201"/>
        <item m="1" x="6974"/>
        <item m="1" x="4072"/>
        <item m="1" x="7036"/>
        <item m="1" x="6754"/>
        <item m="1" x="4916"/>
        <item m="1" x="2712"/>
        <item m="1" x="4065"/>
        <item m="1" x="5155"/>
        <item m="1" x="4397"/>
        <item m="1" x="3632"/>
        <item m="1" x="7973"/>
        <item m="1" x="6131"/>
        <item m="1" x="7007"/>
        <item m="1" x="4617"/>
        <item m="1" x="5437"/>
        <item m="1" x="6961"/>
        <item m="1" x="7783"/>
        <item m="1" x="7102"/>
        <item m="1" x="4176"/>
        <item m="1" x="5373"/>
        <item m="1" x="4083"/>
        <item m="1" x="6283"/>
        <item m="1" x="5599"/>
        <item m="1" x="3549"/>
        <item m="1" x="5849"/>
        <item m="1" x="6384"/>
        <item m="1" x="5232"/>
        <item m="1" x="7814"/>
        <item m="1" x="6803"/>
        <item m="1" x="7363"/>
        <item m="1" x="6992"/>
        <item m="1" x="6491"/>
        <item m="1" x="7587"/>
        <item m="1" x="3100"/>
        <item m="1" x="7662"/>
        <item m="1" x="3812"/>
        <item m="1" x="4547"/>
        <item m="1" x="3803"/>
        <item m="1" x="7175"/>
        <item m="1" x="2623"/>
        <item m="1" x="3406"/>
        <item m="1" x="5009"/>
        <item m="1" x="3293"/>
        <item m="1" x="6343"/>
        <item m="1" x="6253"/>
        <item m="1" x="3904"/>
        <item m="1" x="2663"/>
        <item m="1" x="2992"/>
        <item m="1" x="5078"/>
        <item m="1" x="6905"/>
        <item m="1" x="3482"/>
        <item m="1" x="5797"/>
        <item m="1" x="5363"/>
        <item m="1" x="7224"/>
        <item m="1" x="3919"/>
        <item m="1" x="2662"/>
        <item m="1" x="3653"/>
        <item m="1" x="3868"/>
        <item m="1" x="5330"/>
        <item m="1" x="3584"/>
        <item m="1" x="6225"/>
        <item m="1" x="5672"/>
        <item m="1" x="6651"/>
        <item m="1" x="7949"/>
        <item m="1" x="4739"/>
        <item m="1" x="4433"/>
        <item m="1" x="7193"/>
        <item m="1" x="7670"/>
        <item m="1" x="4762"/>
        <item m="1" x="4943"/>
        <item m="1" x="6841"/>
        <item m="1" x="2709"/>
        <item m="1" x="7789"/>
        <item m="1" x="3317"/>
        <item m="1" x="4992"/>
        <item m="1" x="3763"/>
        <item m="1" x="6770"/>
        <item m="1" x="3566"/>
        <item m="1" x="2908"/>
        <item m="1" x="7607"/>
        <item m="1" x="6799"/>
        <item m="1" x="4901"/>
        <item m="1" x="6662"/>
        <item m="1" x="7352"/>
        <item m="1" x="6713"/>
        <item m="1" x="5481"/>
        <item m="1" x="5438"/>
        <item m="1" x="4043"/>
        <item m="1" x="2887"/>
        <item m="1" x="7904"/>
        <item m="1" x="3361"/>
        <item m="1" x="6514"/>
        <item m="1" x="5433"/>
        <item m="1" x="3086"/>
        <item m="1" x="3948"/>
        <item m="1" x="3355"/>
        <item m="1" x="6188"/>
        <item m="1" x="7228"/>
        <item m="1" x="7890"/>
        <item m="1" x="3239"/>
        <item m="1" x="4705"/>
        <item m="1" x="4620"/>
        <item m="1" x="4844"/>
        <item m="1" x="5810"/>
        <item m="1" x="5060"/>
        <item m="1" x="4519"/>
        <item m="1" x="4545"/>
        <item m="1" x="5596"/>
        <item m="1" x="3013"/>
        <item m="1" x="7732"/>
        <item m="1" x="5988"/>
        <item m="1" x="7986"/>
        <item m="1" x="4330"/>
        <item m="1" x="3870"/>
        <item m="1" x="5520"/>
        <item m="1" x="7418"/>
        <item m="1" x="6533"/>
        <item m="1" x="5780"/>
        <item m="1" x="5557"/>
        <item m="1" x="5211"/>
        <item m="1" x="3452"/>
        <item m="1" x="2941"/>
        <item m="1" x="5289"/>
        <item m="1" x="4076"/>
        <item m="1" x="4142"/>
        <item m="1" x="2781"/>
        <item m="1" x="3414"/>
        <item m="1" x="5425"/>
        <item m="1" x="6609"/>
        <item m="1" x="7743"/>
        <item m="1" x="4811"/>
        <item m="1" x="7772"/>
        <item m="1" x="4500"/>
        <item m="1" x="5673"/>
        <item m="1" x="7792"/>
        <item m="1" x="4168"/>
        <item m="1" x="3207"/>
        <item m="1" x="5623"/>
        <item m="1" x="7608"/>
        <item m="1" x="5584"/>
        <item m="1" x="3834"/>
        <item m="1" x="7373"/>
        <item m="1" x="5977"/>
        <item m="1" x="6978"/>
        <item m="1" x="4259"/>
        <item m="1" x="3058"/>
        <item m="1" x="4907"/>
        <item m="1" x="4915"/>
        <item m="1" x="5319"/>
        <item m="1" x="4315"/>
        <item m="1" x="3346"/>
        <item m="1" x="2976"/>
        <item m="1" x="4405"/>
        <item m="1" x="6045"/>
        <item m="1" x="4149"/>
        <item m="1" x="4517"/>
        <item m="1" x="3447"/>
        <item m="1" x="4911"/>
        <item m="1" x="6721"/>
        <item m="1" x="5156"/>
        <item m="1" x="5339"/>
        <item m="1" x="2729"/>
        <item m="1" x="7100"/>
        <item m="1" x="7470"/>
        <item m="1" x="6222"/>
        <item m="1" x="7601"/>
        <item m="1" x="6833"/>
        <item m="1" x="5919"/>
        <item m="1" x="6307"/>
        <item m="1" x="7254"/>
        <item m="1" x="3955"/>
        <item m="1" x="3243"/>
        <item m="1" x="6661"/>
        <item m="1" x="3501"/>
        <item m="1" x="3092"/>
        <item m="1" x="7262"/>
        <item m="1" x="4738"/>
        <item m="1" x="2784"/>
        <item m="1" x="4450"/>
        <item m="1" x="7508"/>
        <item m="1" x="5123"/>
        <item m="1" x="6704"/>
        <item m="1" x="5556"/>
        <item m="1" x="5467"/>
        <item m="1" x="5449"/>
        <item m="1" x="6083"/>
        <item m="1" x="4531"/>
        <item m="1" x="3962"/>
        <item m="1" x="5663"/>
        <item m="1" x="7013"/>
        <item m="1" x="5572"/>
        <item m="1" x="5904"/>
        <item m="1" x="6199"/>
        <item m="1" x="5710"/>
        <item m="1" x="7849"/>
        <item m="1" x="4625"/>
        <item m="1" x="7286"/>
        <item m="1" x="6510"/>
        <item m="1" x="7709"/>
        <item m="1" x="7763"/>
        <item m="1" x="6475"/>
        <item m="1" x="4672"/>
        <item m="1" x="6390"/>
        <item m="1" x="3964"/>
        <item m="1" x="6177"/>
        <item m="1" x="7127"/>
        <item m="1" x="6435"/>
        <item m="1" x="5813"/>
        <item m="1" x="7550"/>
        <item m="1" x="3945"/>
        <item m="1" x="3915"/>
        <item m="1" x="6876"/>
        <item m="1" x="3318"/>
        <item m="1" x="6272"/>
        <item m="1" x="4997"/>
        <item m="1" x="3159"/>
        <item m="1" x="6167"/>
        <item m="1" x="3202"/>
        <item m="1" x="7475"/>
        <item m="1" x="2790"/>
        <item m="1" x="6759"/>
        <item m="1" x="4334"/>
        <item m="1" x="2943"/>
        <item m="1" x="7754"/>
        <item m="1" x="6782"/>
        <item m="1" x="2931"/>
        <item m="1" x="7833"/>
        <item m="1" x="4770"/>
        <item m="1" x="3514"/>
        <item m="1" x="3113"/>
        <item m="1" x="2769"/>
        <item m="1" x="4863"/>
        <item m="1" x="5482"/>
        <item m="1" x="3311"/>
        <item m="1" x="3688"/>
        <item m="1" x="6945"/>
        <item m="1" x="7649"/>
        <item m="1" x="2625"/>
        <item m="1" x="5958"/>
        <item m="1" x="3917"/>
        <item m="1" x="7429"/>
        <item m="1" x="6825"/>
        <item m="1" x="4169"/>
        <item m="1" x="6258"/>
        <item m="1" x="4314"/>
        <item m="1" x="5118"/>
        <item m="1" x="5969"/>
        <item m="1" x="7591"/>
        <item m="1" x="5897"/>
        <item m="1" x="5733"/>
        <item m="1" x="7260"/>
        <item m="1" x="4979"/>
        <item m="1" x="7837"/>
        <item m="1" x="4012"/>
        <item m="1" x="5664"/>
        <item m="1" x="7876"/>
        <item m="1" x="2694"/>
        <item m="1" x="5103"/>
        <item m="1" x="7667"/>
        <item m="1" x="7266"/>
        <item m="1" x="4030"/>
        <item m="1" x="4469"/>
        <item m="1" x="5329"/>
        <item m="1" x="6588"/>
        <item m="1" x="6563"/>
        <item m="1" x="7602"/>
        <item m="1" x="7597"/>
        <item m="1" x="3096"/>
        <item m="1" x="5540"/>
        <item m="1" x="7485"/>
        <item m="1" x="3020"/>
        <item m="1" x="3951"/>
        <item m="1" x="6355"/>
        <item m="1" x="5603"/>
        <item m="1" x="6469"/>
        <item m="1" x="3432"/>
        <item m="1" x="7674"/>
        <item m="1" x="4318"/>
        <item m="1" x="3449"/>
        <item m="1" x="6118"/>
        <item m="1" x="7647"/>
        <item m="1" x="4973"/>
        <item m="1" x="7112"/>
        <item m="1" x="5140"/>
        <item m="1" x="7938"/>
        <item m="1" x="6758"/>
        <item m="1" x="3797"/>
        <item m="1" x="6960"/>
        <item m="1" x="4699"/>
        <item m="1" x="5474"/>
        <item m="1" x="7252"/>
        <item m="1" x="5197"/>
        <item m="1" x="4472"/>
        <item m="1" x="6760"/>
        <item m="1" x="3401"/>
        <item m="1" x="6313"/>
        <item m="1" x="7891"/>
        <item m="1" x="6420"/>
        <item m="1" x="5694"/>
        <item m="1" x="4935"/>
        <item m="1" x="7522"/>
        <item m="1" x="6013"/>
        <item m="1" x="6279"/>
        <item m="1" x="3420"/>
        <item m="1" x="5538"/>
        <item m="1" x="7991"/>
        <item m="1" x="3861"/>
        <item m="1" x="5505"/>
        <item m="1" x="4150"/>
        <item m="1" x="2855"/>
        <item m="1" x="6839"/>
        <item m="1" x="2679"/>
        <item m="1" x="7366"/>
        <item m="1" x="7999"/>
        <item m="1" x="5767"/>
        <item m="1" x="6931"/>
        <item m="1" x="4103"/>
        <item m="1" x="4351"/>
        <item m="1" x="7851"/>
        <item m="1" x="4571"/>
        <item m="1" x="7541"/>
        <item m="1" x="4332"/>
        <item m="1" x="5182"/>
        <item m="1" x="2873"/>
        <item m="1" x="6777"/>
        <item m="1" x="4641"/>
        <item m="1" x="7070"/>
        <item m="1" x="7543"/>
        <item m="1" x="2763"/>
        <item m="1" x="4055"/>
        <item m="1" x="3769"/>
        <item m="1" x="6267"/>
        <item m="1" x="6242"/>
        <item m="1" x="7088"/>
        <item m="1" x="3323"/>
        <item m="1" x="3670"/>
        <item m="1" x="7703"/>
        <item m="1" x="5086"/>
        <item m="1" x="6342"/>
        <item m="1" x="5070"/>
        <item m="1" x="2760"/>
        <item m="1" x="4894"/>
        <item m="1" x="3749"/>
        <item m="1" x="5465"/>
        <item m="1" x="5168"/>
        <item m="1" x="7533"/>
        <item m="1" x="7281"/>
        <item m="1" x="5090"/>
        <item m="1" x="3880"/>
        <item m="1" x="5612"/>
        <item m="1" x="5435"/>
        <item m="1" x="7980"/>
        <item m="1" x="5383"/>
        <item m="1" x="6165"/>
        <item m="1" x="5076"/>
        <item m="1" x="5303"/>
        <item m="1" x="7914"/>
        <item m="1" x="3786"/>
        <item m="1" x="3316"/>
        <item m="1" x="4439"/>
        <item m="1" x="5407"/>
        <item m="1" x="4523"/>
        <item m="1" x="5235"/>
        <item m="1" x="5877"/>
        <item m="1" x="2829"/>
        <item m="1" x="2997"/>
        <item m="1" x="5491"/>
        <item m="1" x="4758"/>
        <item m="1" x="3977"/>
        <item m="1" x="7267"/>
        <item m="1" x="5019"/>
        <item m="1" x="5839"/>
        <item m="1" x="3644"/>
        <item m="1" x="7083"/>
        <item m="1" x="4835"/>
        <item m="1" x="6810"/>
        <item m="1" x="3502"/>
        <item m="1" x="7982"/>
        <item m="1" x="5375"/>
        <item m="1" x="3822"/>
        <item m="1" x="3283"/>
        <item m="1" x="6828"/>
        <item m="1" x="6306"/>
        <item m="1" x="3592"/>
        <item m="1" x="6346"/>
        <item m="1" x="6447"/>
        <item m="1" x="5549"/>
        <item m="1" x="7812"/>
        <item m="1" x="2963"/>
        <item m="1" x="5476"/>
        <item m="1" x="5574"/>
        <item m="1" x="5355"/>
        <item m="1" x="5676"/>
        <item m="1" x="7560"/>
        <item m="1" x="4969"/>
        <item m="1" x="6808"/>
        <item m="1" x="6144"/>
        <item m="1" x="7046"/>
        <item m="1" x="6039"/>
        <item m="1" x="7060"/>
        <item m="1" x="3307"/>
        <item m="1" x="2655"/>
        <item m="1" x="5987"/>
        <item m="1" x="7859"/>
        <item m="1" x="4497"/>
        <item m="1" x="6812"/>
        <item m="1" x="6646"/>
        <item m="1" x="6537"/>
        <item m="1" x="6606"/>
        <item m="1" x="3241"/>
        <item m="1" x="7310"/>
        <item m="1" x="3206"/>
        <item m="1" x="3685"/>
        <item m="1" x="3747"/>
        <item m="1" x="5490"/>
        <item m="1" x="7659"/>
        <item m="1" x="6996"/>
        <item m="1" x="3408"/>
        <item m="1" x="2659"/>
        <item m="1" x="4583"/>
        <item m="1" x="7863"/>
        <item m="1" x="3996"/>
        <item m="1" x="7110"/>
        <item m="1" x="3967"/>
        <item m="1" x="5585"/>
        <item m="1" x="3356"/>
        <item m="1" x="6197"/>
        <item m="1" x="5975"/>
        <item m="1" x="3606"/>
        <item m="1" x="4084"/>
        <item m="1" x="4323"/>
        <item m="1" x="3804"/>
        <item m="1" x="3557"/>
        <item m="1" x="3154"/>
        <item m="1" x="7415"/>
        <item m="1" x="7721"/>
        <item m="1" x="4827"/>
        <item m="1" x="2678"/>
        <item m="1" x="7572"/>
        <item m="1" x="3205"/>
        <item m="1" x="4125"/>
        <item m="1" x="5622"/>
        <item m="1" x="2696"/>
        <item m="1" x="5940"/>
        <item m="1" x="4143"/>
        <item m="1" x="5602"/>
        <item m="1" x="5734"/>
        <item m="1" x="4367"/>
        <item m="1" x="6929"/>
        <item m="1" x="5625"/>
        <item m="1" x="5246"/>
        <item m="1" x="7313"/>
        <item m="1" x="5809"/>
        <item m="1" x="6204"/>
        <item m="1" x="2631"/>
        <item m="1" x="4272"/>
        <item m="1" x="6075"/>
        <item m="1" x="7791"/>
        <item m="1" x="4302"/>
        <item m="1" x="6647"/>
        <item m="1" x="7824"/>
        <item m="1" x="2778"/>
        <item m="1" x="4643"/>
        <item m="1" x="6482"/>
        <item m="1" x="4134"/>
        <item m="1" x="6918"/>
        <item m="1" x="4153"/>
        <item m="1" x="2968"/>
        <item m="1" x="7605"/>
        <item m="1" x="6297"/>
        <item m="1" x="6215"/>
        <item m="1" x="4059"/>
        <item m="1" x="4195"/>
        <item m="1" x="7742"/>
        <item m="1" x="6582"/>
        <item m="1" x="2635"/>
        <item m="1" x="7460"/>
        <item m="1" x="4991"/>
        <item m="1" x="5957"/>
        <item m="1" x="5643"/>
        <item m="1" x="4308"/>
        <item m="1" x="3713"/>
        <item m="1" x="3965"/>
        <item m="1" x="3823"/>
        <item m="1" x="5543"/>
        <item m="1" x="4682"/>
        <item m="1" x="7428"/>
        <item m="1" x="3665"/>
        <item m="1" x="6614"/>
        <item m="1" x="6319"/>
        <item m="1" x="6200"/>
        <item m="1" x="4105"/>
        <item m="1" x="6687"/>
        <item m="1" x="4753"/>
        <item m="1" x="3363"/>
        <item m="1" x="5674"/>
        <item m="1" x="3165"/>
        <item m="1" x="4599"/>
        <item m="1" x="7734"/>
        <item m="1" x="5606"/>
        <item m="1" x="5627"/>
        <item m="1" x="3731"/>
        <item m="1" x="3301"/>
        <item m="1" x="6964"/>
        <item m="1" x="3774"/>
        <item m="1" x="6305"/>
        <item m="1" x="6757"/>
        <item m="1" x="4266"/>
        <item m="1" x="5856"/>
        <item m="1" x="7365"/>
        <item m="1" x="7051"/>
        <item m="1" x="2710"/>
        <item m="1" x="6141"/>
        <item m="1" x="2900"/>
        <item m="1" x="5614"/>
        <item m="1" x="5361"/>
        <item m="1" x="4444"/>
        <item m="1" x="7483"/>
        <item m="1" x="2676"/>
        <item m="1" x="3795"/>
        <item m="1" x="3511"/>
        <item m="1" x="5945"/>
        <item m="1" x="5095"/>
        <item m="1" x="5221"/>
        <item m="1" x="6555"/>
        <item m="1" x="6392"/>
        <item m="1" x="5377"/>
        <item m="1" x="5191"/>
        <item m="1" x="6722"/>
        <item m="1" x="3604"/>
        <item m="1" x="4407"/>
        <item m="1" x="5240"/>
        <item m="1" x="7477"/>
        <item m="1" x="5145"/>
        <item m="1" x="4210"/>
        <item m="1" x="5910"/>
        <item m="1" x="4255"/>
        <item m="1" x="4449"/>
        <item m="1" x="4244"/>
        <item m="1" x="7189"/>
        <item m="1" x="6826"/>
        <item m="1" x="6509"/>
        <item m="1" x="5335"/>
        <item m="1" x="6322"/>
        <item m="1" x="5656"/>
        <item m="1" x="3237"/>
        <item m="1" x="4647"/>
        <item m="1" x="4230"/>
        <item m="1" x="5983"/>
        <item m="1" x="4983"/>
        <item m="1" x="4822"/>
        <item m="1" x="4766"/>
        <item m="1" x="4700"/>
        <item m="1" x="4327"/>
        <item m="1" x="2906"/>
        <item m="1" x="4611"/>
        <item m="1" x="2715"/>
        <item m="1" x="2739"/>
        <item m="1" x="7614"/>
        <item m="1" x="7580"/>
        <item m="1" x="4424"/>
        <item m="1" x="7201"/>
        <item m="1" x="7978"/>
        <item m="1" x="5036"/>
        <item m="1" x="7233"/>
        <item m="1" x="4276"/>
        <item m="1" x="4019"/>
        <item m="1" x="6014"/>
        <item m="1" x="7636"/>
        <item m="1" x="4013"/>
        <item m="1" x="5853"/>
        <item m="1" x="4068"/>
        <item m="1" x="3009"/>
        <item m="1" x="6072"/>
        <item m="1" x="3454"/>
        <item m="1" x="6650"/>
        <item m="1" x="6838"/>
        <item m="1" x="5062"/>
        <item m="1" x="7231"/>
        <item m="1" x="5325"/>
        <item m="1" x="7082"/>
        <item m="1" x="5548"/>
        <item m="1" x="6685"/>
        <item m="1" x="7579"/>
        <item m="1" x="7085"/>
        <item m="1" x="3339"/>
        <item m="1" x="7764"/>
        <item m="1" x="6126"/>
        <item m="1" x="3702"/>
        <item m="1" x="3766"/>
        <item m="1" x="7030"/>
        <item m="1" x="4749"/>
        <item m="1" x="5778"/>
        <item m="1" x="2841"/>
        <item m="1" x="2803"/>
        <item m="1" x="7391"/>
        <item m="1" x="7126"/>
        <item m="1" x="7147"/>
        <item m="1" x="7180"/>
        <item m="1" x="3080"/>
        <item m="1" x="5898"/>
        <item m="1" x="4690"/>
        <item m="1" x="3600"/>
        <item m="1" x="2892"/>
        <item m="1" x="6612"/>
        <item m="1" x="6010"/>
        <item m="1" x="3959"/>
        <item m="1" x="7843"/>
        <item m="1" x="6429"/>
        <item m="1" x="5167"/>
        <item m="1" x="7447"/>
        <item m="1" x="6172"/>
        <item m="1" x="3712"/>
        <item m="1" x="3179"/>
        <item m="1" x="2637"/>
        <item m="1" x="5067"/>
        <item m="1" x="4987"/>
        <item m="1" x="7345"/>
        <item m="1" x="3174"/>
        <item m="1" x="4041"/>
        <item m="1" x="6768"/>
        <item m="1" x="6888"/>
        <item m="1" x="3512"/>
        <item m="1" x="4750"/>
        <item m="1" x="4846"/>
        <item m="1" x="3974"/>
        <item m="1" x="2718"/>
        <item m="1" x="7520"/>
        <item m="1" x="3602"/>
        <item m="1" x="7586"/>
        <item m="1" x="7808"/>
        <item m="1" x="5236"/>
        <item m="1" x="5055"/>
        <item m="1" x="7448"/>
        <item m="1" x="7300"/>
        <item m="1" x="7264"/>
        <item m="1" x="5158"/>
        <item m="1" x="6067"/>
        <item m="1" x="2837"/>
        <item m="1" x="4481"/>
        <item m="1" x="5364"/>
        <item m="1" x="6367"/>
        <item m="1" x="4590"/>
        <item m="1" x="6032"/>
        <item m="1" x="3057"/>
        <item m="1" x="5952"/>
        <item m="1" x="5326"/>
        <item m="1" x="5928"/>
        <item m="1" x="3498"/>
        <item m="1" x="5122"/>
        <item m="1" x="3483"/>
        <item m="1" x="3981"/>
        <item m="1" x="5758"/>
        <item m="1" x="4081"/>
        <item m="1" x="3929"/>
        <item m="1" x="4286"/>
        <item m="1" x="3975"/>
        <item m="1" x="4510"/>
        <item m="1" x="5206"/>
        <item m="1" x="5011"/>
        <item m="1" x="5105"/>
        <item m="1" x="6463"/>
        <item m="1" x="7683"/>
        <item m="1" x="3869"/>
        <item m="1" x="5826"/>
        <item m="1" x="5840"/>
        <item m="1" x="2857"/>
        <item m="1" x="3935"/>
        <item m="1" x="6550"/>
        <item m="1" x="5107"/>
        <item m="1" x="6642"/>
        <item m="1" x="5010"/>
        <item m="1" x="3467"/>
        <item m="1" x="2642"/>
        <item m="1" x="6107"/>
        <item m="1" x="2761"/>
        <item m="1" x="4170"/>
        <item m="1" x="4585"/>
        <item m="1" x="6562"/>
        <item m="1" x="4975"/>
        <item m="1" x="5176"/>
        <item m="1" x="5522"/>
        <item m="1" x="6462"/>
        <item m="1" x="3857"/>
        <item m="1" x="4141"/>
        <item m="1" x="3465"/>
        <item m="1" x="3533"/>
        <item m="1" x="7880"/>
        <item m="1" x="7489"/>
        <item m="1" x="3599"/>
        <item m="1" x="3958"/>
        <item m="1" x="2622"/>
        <item m="1" x="3759"/>
        <item m="1" x="6451"/>
        <item m="1" x="3690"/>
        <item m="1" x="3525"/>
        <item m="1" x="4298"/>
        <item m="1" x="4434"/>
        <item m="1" x="7700"/>
        <item m="1" x="7678"/>
        <item m="1" x="3605"/>
        <item m="1" x="4438"/>
        <item m="1" x="7825"/>
        <item m="1" x="6224"/>
        <item m="1" x="2668"/>
        <item m="1" x="7080"/>
        <item m="1" x="7326"/>
        <item m="1" x="7759"/>
        <item m="1" x="7513"/>
        <item m="1" x="7090"/>
        <item m="1" x="5485"/>
        <item m="1" x="4985"/>
        <item m="1" x="3851"/>
        <item m="1" x="7362"/>
        <item m="1" x="5863"/>
        <item m="1" x="7192"/>
        <item m="1" x="4800"/>
        <item m="1" x="6700"/>
        <item m="1" x="7094"/>
        <item m="1" x="7633"/>
        <item m="1" x="4192"/>
        <item m="1" x="7317"/>
        <item m="1" x="6080"/>
        <item m="1" x="6094"/>
        <item m="1" x="7519"/>
        <item m="1" x="6908"/>
        <item m="1" x="5204"/>
        <item m="1" x="4608"/>
        <item m="1" x="7867"/>
        <item m="1" x="4077"/>
        <item m="1" x="2816"/>
        <item m="1" x="4716"/>
        <item m="1" x="7318"/>
        <item m="1" x="6668"/>
        <item m="1" x="2811"/>
        <item m="1" x="5507"/>
        <item m="1" x="3065"/>
        <item m="1" x="4009"/>
        <item m="1" x="4395"/>
        <item m="1" x="2615"/>
        <item m="1" x="2798"/>
        <item m="1" x="3737"/>
        <item m="1" x="3513"/>
        <item m="1" x="4482"/>
        <item m="1" x="7155"/>
        <item m="1" x="4596"/>
        <item m="1" x="7802"/>
        <item m="1" x="5143"/>
        <item m="1" x="7502"/>
        <item m="1" x="5359"/>
        <item m="1" x="5703"/>
        <item m="1" x="7113"/>
        <item m="1" x="3900"/>
        <item m="1" x="7710"/>
        <item m="1" x="5251"/>
        <item m="1" x="6212"/>
        <item m="1" x="7977"/>
        <item m="1" x="3105"/>
        <item m="1" x="3831"/>
        <item m="1" x="4532"/>
        <item m="1" x="4533"/>
        <item m="1" x="3790"/>
        <item m="1" x="6308"/>
        <item m="1" x="5575"/>
        <item m="1" x="7672"/>
        <item m="1" x="3199"/>
        <item m="1" x="3818"/>
        <item m="1" x="5199"/>
        <item m="1" x="5157"/>
        <item m="1" x="4719"/>
        <item m="1" x="3621"/>
        <item m="1" x="3651"/>
        <item m="1" x="4735"/>
        <item m="1" x="2861"/>
        <item m="1" x="4553"/>
        <item m="1" x="6488"/>
        <item m="1" x="7199"/>
        <item m="1" x="7604"/>
        <item m="1" x="7563"/>
        <item m="1" x="5963"/>
        <item m="1" x="7473"/>
        <item m="1" x="5962"/>
        <item m="1" x="6383"/>
        <item m="1" x="7294"/>
        <item m="1" x="4581"/>
        <item m="1" x="5938"/>
        <item m="1" x="4845"/>
        <item m="1" x="6254"/>
        <item m="1" x="7896"/>
        <item m="1" x="6734"/>
        <item m="1" x="7132"/>
        <item m="1" x="5871"/>
        <item m="1" x="6625"/>
        <item m="1" x="6626"/>
        <item m="1" x="4232"/>
        <item m="1" x="5288"/>
        <item m="1" x="7105"/>
        <item m="1" x="4483"/>
        <item m="1" x="4399"/>
        <item m="1" x="6570"/>
        <item m="1" x="6891"/>
        <item m="1" x="3177"/>
        <item m="1" x="5525"/>
        <item m="1" x="5072"/>
        <item m="1" x="3338"/>
        <item m="1" x="3808"/>
        <item m="1" x="3332"/>
        <item m="1" x="5151"/>
        <item m="1" x="3176"/>
        <item m="1" x="3087"/>
        <item m="1" x="3090"/>
        <item m="1" x="7512"/>
        <item m="1" x="4680"/>
        <item m="1" x="7212"/>
        <item m="1" x="5275"/>
        <item m="1" x="3025"/>
        <item m="1" x="4842"/>
        <item m="1" x="7590"/>
        <item m="1" x="3387"/>
        <item m="1" x="6465"/>
        <item m="1" x="7417"/>
        <item m="1" x="7871"/>
        <item m="1" x="5715"/>
        <item m="1" x="4122"/>
        <item m="1" x="7923"/>
        <item m="1" x="5068"/>
        <item m="1" x="7174"/>
        <item m="1" x="4359"/>
        <item m="1" x="6659"/>
        <item m="1" x="4903"/>
        <item m="1" x="4485"/>
        <item m="1" x="6261"/>
        <item m="1" x="5979"/>
        <item m="1" x="4006"/>
        <item m="1" x="3772"/>
        <item m="1" x="2936"/>
        <item m="1" x="2768"/>
        <item m="1" x="3460"/>
        <item m="1" x="6115"/>
        <item m="1" x="5479"/>
        <item m="1" x="5315"/>
        <item m="1" x="3556"/>
        <item m="1" x="5982"/>
        <item m="1" x="4694"/>
        <item m="1" x="7818"/>
        <item m="1" x="4088"/>
        <item m="1" x="6988"/>
        <item m="1" x="3261"/>
        <item m="1" x="3654"/>
        <item m="1" x="3163"/>
        <item m="1" x="7024"/>
        <item m="1" x="7309"/>
        <item m="1" x="7509"/>
        <item m="1" x="3005"/>
        <item m="1" x="3686"/>
        <item m="1" x="5562"/>
        <item m="1" x="3523"/>
        <item m="1" x="7068"/>
        <item m="1" x="5978"/>
        <item m="1" x="4914"/>
        <item m="1" x="4053"/>
        <item m="1" x="7450"/>
        <item m="1" x="6980"/>
        <item m="1" x="7562"/>
        <item m="1" x="6335"/>
        <item m="1" x="6580"/>
        <item m="1" x="4295"/>
        <item m="1" x="6695"/>
        <item m="1" x="3032"/>
        <item m="1" x="5259"/>
        <item m="1" x="2814"/>
        <item m="1" x="4285"/>
        <item m="1" x="3788"/>
        <item m="1" x="7376"/>
        <item m="1" x="5097"/>
        <item m="1" x="3664"/>
        <item m="1" x="4538"/>
        <item m="1" x="6402"/>
        <item m="1" x="4628"/>
        <item m="1" x="7810"/>
        <item m="1" x="4412"/>
        <item m="1" x="6998"/>
        <item m="1" x="4686"/>
        <item m="1" x="3866"/>
        <item m="1" x="5886"/>
        <item m="1" x="6997"/>
        <item m="1" x="6271"/>
        <item m="1" x="7099"/>
        <item m="1" x="5760"/>
        <item m="1" x="3703"/>
        <item m="1" x="5981"/>
        <item m="1" x="5440"/>
        <item m="1" x="6767"/>
        <item m="1" x="5096"/>
        <item m="1" x="4361"/>
        <item m="1" x="4028"/>
        <item m="1" x="5356"/>
        <item m="1" x="6145"/>
        <item m="1" x="3655"/>
        <item m="1" x="2716"/>
        <item m="1" x="4183"/>
        <item m="1" x="4793"/>
        <item m="1" x="7737"/>
        <item m="1" x="7480"/>
        <item m="1" x="5726"/>
        <item m="1" x="6856"/>
        <item m="1" x="3162"/>
        <item m="1" x="4466"/>
        <item m="1" x="6656"/>
        <item m="1" x="5992"/>
        <item m="1" x="5799"/>
        <item m="1" x="4127"/>
        <item m="1" x="6571"/>
        <item m="1" x="2929"/>
        <item m="1" x="6613"/>
        <item m="1" x="7227"/>
        <item m="1" x="6065"/>
        <item m="1" x="5166"/>
        <item m="1" x="6349"/>
        <item m="1" x="7413"/>
        <item m="1" x="7468"/>
        <item m="1" x="3395"/>
        <item m="1" x="5454"/>
        <item m="1" x="4354"/>
        <item m="1" x="4206"/>
        <item m="1" x="4151"/>
        <item m="1" x="6528"/>
        <item m="1" x="5680"/>
        <item m="1" x="5948"/>
        <item m="1" x="2682"/>
        <item m="1" x="4941"/>
        <item m="1" x="5415"/>
        <item m="1" x="7628"/>
        <item m="1" x="5139"/>
        <item m="1" x="6268"/>
        <item m="1" x="5409"/>
        <item m="1" x="2636"/>
        <item m="1" x="6241"/>
        <item m="1" x="5571"/>
        <item m="1" x="3360"/>
        <item m="1" x="6727"/>
        <item m="1" x="3829"/>
        <item m="1" x="7297"/>
        <item m="1" x="6296"/>
        <item m="1" x="2823"/>
        <item m="1" x="7454"/>
        <item m="1" x="7557"/>
        <item m="1" x="6136"/>
        <item m="1" x="7152"/>
        <item m="1" x="5249"/>
        <item m="1" x="3026"/>
        <item m="1" x="3475"/>
        <item m="1" x="4478"/>
        <item m="1" x="5337"/>
        <item m="1" x="6040"/>
        <item m="1" x="5050"/>
        <item m="1" x="6915"/>
        <item m="1" x="6608"/>
        <item m="1" x="2984"/>
        <item m="1" x="3719"/>
        <item m="1" x="5570"/>
        <item m="1" x="7329"/>
        <item m="1" x="3418"/>
        <item m="1" x="4247"/>
        <item m="1" x="4778"/>
        <item m="1" x="4113"/>
        <item m="1" x="4970"/>
        <item m="1" x="7426"/>
        <item m="1" x="5042"/>
        <item m="1" x="7757"/>
        <item m="1" x="7361"/>
        <item m="1" x="5761"/>
        <item m="1" x="6184"/>
        <item m="1" x="3510"/>
        <item m="1" x="3806"/>
        <item m="1" x="6077"/>
        <item m="1" x="7160"/>
        <item m="1" x="4948"/>
        <item m="1" x="7280"/>
        <item m="1" x="5468"/>
        <item m="1" x="4558"/>
        <item m="1" x="5127"/>
        <item m="1" x="5475"/>
        <item m="1" x="5610"/>
        <item m="1" x="4527"/>
        <item m="1" x="7150"/>
        <item m="1" x="6872"/>
        <item m="1" x="3946"/>
        <item m="1" x="4080"/>
        <item m="1" x="5147"/>
        <item m="1" x="4003"/>
        <item m="1" x="5516"/>
        <item m="1" x="4698"/>
        <item m="1" x="3923"/>
        <item m="1" x="7500"/>
        <item m="1" x="5917"/>
        <item m="1" x="5488"/>
        <item m="1" x="7573"/>
        <item m="1" x="3052"/>
        <item m="1" x="3007"/>
        <item m="1" x="3484"/>
        <item m="1" x="3095"/>
        <item m="1" x="3708"/>
        <item m="1" x="3112"/>
        <item m="1" x="6179"/>
        <item m="1" x="5133"/>
        <item m="1" x="2702"/>
        <item m="1" x="3692"/>
        <item m="1" x="3035"/>
        <item m="1" x="4075"/>
        <item m="1" x="3807"/>
        <item m="1" x="6540"/>
        <item m="1" x="6559"/>
        <item m="1" x="2817"/>
        <item m="1" x="3233"/>
        <item m="1" x="3877"/>
        <item m="1" x="5313"/>
        <item m="1" x="7760"/>
        <item m="1" x="2958"/>
        <item m="1" x="7157"/>
        <item m="1" x="5487"/>
        <item m="1" x="3093"/>
        <item m="1" x="4965"/>
        <item m="1" x="4189"/>
        <item m="1" x="6284"/>
        <item m="1" x="5037"/>
        <item m="1" x="7795"/>
        <item m="1" x="3616"/>
        <item m="1" x="6324"/>
        <item m="1" x="5937"/>
        <item m="1" x="5980"/>
        <item m="1" x="6641"/>
        <item m="1" x="7961"/>
        <item m="1" x="5442"/>
        <item m="1" x="6912"/>
        <item m="1" x="3875"/>
        <item m="1" x="7316"/>
        <item m="1" x="2981"/>
        <item m="1" x="7514"/>
        <item m="1" x="5594"/>
        <item m="1" x="3845"/>
        <item m="1" x="6004"/>
        <item m="1" x="4768"/>
        <item m="1" x="3627"/>
        <item m="1" x="3191"/>
        <item m="1" x="4853"/>
        <item m="1" x="5370"/>
        <item m="1" x="6731"/>
        <item m="1" x="4236"/>
        <item m="1" x="4528"/>
        <item m="1" x="7385"/>
        <item m="1" x="3022"/>
        <item m="1" x="2923"/>
        <item m="1" x="5999"/>
        <item m="1" x="4427"/>
        <item m="1" x="2853"/>
        <item m="1" x="5466"/>
        <item m="1" x="7998"/>
        <item m="1" x="4358"/>
        <item m="1" x="7168"/>
        <item m="1" x="3228"/>
        <item m="1" x="6006"/>
        <item m="1" x="7895"/>
        <item m="1" x="7696"/>
        <item m="1" x="5669"/>
        <item m="1" x="4921"/>
        <item m="1" x="5858"/>
        <item m="1" x="4495"/>
        <item m="1" x="3516"/>
        <item m="1" x="5388"/>
        <item m="1" x="7269"/>
        <item m="1" x="5800"/>
        <item m="1" x="4882"/>
        <item m="1" x="3805"/>
        <item m="1" x="6925"/>
        <item m="1" x="4109"/>
        <item m="1" x="5852"/>
        <item m="1" x="6401"/>
        <item m="1" x="7039"/>
        <item m="1" x="3084"/>
        <item m="1" x="5418"/>
        <item m="1" x="5453"/>
        <item m="1" x="2693"/>
        <item m="1" x="3856"/>
        <item m="1" x="5396"/>
        <item m="1" x="7307"/>
        <item m="1" x="5500"/>
        <item m="1" x="7606"/>
        <item m="1" x="4413"/>
        <item m="1" x="2713"/>
        <item m="1" x="7641"/>
        <item m="1" x="2865"/>
        <item m="1" x="2721"/>
        <item m="1" x="6802"/>
        <item m="1" x="7149"/>
        <item m="1" x="4082"/>
        <item m="1" x="6424"/>
        <item m="1" x="7624"/>
        <item m="1" x="3143"/>
        <item m="1" x="6644"/>
        <item m="1" x="3715"/>
        <item m="1" x="6504"/>
        <item m="1" x="6539"/>
        <item m="1" x="6824"/>
        <item m="1" x="3457"/>
        <item m="1" x="6907"/>
        <item m="1" x="7398"/>
        <item m="1" x="5836"/>
        <item m="1" x="6432"/>
        <item m="1" x="7950"/>
        <item m="1" x="7108"/>
        <item m="1" x="7351"/>
        <item m="1" x="3504"/>
        <item m="1" x="2764"/>
        <item m="1" x="4046"/>
        <item m="1" x="5013"/>
        <item m="1" x="4685"/>
        <item m="1" x="5126"/>
        <item m="1" x="3187"/>
        <item m="1" x="2922"/>
        <item m="1" x="7707"/>
        <item m="1" x="5015"/>
        <item m="1" x="3158"/>
        <item m="1" x="4895"/>
        <item m="1" x="7019"/>
        <item m="1" x="7372"/>
        <item m="1" x="7446"/>
        <item m="1" x="6873"/>
        <item m="1" x="6470"/>
        <item m="1" x="5043"/>
        <item m="1" x="4864"/>
        <item m="1" x="7937"/>
        <item m="1" x="3278"/>
        <item m="1" x="3451"/>
        <item m="1" x="3225"/>
        <item m="1" x="4204"/>
        <item m="1" x="2831"/>
        <item m="1" x="4786"/>
        <item m="1" x="7289"/>
        <item m="1" x="6347"/>
        <item m="1" x="5632"/>
        <item m="1" x="2845"/>
        <item m="1" x="7548"/>
        <item m="1" x="4033"/>
        <item m="1" x="6585"/>
        <item m="1" x="5244"/>
        <item m="1" x="4693"/>
        <item m="1" x="6453"/>
        <item m="1" x="2937"/>
        <item m="1" x="7984"/>
        <item m="1" x="2607"/>
        <item m="1" x="2909"/>
        <item m="1" x="6831"/>
        <item m="1" x="2891"/>
        <item m="1" x="6923"/>
        <item m="1" x="4087"/>
        <item m="1" x="7306"/>
        <item m="1" x="5137"/>
        <item m="1" x="3039"/>
        <item m="1" x="6591"/>
        <item m="1" x="5480"/>
        <item m="1" x="5749"/>
        <item m="1" x="5012"/>
        <item m="1" x="7403"/>
        <item m="1" x="6552"/>
        <item m="1" x="7246"/>
        <item m="1" x="6348"/>
        <item m="1" x="5381"/>
        <item m="1" x="4601"/>
        <item m="1" x="3867"/>
        <item m="1" x="5667"/>
        <item m="1" x="4054"/>
        <item m="1" x="7026"/>
        <item m="1" x="6683"/>
        <item m="1" x="7056"/>
        <item m="1" x="2732"/>
        <item m="1" x="5640"/>
        <item m="1" x="4090"/>
        <item m="1" x="3819"/>
        <item m="1" x="5450"/>
        <item m="1" x="6521"/>
        <item m="1" x="5944"/>
        <item m="1" x="3486"/>
        <item m="1" x="3748"/>
        <item m="1" x="2912"/>
        <item m="1" x="4375"/>
        <item m="1" x="4640"/>
        <item m="1" x="3252"/>
        <item m="1" x="7629"/>
        <item m="1" x="7539"/>
        <item m="1" x="3885"/>
        <item m="1" x="3008"/>
        <item m="1" x="5820"/>
        <item m="1" x="5685"/>
        <item m="1" x="6444"/>
        <item m="1" x="6627"/>
        <item m="1" x="3937"/>
        <item m="1" x="3529"/>
        <item m="1" x="7761"/>
        <item m="1" x="4501"/>
        <item m="1" x="4499"/>
        <item m="1" x="4128"/>
        <item m="1" x="3596"/>
        <item m="1" x="7989"/>
        <item m="1" x="5558"/>
        <item m="1" x="5113"/>
        <item m="1" x="6468"/>
        <item m="1" x="6422"/>
        <item m="1" x="4578"/>
        <item m="1" x="4887"/>
        <item m="1" x="5794"/>
        <item m="1" x="6116"/>
        <item m="1" x="3894"/>
        <item m="1" x="5135"/>
        <item m="1" x="5795"/>
        <item m="1" x="7438"/>
        <item m="1" x="7390"/>
        <item m="1" x="6599"/>
        <item m="1" x="6286"/>
        <item m="1" x="5997"/>
        <item m="1" x="4288"/>
        <item m="1" x="7693"/>
        <item m="1" x="7964"/>
        <item m="1" x="4874"/>
        <item m="1" x="6351"/>
        <item m="1" x="5566"/>
        <item m="1" x="4555"/>
        <item m="1" x="7934"/>
        <item m="1" x="3699"/>
        <item m="1" x="7829"/>
        <item m="1" x="6871"/>
        <item m="1" x="3474"/>
        <item m="1" x="4437"/>
        <item m="1" x="6868"/>
        <item m="1" x="6934"/>
        <item m="1" x="3673"/>
        <item m="1" x="6370"/>
        <item m="1" x="5212"/>
        <item m="1" x="6408"/>
        <item m="1" x="7806"/>
        <item m="1" x="6292"/>
        <item m="1" x="5675"/>
        <item m="1" x="6428"/>
        <item m="1" x="7014"/>
        <item m="1" x="3519"/>
        <item m="1" x="4896"/>
        <item m="1" x="5414"/>
        <item m="1" x="6890"/>
        <item m="1" x="4004"/>
        <item m="1" x="2634"/>
        <item m="1" x="6303"/>
        <item m="1" x="5544"/>
        <item m="1" x="7713"/>
        <item m="1" x="7435"/>
        <item m="1" x="7002"/>
        <item m="1" x="3682"/>
        <item m="1" x="3134"/>
        <item m="1" x="6098"/>
        <item m="1" x="5816"/>
        <item m="1" x="6827"/>
        <item m="1" x="4252"/>
        <item m="1" x="7776"/>
        <item m="1" x="7697"/>
        <item m="1" x="6302"/>
        <item m="1" x="4233"/>
        <item m="1" x="4476"/>
        <item m="1" x="4918"/>
        <item m="1" x="2894"/>
        <item m="1" x="7970"/>
        <item m="1" x="6256"/>
        <item m="1" x="5933"/>
        <item m="1" x="5692"/>
        <item m="1" x="5790"/>
        <item m="1" x="5946"/>
        <item m="1" x="6340"/>
        <item m="1" x="6842"/>
        <item m="1" x="3377"/>
        <item m="1" x="4537"/>
        <item m="1" x="3423"/>
        <item m="1" x="4350"/>
        <item m="1" x="5121"/>
        <item m="1" x="6119"/>
        <item m="1" x="7063"/>
        <item m="1" x="4032"/>
        <item m="1" x="4889"/>
        <item m="1" x="3288"/>
        <item m="1" x="3164"/>
        <item m="1" x="3910"/>
        <item m="1" x="7256"/>
        <item m="1" x="6529"/>
        <item m="1" x="5274"/>
        <item m="1" x="6264"/>
        <item m="1" x="7596"/>
        <item m="1" x="6805"/>
        <item m="1" x="5748"/>
        <item m="1" x="7041"/>
        <item m="1" x="5209"/>
        <item m="1" x="3396"/>
        <item m="1" x="4275"/>
        <item m="1" x="3710"/>
        <item m="1" x="6147"/>
        <item m="1" x="2688"/>
        <item m="1" x="6128"/>
        <item m="1" x="6628"/>
        <item m="1" x="7021"/>
        <item m="1" x="2724"/>
        <item m="1" x="6694"/>
        <item m="1" x="6886"/>
        <item m="1" x="2717"/>
        <item m="1" x="4305"/>
        <item m="1" x="4049"/>
        <item m="1" x="4659"/>
        <item m="1" x="3045"/>
        <item m="1" x="4829"/>
        <item m="1" x="3426"/>
        <item m="1" x="6524"/>
        <item m="1" x="4225"/>
        <item m="1" x="4336"/>
        <item m="1" x="5959"/>
        <item m="1" x="2907"/>
        <item m="1" x="5205"/>
        <item m="1" x="4937"/>
        <item m="1" x="7346"/>
        <item m="1" x="4978"/>
        <item m="1" x="3940"/>
        <item m="1" x="3362"/>
        <item m="1" x="6405"/>
        <item m="1" x="3131"/>
        <item m="1" x="2687"/>
        <item m="1" x="7505"/>
        <item m="1" x="4912"/>
        <item m="1" x="5890"/>
        <item m="1" x="7103"/>
        <item m="1" x="2971"/>
        <item m="1" x="4701"/>
        <item m="1" x="5639"/>
        <item m="1" x="4104"/>
        <item m="1" x="4365"/>
        <item m="1" x="3438"/>
        <item m="1" x="4678"/>
        <item m="1" x="6288"/>
        <item m="1" x="4095"/>
        <item m="1" x="2628"/>
        <item m="1" x="2921"/>
        <item m="1" x="6904"/>
        <item m="1" x="5372"/>
        <item m="1" x="5039"/>
        <item m="1" x="7861"/>
        <item m="1" x="7627"/>
        <item m="1" x="5728"/>
        <item m="1" x="4653"/>
        <item m="1" x="7774"/>
        <item m="1" x="5175"/>
        <item m="1" x="6739"/>
        <item m="1" x="6730"/>
        <item m="1" x="7811"/>
        <item m="1" x="4313"/>
        <item m="1" x="2828"/>
        <item m="1" x="4577"/>
        <item m="1" x="7069"/>
        <item m="1" x="3971"/>
        <item m="1" x="3876"/>
        <item m="1" x="6213"/>
        <item m="1" x="3544"/>
        <item m="1" x="5386"/>
        <item m="1" x="5702"/>
        <item m="1" x="7277"/>
        <item m="1" x="5365"/>
        <item m="1" x="4968"/>
        <item m="1" x="4281"/>
        <item m="1" x="7773"/>
        <item m="1" x="3459"/>
        <item m="1" x="4713"/>
        <item m="1" x="2917"/>
        <item m="1" x="6741"/>
        <item m="1" x="5511"/>
        <item m="1" x="7593"/>
        <item m="1" x="7151"/>
        <item m="1" x="7211"/>
        <item m="1" x="7405"/>
        <item m="1" x="6605"/>
        <item m="1" x="5371"/>
        <item m="1" x="2735"/>
        <item m="1" x="6564"/>
        <item m="1" x="3982"/>
        <item m="1" x="6853"/>
        <item m="1" x="4007"/>
        <item m="1" x="7911"/>
        <item m="1" x="4832"/>
        <item m="1" x="6519"/>
        <item m="1" x="5825"/>
        <item m="1" x="4789"/>
        <item m="1" x="6374"/>
        <item m="1" x="6798"/>
        <item m="1" x="5280"/>
        <item m="1" x="3348"/>
        <item m="1" x="4622"/>
        <item m="1" x="4946"/>
        <item m="1" x="7459"/>
        <item m="1" x="5893"/>
        <item m="1" x="7118"/>
        <item m="1" x="3810"/>
        <item m="1" x="3358"/>
        <item m="1" x="3570"/>
        <item m="1" x="5334"/>
        <item m="1" x="6129"/>
        <item m="1" x="7547"/>
        <item m="1" x="5014"/>
        <item m="1" x="5844"/>
        <item m="1" x="7762"/>
        <item m="1" x="4754"/>
        <item m="1" x="3397"/>
        <item m="1" x="7348"/>
        <item m="1" x="5241"/>
        <item m="1" x="3132"/>
        <item m="1" x="5416"/>
        <item m="1" x="4520"/>
        <item m="1" x="5406"/>
        <item m="1" x="5887"/>
        <item m="1" x="7992"/>
        <item m="1" x="2779"/>
        <item m="1" x="3619"/>
        <item m="1" x="3402"/>
        <item m="1" x="2609"/>
        <item m="1" x="6087"/>
        <item m="1" x="5600"/>
        <item m="1" x="5389"/>
        <item m="1" x="7143"/>
        <item m="1" x="7927"/>
        <item m="1" x="6972"/>
        <item m="1" x="6221"/>
        <item m="1" x="5578"/>
        <item m="1" x="7055"/>
        <item m="1" x="6485"/>
        <item m="1" x="4559"/>
        <item m="1" x="5759"/>
        <item m="1" x="2648"/>
        <item m="1" x="3799"/>
        <item m="1" x="6436"/>
        <item m="1" x="4554"/>
        <item m="1" x="5914"/>
        <item m="1" x="6536"/>
        <item m="1" x="7654"/>
        <item m="1" x="4981"/>
        <item m="1" x="3296"/>
        <item m="1" x="5046"/>
        <item m="1" x="2758"/>
        <item m="1" x="7472"/>
        <item m="1" x="2919"/>
        <item m="1" x="6746"/>
        <item m="1" x="6709"/>
        <item m="1" x="6171"/>
        <item m="1" x="6574"/>
        <item m="1" x="5075"/>
        <item m="1" x="2806"/>
        <item m="1" x="4071"/>
        <item m="1" x="7443"/>
        <item m="1" x="7852"/>
        <item m="1" x="5390"/>
        <item m="1" x="2974"/>
        <item m="1" x="7028"/>
        <item m="1" x="7319"/>
        <item m="1" x="4129"/>
        <item m="1" x="3887"/>
        <item m="1" x="4938"/>
        <item m="1" x="6377"/>
        <item m="1" x="2938"/>
        <item m="1" x="2856"/>
        <item m="1" x="5299"/>
        <item m="1" x="6596"/>
        <item m="1" x="7564"/>
        <item m="1" x="6356"/>
        <item m="1" x="4039"/>
        <item m="1" x="7354"/>
        <item m="1" x="5132"/>
        <item m="1" x="3024"/>
        <item m="1" x="3429"/>
        <item m="1" x="2953"/>
        <item m="1" x="2877"/>
        <item m="1" x="6942"/>
        <item m="1" x="2889"/>
        <item m="1" x="5285"/>
        <item m="1" x="2726"/>
        <item m="1" x="6855"/>
        <item m="1" x="5417"/>
        <item m="1" x="3701"/>
        <item m="1" x="5402"/>
        <item m="1" x="7061"/>
        <item m="1" x="2644"/>
        <item m="1" x="4154"/>
        <item m="1" x="6543"/>
        <item m="1" x="3844"/>
        <item m="1" x="4277"/>
        <item m="1" x="6780"/>
        <item m="1" x="5593"/>
        <item m="1" x="2695"/>
        <item m="1" x="5949"/>
        <item m="1" x="7001"/>
        <item m="1" x="6844"/>
        <item m="1" x="3930"/>
        <item m="1" x="6489"/>
        <item m="1" x="7223"/>
        <item m="1" x="4096"/>
        <item m="1" x="4152"/>
        <item m="1" x="5587"/>
        <item m="1" x="5301"/>
        <item m="1" x="6143"/>
        <item m="1" x="6449"/>
        <item m="1" x="5316"/>
        <item m="1" x="7420"/>
        <item m="1" x="5955"/>
        <item m="1" x="7807"/>
        <item m="1" x="4369"/>
        <item m="1" x="6756"/>
        <item m="1" x="4883"/>
        <item m="1" x="4923"/>
        <item m="1" x="4186"/>
        <item m="1" x="4509"/>
        <item m="1" x="7117"/>
        <item m="1" x="6191"/>
        <item m="1" x="6099"/>
        <item m="1" x="6631"/>
        <item m="1" x="7067"/>
        <item m="1" x="6843"/>
        <item m="1" x="5160"/>
        <item m="1" x="7658"/>
        <item m="1" x="2980"/>
        <item m="1" x="5061"/>
        <item m="1" x="5130"/>
        <item m="1" x="7249"/>
        <item m="1" x="4107"/>
        <item m="1" x="6269"/>
        <item m="1" x="3683"/>
        <item m="1" x="3330"/>
        <item m="1" x="7145"/>
        <item m="1" x="7084"/>
        <item m="1" x="7559"/>
        <item m="1" x="6464"/>
        <item m="1" x="4809"/>
        <item m="1" x="7935"/>
        <item m="1" x="2614"/>
        <item m="1" x="4994"/>
        <item m="1" x="4343"/>
        <item m="1" x="3507"/>
        <item m="1" x="5803"/>
        <item m="1" x="7570"/>
        <item m="1" x="4222"/>
        <item m="1" x="5513"/>
        <item m="1" x="6496"/>
        <item m="1" x="6698"/>
        <item m="1" x="5266"/>
        <item m="1" x="5380"/>
        <item m="1" x="3942"/>
        <item m="1" x="6473"/>
        <item m="1" x="7908"/>
        <item m="1" x="2786"/>
        <item m="1" x="2645"/>
        <item m="1" x="6207"/>
        <item m="1" x="3717"/>
        <item m="1" x="6001"/>
        <item m="1" x="7467"/>
        <item m="1" x="4324"/>
        <item m="1" x="6600"/>
        <item m="1" x="6518"/>
        <item m="1" x="6091"/>
        <item m="1" x="7261"/>
        <item m="1" x="2618"/>
        <item m="1" x="7711"/>
        <item m="1" x="7154"/>
        <item m="1" x="5227"/>
        <item m="1" x="4813"/>
        <item m="1" x="5915"/>
        <item m="1" x="4100"/>
        <item m="1" x="5605"/>
        <item m="1" x="7745"/>
        <item m="1" x="4924"/>
        <item m="1" x="4371"/>
        <item m="1" x="4177"/>
        <item m="1" x="6967"/>
        <item m="1" x="7921"/>
        <item m="1" x="7664"/>
        <item m="1" x="5851"/>
        <item m="1" x="5521"/>
        <item m="1" x="4486"/>
        <item m="1" x="6112"/>
        <item m="1" x="4933"/>
        <item m="1" x="4503"/>
        <item m="1" x="4801"/>
        <item m="1" x="5245"/>
        <item m="1" x="5408"/>
        <item m="1" x="4411"/>
        <item m="1" x="4607"/>
        <item m="1" x="7074"/>
        <item m="1" x="7918"/>
        <item m="1" x="4016"/>
        <item m="1" x="7208"/>
        <item m="1" x="3624"/>
        <item m="1" x="3370"/>
        <item m="1" x="5878"/>
        <item m="1" x="3440"/>
        <item m="1" x="4940"/>
        <item m="1" x="2846"/>
        <item m="1" x="7651"/>
        <item m="1" x="3193"/>
        <item m="1" x="4752"/>
        <item m="1" x="5064"/>
        <item m="1" x="2905"/>
        <item m="1" x="3038"/>
        <item m="1" x="5170"/>
        <item m="1" x="5922"/>
        <item m="1" x="7394"/>
        <item m="1" x="4805"/>
        <item m="1" x="7706"/>
        <item m="1" x="5659"/>
        <item m="1" x="2966"/>
        <item m="1" x="3407"/>
        <item m="1" x="7758"/>
        <item m="1" x="6251"/>
        <item m="1" x="5063"/>
        <item m="1" x="5163"/>
        <item m="1" x="6217"/>
        <item m="1" x="5567"/>
        <item m="1" x="3198"/>
        <item m="1" x="3559"/>
        <item m="1" x="5084"/>
        <item m="1" x="6854"/>
        <item m="1" x="4956"/>
        <item m="1" x="6786"/>
        <item m="1" x="5932"/>
        <item m="1" x="3526"/>
        <item m="1" x="5385"/>
        <item m="1" x="3060"/>
        <item m="1" x="7673"/>
        <item m="1" x="7840"/>
        <item m="1" x="6103"/>
        <item m="1" x="3865"/>
        <item m="1" x="4952"/>
        <item m="1" x="5634"/>
        <item m="1" x="5736"/>
        <item m="1" x="3741"/>
        <item m="1" x="5651"/>
        <item m="1" x="5704"/>
        <item m="1" x="6735"/>
        <item m="1" x="6882"/>
        <item m="1" x="2670"/>
        <item m="1" x="6358"/>
        <item m="1" x="3535"/>
        <item m="1" x="7135"/>
        <item m="1" x="5645"/>
        <item m="1" x="3104"/>
        <item m="1" x="5003"/>
        <item m="1" x="6276"/>
        <item m="1" x="6702"/>
        <item m="1" x="6553"/>
        <item m="1" x="5601"/>
        <item m="1" x="3490"/>
        <item m="1" x="7167"/>
        <item m="1" x="2699"/>
        <item m="1" x="4569"/>
        <item m="1" x="5991"/>
        <item m="1" x="5637"/>
        <item m="1" x="7534"/>
        <item m="1" x="3879"/>
        <item m="1" x="4205"/>
        <item m="1" x="7156"/>
        <item m="1" x="6990"/>
        <item m="1" x="6034"/>
        <item m="1" x="6054"/>
        <item m="1" x="3388"/>
        <item m="1" x="6194"/>
        <item m="1" x="5630"/>
        <item m="1" x="5066"/>
        <item m="1" x="4309"/>
        <item m="1" x="6771"/>
        <item m="1" x="7404"/>
        <item m="1" x="3068"/>
        <item m="1" x="3952"/>
        <item m="1" x="6093"/>
        <item m="1" x="3055"/>
        <item m="1" x="5746"/>
        <item m="1" x="6579"/>
        <item m="1" x="6517"/>
        <item m="1" x="6122"/>
        <item m="1" x="7577"/>
        <item m="1" x="6674"/>
        <item m="1" x="7619"/>
        <item m="1" x="7781"/>
        <item m="1" x="6148"/>
        <item m="1" x="7125"/>
        <item m="1" x="5993"/>
        <item m="1" x="5031"/>
        <item m="1" x="3097"/>
        <item m="1" x="3463"/>
        <item m="1" x="3661"/>
        <item m="1" x="5695"/>
        <item m="1" x="5757"/>
        <item m="1" x="3527"/>
        <item m="1" x="4567"/>
        <item m="1" x="2751"/>
        <item m="1" x="4158"/>
        <item m="1" x="3634"/>
        <item m="1" x="4396"/>
        <item m="1" x="5828"/>
        <item m="1" x="5613"/>
        <item m="1" x="4240"/>
        <item m="1" x="6575"/>
        <item m="1" x="4037"/>
        <item m="1" x="6106"/>
        <item m="1" x="4237"/>
        <item m="1" x="2812"/>
        <item m="1" x="5125"/>
        <item m="1" x="5041"/>
        <item m="1" x="4633"/>
        <item m="1" x="4663"/>
        <item m="1" x="7816"/>
        <item m="1" x="7842"/>
        <item m="1" x="7869"/>
        <item m="1" x="7462"/>
        <item m="1" x="6073"/>
        <item m="1" x="5224"/>
        <item m="1" x="3324"/>
        <item m="1" x="3542"/>
        <item m="1" x="5823"/>
        <item m="1" x="7584"/>
        <item m="1" x="6763"/>
        <item m="1" x="3997"/>
        <item m="1" x="5461"/>
        <item m="1" x="6748"/>
        <item m="1" x="7540"/>
        <item m="1" x="4440"/>
        <item m="1" x="7631"/>
        <item m="1" x="7487"/>
        <item m="1" x="2807"/>
        <item m="1" x="5082"/>
        <item m="1" x="3297"/>
        <item m="1" x="3327"/>
        <item m="1" x="5561"/>
        <item m="1" x="3938"/>
        <item m="1" x="3778"/>
        <item m="1" x="3998"/>
        <item m="1" x="7972"/>
        <item m="1" x="7257"/>
        <item m="1" x="3151"/>
        <item m="1" x="3582"/>
        <item m="1" x="5298"/>
        <item m="1" x="7302"/>
        <item m="1" x="3245"/>
        <item m="1" x="6766"/>
        <item m="1" x="6885"/>
        <item m="1" x="5463"/>
        <item m="1" x="5591"/>
        <item m="1" x="6236"/>
        <item m="1" x="6963"/>
        <item m="1" x="2940"/>
        <item m="1" x="6252"/>
        <item m="1" x="6692"/>
        <item m="1" x="3746"/>
        <item m="1" x="5974"/>
        <item m="1" x="7111"/>
        <item m="1" x="6752"/>
        <item m="1" x="2927"/>
        <item m="1" x="5172"/>
        <item m="1" x="7903"/>
        <item m="1" x="3826"/>
        <item m="1" x="3161"/>
        <item m="1" x="3369"/>
        <item m="1" x="5323"/>
        <item m="1" x="6913"/>
        <item m="1" x="6732"/>
        <item m="1" x="7251"/>
        <item m="1" x="7380"/>
        <item m="1" x="4493"/>
        <item m="1" x="4942"/>
        <item m="1" x="3133"/>
        <item m="1" x="5032"/>
        <item m="1" x="6076"/>
        <item m="1" x="4221"/>
        <item m="1" x="3034"/>
        <item m="1" x="4498"/>
        <item m="1" x="4563"/>
        <item m="1" x="5515"/>
        <item m="1" x="5873"/>
        <item m="1" x="4147"/>
        <item m="1" x="2985"/>
        <item m="1" x="7545"/>
        <item m="1" x="3800"/>
        <item m="1" x="7611"/>
        <item m="1" x="2759"/>
        <item m="1" x="4859"/>
        <item m="1" x="6178"/>
        <item m="1" x="3345"/>
        <item m="1" x="4860"/>
        <item m="1" x="2661"/>
        <item m="1" x="7656"/>
        <item m="1" x="4321"/>
        <item m="1" x="6681"/>
        <item m="1" x="7753"/>
        <item m="1" x="2964"/>
        <item m="1" x="4231"/>
        <item m="1" x="4677"/>
        <item m="1" x="3292"/>
        <item m="1" x="7712"/>
        <item m="1" x="6353"/>
        <item m="1" x="7965"/>
        <item m="1" x="5262"/>
        <item m="1" x="2998"/>
        <item m="1" x="6589"/>
        <item m="1" x="7371"/>
        <item m="1" x="7568"/>
        <item m="1" x="3192"/>
        <item m="1" x="7735"/>
        <item m="1" x="3761"/>
        <item m="1" x="2840"/>
        <item m="1" x="4777"/>
        <item m="1" x="4761"/>
        <item m="1" x="4429"/>
        <item m="1" x="6863"/>
        <item m="1" x="6682"/>
        <item m="1" x="3357"/>
        <item m="1" x="7906"/>
        <item m="1" x="6894"/>
        <item m="1" x="2773"/>
        <item m="1" x="5821"/>
        <item m="1" x="5510"/>
        <item m="1" x="4401"/>
        <item m="1" x="3551"/>
        <item m="1" x="6689"/>
        <item m="1" x="3264"/>
        <item m="1" x="4831"/>
        <item m="1" x="3633"/>
        <item m="1" x="4453"/>
        <item m="1" x="7850"/>
        <item m="1" x="7985"/>
        <item m="1" x="6382"/>
        <item m="1" x="7397"/>
        <item m="1" x="5529"/>
        <item m="1" x="4833"/>
        <item m="1" x="7209"/>
        <item m="1" x="5931"/>
        <item m="1" x="3272"/>
        <item m="1" x="6309"/>
        <item m="1" x="5322"/>
        <item m="1" x="4587"/>
        <item m="1" x="7724"/>
        <item m="1" x="7131"/>
        <item m="1" x="4961"/>
        <item m="1" x="7532"/>
        <item m="1" x="6664"/>
        <item m="1" x="7491"/>
        <item m="1" x="3403"/>
        <item m="1" x="4799"/>
        <item m="1" x="3226"/>
        <item m="1" x="4954"/>
        <item m="1" x="6859"/>
        <item m="1" x="5198"/>
        <item m="1" x="5947"/>
        <item m="1" x="3906"/>
        <item m="1" x="6412"/>
        <item m="1" x="3752"/>
        <item m="1" x="6328"/>
        <item m="1" x="5360"/>
        <item m="1" x="7622"/>
        <item m="1" x="3767"/>
        <item m="1" x="3770"/>
        <item m="1" x="4218"/>
        <item m="1" x="6245"/>
        <item m="1" x="5069"/>
        <item m="1" x="6290"/>
        <item m="1" x="6949"/>
        <item m="1" x="4479"/>
        <item m="1" x="3553"/>
        <item m="1" x="6220"/>
        <item m="1" x="4487"/>
        <item m="1" x="5793"/>
        <item m="1" x="3217"/>
        <item m="1" x="4902"/>
        <item m="1" x="5284"/>
        <item m="1" x="5320"/>
        <item m="1" x="3944"/>
        <item m="1" x="6986"/>
        <item m="1" x="5196"/>
        <item m="1" x="2626"/>
        <item m="1" x="6993"/>
        <item m="1" x="5091"/>
        <item m="1" x="5658"/>
        <item m="1" x="6162"/>
        <item m="1" x="7589"/>
        <item m="1" x="6317"/>
        <item m="1" x="3871"/>
        <item m="1" x="7846"/>
        <item m="1" x="4817"/>
        <item m="1" x="7043"/>
        <item m="1" x="5706"/>
        <item m="1" x="4539"/>
        <item m="1" x="3950"/>
        <item m="1" x="3257"/>
        <item m="1" x="4821"/>
        <item m="1" x="6312"/>
        <item m="1" x="4296"/>
        <item m="1" x="5343"/>
        <item m="1" x="4368"/>
        <item m="1" x="7065"/>
        <item m="1" x="5867"/>
        <item m="1" x="5870"/>
        <item m="1" x="5495"/>
        <item m="1" x="4370"/>
        <item m="1" x="4662"/>
        <item m="1" x="3262"/>
        <item m="1" x="5624"/>
        <item m="1" x="4052"/>
        <item m="1" x="7747"/>
        <item m="1" x="4606"/>
        <item m="1" x="3001"/>
        <item m="1" x="7130"/>
        <item m="1" x="4200"/>
        <item m="1" x="4126"/>
        <item m="1" x="3734"/>
        <item m="1" x="5581"/>
        <item m="1" x="7679"/>
        <item m="1" x="5324"/>
        <item m="1" x="5190"/>
        <item m="1" x="3548"/>
        <item m="1" x="5582"/>
        <item m="1" x="6466"/>
        <item m="1" x="3750"/>
        <item m="1" x="3711"/>
        <item m="1" x="7121"/>
        <item m="1" x="3260"/>
        <item m="1" x="5035"/>
        <item m="1" x="3393"/>
        <item m="1" x="7214"/>
        <item m="1" x="7276"/>
        <item m="1" x="7766"/>
        <item m="1" x="3646"/>
        <item m="1" x="4092"/>
        <item m="1" x="5784"/>
        <item m="1" x="3753"/>
        <item m="1" x="3255"/>
        <item m="1" x="2767"/>
        <item m="1" x="4695"/>
        <item m="1" x="6140"/>
        <item m="1" x="7350"/>
        <item m="1" x="4018"/>
        <item m="1" x="5002"/>
        <item m="1" x="6852"/>
        <item m="1" x="7626"/>
        <item m="1" x="6439"/>
        <item m="1" x="3279"/>
        <item m="1" x="2613"/>
        <item m="1" x="3182"/>
        <item m="1" x="6425"/>
        <item m="1" x="7801"/>
        <item m="1" x="4551"/>
        <item m="1" x="4823"/>
        <item m="1" x="4184"/>
        <item m="1" x="3815"/>
        <item m="1" x="6506"/>
        <item m="1" x="6407"/>
        <item m="1" x="3461"/>
        <item m="1" x="4178"/>
        <item m="1" x="7236"/>
        <item m="1" x="2633"/>
        <item m="1" x="5798"/>
        <item m="1" x="5607"/>
        <item m="1" x="6173"/>
        <item m="1" x="6371"/>
        <item m="1" x="5912"/>
        <item m="1" x="7308"/>
        <item m="1" x="6153"/>
        <item m="1" x="5838"/>
        <item m="1" x="5248"/>
        <item m="1" x="3170"/>
        <item m="1" x="6849"/>
        <item m="1" x="6058"/>
        <item m="1" x="4824"/>
        <item m="1" x="4098"/>
        <item m="1" x="6231"/>
        <item m="1" x="2727"/>
        <item m="1" x="4471"/>
        <item m="1" x="6549"/>
        <item m="1" x="4908"/>
        <item m="1" x="4492"/>
        <item m="1" x="5687"/>
        <item m="1" x="2775"/>
        <item m="1" x="7796"/>
        <item m="1" x="6361"/>
        <item m="1" x="2875"/>
        <item m="1" x="5102"/>
        <item m="1" x="7612"/>
        <item m="1" x="6751"/>
        <item m="1" x="4468"/>
        <item m="1" x="6066"/>
        <item m="1" x="6102"/>
        <item m="1" x="4420"/>
        <item m="1" x="5772"/>
        <item m="1" x="6889"/>
        <item m="1" x="7464"/>
        <item m="1" x="2801"/>
        <item m="1" x="3411"/>
        <item m="1" x="5564"/>
        <item m="1" x="5779"/>
        <item m="1" x="7819"/>
        <item m="1" x="7933"/>
        <item m="1" x="7780"/>
        <item m="1" x="6604"/>
        <item m="1" x="6535"/>
        <item m="1" x="3037"/>
        <item m="1" x="5104"/>
        <item m="1" x="7699"/>
        <item m="1" x="6736"/>
        <item m="1" x="4138"/>
        <item m="1" x="3571"/>
        <item m="1" x="4562"/>
        <item m="1" x="3562"/>
        <item m="1" x="6344"/>
        <item m="1" x="6618"/>
        <item m="1" x="2677"/>
        <item m="1" x="7592"/>
        <item m="1" x="3216"/>
        <item m="1" x="7091"/>
        <item m="1" x="4993"/>
        <item m="1" x="5079"/>
        <item m="1" x="7898"/>
        <item m="1" x="7136"/>
        <item m="1" x="5254"/>
        <item m="1" x="6951"/>
        <item m="1" x="7137"/>
        <item m="1" x="3896"/>
        <item m="1" x="2842"/>
        <item m="1" x="6259"/>
        <item m="1" x="3314"/>
        <item m="1" x="7939"/>
        <item m="1" x="7554"/>
        <item m="1" x="3671"/>
        <item m="1" x="4724"/>
        <item m="1" x="5935"/>
        <item m="1" x="4623"/>
        <item m="1" x="4540"/>
        <item m="1" x="5885"/>
        <item m="1" x="3801"/>
        <item m="1" x="4949"/>
        <item m="1" x="5551"/>
        <item m="1" x="6440"/>
        <item m="1" x="6300"/>
        <item m="1" x="4287"/>
        <item m="1" x="4649"/>
        <item m="1" x="6670"/>
        <item m="1" x="2660"/>
        <item m="1" x="7086"/>
        <item m="1" x="7324"/>
        <item m="1" x="7883"/>
        <item m="1" x="7884"/>
        <item m="1" x="7959"/>
        <item m="1" x="6281"/>
        <item m="1" x="2753"/>
        <item m="1" x="2640"/>
        <item m="1" x="4632"/>
        <item m="1" x="7610"/>
        <item m="1" x="7827"/>
        <item m="1" x="5001"/>
        <item m="1" x="4751"/>
        <item m="1" x="6977"/>
        <item m="1" x="4347"/>
        <item m="1" x="3122"/>
        <item m="1" x="4394"/>
        <item m="1" x="5029"/>
        <item m="1" x="6667"/>
        <item m="1" x="3477"/>
        <item m="1" x="6830"/>
        <item m="1" x="3678"/>
        <item m="1" x="3366"/>
        <item m="1" x="4269"/>
        <item m="1" x="3705"/>
        <item m="1" x="4078"/>
        <item m="1" x="7875"/>
        <item m="1" x="2658"/>
        <item m="1" x="6110"/>
        <item m="1" x="2983"/>
        <item m="1" x="3040"/>
        <item m="1" x="4872"/>
        <item m="1" x="6244"/>
        <item m="1" x="2970"/>
        <item m="1" x="7733"/>
        <item m="1" x="3926"/>
        <item m="1" x="4319"/>
        <item m="1" x="4771"/>
        <item m="1" x="5960"/>
        <item m="1" x="6520"/>
        <item m="1" x="4890"/>
        <item m="1" x="2925"/>
        <item m="1" x="5452"/>
        <item m="1" x="3183"/>
        <item m="1" x="4522"/>
        <item m="1" x="3130"/>
        <item m="1" x="7492"/>
        <item m="1" x="5110"/>
        <item m="1" x="4491"/>
        <item m="1" x="4797"/>
        <item m="1" x="4258"/>
        <item m="1" x="6546"/>
        <item m="1" x="3244"/>
        <item m="1" x="4840"/>
        <item m="1" x="4957"/>
        <item m="1" x="3589"/>
        <item m="1" x="4402"/>
        <item m="1" x="5302"/>
        <item m="1" x="4050"/>
        <item m="1" x="6542"/>
        <item m="1" x="4085"/>
        <item m="1" x="6262"/>
        <item m="1" x="2973"/>
        <item m="1" x="7974"/>
        <item m="1" x="5399"/>
        <item m="1" x="5661"/>
        <item m="1" x="6919"/>
        <item m="1" x="4320"/>
        <item m="1" x="3791"/>
        <item m="1" x="5650"/>
        <item m="1" x="3315"/>
        <item m="1" x="2684"/>
        <item m="1" x="5483"/>
        <item m="1" x="6183"/>
        <item m="1" x="3219"/>
        <item m="1" x="4311"/>
        <item m="1" x="4999"/>
        <item m="1" x="4710"/>
        <item m="1" x="3373"/>
        <item m="1" x="4736"/>
        <item m="1" x="3569"/>
        <item m="1" x="6809"/>
        <item m="1" x="3106"/>
        <item m="1" x="6669"/>
        <item m="1" x="6214"/>
        <item m="1" x="6708"/>
        <item m="1" x="6310"/>
        <item m="1" x="6330"/>
        <item m="1" x="7979"/>
        <item m="1" x="6505"/>
        <item m="1" x="2913"/>
        <item m="1" x="4974"/>
        <item m="1" x="4814"/>
        <item m="1" x="6478"/>
        <item m="1" x="3864"/>
        <item m="1" x="7210"/>
        <item m="1" x="4744"/>
        <item m="1" x="7437"/>
        <item m="1" x="2944"/>
        <item m="1" x="4448"/>
        <item m="1" x="4171"/>
        <item m="1" x="4747"/>
        <item m="1" x="5565"/>
        <item m="1" x="6900"/>
        <item m="1" x="6981"/>
        <item m="1" x="3564"/>
        <item m="1" x="4029"/>
        <item m="1" x="7066"/>
        <item m="1" x="3456"/>
        <item m="1" x="3539"/>
        <item m="1" x="5787"/>
        <item m="1" x="7957"/>
        <item m="1" x="7335"/>
        <item m="1" x="6480"/>
        <item m="1" x="5265"/>
        <item m="1" x="4435"/>
        <item m="1" x="3299"/>
        <item m="1" x="5541"/>
        <item m="1" x="3618"/>
        <item m="1" x="3444"/>
        <item m="1" x="3611"/>
        <item m="1" x="3947"/>
        <item m="1" x="7008"/>
        <item m="1" x="5432"/>
        <item m="1" x="6331"/>
        <item m="1" x="6055"/>
        <item m="1" x="7912"/>
        <item m="1" x="7474"/>
        <item m="1" x="7299"/>
        <item m="1" x="6380"/>
        <item m="1" x="4179"/>
        <item m="1" x="3120"/>
        <item m="1" x="7518"/>
        <item m="1" x="4063"/>
        <item m="1" x="4576"/>
        <item m="1" x="7768"/>
        <item m="1" x="3924"/>
        <item m="1" x="6326"/>
        <item m="1" x="7638"/>
        <item m="1" x="6423"/>
        <item m="1" x="5588"/>
        <item m="1" x="4454"/>
        <item m="1" x="5351"/>
        <item m="1" x="4681"/>
        <item m="1" x="6278"/>
        <item m="1" x="6028"/>
        <item m="1" x="2719"/>
        <item m="1" x="7022"/>
        <item m="1" x="4047"/>
        <item m="1" x="3855"/>
        <item m="1" x="5791"/>
        <item m="1" x="4035"/>
        <item m="1" x="3275"/>
        <item m="1" x="5579"/>
        <item m="1" x="2989"/>
        <item m="1" x="7337"/>
        <item m="1" x="3693"/>
        <item m="1" x="4920"/>
        <item m="1" x="4341"/>
        <item m="1" x="7011"/>
        <item m="1" x="5153"/>
        <item m="1" x="2745"/>
        <item m="1" x="4428"/>
        <item m="1" x="5321"/>
        <item m="1" x="2885"/>
        <item m="1" x="7140"/>
        <item m="1" x="7119"/>
        <item m="1" x="6701"/>
        <item m="1" x="5755"/>
        <item m="1" x="7245"/>
        <item m="1" x="6363"/>
        <item m="1" x="3802"/>
        <item m="1" x="4246"/>
        <item m="1" x="4194"/>
        <item m="1" x="6837"/>
        <item m="1" x="3920"/>
        <item m="1" x="3276"/>
        <item m="1" x="5832"/>
        <item m="1" x="3597"/>
        <item m="1" x="3291"/>
        <item m="1" x="7719"/>
        <item m="1" x="3333"/>
        <item m="1" x="3742"/>
        <item m="1" x="3019"/>
        <item m="1" x="6909"/>
        <item m="1" x="4061"/>
        <item m="1" x="3913"/>
        <item m="1" x="4042"/>
        <item m="1" x="4253"/>
        <item m="1" x="7538"/>
        <item m="1" x="3890"/>
        <item m="1" x="7278"/>
        <item m="1" x="4038"/>
        <item m="1" x="6150"/>
        <item m="1" x="6790"/>
        <item m="1" x="4217"/>
        <item m="1" x="5649"/>
        <item m="1" x="6634"/>
        <item m="1" x="3554"/>
        <item m="1" x="5953"/>
        <item m="1" x="5281"/>
        <item m="1" x="5410"/>
        <item m="1" x="3709"/>
        <item m="1" x="5016"/>
        <item m="1" x="3353"/>
        <item m="1" x="6769"/>
        <item m="1" x="3319"/>
        <item m="1" x="6816"/>
        <item m="1" x="4756"/>
        <item m="1" x="4610"/>
        <item m="1" x="7255"/>
        <item m="1" x="3434"/>
        <item m="1" x="5268"/>
        <item m="1" x="6666"/>
        <item m="1" x="5894"/>
        <item m="1" x="2689"/>
        <item m="1" x="2653"/>
        <item m="1" x="6069"/>
        <item m="1" x="3042"/>
        <item m="1" x="3385"/>
        <item m="1" x="5678"/>
        <item m="1" x="6354"/>
        <item m="1" x="4575"/>
        <item m="1" x="5671"/>
        <item m="1" x="3500"/>
        <item m="1" x="2606"/>
        <item m="1" x="4161"/>
        <item m="1" x="7963"/>
        <item m="1" x="4024"/>
        <item m="1" x="5008"/>
        <item m="1" x="4136"/>
        <item m="1" x="5998"/>
        <item m="1" x="4264"/>
        <item m="1" x="3728"/>
        <item m="1" x="6472"/>
        <item m="1" x="5115"/>
        <item m="1" x="3966"/>
        <item m="1" x="6991"/>
        <item m="1" x="3061"/>
        <item m="1" x="4679"/>
        <item m="1" x="7378"/>
        <item m="1" x="2959"/>
        <item m="1" x="4146"/>
        <item m="1" x="3751"/>
        <item m="1" x="5451"/>
        <item m="1" x="5161"/>
        <item m="1" x="6906"/>
        <item m="1" x="7731"/>
        <item m="1" x="7321"/>
        <item m="1" x="5903"/>
        <item m="1" x="7244"/>
        <item m="1" x="7179"/>
        <item m="1" x="4020"/>
        <item m="1" x="5124"/>
        <item m="1" x="3326"/>
        <item m="1" x="7334"/>
        <item m="1" x="7104"/>
        <item m="1" x="4925"/>
        <item m="1" x="3017"/>
        <item m="1" x="4223"/>
        <item m="1" x="4932"/>
        <item m="1" x="4005"/>
        <item m="1" x="6350"/>
        <item m="1" x="6658"/>
        <item m="1" x="6512"/>
        <item m="1" x="6372"/>
        <item m="1" x="3448"/>
        <item m="1" x="4508"/>
        <item m="1" x="5477"/>
        <item m="1" x="4073"/>
        <item m="1" x="7650"/>
        <item m="1" x="6594"/>
        <item m="1" x="6257"/>
        <item m="1" x="7177"/>
        <item m="1" x="3010"/>
        <item m="1" x="2792"/>
        <item m="1" x="5929"/>
        <item m="1" x="3204"/>
        <item m="1" x="5994"/>
        <item m="1" x="6345"/>
        <item m="1" x="7717"/>
        <item m="1" x="4426"/>
        <item m="1" x="7873"/>
        <item m="1" x="3167"/>
        <item m="1" x="5040"/>
        <item m="1" x="3902"/>
        <item m="1" x="5665"/>
        <item m="1" x="7595"/>
        <item m="1" x="3081"/>
        <item m="1" x="7705"/>
        <item m="1" x="4733"/>
        <item m="1" x="2742"/>
        <item m="1" x="7544"/>
        <item m="1" x="4268"/>
        <item m="1" x="6024"/>
        <item m="1" x="3121"/>
        <item m="1" x="6273"/>
        <item m="1" x="6442"/>
        <item m="1" x="4556"/>
        <item m="1" x="5679"/>
        <item m="1" x="6417"/>
        <item m="1" x="6433"/>
        <item m="1" x="5120"/>
        <item m="1" x="5499"/>
        <item m="1" x="6137"/>
        <item m="1" x="6134"/>
        <item m="1" x="7556"/>
        <item m="1" x="7889"/>
        <item m="1" x="4566"/>
        <item m="1" x="7646"/>
        <item m="1" x="2967"/>
        <item m="1" x="5193"/>
        <item m="1" x="4290"/>
        <item m="1" x="3629"/>
        <item m="1" x="2901"/>
        <item m="1" x="2619"/>
        <item m="1" x="5519"/>
        <item m="1" x="7188"/>
        <item m="1" x="4631"/>
        <item m="1" x="3598"/>
        <item m="1" x="6794"/>
        <item m="1" x="3231"/>
        <item m="1" x="7770"/>
        <item m="1" x="6168"/>
        <item m="1" x="7767"/>
        <item m="1" x="3637"/>
        <item m="1" x="6074"/>
        <item m="1" x="7072"/>
        <item m="1" x="4905"/>
        <item m="1" x="6189"/>
        <item m="1" x="6415"/>
        <item m="1" x="6467"/>
        <item m="1" x="6293"/>
        <item m="1" x="3147"/>
        <item m="1" x="7877"/>
        <item m="1" x="4726"/>
        <item m="1" x="6160"/>
        <item m="1" x="2848"/>
        <item m="1" x="6164"/>
        <item m="1" x="3442"/>
        <item m="1" x="7663"/>
        <item m="1" x="5835"/>
        <item m="1" x="3615"/>
        <item m="1" x="3684"/>
        <item m="1" x="7499"/>
        <item m="1" x="4228"/>
        <item m="1" x="2948"/>
        <item m="1" x="4465"/>
        <item m="1" x="6230"/>
        <item m="1" x="3268"/>
        <item m="1" x="6532"/>
        <item m="1" x="4714"/>
        <item m="1" x="7813"/>
        <item m="1" x="7445"/>
        <item m="1" x="4720"/>
        <item m="1" x="2952"/>
        <item m="1" x="4865"/>
        <item m="1" x="6062"/>
        <item m="1" x="3382"/>
        <item m="1" x="6526"/>
        <item m="1" x="4745"/>
        <item m="1" x="4267"/>
        <item m="1" x="7386"/>
        <item m="1" x="3657"/>
        <item m="1" x="5181"/>
        <item m="1" x="3469"/>
        <item m="1" x="5283"/>
        <item m="1" x="4299"/>
        <item m="1" x="7725"/>
        <item m="1" x="6858"/>
        <item m="1" x="4582"/>
        <item m="1" x="5270"/>
        <item m="1" x="4775"/>
        <item m="1" x="7523"/>
        <item m="1" x="3506"/>
        <item m="1" x="6393"/>
        <item m="1" x="3079"/>
        <item m="1" x="4884"/>
        <item m="1" x="2765"/>
        <item m="1" x="5327"/>
        <item m="1" x="7640"/>
        <item m="1" x="5088"/>
        <item m="1" x="2975"/>
        <item m="1" x="4696"/>
        <item m="1" x="3563"/>
        <item m="1" x="5822"/>
        <item m="1" x="2896"/>
        <item m="1" x="5781"/>
        <item m="1" x="3995"/>
        <item m="1" x="2611"/>
        <item m="1" x="7379"/>
        <item m="1" x="6081"/>
        <item m="1" x="4278"/>
        <item m="1" x="3888"/>
        <item m="1" x="5253"/>
        <item m="1" x="7954"/>
        <item m="1" x="4565"/>
        <item m="1" x="2771"/>
        <item m="1" x="3898"/>
        <item m="1" x="3578"/>
        <item m="1" x="4173"/>
        <item m="1" x="3240"/>
        <item m="1" x="6381"/>
        <item m="1" x="3492"/>
        <item m="1" x="3126"/>
        <item m="1" x="4494"/>
        <item m="1" x="4345"/>
        <item m="1" x="4425"/>
        <item m="1" x="4518"/>
        <item m="1" x="6291"/>
        <item m="1" x="4683"/>
        <item m="1" x="6847"/>
        <item m="1" x="5189"/>
        <item m="1" x="4094"/>
        <item m="1" x="6648"/>
        <item m="1" x="4242"/>
        <item m="1" x="6617"/>
        <item m="1" x="7915"/>
        <item m="1" x="7461"/>
        <item m="1" x="3251"/>
        <item m="1" x="6012"/>
        <item m="1" x="4404"/>
        <item m="1" x="5628"/>
        <item m="1" x="5721"/>
        <item m="1" x="4117"/>
        <item m="1" x="3273"/>
        <item m="1" x="3031"/>
        <item m="1" x="6090"/>
        <item m="1" x="6334"/>
        <item m="1" x="7190"/>
        <item m="1" x="3954"/>
        <item m="1" x="5412"/>
        <item m="1" x="4419"/>
        <item m="1" x="5117"/>
        <item m="1" x="4828"/>
        <item m="1" x="7510"/>
        <item m="1" x="2825"/>
        <item m="1" x="7239"/>
        <item m="1" x="4841"/>
        <item m="1" x="6898"/>
        <item m="1" x="4788"/>
        <item m="1" x="3413"/>
        <item m="1" x="5333"/>
        <item m="1" x="3625"/>
        <item m="1" x="4074"/>
        <item m="1" x="4270"/>
        <item m="1" x="6156"/>
        <item m="1" x="5967"/>
        <item m="1" x="4849"/>
        <item m="1" x="7107"/>
        <item m="1" x="5689"/>
        <item m="1" x="6621"/>
        <item m="1" x="5719"/>
        <item m="1" x="6362"/>
        <item m="1" x="7546"/>
        <item m="1" x="4877"/>
        <item m="1" x="7077"/>
        <item m="1" x="5655"/>
        <item m="1" x="3071"/>
        <item m="1" x="5286"/>
        <item m="1" x="5310"/>
        <item m="1" x="2630"/>
        <item m="1" x="2796"/>
        <item m="1" x="5729"/>
        <item m="1" x="4847"/>
        <item m="1" x="4871"/>
        <item m="1" x="4794"/>
        <item m="1" x="6959"/>
        <item m="1" x="4212"/>
        <item m="1" x="6567"/>
        <item m="1" x="6818"/>
        <item m="1" x="3931"/>
        <item m="1" x="5387"/>
        <item m="1" x="7828"/>
        <item m="1" x="3631"/>
        <item m="1" x="3727"/>
        <item m="1" x="7071"/>
        <item m="1" x="3016"/>
        <item m="1" x="5216"/>
        <item m="1" x="4783"/>
        <item m="1" x="2736"/>
        <item m="1" x="7718"/>
        <item m="1" x="4549"/>
        <item m="1" x="3893"/>
        <item m="1" x="6123"/>
        <item m="1" x="4570"/>
        <item m="1" x="7834"/>
        <item m="1" x="4051"/>
        <item m="1" x="3543"/>
        <item m="1" x="6092"/>
        <item m="1" x="3354"/>
        <item m="1" x="4511"/>
        <item m="1" x="5888"/>
        <item m="1" x="4858"/>
        <item m="1" x="6572"/>
        <item m="1" x="3430"/>
        <item m="1" x="5269"/>
        <item m="1" x="4616"/>
        <item m="1" x="5314"/>
        <item m="1" x="2683"/>
        <item m="1" x="7122"/>
        <item m="1" x="3421"/>
        <item m="1" x="5376"/>
        <item m="1" x="2850"/>
        <item m="1" x="5923"/>
        <item m="1" x="7197"/>
        <item m="1" x="2744"/>
        <item m="1" x="3914"/>
        <item m="1" x="4728"/>
        <item m="1" x="4263"/>
        <item m="1" x="6581"/>
        <item m="1" x="3760"/>
        <item m="1" x="7864"/>
        <item m="1" x="6325"/>
        <item m="1" x="7868"/>
        <item m="1" x="6037"/>
        <item m="1" x="5382"/>
        <item m="1" x="6176"/>
        <item m="1" x="7027"/>
        <item m="1" x="7182"/>
        <item m="1" x="6180"/>
        <item m="1" x="6653"/>
        <item m="1" x="6726"/>
        <item m="1" x="4379"/>
        <item m="1" x="5616"/>
        <item m="1" x="6406"/>
        <item m="1" x="3662"/>
        <item m="1" x="6096"/>
        <item m="1" x="4040"/>
        <item m="1" x="3111"/>
        <item m="1" x="4115"/>
        <item m="1" x="6715"/>
        <item m="1" x="5804"/>
        <item m="1" x="7916"/>
        <item m="1" x="4639"/>
        <item m="1" x="5242"/>
        <item m="1" x="2743"/>
        <item m="1" x="5546"/>
        <item m="1" x="3792"/>
        <item m="1" x="6151"/>
        <item m="1" x="7862"/>
        <item m="1" x="6483"/>
        <item m="1" x="6940"/>
        <item m="1" x="4656"/>
        <item m="1" x="5192"/>
        <item m="1" x="6569"/>
        <item m="1" x="3853"/>
        <item m="1" x="4798"/>
        <item m="1" x="6531"/>
        <item m="1" x="7526"/>
        <item m="1" x="4227"/>
        <item m="1" x="7075"/>
        <item m="1" x="4645"/>
        <item m="1" x="5217"/>
        <item m="1" x="3594"/>
        <item m="1" x="5855"/>
        <item m="1" x="2737"/>
        <item m="1" x="2788"/>
        <item m="1" x="3380"/>
        <item m="1" x="6607"/>
        <item m="1" x="7892"/>
        <item m="1" x="5740"/>
        <item m="1" x="5024"/>
        <item m="1" x="6982"/>
        <item m="1" x="3882"/>
        <item m="1" x="7931"/>
        <item m="1" x="2787"/>
        <item m="1" x="3561"/>
        <item m="1" x="3123"/>
        <item m="1" x="7183"/>
        <item m="1" x="5184"/>
        <item m="1" x="5769"/>
        <item m="1" x="3077"/>
        <item m="1" x="3980"/>
        <item m="1" x="2866"/>
        <item m="1" x="7948"/>
        <item m="1" x="2898"/>
        <item m="1" x="3978"/>
        <item m="1" x="3062"/>
        <item m="1" x="5936"/>
        <item m="1" x="4282"/>
        <item m="1" x="4241"/>
        <item m="1" x="6554"/>
        <item m="1" x="7123"/>
        <item m="1" x="7035"/>
        <item m="1" x="3660"/>
        <item m="1" x="6897"/>
        <item m="1" x="5460"/>
        <item m="1" x="3004"/>
        <item m="1" x="7116"/>
        <item m="1" x="6895"/>
        <item m="1" x="5287"/>
        <item m="1" x="3263"/>
        <item m="1" x="3171"/>
        <item m="1" x="3027"/>
        <item m="1" x="5497"/>
        <item m="1" x="2757"/>
        <item m="1" x="5970"/>
        <item m="1" x="7296"/>
        <item m="1" x="6341"/>
        <item m="1" x="5357"/>
        <item m="1" x="4660"/>
        <item m="1" x="6707"/>
        <item m="1" x="5950"/>
        <item m="1" x="3991"/>
        <item m="1" x="6944"/>
        <item m="1" x="5609"/>
        <item m="1" x="2649"/>
        <item m="1" x="5308"/>
        <item m="1" x="6772"/>
        <item m="1" x="4564"/>
        <item m="1" x="7960"/>
        <item m="1" x="3284"/>
        <item m="1" x="3614"/>
        <item m="1" x="6916"/>
        <item m="1" x="4300"/>
        <item m="1" x="3030"/>
        <item m="1" x="6265"/>
        <item m="1" x="3214"/>
        <item m="1" x="4746"/>
        <item m="1" x="6502"/>
        <item m="1" x="6610"/>
        <item m="1" x="6578"/>
        <item m="1" x="3066"/>
        <item m="1" x="6154"/>
        <item m="1" x="7407"/>
        <item m="1" x="3364"/>
        <item m="1" x="5834"/>
        <item m="1" x="3415"/>
        <item m="1" x="2859"/>
        <item m="1" x="6036"/>
        <item m="1" x="3212"/>
        <item m="1" x="3200"/>
        <item m="1" x="5098"/>
        <item m="1" x="3635"/>
        <item m="1" x="6987"/>
        <item m="1" x="4893"/>
        <item m="1" x="7148"/>
        <item m="1" x="6538"/>
        <item m="1" x="3343"/>
        <item m="1" x="5374"/>
        <item m="1" x="4410"/>
        <item m="1" x="7478"/>
        <item m="1" x="6409"/>
        <item m="1" x="4826"/>
        <item m="1" x="3286"/>
        <item m="1" x="5180"/>
        <item m="1" x="7232"/>
        <item m="1" x="3290"/>
        <item m="1" x="5892"/>
        <item m="1" x="6298"/>
        <item m="1" x="4763"/>
        <item m="1" x="1955"/>
        <item m="1" x="1956"/>
        <item m="1" x="1957"/>
        <item m="1" x="1958"/>
        <item m="1" x="1960"/>
        <item m="1" x="1961"/>
        <item m="1" x="1962"/>
        <item m="1" x="1964"/>
        <item m="1" x="1965"/>
        <item m="1" x="1968"/>
        <item m="1" x="1969"/>
        <item m="1" x="1970"/>
        <item m="1" x="1971"/>
        <item m="1" x="1972"/>
        <item m="1" x="1973"/>
        <item m="1" x="1974"/>
        <item m="1" x="1975"/>
        <item m="1" x="1976"/>
        <item m="1" x="1977"/>
        <item m="1" x="1980"/>
        <item m="1" x="1981"/>
        <item m="1" x="1982"/>
        <item m="1" x="1983"/>
        <item m="1" x="1984"/>
        <item m="1" x="1985"/>
        <item m="1" x="1986"/>
        <item m="1" x="1987"/>
        <item m="1" x="1989"/>
        <item m="1" x="1990"/>
        <item m="1" x="1991"/>
        <item m="1" x="1992"/>
        <item m="1" x="1993"/>
        <item m="1" x="1994"/>
        <item m="1" x="1996"/>
        <item m="1" x="1997"/>
        <item m="1" x="1998"/>
        <item m="1" x="2000"/>
        <item m="1" x="2001"/>
        <item m="1" x="2003"/>
        <item m="1" x="2005"/>
        <item m="1" x="2006"/>
        <item m="1" x="2007"/>
        <item m="1" x="2008"/>
        <item m="1" x="2009"/>
        <item m="1" x="2010"/>
        <item m="1" x="2012"/>
        <item m="1" x="2013"/>
        <item m="1" x="2014"/>
        <item m="1" x="2015"/>
        <item m="1" x="2017"/>
        <item m="1" x="2018"/>
        <item m="1" x="2019"/>
        <item m="1" x="2020"/>
        <item m="1" x="2021"/>
        <item m="1" x="2022"/>
        <item m="1" x="2023"/>
        <item m="1" x="2026"/>
        <item m="1" x="2028"/>
        <item m="1" x="2030"/>
        <item m="1" x="2031"/>
        <item m="1" x="2034"/>
        <item m="1" x="2037"/>
        <item m="1" x="2041"/>
        <item m="1" x="2042"/>
        <item m="1" x="2043"/>
        <item m="1" x="2044"/>
        <item m="1" x="2045"/>
        <item m="1" x="2046"/>
        <item m="1" x="2048"/>
        <item m="1" x="2049"/>
        <item m="1" x="2050"/>
        <item m="1" x="2051"/>
        <item m="1" x="2052"/>
        <item m="1" x="2053"/>
        <item m="1" x="2055"/>
        <item m="1" x="2056"/>
        <item m="1" x="2061"/>
        <item m="1" x="2062"/>
        <item m="1" x="2063"/>
        <item m="1" x="2065"/>
        <item m="1" x="2066"/>
        <item m="1" x="2067"/>
        <item m="1" x="2068"/>
        <item m="1" x="2070"/>
        <item m="1" x="2072"/>
        <item m="1" x="2073"/>
        <item m="1" x="2076"/>
        <item m="1" x="2077"/>
        <item m="1" x="2078"/>
        <item m="1" x="2079"/>
        <item m="1" x="2082"/>
        <item m="1" x="2083"/>
        <item m="1" x="2084"/>
        <item m="1" x="2086"/>
        <item m="1" x="2088"/>
        <item m="1" x="2089"/>
        <item m="1" x="2090"/>
        <item m="1" x="2092"/>
        <item m="1" x="2093"/>
        <item m="1" x="2095"/>
        <item m="1" x="2097"/>
        <item m="1" x="2100"/>
        <item m="1" x="2101"/>
        <item m="1" x="2102"/>
        <item m="1" x="2103"/>
        <item m="1" x="2105"/>
        <item m="1" x="2106"/>
        <item m="1" x="2107"/>
        <item m="1" x="2109"/>
        <item m="1" x="2110"/>
        <item m="1" x="2111"/>
        <item m="1" x="2112"/>
        <item m="1" x="2114"/>
        <item m="1" x="2115"/>
        <item m="1" x="2116"/>
        <item m="1" x="2117"/>
        <item m="1" x="2118"/>
        <item m="1" x="2119"/>
        <item m="1" x="2121"/>
        <item m="1" x="2123"/>
        <item m="1" x="2124"/>
        <item m="1" x="2125"/>
        <item m="1" x="2126"/>
        <item m="1" x="2127"/>
        <item m="1" x="2128"/>
        <item m="1" x="2129"/>
        <item m="1" x="2130"/>
        <item m="1" x="2131"/>
        <item m="1" x="2133"/>
        <item m="1" x="2134"/>
        <item m="1" x="2135"/>
        <item m="1" x="2136"/>
        <item m="1" x="2137"/>
        <item m="1" x="2138"/>
        <item m="1" x="2139"/>
        <item m="1" x="2141"/>
        <item m="1" x="2143"/>
        <item m="1" x="2144"/>
        <item m="1" x="2146"/>
        <item m="1" x="2148"/>
        <item m="1" x="2149"/>
        <item m="1" x="2150"/>
        <item m="1" x="2153"/>
        <item m="1" x="2154"/>
        <item m="1" x="2155"/>
        <item m="1" x="2157"/>
        <item m="1" x="2159"/>
        <item m="1" x="2160"/>
        <item m="1" x="2161"/>
        <item m="1" x="2162"/>
        <item m="1" x="2163"/>
        <item m="1" x="2164"/>
        <item m="1" x="2165"/>
        <item m="1" x="2166"/>
        <item m="1" x="2168"/>
        <item m="1" x="2169"/>
        <item m="1" x="2171"/>
        <item m="1" x="2172"/>
        <item m="1" x="2174"/>
        <item m="1" x="2175"/>
        <item m="1" x="2178"/>
        <item m="1" x="2179"/>
        <item m="1" x="2180"/>
        <item m="1" x="2181"/>
        <item m="1" x="2182"/>
        <item m="1" x="2184"/>
        <item m="1" x="2185"/>
        <item m="1" x="2186"/>
        <item m="1" x="2187"/>
        <item m="1" x="2188"/>
        <item m="1" x="2190"/>
        <item m="1" x="2191"/>
        <item m="1" x="2192"/>
        <item m="1" x="2193"/>
        <item m="1" x="2194"/>
        <item m="1" x="2196"/>
        <item m="1" x="2197"/>
        <item m="1" x="2198"/>
        <item m="1" x="2199"/>
        <item m="1" x="2200"/>
        <item m="1" x="2202"/>
        <item m="1" x="2204"/>
        <item m="1" x="2205"/>
        <item m="1" x="2208"/>
        <item m="1" x="2209"/>
        <item m="1" x="2210"/>
        <item m="1" x="2211"/>
        <item m="1" x="2212"/>
        <item m="1" x="2213"/>
        <item m="1" x="2214"/>
        <item m="1" x="2217"/>
        <item m="1" x="2218"/>
        <item m="1" x="2219"/>
        <item m="1" x="2220"/>
        <item m="1" x="2221"/>
        <item m="1" x="2223"/>
        <item m="1" x="2224"/>
        <item m="1" x="2225"/>
        <item m="1" x="2226"/>
        <item m="1" x="2227"/>
        <item m="1" x="2228"/>
        <item m="1" x="2229"/>
        <item m="1" x="2230"/>
        <item m="1" x="2231"/>
        <item m="1" x="2232"/>
        <item m="1" x="2233"/>
        <item m="1" x="2234"/>
        <item m="1" x="2236"/>
        <item m="1" x="2237"/>
        <item m="1" x="2238"/>
        <item m="1" x="2239"/>
        <item m="1" x="2241"/>
        <item m="1" x="2242"/>
        <item m="1" x="2243"/>
        <item m="1" x="2244"/>
        <item m="1" x="2245"/>
        <item m="1" x="2246"/>
        <item m="1" x="2247"/>
        <item m="1" x="2250"/>
        <item m="1" x="2251"/>
        <item m="1" x="2252"/>
        <item m="1" x="2254"/>
        <item m="1" x="2257"/>
        <item m="1" x="2258"/>
        <item m="1" x="2259"/>
        <item m="1" x="2260"/>
        <item m="1" x="2263"/>
        <item m="1" x="2264"/>
        <item m="1" x="2265"/>
        <item m="1" x="2266"/>
        <item m="1" x="2267"/>
        <item m="1" x="2268"/>
        <item m="1" x="2270"/>
        <item m="1" x="2271"/>
        <item m="1" x="2272"/>
        <item m="1" x="2273"/>
        <item m="1" x="2274"/>
        <item m="1" x="2275"/>
        <item m="1" x="2278"/>
        <item m="1" x="2279"/>
        <item m="1" x="2283"/>
        <item m="1" x="2284"/>
        <item m="1" x="2285"/>
        <item m="1" x="2286"/>
        <item m="1" x="2287"/>
        <item m="1" x="2288"/>
        <item m="1" x="2289"/>
        <item m="1" x="2290"/>
        <item m="1" x="2291"/>
        <item m="1" x="2292"/>
        <item m="1" x="2293"/>
        <item m="1" x="2294"/>
        <item m="1" x="2295"/>
        <item m="1" x="2296"/>
        <item m="1" x="2297"/>
        <item m="1" x="2299"/>
        <item m="1" x="2301"/>
        <item m="1" x="2303"/>
        <item m="1" x="2304"/>
        <item m="1" x="2305"/>
        <item m="1" x="2307"/>
        <item m="1" x="2308"/>
        <item m="1" x="2309"/>
        <item m="1" x="2310"/>
        <item m="1" x="2311"/>
        <item m="1" x="2312"/>
        <item m="1" x="2313"/>
        <item m="1" x="2315"/>
        <item m="1" x="2316"/>
        <item m="1" x="2317"/>
        <item m="1" x="2318"/>
        <item m="1" x="2319"/>
        <item m="1" x="2320"/>
        <item m="1" x="2321"/>
        <item m="1" x="2323"/>
        <item m="1" x="2324"/>
        <item m="1" x="2326"/>
        <item m="1" x="2327"/>
        <item m="1" x="2328"/>
        <item m="1" x="2329"/>
        <item m="1" x="2330"/>
        <item m="1" x="2331"/>
        <item m="1" x="2332"/>
        <item m="1" x="2333"/>
        <item m="1" x="2334"/>
        <item m="1" x="2336"/>
        <item m="1" x="2337"/>
        <item m="1" x="2338"/>
        <item m="1" x="2339"/>
        <item m="1" x="2340"/>
        <item m="1" x="2341"/>
        <item m="1" x="2342"/>
        <item m="1" x="2343"/>
        <item m="1" x="2344"/>
        <item m="1" x="2345"/>
        <item m="1" x="2346"/>
        <item m="1" x="2347"/>
        <item m="1" x="2348"/>
        <item m="1" x="2349"/>
        <item m="1" x="2351"/>
        <item m="1" x="2352"/>
        <item m="1" x="2354"/>
        <item m="1" x="2355"/>
        <item m="1" x="2356"/>
        <item m="1" x="2357"/>
        <item m="1" x="2360"/>
        <item m="1" x="2361"/>
        <item m="1" x="2362"/>
        <item m="1" x="2363"/>
        <item m="1" x="2365"/>
        <item m="1" x="2366"/>
        <item m="1" x="2367"/>
        <item m="1" x="2368"/>
        <item m="1" x="2370"/>
        <item m="1" x="2372"/>
        <item m="1" x="2373"/>
        <item m="1" x="2377"/>
        <item m="1" x="2378"/>
        <item m="1" x="2379"/>
        <item m="1" x="2380"/>
        <item m="1" x="2382"/>
        <item m="1" x="2384"/>
        <item m="1" x="2387"/>
        <item m="1" x="2388"/>
        <item m="1" x="2389"/>
        <item m="1" x="2391"/>
        <item m="1" x="2392"/>
        <item m="1" x="2393"/>
        <item m="1" x="2394"/>
        <item m="1" x="2395"/>
        <item m="1" x="2396"/>
        <item m="1" x="2399"/>
        <item m="1" x="2400"/>
        <item m="1" x="2401"/>
        <item m="1" x="2402"/>
        <item m="1" x="2404"/>
        <item m="1" x="2405"/>
        <item m="1" x="2406"/>
        <item m="1" x="2407"/>
        <item m="1" x="2408"/>
        <item m="1" x="2410"/>
        <item m="1" x="2411"/>
        <item m="1" x="2412"/>
        <item m="1" x="2413"/>
        <item m="1" x="2415"/>
        <item m="1" x="2416"/>
        <item m="1" x="2417"/>
        <item m="1" x="2418"/>
        <item m="1" x="2421"/>
        <item m="1" x="2422"/>
        <item m="1" x="2423"/>
        <item m="1" x="2424"/>
        <item m="1" x="2425"/>
        <item m="1" x="2427"/>
        <item m="1" x="2428"/>
        <item m="1" x="2429"/>
        <item m="1" x="2430"/>
        <item m="1" x="2431"/>
        <item m="1" x="2432"/>
        <item m="1" x="2433"/>
        <item m="1" x="2435"/>
        <item m="1" x="2438"/>
        <item m="1" x="2440"/>
        <item m="1" x="2442"/>
        <item m="1" x="2443"/>
        <item m="1" x="2444"/>
        <item m="1" x="2445"/>
        <item m="1" x="2446"/>
        <item m="1" x="2447"/>
        <item m="1" x="2448"/>
        <item m="1" x="2450"/>
        <item m="1" x="2451"/>
        <item m="1" x="2452"/>
        <item m="1" x="2453"/>
        <item m="1" x="2454"/>
        <item m="1" x="2456"/>
        <item m="1" x="2458"/>
        <item m="1" x="2460"/>
        <item m="1" x="2462"/>
        <item m="1" x="2463"/>
        <item m="1" x="2464"/>
        <item m="1" x="2465"/>
        <item m="1" x="2468"/>
        <item m="1" x="2469"/>
        <item m="1" x="2470"/>
        <item m="1" x="2472"/>
        <item m="1" x="2473"/>
        <item m="1" x="2474"/>
        <item m="1" x="2476"/>
        <item m="1" x="2478"/>
        <item m="1" x="2479"/>
        <item m="1" x="2480"/>
        <item m="1" x="2482"/>
        <item m="1" x="2483"/>
        <item m="1" x="2484"/>
        <item m="1" x="2487"/>
        <item m="1" x="2488"/>
        <item m="1" x="2489"/>
        <item m="1" x="2490"/>
        <item m="1" x="2493"/>
        <item m="1" x="2494"/>
        <item m="1" x="2496"/>
        <item m="1" x="2497"/>
        <item m="1" x="2498"/>
        <item m="1" x="2499"/>
        <item m="1" x="2500"/>
        <item m="1" x="2502"/>
        <item m="1" x="2503"/>
        <item m="1" x="2505"/>
        <item m="1" x="2508"/>
        <item m="1" x="2509"/>
        <item m="1" x="2510"/>
        <item m="1" x="2511"/>
        <item m="1" x="2512"/>
        <item m="1" x="2513"/>
        <item m="1" x="2514"/>
        <item m="1" x="2515"/>
        <item m="1" x="2516"/>
        <item m="1" x="2517"/>
        <item m="1" x="2518"/>
        <item m="1" x="2519"/>
        <item m="1" x="2520"/>
        <item m="1" x="2521"/>
        <item m="1" x="2523"/>
        <item m="1" x="2524"/>
        <item m="1" x="2525"/>
        <item m="1" x="2526"/>
        <item m="1" x="2528"/>
        <item m="1" x="2529"/>
        <item m="1" x="2530"/>
        <item m="1" x="2531"/>
        <item m="1" x="2533"/>
        <item m="1" x="2535"/>
        <item m="1" x="2536"/>
        <item m="1" x="2537"/>
        <item m="1" x="2538"/>
        <item m="1" x="2539"/>
        <item m="1" x="2540"/>
        <item m="1" x="2541"/>
        <item m="1" x="2542"/>
        <item m="1" x="2544"/>
        <item m="1" x="2545"/>
        <item m="1" x="2547"/>
        <item m="1" x="2548"/>
        <item m="1" x="2549"/>
        <item m="1" x="2550"/>
        <item m="1" x="2552"/>
        <item m="1" x="2553"/>
        <item m="1" x="2554"/>
        <item m="1" x="2555"/>
        <item m="1" x="2557"/>
        <item m="1" x="2559"/>
        <item m="1" x="2561"/>
        <item m="1" x="2562"/>
        <item m="1" x="2563"/>
        <item m="1" x="2565"/>
        <item m="1" x="2567"/>
        <item m="1" x="2568"/>
        <item m="1" x="2569"/>
        <item m="1" x="2570"/>
        <item m="1" x="2572"/>
        <item m="1" x="2573"/>
        <item m="1" x="2576"/>
        <item m="1" x="2579"/>
        <item m="1" x="2580"/>
        <item m="1" x="2581"/>
        <item m="1" x="2582"/>
        <item m="1" x="2583"/>
        <item m="1" x="2584"/>
        <item m="1" x="2585"/>
        <item m="1" x="2587"/>
        <item m="1" x="2588"/>
        <item m="1" x="2589"/>
        <item m="1" x="2591"/>
        <item m="1" x="2592"/>
        <item m="1" x="2594"/>
        <item m="1" x="2595"/>
        <item m="1" x="2596"/>
        <item m="1" x="2597"/>
        <item m="1" x="2598"/>
        <item m="1" x="2599"/>
        <item m="1" x="2600"/>
        <item m="1" x="2601"/>
        <item m="1" x="2603"/>
        <item m="1" x="2604"/>
        <item m="1" x="653"/>
        <item m="1" x="654"/>
        <item m="1" x="655"/>
        <item m="1" x="656"/>
        <item m="1" x="659"/>
        <item m="1" x="661"/>
        <item m="1" x="662"/>
        <item m="1" x="664"/>
        <item m="1" x="667"/>
        <item m="1" x="668"/>
        <item m="1" x="669"/>
        <item m="1" x="670"/>
        <item m="1" x="673"/>
        <item m="1" x="675"/>
        <item m="1" x="677"/>
        <item m="1" x="678"/>
        <item m="1" x="680"/>
        <item m="1" x="686"/>
        <item m="1" x="687"/>
        <item m="1" x="689"/>
        <item m="1" x="690"/>
        <item m="1" x="691"/>
        <item m="1" x="692"/>
        <item m="1" x="693"/>
        <item m="1" x="694"/>
        <item m="1" x="698"/>
        <item m="1" x="699"/>
        <item m="1" x="700"/>
        <item m="1" x="701"/>
        <item m="1" x="702"/>
        <item m="1" x="703"/>
        <item m="1" x="704"/>
        <item m="1" x="705"/>
        <item m="1" x="706"/>
        <item m="1" x="707"/>
        <item m="1" x="708"/>
        <item m="1" x="709"/>
        <item m="1" x="712"/>
        <item m="1" x="713"/>
        <item m="1" x="717"/>
        <item m="1" x="718"/>
        <item m="1" x="721"/>
        <item m="1" x="723"/>
        <item m="1" x="724"/>
        <item m="1" x="726"/>
        <item m="1" x="727"/>
        <item m="1" x="728"/>
        <item m="1" x="731"/>
        <item m="1" x="732"/>
        <item m="1" x="734"/>
        <item m="1" x="735"/>
        <item m="1" x="736"/>
        <item m="1" x="738"/>
        <item m="1" x="739"/>
        <item m="1" x="744"/>
        <item m="1" x="745"/>
        <item m="1" x="747"/>
        <item m="1" x="749"/>
        <item m="1" x="750"/>
        <item m="1" x="751"/>
        <item m="1" x="752"/>
        <item m="1" x="754"/>
        <item m="1" x="756"/>
        <item m="1" x="758"/>
        <item m="1" x="759"/>
        <item m="1" x="761"/>
        <item m="1" x="762"/>
        <item m="1" x="763"/>
        <item m="1" x="764"/>
        <item m="1" x="765"/>
        <item m="1" x="766"/>
        <item m="1" x="768"/>
        <item m="1" x="770"/>
        <item m="1" x="772"/>
        <item m="1" x="773"/>
        <item m="1" x="777"/>
        <item m="1" x="778"/>
        <item m="1" x="779"/>
        <item m="1" x="780"/>
        <item m="1" x="781"/>
        <item m="1" x="782"/>
        <item m="1" x="783"/>
        <item m="1" x="784"/>
        <item m="1" x="785"/>
        <item m="1" x="788"/>
        <item m="1" x="789"/>
        <item m="1" x="791"/>
        <item m="1" x="792"/>
        <item m="1" x="793"/>
        <item m="1" x="795"/>
        <item m="1" x="798"/>
        <item m="1" x="801"/>
        <item m="1" x="802"/>
        <item m="1" x="804"/>
        <item m="1" x="808"/>
        <item m="1" x="810"/>
        <item m="1" x="812"/>
        <item m="1" x="813"/>
        <item m="1" x="816"/>
        <item m="1" x="818"/>
        <item m="1" x="821"/>
        <item m="1" x="822"/>
        <item m="1" x="825"/>
        <item m="1" x="826"/>
        <item m="1" x="827"/>
        <item m="1" x="831"/>
        <item m="1" x="836"/>
        <item m="1" x="837"/>
        <item m="1" x="838"/>
        <item m="1" x="840"/>
        <item m="1" x="842"/>
        <item m="1" x="843"/>
        <item m="1" x="845"/>
        <item m="1" x="846"/>
        <item m="1" x="849"/>
        <item m="1" x="850"/>
        <item m="1" x="851"/>
        <item m="1" x="852"/>
        <item m="1" x="858"/>
        <item m="1" x="859"/>
        <item m="1" x="860"/>
        <item m="1" x="861"/>
        <item m="1" x="862"/>
        <item m="1" x="863"/>
        <item m="1" x="865"/>
        <item m="1" x="867"/>
        <item m="1" x="868"/>
        <item m="1" x="869"/>
        <item m="1" x="871"/>
        <item m="1" x="872"/>
        <item m="1" x="873"/>
        <item m="1" x="874"/>
        <item m="1" x="875"/>
        <item m="1" x="876"/>
        <item m="1" x="877"/>
        <item m="1" x="879"/>
        <item m="1" x="880"/>
        <item m="1" x="882"/>
        <item m="1" x="883"/>
        <item m="1" x="885"/>
        <item m="1" x="886"/>
        <item m="1" x="889"/>
        <item m="1" x="894"/>
        <item m="1" x="895"/>
        <item m="1" x="900"/>
        <item m="1" x="901"/>
        <item m="1" x="902"/>
        <item m="1" x="903"/>
        <item m="1" x="904"/>
        <item m="1" x="905"/>
        <item m="1" x="906"/>
        <item m="1" x="907"/>
        <item m="1" x="908"/>
        <item m="1" x="909"/>
        <item m="1" x="910"/>
        <item m="1" x="911"/>
        <item m="1" x="912"/>
        <item m="1" x="913"/>
        <item m="1" x="914"/>
        <item m="1" x="915"/>
        <item m="1" x="917"/>
        <item m="1" x="918"/>
        <item m="1" x="919"/>
        <item m="1" x="920"/>
        <item m="1" x="922"/>
        <item m="1" x="923"/>
        <item m="1" x="925"/>
        <item m="1" x="926"/>
        <item m="1" x="927"/>
        <item m="1" x="929"/>
        <item m="1" x="930"/>
        <item m="1" x="931"/>
        <item m="1" x="932"/>
        <item m="1" x="934"/>
        <item m="1" x="935"/>
        <item m="1" x="936"/>
        <item m="1" x="940"/>
        <item m="1" x="941"/>
        <item m="1" x="942"/>
        <item m="1" x="943"/>
        <item m="1" x="944"/>
        <item m="1" x="946"/>
        <item m="1" x="947"/>
        <item m="1" x="948"/>
        <item m="1" x="949"/>
        <item m="1" x="953"/>
        <item m="1" x="954"/>
        <item m="1" x="955"/>
        <item m="1" x="956"/>
        <item m="1" x="957"/>
        <item m="1" x="961"/>
        <item m="1" x="962"/>
        <item m="1" x="963"/>
        <item m="1" x="965"/>
        <item m="1" x="966"/>
        <item m="1" x="967"/>
        <item m="1" x="969"/>
        <item m="1" x="970"/>
        <item m="1" x="973"/>
        <item m="1" x="974"/>
        <item m="1" x="975"/>
        <item m="1" x="978"/>
        <item m="1" x="979"/>
        <item m="1" x="980"/>
        <item m="1" x="981"/>
        <item m="1" x="982"/>
        <item m="1" x="984"/>
        <item m="1" x="985"/>
        <item m="1" x="986"/>
        <item m="1" x="990"/>
        <item m="1" x="991"/>
        <item m="1" x="995"/>
        <item m="1" x="996"/>
        <item m="1" x="998"/>
        <item m="1" x="999"/>
        <item m="1" x="1002"/>
        <item m="1" x="1005"/>
        <item m="1" x="1006"/>
        <item m="1" x="1007"/>
        <item m="1" x="1012"/>
        <item m="1" x="1014"/>
        <item m="1" x="1015"/>
        <item m="1" x="1017"/>
        <item m="1" x="1018"/>
        <item m="1" x="1019"/>
        <item m="1" x="1021"/>
        <item m="1" x="1022"/>
        <item m="1" x="1024"/>
        <item m="1" x="1026"/>
        <item m="1" x="1027"/>
        <item m="1" x="1029"/>
        <item m="1" x="1030"/>
        <item m="1" x="1031"/>
        <item m="1" x="1032"/>
        <item m="1" x="1033"/>
        <item m="1" x="1034"/>
        <item m="1" x="1035"/>
        <item m="1" x="1036"/>
        <item m="1" x="1038"/>
        <item m="1" x="1040"/>
        <item m="1" x="1041"/>
        <item m="1" x="1042"/>
        <item m="1" x="1043"/>
        <item m="1" x="1045"/>
        <item m="1" x="1046"/>
        <item m="1" x="1047"/>
        <item m="1" x="1050"/>
        <item m="1" x="1051"/>
        <item m="1" x="1053"/>
        <item m="1" x="1056"/>
        <item m="1" x="1058"/>
        <item m="1" x="1063"/>
        <item m="1" x="1064"/>
        <item m="1" x="1066"/>
        <item m="1" x="1067"/>
        <item m="1" x="1069"/>
        <item m="1" x="1072"/>
        <item m="1" x="1075"/>
        <item m="1" x="1077"/>
        <item m="1" x="1078"/>
        <item m="1" x="1084"/>
        <item m="1" x="1086"/>
        <item m="1" x="1087"/>
        <item m="1" x="1088"/>
        <item m="1" x="1089"/>
        <item m="1" x="1091"/>
        <item m="1" x="1095"/>
        <item m="1" x="1096"/>
        <item m="1" x="1097"/>
        <item m="1" x="1098"/>
        <item m="1" x="1100"/>
        <item m="1" x="1102"/>
        <item m="1" x="1103"/>
        <item m="1" x="1106"/>
        <item m="1" x="1107"/>
        <item m="1" x="1110"/>
        <item m="1" x="1112"/>
        <item m="1" x="1115"/>
        <item m="1" x="1120"/>
        <item m="1" x="1125"/>
        <item m="1" x="1127"/>
        <item m="1" x="1128"/>
        <item m="1" x="1130"/>
        <item m="1" x="1131"/>
        <item m="1" x="1133"/>
        <item m="1" x="1135"/>
        <item m="1" x="1136"/>
        <item m="1" x="1137"/>
        <item m="1" x="1138"/>
        <item m="1" x="1140"/>
        <item m="1" x="1142"/>
        <item m="1" x="1143"/>
        <item m="1" x="1144"/>
        <item m="1" x="1145"/>
        <item m="1" x="1146"/>
        <item m="1" x="1147"/>
        <item m="1" x="1150"/>
        <item m="1" x="1153"/>
        <item m="1" x="1154"/>
        <item m="1" x="1155"/>
        <item m="1" x="1156"/>
        <item m="1" x="1157"/>
        <item m="1" x="1159"/>
        <item m="1" x="1161"/>
        <item m="1" x="1162"/>
        <item m="1" x="1163"/>
        <item m="1" x="1164"/>
        <item m="1" x="1165"/>
        <item m="1" x="1166"/>
        <item m="1" x="1167"/>
        <item m="1" x="1169"/>
        <item m="1" x="1170"/>
        <item m="1" x="1172"/>
        <item m="1" x="1173"/>
        <item m="1" x="1177"/>
        <item m="1" x="1178"/>
        <item m="1" x="1180"/>
        <item m="1" x="1183"/>
        <item m="1" x="1184"/>
        <item m="1" x="1185"/>
        <item m="1" x="1186"/>
        <item m="1" x="1190"/>
        <item m="1" x="1191"/>
        <item m="1" x="1192"/>
        <item m="1" x="1193"/>
        <item m="1" x="1194"/>
        <item m="1" x="1195"/>
        <item m="1" x="1196"/>
        <item m="1" x="1197"/>
        <item m="1" x="1198"/>
        <item m="1" x="1199"/>
        <item m="1" x="1200"/>
        <item m="1" x="1201"/>
        <item m="1" x="1202"/>
        <item m="1" x="1205"/>
        <item m="1" x="1208"/>
        <item m="1" x="1213"/>
        <item m="1" x="1214"/>
        <item m="1" x="1215"/>
        <item m="1" x="1216"/>
        <item m="1" x="1217"/>
        <item m="1" x="1219"/>
        <item m="1" x="1220"/>
        <item m="1" x="1221"/>
        <item m="1" x="1224"/>
        <item m="1" x="1228"/>
        <item m="1" x="1229"/>
        <item m="1" x="1232"/>
        <item m="1" x="1233"/>
        <item m="1" x="1234"/>
        <item m="1" x="1235"/>
        <item m="1" x="1236"/>
        <item m="1" x="1237"/>
        <item m="1" x="1239"/>
        <item m="1" x="1240"/>
        <item m="1" x="1243"/>
        <item m="1" x="1244"/>
        <item m="1" x="1245"/>
        <item m="1" x="1248"/>
        <item m="1" x="1253"/>
        <item m="1" x="1254"/>
        <item m="1" x="1255"/>
        <item m="1" x="1256"/>
        <item m="1" x="1257"/>
        <item m="1" x="1261"/>
        <item m="1" x="1262"/>
        <item m="1" x="1263"/>
        <item m="1" x="1265"/>
        <item m="1" x="1266"/>
        <item m="1" x="1267"/>
        <item m="1" x="1269"/>
        <item m="1" x="1271"/>
        <item m="1" x="1272"/>
        <item m="1" x="1273"/>
        <item m="1" x="1277"/>
        <item m="1" x="1278"/>
        <item m="1" x="1280"/>
        <item m="1" x="1282"/>
        <item m="1" x="1283"/>
        <item m="1" x="1288"/>
        <item m="1" x="1289"/>
        <item m="1" x="1290"/>
        <item m="1" x="1291"/>
        <item m="1" x="1292"/>
        <item m="1" x="1293"/>
        <item m="1" x="1294"/>
        <item m="1" x="1296"/>
        <item m="1" x="1297"/>
        <item m="1" x="1298"/>
        <item m="1" x="1299"/>
        <item m="1" x="1300"/>
        <item m="1" x="1954"/>
        <item m="1" x="1959"/>
        <item m="1" x="1963"/>
        <item m="1" x="1966"/>
        <item m="1" x="1967"/>
        <item m="1" x="1978"/>
        <item m="1" x="1979"/>
        <item m="1" x="1988"/>
        <item m="1" x="1995"/>
        <item m="1" x="1999"/>
        <item m="1" x="2002"/>
        <item m="1" x="2004"/>
        <item m="1" x="2011"/>
        <item m="1" x="2016"/>
        <item m="1" x="2024"/>
        <item m="1" x="2025"/>
        <item m="1" x="2027"/>
        <item m="1" x="2029"/>
        <item m="1" x="2032"/>
        <item m="1" x="2033"/>
        <item m="1" x="2035"/>
        <item m="1" x="2036"/>
        <item m="1" x="2038"/>
        <item m="1" x="2039"/>
        <item m="1" x="2040"/>
        <item m="1" x="2047"/>
        <item m="1" x="2054"/>
        <item m="1" x="2057"/>
        <item m="1" x="2058"/>
        <item m="1" x="2059"/>
        <item m="1" x="2060"/>
        <item m="1" x="2064"/>
        <item m="1" x="2069"/>
        <item m="1" x="2071"/>
        <item m="1" x="2074"/>
        <item m="1" x="2075"/>
        <item m="1" x="2080"/>
        <item m="1" x="2081"/>
        <item m="1" x="2085"/>
        <item m="1" x="2087"/>
        <item m="1" x="2091"/>
        <item m="1" x="2094"/>
        <item m="1" x="2096"/>
        <item m="1" x="2098"/>
        <item m="1" x="2099"/>
        <item m="1" x="2104"/>
        <item m="1" x="2108"/>
        <item m="1" x="2113"/>
        <item m="1" x="2120"/>
        <item m="1" x="2122"/>
        <item m="1" x="2132"/>
        <item m="1" x="2140"/>
        <item m="1" x="2142"/>
        <item m="1" x="2145"/>
        <item m="1" x="2147"/>
        <item m="1" x="2151"/>
        <item m="1" x="2152"/>
        <item m="1" x="2156"/>
        <item m="1" x="2158"/>
        <item m="1" x="2167"/>
        <item m="1" x="2170"/>
        <item m="1" x="2173"/>
        <item m="1" x="2176"/>
        <item m="1" x="2177"/>
        <item m="1" x="2183"/>
        <item m="1" x="2189"/>
        <item m="1" x="2195"/>
        <item m="1" x="2201"/>
        <item m="1" x="2203"/>
        <item m="1" x="2206"/>
        <item m="1" x="2207"/>
        <item m="1" x="2215"/>
        <item m="1" x="2216"/>
        <item m="1" x="2222"/>
        <item m="1" x="2235"/>
        <item m="1" x="2240"/>
        <item m="1" x="2248"/>
        <item m="1" x="2249"/>
        <item m="1" x="2253"/>
        <item m="1" x="2255"/>
        <item m="1" x="2256"/>
        <item m="1" x="2261"/>
        <item m="1" x="2262"/>
        <item m="1" x="2269"/>
        <item m="1" x="2276"/>
        <item m="1" x="2277"/>
        <item m="1" x="2280"/>
        <item m="1" x="2281"/>
        <item m="1" x="2282"/>
        <item m="1" x="2298"/>
        <item m="1" x="2300"/>
        <item m="1" x="2302"/>
        <item m="1" x="2306"/>
        <item m="1" x="2314"/>
        <item m="1" x="2322"/>
        <item m="1" x="2325"/>
        <item m="1" x="2335"/>
        <item m="1" x="2350"/>
        <item m="1" x="2353"/>
        <item m="1" x="2358"/>
        <item m="1" x="2359"/>
        <item m="1" x="2364"/>
        <item m="1" x="2369"/>
        <item m="1" x="2371"/>
        <item m="1" x="2374"/>
        <item m="1" x="2375"/>
        <item m="1" x="2376"/>
        <item m="1" x="2381"/>
        <item m="1" x="2383"/>
        <item m="1" x="2385"/>
        <item m="1" x="2386"/>
        <item m="1" x="2390"/>
        <item m="1" x="2397"/>
        <item m="1" x="2398"/>
        <item m="1" x="2403"/>
        <item m="1" x="2409"/>
        <item m="1" x="2414"/>
        <item m="1" x="2419"/>
        <item m="1" x="2420"/>
        <item m="1" x="2426"/>
        <item m="1" x="2434"/>
        <item m="1" x="2436"/>
        <item m="1" x="2437"/>
        <item m="1" x="2439"/>
        <item m="1" x="2441"/>
        <item m="1" x="2449"/>
        <item m="1" x="2455"/>
        <item m="1" x="2457"/>
        <item m="1" x="2459"/>
        <item m="1" x="2461"/>
        <item m="1" x="2466"/>
        <item m="1" x="2467"/>
        <item m="1" x="2471"/>
        <item m="1" x="2475"/>
        <item m="1" x="2477"/>
        <item m="1" x="2481"/>
        <item m="1" x="2485"/>
        <item m="1" x="2486"/>
        <item m="1" x="2491"/>
        <item m="1" x="2492"/>
        <item m="1" x="2495"/>
        <item m="1" x="2501"/>
        <item m="1" x="2504"/>
        <item m="1" x="2506"/>
        <item m="1" x="2507"/>
        <item m="1" x="2522"/>
        <item m="1" x="2527"/>
        <item m="1" x="2532"/>
        <item m="1" x="2534"/>
        <item m="1" x="2543"/>
        <item m="1" x="2546"/>
        <item m="1" x="2551"/>
        <item m="1" x="2556"/>
        <item m="1" x="2558"/>
        <item m="1" x="2560"/>
        <item m="1" x="2564"/>
        <item m="1" x="2566"/>
        <item m="1" x="2571"/>
        <item m="1" x="2574"/>
        <item m="1" x="2575"/>
        <item m="1" x="2577"/>
        <item m="1" x="2578"/>
        <item m="1" x="2586"/>
        <item m="1" x="2590"/>
        <item m="1" x="2593"/>
        <item m="1" x="26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652"/>
        <item m="1" x="657"/>
        <item m="1" x="658"/>
        <item m="1" x="660"/>
        <item m="1" x="663"/>
        <item m="1" x="665"/>
        <item m="1" x="666"/>
        <item m="1" x="671"/>
        <item m="1" x="672"/>
        <item m="1" x="674"/>
        <item m="1" x="676"/>
        <item m="1" x="679"/>
        <item m="1" x="681"/>
        <item m="1" x="682"/>
        <item m="1" x="683"/>
        <item m="1" x="684"/>
        <item m="1" x="685"/>
        <item m="1" x="688"/>
        <item m="1" x="695"/>
        <item m="1" x="696"/>
        <item m="1" x="697"/>
        <item m="1" x="710"/>
        <item m="1" x="711"/>
        <item m="1" x="714"/>
        <item m="1" x="715"/>
        <item m="1" x="716"/>
        <item m="1" x="719"/>
        <item m="1" x="720"/>
        <item m="1" x="722"/>
        <item m="1" x="725"/>
        <item m="1" x="729"/>
        <item m="1" x="730"/>
        <item m="1" x="733"/>
        <item m="1" x="737"/>
        <item m="1" x="740"/>
        <item m="1" x="741"/>
        <item m="1" x="742"/>
        <item m="1" x="743"/>
        <item m="1" x="746"/>
        <item m="1" x="748"/>
        <item m="1" x="753"/>
        <item m="1" x="755"/>
        <item m="1" x="757"/>
        <item m="1" x="760"/>
        <item m="1" x="767"/>
        <item m="1" x="769"/>
        <item m="1" x="771"/>
        <item m="1" x="774"/>
        <item m="1" x="775"/>
        <item m="1" x="776"/>
        <item m="1" x="786"/>
        <item m="1" x="787"/>
        <item m="1" x="790"/>
        <item m="1" x="794"/>
        <item m="1" x="796"/>
        <item m="1" x="797"/>
        <item m="1" x="799"/>
        <item m="1" x="800"/>
        <item m="1" x="803"/>
        <item m="1" x="805"/>
        <item m="1" x="806"/>
        <item m="1" x="807"/>
        <item m="1" x="809"/>
        <item m="1" x="811"/>
        <item m="1" x="814"/>
        <item m="1" x="815"/>
        <item m="1" x="817"/>
        <item m="1" x="819"/>
        <item m="1" x="820"/>
        <item m="1" x="823"/>
        <item m="1" x="824"/>
        <item m="1" x="828"/>
        <item m="1" x="829"/>
        <item m="1" x="830"/>
        <item m="1" x="832"/>
        <item m="1" x="833"/>
        <item m="1" x="834"/>
        <item m="1" x="835"/>
        <item m="1" x="839"/>
        <item m="1" x="841"/>
        <item m="1" x="844"/>
        <item m="1" x="847"/>
        <item m="1" x="848"/>
        <item m="1" x="853"/>
        <item m="1" x="854"/>
        <item m="1" x="855"/>
        <item m="1" x="856"/>
        <item m="1" x="857"/>
        <item m="1" x="864"/>
        <item m="1" x="866"/>
        <item m="1" x="870"/>
        <item m="1" x="878"/>
        <item m="1" x="881"/>
        <item m="1" x="884"/>
        <item m="1" x="887"/>
        <item m="1" x="888"/>
        <item m="1" x="890"/>
        <item m="1" x="891"/>
        <item m="1" x="892"/>
        <item m="1" x="893"/>
        <item m="1" x="896"/>
        <item m="1" x="897"/>
        <item m="1" x="898"/>
        <item m="1" x="899"/>
        <item m="1" x="916"/>
        <item m="1" x="921"/>
        <item m="1" x="924"/>
        <item m="1" x="928"/>
        <item m="1" x="933"/>
        <item m="1" x="937"/>
        <item m="1" x="938"/>
        <item m="1" x="939"/>
        <item m="1" x="945"/>
        <item m="1" x="950"/>
        <item m="1" x="951"/>
        <item m="1" x="952"/>
        <item m="1" x="958"/>
        <item m="1" x="959"/>
        <item m="1" x="960"/>
        <item m="1" x="964"/>
        <item m="1" x="968"/>
        <item m="1" x="971"/>
        <item m="1" x="972"/>
        <item m="1" x="976"/>
        <item m="1" x="977"/>
        <item m="1" x="983"/>
        <item m="1" x="987"/>
        <item m="1" x="988"/>
        <item m="1" x="989"/>
        <item m="1" x="992"/>
        <item m="1" x="993"/>
        <item m="1" x="994"/>
        <item m="1" x="997"/>
        <item m="1" x="1000"/>
        <item m="1" x="1001"/>
        <item m="1" x="1003"/>
        <item m="1" x="1004"/>
        <item m="1" x="1008"/>
        <item m="1" x="1009"/>
        <item m="1" x="1010"/>
        <item m="1" x="1011"/>
        <item m="1" x="1013"/>
        <item m="1" x="1016"/>
        <item m="1" x="1020"/>
        <item m="1" x="1023"/>
        <item m="1" x="1025"/>
        <item m="1" x="1028"/>
        <item m="1" x="1037"/>
        <item m="1" x="1039"/>
        <item m="1" x="1044"/>
        <item m="1" x="1048"/>
        <item m="1" x="1049"/>
        <item m="1" x="1052"/>
        <item m="1" x="1054"/>
        <item m="1" x="1055"/>
        <item m="1" x="1057"/>
        <item m="1" x="1059"/>
        <item m="1" x="1060"/>
        <item m="1" x="1061"/>
        <item m="1" x="1062"/>
        <item m="1" x="1065"/>
        <item m="1" x="1068"/>
        <item m="1" x="1070"/>
        <item m="1" x="1071"/>
        <item m="1" x="1073"/>
        <item m="1" x="1074"/>
        <item m="1" x="1076"/>
        <item m="1" x="1079"/>
        <item m="1" x="1080"/>
        <item m="1" x="1081"/>
        <item m="1" x="1082"/>
        <item m="1" x="1083"/>
        <item m="1" x="1085"/>
        <item m="1" x="1090"/>
        <item m="1" x="1092"/>
        <item m="1" x="1093"/>
        <item m="1" x="1094"/>
        <item m="1" x="1099"/>
        <item m="1" x="1101"/>
        <item m="1" x="1104"/>
        <item m="1" x="1105"/>
        <item m="1" x="1108"/>
        <item m="1" x="1109"/>
        <item m="1" x="1111"/>
        <item m="1" x="1113"/>
        <item m="1" x="1114"/>
        <item m="1" x="1116"/>
        <item m="1" x="1117"/>
        <item m="1" x="1118"/>
        <item m="1" x="1119"/>
        <item m="1" x="1121"/>
        <item m="1" x="1122"/>
        <item m="1" x="1123"/>
        <item m="1" x="1124"/>
        <item m="1" x="1126"/>
        <item m="1" x="1129"/>
        <item m="1" x="1132"/>
        <item m="1" x="1134"/>
        <item m="1" x="1139"/>
        <item m="1" x="1141"/>
        <item m="1" x="1148"/>
        <item m="1" x="1149"/>
        <item m="1" x="1151"/>
        <item m="1" x="1152"/>
        <item m="1" x="1158"/>
        <item m="1" x="1160"/>
        <item m="1" x="1168"/>
        <item m="1" x="1171"/>
        <item m="1" x="1174"/>
        <item m="1" x="1175"/>
        <item m="1" x="1176"/>
        <item m="1" x="1179"/>
        <item m="1" x="1181"/>
        <item m="1" x="1182"/>
        <item m="1" x="1187"/>
        <item m="1" x="1188"/>
        <item m="1" x="1189"/>
        <item m="1" x="1203"/>
        <item m="1" x="1204"/>
        <item m="1" x="1206"/>
        <item m="1" x="1207"/>
        <item m="1" x="1209"/>
        <item m="1" x="1210"/>
        <item m="1" x="1211"/>
        <item m="1" x="1212"/>
        <item m="1" x="1218"/>
        <item m="1" x="1222"/>
        <item m="1" x="1223"/>
        <item m="1" x="1225"/>
        <item m="1" x="1226"/>
        <item m="1" x="1227"/>
        <item m="1" x="1230"/>
        <item m="1" x="1231"/>
        <item m="1" x="1238"/>
        <item m="1" x="1241"/>
        <item m="1" x="1242"/>
        <item m="1" x="1246"/>
        <item m="1" x="1247"/>
        <item m="1" x="1249"/>
        <item m="1" x="1250"/>
        <item m="1" x="1251"/>
        <item m="1" x="1252"/>
        <item m="1" x="1258"/>
        <item m="1" x="1259"/>
        <item m="1" x="1260"/>
        <item m="1" x="1264"/>
        <item m="1" x="1268"/>
        <item m="1" x="1270"/>
        <item m="1" x="1274"/>
        <item m="1" x="1275"/>
        <item m="1" x="1276"/>
        <item m="1" x="1279"/>
        <item m="1" x="1281"/>
        <item m="1" x="1284"/>
        <item m="1" x="1285"/>
        <item m="1" x="1286"/>
        <item m="1" x="1287"/>
        <item m="1" x="1295"/>
        <item m="1" x="1301"/>
        <item m="1" x="1302"/>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x="0"/>
        <item t="default"/>
      </items>
    </pivotField>
    <pivotField dataField="1" compact="0" showAll="0"/>
    <pivotField compact="0" showAll="0"/>
    <pivotField dataField="1" compact="0" showAll="0"/>
    <pivotField dataField="1" compact="0" showAll="0"/>
    <pivotField compact="0" showAll="0"/>
    <pivotField dataField="1" compact="0" showAll="0"/>
    <pivotField compact="0" showAll="0"/>
    <pivotField compact="0" showAll="0"/>
    <pivotField axis="axisRow" compact="0" showAll="0" sortType="ascending">
      <items count="3">
        <item m="1" x="1"/>
        <item x="0"/>
        <item t="default" sd="0"/>
      </items>
    </pivotField>
    <pivotField name="Structure" axis="axisRow" compact="0" showAll="0">
      <items count="1706">
        <item m="1" x="582"/>
        <item m="1" x="1667"/>
        <item m="1" x="1558"/>
        <item m="1" x="1559"/>
        <item m="1" x="1670"/>
        <item m="1" x="1601"/>
        <item m="1" x="1562"/>
        <item m="1" x="1448"/>
        <item m="1" x="1352"/>
        <item m="1" x="1240"/>
        <item m="1" x="1564"/>
        <item m="1" x="1675"/>
        <item m="1" x="1249"/>
        <item m="1" x="1610"/>
        <item m="1" x="1368"/>
        <item m="1" x="1372"/>
        <item m="1" x="1613"/>
        <item m="1" x="1534"/>
        <item m="1" x="646"/>
        <item m="1" x="1537"/>
        <item m="1" x="1472"/>
        <item m="1" x="1276"/>
        <item m="1" x="1539"/>
        <item m="1" x="19"/>
        <item m="1" x="1579"/>
        <item m="1" x="1398"/>
        <item m="1" x="1293"/>
        <item m="1" x="1685"/>
        <item m="1" x="1657"/>
        <item m="1" x="1620"/>
        <item m="1" x="1544"/>
        <item m="1" x="1584"/>
        <item m="1" x="1545"/>
        <item m="1" x="1486"/>
        <item m="1" x="1689"/>
        <item m="1" x="1624"/>
        <item m="1" x="1550"/>
        <item m="1" x="1497"/>
        <item m="1" x="1325"/>
        <item m="1" x="1663"/>
        <item m="1" x="1332"/>
        <item m="1" x="1694"/>
        <item m="1" x="1666"/>
        <item m="1" x="1630"/>
        <item m="1" x="1594"/>
        <item m="1" x="1557"/>
        <item m="1" x="1344"/>
        <item m="1" x="1073"/>
        <item m="1" x="1561"/>
        <item m="1" x="1516"/>
        <item m="1" x="1348"/>
        <item m="1" x="1637"/>
        <item m="1" x="1604"/>
        <item m="1" x="1676"/>
        <item m="1" x="1640"/>
        <item m="1" x="1567"/>
        <item m="1" x="1648"/>
        <item m="1" x="1532"/>
        <item m="1" x="24"/>
        <item m="1" x="1701"/>
        <item m="1" x="1571"/>
        <item m="1" x="1530"/>
        <item m="1" x="1373"/>
        <item m="1" x="1680"/>
        <item m="1" x="1526"/>
        <item m="1" x="1458"/>
        <item m="1" x="1528"/>
        <item m="1" x="742"/>
        <item m="1" x="1364"/>
        <item m="1" x="1699"/>
        <item m="1" x="1677"/>
        <item m="1" x="1642"/>
        <item m="1" x="1461"/>
        <item m="1" x="1608"/>
        <item m="1" x="1460"/>
        <item m="1" x="1700"/>
        <item m="1" x="1444"/>
        <item m="1" x="1678"/>
        <item m="1" x="1646"/>
        <item m="1" x="119"/>
        <item m="1" x="1612"/>
        <item m="1" x="811"/>
        <item m="1" x="391"/>
        <item m="1" x="1606"/>
        <item m="1" x="1361"/>
        <item m="1" x="9"/>
        <item m="1" x="1698"/>
        <item m="1" x="1565"/>
        <item m="1" x="1522"/>
        <item m="1" x="1452"/>
        <item m="1" x="220"/>
        <item m="1" x="1358"/>
        <item m="1" x="1674"/>
        <item m="1" x="1638"/>
        <item m="1" x="642"/>
        <item m="1" x="1519"/>
        <item m="1" x="1449"/>
        <item m="1" x="1353"/>
        <item m="1" x="1696"/>
        <item m="1" x="1695"/>
        <item m="1" x="1672"/>
        <item m="1" x="803"/>
        <item m="1" x="1602"/>
        <item m="1" x="1563"/>
        <item m="1" x="63"/>
        <item m="1" x="10"/>
        <item m="1" x="468"/>
        <item m="1" x="1446"/>
        <item m="1" x="1635"/>
        <item m="1" x="1600"/>
        <item m="1" x="1441"/>
        <item m="1" x="1560"/>
        <item m="1" x="1598"/>
        <item m="1" x="1513"/>
        <item m="1" x="1155"/>
        <item m="1" x="1340"/>
        <item m="1" x="1669"/>
        <item m="1" x="1633"/>
        <item m="1" x="1508"/>
        <item m="1" x="1435"/>
        <item m="1" x="1337"/>
        <item m="1" x="1506"/>
        <item m="1" x="1596"/>
        <item m="1" x="1510"/>
        <item m="1" x="1438"/>
        <item m="1" x="1665"/>
        <item m="1" x="1629"/>
        <item m="1" x="135"/>
        <item m="1" x="1593"/>
        <item m="1" x="1581"/>
        <item m="1" x="1556"/>
        <item m="1" x="1543"/>
        <item m="1" x="1504"/>
        <item m="1" x="1431"/>
        <item m="1" x="649"/>
        <item m="1" x="363"/>
        <item m="1" x="152"/>
        <item m="1" x="1330"/>
        <item m="1" x="1693"/>
        <item m="1" x="1664"/>
        <item m="1" x="1502"/>
        <item m="1" x="1427"/>
        <item m="1" x="1628"/>
        <item m="1" x="1592"/>
        <item m="1" x="1692"/>
        <item m="1" x="1627"/>
        <item m="1" x="1591"/>
        <item m="1" x="1555"/>
        <item m="1" x="15"/>
        <item m="1" x="1328"/>
        <item m="1" x="1691"/>
        <item m="1" x="1466"/>
        <item m="1" x="82"/>
        <item m="1" x="1321"/>
        <item m="1" x="1661"/>
        <item m="1" x="1590"/>
        <item m="1" x="1554"/>
        <item m="1" x="1499"/>
        <item m="1" x="1423"/>
        <item m="1" x="1662"/>
        <item m="1" x="1500"/>
        <item m="1" x="1626"/>
        <item m="1" x="1552"/>
        <item m="1" x="1494"/>
        <item m="1" x="1317"/>
        <item m="1" x="1588"/>
        <item m="1" x="1690"/>
        <item m="1" x="1660"/>
        <item m="1" x="1625"/>
        <item m="1" x="1589"/>
        <item m="1" x="1313"/>
        <item m="1" x="1549"/>
        <item m="1" x="1492"/>
        <item m="1" x="1418"/>
        <item m="1" x="1586"/>
        <item m="1" x="1547"/>
        <item m="1" x="1488"/>
        <item m="1" x="1414"/>
        <item m="1" x="1308"/>
        <item m="1" x="1688"/>
        <item m="1" x="1659"/>
        <item m="1" x="1623"/>
        <item m="1" x="1587"/>
        <item m="1" x="1687"/>
        <item m="1" x="1658"/>
        <item m="1" x="1622"/>
        <item m="1" x="13"/>
        <item m="1" x="11"/>
        <item m="1" x="1212"/>
        <item m="1" x="1405"/>
        <item m="1" x="1297"/>
        <item m="1" x="1686"/>
        <item m="1" x="1098"/>
        <item m="1" x="1484"/>
        <item m="1" x="1583"/>
        <item m="1" x="1430"/>
        <item m="1" x="1408"/>
        <item m="1" x="35"/>
        <item m="1" x="1301"/>
        <item m="1" x="1621"/>
        <item m="1" x="1585"/>
        <item m="1" x="1546"/>
        <item m="1" x="1412"/>
        <item m="1" x="1655"/>
        <item m="1" x="1033"/>
        <item m="1" x="1482"/>
        <item m="1" x="1402"/>
        <item m="1" x="1582"/>
        <item m="1" x="1653"/>
        <item m="1" x="1478"/>
        <item m="1" x="1394"/>
        <item m="1" x="1285"/>
        <item m="1" x="476"/>
        <item m="1" x="232"/>
        <item m="1" x="27"/>
        <item m="1" x="1577"/>
        <item m="1" x="1618"/>
        <item m="1" x="1389"/>
        <item m="1" x="1281"/>
        <item m="1" x="1684"/>
        <item m="1" x="1651"/>
        <item m="1" x="242"/>
        <item m="1" x="1385"/>
        <item m="1" x="1576"/>
        <item m="1" x="1271"/>
        <item m="1" x="1682"/>
        <item m="1" x="1650"/>
        <item m="1" x="1617"/>
        <item m="1" x="74"/>
        <item m="1" x="1615"/>
        <item m="1" x="1574"/>
        <item m="1" x="1381"/>
        <item m="1" x="66"/>
        <item m="1" x="226"/>
        <item m="1" x="1572"/>
        <item m="1" x="1263"/>
        <item m="1" x="1679"/>
        <item m="1" x="1645"/>
        <item m="1" x="1531"/>
        <item m="1" x="1468"/>
        <item m="1" x="1377"/>
        <item m="1" x="1681"/>
        <item m="1" x="1647"/>
        <item m="1" x="1529"/>
        <item m="1" x="1464"/>
        <item m="1" x="1491"/>
        <item m="1" x="1417"/>
        <item m="1" x="1312"/>
        <item m="1" x="1259"/>
        <item m="1" x="1644"/>
        <item m="1" x="1611"/>
        <item m="1" x="1570"/>
        <item m="1" x="1568"/>
        <item m="1" x="1527"/>
        <item m="1" x="1641"/>
        <item m="1" x="901"/>
        <item m="1" x="1051"/>
        <item m="1" x="1639"/>
        <item m="1" x="1607"/>
        <item m="1" x="1566"/>
        <item m="1" x="1525"/>
        <item m="1" x="1457"/>
        <item m="1" x="1363"/>
        <item m="1" x="1255"/>
        <item m="1" x="1454"/>
        <item m="1" x="1605"/>
        <item m="1" x="1616"/>
        <item m="1" x="1451"/>
        <item m="1" x="1518"/>
        <item m="1" x="1244"/>
        <item m="1" x="1521"/>
        <item m="1" x="335"/>
        <item m="1" x="1636"/>
        <item m="1" x="1603"/>
        <item m="1" x="1357"/>
        <item m="1" x="1673"/>
        <item m="1" x="53"/>
        <item m="1" x="917"/>
        <item m="1" x="1235"/>
        <item m="1" x="1671"/>
        <item m="1" x="1634"/>
        <item m="1" x="2"/>
        <item m="1" x="1599"/>
        <item m="1" x="1515"/>
        <item m="1" x="1445"/>
        <item m="1" x="1347"/>
        <item m="1" x="1632"/>
        <item m="1" x="32"/>
        <item m="1" x="1512"/>
        <item m="1" x="1440"/>
        <item m="1" x="1343"/>
        <item m="1" x="1231"/>
        <item m="1" x="79"/>
        <item m="1" x="1226"/>
        <item m="1" x="1668"/>
        <item m="1" x="1631"/>
        <item m="1" x="1597"/>
        <item m="1" x="1595"/>
        <item m="1" x="1336"/>
        <item m="1" x="1221"/>
        <item m="1" x="956"/>
        <item m="1" x="29"/>
        <item m="1" x="215"/>
        <item m="1" x="782"/>
        <item m="1" x="20"/>
        <item m="1" x="644"/>
        <item m="1" x="417"/>
        <item m="1" x="1018"/>
        <item m="1" x="1080"/>
        <item m="1" x="1099"/>
        <item m="1" x="489"/>
        <item m="1" x="1094"/>
        <item m="1" x="360"/>
        <item m="1" x="1137"/>
        <item m="1" x="1040"/>
        <item m="1" x="778"/>
        <item m="1" x="1200"/>
        <item m="1" x="952"/>
        <item m="1" x="1222"/>
        <item m="1" x="796"/>
        <item m="1" x="447"/>
        <item m="1" x="1218"/>
        <item m="1" x="1237"/>
        <item m="1" x="526"/>
        <item m="1" x="420"/>
        <item m="1" x="1069"/>
        <item m="1" x="396"/>
        <item m="1" x="1229"/>
        <item m="1" x="1342"/>
        <item m="1" x="1470"/>
        <item m="1" x="810"/>
        <item m="1" x="548"/>
        <item m="1" x="1220"/>
        <item m="1" x="1495"/>
        <item m="1" x="1420"/>
        <item m="1" x="511"/>
        <item m="1" x="980"/>
        <item m="1" x="815"/>
        <item m="1" x="1104"/>
        <item m="1" x="686"/>
        <item m="1" x="1310"/>
        <item m="1" x="1190"/>
        <item m="1" x="780"/>
        <item m="1" x="616"/>
        <item m="1" x="1319"/>
        <item m="1" x="1076"/>
        <item m="1" x="492"/>
        <item m="1" x="1432"/>
        <item m="1" x="1334"/>
        <item m="1" x="588"/>
        <item m="1" x="673"/>
        <item m="1" x="382"/>
        <item m="1" x="667"/>
        <item m="1" x="246"/>
        <item m="1" x="377"/>
        <item m="1" x="16"/>
        <item m="1" x="1331"/>
        <item m="1" x="1333"/>
        <item m="1" x="1228"/>
        <item m="1" x="1118"/>
        <item m="1" x="994"/>
        <item m="1" x="831"/>
        <item m="1" x="1131"/>
        <item m="1" x="1277"/>
        <item m="1" x="1176"/>
        <item m="1" x="1062"/>
        <item m="1" x="930"/>
        <item m="1" x="761"/>
        <item m="1" x="565"/>
        <item m="1" x="885"/>
        <item m="1" x="1147"/>
        <item m="1" x="551"/>
        <item m="1" x="1157"/>
        <item m="1" x="574"/>
        <item m="1" x="433"/>
        <item m="1" x="301"/>
        <item m="1" x="193"/>
        <item m="1" x="1167"/>
        <item m="1" x="1049"/>
        <item m="1" x="915"/>
        <item m="1" x="1057"/>
        <item m="1" x="924"/>
        <item m="1" x="311"/>
        <item m="1" x="660"/>
        <item m="1" x="504"/>
        <item m="1" x="355"/>
        <item m="1" x="149"/>
        <item m="1" x="1089"/>
        <item m="1" x="962"/>
        <item m="1" x="957"/>
        <item m="1" x="795"/>
        <item m="1" x="629"/>
        <item m="1" x="478"/>
        <item m="1" x="341"/>
        <item m="1" x="230"/>
        <item m="1" x="772"/>
        <item m="1" x="118"/>
        <item m="1" x="544"/>
        <item m="1" x="884"/>
        <item m="1" x="1052"/>
        <item m="1" x="914"/>
        <item m="1" x="750"/>
        <item m="1" x="585"/>
        <item m="1" x="597"/>
        <item m="1" x="200"/>
        <item m="1" x="929"/>
        <item m="1" x="287"/>
        <item m="1" x="883"/>
        <item m="1" x="184"/>
        <item m="1" x="187"/>
        <item m="1" x="104"/>
        <item m="1" x="48"/>
        <item m="1" x="902"/>
        <item m="1" x="732"/>
        <item m="1" x="572"/>
        <item m="1" x="431"/>
        <item m="1" x="299"/>
        <item m="1" x="567"/>
        <item m="1" x="425"/>
        <item m="1" x="295"/>
        <item m="1" x="191"/>
        <item m="1" x="107"/>
        <item m="1" x="50"/>
        <item m="1" x="907"/>
        <item m="1" x="738"/>
        <item m="1" x="749"/>
        <item m="1" x="590"/>
        <item m="1" x="444"/>
        <item m="1" x="306"/>
        <item m="1" x="111"/>
        <item m="1" x="913"/>
        <item m="1" x="743"/>
        <item m="1" x="584"/>
        <item m="1" x="1203"/>
        <item m="1" x="577"/>
        <item m="1" x="1425"/>
        <item m="1" x="303"/>
        <item m="1" x="195"/>
        <item m="1" x="109"/>
        <item m="1" x="314"/>
        <item m="1" x="204"/>
        <item m="1" x="117"/>
        <item m="1" x="310"/>
        <item m="1" x="895"/>
        <item m="1" x="199"/>
        <item m="1" x="113"/>
        <item m="1" x="55"/>
        <item m="1" x="923"/>
        <item m="1" x="754"/>
        <item m="1" x="208"/>
        <item m="1" x="129"/>
        <item m="1" x="67"/>
        <item m="1" x="633"/>
        <item m="1" x="487"/>
        <item m="1" x="516"/>
        <item m="1" x="378"/>
        <item m="1" x="257"/>
        <item m="1" x="159"/>
        <item m="1" x="528"/>
        <item m="1" x="387"/>
        <item m="1" x="263"/>
        <item m="1" x="167"/>
        <item m="1" x="88"/>
        <item m="1" x="42"/>
        <item m="1" x="676"/>
        <item m="1" x="522"/>
        <item m="1" x="383"/>
        <item m="1" x="260"/>
        <item m="1" x="162"/>
        <item m="1" x="86"/>
        <item m="1" x="40"/>
        <item m="1" x="848"/>
        <item m="1" x="537"/>
        <item m="1" x="397"/>
        <item m="1" x="689"/>
        <item m="1" x="532"/>
        <item m="1" x="392"/>
        <item m="1" x="43"/>
        <item m="1" x="860"/>
        <item m="1" x="694"/>
        <item m="1" x="95"/>
        <item m="1" x="554"/>
        <item m="1" x="412"/>
        <item m="1" x="283"/>
        <item m="1" x="179"/>
        <item m="1" x="402"/>
        <item m="1" x="276"/>
        <item m="1" x="173"/>
        <item m="1" x="93"/>
        <item m="1" x="45"/>
        <item m="1" x="705"/>
        <item m="1" x="549"/>
        <item m="1" x="407"/>
        <item m="1" x="280"/>
        <item m="1" x="97"/>
        <item m="1" x="156"/>
        <item m="1" x="169"/>
        <item m="1" x="272"/>
        <item m="1" x="91"/>
        <item m="1" x="44"/>
        <item m="1" x="866"/>
        <item m="1" x="699"/>
        <item m="1" x="543"/>
        <item m="1" x="855"/>
        <item m="1" x="39"/>
        <item m="1" x="841"/>
        <item m="1" x="669"/>
        <item m="1" x="508"/>
        <item m="1" x="369"/>
        <item m="1" x="373"/>
        <item m="1" x="83"/>
        <item m="1" x="38"/>
        <item m="1" x="834"/>
        <item m="1" x="821"/>
        <item m="1" x="793"/>
        <item m="1" x="482"/>
        <item m="1" x="233"/>
        <item m="1" x="143"/>
        <item m="1" x="71"/>
        <item m="1" x="799"/>
        <item m="1" x="34"/>
        <item m="1" x="805"/>
        <item m="1" x="638"/>
        <item m="1" x="495"/>
        <item m="1" x="353"/>
        <item m="1" x="240"/>
        <item m="1" x="244"/>
        <item m="1" x="206"/>
        <item m="1" x="502"/>
        <item m="1" x="364"/>
        <item m="1" x="153"/>
        <item m="1" x="81"/>
        <item m="1" x="235"/>
        <item m="1" x="145"/>
        <item m="1" x="75"/>
        <item m="1" x="140"/>
        <item m="1" x="68"/>
        <item m="1" x="59"/>
        <item m="1" x="18"/>
        <item m="1" x="765"/>
        <item m="1" x="459"/>
        <item m="1" x="321"/>
        <item m="1" x="211"/>
        <item m="1" x="123"/>
        <item m="1" x="132"/>
        <item m="1" x="64"/>
        <item m="1" x="26"/>
        <item m="1" x="783"/>
        <item m="1" x="771"/>
        <item m="1" x="607"/>
        <item m="1" x="463"/>
        <item m="1" x="326"/>
        <item m="1" x="216"/>
        <item m="1" x="128"/>
        <item m="1" x="61"/>
        <item m="1" x="331"/>
        <item m="1" x="203"/>
        <item m="1" x="116"/>
        <item m="1" x="56"/>
        <item m="1" x="595"/>
        <item m="1" x="453"/>
        <item m="1" x="207"/>
        <item m="1" x="62"/>
        <item m="1" x="12"/>
        <item m="1" x="945"/>
        <item m="1" x="777"/>
        <item m="1" x="619"/>
        <item m="1" x="322"/>
        <item m="1" x="212"/>
        <item m="1" x="124"/>
        <item m="1" x="60"/>
        <item m="1" x="58"/>
        <item m="1" x="596"/>
        <item m="1" x="454"/>
        <item m="1" x="623"/>
        <item m="1" x="332"/>
        <item m="1" x="223"/>
        <item m="1" x="65"/>
        <item m="1" x="950"/>
        <item m="1" x="784"/>
        <item m="1" x="624"/>
        <item m="1" x="473"/>
        <item m="1" x="337"/>
        <item m="1" x="464"/>
        <item m="1" x="217"/>
        <item m="1" x="789"/>
        <item m="1" x="628"/>
        <item m="1" x="349"/>
        <item m="1" x="236"/>
        <item m="1" x="146"/>
        <item m="1" x="76"/>
        <item m="1" x="806"/>
        <item m="1" x="645"/>
        <item m="1" x="354"/>
        <item m="1" x="241"/>
        <item m="1" x="340"/>
        <item m="1" x="589"/>
        <item m="1" x="229"/>
        <item m="1" x="634"/>
        <item m="1" x="483"/>
        <item m="1" x="344"/>
        <item m="1" x="72"/>
        <item m="1" x="966"/>
        <item m="1" x="800"/>
        <item m="1" x="488"/>
        <item m="1" x="80"/>
        <item m="1" x="154"/>
        <item m="1" x="822"/>
        <item m="1" x="370"/>
        <item m="1" x="157"/>
        <item m="1" x="991"/>
        <item m="1" x="828"/>
        <item m="1" x="961"/>
        <item m="1" x="651"/>
        <item m="1" x="499"/>
        <item m="1" x="817"/>
        <item m="1" x="659"/>
        <item m="1" x="503"/>
        <item m="1" x="365"/>
        <item m="1" x="247"/>
        <item m="1" x="291"/>
        <item m="1" x="100"/>
        <item m="1" x="46"/>
        <item m="1" x="47"/>
        <item m="1" x="439"/>
        <item m="1" x="711"/>
        <item m="1" x="52"/>
        <item m="1" x="8"/>
        <item m="1" x="455"/>
        <item m="1" x="317"/>
        <item m="1" x="209"/>
        <item m="1" x="121"/>
        <item m="1" x="1070"/>
        <item m="1" x="934"/>
        <item m="1" x="114"/>
        <item m="1" x="440"/>
        <item m="1" x="41"/>
        <item m="1" x="112"/>
        <item m="1" x="1056"/>
        <item m="1" x="918"/>
        <item m="1" x="755"/>
        <item m="1" x="445"/>
        <item m="1" x="573"/>
        <item m="1" x="432"/>
        <item m="1" x="300"/>
        <item m="1" x="166"/>
        <item m="1" x="578"/>
        <item m="1" x="903"/>
        <item m="1" x="192"/>
        <item m="1" x="108"/>
        <item m="1" x="568"/>
        <item m="1" x="426"/>
        <item m="1" x="296"/>
        <item m="1" x="188"/>
        <item m="1" x="105"/>
        <item m="1" x="185"/>
        <item m="1" x="896"/>
        <item m="1" x="288"/>
        <item m="1" x="182"/>
        <item m="1" x="101"/>
        <item m="1" x="890"/>
        <item m="1" x="727"/>
        <item m="1" x="564"/>
        <item m="1" x="421"/>
        <item m="1" x="374"/>
        <item m="1" x="98"/>
        <item m="1" x="1036"/>
        <item m="1" x="722"/>
        <item m="1" x="559"/>
        <item m="1" x="717"/>
        <item m="1" x="555"/>
        <item m="1" x="413"/>
        <item m="1" x="177"/>
        <item m="1" x="96"/>
        <item m="1" x="1032"/>
        <item m="1" x="403"/>
        <item m="1" x="277"/>
        <item m="1" x="398"/>
        <item m="1" x="273"/>
        <item m="1" x="1028"/>
        <item m="1" x="861"/>
        <item m="1" x="700"/>
        <item m="1" x="92"/>
        <item m="1" x="1023"/>
        <item m="1" x="379"/>
        <item m="1" x="258"/>
        <item m="1" x="160"/>
        <item m="1" x="849"/>
        <item m="1" x="529"/>
        <item m="1" x="388"/>
        <item m="1" x="264"/>
        <item m="1" x="89"/>
        <item m="1" x="1013"/>
        <item m="1" x="695"/>
        <item m="1" x="393"/>
        <item m="1" x="269"/>
        <item m="1" x="170"/>
        <item m="1" x="835"/>
        <item m="1" x="677"/>
        <item m="1" x="517"/>
        <item m="1" x="158"/>
        <item m="1" x="1002"/>
        <item m="1" x="842"/>
        <item m="1" x="313"/>
        <item m="1" x="115"/>
        <item m="1" x="683"/>
        <item m="1" x="523"/>
        <item m="1" x="261"/>
        <item m="1" x="1553"/>
        <item m="1" x="163"/>
        <item m="1" x="87"/>
        <item m="1" x="134"/>
        <item m="1" x="327"/>
        <item m="1" x="218"/>
        <item m="1" x="130"/>
        <item m="1" x="620"/>
        <item m="1" x="608"/>
        <item m="1" x="213"/>
        <item m="1" x="940"/>
        <item m="1" x="801"/>
        <item m="1" x="345"/>
        <item m="1" x="790"/>
        <item m="1" x="625"/>
        <item m="1" x="245"/>
        <item m="1" x="151"/>
        <item m="1" x="967"/>
        <item m="1" x="807"/>
        <item m="1" x="639"/>
        <item m="1" x="350"/>
        <item m="1" x="813"/>
        <item m="1" x="338"/>
        <item m="1" x="138"/>
        <item m="1" x="366"/>
        <item m="1" x="983"/>
        <item m="1" x="823"/>
        <item m="1" x="155"/>
        <item m="1" x="1111"/>
        <item m="1" x="992"/>
        <item m="1" x="836"/>
        <item m="1" x="5"/>
        <item m="1" x="509"/>
        <item m="1" x="253"/>
        <item m="1" x="1126"/>
        <item m="1" x="1003"/>
        <item m="1" x="850"/>
        <item m="1" x="513"/>
        <item m="1" x="259"/>
        <item m="1" x="843"/>
        <item m="1" x="678"/>
        <item m="1" x="518"/>
        <item m="1" x="255"/>
        <item m="1" x="122"/>
        <item m="1" x="1121"/>
        <item m="1" x="1019"/>
        <item m="1" x="868"/>
        <item m="1" x="701"/>
        <item m="1" x="665"/>
        <item m="1" x="171"/>
        <item m="1" x="399"/>
        <item m="1" x="274"/>
        <item m="1" x="172"/>
        <item m="1" x="1140"/>
        <item m="1" x="1024"/>
        <item m="1" x="875"/>
        <item m="1" x="707"/>
        <item m="1" x="1009"/>
        <item m="1" x="533"/>
        <item m="1" x="394"/>
        <item m="1" x="862"/>
        <item m="1" x="696"/>
        <item m="1" x="1548"/>
        <item m="1" x="770"/>
        <item m="1" x="524"/>
        <item m="1" x="262"/>
        <item m="1" x="164"/>
        <item m="1" x="1130"/>
        <item m="1" x="690"/>
        <item m="1" x="265"/>
        <item m="1" x="1133"/>
        <item m="1" x="1014"/>
        <item m="1" x="201"/>
        <item m="1" x="1162"/>
        <item m="1" x="909"/>
        <item m="1" x="740"/>
        <item m="1" x="756"/>
        <item m="1" x="591"/>
        <item m="1" x="446"/>
        <item m="1" x="304"/>
        <item m="1" x="196"/>
        <item m="1" x="1169"/>
        <item m="1" x="1053"/>
        <item m="1" x="919"/>
        <item m="1" x="751"/>
        <item m="1" x="586"/>
        <item m="1" x="441"/>
        <item m="1" x="307"/>
        <item m="1" x="197"/>
        <item m="1" x="1173"/>
        <item m="1" x="745"/>
        <item m="1" x="579"/>
        <item m="1" x="1043"/>
        <item m="1" x="904"/>
        <item m="1" x="733"/>
        <item m="1" x="427"/>
        <item m="1" x="297"/>
        <item m="1" x="422"/>
        <item m="1" x="293"/>
        <item m="1" x="186"/>
        <item m="1" x="278"/>
        <item m="1" x="175"/>
        <item m="1" x="1144"/>
        <item m="1" x="880"/>
        <item m="1" x="320"/>
        <item m="1" x="21"/>
        <item m="1" x="127"/>
        <item m="1" x="178"/>
        <item m="1" x="897"/>
        <item m="1" x="728"/>
        <item m="1" x="180"/>
        <item m="1" x="556"/>
        <item m="1" x="891"/>
        <item m="1" x="325"/>
        <item m="1" x="606"/>
        <item m="1" x="723"/>
        <item m="1" x="560"/>
        <item m="1" x="419"/>
        <item m="1" x="289"/>
        <item m="1" x="183"/>
        <item m="1" x="1153"/>
        <item m="1" x="449"/>
        <item m="1" x="205"/>
        <item m="1" x="1180"/>
        <item m="1" x="1067"/>
        <item m="1" x="935"/>
        <item m="1" x="767"/>
        <item m="1" x="602"/>
        <item m="1" x="456"/>
        <item m="1" x="210"/>
        <item m="1" x="1184"/>
        <item m="1" x="461"/>
        <item m="1" x="323"/>
        <item m="1" x="214"/>
        <item m="1" x="1188"/>
        <item m="1" x="621"/>
        <item m="1" x="470"/>
        <item m="1" x="1075"/>
        <item m="1" x="773"/>
        <item m="1" x="328"/>
        <item m="1" x="219"/>
        <item m="1" x="1085"/>
        <item m="1" x="963"/>
        <item m="1" x="1195"/>
        <item m="1" x="1081"/>
        <item m="1" x="791"/>
        <item m="1" x="228"/>
        <item m="1" x="1205"/>
        <item m="1" x="1090"/>
        <item m="1" x="630"/>
        <item m="1" x="479"/>
        <item m="1" x="342"/>
        <item m="1" x="231"/>
        <item m="1" x="1154"/>
        <item m="1" x="1044"/>
        <item m="1" x="898"/>
        <item m="1" x="729"/>
        <item m="1" x="892"/>
        <item m="1" x="724"/>
        <item m="1" x="561"/>
        <item m="1" x="1282"/>
        <item m="1" x="1158"/>
        <item m="1" x="905"/>
        <item m="1" x="734"/>
        <item m="1" x="569"/>
        <item m="1" x="428"/>
        <item m="1" x="298"/>
        <item m="1" x="279"/>
        <item m="1" x="1264"/>
        <item m="1" x="1145"/>
        <item m="1" x="1034"/>
        <item m="1" x="881"/>
        <item m="1" x="714"/>
        <item m="1" x="409"/>
        <item m="1" x="282"/>
        <item m="1" x="1268"/>
        <item m="1" x="302"/>
        <item m="1" x="1037"/>
        <item m="1" x="886"/>
        <item m="1" x="719"/>
        <item m="1" x="415"/>
        <item m="1" x="285"/>
        <item m="1" x="1020"/>
        <item m="1" x="385"/>
        <item m="1" x="1245"/>
        <item m="1" x="863"/>
        <item m="1" x="697"/>
        <item m="1" x="389"/>
        <item m="1" x="266"/>
        <item m="1" x="1250"/>
        <item m="1" x="1015"/>
        <item m="1" x="857"/>
        <item m="1" x="1260"/>
        <item m="1" x="1029"/>
        <item m="1" x="876"/>
        <item m="1" x="708"/>
        <item m="1" x="546"/>
        <item m="1" x="405"/>
        <item m="1" x="271"/>
        <item m="1" x="1256"/>
        <item m="1" x="1138"/>
        <item m="1" x="1025"/>
        <item m="1" x="869"/>
        <item m="1" x="702"/>
        <item m="1" x="540"/>
        <item m="1" x="400"/>
        <item m="1" x="275"/>
        <item m="1" x="484"/>
        <item m="1" x="346"/>
        <item m="1" x="1209"/>
        <item m="1" x="974"/>
        <item m="1" x="808"/>
        <item m="1" x="640"/>
        <item m="1" x="490"/>
        <item m="1" x="351"/>
        <item m="1" x="1100"/>
        <item m="1" x="978"/>
        <item m="1" x="356"/>
        <item m="1" x="243"/>
        <item m="1" x="1217"/>
        <item m="1" x="1103"/>
        <item m="1" x="1107"/>
        <item m="1" x="987"/>
        <item m="1" x="824"/>
        <item m="1" x="661"/>
        <item m="1" x="505"/>
        <item m="1" x="818"/>
        <item m="1" x="666"/>
        <item m="1" x="510"/>
        <item m="1" x="372"/>
        <item m="1" x="252"/>
        <item m="1" x="1232"/>
        <item m="1" x="1117"/>
        <item m="1" x="999"/>
        <item m="1" x="837"/>
        <item m="1" x="1122"/>
        <item m="1" x="376"/>
        <item m="1" x="256"/>
        <item m="1" x="1236"/>
        <item m="1" x="672"/>
        <item m="1" x="514"/>
        <item m="1" x="1227"/>
        <item m="1" x="1112"/>
        <item m="1" x="993"/>
        <item m="1" x="1004"/>
        <item m="1" x="844"/>
        <item m="1" x="679"/>
        <item m="1" x="519"/>
        <item m="1" x="381"/>
        <item m="1" x="525"/>
        <item m="1" x="684"/>
        <item m="1" x="361"/>
        <item m="1" x="249"/>
        <item m="1" x="357"/>
        <item m="1" x="825"/>
        <item m="1" x="368"/>
        <item m="1" x="506"/>
        <item m="1" x="1214"/>
        <item m="1" x="1210"/>
        <item m="1" x="975"/>
        <item m="1" x="1108"/>
        <item m="1" x="984"/>
        <item m="1" x="819"/>
        <item m="1" x="654"/>
        <item m="1" x="362"/>
        <item m="1" x="1113"/>
        <item m="1" x="988"/>
        <item m="1" x="809"/>
        <item m="1" x="641"/>
        <item m="1" x="491"/>
        <item m="1" x="964"/>
        <item m="1" x="480"/>
        <item m="1" x="343"/>
        <item m="1" x="1206"/>
        <item m="1" x="1095"/>
        <item m="1" x="969"/>
        <item m="1" x="636"/>
        <item m="1" x="485"/>
        <item m="1" x="347"/>
        <item m="1" x="1201"/>
        <item m="1" x="1091"/>
        <item m="1" x="792"/>
        <item m="1" x="626"/>
        <item m="1" x="475"/>
        <item m="1" x="1322"/>
        <item m="1" x="1196"/>
        <item m="1" x="1086"/>
        <item m="1" x="958"/>
        <item m="1" x="471"/>
        <item m="1" x="1411"/>
        <item m="1" x="334"/>
        <item m="1" x="312"/>
        <item m="1" x="598"/>
        <item m="1" x="450"/>
        <item m="1" x="1305"/>
        <item m="1" x="1181"/>
        <item m="1" x="1072"/>
        <item m="1" x="936"/>
        <item m="1" x="318"/>
        <item m="1" x="1309"/>
        <item m="1" x="1185"/>
        <item m="1" x="603"/>
        <item m="1" x="774"/>
        <item m="1" x="610"/>
        <item m="1" x="462"/>
        <item m="1" x="953"/>
        <item m="1" x="786"/>
        <item m="1" x="1318"/>
        <item m="1" x="1192"/>
        <item m="1" x="1082"/>
        <item m="1" x="779"/>
        <item m="1" x="615"/>
        <item m="1" x="467"/>
        <item m="1" x="324"/>
        <item m="1" x="1314"/>
        <item m="1" x="1189"/>
        <item m="1" x="1078"/>
        <item m="1" x="1177"/>
        <item m="1" x="1068"/>
        <item m="1" x="931"/>
        <item m="1" x="308"/>
        <item m="1" x="1298"/>
        <item m="1" x="925"/>
        <item m="1" x="757"/>
        <item m="1" x="592"/>
        <item m="1" x="1170"/>
        <item m="1" x="1151"/>
        <item m="1" x="1294"/>
        <item m="1" x="920"/>
        <item m="1" x="752"/>
        <item m="1" x="587"/>
        <item m="1" x="1286"/>
        <item m="1" x="1163"/>
        <item m="1" x="423"/>
        <item m="1" x="294"/>
        <item m="1" x="290"/>
        <item m="1" x="688"/>
        <item m="1" x="746"/>
        <item m="1" x="437"/>
        <item m="1" x="1290"/>
        <item m="1" x="1251"/>
        <item m="1" x="1365"/>
        <item m="1" x="1021"/>
        <item m="1" x="1030"/>
        <item m="1" x="877"/>
        <item m="1" x="709"/>
        <item m="1" x="547"/>
        <item m="1" x="406"/>
        <item m="1" x="1374"/>
        <item m="1" x="1378"/>
        <item m="1" x="1269"/>
        <item m="1" x="1152"/>
        <item m="1" x="1038"/>
        <item m="1" x="887"/>
        <item m="1" x="720"/>
        <item m="1" x="416"/>
        <item m="1" x="1383"/>
        <item m="1" x="1273"/>
        <item m="1" x="1026"/>
        <item m="1" x="541"/>
        <item m="1" x="1349"/>
        <item m="1" x="1"/>
        <item m="1" x="1123"/>
        <item m="1" x="1127"/>
        <item m="1" x="1005"/>
        <item m="1" x="845"/>
        <item m="1" x="520"/>
        <item m="1" x="530"/>
        <item m="1" x="390"/>
        <item m="1" x="1354"/>
        <item m="1" x="1241"/>
        <item m="1" x="1132"/>
        <item m="1" x="1010"/>
        <item m="1" x="852"/>
        <item m="1" x="685"/>
        <item m="1" x="443"/>
        <item m="1" x="1406"/>
        <item m="1" x="1299"/>
        <item m="1" x="1178"/>
        <item m="1" x="438"/>
        <item m="1" x="1404"/>
        <item m="1" x="937"/>
        <item m="1" x="604"/>
        <item m="1" x="458"/>
        <item m="1" x="1415"/>
        <item m="1" x="763"/>
        <item m="1" x="599"/>
        <item m="1" x="451"/>
        <item m="1" x="1413"/>
        <item m="1" x="1306"/>
        <item m="1" x="1186"/>
        <item m="1" x="1295"/>
        <item m="1" x="1174"/>
        <item m="1" x="1059"/>
        <item m="1" x="921"/>
        <item m="1" x="1171"/>
        <item m="1" x="916"/>
        <item m="1" x="747"/>
        <item m="1" x="580"/>
        <item m="1" x="926"/>
        <item m="1" x="758"/>
        <item m="1" x="593"/>
        <item m="1" x="448"/>
        <item m="1" x="1409"/>
        <item m="1" x="1303"/>
        <item m="1" x="1182"/>
        <item m="1" x="1387"/>
        <item m="1" x="1278"/>
        <item m="1" x="899"/>
        <item m="1" x="730"/>
        <item m="1" x="566"/>
        <item m="1" x="1041"/>
        <item m="1" x="725"/>
        <item m="1" x="1369"/>
        <item m="1" x="1261"/>
        <item m="1" x="715"/>
        <item m="1" x="552"/>
        <item m="1" x="410"/>
        <item m="1" x="910"/>
        <item m="1" x="741"/>
        <item m="1" x="575"/>
        <item m="1" x="434"/>
        <item m="1" x="735"/>
        <item m="1" x="1148"/>
        <item m="1" x="1291"/>
        <item m="1" x="429"/>
        <item m="1" x="1396"/>
        <item m="1" x="1287"/>
        <item m="1" x="1391"/>
        <item m="1" x="1283"/>
        <item m="1" x="1219"/>
        <item m="1" x="1428"/>
        <item m="1" x="976"/>
        <item m="1" x="54"/>
        <item m="1" x="965"/>
        <item m="1" x="797"/>
        <item m="1" x="1329"/>
        <item m="1" x="970"/>
        <item m="1" x="493"/>
        <item m="1" x="23"/>
        <item m="1" x="942"/>
        <item m="1" x="775"/>
        <item m="1" x="611"/>
        <item m="1" x="1315"/>
        <item m="1" x="198"/>
        <item m="1" x="126"/>
        <item m="1" x="1193"/>
        <item m="1" x="144"/>
        <item m="1" x="1207"/>
        <item m="1" x="1083"/>
        <item m="1" x="954"/>
        <item m="1" x="787"/>
        <item m="1" x="472"/>
        <item m="1" x="1421"/>
        <item m="1" x="1323"/>
        <item m="1" x="1087"/>
        <item m="1" x="959"/>
        <item m="1" x="627"/>
        <item m="1" x="527"/>
        <item m="1" x="1011"/>
        <item m="1" x="853"/>
        <item m="1" x="515"/>
        <item m="1" x="73"/>
        <item m="1" x="1355"/>
        <item m="1" x="1350"/>
        <item m="1" x="1242"/>
        <item m="1" x="1128"/>
        <item m="1" x="1006"/>
        <item m="1" x="846"/>
        <item m="1" x="680"/>
        <item m="1" x="1359"/>
        <item m="1" x="1252"/>
        <item m="1" x="858"/>
        <item m="1" x="692"/>
        <item m="1" x="531"/>
        <item m="1" x="1455"/>
        <item m="1" x="536"/>
        <item m="1" x="1459"/>
        <item m="1" x="1366"/>
        <item m="1" x="1262"/>
        <item m="1" x="1142"/>
        <item m="1" x="1027"/>
        <item m="1" x="871"/>
        <item m="1" x="704"/>
        <item m="1" x="542"/>
        <item m="1" x="498"/>
        <item m="1" x="1433"/>
        <item m="1" x="1109"/>
        <item m="1" x="286"/>
        <item m="1" x="99"/>
        <item m="1" x="985"/>
        <item m="1" x="820"/>
        <item m="1" x="655"/>
        <item m="1" x="501"/>
        <item m="1" x="1436"/>
        <item m="1" x="1338"/>
        <item m="1" x="1000"/>
        <item m="1" x="839"/>
        <item m="1" x="1114"/>
        <item m="1" x="989"/>
        <item m="1" x="826"/>
        <item m="1" x="663"/>
        <item m="1" x="1341"/>
        <item m="1" x="1119"/>
        <item m="1" x="995"/>
        <item m="1" x="832"/>
        <item m="1" x="1324"/>
        <item m="1" x="1198"/>
        <item m="1" x="1320"/>
        <item m="1" x="1194"/>
        <item m="1" x="955"/>
        <item m="1" x="798"/>
        <item m="1" x="632"/>
        <item m="1" x="1501"/>
        <item m="1" x="1097"/>
        <item m="1" x="971"/>
        <item m="1" x="804"/>
        <item m="1" x="637"/>
        <item m="1" x="1079"/>
        <item m="1" x="943"/>
        <item m="1" x="776"/>
        <item m="1" x="612"/>
        <item m="1" x="933"/>
        <item m="1" x="764"/>
        <item m="1" x="600"/>
        <item m="1" x="938"/>
        <item m="1" x="769"/>
        <item m="1" x="605"/>
        <item m="1" x="1489"/>
        <item m="1" x="1416"/>
        <item m="1" x="643"/>
        <item m="1" x="1505"/>
        <item m="1" x="1093"/>
        <item m="1" x="1429"/>
        <item m="1" x="1335"/>
        <item m="1" x="1216"/>
        <item m="1" x="1422"/>
        <item m="1" x="1327"/>
        <item m="1" x="1088"/>
        <item m="1" x="960"/>
        <item m="1" x="1208"/>
        <item m="1" x="1230"/>
        <item m="1" x="1115"/>
        <item m="1" x="990"/>
        <item m="1" x="827"/>
        <item m="1" x="664"/>
        <item m="1" x="1511"/>
        <item m="1" x="1439"/>
        <item m="1" x="1346"/>
        <item m="1" x="1234"/>
        <item m="1" x="1120"/>
        <item m="1" x="996"/>
        <item m="1" x="816"/>
        <item m="1" x="648"/>
        <item m="1" x="1507"/>
        <item m="1" x="1434"/>
        <item m="1" x="1225"/>
        <item m="1" x="1110"/>
        <item m="1" x="656"/>
        <item m="1" x="1465"/>
        <item m="1" x="1375"/>
        <item m="1" x="1146"/>
        <item m="1" x="1031"/>
        <item m="1" x="878"/>
        <item m="1" x="710"/>
        <item m="1" x="1035"/>
        <item m="1" x="1370"/>
        <item m="1" x="1266"/>
        <item m="1" x="716"/>
        <item m="1" x="553"/>
        <item m="1" x="1384"/>
        <item m="1" x="906"/>
        <item m="1" x="736"/>
        <item m="1" x="1045"/>
        <item m="1" x="900"/>
        <item m="1" x="731"/>
        <item m="1" x="1392"/>
        <item m="1" x="1288"/>
        <item m="1" x="1204"/>
        <item m="1" x="1379"/>
        <item m="1" x="1274"/>
        <item m="1" x="888"/>
        <item m="1" x="721"/>
        <item m="1" x="1042"/>
        <item m="1" x="894"/>
        <item m="1" x="726"/>
        <item m="1" x="563"/>
        <item m="1" x="1474"/>
        <item m="1" x="1300"/>
        <item m="1" x="1175"/>
        <item m="1" x="1060"/>
        <item m="1" x="922"/>
        <item m="1" x="753"/>
        <item m="1" x="576"/>
        <item m="1" x="1481"/>
        <item m="1" x="1401"/>
        <item m="1" x="1296"/>
        <item m="1" x="1479"/>
        <item m="1" x="1397"/>
        <item m="1" x="759"/>
        <item m="1" x="594"/>
        <item m="1" x="1487"/>
        <item m="1" x="1065"/>
        <item m="1" x="927"/>
        <item m="1" x="1307"/>
        <item m="1" x="1172"/>
        <item m="1" x="1055"/>
        <item m="1" x="748"/>
        <item m="1" x="1050"/>
        <item m="1" x="1407"/>
        <item m="1" x="1304"/>
        <item m="1" x="1136"/>
        <item m="1" x="1453"/>
        <item m="1" x="1253"/>
        <item m="1" x="1012"/>
        <item m="1" x="854"/>
        <item m="1" x="1356"/>
        <item m="1" x="1243"/>
        <item m="1" x="1129"/>
        <item m="1" x="1007"/>
        <item m="1" x="847"/>
        <item m="1" x="681"/>
        <item m="1" x="1520"/>
        <item m="1" x="1450"/>
        <item m="1" x="1360"/>
        <item m="1" x="833"/>
        <item m="1" x="668"/>
        <item m="1" x="617"/>
        <item m="1" x="1437"/>
        <item m="1" x="1351"/>
        <item m="1" x="1239"/>
        <item m="1" x="1125"/>
        <item m="1" x="1001"/>
        <item m="1" x="840"/>
        <item m="1" x="675"/>
        <item m="1" x="1517"/>
        <item m="1" x="1447"/>
        <item m="1" x="1496"/>
        <item m="1" x="1551"/>
        <item m="1" x="865"/>
        <item m="1" x="859"/>
        <item m="1" x="693"/>
        <item m="1" x="1524"/>
        <item m="1" x="239"/>
        <item m="1" x="1573"/>
        <item m="1" x="1254"/>
        <item m="1" x="1139"/>
        <item m="1" x="1022"/>
        <item m="1" x="1258"/>
        <item m="1" x="1456"/>
        <item m="1" x="1367"/>
        <item m="1" x="981"/>
        <item m="1" x="1514"/>
        <item m="1" x="1443"/>
        <item m="1" x="1248"/>
        <item m="1" x="687"/>
        <item m="1" x="1523"/>
        <item m="1" x="1017"/>
        <item m="1" x="1179"/>
        <item m="1" x="911"/>
        <item m="1" x="581"/>
        <item m="1" x="1183"/>
        <item m="1" x="1410"/>
        <item m="1" x="1292"/>
        <item m="1" x="1061"/>
        <item m="1" x="1168"/>
        <item m="1" x="1485"/>
        <item m="1" x="1284"/>
        <item m="1" x="1160"/>
        <item m="1" x="557"/>
        <item m="1" x="1165"/>
        <item m="1" x="1048"/>
        <item m="1" x="571"/>
        <item m="1" x="1156"/>
        <item m="1" x="1469"/>
        <item m="1" x="882"/>
        <item m="1" x="1270"/>
        <item m="1" x="1149"/>
        <item m="1" x="1509"/>
        <item m="1" x="1339"/>
        <item m="1" x="1202"/>
        <item m="1" x="1105"/>
        <item m="1" x="1316"/>
        <item m="1" x="1311"/>
        <item m="1" x="1187"/>
        <item m="1" x="1074"/>
        <item m="1" x="1493"/>
        <item m="1" x="1419"/>
        <item m="1" x="949"/>
        <item m="1" x="781"/>
        <item m="1" x="1503"/>
        <item m="1" x="1498"/>
        <item m="1" x="1084"/>
        <item m="1" x="674"/>
        <item m="1" x="1442"/>
        <item m="1" x="1345"/>
        <item m="1" x="1238"/>
        <item m="1" x="1124"/>
        <item m="1" x="1224"/>
        <item m="1" x="647"/>
        <item m="1" x="1362"/>
        <item m="1" x="1135"/>
        <item m="1" x="1016"/>
        <item m="1" x="521"/>
        <item m="1" x="1247"/>
        <item m="1" x="1092"/>
        <item m="1" x="948"/>
        <item m="1" x="1424"/>
        <item m="1" x="1197"/>
        <item m="1" x="4"/>
        <item m="1" x="1211"/>
        <item m="1" x="1426"/>
        <item m="1" x="1096"/>
        <item m="1" x="1215"/>
        <item m="1" x="1101"/>
        <item m="1" x="486"/>
        <item m="1" x="1164"/>
        <item m="1" x="1047"/>
        <item m="1" x="570"/>
        <item m="1" x="1400"/>
        <item m="1" x="562"/>
        <item m="1" x="893"/>
        <item m="1" x="424"/>
        <item m="1" x="1159"/>
        <item m="1" x="932"/>
        <item m="1" x="1064"/>
        <item m="1" x="691"/>
        <item m="1" x="386"/>
        <item m="1" x="1246"/>
        <item m="1" x="838"/>
        <item m="1" x="1233"/>
        <item m="1" x="401"/>
        <item m="1" x="870"/>
        <item m="1" x="703"/>
        <item m="1" x="872"/>
        <item m="1" x="1279"/>
        <item m="1" x="1542"/>
        <item m="1" x="1265"/>
        <item m="1" x="864"/>
        <item m="1" x="698"/>
        <item m="1" x="535"/>
        <item m="1" x="1257"/>
        <item m="1" x="1141"/>
        <item m="1" x="1054"/>
        <item m="1" x="305"/>
        <item m="1" x="442"/>
        <item m="1" x="1058"/>
        <item m="1" x="1063"/>
        <item m="1" x="762"/>
        <item m="1" x="947"/>
        <item m="1" x="329"/>
        <item m="1" x="457"/>
        <item m="1" x="941"/>
        <item m="1" x="768"/>
        <item m="1" x="1302"/>
        <item m="1" x="339"/>
        <item m="1" x="1326"/>
        <item m="1" x="622"/>
        <item m="1" x="319"/>
        <item m="1" x="631"/>
        <item m="1" x="352"/>
        <item m="1" x="25"/>
        <item m="1" x="1223"/>
        <item m="1" x="979"/>
        <item m="1" x="662"/>
        <item m="1" x="851"/>
        <item m="1" x="1462"/>
        <item m="1" x="830"/>
        <item m="1" x="653"/>
        <item m="1" x="1213"/>
        <item m="1" x="367"/>
        <item m="1" x="814"/>
        <item m="1" x="497"/>
        <item m="1" x="238"/>
        <item m="1" x="234"/>
        <item m="1" x="1134"/>
        <item m="1" x="534"/>
        <item m="1" x="395"/>
        <item m="1" x="1272"/>
        <item m="1" x="968"/>
        <item m="1" x="802"/>
        <item m="1" x="635"/>
        <item m="1" x="1191"/>
        <item m="1" x="1077"/>
        <item m="1" x="609"/>
        <item m="1" x="946"/>
        <item m="1" x="333"/>
        <item m="1" x="225"/>
        <item m="1" x="785"/>
        <item m="1" x="466"/>
        <item m="1" x="1071"/>
        <item m="1" x="315"/>
        <item m="1" x="414"/>
        <item m="1" x="1150"/>
        <item m="1" x="284"/>
        <item m="1" x="718"/>
        <item m="1" x="713"/>
        <item m="1" x="281"/>
        <item m="1" x="404"/>
        <item m="1" x="189"/>
        <item m="1" x="436"/>
        <item m="1" x="1199"/>
        <item m="1" x="384"/>
        <item m="1" x="1490"/>
        <item m="1" x="856"/>
        <item m="1" x="545"/>
        <item m="1" x="539"/>
        <item m="1" x="270"/>
        <item m="1" x="998"/>
        <item m="1" x="380"/>
        <item m="1" x="161"/>
        <item m="1" x="375"/>
        <item m="1" x="371"/>
        <item m="1" x="944"/>
        <item m="1" x="1116"/>
        <item m="1" x="671"/>
        <item m="1" x="829"/>
        <item m="1" x="986"/>
        <item m="1" x="248"/>
        <item m="1" x="237"/>
        <item m="1" x="973"/>
        <item m="1" x="1106"/>
        <item m="1" x="1102"/>
        <item m="1" x="977"/>
        <item m="1" x="652"/>
        <item m="1" x="500"/>
        <item m="1" x="496"/>
        <item m="1" x="474"/>
        <item m="1" x="951"/>
        <item m="1" x="142"/>
        <item m="1" x="465"/>
        <item m="1" x="125"/>
        <item m="1" x="460"/>
        <item m="1" x="469"/>
        <item m="1" x="224"/>
        <item m="1" x="1008"/>
        <item m="1" x="997"/>
        <item m="1" x="254"/>
        <item m="1" x="90"/>
        <item m="1" x="168"/>
        <item m="1" x="85"/>
        <item m="1" x="867"/>
        <item m="1" x="706"/>
        <item m="1" x="538"/>
        <item m="1" x="874"/>
        <item m="1" x="712"/>
        <item m="1" x="550"/>
        <item m="1" x="408"/>
        <item m="1" x="879"/>
        <item m="1" x="174"/>
        <item m="1" x="94"/>
        <item m="1" x="418"/>
        <item m="1" x="292"/>
        <item m="1" x="1039"/>
        <item m="1" x="103"/>
        <item m="1" x="908"/>
        <item m="1" x="744"/>
        <item m="1" x="739"/>
        <item m="1" x="1046"/>
        <item m="1" x="435"/>
        <item m="1" x="1066"/>
        <item m="1" x="110"/>
        <item m="1" x="558"/>
        <item m="1" x="181"/>
        <item m="1" x="889"/>
        <item m="1" x="102"/>
        <item m="1" x="928"/>
        <item m="1" x="601"/>
        <item m="1" x="912"/>
        <item m="1" x="359"/>
        <item m="1" x="794"/>
        <item m="1" x="982"/>
        <item m="1" x="670"/>
        <item m="1" x="512"/>
        <item m="1" x="141"/>
        <item m="1" x="69"/>
        <item m="1" x="148"/>
        <item m="1" x="77"/>
        <item m="1" x="972"/>
        <item m="1" x="477"/>
        <item m="1" x="227"/>
        <item m="1" x="137"/>
        <item m="1" x="133"/>
        <item m="1" x="766"/>
        <item m="1" x="939"/>
        <item m="1" x="120"/>
        <item m="1" x="57"/>
        <item m="1" x="316"/>
        <item m="1" x="17"/>
        <item m="1" x="760"/>
        <item m="1" x="222"/>
        <item m="1" x="618"/>
        <item m="1" x="336"/>
        <item m="1" x="22"/>
        <item m="1" x="136"/>
        <item m="1" x="31"/>
        <item m="1" x="788"/>
        <item m="1" x="812"/>
        <item m="1" x="348"/>
        <item m="1" x="36"/>
        <item m="1" x="358"/>
        <item m="1" x="147"/>
        <item m="1" x="658"/>
        <item m="1" x="650"/>
        <item m="1" x="251"/>
        <item m="1" x="682"/>
        <item m="1" x="268"/>
        <item m="1" x="873"/>
        <item m="1" x="176"/>
        <item m="1" x="1643"/>
        <item m="1" x="613"/>
        <item m="1" x="1609"/>
        <item m="1" x="330"/>
        <item m="1" x="583"/>
        <item m="1" x="33"/>
        <item m="1" x="1569"/>
        <item m="1" x="106"/>
        <item m="1" x="267"/>
        <item m="1" x="131"/>
        <item m="1" x="1535"/>
        <item m="1" x="1463"/>
        <item m="1" x="1371"/>
        <item m="1" x="202"/>
        <item m="1" x="494"/>
        <item m="1" x="1143"/>
        <item m="1" x="1382"/>
        <item m="1" x="1702"/>
        <item m="1" x="1683"/>
        <item m="1" x="1652"/>
        <item m="1" x="78"/>
        <item m="1" x="1467"/>
        <item m="1" x="1376"/>
        <item m="1" x="1267"/>
        <item m="1" x="1166"/>
        <item m="1" x="1538"/>
        <item m="1" x="1473"/>
        <item m="1" x="1386"/>
        <item m="1" x="1533"/>
        <item m="1" x="1703"/>
        <item m="1" x="481"/>
        <item m="1" x="1380"/>
        <item m="1" x="1654"/>
        <item m="1" x="28"/>
        <item m="1" x="1649"/>
        <item m="1" x="1614"/>
        <item m="1" x="1575"/>
        <item m="1" x="452"/>
        <item m="1" x="1536"/>
        <item m="1" x="1471"/>
        <item m="1" x="190"/>
        <item m="1" x="49"/>
        <item m="1" x="6"/>
        <item m="1" x="430"/>
        <item m="1" x="194"/>
        <item m="1" x="51"/>
        <item m="1" x="1275"/>
        <item m="1" x="30"/>
        <item m="1" x="221"/>
        <item m="1" x="150"/>
        <item m="1" x="70"/>
        <item m="1" x="1697"/>
        <item m="1" x="1476"/>
        <item m="1" x="165"/>
        <item m="1" x="1390"/>
        <item m="1" x="1704"/>
        <item m="1" x="1475"/>
        <item m="1" x="84"/>
        <item m="1" x="1388"/>
        <item m="1" x="1280"/>
        <item m="1" x="1540"/>
        <item m="1" x="1477"/>
        <item m="1" x="1395"/>
        <item m="1" x="1619"/>
        <item m="1" x="1580"/>
        <item m="1" x="3"/>
        <item m="1" x="614"/>
        <item m="1" x="1393"/>
        <item m="1" x="7"/>
        <item m="1" x="1161"/>
        <item m="1" x="1480"/>
        <item m="1" x="1399"/>
        <item m="1" x="309"/>
        <item m="1" x="1578"/>
        <item m="1" x="1541"/>
        <item m="1" x="250"/>
        <item m="1" x="1483"/>
        <item m="1" x="1403"/>
        <item m="1" x="1289"/>
        <item m="1" x="1656"/>
        <item m="1" x="139"/>
        <item m="1" x="14"/>
        <item m="1" x="507"/>
        <item m="1" x="657"/>
        <item m="1" x="37"/>
        <item m="1" x="411"/>
        <item m="1" x="737"/>
        <item x="0"/>
        <item t="default"/>
      </items>
    </pivotField>
    <pivotField dataField="1" compact="0" dragToRow="0" dragToCol="0" dragToPage="0" showAll="0" defaultSubtotal="0"/>
  </pivotFields>
  <rowFields count="2">
    <field x="14"/>
    <field x="15"/>
  </rowFields>
  <rowItems count="2">
    <i>
      <x v="1"/>
    </i>
    <i r="1">
      <x v="1704"/>
    </i>
  </rowItems>
  <colFields count="1">
    <field x="-2"/>
  </colFields>
  <colItems count="7">
    <i>
      <x/>
    </i>
    <i i="1">
      <x v="1"/>
    </i>
    <i i="2">
      <x v="2"/>
    </i>
    <i i="3">
      <x v="3"/>
    </i>
    <i i="4">
      <x v="4"/>
    </i>
    <i i="5">
      <x v="5"/>
    </i>
    <i i="6">
      <x v="6"/>
    </i>
  </colItems>
  <dataFields count="7">
    <dataField name="No. structures" fld="11" baseField="0" baseItem="0"/>
    <dataField name="GRC" fld="1" baseField="0" baseItem="0" numFmtId="177"/>
    <dataField name="DRC" fld="5" baseField="0" baseItem="0" numFmtId="177"/>
    <dataField name=" Depreciation                                 " fld="6" baseField="13" baseItem="0" numFmtId="177"/>
    <dataField name=" DRC as % of GRC" fld="16" baseField="13" baseItem="0" numFmtId="168"/>
    <dataField name="SCICrit              " fld="9" subtotal="average" baseField="0" baseItem="39" numFmtId="169"/>
    <dataField name="SCIAv            " fld="8" subtotal="average" baseField="0" baseItem="39" numFmtId="169"/>
  </dataFields>
  <formats count="27">
    <format dxfId="305">
      <pivotArea field="1" type="button" dataOnly="0" labelOnly="1" outline="0"/>
    </format>
    <format dxfId="304">
      <pivotArea field="5" type="button" dataOnly="0" labelOnly="1" outline="0"/>
    </format>
    <format dxfId="303">
      <pivotArea field="4" type="button" dataOnly="0" labelOnly="1" outline="0"/>
    </format>
    <format dxfId="302">
      <pivotArea field="1" type="button" dataOnly="0" labelOnly="1" outline="0"/>
    </format>
    <format dxfId="301">
      <pivotArea field="5" type="button" dataOnly="0" labelOnly="1" outline="0"/>
    </format>
    <format dxfId="300">
      <pivotArea field="4" type="button" dataOnly="0" labelOnly="1" outline="0"/>
    </format>
    <format dxfId="299">
      <pivotArea field="1" type="button" dataOnly="0" labelOnly="1" outline="0"/>
    </format>
    <format dxfId="298">
      <pivotArea field="5" type="button" dataOnly="0" labelOnly="1" outline="0"/>
    </format>
    <format dxfId="297">
      <pivotArea field="4" type="button" dataOnly="0" labelOnly="1" outline="0"/>
    </format>
    <format dxfId="296">
      <pivotArea field="14" type="button" dataOnly="0" labelOnly="1" outline="0" axis="axisRow" fieldPosition="0"/>
    </format>
    <format dxfId="295">
      <pivotArea field="14" type="button" dataOnly="0" labelOnly="1" outline="0" axis="axisRow" fieldPosition="0"/>
    </format>
    <format dxfId="294">
      <pivotArea dataOnly="0" outline="0" fieldPosition="0">
        <references count="1">
          <reference field="4294967294" count="2">
            <x v="1"/>
            <x v="2"/>
          </reference>
        </references>
      </pivotArea>
    </format>
    <format dxfId="293">
      <pivotArea dataOnly="0" outline="0" fieldPosition="0">
        <references count="1">
          <reference field="4294967294" count="1">
            <x v="3"/>
          </reference>
        </references>
      </pivotArea>
    </format>
    <format dxfId="292">
      <pivotArea type="all" dataOnly="0" outline="0" fieldPosition="0"/>
    </format>
    <format dxfId="291">
      <pivotArea outline="0" collapsedLevelsAreSubtotals="1" fieldPosition="0"/>
    </format>
    <format dxfId="290">
      <pivotArea field="14" type="button" dataOnly="0" labelOnly="1" outline="0" axis="axisRow" fieldPosition="0"/>
    </format>
    <format dxfId="289">
      <pivotArea field="0" type="button" dataOnly="0" labelOnly="1" outline="0"/>
    </format>
    <format dxfId="288">
      <pivotArea dataOnly="0" labelOnly="1" outline="0" fieldPosition="0">
        <references count="1">
          <reference field="14" count="0"/>
        </references>
      </pivotArea>
    </format>
    <format dxfId="287">
      <pivotArea dataOnly="0" labelOnly="1" outline="0" fieldPosition="0">
        <references count="1">
          <reference field="4294967294" count="3">
            <x v="1"/>
            <x v="2"/>
            <x v="3"/>
          </reference>
        </references>
      </pivotArea>
    </format>
    <format dxfId="286">
      <pivotArea outline="0" fieldPosition="0">
        <references count="1">
          <reference field="4294967294" count="2" selected="0">
            <x v="5"/>
            <x v="6"/>
          </reference>
        </references>
      </pivotArea>
    </format>
    <format dxfId="285">
      <pivotArea outline="0" fieldPosition="0">
        <references count="1">
          <reference field="4294967294" count="1" selected="0">
            <x v="4"/>
          </reference>
        </references>
      </pivotArea>
    </format>
    <format dxfId="284">
      <pivotArea outline="0" fieldPosition="0">
        <references count="1">
          <reference field="4294967294" count="3" selected="0">
            <x v="1"/>
            <x v="2"/>
            <x v="3"/>
          </reference>
        </references>
      </pivotArea>
    </format>
    <format dxfId="283">
      <pivotArea type="all" dataOnly="0" outline="0" fieldPosition="0"/>
    </format>
    <format dxfId="282">
      <pivotArea outline="0" collapsedLevelsAreSubtotals="1" fieldPosition="0"/>
    </format>
    <format dxfId="281">
      <pivotArea field="14" type="button" dataOnly="0" labelOnly="1" outline="0" axis="axisRow" fieldPosition="0"/>
    </format>
    <format dxfId="280">
      <pivotArea field="0" type="button" dataOnly="0" labelOnly="1" outline="0"/>
    </format>
    <format dxfId="279">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3B063C8-F8F3-4D10-945E-41E883938D3A}" name="PivotTable1" cacheId="1" applyNumberFormats="0" applyBorderFormats="0" applyFontFormats="0" applyPatternFormats="0" applyAlignmentFormats="0" applyWidthHeightFormats="1" dataCaption="Values" updatedVersion="8" minRefreshableVersion="3" enableDrill="0" rowGrandTotals="0" colGrandTotals="0" itemPrintTitles="1" createdVersion="4" indent="0" compact="0" compactData="0" gridDropZones="1" multipleFieldFilters="0" chartFormat="2">
  <location ref="O50:T52" firstHeaderRow="1" firstDataRow="2" firstDataCol="1"/>
  <pivotFields count="18">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dataField="1" compact="0" outline="0" showAll="0"/>
    <pivotField dataField="1" compact="0" outline="0" showAll="0"/>
    <pivotField dataField="1" compact="0" outline="0" showAll="0"/>
    <pivotField dataField="1" compact="0" outline="0" showAll="0" defaultSubtotal="0"/>
    <pivotField axis="axisRow" dataField="1" compact="0" outline="0" showAll="0" includeNewItemsInFilter="1" sortType="ascending">
      <items count="68">
        <item h="1" m="1" x="44"/>
        <item m="1" x="57"/>
        <item m="1" x="9"/>
        <item m="1" x="30"/>
        <item m="1" x="33"/>
        <item m="1" x="50"/>
        <item m="1" x="41"/>
        <item m="1" x="29"/>
        <item m="1" x="13"/>
        <item m="1" x="17"/>
        <item m="1" x="18"/>
        <item m="1" x="16"/>
        <item m="1" x="11"/>
        <item m="1" x="28"/>
        <item m="1" x="14"/>
        <item m="1" x="31"/>
        <item m="1" x="1"/>
        <item m="1" x="26"/>
        <item m="1" x="19"/>
        <item m="1" x="4"/>
        <item m="1" x="15"/>
        <item m="1" x="23"/>
        <item m="1" x="2"/>
        <item m="1" x="7"/>
        <item m="1" x="3"/>
        <item m="1" x="5"/>
        <item m="1" x="10"/>
        <item m="1" x="6"/>
        <item m="1" x="20"/>
        <item m="1" x="55"/>
        <item m="1" x="21"/>
        <item m="1" x="25"/>
        <item m="1" x="12"/>
        <item m="1" x="22"/>
        <item m="1" x="24"/>
        <item m="1" x="8"/>
        <item m="1" x="27"/>
        <item m="1" x="34"/>
        <item m="1" x="35"/>
        <item m="1" x="59"/>
        <item m="1" x="48"/>
        <item m="1" x="38"/>
        <item m="1" x="63"/>
        <item m="1" x="42"/>
        <item m="1" x="39"/>
        <item m="1" x="32"/>
        <item m="1" x="36"/>
        <item m="1" x="52"/>
        <item m="1" x="65"/>
        <item m="1" x="64"/>
        <item m="1" x="40"/>
        <item m="1" x="56"/>
        <item m="1" x="47"/>
        <item m="1" x="66"/>
        <item m="1" x="37"/>
        <item m="1" x="60"/>
        <item m="1" x="61"/>
        <item m="1" x="58"/>
        <item m="1" x="46"/>
        <item m="1" x="43"/>
        <item m="1" x="51"/>
        <item m="1" x="45"/>
        <item m="1" x="54"/>
        <item m="1" x="49"/>
        <item m="1" x="53"/>
        <item m="1" x="62"/>
        <item x="0"/>
        <item t="default"/>
      </items>
    </pivotField>
    <pivotField compact="0" outline="0" showAll="0" defaultSubtotal="0"/>
    <pivotField compact="0" outline="0" showAll="0" defaultSubtotal="0"/>
    <pivotField compact="0" outline="0" showAll="0" defaultSubtotal="0"/>
    <pivotField compact="0" outline="0" showAll="0" defaultSubtotal="0"/>
  </pivotFields>
  <rowFields count="1">
    <field x="13"/>
  </rowFields>
  <rowItems count="1">
    <i>
      <x v="66"/>
    </i>
  </rowItems>
  <colFields count="1">
    <field x="-2"/>
  </colFields>
  <colItems count="5">
    <i>
      <x/>
    </i>
    <i i="1">
      <x v="1"/>
    </i>
    <i i="2">
      <x v="2"/>
    </i>
    <i i="3">
      <x v="3"/>
    </i>
    <i i="4">
      <x v="4"/>
    </i>
  </colItems>
  <dataFields count="5">
    <dataField name=" Total Cost" fld="12" baseField="13" baseItem="15" numFmtId="167"/>
    <dataField name="Works Cost" fld="9" baseField="13" baseItem="15" numFmtId="167"/>
    <dataField name=" TM Cost      " fld="10" baseField="13" baseItem="15" numFmtId="167"/>
    <dataField name=" Add-on Cost" fld="11" baseField="13" baseItem="15" numFmtId="167"/>
    <dataField name="No. Elements" fld="13" subtotal="count" baseField="9" baseItem="1" numFmtId="1"/>
  </dataFields>
  <formats count="23">
    <format dxfId="258">
      <pivotArea outline="0" collapsedLevelsAreSubtotals="1" fieldPosition="0"/>
    </format>
    <format dxfId="257">
      <pivotArea outline="0" collapsedLevelsAreSubtotals="1" fieldPosition="0"/>
    </format>
    <format dxfId="256">
      <pivotArea outline="0" collapsedLevelsAreSubtotals="1" fieldPosition="0"/>
    </format>
    <format dxfId="255">
      <pivotArea type="all" dataOnly="0" outline="0" fieldPosition="0"/>
    </format>
    <format dxfId="254">
      <pivotArea outline="0" collapsedLevelsAreSubtotals="1" fieldPosition="0"/>
    </format>
    <format dxfId="253">
      <pivotArea type="origin" dataOnly="0" labelOnly="1" outline="0" fieldPosition="0"/>
    </format>
    <format dxfId="252">
      <pivotArea field="-2" type="button" dataOnly="0" labelOnly="1" outline="0" axis="axisCol" fieldPosition="0"/>
    </format>
    <format dxfId="251">
      <pivotArea type="topRight" dataOnly="0" labelOnly="1" outline="0" fieldPosition="0"/>
    </format>
    <format dxfId="250">
      <pivotArea field="13" type="button" dataOnly="0" labelOnly="1" outline="0" axis="axisRow" fieldPosition="0"/>
    </format>
    <format dxfId="249">
      <pivotArea dataOnly="0" labelOnly="1" outline="0" fieldPosition="0">
        <references count="1">
          <reference field="13" count="0"/>
        </references>
      </pivotArea>
    </format>
    <format dxfId="248">
      <pivotArea outline="0" fieldPosition="0">
        <references count="1">
          <reference field="4294967294" count="1">
            <x v="4"/>
          </reference>
        </references>
      </pivotArea>
    </format>
    <format dxfId="247">
      <pivotArea type="all" dataOnly="0" outline="0" fieldPosition="0"/>
    </format>
    <format dxfId="246">
      <pivotArea outline="0" collapsedLevelsAreSubtotals="1" fieldPosition="0"/>
    </format>
    <format dxfId="245">
      <pivotArea type="origin" dataOnly="0" labelOnly="1" outline="0" fieldPosition="0"/>
    </format>
    <format dxfId="244">
      <pivotArea field="-2" type="button" dataOnly="0" labelOnly="1" outline="0" axis="axisCol" fieldPosition="0"/>
    </format>
    <format dxfId="243">
      <pivotArea type="topRight" dataOnly="0" labelOnly="1" outline="0" fieldPosition="0"/>
    </format>
    <format dxfId="242">
      <pivotArea field="13" type="button" dataOnly="0" labelOnly="1" outline="0" axis="axisRow" fieldPosition="0"/>
    </format>
    <format dxfId="241">
      <pivotArea dataOnly="0" labelOnly="1" outline="0" fieldPosition="0">
        <references count="1">
          <reference field="13" count="0"/>
        </references>
      </pivotArea>
    </format>
    <format dxfId="240">
      <pivotArea dataOnly="0" labelOnly="1" outline="0" fieldPosition="0">
        <references count="1">
          <reference field="4294967294" count="4">
            <x v="0"/>
            <x v="2"/>
            <x v="3"/>
            <x v="4"/>
          </reference>
        </references>
      </pivotArea>
    </format>
    <format dxfId="239">
      <pivotArea outline="0" fieldPosition="0">
        <references count="1">
          <reference field="4294967294" count="1">
            <x v="0"/>
          </reference>
        </references>
      </pivotArea>
    </format>
    <format dxfId="238">
      <pivotArea outline="0" fieldPosition="0">
        <references count="1">
          <reference field="4294967294" count="1">
            <x v="1"/>
          </reference>
        </references>
      </pivotArea>
    </format>
    <format dxfId="237">
      <pivotArea outline="0" fieldPosition="0">
        <references count="1">
          <reference field="4294967294" count="1">
            <x v="2"/>
          </reference>
        </references>
      </pivotArea>
    </format>
    <format dxfId="236">
      <pivotArea outline="0" fieldPosition="0">
        <references count="1">
          <reference field="4294967294" count="1">
            <x v="3"/>
          </reference>
        </references>
      </pivotArea>
    </format>
  </formats>
  <chartFormats count="329">
    <chartFormat chart="1" format="537" series="1">
      <pivotArea type="data" outline="0" fieldPosition="0">
        <references count="1">
          <reference field="4294967294" count="1" selected="0">
            <x v="4"/>
          </reference>
        </references>
      </pivotArea>
    </chartFormat>
    <chartFormat chart="1" format="541" series="1">
      <pivotArea type="data" outline="0" fieldPosition="0">
        <references count="1">
          <reference field="4294967294" count="1" selected="0">
            <x v="0"/>
          </reference>
        </references>
      </pivotArea>
    </chartFormat>
    <chartFormat chart="1" format="542">
      <pivotArea type="data" outline="0" fieldPosition="0">
        <references count="2">
          <reference field="4294967294" count="1" selected="0">
            <x v="0"/>
          </reference>
          <reference field="13" count="1" selected="0">
            <x v="2"/>
          </reference>
        </references>
      </pivotArea>
    </chartFormat>
    <chartFormat chart="1" format="544">
      <pivotArea type="data" outline="0" fieldPosition="0">
        <references count="2">
          <reference field="4294967294" count="1" selected="0">
            <x v="0"/>
          </reference>
          <reference field="13" count="1" selected="0">
            <x v="4"/>
          </reference>
        </references>
      </pivotArea>
    </chartFormat>
    <chartFormat chart="1" format="546">
      <pivotArea type="data" outline="0" fieldPosition="0">
        <references count="2">
          <reference field="4294967294" count="1" selected="0">
            <x v="0"/>
          </reference>
          <reference field="13" count="1" selected="0">
            <x v="6"/>
          </reference>
        </references>
      </pivotArea>
    </chartFormat>
    <chartFormat chart="1" format="549">
      <pivotArea type="data" outline="0" fieldPosition="0">
        <references count="2">
          <reference field="4294967294" count="1" selected="0">
            <x v="0"/>
          </reference>
          <reference field="13" count="1" selected="0">
            <x v="9"/>
          </reference>
        </references>
      </pivotArea>
    </chartFormat>
    <chartFormat chart="1" format="550">
      <pivotArea type="data" outline="0" fieldPosition="0">
        <references count="2">
          <reference field="4294967294" count="1" selected="0">
            <x v="0"/>
          </reference>
          <reference field="13" count="1" selected="0">
            <x v="10"/>
          </reference>
        </references>
      </pivotArea>
    </chartFormat>
    <chartFormat chart="1" format="551">
      <pivotArea type="data" outline="0" fieldPosition="0">
        <references count="2">
          <reference field="4294967294" count="1" selected="0">
            <x v="0"/>
          </reference>
          <reference field="13" count="1" selected="0">
            <x v="11"/>
          </reference>
        </references>
      </pivotArea>
    </chartFormat>
    <chartFormat chart="1" format="552">
      <pivotArea type="data" outline="0" fieldPosition="0">
        <references count="2">
          <reference field="4294967294" count="1" selected="0">
            <x v="0"/>
          </reference>
          <reference field="13" count="1" selected="0">
            <x v="12"/>
          </reference>
        </references>
      </pivotArea>
    </chartFormat>
    <chartFormat chart="1" format="554">
      <pivotArea type="data" outline="0" fieldPosition="0">
        <references count="2">
          <reference field="4294967294" count="1" selected="0">
            <x v="0"/>
          </reference>
          <reference field="13" count="1" selected="0">
            <x v="14"/>
          </reference>
        </references>
      </pivotArea>
    </chartFormat>
    <chartFormat chart="1" format="556">
      <pivotArea type="data" outline="0" fieldPosition="0">
        <references count="2">
          <reference field="4294967294" count="1" selected="0">
            <x v="0"/>
          </reference>
          <reference field="13" count="1" selected="0">
            <x v="16"/>
          </reference>
        </references>
      </pivotArea>
    </chartFormat>
    <chartFormat chart="1" format="557">
      <pivotArea type="data" outline="0" fieldPosition="0">
        <references count="2">
          <reference field="4294967294" count="1" selected="0">
            <x v="0"/>
          </reference>
          <reference field="13" count="1" selected="0">
            <x v="17"/>
          </reference>
        </references>
      </pivotArea>
    </chartFormat>
    <chartFormat chart="1" format="558">
      <pivotArea type="data" outline="0" fieldPosition="0">
        <references count="2">
          <reference field="4294967294" count="1" selected="0">
            <x v="0"/>
          </reference>
          <reference field="13" count="1" selected="0">
            <x v="18"/>
          </reference>
        </references>
      </pivotArea>
    </chartFormat>
    <chartFormat chart="1" format="559">
      <pivotArea type="data" outline="0" fieldPosition="0">
        <references count="2">
          <reference field="4294967294" count="1" selected="0">
            <x v="0"/>
          </reference>
          <reference field="13" count="1" selected="0">
            <x v="19"/>
          </reference>
        </references>
      </pivotArea>
    </chartFormat>
    <chartFormat chart="1" format="560">
      <pivotArea type="data" outline="0" fieldPosition="0">
        <references count="2">
          <reference field="4294967294" count="1" selected="0">
            <x v="0"/>
          </reference>
          <reference field="13" count="1" selected="0">
            <x v="20"/>
          </reference>
        </references>
      </pivotArea>
    </chartFormat>
    <chartFormat chart="1" format="562">
      <pivotArea type="data" outline="0" fieldPosition="0">
        <references count="2">
          <reference field="4294967294" count="1" selected="0">
            <x v="0"/>
          </reference>
          <reference field="13" count="1" selected="0">
            <x v="22"/>
          </reference>
        </references>
      </pivotArea>
    </chartFormat>
    <chartFormat chart="1" format="564">
      <pivotArea type="data" outline="0" fieldPosition="0">
        <references count="2">
          <reference field="4294967294" count="1" selected="0">
            <x v="0"/>
          </reference>
          <reference field="13" count="1" selected="0">
            <x v="24"/>
          </reference>
        </references>
      </pivotArea>
    </chartFormat>
    <chartFormat chart="1" format="565">
      <pivotArea type="data" outline="0" fieldPosition="0">
        <references count="2">
          <reference field="4294967294" count="1" selected="0">
            <x v="0"/>
          </reference>
          <reference field="13" count="1" selected="0">
            <x v="25"/>
          </reference>
        </references>
      </pivotArea>
    </chartFormat>
    <chartFormat chart="1" format="566">
      <pivotArea type="data" outline="0" fieldPosition="0">
        <references count="2">
          <reference field="4294967294" count="1" selected="0">
            <x v="0"/>
          </reference>
          <reference field="13" count="1" selected="0">
            <x v="26"/>
          </reference>
        </references>
      </pivotArea>
    </chartFormat>
    <chartFormat chart="1" format="567">
      <pivotArea type="data" outline="0" fieldPosition="0">
        <references count="2">
          <reference field="4294967294" count="1" selected="0">
            <x v="0"/>
          </reference>
          <reference field="13" count="1" selected="0">
            <x v="27"/>
          </reference>
        </references>
      </pivotArea>
    </chartFormat>
    <chartFormat chart="1" format="570">
      <pivotArea type="data" outline="0" fieldPosition="0">
        <references count="2">
          <reference field="4294967294" count="1" selected="0">
            <x v="0"/>
          </reference>
          <reference field="13" count="1" selected="0">
            <x v="30"/>
          </reference>
        </references>
      </pivotArea>
    </chartFormat>
    <chartFormat chart="1" format="572">
      <pivotArea type="data" outline="0" fieldPosition="0">
        <references count="2">
          <reference field="4294967294" count="1" selected="0">
            <x v="0"/>
          </reference>
          <reference field="13" count="1" selected="0">
            <x v="32"/>
          </reference>
        </references>
      </pivotArea>
    </chartFormat>
    <chartFormat chart="1" format="573">
      <pivotArea type="data" outline="0" fieldPosition="0">
        <references count="2">
          <reference field="4294967294" count="1" selected="0">
            <x v="0"/>
          </reference>
          <reference field="13" count="1" selected="0">
            <x v="33"/>
          </reference>
        </references>
      </pivotArea>
    </chartFormat>
    <chartFormat chart="1" format="574">
      <pivotArea type="data" outline="0" fieldPosition="0">
        <references count="2">
          <reference field="4294967294" count="1" selected="0">
            <x v="0"/>
          </reference>
          <reference field="13" count="1" selected="0">
            <x v="34"/>
          </reference>
        </references>
      </pivotArea>
    </chartFormat>
    <chartFormat chart="1" format="575">
      <pivotArea type="data" outline="0" fieldPosition="0">
        <references count="2">
          <reference field="4294967294" count="1" selected="0">
            <x v="0"/>
          </reference>
          <reference field="13" count="1" selected="0">
            <x v="37"/>
          </reference>
        </references>
      </pivotArea>
    </chartFormat>
    <chartFormat chart="1" format="576">
      <pivotArea type="data" outline="0" fieldPosition="0">
        <references count="2">
          <reference field="4294967294" count="1" selected="0">
            <x v="0"/>
          </reference>
          <reference field="13" count="1" selected="0">
            <x v="38"/>
          </reference>
        </references>
      </pivotArea>
    </chartFormat>
    <chartFormat chart="1" format="578">
      <pivotArea type="data" outline="0" fieldPosition="0">
        <references count="2">
          <reference field="4294967294" count="1" selected="0">
            <x v="0"/>
          </reference>
          <reference field="13" count="1" selected="0">
            <x v="40"/>
          </reference>
        </references>
      </pivotArea>
    </chartFormat>
    <chartFormat chart="1" format="579">
      <pivotArea type="data" outline="0" fieldPosition="0">
        <references count="2">
          <reference field="4294967294" count="1" selected="0">
            <x v="0"/>
          </reference>
          <reference field="13" count="1" selected="0">
            <x v="41"/>
          </reference>
        </references>
      </pivotArea>
    </chartFormat>
    <chartFormat chart="1" format="582">
      <pivotArea type="data" outline="0" fieldPosition="0">
        <references count="2">
          <reference field="4294967294" count="1" selected="0">
            <x v="0"/>
          </reference>
          <reference field="13" count="1" selected="0">
            <x v="44"/>
          </reference>
        </references>
      </pivotArea>
    </chartFormat>
    <chartFormat chart="1" format="583">
      <pivotArea type="data" outline="0" fieldPosition="0">
        <references count="2">
          <reference field="4294967294" count="1" selected="0">
            <x v="0"/>
          </reference>
          <reference field="13" count="1" selected="0">
            <x v="45"/>
          </reference>
        </references>
      </pivotArea>
    </chartFormat>
    <chartFormat chart="1" format="584">
      <pivotArea type="data" outline="0" fieldPosition="0">
        <references count="2">
          <reference field="4294967294" count="1" selected="0">
            <x v="0"/>
          </reference>
          <reference field="13" count="1" selected="0">
            <x v="47"/>
          </reference>
        </references>
      </pivotArea>
    </chartFormat>
    <chartFormat chart="1" format="585">
      <pivotArea type="data" outline="0" fieldPosition="0">
        <references count="2">
          <reference field="4294967294" count="1" selected="0">
            <x v="0"/>
          </reference>
          <reference field="13" count="1" selected="0">
            <x v="49"/>
          </reference>
        </references>
      </pivotArea>
    </chartFormat>
    <chartFormat chart="1" format="586">
      <pivotArea type="data" outline="0" fieldPosition="0">
        <references count="2">
          <reference field="4294967294" count="1" selected="0">
            <x v="0"/>
          </reference>
          <reference field="13" count="1" selected="0">
            <x v="52"/>
          </reference>
        </references>
      </pivotArea>
    </chartFormat>
    <chartFormat chart="1" format="590">
      <pivotArea type="data" outline="0" fieldPosition="0">
        <references count="2">
          <reference field="4294967294" count="1" selected="0">
            <x v="0"/>
          </reference>
          <reference field="13" count="1" selected="0">
            <x v="59"/>
          </reference>
        </references>
      </pivotArea>
    </chartFormat>
    <chartFormat chart="1" format="592">
      <pivotArea type="data" outline="0" fieldPosition="0">
        <references count="2">
          <reference field="4294967294" count="1" selected="0">
            <x v="0"/>
          </reference>
          <reference field="13" count="1" selected="0">
            <x v="66"/>
          </reference>
        </references>
      </pivotArea>
    </chartFormat>
    <chartFormat chart="1" format="746">
      <pivotArea type="data" outline="0" fieldPosition="0">
        <references count="2">
          <reference field="4294967294" count="1" selected="0">
            <x v="4"/>
          </reference>
          <reference field="13" count="1" selected="0">
            <x v="2"/>
          </reference>
        </references>
      </pivotArea>
    </chartFormat>
    <chartFormat chart="1" format="748">
      <pivotArea type="data" outline="0" fieldPosition="0">
        <references count="2">
          <reference field="4294967294" count="1" selected="0">
            <x v="4"/>
          </reference>
          <reference field="13" count="1" selected="0">
            <x v="4"/>
          </reference>
        </references>
      </pivotArea>
    </chartFormat>
    <chartFormat chart="1" format="750">
      <pivotArea type="data" outline="0" fieldPosition="0">
        <references count="2">
          <reference field="4294967294" count="1" selected="0">
            <x v="4"/>
          </reference>
          <reference field="13" count="1" selected="0">
            <x v="6"/>
          </reference>
        </references>
      </pivotArea>
    </chartFormat>
    <chartFormat chart="1" format="753">
      <pivotArea type="data" outline="0" fieldPosition="0">
        <references count="2">
          <reference field="4294967294" count="1" selected="0">
            <x v="4"/>
          </reference>
          <reference field="13" count="1" selected="0">
            <x v="9"/>
          </reference>
        </references>
      </pivotArea>
    </chartFormat>
    <chartFormat chart="1" format="754">
      <pivotArea type="data" outline="0" fieldPosition="0">
        <references count="2">
          <reference field="4294967294" count="1" selected="0">
            <x v="4"/>
          </reference>
          <reference field="13" count="1" selected="0">
            <x v="10"/>
          </reference>
        </references>
      </pivotArea>
    </chartFormat>
    <chartFormat chart="1" format="755">
      <pivotArea type="data" outline="0" fieldPosition="0">
        <references count="2">
          <reference field="4294967294" count="1" selected="0">
            <x v="4"/>
          </reference>
          <reference field="13" count="1" selected="0">
            <x v="11"/>
          </reference>
        </references>
      </pivotArea>
    </chartFormat>
    <chartFormat chart="1" format="756">
      <pivotArea type="data" outline="0" fieldPosition="0">
        <references count="2">
          <reference field="4294967294" count="1" selected="0">
            <x v="4"/>
          </reference>
          <reference field="13" count="1" selected="0">
            <x v="12"/>
          </reference>
        </references>
      </pivotArea>
    </chartFormat>
    <chartFormat chart="1" format="758">
      <pivotArea type="data" outline="0" fieldPosition="0">
        <references count="2">
          <reference field="4294967294" count="1" selected="0">
            <x v="4"/>
          </reference>
          <reference field="13" count="1" selected="0">
            <x v="14"/>
          </reference>
        </references>
      </pivotArea>
    </chartFormat>
    <chartFormat chart="1" format="760">
      <pivotArea type="data" outline="0" fieldPosition="0">
        <references count="2">
          <reference field="4294967294" count="1" selected="0">
            <x v="4"/>
          </reference>
          <reference field="13" count="1" selected="0">
            <x v="16"/>
          </reference>
        </references>
      </pivotArea>
    </chartFormat>
    <chartFormat chart="1" format="761">
      <pivotArea type="data" outline="0" fieldPosition="0">
        <references count="2">
          <reference field="4294967294" count="1" selected="0">
            <x v="4"/>
          </reference>
          <reference field="13" count="1" selected="0">
            <x v="17"/>
          </reference>
        </references>
      </pivotArea>
    </chartFormat>
    <chartFormat chart="1" format="762">
      <pivotArea type="data" outline="0" fieldPosition="0">
        <references count="2">
          <reference field="4294967294" count="1" selected="0">
            <x v="4"/>
          </reference>
          <reference field="13" count="1" selected="0">
            <x v="18"/>
          </reference>
        </references>
      </pivotArea>
    </chartFormat>
    <chartFormat chart="1" format="763">
      <pivotArea type="data" outline="0" fieldPosition="0">
        <references count="2">
          <reference field="4294967294" count="1" selected="0">
            <x v="4"/>
          </reference>
          <reference field="13" count="1" selected="0">
            <x v="19"/>
          </reference>
        </references>
      </pivotArea>
    </chartFormat>
    <chartFormat chart="1" format="764">
      <pivotArea type="data" outline="0" fieldPosition="0">
        <references count="2">
          <reference field="4294967294" count="1" selected="0">
            <x v="4"/>
          </reference>
          <reference field="13" count="1" selected="0">
            <x v="20"/>
          </reference>
        </references>
      </pivotArea>
    </chartFormat>
    <chartFormat chart="1" format="766">
      <pivotArea type="data" outline="0" fieldPosition="0">
        <references count="2">
          <reference field="4294967294" count="1" selected="0">
            <x v="4"/>
          </reference>
          <reference field="13" count="1" selected="0">
            <x v="22"/>
          </reference>
        </references>
      </pivotArea>
    </chartFormat>
    <chartFormat chart="1" format="768">
      <pivotArea type="data" outline="0" fieldPosition="0">
        <references count="2">
          <reference field="4294967294" count="1" selected="0">
            <x v="4"/>
          </reference>
          <reference field="13" count="1" selected="0">
            <x v="24"/>
          </reference>
        </references>
      </pivotArea>
    </chartFormat>
    <chartFormat chart="1" format="769">
      <pivotArea type="data" outline="0" fieldPosition="0">
        <references count="2">
          <reference field="4294967294" count="1" selected="0">
            <x v="4"/>
          </reference>
          <reference field="13" count="1" selected="0">
            <x v="25"/>
          </reference>
        </references>
      </pivotArea>
    </chartFormat>
    <chartFormat chart="1" format="770">
      <pivotArea type="data" outline="0" fieldPosition="0">
        <references count="2">
          <reference field="4294967294" count="1" selected="0">
            <x v="4"/>
          </reference>
          <reference field="13" count="1" selected="0">
            <x v="26"/>
          </reference>
        </references>
      </pivotArea>
    </chartFormat>
    <chartFormat chart="1" format="771">
      <pivotArea type="data" outline="0" fieldPosition="0">
        <references count="2">
          <reference field="4294967294" count="1" selected="0">
            <x v="4"/>
          </reference>
          <reference field="13" count="1" selected="0">
            <x v="27"/>
          </reference>
        </references>
      </pivotArea>
    </chartFormat>
    <chartFormat chart="1" format="774">
      <pivotArea type="data" outline="0" fieldPosition="0">
        <references count="2">
          <reference field="4294967294" count="1" selected="0">
            <x v="4"/>
          </reference>
          <reference field="13" count="1" selected="0">
            <x v="30"/>
          </reference>
        </references>
      </pivotArea>
    </chartFormat>
    <chartFormat chart="1" format="776">
      <pivotArea type="data" outline="0" fieldPosition="0">
        <references count="2">
          <reference field="4294967294" count="1" selected="0">
            <x v="4"/>
          </reference>
          <reference field="13" count="1" selected="0">
            <x v="32"/>
          </reference>
        </references>
      </pivotArea>
    </chartFormat>
    <chartFormat chart="1" format="777">
      <pivotArea type="data" outline="0" fieldPosition="0">
        <references count="2">
          <reference field="4294967294" count="1" selected="0">
            <x v="4"/>
          </reference>
          <reference field="13" count="1" selected="0">
            <x v="33"/>
          </reference>
        </references>
      </pivotArea>
    </chartFormat>
    <chartFormat chart="1" format="778">
      <pivotArea type="data" outline="0" fieldPosition="0">
        <references count="2">
          <reference field="4294967294" count="1" selected="0">
            <x v="4"/>
          </reference>
          <reference field="13" count="1" selected="0">
            <x v="34"/>
          </reference>
        </references>
      </pivotArea>
    </chartFormat>
    <chartFormat chart="1" format="779">
      <pivotArea type="data" outline="0" fieldPosition="0">
        <references count="2">
          <reference field="4294967294" count="1" selected="0">
            <x v="4"/>
          </reference>
          <reference field="13" count="1" selected="0">
            <x v="37"/>
          </reference>
        </references>
      </pivotArea>
    </chartFormat>
    <chartFormat chart="1" format="780">
      <pivotArea type="data" outline="0" fieldPosition="0">
        <references count="2">
          <reference field="4294967294" count="1" selected="0">
            <x v="4"/>
          </reference>
          <reference field="13" count="1" selected="0">
            <x v="38"/>
          </reference>
        </references>
      </pivotArea>
    </chartFormat>
    <chartFormat chart="1" format="782">
      <pivotArea type="data" outline="0" fieldPosition="0">
        <references count="2">
          <reference field="4294967294" count="1" selected="0">
            <x v="4"/>
          </reference>
          <reference field="13" count="1" selected="0">
            <x v="40"/>
          </reference>
        </references>
      </pivotArea>
    </chartFormat>
    <chartFormat chart="1" format="783">
      <pivotArea type="data" outline="0" fieldPosition="0">
        <references count="2">
          <reference field="4294967294" count="1" selected="0">
            <x v="4"/>
          </reference>
          <reference field="13" count="1" selected="0">
            <x v="41"/>
          </reference>
        </references>
      </pivotArea>
    </chartFormat>
    <chartFormat chart="1" format="786">
      <pivotArea type="data" outline="0" fieldPosition="0">
        <references count="2">
          <reference field="4294967294" count="1" selected="0">
            <x v="4"/>
          </reference>
          <reference field="13" count="1" selected="0">
            <x v="44"/>
          </reference>
        </references>
      </pivotArea>
    </chartFormat>
    <chartFormat chart="1" format="787">
      <pivotArea type="data" outline="0" fieldPosition="0">
        <references count="2">
          <reference field="4294967294" count="1" selected="0">
            <x v="4"/>
          </reference>
          <reference field="13" count="1" selected="0">
            <x v="45"/>
          </reference>
        </references>
      </pivotArea>
    </chartFormat>
    <chartFormat chart="1" format="788">
      <pivotArea type="data" outline="0" fieldPosition="0">
        <references count="2">
          <reference field="4294967294" count="1" selected="0">
            <x v="4"/>
          </reference>
          <reference field="13" count="1" selected="0">
            <x v="47"/>
          </reference>
        </references>
      </pivotArea>
    </chartFormat>
    <chartFormat chart="1" format="789">
      <pivotArea type="data" outline="0" fieldPosition="0">
        <references count="2">
          <reference field="4294967294" count="1" selected="0">
            <x v="4"/>
          </reference>
          <reference field="13" count="1" selected="0">
            <x v="49"/>
          </reference>
        </references>
      </pivotArea>
    </chartFormat>
    <chartFormat chart="1" format="790">
      <pivotArea type="data" outline="0" fieldPosition="0">
        <references count="2">
          <reference field="4294967294" count="1" selected="0">
            <x v="4"/>
          </reference>
          <reference field="13" count="1" selected="0">
            <x v="52"/>
          </reference>
        </references>
      </pivotArea>
    </chartFormat>
    <chartFormat chart="1" format="794">
      <pivotArea type="data" outline="0" fieldPosition="0">
        <references count="2">
          <reference field="4294967294" count="1" selected="0">
            <x v="4"/>
          </reference>
          <reference field="13" count="1" selected="0">
            <x v="59"/>
          </reference>
        </references>
      </pivotArea>
    </chartFormat>
    <chartFormat chart="1" format="796">
      <pivotArea type="data" outline="0" fieldPosition="0">
        <references count="2">
          <reference field="4294967294" count="1" selected="0">
            <x v="4"/>
          </reference>
          <reference field="13" count="1" selected="0">
            <x v="66"/>
          </reference>
        </references>
      </pivotArea>
    </chartFormat>
    <chartFormat chart="1" format="797">
      <pivotArea type="data" outline="0" fieldPosition="0">
        <references count="2">
          <reference field="4294967294" count="1" selected="0">
            <x v="0"/>
          </reference>
          <reference field="13" count="1" selected="0">
            <x v="0"/>
          </reference>
        </references>
      </pivotArea>
    </chartFormat>
    <chartFormat chart="1" format="801">
      <pivotArea type="data" outline="0" fieldPosition="0">
        <references count="2">
          <reference field="4294967294" count="1" selected="0">
            <x v="4"/>
          </reference>
          <reference field="13" count="1" selected="0">
            <x v="0"/>
          </reference>
        </references>
      </pivotArea>
    </chartFormat>
    <chartFormat chart="1" format="802" series="1">
      <pivotArea type="data" outline="0" fieldPosition="0">
        <references count="1">
          <reference field="4294967294" count="1" selected="0">
            <x v="2"/>
          </reference>
        </references>
      </pivotArea>
    </chartFormat>
    <chartFormat chart="1" format="803" series="1">
      <pivotArea type="data" outline="0" fieldPosition="0">
        <references count="1">
          <reference field="4294967294" count="1" selected="0">
            <x v="3"/>
          </reference>
        </references>
      </pivotArea>
    </chartFormat>
    <chartFormat chart="1" format="804">
      <pivotArea type="data" outline="0" fieldPosition="0">
        <references count="2">
          <reference field="4294967294" count="1" selected="0">
            <x v="2"/>
          </reference>
          <reference field="13" count="1" selected="0">
            <x v="2"/>
          </reference>
        </references>
      </pivotArea>
    </chartFormat>
    <chartFormat chart="1" format="805">
      <pivotArea type="data" outline="0" fieldPosition="0">
        <references count="2">
          <reference field="4294967294" count="1" selected="0">
            <x v="2"/>
          </reference>
          <reference field="13" count="1" selected="0">
            <x v="4"/>
          </reference>
        </references>
      </pivotArea>
    </chartFormat>
    <chartFormat chart="1" format="806">
      <pivotArea type="data" outline="0" fieldPosition="0">
        <references count="2">
          <reference field="4294967294" count="1" selected="0">
            <x v="2"/>
          </reference>
          <reference field="13" count="1" selected="0">
            <x v="6"/>
          </reference>
        </references>
      </pivotArea>
    </chartFormat>
    <chartFormat chart="1" format="807">
      <pivotArea type="data" outline="0" fieldPosition="0">
        <references count="2">
          <reference field="4294967294" count="1" selected="0">
            <x v="2"/>
          </reference>
          <reference field="13" count="1" selected="0">
            <x v="9"/>
          </reference>
        </references>
      </pivotArea>
    </chartFormat>
    <chartFormat chart="1" format="808">
      <pivotArea type="data" outline="0" fieldPosition="0">
        <references count="2">
          <reference field="4294967294" count="1" selected="0">
            <x v="2"/>
          </reference>
          <reference field="13" count="1" selected="0">
            <x v="10"/>
          </reference>
        </references>
      </pivotArea>
    </chartFormat>
    <chartFormat chart="1" format="809">
      <pivotArea type="data" outline="0" fieldPosition="0">
        <references count="2">
          <reference field="4294967294" count="1" selected="0">
            <x v="2"/>
          </reference>
          <reference field="13" count="1" selected="0">
            <x v="11"/>
          </reference>
        </references>
      </pivotArea>
    </chartFormat>
    <chartFormat chart="1" format="810">
      <pivotArea type="data" outline="0" fieldPosition="0">
        <references count="2">
          <reference field="4294967294" count="1" selected="0">
            <x v="2"/>
          </reference>
          <reference field="13" count="1" selected="0">
            <x v="12"/>
          </reference>
        </references>
      </pivotArea>
    </chartFormat>
    <chartFormat chart="1" format="811">
      <pivotArea type="data" outline="0" fieldPosition="0">
        <references count="2">
          <reference field="4294967294" count="1" selected="0">
            <x v="2"/>
          </reference>
          <reference field="13" count="1" selected="0">
            <x v="14"/>
          </reference>
        </references>
      </pivotArea>
    </chartFormat>
    <chartFormat chart="1" format="812">
      <pivotArea type="data" outline="0" fieldPosition="0">
        <references count="2">
          <reference field="4294967294" count="1" selected="0">
            <x v="2"/>
          </reference>
          <reference field="13" count="1" selected="0">
            <x v="16"/>
          </reference>
        </references>
      </pivotArea>
    </chartFormat>
    <chartFormat chart="1" format="813">
      <pivotArea type="data" outline="0" fieldPosition="0">
        <references count="2">
          <reference field="4294967294" count="1" selected="0">
            <x v="2"/>
          </reference>
          <reference field="13" count="1" selected="0">
            <x v="17"/>
          </reference>
        </references>
      </pivotArea>
    </chartFormat>
    <chartFormat chart="1" format="814">
      <pivotArea type="data" outline="0" fieldPosition="0">
        <references count="2">
          <reference field="4294967294" count="1" selected="0">
            <x v="2"/>
          </reference>
          <reference field="13" count="1" selected="0">
            <x v="18"/>
          </reference>
        </references>
      </pivotArea>
    </chartFormat>
    <chartFormat chart="1" format="815">
      <pivotArea type="data" outline="0" fieldPosition="0">
        <references count="2">
          <reference field="4294967294" count="1" selected="0">
            <x v="2"/>
          </reference>
          <reference field="13" count="1" selected="0">
            <x v="19"/>
          </reference>
        </references>
      </pivotArea>
    </chartFormat>
    <chartFormat chart="1" format="816">
      <pivotArea type="data" outline="0" fieldPosition="0">
        <references count="2">
          <reference field="4294967294" count="1" selected="0">
            <x v="2"/>
          </reference>
          <reference field="13" count="1" selected="0">
            <x v="20"/>
          </reference>
        </references>
      </pivotArea>
    </chartFormat>
    <chartFormat chart="1" format="817">
      <pivotArea type="data" outline="0" fieldPosition="0">
        <references count="2">
          <reference field="4294967294" count="1" selected="0">
            <x v="2"/>
          </reference>
          <reference field="13" count="1" selected="0">
            <x v="22"/>
          </reference>
        </references>
      </pivotArea>
    </chartFormat>
    <chartFormat chart="1" format="818">
      <pivotArea type="data" outline="0" fieldPosition="0">
        <references count="2">
          <reference field="4294967294" count="1" selected="0">
            <x v="2"/>
          </reference>
          <reference field="13" count="1" selected="0">
            <x v="24"/>
          </reference>
        </references>
      </pivotArea>
    </chartFormat>
    <chartFormat chart="1" format="819">
      <pivotArea type="data" outline="0" fieldPosition="0">
        <references count="2">
          <reference field="4294967294" count="1" selected="0">
            <x v="2"/>
          </reference>
          <reference field="13" count="1" selected="0">
            <x v="25"/>
          </reference>
        </references>
      </pivotArea>
    </chartFormat>
    <chartFormat chart="1" format="820">
      <pivotArea type="data" outline="0" fieldPosition="0">
        <references count="2">
          <reference field="4294967294" count="1" selected="0">
            <x v="2"/>
          </reference>
          <reference field="13" count="1" selected="0">
            <x v="26"/>
          </reference>
        </references>
      </pivotArea>
    </chartFormat>
    <chartFormat chart="1" format="821">
      <pivotArea type="data" outline="0" fieldPosition="0">
        <references count="2">
          <reference field="4294967294" count="1" selected="0">
            <x v="2"/>
          </reference>
          <reference field="13" count="1" selected="0">
            <x v="27"/>
          </reference>
        </references>
      </pivotArea>
    </chartFormat>
    <chartFormat chart="1" format="822">
      <pivotArea type="data" outline="0" fieldPosition="0">
        <references count="2">
          <reference field="4294967294" count="1" selected="0">
            <x v="2"/>
          </reference>
          <reference field="13" count="1" selected="0">
            <x v="30"/>
          </reference>
        </references>
      </pivotArea>
    </chartFormat>
    <chartFormat chart="1" format="823">
      <pivotArea type="data" outline="0" fieldPosition="0">
        <references count="2">
          <reference field="4294967294" count="1" selected="0">
            <x v="2"/>
          </reference>
          <reference field="13" count="1" selected="0">
            <x v="32"/>
          </reference>
        </references>
      </pivotArea>
    </chartFormat>
    <chartFormat chart="1" format="824">
      <pivotArea type="data" outline="0" fieldPosition="0">
        <references count="2">
          <reference field="4294967294" count="1" selected="0">
            <x v="2"/>
          </reference>
          <reference field="13" count="1" selected="0">
            <x v="33"/>
          </reference>
        </references>
      </pivotArea>
    </chartFormat>
    <chartFormat chart="1" format="825">
      <pivotArea type="data" outline="0" fieldPosition="0">
        <references count="2">
          <reference field="4294967294" count="1" selected="0">
            <x v="2"/>
          </reference>
          <reference field="13" count="1" selected="0">
            <x v="34"/>
          </reference>
        </references>
      </pivotArea>
    </chartFormat>
    <chartFormat chart="1" format="826">
      <pivotArea type="data" outline="0" fieldPosition="0">
        <references count="2">
          <reference field="4294967294" count="1" selected="0">
            <x v="2"/>
          </reference>
          <reference field="13" count="1" selected="0">
            <x v="37"/>
          </reference>
        </references>
      </pivotArea>
    </chartFormat>
    <chartFormat chart="1" format="827">
      <pivotArea type="data" outline="0" fieldPosition="0">
        <references count="2">
          <reference field="4294967294" count="1" selected="0">
            <x v="2"/>
          </reference>
          <reference field="13" count="1" selected="0">
            <x v="38"/>
          </reference>
        </references>
      </pivotArea>
    </chartFormat>
    <chartFormat chart="1" format="828">
      <pivotArea type="data" outline="0" fieldPosition="0">
        <references count="2">
          <reference field="4294967294" count="1" selected="0">
            <x v="2"/>
          </reference>
          <reference field="13" count="1" selected="0">
            <x v="40"/>
          </reference>
        </references>
      </pivotArea>
    </chartFormat>
    <chartFormat chart="1" format="829">
      <pivotArea type="data" outline="0" fieldPosition="0">
        <references count="2">
          <reference field="4294967294" count="1" selected="0">
            <x v="2"/>
          </reference>
          <reference field="13" count="1" selected="0">
            <x v="41"/>
          </reference>
        </references>
      </pivotArea>
    </chartFormat>
    <chartFormat chart="1" format="830">
      <pivotArea type="data" outline="0" fieldPosition="0">
        <references count="2">
          <reference field="4294967294" count="1" selected="0">
            <x v="2"/>
          </reference>
          <reference field="13" count="1" selected="0">
            <x v="44"/>
          </reference>
        </references>
      </pivotArea>
    </chartFormat>
    <chartFormat chart="1" format="831">
      <pivotArea type="data" outline="0" fieldPosition="0">
        <references count="2">
          <reference field="4294967294" count="1" selected="0">
            <x v="2"/>
          </reference>
          <reference field="13" count="1" selected="0">
            <x v="45"/>
          </reference>
        </references>
      </pivotArea>
    </chartFormat>
    <chartFormat chart="1" format="832">
      <pivotArea type="data" outline="0" fieldPosition="0">
        <references count="2">
          <reference field="4294967294" count="1" selected="0">
            <x v="2"/>
          </reference>
          <reference field="13" count="1" selected="0">
            <x v="47"/>
          </reference>
        </references>
      </pivotArea>
    </chartFormat>
    <chartFormat chart="1" format="833">
      <pivotArea type="data" outline="0" fieldPosition="0">
        <references count="2">
          <reference field="4294967294" count="1" selected="0">
            <x v="2"/>
          </reference>
          <reference field="13" count="1" selected="0">
            <x v="49"/>
          </reference>
        </references>
      </pivotArea>
    </chartFormat>
    <chartFormat chart="1" format="834">
      <pivotArea type="data" outline="0" fieldPosition="0">
        <references count="2">
          <reference field="4294967294" count="1" selected="0">
            <x v="2"/>
          </reference>
          <reference field="13" count="1" selected="0">
            <x v="52"/>
          </reference>
        </references>
      </pivotArea>
    </chartFormat>
    <chartFormat chart="1" format="835">
      <pivotArea type="data" outline="0" fieldPosition="0">
        <references count="2">
          <reference field="4294967294" count="1" selected="0">
            <x v="2"/>
          </reference>
          <reference field="13" count="1" selected="0">
            <x v="59"/>
          </reference>
        </references>
      </pivotArea>
    </chartFormat>
    <chartFormat chart="1" format="836">
      <pivotArea type="data" outline="0" fieldPosition="0">
        <references count="2">
          <reference field="4294967294" count="1" selected="0">
            <x v="3"/>
          </reference>
          <reference field="13" count="1" selected="0">
            <x v="2"/>
          </reference>
        </references>
      </pivotArea>
    </chartFormat>
    <chartFormat chart="1" format="837">
      <pivotArea type="data" outline="0" fieldPosition="0">
        <references count="2">
          <reference field="4294967294" count="1" selected="0">
            <x v="3"/>
          </reference>
          <reference field="13" count="1" selected="0">
            <x v="4"/>
          </reference>
        </references>
      </pivotArea>
    </chartFormat>
    <chartFormat chart="1" format="838">
      <pivotArea type="data" outline="0" fieldPosition="0">
        <references count="2">
          <reference field="4294967294" count="1" selected="0">
            <x v="3"/>
          </reference>
          <reference field="13" count="1" selected="0">
            <x v="6"/>
          </reference>
        </references>
      </pivotArea>
    </chartFormat>
    <chartFormat chart="1" format="839">
      <pivotArea type="data" outline="0" fieldPosition="0">
        <references count="2">
          <reference field="4294967294" count="1" selected="0">
            <x v="3"/>
          </reference>
          <reference field="13" count="1" selected="0">
            <x v="9"/>
          </reference>
        </references>
      </pivotArea>
    </chartFormat>
    <chartFormat chart="1" format="840">
      <pivotArea type="data" outline="0" fieldPosition="0">
        <references count="2">
          <reference field="4294967294" count="1" selected="0">
            <x v="3"/>
          </reference>
          <reference field="13" count="1" selected="0">
            <x v="10"/>
          </reference>
        </references>
      </pivotArea>
    </chartFormat>
    <chartFormat chart="1" format="841">
      <pivotArea type="data" outline="0" fieldPosition="0">
        <references count="2">
          <reference field="4294967294" count="1" selected="0">
            <x v="3"/>
          </reference>
          <reference field="13" count="1" selected="0">
            <x v="11"/>
          </reference>
        </references>
      </pivotArea>
    </chartFormat>
    <chartFormat chart="1" format="842">
      <pivotArea type="data" outline="0" fieldPosition="0">
        <references count="2">
          <reference field="4294967294" count="1" selected="0">
            <x v="3"/>
          </reference>
          <reference field="13" count="1" selected="0">
            <x v="12"/>
          </reference>
        </references>
      </pivotArea>
    </chartFormat>
    <chartFormat chart="1" format="843">
      <pivotArea type="data" outline="0" fieldPosition="0">
        <references count="2">
          <reference field="4294967294" count="1" selected="0">
            <x v="3"/>
          </reference>
          <reference field="13" count="1" selected="0">
            <x v="14"/>
          </reference>
        </references>
      </pivotArea>
    </chartFormat>
    <chartFormat chart="1" format="844">
      <pivotArea type="data" outline="0" fieldPosition="0">
        <references count="2">
          <reference field="4294967294" count="1" selected="0">
            <x v="3"/>
          </reference>
          <reference field="13" count="1" selected="0">
            <x v="16"/>
          </reference>
        </references>
      </pivotArea>
    </chartFormat>
    <chartFormat chart="1" format="845">
      <pivotArea type="data" outline="0" fieldPosition="0">
        <references count="2">
          <reference field="4294967294" count="1" selected="0">
            <x v="3"/>
          </reference>
          <reference field="13" count="1" selected="0">
            <x v="17"/>
          </reference>
        </references>
      </pivotArea>
    </chartFormat>
    <chartFormat chart="1" format="846">
      <pivotArea type="data" outline="0" fieldPosition="0">
        <references count="2">
          <reference field="4294967294" count="1" selected="0">
            <x v="3"/>
          </reference>
          <reference field="13" count="1" selected="0">
            <x v="18"/>
          </reference>
        </references>
      </pivotArea>
    </chartFormat>
    <chartFormat chart="1" format="847">
      <pivotArea type="data" outline="0" fieldPosition="0">
        <references count="2">
          <reference field="4294967294" count="1" selected="0">
            <x v="3"/>
          </reference>
          <reference field="13" count="1" selected="0">
            <x v="19"/>
          </reference>
        </references>
      </pivotArea>
    </chartFormat>
    <chartFormat chart="1" format="848">
      <pivotArea type="data" outline="0" fieldPosition="0">
        <references count="2">
          <reference field="4294967294" count="1" selected="0">
            <x v="3"/>
          </reference>
          <reference field="13" count="1" selected="0">
            <x v="20"/>
          </reference>
        </references>
      </pivotArea>
    </chartFormat>
    <chartFormat chart="1" format="849">
      <pivotArea type="data" outline="0" fieldPosition="0">
        <references count="2">
          <reference field="4294967294" count="1" selected="0">
            <x v="3"/>
          </reference>
          <reference field="13" count="1" selected="0">
            <x v="22"/>
          </reference>
        </references>
      </pivotArea>
    </chartFormat>
    <chartFormat chart="1" format="850">
      <pivotArea type="data" outline="0" fieldPosition="0">
        <references count="2">
          <reference field="4294967294" count="1" selected="0">
            <x v="3"/>
          </reference>
          <reference field="13" count="1" selected="0">
            <x v="24"/>
          </reference>
        </references>
      </pivotArea>
    </chartFormat>
    <chartFormat chart="1" format="851">
      <pivotArea type="data" outline="0" fieldPosition="0">
        <references count="2">
          <reference field="4294967294" count="1" selected="0">
            <x v="3"/>
          </reference>
          <reference field="13" count="1" selected="0">
            <x v="25"/>
          </reference>
        </references>
      </pivotArea>
    </chartFormat>
    <chartFormat chart="1" format="852">
      <pivotArea type="data" outline="0" fieldPosition="0">
        <references count="2">
          <reference field="4294967294" count="1" selected="0">
            <x v="3"/>
          </reference>
          <reference field="13" count="1" selected="0">
            <x v="26"/>
          </reference>
        </references>
      </pivotArea>
    </chartFormat>
    <chartFormat chart="1" format="853">
      <pivotArea type="data" outline="0" fieldPosition="0">
        <references count="2">
          <reference field="4294967294" count="1" selected="0">
            <x v="3"/>
          </reference>
          <reference field="13" count="1" selected="0">
            <x v="27"/>
          </reference>
        </references>
      </pivotArea>
    </chartFormat>
    <chartFormat chart="1" format="854">
      <pivotArea type="data" outline="0" fieldPosition="0">
        <references count="2">
          <reference field="4294967294" count="1" selected="0">
            <x v="3"/>
          </reference>
          <reference field="13" count="1" selected="0">
            <x v="30"/>
          </reference>
        </references>
      </pivotArea>
    </chartFormat>
    <chartFormat chart="1" format="855">
      <pivotArea type="data" outline="0" fieldPosition="0">
        <references count="2">
          <reference field="4294967294" count="1" selected="0">
            <x v="3"/>
          </reference>
          <reference field="13" count="1" selected="0">
            <x v="32"/>
          </reference>
        </references>
      </pivotArea>
    </chartFormat>
    <chartFormat chart="1" format="856">
      <pivotArea type="data" outline="0" fieldPosition="0">
        <references count="2">
          <reference field="4294967294" count="1" selected="0">
            <x v="3"/>
          </reference>
          <reference field="13" count="1" selected="0">
            <x v="33"/>
          </reference>
        </references>
      </pivotArea>
    </chartFormat>
    <chartFormat chart="1" format="857">
      <pivotArea type="data" outline="0" fieldPosition="0">
        <references count="2">
          <reference field="4294967294" count="1" selected="0">
            <x v="3"/>
          </reference>
          <reference field="13" count="1" selected="0">
            <x v="34"/>
          </reference>
        </references>
      </pivotArea>
    </chartFormat>
    <chartFormat chart="1" format="858">
      <pivotArea type="data" outline="0" fieldPosition="0">
        <references count="2">
          <reference field="4294967294" count="1" selected="0">
            <x v="3"/>
          </reference>
          <reference field="13" count="1" selected="0">
            <x v="37"/>
          </reference>
        </references>
      </pivotArea>
    </chartFormat>
    <chartFormat chart="1" format="859">
      <pivotArea type="data" outline="0" fieldPosition="0">
        <references count="2">
          <reference field="4294967294" count="1" selected="0">
            <x v="3"/>
          </reference>
          <reference field="13" count="1" selected="0">
            <x v="38"/>
          </reference>
        </references>
      </pivotArea>
    </chartFormat>
    <chartFormat chart="1" format="860">
      <pivotArea type="data" outline="0" fieldPosition="0">
        <references count="2">
          <reference field="4294967294" count="1" selected="0">
            <x v="3"/>
          </reference>
          <reference field="13" count="1" selected="0">
            <x v="40"/>
          </reference>
        </references>
      </pivotArea>
    </chartFormat>
    <chartFormat chart="1" format="861">
      <pivotArea type="data" outline="0" fieldPosition="0">
        <references count="2">
          <reference field="4294967294" count="1" selected="0">
            <x v="3"/>
          </reference>
          <reference field="13" count="1" selected="0">
            <x v="41"/>
          </reference>
        </references>
      </pivotArea>
    </chartFormat>
    <chartFormat chart="1" format="862">
      <pivotArea type="data" outline="0" fieldPosition="0">
        <references count="2">
          <reference field="4294967294" count="1" selected="0">
            <x v="3"/>
          </reference>
          <reference field="13" count="1" selected="0">
            <x v="44"/>
          </reference>
        </references>
      </pivotArea>
    </chartFormat>
    <chartFormat chart="1" format="863">
      <pivotArea type="data" outline="0" fieldPosition="0">
        <references count="2">
          <reference field="4294967294" count="1" selected="0">
            <x v="3"/>
          </reference>
          <reference field="13" count="1" selected="0">
            <x v="45"/>
          </reference>
        </references>
      </pivotArea>
    </chartFormat>
    <chartFormat chart="1" format="864">
      <pivotArea type="data" outline="0" fieldPosition="0">
        <references count="2">
          <reference field="4294967294" count="1" selected="0">
            <x v="3"/>
          </reference>
          <reference field="13" count="1" selected="0">
            <x v="47"/>
          </reference>
        </references>
      </pivotArea>
    </chartFormat>
    <chartFormat chart="1" format="865">
      <pivotArea type="data" outline="0" fieldPosition="0">
        <references count="2">
          <reference field="4294967294" count="1" selected="0">
            <x v="3"/>
          </reference>
          <reference field="13" count="1" selected="0">
            <x v="49"/>
          </reference>
        </references>
      </pivotArea>
    </chartFormat>
    <chartFormat chart="1" format="866">
      <pivotArea type="data" outline="0" fieldPosition="0">
        <references count="2">
          <reference field="4294967294" count="1" selected="0">
            <x v="3"/>
          </reference>
          <reference field="13" count="1" selected="0">
            <x v="52"/>
          </reference>
        </references>
      </pivotArea>
    </chartFormat>
    <chartFormat chart="1" format="867">
      <pivotArea type="data" outline="0" fieldPosition="0">
        <references count="2">
          <reference field="4294967294" count="1" selected="0">
            <x v="3"/>
          </reference>
          <reference field="13" count="1" selected="0">
            <x v="59"/>
          </reference>
        </references>
      </pivotArea>
    </chartFormat>
    <chartFormat chart="1" format="868">
      <pivotArea type="data" outline="0" fieldPosition="0">
        <references count="2">
          <reference field="4294967294" count="1" selected="0">
            <x v="2"/>
          </reference>
          <reference field="13" count="1" selected="0">
            <x v="0"/>
          </reference>
        </references>
      </pivotArea>
    </chartFormat>
    <chartFormat chart="1" format="869">
      <pivotArea type="data" outline="0" fieldPosition="0">
        <references count="2">
          <reference field="4294967294" count="1" selected="0">
            <x v="3"/>
          </reference>
          <reference field="13" count="1" selected="0">
            <x v="0"/>
          </reference>
        </references>
      </pivotArea>
    </chartFormat>
    <chartFormat chart="1" format="870" series="1">
      <pivotArea type="data" outline="0" fieldPosition="0">
        <references count="1">
          <reference field="4294967294" count="1" selected="0">
            <x v="1"/>
          </reference>
        </references>
      </pivotArea>
    </chartFormat>
    <chartFormat chart="1" format="871">
      <pivotArea type="data" outline="0" fieldPosition="0">
        <references count="2">
          <reference field="4294967294" count="1" selected="0">
            <x v="0"/>
          </reference>
          <reference field="13" count="1" selected="0">
            <x v="51"/>
          </reference>
        </references>
      </pivotArea>
    </chartFormat>
    <chartFormat chart="1" format="872">
      <pivotArea type="data" outline="0" fieldPosition="0">
        <references count="2">
          <reference field="4294967294" count="1" selected="0">
            <x v="1"/>
          </reference>
          <reference field="13" count="1" selected="0">
            <x v="2"/>
          </reference>
        </references>
      </pivotArea>
    </chartFormat>
    <chartFormat chart="1" format="873">
      <pivotArea type="data" outline="0" fieldPosition="0">
        <references count="2">
          <reference field="4294967294" count="1" selected="0">
            <x v="1"/>
          </reference>
          <reference field="13" count="1" selected="0">
            <x v="4"/>
          </reference>
        </references>
      </pivotArea>
    </chartFormat>
    <chartFormat chart="1" format="874">
      <pivotArea type="data" outline="0" fieldPosition="0">
        <references count="2">
          <reference field="4294967294" count="1" selected="0">
            <x v="1"/>
          </reference>
          <reference field="13" count="1" selected="0">
            <x v="6"/>
          </reference>
        </references>
      </pivotArea>
    </chartFormat>
    <chartFormat chart="1" format="875">
      <pivotArea type="data" outline="0" fieldPosition="0">
        <references count="2">
          <reference field="4294967294" count="1" selected="0">
            <x v="1"/>
          </reference>
          <reference field="13" count="1" selected="0">
            <x v="9"/>
          </reference>
        </references>
      </pivotArea>
    </chartFormat>
    <chartFormat chart="1" format="876">
      <pivotArea type="data" outline="0" fieldPosition="0">
        <references count="2">
          <reference field="4294967294" count="1" selected="0">
            <x v="1"/>
          </reference>
          <reference field="13" count="1" selected="0">
            <x v="10"/>
          </reference>
        </references>
      </pivotArea>
    </chartFormat>
    <chartFormat chart="1" format="877">
      <pivotArea type="data" outline="0" fieldPosition="0">
        <references count="2">
          <reference field="4294967294" count="1" selected="0">
            <x v="1"/>
          </reference>
          <reference field="13" count="1" selected="0">
            <x v="11"/>
          </reference>
        </references>
      </pivotArea>
    </chartFormat>
    <chartFormat chart="1" format="878">
      <pivotArea type="data" outline="0" fieldPosition="0">
        <references count="2">
          <reference field="4294967294" count="1" selected="0">
            <x v="1"/>
          </reference>
          <reference field="13" count="1" selected="0">
            <x v="12"/>
          </reference>
        </references>
      </pivotArea>
    </chartFormat>
    <chartFormat chart="1" format="879">
      <pivotArea type="data" outline="0" fieldPosition="0">
        <references count="2">
          <reference field="4294967294" count="1" selected="0">
            <x v="1"/>
          </reference>
          <reference field="13" count="1" selected="0">
            <x v="14"/>
          </reference>
        </references>
      </pivotArea>
    </chartFormat>
    <chartFormat chart="1" format="880">
      <pivotArea type="data" outline="0" fieldPosition="0">
        <references count="2">
          <reference field="4294967294" count="1" selected="0">
            <x v="1"/>
          </reference>
          <reference field="13" count="1" selected="0">
            <x v="16"/>
          </reference>
        </references>
      </pivotArea>
    </chartFormat>
    <chartFormat chart="1" format="881">
      <pivotArea type="data" outline="0" fieldPosition="0">
        <references count="2">
          <reference field="4294967294" count="1" selected="0">
            <x v="1"/>
          </reference>
          <reference field="13" count="1" selected="0">
            <x v="17"/>
          </reference>
        </references>
      </pivotArea>
    </chartFormat>
    <chartFormat chart="1" format="882">
      <pivotArea type="data" outline="0" fieldPosition="0">
        <references count="2">
          <reference field="4294967294" count="1" selected="0">
            <x v="1"/>
          </reference>
          <reference field="13" count="1" selected="0">
            <x v="18"/>
          </reference>
        </references>
      </pivotArea>
    </chartFormat>
    <chartFormat chart="1" format="883">
      <pivotArea type="data" outline="0" fieldPosition="0">
        <references count="2">
          <reference field="4294967294" count="1" selected="0">
            <x v="1"/>
          </reference>
          <reference field="13" count="1" selected="0">
            <x v="19"/>
          </reference>
        </references>
      </pivotArea>
    </chartFormat>
    <chartFormat chart="1" format="884">
      <pivotArea type="data" outline="0" fieldPosition="0">
        <references count="2">
          <reference field="4294967294" count="1" selected="0">
            <x v="1"/>
          </reference>
          <reference field="13" count="1" selected="0">
            <x v="20"/>
          </reference>
        </references>
      </pivotArea>
    </chartFormat>
    <chartFormat chart="1" format="885">
      <pivotArea type="data" outline="0" fieldPosition="0">
        <references count="2">
          <reference field="4294967294" count="1" selected="0">
            <x v="1"/>
          </reference>
          <reference field="13" count="1" selected="0">
            <x v="22"/>
          </reference>
        </references>
      </pivotArea>
    </chartFormat>
    <chartFormat chart="1" format="886">
      <pivotArea type="data" outline="0" fieldPosition="0">
        <references count="2">
          <reference field="4294967294" count="1" selected="0">
            <x v="1"/>
          </reference>
          <reference field="13" count="1" selected="0">
            <x v="24"/>
          </reference>
        </references>
      </pivotArea>
    </chartFormat>
    <chartFormat chart="1" format="887">
      <pivotArea type="data" outline="0" fieldPosition="0">
        <references count="2">
          <reference field="4294967294" count="1" selected="0">
            <x v="1"/>
          </reference>
          <reference field="13" count="1" selected="0">
            <x v="25"/>
          </reference>
        </references>
      </pivotArea>
    </chartFormat>
    <chartFormat chart="1" format="888">
      <pivotArea type="data" outline="0" fieldPosition="0">
        <references count="2">
          <reference field="4294967294" count="1" selected="0">
            <x v="1"/>
          </reference>
          <reference field="13" count="1" selected="0">
            <x v="26"/>
          </reference>
        </references>
      </pivotArea>
    </chartFormat>
    <chartFormat chart="1" format="889">
      <pivotArea type="data" outline="0" fieldPosition="0">
        <references count="2">
          <reference field="4294967294" count="1" selected="0">
            <x v="1"/>
          </reference>
          <reference field="13" count="1" selected="0">
            <x v="27"/>
          </reference>
        </references>
      </pivotArea>
    </chartFormat>
    <chartFormat chart="1" format="890">
      <pivotArea type="data" outline="0" fieldPosition="0">
        <references count="2">
          <reference field="4294967294" count="1" selected="0">
            <x v="1"/>
          </reference>
          <reference field="13" count="1" selected="0">
            <x v="30"/>
          </reference>
        </references>
      </pivotArea>
    </chartFormat>
    <chartFormat chart="1" format="891">
      <pivotArea type="data" outline="0" fieldPosition="0">
        <references count="2">
          <reference field="4294967294" count="1" selected="0">
            <x v="1"/>
          </reference>
          <reference field="13" count="1" selected="0">
            <x v="32"/>
          </reference>
        </references>
      </pivotArea>
    </chartFormat>
    <chartFormat chart="1" format="892">
      <pivotArea type="data" outline="0" fieldPosition="0">
        <references count="2">
          <reference field="4294967294" count="1" selected="0">
            <x v="1"/>
          </reference>
          <reference field="13" count="1" selected="0">
            <x v="33"/>
          </reference>
        </references>
      </pivotArea>
    </chartFormat>
    <chartFormat chart="1" format="893">
      <pivotArea type="data" outline="0" fieldPosition="0">
        <references count="2">
          <reference field="4294967294" count="1" selected="0">
            <x v="1"/>
          </reference>
          <reference field="13" count="1" selected="0">
            <x v="34"/>
          </reference>
        </references>
      </pivotArea>
    </chartFormat>
    <chartFormat chart="1" format="894">
      <pivotArea type="data" outline="0" fieldPosition="0">
        <references count="2">
          <reference field="4294967294" count="1" selected="0">
            <x v="1"/>
          </reference>
          <reference field="13" count="1" selected="0">
            <x v="37"/>
          </reference>
        </references>
      </pivotArea>
    </chartFormat>
    <chartFormat chart="1" format="895">
      <pivotArea type="data" outline="0" fieldPosition="0">
        <references count="2">
          <reference field="4294967294" count="1" selected="0">
            <x v="1"/>
          </reference>
          <reference field="13" count="1" selected="0">
            <x v="38"/>
          </reference>
        </references>
      </pivotArea>
    </chartFormat>
    <chartFormat chart="1" format="896">
      <pivotArea type="data" outline="0" fieldPosition="0">
        <references count="2">
          <reference field="4294967294" count="1" selected="0">
            <x v="1"/>
          </reference>
          <reference field="13" count="1" selected="0">
            <x v="40"/>
          </reference>
        </references>
      </pivotArea>
    </chartFormat>
    <chartFormat chart="1" format="897">
      <pivotArea type="data" outline="0" fieldPosition="0">
        <references count="2">
          <reference field="4294967294" count="1" selected="0">
            <x v="1"/>
          </reference>
          <reference field="13" count="1" selected="0">
            <x v="41"/>
          </reference>
        </references>
      </pivotArea>
    </chartFormat>
    <chartFormat chart="1" format="898">
      <pivotArea type="data" outline="0" fieldPosition="0">
        <references count="2">
          <reference field="4294967294" count="1" selected="0">
            <x v="1"/>
          </reference>
          <reference field="13" count="1" selected="0">
            <x v="44"/>
          </reference>
        </references>
      </pivotArea>
    </chartFormat>
    <chartFormat chart="1" format="899">
      <pivotArea type="data" outline="0" fieldPosition="0">
        <references count="2">
          <reference field="4294967294" count="1" selected="0">
            <x v="1"/>
          </reference>
          <reference field="13" count="1" selected="0">
            <x v="45"/>
          </reference>
        </references>
      </pivotArea>
    </chartFormat>
    <chartFormat chart="1" format="900">
      <pivotArea type="data" outline="0" fieldPosition="0">
        <references count="2">
          <reference field="4294967294" count="1" selected="0">
            <x v="1"/>
          </reference>
          <reference field="13" count="1" selected="0">
            <x v="47"/>
          </reference>
        </references>
      </pivotArea>
    </chartFormat>
    <chartFormat chart="1" format="901">
      <pivotArea type="data" outline="0" fieldPosition="0">
        <references count="2">
          <reference field="4294967294" count="1" selected="0">
            <x v="1"/>
          </reference>
          <reference field="13" count="1" selected="0">
            <x v="49"/>
          </reference>
        </references>
      </pivotArea>
    </chartFormat>
    <chartFormat chart="1" format="902">
      <pivotArea type="data" outline="0" fieldPosition="0">
        <references count="2">
          <reference field="4294967294" count="1" selected="0">
            <x v="1"/>
          </reference>
          <reference field="13" count="1" selected="0">
            <x v="51"/>
          </reference>
        </references>
      </pivotArea>
    </chartFormat>
    <chartFormat chart="1" format="903">
      <pivotArea type="data" outline="0" fieldPosition="0">
        <references count="2">
          <reference field="4294967294" count="1" selected="0">
            <x v="1"/>
          </reference>
          <reference field="13" count="1" selected="0">
            <x v="59"/>
          </reference>
        </references>
      </pivotArea>
    </chartFormat>
    <chartFormat chart="1" format="904">
      <pivotArea type="data" outline="0" fieldPosition="0">
        <references count="2">
          <reference field="4294967294" count="1" selected="0">
            <x v="2"/>
          </reference>
          <reference field="13" count="1" selected="0">
            <x v="51"/>
          </reference>
        </references>
      </pivotArea>
    </chartFormat>
    <chartFormat chart="1" format="905">
      <pivotArea type="data" outline="0" fieldPosition="0">
        <references count="2">
          <reference field="4294967294" count="1" selected="0">
            <x v="3"/>
          </reference>
          <reference field="13" count="1" selected="0">
            <x v="51"/>
          </reference>
        </references>
      </pivotArea>
    </chartFormat>
    <chartFormat chart="1" format="906">
      <pivotArea type="data" outline="0" fieldPosition="0">
        <references count="2">
          <reference field="4294967294" count="1" selected="0">
            <x v="4"/>
          </reference>
          <reference field="13" count="1" selected="0">
            <x v="51"/>
          </reference>
        </references>
      </pivotArea>
    </chartFormat>
    <chartFormat chart="1" format="907">
      <pivotArea type="data" outline="0" fieldPosition="0">
        <references count="2">
          <reference field="4294967294" count="1" selected="0">
            <x v="0"/>
          </reference>
          <reference field="13" count="1" selected="0">
            <x v="21"/>
          </reference>
        </references>
      </pivotArea>
    </chartFormat>
    <chartFormat chart="1" format="908">
      <pivotArea type="data" outline="0" fieldPosition="0">
        <references count="2">
          <reference field="4294967294" count="1" selected="0">
            <x v="0"/>
          </reference>
          <reference field="13" count="1" selected="0">
            <x v="29"/>
          </reference>
        </references>
      </pivotArea>
    </chartFormat>
    <chartFormat chart="1" format="909">
      <pivotArea type="data" outline="0" fieldPosition="0">
        <references count="2">
          <reference field="4294967294" count="1" selected="0">
            <x v="0"/>
          </reference>
          <reference field="13" count="1" selected="0">
            <x v="62"/>
          </reference>
        </references>
      </pivotArea>
    </chartFormat>
    <chartFormat chart="1" format="910">
      <pivotArea type="data" outline="0" fieldPosition="0">
        <references count="2">
          <reference field="4294967294" count="1" selected="0">
            <x v="1"/>
          </reference>
          <reference field="13" count="1" selected="0">
            <x v="21"/>
          </reference>
        </references>
      </pivotArea>
    </chartFormat>
    <chartFormat chart="1" format="911">
      <pivotArea type="data" outline="0" fieldPosition="0">
        <references count="2">
          <reference field="4294967294" count="1" selected="0">
            <x v="1"/>
          </reference>
          <reference field="13" count="1" selected="0">
            <x v="29"/>
          </reference>
        </references>
      </pivotArea>
    </chartFormat>
    <chartFormat chart="1" format="912">
      <pivotArea type="data" outline="0" fieldPosition="0">
        <references count="2">
          <reference field="4294967294" count="1" selected="0">
            <x v="1"/>
          </reference>
          <reference field="13" count="1" selected="0">
            <x v="62"/>
          </reference>
        </references>
      </pivotArea>
    </chartFormat>
    <chartFormat chart="1" format="913">
      <pivotArea type="data" outline="0" fieldPosition="0">
        <references count="2">
          <reference field="4294967294" count="1" selected="0">
            <x v="2"/>
          </reference>
          <reference field="13" count="1" selected="0">
            <x v="21"/>
          </reference>
        </references>
      </pivotArea>
    </chartFormat>
    <chartFormat chart="1" format="914">
      <pivotArea type="data" outline="0" fieldPosition="0">
        <references count="2">
          <reference field="4294967294" count="1" selected="0">
            <x v="2"/>
          </reference>
          <reference field="13" count="1" selected="0">
            <x v="29"/>
          </reference>
        </references>
      </pivotArea>
    </chartFormat>
    <chartFormat chart="1" format="915">
      <pivotArea type="data" outline="0" fieldPosition="0">
        <references count="2">
          <reference field="4294967294" count="1" selected="0">
            <x v="2"/>
          </reference>
          <reference field="13" count="1" selected="0">
            <x v="62"/>
          </reference>
        </references>
      </pivotArea>
    </chartFormat>
    <chartFormat chart="1" format="916">
      <pivotArea type="data" outline="0" fieldPosition="0">
        <references count="2">
          <reference field="4294967294" count="1" selected="0">
            <x v="3"/>
          </reference>
          <reference field="13" count="1" selected="0">
            <x v="21"/>
          </reference>
        </references>
      </pivotArea>
    </chartFormat>
    <chartFormat chart="1" format="917">
      <pivotArea type="data" outline="0" fieldPosition="0">
        <references count="2">
          <reference field="4294967294" count="1" selected="0">
            <x v="3"/>
          </reference>
          <reference field="13" count="1" selected="0">
            <x v="29"/>
          </reference>
        </references>
      </pivotArea>
    </chartFormat>
    <chartFormat chart="1" format="918">
      <pivotArea type="data" outline="0" fieldPosition="0">
        <references count="2">
          <reference field="4294967294" count="1" selected="0">
            <x v="3"/>
          </reference>
          <reference field="13" count="1" selected="0">
            <x v="62"/>
          </reference>
        </references>
      </pivotArea>
    </chartFormat>
    <chartFormat chart="1" format="919">
      <pivotArea type="data" outline="0" fieldPosition="0">
        <references count="2">
          <reference field="4294967294" count="1" selected="0">
            <x v="4"/>
          </reference>
          <reference field="13" count="1" selected="0">
            <x v="21"/>
          </reference>
        </references>
      </pivotArea>
    </chartFormat>
    <chartFormat chart="1" format="920">
      <pivotArea type="data" outline="0" fieldPosition="0">
        <references count="2">
          <reference field="4294967294" count="1" selected="0">
            <x v="4"/>
          </reference>
          <reference field="13" count="1" selected="0">
            <x v="29"/>
          </reference>
        </references>
      </pivotArea>
    </chartFormat>
    <chartFormat chart="1" format="921">
      <pivotArea type="data" outline="0" fieldPosition="0">
        <references count="2">
          <reference field="4294967294" count="1" selected="0">
            <x v="4"/>
          </reference>
          <reference field="13" count="1" selected="0">
            <x v="62"/>
          </reference>
        </references>
      </pivotArea>
    </chartFormat>
    <chartFormat chart="1" format="922">
      <pivotArea type="data" outline="0" fieldPosition="0">
        <references count="2">
          <reference field="4294967294" count="1" selected="0">
            <x v="0"/>
          </reference>
          <reference field="13" count="1" selected="0">
            <x v="35"/>
          </reference>
        </references>
      </pivotArea>
    </chartFormat>
    <chartFormat chart="1" format="923">
      <pivotArea type="data" outline="0" fieldPosition="0">
        <references count="2">
          <reference field="4294967294" count="1" selected="0">
            <x v="1"/>
          </reference>
          <reference field="13" count="1" selected="0">
            <x v="35"/>
          </reference>
        </references>
      </pivotArea>
    </chartFormat>
    <chartFormat chart="1" format="924">
      <pivotArea type="data" outline="0" fieldPosition="0">
        <references count="2">
          <reference field="4294967294" count="1" selected="0">
            <x v="2"/>
          </reference>
          <reference field="13" count="1" selected="0">
            <x v="35"/>
          </reference>
        </references>
      </pivotArea>
    </chartFormat>
    <chartFormat chart="1" format="925">
      <pivotArea type="data" outline="0" fieldPosition="0">
        <references count="2">
          <reference field="4294967294" count="1" selected="0">
            <x v="3"/>
          </reference>
          <reference field="13" count="1" selected="0">
            <x v="35"/>
          </reference>
        </references>
      </pivotArea>
    </chartFormat>
    <chartFormat chart="1" format="926">
      <pivotArea type="data" outline="0" fieldPosition="0">
        <references count="2">
          <reference field="4294967294" count="1" selected="0">
            <x v="4"/>
          </reference>
          <reference field="13" count="1" selected="0">
            <x v="35"/>
          </reference>
        </references>
      </pivotArea>
    </chartFormat>
    <chartFormat chart="1" format="927">
      <pivotArea type="data" outline="0" fieldPosition="0">
        <references count="2">
          <reference field="4294967294" count="1" selected="0">
            <x v="0"/>
          </reference>
          <reference field="13" count="1" selected="0">
            <x v="23"/>
          </reference>
        </references>
      </pivotArea>
    </chartFormat>
    <chartFormat chart="1" format="928">
      <pivotArea type="data" outline="0" fieldPosition="0">
        <references count="2">
          <reference field="4294967294" count="1" selected="0">
            <x v="1"/>
          </reference>
          <reference field="13" count="1" selected="0">
            <x v="0"/>
          </reference>
        </references>
      </pivotArea>
    </chartFormat>
    <chartFormat chart="1" format="929">
      <pivotArea type="data" outline="0" fieldPosition="0">
        <references count="2">
          <reference field="4294967294" count="1" selected="0">
            <x v="1"/>
          </reference>
          <reference field="13" count="1" selected="0">
            <x v="23"/>
          </reference>
        </references>
      </pivotArea>
    </chartFormat>
    <chartFormat chart="1" format="930">
      <pivotArea type="data" outline="0" fieldPosition="0">
        <references count="2">
          <reference field="4294967294" count="1" selected="0">
            <x v="2"/>
          </reference>
          <reference field="13" count="1" selected="0">
            <x v="23"/>
          </reference>
        </references>
      </pivotArea>
    </chartFormat>
    <chartFormat chart="1" format="931">
      <pivotArea type="data" outline="0" fieldPosition="0">
        <references count="2">
          <reference field="4294967294" count="1" selected="0">
            <x v="3"/>
          </reference>
          <reference field="13" count="1" selected="0">
            <x v="23"/>
          </reference>
        </references>
      </pivotArea>
    </chartFormat>
    <chartFormat chart="1" format="932">
      <pivotArea type="data" outline="0" fieldPosition="0">
        <references count="2">
          <reference field="4294967294" count="1" selected="0">
            <x v="4"/>
          </reference>
          <reference field="13" count="1" selected="0">
            <x v="23"/>
          </reference>
        </references>
      </pivotArea>
    </chartFormat>
    <chartFormat chart="1" format="933">
      <pivotArea type="data" outline="0" fieldPosition="0">
        <references count="1">
          <reference field="4294967294" count="1" selected="0">
            <x v="0"/>
          </reference>
        </references>
      </pivotArea>
    </chartFormat>
    <chartFormat chart="1" format="934">
      <pivotArea type="data" outline="0" fieldPosition="0">
        <references count="1">
          <reference field="4294967294" count="1" selected="0">
            <x v="1"/>
          </reference>
        </references>
      </pivotArea>
    </chartFormat>
    <chartFormat chart="1" format="935">
      <pivotArea type="data" outline="0" fieldPosition="0">
        <references count="1">
          <reference field="4294967294" count="1" selected="0">
            <x v="2"/>
          </reference>
        </references>
      </pivotArea>
    </chartFormat>
    <chartFormat chart="1" format="936">
      <pivotArea type="data" outline="0" fieldPosition="0">
        <references count="1">
          <reference field="4294967294" count="1" selected="0">
            <x v="3"/>
          </reference>
        </references>
      </pivotArea>
    </chartFormat>
    <chartFormat chart="1" format="937">
      <pivotArea type="data" outline="0" fieldPosition="0">
        <references count="1">
          <reference field="4294967294" count="1" selected="0">
            <x v="4"/>
          </reference>
        </references>
      </pivotArea>
    </chartFormat>
    <chartFormat chart="1" format="938">
      <pivotArea type="data" outline="0" fieldPosition="0">
        <references count="2">
          <reference field="4294967294" count="1" selected="0">
            <x v="0"/>
          </reference>
          <reference field="13" count="1" selected="0">
            <x v="28"/>
          </reference>
        </references>
      </pivotArea>
    </chartFormat>
    <chartFormat chart="1" format="939">
      <pivotArea type="data" outline="0" fieldPosition="0">
        <references count="2">
          <reference field="4294967294" count="1" selected="0">
            <x v="1"/>
          </reference>
          <reference field="13" count="1" selected="0">
            <x v="28"/>
          </reference>
        </references>
      </pivotArea>
    </chartFormat>
    <chartFormat chart="1" format="940">
      <pivotArea type="data" outline="0" fieldPosition="0">
        <references count="2">
          <reference field="4294967294" count="1" selected="0">
            <x v="2"/>
          </reference>
          <reference field="13" count="1" selected="0">
            <x v="28"/>
          </reference>
        </references>
      </pivotArea>
    </chartFormat>
    <chartFormat chart="1" format="941">
      <pivotArea type="data" outline="0" fieldPosition="0">
        <references count="2">
          <reference field="4294967294" count="1" selected="0">
            <x v="3"/>
          </reference>
          <reference field="13" count="1" selected="0">
            <x v="28"/>
          </reference>
        </references>
      </pivotArea>
    </chartFormat>
    <chartFormat chart="1" format="942">
      <pivotArea type="data" outline="0" fieldPosition="0">
        <references count="2">
          <reference field="4294967294" count="1" selected="0">
            <x v="4"/>
          </reference>
          <reference field="13" count="1" selected="0">
            <x v="28"/>
          </reference>
        </references>
      </pivotArea>
    </chartFormat>
    <chartFormat chart="1" format="943">
      <pivotArea type="data" outline="0" fieldPosition="0">
        <references count="2">
          <reference field="4294967294" count="1" selected="0">
            <x v="0"/>
          </reference>
          <reference field="13" count="1" selected="0">
            <x v="3"/>
          </reference>
        </references>
      </pivotArea>
    </chartFormat>
    <chartFormat chart="1" format="944">
      <pivotArea type="data" outline="0" fieldPosition="0">
        <references count="2">
          <reference field="4294967294" count="1" selected="0">
            <x v="1"/>
          </reference>
          <reference field="13" count="1" selected="0">
            <x v="3"/>
          </reference>
        </references>
      </pivotArea>
    </chartFormat>
    <chartFormat chart="1" format="945">
      <pivotArea type="data" outline="0" fieldPosition="0">
        <references count="2">
          <reference field="4294967294" count="1" selected="0">
            <x v="2"/>
          </reference>
          <reference field="13" count="1" selected="0">
            <x v="3"/>
          </reference>
        </references>
      </pivotArea>
    </chartFormat>
    <chartFormat chart="1" format="946">
      <pivotArea type="data" outline="0" fieldPosition="0">
        <references count="2">
          <reference field="4294967294" count="1" selected="0">
            <x v="3"/>
          </reference>
          <reference field="13" count="1" selected="0">
            <x v="3"/>
          </reference>
        </references>
      </pivotArea>
    </chartFormat>
    <chartFormat chart="1" format="947">
      <pivotArea type="data" outline="0" fieldPosition="0">
        <references count="2">
          <reference field="4294967294" count="1" selected="0">
            <x v="4"/>
          </reference>
          <reference field="13" count="1" selected="0">
            <x v="3"/>
          </reference>
        </references>
      </pivotArea>
    </chartFormat>
    <chartFormat chart="1" format="948">
      <pivotArea type="data" outline="0" fieldPosition="0">
        <references count="2">
          <reference field="4294967294" count="1" selected="0">
            <x v="0"/>
          </reference>
          <reference field="13" count="1" selected="0">
            <x v="46"/>
          </reference>
        </references>
      </pivotArea>
    </chartFormat>
    <chartFormat chart="1" format="949">
      <pivotArea type="data" outline="0" fieldPosition="0">
        <references count="2">
          <reference field="4294967294" count="1" selected="0">
            <x v="0"/>
          </reference>
          <reference field="13" count="1" selected="0">
            <x v="48"/>
          </reference>
        </references>
      </pivotArea>
    </chartFormat>
    <chartFormat chart="1" format="950">
      <pivotArea type="data" outline="0" fieldPosition="0">
        <references count="2">
          <reference field="4294967294" count="1" selected="0">
            <x v="0"/>
          </reference>
          <reference field="13" count="1" selected="0">
            <x v="50"/>
          </reference>
        </references>
      </pivotArea>
    </chartFormat>
    <chartFormat chart="1" format="951">
      <pivotArea type="data" outline="0" fieldPosition="0">
        <references count="2">
          <reference field="4294967294" count="1" selected="0">
            <x v="1"/>
          </reference>
          <reference field="13" count="1" selected="0">
            <x v="46"/>
          </reference>
        </references>
      </pivotArea>
    </chartFormat>
    <chartFormat chart="1" format="952">
      <pivotArea type="data" outline="0" fieldPosition="0">
        <references count="2">
          <reference field="4294967294" count="1" selected="0">
            <x v="1"/>
          </reference>
          <reference field="13" count="1" selected="0">
            <x v="48"/>
          </reference>
        </references>
      </pivotArea>
    </chartFormat>
    <chartFormat chart="1" format="953">
      <pivotArea type="data" outline="0" fieldPosition="0">
        <references count="2">
          <reference field="4294967294" count="1" selected="0">
            <x v="1"/>
          </reference>
          <reference field="13" count="1" selected="0">
            <x v="50"/>
          </reference>
        </references>
      </pivotArea>
    </chartFormat>
    <chartFormat chart="1" format="954">
      <pivotArea type="data" outline="0" fieldPosition="0">
        <references count="2">
          <reference field="4294967294" count="1" selected="0">
            <x v="2"/>
          </reference>
          <reference field="13" count="1" selected="0">
            <x v="46"/>
          </reference>
        </references>
      </pivotArea>
    </chartFormat>
    <chartFormat chart="1" format="955">
      <pivotArea type="data" outline="0" fieldPosition="0">
        <references count="2">
          <reference field="4294967294" count="1" selected="0">
            <x v="2"/>
          </reference>
          <reference field="13" count="1" selected="0">
            <x v="48"/>
          </reference>
        </references>
      </pivotArea>
    </chartFormat>
    <chartFormat chart="1" format="956">
      <pivotArea type="data" outline="0" fieldPosition="0">
        <references count="2">
          <reference field="4294967294" count="1" selected="0">
            <x v="2"/>
          </reference>
          <reference field="13" count="1" selected="0">
            <x v="50"/>
          </reference>
        </references>
      </pivotArea>
    </chartFormat>
    <chartFormat chart="1" format="957">
      <pivotArea type="data" outline="0" fieldPosition="0">
        <references count="2">
          <reference field="4294967294" count="1" selected="0">
            <x v="3"/>
          </reference>
          <reference field="13" count="1" selected="0">
            <x v="46"/>
          </reference>
        </references>
      </pivotArea>
    </chartFormat>
    <chartFormat chart="1" format="958">
      <pivotArea type="data" outline="0" fieldPosition="0">
        <references count="2">
          <reference field="4294967294" count="1" selected="0">
            <x v="3"/>
          </reference>
          <reference field="13" count="1" selected="0">
            <x v="48"/>
          </reference>
        </references>
      </pivotArea>
    </chartFormat>
    <chartFormat chart="1" format="959">
      <pivotArea type="data" outline="0" fieldPosition="0">
        <references count="2">
          <reference field="4294967294" count="1" selected="0">
            <x v="3"/>
          </reference>
          <reference field="13" count="1" selected="0">
            <x v="50"/>
          </reference>
        </references>
      </pivotArea>
    </chartFormat>
    <chartFormat chart="1" format="960">
      <pivotArea type="data" outline="0" fieldPosition="0">
        <references count="2">
          <reference field="4294967294" count="1" selected="0">
            <x v="4"/>
          </reference>
          <reference field="13" count="1" selected="0">
            <x v="46"/>
          </reference>
        </references>
      </pivotArea>
    </chartFormat>
    <chartFormat chart="1" format="961">
      <pivotArea type="data" outline="0" fieldPosition="0">
        <references count="2">
          <reference field="4294967294" count="1" selected="0">
            <x v="4"/>
          </reference>
          <reference field="13" count="1" selected="0">
            <x v="48"/>
          </reference>
        </references>
      </pivotArea>
    </chartFormat>
    <chartFormat chart="1" format="962">
      <pivotArea type="data" outline="0" fieldPosition="0">
        <references count="2">
          <reference field="4294967294" count="1" selected="0">
            <x v="4"/>
          </reference>
          <reference field="13" count="1" selected="0">
            <x v="50"/>
          </reference>
        </references>
      </pivotArea>
    </chartFormat>
    <chartFormat chart="1" format="963">
      <pivotArea type="data" outline="0" fieldPosition="0">
        <references count="2">
          <reference field="4294967294" count="1" selected="0">
            <x v="0"/>
          </reference>
          <reference field="13" count="1" selected="0">
            <x v="63"/>
          </reference>
        </references>
      </pivotArea>
    </chartFormat>
    <chartFormat chart="1" format="964">
      <pivotArea type="data" outline="0" fieldPosition="0">
        <references count="2">
          <reference field="4294967294" count="1" selected="0">
            <x v="1"/>
          </reference>
          <reference field="13" count="1" selected="0">
            <x v="63"/>
          </reference>
        </references>
      </pivotArea>
    </chartFormat>
    <chartFormat chart="1" format="965">
      <pivotArea type="data" outline="0" fieldPosition="0">
        <references count="2">
          <reference field="4294967294" count="1" selected="0">
            <x v="2"/>
          </reference>
          <reference field="13" count="1" selected="0">
            <x v="63"/>
          </reference>
        </references>
      </pivotArea>
    </chartFormat>
    <chartFormat chart="1" format="966">
      <pivotArea type="data" outline="0" fieldPosition="0">
        <references count="2">
          <reference field="4294967294" count="1" selected="0">
            <x v="3"/>
          </reference>
          <reference field="13" count="1" selected="0">
            <x v="63"/>
          </reference>
        </references>
      </pivotArea>
    </chartFormat>
    <chartFormat chart="1" format="967">
      <pivotArea type="data" outline="0" fieldPosition="0">
        <references count="2">
          <reference field="4294967294" count="1" selected="0">
            <x v="4"/>
          </reference>
          <reference field="13" count="1" selected="0">
            <x v="63"/>
          </reference>
        </references>
      </pivotArea>
    </chartFormat>
    <chartFormat chart="1" format="968">
      <pivotArea type="data" outline="0" fieldPosition="0">
        <references count="2">
          <reference field="4294967294" count="1" selected="0">
            <x v="0"/>
          </reference>
          <reference field="13" count="1" selected="0">
            <x v="7"/>
          </reference>
        </references>
      </pivotArea>
    </chartFormat>
    <chartFormat chart="1" format="969">
      <pivotArea type="data" outline="0" fieldPosition="0">
        <references count="2">
          <reference field="4294967294" count="1" selected="0">
            <x v="0"/>
          </reference>
          <reference field="13" count="1" selected="0">
            <x v="8"/>
          </reference>
        </references>
      </pivotArea>
    </chartFormat>
    <chartFormat chart="1" format="970">
      <pivotArea type="data" outline="0" fieldPosition="0">
        <references count="2">
          <reference field="4294967294" count="1" selected="0">
            <x v="0"/>
          </reference>
          <reference field="13" count="1" selected="0">
            <x v="13"/>
          </reference>
        </references>
      </pivotArea>
    </chartFormat>
    <chartFormat chart="1" format="971">
      <pivotArea type="data" outline="0" fieldPosition="0">
        <references count="2">
          <reference field="4294967294" count="1" selected="0">
            <x v="0"/>
          </reference>
          <reference field="13" count="1" selected="0">
            <x v="36"/>
          </reference>
        </references>
      </pivotArea>
    </chartFormat>
    <chartFormat chart="1" format="972">
      <pivotArea type="data" outline="0" fieldPosition="0">
        <references count="2">
          <reference field="4294967294" count="1" selected="0">
            <x v="0"/>
          </reference>
          <reference field="13" count="1" selected="0">
            <x v="54"/>
          </reference>
        </references>
      </pivotArea>
    </chartFormat>
    <chartFormat chart="1" format="973">
      <pivotArea type="data" outline="0" fieldPosition="0">
        <references count="2">
          <reference field="4294967294" count="1" selected="0">
            <x v="1"/>
          </reference>
          <reference field="13" count="1" selected="0">
            <x v="7"/>
          </reference>
        </references>
      </pivotArea>
    </chartFormat>
    <chartFormat chart="1" format="974">
      <pivotArea type="data" outline="0" fieldPosition="0">
        <references count="2">
          <reference field="4294967294" count="1" selected="0">
            <x v="1"/>
          </reference>
          <reference field="13" count="1" selected="0">
            <x v="8"/>
          </reference>
        </references>
      </pivotArea>
    </chartFormat>
    <chartFormat chart="1" format="975">
      <pivotArea type="data" outline="0" fieldPosition="0">
        <references count="2">
          <reference field="4294967294" count="1" selected="0">
            <x v="1"/>
          </reference>
          <reference field="13" count="1" selected="0">
            <x v="13"/>
          </reference>
        </references>
      </pivotArea>
    </chartFormat>
    <chartFormat chart="1" format="976">
      <pivotArea type="data" outline="0" fieldPosition="0">
        <references count="2">
          <reference field="4294967294" count="1" selected="0">
            <x v="1"/>
          </reference>
          <reference field="13" count="1" selected="0">
            <x v="36"/>
          </reference>
        </references>
      </pivotArea>
    </chartFormat>
    <chartFormat chart="1" format="977">
      <pivotArea type="data" outline="0" fieldPosition="0">
        <references count="2">
          <reference field="4294967294" count="1" selected="0">
            <x v="1"/>
          </reference>
          <reference field="13" count="1" selected="0">
            <x v="54"/>
          </reference>
        </references>
      </pivotArea>
    </chartFormat>
    <chartFormat chart="1" format="978">
      <pivotArea type="data" outline="0" fieldPosition="0">
        <references count="2">
          <reference field="4294967294" count="1" selected="0">
            <x v="2"/>
          </reference>
          <reference field="13" count="1" selected="0">
            <x v="7"/>
          </reference>
        </references>
      </pivotArea>
    </chartFormat>
    <chartFormat chart="1" format="979">
      <pivotArea type="data" outline="0" fieldPosition="0">
        <references count="2">
          <reference field="4294967294" count="1" selected="0">
            <x v="2"/>
          </reference>
          <reference field="13" count="1" selected="0">
            <x v="8"/>
          </reference>
        </references>
      </pivotArea>
    </chartFormat>
    <chartFormat chart="1" format="980">
      <pivotArea type="data" outline="0" fieldPosition="0">
        <references count="2">
          <reference field="4294967294" count="1" selected="0">
            <x v="2"/>
          </reference>
          <reference field="13" count="1" selected="0">
            <x v="13"/>
          </reference>
        </references>
      </pivotArea>
    </chartFormat>
    <chartFormat chart="1" format="981">
      <pivotArea type="data" outline="0" fieldPosition="0">
        <references count="2">
          <reference field="4294967294" count="1" selected="0">
            <x v="2"/>
          </reference>
          <reference field="13" count="1" selected="0">
            <x v="36"/>
          </reference>
        </references>
      </pivotArea>
    </chartFormat>
    <chartFormat chart="1" format="982">
      <pivotArea type="data" outline="0" fieldPosition="0">
        <references count="2">
          <reference field="4294967294" count="1" selected="0">
            <x v="2"/>
          </reference>
          <reference field="13" count="1" selected="0">
            <x v="54"/>
          </reference>
        </references>
      </pivotArea>
    </chartFormat>
    <chartFormat chart="1" format="983">
      <pivotArea type="data" outline="0" fieldPosition="0">
        <references count="2">
          <reference field="4294967294" count="1" selected="0">
            <x v="3"/>
          </reference>
          <reference field="13" count="1" selected="0">
            <x v="7"/>
          </reference>
        </references>
      </pivotArea>
    </chartFormat>
    <chartFormat chart="1" format="984">
      <pivotArea type="data" outline="0" fieldPosition="0">
        <references count="2">
          <reference field="4294967294" count="1" selected="0">
            <x v="3"/>
          </reference>
          <reference field="13" count="1" selected="0">
            <x v="8"/>
          </reference>
        </references>
      </pivotArea>
    </chartFormat>
    <chartFormat chart="1" format="985">
      <pivotArea type="data" outline="0" fieldPosition="0">
        <references count="2">
          <reference field="4294967294" count="1" selected="0">
            <x v="3"/>
          </reference>
          <reference field="13" count="1" selected="0">
            <x v="13"/>
          </reference>
        </references>
      </pivotArea>
    </chartFormat>
    <chartFormat chart="1" format="986">
      <pivotArea type="data" outline="0" fieldPosition="0">
        <references count="2">
          <reference field="4294967294" count="1" selected="0">
            <x v="3"/>
          </reference>
          <reference field="13" count="1" selected="0">
            <x v="36"/>
          </reference>
        </references>
      </pivotArea>
    </chartFormat>
    <chartFormat chart="1" format="987">
      <pivotArea type="data" outline="0" fieldPosition="0">
        <references count="2">
          <reference field="4294967294" count="1" selected="0">
            <x v="3"/>
          </reference>
          <reference field="13" count="1" selected="0">
            <x v="54"/>
          </reference>
        </references>
      </pivotArea>
    </chartFormat>
    <chartFormat chart="1" format="988">
      <pivotArea type="data" outline="0" fieldPosition="0">
        <references count="2">
          <reference field="4294967294" count="1" selected="0">
            <x v="4"/>
          </reference>
          <reference field="13" count="1" selected="0">
            <x v="7"/>
          </reference>
        </references>
      </pivotArea>
    </chartFormat>
    <chartFormat chart="1" format="989">
      <pivotArea type="data" outline="0" fieldPosition="0">
        <references count="2">
          <reference field="4294967294" count="1" selected="0">
            <x v="4"/>
          </reference>
          <reference field="13" count="1" selected="0">
            <x v="8"/>
          </reference>
        </references>
      </pivotArea>
    </chartFormat>
    <chartFormat chart="1" format="990">
      <pivotArea type="data" outline="0" fieldPosition="0">
        <references count="2">
          <reference field="4294967294" count="1" selected="0">
            <x v="4"/>
          </reference>
          <reference field="13" count="1" selected="0">
            <x v="13"/>
          </reference>
        </references>
      </pivotArea>
    </chartFormat>
    <chartFormat chart="1" format="991">
      <pivotArea type="data" outline="0" fieldPosition="0">
        <references count="2">
          <reference field="4294967294" count="1" selected="0">
            <x v="4"/>
          </reference>
          <reference field="13" count="1" selected="0">
            <x v="36"/>
          </reference>
        </references>
      </pivotArea>
    </chartFormat>
    <chartFormat chart="1" format="992">
      <pivotArea type="data" outline="0" fieldPosition="0">
        <references count="2">
          <reference field="4294967294" count="1" selected="0">
            <x v="4"/>
          </reference>
          <reference field="13" count="1" selected="0">
            <x v="54"/>
          </reference>
        </references>
      </pivotArea>
    </chartFormat>
    <chartFormat chart="1" format="993">
      <pivotArea type="data" outline="0" fieldPosition="0">
        <references count="2">
          <reference field="4294967294" count="1" selected="0">
            <x v="0"/>
          </reference>
          <reference field="13" count="1" selected="0">
            <x v="15"/>
          </reference>
        </references>
      </pivotArea>
    </chartFormat>
    <chartFormat chart="1" format="994">
      <pivotArea type="data" outline="0" fieldPosition="0">
        <references count="2">
          <reference field="4294967294" count="1" selected="0">
            <x v="0"/>
          </reference>
          <reference field="13" count="1" selected="0">
            <x v="31"/>
          </reference>
        </references>
      </pivotArea>
    </chartFormat>
    <chartFormat chart="1" format="995">
      <pivotArea type="data" outline="0" fieldPosition="0">
        <references count="2">
          <reference field="4294967294" count="1" selected="0">
            <x v="0"/>
          </reference>
          <reference field="13" count="1" selected="0">
            <x v="39"/>
          </reference>
        </references>
      </pivotArea>
    </chartFormat>
    <chartFormat chart="1" format="996">
      <pivotArea type="data" outline="0" fieldPosition="0">
        <references count="2">
          <reference field="4294967294" count="1" selected="0">
            <x v="0"/>
          </reference>
          <reference field="13" count="1" selected="0">
            <x v="42"/>
          </reference>
        </references>
      </pivotArea>
    </chartFormat>
    <chartFormat chart="1" format="997">
      <pivotArea type="data" outline="0" fieldPosition="0">
        <references count="2">
          <reference field="4294967294" count="1" selected="0">
            <x v="0"/>
          </reference>
          <reference field="13" count="1" selected="0">
            <x v="43"/>
          </reference>
        </references>
      </pivotArea>
    </chartFormat>
    <chartFormat chart="1" format="998">
      <pivotArea type="data" outline="0" fieldPosition="0">
        <references count="2">
          <reference field="4294967294" count="1" selected="0">
            <x v="1"/>
          </reference>
          <reference field="13" count="1" selected="0">
            <x v="15"/>
          </reference>
        </references>
      </pivotArea>
    </chartFormat>
    <chartFormat chart="1" format="999">
      <pivotArea type="data" outline="0" fieldPosition="0">
        <references count="2">
          <reference field="4294967294" count="1" selected="0">
            <x v="1"/>
          </reference>
          <reference field="13" count="1" selected="0">
            <x v="31"/>
          </reference>
        </references>
      </pivotArea>
    </chartFormat>
    <chartFormat chart="1" format="1000">
      <pivotArea type="data" outline="0" fieldPosition="0">
        <references count="2">
          <reference field="4294967294" count="1" selected="0">
            <x v="1"/>
          </reference>
          <reference field="13" count="1" selected="0">
            <x v="39"/>
          </reference>
        </references>
      </pivotArea>
    </chartFormat>
    <chartFormat chart="1" format="1001">
      <pivotArea type="data" outline="0" fieldPosition="0">
        <references count="2">
          <reference field="4294967294" count="1" selected="0">
            <x v="1"/>
          </reference>
          <reference field="13" count="1" selected="0">
            <x v="42"/>
          </reference>
        </references>
      </pivotArea>
    </chartFormat>
    <chartFormat chart="1" format="1002">
      <pivotArea type="data" outline="0" fieldPosition="0">
        <references count="2">
          <reference field="4294967294" count="1" selected="0">
            <x v="1"/>
          </reference>
          <reference field="13" count="1" selected="0">
            <x v="43"/>
          </reference>
        </references>
      </pivotArea>
    </chartFormat>
    <chartFormat chart="1" format="1003">
      <pivotArea type="data" outline="0" fieldPosition="0">
        <references count="2">
          <reference field="4294967294" count="1" selected="0">
            <x v="2"/>
          </reference>
          <reference field="13" count="1" selected="0">
            <x v="15"/>
          </reference>
        </references>
      </pivotArea>
    </chartFormat>
    <chartFormat chart="1" format="1004">
      <pivotArea type="data" outline="0" fieldPosition="0">
        <references count="2">
          <reference field="4294967294" count="1" selected="0">
            <x v="2"/>
          </reference>
          <reference field="13" count="1" selected="0">
            <x v="31"/>
          </reference>
        </references>
      </pivotArea>
    </chartFormat>
    <chartFormat chart="1" format="1005">
      <pivotArea type="data" outline="0" fieldPosition="0">
        <references count="2">
          <reference field="4294967294" count="1" selected="0">
            <x v="2"/>
          </reference>
          <reference field="13" count="1" selected="0">
            <x v="39"/>
          </reference>
        </references>
      </pivotArea>
    </chartFormat>
    <chartFormat chart="1" format="1006">
      <pivotArea type="data" outline="0" fieldPosition="0">
        <references count="2">
          <reference field="4294967294" count="1" selected="0">
            <x v="2"/>
          </reference>
          <reference field="13" count="1" selected="0">
            <x v="42"/>
          </reference>
        </references>
      </pivotArea>
    </chartFormat>
    <chartFormat chart="1" format="1007">
      <pivotArea type="data" outline="0" fieldPosition="0">
        <references count="2">
          <reference field="4294967294" count="1" selected="0">
            <x v="2"/>
          </reference>
          <reference field="13" count="1" selected="0">
            <x v="43"/>
          </reference>
        </references>
      </pivotArea>
    </chartFormat>
    <chartFormat chart="1" format="1008">
      <pivotArea type="data" outline="0" fieldPosition="0">
        <references count="2">
          <reference field="4294967294" count="1" selected="0">
            <x v="3"/>
          </reference>
          <reference field="13" count="1" selected="0">
            <x v="15"/>
          </reference>
        </references>
      </pivotArea>
    </chartFormat>
    <chartFormat chart="1" format="1009">
      <pivotArea type="data" outline="0" fieldPosition="0">
        <references count="2">
          <reference field="4294967294" count="1" selected="0">
            <x v="3"/>
          </reference>
          <reference field="13" count="1" selected="0">
            <x v="31"/>
          </reference>
        </references>
      </pivotArea>
    </chartFormat>
    <chartFormat chart="1" format="1010">
      <pivotArea type="data" outline="0" fieldPosition="0">
        <references count="2">
          <reference field="4294967294" count="1" selected="0">
            <x v="3"/>
          </reference>
          <reference field="13" count="1" selected="0">
            <x v="39"/>
          </reference>
        </references>
      </pivotArea>
    </chartFormat>
    <chartFormat chart="1" format="1011">
      <pivotArea type="data" outline="0" fieldPosition="0">
        <references count="2">
          <reference field="4294967294" count="1" selected="0">
            <x v="3"/>
          </reference>
          <reference field="13" count="1" selected="0">
            <x v="42"/>
          </reference>
        </references>
      </pivotArea>
    </chartFormat>
    <chartFormat chart="1" format="1012">
      <pivotArea type="data" outline="0" fieldPosition="0">
        <references count="2">
          <reference field="4294967294" count="1" selected="0">
            <x v="3"/>
          </reference>
          <reference field="13" count="1" selected="0">
            <x v="43"/>
          </reference>
        </references>
      </pivotArea>
    </chartFormat>
    <chartFormat chart="1" format="1013">
      <pivotArea type="data" outline="0" fieldPosition="0">
        <references count="2">
          <reference field="4294967294" count="1" selected="0">
            <x v="4"/>
          </reference>
          <reference field="13" count="1" selected="0">
            <x v="15"/>
          </reference>
        </references>
      </pivotArea>
    </chartFormat>
    <chartFormat chart="1" format="1014">
      <pivotArea type="data" outline="0" fieldPosition="0">
        <references count="2">
          <reference field="4294967294" count="1" selected="0">
            <x v="4"/>
          </reference>
          <reference field="13" count="1" selected="0">
            <x v="31"/>
          </reference>
        </references>
      </pivotArea>
    </chartFormat>
    <chartFormat chart="1" format="1015">
      <pivotArea type="data" outline="0" fieldPosition="0">
        <references count="2">
          <reference field="4294967294" count="1" selected="0">
            <x v="4"/>
          </reference>
          <reference field="13" count="1" selected="0">
            <x v="39"/>
          </reference>
        </references>
      </pivotArea>
    </chartFormat>
    <chartFormat chart="1" format="1016">
      <pivotArea type="data" outline="0" fieldPosition="0">
        <references count="2">
          <reference field="4294967294" count="1" selected="0">
            <x v="4"/>
          </reference>
          <reference field="13" count="1" selected="0">
            <x v="42"/>
          </reference>
        </references>
      </pivotArea>
    </chartFormat>
    <chartFormat chart="1" format="1017">
      <pivotArea type="data" outline="0" fieldPosition="0">
        <references count="2">
          <reference field="4294967294" count="1" selected="0">
            <x v="4"/>
          </reference>
          <reference field="13" count="1" selected="0">
            <x v="43"/>
          </reference>
        </references>
      </pivotArea>
    </chartFormat>
    <chartFormat chart="1" format="1018">
      <pivotArea type="data" outline="0" fieldPosition="0">
        <references count="2">
          <reference field="4294967294" count="1" selected="0">
            <x v="1"/>
          </reference>
          <reference field="13" count="1" selected="0">
            <x v="66"/>
          </reference>
        </references>
      </pivotArea>
    </chartFormat>
    <chartFormat chart="1" format="1019">
      <pivotArea type="data" outline="0" fieldPosition="0">
        <references count="2">
          <reference field="4294967294" count="1" selected="0">
            <x v="2"/>
          </reference>
          <reference field="13" count="1" selected="0">
            <x v="66"/>
          </reference>
        </references>
      </pivotArea>
    </chartFormat>
    <chartFormat chart="1" format="1020">
      <pivotArea type="data" outline="0" fieldPosition="0">
        <references count="2">
          <reference field="4294967294" count="1" selected="0">
            <x v="3"/>
          </reference>
          <reference field="13" count="1" selected="0">
            <x v="66"/>
          </reference>
        </references>
      </pivotArea>
    </chartFormat>
    <chartFormat chart="1" format="1021">
      <pivotArea type="data" outline="0" fieldPosition="0">
        <references count="2">
          <reference field="4294967294" count="1" selected="0">
            <x v="0"/>
          </reference>
          <reference field="13" count="1" selected="0">
            <x v="5"/>
          </reference>
        </references>
      </pivotArea>
    </chartFormat>
    <chartFormat chart="1" format="1022">
      <pivotArea type="data" outline="0" fieldPosition="0">
        <references count="2">
          <reference field="4294967294" count="1" selected="0">
            <x v="0"/>
          </reference>
          <reference field="13" count="1" selected="0">
            <x v="53"/>
          </reference>
        </references>
      </pivotArea>
    </chartFormat>
    <chartFormat chart="1" format="1023">
      <pivotArea type="data" outline="0" fieldPosition="0">
        <references count="2">
          <reference field="4294967294" count="1" selected="0">
            <x v="0"/>
          </reference>
          <reference field="13" count="1" selected="0">
            <x v="55"/>
          </reference>
        </references>
      </pivotArea>
    </chartFormat>
    <chartFormat chart="1" format="1024">
      <pivotArea type="data" outline="0" fieldPosition="0">
        <references count="2">
          <reference field="4294967294" count="1" selected="0">
            <x v="0"/>
          </reference>
          <reference field="13" count="1" selected="0">
            <x v="56"/>
          </reference>
        </references>
      </pivotArea>
    </chartFormat>
    <chartFormat chart="1" format="1025">
      <pivotArea type="data" outline="0" fieldPosition="0">
        <references count="2">
          <reference field="4294967294" count="1" selected="0">
            <x v="0"/>
          </reference>
          <reference field="13" count="1" selected="0">
            <x v="57"/>
          </reference>
        </references>
      </pivotArea>
    </chartFormat>
    <chartFormat chart="1" format="1026">
      <pivotArea type="data" outline="0" fieldPosition="0">
        <references count="2">
          <reference field="4294967294" count="1" selected="0">
            <x v="0"/>
          </reference>
          <reference field="13" count="1" selected="0">
            <x v="58"/>
          </reference>
        </references>
      </pivotArea>
    </chartFormat>
    <chartFormat chart="1" format="1027">
      <pivotArea type="data" outline="0" fieldPosition="0">
        <references count="2">
          <reference field="4294967294" count="1" selected="0">
            <x v="0"/>
          </reference>
          <reference field="13" count="1" selected="0">
            <x v="60"/>
          </reference>
        </references>
      </pivotArea>
    </chartFormat>
    <chartFormat chart="1" format="1028">
      <pivotArea type="data" outline="0" fieldPosition="0">
        <references count="2">
          <reference field="4294967294" count="1" selected="0">
            <x v="0"/>
          </reference>
          <reference field="13" count="1" selected="0">
            <x v="61"/>
          </reference>
        </references>
      </pivotArea>
    </chartFormat>
    <chartFormat chart="1" format="1029">
      <pivotArea type="data" outline="0" fieldPosition="0">
        <references count="2">
          <reference field="4294967294" count="1" selected="0">
            <x v="1"/>
          </reference>
          <reference field="13" count="1" selected="0">
            <x v="5"/>
          </reference>
        </references>
      </pivotArea>
    </chartFormat>
    <chartFormat chart="1" format="1030">
      <pivotArea type="data" outline="0" fieldPosition="0">
        <references count="2">
          <reference field="4294967294" count="1" selected="0">
            <x v="1"/>
          </reference>
          <reference field="13" count="1" selected="0">
            <x v="53"/>
          </reference>
        </references>
      </pivotArea>
    </chartFormat>
    <chartFormat chart="1" format="1031">
      <pivotArea type="data" outline="0" fieldPosition="0">
        <references count="2">
          <reference field="4294967294" count="1" selected="0">
            <x v="1"/>
          </reference>
          <reference field="13" count="1" selected="0">
            <x v="55"/>
          </reference>
        </references>
      </pivotArea>
    </chartFormat>
    <chartFormat chart="1" format="1032">
      <pivotArea type="data" outline="0" fieldPosition="0">
        <references count="2">
          <reference field="4294967294" count="1" selected="0">
            <x v="1"/>
          </reference>
          <reference field="13" count="1" selected="0">
            <x v="56"/>
          </reference>
        </references>
      </pivotArea>
    </chartFormat>
    <chartFormat chart="1" format="1033">
      <pivotArea type="data" outline="0" fieldPosition="0">
        <references count="2">
          <reference field="4294967294" count="1" selected="0">
            <x v="1"/>
          </reference>
          <reference field="13" count="1" selected="0">
            <x v="57"/>
          </reference>
        </references>
      </pivotArea>
    </chartFormat>
    <chartFormat chart="1" format="1034">
      <pivotArea type="data" outline="0" fieldPosition="0">
        <references count="2">
          <reference field="4294967294" count="1" selected="0">
            <x v="1"/>
          </reference>
          <reference field="13" count="1" selected="0">
            <x v="58"/>
          </reference>
        </references>
      </pivotArea>
    </chartFormat>
    <chartFormat chart="1" format="1035">
      <pivotArea type="data" outline="0" fieldPosition="0">
        <references count="2">
          <reference field="4294967294" count="1" selected="0">
            <x v="1"/>
          </reference>
          <reference field="13" count="1" selected="0">
            <x v="60"/>
          </reference>
        </references>
      </pivotArea>
    </chartFormat>
    <chartFormat chart="1" format="1036">
      <pivotArea type="data" outline="0" fieldPosition="0">
        <references count="2">
          <reference field="4294967294" count="1" selected="0">
            <x v="1"/>
          </reference>
          <reference field="13" count="1" selected="0">
            <x v="61"/>
          </reference>
        </references>
      </pivotArea>
    </chartFormat>
    <chartFormat chart="1" format="1037">
      <pivotArea type="data" outline="0" fieldPosition="0">
        <references count="2">
          <reference field="4294967294" count="1" selected="0">
            <x v="2"/>
          </reference>
          <reference field="13" count="1" selected="0">
            <x v="5"/>
          </reference>
        </references>
      </pivotArea>
    </chartFormat>
    <chartFormat chart="1" format="1038">
      <pivotArea type="data" outline="0" fieldPosition="0">
        <references count="2">
          <reference field="4294967294" count="1" selected="0">
            <x v="2"/>
          </reference>
          <reference field="13" count="1" selected="0">
            <x v="53"/>
          </reference>
        </references>
      </pivotArea>
    </chartFormat>
    <chartFormat chart="1" format="1039">
      <pivotArea type="data" outline="0" fieldPosition="0">
        <references count="2">
          <reference field="4294967294" count="1" selected="0">
            <x v="2"/>
          </reference>
          <reference field="13" count="1" selected="0">
            <x v="55"/>
          </reference>
        </references>
      </pivotArea>
    </chartFormat>
    <chartFormat chart="1" format="1040">
      <pivotArea type="data" outline="0" fieldPosition="0">
        <references count="2">
          <reference field="4294967294" count="1" selected="0">
            <x v="2"/>
          </reference>
          <reference field="13" count="1" selected="0">
            <x v="56"/>
          </reference>
        </references>
      </pivotArea>
    </chartFormat>
    <chartFormat chart="1" format="1041">
      <pivotArea type="data" outline="0" fieldPosition="0">
        <references count="2">
          <reference field="4294967294" count="1" selected="0">
            <x v="2"/>
          </reference>
          <reference field="13" count="1" selected="0">
            <x v="57"/>
          </reference>
        </references>
      </pivotArea>
    </chartFormat>
    <chartFormat chart="1" format="1042">
      <pivotArea type="data" outline="0" fieldPosition="0">
        <references count="2">
          <reference field="4294967294" count="1" selected="0">
            <x v="2"/>
          </reference>
          <reference field="13" count="1" selected="0">
            <x v="58"/>
          </reference>
        </references>
      </pivotArea>
    </chartFormat>
    <chartFormat chart="1" format="1043">
      <pivotArea type="data" outline="0" fieldPosition="0">
        <references count="2">
          <reference field="4294967294" count="1" selected="0">
            <x v="2"/>
          </reference>
          <reference field="13" count="1" selected="0">
            <x v="60"/>
          </reference>
        </references>
      </pivotArea>
    </chartFormat>
    <chartFormat chart="1" format="1044">
      <pivotArea type="data" outline="0" fieldPosition="0">
        <references count="2">
          <reference field="4294967294" count="1" selected="0">
            <x v="2"/>
          </reference>
          <reference field="13" count="1" selected="0">
            <x v="61"/>
          </reference>
        </references>
      </pivotArea>
    </chartFormat>
    <chartFormat chart="1" format="1045">
      <pivotArea type="data" outline="0" fieldPosition="0">
        <references count="2">
          <reference field="4294967294" count="1" selected="0">
            <x v="3"/>
          </reference>
          <reference field="13" count="1" selected="0">
            <x v="5"/>
          </reference>
        </references>
      </pivotArea>
    </chartFormat>
    <chartFormat chart="1" format="1046">
      <pivotArea type="data" outline="0" fieldPosition="0">
        <references count="2">
          <reference field="4294967294" count="1" selected="0">
            <x v="3"/>
          </reference>
          <reference field="13" count="1" selected="0">
            <x v="53"/>
          </reference>
        </references>
      </pivotArea>
    </chartFormat>
    <chartFormat chart="1" format="1047">
      <pivotArea type="data" outline="0" fieldPosition="0">
        <references count="2">
          <reference field="4294967294" count="1" selected="0">
            <x v="3"/>
          </reference>
          <reference field="13" count="1" selected="0">
            <x v="55"/>
          </reference>
        </references>
      </pivotArea>
    </chartFormat>
    <chartFormat chart="1" format="1048">
      <pivotArea type="data" outline="0" fieldPosition="0">
        <references count="2">
          <reference field="4294967294" count="1" selected="0">
            <x v="3"/>
          </reference>
          <reference field="13" count="1" selected="0">
            <x v="56"/>
          </reference>
        </references>
      </pivotArea>
    </chartFormat>
    <chartFormat chart="1" format="1049">
      <pivotArea type="data" outline="0" fieldPosition="0">
        <references count="2">
          <reference field="4294967294" count="1" selected="0">
            <x v="3"/>
          </reference>
          <reference field="13" count="1" selected="0">
            <x v="57"/>
          </reference>
        </references>
      </pivotArea>
    </chartFormat>
    <chartFormat chart="1" format="1050">
      <pivotArea type="data" outline="0" fieldPosition="0">
        <references count="2">
          <reference field="4294967294" count="1" selected="0">
            <x v="3"/>
          </reference>
          <reference field="13" count="1" selected="0">
            <x v="58"/>
          </reference>
        </references>
      </pivotArea>
    </chartFormat>
    <chartFormat chart="1" format="1051">
      <pivotArea type="data" outline="0" fieldPosition="0">
        <references count="2">
          <reference field="4294967294" count="1" selected="0">
            <x v="3"/>
          </reference>
          <reference field="13" count="1" selected="0">
            <x v="60"/>
          </reference>
        </references>
      </pivotArea>
    </chartFormat>
    <chartFormat chart="1" format="1052">
      <pivotArea type="data" outline="0" fieldPosition="0">
        <references count="2">
          <reference field="4294967294" count="1" selected="0">
            <x v="3"/>
          </reference>
          <reference field="13" count="1" selected="0">
            <x v="61"/>
          </reference>
        </references>
      </pivotArea>
    </chartFormat>
    <chartFormat chart="1" format="1053">
      <pivotArea type="data" outline="0" fieldPosition="0">
        <references count="2">
          <reference field="4294967294" count="1" selected="0">
            <x v="4"/>
          </reference>
          <reference field="13" count="1" selected="0">
            <x v="5"/>
          </reference>
        </references>
      </pivotArea>
    </chartFormat>
    <chartFormat chart="1" format="1054">
      <pivotArea type="data" outline="0" fieldPosition="0">
        <references count="2">
          <reference field="4294967294" count="1" selected="0">
            <x v="4"/>
          </reference>
          <reference field="13" count="1" selected="0">
            <x v="53"/>
          </reference>
        </references>
      </pivotArea>
    </chartFormat>
    <chartFormat chart="1" format="1055">
      <pivotArea type="data" outline="0" fieldPosition="0">
        <references count="2">
          <reference field="4294967294" count="1" selected="0">
            <x v="4"/>
          </reference>
          <reference field="13" count="1" selected="0">
            <x v="55"/>
          </reference>
        </references>
      </pivotArea>
    </chartFormat>
    <chartFormat chart="1" format="1056">
      <pivotArea type="data" outline="0" fieldPosition="0">
        <references count="2">
          <reference field="4294967294" count="1" selected="0">
            <x v="4"/>
          </reference>
          <reference field="13" count="1" selected="0">
            <x v="56"/>
          </reference>
        </references>
      </pivotArea>
    </chartFormat>
    <chartFormat chart="1" format="1057">
      <pivotArea type="data" outline="0" fieldPosition="0">
        <references count="2">
          <reference field="4294967294" count="1" selected="0">
            <x v="4"/>
          </reference>
          <reference field="13" count="1" selected="0">
            <x v="57"/>
          </reference>
        </references>
      </pivotArea>
    </chartFormat>
    <chartFormat chart="1" format="1058">
      <pivotArea type="data" outline="0" fieldPosition="0">
        <references count="2">
          <reference field="4294967294" count="1" selected="0">
            <x v="4"/>
          </reference>
          <reference field="13" count="1" selected="0">
            <x v="58"/>
          </reference>
        </references>
      </pivotArea>
    </chartFormat>
    <chartFormat chart="1" format="1059">
      <pivotArea type="data" outline="0" fieldPosition="0">
        <references count="2">
          <reference field="4294967294" count="1" selected="0">
            <x v="4"/>
          </reference>
          <reference field="13" count="1" selected="0">
            <x v="60"/>
          </reference>
        </references>
      </pivotArea>
    </chartFormat>
    <chartFormat chart="1" format="1060">
      <pivotArea type="data" outline="0" fieldPosition="0">
        <references count="2">
          <reference field="4294967294" count="1" selected="0">
            <x v="4"/>
          </reference>
          <reference field="13" count="1" selected="0">
            <x v="6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6C4CC7-C869-45CB-B2D5-4E321614C2E7}" name="PivotTable3" cacheId="1" applyNumberFormats="0" applyBorderFormats="0" applyFontFormats="0" applyPatternFormats="0" applyAlignmentFormats="0" applyWidthHeightFormats="1" dataCaption="Values" updatedVersion="8" minRefreshableVersion="3" enableDrill="0" rowGrandTotals="0" colGrandTotals="0" itemPrintTitles="1" createdVersion="4" indent="0" compact="0" compactData="0" gridDropZones="1" multipleFieldFilters="0" chartFormat="9">
  <location ref="G50:K52" firstHeaderRow="1" firstDataRow="2" firstDataCol="1"/>
  <pivotFields count="18">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dataField="1" compact="0" outline="0" showAl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Structure Type" axis="axisRow" compact="0" outline="0" showAll="0" includeNewItemsInFilter="1" defaultSubtotal="0">
      <items count="27">
        <item h="1" m="1" x="15"/>
        <item m="1" x="6"/>
        <item m="1" x="10"/>
        <item m="1" x="3"/>
        <item m="1" x="7"/>
        <item m="1" x="2"/>
        <item m="1" x="16"/>
        <item m="1" x="4"/>
        <item m="1" x="1"/>
        <item m="1" x="11"/>
        <item m="1" x="24"/>
        <item m="1" x="23"/>
        <item m="1" x="5"/>
        <item x="0"/>
        <item m="1" x="21"/>
        <item m="1" x="25"/>
        <item m="1" x="22"/>
        <item m="1" x="13"/>
        <item m="1" x="26"/>
        <item m="1" x="9"/>
        <item m="1" x="18"/>
        <item m="1" x="20"/>
        <item m="1" x="8"/>
        <item m="1" x="12"/>
        <item m="1" x="17"/>
        <item m="1" x="19"/>
        <item m="1" x="14"/>
      </items>
    </pivotField>
  </pivotFields>
  <rowFields count="1">
    <field x="17"/>
  </rowFields>
  <rowItems count="1">
    <i>
      <x v="13"/>
    </i>
  </rowItems>
  <colFields count="1">
    <field x="-2"/>
  </colFields>
  <colItems count="4">
    <i>
      <x/>
    </i>
    <i i="1">
      <x v="1"/>
    </i>
    <i i="2">
      <x v="2"/>
    </i>
    <i i="3">
      <x v="3"/>
    </i>
  </colItems>
  <dataFields count="4">
    <dataField name=" Total Cost" fld="12" baseField="17" baseItem="9" numFmtId="167"/>
    <dataField name=" Elmnt Works Cost" fld="9" baseField="17" baseItem="9" numFmtId="167"/>
    <dataField name=" TM cost" fld="10" baseField="17" baseItem="9" numFmtId="167"/>
    <dataField name=" Add-on cost" fld="11" baseField="17" baseItem="9" numFmtId="167"/>
  </dataFields>
  <formats count="20">
    <format dxfId="278">
      <pivotArea outline="0" collapsedLevelsAreSubtotals="1" fieldPosition="0"/>
    </format>
    <format dxfId="277">
      <pivotArea outline="0" collapsedLevelsAreSubtotals="1" fieldPosition="0"/>
    </format>
    <format dxfId="276">
      <pivotArea outline="0" collapsedLevelsAreSubtotals="1" fieldPosition="0"/>
    </format>
    <format dxfId="275">
      <pivotArea type="all" dataOnly="0" outline="0" fieldPosition="0"/>
    </format>
    <format dxfId="274">
      <pivotArea outline="0" collapsedLevelsAreSubtotals="1" fieldPosition="0"/>
    </format>
    <format dxfId="273">
      <pivotArea type="origin" dataOnly="0" labelOnly="1" outline="0" fieldPosition="0"/>
    </format>
    <format dxfId="272">
      <pivotArea field="-2" type="button" dataOnly="0" labelOnly="1" outline="0" axis="axisCol" fieldPosition="0"/>
    </format>
    <format dxfId="271">
      <pivotArea type="topRight" dataOnly="0" labelOnly="1" outline="0" fieldPosition="0"/>
    </format>
    <format dxfId="270">
      <pivotArea type="all" dataOnly="0" outline="0" fieldPosition="0"/>
    </format>
    <format dxfId="269">
      <pivotArea outline="0" collapsedLevelsAreSubtotals="1" fieldPosition="0"/>
    </format>
    <format dxfId="268">
      <pivotArea type="origin" dataOnly="0" labelOnly="1" outline="0" fieldPosition="0"/>
    </format>
    <format dxfId="267">
      <pivotArea field="-2" type="button" dataOnly="0" labelOnly="1" outline="0" axis="axisCol" fieldPosition="0"/>
    </format>
    <format dxfId="266">
      <pivotArea type="topRight" dataOnly="0" labelOnly="1" outline="0" fieldPosition="0"/>
    </format>
    <format dxfId="265">
      <pivotArea field="17" type="button" dataOnly="0" labelOnly="1" outline="0" axis="axisRow" fieldPosition="0"/>
    </format>
    <format dxfId="264">
      <pivotArea dataOnly="0" labelOnly="1" outline="0" fieldPosition="0">
        <references count="1">
          <reference field="17" count="0"/>
        </references>
      </pivotArea>
    </format>
    <format dxfId="263">
      <pivotArea dataOnly="0" labelOnly="1" outline="0" fieldPosition="0">
        <references count="1">
          <reference field="4294967294" count="3">
            <x v="0"/>
            <x v="2"/>
            <x v="3"/>
          </reference>
        </references>
      </pivotArea>
    </format>
    <format dxfId="262">
      <pivotArea outline="0" fieldPosition="0">
        <references count="1">
          <reference field="4294967294" count="1">
            <x v="0"/>
          </reference>
        </references>
      </pivotArea>
    </format>
    <format dxfId="261">
      <pivotArea outline="0" fieldPosition="0">
        <references count="1">
          <reference field="4294967294" count="1">
            <x v="1"/>
          </reference>
        </references>
      </pivotArea>
    </format>
    <format dxfId="260">
      <pivotArea outline="0" fieldPosition="0">
        <references count="1">
          <reference field="4294967294" count="1">
            <x v="2"/>
          </reference>
        </references>
      </pivotArea>
    </format>
    <format dxfId="259">
      <pivotArea outline="0" fieldPosition="0">
        <references count="1">
          <reference field="4294967294" count="1">
            <x v="3"/>
          </reference>
        </references>
      </pivotArea>
    </format>
  </formats>
  <chartFormats count="99">
    <chartFormat chart="7" format="110" series="1">
      <pivotArea type="data" outline="0" fieldPosition="0"/>
    </chartFormat>
    <chartFormat chart="7" format="116" series="1">
      <pivotArea type="data" outline="0" fieldPosition="0">
        <references count="1">
          <reference field="4294967294" count="1" selected="0">
            <x v="2"/>
          </reference>
        </references>
      </pivotArea>
    </chartFormat>
    <chartFormat chart="7" format="117" series="1">
      <pivotArea type="data" outline="0" fieldPosition="0">
        <references count="1">
          <reference field="4294967294" count="1" selected="0">
            <x v="3"/>
          </reference>
        </references>
      </pivotArea>
    </chartFormat>
    <chartFormat chart="8" format="265" series="1">
      <pivotArea type="data" outline="0" fieldPosition="0">
        <references count="1">
          <reference field="4294967294" count="1" selected="0">
            <x v="2"/>
          </reference>
        </references>
      </pivotArea>
    </chartFormat>
    <chartFormat chart="8" format="266" series="1">
      <pivotArea type="data" outline="0" fieldPosition="0">
        <references count="1">
          <reference field="4294967294" count="1" selected="0">
            <x v="3"/>
          </reference>
        </references>
      </pivotArea>
    </chartFormat>
    <chartFormat chart="8" format="268" series="1">
      <pivotArea type="data" outline="0" fieldPosition="0">
        <references count="1">
          <reference field="4294967294" count="1" selected="0">
            <x v="0"/>
          </reference>
        </references>
      </pivotArea>
    </chartFormat>
    <chartFormat chart="8" format="269">
      <pivotArea type="data" outline="0" fieldPosition="0">
        <references count="2">
          <reference field="4294967294" count="1" selected="0">
            <x v="0"/>
          </reference>
          <reference field="17" count="1" selected="0">
            <x v="1"/>
          </reference>
        </references>
      </pivotArea>
    </chartFormat>
    <chartFormat chart="8" format="270">
      <pivotArea type="data" outline="0" fieldPosition="0">
        <references count="2">
          <reference field="4294967294" count="1" selected="0">
            <x v="0"/>
          </reference>
          <reference field="17" count="1" selected="0">
            <x v="2"/>
          </reference>
        </references>
      </pivotArea>
    </chartFormat>
    <chartFormat chart="8" format="271">
      <pivotArea type="data" outline="0" fieldPosition="0">
        <references count="2">
          <reference field="4294967294" count="1" selected="0">
            <x v="0"/>
          </reference>
          <reference field="17" count="1" selected="0">
            <x v="3"/>
          </reference>
        </references>
      </pivotArea>
    </chartFormat>
    <chartFormat chart="8" format="272">
      <pivotArea type="data" outline="0" fieldPosition="0">
        <references count="2">
          <reference field="4294967294" count="1" selected="0">
            <x v="0"/>
          </reference>
          <reference field="17" count="1" selected="0">
            <x v="4"/>
          </reference>
        </references>
      </pivotArea>
    </chartFormat>
    <chartFormat chart="8" format="273">
      <pivotArea type="data" outline="0" fieldPosition="0">
        <references count="2">
          <reference field="4294967294" count="1" selected="0">
            <x v="0"/>
          </reference>
          <reference field="17" count="1" selected="0">
            <x v="5"/>
          </reference>
        </references>
      </pivotArea>
    </chartFormat>
    <chartFormat chart="8" format="274">
      <pivotArea type="data" outline="0" fieldPosition="0">
        <references count="2">
          <reference field="4294967294" count="1" selected="0">
            <x v="0"/>
          </reference>
          <reference field="17" count="1" selected="0">
            <x v="7"/>
          </reference>
        </references>
      </pivotArea>
    </chartFormat>
    <chartFormat chart="8" format="275">
      <pivotArea type="data" outline="0" fieldPosition="0">
        <references count="2">
          <reference field="4294967294" count="1" selected="0">
            <x v="0"/>
          </reference>
          <reference field="17" count="1" selected="0">
            <x v="8"/>
          </reference>
        </references>
      </pivotArea>
    </chartFormat>
    <chartFormat chart="8" format="276">
      <pivotArea type="data" outline="0" fieldPosition="0">
        <references count="2">
          <reference field="4294967294" count="1" selected="0">
            <x v="0"/>
          </reference>
          <reference field="17" count="1" selected="0">
            <x v="9"/>
          </reference>
        </references>
      </pivotArea>
    </chartFormat>
    <chartFormat chart="8" format="279">
      <pivotArea type="data" outline="0" fieldPosition="0">
        <references count="2">
          <reference field="4294967294" count="1" selected="0">
            <x v="0"/>
          </reference>
          <reference field="17" count="1" selected="0">
            <x v="10"/>
          </reference>
        </references>
      </pivotArea>
    </chartFormat>
    <chartFormat chart="8" format="280">
      <pivotArea type="data" outline="0" fieldPosition="0">
        <references count="2">
          <reference field="4294967294" count="1" selected="0">
            <x v="0"/>
          </reference>
          <reference field="17" count="1" selected="0">
            <x v="12"/>
          </reference>
        </references>
      </pivotArea>
    </chartFormat>
    <chartFormat chart="8" format="282">
      <pivotArea type="data" outline="0" fieldPosition="0">
        <references count="2">
          <reference field="4294967294" count="1" selected="0">
            <x v="0"/>
          </reference>
          <reference field="17" count="1" selected="0">
            <x v="13"/>
          </reference>
        </references>
      </pivotArea>
    </chartFormat>
    <chartFormat chart="8" format="283">
      <pivotArea type="data" outline="0" fieldPosition="0">
        <references count="2">
          <reference field="4294967294" count="1" selected="0">
            <x v="0"/>
          </reference>
          <reference field="17" count="1" selected="0">
            <x v="11"/>
          </reference>
        </references>
      </pivotArea>
    </chartFormat>
    <chartFormat chart="8" format="284">
      <pivotArea type="data" outline="0" fieldPosition="0">
        <references count="2">
          <reference field="4294967294" count="1" selected="0">
            <x v="0"/>
          </reference>
          <reference field="17" count="1" selected="0">
            <x v="6"/>
          </reference>
        </references>
      </pivotArea>
    </chartFormat>
    <chartFormat chart="8" format="301">
      <pivotArea type="data" outline="0" fieldPosition="0">
        <references count="2">
          <reference field="4294967294" count="1" selected="0">
            <x v="2"/>
          </reference>
          <reference field="17" count="1" selected="0">
            <x v="1"/>
          </reference>
        </references>
      </pivotArea>
    </chartFormat>
    <chartFormat chart="8" format="302">
      <pivotArea type="data" outline="0" fieldPosition="0">
        <references count="2">
          <reference field="4294967294" count="1" selected="0">
            <x v="2"/>
          </reference>
          <reference field="17" count="1" selected="0">
            <x v="2"/>
          </reference>
        </references>
      </pivotArea>
    </chartFormat>
    <chartFormat chart="8" format="303">
      <pivotArea type="data" outline="0" fieldPosition="0">
        <references count="2">
          <reference field="4294967294" count="1" selected="0">
            <x v="2"/>
          </reference>
          <reference field="17" count="1" selected="0">
            <x v="3"/>
          </reference>
        </references>
      </pivotArea>
    </chartFormat>
    <chartFormat chart="8" format="304">
      <pivotArea type="data" outline="0" fieldPosition="0">
        <references count="2">
          <reference field="4294967294" count="1" selected="0">
            <x v="2"/>
          </reference>
          <reference field="17" count="1" selected="0">
            <x v="4"/>
          </reference>
        </references>
      </pivotArea>
    </chartFormat>
    <chartFormat chart="8" format="305">
      <pivotArea type="data" outline="0" fieldPosition="0">
        <references count="2">
          <reference field="4294967294" count="1" selected="0">
            <x v="2"/>
          </reference>
          <reference field="17" count="1" selected="0">
            <x v="5"/>
          </reference>
        </references>
      </pivotArea>
    </chartFormat>
    <chartFormat chart="8" format="306">
      <pivotArea type="data" outline="0" fieldPosition="0">
        <references count="2">
          <reference field="4294967294" count="1" selected="0">
            <x v="2"/>
          </reference>
          <reference field="17" count="1" selected="0">
            <x v="7"/>
          </reference>
        </references>
      </pivotArea>
    </chartFormat>
    <chartFormat chart="8" format="307">
      <pivotArea type="data" outline="0" fieldPosition="0">
        <references count="2">
          <reference field="4294967294" count="1" selected="0">
            <x v="2"/>
          </reference>
          <reference field="17" count="1" selected="0">
            <x v="8"/>
          </reference>
        </references>
      </pivotArea>
    </chartFormat>
    <chartFormat chart="8" format="308">
      <pivotArea type="data" outline="0" fieldPosition="0">
        <references count="2">
          <reference field="4294967294" count="1" selected="0">
            <x v="2"/>
          </reference>
          <reference field="17" count="1" selected="0">
            <x v="9"/>
          </reference>
        </references>
      </pivotArea>
    </chartFormat>
    <chartFormat chart="8" format="311">
      <pivotArea type="data" outline="0" fieldPosition="0">
        <references count="2">
          <reference field="4294967294" count="1" selected="0">
            <x v="2"/>
          </reference>
          <reference field="17" count="1" selected="0">
            <x v="10"/>
          </reference>
        </references>
      </pivotArea>
    </chartFormat>
    <chartFormat chart="8" format="312">
      <pivotArea type="data" outline="0" fieldPosition="0">
        <references count="2">
          <reference field="4294967294" count="1" selected="0">
            <x v="2"/>
          </reference>
          <reference field="17" count="1" selected="0">
            <x v="12"/>
          </reference>
        </references>
      </pivotArea>
    </chartFormat>
    <chartFormat chart="8" format="314">
      <pivotArea type="data" outline="0" fieldPosition="0">
        <references count="2">
          <reference field="4294967294" count="1" selected="0">
            <x v="2"/>
          </reference>
          <reference field="17" count="1" selected="0">
            <x v="13"/>
          </reference>
        </references>
      </pivotArea>
    </chartFormat>
    <chartFormat chart="8" format="315">
      <pivotArea type="data" outline="0" fieldPosition="0">
        <references count="2">
          <reference field="4294967294" count="1" selected="0">
            <x v="2"/>
          </reference>
          <reference field="17" count="1" selected="0">
            <x v="11"/>
          </reference>
        </references>
      </pivotArea>
    </chartFormat>
    <chartFormat chart="8" format="316">
      <pivotArea type="data" outline="0" fieldPosition="0">
        <references count="2">
          <reference field="4294967294" count="1" selected="0">
            <x v="2"/>
          </reference>
          <reference field="17" count="1" selected="0">
            <x v="6"/>
          </reference>
        </references>
      </pivotArea>
    </chartFormat>
    <chartFormat chart="8" format="317">
      <pivotArea type="data" outline="0" fieldPosition="0">
        <references count="2">
          <reference field="4294967294" count="1" selected="0">
            <x v="3"/>
          </reference>
          <reference field="17" count="1" selected="0">
            <x v="1"/>
          </reference>
        </references>
      </pivotArea>
    </chartFormat>
    <chartFormat chart="8" format="318">
      <pivotArea type="data" outline="0" fieldPosition="0">
        <references count="2">
          <reference field="4294967294" count="1" selected="0">
            <x v="3"/>
          </reference>
          <reference field="17" count="1" selected="0">
            <x v="2"/>
          </reference>
        </references>
      </pivotArea>
    </chartFormat>
    <chartFormat chart="8" format="319">
      <pivotArea type="data" outline="0" fieldPosition="0">
        <references count="2">
          <reference field="4294967294" count="1" selected="0">
            <x v="3"/>
          </reference>
          <reference field="17" count="1" selected="0">
            <x v="3"/>
          </reference>
        </references>
      </pivotArea>
    </chartFormat>
    <chartFormat chart="8" format="320">
      <pivotArea type="data" outline="0" fieldPosition="0">
        <references count="2">
          <reference field="4294967294" count="1" selected="0">
            <x v="3"/>
          </reference>
          <reference field="17" count="1" selected="0">
            <x v="4"/>
          </reference>
        </references>
      </pivotArea>
    </chartFormat>
    <chartFormat chart="8" format="321">
      <pivotArea type="data" outline="0" fieldPosition="0">
        <references count="2">
          <reference field="4294967294" count="1" selected="0">
            <x v="3"/>
          </reference>
          <reference field="17" count="1" selected="0">
            <x v="5"/>
          </reference>
        </references>
      </pivotArea>
    </chartFormat>
    <chartFormat chart="8" format="322">
      <pivotArea type="data" outline="0" fieldPosition="0">
        <references count="2">
          <reference field="4294967294" count="1" selected="0">
            <x v="3"/>
          </reference>
          <reference field="17" count="1" selected="0">
            <x v="7"/>
          </reference>
        </references>
      </pivotArea>
    </chartFormat>
    <chartFormat chart="8" format="323">
      <pivotArea type="data" outline="0" fieldPosition="0">
        <references count="2">
          <reference field="4294967294" count="1" selected="0">
            <x v="3"/>
          </reference>
          <reference field="17" count="1" selected="0">
            <x v="8"/>
          </reference>
        </references>
      </pivotArea>
    </chartFormat>
    <chartFormat chart="8" format="324">
      <pivotArea type="data" outline="0" fieldPosition="0">
        <references count="2">
          <reference field="4294967294" count="1" selected="0">
            <x v="3"/>
          </reference>
          <reference field="17" count="1" selected="0">
            <x v="9"/>
          </reference>
        </references>
      </pivotArea>
    </chartFormat>
    <chartFormat chart="8" format="327">
      <pivotArea type="data" outline="0" fieldPosition="0">
        <references count="2">
          <reference field="4294967294" count="1" selected="0">
            <x v="3"/>
          </reference>
          <reference field="17" count="1" selected="0">
            <x v="10"/>
          </reference>
        </references>
      </pivotArea>
    </chartFormat>
    <chartFormat chart="8" format="328">
      <pivotArea type="data" outline="0" fieldPosition="0">
        <references count="2">
          <reference field="4294967294" count="1" selected="0">
            <x v="3"/>
          </reference>
          <reference field="17" count="1" selected="0">
            <x v="12"/>
          </reference>
        </references>
      </pivotArea>
    </chartFormat>
    <chartFormat chart="8" format="330">
      <pivotArea type="data" outline="0" fieldPosition="0">
        <references count="2">
          <reference field="4294967294" count="1" selected="0">
            <x v="3"/>
          </reference>
          <reference field="17" count="1" selected="0">
            <x v="13"/>
          </reference>
        </references>
      </pivotArea>
    </chartFormat>
    <chartFormat chart="8" format="331">
      <pivotArea type="data" outline="0" fieldPosition="0">
        <references count="2">
          <reference field="4294967294" count="1" selected="0">
            <x v="3"/>
          </reference>
          <reference field="17" count="1" selected="0">
            <x v="11"/>
          </reference>
        </references>
      </pivotArea>
    </chartFormat>
    <chartFormat chart="8" format="332">
      <pivotArea type="data" outline="0" fieldPosition="0">
        <references count="2">
          <reference field="4294967294" count="1" selected="0">
            <x v="3"/>
          </reference>
          <reference field="17" count="1" selected="0">
            <x v="6"/>
          </reference>
        </references>
      </pivotArea>
    </chartFormat>
    <chartFormat chart="8" format="349">
      <pivotArea type="data" outline="0" fieldPosition="0">
        <references count="2">
          <reference field="4294967294" count="1" selected="0">
            <x v="0"/>
          </reference>
          <reference field="17" count="1" selected="0">
            <x v="0"/>
          </reference>
        </references>
      </pivotArea>
    </chartFormat>
    <chartFormat chart="8" format="351">
      <pivotArea type="data" outline="0" fieldPosition="0">
        <references count="2">
          <reference field="4294967294" count="1" selected="0">
            <x v="2"/>
          </reference>
          <reference field="17" count="1" selected="0">
            <x v="0"/>
          </reference>
        </references>
      </pivotArea>
    </chartFormat>
    <chartFormat chart="8" format="352">
      <pivotArea type="data" outline="0" fieldPosition="0">
        <references count="2">
          <reference field="4294967294" count="1" selected="0">
            <x v="3"/>
          </reference>
          <reference field="17" count="1" selected="0">
            <x v="0"/>
          </reference>
        </references>
      </pivotArea>
    </chartFormat>
    <chartFormat chart="8" format="354" series="1">
      <pivotArea type="data" outline="0" fieldPosition="0">
        <references count="1">
          <reference field="4294967294" count="1" selected="0">
            <x v="1"/>
          </reference>
        </references>
      </pivotArea>
    </chartFormat>
    <chartFormat chart="8" format="355">
      <pivotArea type="data" outline="0" fieldPosition="0">
        <references count="2">
          <reference field="4294967294" count="1" selected="0">
            <x v="1"/>
          </reference>
          <reference field="17" count="1" selected="0">
            <x v="1"/>
          </reference>
        </references>
      </pivotArea>
    </chartFormat>
    <chartFormat chart="8" format="356">
      <pivotArea type="data" outline="0" fieldPosition="0">
        <references count="2">
          <reference field="4294967294" count="1" selected="0">
            <x v="1"/>
          </reference>
          <reference field="17" count="1" selected="0">
            <x v="2"/>
          </reference>
        </references>
      </pivotArea>
    </chartFormat>
    <chartFormat chart="8" format="357">
      <pivotArea type="data" outline="0" fieldPosition="0">
        <references count="2">
          <reference field="4294967294" count="1" selected="0">
            <x v="1"/>
          </reference>
          <reference field="17" count="1" selected="0">
            <x v="3"/>
          </reference>
        </references>
      </pivotArea>
    </chartFormat>
    <chartFormat chart="8" format="358">
      <pivotArea type="data" outline="0" fieldPosition="0">
        <references count="2">
          <reference field="4294967294" count="1" selected="0">
            <x v="1"/>
          </reference>
          <reference field="17" count="1" selected="0">
            <x v="4"/>
          </reference>
        </references>
      </pivotArea>
    </chartFormat>
    <chartFormat chart="8" format="359">
      <pivotArea type="data" outline="0" fieldPosition="0">
        <references count="2">
          <reference field="4294967294" count="1" selected="0">
            <x v="1"/>
          </reference>
          <reference field="17" count="1" selected="0">
            <x v="5"/>
          </reference>
        </references>
      </pivotArea>
    </chartFormat>
    <chartFormat chart="8" format="360">
      <pivotArea type="data" outline="0" fieldPosition="0">
        <references count="2">
          <reference field="4294967294" count="1" selected="0">
            <x v="1"/>
          </reference>
          <reference field="17" count="1" selected="0">
            <x v="6"/>
          </reference>
        </references>
      </pivotArea>
    </chartFormat>
    <chartFormat chart="8" format="361">
      <pivotArea type="data" outline="0" fieldPosition="0">
        <references count="2">
          <reference field="4294967294" count="1" selected="0">
            <x v="1"/>
          </reference>
          <reference field="17" count="1" selected="0">
            <x v="7"/>
          </reference>
        </references>
      </pivotArea>
    </chartFormat>
    <chartFormat chart="8" format="362">
      <pivotArea type="data" outline="0" fieldPosition="0">
        <references count="2">
          <reference field="4294967294" count="1" selected="0">
            <x v="1"/>
          </reference>
          <reference field="17" count="1" selected="0">
            <x v="8"/>
          </reference>
        </references>
      </pivotArea>
    </chartFormat>
    <chartFormat chart="8" format="363">
      <pivotArea type="data" outline="0" fieldPosition="0">
        <references count="2">
          <reference field="4294967294" count="1" selected="0">
            <x v="1"/>
          </reference>
          <reference field="17" count="1" selected="0">
            <x v="9"/>
          </reference>
        </references>
      </pivotArea>
    </chartFormat>
    <chartFormat chart="8" format="364">
      <pivotArea type="data" outline="0" fieldPosition="0">
        <references count="2">
          <reference field="4294967294" count="1" selected="0">
            <x v="1"/>
          </reference>
          <reference field="17" count="1" selected="0">
            <x v="10"/>
          </reference>
        </references>
      </pivotArea>
    </chartFormat>
    <chartFormat chart="8" format="365">
      <pivotArea type="data" outline="0" fieldPosition="0">
        <references count="2">
          <reference field="4294967294" count="1" selected="0">
            <x v="1"/>
          </reference>
          <reference field="17" count="1" selected="0">
            <x v="11"/>
          </reference>
        </references>
      </pivotArea>
    </chartFormat>
    <chartFormat chart="8" format="366">
      <pivotArea type="data" outline="0" fieldPosition="0">
        <references count="2">
          <reference field="4294967294" count="1" selected="0">
            <x v="1"/>
          </reference>
          <reference field="17" count="1" selected="0">
            <x v="12"/>
          </reference>
        </references>
      </pivotArea>
    </chartFormat>
    <chartFormat chart="8" format="367">
      <pivotArea type="data" outline="0" fieldPosition="0">
        <references count="2">
          <reference field="4294967294" count="1" selected="0">
            <x v="0"/>
          </reference>
          <reference field="17" count="1" selected="0">
            <x v="17"/>
          </reference>
        </references>
      </pivotArea>
    </chartFormat>
    <chartFormat chart="8" format="368">
      <pivotArea type="data" outline="0" fieldPosition="0">
        <references count="2">
          <reference field="4294967294" count="1" selected="0">
            <x v="1"/>
          </reference>
          <reference field="17" count="1" selected="0">
            <x v="17"/>
          </reference>
        </references>
      </pivotArea>
    </chartFormat>
    <chartFormat chart="8" format="369">
      <pivotArea type="data" outline="0" fieldPosition="0">
        <references count="2">
          <reference field="4294967294" count="1" selected="0">
            <x v="2"/>
          </reference>
          <reference field="17" count="1" selected="0">
            <x v="17"/>
          </reference>
        </references>
      </pivotArea>
    </chartFormat>
    <chartFormat chart="8" format="370">
      <pivotArea type="data" outline="0" fieldPosition="0">
        <references count="2">
          <reference field="4294967294" count="1" selected="0">
            <x v="3"/>
          </reference>
          <reference field="17" count="1" selected="0">
            <x v="17"/>
          </reference>
        </references>
      </pivotArea>
    </chartFormat>
    <chartFormat chart="8" format="371">
      <pivotArea type="data" outline="0" fieldPosition="0">
        <references count="2">
          <reference field="4294967294" count="1" selected="0">
            <x v="0"/>
          </reference>
          <reference field="17" count="1" selected="0">
            <x v="18"/>
          </reference>
        </references>
      </pivotArea>
    </chartFormat>
    <chartFormat chart="8" format="372">
      <pivotArea type="data" outline="0" fieldPosition="0">
        <references count="2">
          <reference field="4294967294" count="1" selected="0">
            <x v="1"/>
          </reference>
          <reference field="17" count="1" selected="0">
            <x v="18"/>
          </reference>
        </references>
      </pivotArea>
    </chartFormat>
    <chartFormat chart="8" format="373">
      <pivotArea type="data" outline="0" fieldPosition="0">
        <references count="2">
          <reference field="4294967294" count="1" selected="0">
            <x v="2"/>
          </reference>
          <reference field="17" count="1" selected="0">
            <x v="18"/>
          </reference>
        </references>
      </pivotArea>
    </chartFormat>
    <chartFormat chart="8" format="374">
      <pivotArea type="data" outline="0" fieldPosition="0">
        <references count="2">
          <reference field="4294967294" count="1" selected="0">
            <x v="3"/>
          </reference>
          <reference field="17" count="1" selected="0">
            <x v="18"/>
          </reference>
        </references>
      </pivotArea>
    </chartFormat>
    <chartFormat chart="8" format="375">
      <pivotArea type="data" outline="0" fieldPosition="0">
        <references count="2">
          <reference field="4294967294" count="1" selected="0">
            <x v="0"/>
          </reference>
          <reference field="17" count="1" selected="0">
            <x v="19"/>
          </reference>
        </references>
      </pivotArea>
    </chartFormat>
    <chartFormat chart="8" format="376">
      <pivotArea type="data" outline="0" fieldPosition="0">
        <references count="2">
          <reference field="4294967294" count="1" selected="0">
            <x v="1"/>
          </reference>
          <reference field="17" count="1" selected="0">
            <x v="19"/>
          </reference>
        </references>
      </pivotArea>
    </chartFormat>
    <chartFormat chart="8" format="377">
      <pivotArea type="data" outline="0" fieldPosition="0">
        <references count="2">
          <reference field="4294967294" count="1" selected="0">
            <x v="2"/>
          </reference>
          <reference field="17" count="1" selected="0">
            <x v="19"/>
          </reference>
        </references>
      </pivotArea>
    </chartFormat>
    <chartFormat chart="8" format="378">
      <pivotArea type="data" outline="0" fieldPosition="0">
        <references count="2">
          <reference field="4294967294" count="1" selected="0">
            <x v="3"/>
          </reference>
          <reference field="17" count="1" selected="0">
            <x v="19"/>
          </reference>
        </references>
      </pivotArea>
    </chartFormat>
    <chartFormat chart="8" format="379">
      <pivotArea type="data" outline="0" fieldPosition="0">
        <references count="2">
          <reference field="4294967294" count="1" selected="0">
            <x v="0"/>
          </reference>
          <reference field="17" count="1" selected="0">
            <x v="15"/>
          </reference>
        </references>
      </pivotArea>
    </chartFormat>
    <chartFormat chart="8" format="380">
      <pivotArea type="data" outline="0" fieldPosition="0">
        <references count="2">
          <reference field="4294967294" count="1" selected="0">
            <x v="1"/>
          </reference>
          <reference field="17" count="1" selected="0">
            <x v="0"/>
          </reference>
        </references>
      </pivotArea>
    </chartFormat>
    <chartFormat chart="8" format="381">
      <pivotArea type="data" outline="0" fieldPosition="0">
        <references count="2">
          <reference field="4294967294" count="1" selected="0">
            <x v="1"/>
          </reference>
          <reference field="17" count="1" selected="0">
            <x v="15"/>
          </reference>
        </references>
      </pivotArea>
    </chartFormat>
    <chartFormat chart="8" format="382">
      <pivotArea type="data" outline="0" fieldPosition="0">
        <references count="2">
          <reference field="4294967294" count="1" selected="0">
            <x v="2"/>
          </reference>
          <reference field="17" count="1" selected="0">
            <x v="15"/>
          </reference>
        </references>
      </pivotArea>
    </chartFormat>
    <chartFormat chart="8" format="383">
      <pivotArea type="data" outline="0" fieldPosition="0">
        <references count="2">
          <reference field="4294967294" count="1" selected="0">
            <x v="3"/>
          </reference>
          <reference field="17" count="1" selected="0">
            <x v="15"/>
          </reference>
        </references>
      </pivotArea>
    </chartFormat>
    <chartFormat chart="8" format="384">
      <pivotArea type="data" outline="0" fieldPosition="0">
        <references count="1">
          <reference field="4294967294" count="1" selected="0">
            <x v="0"/>
          </reference>
        </references>
      </pivotArea>
    </chartFormat>
    <chartFormat chart="8" format="385">
      <pivotArea type="data" outline="0" fieldPosition="0">
        <references count="1">
          <reference field="4294967294" count="1" selected="0">
            <x v="1"/>
          </reference>
        </references>
      </pivotArea>
    </chartFormat>
    <chartFormat chart="8" format="386">
      <pivotArea type="data" outline="0" fieldPosition="0">
        <references count="1">
          <reference field="4294967294" count="1" selected="0">
            <x v="2"/>
          </reference>
        </references>
      </pivotArea>
    </chartFormat>
    <chartFormat chart="8" format="387">
      <pivotArea type="data" outline="0" fieldPosition="0">
        <references count="1">
          <reference field="4294967294" count="1" selected="0">
            <x v="3"/>
          </reference>
        </references>
      </pivotArea>
    </chartFormat>
    <chartFormat chart="8" format="388">
      <pivotArea type="data" outline="0" fieldPosition="0">
        <references count="2">
          <reference field="4294967294" count="1" selected="0">
            <x v="0"/>
          </reference>
          <reference field="17" count="1" selected="0">
            <x v="20"/>
          </reference>
        </references>
      </pivotArea>
    </chartFormat>
    <chartFormat chart="8" format="389">
      <pivotArea type="data" outline="0" fieldPosition="0">
        <references count="2">
          <reference field="4294967294" count="1" selected="0">
            <x v="1"/>
          </reference>
          <reference field="17" count="1" selected="0">
            <x v="20"/>
          </reference>
        </references>
      </pivotArea>
    </chartFormat>
    <chartFormat chart="8" format="390">
      <pivotArea type="data" outline="0" fieldPosition="0">
        <references count="2">
          <reference field="4294967294" count="1" selected="0">
            <x v="2"/>
          </reference>
          <reference field="17" count="1" selected="0">
            <x v="20"/>
          </reference>
        </references>
      </pivotArea>
    </chartFormat>
    <chartFormat chart="8" format="391">
      <pivotArea type="data" outline="0" fieldPosition="0">
        <references count="2">
          <reference field="4294967294" count="1" selected="0">
            <x v="3"/>
          </reference>
          <reference field="17" count="1" selected="0">
            <x v="20"/>
          </reference>
        </references>
      </pivotArea>
    </chartFormat>
    <chartFormat chart="8" format="392">
      <pivotArea type="data" outline="0" fieldPosition="0">
        <references count="2">
          <reference field="4294967294" count="1" selected="0">
            <x v="0"/>
          </reference>
          <reference field="17" count="1" selected="0">
            <x v="22"/>
          </reference>
        </references>
      </pivotArea>
    </chartFormat>
    <chartFormat chart="8" format="393">
      <pivotArea type="data" outline="0" fieldPosition="0">
        <references count="2">
          <reference field="4294967294" count="1" selected="0">
            <x v="0"/>
          </reference>
          <reference field="17" count="1" selected="0">
            <x v="23"/>
          </reference>
        </references>
      </pivotArea>
    </chartFormat>
    <chartFormat chart="8" format="394">
      <pivotArea type="data" outline="0" fieldPosition="0">
        <references count="2">
          <reference field="4294967294" count="1" selected="0">
            <x v="1"/>
          </reference>
          <reference field="17" count="1" selected="0">
            <x v="22"/>
          </reference>
        </references>
      </pivotArea>
    </chartFormat>
    <chartFormat chart="8" format="395">
      <pivotArea type="data" outline="0" fieldPosition="0">
        <references count="2">
          <reference field="4294967294" count="1" selected="0">
            <x v="1"/>
          </reference>
          <reference field="17" count="1" selected="0">
            <x v="23"/>
          </reference>
        </references>
      </pivotArea>
    </chartFormat>
    <chartFormat chart="8" format="396">
      <pivotArea type="data" outline="0" fieldPosition="0">
        <references count="2">
          <reference field="4294967294" count="1" selected="0">
            <x v="2"/>
          </reference>
          <reference field="17" count="1" selected="0">
            <x v="22"/>
          </reference>
        </references>
      </pivotArea>
    </chartFormat>
    <chartFormat chart="8" format="397">
      <pivotArea type="data" outline="0" fieldPosition="0">
        <references count="2">
          <reference field="4294967294" count="1" selected="0">
            <x v="2"/>
          </reference>
          <reference field="17" count="1" selected="0">
            <x v="23"/>
          </reference>
        </references>
      </pivotArea>
    </chartFormat>
    <chartFormat chart="8" format="398">
      <pivotArea type="data" outline="0" fieldPosition="0">
        <references count="2">
          <reference field="4294967294" count="1" selected="0">
            <x v="3"/>
          </reference>
          <reference field="17" count="1" selected="0">
            <x v="22"/>
          </reference>
        </references>
      </pivotArea>
    </chartFormat>
    <chartFormat chart="8" format="399">
      <pivotArea type="data" outline="0" fieldPosition="0">
        <references count="2">
          <reference field="4294967294" count="1" selected="0">
            <x v="3"/>
          </reference>
          <reference field="17" count="1" selected="0">
            <x v="23"/>
          </reference>
        </references>
      </pivotArea>
    </chartFormat>
    <chartFormat chart="8" format="400">
      <pivotArea type="data" outline="0" fieldPosition="0">
        <references count="2">
          <reference field="4294967294" count="1" selected="0">
            <x v="1"/>
          </reference>
          <reference field="17" count="1" selected="0">
            <x v="13"/>
          </reference>
        </references>
      </pivotArea>
    </chartFormat>
    <chartFormat chart="8" format="417">
      <pivotArea type="data" outline="0" fieldPosition="0">
        <references count="2">
          <reference field="4294967294" count="1" selected="0">
            <x v="0"/>
          </reference>
          <reference field="17" count="1" selected="0">
            <x v="26"/>
          </reference>
        </references>
      </pivotArea>
    </chartFormat>
    <chartFormat chart="8" format="418">
      <pivotArea type="data" outline="0" fieldPosition="0">
        <references count="2">
          <reference field="4294967294" count="1" selected="0">
            <x v="1"/>
          </reference>
          <reference field="17" count="1" selected="0">
            <x v="26"/>
          </reference>
        </references>
      </pivotArea>
    </chartFormat>
    <chartFormat chart="8" format="419">
      <pivotArea type="data" outline="0" fieldPosition="0">
        <references count="2">
          <reference field="4294967294" count="1" selected="0">
            <x v="2"/>
          </reference>
          <reference field="17" count="1" selected="0">
            <x v="26"/>
          </reference>
        </references>
      </pivotArea>
    </chartFormat>
    <chartFormat chart="8" format="420">
      <pivotArea type="data" outline="0" fieldPosition="0">
        <references count="2">
          <reference field="4294967294" count="1" selected="0">
            <x v="3"/>
          </reference>
          <reference field="17" count="1" selected="0">
            <x v="2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37D8472-16B8-4D92-9E44-3DB0D701E6A9}" name="PivotTable1" cacheId="1" applyNumberFormats="0" applyBorderFormats="0" applyFontFormats="0" applyPatternFormats="0" applyAlignmentFormats="0" applyWidthHeightFormats="1" dataCaption="Values" updatedVersion="8" minRefreshableVersion="3" enableDrill="0" colGrandTotals="0" itemPrintTitles="1" createdVersion="6" indent="0" compact="0" compactData="0" multipleFieldFilters="0">
  <location ref="A5:L6" firstHeaderRow="0" firstDataRow="1" firstDataCol="8"/>
  <pivotFields count="18">
    <pivotField compact="0" outline="0" showAll="0" defaultSubtotal="0"/>
    <pivotField compact="0" outline="0" showAll="0" defaultSubtotal="0"/>
    <pivotField axis="axisRow" compact="0" outline="0" showAll="0" defaultSubtotal="0">
      <items count="854">
        <item m="1" x="299"/>
        <item m="1" x="365"/>
        <item m="1" x="751"/>
        <item m="1" x="325"/>
        <item m="1" x="734"/>
        <item m="1" x="316"/>
        <item m="1" x="763"/>
        <item m="1" x="386"/>
        <item m="1" x="755"/>
        <item m="1" x="746"/>
        <item m="1" x="337"/>
        <item m="1" x="406"/>
        <item m="1" x="384"/>
        <item m="1" x="753"/>
        <item m="1" x="745"/>
        <item m="1" x="335"/>
        <item m="1" x="766"/>
        <item m="1" x="465"/>
        <item m="1" x="436"/>
        <item m="1" x="778"/>
        <item m="1" x="836"/>
        <item m="1" x="838"/>
        <item m="1" x="825"/>
        <item m="1" x="331"/>
        <item m="1" x="756"/>
        <item m="1" x="850"/>
        <item m="1" x="480"/>
        <item m="1" x="654"/>
        <item m="1" x="535"/>
        <item m="1" x="820"/>
        <item x="0"/>
        <item m="1" x="684"/>
        <item m="1" x="324"/>
        <item m="1" x="747"/>
        <item m="1" x="839"/>
        <item m="1" x="742"/>
        <item m="1" x="560"/>
        <item m="1" x="761"/>
        <item m="1" x="770"/>
        <item m="1" x="302"/>
        <item m="1" x="748"/>
        <item m="1" x="832"/>
        <item m="1" x="827"/>
        <item m="1" x="424"/>
        <item m="1" x="744"/>
        <item m="1" x="798"/>
        <item m="1" x="711"/>
        <item m="1" x="1"/>
        <item m="1" x="647"/>
        <item m="1" x="688"/>
        <item m="1" x="2"/>
        <item m="1" x="719"/>
        <item m="1" x="3"/>
        <item m="1" x="736"/>
        <item m="1" x="581"/>
        <item m="1" x="614"/>
        <item m="1" x="704"/>
        <item m="1" x="714"/>
        <item m="1" x="720"/>
        <item m="1" x="737"/>
        <item m="1" x="582"/>
        <item m="1" x="615"/>
        <item m="1" x="649"/>
        <item m="1" x="670"/>
        <item m="1" x="705"/>
        <item m="1" x="715"/>
        <item m="1" x="721"/>
        <item m="1" x="728"/>
        <item m="1" x="738"/>
        <item m="1" x="4"/>
        <item m="1" x="671"/>
        <item m="1" x="5"/>
        <item m="1" x="716"/>
        <item m="1" x="722"/>
        <item m="1" x="729"/>
        <item m="1" x="192"/>
        <item m="1" x="583"/>
        <item m="1" x="6"/>
        <item m="1" x="651"/>
        <item m="1" x="672"/>
        <item m="1" x="689"/>
        <item m="1" x="707"/>
        <item m="1" x="717"/>
        <item m="1" x="739"/>
        <item m="1" x="690"/>
        <item m="1" x="708"/>
        <item m="1" x="718"/>
        <item m="1" x="724"/>
        <item m="1" x="730"/>
        <item m="1" x="740"/>
        <item m="1" x="300"/>
        <item m="1" x="301"/>
        <item m="1" x="382"/>
        <item m="1" x="418"/>
        <item m="1" x="491"/>
        <item m="1" x="421"/>
        <item m="1" x="486"/>
        <item m="1" x="524"/>
        <item m="1" x="803"/>
        <item m="1" x="437"/>
        <item m="1" x="481"/>
        <item m="1" x="816"/>
        <item m="1" x="507"/>
        <item m="1" x="525"/>
        <item m="1" x="505"/>
        <item m="1" x="540"/>
        <item m="1" x="785"/>
        <item m="1" x="529"/>
        <item m="1" x="799"/>
        <item m="1" x="791"/>
        <item m="1" x="784"/>
        <item m="1" x="804"/>
        <item m="1" x="801"/>
        <item m="1" x="571"/>
        <item m="1" x="813"/>
        <item m="1" x="641"/>
        <item m="1" x="660"/>
        <item m="1" x="685"/>
        <item m="1" x="841"/>
        <item m="1" x="848"/>
        <item m="1" x="851"/>
        <item m="1" x="701"/>
        <item m="1" x="698"/>
        <item m="1" x="167"/>
        <item m="1" x="811"/>
        <item m="1" x="807"/>
        <item m="1" x="295"/>
        <item m="1" x="573"/>
        <item m="1" x="555"/>
        <item m="1" x="297"/>
        <item m="1" x="845"/>
        <item m="1" x="819"/>
        <item m="1" x="626"/>
        <item m="1" x="303"/>
        <item m="1" x="842"/>
        <item m="1" x="694"/>
        <item m="1" x="308"/>
        <item m="1" x="713"/>
        <item m="1" x="760"/>
        <item m="1" x="445"/>
        <item m="1" x="429"/>
        <item m="1" x="781"/>
        <item m="1" x="549"/>
        <item m="1" x="650"/>
        <item m="1" x="619"/>
        <item m="1" x="359"/>
        <item m="1" x="17"/>
        <item m="1" x="19"/>
        <item m="1" x="21"/>
        <item m="1" x="633"/>
        <item m="1" x="28"/>
        <item m="1" x="333"/>
        <item m="1" x="376"/>
        <item m="1" x="323"/>
        <item m="1" x="415"/>
        <item m="1" x="434"/>
        <item m="1" x="31"/>
        <item m="1" x="32"/>
        <item m="1" x="489"/>
        <item m="1" x="510"/>
        <item m="1" x="311"/>
        <item m="1" x="313"/>
        <item m="1" x="360"/>
        <item m="1" x="336"/>
        <item m="1" x="49"/>
        <item m="1" x="62"/>
        <item m="1" x="566"/>
        <item m="1" x="533"/>
        <item m="1" x="85"/>
        <item m="1" x="428"/>
        <item m="1" x="545"/>
        <item m="1" x="532"/>
        <item m="1" x="88"/>
        <item m="1" x="91"/>
        <item m="1" x="592"/>
        <item m="1" x="126"/>
        <item m="1" x="413"/>
        <item m="1" x="133"/>
        <item m="1" x="134"/>
        <item m="1" x="135"/>
        <item m="1" x="136"/>
        <item m="1" x="137"/>
        <item m="1" x="645"/>
        <item m="1" x="749"/>
        <item m="1" x="383"/>
        <item m="1" x="512"/>
        <item m="1" x="160"/>
        <item m="1" x="165"/>
        <item m="1" x="169"/>
        <item m="1" x="802"/>
        <item m="1" x="488"/>
        <item m="1" x="797"/>
        <item m="1" x="773"/>
        <item m="1" x="777"/>
        <item m="1" x="852"/>
        <item m="1" x="427"/>
        <item m="1" x="783"/>
        <item m="1" x="834"/>
        <item m="1" x="833"/>
        <item m="1" x="831"/>
        <item m="1" x="681"/>
        <item m="1" x="826"/>
        <item m="1" x="305"/>
        <item m="1" x="304"/>
        <item m="1" x="472"/>
        <item m="1" x="787"/>
        <item m="1" x="844"/>
        <item m="1" x="843"/>
        <item m="1" x="599"/>
        <item m="1" x="307"/>
        <item m="1" x="757"/>
        <item m="1" x="668"/>
        <item m="1" x="849"/>
        <item m="1" x="309"/>
        <item m="1" x="306"/>
        <item m="1" x="410"/>
        <item m="1" x="606"/>
        <item m="1" x="847"/>
        <item m="1" x="661"/>
        <item m="1" x="702"/>
        <item m="1" x="449"/>
        <item m="1" x="822"/>
        <item m="1" x="829"/>
        <item m="1" x="846"/>
        <item m="1" x="700"/>
        <item m="1" x="735"/>
        <item m="1" x="687"/>
        <item m="1" x="835"/>
        <item m="1" x="853"/>
        <item m="1" x="8"/>
        <item m="1" x="15"/>
        <item m="1" x="20"/>
        <item m="1" x="22"/>
        <item m="1" x="29"/>
        <item m="1" x="30"/>
        <item m="1" x="33"/>
        <item m="1" x="37"/>
        <item m="1" x="41"/>
        <item m="1" x="53"/>
        <item m="1" x="54"/>
        <item m="1" x="56"/>
        <item m="1" x="57"/>
        <item m="1" x="58"/>
        <item m="1" x="64"/>
        <item m="1" x="65"/>
        <item m="1" x="66"/>
        <item m="1" x="71"/>
        <item m="1" x="73"/>
        <item m="1" x="74"/>
        <item m="1" x="77"/>
        <item m="1" x="78"/>
        <item m="1" x="81"/>
        <item m="1" x="89"/>
        <item m="1" x="93"/>
        <item m="1" x="95"/>
        <item m="1" x="96"/>
        <item m="1" x="97"/>
        <item m="1" x="102"/>
        <item m="1" x="108"/>
        <item m="1" x="111"/>
        <item m="1" x="112"/>
        <item m="1" x="118"/>
        <item m="1" x="120"/>
        <item m="1" x="124"/>
        <item m="1" x="127"/>
        <item m="1" x="139"/>
        <item m="1" x="140"/>
        <item m="1" x="144"/>
        <item m="1" x="145"/>
        <item m="1" x="148"/>
        <item m="1" x="149"/>
        <item m="1" x="152"/>
        <item m="1" x="153"/>
        <item m="1" x="158"/>
        <item m="1" x="162"/>
        <item m="1" x="163"/>
        <item m="1" x="168"/>
        <item m="1" x="171"/>
        <item m="1" x="172"/>
        <item m="1" x="173"/>
        <item m="1" x="175"/>
        <item m="1" x="176"/>
        <item m="1" x="180"/>
        <item m="1" x="191"/>
        <item m="1" x="7"/>
        <item m="1" x="725"/>
        <item m="1" x="731"/>
        <item m="1" x="9"/>
        <item m="1" x="655"/>
        <item m="1" x="11"/>
        <item m="1" x="12"/>
        <item m="1" x="13"/>
        <item m="1" x="14"/>
        <item m="1" x="16"/>
        <item m="1" x="18"/>
        <item m="1" x="476"/>
        <item m="1" x="23"/>
        <item m="1" x="24"/>
        <item m="1" x="25"/>
        <item m="1" x="198"/>
        <item m="1" x="345"/>
        <item m="1" x="34"/>
        <item m="1" x="36"/>
        <item m="1" x="38"/>
        <item m="1" x="39"/>
        <item m="1" x="40"/>
        <item m="1" x="42"/>
        <item m="1" x="43"/>
        <item m="1" x="44"/>
        <item m="1" x="45"/>
        <item m="1" x="46"/>
        <item m="1" x="47"/>
        <item m="1" x="361"/>
        <item m="1" x="48"/>
        <item m="1" x="50"/>
        <item m="1" x="55"/>
        <item m="1" x="531"/>
        <item m="1" x="67"/>
        <item m="1" x="69"/>
        <item m="1" x="70"/>
        <item m="1" x="72"/>
        <item m="1" x="75"/>
        <item m="1" x="76"/>
        <item m="1" x="79"/>
        <item m="1" x="658"/>
        <item m="1" x="82"/>
        <item m="1" x="83"/>
        <item m="1" x="84"/>
        <item m="1" x="485"/>
        <item m="1" x="86"/>
        <item m="1" x="87"/>
        <item m="1" x="579"/>
        <item m="1" x="591"/>
        <item m="1" x="90"/>
        <item m="1" x="94"/>
        <item m="1" x="98"/>
        <item m="1" x="99"/>
        <item m="1" x="100"/>
        <item m="1" x="101"/>
        <item m="1" x="103"/>
        <item m="1" x="104"/>
        <item m="1" x="106"/>
        <item m="1" x="107"/>
        <item m="1" x="109"/>
        <item m="1" x="110"/>
        <item m="1" x="608"/>
        <item m="1" x="115"/>
        <item m="1" x="116"/>
        <item m="1" x="117"/>
        <item m="1" x="119"/>
        <item m="1" x="121"/>
        <item m="1" x="122"/>
        <item m="1" x="538"/>
        <item m="1" x="123"/>
        <item m="1" x="125"/>
        <item m="1" x="128"/>
        <item m="1" x="130"/>
        <item m="1" x="131"/>
        <item m="1" x="132"/>
        <item m="1" x="503"/>
        <item m="1" x="138"/>
        <item m="1" x="261"/>
        <item m="1" x="264"/>
        <item m="1" x="141"/>
        <item m="1" x="265"/>
        <item m="1" x="142"/>
        <item m="1" x="143"/>
        <item m="1" x="349"/>
        <item m="1" x="151"/>
        <item m="1" x="387"/>
        <item m="1" x="156"/>
        <item m="1" x="159"/>
        <item m="1" x="161"/>
        <item m="1" x="164"/>
        <item m="1" x="166"/>
        <item m="1" x="810"/>
        <item m="1" x="568"/>
        <item m="1" x="808"/>
        <item m="1" x="170"/>
        <item m="1" x="174"/>
        <item m="1" x="817"/>
        <item m="1" x="177"/>
        <item m="1" x="178"/>
        <item m="1" x="179"/>
        <item m="1" x="181"/>
        <item m="1" x="182"/>
        <item m="1" x="183"/>
        <item m="1" x="184"/>
        <item m="1" x="185"/>
        <item m="1" x="186"/>
        <item m="1" x="187"/>
        <item m="1" x="188"/>
        <item m="1" x="659"/>
        <item m="1" x="189"/>
        <item m="1" x="190"/>
        <item m="1" x="706"/>
        <item m="1" x="723"/>
        <item m="1" x="652"/>
        <item m="1" x="692"/>
        <item m="1" x="732"/>
        <item m="1" x="10"/>
        <item m="1" x="726"/>
        <item m="1" x="358"/>
        <item m="1" x="193"/>
        <item m="1" x="332"/>
        <item m="1" x="395"/>
        <item m="1" x="194"/>
        <item m="1" x="195"/>
        <item m="1" x="196"/>
        <item m="1" x="377"/>
        <item m="1" x="197"/>
        <item m="1" x="562"/>
        <item m="1" x="438"/>
        <item m="1" x="563"/>
        <item m="1" x="600"/>
        <item m="1" x="565"/>
        <item m="1" x="603"/>
        <item m="1" x="586"/>
        <item m="1" x="26"/>
        <item m="1" x="662"/>
        <item m="1" x="27"/>
        <item m="1" x="634"/>
        <item m="1" x="653"/>
        <item m="1" x="664"/>
        <item m="1" x="675"/>
        <item m="1" x="414"/>
        <item m="1" x="199"/>
        <item m="1" x="378"/>
        <item m="1" x="457"/>
        <item m="1" x="399"/>
        <item m="1" x="419"/>
        <item m="1" x="200"/>
        <item m="1" x="477"/>
        <item m="1" x="504"/>
        <item m="1" x="35"/>
        <item m="1" x="201"/>
        <item m="1" x="564"/>
        <item m="1" x="484"/>
        <item m="1" x="202"/>
        <item m="1" x="620"/>
        <item m="1" x="203"/>
        <item m="1" x="530"/>
        <item m="1" x="587"/>
        <item m="1" x="663"/>
        <item m="1" x="204"/>
        <item m="1" x="627"/>
        <item m="1" x="205"/>
        <item m="1" x="676"/>
        <item m="1" x="696"/>
        <item m="1" x="344"/>
        <item m="1" x="397"/>
        <item m="1" x="416"/>
        <item m="1" x="206"/>
        <item m="1" x="478"/>
        <item m="1" x="51"/>
        <item m="1" x="401"/>
        <item m="1" x="52"/>
        <item m="1" x="523"/>
        <item m="1" x="468"/>
        <item m="1" x="527"/>
        <item m="1" x="493"/>
        <item m="1" x="588"/>
        <item m="1" x="621"/>
        <item m="1" x="624"/>
        <item m="1" x="636"/>
        <item m="1" x="59"/>
        <item m="1" x="207"/>
        <item m="1" x="574"/>
        <item m="1" x="628"/>
        <item m="1" x="656"/>
        <item m="1" x="666"/>
        <item m="1" x="60"/>
        <item m="1" x="61"/>
        <item m="1" x="208"/>
        <item m="1" x="317"/>
        <item m="1" x="347"/>
        <item m="1" x="398"/>
        <item m="1" x="417"/>
        <item m="1" x="209"/>
        <item m="1" x="63"/>
        <item m="1" x="380"/>
        <item m="1" x="400"/>
        <item m="1" x="420"/>
        <item m="1" x="402"/>
        <item m="1" x="210"/>
        <item m="1" x="506"/>
        <item m="1" x="364"/>
        <item m="1" x="68"/>
        <item m="1" x="469"/>
        <item m="1" x="551"/>
        <item m="1" x="575"/>
        <item m="1" x="604"/>
        <item m="1" x="211"/>
        <item m="1" x="678"/>
        <item m="1" x="607"/>
        <item m="1" x="639"/>
        <item m="1" x="80"/>
        <item m="1" x="326"/>
        <item m="1" x="348"/>
        <item m="1" x="363"/>
        <item m="1" x="381"/>
        <item m="1" x="327"/>
        <item m="1" x="440"/>
        <item m="1" x="464"/>
        <item m="1" x="212"/>
        <item m="1" x="408"/>
        <item m="1" x="213"/>
        <item m="1" x="494"/>
        <item m="1" x="496"/>
        <item m="1" x="556"/>
        <item m="1" x="590"/>
        <item m="1" x="625"/>
        <item m="1" x="497"/>
        <item m="1" x="214"/>
        <item m="1" x="215"/>
        <item m="1" x="216"/>
        <item m="1" x="217"/>
        <item m="1" x="218"/>
        <item m="1" x="219"/>
        <item m="1" x="220"/>
        <item m="1" x="642"/>
        <item m="1" x="221"/>
        <item m="1" x="222"/>
        <item m="1" x="223"/>
        <item m="1" x="328"/>
        <item m="1" x="224"/>
        <item m="1" x="321"/>
        <item m="1" x="351"/>
        <item m="1" x="404"/>
        <item m="1" x="443"/>
        <item m="1" x="341"/>
        <item m="1" x="388"/>
        <item m="1" x="92"/>
        <item m="1" x="511"/>
        <item m="1" x="225"/>
        <item m="1" x="473"/>
        <item m="1" x="226"/>
        <item m="1" x="570"/>
        <item m="1" x="498"/>
        <item m="1" x="227"/>
        <item m="1" x="228"/>
        <item m="1" x="229"/>
        <item m="1" x="230"/>
        <item m="1" x="231"/>
        <item m="1" x="232"/>
        <item m="1" x="233"/>
        <item m="1" x="234"/>
        <item m="1" x="423"/>
        <item m="1" x="235"/>
        <item m="1" x="236"/>
        <item m="1" x="368"/>
        <item m="1" x="389"/>
        <item m="1" x="237"/>
        <item m="1" x="238"/>
        <item m="1" x="412"/>
        <item m="1" x="239"/>
        <item m="1" x="105"/>
        <item m="1" x="534"/>
        <item m="1" x="451"/>
        <item m="1" x="240"/>
        <item m="1" x="241"/>
        <item m="1" x="113"/>
        <item m="1" x="631"/>
        <item m="1" x="114"/>
        <item m="1" x="242"/>
        <item m="1" x="611"/>
        <item m="1" x="322"/>
        <item m="1" x="329"/>
        <item m="1" x="243"/>
        <item m="1" x="343"/>
        <item m="1" x="244"/>
        <item m="1" x="245"/>
        <item m="1" x="246"/>
        <item m="1" x="247"/>
        <item m="1" x="248"/>
        <item m="1" x="499"/>
        <item m="1" x="517"/>
        <item m="1" x="249"/>
        <item m="1" x="250"/>
        <item m="1" x="501"/>
        <item m="1" x="519"/>
        <item m="1" x="521"/>
        <item m="1" x="561"/>
        <item m="1" x="594"/>
        <item m="1" x="251"/>
        <item m="1" x="252"/>
        <item m="1" x="253"/>
        <item m="1" x="254"/>
        <item m="1" x="644"/>
        <item m="1" x="597"/>
        <item m="1" x="612"/>
        <item m="1" x="129"/>
        <item m="1" x="255"/>
        <item m="1" x="682"/>
        <item m="1" x="256"/>
        <item m="1" x="712"/>
        <item m="1" x="330"/>
        <item m="1" x="355"/>
        <item m="1" x="372"/>
        <item m="1" x="430"/>
        <item m="1" x="356"/>
        <item m="1" x="257"/>
        <item m="1" x="258"/>
        <item m="1" x="433"/>
        <item m="1" x="536"/>
        <item m="1" x="539"/>
        <item m="1" x="259"/>
        <item m="1" x="260"/>
        <item m="1" x="596"/>
        <item m="1" x="262"/>
        <item m="1" x="263"/>
        <item m="1" x="646"/>
        <item m="1" x="266"/>
        <item m="1" x="267"/>
        <item m="1" x="370"/>
        <item m="1" x="268"/>
        <item m="1" x="390"/>
        <item m="1" x="752"/>
        <item m="1" x="146"/>
        <item m="1" x="772"/>
        <item m="1" x="147"/>
        <item m="1" x="269"/>
        <item m="1" x="270"/>
        <item m="1" x="769"/>
        <item m="1" x="271"/>
        <item m="1" x="758"/>
        <item m="1" x="150"/>
        <item m="1" x="272"/>
        <item m="1" x="466"/>
        <item m="1" x="789"/>
        <item m="1" x="273"/>
        <item m="1" x="768"/>
        <item m="1" x="274"/>
        <item m="1" x="275"/>
        <item m="1" x="276"/>
        <item m="1" x="367"/>
        <item m="1" x="277"/>
        <item m="1" x="431"/>
        <item m="1" x="409"/>
        <item m="1" x="278"/>
        <item m="1" x="154"/>
        <item m="1" x="762"/>
        <item m="1" x="385"/>
        <item m="1" x="279"/>
        <item m="1" x="771"/>
        <item m="1" x="155"/>
        <item m="1" x="280"/>
        <item m="1" x="444"/>
        <item m="1" x="514"/>
        <item m="1" x="790"/>
        <item m="1" x="281"/>
        <item m="1" x="157"/>
        <item m="1" x="282"/>
        <item m="1" x="487"/>
        <item m="1" x="775"/>
        <item m="1" x="283"/>
        <item m="1" x="284"/>
        <item m="1" x="483"/>
        <item m="1" x="567"/>
        <item m="1" x="285"/>
        <item m="1" x="546"/>
        <item m="1" x="542"/>
        <item m="1" x="286"/>
        <item m="1" x="287"/>
        <item m="1" x="767"/>
        <item m="1" x="407"/>
        <item m="1" x="288"/>
        <item m="1" x="441"/>
        <item m="1" x="800"/>
        <item m="1" x="289"/>
        <item m="1" x="290"/>
        <item m="1" x="426"/>
        <item m="1" x="291"/>
        <item m="1" x="577"/>
        <item m="1" x="818"/>
        <item m="1" x="292"/>
        <item m="1" x="629"/>
        <item m="1" x="589"/>
        <item m="1" x="293"/>
        <item m="1" x="622"/>
        <item m="1" x="823"/>
        <item m="1" x="516"/>
        <item m="1" x="795"/>
        <item m="1" x="495"/>
        <item m="1" x="558"/>
        <item m="1" x="294"/>
        <item m="1" x="830"/>
        <item m="1" x="296"/>
        <item m="1" x="548"/>
        <item m="1" x="815"/>
        <item m="1" x="840"/>
        <item m="1" x="593"/>
        <item m="1" x="298"/>
        <item m="1" x="806"/>
        <item m="1" x="648"/>
        <item m="1" x="727"/>
        <item m="1" x="673"/>
        <item m="1" x="709"/>
        <item m="1" x="741"/>
        <item m="1" x="679"/>
        <item m="1" x="693"/>
        <item m="1" x="733"/>
        <item m="1" x="394"/>
        <item m="1" x="315"/>
        <item m="1" x="435"/>
        <item m="1" x="456"/>
        <item m="1" x="458"/>
        <item m="1" x="522"/>
        <item m="1" x="462"/>
        <item m="1" x="479"/>
        <item m="1" x="616"/>
        <item m="1" x="601"/>
        <item m="1" x="617"/>
        <item m="1" x="544"/>
        <item m="1" x="310"/>
        <item m="1" x="396"/>
        <item m="1" x="455"/>
        <item m="1" x="379"/>
        <item m="1" x="463"/>
        <item m="1" x="584"/>
        <item m="1" x="602"/>
        <item m="1" x="618"/>
        <item m="1" x="526"/>
        <item m="1" x="550"/>
        <item m="1" x="674"/>
        <item m="1" x="635"/>
        <item m="1" x="623"/>
        <item m="1" x="683"/>
        <item m="1" x="691"/>
        <item m="1" x="665"/>
        <item m="1" x="334"/>
        <item m="1" x="346"/>
        <item m="1" x="338"/>
        <item m="1" x="362"/>
        <item m="1" x="459"/>
        <item m="1" x="541"/>
        <item m="1" x="446"/>
        <item m="1" x="677"/>
        <item m="1" x="697"/>
        <item m="1" x="439"/>
        <item m="1" x="447"/>
        <item m="1" x="559"/>
        <item m="1" x="578"/>
        <item m="1" x="667"/>
        <item m="1" x="630"/>
        <item m="1" x="699"/>
        <item m="1" x="710"/>
        <item m="1" x="312"/>
        <item m="1" x="314"/>
        <item m="1" x="318"/>
        <item m="1" x="339"/>
        <item m="1" x="319"/>
        <item m="1" x="340"/>
        <item m="1" x="403"/>
        <item m="1" x="490"/>
        <item m="1" x="528"/>
        <item m="1" x="513"/>
        <item m="1" x="552"/>
        <item m="1" x="450"/>
        <item m="1" x="657"/>
        <item m="1" x="637"/>
        <item m="1" x="320"/>
        <item m="1" x="422"/>
        <item m="1" x="391"/>
        <item m="1" x="411"/>
        <item m="1" x="576"/>
        <item m="1" x="500"/>
        <item m="1" x="638"/>
        <item m="1" x="537"/>
        <item m="1" x="632"/>
        <item m="1" x="609"/>
        <item m="1" x="643"/>
        <item m="1" x="352"/>
        <item m="1" x="405"/>
        <item m="1" x="393"/>
        <item m="1" x="557"/>
        <item m="1" x="502"/>
        <item m="1" x="640"/>
        <item m="1" x="680"/>
        <item m="1" x="686"/>
        <item m="1" x="695"/>
        <item m="1" x="342"/>
        <item m="1" x="369"/>
        <item m="1" x="354"/>
        <item m="1" x="371"/>
        <item m="1" x="392"/>
        <item m="1" x="373"/>
        <item m="1" x="453"/>
        <item m="1" x="520"/>
        <item m="1" x="610"/>
        <item m="1" x="357"/>
        <item m="1" x="374"/>
        <item m="1" x="432"/>
        <item m="1" x="375"/>
        <item m="1" x="452"/>
        <item m="1" x="475"/>
        <item m="1" x="580"/>
        <item m="1" x="454"/>
        <item m="1" x="595"/>
        <item m="1" x="613"/>
        <item m="1" x="669"/>
        <item m="1" x="598"/>
        <item m="1" x="703"/>
        <item m="1" x="353"/>
        <item m="1" x="765"/>
        <item m="1" x="366"/>
        <item m="1" x="350"/>
        <item m="1" x="743"/>
        <item m="1" x="754"/>
        <item m="1" x="779"/>
        <item m="1" x="448"/>
        <item m="1" x="492"/>
        <item m="1" x="788"/>
        <item m="1" x="482"/>
        <item m="1" x="460"/>
        <item m="1" x="774"/>
        <item m="1" x="750"/>
        <item m="1" x="780"/>
        <item m="1" x="425"/>
        <item m="1" x="759"/>
        <item m="1" x="792"/>
        <item m="1" x="470"/>
        <item m="1" x="776"/>
        <item m="1" x="805"/>
        <item m="1" x="508"/>
        <item m="1" x="461"/>
        <item m="1" x="814"/>
        <item m="1" x="764"/>
        <item m="1" x="793"/>
        <item m="1" x="515"/>
        <item m="1" x="572"/>
        <item m="1" x="553"/>
        <item m="1" x="509"/>
        <item m="1" x="547"/>
        <item m="1" x="543"/>
        <item m="1" x="474"/>
        <item m="1" x="782"/>
        <item m="1" x="471"/>
        <item m="1" x="794"/>
        <item m="1" x="467"/>
        <item m="1" x="821"/>
        <item m="1" x="554"/>
        <item m="1" x="605"/>
        <item m="1" x="569"/>
        <item m="1" x="837"/>
        <item m="1" x="824"/>
        <item m="1" x="518"/>
        <item m="1" x="786"/>
        <item m="1" x="809"/>
        <item m="1" x="828"/>
        <item m="1" x="585"/>
        <item m="1" x="796"/>
        <item m="1" x="442"/>
        <item m="1" x="812"/>
      </items>
    </pivotField>
    <pivotField compact="0" outline="0" showAll="0" defaultSubtotal="0"/>
    <pivotField compact="0" outline="0" subtotalTop="0" showAll="0" defaultSubtotal="0"/>
    <pivotField compact="0" outline="0" subtotalTop="0" showAll="0" defaultSubtotal="0"/>
    <pivotField axis="axisRow" compact="0" outline="0" showAll="0" sortType="descending" defaultSubtotal="0">
      <items count="1039">
        <item x="0"/>
        <item m="1" x="394"/>
        <item m="1" x="690"/>
        <item m="1" x="489"/>
        <item m="1" x="387"/>
        <item m="1" x="859"/>
        <item m="1" x="511"/>
        <item m="1" x="1004"/>
        <item m="1" x="923"/>
        <item m="1" x="428"/>
        <item m="1" x="526"/>
        <item m="1" x="1014"/>
        <item m="1" x="169"/>
        <item m="1" x="51"/>
        <item m="1" x="109"/>
        <item m="1" x="361"/>
        <item m="1" x="46"/>
        <item m="1" x="906"/>
        <item m="1" x="376"/>
        <item m="1" x="764"/>
        <item m="1" x="890"/>
        <item m="1" x="1025"/>
        <item m="1" x="73"/>
        <item m="1" x="806"/>
        <item m="1" x="501"/>
        <item m="1" x="340"/>
        <item m="1" x="596"/>
        <item m="1" x="914"/>
        <item m="1" x="796"/>
        <item m="1" x="47"/>
        <item m="1" x="542"/>
        <item m="1" x="545"/>
        <item m="1" x="785"/>
        <item m="1" x="976"/>
        <item m="1" x="640"/>
        <item m="1" x="580"/>
        <item m="1" x="302"/>
        <item m="1" x="856"/>
        <item m="1" x="931"/>
        <item m="1" x="638"/>
        <item m="1" x="947"/>
        <item m="1" x="987"/>
        <item m="1" x="532"/>
        <item m="1" x="107"/>
        <item m="1" x="352"/>
        <item m="1" x="110"/>
        <item m="1" x="346"/>
        <item m="1" x="28"/>
        <item m="1" x="319"/>
        <item m="1" x="32"/>
        <item m="1" x="411"/>
        <item m="1" x="1018"/>
        <item m="1" x="254"/>
        <item m="1" x="662"/>
        <item m="1" x="665"/>
        <item m="1" x="752"/>
        <item m="1" x="960"/>
        <item m="1" x="296"/>
        <item m="1" x="392"/>
        <item m="1" x="50"/>
        <item m="1" x="274"/>
        <item m="1" x="952"/>
        <item m="1" x="127"/>
        <item m="1" x="902"/>
        <item m="1" x="398"/>
        <item m="1" x="403"/>
        <item m="1" x="437"/>
        <item m="1" x="257"/>
        <item m="1" x="679"/>
        <item m="1" x="455"/>
        <item m="1" x="810"/>
        <item m="1" x="529"/>
        <item m="1" x="559"/>
        <item m="1" x="969"/>
        <item m="1" x="471"/>
        <item m="1" x="846"/>
        <item m="1" x="562"/>
        <item m="1" x="369"/>
        <item m="1" x="884"/>
        <item m="1" x="337"/>
        <item m="1" x="208"/>
        <item m="1" x="681"/>
        <item m="1" x="414"/>
        <item m="1" x="70"/>
        <item m="1" x="132"/>
        <item m="1" x="295"/>
        <item m="1" x="225"/>
        <item m="1" x="652"/>
        <item m="1" x="659"/>
        <item m="1" x="356"/>
        <item m="1" x="71"/>
        <item m="1" x="793"/>
        <item m="1" x="639"/>
        <item m="1" x="441"/>
        <item m="1" x="342"/>
        <item m="1" x="633"/>
        <item m="1" x="260"/>
        <item m="1" x="49"/>
        <item m="1" x="726"/>
        <item m="1" x="438"/>
        <item m="1" x="1007"/>
        <item m="1" x="19"/>
        <item m="1" x="452"/>
        <item m="1" x="100"/>
        <item m="1" x="108"/>
        <item m="1" x="942"/>
        <item m="1" x="124"/>
        <item m="1" x="44"/>
        <item m="1" x="770"/>
        <item m="1" x="86"/>
        <item m="1" x="226"/>
        <item m="1" x="162"/>
        <item m="1" x="157"/>
        <item m="1" x="212"/>
        <item m="1" x="483"/>
        <item m="1" x="253"/>
        <item m="1" x="891"/>
        <item m="1" x="326"/>
        <item m="1" x="586"/>
        <item m="1" x="550"/>
        <item m="1" x="170"/>
        <item m="1" x="649"/>
        <item m="1" x="440"/>
        <item m="1" x="805"/>
        <item m="1" x="466"/>
        <item m="1" x="601"/>
        <item m="1" x="555"/>
        <item m="1" x="67"/>
        <item m="1" x="534"/>
        <item m="1" x="239"/>
        <item m="1" x="301"/>
        <item m="1" x="874"/>
        <item m="1" x="17"/>
        <item m="1" x="478"/>
        <item m="1" x="1003"/>
        <item m="1" x="391"/>
        <item m="1" x="106"/>
        <item m="1" x="128"/>
        <item m="1" x="1010"/>
        <item m="1" x="15"/>
        <item m="1" x="623"/>
        <item m="1" x="25"/>
        <item m="1" x="101"/>
        <item m="1" x="27"/>
        <item m="1" x="131"/>
        <item m="1" x="74"/>
        <item m="1" x="134"/>
        <item m="1" x="18"/>
        <item m="1" x="126"/>
        <item m="1" x="1029"/>
        <item m="1" x="89"/>
        <item m="1" x="76"/>
        <item m="1" x="136"/>
        <item m="1" x="968"/>
        <item m="1" x="815"/>
        <item m="1" x="663"/>
        <item m="1" x="946"/>
        <item m="1" x="33"/>
        <item m="1" x="897"/>
        <item m="1" x="996"/>
        <item m="1" x="677"/>
        <item m="1" x="359"/>
        <item m="1" x="647"/>
        <item m="1" x="419"/>
        <item m="1" x="372"/>
        <item m="1" x="704"/>
        <item m="1" x="517"/>
        <item m="1" x="1009"/>
        <item m="1" x="578"/>
        <item m="1" x="413"/>
        <item m="1" x="384"/>
        <item m="1" x="481"/>
        <item m="1" x="800"/>
        <item m="1" x="294"/>
        <item m="1" x="14"/>
        <item m="1" x="893"/>
        <item m="1" x="670"/>
        <item m="1" x="926"/>
        <item m="1" x="988"/>
        <item m="1" x="220"/>
        <item m="1" x="94"/>
        <item m="1" x="733"/>
        <item m="1" x="588"/>
        <item m="1" x="597"/>
        <item m="1" x="648"/>
        <item m="1" x="1005"/>
        <item m="1" x="55"/>
        <item m="1" x="20"/>
        <item m="1" x="96"/>
        <item m="1" x="680"/>
        <item m="1" x="61"/>
        <item m="1" x="367"/>
        <item m="1" x="64"/>
        <item m="1" x="620"/>
        <item m="1" x="390"/>
        <item m="1" x="858"/>
        <item m="1" x="236"/>
        <item m="1" x="415"/>
        <item m="1" x="729"/>
        <item m="1" x="543"/>
        <item m="1" x="961"/>
        <item m="1" x="804"/>
        <item m="1" x="288"/>
        <item m="1" x="347"/>
        <item m="1" x="351"/>
        <item m="1" x="36"/>
        <item m="1" x="872"/>
        <item m="1" x="4"/>
        <item m="1" x="424"/>
        <item m="1" x="886"/>
        <item m="1" x="507"/>
        <item m="1" x="115"/>
        <item m="1" x="567"/>
        <item m="1" x="524"/>
        <item m="1" x="13"/>
        <item m="1" x="617"/>
        <item m="1" x="907"/>
        <item m="1" x="436"/>
        <item m="1" x="500"/>
        <item m="1" x="835"/>
        <item m="1" x="728"/>
        <item m="1" x="887"/>
        <item m="1" x="343"/>
        <item m="1" x="763"/>
        <item m="1" x="495"/>
        <item m="1" x="298"/>
        <item m="1" x="933"/>
        <item m="1" x="515"/>
        <item m="1" x="527"/>
        <item m="1" x="871"/>
        <item m="1" x="930"/>
        <item m="1" x="799"/>
        <item m="1" x="814"/>
        <item m="1" x="818"/>
        <item m="1" x="925"/>
        <item m="1" x="417"/>
        <item m="1" x="423"/>
        <item m="1" x="546"/>
        <item m="1" x="982"/>
        <item m="1" x="975"/>
        <item m="1" x="53"/>
        <item m="1" x="823"/>
        <item m="1" x="694"/>
        <item m="1" x="1019"/>
        <item m="1" x="378"/>
        <item m="1" x="1011"/>
        <item m="1" x="865"/>
        <item m="1" x="488"/>
        <item m="1" x="985"/>
        <item m="1" x="612"/>
        <item m="1" x="199"/>
        <item m="1" x="711"/>
        <item m="1" x="321"/>
        <item m="1" x="283"/>
        <item m="1" x="683"/>
        <item m="1" x="689"/>
        <item m="1" x="675"/>
        <item m="1" x="556"/>
        <item m="1" x="152"/>
        <item m="1" x="920"/>
        <item m="1" x="396"/>
        <item m="1" x="401"/>
        <item m="1" x="898"/>
        <item m="1" x="26"/>
        <item m="1" x="150"/>
        <item m="1" x="741"/>
        <item m="1" x="232"/>
        <item m="1" x="958"/>
        <item m="1" x="583"/>
        <item m="1" x="692"/>
        <item m="1" x="444"/>
        <item m="1" x="965"/>
        <item m="1" x="179"/>
        <item m="1" x="272"/>
        <item m="1" x="282"/>
        <item m="1" x="788"/>
        <item m="1" x="198"/>
        <item m="1" x="795"/>
        <item m="1" x="1016"/>
        <item m="1" x="1021"/>
        <item m="1" x="360"/>
        <item m="1" x="370"/>
        <item m="1" x="386"/>
        <item m="1" x="98"/>
        <item m="1" x="632"/>
        <item m="1" x="357"/>
        <item m="1" x="875"/>
        <item m="1" x="503"/>
        <item m="1" x="627"/>
        <item m="1" x="175"/>
        <item m="1" x="112"/>
        <item m="1" x="349"/>
        <item m="1" x="719"/>
        <item m="1" x="831"/>
        <item m="1" x="113"/>
        <item m="1" x="702"/>
        <item m="1" x="574"/>
        <item m="1" x="299"/>
        <item m="1" x="5"/>
        <item m="1" x="2"/>
        <item m="1" x="59"/>
        <item m="1" x="410"/>
        <item m="1" x="12"/>
        <item m="1" x="123"/>
        <item m="1" x="40"/>
        <item m="1" x="651"/>
        <item m="1" x="65"/>
        <item m="1" x="202"/>
        <item m="1" x="195"/>
        <item m="1" x="668"/>
        <item m="1" x="528"/>
        <item m="1" x="643"/>
        <item m="1" x="994"/>
        <item m="1" x="214"/>
        <item m="1" x="194"/>
        <item m="1" x="251"/>
        <item m="1" x="209"/>
        <item m="1" x="217"/>
        <item m="1" x="629"/>
        <item m="1" x="464"/>
        <item m="1" x="473"/>
        <item m="1" x="716"/>
        <item m="1" x="174"/>
        <item m="1" x="273"/>
        <item m="1" x="219"/>
        <item m="1" x="117"/>
        <item m="1" x="77"/>
        <item m="1" x="60"/>
        <item m="1" x="399"/>
        <item m="1" x="139"/>
        <item m="1" x="908"/>
        <item m="1" x="644"/>
        <item m="1" x="382"/>
        <item m="1" x="388"/>
        <item m="1" x="138"/>
        <item m="1" x="767"/>
        <item m="1" x="538"/>
        <item m="1" x="135"/>
        <item m="1" x="634"/>
        <item m="1" x="869"/>
        <item m="1" x="365"/>
        <item m="1" x="877"/>
        <item m="1" x="377"/>
        <item m="1" x="496"/>
        <item m="1" x="118"/>
        <item m="1" x="754"/>
        <item m="1" x="120"/>
        <item m="1" x="757"/>
        <item m="1" x="854"/>
        <item m="1" x="873"/>
        <item m="1" x="469"/>
        <item m="1" x="724"/>
        <item m="1" x="972"/>
        <item m="1" x="477"/>
        <item m="1" x="977"/>
        <item m="1" x="735"/>
        <item m="1" x="497"/>
        <item m="1" x="8"/>
        <item m="1" x="749"/>
        <item m="1" x="510"/>
        <item m="1" x="751"/>
        <item m="1" x="514"/>
        <item m="1" x="322"/>
        <item m="1" x="327"/>
        <item m="1" x="848"/>
        <item m="1" x="57"/>
        <item m="1" x="855"/>
        <item m="1" x="353"/>
        <item m="1" x="635"/>
        <item m="1" x="35"/>
        <item m="1" x="56"/>
        <item m="1" x="870"/>
        <item m="1" x="714"/>
        <item m="1" x="964"/>
        <item m="1" x="10"/>
        <item m="1" x="48"/>
        <item m="1" x="970"/>
        <item m="1" x="725"/>
        <item m="1" x="974"/>
        <item m="1" x="979"/>
        <item m="1" x="133"/>
        <item m="1" x="734"/>
        <item m="1" x="114"/>
        <item m="1" x="491"/>
        <item m="1" x="102"/>
        <item m="1" x="498"/>
        <item m="1" x="748"/>
        <item m="1" x="990"/>
        <item m="1" x="817"/>
        <item m="1" x="309"/>
        <item m="1" x="314"/>
        <item m="1" x="592"/>
        <item m="1" x="320"/>
        <item m="1" x="595"/>
        <item m="1" x="834"/>
        <item m="1" x="323"/>
        <item m="1" x="599"/>
        <item m="1" x="839"/>
        <item m="1" x="90"/>
        <item m="1" x="844"/>
        <item m="1" x="332"/>
        <item m="1" x="845"/>
        <item m="1" x="618"/>
        <item m="1" x="849"/>
        <item m="1" x="698"/>
        <item m="1" x="22"/>
        <item m="1" x="945"/>
        <item m="1" x="39"/>
        <item m="1" x="959"/>
        <item m="1" x="461"/>
        <item m="1" x="75"/>
        <item m="1" x="91"/>
        <item m="1" x="472"/>
        <item m="1" x="95"/>
        <item m="1" x="41"/>
        <item m="1" x="978"/>
        <item m="1" x="58"/>
        <item m="1" x="104"/>
        <item m="1" x="293"/>
        <item m="1" x="577"/>
        <item m="1" x="811"/>
        <item m="1" x="300"/>
        <item m="1" x="43"/>
        <item m="1" x="821"/>
        <item m="1" x="311"/>
        <item m="1" x="82"/>
        <item m="1" x="824"/>
        <item m="1" x="316"/>
        <item m="1" x="87"/>
        <item m="1" x="594"/>
        <item m="1" x="79"/>
        <item m="1" x="83"/>
        <item m="1" x="840"/>
        <item m="1" x="329"/>
        <item m="1" x="608"/>
        <item m="1" x="843"/>
        <item m="1" x="78"/>
        <item m="1" x="937"/>
        <item m="1" x="451"/>
        <item m="1" x="809"/>
        <item m="1" x="820"/>
        <item m="1" x="312"/>
        <item m="1" x="125"/>
        <item m="1" x="593"/>
        <item m="1" x="81"/>
        <item m="1" x="919"/>
        <item m="1" x="80"/>
        <item m="1" x="678"/>
        <item m="1" x="137"/>
        <item m="1" x="425"/>
        <item m="1" x="435"/>
        <item m="1" x="88"/>
        <item m="1" x="93"/>
        <item m="1" x="695"/>
        <item m="1" x="448"/>
        <item m="1" x="291"/>
        <item m="1" x="383"/>
        <item m="1" x="416"/>
        <item m="1" x="3"/>
        <item m="1" x="450"/>
        <item m="1" x="829"/>
        <item m="1" x="9"/>
        <item m="1" x="24"/>
        <item m="1" x="773"/>
        <item m="1" x="783"/>
        <item m="1" x="928"/>
        <item m="1" x="363"/>
        <item m="1" x="341"/>
        <item m="1" x="600"/>
        <item m="1" x="955"/>
        <item m="1" x="828"/>
        <item m="1" x="1033"/>
        <item m="1" x="547"/>
        <item m="1" x="706"/>
        <item m="1" x="667"/>
        <item m="1" x="787"/>
        <item m="1" x="281"/>
        <item m="1" x="630"/>
        <item m="1" x="830"/>
        <item m="1" x="38"/>
        <item m="1" x="487"/>
        <item m="1" x="827"/>
        <item m="1" x="564"/>
        <item m="1" x="929"/>
        <item m="1" x="866"/>
        <item m="1" x="797"/>
        <item m="1" x="812"/>
        <item m="1" x="1015"/>
        <item m="1" x="313"/>
        <item m="1" x="1031"/>
        <item m="1" x="535"/>
        <item m="1" x="909"/>
        <item m="1" x="606"/>
        <item m="1" x="825"/>
        <item m="1" x="602"/>
        <item m="1" x="460"/>
        <item m="1" x="801"/>
        <item m="1" x="493"/>
        <item m="1" x="393"/>
        <item m="1" x="850"/>
        <item m="1" x="962"/>
        <item m="1" x="950"/>
        <item m="1" x="434"/>
        <item m="1" x="552"/>
        <item m="1" x="954"/>
        <item m="1" x="338"/>
        <item m="1" x="590"/>
        <item m="1" x="536"/>
        <item m="1" x="992"/>
        <item m="1" x="611"/>
        <item m="1" x="671"/>
        <item m="1" x="993"/>
        <item m="1" x="484"/>
        <item m="1" x="816"/>
        <item m="1" x="433"/>
        <item m="1" x="904"/>
        <item m="1" x="852"/>
        <item m="1" x="325"/>
        <item m="1" x="686"/>
        <item m="1" x="499"/>
        <item m="1" x="613"/>
        <item m="1" x="603"/>
        <item m="1" x="786"/>
        <item m="1" x="922"/>
        <item m="1" x="943"/>
        <item m="1" x="760"/>
        <item m="1" x="730"/>
        <item m="1" x="467"/>
        <item m="1" x="289"/>
        <item m="1" x="563"/>
        <item m="1" x="732"/>
        <item m="1" x="837"/>
        <item m="1" x="197"/>
        <item m="1" x="270"/>
        <item m="1" x="710"/>
        <item m="1" x="747"/>
        <item m="1" x="447"/>
        <item m="1" x="271"/>
        <item m="1" x="997"/>
        <item m="1" x="1022"/>
        <item m="1" x="328"/>
        <item m="1" x="696"/>
        <item m="1" x="303"/>
        <item m="1" x="637"/>
        <item m="1" x="458"/>
        <item m="1" x="276"/>
        <item m="1" x="918"/>
        <item m="1" x="772"/>
        <item m="1" x="540"/>
        <item m="1" x="731"/>
        <item m="1" x="949"/>
        <item m="1" x="430"/>
        <item m="1" x="368"/>
        <item m="1" x="362"/>
        <item m="1" x="838"/>
        <item m="1" x="1035"/>
        <item m="1" x="646"/>
        <item m="1" x="334"/>
        <item m="1" x="701"/>
        <item m="1" x="779"/>
        <item m="1" x="966"/>
        <item m="1" x="395"/>
        <item m="1" x="345"/>
        <item m="1" x="130"/>
        <item m="1" x="781"/>
        <item m="1" x="666"/>
        <item m="1" x="1012"/>
        <item m="1" x="737"/>
        <item m="1" x="626"/>
        <item m="1" x="582"/>
        <item m="1" x="803"/>
        <item m="1" x="917"/>
        <item m="1" x="442"/>
        <item m="1" x="912"/>
        <item m="1" x="650"/>
        <item m="1" x="533"/>
        <item m="1" x="490"/>
        <item m="1" x="163"/>
        <item m="1" x="348"/>
        <item m="1" x="721"/>
        <item m="1" x="609"/>
        <item m="1" x="426"/>
        <item m="1" x="519"/>
        <item m="1" x="740"/>
        <item m="1" x="277"/>
        <item m="1" x="406"/>
        <item m="1" x="268"/>
        <item m="1" x="1001"/>
        <item m="1" x="119"/>
        <item m="1" x="791"/>
        <item m="1" x="860"/>
        <item m="1" x="324"/>
        <item m="1" x="700"/>
        <item m="1" x="927"/>
        <item m="1" x="279"/>
        <item m="1" x="549"/>
        <item m="1" x="1002"/>
        <item m="1" x="621"/>
        <item m="1" x="308"/>
        <item m="1" x="951"/>
        <item m="1" x="715"/>
        <item m="1" x="939"/>
        <item m="1" x="784"/>
        <item m="1" x="385"/>
        <item m="1" x="755"/>
        <item m="1" x="750"/>
        <item m="1" x="983"/>
        <item m="1" x="589"/>
        <item m="1" x="280"/>
        <item m="1" x="775"/>
        <item m="1" x="502"/>
        <item m="1" x="142"/>
        <item m="1" x="573"/>
        <item m="1" x="1030"/>
        <item m="1" x="140"/>
        <item m="1" x="759"/>
        <item m="1" x="479"/>
        <item m="1" x="936"/>
        <item m="1" x="463"/>
        <item m="1" x="591"/>
        <item m="1" x="553"/>
        <item m="1" x="505"/>
        <item m="1" x="691"/>
        <item m="1" x="833"/>
        <item m="1" x="539"/>
        <item m="1" x="768"/>
        <item m="1" x="1032"/>
        <item m="1" x="537"/>
        <item m="1" x="210"/>
        <item m="1" x="482"/>
        <item m="1" x="986"/>
        <item m="1" x="429"/>
        <item m="1" x="196"/>
        <item m="1" x="777"/>
        <item m="1" x="371"/>
        <item m="1" x="446"/>
        <item m="1" x="407"/>
        <item m="1" x="682"/>
        <item m="1" x="29"/>
        <item m="1" x="350"/>
        <item m="1" x="868"/>
        <item m="1" x="598"/>
        <item m="1" x="709"/>
        <item m="1" x="290"/>
        <item m="1" x="522"/>
        <item m="1" x="745"/>
        <item m="1" x="631"/>
        <item m="1" x="1036"/>
        <item m="1" x="879"/>
        <item m="1" x="727"/>
        <item m="1" x="995"/>
        <item m="1" x="344"/>
        <item m="1" x="566"/>
        <item m="1" x="258"/>
        <item m="1" x="375"/>
        <item m="1" x="984"/>
        <item m="1" x="973"/>
        <item m="1" x="158"/>
        <item m="1" x="794"/>
        <item m="1" x="864"/>
        <item m="1" x="753"/>
        <item m="1" x="465"/>
        <item m="1" x="330"/>
        <item m="1" x="554"/>
        <item m="1" x="790"/>
        <item m="1" x="381"/>
        <item m="1" x="708"/>
        <item m="1" x="459"/>
        <item m="1" x="250"/>
        <item m="1" x="896"/>
        <item m="1" x="516"/>
        <item m="1" x="474"/>
        <item m="1" x="333"/>
        <item m="1" x="420"/>
        <item m="1" x="746"/>
        <item m="1" x="509"/>
        <item m="1" x="453"/>
        <item m="1" x="963"/>
        <item m="1" x="688"/>
        <item m="1" x="576"/>
        <item m="1" x="400"/>
        <item m="1" x="880"/>
        <item m="1" x="765"/>
        <item m="1" x="989"/>
        <item m="1" x="941"/>
        <item m="1" x="713"/>
        <item m="1" x="568"/>
        <item m="1" x="900"/>
        <item m="1" x="780"/>
        <item m="1" x="736"/>
        <item m="1" x="656"/>
        <item m="1" x="358"/>
        <item m="1" x="720"/>
        <item m="1" x="480"/>
        <item m="1" x="560"/>
        <item m="1" x="380"/>
        <item m="1" x="181"/>
        <item m="1" x="252"/>
        <item m="1" x="924"/>
        <item m="1" x="548"/>
        <item m="1" x="405"/>
        <item m="1" x="1038"/>
        <item m="1" x="304"/>
        <item m="1" x="570"/>
        <item m="1" x="903"/>
        <item m="1" x="642"/>
        <item m="1" x="521"/>
        <item m="1" x="470"/>
        <item m="1" x="699"/>
        <item m="1" x="584"/>
        <item m="1" x="176"/>
        <item m="1" x="418"/>
        <item m="1" x="722"/>
        <item m="1" x="575"/>
        <item m="1" x="245"/>
        <item m="1" x="792"/>
        <item m="1" x="645"/>
        <item m="1" x="263"/>
        <item m="1" x="807"/>
        <item m="1" x="551"/>
        <item m="1" x="409"/>
        <item m="1" x="885"/>
        <item m="1" x="622"/>
        <item m="1" x="953"/>
        <item m="1" x="916"/>
        <item m="1" x="999"/>
        <item m="1" x="604"/>
        <item m="1" x="476"/>
        <item m="1" x="703"/>
        <item m="1" x="892"/>
        <item m="1" x="776"/>
        <item m="1" x="402"/>
        <item m="1" x="911"/>
        <item m="1" x="492"/>
        <item m="1" x="230"/>
        <item m="1" x="427"/>
        <item m="1" x="520"/>
        <item m="1" x="739"/>
        <item m="1" x="628"/>
        <item m="1" x="315"/>
        <item m="1" x="278"/>
        <item m="1" x="227"/>
        <item m="1" x="422"/>
        <item m="1" x="861"/>
        <item m="1" x="579"/>
        <item m="1" x="572"/>
        <item m="1" x="1028"/>
        <item m="1" x="335"/>
        <item m="1" x="853"/>
        <item m="1" x="774"/>
        <item m="1" x="841"/>
        <item m="1" x="910"/>
        <item m="1" x="863"/>
        <item m="1" x="172"/>
        <item m="1" x="178"/>
        <item m="1" x="264"/>
        <item m="1" x="504"/>
        <item m="1" x="243"/>
        <item m="1" x="762"/>
        <item m="1" x="707"/>
        <item m="1" x="664"/>
        <item m="1" x="366"/>
        <item m="1" x="913"/>
        <item m="1" x="129"/>
        <item m="1" x="826"/>
        <item m="1" x="233"/>
        <item m="1" x="374"/>
        <item m="1" x="851"/>
        <item m="1" x="744"/>
        <item m="1" x="153"/>
        <item m="1" x="318"/>
        <item m="1" x="687"/>
        <item m="1" x="544"/>
        <item m="1" x="223"/>
        <item m="1" x="614"/>
        <item m="1" x="940"/>
        <item m="1" x="822"/>
        <item m="1" x="712"/>
        <item m="1" x="674"/>
        <item m="1" x="565"/>
        <item m="1" x="66"/>
        <item m="1" x="412"/>
        <item m="1" x="16"/>
        <item m="1" x="655"/>
        <item m="1" x="141"/>
        <item m="1" x="832"/>
        <item m="1" x="605"/>
        <item m="1" x="207"/>
        <item m="1" x="122"/>
        <item m="1" x="525"/>
        <item m="1" x="7"/>
        <item m="1" x="111"/>
        <item m="1" x="404"/>
        <item m="1" x="364"/>
        <item m="1" x="882"/>
        <item m="1" x="842"/>
        <item m="1" x="143"/>
        <item m="1" x="619"/>
        <item m="1" x="1024"/>
        <item m="1" x="867"/>
        <item m="1" x="641"/>
        <item m="1" x="468"/>
        <item m="1" x="37"/>
        <item m="1" x="99"/>
        <item m="1" x="116"/>
        <item m="1" x="889"/>
        <item m="1" x="660"/>
        <item m="1" x="317"/>
        <item m="1" x="685"/>
        <item m="1" x="45"/>
        <item m="1" x="52"/>
        <item m="1" x="148"/>
        <item m="1" x="72"/>
        <item m="1" x="486"/>
        <item m="1" x="69"/>
        <item m="1" x="149"/>
        <item m="1" x="147"/>
        <item m="1" x="62"/>
        <item m="1" x="203"/>
        <item m="1" x="310"/>
        <item m="1" x="31"/>
        <item m="1" x="998"/>
        <item m="1" x="475"/>
        <item m="1" x="336"/>
        <item m="1" x="84"/>
        <item m="1" x="105"/>
        <item m="1" x="557"/>
        <item m="1" x="421"/>
        <item m="1" x="457"/>
        <item m="1" x="1037"/>
        <item m="1" x="881"/>
        <item m="1" x="85"/>
        <item m="1" x="11"/>
        <item m="1" x="569"/>
        <item m="1" x="287"/>
        <item m="1" x="1023"/>
        <item m="1" x="21"/>
        <item m="1" x="782"/>
        <item m="1" x="97"/>
        <item m="1" x="92"/>
        <item m="1" x="6"/>
        <item m="1" x="738"/>
        <item m="1" x="145"/>
        <item m="1" x="541"/>
        <item m="1" x="68"/>
        <item m="1" x="144"/>
        <item m="1" x="836"/>
        <item m="1" x="54"/>
        <item m="1" x="42"/>
        <item m="1" x="146"/>
        <item m="1" x="34"/>
        <item m="1" x="297"/>
        <item m="1" x="103"/>
        <item m="1" x="30"/>
        <item m="1" x="1"/>
        <item m="1" x="23"/>
        <item m="1" x="121"/>
        <item m="1" x="63"/>
        <item m="1" x="266"/>
        <item m="1" x="156"/>
        <item m="1" x="284"/>
        <item m="1" x="265"/>
        <item m="1" x="151"/>
        <item m="1" x="267"/>
        <item m="1" x="408"/>
        <item m="1" x="269"/>
        <item m="1" x="769"/>
        <item m="1" x="306"/>
        <item m="1" x="259"/>
        <item m="1" x="571"/>
        <item m="1" x="177"/>
        <item m="1" x="228"/>
        <item m="1" x="905"/>
        <item m="1" x="238"/>
        <item m="1" x="180"/>
        <item m="1" x="244"/>
        <item m="1" x="587"/>
        <item m="1" x="166"/>
        <item m="1" x="218"/>
        <item m="1" x="248"/>
        <item m="1" x="155"/>
        <item m="1" x="676"/>
        <item m="1" x="531"/>
        <item m="1" x="168"/>
        <item m="1" x="286"/>
        <item m="1" x="165"/>
        <item m="1" x="518"/>
        <item m="1" x="1013"/>
        <item m="1" x="167"/>
        <item m="1" x="957"/>
        <item m="1" x="397"/>
        <item m="1" x="761"/>
        <item m="1" x="192"/>
        <item m="1" x="938"/>
        <item m="1" x="705"/>
        <item m="1" x="173"/>
        <item m="1" x="255"/>
        <item m="1" x="895"/>
        <item m="1" x="513"/>
        <item m="1" x="154"/>
        <item m="1" x="445"/>
        <item m="1" x="205"/>
        <item m="1" x="883"/>
        <item m="1" x="654"/>
        <item m="1" x="201"/>
        <item m="1" x="240"/>
        <item m="1" x="432"/>
        <item m="1" x="249"/>
        <item m="1" x="191"/>
        <item m="1" x="373"/>
        <item m="1" x="981"/>
        <item m="1" x="161"/>
        <item m="1" x="222"/>
        <item m="1" x="921"/>
        <item m="1" x="221"/>
        <item m="1" x="246"/>
        <item m="1" x="878"/>
        <item m="1" x="184"/>
        <item m="1" x="256"/>
        <item m="1" x="213"/>
        <item m="1" x="673"/>
        <item m="1" x="183"/>
        <item m="1" x="862"/>
        <item m="1" x="581"/>
        <item m="1" x="247"/>
        <item m="1" x="625"/>
        <item m="1" x="956"/>
        <item m="1" x="718"/>
        <item m="1" x="182"/>
        <item m="1" x="186"/>
        <item m="1" x="758"/>
        <item m="1" x="523"/>
        <item m="1" x="857"/>
        <item m="1" x="187"/>
        <item m="1" x="185"/>
        <item m="1" x="894"/>
        <item m="1" x="512"/>
        <item m="1" x="1008"/>
        <item m="1" x="616"/>
        <item m="1" x="443"/>
        <item m="1" x="948"/>
        <item m="1" x="261"/>
        <item m="1" x="216"/>
        <item m="1" x="389"/>
        <item m="1" x="991"/>
        <item m="1" x="331"/>
        <item m="1" x="932"/>
        <item m="1" x="262"/>
        <item m="1" x="888"/>
        <item m="1" x="742"/>
        <item m="1" x="508"/>
        <item m="1" x="242"/>
        <item m="1" x="684"/>
        <item m="1" x="1034"/>
        <item m="1" x="876"/>
        <item m="1" x="485"/>
        <item m="1" x="819"/>
        <item m="1" x="211"/>
        <item m="1" x="1020"/>
        <item m="1" x="778"/>
        <item m="1" x="229"/>
        <item m="1" x="971"/>
        <item m="1" x="307"/>
        <item m="1" x="915"/>
        <item m="1" x="771"/>
        <item m="1" x="354"/>
        <item m="1" x="717"/>
        <item m="1" x="292"/>
        <item m="1" x="206"/>
        <item m="1" x="1017"/>
        <item m="1" x="636"/>
        <item m="1" x="456"/>
        <item m="1" x="967"/>
        <item m="1" x="802"/>
        <item m="1" x="661"/>
        <item m="1" x="1006"/>
        <item m="1" x="766"/>
        <item m="1" x="615"/>
        <item m="1" x="944"/>
        <item m="1" x="901"/>
        <item m="1" x="234"/>
        <item m="1" x="847"/>
        <item m="1" x="697"/>
        <item m="1" x="658"/>
        <item m="1" x="506"/>
        <item m="1" x="1000"/>
        <item m="1" x="610"/>
        <item m="1" x="439"/>
        <item m="1" x="204"/>
        <item m="1" x="171"/>
        <item m="1" x="231"/>
        <item m="1" x="494"/>
        <item m="1" x="305"/>
        <item m="1" x="1027"/>
        <item m="1" x="813"/>
        <item m="1" x="669"/>
        <item m="1" x="530"/>
        <item m="1" x="449"/>
        <item m="1" x="275"/>
        <item m="1" x="607"/>
        <item m="1" x="339"/>
        <item m="1" x="561"/>
        <item m="1" x="379"/>
        <item m="1" x="693"/>
        <item m="1" x="653"/>
        <item m="1" x="235"/>
        <item m="1" x="431"/>
        <item m="1" x="1026"/>
        <item m="1" x="980"/>
        <item m="1" x="743"/>
        <item m="1" x="585"/>
        <item m="1" x="723"/>
        <item m="1" x="672"/>
        <item m="1" x="462"/>
        <item m="1" x="285"/>
        <item m="1" x="808"/>
        <item m="1" x="624"/>
        <item m="1" x="355"/>
        <item m="1" x="798"/>
        <item m="1" x="756"/>
        <item m="1" x="935"/>
        <item m="1" x="558"/>
        <item m="1" x="159"/>
        <item m="1" x="454"/>
        <item m="1" x="899"/>
        <item m="1" x="224"/>
        <item m="1" x="657"/>
        <item m="1" x="789"/>
        <item m="1" x="215"/>
        <item m="1" x="160"/>
        <item m="1" x="934"/>
        <item m="1" x="164"/>
        <item m="1" x="189"/>
        <item m="1" x="190"/>
        <item m="1" x="237"/>
        <item m="1" x="188"/>
        <item m="1" x="193"/>
        <item m="1" x="200"/>
        <item m="1" x="241"/>
      </items>
    </pivotField>
    <pivotField compact="0" outline="0" showAll="0" defaultSubtotal="0"/>
    <pivotField axis="axisRow" compact="0" outline="0" showAll="0" defaultSubtotal="0">
      <items count="6">
        <item m="1" x="5"/>
        <item m="1" x="4"/>
        <item m="1" x="2"/>
        <item m="1" x="3"/>
        <item m="1" x="1"/>
        <item x="0"/>
      </items>
    </pivotField>
    <pivotField dataField="1" compact="0" outline="0" subtotalTop="0" showAll="0" defaultSubtotal="0">
      <items count="4139">
        <item m="1" x="3921"/>
        <item m="1" x="1213"/>
        <item m="1" x="3225"/>
        <item m="1" x="3529"/>
        <item m="1" x="2627"/>
        <item m="1" x="1939"/>
        <item m="1" x="1180"/>
        <item m="1" x="2414"/>
        <item m="1" x="3290"/>
        <item m="1" x="1726"/>
        <item m="1" x="2499"/>
        <item m="1" x="3830"/>
        <item m="1" x="1479"/>
        <item m="1" x="1401"/>
        <item m="1" x="3103"/>
        <item m="1" x="4001"/>
        <item m="1" x="2592"/>
        <item m="1" x="1729"/>
        <item m="1" x="3888"/>
        <item m="1" x="1816"/>
        <item m="1" x="1511"/>
        <item m="1" x="2644"/>
        <item m="1" x="3474"/>
        <item m="1" x="2980"/>
        <item m="1" x="2902"/>
        <item m="1" x="2202"/>
        <item m="1" x="1790"/>
        <item m="1" x="1755"/>
        <item m="1" x="2546"/>
        <item m="1" x="2210"/>
        <item m="1" x="2803"/>
        <item m="1" x="1060"/>
        <item m="1" x="1314"/>
        <item m="1" x="2239"/>
        <item m="1" x="2048"/>
        <item m="1" x="3393"/>
        <item m="1" x="4029"/>
        <item m="1" x="2009"/>
        <item m="1" x="2218"/>
        <item m="1" x="1603"/>
        <item m="1" x="3819"/>
        <item m="1" x="2659"/>
        <item m="1" x="3801"/>
        <item m="1" x="1707"/>
        <item m="1" x="2556"/>
        <item m="1" x="4000"/>
        <item m="1" x="3331"/>
        <item m="1" x="3078"/>
        <item m="1" x="2838"/>
        <item m="1" x="1932"/>
        <item m="1" x="1992"/>
        <item m="1" x="2060"/>
        <item m="1" x="3058"/>
        <item m="1" x="1831"/>
        <item m="1" x="1166"/>
        <item m="1" x="1883"/>
        <item m="1" x="3540"/>
        <item m="1" x="4137"/>
        <item m="1" x="3115"/>
        <item m="1" x="1821"/>
        <item m="1" x="3843"/>
        <item m="1" x="2796"/>
        <item m="1" x="2671"/>
        <item m="1" x="2743"/>
        <item m="1" x="3444"/>
        <item m="1" x="3851"/>
        <item m="1" x="3436"/>
        <item m="1" x="3272"/>
        <item m="1" x="4121"/>
        <item m="1" x="3132"/>
        <item m="1" x="4032"/>
        <item m="1" x="1097"/>
        <item m="1" x="3030"/>
        <item m="1" x="2689"/>
        <item m="1" x="3523"/>
        <item m="1" x="3177"/>
        <item m="1" x="1903"/>
        <item m="1" x="3060"/>
        <item m="1" x="3109"/>
        <item m="1" x="1777"/>
        <item m="1" x="1448"/>
        <item m="1" x="1100"/>
        <item m="1" x="3883"/>
        <item m="1" x="3914"/>
        <item m="1" x="2885"/>
        <item m="1" x="3174"/>
        <item m="1" x="3628"/>
        <item m="1" x="1508"/>
        <item m="1" x="1818"/>
        <item m="1" x="2370"/>
        <item m="1" x="3330"/>
        <item m="1" x="1813"/>
        <item m="1" x="1635"/>
        <item m="1" x="1490"/>
        <item m="1" x="2112"/>
        <item m="1" x="1549"/>
        <item m="1" x="3409"/>
        <item m="1" x="2892"/>
        <item m="1" x="1092"/>
        <item m="1" x="1640"/>
        <item m="1" x="3497"/>
        <item m="1" x="3156"/>
        <item m="1" x="2244"/>
        <item m="1" x="3832"/>
        <item m="1" x="230"/>
        <item m="1" x="3004"/>
        <item m="1" x="2593"/>
        <item m="1" x="1824"/>
        <item m="1" x="1404"/>
        <item m="1" x="231"/>
        <item m="1" x="232"/>
        <item m="1" x="2091"/>
        <item m="1" x="2390"/>
        <item m="1" x="233"/>
        <item m="1" x="2145"/>
        <item m="1" x="4013"/>
        <item m="1" x="1734"/>
        <item m="1" x="3992"/>
        <item m="1" x="1937"/>
        <item m="1" x="3718"/>
        <item m="1" x="1738"/>
        <item m="1" x="1966"/>
        <item m="1" x="3988"/>
        <item m="1" x="1425"/>
        <item m="1" x="1954"/>
        <item m="1" x="3567"/>
        <item m="1" x="2646"/>
        <item m="1" x="1471"/>
        <item m="1" x="3682"/>
        <item m="1" x="3076"/>
        <item m="1" x="2361"/>
        <item m="1" x="3136"/>
        <item m="1" x="1216"/>
        <item m="1" x="2455"/>
        <item m="1" x="4084"/>
        <item m="1" x="1545"/>
        <item m="1" x="2675"/>
        <item m="1" x="1339"/>
        <item m="1" x="4004"/>
        <item m="1" x="3559"/>
        <item m="1" x="4104"/>
        <item m="1" x="2353"/>
        <item m="1" x="2268"/>
        <item m="1" x="2938"/>
        <item m="1" x="2405"/>
        <item m="1" x="3376"/>
        <item m="1" x="2616"/>
        <item m="1" x="2857"/>
        <item m="1" x="1286"/>
        <item m="1" x="3736"/>
        <item m="1" x="3624"/>
        <item m="1" x="1981"/>
        <item m="1" x="1254"/>
        <item m="1" x="3096"/>
        <item m="1" x="3517"/>
        <item m="1" x="2369"/>
        <item m="1" x="2728"/>
        <item m="1" x="1089"/>
        <item m="1" x="422"/>
        <item m="1" x="1265"/>
        <item m="1" x="1154"/>
        <item m="1" x="1764"/>
        <item m="1" x="2290"/>
        <item m="1" x="2602"/>
        <item m="1" x="1344"/>
        <item m="1" x="1395"/>
        <item m="1" x="1654"/>
        <item m="1" x="3316"/>
        <item m="1" x="2055"/>
        <item m="1" x="2577"/>
        <item m="1" x="3520"/>
        <item m="1" x="3080"/>
        <item m="1" x="3991"/>
        <item m="1" x="1393"/>
        <item m="1" x="1354"/>
        <item m="1" x="2761"/>
        <item m="1" x="3565"/>
        <item m="1" x="3597"/>
        <item m="1" x="2767"/>
        <item m="1" x="1681"/>
        <item m="1" x="2362"/>
        <item m="1" x="3433"/>
        <item m="1" x="2364"/>
        <item m="1" x="2974"/>
        <item m="1" x="4008"/>
        <item m="1" x="1221"/>
        <item m="1" x="1550"/>
        <item m="1" x="3336"/>
        <item m="1" x="3771"/>
        <item m="1" x="2093"/>
        <item m="1" x="2183"/>
        <item m="1" x="2947"/>
        <item m="1" x="3773"/>
        <item m="1" x="4120"/>
        <item m="1" x="3063"/>
        <item m="1" x="3247"/>
        <item m="1" x="2374"/>
        <item m="1" x="1459"/>
        <item m="1" x="2745"/>
        <item m="1" x="1540"/>
        <item m="1" x="3617"/>
        <item m="1" x="2288"/>
        <item m="1" x="1871"/>
        <item m="1" x="1324"/>
        <item m="1" x="3665"/>
        <item m="1" x="1715"/>
        <item m="1" x="1169"/>
        <item m="1" x="1307"/>
        <item m="1" x="2535"/>
        <item m="1" x="1107"/>
        <item m="1" x="3072"/>
        <item m="1" x="3650"/>
        <item m="1" x="1911"/>
        <item m="1" x="2056"/>
        <item m="1" x="3199"/>
        <item m="1" x="3416"/>
        <item m="1" x="4010"/>
        <item m="1" x="2719"/>
        <item m="1" x="1582"/>
        <item m="1" x="3294"/>
        <item m="1" x="3310"/>
        <item m="1" x="3662"/>
        <item m="1" x="1480"/>
        <item m="1" x="1434"/>
        <item m="1" x="1897"/>
        <item m="1" x="1124"/>
        <item m="1" x="3146"/>
        <item m="1" x="2331"/>
        <item m="1" x="1591"/>
        <item m="1" x="3040"/>
        <item m="1" x="3879"/>
        <item m="1" x="1406"/>
        <item m="1" x="3061"/>
        <item m="1" x="1410"/>
        <item m="1" x="2834"/>
        <item m="1" x="1859"/>
        <item m="1" x="1792"/>
        <item m="1" x="3250"/>
        <item m="1" x="2095"/>
        <item m="1" x="2603"/>
        <item m="1" x="3404"/>
        <item m="1" x="3203"/>
        <item m="1" x="2941"/>
        <item m="1" x="1717"/>
        <item m="1" x="2434"/>
        <item m="1" x="3321"/>
        <item m="1" x="1144"/>
        <item m="1" x="1795"/>
        <item m="1" x="2477"/>
        <item m="1" x="4077"/>
        <item m="1" x="3315"/>
        <item m="1" x="2387"/>
        <item m="1" x="1064"/>
        <item m="1" x="4027"/>
        <item m="1" x="3475"/>
        <item m="1" x="2241"/>
        <item m="1" x="2769"/>
        <item m="1" x="1237"/>
        <item m="1" x="1368"/>
        <item m="1" x="3978"/>
        <item m="1" x="2101"/>
        <item m="1" x="3448"/>
        <item m="1" x="4034"/>
        <item m="1" x="3369"/>
        <item m="1" x="2019"/>
        <item m="1" x="3564"/>
        <item m="1" x="3167"/>
        <item m="1" x="2329"/>
        <item m="1" x="1228"/>
        <item m="1" x="2227"/>
        <item m="1" x="2121"/>
        <item m="1" x="1310"/>
        <item m="1" x="1989"/>
        <item m="1" x="3209"/>
        <item m="1" x="2070"/>
        <item m="1" x="2876"/>
        <item m="1" x="2291"/>
        <item m="1" x="2570"/>
        <item m="1" x="1247"/>
        <item m="1" x="1466"/>
        <item m="1" x="3064"/>
        <item m="1" x="3133"/>
        <item m="1" x="2269"/>
        <item m="1" x="3733"/>
        <item m="1" x="1847"/>
        <item m="1" x="2607"/>
        <item m="1" x="2366"/>
        <item m="1" x="1082"/>
        <item m="1" x="2074"/>
        <item m="1" x="3769"/>
        <item m="1" x="3033"/>
        <item m="1" x="3688"/>
        <item m="1" x="1559"/>
        <item m="1" x="2276"/>
        <item m="1" x="2922"/>
        <item m="1" x="1151"/>
        <item m="1" x="2111"/>
        <item m="1" x="2985"/>
        <item m="1" x="2724"/>
        <item m="1" x="1262"/>
        <item m="1" x="2635"/>
        <item m="1" x="1676"/>
        <item m="1" x="4071"/>
        <item m="1" x="3967"/>
        <item m="1" x="2418"/>
        <item m="1" x="2507"/>
        <item m="1" x="4060"/>
        <item m="1" x="1057"/>
        <item m="1" x="1296"/>
        <item m="1" x="2953"/>
        <item m="1" x="1447"/>
        <item m="1" x="2451"/>
        <item m="1" x="1239"/>
        <item m="1" x="1786"/>
        <item m="1" x="1682"/>
        <item m="1" x="2565"/>
        <item m="1" x="2294"/>
        <item m="1" x="2381"/>
        <item m="1" x="2893"/>
        <item m="1" x="2937"/>
        <item m="1" x="2967"/>
        <item m="1" x="2359"/>
        <item m="1" x="3010"/>
        <item m="1" x="1780"/>
        <item m="1" x="3021"/>
        <item m="1" x="3894"/>
        <item m="1" x="1196"/>
        <item m="1" x="2826"/>
        <item m="1" x="1358"/>
        <item m="1" x="2596"/>
        <item m="1" x="1636"/>
        <item m="1" x="1689"/>
        <item m="1" x="3672"/>
        <item m="1" x="1638"/>
        <item m="1" x="3800"/>
        <item m="1" x="3853"/>
        <item m="1" x="3841"/>
        <item m="1" x="1586"/>
        <item m="1" x="1118"/>
        <item m="1" x="2154"/>
        <item m="1" x="3768"/>
        <item m="1" x="1659"/>
        <item m="1" x="3214"/>
        <item m="1" x="1371"/>
        <item m="1" x="1299"/>
        <item m="1" x="2754"/>
        <item m="1" x="4092"/>
        <item m="1" x="2167"/>
        <item m="1" x="2620"/>
        <item m="1" x="1106"/>
        <item m="1" x="1849"/>
        <item m="1" x="3117"/>
        <item m="1" x="2199"/>
        <item m="1" x="3691"/>
        <item m="1" x="1742"/>
        <item m="1" x="2467"/>
        <item m="1" x="3929"/>
        <item m="1" x="2039"/>
        <item m="1" x="2384"/>
        <item m="1" x="3260"/>
        <item m="1" x="2994"/>
        <item m="1" x="2954"/>
        <item m="1" x="2594"/>
        <item m="1" x="1242"/>
        <item m="1" x="1882"/>
        <item m="1" x="2069"/>
        <item m="1" x="1664"/>
        <item m="1" x="1105"/>
        <item m="1" x="3056"/>
        <item m="1" x="2073"/>
        <item m="1" x="1619"/>
        <item m="1" x="3118"/>
        <item m="1" x="3922"/>
        <item m="1" x="1913"/>
        <item m="1" x="3449"/>
        <item m="1" x="3780"/>
        <item m="1" x="2532"/>
        <item m="1" x="2061"/>
        <item m="1" x="3710"/>
        <item m="1" x="3350"/>
        <item m="1" x="2709"/>
        <item m="1" x="2703"/>
        <item m="1" x="2468"/>
        <item m="1" x="1249"/>
        <item m="1" x="3296"/>
        <item m="1" x="2211"/>
        <item m="1" x="2735"/>
        <item m="1" x="3839"/>
        <item m="1" x="3091"/>
        <item m="1" x="1108"/>
        <item m="1" x="2881"/>
        <item m="1" x="2650"/>
        <item m="1" x="3471"/>
        <item m="1" x="1052"/>
        <item m="1" x="1666"/>
        <item m="1" x="1059"/>
        <item m="1" x="3666"/>
        <item m="1" x="3051"/>
        <item m="1" x="3973"/>
        <item m="1" x="3233"/>
        <item m="1" x="2629"/>
        <item m="1" x="1870"/>
        <item m="1" x="2718"/>
        <item m="1" x="2118"/>
        <item m="1" x="3911"/>
        <item m="1" x="1863"/>
        <item m="1" x="1367"/>
        <item m="1" x="2882"/>
        <item m="1" x="2262"/>
        <item m="1" x="2799"/>
        <item m="1" x="3683"/>
        <item m="1" x="1327"/>
        <item m="1" x="1485"/>
        <item m="1" x="4082"/>
        <item m="1" x="2092"/>
        <item m="1" x="3785"/>
        <item m="1" x="1643"/>
        <item m="1" x="1978"/>
        <item m="1" x="1665"/>
        <item m="1" x="3382"/>
        <item m="1" x="4033"/>
        <item m="1" x="1803"/>
        <item m="1" x="3226"/>
        <item m="1" x="2444"/>
        <item m="1" x="1500"/>
        <item m="1" x="3187"/>
        <item m="1" x="3385"/>
        <item m="1" x="3895"/>
        <item m="1" x="2630"/>
        <item m="1" x="3732"/>
        <item m="1" x="1375"/>
        <item m="1" x="3907"/>
        <item m="1" x="2584"/>
        <item m="1" x="3519"/>
        <item m="1" x="4030"/>
        <item m="1" x="2103"/>
        <item m="1" x="2988"/>
        <item m="1" x="3222"/>
        <item m="1" x="3269"/>
        <item m="1" x="4014"/>
        <item m="1" x="2753"/>
        <item m="1" x="3358"/>
        <item m="1" x="3684"/>
        <item m="1" x="2688"/>
        <item m="1" x="2223"/>
        <item m="1" x="2891"/>
        <item m="1" x="2051"/>
        <item m="1" x="3284"/>
        <item m="1" x="2757"/>
        <item m="1" x="2448"/>
        <item m="1" x="3047"/>
        <item m="1" x="3674"/>
        <item m="1" x="2333"/>
        <item m="1" x="3678"/>
        <item m="1" x="2660"/>
        <item m="1" x="4080"/>
        <item m="1" x="3844"/>
        <item m="1" x="1843"/>
        <item m="1" x="1566"/>
        <item m="1" x="3113"/>
        <item m="1" x="3324"/>
        <item m="1" x="3827"/>
        <item m="1" x="3232"/>
        <item m="1" x="2367"/>
        <item m="1" x="2308"/>
        <item m="1" x="3172"/>
        <item m="1" x="2335"/>
        <item m="1" x="1612"/>
        <item m="1" x="4028"/>
        <item m="1" x="3933"/>
        <item m="1" x="2522"/>
        <item m="1" x="3466"/>
        <item m="1" x="1781"/>
        <item m="1" x="1317"/>
        <item m="1" x="4130"/>
        <item m="1" x="515"/>
        <item m="1" x="1061"/>
        <item m="1" x="3259"/>
        <item m="1" x="3681"/>
        <item m="1" x="2855"/>
        <item m="1" x="1869"/>
        <item m="1" x="1373"/>
        <item m="1" x="2106"/>
        <item m="1" x="4069"/>
        <item m="1" x="2382"/>
        <item m="1" x="3831"/>
        <item m="1" x="1133"/>
        <item m="1" x="2950"/>
        <item m="1" x="2545"/>
        <item m="1" x="1714"/>
        <item m="1" x="3130"/>
        <item m="1" x="4009"/>
        <item m="1" x="2853"/>
        <item m="1" x="2416"/>
        <item m="1" x="3472"/>
        <item m="1" x="2673"/>
        <item m="1" x="1080"/>
        <item m="1" x="2571"/>
        <item m="1" x="3481"/>
        <item m="1" x="1096"/>
        <item m="1" x="3013"/>
        <item m="1" x="3656"/>
        <item m="1" x="3065"/>
        <item m="1" x="2818"/>
        <item m="1" x="3418"/>
        <item m="1" x="1589"/>
        <item m="1" x="4093"/>
        <item m="1" x="1706"/>
        <item m="1" x="2327"/>
        <item m="1" x="4057"/>
        <item m="1" x="2896"/>
        <item m="1" x="2047"/>
        <item m="1" x="1073"/>
        <item m="1" x="2200"/>
        <item m="1" x="3803"/>
        <item m="1" x="3221"/>
        <item m="1" x="2694"/>
        <item m="1" x="3573"/>
        <item m="1" x="3075"/>
        <item m="1" x="2905"/>
        <item m="1" x="2230"/>
        <item m="1" x="1087"/>
        <item m="1" x="1266"/>
        <item m="1" x="3882"/>
        <item m="1" x="1413"/>
        <item m="1" x="1110"/>
        <item m="1" x="3100"/>
        <item m="1" x="2987"/>
        <item m="1" x="3984"/>
        <item m="1" x="1289"/>
        <item m="1" x="1453"/>
        <item m="1" x="1246"/>
        <item m="1" x="2287"/>
        <item m="1" x="2151"/>
        <item m="1" x="2098"/>
        <item m="1" x="2086"/>
        <item m="1" x="1243"/>
        <item m="1" x="3849"/>
        <item m="1" x="1294"/>
        <item m="1" x="2133"/>
        <item m="1" x="1510"/>
        <item m="1" x="3753"/>
        <item m="1" x="4065"/>
        <item m="1" x="2100"/>
        <item m="1" x="3787"/>
        <item m="1" x="1850"/>
        <item m="1" x="1799"/>
        <item m="1" x="3190"/>
        <item m="1" x="2166"/>
        <item m="1" x="3738"/>
        <item m="1" x="1856"/>
        <item m="1" x="1615"/>
        <item m="1" x="3653"/>
        <item m="1" x="1828"/>
        <item m="1" x="1833"/>
        <item m="1" x="2439"/>
        <item m="1" x="2833"/>
        <item m="1" x="1179"/>
        <item m="1" x="2991"/>
        <item m="1" x="1284"/>
        <item m="1" x="4098"/>
        <item m="1" x="4005"/>
        <item m="1" x="3138"/>
        <item m="1" x="3008"/>
        <item m="1" x="1670"/>
        <item m="1" x="1456"/>
        <item m="1" x="3428"/>
        <item m="1" x="1515"/>
        <item m="1" x="3137"/>
        <item m="1" x="4110"/>
        <item m="1" x="1616"/>
        <item m="1" x="2962"/>
        <item m="1" x="1728"/>
        <item m="1" x="3140"/>
        <item m="1" x="1590"/>
        <item m="1" x="1986"/>
        <item m="1" x="3613"/>
        <item m="1" x="2306"/>
        <item m="1" x="2046"/>
        <item m="1" x="1520"/>
        <item m="1" x="1641"/>
        <item m="1" x="2217"/>
        <item m="1" x="2397"/>
        <item m="1" x="1908"/>
        <item m="1" x="2516"/>
        <item m="1" x="3417"/>
        <item m="1" x="1982"/>
        <item m="1" x="2912"/>
        <item m="1" x="2246"/>
        <item m="1" x="3740"/>
        <item m="1" x="2293"/>
        <item m="1" x="1961"/>
        <item m="1" x="2654"/>
        <item m="1" x="2971"/>
        <item m="1" x="2693"/>
        <item m="1" x="2464"/>
        <item m="1" x="1894"/>
        <item m="1" x="2150"/>
        <item m="1" x="1341"/>
        <item m="1" x="3154"/>
        <item m="1" x="2462"/>
        <item m="1" x="3041"/>
        <item m="1" x="1836"/>
        <item m="1" x="2989"/>
        <item m="1" x="4088"/>
        <item m="1" x="1121"/>
        <item m="1" x="1585"/>
        <item m="1" x="1858"/>
        <item m="1" x="2208"/>
        <item m="1" x="1758"/>
        <item m="1" x="3119"/>
        <item m="1" x="2429"/>
        <item m="1" x="3386"/>
        <item m="1" x="1802"/>
        <item m="1" x="1454"/>
        <item m="1" x="1902"/>
        <item m="1" x="1534"/>
        <item m="1" x="1942"/>
        <item m="1" x="3995"/>
        <item m="1" x="2342"/>
        <item m="1" x="2447"/>
        <item m="1" x="1806"/>
        <item m="1" x="2508"/>
        <item m="1" x="2914"/>
        <item m="1" x="2713"/>
        <item m="1" x="3288"/>
        <item m="1" x="2474"/>
        <item m="1" x="3059"/>
        <item m="1" x="2368"/>
        <item m="1" x="3025"/>
        <item m="1" x="1817"/>
        <item m="1" x="3456"/>
        <item m="1" x="3031"/>
        <item m="1" x="3238"/>
        <item m="1" x="3081"/>
        <item m="1" x="3956"/>
        <item m="1" x="2248"/>
        <item m="1" x="1226"/>
        <item m="1" x="3445"/>
        <item m="1" x="2913"/>
        <item m="1" x="3840"/>
        <item m="1" x="1420"/>
        <item m="1" x="3300"/>
        <item m="1" x="2668"/>
        <item m="1" x="1995"/>
        <item m="1" x="2839"/>
        <item m="1" x="1450"/>
        <item m="1" x="3347"/>
        <item m="1" x="2610"/>
        <item m="1" x="2722"/>
        <item m="1" x="3979"/>
        <item m="1" x="3120"/>
        <item m="1" x="1272"/>
        <item m="1" x="3027"/>
        <item m="1" x="3057"/>
        <item m="1" x="1349"/>
        <item m="1" x="2232"/>
        <item m="1" x="2633"/>
        <item m="1" x="1702"/>
        <item m="1" x="1184"/>
        <item m="1" x="2785"/>
        <item m="1" x="3997"/>
        <item m="1" x="1825"/>
        <item m="1" x="3870"/>
        <item m="1" x="2065"/>
        <item m="1" x="3759"/>
        <item m="1" x="2925"/>
        <item m="1" x="2475"/>
        <item m="1" x="3144"/>
        <item m="1" x="2683"/>
        <item m="1" x="2525"/>
        <item m="1" x="3796"/>
        <item m="1" x="3582"/>
        <item m="1" x="2868"/>
        <item m="1" x="1065"/>
        <item m="1" x="2792"/>
        <item m="1" x="3326"/>
        <item m="1" x="2424"/>
        <item m="1" x="1599"/>
        <item m="1" x="2007"/>
        <item m="1" x="2883"/>
        <item m="1" x="1700"/>
        <item m="1" x="4086"/>
        <item m="1" x="1572"/>
        <item m="1" x="4085"/>
        <item m="1" x="3557"/>
        <item m="1" x="4122"/>
        <item m="1" x="2191"/>
        <item m="1" x="2813"/>
        <item m="1" x="2188"/>
        <item m="1" x="2078"/>
        <item m="1" x="2794"/>
        <item m="1" x="1693"/>
        <item m="1" x="1553"/>
        <item m="1" x="1546"/>
        <item m="1" x="2295"/>
        <item m="1" x="1352"/>
        <item m="1" x="3246"/>
        <item m="1" x="2979"/>
        <item m="1" x="1735"/>
        <item m="1" x="2332"/>
        <item m="1" x="1770"/>
        <item m="1" x="3442"/>
        <item m="1" x="2137"/>
        <item m="1" x="1535"/>
        <item m="1" x="3384"/>
        <item m="1" x="2472"/>
        <item m="1" x="2027"/>
        <item m="1" x="1607"/>
        <item m="1" x="1384"/>
        <item m="1" x="2561"/>
        <item m="1" x="2031"/>
        <item m="1" x="2441"/>
        <item m="1" x="2253"/>
        <item m="1" x="2755"/>
        <item m="1" x="1487"/>
        <item m="1" x="3419"/>
        <item m="1" x="3996"/>
        <item m="1" x="3566"/>
        <item m="1" x="2738"/>
        <item m="1" x="3461"/>
        <item m="1" x="2488"/>
        <item m="1" x="1971"/>
        <item m="1" x="3128"/>
        <item m="1" x="3379"/>
        <item m="1" x="1085"/>
        <item m="1" x="1661"/>
        <item m="1" x="3534"/>
        <item m="1" x="1116"/>
        <item m="1" x="2621"/>
        <item m="1" x="2040"/>
        <item m="1" x="1671"/>
        <item m="1" x="2300"/>
        <item m="1" x="2466"/>
        <item m="1" x="3402"/>
        <item m="1" x="3439"/>
        <item m="1" x="1452"/>
        <item m="1" x="4090"/>
        <item m="1" x="3670"/>
        <item m="1" x="2509"/>
        <item m="1" x="1193"/>
        <item m="1" x="2168"/>
        <item m="1" x="1472"/>
        <item m="1" x="2114"/>
        <item m="1" x="3178"/>
        <item m="1" x="2652"/>
        <item m="1" x="1496"/>
        <item m="1" x="2875"/>
        <item m="1" x="3028"/>
        <item m="1" x="2765"/>
        <item m="1" x="1542"/>
        <item m="1" x="1704"/>
        <item m="1" x="3020"/>
        <item m="1" x="1752"/>
        <item m="1" x="1783"/>
        <item m="1" x="1805"/>
        <item m="1" x="2097"/>
        <item m="1" x="1238"/>
        <item m="1" x="3951"/>
        <item m="1" x="3725"/>
        <item m="1" x="2649"/>
        <item m="1" x="3153"/>
        <item m="1" x="2674"/>
        <item m="1" x="3183"/>
        <item m="1" x="2973"/>
        <item m="1" x="1796"/>
        <item m="1" x="2220"/>
        <item m="1" x="2606"/>
        <item m="1" x="2798"/>
        <item m="1" x="4136"/>
        <item m="1" x="1675"/>
        <item m="1" x="2540"/>
        <item m="1" x="3570"/>
        <item m="1" x="1834"/>
        <item m="1" x="4115"/>
        <item m="1" x="1934"/>
        <item m="1" x="2894"/>
        <item m="1" x="4043"/>
        <item m="1" x="3574"/>
        <item m="1" x="3989"/>
        <item m="1" x="3053"/>
        <item m="1" x="3813"/>
        <item m="1" x="3808"/>
        <item m="1" x="1868"/>
        <item m="1" x="2452"/>
        <item m="1" x="2354"/>
        <item m="1" x="2277"/>
        <item m="1" x="2787"/>
        <item m="1" x="1438"/>
        <item m="1" x="4087"/>
        <item m="1" x="1890"/>
        <item m="1" x="2029"/>
        <item m="1" x="3204"/>
        <item m="1" x="1325"/>
        <item m="1" x="4105"/>
        <item m="1" x="4067"/>
        <item m="1" x="3108"/>
        <item m="1" x="2958"/>
        <item m="1" x="2702"/>
        <item m="1" x="2141"/>
        <item m="1" x="2431"/>
        <item m="1" x="4022"/>
        <item m="1" x="1648"/>
        <item m="1" x="3218"/>
        <item m="1" x="3319"/>
        <item m="1" x="3179"/>
        <item m="1" x="2304"/>
        <item m="1" x="3262"/>
        <item m="1" x="3147"/>
        <item m="1" x="3312"/>
        <item m="1" x="3881"/>
        <item m="1" x="1807"/>
        <item m="1" x="2595"/>
        <item m="1" x="3977"/>
        <item m="1" x="1705"/>
        <item m="1" x="3387"/>
        <item m="1" x="2810"/>
        <item m="1" x="2254"/>
        <item m="1" x="1751"/>
        <item m="1" x="2756"/>
        <item m="1" x="3876"/>
        <item m="1" x="3720"/>
        <item m="1" x="2360"/>
        <item m="1" x="2819"/>
        <item m="1" x="2841"/>
        <item m="1" x="3074"/>
        <item m="1" x="3079"/>
        <item m="1" x="2957"/>
        <item m="1" x="3607"/>
        <item m="1" x="1720"/>
        <item m="1" x="2888"/>
        <item m="1" x="2251"/>
        <item m="1" x="1860"/>
        <item m="1" x="1150"/>
        <item m="1" x="3135"/>
        <item m="1" x="3328"/>
        <item m="1" x="3327"/>
        <item m="1" x="3509"/>
        <item m="1" x="3504"/>
        <item m="1" x="3355"/>
        <item m="1" x="1575"/>
        <item m="1" x="2586"/>
        <item m="1" x="3927"/>
        <item m="1" x="2617"/>
        <item m="1" x="1274"/>
        <item m="1" x="1397"/>
        <item m="1" x="3206"/>
        <item m="1" x="2817"/>
        <item m="1" x="2469"/>
        <item m="1" x="1956"/>
        <item m="1" x="2768"/>
        <item m="1" x="4126"/>
        <item m="1" x="3850"/>
        <item m="1" x="2215"/>
        <item m="1" x="1113"/>
        <item m="1" x="3687"/>
        <item m="1" x="3647"/>
        <item m="1" x="2800"/>
        <item m="1" x="1276"/>
        <item m="1" x="3182"/>
        <item m="1" x="3834"/>
        <item m="1" x="1379"/>
        <item m="1" x="3215"/>
        <item m="1" x="2117"/>
        <item m="1" x="1867"/>
        <item m="1" x="1142"/>
        <item m="1" x="2943"/>
        <item m="1" x="1557"/>
        <item m="1" x="2510"/>
        <item m="1" x="1653"/>
        <item m="1" x="1789"/>
        <item m="1" x="3181"/>
        <item m="1" x="3861"/>
        <item m="1" x="3370"/>
        <item m="1" x="3163"/>
        <item m="1" x="1940"/>
        <item m="1" x="2385"/>
        <item m="1" x="1944"/>
        <item m="1" x="3208"/>
        <item m="1" x="2503"/>
        <item m="1" x="1846"/>
        <item m="1" x="2094"/>
        <item m="1" x="3599"/>
        <item m="1" x="3704"/>
        <item m="1" x="2346"/>
        <item m="1" x="2846"/>
        <item m="1" x="1326"/>
        <item m="1" x="3313"/>
        <item m="1" x="2514"/>
        <item m="1" x="3877"/>
        <item m="1" x="2831"/>
        <item m="1" x="2575"/>
        <item m="1" x="3042"/>
        <item m="1" x="2275"/>
        <item m="1" x="3337"/>
        <item m="1" x="3394"/>
        <item m="1" x="3999"/>
        <item m="1" x="4091"/>
        <item m="1" x="3129"/>
        <item m="1" x="2614"/>
        <item m="1" x="2827"/>
        <item m="1" x="2297"/>
        <item m="1" x="3719"/>
        <item m="1" x="3280"/>
        <item m="1" x="1694"/>
        <item m="1" x="2552"/>
        <item m="1" x="1136"/>
        <item m="1" x="2170"/>
        <item m="1" x="3283"/>
        <item m="1" x="2764"/>
        <item m="1" x="3944"/>
        <item m="1" x="1695"/>
        <item m="1" x="1814"/>
        <item m="1" x="1429"/>
        <item m="1" x="1253"/>
        <item m="1" x="2749"/>
        <item m="1" x="2345"/>
        <item m="1" x="1718"/>
        <item m="1" x="1297"/>
        <item m="1" x="1460"/>
        <item m="1" x="1959"/>
        <item m="1" x="3602"/>
        <item m="1" x="1088"/>
        <item m="1" x="3792"/>
        <item m="1" x="1888"/>
        <item m="1" x="2580"/>
        <item m="1" x="3959"/>
        <item m="1" x="3443"/>
        <item m="1" x="4018"/>
        <item m="1" x="1712"/>
        <item m="1" x="3569"/>
        <item m="1" x="2072"/>
        <item m="1" x="2045"/>
        <item m="1" x="1251"/>
        <item m="1" x="1771"/>
        <item m="1" x="1892"/>
        <item m="1" x="1260"/>
        <item m="1" x="3700"/>
        <item m="1" x="4070"/>
        <item m="1" x="3865"/>
        <item m="1" x="2711"/>
        <item m="1" x="1801"/>
        <item m="1" x="1760"/>
        <item m="1" x="2727"/>
        <item m="1" x="1688"/>
        <item m="1" x="2076"/>
        <item m="1" x="2437"/>
        <item m="1" x="2498"/>
        <item m="1" x="2372"/>
        <item m="1" x="3675"/>
        <item m="1" x="1322"/>
        <item m="1" x="2085"/>
        <item m="1" x="3007"/>
        <item m="1" x="1674"/>
        <item m="1" x="4066"/>
        <item m="1" x="2867"/>
        <item m="1" x="2534"/>
        <item m="1" x="2337"/>
        <item m="1" x="2742"/>
        <item m="1" x="1753"/>
        <item m="1" x="3403"/>
        <item m="1" x="3200"/>
        <item m="1" x="2266"/>
        <item m="1" x="3334"/>
        <item m="1" x="3539"/>
        <item m="1" x="3723"/>
        <item m="1" x="2771"/>
        <item m="1" x="1312"/>
        <item m="1" x="2037"/>
        <item m="1" x="3767"/>
        <item m="1" x="2972"/>
        <item m="1" x="1747"/>
        <item m="1" x="2862"/>
        <item m="1" x="1070"/>
        <item m="1" x="3980"/>
        <item m="1" x="2970"/>
        <item m="1" x="3610"/>
        <item m="1" x="1405"/>
        <item m="1" x="2041"/>
        <item m="1" x="2077"/>
        <item m="1" x="2506"/>
        <item m="1" x="1984"/>
        <item m="1" x="1531"/>
        <item m="1" x="2326"/>
        <item m="1" x="2453"/>
        <item m="1" x="1291"/>
        <item m="1" x="1424"/>
        <item m="1" x="1316"/>
        <item m="1" x="3303"/>
        <item m="1" x="2194"/>
        <item m="1" x="1220"/>
        <item m="1" x="1853"/>
        <item m="1" x="2982"/>
        <item m="1" x="2805"/>
        <item m="1" x="2752"/>
        <item m="1" x="3142"/>
        <item m="1" x="1896"/>
        <item m="1" x="1722"/>
        <item m="1" x="3006"/>
        <item m="1" x="3593"/>
        <item m="1" x="2010"/>
        <item m="1" x="2206"/>
        <item m="1" x="1241"/>
        <item m="1" x="2388"/>
        <item m="1" x="4017"/>
        <item m="1" x="3022"/>
        <item m="1" x="2869"/>
        <item m="1" x="1749"/>
        <item m="1" x="2144"/>
        <item m="1" x="1552"/>
        <item m="1" x="3438"/>
        <item m="1" x="3941"/>
        <item m="1" x="2933"/>
        <item m="1" x="2446"/>
        <item m="1" x="1604"/>
        <item m="1" x="3196"/>
        <item m="1" x="2791"/>
        <item m="1" x="3289"/>
        <item m="1" x="1957"/>
        <item m="1" x="4064"/>
        <item m="1" x="3441"/>
        <item m="1" x="2099"/>
        <item m="1" x="2495"/>
        <item m="1" x="4128"/>
        <item m="1" x="1290"/>
        <item m="1" x="2463"/>
        <item m="1" x="1601"/>
        <item m="1" x="2497"/>
        <item m="1" x="1084"/>
        <item m="1" x="2669"/>
        <item m="1" x="3354"/>
        <item m="1" x="1478"/>
        <item m="1" x="1997"/>
        <item m="1" x="2897"/>
        <item m="1" x="3829"/>
        <item m="1" x="3685"/>
        <item m="1" x="3098"/>
        <item m="1" x="3134"/>
        <item m="1" x="2356"/>
        <item m="1" x="2003"/>
        <item m="1" x="1093"/>
        <item m="1" x="1879"/>
        <item m="1" x="3374"/>
        <item m="1" x="1573"/>
        <item m="1" x="3976"/>
        <item m="1" x="3420"/>
        <item m="1" x="1188"/>
        <item m="1" x="1593"/>
        <item m="1" x="3411"/>
        <item m="1" x="1177"/>
        <item m="1" x="1975"/>
        <item m="1" x="1360"/>
        <item m="1" x="1273"/>
        <item m="1" x="4056"/>
        <item m="1" x="3186"/>
        <item m="1" x="2119"/>
        <item m="1" x="2420"/>
        <item m="1" x="2927"/>
        <item m="1" x="1794"/>
        <item m="1" x="3193"/>
        <item m="1" x="3525"/>
        <item m="1" x="2024"/>
        <item m="1" x="3550"/>
        <item m="1" x="1132"/>
        <item m="1" x="2264"/>
        <item m="1" x="2075"/>
        <item m="1" x="1889"/>
        <item m="1" x="4079"/>
        <item m="1" x="3837"/>
        <item m="1" x="3235"/>
        <item m="1" x="3084"/>
        <item m="1" x="1202"/>
        <item m="1" x="1078"/>
        <item m="1" x="4058"/>
        <item m="1" x="2779"/>
        <item m="1" x="1054"/>
        <item m="1" x="3990"/>
        <item m="1" x="2380"/>
        <item m="1" x="3377"/>
        <item m="1" x="2515"/>
        <item m="1" x="1164"/>
        <item m="1" x="3511"/>
        <item m="1" x="3551"/>
        <item m="1" x="3643"/>
        <item m="1" x="3934"/>
        <item m="1" x="3633"/>
        <item m="1" x="1898"/>
        <item m="1" x="1793"/>
        <item m="1" x="1315"/>
        <item m="1" x="3489"/>
        <item m="1" x="2850"/>
        <item m="1" x="2874"/>
        <item m="1" x="2766"/>
        <item m="1" x="3323"/>
        <item m="1" x="3486"/>
        <item m="1" x="2123"/>
        <item m="1" x="2104"/>
        <item m="1" x="2411"/>
        <item m="1" x="2157"/>
        <item m="1" x="1412"/>
        <item m="1" x="2964"/>
        <item m="1" x="3299"/>
        <item m="1" x="3823"/>
        <item m="1" x="2809"/>
        <item m="1" x="3846"/>
        <item m="1" x="2396"/>
        <item m="1" x="3426"/>
        <item m="1" x="1343"/>
        <item m="1" x="3705"/>
        <item m="1" x="3884"/>
        <item m="1" x="2034"/>
        <item m="1" x="1298"/>
        <item m="1" x="1979"/>
        <item m="1" x="1353"/>
        <item m="1" x="2631"/>
        <item m="1" x="2292"/>
        <item m="1" x="2298"/>
        <item m="1" x="2044"/>
        <item m="1" x="1536"/>
        <item m="1" x="1350"/>
        <item m="1" x="3198"/>
        <item m="1" x="1876"/>
        <item m="1" x="3372"/>
        <item m="1" x="3782"/>
        <item m="1" x="3905"/>
        <item m="1" x="3046"/>
        <item m="1" x="1462"/>
        <item m="1" x="2737"/>
        <item m="1" x="3506"/>
        <item m="1" x="1362"/>
        <item m="1" x="2409"/>
        <item m="1" x="2185"/>
        <item m="1" x="4072"/>
        <item m="1" x="2665"/>
        <item m="1" x="2600"/>
        <item m="1" x="4015"/>
        <item m="1" x="1686"/>
        <item m="1" x="2425"/>
        <item m="1" x="2122"/>
        <item m="1" x="2559"/>
        <item m="1" x="1623"/>
        <item m="1" x="2852"/>
        <item m="1" x="2110"/>
        <item m="1" x="4125"/>
        <item m="1" x="2402"/>
        <item m="1" x="3252"/>
        <item m="1" x="1530"/>
        <item m="1" x="3859"/>
        <item m="1" x="1140"/>
        <item m="1" x="1990"/>
        <item m="1" x="3435"/>
        <item m="1" x="2182"/>
        <item m="1" x="2146"/>
        <item m="1" x="3694"/>
        <item m="1" x="1114"/>
        <item m="1" x="2180"/>
        <item m="1" x="2599"/>
        <item m="1" x="3616"/>
        <item m="1" x="3828"/>
        <item m="1" x="2338"/>
        <item m="1" x="2686"/>
        <item m="1" x="3963"/>
        <item m="1" x="3755"/>
        <item m="1" x="1283"/>
        <item m="1" x="3797"/>
        <item m="1" x="1380"/>
        <item m="1" x="1484"/>
        <item m="1" x="3412"/>
        <item m="1" x="1685"/>
        <item m="1" x="3275"/>
        <item m="1" x="1248"/>
        <item m="1" x="1533"/>
        <item m="1" x="2058"/>
        <item m="1" x="3380"/>
        <item m="1" x="1225"/>
        <item m="1" x="2355"/>
        <item m="1" x="3291"/>
        <item m="1" x="1737"/>
        <item m="1" x="1427"/>
        <item m="1" x="2317"/>
        <item m="1" x="3338"/>
        <item m="1" x="3085"/>
        <item m="1" x="2407"/>
        <item m="1" x="1668"/>
        <item m="1" x="1279"/>
        <item m="1" x="2365"/>
        <item m="1" x="2731"/>
        <item m="1" x="1958"/>
        <item m="1" x="3092"/>
        <item m="1" x="1561"/>
        <item m="1" x="2018"/>
        <item m="1" x="2604"/>
        <item m="1" x="2164"/>
        <item m="1" x="2243"/>
        <item m="1" x="1631"/>
        <item m="1" x="2128"/>
        <item m="1" x="1304"/>
        <item m="1" x="1178"/>
        <item m="1" x="3695"/>
        <item m="1" x="3885"/>
        <item m="1" x="1677"/>
        <item m="1" x="2828"/>
        <item m="1" x="1646"/>
        <item m="1" x="2107"/>
        <item m="1" x="1900"/>
        <item m="1" x="2762"/>
        <item m="1" x="3802"/>
        <item m="1" x="2161"/>
        <item m="1" x="1163"/>
        <item m="1" x="3629"/>
        <item m="1" x="1524"/>
        <item m="1" x="1543"/>
        <item m="1" x="1232"/>
        <item m="1" x="4012"/>
        <item m="1" x="3473"/>
        <item m="1" x="3923"/>
        <item m="1" x="3395"/>
        <item m="1" x="1584"/>
        <item m="1" x="1205"/>
        <item m="1" x="1916"/>
        <item m="1" x="2021"/>
        <item m="1" x="1655"/>
        <item m="1" x="3483"/>
        <item m="1" x="3223"/>
        <item m="1" x="1823"/>
        <item m="1" x="1189"/>
        <item m="1" x="1769"/>
        <item m="1" x="3242"/>
        <item m="1" x="2063"/>
        <item m="1" x="1139"/>
        <item m="1" x="1236"/>
        <item m="1" x="1987"/>
        <item m="1" x="2139"/>
        <item m="1" x="1152"/>
        <item m="1" x="3817"/>
        <item m="1" x="3451"/>
        <item m="1" x="4045"/>
        <item m="1" x="3794"/>
        <item m="1" x="2917"/>
        <item m="1" x="3188"/>
        <item m="1" x="4049"/>
        <item m="1" x="1519"/>
        <item m="1" x="3484"/>
        <item m="1" x="1925"/>
        <item m="1" x="3696"/>
        <item m="1" x="1662"/>
        <item m="1" x="3000"/>
        <item m="1" x="1211"/>
        <item m="1" x="2782"/>
        <item m="1" x="2795"/>
        <item m="1" x="1365"/>
        <item m="1" x="2975"/>
        <item m="1" x="4089"/>
        <item m="1" x="3241"/>
        <item m="1" x="2804"/>
        <item m="1" x="3434"/>
        <item m="1" x="3902"/>
        <item m="1" x="2502"/>
        <item m="1" x="2490"/>
        <item m="1" x="2226"/>
        <item m="1" x="1998"/>
        <item m="1" x="1748"/>
        <item m="1" x="1864"/>
        <item m="1" x="1208"/>
        <item m="1" x="1660"/>
        <item m="1" x="2301"/>
        <item m="1" x="2406"/>
        <item m="1" x="3375"/>
        <item m="1" x="1580"/>
        <item m="1" x="2591"/>
        <item m="1" x="1840"/>
        <item m="1" x="3308"/>
        <item m="1" x="2553"/>
        <item m="1" x="1269"/>
        <item m="1" x="1650"/>
        <item m="1" x="4050"/>
        <item m="1" x="1915"/>
        <item m="1" x="3677"/>
        <item m="1" x="3761"/>
        <item m="1" x="1797"/>
        <item m="1" x="3661"/>
        <item m="1" x="3361"/>
        <item m="1" x="1996"/>
        <item m="1" x="2461"/>
        <item m="1" x="1441"/>
        <item m="1" x="3547"/>
        <item m="1" x="1800"/>
        <item m="1" x="1431"/>
        <item m="1" x="2612"/>
        <item m="1" x="1945"/>
        <item m="1" x="2530"/>
        <item m="1" x="1439"/>
        <item m="1" x="1736"/>
        <item m="1" x="2999"/>
        <item m="1" x="1161"/>
        <item m="1" x="2489"/>
        <item m="1" x="1392"/>
        <item m="1" x="1173"/>
        <item m="1" x="2197"/>
        <item m="1" x="1872"/>
        <item m="1" x="1125"/>
        <item m="1" x="2084"/>
        <item m="1" x="1708"/>
        <item m="1" x="1264"/>
        <item m="1" x="2705"/>
        <item m="1" x="2235"/>
        <item m="1" x="2605"/>
        <item m="1" x="3026"/>
        <item m="1" x="4044"/>
        <item m="1" x="2347"/>
        <item m="1" x="3037"/>
        <item m="1" x="1523"/>
        <item m="1" x="2880"/>
        <item m="1" x="1822"/>
        <item m="1" x="3775"/>
        <item m="1" x="2401"/>
        <item m="1" x="4116"/>
        <item m="1" x="3392"/>
        <item m="1" x="4020"/>
        <item m="1" x="2435"/>
        <item m="1" x="3282"/>
        <item m="1" x="3799"/>
        <item m="1" x="1639"/>
        <item m="1" x="1861"/>
        <item m="1" x="2940"/>
        <item m="1" x="2889"/>
        <item m="1" x="1258"/>
        <item m="1" x="2096"/>
        <item m="1" x="1690"/>
        <item m="1" x="2471"/>
        <item m="1" x="2493"/>
        <item m="1" x="3396"/>
        <item m="1" x="3452"/>
        <item m="1" x="1947"/>
        <item m="1" x="1773"/>
        <item m="1" x="1904"/>
        <item m="1" x="3620"/>
        <item m="1" x="3928"/>
        <item m="1" x="1101"/>
        <item m="1" x="3220"/>
        <item m="1" x="2412"/>
        <item m="1" x="1927"/>
        <item m="1" x="2102"/>
        <item m="1" x="2415"/>
        <item m="1" x="1724"/>
        <item m="1" x="1287"/>
        <item m="1" x="1292"/>
        <item m="1" x="3305"/>
        <item m="1" x="3038"/>
        <item m="1" x="1176"/>
        <item m="1" x="2712"/>
        <item m="1" x="2955"/>
        <item m="1" x="2140"/>
        <item m="1" x="3234"/>
        <item m="1" x="4101"/>
        <item m="1" x="2567"/>
        <item m="1" x="2733"/>
        <item m="1" x="3352"/>
        <item m="1" x="2311"/>
        <item m="1" x="3039"/>
        <item m="1" x="2744"/>
        <item m="1" x="3368"/>
        <item m="1" x="2780"/>
        <item m="1" x="3018"/>
        <item m="1" x="2519"/>
        <item m="1" x="3248"/>
        <item m="1" x="3891"/>
        <item m="1" x="4061"/>
        <item m="1" x="3344"/>
        <item m="1" x="3549"/>
        <item m="1" x="4096"/>
        <item m="1" x="3728"/>
        <item m="1" x="1774"/>
        <item m="1" x="2000"/>
        <item m="1" x="1513"/>
        <item m="1" x="3867"/>
        <item m="1" x="2428"/>
        <item m="1" x="3019"/>
        <item m="1" x="2130"/>
        <item m="1" x="2449"/>
        <item m="1" x="2035"/>
        <item m="1" x="2716"/>
        <item m="1" x="2960"/>
        <item m="1" x="1311"/>
        <item m="1" x="1498"/>
        <item m="1" x="3750"/>
        <item m="1" x="1402"/>
        <item m="1" x="2699"/>
        <item m="1" x="3421"/>
        <item m="1" x="3731"/>
        <item m="1" x="2961"/>
        <item m="1" x="2657"/>
        <item m="1" x="1791"/>
        <item m="1" x="2625"/>
        <item m="1" x="2400"/>
        <item m="1" x="2496"/>
        <item m="1" x="1300"/>
        <item m="1" x="3488"/>
        <item m="1" x="4108"/>
        <item m="1" x="2858"/>
        <item m="1" x="3271"/>
        <item m="1" x="3983"/>
        <item m="1" x="2339"/>
        <item m="1" x="1443"/>
        <item m="1" x="2229"/>
        <item m="1" x="2801"/>
        <item m="1" x="2159"/>
        <item m="1" x="3116"/>
        <item m="1" x="3579"/>
        <item m="1" x="3360"/>
        <item m="1" x="2951"/>
        <item m="1" x="3930"/>
        <item m="1" x="3543"/>
        <item m="1" x="3173"/>
        <item m="1" x="2260"/>
        <item m="1" x="3751"/>
        <item m="1" x="3631"/>
        <item m="1" x="2554"/>
        <item m="1" x="2926"/>
        <item m="1" x="1295"/>
        <item m="1" x="1804"/>
        <item m="1" x="1267"/>
        <item m="1" x="3847"/>
        <item m="1" x="1953"/>
        <item m="1" x="1673"/>
        <item m="1" x="3171"/>
        <item m="1" x="2928"/>
        <item m="1" x="2968"/>
        <item m="1" x="3957"/>
        <item m="1" x="3952"/>
        <item m="1" x="3603"/>
        <item m="1" x="1921"/>
        <item m="1" x="1499"/>
        <item m="1" x="3845"/>
        <item m="1" x="3919"/>
        <item m="1" x="3077"/>
        <item m="1" x="2823"/>
        <item m="1" x="3244"/>
        <item m="1" x="4095"/>
        <item m="1" x="3737"/>
        <item m="1" x="3652"/>
        <item m="1" x="2216"/>
        <item m="1" x="2870"/>
        <item m="1" x="2562"/>
        <item m="1" x="3805"/>
        <item m="1" x="1051"/>
        <item m="1" x="3634"/>
        <item m="1" x="2020"/>
        <item m="1" x="2773"/>
        <item m="1" x="3795"/>
        <item m="1" x="2537"/>
        <item m="1" x="2125"/>
        <item m="1" x="3848"/>
        <item m="1" x="1710"/>
        <item m="1" x="3598"/>
        <item m="1" x="1306"/>
        <item m="1" x="2240"/>
        <item m="1" x="2013"/>
        <item m="1" x="2849"/>
        <item m="1" x="2944"/>
        <item m="1" x="3781"/>
        <item m="1" x="3935"/>
        <item m="1" x="1437"/>
        <item m="1" x="3717"/>
        <item m="1" x="2080"/>
        <item m="1" x="1309"/>
        <item m="1" x="1394"/>
        <item m="1" x="3249"/>
        <item m="1" x="1845"/>
        <item m="1" x="1657"/>
        <item m="1" x="3502"/>
        <item m="1" x="2052"/>
        <item m="1" x="3645"/>
        <item m="1" x="2257"/>
        <item m="1" x="1081"/>
        <item m="1" x="1527"/>
        <item m="1" x="3730"/>
        <item m="1" x="4113"/>
        <item m="1" x="3926"/>
        <item m="1" x="2574"/>
        <item m="1" x="3918"/>
        <item m="1" x="1378"/>
        <item m="1" x="2147"/>
        <item m="1" x="1538"/>
        <item m="1" x="3806"/>
        <item m="1" x="1962"/>
        <item m="1" x="2083"/>
        <item m="1" x="3637"/>
        <item m="1" x="2017"/>
        <item m="1" x="3680"/>
        <item m="1" x="4036"/>
        <item m="1" x="1852"/>
        <item m="1" x="3571"/>
        <item m="1" x="3440"/>
        <item m="1" x="2250"/>
        <item m="1" x="3164"/>
        <item m="1" x="2189"/>
        <item m="1" x="4011"/>
        <item m="1" x="2624"/>
        <item m="1" x="1634"/>
        <item m="1" x="1359"/>
        <item m="1" x="3527"/>
        <item m="1" x="2903"/>
        <item m="1" x="1699"/>
        <item m="1" x="1716"/>
        <item m="1" x="3958"/>
        <item m="1" x="2087"/>
        <item m="1" x="3586"/>
        <item m="1" x="1841"/>
        <item m="1" x="3490"/>
        <item m="1" x="1560"/>
        <item m="1" x="3224"/>
        <item m="1" x="2440"/>
        <item m="1" x="3122"/>
        <item m="1" x="2684"/>
        <item m="1" x="4119"/>
        <item m="1" x="1658"/>
        <item m="1" x="1750"/>
        <item m="1" x="1476"/>
        <item m="1" x="1363"/>
        <item m="1" x="1778"/>
        <item m="1" x="2969"/>
        <item m="1" x="1155"/>
        <item m="1" x="3938"/>
        <item m="1" x="1334"/>
        <item m="1" x="1355"/>
        <item m="1" x="1881"/>
        <item m="1" x="2213"/>
        <item m="1" x="3191"/>
        <item m="1" x="1256"/>
        <item m="1" x="3083"/>
        <item m="1" x="2016"/>
        <item m="1" x="1102"/>
        <item m="1" x="1126"/>
        <item m="1" x="2419"/>
        <item m="1" x="3766"/>
        <item m="1" x="3351"/>
        <item m="1" x="1732"/>
        <item m="1" x="2261"/>
        <item m="1" x="2392"/>
        <item m="1" x="2981"/>
        <item m="1" x="2830"/>
        <item m="1" x="3514"/>
        <item m="1" x="3499"/>
        <item m="1" x="2965"/>
        <item m="1" x="3528"/>
        <item m="1" x="3953"/>
        <item m="1" x="2836"/>
        <item m="1" x="3609"/>
        <item m="1" x="1165"/>
        <item m="1" x="2423"/>
        <item m="1" x="3405"/>
        <item m="1" x="2751"/>
        <item m="1" x="1190"/>
        <item m="1" x="3408"/>
        <item m="1" x="3067"/>
        <item m="1" x="3180"/>
        <item m="1" x="1949"/>
        <item m="1" x="3099"/>
        <item m="1" x="3253"/>
        <item m="1" x="2992"/>
        <item m="1" x="2135"/>
        <item m="1" x="3476"/>
        <item m="1" x="2445"/>
        <item m="1" x="2568"/>
        <item m="1" x="1855"/>
        <item m="1" x="2539"/>
        <item m="1" x="3124"/>
        <item m="1" x="3790"/>
        <item m="1" x="2747"/>
        <item m="1" x="3721"/>
        <item m="1" x="3630"/>
        <item m="1" x="2458"/>
        <item m="1" x="2576"/>
        <item m="1" x="3166"/>
        <item m="1" x="2774"/>
        <item m="1" x="3880"/>
        <item m="1" x="1422"/>
        <item m="1" x="3169"/>
        <item m="1" x="3563"/>
        <item m="1" x="1099"/>
        <item m="1" x="2043"/>
        <item m="1" x="3965"/>
        <item m="1" x="2993"/>
        <item m="1" x="3194"/>
        <item m="1" x="1910"/>
        <item m="1" x="1907"/>
        <item m="1" x="3298"/>
        <item m="1" x="3986"/>
        <item m="1" x="2349"/>
        <item m="1" x="3062"/>
        <item m="1" x="3161"/>
        <item m="1" x="1214"/>
        <item m="1" x="3908"/>
        <item m="1" x="1119"/>
        <item m="1" x="2997"/>
        <item m="1" x="1130"/>
        <item m="1" x="3667"/>
        <item m="1" x="2270"/>
        <item m="1" x="1507"/>
        <item m="1" x="1465"/>
        <item m="1" x="3479"/>
        <item m="1" x="1632"/>
        <item m="1" x="2279"/>
        <item m="1" x="1396"/>
        <item m="1" x="3786"/>
        <item m="1" x="1611"/>
        <item m="1" x="1387"/>
        <item m="1" x="1509"/>
        <item m="1" x="1766"/>
        <item m="1" x="1701"/>
        <item m="1" x="1862"/>
        <item m="1" x="2234"/>
        <item m="1" x="3363"/>
        <item m="1" x="1400"/>
        <item m="1" x="3779"/>
        <item m="1" x="3032"/>
        <item m="1" x="2171"/>
        <item m="1" x="1602"/>
        <item m="1" x="3889"/>
        <item m="1" x="2132"/>
        <item m="1" x="2666"/>
        <item m="1" x="3869"/>
        <item m="1" x="2690"/>
        <item m="1" x="3184"/>
        <item m="1" x="1338"/>
        <item m="1" x="1788"/>
        <item m="1" x="3618"/>
        <item m="1" x="3477"/>
        <item m="1" x="2623"/>
        <item m="1" x="1048"/>
        <item m="1" x="3552"/>
        <item m="1" x="2501"/>
        <item m="1" x="3946"/>
        <item m="1" x="3689"/>
        <item m="1" x="3816"/>
        <item m="1" x="1574"/>
        <item m="1" x="2057"/>
        <item m="1" x="3388"/>
        <item m="1" x="1075"/>
        <item m="1" x="2082"/>
        <item m="1" x="1440"/>
        <item m="1" x="3155"/>
        <item m="1" x="2899"/>
        <item m="1" x="1522"/>
        <item m="1" x="3627"/>
        <item m="1" x="3236"/>
        <item m="1" x="2255"/>
        <item m="1" x="2904"/>
        <item m="1" x="1617"/>
        <item m="1" x="3202"/>
        <item m="1" x="3295"/>
        <item m="1" x="1158"/>
        <item m="1" x="2398"/>
        <item m="1" x="2887"/>
        <item m="1" x="3638"/>
        <item m="1" x="3343"/>
        <item m="1" x="1333"/>
        <item m="1" x="3123"/>
        <item m="1" x="1827"/>
        <item m="1" x="1123"/>
        <item m="1" x="3912"/>
        <item m="1" x="3107"/>
        <item m="1" x="1731"/>
        <item m="1" x="1457"/>
        <item m="1" x="1501"/>
        <item m="1" x="3743"/>
        <item m="1" x="1135"/>
        <item m="1" x="1432"/>
        <item m="1" x="3583"/>
        <item m="1" x="1647"/>
        <item m="1" x="2504"/>
        <item m="1" x="3415"/>
        <item m="1" x="2634"/>
        <item m="1" x="3833"/>
        <item m="1" x="2008"/>
        <item m="1" x="1319"/>
        <item m="1" x="3595"/>
        <item m="1" x="2860"/>
        <item m="1" x="1200"/>
        <item m="1" x="3391"/>
        <item m="1" x="3903"/>
        <item m="1" x="2064"/>
        <item m="1" x="1255"/>
        <item m="1" x="1473"/>
        <item m="1" x="3642"/>
        <item m="1" x="1763"/>
        <item m="1" x="4073"/>
        <item m="1" x="3623"/>
        <item m="1" x="1366"/>
        <item m="1" x="3932"/>
        <item m="1" x="2900"/>
        <item m="1" x="1332"/>
        <item m="1" x="3029"/>
        <item m="1" x="2143"/>
        <item m="1" x="4138"/>
        <item m="1" x="2320"/>
        <item m="1" x="3114"/>
        <item m="1" x="2307"/>
        <item m="1" x="2442"/>
        <item m="1" x="1918"/>
        <item m="1" x="1063"/>
        <item m="1" x="3023"/>
        <item m="1" x="1346"/>
        <item m="1" x="2042"/>
        <item m="1" x="1492"/>
        <item m="1" x="3450"/>
        <item m="1" x="2036"/>
        <item m="1" x="2772"/>
        <item m="1" x="3531"/>
        <item m="1" x="3679"/>
        <item m="1" x="2682"/>
        <item m="1" x="4107"/>
        <item m="1" x="1887"/>
        <item m="1" x="1711"/>
        <item m="1" x="3432"/>
        <item m="1" x="3701"/>
        <item m="1" x="1950"/>
        <item m="1" x="3937"/>
        <item m="1" x="2282"/>
        <item m="1" x="1569"/>
        <item m="1" x="3175"/>
        <item m="1" x="1951"/>
        <item m="1" x="2403"/>
        <item m="1" x="1203"/>
        <item m="1" x="2706"/>
        <item m="1" x="3068"/>
        <item m="1" x="1212"/>
        <item m="1" x="2821"/>
        <item m="1" x="3836"/>
        <item m="1" x="3332"/>
        <item m="1" x="3148"/>
        <item m="1" x="2303"/>
        <item m="1" x="1494"/>
        <item m="1" x="2775"/>
        <item m="1" x="3758"/>
        <item m="1" x="3580"/>
        <item m="1" x="2272"/>
        <item m="1" x="2564"/>
        <item m="1" x="1483"/>
        <item m="1" x="2677"/>
        <item m="1" x="1556"/>
        <item m="1" x="3112"/>
        <item m="1" x="2555"/>
        <item m="1" x="3641"/>
        <item m="1" x="3842"/>
        <item m="1" x="2851"/>
        <item m="1" x="3713"/>
        <item m="1" x="1182"/>
        <item m="1" x="1288"/>
        <item m="1" x="3258"/>
        <item m="1" x="1679"/>
        <item m="1" x="1446"/>
        <item m="1" x="2790"/>
        <item m="1" x="1174"/>
        <item m="1" x="3508"/>
        <item m="1" x="3001"/>
        <item m="1" x="2006"/>
        <item m="1" x="1678"/>
        <item m="1" x="2832"/>
        <item m="1" x="3804"/>
        <item m="1" x="3592"/>
        <item m="1" x="3318"/>
        <item m="1" x="2238"/>
        <item m="1" x="3904"/>
        <item m="1" x="1199"/>
        <item m="1" x="1278"/>
        <item m="1" x="4054"/>
        <item m="1" x="3663"/>
        <item m="1" x="2176"/>
        <item m="1" x="3600"/>
        <item m="1" x="3793"/>
        <item m="1" x="1576"/>
        <item m="1" x="1503"/>
        <item m="1" x="2062"/>
        <item m="1" x="3457"/>
        <item m="1" x="3899"/>
        <item m="1" x="3611"/>
        <item m="1" x="2563"/>
        <item m="1" x="3916"/>
        <item m="1" x="1594"/>
        <item m="1" x="2527"/>
        <item m="1" x="1625"/>
        <item m="1" x="3577"/>
        <item m="1" x="3555"/>
        <item m="1" x="1587"/>
        <item m="1" x="2454"/>
        <item m="1" x="4047"/>
        <item m="1" x="1723"/>
        <item m="1" x="3576"/>
        <item m="1" x="2310"/>
        <item m="1" x="3195"/>
        <item m="1" x="2663"/>
        <item m="1" x="1761"/>
        <item m="1" x="3071"/>
        <item m="1" x="2450"/>
        <item m="1" x="1233"/>
        <item m="1" x="2990"/>
        <item m="1" x="3591"/>
        <item m="1" x="3826"/>
        <item m="1" x="1046"/>
        <item m="1" x="2816"/>
        <item m="1" x="4111"/>
        <item m="1" x="1055"/>
        <item m="1" x="2871"/>
        <item m="1" x="1131"/>
        <item m="1" x="3545"/>
        <item m="1" x="1555"/>
        <item m="1" x="3496"/>
        <item m="1" x="1839"/>
        <item m="1" x="3005"/>
        <item m="1" x="2949"/>
        <item m="1" x="3276"/>
        <item m="1" x="3333"/>
        <item m="1" x="2373"/>
        <item m="1" x="3798"/>
        <item m="1" x="1149"/>
        <item m="1" x="4025"/>
        <item m="1" x="3314"/>
        <item m="1" x="3306"/>
        <item m="1" x="3268"/>
        <item m="1" x="3049"/>
        <item m="1" x="1436"/>
        <item m="1" x="2033"/>
        <item m="1" x="1268"/>
        <item m="1" x="4048"/>
        <item m="1" x="1342"/>
        <item m="1" x="2131"/>
        <item m="1" x="1930"/>
        <item m="1" x="1385"/>
        <item m="1" x="3460"/>
        <item m="1" x="4083"/>
        <item m="1" x="3513"/>
        <item m="1" x="1837"/>
        <item m="1" x="3763"/>
        <item m="1" x="2120"/>
        <item m="1" x="1782"/>
        <item m="1" x="4124"/>
        <item m="1" x="3948"/>
        <item m="1" x="4103"/>
        <item m="1" x="1621"/>
        <item x="0"/>
        <item m="1" x="3726"/>
        <item m="1" x="3366"/>
        <item m="1" x="1187"/>
        <item m="1" x="3498"/>
        <item m="1" x="2748"/>
        <item m="1" x="3886"/>
        <item m="1" x="2873"/>
        <item m="1" x="3423"/>
        <item m="1" x="4118"/>
        <item m="1" x="2685"/>
        <item m="1" x="2015"/>
        <item m="1" x="3453"/>
        <item m="1" x="1068"/>
        <item m="1" x="3197"/>
        <item m="1" x="3297"/>
        <item m="1" x="1719"/>
        <item m="1" x="1481"/>
        <item m="1" x="3378"/>
        <item m="1" x="3742"/>
        <item m="1" x="2115"/>
        <item m="1" x="1074"/>
        <item m="1" x="2322"/>
        <item m="1" x="1983"/>
        <item m="1" x="3126"/>
        <item m="1" x="2002"/>
        <item m="1" x="4062"/>
        <item m="1" x="1528"/>
        <item m="1" x="2842"/>
        <item m="1" x="3646"/>
        <item m="1" x="1303"/>
        <item m="1" x="2273"/>
        <item m="1" x="3256"/>
        <item m="1" x="2655"/>
        <item m="1" x="2187"/>
        <item m="1" x="2541"/>
        <item m="1" x="1191"/>
        <item m="1" x="1884"/>
        <item m="1" x="3778"/>
        <item m="1" x="2721"/>
        <item m="1" x="2323"/>
        <item m="1" x="2921"/>
        <item m="1" x="2050"/>
        <item m="1" x="1595"/>
        <item m="1" x="2321"/>
        <item m="1" x="2598"/>
        <item m="1" x="2478"/>
        <item m="1" x="2302"/>
        <item m="1" x="1727"/>
        <item m="1" x="2517"/>
        <item m="1" x="3044"/>
        <item m="1" x="2656"/>
        <item m="1" x="3454"/>
        <item m="1" x="3998"/>
        <item m="1" x="2417"/>
        <item m="1" x="1056"/>
        <item m="1" x="2160"/>
        <item m="1" x="2203"/>
        <item m="1" x="3002"/>
        <item m="1" x="3207"/>
        <item m="1" x="3399"/>
        <item m="1" x="3503"/>
        <item m="1" x="3699"/>
        <item m="1" x="4021"/>
        <item m="1" x="3501"/>
        <item m="1" x="1613"/>
        <item m="1" x="2198"/>
        <item m="1" x="2558"/>
        <item m="1" x="3095"/>
        <item m="1" x="1829"/>
        <item m="1" x="2856"/>
        <item m="1" x="3035"/>
        <item m="1" x="2615"/>
        <item m="1" x="3774"/>
        <item m="1" x="1117"/>
        <item m="1" x="3622"/>
        <item m="1" x="2906"/>
        <item m="1" x="3464"/>
        <item m="1" x="1111"/>
        <item m="1" x="4100"/>
        <item m="1" x="2259"/>
        <item m="1" x="2895"/>
        <item m="1" x="1579"/>
        <item m="1" x="4076"/>
        <item m="1" x="2314"/>
        <item m="1" x="2542"/>
        <item m="1" x="1901"/>
        <item m="1" x="2931"/>
        <item m="1" x="2142"/>
        <item m="1" x="4129"/>
        <item m="1" x="2572"/>
        <item m="1" x="3424"/>
        <item m="1" x="3606"/>
        <item m="1" x="2252"/>
        <item m="1" x="2126"/>
        <item m="1" x="1112"/>
        <item m="1" x="1047"/>
        <item m="1" x="3515"/>
        <item m="1" x="3636"/>
        <item m="1" x="2457"/>
        <item m="1" x="3185"/>
        <item m="1" x="1605"/>
        <item m="1" x="2192"/>
        <item m="1" x="2105"/>
        <item m="1" x="1768"/>
        <item m="1" x="3584"/>
        <item m="1" x="2256"/>
        <item m="1" x="2589"/>
        <item m="1" x="2814"/>
        <item m="1" x="3495"/>
        <item m="1" x="3994"/>
        <item m="1" x="3754"/>
        <item m="1" x="3401"/>
        <item m="1" x="1919"/>
        <item m="1" x="4052"/>
        <item m="1" x="3526"/>
        <item m="1" x="2789"/>
        <item m="1" x="1469"/>
        <item m="1" x="1740"/>
        <item m="1" x="1624"/>
        <item m="1" x="2995"/>
        <item m="1" x="3237"/>
        <item m="1" x="3264"/>
        <item m="1" x="3556"/>
        <item m="1" x="2172"/>
        <item m="1" x="1386"/>
        <item m="1" x="2212"/>
        <item m="1" x="3601"/>
        <item m="1" x="1474"/>
        <item m="1" x="1168"/>
        <item m="1" x="1053"/>
        <item m="1" x="3516"/>
        <item m="1" x="2124"/>
        <item m="1" x="2582"/>
        <item m="1" x="2708"/>
        <item m="1" x="3596"/>
        <item m="1" x="2473"/>
        <item m="1" x="3863"/>
        <item m="1" x="1428"/>
        <item m="1" x="3635"/>
        <item m="1" x="1963"/>
        <item m="1" x="1250"/>
        <item m="1" x="3086"/>
        <item m="1" x="3575"/>
        <item m="1" x="2824"/>
        <item m="1" x="2886"/>
        <item m="1" x="1629"/>
        <item m="1" x="1458"/>
        <item m="1" x="1885"/>
        <item m="1" x="4003"/>
        <item m="1" x="4132"/>
        <item m="1" x="3054"/>
        <item m="1" x="1554"/>
        <item m="1" x="2679"/>
        <item m="1" x="4133"/>
        <item m="1" x="2470"/>
        <item m="1" x="1491"/>
        <item m="1" x="3536"/>
        <item m="1" x="1217"/>
        <item m="1" x="3348"/>
        <item m="1" x="2837"/>
        <item m="1" x="2956"/>
        <item m="1" x="2531"/>
        <item m="1" x="2898"/>
        <item m="1" x="1741"/>
        <item m="1" x="2012"/>
        <item m="1" x="3493"/>
        <item m="1" x="2714"/>
        <item m="1" x="2859"/>
        <item m="1" x="2613"/>
        <item m="1" x="1842"/>
        <item m="1" x="2687"/>
        <item m="1" x="1493"/>
        <item m="1" x="1245"/>
        <item m="1" x="2005"/>
        <item m="1" x="1351"/>
        <item m="1" x="1832"/>
        <item m="1" x="1271"/>
        <item m="1" x="1488"/>
        <item m="1" x="2004"/>
        <item m="1" x="1525"/>
        <item m="1" x="2638"/>
        <item m="1" x="1361"/>
        <item m="1" x="1713"/>
        <item m="1" x="1964"/>
        <item m="1" x="3981"/>
        <item m="1" x="3873"/>
        <item m="1" x="2148"/>
        <item m="1" x="1083"/>
        <item m="1" x="1377"/>
        <item m="1" x="2590"/>
        <item m="1" x="2776"/>
        <item m="1" x="2609"/>
        <item m="1" x="2729"/>
        <item m="1" x="1234"/>
        <item m="1" x="2325"/>
        <item m="1" x="2247"/>
        <item m="1" x="2662"/>
        <item m="1" x="1830"/>
        <item m="1" x="1767"/>
        <item m="1" x="1408"/>
        <item m="1" x="3465"/>
        <item m="1" x="1873"/>
        <item m="1" x="3320"/>
        <item m="1" x="2340"/>
        <item m="1" x="2549"/>
        <item m="1" x="2797"/>
        <item m="1" x="2315"/>
        <item m="1" x="3752"/>
        <item m="1" x="1922"/>
        <item m="1" x="2676"/>
        <item m="1" x="2640"/>
        <item m="1" x="3216"/>
        <item m="1" x="2720"/>
        <item m="1" x="1293"/>
        <item m="1" x="3070"/>
        <item m="1" x="2049"/>
        <item m="1" x="2695"/>
        <item m="1" x="1329"/>
        <item m="1" x="3707"/>
        <item m="1" x="3228"/>
        <item m="1" x="1301"/>
        <item m="1" x="1600"/>
        <item m="1" x="1642"/>
        <item m="1" x="3145"/>
        <item m="1" x="1532"/>
        <item m="1" x="1506"/>
        <item m="1" x="1390"/>
        <item m="1" x="1663"/>
        <item m="1" x="3400"/>
        <item m="1" x="1669"/>
        <item m="1" x="3159"/>
        <item m="1" x="1517"/>
        <item m="1" x="2158"/>
        <item m="1" x="2678"/>
        <item m="1" x="1583"/>
        <item m="1" x="2966"/>
        <item m="1" x="2283"/>
        <item m="1" x="2651"/>
        <item m="1" x="2942"/>
        <item m="1" x="2195"/>
        <item m="1" x="1999"/>
        <item m="1" x="3568"/>
        <item m="1" x="3648"/>
        <item m="1" x="3746"/>
        <item m="1" x="2628"/>
        <item m="1" x="4078"/>
        <item m="1" x="2201"/>
        <item m="1" x="3335"/>
        <item m="1" x="2209"/>
        <item m="1" x="3485"/>
        <item m="1" x="1622"/>
        <item m="1" x="2681"/>
        <item m="1" x="2802"/>
        <item m="1" x="2190"/>
        <item m="1" x="2911"/>
        <item m="1" x="2512"/>
        <item m="1" x="3626"/>
        <item m="1" x="1772"/>
        <item m="1" x="3739"/>
        <item m="1" x="1261"/>
        <item m="1" x="1383"/>
        <item m="1" x="3874"/>
        <item m="1" x="2861"/>
        <item m="1" x="3640"/>
        <item m="1" x="1477"/>
        <item m="1" x="1935"/>
        <item m="1" x="2030"/>
        <item m="1" x="1381"/>
        <item m="1" x="2375"/>
        <item m="1" x="2022"/>
        <item m="1" x="1331"/>
        <item m="1" x="1407"/>
        <item m="1" x="1160"/>
        <item m="1" x="1967"/>
        <item m="1" x="2258"/>
        <item m="1" x="4114"/>
        <item m="1" x="3734"/>
        <item m="1" x="3820"/>
        <item m="1" x="3217"/>
        <item m="1" x="2977"/>
        <item m="1" x="2587"/>
        <item m="1" x="3524"/>
        <item m="1" x="3749"/>
        <item m="1" x="1204"/>
        <item m="1" x="3325"/>
        <item m="1" x="3614"/>
        <item m="1" x="3708"/>
        <item m="1" x="2700"/>
        <item m="1" x="3494"/>
        <item m="1" x="1504"/>
        <item m="1" x="1094"/>
        <item m="1" x="3285"/>
        <item m="1" x="2285"/>
        <item m="1" x="1620"/>
        <item m="1" x="1815"/>
        <item m="1" x="4106"/>
        <item m="1" x="2394"/>
        <item m="1" x="3987"/>
        <item m="1" x="3512"/>
        <item m="1" x="1649"/>
        <item m="1" x="2358"/>
        <item m="1" x="1076"/>
        <item m="1" x="1909"/>
        <item m="1" x="2175"/>
        <item m="1" x="3381"/>
        <item m="1" x="3970"/>
        <item m="1" x="1976"/>
        <item m="1" x="1756"/>
        <item m="1" x="1936"/>
        <item m="1" x="1993"/>
        <item m="1" x="1167"/>
        <item m="1" x="3608"/>
        <item m="1" x="2233"/>
        <item m="1" x="1320"/>
        <item m="1" x="1739"/>
        <item m="1" x="3168"/>
        <item m="1" x="2822"/>
        <item m="1" x="2066"/>
        <item m="1" x="2986"/>
        <item m="1" x="2242"/>
        <item m="1" x="2265"/>
        <item m="1" x="2214"/>
        <item m="1" x="2079"/>
        <item m="1" x="2932"/>
        <item m="1" x="1340"/>
        <item m="1" x="3765"/>
        <item m="1" x="1464"/>
        <item m="1" x="3165"/>
        <item m="1" x="2334"/>
        <item m="1" x="3783"/>
        <item m="1" x="2312"/>
        <item m="1" x="3706"/>
        <item m="1" x="2286"/>
        <item m="1" x="1606"/>
        <item m="1" x="1147"/>
        <item m="1" x="1058"/>
        <item m="1" x="2815"/>
        <item m="1" x="3311"/>
        <item m="1" x="3257"/>
        <item m="1" x="3658"/>
        <item m="1" x="2934"/>
        <item m="1" x="2481"/>
        <item m="1" x="3807"/>
        <item m="1" x="3014"/>
        <item m="1" x="1652"/>
        <item m="1" x="2153"/>
        <item m="1" x="3210"/>
        <item m="1" x="1991"/>
        <item m="1" x="2691"/>
        <item m="1" x="3304"/>
        <item m="1" x="3945"/>
        <item m="1" x="1409"/>
        <item m="1" x="1421"/>
        <item m="1" x="4112"/>
        <item m="1" x="1680"/>
        <item m="1" x="1994"/>
        <item m="1" x="3673"/>
        <item m="1" x="3467"/>
        <item m="1" x="2413"/>
        <item m="1" x="3273"/>
        <item m="1" x="3741"/>
        <item m="1" x="1435"/>
        <item m="1" x="3558"/>
        <item m="1" x="4134"/>
        <item m="1" x="2138"/>
        <item m="1" x="2543"/>
        <item m="1" x="1372"/>
        <item m="1" x="3329"/>
        <item m="1" x="2924"/>
        <item m="1" x="3852"/>
        <item m="1" x="1691"/>
        <item m="1" x="4055"/>
        <item m="1" x="1808"/>
        <item m="1" x="2352"/>
        <item m="1" x="1285"/>
        <item m="1" x="3390"/>
        <item m="1" x="1637"/>
        <item m="1" x="2730"/>
        <item m="1" x="3542"/>
        <item m="1" x="1399"/>
        <item m="1" x="3854"/>
        <item m="1" x="3048"/>
        <item m="1" x="3901"/>
        <item m="1" x="1563"/>
        <item m="1" x="1185"/>
        <item m="1" x="3924"/>
        <item m="1" x="2443"/>
        <item m="1" x="3043"/>
        <item m="1" x="1645"/>
        <item m="1" x="2739"/>
        <item m="1" x="3192"/>
        <item m="1" x="2581"/>
        <item m="1" x="2193"/>
        <item m="1" x="3286"/>
        <item m="1" x="3141"/>
        <item m="1" x="2500"/>
        <item m="1" x="3230"/>
        <item m="1" x="2636"/>
        <item m="1" x="3862"/>
        <item m="1" x="2059"/>
        <item m="1" x="2299"/>
        <item m="1" x="1323"/>
        <item m="1" x="2710"/>
        <item m="1" x="1090"/>
        <item m="1" x="1565"/>
        <item m="1" x="2583"/>
        <item m="1" x="3087"/>
        <item m="1" x="1667"/>
        <item m="1" x="2726"/>
        <item m="1" x="1489"/>
        <item m="1" x="1240"/>
        <item m="1" x="2597"/>
        <item m="1" x="2393"/>
        <item m="1" x="1122"/>
        <item m="1" x="4127"/>
        <item m="1" x="4131"/>
        <item m="1" x="3446"/>
        <item m="1" x="1683"/>
        <item m="1" x="3066"/>
        <item m="1" x="1308"/>
        <item m="1" x="3654"/>
        <item m="1" x="3345"/>
        <item m="1" x="3110"/>
        <item m="1" x="2707"/>
        <item m="1" x="2723"/>
        <item m="1" x="2081"/>
        <item m="1" x="3760"/>
        <item m="1" x="2930"/>
        <item m="1" x="3664"/>
        <item m="1" x="3470"/>
        <item m="1" x="2181"/>
        <item m="1" x="3219"/>
        <item m="1" x="3858"/>
        <item m="1" x="3657"/>
        <item m="1" x="2692"/>
        <item m="1" x="3430"/>
        <item m="1" x="1968"/>
        <item m="1" x="2619"/>
        <item m="1" x="3170"/>
        <item m="1" x="1305"/>
        <item m="1" x="2163"/>
        <item m="1" x="2511"/>
        <item m="1" x="3036"/>
        <item m="1" x="2026"/>
        <item m="1" x="3176"/>
        <item m="1" x="3533"/>
        <item m="1" x="4097"/>
        <item m="1" x="1072"/>
        <item m="1" x="3702"/>
        <item m="1" x="1103"/>
        <item m="1" x="1417"/>
        <item m="1" x="1098"/>
        <item m="1" x="3659"/>
        <item m="1" x="4081"/>
        <item m="1" x="3676"/>
        <item m="1" x="2820"/>
        <item m="1" x="2136"/>
        <item m="1" x="2395"/>
        <item m="1" x="1475"/>
        <item m="1" x="1321"/>
        <item m="1" x="1811"/>
        <item m="1" x="2436"/>
        <item m="1" x="2760"/>
        <item m="1" x="1374"/>
        <item m="1" x="1568"/>
        <item m="1" x="2579"/>
        <item m="1" x="3356"/>
        <item m="1" x="2664"/>
        <item m="1" x="1364"/>
        <item m="1" x="3227"/>
        <item m="1" x="3735"/>
        <item m="1" x="2483"/>
        <item m="1" x="3322"/>
        <item m="1" x="2984"/>
        <item m="1" x="2088"/>
        <item m="1" x="3015"/>
        <item m="1" x="2071"/>
        <item m="1" x="1697"/>
        <item m="1" x="1787"/>
        <item m="1" x="1597"/>
        <item m="1" x="2054"/>
        <item m="1" x="2378"/>
        <item m="1" x="2601"/>
        <item m="1" x="1445"/>
        <item m="1" x="2089"/>
        <item m="1" x="4068"/>
        <item m="1" x="3764"/>
        <item m="1" x="2383"/>
        <item m="1" x="3447"/>
        <item m="1" x="1630"/>
        <item m="1" x="2741"/>
        <item m="1" x="2222"/>
        <item m="1" x="3770"/>
        <item m="1" x="3287"/>
        <item m="1" x="1696"/>
        <item m="1" x="1851"/>
        <item m="1" x="3975"/>
        <item m="1" x="2155"/>
        <item m="1" x="1866"/>
        <item m="1" x="1698"/>
        <item m="1" x="1627"/>
        <item m="1" x="2053"/>
        <item m="1" x="3359"/>
        <item m="1" x="2585"/>
        <item m="1" x="1066"/>
        <item m="1" x="3398"/>
        <item m="1" x="2611"/>
        <item m="1" x="1197"/>
        <item m="1" x="4002"/>
        <item m="1" x="3482"/>
        <item m="1" x="3993"/>
        <item m="1" x="1656"/>
        <item m="1" x="2884"/>
        <item m="1" x="2456"/>
        <item m="1" x="1521"/>
        <item m="1" x="2750"/>
        <item m="1" x="2479"/>
        <item m="1" x="3892"/>
        <item m="1" x="1775"/>
        <item m="1" x="1893"/>
        <item m="1" x="2825"/>
        <item m="1" x="3947"/>
        <item m="1" x="3266"/>
        <item m="1" x="2162"/>
        <item m="1" x="1730"/>
        <item m="1" x="1356"/>
        <item m="1" x="1157"/>
        <item m="1" x="3697"/>
        <item m="1" x="1810"/>
        <item m="1" x="4039"/>
        <item m="1" x="3651"/>
        <item m="1" x="3971"/>
        <item m="1" x="2432"/>
        <item m="1" x="3251"/>
        <item m="1" x="2379"/>
        <item m="1" x="3625"/>
        <item m="1" x="1854"/>
        <item m="1" x="1551"/>
        <item m="1" x="1162"/>
        <item m="1" x="1252"/>
        <item m="1" x="3860"/>
        <item m="1" x="3143"/>
        <item m="1" x="3690"/>
        <item m="1" x="2523"/>
        <item m="1" x="1571"/>
        <item m="1" x="3954"/>
        <item m="1" x="2267"/>
        <item m="1" x="1564"/>
        <item m="1" x="1972"/>
        <item m="1" x="3818"/>
        <item m="1" x="1148"/>
        <item m="1" x="2908"/>
        <item m="1" x="3127"/>
        <item m="1" x="4046"/>
        <item m="1" x="3422"/>
        <item m="1" x="3097"/>
        <item m="1" x="2569"/>
        <item m="1" x="3521"/>
        <item m="1" x="1644"/>
        <item m="1" x="1482"/>
        <item m="1" x="1218"/>
        <item m="1" x="2028"/>
        <item m="1" x="3621"/>
        <item m="1" x="4042"/>
        <item m="1" x="2278"/>
        <item m="1" x="1050"/>
        <item m="1" x="3915"/>
        <item m="1" x="1175"/>
        <item m="1" x="2438"/>
        <item m="1" x="2538"/>
        <item m="1" x="3397"/>
        <item m="1" x="2910"/>
        <item m="1" x="4031"/>
        <item m="1" x="2127"/>
        <item m="1" x="3162"/>
        <item m="1" x="3757"/>
        <item m="1" x="3939"/>
        <item m="1" x="1891"/>
        <item m="1" x="2433"/>
        <item m="1" x="1141"/>
        <item m="1" x="3353"/>
        <item m="1" x="3073"/>
        <item m="1" x="3920"/>
        <item m="1" x="2632"/>
        <item m="1" x="1281"/>
        <item m="1" x="2566"/>
        <item m="1" x="3455"/>
        <item m="1" x="2732"/>
        <item m="1" x="2376"/>
        <item m="1" x="4094"/>
        <item m="1" x="1104"/>
        <item m="1" x="4063"/>
        <item m="1" x="1809"/>
        <item m="1" x="1357"/>
        <item m="1" x="2389"/>
        <item m="1" x="2271"/>
        <item m="1" x="3572"/>
        <item m="1" x="3349"/>
        <item m="1" x="3307"/>
        <item m="1" x="3605"/>
        <item m="1" x="3342"/>
        <item m="1" x="1970"/>
        <item m="1" x="2740"/>
        <item m="1" x="2524"/>
        <item m="1" x="3492"/>
        <item m="1" x="3213"/>
        <item m="1" x="1170"/>
        <item m="1" x="3776"/>
        <item m="1" x="3340"/>
        <item m="1" x="2336"/>
        <item m="1" x="1277"/>
        <item m="1" x="2377"/>
        <item m="1" x="3744"/>
        <item m="1" x="2186"/>
        <item m="1" x="3942"/>
        <item m="1" x="2427"/>
        <item m="1" x="1079"/>
        <item m="1" x="2459"/>
        <item m="1" x="1486"/>
        <item m="1" x="4135"/>
        <item m="1" x="2573"/>
        <item m="1" x="3825"/>
        <item m="1" x="3158"/>
        <item m="1" x="1820"/>
        <item m="1" x="3917"/>
        <item m="1" x="3943"/>
        <item m="1" x="3518"/>
        <item m="1" x="1414"/>
        <item m="1" x="3887"/>
        <item m="1" x="2196"/>
        <item m="1" x="3302"/>
        <item m="1" x="3727"/>
        <item m="1" x="1091"/>
        <item m="1" x="3245"/>
        <item m="1" x="1348"/>
        <item m="1" x="3893"/>
        <item m="1" x="1633"/>
        <item m="1" x="3261"/>
        <item m="1" x="3544"/>
        <item m="1" x="3594"/>
        <item m="1" x="1609"/>
        <item m="1" x="2011"/>
        <item m="1" x="2642"/>
        <item m="1" x="1923"/>
        <item m="1" x="2588"/>
        <item m="1" x="3406"/>
        <item m="1" x="1920"/>
        <item m="1" x="2520"/>
        <item m="1" x="3530"/>
        <item m="1" x="3093"/>
        <item m="1" x="1259"/>
        <item m="1" x="3686"/>
        <item m="1" x="2763"/>
        <item m="1" x="4006"/>
        <item m="1" x="3389"/>
        <item m="1" x="1109"/>
        <item m="1" x="2878"/>
        <item m="1" x="2996"/>
        <item m="1" x="1709"/>
        <item m="1" x="3212"/>
        <item m="1" x="1651"/>
        <item m="1" x="2521"/>
        <item m="1" x="3972"/>
        <item m="1" x="1759"/>
        <item m="1" x="1812"/>
        <item m="1" x="3748"/>
        <item m="1" x="2068"/>
        <item m="1" x="1230"/>
        <item m="1" x="2430"/>
        <item m="1" x="2513"/>
        <item m="1" x="3910"/>
        <item m="1" x="3722"/>
        <item m="1" x="3812"/>
        <item m="1" x="3104"/>
        <item m="1" x="1210"/>
        <item m="1" x="1442"/>
        <item m="1" x="2351"/>
        <item m="1" x="3429"/>
        <item m="1" x="3491"/>
        <item m="1" x="1209"/>
        <item m="1" x="3003"/>
        <item m="1" x="3362"/>
        <item m="1" x="1194"/>
        <item m="1" x="3960"/>
        <item m="1" x="2319"/>
        <item m="1" x="2410"/>
        <item m="1" x="3111"/>
        <item m="1" x="2959"/>
        <item m="1" x="3105"/>
        <item m="1" x="1537"/>
        <item m="1" x="2653"/>
        <item m="1" x="3815"/>
        <item m="1" x="3961"/>
        <item m="1" x="2460"/>
        <item m="1" x="3267"/>
        <item m="1" x="3292"/>
        <item m="1" x="2844"/>
        <item m="1" x="3857"/>
        <item m="1" x="1746"/>
        <item m="1" x="3510"/>
        <item m="1" x="2550"/>
        <item m="1" x="1215"/>
        <item m="1" x="1946"/>
        <item m="1" x="1558"/>
        <item m="1" x="3777"/>
        <item m="1" x="3468"/>
        <item m="1" x="3478"/>
        <item m="1" x="1948"/>
        <item m="1" x="2341"/>
        <item m="1" x="2808"/>
        <item m="1" x="1077"/>
        <item m="1" x="1463"/>
        <item m="1" x="2920"/>
        <item m="1" x="1067"/>
        <item m="1" x="1745"/>
        <item m="1" x="1127"/>
        <item m="1" x="1449"/>
        <item m="1" x="1518"/>
        <item m="1" x="3589"/>
        <item m="1" x="1931"/>
        <item m="1" x="3897"/>
        <item m="1" x="1156"/>
        <item m="1" x="1618"/>
        <item m="1" x="2236"/>
        <item m="1" x="3619"/>
        <item m="1" x="1129"/>
        <item m="1" x="1941"/>
        <item m="1" x="3243"/>
        <item m="1" x="2116"/>
        <item m="1" x="3671"/>
        <item m="1" x="1562"/>
        <item m="1" x="3896"/>
        <item m="1" x="3231"/>
        <item m="1" x="3590"/>
        <item m="1" x="2371"/>
        <item m="1" x="2386"/>
        <item m="1" x="3301"/>
        <item m="1" x="1877"/>
        <item m="1" x="2778"/>
        <item m="1" x="2725"/>
        <item m="1" x="1370"/>
        <item m="1" x="2465"/>
        <item m="1" x="1905"/>
        <item m="1" x="1844"/>
        <item m="1" x="1779"/>
        <item m="1" x="3974"/>
        <item m="1" x="3270"/>
        <item m="1" x="2806"/>
        <item m="1" x="1227"/>
        <item m="1" x="1433"/>
        <item m="1" x="2759"/>
        <item m="1" x="3890"/>
        <item m="1" x="3581"/>
        <item m="1" x="4102"/>
        <item m="1" x="3811"/>
        <item m="1" x="2864"/>
        <item m="1" x="4051"/>
        <item m="1" x="3211"/>
        <item m="1" x="2948"/>
        <item m="1" x="3553"/>
        <item m="1" x="1095"/>
        <item m="1" x="1926"/>
        <item m="1" x="1874"/>
        <item m="1" x="2807"/>
        <item m="1" x="4026"/>
        <item m="1" x="2330"/>
        <item m="1" x="1875"/>
        <item m="1" x="3009"/>
        <item m="1" x="2318"/>
        <item m="1" x="2983"/>
        <item m="1" x="1857"/>
        <item m="1" x="3157"/>
        <item m="1" x="3274"/>
        <item m="1" x="2901"/>
        <item m="1" x="1744"/>
        <item m="1" x="3106"/>
        <item m="1" x="3724"/>
        <item m="1" x="2907"/>
        <item m="1" x="1455"/>
        <item m="1" x="1207"/>
        <item m="1" x="3458"/>
        <item m="1" x="3560"/>
        <item m="1" x="4117"/>
        <item m="1" x="1418"/>
        <item m="1" x="2313"/>
        <item m="1" x="3016"/>
        <item m="1" x="2032"/>
        <item m="1" x="2207"/>
        <item m="1" x="2936"/>
        <item m="1" x="2344"/>
        <item m="1" x="3239"/>
        <item m="1" x="1223"/>
        <item m="1" x="2529"/>
        <item m="1" x="3317"/>
        <item m="1" x="1721"/>
        <item m="1" x="2289"/>
        <item m="1" x="3309"/>
        <item m="1" x="1733"/>
        <item m="1" x="3788"/>
        <item m="1" x="3745"/>
        <item m="1" x="2014"/>
        <item m="1" x="3279"/>
        <item m="1" x="3201"/>
        <item m="1" x="3900"/>
        <item m="1" x="3546"/>
        <item m="1" x="4075"/>
        <item m="1" x="2343"/>
        <item m="1" x="3838"/>
        <item m="1" x="2976"/>
        <item m="1" x="1369"/>
        <item m="1" x="1146"/>
        <item m="1" x="3936"/>
        <item m="1" x="1974"/>
        <item m="1" x="2717"/>
        <item m="1" x="1526"/>
        <item m="1" x="3703"/>
        <item m="1" x="2408"/>
        <item m="1" x="2328"/>
        <item m="1" x="2935"/>
        <item m="1" x="2156"/>
        <item m="1" x="1071"/>
        <item m="1" x="3878"/>
        <item m="1" x="2866"/>
        <item m="1" x="2305"/>
        <item m="1" x="2249"/>
        <item m="1" x="3050"/>
        <item m="1" x="2845"/>
        <item m="1" x="2113"/>
        <item m="1" x="3809"/>
        <item m="1" x="2391"/>
        <item m="1" x="3585"/>
        <item m="1" x="3709"/>
        <item m="1" x="1451"/>
        <item m="1" x="2149"/>
        <item m="1" x="4035"/>
        <item m="1" x="1231"/>
        <item m="1" x="3810"/>
        <item m="1" x="1137"/>
        <item m="1" x="1757"/>
        <item m="1" x="1819"/>
        <item m="1" x="2829"/>
        <item m="1" x="1282"/>
        <item m="1" x="1988"/>
        <item m="1" x="3668"/>
        <item m="1" x="2916"/>
        <item m="1" x="3789"/>
        <item m="1" x="2350"/>
        <item m="1" x="2952"/>
        <item m="1" x="1969"/>
        <item m="1" x="3660"/>
        <item m="1" x="2890"/>
        <item m="1" x="2547"/>
        <item m="1" x="3500"/>
        <item m="1" x="2557"/>
        <item m="1" x="1389"/>
        <item m="1" x="2697"/>
        <item m="1" x="1514"/>
        <item m="1" x="2480"/>
        <item m="1" x="2476"/>
        <item m="1" x="3281"/>
        <item m="1" x="3655"/>
        <item m="1" x="1145"/>
        <item m="1" x="2551"/>
        <item m="1" x="3341"/>
        <item m="1" x="3205"/>
        <item m="1" x="1419"/>
        <item m="1" x="1539"/>
        <item m="1" x="1183"/>
        <item m="1" x="2228"/>
        <item m="1" x="2919"/>
        <item m="1" x="2704"/>
        <item m="1" x="2231"/>
        <item m="1" x="1347"/>
        <item m="1" x="2680"/>
        <item m="1" x="2643"/>
        <item m="1" x="2783"/>
        <item m="1" x="1302"/>
        <item m="1" x="3427"/>
        <item m="1" x="3459"/>
        <item m="1" x="2280"/>
        <item m="1" x="1198"/>
        <item m="1" x="1244"/>
        <item m="1" x="1270"/>
        <item m="1" x="1567"/>
        <item m="1" x="2494"/>
        <item m="1" x="3561"/>
        <item m="1" x="3612"/>
        <item m="1" x="2025"/>
        <item m="1" x="3578"/>
        <item m="1" x="3364"/>
        <item m="1" x="3425"/>
        <item m="1" x="2608"/>
        <item m="1" x="2672"/>
        <item m="1" x="3240"/>
        <item m="1" x="1544"/>
        <item m="1" x="2067"/>
        <item m="1" x="2237"/>
        <item m="1" x="1784"/>
        <item m="1" x="1186"/>
        <item m="1" x="4007"/>
        <item m="1" x="3615"/>
        <item m="1" x="3487"/>
        <item m="1" x="1960"/>
        <item m="1" x="3152"/>
        <item m="1" x="2426"/>
        <item m="1" x="2023"/>
        <item m="1" x="1192"/>
        <item m="1" x="3835"/>
        <item m="1" x="3821"/>
        <item m="1" x="2879"/>
        <item m="1" x="2618"/>
        <item m="1" x="4041"/>
        <item m="1" x="1765"/>
        <item m="1" x="3913"/>
        <item m="1" x="1086"/>
        <item m="1" x="2847"/>
        <item m="1" x="1672"/>
        <item m="1" x="2221"/>
        <item m="1" x="2963"/>
        <item m="1" x="3254"/>
        <item m="1" x="3034"/>
        <item m="1" x="1461"/>
        <item m="1" x="2929"/>
        <item m="1" x="1416"/>
        <item m="1" x="1684"/>
        <item m="1" x="2661"/>
        <item m="1" x="4019"/>
        <item m="1" x="2487"/>
        <item m="1" x="1505"/>
        <item m="1" x="3052"/>
        <item m="1" x="2205"/>
        <item m="1" x="2670"/>
        <item m="1" x="2296"/>
        <item m="1" x="1201"/>
        <item m="1" x="3784"/>
        <item m="1" x="3024"/>
        <item m="1" x="2184"/>
        <item m="1" x="1906"/>
        <item m="1" x="1181"/>
        <item m="1" x="1703"/>
        <item m="1" x="2639"/>
        <item m="1" x="2637"/>
        <item m="1" x="1943"/>
        <item m="1" x="1345"/>
        <item m="1" x="2641"/>
        <item m="1" x="1069"/>
        <item m="1" x="3089"/>
        <item m="1" x="3069"/>
        <item m="1" x="3698"/>
        <item m="1" x="4040"/>
        <item m="1" x="2626"/>
        <item m="1" x="4074"/>
        <item m="1" x="1382"/>
        <item m="1" x="2939"/>
        <item m="1" x="1062"/>
        <item m="1" x="1865"/>
        <item m="1" x="3940"/>
        <item m="1" x="3365"/>
        <item m="1" x="1592"/>
        <item m="1" x="1115"/>
        <item m="1" x="2701"/>
        <item m="1" x="2848"/>
        <item m="1" x="4053"/>
        <item m="1" x="1224"/>
        <item m="1" x="3716"/>
        <item m="1" x="1973"/>
        <item m="1" x="2224"/>
        <item m="1" x="1495"/>
        <item m="1" x="2178"/>
        <item m="1" x="1725"/>
        <item m="1" x="3909"/>
        <item m="1" x="3414"/>
        <item m="1" x="1330"/>
        <item m="1" x="4016"/>
        <item m="1" x="1929"/>
        <item m="1" x="3925"/>
        <item m="1" x="3505"/>
        <item m="1" x="2284"/>
        <item m="1" x="3824"/>
        <item m="1" x="3962"/>
        <item m="1" x="3982"/>
        <item m="1" x="3604"/>
        <item m="1" x="3357"/>
        <item m="1" x="1952"/>
        <item m="1" x="2274"/>
        <item m="1" x="2309"/>
        <item m="1" x="2421"/>
        <item m="1" x="3548"/>
        <item m="1" x="3949"/>
        <item m="1" x="3532"/>
        <item m="1" x="1588"/>
        <item m="1" x="2533"/>
        <item m="1" x="2548"/>
        <item m="1" x="2736"/>
        <item m="1" x="1955"/>
        <item m="1" x="3367"/>
        <item m="1" x="1985"/>
        <item m="1" x="3669"/>
        <item m="1" x="3649"/>
        <item m="1" x="2746"/>
        <item m="1" x="3535"/>
        <item m="1" x="2998"/>
        <item m="1" x="2877"/>
        <item m="1" x="3855"/>
        <item m="1" x="3229"/>
        <item m="1" x="2946"/>
        <item m="1" x="2108"/>
        <item m="1" x="1257"/>
        <item m="1" x="1313"/>
        <item m="1" x="3950"/>
        <item m="1" x="2152"/>
        <item m="1" x="1468"/>
        <item m="1" x="2134"/>
        <item m="1" x="3189"/>
        <item m="1" x="2667"/>
        <item m="1" x="1581"/>
        <item m="1" x="2177"/>
        <item m="1" x="2491"/>
        <item m="1" x="1570"/>
        <item m="1" x="3562"/>
        <item m="1" x="2781"/>
        <item m="1" x="2812"/>
        <item m="1" x="2492"/>
        <item m="1" x="1980"/>
        <item m="1" x="2486"/>
        <item m="1" x="3822"/>
        <item m="1" x="3692"/>
        <item m="1" x="3714"/>
        <item m="1" x="1444"/>
        <item m="1" x="3588"/>
        <item m="1" x="2777"/>
        <item m="1" x="3729"/>
        <item m="1" x="3102"/>
        <item m="1" x="1628"/>
        <item m="1" x="3151"/>
        <item m="1" x="4023"/>
        <item m="1" x="1608"/>
        <item m="1" x="1965"/>
        <item m="1" x="3554"/>
        <item m="1" x="3293"/>
        <item m="1" x="1798"/>
        <item m="1" x="2348"/>
        <item m="1" x="1880"/>
        <item m="1" x="3346"/>
        <item m="1" x="1398"/>
        <item m="1" x="3373"/>
        <item m="1" x="2536"/>
        <item m="1" x="1899"/>
        <item m="1" x="3480"/>
        <item m="1" x="1596"/>
        <item m="1" x="1318"/>
        <item m="1" x="3045"/>
        <item m="1" x="3160"/>
        <item m="1" x="2363"/>
        <item m="1" x="2560"/>
        <item m="1" x="3462"/>
        <item m="1" x="1878"/>
        <item m="1" x="1275"/>
        <item m="1" x="3431"/>
        <item m="1" x="3255"/>
        <item m="1" x="4099"/>
        <item m="1" x="2090"/>
        <item m="1" x="1426"/>
        <item m="1" x="1049"/>
        <item m="1" x="3931"/>
        <item m="1" x="2647"/>
        <item m="1" x="3762"/>
        <item m="1" x="3541"/>
        <item m="1" x="1598"/>
        <item m="1" x="1886"/>
        <item m="1" x="1914"/>
        <item m="1" x="2865"/>
        <item m="1" x="2770"/>
        <item m="1" x="1328"/>
        <item m="1" x="2173"/>
        <item m="1" x="2526"/>
        <item m="1" x="2788"/>
        <item m="1" x="2872"/>
        <item m="1" x="2174"/>
        <item m="1" x="3131"/>
        <item m="1" x="1754"/>
        <item m="1" x="2734"/>
        <item m="1" x="2316"/>
        <item m="1" x="3055"/>
        <item m="1" x="1120"/>
        <item m="1" x="4024"/>
        <item m="1" x="3906"/>
        <item m="1" x="1403"/>
        <item m="1" x="2658"/>
        <item m="1" x="1610"/>
        <item m="1" x="1222"/>
        <item m="1" x="3082"/>
        <item m="1" x="2648"/>
        <item m="1" x="3265"/>
        <item m="1" x="2811"/>
        <item m="1" x="1924"/>
        <item m="1" x="2324"/>
        <item m="1" x="3968"/>
        <item m="1" x="2854"/>
        <item m="1" x="3410"/>
        <item m="1" x="2843"/>
        <item m="1" x="3469"/>
        <item m="1" x="1391"/>
        <item m="1" x="3121"/>
        <item m="1" x="2505"/>
        <item m="1" x="3964"/>
        <item m="1" x="3587"/>
        <item m="1" x="3632"/>
        <item m="1" x="1376"/>
        <item m="1" x="3088"/>
        <item m="1" x="4059"/>
        <item m="1" x="1411"/>
        <item m="1" x="3437"/>
        <item m="1" x="1128"/>
        <item m="1" x="2485"/>
        <item m="1" x="2715"/>
        <item m="1" x="1280"/>
        <item m="1" x="1529"/>
        <item m="1" x="3872"/>
        <item m="1" x="1762"/>
        <item m="1" x="2622"/>
        <item m="1" x="2422"/>
        <item m="1" x="2909"/>
        <item m="1" x="1235"/>
        <item m="1" x="3955"/>
        <item m="1" x="2528"/>
        <item m="1" x="1547"/>
        <item m="1" x="2245"/>
        <item m="1" x="3150"/>
        <item m="1" x="1785"/>
        <item m="1" x="3125"/>
        <item m="1" x="1470"/>
        <item m="1" x="1497"/>
        <item m="1" x="1172"/>
        <item m="1" x="3756"/>
        <item m="1" x="3383"/>
        <item m="1" x="1692"/>
        <item m="1" x="1195"/>
        <item m="1" x="1826"/>
        <item m="1" x="1933"/>
        <item m="1" x="2179"/>
        <item m="1" x="3871"/>
        <item m="1" x="1743"/>
        <item m="1" x="1415"/>
        <item m="1" x="2544"/>
        <item m="1" x="2835"/>
        <item m="1" x="3693"/>
        <item m="1" x="2225"/>
        <item m="1" x="1430"/>
        <item m="1" x="1229"/>
        <item m="1" x="3277"/>
        <item m="1" x="1928"/>
        <item m="1" x="2399"/>
        <item m="1" x="3507"/>
        <item m="1" x="1835"/>
        <item m="1" x="3856"/>
        <item m="1" x="2945"/>
        <item m="1" x="3413"/>
        <item m="1" x="3639"/>
        <item m="1" x="3712"/>
        <item m="1" x="2915"/>
        <item m="1" x="1423"/>
        <item m="1" x="1578"/>
        <item m="1" x="1263"/>
        <item m="1" x="1516"/>
        <item m="1" x="1159"/>
        <item m="1" x="3898"/>
        <item m="1" x="3538"/>
        <item m="1" x="1614"/>
        <item m="1" x="3094"/>
        <item m="1" x="2518"/>
        <item m="1" x="3407"/>
        <item m="1" x="2109"/>
        <item m="1" x="2840"/>
        <item m="1" x="1134"/>
        <item m="1" x="3644"/>
        <item m="1" x="1848"/>
        <item m="1" x="3522"/>
        <item m="1" x="1938"/>
        <item m="1" x="1541"/>
        <item m="1" x="2698"/>
        <item m="1" x="2038"/>
        <item m="1" x="3537"/>
        <item m="1" x="2578"/>
        <item m="1" x="1776"/>
        <item m="1" x="1512"/>
        <item m="1" x="2786"/>
        <item m="1" x="1548"/>
        <item m="1" x="2696"/>
        <item m="1" x="3969"/>
        <item m="1" x="1336"/>
        <item m="1" x="4109"/>
        <item m="1" x="3747"/>
        <item m="1" x="2001"/>
        <item m="1" x="1838"/>
        <item m="1" x="2484"/>
        <item m="1" x="2165"/>
        <item m="1" x="2357"/>
        <item m="1" x="2758"/>
        <item m="1" x="3012"/>
        <item m="1" x="3864"/>
        <item m="1" x="1687"/>
        <item m="1" x="2918"/>
        <item m="1" x="3966"/>
        <item m="1" x="4038"/>
        <item m="1" x="2793"/>
        <item m="1" x="2204"/>
        <item m="1" x="1153"/>
        <item m="1" x="3791"/>
        <item m="1" x="3139"/>
        <item m="1" x="2923"/>
        <item m="1" x="3814"/>
        <item m="1" x="2219"/>
        <item m="1" x="3868"/>
        <item m="1" x="1138"/>
        <item m="1" x="1335"/>
        <item m="1" x="2281"/>
        <item m="1" x="3090"/>
        <item m="1" x="3985"/>
        <item m="1" x="1388"/>
        <item m="1" x="2169"/>
        <item m="1" x="1977"/>
        <item m="1" x="1206"/>
        <item m="1" x="2404"/>
        <item m="1" x="3875"/>
        <item m="1" x="3011"/>
        <item m="1" x="2645"/>
        <item m="1" x="2863"/>
        <item m="1" x="1626"/>
        <item m="1" x="1171"/>
        <item m="1" x="3149"/>
        <item m="1" x="1917"/>
        <item m="1" x="1577"/>
        <item m="1" x="1143"/>
        <item m="1" x="3772"/>
        <item m="1" x="3263"/>
        <item m="1" x="3101"/>
        <item m="1" x="1912"/>
        <item m="1" x="3715"/>
        <item m="1" x="2784"/>
        <item m="1" x="4037"/>
        <item m="1" x="3711"/>
        <item m="1" x="3866"/>
        <item m="1" x="1502"/>
        <item m="1" x="3463"/>
        <item m="1" x="2482"/>
        <item m="1" x="3339"/>
        <item m="1" x="2263"/>
        <item m="1" x="1219"/>
        <item m="1" x="1337"/>
        <item m="1" x="3371"/>
        <item m="1" x="1895"/>
        <item m="1" x="3278"/>
        <item m="1" x="2129"/>
        <item m="1" x="1467"/>
        <item m="1" x="4123"/>
        <item m="1" x="2978"/>
        <item m="1" x="3017"/>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s>
    </pivotField>
    <pivotField dataField="1" compact="0" outline="0" subtotalTop="0" showAll="0" defaultSubtotal="0">
      <items count="1511">
        <item m="1" x="1"/>
        <item m="1" x="1197"/>
        <item m="1" x="1062"/>
        <item m="1" x="433"/>
        <item m="1" x="948"/>
        <item m="1" x="520"/>
        <item m="1" x="617"/>
        <item m="1" x="367"/>
        <item m="1" x="543"/>
        <item m="1" x="1281"/>
        <item m="1" x="1118"/>
        <item m="1" x="502"/>
        <item m="1" x="838"/>
        <item m="1" x="372"/>
        <item m="1" x="1503"/>
        <item m="1" x="625"/>
        <item m="1" x="1041"/>
        <item m="1" x="513"/>
        <item m="1" x="711"/>
        <item m="1" x="974"/>
        <item m="1" x="1065"/>
        <item m="1" x="1444"/>
        <item m="1" x="858"/>
        <item m="1" x="1024"/>
        <item m="1" x="1342"/>
        <item m="1" x="896"/>
        <item m="1" x="1467"/>
        <item m="1" x="1322"/>
        <item m="1" x="1297"/>
        <item m="1" x="1095"/>
        <item m="1" x="1259"/>
        <item m="1" x="820"/>
        <item m="1" x="807"/>
        <item m="1" x="1482"/>
        <item m="1" x="923"/>
        <item m="1" x="1156"/>
        <item m="1" x="1190"/>
        <item m="1" x="989"/>
        <item m="1" x="779"/>
        <item m="1" x="593"/>
        <item m="1" x="87"/>
        <item m="1" x="88"/>
        <item m="1" x="383"/>
        <item m="1" x="1502"/>
        <item m="1" x="429"/>
        <item m="1" x="1096"/>
        <item m="1" x="1319"/>
        <item m="1" x="1108"/>
        <item m="1" x="953"/>
        <item m="1" x="1178"/>
        <item m="1" x="1495"/>
        <item m="1" x="979"/>
        <item m="1" x="578"/>
        <item m="1" x="1085"/>
        <item m="1" x="640"/>
        <item m="1" x="1286"/>
        <item m="1" x="544"/>
        <item m="1" x="997"/>
        <item m="1" x="984"/>
        <item m="1" x="1042"/>
        <item m="1" x="492"/>
        <item m="1" x="611"/>
        <item m="1" x="701"/>
        <item m="1" x="1406"/>
        <item m="1" x="1100"/>
        <item m="1" x="362"/>
        <item m="1" x="1299"/>
        <item m="1" x="753"/>
        <item m="1" x="966"/>
        <item m="1" x="772"/>
        <item m="1" x="638"/>
        <item m="1" x="515"/>
        <item m="1" x="1275"/>
        <item m="1" x="735"/>
        <item m="1" x="1078"/>
        <item m="1" x="1355"/>
        <item m="1" x="1256"/>
        <item m="1" x="366"/>
        <item m="1" x="581"/>
        <item m="1" x="1312"/>
        <item m="1" x="833"/>
        <item m="1" x="1381"/>
        <item m="1" x="364"/>
        <item m="1" x="598"/>
        <item m="1" x="1461"/>
        <item m="1" x="1033"/>
        <item m="1" x="1466"/>
        <item m="1" x="1137"/>
        <item m="1" x="921"/>
        <item m="1" x="666"/>
        <item m="1" x="1493"/>
        <item m="1" x="1221"/>
        <item m="1" x="1507"/>
        <item m="1" x="1416"/>
        <item m="1" x="1436"/>
        <item m="1" x="461"/>
        <item m="1" x="726"/>
        <item m="1" x="990"/>
        <item m="1" x="830"/>
        <item m="1" x="1106"/>
        <item m="1" x="1451"/>
        <item m="1" x="358"/>
        <item m="1" x="385"/>
        <item m="1" x="935"/>
        <item m="1" x="1274"/>
        <item m="1" x="533"/>
        <item m="1" x="1004"/>
        <item m="1" x="1494"/>
        <item m="1" x="877"/>
        <item m="1" x="937"/>
        <item m="1" x="915"/>
        <item m="1" x="1315"/>
        <item m="1" x="1425"/>
        <item m="1" x="601"/>
        <item m="1" x="1243"/>
        <item m="1" x="871"/>
        <item m="1" x="1171"/>
        <item m="1" x="1385"/>
        <item m="1" x="446"/>
        <item m="1" x="620"/>
        <item m="1" x="1047"/>
        <item m="1" x="694"/>
        <item m="1" x="662"/>
        <item m="1" x="1441"/>
        <item m="1" x="1345"/>
        <item m="1" x="574"/>
        <item m="1" x="748"/>
        <item m="1" x="850"/>
        <item m="1" x="791"/>
        <item m="1" x="576"/>
        <item m="1" x="1386"/>
        <item m="1" x="676"/>
        <item m="1" x="1260"/>
        <item m="1" x="996"/>
        <item m="1" x="1147"/>
        <item m="1" x="1284"/>
        <item m="1" x="756"/>
        <item m="1" x="981"/>
        <item m="1" x="641"/>
        <item m="1" x="922"/>
        <item m="1" x="1433"/>
        <item m="1" x="630"/>
        <item m="1" x="361"/>
        <item m="1" x="967"/>
        <item m="1" x="1235"/>
        <item m="1" x="491"/>
        <item m="1" x="439"/>
        <item m="1" x="1310"/>
        <item m="1" x="847"/>
        <item m="1" x="553"/>
        <item m="1" x="1218"/>
        <item m="1" x="929"/>
        <item m="1" x="585"/>
        <item m="1" x="1273"/>
        <item m="1" x="1404"/>
        <item m="1" x="993"/>
        <item m="1" x="977"/>
        <item m="1" x="970"/>
        <item m="1" x="517"/>
        <item m="1" x="1068"/>
        <item m="1" x="1007"/>
        <item m="1" x="1130"/>
        <item m="1" x="859"/>
        <item m="1" x="454"/>
        <item m="1" x="767"/>
        <item m="1" x="1250"/>
        <item m="1" x="436"/>
        <item m="1" x="521"/>
        <item m="1" x="391"/>
        <item m="1" x="1231"/>
        <item m="1" x="599"/>
        <item m="1" x="416"/>
        <item m="1" x="1414"/>
        <item m="1" x="1508"/>
        <item m="1" x="826"/>
        <item m="1" x="1009"/>
        <item m="1" x="691"/>
        <item m="1" x="610"/>
        <item m="1" x="434"/>
        <item m="1" x="1459"/>
        <item m="1" x="934"/>
        <item m="1" x="1343"/>
        <item m="1" x="1217"/>
        <item m="1" x="487"/>
        <item m="1" x="961"/>
        <item m="1" x="386"/>
        <item m="1" x="1353"/>
        <item m="1" x="1333"/>
        <item m="1" x="1264"/>
        <item m="1" x="623"/>
        <item m="1" x="1431"/>
        <item m="1" x="1421"/>
        <item m="1" x="650"/>
        <item m="1" x="503"/>
        <item m="1" x="1094"/>
        <item m="1" x="1469"/>
        <item m="1" x="663"/>
        <item m="1" x="588"/>
        <item m="1" x="784"/>
        <item m="1" x="1304"/>
        <item m="1" x="546"/>
        <item m="1" x="763"/>
        <item m="1" x="775"/>
        <item m="1" x="1222"/>
        <item m="1" x="1125"/>
        <item m="1" x="1325"/>
        <item m="1" x="1394"/>
        <item m="1" x="1397"/>
        <item m="1" x="1302"/>
        <item m="1" x="1133"/>
        <item m="1" x="804"/>
        <item m="1" x="401"/>
        <item m="1" x="541"/>
        <item m="1" x="381"/>
        <item m="1" x="1168"/>
        <item m="1" x="1332"/>
        <item m="1" x="893"/>
        <item m="1" x="1099"/>
        <item m="1" x="1510"/>
        <item m="1" x="884"/>
        <item m="1" x="608"/>
        <item m="1" x="562"/>
        <item m="1" x="382"/>
        <item m="1" x="482"/>
        <item m="1" x="1182"/>
        <item m="1" x="1232"/>
        <item m="1" x="1225"/>
        <item m="1" x="566"/>
        <item m="1" x="736"/>
        <item m="1" x="1362"/>
        <item m="1" x="668"/>
        <item m="1" x="1025"/>
        <item m="1" x="500"/>
        <item m="1" x="536"/>
        <item m="1" x="1214"/>
        <item m="1" x="1098"/>
        <item m="1" x="531"/>
        <item m="1" x="428"/>
        <item m="1" x="1141"/>
        <item m="1" x="1390"/>
        <item m="1" x="839"/>
        <item m="1" x="368"/>
        <item m="1" x="425"/>
        <item m="1" x="373"/>
        <item m="1" x="1138"/>
        <item m="1" x="699"/>
        <item m="1" x="692"/>
        <item m="1" x="682"/>
        <item m="1" x="715"/>
        <item m="1" x="1320"/>
        <item m="1" x="480"/>
        <item m="1" x="743"/>
        <item m="1" x="606"/>
        <item m="1" x="1202"/>
        <item m="1" x="549"/>
        <item m="1" x="1128"/>
        <item m="1" x="761"/>
        <item m="1" x="1509"/>
        <item m="1" x="1365"/>
        <item m="1" x="975"/>
        <item m="1" x="1083"/>
        <item m="1" x="1181"/>
        <item m="1" x="906"/>
        <item m="1" x="1087"/>
        <item m="1" x="723"/>
        <item m="1" x="986"/>
        <item m="1" x="1159"/>
        <item m="1" x="1177"/>
        <item m="1" x="747"/>
        <item m="1" x="1257"/>
        <item m="1" x="1245"/>
        <item m="1" x="751"/>
        <item m="1" x="1196"/>
        <item m="1" x="677"/>
        <item m="1" x="1361"/>
        <item m="1" x="1387"/>
        <item m="1" x="1076"/>
        <item m="1" x="1378"/>
        <item m="1" x="1213"/>
        <item m="1" x="1288"/>
        <item m="1" x="1071"/>
        <item m="1" x="476"/>
        <item m="1" x="1082"/>
        <item m="1" x="628"/>
        <item m="1" x="667"/>
        <item m="1" x="1430"/>
        <item m="1" x="548"/>
        <item m="1" x="1205"/>
        <item m="1" x="1016"/>
        <item m="1" x="1127"/>
        <item m="1" x="1340"/>
        <item m="1" x="1242"/>
        <item m="1" x="1183"/>
        <item m="1" x="568"/>
        <item m="1" x="1154"/>
        <item m="1" x="1358"/>
        <item m="1" x="1014"/>
        <item m="1" x="1376"/>
        <item m="1" x="972"/>
        <item m="1" x="426"/>
        <item m="1" x="1030"/>
        <item m="1" x="551"/>
        <item m="1" x="1163"/>
        <item m="1" x="1292"/>
        <item m="1" x="841"/>
        <item m="1" x="925"/>
        <item m="1" x="1326"/>
        <item m="1" x="539"/>
        <item m="1" x="866"/>
        <item m="1" x="579"/>
        <item m="1" x="1350"/>
        <item m="1" x="1318"/>
        <item m="1" x="717"/>
        <item m="1" x="1360"/>
        <item m="1" x="377"/>
        <item m="1" x="902"/>
        <item m="1" x="1339"/>
        <item m="1" x="870"/>
        <item m="1" x="949"/>
        <item m="1" x="1277"/>
        <item m="1" x="474"/>
        <item m="1" x="634"/>
        <item m="1" x="567"/>
        <item m="1" x="1465"/>
        <item m="1" x="1185"/>
        <item m="1" x="1046"/>
        <item m="1" x="909"/>
        <item m="1" x="1055"/>
        <item m="1" x="878"/>
        <item m="1" x="423"/>
        <item m="1" x="1074"/>
        <item m="1" x="797"/>
        <item m="1" x="888"/>
        <item m="1" x="1233"/>
        <item m="1" x="419"/>
        <item m="1" x="749"/>
        <item m="1" x="1058"/>
        <item m="1" x="1131"/>
        <item m="1" x="653"/>
        <item m="1" x="645"/>
        <item m="1" x="1102"/>
        <item m="1" x="493"/>
        <item m="1" x="447"/>
        <item m="1" x="982"/>
        <item m="1" x="698"/>
        <item m="1" x="827"/>
        <item m="1" x="740"/>
        <item m="1" x="933"/>
        <item m="1" x="518"/>
        <item m="1" x="1373"/>
        <item m="1" x="853"/>
        <item m="1" x="1290"/>
        <item m="1" x="1193"/>
        <item m="1" x="1246"/>
        <item m="1" x="379"/>
        <item m="1" x="556"/>
        <item m="1" x="1457"/>
        <item m="1" x="928"/>
        <item m="1" x="1166"/>
        <item m="1" x="1069"/>
        <item m="1" x="714"/>
        <item m="1" x="945"/>
        <item m="1" x="685"/>
        <item m="1" x="550"/>
        <item m="1" x="586"/>
        <item m="1" x="1492"/>
        <item m="1" x="1485"/>
        <item m="1" x="969"/>
        <item m="1" x="1153"/>
        <item m="1" x="733"/>
        <item m="1" x="1439"/>
        <item m="1" x="1021"/>
        <item m="1" x="1491"/>
        <item m="1" x="1354"/>
        <item m="1" x="917"/>
        <item m="1" x="1396"/>
        <item m="1" x="471"/>
        <item m="1" x="532"/>
        <item m="1" x="1443"/>
        <item m="1" x="1167"/>
        <item m="1" x="394"/>
        <item m="1" x="1008"/>
        <item m="1" x="787"/>
        <item m="1" x="1279"/>
        <item m="1" x="646"/>
        <item m="1" x="932"/>
        <item m="1" x="865"/>
        <item m="1" x="580"/>
        <item m="1" x="674"/>
        <item m="1" x="657"/>
        <item m="1" x="1180"/>
        <item m="1" x="954"/>
        <item m="1" x="1405"/>
        <item m="1" x="1458"/>
        <item m="1" x="757"/>
        <item m="1" x="563"/>
        <item m="1" x="1144"/>
        <item m="1" x="951"/>
        <item m="1" x="1352"/>
        <item m="1" x="584"/>
        <item m="1" x="1300"/>
        <item m="1" x="835"/>
        <item m="1" x="741"/>
        <item m="1" x="822"/>
        <item m="1" x="705"/>
        <item m="1" x="1192"/>
        <item m="1" x="1411"/>
        <item m="1" x="764"/>
        <item m="1" x="457"/>
        <item m="1" x="1462"/>
        <item m="1" x="669"/>
        <item m="1" x="404"/>
        <item m="1" x="1323"/>
        <item m="1" x="1164"/>
        <item m="1" x="744"/>
        <item m="1" x="1464"/>
        <item m="1" x="824"/>
        <item m="1" x="750"/>
        <item m="1" x="815"/>
        <item m="1" x="745"/>
        <item m="1" x="618"/>
        <item m="1" x="629"/>
        <item m="1" x="594"/>
        <item m="1" x="1422"/>
        <item m="1" x="1034"/>
        <item m="1" x="1330"/>
        <item m="1" x="834"/>
        <item m="1" x="1049"/>
        <item m="1" x="1005"/>
        <item m="1" x="683"/>
        <item m="1" x="431"/>
        <item m="1" x="1427"/>
        <item m="1" x="1317"/>
        <item m="1" x="1488"/>
        <item m="1" x="794"/>
        <item m="1" x="542"/>
        <item m="1" x="448"/>
        <item m="1" x="535"/>
        <item m="1" x="460"/>
        <item m="1" x="1109"/>
        <item m="1" x="1337"/>
        <item m="1" x="554"/>
        <item m="1" x="415"/>
        <item m="1" x="582"/>
        <item m="1" x="430"/>
        <item m="1" x="1194"/>
        <item m="1" x="591"/>
        <item m="1" x="832"/>
        <item m="1" x="1480"/>
        <item m="1" x="955"/>
        <item m="1" x="1336"/>
        <item m="1" x="1070"/>
        <item m="1" x="889"/>
        <item m="1" x="1496"/>
        <item m="1" x="728"/>
        <item m="1" x="1032"/>
        <item m="1" x="1112"/>
        <item m="1" x="1237"/>
        <item m="1" x="1072"/>
        <item m="1" x="504"/>
        <item m="1" x="369"/>
        <item m="1" x="1124"/>
        <item m="1" x="506"/>
        <item m="1" x="742"/>
        <item m="1" x="1084"/>
        <item m="1" x="916"/>
        <item m="1" x="737"/>
        <item m="1" x="819"/>
        <item m="1" x="505"/>
        <item m="1" x="626"/>
        <item m="1" x="519"/>
        <item m="1" x="849"/>
        <item m="1" x="1329"/>
        <item m="1" x="1200"/>
        <item m="1" x="869"/>
        <item m="1" x="1187"/>
        <item m="1" x="910"/>
        <item m="1" x="1211"/>
        <item m="1" x="673"/>
        <item m="1" x="697"/>
        <item m="1" x="799"/>
        <item m="1" x="414"/>
        <item m="1" x="1269"/>
        <item m="1" x="527"/>
        <item m="1" x="860"/>
        <item m="1" x="789"/>
        <item m="1" x="1035"/>
        <item m="1" x="686"/>
        <item m="1" x="511"/>
        <item m="1" x="421"/>
        <item m="1" x="1434"/>
        <item m="1" x="1150"/>
        <item m="1" x="973"/>
        <item m="1" x="914"/>
        <item m="1" x="1348"/>
        <item m="1" x="876"/>
        <item m="1" x="943"/>
        <item m="1" x="583"/>
        <item m="1" x="555"/>
        <item m="1" x="380"/>
        <item m="1" x="1248"/>
        <item m="1" x="1208"/>
        <item m="1" x="856"/>
        <item m="1" x="716"/>
        <item m="1" x="672"/>
        <item m="1" x="1301"/>
        <item m="1" x="498"/>
        <item m="1" x="793"/>
        <item m="1" x="960"/>
        <item m="1" x="950"/>
        <item m="1" x="1389"/>
        <item m="1" x="823"/>
        <item m="1" x="420"/>
        <item m="1" x="1000"/>
        <item m="1" x="649"/>
        <item m="1" x="637"/>
        <item m="1" x="514"/>
        <item m="1" x="1067"/>
        <item m="1" x="998"/>
        <item m="1" x="1440"/>
        <item m="1" x="911"/>
        <item m="1" x="1452"/>
        <item m="1" x="1145"/>
        <item m="1" x="467"/>
        <item m="1" x="1091"/>
        <item m="1" x="684"/>
        <item m="1" x="365"/>
        <item m="1" x="857"/>
        <item m="1" x="1489"/>
        <item m="1" x="1429"/>
        <item m="1" x="526"/>
        <item m="1" x="689"/>
        <item m="1" x="1392"/>
        <item m="1" x="1407"/>
        <item m="1" x="1468"/>
        <item m="1" x="903"/>
        <item m="1" x="1188"/>
        <item m="1" x="1230"/>
        <item m="1" x="400"/>
        <item m="1" x="1219"/>
        <item m="1" x="1054"/>
        <item m="1" x="806"/>
        <item m="1" x="1115"/>
        <item m="1" x="1059"/>
        <item m="1" x="1170"/>
        <item m="1" x="762"/>
        <item m="1" x="412"/>
        <item m="1" x="754"/>
        <item m="1" x="846"/>
        <item m="1" x="1184"/>
        <item m="1" x="703"/>
        <item m="1" x="565"/>
        <item m="1" x="1215"/>
        <item m="1" x="1454"/>
        <item m="1" x="718"/>
        <item m="1" x="547"/>
        <item m="1" x="801"/>
        <item m="1" x="1267"/>
        <item m="1" x="939"/>
        <item m="1" x="940"/>
        <item m="1" x="395"/>
        <item m="1" x="821"/>
        <item m="1" x="403"/>
        <item m="1" x="1027"/>
        <item m="1" x="444"/>
        <item m="1" x="1119"/>
        <item m="1" x="1417"/>
        <item m="1" x="862"/>
        <item m="1" x="843"/>
        <item m="1" x="1501"/>
        <item m="1" x="592"/>
        <item m="1" x="410"/>
        <item m="1" x="773"/>
        <item m="1" x="1050"/>
        <item m="1" x="389"/>
        <item m="1" x="708"/>
        <item m="1" x="1477"/>
        <item m="1" x="1247"/>
        <item m="1" x="1446"/>
        <item m="1" x="1129"/>
        <item m="1" x="894"/>
        <item m="1" x="1291"/>
        <item m="1" x="867"/>
        <item m="1" x="1497"/>
        <item m="1" x="817"/>
        <item m="1" x="572"/>
        <item m="1" x="1097"/>
        <item m="1" x="681"/>
        <item m="1" x="1209"/>
        <item m="1" x="359"/>
        <item m="1" x="836"/>
        <item m="1" x="946"/>
        <item m="1" x="1289"/>
        <item m="1" x="1189"/>
        <item m="1" x="437"/>
        <item m="1" x="927"/>
        <item m="1" x="732"/>
        <item m="1" x="1351"/>
        <item m="1" x="725"/>
        <item m="1" x="445"/>
        <item m="1" x="363"/>
        <item m="1" x="680"/>
        <item m="1" x="612"/>
        <item m="1" x="938"/>
        <item m="1" x="651"/>
        <item m="1" x="1412"/>
        <item m="1" x="722"/>
        <item m="1" x="746"/>
        <item m="1" x="766"/>
        <item m="1" x="589"/>
        <item m="1" x="1139"/>
        <item m="1" x="456"/>
        <item m="1" x="624"/>
        <item m="1" x="1472"/>
        <item m="1" x="892"/>
        <item m="1" x="522"/>
        <item m="1" x="800"/>
        <item m="1" x="534"/>
        <item m="1" x="918"/>
        <item m="1" x="1418"/>
        <item m="1" x="484"/>
        <item m="1" x="752"/>
        <item m="1" x="1447"/>
        <item m="1" x="1216"/>
        <item m="1" x="631"/>
        <item m="1" x="919"/>
        <item m="1" x="488"/>
        <item m="1" x="947"/>
        <item m="1" x="374"/>
        <item m="1" x="1309"/>
        <item m="1" x="1086"/>
        <item m="1" x="778"/>
        <item m="1" x="1114"/>
        <item m="1" x="1101"/>
        <item m="1" x="1382"/>
        <item m="1" x="696"/>
        <item m="1" x="449"/>
        <item m="1" x="1043"/>
        <item m="1" x="1006"/>
        <item m="1" x="627"/>
        <item m="1" x="614"/>
        <item m="1" x="901"/>
        <item m="1" x="895"/>
        <item m="1" x="1305"/>
        <item m="1" x="768"/>
        <item m="1" x="479"/>
        <item m="1" x="1399"/>
        <item m="1" x="1134"/>
        <item m="1" x="1011"/>
        <item m="1" x="523"/>
        <item m="1" x="913"/>
        <item m="1" x="1048"/>
        <item m="1" x="509"/>
        <item m="1" x="557"/>
        <item m="1" x="1152"/>
        <item m="1" x="1475"/>
        <item m="1" x="1122"/>
        <item m="1" x="709"/>
        <item m="1" x="396"/>
        <item x="0"/>
        <item m="1" x="670"/>
        <item m="1" x="1372"/>
        <item m="1" x="872"/>
        <item m="1" x="1234"/>
        <item m="1" x="693"/>
        <item m="1" x="1375"/>
        <item m="1" x="1143"/>
        <item m="1" x="942"/>
        <item m="1" x="1366"/>
        <item m="1" x="1117"/>
        <item m="1" x="1278"/>
        <item m="1" x="1227"/>
        <item m="1" x="632"/>
        <item m="1" x="635"/>
        <item m="1" x="882"/>
        <item m="1" x="1175"/>
        <item m="1" x="840"/>
        <item m="1" x="1438"/>
        <item m="1" x="1165"/>
        <item m="1" x="1280"/>
        <item m="1" x="959"/>
        <item m="1" x="688"/>
        <item m="1" x="690"/>
        <item m="1" x="952"/>
        <item m="1" x="1261"/>
        <item m="1" x="1450"/>
        <item m="1" x="1010"/>
        <item m="1" x="1265"/>
        <item m="1" x="1140"/>
        <item m="1" x="1445"/>
        <item m="1" x="427"/>
        <item m="1" x="470"/>
        <item m="1" x="1287"/>
        <item m="1" x="587"/>
        <item m="1" x="432"/>
        <item m="1" x="1442"/>
        <item m="1" x="1113"/>
        <item m="1" x="569"/>
        <item m="1" x="390"/>
        <item m="1" x="1120"/>
        <item m="1" x="1324"/>
        <item m="1" x="1401"/>
        <item m="1" x="1020"/>
        <item m="1" x="1077"/>
        <item m="1" x="1173"/>
        <item m="1" x="540"/>
        <item m="1" x="1483"/>
        <item m="1" x="861"/>
        <item m="1" x="811"/>
        <item m="1" x="802"/>
        <item m="1" x="665"/>
        <item m="1" x="1344"/>
        <item m="1" x="658"/>
        <item m="1" x="619"/>
        <item m="1" x="1012"/>
        <item m="1" x="1487"/>
        <item m="1" x="497"/>
        <item m="1" x="1408"/>
        <item m="1" x="656"/>
        <item m="1" x="529"/>
        <item m="1" x="1346"/>
        <item m="1" x="825"/>
        <item m="1" x="851"/>
        <item m="1" x="1328"/>
        <item m="1" x="1116"/>
        <item m="1" x="1255"/>
        <item m="1" x="712"/>
        <item m="1" x="607"/>
        <item m="1" x="602"/>
        <item m="1" x="1338"/>
        <item m="1" x="792"/>
        <item m="1" x="393"/>
        <item m="1" x="1306"/>
        <item m="1" x="1359"/>
        <item m="1" x="926"/>
        <item m="1" x="1335"/>
        <item m="1" x="931"/>
        <item m="1" x="545"/>
        <item m="1" x="924"/>
        <item m="1" x="1053"/>
        <item m="1" x="1191"/>
        <item m="1" x="1364"/>
        <item m="1" x="1357"/>
        <item m="1" x="409"/>
        <item m="1" x="1371"/>
        <item m="1" x="702"/>
        <item m="1" x="1073"/>
        <item m="1" x="483"/>
        <item m="1" x="453"/>
        <item m="1" x="411"/>
        <item m="1" x="1207"/>
        <item m="1" x="710"/>
        <item m="1" x="616"/>
        <item m="1" x="864"/>
        <item m="1" x="780"/>
        <item m="1" x="1110"/>
        <item m="1" x="1026"/>
        <item m="1" x="907"/>
        <item m="1" x="1161"/>
        <item m="1" x="964"/>
        <item m="1" x="994"/>
        <item m="1" x="647"/>
        <item m="1" x="417"/>
        <item m="1" x="891"/>
        <item m="1" x="992"/>
        <item m="1" x="868"/>
        <item m="1" x="1410"/>
        <item m="1" x="1268"/>
        <item m="1" x="1415"/>
        <item m="1" x="899"/>
        <item m="1" x="1148"/>
        <item m="1" x="1303"/>
        <item m="1" x="464"/>
        <item m="1" x="738"/>
        <item m="1" x="1313"/>
        <item m="1" x="570"/>
        <item m="1" x="999"/>
        <item m="1" x="898"/>
        <item m="1" x="1023"/>
        <item m="1" x="958"/>
        <item m="1" x="1296"/>
        <item m="1" x="963"/>
        <item m="1" x="885"/>
        <item m="1" x="603"/>
        <item m="1" x="956"/>
        <item m="1" x="1413"/>
        <item m="1" x="1347"/>
        <item m="1" x="1045"/>
        <item m="1" x="1162"/>
        <item m="1" x="1249"/>
        <item m="1" x="1206"/>
        <item m="1" x="776"/>
        <item m="1" x="1228"/>
        <item m="1" x="1276"/>
        <item m="1" x="1393"/>
        <item m="1" x="558"/>
        <item m="1" x="842"/>
        <item m="1" x="441"/>
        <item m="1" x="1499"/>
        <item m="1" x="1149"/>
        <item m="1" x="1498"/>
        <item m="1" x="507"/>
        <item m="1" x="360"/>
        <item m="1" x="1015"/>
        <item m="1" x="1473"/>
        <item m="1" x="418"/>
        <item m="1" x="1380"/>
        <item m="1" x="490"/>
        <item m="1" x="1038"/>
        <item m="1" x="397"/>
        <item m="1" x="424"/>
        <item m="1" x="962"/>
        <item m="1" x="571"/>
        <item m="1" x="1056"/>
        <item m="1" x="455"/>
        <item m="1" x="1367"/>
        <item m="1" x="1270"/>
        <item m="1" x="1500"/>
        <item m="1" x="777"/>
        <item m="1" x="829"/>
        <item m="1" x="810"/>
        <item m="1" x="577"/>
        <item m="1" x="468"/>
        <item m="1" x="458"/>
        <item m="1" x="1258"/>
        <item m="1" x="399"/>
        <item m="1" x="1229"/>
        <item m="1" x="494"/>
        <item m="1" x="1089"/>
        <item m="1" x="537"/>
        <item m="1" x="405"/>
        <item m="1" x="1331"/>
        <item m="1" x="1238"/>
        <item m="1" x="971"/>
        <item m="1" x="564"/>
        <item m="1" x="478"/>
        <item m="1" x="633"/>
        <item m="1" x="655"/>
        <item m="1" x="739"/>
        <item m="1" x="384"/>
        <item m="1" x="524"/>
        <item m="1" x="510"/>
        <item m="1" x="944"/>
        <item m="1" x="978"/>
        <item m="1" x="370"/>
        <item m="1" x="438"/>
        <item m="1" x="908"/>
        <item m="1" x="795"/>
        <item m="1" x="788"/>
        <item m="1" x="1423"/>
        <item m="1" x="1151"/>
        <item m="1" x="828"/>
        <item m="1" x="1479"/>
        <item m="1" x="475"/>
        <item m="1" x="530"/>
        <item m="1" x="466"/>
        <item m="1" x="450"/>
        <item m="1" x="1448"/>
        <item m="1" x="704"/>
        <item m="1" x="604"/>
        <item m="1" x="1402"/>
        <item m="1" x="727"/>
        <item m="1" x="720"/>
        <item m="1" x="1294"/>
        <item m="1" x="1210"/>
        <item m="1" x="613"/>
        <item m="1" x="1013"/>
        <item m="1" x="905"/>
        <item m="1" x="1455"/>
        <item m="1" x="644"/>
        <item m="1" x="486"/>
        <item m="1" x="1176"/>
        <item m="1" x="782"/>
        <item m="1" x="1420"/>
        <item m="1" x="1321"/>
        <item m="1" x="1298"/>
        <item m="1" x="528"/>
        <item m="1" x="758"/>
        <item m="1" x="786"/>
        <item m="1" x="879"/>
        <item m="1" x="1327"/>
        <item m="1" x="1395"/>
        <item m="1" x="814"/>
        <item m="1" x="495"/>
        <item m="1" x="976"/>
        <item m="1" x="1285"/>
        <item m="1" x="1241"/>
        <item m="1" x="392"/>
        <item m="1" x="1478"/>
        <item m="1" x="991"/>
        <item m="1" x="874"/>
        <item m="1" x="1283"/>
        <item m="1" x="1179"/>
        <item m="1" x="1426"/>
        <item m="1" x="678"/>
        <item m="1" x="597"/>
        <item m="1" x="560"/>
        <item m="1" x="1063"/>
        <item m="1" x="1103"/>
        <item m="1" x="700"/>
        <item m="1" x="837"/>
        <item m="1" x="413"/>
        <item m="1" x="957"/>
        <item m="1" x="873"/>
        <item m="1" x="398"/>
        <item m="1" x="1403"/>
        <item m="1" x="1135"/>
        <item m="1" x="983"/>
        <item m="1" x="1093"/>
        <item m="1" x="406"/>
        <item m="1" x="1486"/>
        <item m="1" x="1428"/>
        <item m="1" x="462"/>
        <item m="1" x="831"/>
        <item m="1" x="1506"/>
        <item m="1" x="1052"/>
        <item m="1" x="1060"/>
        <item m="1" x="729"/>
        <item m="1" x="785"/>
        <item m="1" x="1349"/>
        <item m="1" x="1123"/>
        <item m="1" x="1155"/>
        <item m="1" x="941"/>
        <item m="1" x="609"/>
        <item m="1" x="459"/>
        <item m="1" x="1263"/>
        <item m="1" x="760"/>
        <item m="1" x="886"/>
        <item m="1" x="1356"/>
        <item m="1" x="1001"/>
        <item m="1" x="435"/>
        <item m="1" x="1435"/>
        <item m="1" x="1484"/>
        <item m="1" x="1374"/>
        <item m="1" x="1195"/>
        <item m="1" x="1160"/>
        <item m="1" x="730"/>
        <item m="1" x="1262"/>
        <item m="1" x="451"/>
        <item m="1" x="590"/>
        <item m="1" x="422"/>
        <item m="1" x="1254"/>
        <item m="1" x="930"/>
        <item m="1" x="1136"/>
        <item m="1" x="1121"/>
        <item m="1" x="1017"/>
        <item m="1" x="904"/>
        <item m="1" x="1223"/>
        <item m="1" x="402"/>
        <item m="1" x="679"/>
        <item m="1" x="496"/>
        <item m="1" x="809"/>
        <item m="1" x="1158"/>
        <item m="1" x="1186"/>
        <item m="1" x="759"/>
        <item m="1" x="1040"/>
        <item m="1" x="818"/>
        <item m="1" x="1504"/>
        <item m="1" x="1111"/>
        <item m="1" x="844"/>
        <item m="1" x="371"/>
        <item m="1" x="1203"/>
        <item m="1" x="887"/>
        <item m="1" x="1126"/>
        <item m="1" x="755"/>
        <item m="1" x="1057"/>
        <item m="1" x="1092"/>
        <item m="1" x="1369"/>
        <item m="1" x="1341"/>
        <item m="1" x="965"/>
        <item m="1" x="636"/>
        <item m="1" x="765"/>
        <item m="1" x="648"/>
        <item m="1" x="605"/>
        <item m="1" x="615"/>
        <item m="1" x="1471"/>
        <item m="1" x="559"/>
        <item m="1" x="883"/>
        <item m="1" x="1036"/>
        <item m="1" x="443"/>
        <item m="1" x="1370"/>
        <item m="1" x="770"/>
        <item m="1" x="387"/>
        <item m="1" x="1236"/>
        <item m="1" x="661"/>
        <item m="1" x="378"/>
        <item m="1" x="485"/>
        <item m="1" x="1240"/>
        <item m="1" x="771"/>
        <item m="1" x="642"/>
        <item m="1" x="1224"/>
        <item m="1" x="1157"/>
        <item m="1" x="1061"/>
        <item m="1" x="1316"/>
        <item m="1" x="575"/>
        <item m="1" x="595"/>
        <item m="1" x="808"/>
        <item m="1" x="1266"/>
        <item m="1" x="621"/>
        <item m="1" x="936"/>
        <item m="1" x="499"/>
        <item m="1" x="489"/>
        <item m="1" x="1251"/>
        <item m="1" x="1282"/>
        <item m="1" x="987"/>
        <item m="1" x="855"/>
        <item m="1" x="552"/>
        <item m="1" x="1308"/>
        <item m="1" x="1271"/>
        <item m="1" x="1146"/>
        <item m="1" x="1051"/>
        <item m="1" x="1003"/>
        <item m="1" x="769"/>
        <item m="1" x="1039"/>
        <item m="1" x="1018"/>
        <item m="1" x="516"/>
        <item m="1" x="1505"/>
        <item m="1" x="1132"/>
        <item m="1" x="900"/>
        <item m="1" x="1419"/>
        <item m="1" x="659"/>
        <item m="1" x="1037"/>
        <item m="1" x="477"/>
        <item m="1" x="452"/>
        <item m="1" x="1064"/>
        <item m="1" x="724"/>
        <item m="1" x="1252"/>
        <item m="1" x="706"/>
        <item m="1" x="1334"/>
        <item m="1" x="388"/>
        <item m="1" x="442"/>
        <item m="1" x="1463"/>
        <item m="1" x="783"/>
        <item m="1" x="1090"/>
        <item m="1" x="790"/>
        <item m="1" x="1383"/>
        <item m="1" x="1075"/>
        <item m="1" x="781"/>
        <item m="1" x="1107"/>
        <item m="1" x="639"/>
        <item m="1" x="1201"/>
        <item m="1" x="845"/>
        <item m="1" x="995"/>
        <item m="1" x="473"/>
        <item m="1" x="1456"/>
        <item m="1" x="1104"/>
        <item m="1" x="852"/>
        <item m="1" x="1022"/>
        <item m="1" x="721"/>
        <item m="1" x="805"/>
        <item m="1" x="1272"/>
        <item m="1" x="671"/>
        <item m="1" x="1490"/>
        <item m="1" x="988"/>
        <item m="1" x="1088"/>
        <item m="1" x="465"/>
        <item m="1" x="980"/>
        <item m="1" x="920"/>
        <item m="1" x="481"/>
        <item m="1" x="881"/>
        <item m="1" x="816"/>
        <item m="1" x="1363"/>
        <item m="1" x="1388"/>
        <item m="1" x="1449"/>
        <item m="1" x="1437"/>
        <item m="1" x="375"/>
        <item m="1" x="538"/>
        <item m="1" x="652"/>
        <item m="1" x="660"/>
        <item m="1" x="1220"/>
        <item m="1" x="469"/>
        <item m="1" x="1079"/>
        <item m="1" x="643"/>
        <item m="1" x="1379"/>
        <item m="1" x="408"/>
        <item m="1" x="798"/>
        <item m="1" x="622"/>
        <item m="1" x="525"/>
        <item m="1" x="695"/>
        <item m="1" x="561"/>
        <item m="1" x="1239"/>
        <item m="1" x="968"/>
        <item m="1" x="1460"/>
        <item m="1" x="376"/>
        <item m="1" x="1295"/>
        <item m="1" x="890"/>
        <item m="1" x="1384"/>
        <item m="1" x="848"/>
        <item m="1" x="774"/>
        <item m="1" x="440"/>
        <item m="1" x="1174"/>
        <item m="1" x="1476"/>
        <item m="1" x="1474"/>
        <item m="1" x="854"/>
        <item m="1" x="1002"/>
        <item m="1" x="687"/>
        <item m="1" x="1307"/>
        <item m="1" x="1424"/>
        <item m="1" x="796"/>
        <item m="1" x="1226"/>
        <item m="1" x="573"/>
        <item m="1" x="1314"/>
        <item m="1" x="407"/>
        <item m="1" x="713"/>
        <item m="1" x="508"/>
        <item m="1" x="897"/>
        <item m="1" x="1293"/>
        <item m="1" x="472"/>
        <item m="1" x="1198"/>
        <item m="1" x="813"/>
        <item m="1" x="654"/>
        <item m="1" x="734"/>
        <item m="1" x="875"/>
        <item m="1" x="1244"/>
        <item m="1" x="912"/>
        <item m="1" x="803"/>
        <item m="1" x="985"/>
        <item m="1" x="1470"/>
        <item m="1" x="719"/>
        <item m="1" x="1453"/>
        <item m="1" x="1169"/>
        <item m="1" x="1368"/>
        <item m="1" x="1142"/>
        <item m="1" x="1311"/>
        <item m="1" x="1377"/>
        <item m="1" x="1409"/>
        <item m="1" x="1398"/>
        <item m="1" x="664"/>
        <item m="1" x="1432"/>
        <item m="1" x="501"/>
        <item m="1" x="1080"/>
        <item m="1" x="880"/>
        <item m="1" x="1391"/>
        <item m="1" x="463"/>
        <item m="1" x="1400"/>
        <item m="1" x="1029"/>
        <item m="1" x="1081"/>
        <item m="1" x="707"/>
        <item m="1" x="1028"/>
        <item m="1" x="596"/>
        <item m="1" x="512"/>
        <item m="1" x="1066"/>
        <item m="1" x="731"/>
        <item m="1" x="1105"/>
        <item m="1" x="1481"/>
        <item m="1" x="1253"/>
        <item m="1" x="1212"/>
        <item m="1" x="1172"/>
        <item m="1" x="1199"/>
        <item m="1" x="1019"/>
        <item m="1" x="1031"/>
        <item m="1" x="863"/>
        <item m="1" x="812"/>
        <item m="1" x="600"/>
        <item m="1" x="1044"/>
        <item m="1" x="675"/>
        <item m="1" x="1204"/>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s>
    </pivotField>
    <pivotField dataField="1" compact="0" outline="0" subtotalTop="0" showAll="0" defaultSubtotal="0">
      <items count="4537">
        <item m="1" x="4226"/>
        <item m="1" x="4361"/>
        <item m="1" x="1193"/>
        <item m="1" x="2446"/>
        <item m="1" x="2426"/>
        <item m="1" x="2743"/>
        <item m="1" x="2992"/>
        <item m="1" x="3089"/>
        <item m="1" x="4273"/>
        <item m="1" x="1873"/>
        <item m="1" x="3878"/>
        <item m="1" x="4163"/>
        <item m="1" x="2158"/>
        <item m="1" x="4254"/>
        <item m="1" x="1364"/>
        <item m="1" x="1639"/>
        <item m="1" x="4139"/>
        <item m="1" x="2029"/>
        <item m="1" x="2435"/>
        <item m="1" x="2437"/>
        <item m="1" x="3102"/>
        <item m="1" x="1496"/>
        <item m="1" x="3869"/>
        <item m="1" x="2703"/>
        <item m="1" x="3654"/>
        <item m="1" x="3428"/>
        <item m="1" x="3482"/>
        <item m="1" x="3346"/>
        <item m="1" x="2659"/>
        <item m="1" x="3280"/>
        <item m="1" x="4461"/>
        <item m="1" x="2553"/>
        <item m="1" x="2560"/>
        <item m="1" x="3267"/>
        <item m="1" x="4344"/>
        <item m="1" x="3595"/>
        <item m="1" x="1681"/>
        <item m="1" x="2681"/>
        <item m="1" x="1803"/>
        <item m="1" x="2150"/>
        <item m="1" x="1459"/>
        <item m="1" x="3516"/>
        <item m="1" x="1739"/>
        <item m="1" x="1273"/>
        <item m="1" x="1152"/>
        <item m="1" x="3779"/>
        <item m="1" x="3800"/>
        <item m="1" x="2805"/>
        <item m="1" x="1165"/>
        <item m="1" x="3447"/>
        <item m="1" x="3148"/>
        <item m="1" x="3087"/>
        <item m="1" x="3439"/>
        <item m="1" x="3660"/>
        <item m="1" x="1210"/>
        <item m="1" x="1748"/>
        <item m="1" x="3216"/>
        <item m="1" x="4362"/>
        <item m="1" x="2320"/>
        <item m="1" x="2803"/>
        <item m="1" x="4313"/>
        <item m="1" x="1716"/>
        <item m="1" x="3743"/>
        <item m="1" x="2804"/>
        <item m="1" x="2340"/>
        <item m="1" x="2024"/>
        <item m="1" x="1107"/>
        <item m="1" x="1760"/>
        <item m="1" x="1194"/>
        <item m="1" x="2954"/>
        <item m="1" x="2843"/>
        <item m="1" x="1361"/>
        <item m="1" x="4035"/>
        <item m="1" x="4091"/>
        <item m="1" x="2989"/>
        <item m="1" x="4529"/>
        <item m="1" x="3523"/>
        <item m="1" x="1807"/>
        <item m="1" x="1902"/>
        <item m="1" x="1272"/>
        <item m="1" x="4420"/>
        <item m="1" x="3284"/>
        <item m="1" x="1509"/>
        <item m="1" x="3617"/>
        <item m="1" x="1495"/>
        <item m="1" x="2629"/>
        <item m="1" x="3024"/>
        <item m="1" x="2224"/>
        <item m="1" x="1654"/>
        <item m="1" x="1736"/>
        <item m="1" x="3147"/>
        <item m="1" x="3971"/>
        <item m="1" x="2146"/>
        <item m="1" x="3860"/>
        <item m="1" x="3427"/>
        <item m="1" x="2622"/>
        <item m="1" x="1731"/>
        <item m="1" x="2729"/>
        <item m="1" x="1403"/>
        <item m="1" x="1473"/>
        <item m="1" x="1604"/>
        <item m="1" x="3100"/>
        <item m="1" x="2345"/>
        <item m="1" x="3340"/>
        <item m="1" x="2999"/>
        <item m="1" x="4027"/>
        <item m="1" x="4410"/>
        <item m="1" x="241"/>
        <item m="1" x="1566"/>
        <item m="1" x="2526"/>
        <item m="1" x="3897"/>
        <item m="1" x="2963"/>
        <item m="1" x="242"/>
        <item m="1" x="243"/>
        <item m="1" x="4509"/>
        <item m="1" x="4487"/>
        <item m="1" x="3120"/>
        <item m="1" x="3725"/>
        <item m="1" x="2410"/>
        <item m="1" x="1965"/>
        <item m="1" x="2403"/>
        <item m="1" x="2127"/>
        <item m="1" x="3142"/>
        <item m="1" x="3404"/>
        <item m="1" x="3393"/>
        <item m="1" x="2551"/>
        <item m="1" x="4335"/>
        <item m="1" x="4489"/>
        <item m="1" x="3084"/>
        <item m="1" x="1531"/>
        <item m="1" x="4108"/>
        <item m="1" x="2106"/>
        <item m="1" x="4216"/>
        <item m="1" x="4136"/>
        <item m="1" x="1680"/>
        <item m="1" x="1762"/>
        <item m="1" x="4088"/>
        <item m="1" x="3183"/>
        <item m="1" x="4087"/>
        <item m="1" x="1154"/>
        <item m="1" x="3695"/>
        <item m="1" x="3986"/>
        <item m="1" x="3379"/>
        <item m="1" x="4199"/>
        <item m="1" x="1895"/>
        <item m="1" x="2457"/>
        <item m="1" x="2820"/>
        <item m="1" x="1841"/>
        <item m="1" x="3837"/>
        <item m="1" x="3858"/>
        <item m="1" x="3896"/>
        <item m="1" x="2824"/>
        <item m="1" x="1353"/>
        <item m="1" x="3215"/>
        <item m="1" x="3307"/>
        <item m="1" x="2548"/>
        <item m="1" x="3166"/>
        <item m="1" x="4373"/>
        <item m="1" x="1293"/>
        <item m="1" x="2492"/>
        <item m="1" x="3824"/>
        <item m="1" x="2123"/>
        <item m="1" x="446"/>
        <item m="1" x="2658"/>
        <item m="1" x="3389"/>
        <item m="1" x="3960"/>
        <item m="1" x="4515"/>
        <item m="1" x="2126"/>
        <item m="1" x="2828"/>
        <item m="1" x="3458"/>
        <item m="1" x="1929"/>
        <item m="1" x="2862"/>
        <item m="1" x="4322"/>
        <item m="1" x="3027"/>
        <item m="1" x="3769"/>
        <item m="1" x="4291"/>
        <item m="1" x="3059"/>
        <item m="1" x="2983"/>
        <item m="1" x="1725"/>
        <item m="1" x="1630"/>
        <item m="1" x="2732"/>
        <item m="1" x="3195"/>
        <item m="1" x="1865"/>
        <item m="1" x="3602"/>
        <item m="1" x="3855"/>
        <item m="1" x="2787"/>
        <item m="1" x="2619"/>
        <item m="1" x="2943"/>
        <item m="1" x="1991"/>
        <item m="1" x="3921"/>
        <item m="1" x="4320"/>
        <item m="1" x="2575"/>
        <item m="1" x="2731"/>
        <item m="1" x="2142"/>
        <item m="1" x="3932"/>
        <item m="1" x="1263"/>
        <item m="1" x="3672"/>
        <item m="1" x="1112"/>
        <item m="1" x="1201"/>
        <item m="1" x="1302"/>
        <item m="1" x="2811"/>
        <item m="1" x="3451"/>
        <item m="1" x="1394"/>
        <item m="1" x="3967"/>
        <item m="1" x="2933"/>
        <item m="1" x="3611"/>
        <item m="1" x="2056"/>
        <item m="1" x="3390"/>
        <item m="1" x="3079"/>
        <item m="1" x="2336"/>
        <item m="1" x="3250"/>
        <item m="1" x="3181"/>
        <item m="1" x="1903"/>
        <item m="1" x="1859"/>
        <item m="1" x="2208"/>
        <item m="1" x="2890"/>
        <item m="1" x="2793"/>
        <item m="1" x="3832"/>
        <item m="1" x="1683"/>
        <item m="1" x="1749"/>
        <item m="1" x="2301"/>
        <item m="1" x="3877"/>
        <item m="1" x="1375"/>
        <item m="1" x="2500"/>
        <item m="1" x="4295"/>
        <item m="1" x="2480"/>
        <item m="1" x="4480"/>
        <item m="1" x="2201"/>
        <item m="1" x="3038"/>
        <item m="1" x="2781"/>
        <item m="1" x="3031"/>
        <item m="1" x="3990"/>
        <item m="1" x="1743"/>
        <item m="1" x="1564"/>
        <item m="1" x="1483"/>
        <item m="1" x="4041"/>
        <item m="1" x="1775"/>
        <item m="1" x="1120"/>
        <item m="1" x="4111"/>
        <item m="1" x="1500"/>
        <item m="1" x="4129"/>
        <item m="1" x="3715"/>
        <item m="1" x="4026"/>
        <item m="1" x="2771"/>
        <item m="1" x="1708"/>
        <item m="1" x="1170"/>
        <item m="1" x="2522"/>
        <item m="1" x="3223"/>
        <item m="1" x="4519"/>
        <item m="1" x="2232"/>
        <item m="1" x="3073"/>
        <item m="1" x="1898"/>
        <item m="1" x="3356"/>
        <item m="1" x="2371"/>
        <item m="1" x="1741"/>
        <item m="1" x="1536"/>
        <item m="1" x="3527"/>
        <item m="1" x="1412"/>
        <item m="1" x="2268"/>
        <item m="1" x="1832"/>
        <item m="1" x="4188"/>
        <item m="1" x="3067"/>
        <item m="1" x="2615"/>
        <item m="1" x="2576"/>
        <item m="1" x="2819"/>
        <item m="1" x="3948"/>
        <item m="1" x="1920"/>
        <item m="1" x="1578"/>
        <item m="1" x="3826"/>
        <item m="1" x="2205"/>
        <item m="1" x="3286"/>
        <item m="1" x="2751"/>
        <item m="1" x="3424"/>
        <item m="1" x="3847"/>
        <item m="1" x="1518"/>
        <item m="1" x="3825"/>
        <item m="1" x="4388"/>
        <item m="1" x="2305"/>
        <item m="1" x="1187"/>
        <item m="1" x="1492"/>
        <item m="1" x="3563"/>
        <item m="1" x="3292"/>
        <item m="1" x="2046"/>
        <item m="1" x="3884"/>
        <item m="1" x="4075"/>
        <item m="1" x="2195"/>
        <item m="1" x="2188"/>
        <item m="1" x="4229"/>
        <item m="1" x="2949"/>
        <item m="1" x="2501"/>
        <item m="1" x="4246"/>
        <item m="1" x="1547"/>
        <item m="1" x="3949"/>
        <item m="1" x="1419"/>
        <item m="1" x="2934"/>
        <item m="1" x="3696"/>
        <item m="1" x="4103"/>
        <item m="1" x="1653"/>
        <item m="1" x="3816"/>
        <item m="1" x="2122"/>
        <item m="1" x="1533"/>
        <item m="1" x="3791"/>
        <item m="1" x="2235"/>
        <item m="1" x="3495"/>
        <item m="1" x="3475"/>
        <item m="1" x="4491"/>
        <item m="1" x="1264"/>
        <item m="1" x="4133"/>
        <item m="1" x="3996"/>
        <item m="1" x="1729"/>
        <item m="1" x="1915"/>
        <item m="1" x="2009"/>
        <item m="1" x="1695"/>
        <item m="1" x="3670"/>
        <item m="1" x="2073"/>
        <item m="1" x="1949"/>
        <item m="1" x="2897"/>
        <item m="1" x="3320"/>
        <item m="1" x="1497"/>
        <item m="1" x="3749"/>
        <item m="1" x="2844"/>
        <item m="1" x="3506"/>
        <item m="1" x="1643"/>
        <item m="1" x="2491"/>
        <item m="1" x="2072"/>
        <item m="1" x="3537"/>
        <item m="1" x="4068"/>
        <item m="1" x="2939"/>
        <item m="1" x="2303"/>
        <item m="1" x="2117"/>
        <item m="1" x="2175"/>
        <item m="1" x="3129"/>
        <item m="1" x="4516"/>
        <item m="1" x="3625"/>
        <item m="1" x="1408"/>
        <item m="1" x="4081"/>
        <item m="1" x="1228"/>
        <item m="1" x="4317"/>
        <item m="1" x="1638"/>
        <item m="1" x="1526"/>
        <item m="1" x="4481"/>
        <item m="1" x="1135"/>
        <item m="1" x="1722"/>
        <item m="1" x="2959"/>
        <item m="1" x="2095"/>
        <item m="1" x="1391"/>
        <item m="1" x="4428"/>
        <item m="1" x="4029"/>
        <item m="1" x="3975"/>
        <item m="1" x="1167"/>
        <item m="1" x="4368"/>
        <item m="1" x="2047"/>
        <item m="1" x="2138"/>
        <item m="1" x="2946"/>
        <item m="1" x="2961"/>
        <item m="1" x="2190"/>
        <item m="1" x="4003"/>
        <item m="1" x="2825"/>
        <item m="1" x="4228"/>
        <item m="1" x="2466"/>
        <item m="1" x="1839"/>
        <item m="1" x="2837"/>
        <item m="1" x="2556"/>
        <item m="1" x="1706"/>
        <item m="1" x="1999"/>
        <item m="1" x="1283"/>
        <item m="1" x="2430"/>
        <item m="1" x="3604"/>
        <item m="1" x="2906"/>
        <item m="1" x="4351"/>
        <item m="1" x="1237"/>
        <item m="1" x="4025"/>
        <item m="1" x="1343"/>
        <item m="1" x="3386"/>
        <item m="1" x="2530"/>
        <item m="1" x="2467"/>
        <item m="1" x="3034"/>
        <item m="1" x="2624"/>
        <item m="1" x="2596"/>
        <item m="1" x="2152"/>
        <item m="1" x="2546"/>
        <item m="1" x="4262"/>
        <item m="1" x="3814"/>
        <item m="1" x="3219"/>
        <item m="1" x="3581"/>
        <item m="1" x="1887"/>
        <item m="1" x="3362"/>
        <item m="1" x="1113"/>
        <item m="1" x="3512"/>
        <item m="1" x="4301"/>
        <item m="1" x="3077"/>
        <item m="1" x="2709"/>
        <item m="1" x="3513"/>
        <item m="1" x="1480"/>
        <item m="1" x="1882"/>
        <item m="1" x="1617"/>
        <item m="1" x="2582"/>
        <item m="1" x="1435"/>
        <item m="1" x="4490"/>
        <item m="1" x="1482"/>
        <item m="1" x="3732"/>
        <item m="1" x="1212"/>
        <item m="1" x="1964"/>
        <item m="1" x="1733"/>
        <item m="1" x="1378"/>
        <item m="1" x="1712"/>
        <item m="1" x="3380"/>
        <item m="1" x="1955"/>
        <item m="1" x="4443"/>
        <item m="1" x="3639"/>
        <item m="1" x="2640"/>
        <item m="1" x="3658"/>
        <item m="1" x="1872"/>
        <item m="1" x="4386"/>
        <item m="1" x="2875"/>
        <item m="1" x="3437"/>
        <item m="1" x="1790"/>
        <item m="1" x="2765"/>
        <item m="1" x="2810"/>
        <item m="1" x="4020"/>
        <item m="1" x="2607"/>
        <item m="1" x="3799"/>
        <item m="1" x="3009"/>
        <item m="1" x="2269"/>
        <item m="1" x="1244"/>
        <item m="1" x="4206"/>
        <item m="1" x="1169"/>
        <item m="1" x="3049"/>
        <item m="1" x="1310"/>
        <item m="1" x="4211"/>
        <item m="1" x="2433"/>
        <item m="1" x="1893"/>
        <item m="1" x="3979"/>
        <item m="1" x="2634"/>
        <item m="1" x="1265"/>
        <item m="1" x="2366"/>
        <item m="1" x="3936"/>
        <item m="1" x="4332"/>
        <item m="1" x="3656"/>
        <item m="1" x="1355"/>
        <item m="1" x="2702"/>
        <item m="1" x="3905"/>
        <item m="1" x="1755"/>
        <item m="1" x="1233"/>
        <item m="1" x="3646"/>
        <item m="1" x="2510"/>
        <item m="1" x="2899"/>
        <item m="1" x="1334"/>
        <item m="1" x="1864"/>
        <item m="1" x="1649"/>
        <item m="1" x="3062"/>
        <item m="1" x="4070"/>
        <item m="1" x="4072"/>
        <item m="1" x="3373"/>
        <item m="1" x="3236"/>
        <item m="1" x="3140"/>
        <item m="1" x="2277"/>
        <item m="1" x="3410"/>
        <item m="1" x="1417"/>
        <item m="1" x="2905"/>
        <item m="1" x="3694"/>
        <item m="1" x="2176"/>
        <item m="1" x="2953"/>
        <item m="1" x="1280"/>
        <item m="1" x="3005"/>
        <item m="1" x="2059"/>
        <item m="1" x="3823"/>
        <item m="1" x="3107"/>
        <item m="1" x="1924"/>
        <item m="1" x="3198"/>
        <item m="1" x="1787"/>
        <item m="1" x="4126"/>
        <item m="1" x="3221"/>
        <item m="1" x="4208"/>
        <item m="1" x="2920"/>
        <item m="1" x="1678"/>
        <item m="1" x="4306"/>
        <item m="1" x="3481"/>
        <item m="1" x="1431"/>
        <item m="1" x="4476"/>
        <item m="1" x="4464"/>
        <item m="1" x="3116"/>
        <item m="1" x="1660"/>
        <item m="1" x="4268"/>
        <item m="1" x="4074"/>
        <item m="1" x="1879"/>
        <item m="1" x="4038"/>
        <item m="1" x="2470"/>
        <item m="1" x="3222"/>
        <item m="1" x="3730"/>
        <item m="1" x="3323"/>
        <item m="1" x="3956"/>
        <item m="1" x="3521"/>
        <item m="1" x="545"/>
        <item m="1" x="1121"/>
        <item m="1" x="4193"/>
        <item m="1" x="3271"/>
        <item m="1" x="1218"/>
        <item m="1" x="4049"/>
        <item m="1" x="4255"/>
        <item m="1" x="4312"/>
        <item m="1" x="3983"/>
        <item m="1" x="1149"/>
        <item m="1" x="2361"/>
        <item m="1" x="1510"/>
        <item m="1" x="2792"/>
        <item m="1" x="1342"/>
        <item m="1" x="3203"/>
        <item m="1" x="2612"/>
        <item m="1" x="1596"/>
        <item m="1" x="3518"/>
        <item m="1" x="1555"/>
        <item m="1" x="1974"/>
        <item m="1" x="3490"/>
        <item m="1" x="1657"/>
        <item m="1" x="1515"/>
        <item m="1" x="3839"/>
        <item m="1" x="2748"/>
        <item m="1" x="1797"/>
        <item m="1" x="4015"/>
        <item m="1" x="1928"/>
        <item m="1" x="1934"/>
        <item m="1" x="2460"/>
        <item m="1" x="3894"/>
        <item m="1" x="4077"/>
        <item m="1" x="4497"/>
        <item m="1" x="3071"/>
        <item m="1" x="1179"/>
        <item m="1" x="1457"/>
        <item m="1" x="1517"/>
        <item m="1" x="4518"/>
        <item m="1" x="3318"/>
        <item m="1" x="2248"/>
        <item m="1" x="4270"/>
        <item m="1" x="1336"/>
        <item m="1" x="1812"/>
        <item m="1" x="3434"/>
        <item m="1" x="1530"/>
        <item m="1" x="3804"/>
        <item m="1" x="3827"/>
        <item m="1" x="1485"/>
        <item m="1" x="2287"/>
        <item m="1" x="4296"/>
        <item m="1" x="4191"/>
        <item m="1" x="1115"/>
        <item m="1" x="2227"/>
        <item m="1" x="4472"/>
        <item m="1" x="1328"/>
        <item m="1" x="3514"/>
        <item m="1" x="2503"/>
        <item m="1" x="4263"/>
        <item m="1" x="4514"/>
        <item m="1" x="3392"/>
        <item m="1" x="2339"/>
        <item m="1" x="3784"/>
        <item m="1" x="2114"/>
        <item m="1" x="4093"/>
        <item m="1" x="3201"/>
        <item m="1" x="3074"/>
        <item m="1" x="1951"/>
        <item m="1" x="1443"/>
        <item m="1" x="1423"/>
        <item m="1" x="2918"/>
        <item m="1" x="4224"/>
        <item m="1" x="1703"/>
        <item m="1" x="1359"/>
        <item m="1" x="1178"/>
        <item m="1" x="3554"/>
        <item m="1" x="4346"/>
        <item m="1" x="2621"/>
        <item m="1" x="2347"/>
        <item m="1" x="1282"/>
        <item m="1" x="2454"/>
        <item m="1" x="1117"/>
        <item m="1" x="3008"/>
        <item m="1" x="2113"/>
        <item m="1" x="4413"/>
        <item m="1" x="4493"/>
        <item m="1" x="3806"/>
        <item m="1" x="3046"/>
        <item m="1" x="3904"/>
        <item m="1" x="1260"/>
        <item m="1" x="1325"/>
        <item m="1" x="3829"/>
        <item m="1" x="3432"/>
        <item m="1" x="4122"/>
        <item m="1" x="1247"/>
        <item m="1" x="1281"/>
        <item m="1" x="3688"/>
        <item m="1" x="4504"/>
        <item m="1" x="1141"/>
        <item m="1" x="1805"/>
        <item m="1" x="2565"/>
        <item m="1" x="1940"/>
        <item m="1" x="4427"/>
        <item m="1" x="1204"/>
        <item m="1" x="3943"/>
        <item m="1" x="2209"/>
        <item m="1" x="3471"/>
        <item m="1" x="4437"/>
        <item m="1" x="2740"/>
        <item m="1" x="1521"/>
        <item m="1" x="2735"/>
        <item m="1" x="3179"/>
        <item m="1" x="3204"/>
        <item m="1" x="3387"/>
        <item m="1" x="1425"/>
        <item m="1" x="2604"/>
        <item m="1" x="1917"/>
        <item m="1" x="1591"/>
        <item m="1" x="4024"/>
        <item m="1" x="4449"/>
        <item m="1" x="3709"/>
        <item m="1" x="3589"/>
        <item m="1" x="3893"/>
        <item m="1" x="3448"/>
        <item m="1" x="2239"/>
        <item m="1" x="1216"/>
        <item m="1" x="1374"/>
        <item m="1" x="1126"/>
        <item m="1" x="2260"/>
        <item m="1" x="2757"/>
        <item m="1" x="3018"/>
        <item m="1" x="3910"/>
        <item m="1" x="3329"/>
        <item m="1" x="2166"/>
        <item m="1" x="1220"/>
        <item m="1" x="1151"/>
        <item m="1" x="4001"/>
        <item m="1" x="1319"/>
        <item m="1" x="3802"/>
        <item m="1" x="1742"/>
        <item m="1" x="1896"/>
        <item m="1" x="2369"/>
        <item m="1" x="4394"/>
        <item m="1" x="2642"/>
        <item m="1" x="1278"/>
        <item m="1" x="2321"/>
        <item m="1" x="1600"/>
        <item m="1" x="2443"/>
        <item m="1" x="1884"/>
        <item m="1" x="4439"/>
        <item m="1" x="2296"/>
        <item m="1" x="3218"/>
        <item m="1" x="2052"/>
        <item m="1" x="3265"/>
        <item m="1" x="2605"/>
        <item m="1" x="3659"/>
        <item m="1" x="1209"/>
        <item m="1" x="2532"/>
        <item m="1" x="1123"/>
        <item m="1" x="3186"/>
        <item m="1" x="1576"/>
        <item m="1" x="2687"/>
        <item m="1" x="2872"/>
        <item m="1" x="1354"/>
        <item m="1" x="2948"/>
        <item m="1" x="2935"/>
        <item m="1" x="2022"/>
        <item m="1" x="1976"/>
        <item m="1" x="1542"/>
        <item m="1" x="3254"/>
        <item m="1" x="2483"/>
        <item m="1" x="2745"/>
        <item m="1" x="3550"/>
        <item m="1" x="4082"/>
        <item m="1" x="3624"/>
        <item m="1" x="1351"/>
        <item m="1" x="2718"/>
        <item m="1" x="4376"/>
        <item m="1" x="4114"/>
        <item m="1" x="4507"/>
        <item m="1" x="2169"/>
        <item m="1" x="2570"/>
        <item m="1" x="4014"/>
        <item m="1" x="2051"/>
        <item m="1" x="1441"/>
        <item m="1" x="2645"/>
        <item m="1" x="3994"/>
        <item m="1" x="4012"/>
        <item m="1" x="1180"/>
        <item m="1" x="2222"/>
        <item m="1" x="3788"/>
        <item m="1" x="3588"/>
        <item m="1" x="3394"/>
        <item m="1" x="3121"/>
        <item m="1" x="2408"/>
        <item m="1" x="4337"/>
        <item m="1" x="3511"/>
        <item m="1" x="1648"/>
        <item m="1" x="3098"/>
        <item m="1" x="2401"/>
        <item m="1" x="2699"/>
        <item m="1" x="2827"/>
        <item m="1" x="3783"/>
        <item m="1" x="2312"/>
        <item m="1" x="2542"/>
        <item m="1" x="3849"/>
        <item m="1" x="2762"/>
        <item m="1" x="2796"/>
        <item m="1" x="3650"/>
        <item m="1" x="2499"/>
        <item m="1" x="1414"/>
        <item m="1" x="2477"/>
        <item m="1" x="2846"/>
        <item m="1" x="1255"/>
        <item m="1" x="3822"/>
        <item m="1" x="3912"/>
        <item m="1" x="4203"/>
        <item m="1" x="2901"/>
        <item m="1" x="2903"/>
        <item m="1" x="3214"/>
        <item m="1" x="4343"/>
        <item m="1" x="1490"/>
        <item m="1" x="2065"/>
        <item m="1" x="1586"/>
        <item m="1" x="1257"/>
        <item m="1" x="3758"/>
        <item m="1" x="3913"/>
        <item m="1" x="1279"/>
        <item m="1" x="1561"/>
        <item m="1" x="3718"/>
        <item m="1" x="2144"/>
        <item m="1" x="3444"/>
        <item m="1" x="1234"/>
        <item m="1" x="3180"/>
        <item m="1" x="4336"/>
        <item m="1" x="2723"/>
        <item m="1" x="2173"/>
        <item m="1" x="4006"/>
        <item m="1" x="3293"/>
        <item m="1" x="1188"/>
        <item m="1" x="1607"/>
        <item m="1" x="4532"/>
        <item m="1" x="1701"/>
        <item m="1" x="2302"/>
        <item m="1" x="1802"/>
        <item m="1" x="3781"/>
        <item m="1" x="2744"/>
        <item m="1" x="3090"/>
        <item m="1" x="3536"/>
        <item m="1" x="3682"/>
        <item m="1" x="3189"/>
        <item m="1" x="1827"/>
        <item m="1" x="3508"/>
        <item m="1" x="2870"/>
        <item m="1" x="3764"/>
        <item m="1" x="2082"/>
        <item m="1" x="4448"/>
        <item m="1" x="3354"/>
        <item m="1" x="1906"/>
        <item m="1" x="4140"/>
        <item m="1" x="2062"/>
        <item m="1" x="3283"/>
        <item m="1" x="2739"/>
        <item m="1" x="4250"/>
        <item m="1" x="3501"/>
        <item m="1" x="2561"/>
        <item m="1" x="2096"/>
        <item m="1" x="1595"/>
        <item m="1" x="1119"/>
        <item m="1" x="3679"/>
        <item m="1" x="4243"/>
        <item m="1" x="4058"/>
        <item m="1" x="3530"/>
        <item m="1" x="3666"/>
        <item m="1" x="2617"/>
        <item m="1" x="3078"/>
        <item m="1" x="1266"/>
        <item m="1" x="3401"/>
        <item m="1" x="4499"/>
        <item m="1" x="1267"/>
        <item m="1" x="1288"/>
        <item m="1" x="4063"/>
        <item m="1" x="4096"/>
        <item m="1" x="3019"/>
        <item m="1" x="2951"/>
        <item m="1" x="3759"/>
        <item m="1" x="3592"/>
        <item m="1" x="2147"/>
        <item m="1" x="2041"/>
        <item m="1" x="3907"/>
        <item m="1" x="2682"/>
        <item m="1" x="1326"/>
        <item m="1" x="3111"/>
        <item m="1" x="4348"/>
        <item m="1" x="2616"/>
        <item m="1" x="3032"/>
        <item m="1" x="2506"/>
        <item m="1" x="3901"/>
        <item m="1" x="4405"/>
        <item m="1" x="1943"/>
        <item m="1" x="2683"/>
        <item m="1" x="2986"/>
        <item m="1" x="4100"/>
        <item m="1" x="2652"/>
        <item m="1" x="2956"/>
        <item m="1" x="3763"/>
        <item m="1" x="3333"/>
        <item m="1" x="3298"/>
        <item m="1" x="3187"/>
        <item m="1" x="1386"/>
        <item m="1" x="2280"/>
        <item m="1" x="1422"/>
        <item m="1" x="4338"/>
        <item m="1" x="2511"/>
        <item m="1" x="3991"/>
        <item m="1" x="2813"/>
        <item m="1" x="3599"/>
        <item m="1" x="2240"/>
        <item m="1" x="1236"/>
        <item m="1" x="3191"/>
        <item m="1" x="3851"/>
        <item m="1" x="3156"/>
        <item m="1" x="1308"/>
        <item m="1" x="2346"/>
        <item m="1" x="4095"/>
        <item m="1" x="3003"/>
        <item m="1" x="3199"/>
        <item m="1" x="2726"/>
        <item m="1" x="1658"/>
        <item m="1" x="4403"/>
        <item m="1" x="1185"/>
        <item m="1" x="4230"/>
        <item m="1" x="3945"/>
        <item m="1" x="3916"/>
        <item m="1" x="1759"/>
        <item m="1" x="2271"/>
        <item m="1" x="4086"/>
        <item m="1" x="1401"/>
        <item m="1" x="2775"/>
        <item m="1" x="1998"/>
        <item m="1" x="1118"/>
        <item m="1" x="3906"/>
        <item m="1" x="3460"/>
        <item m="1" x="3247"/>
        <item m="1" x="1981"/>
        <item m="1" x="3722"/>
        <item m="1" x="3093"/>
        <item m="1" x="4235"/>
        <item m="1" x="1867"/>
        <item m="1" x="4389"/>
        <item m="1" x="2323"/>
        <item m="1" x="2863"/>
        <item m="1" x="3727"/>
        <item m="1" x="2882"/>
        <item m="1" x="3651"/>
        <item m="1" x="2721"/>
        <item m="1" x="2450"/>
        <item m="1" x="4044"/>
        <item m="1" x="2343"/>
        <item m="1" x="3066"/>
        <item m="1" x="2225"/>
        <item m="1" x="1919"/>
        <item m="1" x="1287"/>
        <item m="1" x="4037"/>
        <item m="1" x="3151"/>
        <item m="1" x="4315"/>
        <item m="1" x="2194"/>
        <item m="1" x="1356"/>
        <item m="1" x="2895"/>
        <item m="1" x="4458"/>
        <item m="1" x="2598"/>
        <item m="1" x="1871"/>
        <item m="1" x="1801"/>
        <item m="1" x="3558"/>
        <item m="1" x="1128"/>
        <item m="1" x="1856"/>
        <item m="1" x="2704"/>
        <item m="1" x="3489"/>
        <item m="1" x="2461"/>
        <item m="1" x="3341"/>
        <item m="1" x="1622"/>
        <item m="1" x="4283"/>
        <item m="1" x="3464"/>
        <item m="1" x="1499"/>
        <item m="1" x="2925"/>
        <item m="1" x="1504"/>
        <item m="1" x="2990"/>
        <item m="1" x="3951"/>
        <item m="1" x="2237"/>
        <item m="1" x="2490"/>
        <item m="1" x="1514"/>
        <item m="1" x="2439"/>
        <item m="1" x="3446"/>
        <item m="1" x="4524"/>
        <item m="1" x="3753"/>
        <item m="1" x="2380"/>
        <item m="1" x="4249"/>
        <item m="1" x="4267"/>
        <item m="1" x="2475"/>
        <item m="1" x="3317"/>
        <item m="1" x="1796"/>
        <item m="1" x="4289"/>
        <item m="1" x="2334"/>
        <item m="1" x="3577"/>
        <item m="1" x="2666"/>
        <item m="1" x="1306"/>
        <item m="1" x="4370"/>
        <item m="1" x="3252"/>
        <item m="1" x="4393"/>
        <item m="1" x="3613"/>
        <item m="1" x="3819"/>
        <item m="1" x="3546"/>
        <item m="1" x="4404"/>
        <item m="1" x="1239"/>
        <item m="1" x="2069"/>
        <item m="1" x="3276"/>
        <item m="1" x="1623"/>
        <item m="1" x="3030"/>
        <item m="1" x="3557"/>
        <item m="1" x="3381"/>
        <item m="1" x="2840"/>
        <item m="1" x="4463"/>
        <item m="1" x="2006"/>
        <item m="1" x="2534"/>
        <item m="1" x="2865"/>
        <item m="1" x="3388"/>
        <item m="1" x="3750"/>
        <item m="1" x="1609"/>
        <item m="1" x="1720"/>
        <item m="1" x="3405"/>
        <item m="1" x="4218"/>
        <item m="1" x="3629"/>
        <item m="1" x="2523"/>
        <item m="1" x="1932"/>
        <item m="1" x="3882"/>
        <item m="1" x="1206"/>
        <item m="1" x="3507"/>
        <item m="1" x="3316"/>
        <item m="1" x="3741"/>
        <item m="1" x="3330"/>
        <item m="1" x="4441"/>
        <item m="1" x="3830"/>
        <item m="1" x="2007"/>
        <item m="1" x="1862"/>
        <item m="1" x="2678"/>
        <item m="1" x="1474"/>
        <item m="1" x="2942"/>
        <item m="1" x="4182"/>
        <item m="1" x="2104"/>
        <item m="1" x="4177"/>
        <item m="1" x="2829"/>
        <item m="1" x="4417"/>
        <item m="1" x="1382"/>
        <item m="1" x="2231"/>
        <item m="1" x="3873"/>
        <item m="1" x="3612"/>
        <item m="1" x="3061"/>
        <item m="1" x="3649"/>
        <item m="1" x="4482"/>
        <item m="1" x="3626"/>
        <item m="1" x="3614"/>
        <item m="1" x="2333"/>
        <item m="1" x="3270"/>
        <item m="1" x="4414"/>
        <item m="1" x="2139"/>
        <item m="1" x="4347"/>
        <item m="1" x="3065"/>
        <item m="1" x="4260"/>
        <item m="1" x="1885"/>
        <item m="1" x="3844"/>
        <item m="1" x="1584"/>
        <item m="1" x="3985"/>
        <item m="1" x="3853"/>
        <item m="1" x="3606"/>
        <item m="1" x="1174"/>
        <item m="1" x="4465"/>
        <item m="1" x="4400"/>
        <item m="1" x="4209"/>
        <item m="1" x="2254"/>
        <item m="1" x="3315"/>
        <item m="1" x="4451"/>
        <item m="1" x="1550"/>
        <item m="1" x="1948"/>
        <item m="1" x="3925"/>
        <item m="1" x="2243"/>
        <item m="1" x="2502"/>
        <item m="1" x="3766"/>
        <item m="1" x="1727"/>
        <item m="1" x="2566"/>
        <item m="1" x="2964"/>
        <item m="1" x="3420"/>
        <item m="1" x="3768"/>
        <item m="1" x="1384"/>
        <item m="1" x="2764"/>
        <item m="1" x="2809"/>
        <item m="1" x="2212"/>
        <item m="1" x="1390"/>
        <item m="1" x="4069"/>
        <item m="1" x="1583"/>
        <item m="1" x="1593"/>
        <item m="1" x="2537"/>
        <item m="1" x="2790"/>
        <item m="1" x="3321"/>
        <item m="1" x="3313"/>
        <item m="1" x="1525"/>
        <item m="1" x="2217"/>
        <item m="1" x="4462"/>
        <item m="1" x="2667"/>
        <item m="1" x="4455"/>
        <item m="1" x="1309"/>
        <item m="1" x="2536"/>
        <item m="1" x="2814"/>
        <item m="1" x="4419"/>
        <item m="1" x="2636"/>
        <item m="1" x="1242"/>
        <item m="1" x="3870"/>
        <item m="1" x="4355"/>
        <item m="1" x="4298"/>
        <item m="1" x="2585"/>
        <item m="1" x="2656"/>
        <item m="1" x="2329"/>
        <item m="1" x="3391"/>
        <item m="1" x="2407"/>
        <item m="1" x="2507"/>
        <item m="1" x="2193"/>
        <item m="1" x="1821"/>
        <item m="1" x="4004"/>
        <item m="1" x="1541"/>
        <item m="1" x="2613"/>
        <item m="1" x="4231"/>
        <item m="1" x="4442"/>
        <item m="1" x="3608"/>
        <item m="1" x="1111"/>
        <item m="1" x="2125"/>
        <item m="1" x="3334"/>
        <item m="1" x="4430"/>
        <item m="1" x="1677"/>
        <item m="1" x="2893"/>
        <item m="1" x="3192"/>
        <item m="1" x="3751"/>
        <item m="1" x="4256"/>
        <item m="1" x="3700"/>
        <item m="1" x="1652"/>
        <item m="1" x="3351"/>
        <item m="1" x="1724"/>
        <item m="1" x="2821"/>
        <item m="1" x="2967"/>
        <item m="1" x="1825"/>
        <item m="1" x="1304"/>
        <item m="1" x="2292"/>
        <item m="1" x="2694"/>
        <item m="1" x="2236"/>
        <item m="1" x="3760"/>
        <item m="1" x="2919"/>
        <item m="1" x="2859"/>
        <item m="1" x="1855"/>
        <item m="1" x="4457"/>
        <item m="1" x="4178"/>
        <item m="1" x="4168"/>
        <item m="1" x="3966"/>
        <item m="1" x="3834"/>
        <item m="1" x="1587"/>
        <item m="1" x="2907"/>
        <item m="1" x="4369"/>
        <item m="1" x="3898"/>
        <item m="1" x="1768"/>
        <item m="1" x="2671"/>
        <item m="1" x="1752"/>
        <item m="1" x="3926"/>
        <item m="1" x="2060"/>
        <item m="1" x="4234"/>
        <item m="1" x="1464"/>
        <item m="1" x="4496"/>
        <item m="1" x="1543"/>
        <item m="1" x="1129"/>
        <item m="1" x="2245"/>
        <item m="1" x="1232"/>
        <item m="1" x="3593"/>
        <item m="1" x="2795"/>
        <item m="1" x="2644"/>
        <item m="1" x="1451"/>
        <item m="1" x="2389"/>
        <item m="1" x="1292"/>
        <item m="1" x="2099"/>
        <item m="1" x="3596"/>
        <item m="1" x="1881"/>
        <item m="1" x="4005"/>
        <item m="1" x="4339"/>
        <item m="1" x="1723"/>
        <item m="1" x="2064"/>
        <item m="1" x="2384"/>
        <item m="1" x="1732"/>
        <item m="1" x="2914"/>
        <item m="1" x="4269"/>
        <item m="1" x="3575"/>
        <item m="1" x="3535"/>
        <item m="1" x="4390"/>
        <item m="1" x="3406"/>
        <item m="1" x="1765"/>
        <item m="1" x="3443"/>
        <item m="1" x="3225"/>
        <item m="1" x="4530"/>
        <item m="1" x="3676"/>
        <item m="1" x="3880"/>
        <item m="1" x="2083"/>
        <item m="1" x="1810"/>
        <item m="1" x="1467"/>
        <item m="1" x="2742"/>
        <item m="1" x="2770"/>
        <item m="1" x="4478"/>
        <item m="1" x="1959"/>
        <item m="1" x="3562"/>
        <item m="1" x="2996"/>
        <item m="1" x="3050"/>
        <item m="1" x="1989"/>
        <item m="1" x="1764"/>
        <item m="1" x="2698"/>
        <item m="1" x="4367"/>
        <item m="1" x="1777"/>
        <item m="1" x="1544"/>
        <item m="1" x="4471"/>
        <item m="1" x="2311"/>
        <item m="1" x="1512"/>
        <item m="1" x="3667"/>
        <item m="1" x="2557"/>
        <item m="1" x="2459"/>
        <item m="1" x="3790"/>
        <item m="1" x="1315"/>
        <item m="1" x="1456"/>
        <item m="1" x="2297"/>
        <item m="1" x="4383"/>
        <item m="1" x="3559"/>
        <item m="1" x="4138"/>
        <item m="1" x="2584"/>
        <item m="1" x="2263"/>
        <item m="1" x="2354"/>
        <item m="1" x="1616"/>
        <item m="1" x="3138"/>
        <item m="1" x="3479"/>
        <item m="1" x="2684"/>
        <item m="1" x="4066"/>
        <item m="1" x="3162"/>
        <item m="1" x="3442"/>
        <item m="1" x="1923"/>
        <item m="1" x="3805"/>
        <item m="1" x="3196"/>
        <item m="1" x="3560"/>
        <item m="1" x="2265"/>
        <item m="1" x="1715"/>
        <item m="1" x="3585"/>
        <item m="1" x="3449"/>
        <item m="1" x="1134"/>
        <item m="1" x="3294"/>
        <item m="1" x="4242"/>
        <item m="1" x="1102"/>
        <item m="1" x="4326"/>
        <item m="1" x="1746"/>
        <item m="1" x="2834"/>
        <item m="1" x="1549"/>
        <item m="1" x="1105"/>
        <item m="1" x="2458"/>
        <item m="1" x="4436"/>
        <item m="1" x="3055"/>
        <item m="1" x="1367"/>
        <item m="1" x="3580"/>
        <item m="1" x="4409"/>
        <item m="1" x="2868"/>
        <item m="1" x="2387"/>
        <item m="1" x="1548"/>
        <item m="1" x="3867"/>
        <item m="1" x="3124"/>
        <item m="1" x="4185"/>
        <item m="1" x="2651"/>
        <item m="1" x="2632"/>
        <item m="1" x="3452"/>
        <item m="1" x="3634"/>
        <item m="1" x="3520"/>
        <item m="1" x="1710"/>
        <item m="1" x="1770"/>
        <item m="1" x="4217"/>
        <item m="1" x="2693"/>
        <item m="1" x="2352"/>
        <item m="1" x="1635"/>
        <item m="1" x="3445"/>
        <item m="1" x="3903"/>
        <item m="1" x="1875"/>
        <item m="1" x="3253"/>
        <item m="1" x="3780"/>
        <item m="1" x="2884"/>
        <item m="1" x="2774"/>
        <item m="1" x="3450"/>
        <item m="1" x="1223"/>
        <item m="1" x="1631"/>
        <item m="1" x="1231"/>
        <item m="1" x="2487"/>
        <item m="1" x="1373"/>
        <item m="1" x="3543"/>
        <item m="1" x="2657"/>
        <item m="1" x="3193"/>
        <item m="1" x="2055"/>
        <item m="1" x="2568"/>
        <item m="1" x="3361"/>
        <item m="1" x="2456"/>
        <item m="1" x="4477"/>
        <item m="1" x="3533"/>
        <item m="1" x="2434"/>
        <item m="1" x="2527"/>
        <item m="1" x="3713"/>
        <item m="1" x="3331"/>
        <item m="1" x="2200"/>
        <item m="1" x="1918"/>
        <item m="1" x="2098"/>
        <item m="1" x="3244"/>
        <item m="1" x="1851"/>
        <item m="1" x="2912"/>
        <item m="1" x="2058"/>
        <item m="1" x="2650"/>
        <item m="1" x="2543"/>
        <item m="1" x="1469"/>
        <item m="1" x="4285"/>
        <item m="1" x="2913"/>
        <item m="1" x="1697"/>
        <item m="1" x="2822"/>
        <item m="1" x="2474"/>
        <item m="1" x="3976"/>
        <item m="1" x="3911"/>
        <item m="1" x="3946"/>
        <item m="1" x="3664"/>
        <item m="1" x="1840"/>
        <item m="1" x="3104"/>
        <item m="1" x="1874"/>
        <item m="1" x="1754"/>
        <item m="1" x="1190"/>
        <item m="1" x="2141"/>
        <item m="1" x="2275"/>
        <item m="1" x="1784"/>
        <item m="1" x="4525"/>
        <item m="1" x="2421"/>
        <item m="1" x="3345"/>
        <item m="1" x="2754"/>
        <item m="1" x="3238"/>
        <item m="1" x="1580"/>
        <item m="1" x="3736"/>
        <item m="1" x="1931"/>
        <item m="1" x="1406"/>
        <item m="1" x="2358"/>
        <item m="1" x="3099"/>
        <item m="1" x="2395"/>
        <item m="1" x="1284"/>
        <item m="1" x="2262"/>
        <item m="1" x="4247"/>
        <item m="1" x="1647"/>
        <item m="1" x="2701"/>
        <item m="1" x="3069"/>
        <item m="1" x="1271"/>
        <item m="1" x="1575"/>
        <item m="1" x="3302"/>
        <item m="1" x="2230"/>
        <item m="1" x="3889"/>
        <item m="1" x="3091"/>
        <item m="1" x="2162"/>
        <item m="1" x="1207"/>
        <item m="1" x="3418"/>
        <item m="1" x="2442"/>
        <item m="1" x="3529"/>
        <item m="1" x="4239"/>
        <item m="1" x="3295"/>
        <item m="1" x="3494"/>
        <item m="1" x="1686"/>
        <item m="1" x="3817"/>
        <item m="1" x="3643"/>
        <item m="1" x="2609"/>
        <item m="1" x="4121"/>
        <item m="1" x="1427"/>
        <item m="1" x="2573"/>
        <item m="1" x="1995"/>
        <item m="1" x="1738"/>
        <item m="1" x="4000"/>
        <item m="1" x="3383"/>
        <item m="1" x="3128"/>
        <item m="1" x="2027"/>
        <item m="1" x="2161"/>
        <item m="1" x="3369"/>
        <item m="1" x="1585"/>
        <item m="1" x="1737"/>
        <item m="1" x="3327"/>
        <item m="1" x="1400"/>
        <item m="1" x="4398"/>
        <item m="1" x="3310"/>
        <item m="1" x="4167"/>
        <item m="1" x="2690"/>
        <item m="1" x="2061"/>
        <item m="1" x="1980"/>
        <item m="1" x="2423"/>
        <item m="1" x="2207"/>
        <item m="1" x="3944"/>
        <item m="1" x="2274"/>
        <item m="1" x="4474"/>
        <item m="1" x="1472"/>
        <item m="1" x="2327"/>
        <item m="1" x="1363"/>
        <item m="1" x="2100"/>
        <item m="1" x="2800"/>
        <item m="1" x="3586"/>
        <item m="1" x="2386"/>
        <item m="1" x="4043"/>
        <item m="1" x="4151"/>
        <item m="1" x="3096"/>
        <item m="1" x="2950"/>
        <item m="1" x="3324"/>
        <item m="1" x="1296"/>
        <item m="1" x="1667"/>
        <item m="1" x="4535"/>
        <item m="1" x="1629"/>
        <item m="1" x="2285"/>
        <item m="1" x="3110"/>
        <item m="1" x="2676"/>
        <item m="1" x="3176"/>
        <item m="1" x="3064"/>
        <item m="1" x="2092"/>
        <item m="1" x="2603"/>
        <item m="1" x="3703"/>
        <item m="1" x="3601"/>
        <item m="1" x="2509"/>
        <item m="1" x="2124"/>
        <item m="1" x="2626"/>
        <item m="1" x="2192"/>
        <item m="1" x="3249"/>
        <item m="1" x="4147"/>
        <item m="1" x="4065"/>
        <item m="1" x="4357"/>
        <item m="1" x="1794"/>
        <item m="1" x="4510"/>
        <item m="1" x="2597"/>
        <item m="1" x="4202"/>
        <item m="1" x="3540"/>
        <item m="1" x="4132"/>
        <item m="1" x="4204"/>
        <item m="1" x="2025"/>
        <item m="1" x="3864"/>
        <item m="1" x="4379"/>
        <item m="1" x="3118"/>
        <item m="1" x="4078"/>
        <item m="1" x="1615"/>
        <item m="1" x="3549"/>
        <item m="1" x="3469"/>
        <item m="1" x="1314"/>
        <item m="1" x="3569"/>
        <item m="1" x="3678"/>
        <item m="1" x="1967"/>
        <item m="1" x="1941"/>
        <item m="1" x="1323"/>
        <item m="1" x="3465"/>
        <item m="1" x="1925"/>
        <item m="1" x="3636"/>
        <item m="1" x="1698"/>
        <item m="1" x="3413"/>
        <item m="1" x="3174"/>
        <item m="1" x="1213"/>
        <item m="1" x="2226"/>
        <item m="1" x="2186"/>
        <item m="1" x="3309"/>
        <item m="1" x="2761"/>
        <item m="1" x="1571"/>
        <item m="1" x="3685"/>
        <item m="1" x="1461"/>
        <item m="1" x="4288"/>
        <item m="1" x="2921"/>
        <item m="1" x="2665"/>
        <item m="1" x="2720"/>
        <item m="1" x="3082"/>
        <item m="1" x="1269"/>
        <item m="1" x="1156"/>
        <item m="1" x="3623"/>
        <item m="1" x="3668"/>
        <item m="1" x="3978"/>
        <item m="1" x="2730"/>
        <item m="1" x="2869"/>
        <item m="1" x="4011"/>
        <item m="1" x="2478"/>
        <item m="1" x="4106"/>
        <item m="1" x="3734"/>
        <item m="1" x="3303"/>
        <item m="1" x="2038"/>
        <item m="1" x="2259"/>
        <item m="1" x="1816"/>
        <item m="1" x="3185"/>
        <item m="1" x="3119"/>
        <item m="1" x="3675"/>
        <item m="1" x="1878"/>
        <item m="1" x="1197"/>
        <item m="1" x="1455"/>
        <item m="1" x="2993"/>
        <item m="1" x="2143"/>
        <item m="1" x="1845"/>
        <item m="1" x="3335"/>
        <item m="1" x="2838"/>
        <item m="1" x="4067"/>
        <item m="1" x="1761"/>
        <item m="1" x="3981"/>
        <item m="1" x="2664"/>
        <item m="1" x="1779"/>
        <item m="1" x="3813"/>
        <item m="1" x="1159"/>
        <item m="1" x="2904"/>
        <item m="1" x="3343"/>
        <item m="1" x="4350"/>
        <item m="1" x="2580"/>
        <item m="1" x="4309"/>
        <item m="1" x="3470"/>
        <item m="1" x="3705"/>
        <item m="1" x="4057"/>
        <item m="1" x="2267"/>
        <item m="1" x="4105"/>
        <item m="1" x="2980"/>
        <item m="1" x="1704"/>
        <item m="1" x="2928"/>
        <item m="1" x="1637"/>
        <item m="1" x="3328"/>
        <item m="1" x="3411"/>
        <item m="1" x="1388"/>
        <item m="1" x="2110"/>
        <item m="1" x="4252"/>
        <item m="1" x="1669"/>
        <item m="1" x="4381"/>
        <item m="1" x="1143"/>
        <item m="1" x="1225"/>
        <item m="1" x="4051"/>
        <item m="1" x="2279"/>
        <item m="1" x="1909"/>
        <item m="1" x="1477"/>
        <item m="1" x="1971"/>
        <item m="1" x="3565"/>
        <item m="1" x="2831"/>
        <item m="1" x="3094"/>
        <item m="1" x="2383"/>
        <item m="1" x="2365"/>
        <item m="1" x="1186"/>
        <item m="1" x="2995"/>
        <item m="1" x="2931"/>
        <item m="1" x="1569"/>
        <item m="1" x="4117"/>
        <item m="1" x="3370"/>
        <item m="1" x="3205"/>
        <item m="1" x="2880"/>
        <item m="1" x="2118"/>
        <item m="1" x="2714"/>
        <item m="1" x="4160"/>
        <item m="1" x="2431"/>
        <item m="1" x="3935"/>
        <item m="1" x="1791"/>
        <item m="1" x="2101"/>
        <item m="1" x="3371"/>
        <item m="1" x="3627"/>
        <item m="1" x="2374"/>
        <item m="1" x="2257"/>
        <item m="1" x="2637"/>
        <item m="1" x="1939"/>
        <item m="1" x="2749"/>
        <item m="1" x="2159"/>
        <item m="1" x="2670"/>
        <item m="1" x="2293"/>
        <item m="1" x="3358"/>
        <item m="1" x="4045"/>
        <item m="1" x="3771"/>
        <item m="1" x="3109"/>
        <item m="1" x="1478"/>
        <item m="1" x="1162"/>
        <item m="1" x="2791"/>
        <item m="1" x="2747"/>
        <item m="1" x="1137"/>
        <item m="1" x="4302"/>
        <item m="1" x="2249"/>
        <item m="1" x="3997"/>
        <item m="1" x="4236"/>
        <item m="1" x="4227"/>
        <item m="1" x="3438"/>
        <item m="1" x="3070"/>
        <item m="1" x="3056"/>
        <item m="1" x="3866"/>
        <item m="1" x="3938"/>
        <item m="1" x="4377"/>
        <item m="1" x="1131"/>
        <item m="1" x="1221"/>
        <item m="1" x="1921"/>
        <item m="1" x="2353"/>
        <item m="1" x="3177"/>
        <item m="1" x="3423"/>
        <item m="1" x="3312"/>
        <item m="1" x="1158"/>
        <item m="1" x="1945"/>
        <item m="1" x="2784"/>
        <item m="1" x="4331"/>
        <item m="1" x="4353"/>
        <item m="1" x="3838"/>
        <item m="1" x="4329"/>
        <item m="1" x="3657"/>
        <item m="1" x="2256"/>
        <item m="1" x="4076"/>
        <item m="1" x="4032"/>
        <item m="1" x="4501"/>
        <item m="1" x="4352"/>
        <item m="1" x="1168"/>
        <item m="1" x="1626"/>
        <item m="1" x="2877"/>
        <item m="1" x="1320"/>
        <item m="1" x="2545"/>
        <item m="1" x="4425"/>
        <item m="1" x="2524"/>
        <item m="1" x="2132"/>
        <item m="1" x="1389"/>
        <item m="1" x="1567"/>
        <item m="1" x="3934"/>
        <item m="1" x="4484"/>
        <item m="1" x="2508"/>
        <item m="1" x="1338"/>
        <item m="1" x="1814"/>
        <item m="1" x="1766"/>
        <item m="1" x="3871"/>
        <item m="1" x="2734"/>
        <item m="1" x="3085"/>
        <item m="1" x="2900"/>
        <item m="1" x="2839"/>
        <item m="1" x="2633"/>
        <item m="1" x="4399"/>
        <item m="1" x="3738"/>
        <item m="1" x="1670"/>
        <item m="1" x="1634"/>
        <item m="1" x="1335"/>
        <item m="1" x="1552"/>
        <item m="1" x="1479"/>
        <item m="1" x="2324"/>
        <item m="1" x="1124"/>
        <item m="1" x="2019"/>
        <item m="1" x="3220"/>
        <item m="1" x="3233"/>
        <item m="1" x="2359"/>
        <item m="1" x="3572"/>
        <item m="1" x="3706"/>
        <item m="1" x="2357"/>
        <item m="1" x="1392"/>
        <item m="1" x="2464"/>
        <item m="1" x="2842"/>
        <item m="1" x="2505"/>
        <item m="1" x="2711"/>
        <item m="1" x="3478"/>
        <item m="1" x="1659"/>
        <item m="1" x="4253"/>
        <item m="1" x="3797"/>
        <item m="1" x="4101"/>
        <item m="1" x="2830"/>
        <item m="1" x="1750"/>
        <item m="1" x="1249"/>
        <item m="1" x="4128"/>
        <item m="1" x="1241"/>
        <item m="1" x="2558"/>
        <item m="1" x="4123"/>
        <item m="1" x="4513"/>
        <item m="1" x="1785"/>
        <item m="1" x="1912"/>
        <item m="1" x="3883"/>
        <item m="1" x="2472"/>
        <item m="1" x="1332"/>
        <item m="1" x="4406"/>
        <item m="1" x="4195"/>
        <item m="1" x="1889"/>
        <item m="1" x="1297"/>
        <item m="1" x="3807"/>
        <item m="1" x="2068"/>
        <item m="1" x="3486"/>
        <item m="1" x="2028"/>
        <item m="1" x="4341"/>
        <item m="1" x="4334"/>
        <item m="1" x="3850"/>
        <item m="1" x="3591"/>
        <item m="1" x="3257"/>
        <item m="1" x="1645"/>
        <item m="1" x="1870"/>
        <item m="1" x="2874"/>
        <item m="1" x="1897"/>
        <item m="1" x="2759"/>
        <item m="1" x="2131"/>
        <item m="1" x="2385"/>
        <item m="1" x="1324"/>
        <item m="1" x="1357"/>
        <item m="1" x="4221"/>
        <item m="1" x="4349"/>
        <item m="1" x="3103"/>
        <item m="1" x="2563"/>
        <item m="1" x="2397"/>
        <item m="1" x="2091"/>
        <item m="1" x="2050"/>
        <item m="1" x="1493"/>
        <item m="1" x="2611"/>
        <item m="1" x="3143"/>
        <item m="1" x="3385"/>
        <item m="1" x="3023"/>
        <item m="1" x="1246"/>
        <item m="1" x="4241"/>
        <item m="1" x="4468"/>
        <item m="1" x="3714"/>
        <item m="1" x="2332"/>
        <item m="1" x="2979"/>
        <item m="1" x="3474"/>
        <item m="1" x="2233"/>
        <item m="1" x="2883"/>
        <item m="1" x="2606"/>
        <item m="1" x="1650"/>
        <item m="1" x="3735"/>
        <item m="1" x="3754"/>
        <item m="1" x="1582"/>
        <item m="1" x="2922"/>
        <item m="1" x="3088"/>
        <item m="1" x="4144"/>
        <item m="1" x="2011"/>
        <item m="1" x="3618"/>
        <item m="1" x="1938"/>
        <item m="1" x="3526"/>
        <item m="1" x="1311"/>
        <item m="1" x="2273"/>
        <item m="1" x="1505"/>
        <item m="1" x="4142"/>
        <item m="1" x="1719"/>
        <item m="1" x="1642"/>
        <item m="1" x="3336"/>
        <item m="1" x="2932"/>
        <item m="1" x="4162"/>
        <item m="1" x="2367"/>
        <item m="1" x="4214"/>
        <item m="1" x="3755"/>
        <item m="1" x="2291"/>
        <item m="1" x="1954"/>
        <item m="1" x="1675"/>
        <item m="1" x="4155"/>
        <item m="1" x="4170"/>
        <item m="1" x="1116"/>
        <item m="1" x="3208"/>
        <item m="1" x="3746"/>
        <item m="1" x="2806"/>
        <item m="1" x="1559"/>
        <item m="1" x="3039"/>
        <item m="1" x="1577"/>
        <item m="1" x="3942"/>
        <item m="1" x="2978"/>
        <item m="1" x="1327"/>
        <item m="1" x="3041"/>
        <item m="1" x="3848"/>
        <item m="1" x="3402"/>
        <item m="1" x="2672"/>
        <item m="1" x="3571"/>
        <item m="1" x="1416"/>
        <item m="1" x="1597"/>
        <item m="1" x="4097"/>
        <item m="1" x="2894"/>
        <item m="1" x="3153"/>
        <item m="1" x="4470"/>
        <item m="1" x="2178"/>
        <item m="1" x="1377"/>
        <item m="1" x="1127"/>
        <item m="1" x="3610"/>
        <item m="1" x="1519"/>
        <item m="1" x="2406"/>
        <item m="1" x="2555"/>
        <item m="1" x="3931"/>
        <item m="1" x="2136"/>
        <item m="1" x="2975"/>
        <item m="1" x="1730"/>
        <item m="1" x="4030"/>
        <item m="1" x="4466"/>
        <item m="1" x="2661"/>
        <item m="1" x="3924"/>
        <item m="1" x="1381"/>
        <item m="1" x="1813"/>
        <item m="1" x="3396"/>
        <item m="1" x="3184"/>
        <item m="1" x="4397"/>
        <item m="1" x="4526"/>
        <item m="1" x="4115"/>
        <item m="1" x="4248"/>
        <item m="1" x="4282"/>
        <item m="1" x="2215"/>
        <item m="1" x="2251"/>
        <item m="1" x="2326"/>
        <item m="1" x="3242"/>
        <item m="1" x="1183"/>
        <item m="1" x="2595"/>
        <item m="1" x="4215"/>
        <item m="1" x="2261"/>
        <item m="1" x="4527"/>
        <item m="1" x="4391"/>
        <item m="1" x="1307"/>
        <item m="1" x="3692"/>
        <item m="1" x="2631"/>
        <item m="1" x="3364"/>
        <item m="1" x="2440"/>
        <item m="1" x="3984"/>
        <item m="1" x="2121"/>
        <item m="1" x="1853"/>
        <item m="1" x="2853"/>
        <item m="1" x="2427"/>
        <item m="1" x="3959"/>
        <item m="1" x="3716"/>
        <item m="1" x="3105"/>
        <item m="1" x="3551"/>
        <item m="1" x="1321"/>
        <item m="1" x="4297"/>
        <item m="1" x="4060"/>
        <item m="1" x="2984"/>
        <item m="1" x="1950"/>
        <item m="1" x="1513"/>
        <item m="1" x="2306"/>
        <item m="1" x="2818"/>
        <item m="1" x="2685"/>
        <item m="1" x="1969"/>
        <item m="1" x="1993"/>
        <item m="1" x="3144"/>
        <item m="1" x="1166"/>
        <item m="1" x="4310"/>
        <item m="1" x="4517"/>
        <item m="1" x="4161"/>
        <item m="1" x="3723"/>
        <item m="1" x="1820"/>
        <item m="1" x="1454"/>
        <item m="1" x="4300"/>
        <item m="1" x="4318"/>
        <item m="1" x="2157"/>
        <item m="1" x="3794"/>
        <item m="1" x="2677"/>
        <item m="1" x="3060"/>
        <item m="1" x="3789"/>
        <item m="1" x="3811"/>
        <item m="1" x="2660"/>
        <item m="1" x="3861"/>
        <item m="1" x="2531"/>
        <item m="1" x="3007"/>
        <item m="1" x="1301"/>
        <item m="1" x="2015"/>
        <item m="1" x="2418"/>
        <item m="1" x="4019"/>
        <item m="1" x="1621"/>
        <item m="1" x="1904"/>
        <item m="1" x="3542"/>
        <item m="1" x="1968"/>
        <item m="1" x="3395"/>
        <item m="1" x="2468"/>
        <item m="1" x="3947"/>
        <item m="1" x="2623"/>
        <item m="1" x="3674"/>
        <item m="1" x="4190"/>
        <item m="1" x="2182"/>
        <item m="1" x="2836"/>
        <item m="1" x="1463"/>
        <item m="1" x="3211"/>
        <item m="1" x="3278"/>
        <item m="1" x="2860"/>
        <item m="1" x="2168"/>
        <item m="1" x="3524"/>
        <item m="1" x="1850"/>
        <item m="1" x="2697"/>
        <item m="1" x="4257"/>
        <item m="1" x="1330"/>
        <item m="1" x="2888"/>
        <item m="1" x="2463"/>
        <item m="1" x="1290"/>
        <item m="1" x="4173"/>
        <item m="1" x="2972"/>
        <item m="1" x="1734"/>
        <item m="1" x="1711"/>
        <item m="1" x="1824"/>
        <item m="1" x="2045"/>
        <item m="1" x="3793"/>
        <item m="1" x="3136"/>
        <item m="1" x="4536"/>
        <item m="1" x="4137"/>
        <item m="1" x="2325"/>
        <item m="1" x="3146"/>
        <item m="1" x="4284"/>
        <item m="1" x="1611"/>
        <item m="1" x="3188"/>
        <item m="1" x="2107"/>
        <item m="1" x="1972"/>
        <item m="1" x="2093"/>
        <item m="1" x="2314"/>
        <item m="1" x="3399"/>
        <item m="1" x="3522"/>
        <item m="1" x="1132"/>
        <item m="1" x="3547"/>
        <item m="1" x="3597"/>
        <item m="1" x="2669"/>
        <item m="1" x="3833"/>
        <item m="1" x="2518"/>
        <item m="1" x="3366"/>
        <item m="1" x="4198"/>
        <item m="1" x="1751"/>
        <item m="1" x="3964"/>
        <item m="1" x="1656"/>
        <item m="1" x="3263"/>
        <item m="1" x="4479"/>
        <item m="1" x="4146"/>
        <item m="1" x="1289"/>
        <item m="1" x="1671"/>
        <item m="1" x="1987"/>
        <item m="1" x="1205"/>
        <item m="1" x="1250"/>
        <item m="1" x="3492"/>
        <item m="1" x="1352"/>
        <item m="1" x="3040"/>
        <item m="1" x="3584"/>
        <item m="1" x="3534"/>
        <item m="1" x="1538"/>
        <item m="1" x="1489"/>
        <item m="1" x="4055"/>
        <item m="1" x="3836"/>
        <item m="1" x="2376"/>
        <item m="1" x="1914"/>
        <item m="1" x="2833"/>
        <item m="1" x="2760"/>
        <item m="1" x="1291"/>
        <item m="1" x="1958"/>
        <item m="1" x="1992"/>
        <item m="1" x="3000"/>
        <item m="1" x="2219"/>
        <item m="1" x="2445"/>
        <item m="1" x="2763"/>
        <item m="1" x="3704"/>
        <item m="1" x="1192"/>
        <item m="1" x="3053"/>
        <item m="1" x="1661"/>
        <item m="1" x="1350"/>
        <item m="1" x="1783"/>
        <item m="1" x="2043"/>
        <item m="1" x="4116"/>
        <item m="1" x="2571"/>
        <item m="1" x="1276"/>
        <item m="1" x="4189"/>
        <item m="1" x="2801"/>
        <item m="1" x="1900"/>
        <item m="1" x="1215"/>
        <item m="1" x="2590"/>
        <item m="1" x="2513"/>
        <item m="1" x="1322"/>
        <item m="1" x="3968"/>
        <item m="1" x="2221"/>
        <item m="1" x="3342"/>
        <item m="1" x="2075"/>
        <item m="1" x="4090"/>
        <item m="1" x="2929"/>
        <item m="1" x="1665"/>
        <item m="1" x="2772"/>
        <item m="1" x="2013"/>
        <item m="1" x="1558"/>
        <item m="1" x="2552"/>
        <item m="1" x="3998"/>
        <item m="1" x="1331"/>
        <item m="1" x="3206"/>
        <item m="1" x="1988"/>
        <item m="1" x="3228"/>
        <item m="1" x="2382"/>
        <item m="1" x="1811"/>
        <item m="1" x="3414"/>
        <item m="1" x="1333"/>
        <item m="1" x="1163"/>
        <item m="1" x="2788"/>
        <item m="1" x="1462"/>
        <item m="1" x="1275"/>
        <item m="1" x="3778"/>
        <item m="1" x="4521"/>
        <item m="1" x="4384"/>
        <item m="1" x="4042"/>
        <item m="1" x="3480"/>
        <item m="1" x="3515"/>
        <item m="1" x="2663"/>
        <item m="1" x="4156"/>
        <item m="1" x="3721"/>
        <item m="1" x="1961"/>
        <item m="1" x="4533"/>
        <item m="1" x="1507"/>
        <item m="1" x="4447"/>
        <item m="1" x="2559"/>
        <item m="1" x="2084"/>
        <item m="1" x="3264"/>
        <item m="1" x="1270"/>
        <item m="1" x="2388"/>
        <item m="1" x="3172"/>
        <item m="1" x="4073"/>
        <item m="1" x="1843"/>
        <item m="1" x="2591"/>
        <item m="1" x="3950"/>
        <item m="1" x="3772"/>
        <item m="1" x="2462"/>
        <item m="1" x="3155"/>
        <item m="1" x="1823"/>
        <item m="1" x="1863"/>
        <item m="1" x="2031"/>
        <item m="1" x="4187"/>
        <item m="1" x="2655"/>
        <item m="1" x="3036"/>
        <item m="1" x="4092"/>
        <item m="1" x="3246"/>
        <item m="1" x="1148"/>
        <item m="1" x="1557"/>
        <item m="1" x="3453"/>
        <item m="1" x="1471"/>
        <item m="1" x="2363"/>
        <item m="1" x="2512"/>
        <item m="1" x="3029"/>
        <item m="1" x="3139"/>
        <item m="1" x="1224"/>
        <item m="1" x="2736"/>
        <item m="1" x="3037"/>
        <item m="1" x="3532"/>
        <item m="1" x="4522"/>
        <item m="1" x="3570"/>
        <item m="1" x="3854"/>
        <item m="1" x="3927"/>
        <item m="1" x="2710"/>
        <item m="1" x="4340"/>
        <item m="1" x="4251"/>
        <item m="1" x="4148"/>
        <item m="1" x="1235"/>
        <item m="1" x="3224"/>
        <item m="1" x="3467"/>
        <item m="1" x="1627"/>
        <item m="1" x="1979"/>
        <item m="1" x="3178"/>
        <item m="1" x="1756"/>
        <item m="1" x="3232"/>
        <item m="1" x="2569"/>
        <item m="1" x="3487"/>
        <item m="1" x="4079"/>
        <item m="1" x="1619"/>
        <item m="1" x="2955"/>
        <item m="1" x="4181"/>
        <item m="1" x="2342"/>
        <item m="1" x="4085"/>
        <item m="1" x="2675"/>
        <item m="1" x="3920"/>
        <item m="1" x="2608"/>
        <item m="1" x="1767"/>
        <item m="1" x="4080"/>
        <item m="1" x="1769"/>
        <item m="1" x="3462"/>
        <item m="1" x="1692"/>
        <item m="1" x="3171"/>
        <item m="1" x="3774"/>
        <item m="1" x="1601"/>
        <item m="1" x="2540"/>
        <item m="1" x="2213"/>
        <item m="1" x="3277"/>
        <item m="1" x="3173"/>
        <item m="1" x="4511"/>
        <item m="1" x="2628"/>
        <item m="1" x="1153"/>
        <item m="1" x="1789"/>
        <item m="1" x="4505"/>
        <item m="1" x="3720"/>
        <item m="1" x="2154"/>
        <item m="1" x="2134"/>
        <item m="1" x="2242"/>
        <item m="1" x="3057"/>
        <item m="1" x="3775"/>
        <item m="1" x="2486"/>
        <item m="1" x="2544"/>
        <item m="1" x="2574"/>
        <item m="1" x="1440"/>
        <item m="1" x="2641"/>
        <item m="1" x="4494"/>
        <item m="1" x="2276"/>
        <item m="1" x="2635"/>
        <item m="1" x="1592"/>
        <item m="1" x="2807"/>
        <item m="1" x="2808"/>
        <item m="1" x="2206"/>
        <item m="1" x="4433"/>
        <item m="1" x="1828"/>
        <item m="1" x="4469"/>
        <item m="1" x="1572"/>
        <item m="1" x="3509"/>
        <item m="1" x="2494"/>
        <item m="1" x="2876"/>
        <item m="1" x="1852"/>
        <item m="1" x="1568"/>
        <item m="1" x="2097"/>
        <item m="1" x="3200"/>
        <item m="1" x="3274"/>
        <item m="1" x="2722"/>
        <item m="1" x="1460"/>
        <item m="1" x="4062"/>
        <item m="1" x="2089"/>
        <item m="1" x="2350"/>
        <item m="1" x="2866"/>
        <item m="1" x="3455"/>
        <item m="1" x="1916"/>
        <item m="1" x="3134"/>
        <item m="1" x="1570"/>
        <item m="1" x="3900"/>
        <item m="1" x="3787"/>
        <item m="1" x="1452"/>
        <item m="1" x="2627"/>
        <item m="1" x="2286"/>
        <item m="1" x="2308"/>
        <item m="1" x="4240"/>
        <item m="1" x="3017"/>
        <item m="1" x="3603"/>
        <item m="1" x="4387"/>
        <item m="1" x="3582"/>
        <item m="1" x="1404"/>
        <item m="1" x="2128"/>
        <item m="1" x="2538"/>
        <item m="1" x="3397"/>
        <item m="1" x="1565"/>
        <item m="1" x="1933"/>
        <item m="1" x="4040"/>
        <item m="1" x="3982"/>
        <item m="1" x="2071"/>
        <item m="1" x="1606"/>
        <item m="1" x="3422"/>
        <item m="1" x="2108"/>
        <item m="1" x="3229"/>
        <item m="1" x="4102"/>
        <item m="1" x="4175"/>
        <item m="1" x="3892"/>
        <item m="1" x="1854"/>
        <item m="1" x="4321"/>
        <item m="1" x="1140"/>
        <item m="1" x="1402"/>
        <item m="1" x="2968"/>
        <item m="1" x="2000"/>
        <item m="1" x="3782"/>
        <item m="1" x="2708"/>
        <item m="1" x="2817"/>
        <item m="1" x="4127"/>
        <item m="1" x="2181"/>
        <item m="1" x="1930"/>
        <item m="1" x="4424"/>
        <item m="1" x="1927"/>
        <item m="1" x="1907"/>
        <item m="1" x="1740"/>
        <item m="1" x="3798"/>
        <item m="1" x="2564"/>
        <item m="1" x="2541"/>
        <item m="1" x="2290"/>
        <item m="1" x="2533"/>
        <item m="1" x="4183"/>
        <item m="1" x="2021"/>
        <item m="1" x="2798"/>
        <item m="1" x="2111"/>
        <item m="1" x="3875"/>
        <item m="1" x="3006"/>
        <item m="1" x="1753"/>
        <item m="1" x="3742"/>
        <item m="1" x="2997"/>
        <item m="1" x="1534"/>
        <item m="1" x="3699"/>
        <item m="1" x="2218"/>
        <item m="1" x="1347"/>
        <item m="1" x="1393"/>
        <item m="1" x="4179"/>
        <item m="1" x="1684"/>
        <item m="1" x="2319"/>
        <item m="1" x="2039"/>
        <item m="1" x="2199"/>
        <item m="1" x="4378"/>
        <item x="0"/>
        <item m="1" x="4354"/>
        <item m="1" x="3426"/>
        <item m="1" x="2419"/>
        <item m="1" x="1774"/>
        <item m="1" x="3632"/>
        <item m="1" x="2917"/>
        <item m="1" x="1498"/>
        <item m="1" x="2396"/>
        <item m="1" x="1978"/>
        <item m="1" x="1800"/>
        <item m="1" x="2079"/>
        <item m="1" x="3367"/>
        <item m="1" x="1957"/>
        <item m="1" x="1834"/>
        <item m="1" x="2010"/>
        <item m="1" x="3635"/>
        <item m="1" x="3619"/>
        <item m="1" x="4498"/>
        <item m="1" x="1994"/>
        <item m="1" x="4280"/>
        <item m="1" x="1432"/>
        <item m="1" x="2998"/>
        <item m="1" x="3539"/>
        <item m="1" x="1655"/>
        <item m="1" x="3305"/>
        <item m="1" x="2390"/>
        <item m="1" x="2465"/>
        <item m="1" x="2040"/>
        <item m="1" x="1620"/>
        <item m="1" x="2861"/>
        <item m="1" x="2799"/>
        <item m="1" x="4021"/>
        <item m="1" x="4528"/>
        <item m="1" x="1806"/>
        <item m="1" x="3765"/>
        <item m="1" x="1208"/>
        <item m="1" x="2164"/>
        <item m="1" x="1668"/>
        <item m="1" x="3863"/>
        <item m="1" x="3409"/>
        <item m="1" x="3963"/>
        <item m="1" x="2037"/>
        <item m="1" x="4039"/>
        <item m="1" x="2282"/>
        <item m="1" x="2879"/>
        <item m="1" x="4125"/>
        <item m="1" x="1848"/>
        <item m="1" x="1640"/>
        <item m="1" x="4071"/>
        <item m="1" x="1690"/>
        <item m="1" x="3466"/>
        <item m="1" x="4502"/>
        <item m="1" x="2514"/>
        <item m="1" x="4048"/>
        <item m="1" x="3353"/>
        <item m="1" x="4277"/>
        <item m="1" x="3290"/>
        <item m="1" x="4421"/>
        <item m="1" x="2692"/>
        <item m="1" x="3282"/>
        <item m="1" x="3304"/>
        <item m="1" x="2272"/>
        <item m="1" x="1613"/>
        <item m="1" x="1339"/>
        <item m="1" x="1782"/>
        <item m="1" x="2654"/>
        <item m="1" x="4028"/>
        <item m="1" x="3033"/>
        <item m="1" x="1405"/>
        <item m="1" x="4176"/>
        <item m="1" x="1574"/>
        <item m="1" x="4131"/>
        <item m="1" x="2252"/>
        <item m="1" x="3226"/>
        <item m="1" x="2129"/>
        <item m="1" x="3256"/>
        <item m="1" x="2392"/>
        <item m="1" x="2755"/>
        <item m="1" x="1445"/>
        <item m="1" x="3895"/>
        <item m="1" x="1138"/>
        <item m="1" x="3965"/>
        <item m="1" x="2377"/>
        <item m="1" x="1429"/>
        <item m="1" x="1522"/>
        <item m="1" x="1420"/>
        <item m="1" x="2116"/>
        <item m="1" x="3407"/>
        <item m="1" x="3248"/>
        <item m="1" x="1581"/>
        <item m="1" x="1465"/>
        <item m="1" x="2375"/>
        <item m="1" x="2941"/>
        <item m="1" x="1556"/>
        <item m="1" x="2444"/>
        <item m="1" x="2165"/>
        <item m="1" x="3915"/>
        <item m="1" x="1503"/>
        <item m="1" x="3002"/>
        <item m="1" x="4435"/>
        <item m="1" x="1562"/>
        <item m="1" x="2241"/>
        <item m="1" x="1316"/>
        <item m="1" x="2250"/>
        <item m="1" x="2887"/>
        <item m="1" x="2987"/>
        <item m="1" x="3655"/>
        <item m="1" x="3498"/>
        <item m="1" x="2415"/>
        <item m="1" x="2782"/>
        <item m="1" x="3012"/>
        <item m="1" x="3868"/>
        <item m="1" x="3502"/>
        <item m="1" x="2244"/>
        <item m="1" x="4207"/>
        <item m="1" x="2845"/>
        <item m="1" x="1663"/>
        <item m="1" x="3641"/>
        <item m="1" x="1511"/>
        <item m="1" x="1376"/>
        <item m="1" x="3517"/>
        <item m="1" x="2855"/>
        <item m="1" x="4112"/>
        <item m="1" x="4094"/>
        <item m="1" x="1866"/>
        <item m="1" x="1475"/>
        <item m="1" x="2304"/>
        <item m="1" x="2700"/>
        <item m="1" x="2515"/>
        <item m="1" x="3421"/>
        <item m="1" x="2554"/>
        <item m="1" x="3698"/>
        <item m="1" x="3145"/>
        <item m="1" x="2295"/>
        <item m="1" x="1757"/>
        <item m="1" x="2330"/>
        <item m="1" x="3594"/>
        <item m="1" x="3961"/>
        <item m="1" x="2516"/>
        <item m="1" x="3010"/>
        <item m="1" x="1358"/>
        <item m="1" x="3598"/>
        <item m="1" x="3717"/>
        <item m="1" x="1298"/>
        <item m="1" x="1573"/>
        <item m="1" x="1211"/>
        <item m="1" x="4244"/>
        <item m="1" x="1960"/>
        <item m="1" x="3382"/>
        <item m="1" x="3258"/>
        <item m="1" x="3135"/>
        <item m="1" x="1305"/>
        <item m="1" x="3378"/>
        <item m="1" x="3072"/>
        <item m="1" x="4194"/>
        <item m="1" x="3368"/>
        <item m="1" x="1913"/>
        <item m="1" x="2493"/>
        <item m="1" x="1858"/>
        <item m="1" x="1952"/>
        <item m="1" x="3835"/>
        <item m="1" x="2717"/>
        <item m="1" x="1628"/>
        <item m="1" x="2283"/>
        <item m="1" x="1448"/>
        <item m="1" x="3491"/>
        <item m="1" x="3289"/>
        <item m="1" x="2036"/>
        <item m="1" x="3403"/>
        <item m="1" x="3504"/>
        <item m="1" x="2673"/>
        <item m="1" x="3708"/>
        <item m="1" x="3707"/>
        <item m="1" x="3808"/>
        <item m="1" x="2077"/>
        <item m="1" x="3940"/>
        <item m="1" x="1636"/>
        <item m="1" x="3531"/>
        <item m="1" x="4432"/>
        <item m="1" x="2891"/>
        <item m="1" x="3683"/>
        <item m="1" x="1589"/>
        <item m="1" x="1771"/>
        <item m="1" x="4056"/>
        <item m="1" x="3538"/>
        <item m="1" x="2196"/>
        <item m="1" x="3097"/>
        <item m="1" x="3251"/>
        <item m="1" x="3268"/>
        <item m="1" x="4118"/>
        <item m="1" x="4438"/>
        <item m="1" x="3564"/>
        <item m="1" x="3291"/>
        <item m="1" x="1295"/>
        <item m="1" x="2234"/>
        <item m="1" x="2848"/>
        <item m="1" x="3416"/>
        <item m="1" x="1369"/>
        <item m="1" x="4333"/>
        <item m="1" x="4054"/>
        <item m="1" x="2048"/>
        <item m="1" x="4225"/>
        <item m="1" x="3026"/>
        <item m="1" x="2416"/>
        <item m="1" x="3686"/>
        <item m="1" x="1778"/>
        <item m="1" x="1962"/>
        <item m="1" x="2896"/>
        <item m="1" x="3500"/>
        <item m="1" x="2707"/>
        <item m="1" x="2229"/>
        <item m="1" x="4031"/>
        <item m="1" x="3756"/>
        <item m="1" x="1396"/>
        <item m="1" x="1947"/>
        <item m="1" x="2940"/>
        <item m="1" x="4223"/>
        <item m="1" x="1433"/>
        <item m="1" x="4186"/>
        <item m="1" x="2567"/>
        <item m="1" x="2867"/>
        <item m="1" x="3165"/>
        <item m="1" x="4083"/>
        <item m="1" x="4356"/>
        <item m="1" x="4416"/>
        <item m="1" x="3954"/>
        <item m="1" x="3497"/>
        <item m="1" x="3477"/>
        <item m="1" x="1709"/>
        <item m="1" x="3360"/>
        <item m="1" x="2167"/>
        <item m="1" x="4520"/>
        <item m="1" x="3862"/>
        <item m="1" x="3400"/>
        <item m="1" x="1106"/>
        <item m="1" x="2902"/>
        <item m="1" x="1385"/>
        <item m="1" x="3987"/>
        <item m="1" x="4473"/>
        <item m="1" x="3974"/>
        <item m="1" x="1195"/>
        <item m="1" x="1407"/>
        <item m="1" x="3163"/>
        <item m="1" x="4374"/>
        <item m="1" x="2253"/>
        <item m="1" x="3016"/>
        <item m="1" x="1688"/>
        <item m="1" x="3744"/>
        <item m="1" x="1446"/>
        <item m="1" x="2400"/>
        <item m="1" x="2785"/>
        <item m="1" x="3989"/>
        <item m="1" x="1318"/>
        <item m="1" x="2741"/>
        <item m="1" x="3973"/>
        <item m="1" x="1966"/>
        <item m="1" x="1614"/>
        <item m="1" x="3115"/>
        <item m="1" x="1146"/>
        <item m="1" x="3726"/>
        <item m="1" x="1808"/>
        <item m="1" x="1418"/>
        <item m="1" x="1837"/>
        <item m="1" x="4141"/>
        <item m="1" x="3740"/>
        <item m="1" x="2063"/>
        <item m="1" x="3818"/>
        <item m="1" x="1259"/>
        <item m="1" x="2662"/>
        <item m="1" x="3881"/>
        <item m="1" x="2398"/>
        <item m="1" x="3859"/>
        <item m="1" x="3025"/>
        <item m="1" x="3748"/>
        <item m="1" x="3158"/>
        <item m="1" x="3127"/>
        <item m="1" x="1844"/>
        <item m="1" x="2497"/>
        <item m="1" x="4174"/>
        <item m="1" x="4205"/>
        <item m="1" x="2994"/>
        <item m="1" x="2550"/>
        <item m="1" x="3874"/>
        <item m="1" x="1202"/>
        <item m="1" x="3239"/>
        <item m="1" x="3374"/>
        <item m="1" x="4503"/>
        <item m="1" x="2307"/>
        <item m="1" x="1252"/>
        <item m="1" x="2927"/>
        <item m="1" x="2368"/>
        <item m="1" x="2449"/>
        <item m="1" x="1883"/>
        <item m="1" x="4475"/>
        <item m="1" x="4303"/>
        <item m="1" x="3561"/>
        <item m="1" x="1444"/>
        <item m="1" x="2878"/>
        <item m="1" x="3021"/>
        <item m="1" x="3240"/>
        <item m="1" x="1888"/>
        <item m="1" x="3347"/>
        <item m="1" x="1809"/>
        <item m="1" x="2768"/>
        <item m="1" x="2733"/>
        <item m="1" x="4508"/>
        <item m="1" x="2971"/>
        <item m="1" x="2610"/>
        <item m="1" x="3114"/>
        <item m="1" x="2539"/>
        <item m="1" x="1819"/>
        <item m="1" x="3697"/>
        <item m="1" x="3408"/>
        <item m="1" x="3541"/>
        <item m="1" x="1122"/>
        <item m="1" x="2120"/>
        <item m="1" x="2035"/>
        <item m="1" x="3463"/>
        <item m="1" x="1198"/>
        <item m="1" x="3300"/>
        <item m="1" x="1487"/>
        <item m="1" x="2909"/>
        <item m="1" x="4534"/>
        <item m="1" x="1691"/>
        <item m="1" x="3712"/>
        <item m="1" x="2653"/>
        <item m="1" x="1303"/>
        <item m="1" x="2851"/>
        <item m="1" x="1788"/>
        <item m="1" x="2016"/>
        <item m="1" x="1936"/>
        <item m="1" x="2044"/>
        <item m="1" x="2864"/>
        <item m="1" x="3842"/>
        <item m="1" x="1539"/>
        <item m="1" x="3483"/>
        <item m="1" x="2264"/>
        <item m="1" x="2080"/>
        <item m="1" x="2965"/>
        <item m="1" x="4064"/>
        <item m="1" x="3496"/>
        <item m="1" x="4366"/>
        <item m="1" x="2309"/>
        <item m="1" x="3810"/>
        <item m="1" x="4201"/>
        <item m="1" x="2924"/>
        <item m="1" x="1780"/>
        <item m="1" x="4034"/>
        <item m="1" x="1254"/>
        <item m="1" x="2471"/>
        <item m="1" x="3440"/>
        <item m="1" x="2938"/>
        <item m="1" x="2211"/>
        <item m="1" x="3212"/>
        <item m="1" x="2171"/>
        <item m="1" x="3052"/>
        <item m="1" x="2338"/>
        <item m="1" x="1963"/>
        <item m="1" x="2053"/>
        <item m="1" x="2981"/>
        <item m="1" x="2455"/>
        <item m="1" x="2223"/>
        <item m="1" x="1415"/>
        <item m="1" x="3923"/>
        <item m="1" x="1982"/>
        <item m="1" x="4200"/>
        <item m="1" x="1935"/>
        <item m="1" x="3149"/>
        <item m="1" x="3454"/>
        <item m="1" x="4392"/>
        <item m="1" x="2816"/>
        <item m="1" x="3815"/>
        <item m="1" x="1822"/>
        <item m="1" x="3693"/>
        <item m="1" x="3786"/>
        <item m="1" x="4278"/>
        <item m="1" x="3332"/>
        <item m="1" x="2549"/>
        <item m="1" x="3739"/>
        <item m="1" x="3840"/>
        <item m="1" x="4363"/>
        <item m="1" x="2945"/>
        <item m="1" x="1470"/>
        <item m="1" x="3273"/>
        <item m="1" x="4467"/>
        <item m="1" x="1240"/>
        <item m="1" x="1983"/>
        <item m="1" x="2776"/>
        <item m="1" x="2752"/>
        <item m="1" x="2910"/>
        <item m="1" x="4488"/>
        <item m="1" x="1633"/>
        <item m="1" x="2413"/>
        <item m="1" x="3068"/>
        <item m="1" x="4145"/>
        <item m="1" x="2034"/>
        <item m="1" x="3792"/>
        <item m="1" x="3637"/>
        <item m="1" x="3929"/>
        <item m="1" x="1831"/>
        <item m="1" x="1453"/>
        <item m="1" x="1484"/>
        <item m="1" x="4233"/>
        <item m="1" x="1651"/>
        <item m="1" x="3609"/>
        <item m="1" x="3607"/>
        <item m="1" x="4440"/>
        <item m="1" x="2156"/>
        <item m="1" x="1625"/>
        <item m="1" x="3648"/>
        <item m="1" x="3159"/>
        <item m="1" x="3545"/>
        <item m="1" x="3297"/>
        <item m="1" x="4365"/>
        <item m="1" x="2614"/>
        <item m="1" x="2436"/>
        <item m="1" x="2489"/>
        <item m="1" x="3846"/>
        <item m="1" x="1161"/>
        <item m="1" x="1345"/>
        <item m="1" x="2520"/>
        <item m="1" x="1560"/>
        <item m="1" x="3363"/>
        <item m="1" x="2074"/>
        <item m="1" x="2601"/>
        <item m="1" x="4046"/>
        <item m="1" x="3579"/>
        <item m="1" x="1399"/>
        <item m="1" x="2432"/>
        <item m="1" x="3365"/>
        <item m="1" x="3640"/>
        <item m="1" x="3337"/>
        <item m="1" x="4166"/>
        <item m="1" x="1245"/>
        <item m="1" x="2960"/>
        <item m="1" x="3711"/>
        <item m="1" x="4281"/>
        <item m="1" x="4454"/>
        <item m="1" x="1815"/>
        <item m="1" x="3197"/>
        <item m="1" x="4232"/>
        <item m="1" x="2258"/>
        <item m="1" x="2394"/>
        <item m="1" x="2725"/>
        <item m="1" x="4220"/>
        <item m="1" x="1203"/>
        <item m="1" x="3908"/>
        <item m="1" x="2266"/>
        <item m="1" x="2399"/>
        <item m="1" x="3167"/>
        <item m="1" x="4152"/>
        <item m="1" x="2826"/>
        <item m="1" x="2889"/>
        <item m="1" x="2529"/>
        <item m="1" x="2238"/>
        <item m="1" x="2586"/>
        <item m="1" x="2930"/>
        <item m="1" x="1540"/>
        <item m="1" x="4460"/>
        <item m="1" x="1371"/>
        <item m="1" x="4305"/>
        <item m="1" x="1781"/>
        <item m="1" x="2335"/>
        <item m="1" x="3042"/>
        <item m="1" x="2547"/>
        <item m="1" x="2495"/>
        <item m="1" x="2088"/>
        <item m="1" x="1182"/>
        <item m="1" x="1508"/>
        <item m="1" x="3928"/>
        <item m="1" x="3456"/>
        <item m="1" x="1253"/>
        <item m="1" x="3213"/>
        <item m="1" x="3281"/>
        <item m="1" x="4325"/>
        <item m="1" x="2284"/>
        <item m="1" x="3083"/>
        <item m="1" x="3169"/>
        <item m="1" x="1588"/>
        <item m="1" x="4197"/>
        <item m="1" x="2727"/>
        <item m="1" x="2985"/>
        <item m="1" x="1682"/>
        <item m="1" x="3152"/>
        <item m="1" x="3510"/>
        <item m="1" x="3080"/>
        <item m="1" x="3644"/>
        <item m="1" x="1527"/>
        <item m="1" x="3652"/>
        <item m="1" x="4360"/>
        <item m="1" x="1899"/>
        <item m="1" x="3255"/>
        <item m="1" x="2112"/>
        <item m="1" x="4169"/>
        <item m="1" x="1763"/>
        <item m="1" x="4258"/>
        <item m="1" x="3160"/>
        <item m="1" x="3011"/>
        <item m="1" x="2988"/>
        <item m="1" x="3488"/>
        <item m="1" x="1996"/>
        <item m="1" x="2797"/>
        <item m="1" x="2674"/>
        <item m="1" x="2344"/>
        <item m="1" x="1196"/>
        <item m="1" x="2094"/>
        <item m="1" x="1523"/>
        <item m="1" x="4483"/>
        <item m="1" x="3308"/>
        <item m="1" x="4304"/>
        <item m="1" x="2014"/>
        <item m="1" x="1181"/>
        <item m="1" x="1424"/>
        <item m="1" x="4184"/>
        <item m="1" x="1689"/>
        <item m="1" x="4531"/>
        <item m="1" x="3933"/>
        <item m="1" x="1717"/>
        <item m="1" x="2109"/>
        <item m="1" x="3355"/>
        <item m="1" x="3472"/>
        <item m="1" x="3493"/>
        <item m="1" x="3574"/>
        <item m="1" x="2299"/>
        <item m="1" x="2453"/>
        <item m="1" x="3132"/>
        <item m="1" x="4412"/>
        <item m="1" x="2835"/>
        <item m="1" x="2944"/>
        <item m="1" x="1910"/>
        <item m="1" x="4328"/>
        <item m="1" x="2738"/>
        <item m="1" x="2246"/>
        <item m="1" x="3548"/>
        <item m="1" x="4452"/>
        <item m="1" x="4407"/>
        <item m="1" x="2076"/>
        <item m="1" x="1798"/>
        <item m="1" x="1379"/>
        <item m="1" x="3154"/>
        <item m="1" x="4495"/>
        <item m="1" x="1973"/>
        <item m="1" x="1144"/>
        <item m="1" x="1880"/>
        <item m="1" x="1537"/>
        <item m="1" x="1694"/>
        <item m="1" x="2706"/>
        <item m="1" x="4261"/>
        <item m="1" x="3164"/>
        <item m="1" x="3275"/>
        <item m="1" x="1942"/>
        <item m="1" x="2210"/>
        <item m="1" x="1341"/>
        <item m="1" x="3796"/>
        <item m="1" x="3028"/>
        <item m="1" x="3919"/>
        <item m="1" x="3690"/>
        <item m="1" x="1679"/>
        <item m="1" x="2316"/>
        <item m="1" x="3828"/>
        <item m="1" x="1970"/>
        <item m="1" x="1139"/>
        <item m="1" x="3553"/>
        <item m="1" x="3622"/>
        <item m="1" x="3122"/>
        <item m="1" x="3261"/>
        <item m="1" x="2578"/>
        <item m="1" x="3301"/>
        <item m="1" x="1644"/>
        <item m="1" x="2873"/>
        <item m="1" x="3157"/>
        <item m="1" x="1554"/>
        <item m="1" x="2854"/>
        <item m="1" x="2778"/>
        <item m="1" x="2428"/>
        <item m="1" x="3917"/>
        <item m="1" x="1360"/>
        <item m="1" x="3576"/>
        <item m="1" x="2786"/>
        <item m="1" x="2140"/>
        <item m="1" x="3661"/>
        <item m="1" x="2172"/>
        <item m="1" x="2183"/>
        <item m="1" x="3150"/>
        <item m="1" x="2105"/>
        <item m="1" x="1147"/>
        <item m="1" x="3051"/>
        <item m="1" x="3820"/>
        <item m="1" x="2746"/>
        <item m="1" x="2728"/>
        <item m="1" x="4154"/>
        <item m="1" x="1705"/>
        <item m="1" x="1447"/>
        <item m="1" x="2315"/>
        <item m="1" x="1532"/>
        <item m="1" x="1718"/>
        <item m="1" x="3801"/>
        <item m="1" x="3902"/>
        <item m="1" x="4153"/>
        <item m="1" x="1676"/>
        <item m="1" x="2355"/>
        <item m="1" x="2026"/>
        <item m="1" x="2081"/>
        <item m="1" x="3259"/>
        <item m="1" x="4098"/>
        <item m="1" x="3733"/>
        <item m="1" x="2247"/>
        <item m="1" x="1442"/>
        <item m="1" x="1696"/>
        <item m="1" x="3630"/>
        <item m="1" x="1745"/>
        <item m="1" x="3130"/>
        <item m="1" x="2441"/>
        <item m="1" x="2885"/>
        <item m="1" x="2349"/>
        <item m="1" x="2528"/>
        <item m="1" x="2148"/>
        <item m="1" x="4266"/>
        <item m="1" x="1944"/>
        <item m="1" x="4265"/>
        <item m="1" x="3473"/>
        <item m="1" x="3372"/>
        <item m="1" x="1516"/>
        <item m="1" x="2372"/>
        <item m="1" x="4238"/>
        <item m="1" x="2313"/>
        <item m="1" x="1984"/>
        <item m="1" x="3182"/>
        <item m="1" x="1579"/>
        <item m="1" x="4453"/>
        <item m="1" x="4245"/>
        <item m="1" x="3209"/>
        <item m="1" x="4002"/>
        <item m="1" x="3415"/>
        <item m="1" x="1176"/>
        <item m="1" x="4053"/>
        <item m="1" x="3600"/>
        <item m="1" x="1598"/>
        <item m="1" x="4159"/>
        <item m="1" x="4084"/>
        <item m="1" x="4445"/>
        <item m="1" x="4276"/>
        <item m="1" x="1437"/>
        <item m="1" x="4299"/>
        <item m="1" x="1618"/>
        <item m="1" x="1986"/>
        <item m="1" x="4164"/>
        <item m="1" x="2300"/>
        <item m="1" x="1348"/>
        <item m="1" x="2593"/>
        <item m="1" x="4165"/>
        <item m="1" x="1285"/>
        <item m="1" x="2008"/>
        <item m="1" x="3590"/>
        <item m="1" x="3243"/>
        <item m="1" x="1605"/>
        <item m="1" x="3299"/>
        <item m="1" x="2535"/>
        <item m="1" x="4157"/>
        <item m="1" x="2198"/>
        <item m="1" x="3126"/>
        <item m="1" x="1251"/>
        <item m="1" x="1109"/>
        <item m="1" x="4395"/>
        <item m="1" x="4120"/>
        <item m="1" x="1411"/>
        <item m="1" x="2202"/>
        <item m="1" x="1773"/>
        <item m="1" x="1829"/>
        <item m="1" x="1229"/>
        <item m="1" x="2789"/>
        <item m="1" x="4272"/>
        <item m="1" x="2220"/>
        <item m="1" x="2042"/>
        <item m="1" x="2756"/>
        <item m="1" x="3962"/>
        <item m="1" x="3773"/>
        <item m="1" x="3279"/>
        <item m="1" x="4287"/>
        <item m="1" x="3047"/>
        <item m="1" x="2155"/>
        <item m="1" x="1110"/>
        <item m="1" x="3812"/>
        <item m="1" x="3285"/>
        <item m="1" x="1214"/>
        <item m="1" x="2484"/>
        <item m="1" x="2145"/>
        <item m="1" x="2737"/>
        <item m="1" x="4016"/>
        <item m="1" x="4033"/>
        <item m="1" x="1693"/>
        <item m="1" x="4371"/>
        <item m="1" x="2777"/>
        <item m="1" x="3043"/>
        <item m="1" x="2452"/>
        <item m="1" x="1286"/>
        <item m="1" x="1114"/>
        <item m="1" x="1849"/>
        <item m="1" x="4292"/>
        <item m="1" x="3731"/>
        <item m="1" x="2447"/>
        <item m="1" x="1868"/>
        <item m="1" x="3499"/>
        <item m="1" x="2331"/>
        <item m="1" x="3745"/>
        <item m="1" x="4382"/>
        <item m="1" x="1699"/>
        <item m="1" x="2402"/>
        <item m="1" x="4402"/>
        <item m="1" x="4210"/>
        <item m="1" x="3887"/>
        <item m="1" x="2030"/>
        <item m="1" x="2581"/>
        <item m="1" x="2856"/>
        <item m="1" x="2362"/>
        <item m="1" x="1488"/>
        <item m="1" x="3970"/>
        <item m="1" x="2381"/>
        <item m="1" x="1430"/>
        <item m="1" x="1795"/>
        <item m="1" x="2916"/>
        <item m="1" x="3081"/>
        <item m="1" x="2850"/>
        <item m="1" x="3092"/>
        <item m="1" x="3117"/>
        <item m="1" x="1977"/>
        <item m="1" x="1792"/>
        <item m="1" x="3058"/>
        <item m="1" x="4429"/>
        <item m="1" x="2414"/>
        <item m="1" x="2204"/>
        <item m="1" x="3662"/>
        <item m="1" x="1599"/>
        <item m="1" x="2411"/>
        <item m="1" x="1434"/>
        <item m="1" x="3843"/>
        <item m="1" x="1702"/>
        <item m="1" x="3048"/>
        <item m="1" x="1953"/>
        <item m="1" x="3616"/>
        <item m="1" x="4219"/>
        <item m="1" x="3476"/>
        <item m="1" x="2102"/>
        <item m="1" x="2017"/>
        <item m="1" x="2689"/>
        <item m="1" x="4022"/>
        <item m="1" x="2898"/>
        <item m="1" x="2405"/>
        <item m="1" x="3287"/>
        <item m="1" x="2448"/>
        <item m="1" x="2360"/>
        <item m="1" x="1535"/>
        <item m="1" x="1990"/>
        <item m="1" x="3653"/>
        <item m="1" x="3752"/>
        <item m="1" x="2417"/>
        <item m="1" x="1700"/>
        <item m="1" x="2049"/>
        <item m="1" x="1466"/>
        <item m="1" x="1758"/>
        <item m="1" x="2852"/>
        <item m="1" x="4307"/>
        <item m="1" x="2420"/>
        <item m="1" x="3992"/>
        <item m="1" x="2170"/>
        <item m="1" x="4444"/>
        <item m="1" x="3876"/>
        <item m="1" x="3014"/>
        <item m="1" x="1869"/>
        <item m="1" x="1368"/>
        <item m="1" x="3941"/>
        <item m="1" x="1387"/>
        <item m="1" x="4486"/>
        <item m="1" x="1299"/>
        <item m="1" x="4149"/>
        <item m="1" x="4446"/>
        <item m="1" x="2886"/>
        <item m="1" x="2228"/>
        <item m="1" x="1804"/>
        <item m="1" x="2648"/>
        <item m="1" x="4327"/>
        <item m="1" x="1641"/>
        <item m="1" x="2696"/>
        <item m="1" x="3555"/>
        <item m="1" x="1546"/>
        <item m="1" x="1312"/>
        <item m="1" x="2149"/>
        <item m="1" x="1946"/>
        <item m="1" x="3288"/>
        <item m="1" x="3133"/>
        <item m="1" x="1145"/>
        <item m="1" x="4319"/>
        <item m="1" x="4385"/>
        <item m="1" x="4492"/>
        <item m="1" x="4061"/>
        <item m="1" x="1300"/>
        <item m="1" x="4222"/>
        <item m="1" x="3519"/>
        <item m="1" x="3621"/>
        <item m="1" x="1603"/>
        <item m="1" x="3190"/>
        <item m="1" x="3141"/>
        <item m="1" x="3785"/>
        <item m="1" x="4308"/>
        <item m="1" x="2485"/>
        <item m="1" x="4130"/>
        <item m="1" x="3757"/>
        <item m="1" x="3359"/>
        <item m="1" x="2054"/>
        <item m="1" x="1826"/>
        <item m="1" x="1894"/>
        <item m="1" x="3677"/>
        <item m="1" x="2881"/>
        <item m="1" x="3724"/>
        <item m="1" x="3194"/>
        <item m="1" x="4212"/>
        <item m="1" x="3647"/>
        <item m="1" x="2974"/>
        <item m="1" x="1397"/>
        <item m="1" x="4323"/>
        <item m="1" x="2356"/>
        <item m="1" x="3035"/>
        <item m="1" x="3689"/>
        <item m="1" x="2351"/>
        <item m="1" x="3719"/>
        <item m="1" x="2115"/>
        <item m="1" x="2135"/>
        <item m="1" x="2479"/>
        <item m="1" x="1365"/>
        <item m="1" x="3701"/>
        <item m="1" x="1346"/>
        <item m="1" x="1230"/>
        <item m="1" x="3803"/>
        <item m="1" x="1130"/>
        <item m="1" x="1468"/>
        <item m="1" x="3995"/>
        <item m="1" x="4330"/>
        <item m="1" x="1157"/>
        <item m="1" x="1502"/>
        <item m="1" x="1817"/>
        <item m="1" x="2679"/>
        <item m="1" x="4380"/>
        <item m="1" x="2599"/>
        <item m="1" x="4423"/>
        <item m="1" x="1337"/>
        <item m="1" x="3269"/>
        <item m="1" x="2005"/>
        <item m="1" x="4008"/>
        <item m="1" x="3939"/>
        <item m="1" x="1612"/>
        <item m="1" x="3669"/>
        <item m="1" x="1713"/>
        <item m="1" x="4279"/>
        <item m="1" x="2137"/>
        <item m="1" x="4422"/>
        <item m="1" x="2348"/>
        <item m="1" x="4293"/>
        <item m="1" x="2424"/>
        <item m="1" x="1528"/>
        <item m="1" x="3633"/>
        <item m="1" x="4375"/>
        <item m="1" x="1632"/>
        <item m="1" x="2379"/>
        <item m="1" x="3235"/>
        <item m="1" x="2153"/>
        <item m="1" x="3398"/>
        <item m="1" x="4418"/>
        <item m="1" x="2337"/>
        <item m="1" x="3022"/>
        <item m="1" x="4180"/>
        <item m="1" x="2769"/>
        <item m="1" x="4172"/>
        <item m="1" x="2119"/>
        <item m="1" x="3891"/>
        <item m="1" x="4411"/>
        <item m="1" x="3262"/>
        <item m="1" x="3899"/>
        <item m="1" x="2969"/>
        <item m="1" x="3578"/>
        <item m="1" x="2982"/>
        <item m="1" x="1673"/>
        <item m="1" x="3234"/>
        <item m="1" x="2832"/>
        <item m="1" x="3642"/>
        <item m="1" x="4259"/>
        <item m="1" x="2066"/>
        <item m="1" x="4415"/>
        <item m="1" x="2815"/>
        <item m="1" x="1380"/>
        <item m="1" x="1160"/>
        <item m="1" x="1838"/>
        <item m="1" x="2908"/>
        <item m="1" x="1922"/>
        <item m="1" x="1175"/>
        <item m="1" x="3296"/>
        <item m="1" x="3937"/>
        <item m="1" x="3376"/>
        <item m="1" x="1674"/>
        <item m="1" x="3631"/>
        <item m="1" x="1776"/>
        <item m="1" x="2936"/>
        <item m="1" x="3063"/>
        <item m="1" x="2767"/>
        <item m="1" x="2572"/>
        <item m="1" x="1747"/>
        <item m="1" x="3314"/>
        <item m="1" x="1905"/>
        <item m="1" x="2823"/>
        <item m="1" x="1486"/>
        <item m="1" x="2758"/>
        <item m="1" x="1164"/>
        <item m="1" x="2032"/>
        <item m="1" x="1268"/>
        <item m="1" x="2589"/>
        <item m="1" x="1450"/>
        <item m="1" x="1340"/>
        <item m="1" x="3681"/>
        <item m="1" x="3879"/>
        <item m="1" x="2177"/>
        <item m="1" x="2298"/>
        <item m="1" x="4358"/>
        <item m="1" x="3729"/>
        <item m="1" x="1818"/>
        <item m="1" x="2185"/>
        <item m="1" x="3217"/>
        <item m="1" x="1799"/>
        <item m="1" x="2294"/>
        <item m="1" x="1125"/>
        <item m="1" x="2519"/>
        <item m="1" x="2643"/>
        <item m="1" x="2587"/>
        <item m="1" x="2779"/>
        <item m="1" x="2160"/>
        <item m="1" x="2409"/>
        <item m="1" x="3202"/>
        <item m="1" x="2577"/>
        <item m="1" x="2966"/>
        <item m="1" x="2163"/>
        <item m="1" x="2504"/>
        <item m="1" x="1256"/>
        <item m="1" x="3525"/>
        <item m="1" x="3375"/>
        <item m="1" x="3856"/>
        <item m="1" x="2794"/>
        <item m="1" x="4264"/>
        <item m="1" x="1436"/>
        <item m="1" x="1349"/>
        <item m="1" x="2498"/>
        <item m="1" x="4007"/>
        <item m="1" x="2715"/>
        <item m="1" x="2630"/>
        <item m="1" x="4500"/>
        <item m="1" x="1426"/>
        <item m="1" x="1833"/>
        <item m="1" x="2926"/>
        <item m="1" x="2270"/>
        <item m="1" x="1501"/>
        <item m="1" x="3325"/>
        <item m="1" x="3131"/>
        <item m="1" x="3013"/>
        <item m="1" x="1150"/>
        <item m="1" x="3930"/>
        <item m="1" x="2600"/>
        <item m="1" x="2425"/>
        <item m="1" x="4512"/>
        <item m="1" x="4290"/>
        <item m="1" x="3710"/>
        <item m="1" x="3777"/>
        <item m="1" x="2592"/>
        <item m="1" x="1985"/>
        <item m="1" x="4036"/>
        <item m="1" x="3086"/>
        <item m="1" x="3845"/>
        <item m="1" x="4050"/>
        <item m="1" x="4009"/>
        <item m="1" x="2404"/>
        <item m="1" x="2973"/>
        <item m="1" x="2857"/>
        <item m="1" x="3004"/>
        <item m="1" x="3573"/>
        <item m="1" x="3969"/>
        <item m="1" x="3054"/>
        <item m="1" x="2341"/>
        <item m="1" x="3702"/>
        <item m="1" x="1409"/>
        <item m="1" x="1104"/>
        <item m="1" x="2310"/>
        <item m="1" x="4107"/>
        <item m="1" x="3485"/>
        <item m="1" x="2023"/>
        <item m="1" x="2018"/>
        <item m="1" x="3227"/>
        <item m="1" x="3433"/>
        <item m="1" x="3075"/>
        <item m="1" x="4401"/>
        <item m="1" x="3955"/>
        <item m="1" x="1344"/>
        <item m="1" x="1136"/>
        <item m="1" x="2649"/>
        <item m="1" x="2525"/>
        <item m="1" x="1439"/>
        <item m="1" x="3210"/>
        <item m="1" x="3684"/>
        <item m="1" x="4052"/>
        <item m="1" x="2977"/>
        <item m="1" x="1108"/>
        <item m="1" x="2847"/>
        <item m="1" x="1261"/>
        <item m="1" x="2422"/>
        <item m="1" x="4274"/>
        <item m="1" x="1687"/>
        <item m="1" x="1529"/>
        <item m="1" x="1189"/>
        <item m="1" x="2716"/>
        <item m="1" x="1227"/>
        <item m="1" x="2067"/>
        <item m="1" x="2281"/>
        <item m="1" x="4359"/>
        <item m="1" x="4396"/>
        <item m="1" x="2638"/>
        <item m="1" x="1793"/>
        <item m="1" x="2602"/>
        <item m="1" x="3207"/>
        <item m="1" x="1219"/>
        <item m="1" x="2750"/>
        <item m="1" x="3412"/>
        <item m="1" x="3338"/>
        <item m="1" x="2412"/>
        <item m="1" x="2364"/>
        <item m="1" x="1155"/>
        <item m="1" x="1191"/>
        <item m="1" x="1860"/>
        <item m="1" x="2429"/>
        <item m="1" x="3101"/>
        <item m="1" x="2562"/>
        <item m="1" x="3230"/>
        <item m="1" x="2481"/>
        <item m="1" x="2393"/>
        <item m="1" x="3988"/>
        <item m="1" x="2962"/>
        <item m="1" x="2378"/>
        <item m="1" x="2391"/>
        <item m="1" x="3377"/>
        <item m="1" x="2288"/>
        <item m="1" x="2020"/>
        <item m="1" x="3587"/>
        <item m="1" x="3687"/>
        <item m="1" x="2719"/>
        <item m="1" x="1226"/>
        <item m="1" x="2588"/>
        <item m="1" x="3384"/>
        <item m="1" x="3322"/>
        <item m="1" x="2958"/>
        <item m="1" x="1383"/>
        <item m="1" x="1524"/>
        <item m="1" x="4506"/>
        <item m="1" x="2705"/>
        <item m="1" x="2085"/>
        <item m="1" x="3339"/>
        <item m="1" x="3505"/>
        <item m="1" x="3237"/>
        <item m="1" x="2289"/>
        <item m="1" x="3762"/>
        <item m="1" x="2625"/>
        <item m="1" x="2773"/>
        <item m="1" x="1877"/>
        <item m="1" x="4523"/>
        <item m="1" x="3170"/>
        <item m="1" x="4134"/>
        <item m="1" x="2952"/>
        <item m="1" x="4059"/>
        <item m="1" x="4408"/>
        <item m="1" x="2639"/>
        <item m="1" x="3958"/>
        <item m="1" x="2783"/>
        <item m="1" x="2957"/>
        <item m="1" x="3429"/>
        <item m="1" x="2976"/>
        <item m="1" x="4237"/>
        <item m="1" x="2496"/>
        <item m="1" x="1520"/>
        <item m="1" x="3431"/>
        <item m="1" x="3865"/>
        <item m="1" x="2086"/>
        <item m="1" x="2191"/>
        <item m="1" x="2476"/>
        <item m="1" x="4372"/>
        <item m="1" x="2691"/>
        <item m="1" x="3528"/>
        <item m="1" x="3671"/>
        <item m="1" x="2130"/>
        <item m="1" x="3556"/>
        <item m="1" x="1997"/>
        <item m="1" x="4364"/>
        <item m="1" x="2521"/>
        <item m="1" x="3306"/>
        <item m="1" x="3425"/>
        <item m="1" x="1173"/>
        <item m="1" x="2766"/>
        <item m="1" x="2318"/>
        <item m="1" x="1494"/>
        <item m="1" x="1172"/>
        <item m="1" x="1313"/>
        <item m="1" x="2438"/>
        <item m="1" x="1610"/>
        <item m="1" x="4010"/>
        <item m="1" x="1551"/>
        <item m="1" x="1847"/>
        <item m="1" x="3770"/>
        <item m="1" x="1506"/>
        <item m="1" x="3747"/>
        <item m="1" x="2451"/>
        <item m="1" x="1481"/>
        <item m="1" x="1238"/>
        <item m="1" x="4124"/>
        <item m="1" x="1714"/>
        <item m="1" x="1476"/>
        <item m="1" x="3645"/>
        <item m="1" x="3468"/>
        <item m="1" x="4047"/>
        <item m="1" x="1830"/>
        <item m="1" x="2003"/>
        <item m="1" x="2780"/>
        <item m="1" x="3628"/>
        <item m="1" x="1491"/>
        <item m="1" x="2618"/>
        <item m="1" x="1846"/>
        <item m="1" x="3568"/>
        <item m="1" x="1171"/>
        <item m="1" x="4143"/>
        <item m="1" x="4213"/>
        <item m="1" x="2594"/>
        <item m="1" x="3435"/>
        <item m="1" x="1177"/>
        <item m="1" x="3441"/>
        <item m="1" x="1428"/>
        <item m="1" x="1908"/>
        <item m="1" x="3922"/>
        <item m="1" x="4023"/>
        <item m="1" x="3108"/>
        <item m="1" x="3914"/>
        <item m="1" x="3015"/>
        <item m="1" x="3112"/>
        <item m="1" x="3095"/>
        <item m="1" x="1398"/>
        <item m="1" x="3767"/>
        <item m="1" x="3552"/>
        <item m="1" x="2174"/>
        <item m="1" x="2328"/>
        <item m="1" x="3566"/>
        <item m="1" x="4099"/>
        <item m="1" x="3503"/>
        <item m="1" x="3484"/>
        <item m="1" x="4311"/>
        <item m="1" x="1262"/>
        <item m="1" x="1590"/>
        <item m="1" x="3457"/>
        <item m="1" x="3620"/>
        <item m="1" x="4017"/>
        <item m="1" x="1410"/>
        <item m="1" x="3352"/>
        <item m="1" x="1926"/>
        <item m="1" x="3605"/>
        <item m="1" x="3311"/>
        <item m="1" x="2002"/>
        <item m="1" x="3350"/>
        <item m="1" x="3349"/>
        <item m="1" x="1857"/>
        <item m="1" x="1545"/>
        <item m="1" x="1937"/>
        <item m="1" x="2255"/>
        <item m="1" x="2482"/>
        <item m="1" x="1602"/>
        <item m="1" x="3020"/>
        <item m="1" x="4314"/>
        <item m="1" x="2317"/>
        <item m="1" x="2841"/>
        <item m="1" x="1956"/>
        <item m="1" x="1646"/>
        <item m="1" x="2087"/>
        <item m="1" x="1901"/>
        <item m="1" x="1892"/>
        <item m="1" x="2695"/>
        <item m="1" x="3691"/>
        <item m="1" x="3583"/>
        <item m="1" x="2197"/>
        <item m="1" x="4192"/>
        <item m="1" x="1685"/>
        <item m="1" x="3076"/>
        <item m="1" x="1277"/>
        <item m="1" x="3665"/>
        <item m="1" x="4271"/>
        <item m="1" x="3972"/>
        <item m="1" x="2216"/>
        <item m="1" x="3001"/>
        <item m="1" x="3831"/>
        <item m="1" x="2892"/>
        <item m="1" x="3977"/>
        <item m="1" x="1329"/>
        <item m="1" x="1258"/>
        <item m="1" x="1861"/>
        <item m="1" x="3430"/>
        <item m="1" x="2947"/>
        <item m="1" x="3890"/>
        <item m="1" x="1563"/>
        <item m="1" x="2583"/>
        <item m="1" x="3980"/>
        <item m="1" x="2151"/>
        <item m="1" x="2203"/>
        <item m="1" x="4450"/>
        <item m="1" x="3953"/>
        <item m="1" x="3123"/>
        <item m="1" x="1772"/>
        <item m="1" x="3168"/>
        <item m="1" x="4316"/>
        <item m="1" x="3245"/>
        <item m="1" x="1200"/>
        <item m="1" x="3918"/>
        <item m="1" x="2911"/>
        <item m="1" x="3106"/>
        <item m="1" x="1458"/>
        <item m="1" x="1413"/>
        <item m="1" x="1721"/>
        <item m="1" x="3113"/>
        <item m="1" x="2488"/>
        <item m="1" x="3357"/>
        <item m="1" x="3993"/>
        <item m="1" x="2473"/>
        <item m="1" x="2620"/>
        <item m="1" x="2057"/>
        <item m="1" x="1421"/>
        <item m="1" x="1835"/>
        <item m="1" x="2991"/>
        <item m="1" x="2858"/>
        <item m="1" x="2004"/>
        <item m="1" x="4018"/>
        <item m="1" x="2686"/>
        <item m="1" x="2133"/>
        <item m="1" x="4459"/>
        <item m="1" x="2189"/>
        <item m="1" x="1594"/>
        <item m="1" x="3728"/>
        <item m="1" x="2187"/>
        <item m="1" x="3857"/>
        <item m="1" x="1886"/>
        <item m="1" x="1624"/>
        <item m="1" x="3673"/>
        <item m="1" x="1370"/>
        <item m="1" x="4275"/>
        <item m="1" x="1726"/>
        <item m="1" x="4104"/>
        <item m="1" x="1744"/>
        <item m="1" x="3266"/>
        <item m="1" x="3776"/>
        <item m="1" x="1672"/>
        <item m="1" x="3821"/>
        <item m="1" x="3436"/>
        <item m="1" x="1222"/>
        <item m="1" x="3459"/>
        <item m="1" x="2090"/>
        <item m="1" x="3999"/>
        <item m="1" x="1735"/>
        <item m="1" x="1890"/>
        <item m="1" x="2184"/>
        <item m="1" x="1243"/>
        <item m="1" x="3888"/>
        <item m="1" x="3952"/>
        <item m="1" x="3638"/>
        <item m="1" x="3417"/>
        <item m="1" x="2469"/>
        <item m="1" x="1911"/>
        <item m="1" x="2103"/>
        <item m="1" x="2915"/>
        <item m="1" x="1553"/>
        <item m="1" x="2713"/>
        <item m="1" x="3044"/>
        <item m="1" x="2970"/>
        <item m="1" x="2078"/>
        <item m="1" x="3795"/>
        <item m="1" x="2680"/>
        <item m="1" x="2579"/>
        <item m="1" x="3125"/>
        <item m="1" x="1248"/>
        <item m="1" x="3419"/>
        <item m="1" x="1395"/>
        <item m="1" x="4171"/>
        <item m="1" x="3809"/>
        <item m="1" x="1449"/>
        <item m="1" x="2517"/>
        <item m="1" x="3045"/>
        <item m="1" x="4150"/>
        <item m="1" x="4110"/>
        <item m="1" x="3319"/>
        <item m="1" x="2033"/>
        <item m="1" x="3909"/>
        <item m="1" x="1372"/>
        <item m="1" x="1662"/>
        <item m="1" x="1274"/>
        <item m="1" x="3544"/>
        <item m="1" x="2322"/>
        <item m="1" x="1317"/>
        <item m="1" x="4434"/>
        <item m="1" x="3737"/>
        <item m="1" x="2923"/>
        <item m="1" x="1842"/>
        <item m="1" x="1103"/>
        <item m="1" x="3326"/>
        <item m="1" x="2646"/>
        <item m="1" x="1876"/>
        <item m="1" x="3567"/>
        <item m="1" x="1133"/>
        <item m="1" x="2871"/>
        <item m="1" x="4119"/>
        <item m="1" x="4135"/>
        <item m="1" x="1294"/>
        <item m="1" x="1608"/>
        <item m="1" x="4109"/>
        <item m="1" x="2753"/>
        <item m="1" x="4113"/>
        <item m="1" x="2214"/>
        <item m="1" x="2370"/>
        <item m="1" x="4294"/>
        <item m="1" x="1666"/>
        <item m="1" x="2712"/>
        <item m="1" x="1707"/>
        <item m="1" x="2724"/>
        <item m="1" x="1728"/>
        <item m="1" x="3886"/>
        <item m="1" x="3761"/>
        <item m="1" x="3852"/>
        <item m="1" x="1786"/>
        <item m="1" x="3231"/>
        <item m="1" x="3272"/>
        <item m="1" x="2688"/>
        <item m="1" x="3680"/>
        <item m="1" x="2647"/>
        <item m="1" x="4426"/>
        <item m="1" x="4485"/>
        <item m="1" x="3344"/>
        <item m="1" x="1142"/>
        <item m="1" x="2849"/>
        <item m="1" x="3885"/>
        <item m="1" x="4089"/>
        <item m="1" x="4196"/>
        <item m="1" x="2373"/>
        <item m="1" x="3872"/>
        <item m="1" x="3615"/>
        <item m="1" x="4456"/>
        <item m="1" x="2812"/>
        <item m="1" x="2179"/>
        <item m="1" x="1199"/>
        <item m="1" x="3841"/>
        <item m="1" x="2937"/>
        <item m="1" x="2070"/>
        <item m="1" x="1664"/>
        <item m="1" x="3348"/>
        <item m="1" x="2802"/>
        <item m="1" x="1836"/>
        <item m="1" x="1362"/>
        <item m="1" x="3260"/>
        <item m="1" x="3175"/>
        <item m="1" x="3161"/>
        <item m="1" x="4013"/>
        <item m="1" x="1217"/>
        <item m="1" x="1184"/>
        <item m="1" x="1438"/>
        <item m="1" x="4431"/>
        <item m="1" x="4324"/>
        <item m="1" x="3957"/>
        <item m="1" x="3137"/>
        <item m="1" x="2012"/>
        <item m="1" x="2001"/>
        <item m="1" x="4286"/>
        <item m="1" x="1975"/>
        <item m="1" x="3663"/>
        <item m="1" x="2278"/>
        <item m="1" x="2668"/>
        <item m="1" x="2180"/>
        <item m="1" x="3241"/>
        <item m="1" x="4345"/>
        <item m="1" x="3461"/>
        <item m="1" x="4158"/>
        <item m="1" x="1891"/>
        <item m="1" x="1366"/>
        <item m="1" x="4342"/>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s>
    </pivotField>
    <pivotField dataField="1" compact="0" outline="0" showAll="0" defaultSubtotal="0">
      <items count="4965">
        <item m="1" x="2034"/>
        <item m="1" x="2533"/>
        <item m="1" x="1819"/>
        <item m="1" x="4823"/>
        <item m="1" x="4486"/>
        <item m="1" x="3395"/>
        <item m="1" x="4569"/>
        <item m="1" x="1722"/>
        <item m="1" x="4958"/>
        <item m="1" x="4285"/>
        <item m="1" x="4407"/>
        <item m="1" x="3702"/>
        <item m="1" x="1880"/>
        <item m="1" x="1729"/>
        <item m="1" x="1591"/>
        <item m="1" x="4777"/>
        <item m="1" x="2809"/>
        <item m="1" x="3171"/>
        <item m="1" x="2832"/>
        <item m="1" x="263"/>
        <item m="1" x="3932"/>
        <item m="1" x="4544"/>
        <item m="1" x="3430"/>
        <item m="1" x="4791"/>
        <item m="1" x="3778"/>
        <item m="1" x="2005"/>
        <item m="1" x="2890"/>
        <item m="1" x="3125"/>
        <item m="1" x="2607"/>
        <item m="1" x="1582"/>
        <item m="1" x="3362"/>
        <item m="1" x="259"/>
        <item m="1" x="1633"/>
        <item m="1" x="4558"/>
        <item m="1" x="262"/>
        <item m="1" x="2386"/>
        <item m="1" x="4115"/>
        <item m="1" x="3861"/>
        <item m="1" x="1930"/>
        <item m="1" x="3415"/>
        <item m="1" x="3168"/>
        <item m="1" x="2304"/>
        <item m="1" x="3212"/>
        <item m="1" x="3384"/>
        <item m="1" x="4353"/>
        <item m="1" x="2731"/>
        <item m="1" x="3819"/>
        <item m="1" x="3795"/>
        <item m="1" x="4309"/>
        <item m="1" x="1226"/>
        <item m="1" x="2465"/>
        <item m="1" x="2856"/>
        <item m="1" x="2213"/>
        <item m="1" x="4847"/>
        <item m="1" x="4896"/>
        <item m="1" x="3550"/>
        <item m="1" x="2864"/>
        <item m="1" x="3933"/>
        <item m="1" x="1811"/>
        <item m="1" x="3866"/>
        <item m="1" x="3454"/>
        <item m="1" x="3498"/>
        <item m="1" x="2204"/>
        <item m="1" x="2063"/>
        <item m="1" x="2967"/>
        <item m="1" x="3808"/>
        <item m="1" x="1784"/>
        <item m="1" x="261"/>
        <item m="1" x="2652"/>
        <item m="1" x="1359"/>
        <item m="1" x="4001"/>
        <item m="1" x="2102"/>
        <item m="1" x="4689"/>
        <item m="1" x="1317"/>
        <item m="1" x="4031"/>
        <item m="1" x="4696"/>
        <item m="1" x="4225"/>
        <item m="1" x="3967"/>
        <item m="1" x="3640"/>
        <item m="1" x="3366"/>
        <item m="1" x="4485"/>
        <item m="1" x="4839"/>
        <item m="1" x="4813"/>
        <item m="1" x="3626"/>
        <item m="1" x="2332"/>
        <item m="1" x="1430"/>
        <item m="1" x="2616"/>
        <item m="1" x="3024"/>
        <item m="1" x="2724"/>
        <item m="1" x="1453"/>
        <item m="1" x="4783"/>
        <item m="1" x="2122"/>
        <item m="1" x="1342"/>
        <item m="1" x="1583"/>
        <item m="1" x="3074"/>
        <item m="1" x="2776"/>
        <item m="1" x="3660"/>
        <item m="1" x="2436"/>
        <item m="1" x="1786"/>
        <item m="1" x="4748"/>
        <item m="1" x="3954"/>
        <item m="1" x="2278"/>
        <item m="1" x="4922"/>
        <item m="1" x="1888"/>
        <item m="1" x="2378"/>
        <item m="1" x="4563"/>
        <item m="1" x="4526"/>
        <item m="1" x="4469"/>
        <item m="1" x="4448"/>
        <item m="1" x="4871"/>
        <item m="1" x="2282"/>
        <item m="1" x="4161"/>
        <item m="1" x="3973"/>
        <item m="1" x="1529"/>
        <item m="1" x="3924"/>
        <item m="1" x="2046"/>
        <item m="1" x="1634"/>
        <item m="1" x="4005"/>
        <item m="1" x="2022"/>
        <item m="1" x="4926"/>
        <item m="1" x="4883"/>
        <item m="1" x="3828"/>
        <item m="1" x="4335"/>
        <item m="1" x="2696"/>
        <item m="1" x="4914"/>
        <item m="1" x="3917"/>
        <item m="1" x="1564"/>
        <item m="1" x="1229"/>
        <item m="1" x="3174"/>
        <item m="1" x="2407"/>
        <item m="1" x="4723"/>
        <item m="1" x="2029"/>
        <item m="1" x="4661"/>
        <item m="1" x="3290"/>
        <item m="1" x="4319"/>
        <item m="1" x="3845"/>
        <item m="1" x="2565"/>
        <item m="1" x="2994"/>
        <item m="1" x="4202"/>
        <item m="1" x="265"/>
        <item m="1" x="3988"/>
        <item m="1" x="2791"/>
        <item m="1" x="4607"/>
        <item m="1" x="1924"/>
        <item m="1" x="266"/>
        <item m="1" x="267"/>
        <item m="1" x="3562"/>
        <item m="1" x="3330"/>
        <item m="1" x="2243"/>
        <item m="1" x="2798"/>
        <item m="1" x="3208"/>
        <item m="1" x="1775"/>
        <item m="1" x="2905"/>
        <item m="1" x="4179"/>
        <item m="1" x="3157"/>
        <item m="1" x="2320"/>
        <item m="1" x="2437"/>
        <item m="1" x="3028"/>
        <item m="1" x="2663"/>
        <item m="1" x="2569"/>
        <item m="1" x="1406"/>
        <item m="1" x="4084"/>
        <item m="1" x="2539"/>
        <item m="1" x="1539"/>
        <item m="1" x="1899"/>
        <item m="1" x="4351"/>
        <item m="1" x="3513"/>
        <item m="1" x="2368"/>
        <item m="1" x="2384"/>
        <item m="1" x="2554"/>
        <item m="1" x="2052"/>
        <item m="1" x="4800"/>
        <item m="1" x="3061"/>
        <item m="1" x="2414"/>
        <item m="1" x="1840"/>
        <item m="1" x="1788"/>
        <item m="1" x="2401"/>
        <item m="1" x="1988"/>
        <item m="1" x="4249"/>
        <item m="1" x="4341"/>
        <item m="1" x="2983"/>
        <item m="1" x="3807"/>
        <item m="1" x="1828"/>
        <item m="1" x="2673"/>
        <item m="1" x="4574"/>
        <item m="1" x="1835"/>
        <item m="1" x="2117"/>
        <item m="1" x="2271"/>
        <item m="1" x="1504"/>
        <item m="1" x="3920"/>
        <item m="1" x="4002"/>
        <item m="1" x="2021"/>
        <item m="1" x="4923"/>
        <item m="1" x="1524"/>
        <item m="1" x="2472"/>
        <item m="1" x="2263"/>
        <item m="1" x="2958"/>
        <item m="1" x="2988"/>
        <item m="1" x="486"/>
        <item m="1" x="1675"/>
        <item m="1" x="3881"/>
        <item m="1" x="4603"/>
        <item m="1" x="1848"/>
        <item m="1" x="4744"/>
        <item m="1" x="1705"/>
        <item m="1" x="4074"/>
        <item m="1" x="2672"/>
        <item m="1" x="1313"/>
        <item m="1" x="1636"/>
        <item m="1" x="4138"/>
        <item m="1" x="4924"/>
        <item m="1" x="1975"/>
        <item m="1" x="3325"/>
        <item m="1" x="3637"/>
        <item m="1" x="1872"/>
        <item m="1" x="4872"/>
        <item m="1" x="3081"/>
        <item m="1" x="3810"/>
        <item m="1" x="2313"/>
        <item m="1" x="2397"/>
        <item m="1" x="4700"/>
        <item m="1" x="4300"/>
        <item m="1" x="4939"/>
        <item m="1" x="1502"/>
        <item m="1" x="3185"/>
        <item m="1" x="4011"/>
        <item m="1" x="1862"/>
        <item m="1" x="2869"/>
        <item m="1" x="4473"/>
        <item m="1" x="3267"/>
        <item m="1" x="2736"/>
        <item m="1" x="2572"/>
        <item m="1" x="4251"/>
        <item m="1" x="2336"/>
        <item m="1" x="3698"/>
        <item m="1" x="1996"/>
        <item m="1" x="3137"/>
        <item m="1" x="1292"/>
        <item m="1" x="2979"/>
        <item m="1" x="2310"/>
        <item m="1" x="3855"/>
        <item m="1" x="1962"/>
        <item m="1" x="1952"/>
        <item m="1" x="2708"/>
        <item m="1" x="3288"/>
        <item m="1" x="2591"/>
        <item m="1" x="2267"/>
        <item m="1" x="4334"/>
        <item m="1" x="2446"/>
        <item m="1" x="2651"/>
        <item m="1" x="4034"/>
        <item m="1" x="2753"/>
        <item m="1" x="3213"/>
        <item m="1" x="3014"/>
        <item m="1" x="2919"/>
        <item m="1" x="1948"/>
        <item m="1" x="2355"/>
        <item m="1" x="3189"/>
        <item m="1" x="4447"/>
        <item m="1" x="2928"/>
        <item m="1" x="3863"/>
        <item m="1" x="4311"/>
        <item m="1" x="3370"/>
        <item m="1" x="1238"/>
        <item m="1" x="2915"/>
        <item m="1" x="1817"/>
        <item m="1" x="4933"/>
        <item m="1" x="4796"/>
        <item m="1" x="2259"/>
        <item m="1" x="4217"/>
        <item m="1" x="3088"/>
        <item m="1" x="2398"/>
        <item m="1" x="1751"/>
        <item m="1" x="3030"/>
        <item m="1" x="4460"/>
        <item m="1" x="1245"/>
        <item m="1" x="1797"/>
        <item m="1" x="3705"/>
        <item m="1" x="3344"/>
        <item m="1" x="3524"/>
        <item m="1" x="1210"/>
        <item m="1" x="1198"/>
        <item m="1" x="4509"/>
        <item m="1" x="4833"/>
        <item m="1" x="1733"/>
        <item m="1" x="2003"/>
        <item m="1" x="4567"/>
        <item m="1" x="3877"/>
        <item m="1" x="2422"/>
        <item m="1" x="1397"/>
        <item m="1" x="2357"/>
        <item m="1" x="1325"/>
        <item m="1" x="2631"/>
        <item m="1" x="2527"/>
        <item m="1" x="1920"/>
        <item m="1" x="3414"/>
        <item m="1" x="2881"/>
        <item m="1" x="3536"/>
        <item m="1" x="4550"/>
        <item m="1" x="1902"/>
        <item m="1" x="1649"/>
        <item m="1" x="2089"/>
        <item m="1" x="1494"/>
        <item m="1" x="1608"/>
        <item m="1" x="1247"/>
        <item m="1" x="3578"/>
        <item m="1" x="3403"/>
        <item m="1" x="3867"/>
        <item m="1" x="3773"/>
        <item m="1" x="2426"/>
        <item m="1" x="4430"/>
        <item m="1" x="3134"/>
        <item m="1" x="4176"/>
        <item m="1" x="1440"/>
        <item m="1" x="1526"/>
        <item m="1" x="1486"/>
        <item m="1" x="2920"/>
        <item m="1" x="2097"/>
        <item m="1" x="3055"/>
        <item m="1" x="1294"/>
        <item m="1" x="2338"/>
        <item m="1" x="4724"/>
        <item m="1" x="2486"/>
        <item m="1" x="1546"/>
        <item m="1" x="1258"/>
        <item m="1" x="2210"/>
        <item m="1" x="4355"/>
        <item m="1" x="3392"/>
        <item m="1" x="2058"/>
        <item m="1" x="3918"/>
        <item m="1" x="3688"/>
        <item m="1" x="3632"/>
        <item m="1" x="3201"/>
        <item m="1" x="4454"/>
        <item m="1" x="3869"/>
        <item m="1" x="2184"/>
        <item m="1" x="1298"/>
        <item m="1" x="3891"/>
        <item m="1" x="2079"/>
        <item m="1" x="2137"/>
        <item m="1" x="4203"/>
        <item m="1" x="4919"/>
        <item m="1" x="1487"/>
        <item m="1" x="4814"/>
        <item m="1" x="2076"/>
        <item m="1" x="2186"/>
        <item m="1" x="4916"/>
        <item m="1" x="4480"/>
        <item m="1" x="1438"/>
        <item m="1" x="4566"/>
        <item m="1" x="1304"/>
        <item m="1" x="3150"/>
        <item m="1" x="2787"/>
        <item m="1" x="1792"/>
        <item m="1" x="2637"/>
        <item m="1" x="1353"/>
        <item m="1" x="2302"/>
        <item m="1" x="4083"/>
        <item m="1" x="2083"/>
        <item m="1" x="1433"/>
        <item m="1" x="3146"/>
        <item m="1" x="3423"/>
        <item m="1" x="2793"/>
        <item m="1" x="2698"/>
        <item m="1" x="4196"/>
        <item m="1" x="1931"/>
        <item m="1" x="1763"/>
        <item m="1" x="3608"/>
        <item m="1" x="2253"/>
        <item m="1" x="4957"/>
        <item m="1" x="1897"/>
        <item m="1" x="2596"/>
        <item m="1" x="2666"/>
        <item m="1" x="3008"/>
        <item m="1" x="3995"/>
        <item m="1" x="2962"/>
        <item m="1" x="3827"/>
        <item m="1" x="4374"/>
        <item m="1" x="1380"/>
        <item m="1" x="4622"/>
        <item m="1" x="2433"/>
        <item m="1" x="2508"/>
        <item m="1" x="2878"/>
        <item m="1" x="1409"/>
        <item m="1" x="1534"/>
        <item m="1" x="2153"/>
        <item m="1" x="2221"/>
        <item m="1" x="3377"/>
        <item m="1" x="2234"/>
        <item m="1" x="2966"/>
        <item m="1" x="3595"/>
        <item m="1" x="4303"/>
        <item m="1" x="4915"/>
        <item m="1" x="4527"/>
        <item m="1" x="1254"/>
        <item m="1" x="2918"/>
        <item m="1" x="3761"/>
        <item m="1" x="2027"/>
        <item m="1" x="2051"/>
        <item m="1" x="3227"/>
        <item m="1" x="2425"/>
        <item m="1" x="4379"/>
        <item m="1" x="2322"/>
        <item m="1" x="3955"/>
        <item m="1" x="1923"/>
        <item m="1" x="4819"/>
        <item m="1" x="3099"/>
        <item m="1" x="1603"/>
        <item m="1" x="2833"/>
        <item m="1" x="3983"/>
        <item m="1" x="2740"/>
        <item m="1" x="3457"/>
        <item m="1" x="1815"/>
        <item m="1" x="4857"/>
        <item m="1" x="3573"/>
        <item m="1" x="3832"/>
        <item m="1" x="2334"/>
        <item m="1" x="3363"/>
        <item m="1" x="2576"/>
        <item m="1" x="3101"/>
        <item m="1" x="3393"/>
        <item m="1" x="1683"/>
        <item m="1" x="3886"/>
        <item m="1" x="4894"/>
        <item m="1" x="4610"/>
        <item m="1" x="2970"/>
        <item m="1" x="3183"/>
        <item m="1" x="1520"/>
        <item m="1" x="3677"/>
        <item m="1" x="4171"/>
        <item m="1" x="2135"/>
        <item m="1" x="2240"/>
        <item m="1" x="1982"/>
        <item m="1" x="3263"/>
        <item m="1" x="1417"/>
        <item m="1" x="3341"/>
        <item m="1" x="2598"/>
        <item m="1" x="1249"/>
        <item m="1" x="2889"/>
        <item m="1" x="3541"/>
        <item m="1" x="2557"/>
        <item m="1" x="3178"/>
        <item m="1" x="2305"/>
        <item m="1" x="1688"/>
        <item m="1" x="2280"/>
        <item m="1" x="2668"/>
        <item m="1" x="3003"/>
        <item m="1" x="4516"/>
        <item m="1" x="3062"/>
        <item m="1" x="3108"/>
        <item m="1" x="1183"/>
        <item m="1" x="1267"/>
        <item m="1" x="4491"/>
        <item m="1" x="4193"/>
        <item m="1" x="4149"/>
        <item m="1" x="2043"/>
        <item m="1" x="4809"/>
        <item m="1" x="2624"/>
        <item m="1" x="2843"/>
        <item m="1" x="3122"/>
        <item m="1" x="2676"/>
        <item m="1" x="1201"/>
        <item m="1" x="4439"/>
        <item m="1" x="3546"/>
        <item m="1" x="1424"/>
        <item m="1" x="3873"/>
        <item m="1" x="3919"/>
        <item m="1" x="3804"/>
        <item m="1" x="1810"/>
        <item m="1" x="4188"/>
        <item m="1" x="2008"/>
        <item m="1" x="1544"/>
        <item m="1" x="4595"/>
        <item m="1" x="1720"/>
        <item m="1" x="4845"/>
        <item m="1" x="2586"/>
        <item m="1" x="4280"/>
        <item m="1" x="1525"/>
        <item m="1" x="2781"/>
        <item m="1" x="2030"/>
        <item m="1" x="3793"/>
        <item m="1" x="2982"/>
        <item m="1" x="1946"/>
        <item m="1" x="4522"/>
        <item m="1" x="4665"/>
        <item m="1" x="4132"/>
        <item m="1" x="3276"/>
        <item m="1" x="4126"/>
        <item m="1" x="1791"/>
        <item m="1" x="3321"/>
        <item m="1" x="3630"/>
        <item m="1" x="4358"/>
        <item m="1" x="4888"/>
        <item m="1" x="2564"/>
        <item m="1" x="2816"/>
        <item m="1" x="1847"/>
        <item m="1" x="4498"/>
        <item m="1" x="4191"/>
        <item m="1" x="2080"/>
        <item m="1" x="1615"/>
        <item m="1" x="4030"/>
        <item m="1" x="2014"/>
        <item m="1" x="4330"/>
        <item m="1" x="2851"/>
        <item m="1" x="3388"/>
        <item m="1" x="1726"/>
        <item m="1" x="3748"/>
        <item m="1" x="3048"/>
        <item m="1" x="3633"/>
        <item m="1" x="1864"/>
        <item m="1" x="4167"/>
        <item m="1" x="3582"/>
        <item m="1" x="4620"/>
        <item m="1" x="4730"/>
        <item m="1" x="1692"/>
        <item m="1" x="3432"/>
        <item m="1" x="4766"/>
        <item m="1" x="3941"/>
        <item m="1" x="1690"/>
        <item m="1" x="3083"/>
        <item m="1" x="2619"/>
        <item m="1" x="1593"/>
        <item m="1" x="3615"/>
        <item m="1" x="4398"/>
        <item m="1" x="4233"/>
        <item m="1" x="2935"/>
        <item m="1" x="4137"/>
        <item m="1" x="3586"/>
        <item m="1" x="2555"/>
        <item m="1" x="2733"/>
        <item m="1" x="2667"/>
        <item m="1" x="4047"/>
        <item m="1" x="4859"/>
        <item m="1" x="3521"/>
        <item m="1" x="1961"/>
        <item m="1" x="2172"/>
        <item m="1" x="4298"/>
        <item m="1" x="2695"/>
        <item m="1" x="2895"/>
        <item m="1" x="4543"/>
        <item m="1" x="3641"/>
        <item m="1" x="3486"/>
        <item m="1" x="2818"/>
        <item m="1" x="3016"/>
        <item m="1" x="3400"/>
        <item m="1" x="3322"/>
        <item m="1" x="1451"/>
        <item m="1" x="3722"/>
        <item m="1" x="2814"/>
        <item m="1" x="2432"/>
        <item m="1" x="4120"/>
        <item m="1" x="4169"/>
        <item m="1" x="3479"/>
        <item m="1" x="2865"/>
        <item m="1" x="3275"/>
        <item m="1" x="4962"/>
        <item m="1" x="4107"/>
        <item m="1" x="4898"/>
        <item m="1" x="3059"/>
        <item m="1" x="1891"/>
        <item m="1" x="1256"/>
        <item m="1" x="3264"/>
        <item m="1" x="2845"/>
        <item m="1" x="3518"/>
        <item m="1" x="4561"/>
        <item m="1" x="2479"/>
        <item m="1" x="4739"/>
        <item m="1" x="1736"/>
        <item m="1" x="3225"/>
        <item m="1" x="3657"/>
        <item m="1" x="3999"/>
        <item m="1" x="3826"/>
        <item m="1" x="4697"/>
        <item m="1" x="1739"/>
        <item m="1" x="1805"/>
        <item m="1" x="3068"/>
        <item m="1" x="3483"/>
        <item m="1" x="4127"/>
        <item m="1" x="4873"/>
        <item m="1" x="4541"/>
        <item m="1" x="4806"/>
        <item m="1" x="3199"/>
        <item m="1" x="4324"/>
        <item m="1" x="3671"/>
        <item m="1" x="586"/>
        <item m="1" x="4272"/>
        <item m="1" x="1580"/>
        <item m="1" x="2978"/>
        <item m="1" x="1434"/>
        <item m="1" x="4500"/>
        <item m="1" x="2671"/>
        <item m="1" x="1227"/>
        <item m="1" x="1272"/>
        <item m="1" x="1767"/>
        <item m="1" x="2679"/>
        <item m="1" x="4098"/>
        <item m="1" x="4851"/>
        <item m="1" x="4318"/>
        <item m="1" x="3875"/>
        <item m="1" x="1195"/>
        <item m="1" x="3825"/>
        <item m="1" x="2367"/>
        <item m="1" x="4644"/>
        <item m="1" x="4110"/>
        <item m="1" x="1719"/>
        <item m="1" x="2427"/>
        <item m="1" x="1680"/>
        <item m="1" x="1623"/>
        <item m="1" x="2893"/>
        <item m="1" x="2640"/>
        <item m="1" x="2959"/>
        <item m="1" x="2960"/>
        <item m="1" x="2655"/>
        <item m="1" x="3629"/>
        <item m="1" x="2600"/>
        <item m="1" x="1218"/>
        <item m="1" x="2644"/>
        <item m="1" x="3076"/>
        <item m="1" x="1772"/>
        <item m="1" x="4020"/>
        <item m="1" x="2418"/>
        <item m="1" x="4198"/>
        <item m="1" x="4147"/>
        <item m="1" x="2466"/>
        <item m="1" x="2205"/>
        <item m="1" x="2502"/>
        <item m="1" x="4383"/>
        <item m="1" x="2923"/>
        <item m="1" x="3949"/>
        <item m="1" x="4692"/>
        <item m="1" x="3646"/>
        <item m="1" x="3012"/>
        <item m="1" x="3095"/>
        <item m="1" x="3184"/>
        <item m="1" x="1832"/>
        <item m="1" x="4702"/>
        <item m="1" x="3194"/>
        <item m="1" x="3927"/>
        <item m="1" x="1800"/>
        <item m="1" x="4140"/>
        <item m="1" x="4392"/>
        <item m="1" x="4241"/>
        <item m="1" x="2788"/>
        <item m="1" x="4588"/>
        <item m="1" x="4263"/>
        <item m="1" x="1277"/>
        <item m="1" x="2553"/>
        <item m="1" x="1291"/>
        <item m="1" x="3254"/>
        <item m="1" x="2858"/>
        <item m="1" x="2383"/>
        <item m="1" x="3859"/>
        <item m="1" x="3273"/>
        <item m="1" x="1670"/>
        <item m="1" x="1204"/>
        <item m="1" x="2713"/>
        <item m="1" x="1945"/>
        <item m="1" x="1994"/>
        <item m="1" x="1357"/>
        <item m="1" x="2574"/>
        <item m="1" x="4209"/>
        <item m="1" x="3162"/>
        <item m="1" x="4348"/>
        <item m="1" x="1312"/>
        <item m="1" x="3271"/>
        <item m="1" x="4172"/>
        <item m="1" x="1818"/>
        <item m="1" x="4625"/>
        <item m="1" x="2442"/>
        <item m="1" x="3910"/>
        <item m="1" x="2765"/>
        <item m="1" x="4637"/>
        <item m="1" x="1484"/>
        <item m="1" x="2348"/>
        <item m="1" x="3964"/>
        <item m="1" x="1214"/>
        <item m="1" x="2480"/>
        <item m="1" x="3774"/>
        <item m="1" x="1614"/>
        <item m="1" x="2784"/>
        <item m="1" x="4095"/>
        <item m="1" x="3878"/>
        <item m="1" x="1919"/>
        <item m="1" x="4267"/>
        <item m="1" x="3765"/>
        <item m="1" x="4938"/>
        <item m="1" x="2283"/>
        <item m="1" x="3939"/>
        <item m="1" x="3342"/>
        <item m="1" x="2817"/>
        <item m="1" x="1251"/>
        <item m="1" x="2876"/>
        <item m="1" x="3857"/>
        <item m="1" x="4488"/>
        <item m="1" x="4740"/>
        <item m="1" x="3769"/>
        <item m="1" x="3173"/>
        <item m="1" x="2423"/>
        <item m="1" x="2634"/>
        <item m="1" x="4399"/>
        <item m="1" x="3958"/>
        <item m="1" x="4199"/>
        <item m="1" x="2689"/>
        <item m="1" x="2393"/>
        <item m="1" x="3284"/>
        <item m="1" x="2343"/>
        <item m="1" x="2445"/>
        <item m="1" x="2141"/>
        <item m="1" x="3164"/>
        <item m="1" x="1363"/>
        <item m="1" x="4489"/>
        <item m="1" x="1787"/>
        <item m="1" x="1929"/>
        <item m="1" x="1622"/>
        <item m="1" x="2335"/>
        <item m="1" x="2308"/>
        <item m="1" x="3690"/>
        <item m="1" x="4226"/>
        <item m="1" x="4633"/>
        <item m="1" x="1697"/>
        <item m="1" x="2541"/>
        <item m="1" x="3308"/>
        <item m="1" x="2612"/>
        <item m="1" x="1207"/>
        <item m="1" x="4961"/>
        <item m="1" x="4326"/>
        <item m="1" x="3856"/>
        <item m="1" x="1423"/>
        <item m="1" x="4604"/>
        <item m="1" x="3715"/>
        <item m="1" x="1927"/>
        <item m="1" x="2203"/>
        <item m="1" x="2151"/>
        <item m="1" x="1490"/>
        <item m="1" x="1320"/>
        <item m="1" x="2654"/>
        <item m="1" x="2922"/>
        <item m="1" x="3682"/>
        <item m="1" x="3058"/>
        <item m="1" x="2824"/>
        <item m="1" x="2162"/>
        <item m="1" x="4270"/>
        <item m="1" x="3674"/>
        <item m="1" x="4220"/>
        <item m="1" x="1838"/>
        <item m="1" x="2248"/>
        <item m="1" x="2062"/>
        <item m="1" x="3981"/>
        <item m="1" x="3378"/>
        <item m="1" x="2550"/>
        <item m="1" x="3009"/>
        <item m="1" x="2520"/>
        <item m="1" x="3489"/>
        <item m="1" x="4865"/>
        <item m="1" x="3128"/>
        <item m="1" x="3972"/>
        <item m="1" x="1510"/>
        <item m="1" x="1322"/>
        <item m="1" x="4736"/>
        <item m="1" x="2995"/>
        <item m="1" x="4152"/>
        <item m="1" x="4131"/>
        <item m="1" x="1915"/>
        <item m="1" x="2314"/>
        <item m="1" x="2678"/>
        <item m="1" x="1959"/>
        <item m="1" x="3747"/>
        <item m="1" x="2913"/>
        <item m="1" x="2198"/>
        <item m="1" x="2144"/>
        <item m="1" x="2756"/>
        <item m="1" x="4122"/>
        <item m="1" x="2985"/>
        <item m="1" x="4579"/>
        <item m="1" x="3736"/>
        <item m="1" x="3257"/>
        <item m="1" x="1516"/>
        <item m="1" x="4097"/>
        <item m="1" x="3991"/>
        <item m="1" x="2156"/>
        <item m="1" x="1760"/>
        <item m="1" x="4234"/>
        <item m="1" x="4885"/>
        <item m="1" x="3990"/>
        <item m="1" x="3497"/>
        <item m="1" x="2906"/>
        <item m="1" x="2382"/>
        <item m="1" x="4501"/>
        <item m="1" x="2185"/>
        <item m="1" x="3860"/>
        <item m="1" x="4538"/>
        <item m="1" x="4201"/>
        <item m="1" x="2563"/>
        <item m="1" x="2590"/>
        <item m="1" x="1966"/>
        <item m="1" x="4327"/>
        <item m="1" x="2836"/>
        <item m="1" x="4018"/>
        <item m="1" x="2704"/>
        <item m="1" x="4372"/>
        <item m="1" x="3180"/>
        <item m="1" x="3418"/>
        <item m="1" x="4395"/>
        <item m="1" x="4086"/>
        <item m="1" x="4959"/>
        <item m="1" x="3258"/>
        <item m="1" x="4274"/>
        <item m="1" x="2722"/>
        <item m="1" x="1260"/>
        <item m="1" x="3011"/>
        <item m="1" x="3148"/>
        <item m="1" x="3570"/>
        <item m="1" x="1901"/>
        <item m="1" x="2755"/>
        <item m="1" x="1781"/>
        <item m="1" x="2531"/>
        <item m="1" x="1595"/>
        <item m="1" x="2245"/>
        <item m="1" x="4101"/>
        <item m="1" x="3364"/>
        <item m="1" x="2237"/>
        <item m="1" x="2274"/>
        <item m="1" x="3801"/>
        <item m="1" x="1550"/>
        <item m="1" x="3166"/>
        <item m="1" x="3193"/>
        <item m="1" x="3816"/>
        <item m="1" x="2628"/>
        <item m="1" x="3997"/>
        <item m="1" x="2653"/>
        <item m="1" x="2222"/>
        <item m="1" x="3843"/>
        <item m="1" x="2948"/>
        <item m="1" x="4325"/>
        <item m="1" x="1215"/>
        <item m="1" x="4518"/>
        <item m="1" x="3811"/>
        <item m="1" x="2399"/>
        <item m="1" x="3547"/>
        <item m="1" x="3244"/>
        <item m="1" x="1991"/>
        <item m="1" x="1687"/>
        <item m="1" x="3710"/>
        <item m="1" x="3268"/>
        <item m="1" x="1408"/>
        <item m="1" x="3340"/>
        <item m="1" x="3532"/>
        <item m="1" x="4077"/>
        <item m="1" x="1228"/>
        <item m="1" x="2749"/>
        <item m="1" x="1836"/>
        <item m="1" x="2483"/>
        <item m="1" x="2887"/>
        <item m="1" x="4139"/>
        <item m="1" x="2783"/>
        <item m="1" x="2601"/>
        <item m="1" x="4721"/>
        <item m="1" x="2193"/>
        <item m="1" x="1620"/>
        <item m="1" x="4085"/>
        <item m="1" x="4402"/>
        <item m="1" x="2440"/>
        <item m="1" x="4339"/>
        <item m="1" x="3343"/>
        <item m="1" x="1868"/>
        <item m="1" x="3976"/>
        <item m="1" x="1738"/>
        <item m="1" x="4912"/>
        <item m="1" x="2078"/>
        <item m="1" x="4181"/>
        <item m="1" x="4467"/>
        <item m="1" x="4050"/>
        <item m="1" x="1589"/>
        <item m="1" x="1476"/>
        <item m="1" x="2867"/>
        <item m="1" x="4197"/>
        <item m="1" x="2661"/>
        <item m="1" x="2700"/>
        <item m="1" x="2674"/>
        <item m="1" x="4849"/>
        <item m="1" x="4142"/>
        <item m="1" x="2949"/>
        <item m="1" x="1823"/>
        <item m="1" x="4523"/>
        <item m="1" x="3965"/>
        <item m="1" x="3463"/>
        <item m="1" x="2170"/>
        <item m="1" x="1600"/>
        <item m="1" x="1741"/>
        <item m="1" x="4792"/>
        <item m="1" x="4323"/>
        <item m="1" x="1857"/>
        <item m="1" x="2295"/>
        <item m="1" x="3192"/>
        <item m="1" x="4911"/>
        <item m="1" x="1984"/>
        <item m="1" x="2946"/>
        <item m="1" x="2190"/>
        <item m="1" x="4831"/>
        <item m="1" x="2072"/>
        <item m="1" x="1257"/>
        <item m="1" x="4648"/>
        <item m="1" x="4119"/>
        <item m="1" x="4503"/>
        <item m="1" x="1718"/>
        <item m="1" x="4647"/>
        <item m="1" x="4033"/>
        <item m="1" x="2236"/>
        <item m="1" x="2939"/>
        <item m="1" x="2751"/>
        <item m="1" x="4565"/>
        <item m="1" x="3255"/>
        <item m="1" x="2981"/>
        <item m="1" x="2084"/>
        <item m="1" x="2567"/>
        <item m="1" x="2228"/>
        <item m="1" x="2513"/>
        <item m="1" x="4286"/>
        <item m="1" x="2827"/>
        <item m="1" x="1935"/>
        <item m="1" x="3620"/>
        <item m="1" x="1976"/>
        <item m="1" x="3229"/>
        <item m="1" x="4328"/>
        <item m="1" x="4465"/>
        <item m="1" x="4927"/>
        <item m="1" x="3998"/>
        <item m="1" x="1279"/>
        <item m="1" x="3073"/>
        <item m="1" x="1388"/>
        <item m="1" x="1789"/>
        <item m="1" x="1242"/>
        <item m="1" x="1854"/>
        <item m="1" x="1343"/>
        <item m="1" x="4194"/>
        <item m="1" x="4009"/>
        <item m="1" x="4128"/>
        <item m="1" x="4123"/>
        <item m="1" x="4417"/>
        <item m="1" x="2746"/>
        <item m="1" x="2333"/>
        <item m="1" x="3652"/>
        <item m="1" x="4222"/>
        <item m="1" x="2525"/>
        <item m="1" x="1765"/>
        <item m="1" x="2613"/>
        <item m="1" x="2163"/>
        <item m="1" x="4081"/>
        <item m="1" x="4450"/>
        <item m="1" x="1937"/>
        <item m="1" x="4023"/>
        <item m="1" x="2699"/>
        <item m="1" x="2879"/>
        <item m="1" x="1974"/>
        <item m="1" x="4458"/>
        <item m="1" x="2091"/>
        <item m="1" x="3512"/>
        <item m="1" x="2745"/>
        <item m="1" x="2286"/>
        <item m="1" x="2164"/>
        <item m="1" x="3830"/>
        <item m="1" x="4759"/>
        <item m="1" x="2238"/>
        <item m="1" x="4333"/>
        <item m="1" x="1926"/>
        <item m="1" x="4113"/>
        <item m="1" x="2727"/>
        <item m="1" x="1951"/>
        <item m="1" x="4393"/>
        <item m="1" x="3903"/>
        <item m="1" x="3121"/>
        <item m="1" x="2361"/>
        <item m="1" x="3478"/>
        <item m="1" x="3945"/>
        <item m="1" x="1773"/>
        <item m="1" x="2943"/>
        <item m="1" x="3187"/>
        <item m="1" x="2774"/>
        <item m="1" x="4624"/>
        <item m="1" x="2402"/>
        <item m="1" x="3534"/>
        <item m="1" x="3864"/>
        <item m="1" x="2556"/>
        <item m="1" x="2575"/>
        <item m="1" x="3509"/>
        <item m="1" x="3097"/>
        <item m="1" x="3711"/>
        <item m="1" x="2115"/>
        <item m="1" x="1598"/>
        <item m="1" x="4382"/>
        <item m="1" x="4769"/>
        <item m="1" x="3528"/>
        <item m="1" x="4391"/>
        <item m="1" x="1206"/>
        <item m="1" x="4685"/>
        <item m="1" x="2167"/>
        <item m="1" x="2728"/>
        <item m="1" x="3469"/>
        <item m="1" x="1940"/>
        <item m="1" x="1477"/>
        <item m="1" x="4428"/>
        <item m="1" x="1391"/>
        <item m="1" x="2454"/>
        <item m="1" x="3084"/>
        <item m="1" x="3977"/>
        <item m="1" x="2528"/>
        <item m="1" x="3691"/>
        <item m="1" x="4805"/>
        <item m="1" x="2208"/>
        <item m="1" x="2054"/>
        <item m="1" x="1557"/>
        <item m="1" x="4320"/>
        <item m="1" x="3844"/>
        <item m="1" x="4071"/>
        <item m="1" x="3467"/>
        <item m="1" x="4751"/>
        <item m="1" x="1556"/>
        <item m="1" x="1290"/>
        <item m="1" x="1519"/>
        <item m="1" x="2880"/>
        <item m="1" x="2658"/>
        <item m="1" x="3131"/>
        <item m="1" x="2408"/>
        <item m="1" x="2986"/>
        <item m="1" x="1300"/>
        <item m="1" x="1932"/>
        <item m="1" x="4394"/>
        <item m="1" x="4722"/>
        <item m="1" x="2056"/>
        <item m="1" x="1876"/>
        <item m="1" x="1884"/>
        <item m="1" x="2972"/>
        <item m="1" x="1432"/>
        <item m="1" x="3411"/>
        <item m="1" x="3314"/>
        <item m="1" x="2220"/>
        <item m="1" x="3865"/>
        <item m="1" x="2875"/>
        <item m="1" x="4960"/>
        <item m="1" x="4426"/>
        <item m="1" x="2018"/>
        <item m="1" x="1710"/>
        <item m="1" x="2430"/>
        <item m="1" x="3493"/>
        <item m="1" x="2065"/>
        <item m="1" x="4415"/>
        <item m="1" x="4573"/>
        <item m="1" x="2492"/>
        <item m="1" x="1421"/>
        <item m="1" x="3572"/>
        <item m="1" x="3726"/>
        <item m="1" x="3404"/>
        <item m="1" x="2395"/>
        <item m="1" x="3665"/>
        <item m="1" x="2741"/>
        <item m="1" x="3784"/>
        <item m="1" x="2521"/>
        <item m="1" x="1365"/>
        <item m="1" x="3402"/>
        <item m="1" x="1213"/>
        <item m="1" x="4154"/>
        <item m="1" x="1329"/>
        <item m="1" x="3360"/>
        <item m="1" x="2647"/>
        <item m="1" x="2503"/>
        <item m="1" x="3763"/>
        <item m="1" x="4913"/>
        <item m="1" x="1236"/>
        <item m="1" x="1956"/>
        <item m="1" x="1462"/>
        <item m="1" x="3490"/>
        <item m="1" x="2350"/>
        <item m="1" x="3504"/>
        <item m="1" x="1182"/>
        <item m="1" x="1658"/>
        <item m="1" x="3270"/>
        <item m="1" x="4336"/>
        <item m="1" x="2377"/>
        <item m="1" x="3035"/>
        <item m="1" x="4601"/>
        <item m="1" x="4649"/>
        <item m="1" x="1584"/>
        <item m="1" x="2494"/>
        <item m="1" x="4613"/>
        <item m="1" x="2916"/>
        <item m="1" x="3311"/>
        <item m="1" x="1754"/>
        <item m="1" x="3369"/>
        <item m="1" x="1659"/>
        <item m="1" x="1849"/>
        <item m="1" x="2356"/>
        <item m="1" x="3133"/>
        <item m="1" x="1573"/>
        <item m="1" x="2991"/>
        <item m="1" x="1983"/>
        <item m="1" x="1500"/>
        <item m="1" x="1619"/>
        <item m="1" x="4218"/>
        <item m="1" x="1328"/>
        <item m="1" x="4682"/>
        <item m="1" x="4946"/>
        <item m="1" x="3648"/>
        <item m="1" x="1949"/>
        <item m="1" x="2268"/>
        <item m="1" x="4007"/>
        <item m="1" x="4016"/>
        <item m="1" x="2711"/>
        <item m="1" x="1750"/>
        <item m="1" x="4387"/>
        <item m="1" x="1709"/>
        <item m="1" x="3207"/>
        <item m="1" x="2216"/>
        <item m="1" x="2896"/>
        <item m="1" x="1695"/>
        <item m="1" x="1997"/>
        <item m="1" x="3118"/>
        <item m="1" x="4943"/>
        <item m="1" x="2199"/>
        <item m="1" x="2225"/>
        <item m="1" x="3759"/>
        <item m="1" x="2927"/>
        <item m="1" x="3707"/>
        <item m="1" x="4818"/>
        <item m="1" x="3286"/>
        <item m="1" x="3047"/>
        <item m="1" x="3812"/>
        <item m="1" x="2462"/>
        <item m="1" x="1806"/>
        <item m="1" x="1890"/>
        <item m="1" x="3872"/>
        <item m="1" x="3781"/>
        <item m="1" x="2082"/>
        <item m="1" x="2498"/>
        <item m="1" x="3937"/>
        <item m="1" x="2291"/>
        <item m="1" x="1717"/>
        <item m="1" x="4410"/>
        <item m="1" x="4846"/>
        <item m="1" x="1953"/>
        <item m="1" x="1407"/>
        <item m="1" x="4118"/>
        <item m="1" x="4254"/>
        <item m="1" x="2493"/>
        <item m="1" x="1877"/>
        <item m="1" x="2524"/>
        <item m="1" x="3041"/>
        <item m="1" x="2686"/>
        <item m="1" x="2200"/>
        <item m="1" x="1753"/>
        <item m="1" x="2589"/>
        <item m="1" x="1234"/>
        <item m="1" x="3946"/>
        <item m="1" x="2330"/>
        <item m="1" x="1783"/>
        <item m="1" x="3731"/>
        <item m="1" x="4581"/>
        <item m="1" x="4224"/>
        <item m="1" x="1605"/>
        <item m="1" x="3301"/>
        <item m="1" x="2449"/>
        <item m="1" x="2552"/>
        <item m="1" x="3559"/>
        <item m="1" x="3695"/>
        <item m="1" x="3361"/>
        <item m="1" x="3228"/>
        <item m="1" x="2863"/>
        <item m="1" x="2934"/>
        <item m="1" x="1246"/>
        <item m="1" x="1458"/>
        <item m="1" x="2914"/>
        <item m="1" x="3446"/>
        <item m="1" x="1505"/>
        <item m="1" x="1563"/>
        <item m="1" x="4934"/>
        <item m="1" x="3797"/>
        <item m="1" x="1814"/>
        <item m="1" x="3831"/>
        <item m="1" x="4368"/>
        <item m="1" x="2989"/>
        <item m="1" x="1255"/>
        <item m="1" x="2730"/>
        <item m="1" x="4441"/>
        <item m="1" x="1314"/>
        <item m="1" x="2218"/>
        <item m="1" x="2035"/>
        <item m="1" x="3365"/>
        <item m="1" x="4347"/>
        <item m="1" x="3043"/>
        <item m="1" x="4162"/>
        <item m="1" x="3944"/>
        <item m="1" x="4444"/>
        <item m="1" x="3516"/>
        <item m="1" x="2834"/>
        <item m="1" x="2133"/>
        <item m="1" x="2468"/>
        <item m="1" x="3953"/>
        <item m="1" x="2779"/>
        <item m="1" x="3723"/>
        <item m="1" x="4256"/>
        <item m="1" x="3724"/>
        <item m="1" x="1447"/>
        <item m="1" x="2020"/>
        <item m="1" x="3522"/>
        <item m="1" x="4076"/>
        <item m="1" x="4940"/>
        <item m="1" x="2766"/>
        <item m="1" x="3317"/>
        <item m="1" x="1903"/>
        <item m="1" x="4124"/>
        <item m="1" x="2529"/>
        <item m="1" x="3672"/>
        <item m="1" x="4305"/>
        <item m="1" x="1367"/>
        <item m="1" x="1560"/>
        <item m="1" x="3371"/>
        <item m="1" x="4587"/>
        <item m="1" x="3687"/>
        <item m="1" x="3593"/>
        <item m="1" x="3636"/>
        <item m="1" x="1348"/>
        <item m="1" x="3391"/>
        <item m="1" x="1269"/>
        <item m="1" x="4343"/>
        <item m="1" x="4905"/>
        <item m="1" x="3372"/>
        <item m="1" x="2276"/>
        <item m="1" x="4413"/>
        <item m="1" x="2626"/>
        <item m="1" x="4712"/>
        <item m="1" x="2132"/>
        <item m="1" x="1559"/>
        <item m="1" x="4750"/>
        <item m="1" x="3050"/>
        <item m="1" x="4291"/>
        <item m="1" x="2747"/>
        <item m="1" x="2795"/>
        <item m="1" x="3803"/>
        <item m="1" x="4889"/>
        <item m="1" x="4102"/>
        <item m="1" x="3022"/>
        <item m="1" x="4037"/>
        <item m="1" x="1950"/>
        <item m="1" x="1664"/>
        <item m="1" x="4182"/>
        <item m="1" x="3102"/>
        <item m="1" x="3899"/>
        <item m="1" x="3335"/>
        <item m="1" x="3367"/>
        <item m="1" x="1938"/>
        <item m="1" x="4816"/>
        <item m="1" x="1843"/>
        <item m="1" x="1515"/>
        <item m="1" x="4636"/>
        <item m="1" x="3712"/>
        <item m="1" x="3451"/>
        <item m="1" x="3029"/>
        <item m="1" x="4790"/>
        <item m="1" x="1532"/>
        <item m="1" x="3190"/>
        <item m="1" x="1274"/>
        <item m="1" x="4146"/>
        <item m="1" x="4505"/>
        <item m="1" x="4484"/>
        <item m="1" x="1278"/>
        <item m="1" x="3044"/>
        <item m="1" x="2094"/>
        <item m="1" x="2997"/>
        <item m="1" x="4950"/>
        <item m="1" x="2649"/>
        <item m="1" x="1374"/>
        <item m="1" x="2002"/>
        <item m="1" x="3701"/>
        <item m="1" x="2461"/>
        <item m="1" x="4213"/>
        <item m="1" x="4396"/>
        <item m="1" x="2242"/>
        <item m="1" x="2189"/>
        <item m="1" x="1905"/>
        <item m="1" x="1189"/>
        <item m="1" x="4920"/>
        <item m="1" x="4650"/>
        <item m="1" x="4546"/>
        <item m="1" x="3331"/>
        <item m="1" x="1493"/>
        <item m="1" x="3425"/>
        <item m="1" x="4664"/>
        <item m="1" x="2424"/>
        <item m="1" x="3473"/>
        <item m="1" x="2001"/>
        <item m="1" x="3571"/>
        <item m="1" x="2853"/>
        <item m="1" x="1412"/>
        <item m="1" x="3507"/>
        <item m="1" x="4345"/>
        <item m="1" x="2124"/>
        <item m="1" x="4590"/>
        <item m="1" x="1396"/>
        <item m="1" x="1202"/>
        <item m="1" x="2049"/>
        <item m="1" x="2785"/>
        <item m="1" x="2438"/>
        <item m="1" x="2095"/>
        <item m="1" x="3090"/>
        <item m="1" x="1492"/>
        <item m="1" x="4575"/>
        <item m="1" x="4606"/>
        <item m="1" x="4887"/>
        <item m="1" x="3951"/>
        <item m="1" x="2682"/>
        <item m="1" x="1970"/>
        <item m="1" x="4710"/>
        <item m="1" x="1297"/>
        <item m="1" x="3961"/>
        <item m="1" x="1873"/>
        <item m="1" x="2627"/>
        <item m="1" x="4732"/>
        <item m="1" x="1339"/>
        <item m="1" x="4214"/>
        <item m="1" x="4592"/>
        <item m="1" x="2331"/>
        <item m="1" x="4903"/>
        <item m="1" x="2907"/>
        <item m="1" x="4891"/>
        <item m="1" x="3345"/>
        <item m="1" x="3914"/>
        <item m="1" x="4344"/>
        <item m="1" x="1839"/>
        <item m="1" x="2339"/>
        <item m="1" x="2342"/>
        <item m="1" x="2443"/>
        <item m="1" x="2857"/>
        <item m="1" x="3602"/>
        <item m="1" x="3085"/>
        <item m="1" x="3109"/>
        <item m="1" x="3577"/>
        <item m="1" x="1273"/>
        <item m="1" x="4726"/>
        <item m="1" x="4041"/>
        <item m="1" x="3713"/>
        <item m="1" x="1957"/>
        <item m="1" x="1475"/>
        <item m="1" x="4257"/>
        <item m="1" x="2473"/>
        <item m="1" x="4004"/>
        <item m="1" x="2762"/>
        <item m="1" x="4599"/>
        <item m="1" x="3375"/>
        <item m="1" x="3794"/>
        <item m="1" x="3348"/>
        <item m="1" x="4377"/>
        <item m="1" x="3505"/>
        <item m="1" x="4058"/>
        <item m="1" x="2808"/>
        <item m="1" x="4931"/>
        <item m="1" x="3033"/>
        <item m="1" x="2178"/>
        <item m="1" x="3136"/>
        <item m="1" x="3320"/>
        <item m="1" x="1743"/>
        <item m="1" x="2955"/>
        <item m="1" x="2421"/>
        <item m="1" x="1630"/>
        <item m="1" x="1268"/>
        <item m="1" x="4236"/>
        <item m="1" x="3005"/>
        <item m="1" x="3459"/>
        <item m="1" x="4346"/>
        <item m="1" x="3684"/>
        <item m="1" x="4864"/>
        <item m="1" x="2157"/>
        <item m="1" x="3198"/>
        <item m="1" x="2825"/>
        <item m="1" x="4869"/>
        <item m="1" x="1499"/>
        <item m="1" x="1654"/>
        <item m="1" x="4589"/>
        <item m="1" x="2500"/>
        <item m="1" x="3600"/>
        <item m="1" x="2191"/>
        <item m="1" x="2848"/>
        <item m="1" x="3643"/>
        <item m="1" x="4738"/>
        <item m="1" x="4013"/>
        <item m="1" x="3744"/>
        <item m="1" x="1808"/>
        <item m="1" x="2516"/>
        <item m="1" x="4499"/>
        <item m="1" x="2365"/>
        <item m="1" x="2984"/>
        <item m="1" x="3380"/>
        <item m="1" x="2194"/>
        <item m="1" x="4359"/>
        <item m="1" x="1879"/>
        <item m="1" x="2909"/>
        <item m="1" x="3336"/>
        <item m="1" x="3666"/>
        <item m="1" x="2656"/>
        <item m="1" x="1250"/>
        <item m="1" x="2262"/>
        <item m="1" x="4944"/>
        <item m="1" x="1793"/>
        <item m="1" x="4684"/>
        <item m="1" x="2385"/>
        <item m="1" x="2275"/>
        <item m="1" x="3564"/>
        <item m="1" x="3443"/>
        <item m="1" x="4006"/>
        <item m="1" x="3445"/>
        <item m="1" x="4513"/>
        <item m="1" x="2690"/>
        <item m="1" x="1973"/>
        <item m="1" x="4629"/>
        <item m="1" x="2373"/>
        <item m="1" x="1674"/>
        <item m="1" x="1521"/>
        <item m="1" x="3580"/>
        <item m="1" x="4163"/>
        <item m="1" x="1618"/>
        <item m="1" x="1208"/>
        <item m="1" x="3500"/>
        <item m="1" x="4760"/>
        <item m="1" x="4746"/>
        <item m="1" x="2026"/>
        <item m="1" x="4287"/>
        <item m="1" x="1243"/>
        <item m="1" x="1309"/>
        <item m="1" x="2306"/>
        <item m="1" x="1523"/>
        <item m="1" x="3436"/>
        <item m="1" x="3282"/>
        <item m="1" x="2588"/>
        <item m="1" x="4316"/>
        <item m="1" x="2812"/>
        <item m="1" x="3851"/>
        <item m="1" x="2129"/>
        <item m="1" x="1489"/>
        <item m="1" x="1285"/>
        <item m="1" x="3217"/>
        <item m="1" x="4713"/>
        <item m="1" x="1577"/>
        <item m="1" x="2534"/>
        <item m="1" x="1545"/>
        <item m="1" x="4401"/>
        <item m="1" x="2901"/>
        <item m="1" x="2231"/>
        <item m="1" x="1420"/>
        <item m="1" x="2942"/>
        <item m="1" x="1222"/>
        <item m="1" x="4674"/>
        <item m="1" x="3296"/>
        <item m="1" x="2866"/>
        <item m="1" x="2526"/>
        <item m="1" x="4616"/>
        <item m="1" x="1315"/>
        <item m="1" x="4456"/>
        <item m="1" x="4235"/>
        <item m="1" x="2560"/>
        <item m="1" x="3510"/>
        <item m="1" x="3222"/>
        <item m="1" x="3015"/>
        <item m="1" x="4433"/>
        <item m="1" x="1965"/>
        <item m="1" x="3576"/>
        <item m="1" x="4297"/>
        <item m="1" x="3642"/>
        <item m="1" x="2341"/>
        <item m="1" x="1858"/>
        <item m="1" x="1939"/>
        <item m="1" x="3853"/>
        <item m="1" x="3251"/>
        <item m="1" x="3206"/>
        <item m="1" x="3696"/>
        <item m="1" x="2670"/>
        <item m="1" x="3530"/>
        <item m="1" x="1732"/>
        <item m="1" x="3283"/>
        <item m="1" x="4729"/>
        <item m="1" x="2323"/>
        <item m="1" x="4312"/>
        <item m="1" x="1916"/>
        <item m="1" x="3442"/>
        <item m="1" x="2898"/>
        <item m="1" x="1827"/>
        <item m="1" x="4141"/>
        <item m="1" x="1200"/>
        <item m="1" x="2570"/>
        <item m="1" x="2353"/>
        <item m="1" x="1482"/>
        <item m="1" x="3117"/>
        <item m="1" x="3328"/>
        <item m="1" x="4655"/>
        <item m="1" x="4028"/>
        <item m="1" x="3350"/>
        <item m="1" x="3994"/>
        <item m="1" x="1641"/>
        <item m="1" x="1963"/>
        <item m="1" x="3894"/>
        <item m="1" x="4706"/>
        <item m="1" x="1936"/>
        <item m="1" x="1727"/>
        <item m="1" x="4296"/>
        <item m="1" x="3725"/>
        <item m="1" x="3306"/>
        <item m="1" x="4948"/>
        <item m="1" x="1230"/>
        <item m="1" x="2675"/>
        <item m="1" x="2476"/>
        <item m="1" x="3382"/>
        <item m="1" x="4691"/>
        <item m="1" x="1454"/>
        <item m="1" x="4615"/>
        <item m="1" x="1324"/>
        <item m="1" x="4442"/>
        <item m="1" x="4754"/>
        <item m="1" x="2456"/>
        <item m="1" x="3214"/>
        <item m="1" x="2657"/>
        <item m="1" x="2717"/>
        <item m="1" x="3045"/>
        <item m="1" x="1448"/>
        <item m="1" x="1989"/>
        <item m="1" x="4815"/>
        <item m="1" x="4443"/>
        <item m="1" x="1181"/>
        <item m="1" x="4774"/>
        <item m="1" x="3019"/>
        <item m="1" x="3589"/>
        <item m="1" x="4741"/>
        <item m="1" x="4414"/>
        <item m="1" x="1551"/>
        <item m="1" x="1347"/>
        <item m="1" x="1262"/>
        <item m="1" x="1333"/>
        <item m="1" x="1384"/>
        <item m="1" x="3841"/>
        <item m="1" x="2415"/>
        <item m="1" x="4808"/>
        <item m="1" x="4262"/>
        <item m="1" x="3037"/>
        <item m="1" x="2098"/>
        <item m="1" x="3742"/>
        <item m="1" x="4434"/>
        <item m="1" x="3718"/>
        <item m="1" x="2032"/>
        <item m="1" x="3416"/>
        <item m="1" x="4658"/>
        <item m="1" x="2487"/>
        <item m="1" x="3567"/>
        <item m="1" x="2113"/>
        <item m="1" x="3730"/>
        <item m="1" x="2807"/>
        <item m="1" x="4643"/>
        <item m="1" x="1327"/>
        <item m="1" x="2041"/>
        <item m="1" x="3261"/>
        <item m="1" x="4231"/>
        <item m="1" x="1346"/>
        <item m="1" x="1886"/>
        <item m="1" x="2139"/>
        <item m="1" x="4178"/>
        <item m="1" x="3554"/>
        <item m="1" x="4435"/>
        <item m="1" x="2181"/>
        <item m="1" x="3105"/>
        <item m="1" x="3161"/>
        <item m="1" x="3656"/>
        <item m="1" x="1368"/>
        <item m="1" x="1425"/>
        <item m="1" x="4229"/>
        <item m="1" x="3585"/>
        <item m="1" x="3985"/>
        <item m="1" x="2459"/>
        <item m="1" x="3868"/>
        <item m="1" x="1321"/>
        <item m="1" x="3840"/>
        <item m="1" x="3237"/>
        <item m="1" x="2510"/>
        <item m="1" x="3610"/>
        <item m="1" x="3594"/>
        <item m="1" x="3204"/>
        <item m="1" x="1235"/>
        <item m="1" x="4902"/>
        <item m="1" x="1326"/>
        <item m="1" x="4117"/>
        <item m="1" x="3110"/>
        <item m="1" x="4255"/>
        <item m="1" x="4436"/>
        <item m="1" x="4772"/>
        <item m="1" x="2605"/>
        <item m="1" x="1842"/>
        <item m="1" x="4405"/>
        <item m="1" x="1536"/>
        <item m="1" x="4388"/>
        <item m="1" x="4186"/>
        <item m="1" x="2953"/>
        <item m="1" x="3653"/>
        <item m="1" x="3312"/>
        <item m="1" x="4026"/>
        <item m="1" x="3155"/>
        <item m="1" x="1387"/>
        <item m="1" x="3802"/>
        <item m="1" x="3309"/>
        <item m="1" x="1960"/>
        <item m="1" x="2614"/>
        <item m="1" x="3837"/>
        <item m="1" x="1549"/>
        <item m="1" x="3191"/>
        <item m="1" x="1223"/>
        <item m="1" x="3529"/>
        <item m="1" x="1517"/>
        <item m="1" x="2706"/>
        <item m="1" x="2114"/>
        <item m="1" x="4690"/>
        <item m="1" x="4882"/>
        <item m="1" x="2842"/>
        <item m="1" x="2681"/>
        <item m="1" x="1669"/>
        <item m="1" x="2692"/>
        <item m="1" x="1909"/>
        <item m="1" x="4825"/>
        <item m="1" x="2073"/>
        <item m="1" x="2142"/>
        <item m="1" x="4292"/>
        <item m="1" x="3334"/>
        <item m="1" x="3246"/>
        <item m="1" x="3708"/>
        <item m="1" x="3143"/>
        <item m="1" x="1824"/>
        <item m="1" x="3219"/>
        <item m="1" x="2406"/>
        <item m="1" x="3000"/>
        <item m="1" x="3655"/>
        <item m="1" x="4932"/>
        <item m="1" x="4868"/>
        <item m="1" x="4583"/>
        <item m="1" x="2296"/>
        <item m="1" x="3154"/>
        <item m="1" x="2345"/>
        <item m="1" x="2258"/>
        <item m="1" x="1533"/>
        <item m="1" x="4602"/>
        <item m="1" x="2410"/>
        <item m="1" x="1514"/>
        <item m="1" x="1774"/>
        <item m="1" x="1644"/>
        <item m="1" x="4502"/>
        <item m="1" x="4803"/>
        <item m="1" x="1794"/>
        <item m="1" x="3986"/>
        <item m="1" x="2775"/>
        <item m="1" x="4906"/>
        <item m="1" x="3750"/>
        <item m="1" x="4662"/>
        <item m="1" x="2416"/>
        <item m="1" x="3120"/>
        <item m="1" x="3326"/>
        <item m="1" x="2604"/>
        <item m="1" x="3144"/>
        <item m="1" x="2148"/>
        <item m="1" x="1628"/>
        <item m="1" x="2413"/>
        <item m="1" x="2009"/>
        <item m="1" x="3390"/>
        <item m="1" x="4621"/>
        <item m="1" x="4497"/>
        <item m="1" x="2504"/>
        <item m="1" x="3406"/>
        <item m="1" x="1609"/>
        <item m="1" x="4611"/>
        <item m="1" x="3751"/>
        <item m="1" x="2771"/>
        <item m="1" x="4698"/>
        <item m="1" x="2485"/>
        <item m="1" x="1252"/>
        <item m="1" x="4476"/>
        <item m="1" x="2096"/>
        <item m="1" x="4571"/>
        <item m="1" x="4858"/>
        <item m="1" x="4764"/>
        <item m="1" x="1570"/>
        <item m="1" x="1369"/>
        <item m="1" x="4765"/>
        <item m="1" x="3297"/>
        <item m="1" x="3100"/>
        <item m="1" x="3502"/>
        <item m="1" x="1318"/>
        <item m="1" x="3897"/>
        <item m="1" x="2537"/>
        <item m="1" x="1777"/>
        <item m="1" x="2090"/>
        <item m="1" x="2246"/>
        <item m="1" x="3683"/>
        <item m="1" x="4487"/>
        <item m="1" x="3612"/>
        <item m="1" x="2118"/>
        <item m="1" x="4901"/>
        <item m="1" x="2279"/>
        <item m="1" x="2364"/>
        <item m="1" x="2434"/>
        <item m="1" x="1910"/>
        <item m="1" x="3566"/>
        <item m="1" x="3852"/>
        <item m="1" x="3549"/>
        <item m="1" x="2721"/>
        <item m="1" x="1742"/>
        <item m="1" x="3842"/>
        <item m="1" x="1587"/>
        <item m="1" x="4099"/>
        <item m="1" x="3437"/>
        <item m="1" x="1672"/>
        <item m="1" x="3319"/>
        <item m="1" x="4956"/>
        <item m="1" x="2558"/>
        <item m="1" x="2750"/>
        <item m="1" x="3266"/>
        <item m="1" x="2872"/>
        <item m="1" x="2734"/>
        <item m="1" x="1703"/>
        <item m="1" x="2214"/>
        <item m="1" x="4504"/>
        <item m="1" x="2505"/>
        <item m="1" x="2620"/>
        <item m="1" x="3503"/>
        <item m="1" x="4725"/>
        <item m="1" x="2111"/>
        <item m="1" x="3485"/>
        <item m="1" x="2202"/>
        <item m="1" x="2017"/>
        <item m="1" x="4594"/>
        <item m="1" x="3302"/>
        <item m="1" x="2886"/>
        <item m="1" x="4371"/>
        <item m="1" x="1530"/>
        <item m="1" x="4628"/>
        <item m="1" x="4338"/>
        <item m="1" x="1673"/>
        <item m="1" x="2067"/>
        <item m="1" x="2838"/>
        <item m="1" x="2241"/>
        <item m="1" x="3056"/>
        <item m="1" x="1607"/>
        <item m="1" x="3305"/>
        <item m="1" x="2968"/>
        <item m="1" x="4039"/>
        <item m="1" x="4245"/>
        <item m="1" x="3357"/>
        <item m="1" x="3634"/>
        <item m="1" x="1635"/>
        <item m="1" x="4471"/>
        <item m="1" x="1335"/>
        <item m="1" x="1968"/>
        <item m="1" x="2615"/>
        <item m="1" x="1191"/>
        <item m="1" x="2484"/>
        <item m="1" x="3223"/>
        <item m="1" x="4133"/>
        <item m="1" x="2760"/>
        <item m="1" x="2735"/>
        <item m="1" x="2182"/>
        <item m="1" x="2594"/>
        <item m="1" x="4834"/>
        <item m="1" x="2975"/>
        <item m="1" x="3721"/>
        <item m="1" x="2328"/>
        <item m="1" x="4457"/>
        <item m="1" x="1590"/>
        <item m="1" x="4385"/>
        <item m="1" x="3916"/>
        <item m="1" x="3739"/>
        <item m="1" x="2127"/>
        <item m="1" x="1856"/>
        <item m="1" x="4204"/>
        <item m="1" x="1232"/>
        <item m="1" x="3783"/>
        <item m="1" x="4418"/>
        <item m="1" x="3906"/>
        <item m="1" x="2119"/>
        <item m="1" x="2599"/>
        <item m="1" x="2990"/>
        <item m="1" x="2453"/>
        <item m="1" x="1731"/>
        <item m="1" x="4093"/>
        <item m="1" x="1812"/>
        <item m="1" x="1542"/>
        <item m="1" x="2519"/>
        <item m="1" x="2496"/>
        <item m="1" x="1569"/>
        <item m="1" x="3177"/>
        <item m="1" x="4136"/>
        <item m="1" x="2947"/>
        <item m="1" x="4784"/>
        <item m="1" x="2622"/>
        <item m="1" x="2595"/>
        <item m="1" x="4917"/>
        <item m="1" x="4703"/>
        <item m="1" x="1860"/>
        <item m="1" x="4577"/>
        <item m="1" x="1427"/>
        <item m="1" x="3767"/>
        <item m="1" x="2810"/>
        <item m="1" x="4627"/>
        <item m="1" x="2957"/>
        <item m="1" x="3614"/>
        <item m="1" x="3383"/>
        <item m="1" x="3057"/>
        <item m="1" x="3915"/>
        <item m="1" x="1776"/>
        <item m="1" x="2347"/>
        <item m="1" x="2641"/>
        <item m="1" x="1403"/>
        <item m="1" x="3569"/>
        <item m="1" x="2703"/>
        <item m="1" x="2239"/>
        <item m="1" x="4424"/>
        <item m="1" x="3094"/>
        <item m="1" x="1435"/>
        <item m="1" x="2251"/>
        <item m="1" x="4507"/>
        <item m="1" x="4314"/>
        <item m="1" x="4716"/>
        <item m="1" x="2797"/>
        <item m="1" x="4952"/>
        <item m="1" x="2511"/>
        <item m="1" x="2450"/>
        <item m="1" x="2270"/>
        <item m="1" x="1383"/>
        <item m="1" x="2579"/>
        <item m="1" x="2303"/>
        <item m="1" x="2301"/>
        <item m="1" x="4049"/>
        <item m="1" x="1296"/>
        <item m="1" x="2344"/>
        <item m="1" x="1240"/>
        <item m="1" x="260"/>
        <item m="1" x="264"/>
        <item m="1" x="3813"/>
        <item m="1" x="3374"/>
        <item m="1" x="2169"/>
        <item m="1" x="4555"/>
        <item m="1" x="2217"/>
        <item m="1" x="2578"/>
        <item m="1" x="3082"/>
        <item m="1" x="1826"/>
        <item m="1" x="2281"/>
        <item m="1" x="1479"/>
        <item m="1" x="2441"/>
        <item m="1" x="4929"/>
        <item m="1" x="2514"/>
        <item m="1" x="2123"/>
        <item m="1" x="2247"/>
        <item m="1" x="2803"/>
        <item m="1" x="4474"/>
        <item m="1" x="1366"/>
        <item m="1" x="2266"/>
        <item m="1" x="4767"/>
        <item m="1" x="2146"/>
        <item m="1" x="1702"/>
        <item m="1" x="1624"/>
        <item m="1" x="4078"/>
        <item m="1" x="3236"/>
        <item m="1" x="3762"/>
        <item m="1" x="2300"/>
        <item m="1" x="4660"/>
        <item m="1" x="3755"/>
        <item m="1" x="4158"/>
        <item m="1" x="4423"/>
        <item m="1" x="2821"/>
        <item m="1" x="3135"/>
        <item m="1" x="2911"/>
        <item m="1" x="1319"/>
        <item m="1" x="1908"/>
        <item m="1" x="1841"/>
        <item m="1" x="4210"/>
        <item m="1" x="4884"/>
        <item m="1" x="3072"/>
        <item m="1" x="2805"/>
        <item m="1" x="3127"/>
        <item m="1" x="2093"/>
        <item m="1" x="4427"/>
        <item m="1" x="2006"/>
        <item m="1" x="2815"/>
        <item m="1" x="3026"/>
        <item m="1" x="2684"/>
        <item m="1" x="2577"/>
        <item m="1" x="3441"/>
        <item m="1" x="3628"/>
        <item m="1" x="1870"/>
        <item m="1" x="2951"/>
        <item m="1" x="2551"/>
        <item m="1" x="2969"/>
        <item m="1" x="1531"/>
        <item m="1" x="4663"/>
        <item m="1" x="3970"/>
        <item m="1" x="3354"/>
        <item m="1" x="4835"/>
        <item m="1" x="4250"/>
        <item m="1" x="3525"/>
        <item m="1" x="4411"/>
        <item m="1" x="3904"/>
        <item m="1" x="3892"/>
        <item m="1" x="3835"/>
        <item m="1" x="2211"/>
        <item m="1" x="3310"/>
        <item m="1" x="4021"/>
        <item m="1" x="4895"/>
        <item m="1" x="2016"/>
        <item m="1" x="4104"/>
        <item m="1" x="3359"/>
        <item m="1" x="1755"/>
        <item m="1" x="1518"/>
        <item m="1" x="1865"/>
        <item m="1" x="3926"/>
        <item m="1" x="4842"/>
        <item m="1" x="2562"/>
        <item m="1" x="2850"/>
        <item m="1" x="2718"/>
        <item m="1" x="1684"/>
        <item m="1" x="3231"/>
        <item m="1" x="2439"/>
        <item m="1" x="4337"/>
        <item m="1" x="1655"/>
        <item m="1" x="1604"/>
        <item m="1" x="2499"/>
        <item m="1" x="3743"/>
        <item m="1" x="4278"/>
        <item m="1" x="3165"/>
        <item m="1" x="4045"/>
        <item m="1" x="2140"/>
        <item m="1" x="4329"/>
        <item m="1" x="2159"/>
        <item m="1" x="3581"/>
        <item m="1" x="2802"/>
        <item m="1" x="3291"/>
        <item m="1" x="1809"/>
        <item m="1" x="3042"/>
        <item m="1" x="3590"/>
        <item m="1" x="4029"/>
        <item m="1" x="4533"/>
        <item m="1" x="4867"/>
        <item m="1" x="2390"/>
        <item m="1" x="4804"/>
        <item m="1" x="2265"/>
        <item m="1" x="3471"/>
        <item m="1" x="4826"/>
        <item m="1" x="2369"/>
        <item m="1" x="2107"/>
        <item m="1" x="3280"/>
        <item m="1" x="2358"/>
        <item m="1" x="1632"/>
        <item m="1" x="3234"/>
        <item m="1" x="4727"/>
        <item m="1" x="2638"/>
        <item m="1" x="1311"/>
        <item m="1" x="3821"/>
        <item m="1" x="3399"/>
        <item m="1" x="2451"/>
        <item m="1" x="1567"/>
        <item m="1" x="3900"/>
        <item m="1" x="2360"/>
        <item m="1" x="2538"/>
        <item m="1" x="3007"/>
        <item m="1" x="1376"/>
        <item m="1" x="1509"/>
        <item m="1" x="3256"/>
        <item m="1" x="2460"/>
        <item m="1" x="1682"/>
        <item m="1" x="1303"/>
        <item m="1" x="2897"/>
        <item m="1" x="3673"/>
        <item m="1" x="3974"/>
        <item m="1" x="1465"/>
        <item m="1" x="4354"/>
        <item m="1" x="4752"/>
        <item m="1" x="4539"/>
        <item m="1" x="1190"/>
        <item m="1" x="3298"/>
        <item m="1" x="4676"/>
        <item m="1" x="1483"/>
        <item m="1" x="2037"/>
        <item m="1" x="2761"/>
        <item m="1" x="2370"/>
        <item m="1" x="3038"/>
        <item m="1" x="3279"/>
        <item m="1" x="1941"/>
        <item m="1" x="1646"/>
        <item m="1" x="4493"/>
        <item m="1" x="3685"/>
        <item m="1" x="4301"/>
        <item m="1" x="2311"/>
        <item m="1" x="4173"/>
        <item m="1" x="2039"/>
        <item m="1" x="4397"/>
        <item m="1" x="2778"/>
        <item m="1" x="1602"/>
        <item m="1" x="4425"/>
        <item m="1" x="2482"/>
        <item m="1" x="4461"/>
        <item m="1" x="4605"/>
        <item m="1" x="2417"/>
        <item m="1" x="1481"/>
        <item m="1" x="2855"/>
        <item m="1" x="3659"/>
        <item m="1" x="2229"/>
        <item m="1" x="1782"/>
        <item m="1" x="2177"/>
        <item m="1" x="2602"/>
        <item m="1" x="2941"/>
        <item m="1" x="2260"/>
        <item m="1" x="1820"/>
        <item m="1" x="3539"/>
        <item m="1" x="4781"/>
        <item m="1" x="3905"/>
        <item m="1" x="3661"/>
        <item m="1" x="1867"/>
        <item m="1" x="3002"/>
        <item m="1" x="4064"/>
        <item m="1" x="1681"/>
        <item m="1" x="2883"/>
        <item m="1" x="4667"/>
        <item m="1" x="1579"/>
        <item m="1" x="3021"/>
        <item m="1" x="3980"/>
        <item m="1" x="4212"/>
        <item m="1" x="3337"/>
        <item m="1" x="3952"/>
        <item m="1" x="3719"/>
        <item m="1" x="3247"/>
        <item m="1" x="2772"/>
        <item m="1" x="1355"/>
        <item m="1" x="3544"/>
        <item m="1" x="1457"/>
        <item m="1" x="1455"/>
        <item m="1" x="1914"/>
        <item m="1" x="1912"/>
        <item m="1" x="2659"/>
        <item m="1" x="2325"/>
        <item m="1" x="1398"/>
        <item m="1" x="3770"/>
        <item m="1" x="4175"/>
        <item m="1" x="3515"/>
        <item m="1" x="4756"/>
        <item m="1" x="1522"/>
        <item m="1" x="1921"/>
        <item m="1" x="3116"/>
        <item m="1" x="1651"/>
        <item m="1" x="2693"/>
        <item m="1" x="1266"/>
        <item m="1" x="1302"/>
        <item m="1" x="4836"/>
        <item m="1" x="4679"/>
        <item m="1" x="4155"/>
        <item m="1" x="4059"/>
        <item m="1" x="3407"/>
        <item m="1" x="4040"/>
        <item m="1" x="1971"/>
        <item m="1" x="2327"/>
        <item m="1" x="4381"/>
        <item m="1" x="2744"/>
        <item m="1" x="1955"/>
        <item m="1" x="3078"/>
        <item m="1" x="4080"/>
        <item m="1" x="4472"/>
        <item m="1" x="3604"/>
        <item m="1" x="2840"/>
        <item m="1" x="4827"/>
        <item m="1" x="1508"/>
        <item m="1" x="3376"/>
        <item m="1" x="1203"/>
        <item m="1" x="2643"/>
        <item m="1" x="2192"/>
        <item m="1" x="2230"/>
        <item m="1" x="2105"/>
        <item m="1" x="2925"/>
        <item m="1" x="2340"/>
        <item m="1" x="1209"/>
        <item m="1" x="4877"/>
        <item m="1" x="1416"/>
        <item m="1" x="3520"/>
        <item m="1" x="3054"/>
        <item m="1" x="4704"/>
        <item m="1" x="3408"/>
        <item m="1" x="1414"/>
        <item m="1" x="3519"/>
        <item m="1" x="2903"/>
        <item m="1" x="4056"/>
        <item m="1" x="3106"/>
        <item m="1" x="2403"/>
        <item m="1" x="4184"/>
        <item m="1" x="1394"/>
        <item m="1" x="2134"/>
        <item m="1" x="2738"/>
        <item m="1" x="4735"/>
        <item m="1" x="4832"/>
        <item m="1" x="4782"/>
        <item m="1" x="2926"/>
        <item m="1" x="4483"/>
        <item m="1" x="3089"/>
        <item m="1" x="3925"/>
        <item m="1" x="4775"/>
        <item m="1" x="1528"/>
        <item m="1" x="4349"/>
        <item m="1" x="4693"/>
        <item m="1" x="4866"/>
        <item m="1" x="4412"/>
        <item m="1" x="2870"/>
        <item m="1" x="3935"/>
        <item m="1" x="2053"/>
        <item m="1" x="2420"/>
        <item m="1" x="4893"/>
        <item m="1" x="3817"/>
        <item m="1" x="1413"/>
        <item m="1" x="2792"/>
        <item m="1" x="4121"/>
        <item m="1" x="2318"/>
        <item m="1" x="1871"/>
        <item m="1" x="4707"/>
        <item m="1" x="1538"/>
        <item m="1" x="4908"/>
        <item m="1" x="2752"/>
        <item m="1" x="3542"/>
        <item m="1" x="4694"/>
        <item m="1" x="3252"/>
        <item m="1" x="3440"/>
        <item m="1" x="1576"/>
        <item m="1" x="4812"/>
        <item m="1" x="2801"/>
        <item m="1" x="2523"/>
        <item m="1" x="2059"/>
        <item m="1" x="2732"/>
        <item m="1" x="2201"/>
        <item m="1" x="2773"/>
        <item m="1" x="3444"/>
        <item m="1" x="3205"/>
        <item m="1" x="4054"/>
        <item m="1" x="2961"/>
        <item m="1" x="4043"/>
        <item m="1" x="3210"/>
        <item m="1" x="4755"/>
        <item m="1" x="3353"/>
        <item m="1" x="4253"/>
        <item m="1" x="3107"/>
        <item m="1" x="4728"/>
        <item m="1" x="4315"/>
        <item m="1" x="1846"/>
        <item m="1" x="2106"/>
        <item m="1" x="4238"/>
        <item m="1" x="3481"/>
        <item m="1" x="3779"/>
        <item m="1" x="3931"/>
        <item m="1" x="1561"/>
        <item m="1" x="3703"/>
        <item m="1" x="2411"/>
        <item m="1" x="3346"/>
        <item m="1" x="1338"/>
        <item m="1" x="3720"/>
        <item m="1" x="3704"/>
        <item m="1" x="4437"/>
        <item m="1" x="1725"/>
        <item m="1" x="1737"/>
        <item m="1" x="4651"/>
        <item m="1" x="3202"/>
        <item m="1" x="3592"/>
        <item m="1" x="1629"/>
        <item m="1" x="3129"/>
        <item m="1" x="1592"/>
        <item m="1" x="3051"/>
        <item m="1" x="4677"/>
        <item m="1" x="2894"/>
        <item m="1" x="1467"/>
        <item m="1" x="2233"/>
        <item m="1" x="1995"/>
        <item m="1" x="3464"/>
        <item m="1" x="3574"/>
        <item m="1" x="1778"/>
        <item m="1" x="2581"/>
        <item m="1" x="3930"/>
        <item m="1" x="2048"/>
        <item m="1" x="2608"/>
        <item m="1" x="3203"/>
        <item m="1" x="4593"/>
        <item m="1" x="2603"/>
        <item m="1" x="1616"/>
        <item m="1" x="1241"/>
        <item m="1" x="4718"/>
        <item m="1" x="2823"/>
        <item m="1" x="1364"/>
        <item m="1" x="2743"/>
        <item m="1" x="1221"/>
        <item m="1" x="1186"/>
        <item m="1" x="4634"/>
        <item m="1" x="4540"/>
        <item m="1" x="4719"/>
        <item m="1" x="4695"/>
        <item m="1" x="3697"/>
        <item m="1" x="3181"/>
        <item m="1" x="2349"/>
        <item m="1" x="4400"/>
        <item m="1" x="3316"/>
        <item m="1" x="2597"/>
        <item m="1" x="2993"/>
        <item m="1" x="4576"/>
        <item m="1" x="1656"/>
        <item m="1" x="3850"/>
        <item m="1" x="1708"/>
        <item m="1" x="3455"/>
        <item m="1" x="2435"/>
        <item m="1" x="2669"/>
        <item m="1" x="3709"/>
        <item m="1" x="4559"/>
        <item m="1" x="3686"/>
        <item m="1" x="3119"/>
        <item m="1" x="2963"/>
        <item m="1" x="4478"/>
        <item m="1" x="1898"/>
        <item m="1" x="1219"/>
        <item m="1" x="3766"/>
        <item m="1" x="1728"/>
        <item m="1" x="4535"/>
        <item m="1" x="1585"/>
        <item m="1" x="2400"/>
        <item m="1" x="3070"/>
        <item m="1" x="2710"/>
        <item m="1" x="2568"/>
        <item m="1" x="1513"/>
        <item m="1" x="2116"/>
        <item m="1" x="3568"/>
        <item m="1" x="3839"/>
        <item m="1" x="3737"/>
        <item m="1" x="3289"/>
        <item m="1" x="4384"/>
        <item m="1" x="4144"/>
        <item m="1" x="3332"/>
        <item m="1" x="2861"/>
        <item m="1" x="4261"/>
        <item m="1" x="2632"/>
        <item m="1" x="2131"/>
        <item m="1" x="4897"/>
        <item m="1" x="2362"/>
        <item m="1" x="3373"/>
        <item m="1" x="1866"/>
        <item m="1" x="3603"/>
        <item m="1" x="2716"/>
        <item m="1" x="2448"/>
        <item m="1" x="1352"/>
        <item m="1" x="4279"/>
        <item m="1" x="4048"/>
        <item m="1" x="1759"/>
        <item m="1" x="4598"/>
        <item m="1" x="4356"/>
        <item m="1" x="1662"/>
        <item m="1" x="4779"/>
        <item m="1" x="3727"/>
        <item m="1" x="2371"/>
        <item m="1" x="2544"/>
        <item m="1" x="4632"/>
        <item m="1" x="3409"/>
        <item m="1" x="4801"/>
        <item m="1" x="2976"/>
        <item m="1" x="2272"/>
        <item m="1" x="3870"/>
        <item m="1" x="1790"/>
        <item m="1" x="3123"/>
        <item m="1" x="3694"/>
        <item m="1" x="1429"/>
        <item m="1" x="1485"/>
        <item m="1" x="4843"/>
        <item m="1" x="3278"/>
        <item m="1" x="4264"/>
        <item m="1" x="1381"/>
        <item m="1" x="1459"/>
        <item m="1" x="4452"/>
        <item m="1" x="4168"/>
        <item m="1" x="2244"/>
        <item m="1" x="2033"/>
        <item m="1" x="4776"/>
        <item m="1" x="4557"/>
        <item m="1" x="3186"/>
        <item m="1" x="2532"/>
        <item m="1" x="3001"/>
        <item m="1" x="1497"/>
        <item m="1" x="3984"/>
        <item m="1" x="1197"/>
        <item m="1" x="2974"/>
        <item m="1" x="1671"/>
        <item x="0"/>
        <item m="1" x="1193"/>
        <item m="1" x="2366"/>
        <item m="1" x="1706"/>
        <item m="1" x="1185"/>
        <item m="1" x="1678"/>
        <item m="1" x="3182"/>
        <item m="1" x="2491"/>
        <item m="1" x="2464"/>
        <item m="1" x="3462"/>
        <item m="1" x="4953"/>
        <item m="1" x="3265"/>
        <item m="1" x="2665"/>
        <item m="1" x="1371"/>
        <item m="1" x="3450"/>
        <item m="1" x="4283"/>
        <item m="1" x="2254"/>
        <item m="1" x="4788"/>
        <item m="1" x="3304"/>
        <item m="1" x="4570"/>
        <item m="1" x="3477"/>
        <item m="1" x="3245"/>
        <item m="1" x="3548"/>
        <item m="1" x="1330"/>
        <item m="1" x="1855"/>
        <item m="1" x="4642"/>
        <item m="1" x="4909"/>
        <item m="1" x="4408"/>
        <item m="1" x="2804"/>
        <item m="1" x="4838"/>
        <item m="1" x="4331"/>
        <item m="1" x="1248"/>
        <item m="1" x="4352"/>
        <item m="1" x="4195"/>
        <item m="1" x="3692"/>
        <item m="1" x="4075"/>
        <item m="1" x="4612"/>
        <item m="1" x="1986"/>
        <item m="1" x="4614"/>
        <item m="1" x="2633"/>
        <item m="1" x="1418"/>
        <item m="1" x="1650"/>
        <item m="1" x="4313"/>
        <item m="1" x="3934"/>
        <item m="1" x="2087"/>
        <item m="1" x="3537"/>
        <item m="1" x="3820"/>
        <item m="1" x="4876"/>
        <item m="1" x="2548"/>
        <item m="1" x="2924"/>
        <item m="1" x="3069"/>
        <item m="1" x="4365"/>
        <item m="1" x="2694"/>
        <item m="1" x="1578"/>
        <item m="1" x="4549"/>
        <item m="1" x="2375"/>
        <item m="1" x="4681"/>
        <item m="1" x="3253"/>
        <item m="1" x="1757"/>
        <item m="1" x="1667"/>
        <item m="1" x="1676"/>
        <item m="1" x="4656"/>
        <item m="1" x="3006"/>
        <item m="1" x="2571"/>
        <item m="1" x="1385"/>
        <item m="1" x="4170"/>
        <item m="1" x="3514"/>
        <item m="1" x="4811"/>
        <item m="1" x="2587"/>
        <item m="1" x="4821"/>
        <item m="1" x="3754"/>
        <item m="1" x="4758"/>
        <item m="1" x="4747"/>
        <item m="1" x="3849"/>
        <item m="1" x="4082"/>
        <item m="1" x="4880"/>
        <item m="1" x="3942"/>
        <item m="1" x="2830"/>
        <item m="1" x="4564"/>
        <item m="1" x="1356"/>
        <item m="1" x="1554"/>
        <item m="1" x="4670"/>
        <item m="1" x="3294"/>
        <item m="1" x="2936"/>
        <item m="1" x="3295"/>
        <item m="1" x="3565"/>
        <item m="1" x="2288"/>
        <item m="1" x="3420"/>
        <item m="1" x="4310"/>
        <item m="1" x="2737"/>
        <item m="1" x="2885"/>
        <item m="1" x="3814"/>
        <item m="1" x="3598"/>
        <item m="1" x="2289"/>
        <item m="1" x="1883"/>
        <item m="1" x="2530"/>
        <item m="1" x="3663"/>
        <item m="1" x="4743"/>
        <item m="1" x="3555"/>
        <item m="1" x="3815"/>
        <item m="1" x="4373"/>
        <item m="1" x="1555"/>
        <item m="1" x="2789"/>
        <item m="1" x="4870"/>
        <item m="1" x="1779"/>
        <item m="1" x="4386"/>
        <item m="1" x="4453"/>
        <item m="1" x="3882"/>
        <item m="1" x="3249"/>
        <item m="1" x="3226"/>
        <item m="1" x="3036"/>
        <item m="1" x="1442"/>
        <item m="1" x="4246"/>
        <item m="1" x="3893"/>
        <item m="1" x="4492"/>
        <item m="1" x="2536"/>
        <item m="1" x="3753"/>
        <item m="1" x="1358"/>
        <item m="1" x="1473"/>
        <item m="1" x="2780"/>
        <item m="1" x="1625"/>
        <item m="1" x="1643"/>
        <item m="1" x="1220"/>
        <item m="1" x="4720"/>
        <item m="1" x="3235"/>
        <item m="1" x="2912"/>
        <item m="1" x="1663"/>
        <item m="1" x="4654"/>
        <item m="1" x="4737"/>
        <item m="1" x="2315"/>
        <item m="1" x="2168"/>
        <item m="1" x="1180"/>
        <item m="1" x="2130"/>
        <item m="1" x="4157"/>
        <item m="1" x="2937"/>
        <item m="1" x="3706"/>
        <item m="1" x="3622"/>
        <item m="1" x="3669"/>
        <item m="1" x="2806"/>
        <item m="1" x="1686"/>
        <item m="1" x="4930"/>
        <item m="1" x="4321"/>
        <item m="1" x="4520"/>
        <item m="1" x="2166"/>
        <item m="1" x="3242"/>
        <item m="1" x="2066"/>
        <item m="1" x="4910"/>
        <item m="1" x="4542"/>
        <item m="1" x="1762"/>
        <item m="1" x="4879"/>
        <item m="1" x="3494"/>
        <item m="1" x="1803"/>
        <item m="1" x="1445"/>
        <item m="1" x="1972"/>
        <item m="1" x="4519"/>
        <item m="1" x="1756"/>
        <item m="1" x="1993"/>
        <item m="1" x="4638"/>
        <item m="1" x="2224"/>
        <item m="1" x="2215"/>
        <item m="1" x="4582"/>
        <item m="1" x="2854"/>
        <item m="1" x="1822"/>
        <item m="1" x="3216"/>
        <item m="1" x="4762"/>
        <item m="1" x="3434"/>
        <item m="1" x="4363"/>
        <item m="1" x="4046"/>
        <item m="1" x="1881"/>
        <item m="1" x="4369"/>
        <item m="1" x="4277"/>
        <item m="1" x="4545"/>
        <item m="1" x="3013"/>
        <item m="1" x="2583"/>
        <item m="1" x="1399"/>
        <item m="1" x="4342"/>
        <item m="1" x="3410"/>
        <item m="1" x="3609"/>
        <item m="1" x="1205"/>
        <item m="1" x="1562"/>
        <item m="1" x="4900"/>
        <item m="1" x="2256"/>
        <item m="1" x="1472"/>
        <item m="1" x="2630"/>
        <item m="1" x="4778"/>
        <item m="1" x="1749"/>
        <item m="1" x="1987"/>
        <item m="1" x="1350"/>
        <item m="1" x="4949"/>
        <item m="1" x="4125"/>
        <item m="1" x="2980"/>
        <item m="1" x="1199"/>
        <item m="1" x="1439"/>
        <item m="1" x="1225"/>
        <item m="1" x="3476"/>
        <item m="1" x="3947"/>
        <item m="1" x="4514"/>
        <item m="1" x="1761"/>
        <item m="1" x="2307"/>
        <item m="1" x="4259"/>
        <item m="1" x="3662"/>
        <item m="1" x="1253"/>
        <item m="1" x="2209"/>
        <item m="1" x="3179"/>
        <item m="1" x="4094"/>
        <item m="1" x="3077"/>
        <item m="1" x="2155"/>
        <item m="1" x="2050"/>
        <item m="1" x="2257"/>
        <item m="1" x="1621"/>
        <item m="1" x="3936"/>
        <item m="1" x="4937"/>
        <item m="1" x="4129"/>
        <item m="1" x="2261"/>
        <item m="1" x="3890"/>
        <item m="1" x="3606"/>
        <item m="1" x="1878"/>
        <item m="1" x="2826"/>
        <item m="1" x="3943"/>
        <item m="1" x="4921"/>
        <item m="1" x="2811"/>
        <item m="1" x="4841"/>
        <item m="1" x="3103"/>
        <item m="1" x="2372"/>
        <item m="1" x="3448"/>
        <item m="1" x="2294"/>
        <item m="1" x="1194"/>
        <item m="1" x="3349"/>
        <item m="1" x="1744"/>
        <item m="1" x="1305"/>
        <item m="1" x="4560"/>
        <item m="1" x="2904"/>
        <item m="1" x="2180"/>
        <item m="1" x="2720"/>
        <item m="1" x="3526"/>
        <item m="1" x="2103"/>
        <item m="1" x="3738"/>
        <item m="1" x="3010"/>
        <item m="1" x="3071"/>
        <item m="1" x="1495"/>
        <item m="1" x="4053"/>
        <item m="1" x="2846"/>
        <item m="1" x="3908"/>
        <item m="1" x="3780"/>
        <item m="1" x="2999"/>
        <item m="1" x="4289"/>
        <item m="1" x="1653"/>
        <item m="1" x="3170"/>
        <item m="1" x="2900"/>
        <item m="1" x="2874"/>
        <item m="1" x="3746"/>
        <item m="1" x="3501"/>
        <item m="1" x="4332"/>
        <item m="1" x="1979"/>
        <item m="1" x="4490"/>
        <item m="1" x="4733"/>
        <item m="1" x="1748"/>
        <item m="1" x="4183"/>
        <item m="1" x="3424"/>
        <item m="1" x="4668"/>
        <item m="1" x="3978"/>
        <item m="1" x="3533"/>
        <item m="1" x="4042"/>
        <item m="1" x="2664"/>
        <item m="1" x="1900"/>
        <item m="1" x="2592"/>
        <item m="1" x="1437"/>
        <item m="1" x="1422"/>
        <item m="1" x="4672"/>
        <item m="1" x="3104"/>
        <item m="1" x="1212"/>
        <item m="1" x="4928"/>
        <item m="1" x="1354"/>
        <item m="1" x="4036"/>
        <item m="1" x="4828"/>
        <item m="1" x="2585"/>
        <item m="1" x="3735"/>
        <item m="1" x="4524"/>
        <item m="1" x="2219"/>
        <item m="1" x="3956"/>
        <item m="1" x="4282"/>
        <item m="1" x="2719"/>
        <item m="1" x="1679"/>
        <item m="1" x="2777"/>
        <item m="1" x="4705"/>
        <item m="1" x="4802"/>
        <item m="1" x="2463"/>
        <item m="1" x="4618"/>
        <item m="1" x="4673"/>
        <item m="1" x="4521"/>
        <item m="1" x="4745"/>
        <item m="1" x="4936"/>
        <item m="1" x="2507"/>
        <item m="1" x="1415"/>
        <item m="1" x="1192"/>
        <item m="1" x="1631"/>
        <item m="1" x="4242"/>
        <item m="1" x="4639"/>
        <item m="1" x="4223"/>
        <item m="1" x="2786"/>
        <item m="1" x="2971"/>
        <item m="1" x="1370"/>
        <item m="1" x="3838"/>
        <item m="1" x="3426"/>
        <item m="1" x="1307"/>
        <item m="1" x="3675"/>
        <item m="1" x="2764"/>
        <item m="1" x="4799"/>
        <item m="1" x="3613"/>
        <item m="1" x="2996"/>
        <item m="1" x="1288"/>
        <item m="1" x="2212"/>
        <item m="1" x="1441"/>
        <item m="1" x="1188"/>
        <item m="1" x="4675"/>
        <item m="1" x="4608"/>
        <item m="1" x="1850"/>
        <item m="1" x="3093"/>
        <item m="1" x="2648"/>
        <item m="1" x="1419"/>
        <item m="1" x="4239"/>
        <item m="1" x="4065"/>
        <item m="1" x="4768"/>
        <item m="1" x="4600"/>
        <item m="1" x="3871"/>
        <item m="1" x="2173"/>
        <item m="1" x="1501"/>
        <item m="1" x="1334"/>
        <item m="1" x="2060"/>
        <item m="1" x="1694"/>
        <item m="1" x="4844"/>
        <item m="1" x="3307"/>
        <item m="1" x="3149"/>
        <item m="1" x="2973"/>
        <item m="1" x="3681"/>
        <item m="1" x="3092"/>
        <item m="1" x="1716"/>
        <item m="1" x="4389"/>
        <item m="1" x="1696"/>
        <item m="1" x="2515"/>
        <item m="1" x="1540"/>
        <item m="1" x="4886"/>
        <item m="1" x="1943"/>
        <item m="1" x="2264"/>
        <item m="1" x="3303"/>
        <item m="1" x="2828"/>
        <item m="1" x="1237"/>
        <item m="1" x="2000"/>
        <item m="1" x="2293"/>
        <item m="1" x="3680"/>
        <item m="1" x="2298"/>
        <item m="1" x="2061"/>
        <item m="1" x="1893"/>
        <item m="1" x="4290"/>
        <item m="1" x="3413"/>
        <item m="1" x="4714"/>
        <item m="1" x="1887"/>
        <item m="1" x="2489"/>
        <item m="1" x="4308"/>
        <item m="1" x="3262"/>
        <item m="1" x="2092"/>
        <item m="1" x="1392"/>
        <item m="1" x="3645"/>
        <item m="1" x="3508"/>
        <item m="1" x="1443"/>
        <item m="1" x="2444"/>
        <item m="1" x="1922"/>
        <item m="1" x="3452"/>
        <item m="1" x="3318"/>
        <item m="1" x="2729"/>
        <item m="1" x="4248"/>
        <item m="1" x="1640"/>
        <item m="1" x="1895"/>
        <item m="1" x="3874"/>
        <item m="1" x="4366"/>
        <item m="1" x="3888"/>
        <item m="1" x="3757"/>
        <item m="1" x="1400"/>
        <item m="1" x="1875"/>
        <item m="1" x="1503"/>
        <item m="1" x="4096"/>
        <item m="1" x="1830"/>
        <item m="1" x="3847"/>
        <item m="1" x="2782"/>
        <item m="1" x="2580"/>
        <item m="1" x="2702"/>
        <item m="1" x="2767"/>
        <item m="1" x="2045"/>
        <item m="1" x="2940"/>
        <item m="1" x="3732"/>
        <item m="1" x="4174"/>
        <item m="1" x="3728"/>
        <item m="1" x="2069"/>
        <item m="1" x="4416"/>
        <item m="1" x="1894"/>
        <item m="1" x="2987"/>
        <item m="1" x="2174"/>
        <item m="1" x="2639"/>
        <item m="1" x="4680"/>
        <item m="1" x="3527"/>
        <item m="1" x="4106"/>
        <item m="1" x="3714"/>
        <item m="1" x="1594"/>
        <item m="1" x="2877"/>
        <item m="1" x="2316"/>
        <item m="1" x="1336"/>
        <item m="1" x="4466"/>
        <item m="1" x="4185"/>
        <item m="1" x="3209"/>
        <item m="1" x="3538"/>
        <item m="1" x="2829"/>
        <item m="1" x="3618"/>
        <item m="1" x="4266"/>
        <item m="1" x="3800"/>
        <item m="1" x="2175"/>
        <item m="1" x="2859"/>
        <item m="1" x="1642"/>
        <item m="1" x="3551"/>
        <item m="1" x="4669"/>
        <item m="1" x="3156"/>
        <item m="1" x="1224"/>
        <item m="1" x="2517"/>
        <item m="1" x="3338"/>
        <item m="1" x="3895"/>
        <item m="1" x="2800"/>
        <item m="1" x="2396"/>
        <item m="1" x="2351"/>
        <item m="1" x="3112"/>
        <item m="1" x="4548"/>
        <item m="1" x="3876"/>
        <item m="1" x="2849"/>
        <item m="1" x="4156"/>
        <item m="1" x="2024"/>
        <item m="1" x="2956"/>
        <item m="1" x="1270"/>
        <item m="1" x="1552"/>
        <item m="1" x="2038"/>
        <item m="1" x="3313"/>
        <item m="1" x="4468"/>
        <item m="1" x="3557"/>
        <item m="1" x="4596"/>
        <item m="1" x="2635"/>
        <item m="1" x="4304"/>
        <item m="1" x="3693"/>
        <item m="1" x="1610"/>
        <item m="1" x="1340"/>
        <item m="1" x="3938"/>
        <item m="1" x="2892"/>
        <item m="1" x="1372"/>
        <item m="1" x="4578"/>
        <item m="1" x="2852"/>
        <item m="1" x="3561"/>
        <item m="1" x="1488"/>
        <item m="1" x="4686"/>
        <item m="1" x="4012"/>
        <item m="1" x="2085"/>
        <item m="1" x="3758"/>
        <item m="1" x="4057"/>
        <item m="1" x="1645"/>
        <item m="1" x="2847"/>
        <item m="1" x="2068"/>
        <item m="1" x="1301"/>
        <item m="1" x="3429"/>
        <item m="1" x="3667"/>
        <item m="1" x="2748"/>
        <item m="1" x="2319"/>
        <item m="1" x="2945"/>
        <item m="1" x="3756"/>
        <item m="1" x="2884"/>
        <item m="1" x="1361"/>
        <item m="1" x="1478"/>
        <item m="1" x="2506"/>
        <item m="1" x="4715"/>
        <item m="1" x="4063"/>
        <item m="1" x="3511"/>
        <item m="1" x="3023"/>
        <item m="1" x="2481"/>
        <item m="1" x="3140"/>
        <item m="1" x="3553"/>
        <item m="1" x="1798"/>
        <item m="1" x="3787"/>
        <item m="1" x="1746"/>
        <item m="1" x="3169"/>
        <item m="1" x="1289"/>
        <item m="1" x="4528"/>
        <item m="1" x="1468"/>
        <item m="1" x="4829"/>
        <item m="1" x="1721"/>
        <item m="1" x="4688"/>
        <item m="1" x="3447"/>
        <item m="1" x="2888"/>
        <item m="1" x="1566"/>
        <item m="1" x="3921"/>
        <item m="1" x="3200"/>
        <item m="1" x="4580"/>
        <item m="1" x="4941"/>
        <item m="1" x="2326"/>
        <item m="1" x="3982"/>
        <item m="1" x="3224"/>
        <item m="1" x="2964"/>
        <item m="1" x="2540"/>
        <item m="1" x="3397"/>
        <item m="1" x="1436"/>
        <item m="1" x="1282"/>
        <item m="1" x="3879"/>
        <item m="1" x="3651"/>
        <item m="1" x="4148"/>
        <item m="1" x="2742"/>
        <item m="1" x="2497"/>
        <item m="1" x="2404"/>
        <item m="1" x="3465"/>
        <item m="1" x="1801"/>
        <item m="1" x="1332"/>
        <item m="1" x="3017"/>
        <item m="1" x="3211"/>
        <item m="1" x="3124"/>
        <item m="1" x="1601"/>
        <item m="1" x="1999"/>
        <item m="1" x="4935"/>
        <item m="1" x="3449"/>
        <item m="1" x="2611"/>
        <item m="1" x="2409"/>
        <item m="1" x="1373"/>
        <item m="1" x="3923"/>
        <item m="1" x="4626"/>
        <item m="1" x="3472"/>
        <item m="1" x="2455"/>
        <item m="1" x="2629"/>
        <item m="1" x="2662"/>
        <item m="1" x="3025"/>
        <item m="1" x="2077"/>
        <item m="1" x="1863"/>
        <item m="1" x="1947"/>
        <item m="1" x="2677"/>
        <item m="1" x="4556"/>
        <item m="1" x="3250"/>
        <item m="1" x="3111"/>
        <item m="1" x="1611"/>
        <item m="1" x="4470"/>
        <item m="1" x="4646"/>
        <item m="1" x="3749"/>
        <item m="1" x="1617"/>
        <item m="1" x="3114"/>
        <item m="1" x="3052"/>
        <item m="1" x="3975"/>
        <item m="1" x="4955"/>
        <item m="1" x="4108"/>
        <item m="1" x="4432"/>
        <item m="1" x="2269"/>
        <item m="1" x="3080"/>
        <item m="1" x="3475"/>
        <item m="1" x="3909"/>
        <item m="1" x="1740"/>
        <item m="1" x="4824"/>
        <item m="1" x="4052"/>
        <item m="1" x="2660"/>
        <item m="1" x="3379"/>
        <item m="1" x="1734"/>
        <item m="1" x="1821"/>
        <item m="1" x="4364"/>
        <item m="1" x="1574"/>
        <item m="1" x="3480"/>
        <item m="1" x="4749"/>
        <item m="1" x="4067"/>
        <item m="1" x="3034"/>
        <item m="1" x="3018"/>
        <item m="1" x="3221"/>
        <item m="1" x="3957"/>
        <item m="1" x="1715"/>
        <item m="1" x="4640"/>
        <item m="1" x="3523"/>
        <item m="1" x="1851"/>
        <item m="1" x="1693"/>
        <item m="1" x="2490"/>
        <item m="1" x="1512"/>
        <item m="1" x="1474"/>
        <item m="1" x="3145"/>
        <item m="1" x="2277"/>
        <item m="1" x="3563"/>
        <item m="1" x="1596"/>
        <item m="1" x="4275"/>
        <item m="1" x="3969"/>
        <item m="1" x="3907"/>
        <item m="1" x="2712"/>
        <item m="1" x="1599"/>
        <item m="1" x="1233"/>
        <item m="1" x="2547"/>
        <item m="1" x="3385"/>
        <item m="1" x="3631"/>
        <item m="1" x="1944"/>
        <item m="1" x="2412"/>
        <item m="1" x="4010"/>
        <item m="1" x="4761"/>
        <item m="1" x="4375"/>
        <item m="1" x="3545"/>
        <item m="1" x="1704"/>
        <item m="1" x="1606"/>
        <item m="1" x="3098"/>
        <item m="1" x="3240"/>
        <item m="1" x="3333"/>
        <item m="1" x="2055"/>
        <item m="1" x="1747"/>
        <item m="1" x="1498"/>
        <item m="1" x="1700"/>
        <item m="1" x="2470"/>
        <item m="1" x="3601"/>
        <item m="1" x="2028"/>
        <item m="1" x="4534"/>
        <item m="1" x="1541"/>
        <item m="1" x="4027"/>
        <item m="1" x="2321"/>
        <item m="1" x="2447"/>
        <item m="1" x="3647"/>
        <item m="1" x="3560"/>
        <item m="1" x="1184"/>
        <item m="1" x="2196"/>
        <item m="1" x="2542"/>
        <item m="1" x="2047"/>
        <item m="1" x="1701"/>
        <item m="1" x="2013"/>
        <item m="1" x="4022"/>
        <item m="1" x="1723"/>
        <item m="1" x="3064"/>
        <item m="1" x="2312"/>
        <item m="1" x="1691"/>
        <item m="1" x="1411"/>
        <item m="1" x="2007"/>
        <item m="1" x="4367"/>
        <item m="1" x="3799"/>
        <item m="1" x="3658"/>
        <item m="1" x="1954"/>
        <item m="1" x="4860"/>
        <item m="1" x="4070"/>
        <item m="1" x="3992"/>
        <item m="1" x="4429"/>
        <item m="1" x="3823"/>
        <item m="1" x="1780"/>
        <item m="1" x="3039"/>
        <item m="1" x="4785"/>
        <item m="1" x="3822"/>
        <item m="1" x="1892"/>
        <item m="1" x="3049"/>
        <item m="1" x="1337"/>
        <item m="1" x="3259"/>
        <item m="1" x="3079"/>
        <item m="1" x="3067"/>
        <item m="1" x="3616"/>
        <item m="1" x="3115"/>
        <item m="1" x="2714"/>
        <item m="1" x="3579"/>
        <item m="1" x="3960"/>
        <item m="1" x="4830"/>
        <item m="1" x="3627"/>
        <item m="1" x="2758"/>
        <item m="1" x="3040"/>
        <item m="1" x="3470"/>
        <item m="1" x="3381"/>
        <item m="1" x="1764"/>
        <item m="1" x="2389"/>
        <item m="1" x="3422"/>
        <item m="1" x="3716"/>
        <item m="1" x="2535"/>
        <item m="1" x="1730"/>
        <item m="1" x="2352"/>
        <item m="1" x="4947"/>
        <item m="1" x="1401"/>
        <item m="1" x="3588"/>
        <item m="1" x="4000"/>
        <item m="1" x="4431"/>
        <item m="1" x="2391"/>
        <item m="1" x="3032"/>
        <item m="1" x="1942"/>
        <item m="1" x="1668"/>
        <item m="1" x="4495"/>
        <item m="1" x="1967"/>
        <item m="1" x="2835"/>
        <item m="1" x="3989"/>
        <item m="1" x="4529"/>
        <item m="1" x="4008"/>
        <item m="1" x="4357"/>
        <item m="1" x="4079"/>
        <item m="1" x="3717"/>
        <item m="1" x="2299"/>
        <item m="1" x="4165"/>
        <item m="1" x="1345"/>
        <item m="1" x="1586"/>
        <item m="1" x="1990"/>
        <item m="1" x="4271"/>
        <item m="1" x="3829"/>
        <item m="1" x="3889"/>
        <item m="1" x="2188"/>
        <item m="1" x="4496"/>
        <item m="1" x="2705"/>
        <item m="1" x="2057"/>
        <item m="1" x="4848"/>
        <item m="1" x="1306"/>
        <item m="1" x="1565"/>
        <item m="1" x="1724"/>
        <item m="1" x="4051"/>
        <item m="1" x="2813"/>
        <item m="1" x="2250"/>
        <item m="1" x="1869"/>
        <item m="1" x="4645"/>
        <item m="1" x="2120"/>
        <item m="1" x="3668"/>
        <item m="1" x="4757"/>
        <item m="1" x="3355"/>
        <item m="1" x="4609"/>
        <item m="1" x="2324"/>
        <item m="1" x="2099"/>
        <item m="1" x="3619"/>
        <item m="1" x="4240"/>
        <item m="1" x="2509"/>
        <item m="1" x="1918"/>
        <item m="1" x="3438"/>
        <item m="1" x="4878"/>
        <item m="1" x="1588"/>
        <item m="1" x="3846"/>
        <item m="1" x="2126"/>
        <item m="1" x="2929"/>
        <item m="1" x="2475"/>
        <item m="1" x="4635"/>
        <item m="1" x="1889"/>
        <item m="1" x="4875"/>
        <item m="1" x="3966"/>
        <item m="1" x="1284"/>
        <item m="1" x="4551"/>
        <item m="1" x="3583"/>
        <item m="1" x="1293"/>
        <item m="1" x="3741"/>
        <item m="1" x="1745"/>
        <item m="1" x="4512"/>
        <item m="1" x="4380"/>
        <item m="1" x="1382"/>
        <item m="1" x="1785"/>
        <item m="1" x="4068"/>
        <item m="1" x="3734"/>
        <item m="1" x="3352"/>
        <item m="1" x="2899"/>
        <item m="1" x="1807"/>
        <item m="1" x="2820"/>
        <item m="1" x="1913"/>
        <item m="1" x="3075"/>
        <item m="1" x="1450"/>
        <item m="1" x="3152"/>
        <item m="1" x="2297"/>
        <item m="1" x="4317"/>
        <item m="1" x="1263"/>
        <item m="1" x="3517"/>
        <item m="1" x="3439"/>
        <item m="1" x="1196"/>
        <item m="1" x="2109"/>
        <item m="1" x="1323"/>
        <item m="1" x="2723"/>
        <item m="1" x="1882"/>
        <item m="1" x="1393"/>
        <item m="1" x="3679"/>
        <item m="1" x="1977"/>
        <item m="1" x="2921"/>
        <item m="1" x="1449"/>
        <item m="1" x="3535"/>
        <item m="1" x="3299"/>
        <item m="1" x="3798"/>
        <item m="1" x="2165"/>
        <item m="1" x="4942"/>
        <item m="1" x="2125"/>
        <item m="1" x="3053"/>
        <item m="1" x="3269"/>
        <item m="1" x="2902"/>
        <item m="1" x="1768"/>
        <item m="1" x="3387"/>
        <item m="1" x="3175"/>
        <item m="1" x="2031"/>
        <item m="1" x="3862"/>
        <item m="1" x="2004"/>
        <item m="1" x="3398"/>
        <item m="1" x="4517"/>
        <item m="1" x="2161"/>
        <item m="1" x="3230"/>
        <item m="1" x="3611"/>
        <item m="1" x="2495"/>
        <item m="1" x="4159"/>
        <item m="1" x="4003"/>
        <item m="1" x="2388"/>
        <item m="1" x="1216"/>
        <item m="1" x="3456"/>
        <item m="1" x="1463"/>
        <item m="1" x="4445"/>
        <item m="1" x="1553"/>
        <item m="1" x="2680"/>
        <item m="1" x="4904"/>
        <item m="1" x="1286"/>
        <item m="1" x="1444"/>
        <item m="1" x="2273"/>
        <item m="1" x="3760"/>
        <item m="1" x="1859"/>
        <item m="1" x="4069"/>
        <item m="1" x="4553"/>
        <item m="1" x="4683"/>
        <item m="1" x="4390"/>
        <item m="1" x="3488"/>
        <item m="1" x="2763"/>
        <item m="1" x="4421"/>
        <item m="1" x="3796"/>
        <item m="1" x="2458"/>
        <item m="1" x="3287"/>
        <item m="1" x="2104"/>
        <item m="1" x="3733"/>
        <item m="1" x="1985"/>
        <item m="1" x="2392"/>
        <item m="1" x="4763"/>
        <item m="1" x="1766"/>
        <item m="1" x="1506"/>
        <item m="1" x="3791"/>
        <item m="1" x="2757"/>
        <item m="1" x="2381"/>
        <item m="1" x="2768"/>
        <item m="1" x="2249"/>
        <item m="1" x="3196"/>
        <item m="1" x="3775"/>
        <item m="1" x="3885"/>
        <item m="1" x="3277"/>
        <item m="1" x="1378"/>
        <item m="1" x="4462"/>
        <item m="1" x="1713"/>
        <item m="1" x="2609"/>
        <item m="1" x="2938"/>
        <item m="1" x="2025"/>
        <item m="1" x="2183"/>
        <item m="1" x="4109"/>
        <item m="1" x="2837"/>
        <item m="1" x="4532"/>
        <item m="1" x="4925"/>
        <item m="1" x="3887"/>
        <item m="1" x="4850"/>
        <item m="1" x="4288"/>
        <item m="1" x="4463"/>
        <item m="1" x="4216"/>
        <item m="1" x="2154"/>
        <item m="1" x="2287"/>
        <item m="1" x="2138"/>
        <item m="1" x="4464"/>
        <item m="1" x="3218"/>
        <item m="1" x="1295"/>
        <item m="1" x="1998"/>
        <item m="1" x="4164"/>
        <item m="1" x="1390"/>
        <item m="1" x="4678"/>
        <item m="1" x="3323"/>
        <item m="1" x="2359"/>
        <item m="1" x="1461"/>
        <item m="1" x="3552"/>
        <item m="1" x="4403"/>
        <item m="1" x="4494"/>
        <item m="1" x="3417"/>
        <item m="1" x="3274"/>
        <item m="1" x="1558"/>
        <item m="1" x="1992"/>
        <item m="1" x="4770"/>
        <item m="1" x="3607"/>
        <item m="1" x="4105"/>
        <item m="1" x="2428"/>
        <item m="1" x="1852"/>
        <item m="1" x="3824"/>
        <item m="1" x="2687"/>
        <item m="1" x="4247"/>
        <item m="1" x="3239"/>
        <item m="1" x="4963"/>
        <item m="1" x="1980"/>
        <item m="1" x="3968"/>
        <item m="1" x="2645"/>
        <item m="1" x="4284"/>
        <item m="1" x="4276"/>
        <item m="1" x="4899"/>
        <item m="1" x="4361"/>
        <item m="1" x="3046"/>
        <item m="1" x="3329"/>
        <item m="1" x="4370"/>
        <item m="1" x="3700"/>
        <item m="1" x="3386"/>
        <item m="1" x="4586"/>
        <item m="1" x="2195"/>
        <item m="1" x="1187"/>
        <item m="1" x="3141"/>
        <item m="1" x="3556"/>
        <item m="1" x="1699"/>
        <item m="1" x="4422"/>
        <item m="1" x="3368"/>
        <item m="1" x="3412"/>
        <item m="1" x="4945"/>
        <item m="1" x="4130"/>
        <item m="1" x="4066"/>
        <item m="1" x="1377"/>
        <item m="1" x="3063"/>
        <item m="1" x="1925"/>
        <item m="1" x="4306"/>
        <item m="1" x="3232"/>
        <item m="1" x="1917"/>
        <item m="1" x="2621"/>
        <item m="1" x="2769"/>
        <item m="1" x="3389"/>
        <item m="1" x="4293"/>
        <item m="1" x="1496"/>
        <item m="1" x="1535"/>
        <item m="1" x="4116"/>
        <item m="1" x="4228"/>
        <item m="1" x="3597"/>
        <item m="1" x="2477"/>
        <item m="1" x="4617"/>
        <item m="1" x="4536"/>
        <item m="1" x="3922"/>
        <item m="1" x="4060"/>
        <item m="1" x="1360"/>
        <item m="1" x="1571"/>
        <item m="1" x="3963"/>
        <item m="1" x="3086"/>
        <item m="1" x="3066"/>
        <item m="1" x="4340"/>
        <item m="1" x="4044"/>
        <item m="1" x="2646"/>
        <item m="1" x="3777"/>
        <item m="1" x="2337"/>
        <item m="1" x="4015"/>
        <item m="1" x="1537"/>
        <item m="1" x="1402"/>
        <item m="1" x="1244"/>
        <item m="1" x="2650"/>
        <item m="1" x="2354"/>
        <item m="1" x="3625"/>
        <item m="1" x="1308"/>
        <item m="1" x="3971"/>
        <item m="1" x="1825"/>
        <item m="1" x="4817"/>
        <item m="1" x="4822"/>
        <item m="1" x="4299"/>
        <item m="1" x="1547"/>
        <item m="1" x="3126"/>
        <item m="1" x="4091"/>
        <item m="1" x="4260"/>
        <item m="1" x="3902"/>
        <item m="1" x="1271"/>
        <item m="1" x="2546"/>
        <item m="1" x="1711"/>
        <item m="1" x="3644"/>
        <item m="1" x="4038"/>
        <item m="1" x="2010"/>
        <item m="1" x="2292"/>
        <item m="1" x="3649"/>
        <item m="1" x="2171"/>
        <item m="1" x="3132"/>
        <item m="1" x="1904"/>
        <item m="1" x="1770"/>
        <item m="1" x="3458"/>
        <item m="1" x="3880"/>
        <item m="1" x="4584"/>
        <item m="1" x="4623"/>
        <item m="1" x="2394"/>
        <item m="1" x="3809"/>
        <item m="1" x="3912"/>
        <item m="1" x="3065"/>
        <item m="1" x="1896"/>
        <item m="1" x="4597"/>
        <item m="1" x="2011"/>
        <item m="1" x="1933"/>
        <item m="1" x="3356"/>
        <item m="1" x="2040"/>
        <item m="1" x="2252"/>
        <item m="1" x="1379"/>
        <item m="1" x="2150"/>
        <item m="1" x="4780"/>
        <item m="1" x="3621"/>
        <item m="1" x="1568"/>
        <item m="1" x="2636"/>
        <item m="1" x="1885"/>
        <item m="1" x="3806"/>
        <item m="1" x="2868"/>
        <item m="1" x="4630"/>
        <item m="1" x="3153"/>
        <item m="1" x="4798"/>
        <item m="1" x="4572"/>
        <item m="1" x="4111"/>
        <item m="1" x="2944"/>
        <item m="1" x="3836"/>
        <item m="1" x="1613"/>
        <item m="1" x="1677"/>
        <item m="1" x="2873"/>
        <item m="1" x="1264"/>
        <item m="1" x="3428"/>
        <item m="1" x="3786"/>
        <item m="1" x="2701"/>
        <item m="1" x="3789"/>
        <item m="1" x="3163"/>
        <item m="1" x="4552"/>
        <item m="1" x="4406"/>
        <item m="1" x="1981"/>
        <item m="1" x="4479"/>
        <item m="1" x="1351"/>
        <item m="1" x="1657"/>
        <item m="1" x="1469"/>
        <item m="1" x="4100"/>
        <item m="1" x="2290"/>
        <item m="1" x="4907"/>
        <item m="1" x="2206"/>
        <item m="1" x="2725"/>
        <item m="1" x="2685"/>
        <item m="1" x="2610"/>
        <item m="1" x="4073"/>
        <item m="1" x="3584"/>
        <item m="1" x="4307"/>
        <item m="1" x="4062"/>
        <item m="1" x="2561"/>
        <item m="1" x="2197"/>
        <item m="1" x="3172"/>
        <item m="1" x="2754"/>
        <item m="1" x="2429"/>
        <item m="1" x="4568"/>
        <item m="1" x="1283"/>
        <item m="1" x="3785"/>
        <item m="1" x="1316"/>
        <item m="1" x="2593"/>
        <item m="1" x="2794"/>
        <item m="1" x="3315"/>
        <item m="1" x="3096"/>
        <item m="1" x="4794"/>
        <item m="1" x="4641"/>
        <item m="1" x="4055"/>
        <item m="1" x="4951"/>
        <item m="1" x="3540"/>
        <item m="1" x="1239"/>
        <item m="1" x="3113"/>
        <item m="1" x="2474"/>
        <item m="1" x="1638"/>
        <item m="1" x="4771"/>
        <item m="1" x="4014"/>
        <item m="1" x="2709"/>
        <item m="1" x="3987"/>
        <item m="1" x="1831"/>
        <item m="1" x="3884"/>
        <item m="1" x="1813"/>
        <item m="1" x="4511"/>
        <item m="1" x="4862"/>
        <item m="1" x="1907"/>
        <item m="1" x="3020"/>
        <item m="1" x="3347"/>
        <item m="1" x="1816"/>
        <item m="1" x="4192"/>
        <item m="1" x="2108"/>
        <item m="1" x="2931"/>
        <item m="1" x="3558"/>
        <item m="1" x="2405"/>
        <item m="1" x="1259"/>
        <item m="1" x="1261"/>
        <item m="1" x="2642"/>
        <item m="1" x="3272"/>
        <item m="1" x="4103"/>
        <item m="1" x="4087"/>
        <item m="1" x="1735"/>
        <item m="1" x="4861"/>
        <item m="1" x="2917"/>
        <item m="1" x="2688"/>
        <item m="1" x="2469"/>
        <item m="1" x="4035"/>
        <item m="1" x="4854"/>
        <item m="1" x="3782"/>
        <item m="1" x="4302"/>
        <item m="1" x="4795"/>
        <item m="1" x="1470"/>
        <item m="1" x="4515"/>
        <item m="1" x="2891"/>
        <item m="1" x="1375"/>
        <item m="1" x="1211"/>
        <item m="1" x="2697"/>
        <item m="1" x="1853"/>
        <item m="1" x="2549"/>
        <item m="1" x="1287"/>
        <item m="1" x="3474"/>
        <item m="1" x="3948"/>
        <item m="1" x="3901"/>
        <item m="1" x="2346"/>
        <item m="1" x="2227"/>
        <item m="1" x="4734"/>
        <item m="1" x="2074"/>
        <item m="1" x="3979"/>
        <item m="1" x="2207"/>
        <item m="1" x="1597"/>
        <item m="1" x="4145"/>
        <item m="1" x="2992"/>
        <item m="1" x="2954"/>
        <item m="1" x="3689"/>
        <item m="1" x="2770"/>
        <item m="1" x="3776"/>
        <item m="1" x="3142"/>
        <item m="1" x="4482"/>
        <item m="1" x="3913"/>
        <item m="1" x="4294"/>
        <item m="1" x="2860"/>
        <item m="1" x="4477"/>
        <item m="1" x="3752"/>
        <item m="1" x="1275"/>
        <item m="1" x="1845"/>
        <item m="1" x="3664"/>
        <item m="1" x="4451"/>
        <item m="1" x="4187"/>
        <item m="1" x="3950"/>
        <item m="1" x="4089"/>
        <item m="1" x="3596"/>
        <item m="1" x="3176"/>
        <item m="1" x="3138"/>
        <item m="1" x="3993"/>
        <item m="1" x="4837"/>
        <item m="1" x="3396"/>
        <item m="1" x="3492"/>
        <item m="1" x="1844"/>
        <item m="1" x="2145"/>
        <item m="1" x="4787"/>
        <item m="1" x="3435"/>
        <item m="1" x="3293"/>
        <item m="1" x="2431"/>
        <item m="1" x="2726"/>
        <item m="1" x="1637"/>
        <item m="1" x="3605"/>
        <item m="1" x="2419"/>
        <item m="1" x="1362"/>
        <item m="1" x="2683"/>
        <item m="1" x="3285"/>
        <item m="1" x="2012"/>
        <item m="1" x="4525"/>
        <item m="1" x="3959"/>
        <item m="1" x="4177"/>
        <item m="1" x="2790"/>
        <item m="1" x="4537"/>
        <item m="1" x="1548"/>
        <item m="1" x="4190"/>
        <item m="1" x="1911"/>
        <item m="1" x="1804"/>
        <item m="1" x="2285"/>
        <item m="1" x="1627"/>
        <item m="1" x="3484"/>
        <item m="1" x="2501"/>
        <item m="1" x="2618"/>
        <item m="1" x="1934"/>
        <item m="1" x="1712"/>
        <item m="1" x="2136"/>
        <item m="1" x="4659"/>
        <item m="1" x="3491"/>
        <item m="1" x="1405"/>
        <item m="1" x="2376"/>
        <item m="1" x="4114"/>
        <item m="1" x="1386"/>
        <item m="1" x="4510"/>
        <item m="1" x="3460"/>
        <item m="1" x="1344"/>
        <item m="1" x="1299"/>
        <item m="1" x="2543"/>
        <item m="1" x="3461"/>
        <item m="1" x="4269"/>
        <item m="1" x="3771"/>
        <item m="1" x="2839"/>
        <item m="1" x="3624"/>
        <item m="1" x="3324"/>
        <item m="1" x="2545"/>
        <item m="1" x="4531"/>
        <item m="1" x="3745"/>
        <item m="1" x="2998"/>
        <item m="1" x="2036"/>
        <item m="1" x="3654"/>
        <item m="1" x="3292"/>
        <item m="1" x="2739"/>
        <item m="1" x="1410"/>
        <item m="1" x="2100"/>
        <item m="1" x="2088"/>
        <item m="1" x="4206"/>
        <item m="1" x="3220"/>
        <item m="1" x="1689"/>
        <item m="1" x="3790"/>
        <item m="1" x="2478"/>
        <item m="1" x="2387"/>
        <item m="1" x="2707"/>
        <item m="1" x="1758"/>
        <item m="1" x="4237"/>
        <item m="1" x="4653"/>
        <item m="1" x="2582"/>
        <item m="1" x="2329"/>
        <item m="1" x="4032"/>
        <item m="1" x="3928"/>
        <item m="1" x="1874"/>
        <item m="1" x="1527"/>
        <item m="1" x="2075"/>
        <item m="1" x="2064"/>
        <item m="1" x="3676"/>
        <item m="1" x="3650"/>
        <item m="1" x="1833"/>
        <item m="1" x="4619"/>
        <item m="1" x="1572"/>
        <item m="1" x="3670"/>
        <item m="1" x="4585"/>
        <item m="1" x="4090"/>
        <item m="1" x="4508"/>
        <item m="1" x="4671"/>
        <item m="1" x="2559"/>
        <item m="1" x="1837"/>
        <item m="1" x="3764"/>
        <item m="1" x="4459"/>
        <item m="1" x="4350"/>
        <item m="1" x="2152"/>
        <item m="1" x="3531"/>
        <item m="1" x="4189"/>
        <item m="1" x="4092"/>
        <item m="1" x="3158"/>
        <item m="1" x="4786"/>
        <item m="1" x="1647"/>
        <item m="1" x="3160"/>
        <item m="1" x="1456"/>
        <item m="1" x="4252"/>
        <item m="1" x="4797"/>
        <item m="1" x="2452"/>
        <item m="1" x="2110"/>
        <item m="1" x="2071"/>
        <item m="1" x="3339"/>
        <item m="1" x="2235"/>
        <item m="1" x="3833"/>
        <item m="1" x="2584"/>
        <item m="1" x="1265"/>
        <item m="1" x="4232"/>
        <item m="1" x="1707"/>
        <item m="1" x="2606"/>
        <item m="1" x="2160"/>
        <item m="1" x="1466"/>
        <item m="1" x="2831"/>
        <item m="1" x="3087"/>
        <item m="1" x="4954"/>
        <item m="1" x="1404"/>
        <item m="1" x="4853"/>
        <item m="1" x="4687"/>
        <item m="1" x="1769"/>
        <item m="1" x="2715"/>
        <item m="1" x="4207"/>
        <item m="1" x="4890"/>
        <item m="1" x="4840"/>
        <item m="1" x="3639"/>
        <item m="1" x="3358"/>
        <item m="1" x="2512"/>
        <item m="1" x="4753"/>
        <item m="1" x="3427"/>
        <item m="1" x="2019"/>
        <item m="1" x="1276"/>
        <item m="1" x="4881"/>
        <item m="1" x="4657"/>
        <item m="1" x="3421"/>
        <item m="1" x="1928"/>
        <item m="1" x="1714"/>
        <item m="1" x="2042"/>
        <item m="1" x="3854"/>
        <item m="1" x="3243"/>
        <item m="1" x="3327"/>
        <item m="1" x="3405"/>
        <item m="1" x="3431"/>
        <item m="1" x="3623"/>
        <item m="1" x="4072"/>
        <item m="1" x="3188"/>
        <item m="1" x="1829"/>
        <item m="1" x="3768"/>
        <item m="1" x="2952"/>
        <item m="1" x="1543"/>
        <item m="1" x="3848"/>
        <item m="1" x="4150"/>
        <item m="1" x="4475"/>
        <item m="1" x="4449"/>
        <item m="1" x="4530"/>
        <item m="1" x="3543"/>
        <item m="1" x="4025"/>
        <item m="1" x="1281"/>
        <item m="1" x="4219"/>
        <item m="1" x="4153"/>
        <item m="1" x="2044"/>
        <item m="1" x="4701"/>
        <item m="1" x="2284"/>
        <item m="1" x="4322"/>
        <item m="1" x="1491"/>
        <item m="1" x="2796"/>
        <item m="1" x="3599"/>
        <item m="1" x="1507"/>
        <item m="1" x="4409"/>
        <item m="1" x="2950"/>
        <item m="1" x="2309"/>
        <item m="1" x="2112"/>
        <item m="1" x="4376"/>
        <item m="1" x="3896"/>
        <item m="1" x="4631"/>
        <item m="1" x="3060"/>
        <item m="1" x="4652"/>
        <item m="1" x="2023"/>
        <item m="1" x="3233"/>
        <item m="1" x="4852"/>
        <item m="1" x="3453"/>
        <item m="1" x="3487"/>
        <item m="1" x="3197"/>
        <item m="1" x="3195"/>
        <item m="1" x="3772"/>
        <item m="1" x="4554"/>
        <item m="1" x="3898"/>
        <item m="1" x="4135"/>
        <item m="1" x="3130"/>
        <item m="1" x="2573"/>
        <item m="1" x="3159"/>
        <item m="1" x="2488"/>
        <item m="1" x="1431"/>
        <item m="1" x="2317"/>
        <item m="1" x="3401"/>
        <item m="1" x="2522"/>
        <item m="1" x="2908"/>
        <item m="1" x="4420"/>
        <item m="1" x="1796"/>
        <item m="1" x="4151"/>
        <item m="1" x="3004"/>
        <item m="1" x="1217"/>
        <item m="1" x="1426"/>
        <item m="1" x="3394"/>
        <item m="1" x="1575"/>
        <item m="1" x="1341"/>
        <item m="1" x="1648"/>
        <item m="1" x="3911"/>
        <item m="1" x="1665"/>
        <item m="1" x="3215"/>
        <item m="1" x="4918"/>
        <item m="1" x="1771"/>
        <item m="1" x="4789"/>
        <item m="1" x="2932"/>
        <item m="1" x="4810"/>
        <item m="1" x="3167"/>
        <item m="1" x="4160"/>
        <item m="1" x="4446"/>
        <item m="1" x="4481"/>
        <item m="1" x="1795"/>
        <item m="1" x="1612"/>
        <item m="1" x="2380"/>
        <item m="1" x="1661"/>
        <item m="1" x="4699"/>
        <item m="1" x="3962"/>
        <item m="1" x="4378"/>
        <item m="1" x="1834"/>
        <item m="1" x="2374"/>
        <item m="1" x="3996"/>
        <item m="1" x="1799"/>
        <item m="1" x="3031"/>
        <item m="1" x="3238"/>
        <item m="1" x="1752"/>
        <item m="1" x="1978"/>
        <item m="1" x="4874"/>
        <item m="1" x="1660"/>
        <item m="1" x="4892"/>
        <item m="1" x="4230"/>
        <item m="1" x="4244"/>
        <item m="1" x="2617"/>
        <item m="1" x="1452"/>
        <item m="1" x="3091"/>
        <item m="1" x="4208"/>
        <item m="1" x="3241"/>
        <item m="1" x="4591"/>
        <item m="1" x="4166"/>
        <item m="1" x="3818"/>
        <item m="1" x="2467"/>
        <item m="1" x="1698"/>
        <item m="1" x="3419"/>
        <item m="1" x="4024"/>
        <item m="1" x="1471"/>
        <item m="1" x="2086"/>
        <item m="1" x="4855"/>
        <item m="1" x="4281"/>
        <item m="1" x="1389"/>
        <item m="1" x="2147"/>
        <item m="1" x="4438"/>
        <item m="1" x="1906"/>
        <item m="1" x="4134"/>
        <item m="1" x="3678"/>
        <item m="1" x="1460"/>
        <item m="1" x="3351"/>
        <item m="1" x="3248"/>
        <item m="1" x="4742"/>
        <item m="1" x="4221"/>
        <item m="1" x="3929"/>
        <item m="1" x="3587"/>
        <item m="1" x="4243"/>
        <item m="1" x="4440"/>
        <item m="1" x="4180"/>
        <item m="1" x="3575"/>
        <item m="1" x="4717"/>
        <item m="1" x="4200"/>
        <item m="1" x="1480"/>
        <item m="1" x="4112"/>
        <item m="1" x="1685"/>
        <item m="1" x="2179"/>
        <item m="1" x="1280"/>
        <item m="1" x="3638"/>
        <item m="1" x="2841"/>
        <item m="1" x="1446"/>
        <item m="1" x="4088"/>
        <item m="1" x="4061"/>
        <item m="1" x="3805"/>
        <item m="1" x="1958"/>
        <item m="1" x="1511"/>
        <item m="1" x="4265"/>
        <item m="1" x="1310"/>
        <item m="1" x="2121"/>
        <item m="1" x="3591"/>
        <item m="1" x="2255"/>
        <item m="1" x="4709"/>
        <item m="1" x="2691"/>
        <item m="1" x="2871"/>
        <item m="1" x="3940"/>
        <item m="1" x="3495"/>
        <item m="1" x="2844"/>
        <item m="1" x="4360"/>
        <item m="1" x="2363"/>
        <item m="1" x="4863"/>
        <item m="1" x="3740"/>
        <item m="1" x="1464"/>
        <item m="1" x="1331"/>
        <item m="1" x="1428"/>
        <item m="1" x="3499"/>
        <item m="1" x="1626"/>
        <item m="1" x="1652"/>
        <item m="1" x="4964"/>
        <item m="1" x="3147"/>
        <item m="1" x="3729"/>
        <item m="1" x="2187"/>
        <item m="1" x="1349"/>
        <item m="1" x="4711"/>
        <item m="1" x="2882"/>
        <item m="1" x="2232"/>
        <item m="1" x="3617"/>
        <item m="1" x="1666"/>
        <item m="1" x="3496"/>
        <item m="1" x="2518"/>
        <item m="1" x="2081"/>
        <item m="1" x="4205"/>
        <item m="1" x="1581"/>
        <item m="1" x="4793"/>
        <item m="1" x="4017"/>
        <item m="1" x="2015"/>
        <item m="1" x="4666"/>
        <item m="1" x="2625"/>
        <item m="1" x="4506"/>
        <item m="1" x="4807"/>
        <item m="1" x="2862"/>
        <item m="1" x="2965"/>
        <item m="1" x="3635"/>
        <item m="1" x="4708"/>
        <item m="1" x="2977"/>
        <item m="1" x="3883"/>
        <item m="1" x="2930"/>
        <item m="1" x="4404"/>
        <item m="1" x="2149"/>
        <item m="1" x="4258"/>
        <item m="1" x="4215"/>
        <item m="1" x="1861"/>
        <item m="1" x="2070"/>
        <item m="1" x="1969"/>
        <item m="1" x="3788"/>
        <item m="1" x="2176"/>
        <item m="1" x="3506"/>
        <item m="1" x="2101"/>
        <item m="1" x="4562"/>
        <item m="1" x="4419"/>
        <item m="1" x="3468"/>
        <item m="1" x="3834"/>
        <item m="1" x="4211"/>
        <item m="1" x="2379"/>
        <item m="1" x="4856"/>
        <item m="1" x="2566"/>
        <item m="1" x="4268"/>
        <item m="1" x="2223"/>
        <item m="1" x="2819"/>
        <item m="1" x="4547"/>
        <item m="1" x="2226"/>
        <item m="1" x="3466"/>
        <item m="1" x="4019"/>
        <item m="1" x="3792"/>
        <item m="1" x="3139"/>
        <item m="1" x="4455"/>
        <item m="1" x="4820"/>
        <item m="1" x="2933"/>
        <item m="1" x="3699"/>
        <item m="1" x="4227"/>
        <item m="1" x="3281"/>
        <item m="1" x="2759"/>
        <item m="1" x="1639"/>
        <item m="1" x="2910"/>
        <item m="1" x="2457"/>
        <item m="1" x="3482"/>
        <item m="1" x="4273"/>
        <item m="1" x="1802"/>
        <item m="1" x="3858"/>
        <item m="1" x="4362"/>
        <item m="1" x="2158"/>
        <item m="1" x="3027"/>
        <item m="1" x="2143"/>
        <item m="1" x="3300"/>
        <item m="1" x="3433"/>
        <item m="1" x="2623"/>
        <item m="1" x="2822"/>
        <item m="1" x="3151"/>
        <item m="1" x="1395"/>
        <item m="1" x="2471"/>
        <item m="1" x="4143"/>
        <item m="1" x="4295"/>
        <item m="1" x="4731"/>
        <item m="1" x="1231"/>
        <item m="1" x="2128"/>
        <item m="1" x="3260"/>
        <item m="1" x="1964"/>
        <item m="1" x="2799"/>
        <item m="1" x="4773"/>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s>
    </pivotField>
    <pivotField axis="axisRow" compact="0" outline="0" showAll="0" defaultSubtotal="0">
      <items count="67">
        <item m="1" x="44"/>
        <item m="1" x="9"/>
        <item m="1" x="33"/>
        <item m="1" x="41"/>
        <item m="1" x="17"/>
        <item m="1" x="18"/>
        <item m="1" x="16"/>
        <item m="1" x="11"/>
        <item m="1" x="14"/>
        <item m="1" x="1"/>
        <item m="1" x="26"/>
        <item m="1" x="19"/>
        <item m="1" x="15"/>
        <item m="1" x="2"/>
        <item m="1" x="3"/>
        <item m="1" x="5"/>
        <item m="1" x="10"/>
        <item m="1" x="6"/>
        <item m="1" x="21"/>
        <item m="1" x="12"/>
        <item m="1" x="22"/>
        <item m="1" x="24"/>
        <item m="1" x="34"/>
        <item m="1" x="35"/>
        <item m="1" x="48"/>
        <item m="1" x="38"/>
        <item m="1" x="39"/>
        <item m="1" x="32"/>
        <item m="1" x="52"/>
        <item m="1" x="64"/>
        <item m="1" x="47"/>
        <item m="1" x="43"/>
        <item x="0"/>
        <item m="1" x="4"/>
        <item m="1" x="57"/>
        <item m="1" x="23"/>
        <item m="1" x="7"/>
        <item m="1" x="8"/>
        <item m="1" x="27"/>
        <item m="1" x="62"/>
        <item m="1" x="56"/>
        <item m="1" x="55"/>
        <item m="1" x="54"/>
        <item m="1" x="49"/>
        <item m="1" x="53"/>
        <item m="1" x="20"/>
        <item m="1" x="30"/>
        <item m="1" x="36"/>
        <item m="1" x="40"/>
        <item m="1" x="65"/>
        <item m="1" x="29"/>
        <item m="1" x="31"/>
        <item m="1" x="13"/>
        <item m="1" x="28"/>
        <item m="1" x="37"/>
        <item m="1" x="25"/>
        <item m="1" x="59"/>
        <item m="1" x="63"/>
        <item m="1" x="42"/>
        <item m="1" x="46"/>
        <item m="1" x="50"/>
        <item m="1" x="66"/>
        <item m="1" x="60"/>
        <item m="1" x="61"/>
        <item m="1" x="58"/>
        <item m="1" x="51"/>
        <item m="1" x="45"/>
      </items>
    </pivotField>
    <pivotField axis="axisRow" compact="0" outline="0" showAll="0" defaultSubtotal="0">
      <items count="34">
        <item m="1" x="26"/>
        <item m="1" x="9"/>
        <item m="1" x="5"/>
        <item m="1" x="25"/>
        <item m="1" x="10"/>
        <item m="1" x="12"/>
        <item m="1" x="11"/>
        <item m="1" x="1"/>
        <item m="1" x="14"/>
        <item m="1" x="2"/>
        <item m="1" x="3"/>
        <item m="1" x="6"/>
        <item m="1" x="8"/>
        <item m="1" x="13"/>
        <item x="0"/>
        <item m="1" x="7"/>
        <item m="1" x="18"/>
        <item m="1" x="16"/>
        <item m="1" x="17"/>
        <item m="1" x="32"/>
        <item m="1" x="33"/>
        <item m="1" x="24"/>
        <item m="1" x="28"/>
        <item m="1" x="30"/>
        <item m="1" x="4"/>
        <item m="1" x="22"/>
        <item m="1" x="19"/>
        <item m="1" x="20"/>
        <item m="1" x="15"/>
        <item m="1" x="31"/>
        <item m="1" x="21"/>
        <item m="1" x="27"/>
        <item m="1" x="23"/>
        <item m="1" x="29"/>
      </items>
    </pivotField>
    <pivotField axis="axisRow" compact="0" outline="0" showAll="0" defaultSubtotal="0">
      <items count="36">
        <item m="1" x="23"/>
        <item m="1" x="11"/>
        <item m="1" x="25"/>
        <item m="1" x="5"/>
        <item m="1" x="32"/>
        <item m="1" x="1"/>
        <item m="1" x="2"/>
        <item m="1" x="28"/>
        <item m="1" x="10"/>
        <item m="1" x="6"/>
        <item m="1" x="8"/>
        <item m="1" x="9"/>
        <item m="1" x="7"/>
        <item m="1" x="3"/>
        <item m="1" x="22"/>
        <item m="1" x="12"/>
        <item x="0"/>
        <item m="1" x="26"/>
        <item m="1" x="16"/>
        <item m="1" x="18"/>
        <item m="1" x="24"/>
        <item m="1" x="13"/>
        <item m="1" x="33"/>
        <item m="1" x="31"/>
        <item m="1" x="27"/>
        <item m="1" x="30"/>
        <item m="1" x="4"/>
        <item m="1" x="20"/>
        <item m="1" x="17"/>
        <item m="1" x="19"/>
        <item m="1" x="14"/>
        <item m="1" x="21"/>
        <item m="1" x="34"/>
        <item m="1" x="15"/>
        <item m="1" x="35"/>
        <item m="1" x="29"/>
      </items>
    </pivotField>
    <pivotField axis="axisRow" compact="0" outline="0" showAll="0" defaultSubtotal="0">
      <items count="2">
        <item sd="0" m="1" x="1"/>
        <item x="0"/>
      </items>
    </pivotField>
    <pivotField axis="axisRow" compact="0" outline="0" showAll="0" defaultSubtotal="0">
      <items count="27">
        <item m="1" x="15"/>
        <item m="1" x="10"/>
        <item m="1" x="3"/>
        <item m="1" x="7"/>
        <item m="1" x="2"/>
        <item m="1" x="16"/>
        <item m="1" x="4"/>
        <item m="1" x="1"/>
        <item m="1" x="11"/>
        <item m="1" x="24"/>
        <item m="1" x="23"/>
        <item m="1" x="5"/>
        <item x="0"/>
        <item m="1" x="6"/>
        <item m="1" x="21"/>
        <item m="1" x="25"/>
        <item m="1" x="22"/>
        <item m="1" x="13"/>
        <item m="1" x="26"/>
        <item m="1" x="9"/>
        <item m="1" x="18"/>
        <item m="1" x="20"/>
        <item m="1" x="8"/>
        <item m="1" x="12"/>
        <item m="1" x="17"/>
        <item m="1" x="19"/>
        <item m="1" x="14"/>
      </items>
    </pivotField>
  </pivotFields>
  <rowFields count="8">
    <field x="8"/>
    <field x="6"/>
    <field x="2"/>
    <field x="16"/>
    <field x="17"/>
    <field x="13"/>
    <field x="14"/>
    <field x="15"/>
  </rowFields>
  <rowItems count="1">
    <i t="grand">
      <x/>
    </i>
  </rowItems>
  <colFields count="1">
    <field x="-2"/>
  </colFields>
  <colItems count="4">
    <i>
      <x/>
    </i>
    <i i="1">
      <x v="1"/>
    </i>
    <i i="2">
      <x v="2"/>
    </i>
    <i i="3">
      <x v="3"/>
    </i>
  </colItems>
  <dataFields count="4">
    <dataField name=" Element Works Cost" fld="9" baseField="15" baseItem="11" numFmtId="167"/>
    <dataField name=" TM Cost" fld="10" baseField="15" baseItem="11" numFmtId="167"/>
    <dataField name=" Add-on Cost" fld="11" baseField="15" baseItem="11" numFmtId="167"/>
    <dataField name=" Total Cost" fld="12" baseField="15" baseItem="11" numFmtId="167"/>
  </dataFields>
  <formats count="100">
    <format dxfId="235">
      <pivotArea field="8" type="button" dataOnly="0" labelOnly="1" outline="0" axis="axisRow" fieldPosition="0"/>
    </format>
    <format dxfId="234">
      <pivotArea field="6" type="button" dataOnly="0" labelOnly="1" outline="0" axis="axisRow" fieldPosition="1"/>
    </format>
    <format dxfId="233">
      <pivotArea field="16" type="button" dataOnly="0" labelOnly="1" outline="0" axis="axisRow" fieldPosition="3"/>
    </format>
    <format dxfId="232">
      <pivotArea field="17" type="button" dataOnly="0" labelOnly="1" outline="0" axis="axisRow" fieldPosition="4"/>
    </format>
    <format dxfId="231">
      <pivotArea field="8" type="button" dataOnly="0" labelOnly="1" outline="0" axis="axisRow" fieldPosition="0"/>
    </format>
    <format dxfId="230">
      <pivotArea field="6" type="button" dataOnly="0" labelOnly="1" outline="0" axis="axisRow" fieldPosition="1"/>
    </format>
    <format dxfId="229">
      <pivotArea field="16" type="button" dataOnly="0" labelOnly="1" outline="0" axis="axisRow" fieldPosition="3"/>
    </format>
    <format dxfId="228">
      <pivotArea field="17" type="button" dataOnly="0" labelOnly="1" outline="0" axis="axisRow" fieldPosition="4"/>
    </format>
    <format dxfId="227">
      <pivotArea field="8" type="button" dataOnly="0" labelOnly="1" outline="0" axis="axisRow" fieldPosition="0"/>
    </format>
    <format dxfId="226">
      <pivotArea field="6" type="button" dataOnly="0" labelOnly="1" outline="0" axis="axisRow" fieldPosition="1"/>
    </format>
    <format dxfId="225">
      <pivotArea field="16" type="button" dataOnly="0" labelOnly="1" outline="0" axis="axisRow" fieldPosition="3"/>
    </format>
    <format dxfId="224">
      <pivotArea field="17" type="button" dataOnly="0" labelOnly="1" outline="0" axis="axisRow" fieldPosition="4"/>
    </format>
    <format dxfId="223">
      <pivotArea field="13" type="button" dataOnly="0" labelOnly="1" outline="0" axis="axisRow" fieldPosition="5"/>
    </format>
    <format dxfId="222">
      <pivotArea field="14" type="button" dataOnly="0" labelOnly="1" outline="0" axis="axisRow" fieldPosition="6"/>
    </format>
    <format dxfId="221">
      <pivotArea field="15" type="button" dataOnly="0" labelOnly="1" outline="0" axis="axisRow" fieldPosition="7"/>
    </format>
    <format dxfId="220">
      <pivotArea field="9" type="button" dataOnly="0" labelOnly="1" outline="0"/>
    </format>
    <format dxfId="219">
      <pivotArea field="12" type="button" dataOnly="0" labelOnly="1" outline="0"/>
    </format>
    <format dxfId="218">
      <pivotArea field="11" type="button" dataOnly="0" labelOnly="1" outline="0"/>
    </format>
    <format dxfId="217">
      <pivotArea dataOnly="0" labelOnly="1" outline="0" fieldPosition="0">
        <references count="1">
          <reference field="14" count="0"/>
        </references>
      </pivotArea>
    </format>
    <format dxfId="216">
      <pivotArea field="10" type="button" dataOnly="0" labelOnly="1" outline="0"/>
    </format>
    <format dxfId="215">
      <pivotArea type="all" dataOnly="0" outline="0" fieldPosition="0"/>
    </format>
    <format dxfId="214">
      <pivotArea field="8" type="button" dataOnly="0" labelOnly="1" outline="0" axis="axisRow" fieldPosition="0"/>
    </format>
    <format dxfId="213">
      <pivotArea field="6" type="button" dataOnly="0" labelOnly="1" outline="0" axis="axisRow" fieldPosition="1"/>
    </format>
    <format dxfId="212">
      <pivotArea field="16" type="button" dataOnly="0" labelOnly="1" outline="0" axis="axisRow" fieldPosition="3"/>
    </format>
    <format dxfId="211">
      <pivotArea field="17" type="button" dataOnly="0" labelOnly="1" outline="0" axis="axisRow" fieldPosition="4"/>
    </format>
    <format dxfId="210">
      <pivotArea field="13" type="button" dataOnly="0" labelOnly="1" outline="0" axis="axisRow" fieldPosition="5"/>
    </format>
    <format dxfId="209">
      <pivotArea field="14" type="button" dataOnly="0" labelOnly="1" outline="0" axis="axisRow" fieldPosition="6"/>
    </format>
    <format dxfId="208">
      <pivotArea field="15" type="button" dataOnly="0" labelOnly="1" outline="0" axis="axisRow" fieldPosition="7"/>
    </format>
    <format dxfId="207">
      <pivotArea field="9" type="button" dataOnly="0" labelOnly="1" outline="0"/>
    </format>
    <format dxfId="206">
      <pivotArea field="10" type="button" dataOnly="0" labelOnly="1" outline="0"/>
    </format>
    <format dxfId="205">
      <pivotArea field="11" type="button" dataOnly="0" labelOnly="1" outline="0"/>
    </format>
    <format dxfId="204">
      <pivotArea field="12" type="button" dataOnly="0" labelOnly="1" outline="0"/>
    </format>
    <format dxfId="203">
      <pivotArea dataOnly="0" labelOnly="1" outline="0" fieldPosition="0">
        <references count="1">
          <reference field="8" count="0"/>
        </references>
      </pivotArea>
    </format>
    <format dxfId="202">
      <pivotArea dataOnly="0" labelOnly="1" grandRow="1" outline="0" fieldPosition="0"/>
    </format>
    <format dxfId="201">
      <pivotArea dataOnly="0" labelOnly="1" outline="0" fieldPosition="0">
        <references count="2">
          <reference field="6" count="2">
            <x v="5"/>
            <x v="31"/>
          </reference>
          <reference field="8" count="1" selected="0">
            <x v="0"/>
          </reference>
        </references>
      </pivotArea>
    </format>
    <format dxfId="200">
      <pivotArea dataOnly="0" labelOnly="1" outline="0" fieldPosition="0">
        <references count="2">
          <reference field="6" count="4">
            <x v="183"/>
            <x v="295"/>
            <x v="321"/>
            <x v="323"/>
          </reference>
          <reference field="8" count="1" selected="0">
            <x v="1"/>
          </reference>
        </references>
      </pivotArea>
    </format>
    <format dxfId="199">
      <pivotArea dataOnly="0" labelOnly="1" outline="0" fieldPosition="0">
        <references count="2">
          <reference field="6" count="9">
            <x v="599"/>
            <x v="639"/>
            <x v="644"/>
            <x v="737"/>
            <x v="743"/>
            <x v="744"/>
            <x v="747"/>
            <x v="760"/>
            <x v="902"/>
          </reference>
          <reference field="8" count="1" selected="0">
            <x v="2"/>
          </reference>
        </references>
      </pivotArea>
    </format>
    <format dxfId="198">
      <pivotArea dataOnly="0" labelOnly="1" outline="0" fieldPosition="0">
        <references count="2">
          <reference field="6" count="7">
            <x v="916"/>
            <x v="934"/>
            <x v="955"/>
            <x v="978"/>
            <x v="982"/>
            <x v="983"/>
            <x v="986"/>
          </reference>
          <reference field="8" count="1" selected="0">
            <x v="3"/>
          </reference>
        </references>
      </pivotArea>
    </format>
    <format dxfId="197">
      <pivotArea dataOnly="0" labelOnly="1" outline="0" fieldPosition="0">
        <references count="2">
          <reference field="6" count="6">
            <x v="993"/>
            <x v="994"/>
            <x v="996"/>
            <x v="997"/>
            <x v="998"/>
            <x v="1007"/>
          </reference>
          <reference field="8" count="1" selected="0">
            <x v="4"/>
          </reference>
        </references>
      </pivotArea>
    </format>
    <format dxfId="196">
      <pivotArea field="2" type="button" dataOnly="0" labelOnly="1" outline="0" axis="axisRow" fieldPosition="2"/>
    </format>
    <format dxfId="195">
      <pivotArea dataOnly="0" labelOnly="1" outline="0" fieldPosition="0">
        <references count="1">
          <reference field="6" count="0"/>
        </references>
      </pivotArea>
    </format>
    <format dxfId="194">
      <pivotArea dataOnly="0" labelOnly="1" outline="0" fieldPosition="0">
        <references count="1">
          <reference field="4294967294" count="4">
            <x v="0"/>
            <x v="1"/>
            <x v="2"/>
            <x v="3"/>
          </reference>
        </references>
      </pivotArea>
    </format>
    <format dxfId="193">
      <pivotArea dataOnly="0" outline="0" fieldPosition="0">
        <references count="1">
          <reference field="4294967294" count="4">
            <x v="0"/>
            <x v="1"/>
            <x v="2"/>
            <x v="3"/>
          </reference>
        </references>
      </pivotArea>
    </format>
    <format dxfId="192">
      <pivotArea type="all" dataOnly="0" outline="0" fieldPosition="0"/>
    </format>
    <format dxfId="191">
      <pivotArea outline="0" collapsedLevelsAreSubtotals="1" fieldPosition="0"/>
    </format>
    <format dxfId="190">
      <pivotArea field="8" type="button" dataOnly="0" labelOnly="1" outline="0" axis="axisRow" fieldPosition="0"/>
    </format>
    <format dxfId="189">
      <pivotArea field="6" type="button" dataOnly="0" labelOnly="1" outline="0" axis="axisRow" fieldPosition="1"/>
    </format>
    <format dxfId="188">
      <pivotArea field="2" type="button" dataOnly="0" labelOnly="1" outline="0" axis="axisRow" fieldPosition="2"/>
    </format>
    <format dxfId="187">
      <pivotArea field="16" type="button" dataOnly="0" labelOnly="1" outline="0" axis="axisRow" fieldPosition="3"/>
    </format>
    <format dxfId="186">
      <pivotArea field="17" type="button" dataOnly="0" labelOnly="1" outline="0" axis="axisRow" fieldPosition="4"/>
    </format>
    <format dxfId="185">
      <pivotArea field="13" type="button" dataOnly="0" labelOnly="1" outline="0" axis="axisRow" fieldPosition="5"/>
    </format>
    <format dxfId="184">
      <pivotArea field="14" type="button" dataOnly="0" labelOnly="1" outline="0" axis="axisRow" fieldPosition="6"/>
    </format>
    <format dxfId="183">
      <pivotArea field="15" type="button" dataOnly="0" labelOnly="1" outline="0" axis="axisRow" fieldPosition="7"/>
    </format>
    <format dxfId="182">
      <pivotArea dataOnly="0" labelOnly="1" outline="0" fieldPosition="0">
        <references count="1">
          <reference field="8" count="0"/>
        </references>
      </pivotArea>
    </format>
    <format dxfId="181">
      <pivotArea dataOnly="0" labelOnly="1" grandRow="1" outline="0" fieldPosition="0"/>
    </format>
    <format dxfId="180">
      <pivotArea dataOnly="0" labelOnly="1" outline="0" fieldPosition="0">
        <references count="2">
          <reference field="6" count="2">
            <x v="5"/>
            <x v="31"/>
          </reference>
          <reference field="8" count="1" selected="0">
            <x v="0"/>
          </reference>
        </references>
      </pivotArea>
    </format>
    <format dxfId="179">
      <pivotArea dataOnly="0" labelOnly="1" outline="0" fieldPosition="0">
        <references count="2">
          <reference field="6" count="4">
            <x v="183"/>
            <x v="270"/>
            <x v="321"/>
            <x v="323"/>
          </reference>
          <reference field="8" count="1" selected="0">
            <x v="1"/>
          </reference>
        </references>
      </pivotArea>
    </format>
    <format dxfId="178">
      <pivotArea dataOnly="0" labelOnly="1" outline="0" fieldPosition="0">
        <references count="2">
          <reference field="6" count="9">
            <x v="599"/>
            <x v="639"/>
            <x v="644"/>
            <x v="737"/>
            <x v="743"/>
            <x v="744"/>
            <x v="747"/>
            <x v="760"/>
            <x v="771"/>
          </reference>
          <reference field="8" count="1" selected="0">
            <x v="2"/>
          </reference>
        </references>
      </pivotArea>
    </format>
    <format dxfId="177">
      <pivotArea dataOnly="0" labelOnly="1" outline="0" fieldPosition="0">
        <references count="2">
          <reference field="6" count="8">
            <x v="775"/>
            <x v="902"/>
            <x v="916"/>
            <x v="934"/>
            <x v="955"/>
            <x v="978"/>
            <x v="982"/>
            <x v="983"/>
          </reference>
          <reference field="8" count="1" selected="0">
            <x v="3"/>
          </reference>
        </references>
      </pivotArea>
    </format>
    <format dxfId="176">
      <pivotArea dataOnly="0" labelOnly="1" outline="0" fieldPosition="0">
        <references count="2">
          <reference field="6" count="10">
            <x v="986"/>
            <x v="993"/>
            <x v="994"/>
            <x v="996"/>
            <x v="997"/>
            <x v="998"/>
            <x v="1002"/>
            <x v="1007"/>
            <x v="1008"/>
            <x v="1009"/>
          </reference>
          <reference field="8" count="1" selected="0">
            <x v="4"/>
          </reference>
        </references>
      </pivotArea>
    </format>
    <format dxfId="175">
      <pivotArea dataOnly="0" labelOnly="1" outline="0" fieldPosition="0">
        <references count="3">
          <reference field="2" count="1">
            <x v="21"/>
          </reference>
          <reference field="6" count="1" selected="0">
            <x v="5"/>
          </reference>
          <reference field="8" count="1" selected="0">
            <x v="0"/>
          </reference>
        </references>
      </pivotArea>
    </format>
    <format dxfId="174">
      <pivotArea dataOnly="0" labelOnly="1" outline="0" fieldPosition="0">
        <references count="3">
          <reference field="2" count="1">
            <x v="20"/>
          </reference>
          <reference field="6" count="1" selected="0">
            <x v="31"/>
          </reference>
          <reference field="8" count="1" selected="0">
            <x v="0"/>
          </reference>
        </references>
      </pivotArea>
    </format>
    <format dxfId="173">
      <pivotArea dataOnly="0" labelOnly="1" outline="0" fieldPosition="0">
        <references count="3">
          <reference field="2" count="1">
            <x v="19"/>
          </reference>
          <reference field="6" count="1" selected="0">
            <x v="183"/>
          </reference>
          <reference field="8" count="1" selected="0">
            <x v="1"/>
          </reference>
        </references>
      </pivotArea>
    </format>
    <format dxfId="172">
      <pivotArea dataOnly="0" labelOnly="1" outline="0" fieldPosition="0">
        <references count="3">
          <reference field="2" count="1">
            <x v="11"/>
          </reference>
          <reference field="6" count="1" selected="0">
            <x v="270"/>
          </reference>
          <reference field="8" count="1" selected="0">
            <x v="1"/>
          </reference>
        </references>
      </pivotArea>
    </format>
    <format dxfId="171">
      <pivotArea dataOnly="0" labelOnly="1" outline="0" fieldPosition="0">
        <references count="3">
          <reference field="2" count="1">
            <x v="3"/>
          </reference>
          <reference field="6" count="1" selected="0">
            <x v="321"/>
          </reference>
          <reference field="8" count="1" selected="0">
            <x v="1"/>
          </reference>
        </references>
      </pivotArea>
    </format>
    <format dxfId="170">
      <pivotArea dataOnly="0" labelOnly="1" outline="0" fieldPosition="0">
        <references count="3">
          <reference field="2" count="1">
            <x v="12"/>
          </reference>
          <reference field="6" count="1" selected="0">
            <x v="323"/>
          </reference>
          <reference field="8" count="1" selected="0">
            <x v="1"/>
          </reference>
        </references>
      </pivotArea>
    </format>
    <format dxfId="169">
      <pivotArea dataOnly="0" labelOnly="1" outline="0" fieldPosition="0">
        <references count="3">
          <reference field="2" count="1">
            <x v="6"/>
          </reference>
          <reference field="6" count="1" selected="0">
            <x v="599"/>
          </reference>
          <reference field="8" count="1" selected="0">
            <x v="2"/>
          </reference>
        </references>
      </pivotArea>
    </format>
    <format dxfId="168">
      <pivotArea dataOnly="0" labelOnly="1" outline="0" fieldPosition="0">
        <references count="3">
          <reference field="2" count="1">
            <x v="5"/>
          </reference>
          <reference field="6" count="1" selected="0">
            <x v="639"/>
          </reference>
          <reference field="8" count="1" selected="0">
            <x v="2"/>
          </reference>
        </references>
      </pivotArea>
    </format>
    <format dxfId="167">
      <pivotArea dataOnly="0" labelOnly="1" outline="0" fieldPosition="0">
        <references count="3">
          <reference field="2" count="1">
            <x v="16"/>
          </reference>
          <reference field="6" count="1" selected="0">
            <x v="644"/>
          </reference>
          <reference field="8" count="1" selected="0">
            <x v="2"/>
          </reference>
        </references>
      </pivotArea>
    </format>
    <format dxfId="166">
      <pivotArea dataOnly="0" labelOnly="1" outline="0" fieldPosition="0">
        <references count="3">
          <reference field="2" count="1">
            <x v="23"/>
          </reference>
          <reference field="6" count="1" selected="0">
            <x v="737"/>
          </reference>
          <reference field="8" count="1" selected="0">
            <x v="2"/>
          </reference>
        </references>
      </pivotArea>
    </format>
    <format dxfId="165">
      <pivotArea dataOnly="0" labelOnly="1" outline="0" fieldPosition="0">
        <references count="3">
          <reference field="2" count="1">
            <x v="4"/>
          </reference>
          <reference field="6" count="1" selected="0">
            <x v="743"/>
          </reference>
          <reference field="8" count="1" selected="0">
            <x v="2"/>
          </reference>
        </references>
      </pivotArea>
    </format>
    <format dxfId="164">
      <pivotArea dataOnly="0" labelOnly="1" outline="0" fieldPosition="0">
        <references count="3">
          <reference field="2" count="1">
            <x v="1"/>
          </reference>
          <reference field="6" count="1" selected="0">
            <x v="744"/>
          </reference>
          <reference field="8" count="1" selected="0">
            <x v="2"/>
          </reference>
        </references>
      </pivotArea>
    </format>
    <format dxfId="163">
      <pivotArea dataOnly="0" labelOnly="1" outline="0" fieldPosition="0">
        <references count="3">
          <reference field="2" count="1">
            <x v="14"/>
          </reference>
          <reference field="6" count="1" selected="0">
            <x v="747"/>
          </reference>
          <reference field="8" count="1" selected="0">
            <x v="2"/>
          </reference>
        </references>
      </pivotArea>
    </format>
    <format dxfId="162">
      <pivotArea dataOnly="0" labelOnly="1" outline="0" fieldPosition="0">
        <references count="3">
          <reference field="2" count="1">
            <x v="15"/>
          </reference>
          <reference field="6" count="1" selected="0">
            <x v="760"/>
          </reference>
          <reference field="8" count="1" selected="0">
            <x v="2"/>
          </reference>
        </references>
      </pivotArea>
    </format>
    <format dxfId="161">
      <pivotArea dataOnly="0" labelOnly="1" outline="0" fieldPosition="0">
        <references count="3">
          <reference field="2" count="1">
            <x v="8"/>
          </reference>
          <reference field="6" count="1" selected="0">
            <x v="771"/>
          </reference>
          <reference field="8" count="1" selected="0">
            <x v="2"/>
          </reference>
        </references>
      </pivotArea>
    </format>
    <format dxfId="160">
      <pivotArea dataOnly="0" labelOnly="1" outline="0" fieldPosition="0">
        <references count="3">
          <reference field="2" count="1">
            <x v="34"/>
          </reference>
          <reference field="6" count="1" selected="0">
            <x v="775"/>
          </reference>
          <reference field="8" count="1" selected="0">
            <x v="3"/>
          </reference>
        </references>
      </pivotArea>
    </format>
    <format dxfId="159">
      <pivotArea dataOnly="0" labelOnly="1" outline="0" fieldPosition="0">
        <references count="3">
          <reference field="2" count="1">
            <x v="7"/>
          </reference>
          <reference field="6" count="1" selected="0">
            <x v="902"/>
          </reference>
          <reference field="8" count="1" selected="0">
            <x v="3"/>
          </reference>
        </references>
      </pivotArea>
    </format>
    <format dxfId="158">
      <pivotArea dataOnly="0" labelOnly="1" outline="0" fieldPosition="0">
        <references count="3">
          <reference field="2" count="1">
            <x v="28"/>
          </reference>
          <reference field="6" count="1" selected="0">
            <x v="916"/>
          </reference>
          <reference field="8" count="1" selected="0">
            <x v="3"/>
          </reference>
        </references>
      </pivotArea>
    </format>
    <format dxfId="157">
      <pivotArea dataOnly="0" labelOnly="1" outline="0" fieldPosition="0">
        <references count="3">
          <reference field="2" count="1">
            <x v="25"/>
          </reference>
          <reference field="6" count="1" selected="0">
            <x v="934"/>
          </reference>
          <reference field="8" count="1" selected="0">
            <x v="3"/>
          </reference>
        </references>
      </pivotArea>
    </format>
    <format dxfId="156">
      <pivotArea dataOnly="0" labelOnly="1" outline="0" fieldPosition="0">
        <references count="3">
          <reference field="2" count="1">
            <x v="22"/>
          </reference>
          <reference field="6" count="1" selected="0">
            <x v="955"/>
          </reference>
          <reference field="8" count="1" selected="0">
            <x v="3"/>
          </reference>
        </references>
      </pivotArea>
    </format>
    <format dxfId="155">
      <pivotArea dataOnly="0" labelOnly="1" outline="0" fieldPosition="0">
        <references count="3">
          <reference field="2" count="1">
            <x v="18"/>
          </reference>
          <reference field="6" count="1" selected="0">
            <x v="978"/>
          </reference>
          <reference field="8" count="1" selected="0">
            <x v="3"/>
          </reference>
        </references>
      </pivotArea>
    </format>
    <format dxfId="154">
      <pivotArea dataOnly="0" labelOnly="1" outline="0" fieldPosition="0">
        <references count="3">
          <reference field="2" count="1">
            <x v="17"/>
          </reference>
          <reference field="6" count="1" selected="0">
            <x v="982"/>
          </reference>
          <reference field="8" count="1" selected="0">
            <x v="3"/>
          </reference>
        </references>
      </pivotArea>
    </format>
    <format dxfId="153">
      <pivotArea dataOnly="0" labelOnly="1" outline="0" fieldPosition="0">
        <references count="3">
          <reference field="2" count="1">
            <x v="24"/>
          </reference>
          <reference field="6" count="1" selected="0">
            <x v="983"/>
          </reference>
          <reference field="8" count="1" selected="0">
            <x v="3"/>
          </reference>
        </references>
      </pivotArea>
    </format>
    <format dxfId="152">
      <pivotArea dataOnly="0" labelOnly="1" outline="0" fieldPosition="0">
        <references count="3">
          <reference field="2" count="1">
            <x v="27"/>
          </reference>
          <reference field="6" count="1" selected="0">
            <x v="986"/>
          </reference>
          <reference field="8" count="1" selected="0">
            <x v="4"/>
          </reference>
        </references>
      </pivotArea>
    </format>
    <format dxfId="151">
      <pivotArea dataOnly="0" labelOnly="1" outline="0" fieldPosition="0">
        <references count="3">
          <reference field="2" count="1">
            <x v="29"/>
          </reference>
          <reference field="6" count="1" selected="0">
            <x v="993"/>
          </reference>
          <reference field="8" count="1" selected="0">
            <x v="4"/>
          </reference>
        </references>
      </pivotArea>
    </format>
    <format dxfId="150">
      <pivotArea dataOnly="0" labelOnly="1" outline="0" fieldPosition="0">
        <references count="3">
          <reference field="2" count="1">
            <x v="26"/>
          </reference>
          <reference field="6" count="1" selected="0">
            <x v="994"/>
          </reference>
          <reference field="8" count="1" selected="0">
            <x v="4"/>
          </reference>
        </references>
      </pivotArea>
    </format>
    <format dxfId="149">
      <pivotArea dataOnly="0" labelOnly="1" outline="0" fieldPosition="0">
        <references count="3">
          <reference field="2" count="1">
            <x v="10"/>
          </reference>
          <reference field="6" count="1" selected="0">
            <x v="996"/>
          </reference>
          <reference field="8" count="1" selected="0">
            <x v="4"/>
          </reference>
        </references>
      </pivotArea>
    </format>
    <format dxfId="148">
      <pivotArea dataOnly="0" labelOnly="1" outline="0" fieldPosition="0">
        <references count="3">
          <reference field="2" count="1">
            <x v="9"/>
          </reference>
          <reference field="6" count="1" selected="0">
            <x v="997"/>
          </reference>
          <reference field="8" count="1" selected="0">
            <x v="4"/>
          </reference>
        </references>
      </pivotArea>
    </format>
    <format dxfId="147">
      <pivotArea dataOnly="0" labelOnly="1" outline="0" fieldPosition="0">
        <references count="3">
          <reference field="2" count="1">
            <x v="2"/>
          </reference>
          <reference field="6" count="1" selected="0">
            <x v="998"/>
          </reference>
          <reference field="8" count="1" selected="0">
            <x v="4"/>
          </reference>
        </references>
      </pivotArea>
    </format>
    <format dxfId="146">
      <pivotArea dataOnly="0" labelOnly="1" outline="0" fieldPosition="0">
        <references count="3">
          <reference field="2" count="1">
            <x v="31"/>
          </reference>
          <reference field="6" count="1" selected="0">
            <x v="1002"/>
          </reference>
          <reference field="8" count="1" selected="0">
            <x v="4"/>
          </reference>
        </references>
      </pivotArea>
    </format>
    <format dxfId="145">
      <pivotArea dataOnly="0" labelOnly="1" outline="0" fieldPosition="0">
        <references count="3">
          <reference field="2" count="1">
            <x v="13"/>
          </reference>
          <reference field="6" count="1" selected="0">
            <x v="1007"/>
          </reference>
          <reference field="8" count="1" selected="0">
            <x v="4"/>
          </reference>
        </references>
      </pivotArea>
    </format>
    <format dxfId="144">
      <pivotArea dataOnly="0" labelOnly="1" outline="0" fieldPosition="0">
        <references count="3">
          <reference field="2" count="1">
            <x v="32"/>
          </reference>
          <reference field="6" count="1" selected="0">
            <x v="1008"/>
          </reference>
          <reference field="8" count="1" selected="0">
            <x v="4"/>
          </reference>
        </references>
      </pivotArea>
    </format>
    <format dxfId="143">
      <pivotArea dataOnly="0" labelOnly="1" outline="0" fieldPosition="0">
        <references count="3">
          <reference field="2" count="1">
            <x v="33"/>
          </reference>
          <reference field="6" count="1" selected="0">
            <x v="1009"/>
          </reference>
          <reference field="8" count="1" selected="0">
            <x v="4"/>
          </reference>
        </references>
      </pivotArea>
    </format>
    <format dxfId="142">
      <pivotArea dataOnly="0" labelOnly="1" outline="0" fieldPosition="0">
        <references count="1">
          <reference field="4294967294" count="4">
            <x v="0"/>
            <x v="1"/>
            <x v="2"/>
            <x v="3"/>
          </reference>
        </references>
      </pivotArea>
    </format>
    <format dxfId="141">
      <pivotArea grandRow="1" outline="0" collapsedLevelsAreSubtotals="1" fieldPosition="0"/>
    </format>
    <format dxfId="140">
      <pivotArea outline="0" collapsedLevelsAreSubtotals="1" fieldPosition="0"/>
    </format>
    <format dxfId="139">
      <pivotArea outline="0" fieldPosition="0">
        <references count="1">
          <reference field="4294967294" count="1">
            <x v="0"/>
          </reference>
        </references>
      </pivotArea>
    </format>
    <format dxfId="138">
      <pivotArea outline="0" fieldPosition="0">
        <references count="1">
          <reference field="4294967294" count="1">
            <x v="1"/>
          </reference>
        </references>
      </pivotArea>
    </format>
    <format dxfId="137">
      <pivotArea outline="0" fieldPosition="0">
        <references count="1">
          <reference field="4294967294" count="1">
            <x v="2"/>
          </reference>
        </references>
      </pivotArea>
    </format>
    <format dxfId="136">
      <pivotArea outline="0" fieldPosition="0">
        <references count="1">
          <reference field="4294967294" count="1">
            <x v="3"/>
          </reference>
        </references>
      </pivotArea>
    </format>
  </formats>
  <pivotTableStyleInfo name="PivotStyleLight16" showRowHeaders="1" showColHeaders="1" showRowStripes="0" showColStripes="0" showLastColumn="1"/>
  <filters count="1">
    <filter fld="8" type="captionGreaterThan" evalOrder="-1" id="1" stringValue1="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A5A4E97-CFEA-46FB-A393-8DB27DD35251}" name="PivotTable1" cacheId="1" applyNumberFormats="0" applyBorderFormats="0" applyFontFormats="0" applyPatternFormats="0" applyAlignmentFormats="0" applyWidthHeightFormats="1" dataCaption="Values" updatedVersion="8" minRefreshableVersion="3" enableDrill="0" colGrandTotals="0" itemPrintTitles="1" createdVersion="6" indent="0" compact="0" compactData="0" multipleFieldFilters="0">
  <location ref="A5:L6" firstHeaderRow="0" firstDataRow="1" firstDataCol="8"/>
  <pivotFields count="18">
    <pivotField compact="0" outline="0" showAll="0" defaultSubtotal="0"/>
    <pivotField compact="0" outline="0" showAll="0" defaultSubtotal="0"/>
    <pivotField axis="axisRow" compact="0" outline="0" showAll="0" defaultSubtotal="0">
      <items count="854">
        <item m="1" x="299"/>
        <item m="1" x="365"/>
        <item m="1" x="751"/>
        <item m="1" x="325"/>
        <item m="1" x="734"/>
        <item m="1" x="316"/>
        <item m="1" x="763"/>
        <item m="1" x="386"/>
        <item m="1" x="755"/>
        <item m="1" x="746"/>
        <item m="1" x="337"/>
        <item m="1" x="406"/>
        <item m="1" x="384"/>
        <item m="1" x="753"/>
        <item m="1" x="745"/>
        <item m="1" x="335"/>
        <item m="1" x="766"/>
        <item m="1" x="465"/>
        <item m="1" x="436"/>
        <item m="1" x="778"/>
        <item m="1" x="836"/>
        <item m="1" x="838"/>
        <item m="1" x="825"/>
        <item m="1" x="331"/>
        <item m="1" x="756"/>
        <item m="1" x="850"/>
        <item m="1" x="480"/>
        <item m="1" x="654"/>
        <item m="1" x="535"/>
        <item m="1" x="820"/>
        <item x="0"/>
        <item m="1" x="684"/>
        <item m="1" x="324"/>
        <item m="1" x="747"/>
        <item m="1" x="839"/>
        <item m="1" x="742"/>
        <item m="1" x="560"/>
        <item m="1" x="761"/>
        <item m="1" x="770"/>
        <item m="1" x="302"/>
        <item m="1" x="748"/>
        <item m="1" x="832"/>
        <item m="1" x="827"/>
        <item m="1" x="424"/>
        <item m="1" x="744"/>
        <item m="1" x="798"/>
        <item m="1" x="711"/>
        <item m="1" x="1"/>
        <item m="1" x="647"/>
        <item m="1" x="688"/>
        <item m="1" x="2"/>
        <item m="1" x="719"/>
        <item m="1" x="3"/>
        <item m="1" x="736"/>
        <item m="1" x="581"/>
        <item m="1" x="614"/>
        <item m="1" x="704"/>
        <item m="1" x="714"/>
        <item m="1" x="720"/>
        <item m="1" x="737"/>
        <item m="1" x="582"/>
        <item m="1" x="615"/>
        <item m="1" x="649"/>
        <item m="1" x="670"/>
        <item m="1" x="705"/>
        <item m="1" x="715"/>
        <item m="1" x="721"/>
        <item m="1" x="728"/>
        <item m="1" x="738"/>
        <item m="1" x="4"/>
        <item m="1" x="671"/>
        <item m="1" x="5"/>
        <item m="1" x="716"/>
        <item m="1" x="722"/>
        <item m="1" x="729"/>
        <item m="1" x="192"/>
        <item m="1" x="583"/>
        <item m="1" x="6"/>
        <item m="1" x="651"/>
        <item m="1" x="672"/>
        <item m="1" x="689"/>
        <item m="1" x="707"/>
        <item m="1" x="717"/>
        <item m="1" x="739"/>
        <item m="1" x="690"/>
        <item m="1" x="708"/>
        <item m="1" x="718"/>
        <item m="1" x="724"/>
        <item m="1" x="730"/>
        <item m="1" x="740"/>
        <item m="1" x="300"/>
        <item m="1" x="301"/>
        <item m="1" x="382"/>
        <item m="1" x="418"/>
        <item m="1" x="491"/>
        <item m="1" x="421"/>
        <item m="1" x="486"/>
        <item m="1" x="524"/>
        <item m="1" x="803"/>
        <item m="1" x="437"/>
        <item m="1" x="481"/>
        <item m="1" x="816"/>
        <item m="1" x="507"/>
        <item m="1" x="525"/>
        <item m="1" x="505"/>
        <item m="1" x="540"/>
        <item m="1" x="785"/>
        <item m="1" x="529"/>
        <item m="1" x="799"/>
        <item m="1" x="791"/>
        <item m="1" x="784"/>
        <item m="1" x="804"/>
        <item m="1" x="801"/>
        <item m="1" x="571"/>
        <item m="1" x="813"/>
        <item m="1" x="641"/>
        <item m="1" x="660"/>
        <item m="1" x="685"/>
        <item m="1" x="841"/>
        <item m="1" x="848"/>
        <item m="1" x="851"/>
        <item m="1" x="701"/>
        <item m="1" x="698"/>
        <item m="1" x="167"/>
        <item m="1" x="811"/>
        <item m="1" x="807"/>
        <item m="1" x="295"/>
        <item m="1" x="573"/>
        <item m="1" x="555"/>
        <item m="1" x="297"/>
        <item m="1" x="845"/>
        <item m="1" x="819"/>
        <item m="1" x="626"/>
        <item m="1" x="303"/>
        <item m="1" x="842"/>
        <item m="1" x="694"/>
        <item m="1" x="308"/>
        <item m="1" x="713"/>
        <item m="1" x="760"/>
        <item m="1" x="445"/>
        <item m="1" x="429"/>
        <item m="1" x="781"/>
        <item m="1" x="549"/>
        <item m="1" x="650"/>
        <item m="1" x="619"/>
        <item m="1" x="359"/>
        <item m="1" x="17"/>
        <item m="1" x="19"/>
        <item m="1" x="21"/>
        <item m="1" x="633"/>
        <item m="1" x="28"/>
        <item m="1" x="333"/>
        <item m="1" x="376"/>
        <item m="1" x="323"/>
        <item m="1" x="415"/>
        <item m="1" x="434"/>
        <item m="1" x="31"/>
        <item m="1" x="32"/>
        <item m="1" x="489"/>
        <item m="1" x="510"/>
        <item m="1" x="311"/>
        <item m="1" x="313"/>
        <item m="1" x="360"/>
        <item m="1" x="336"/>
        <item m="1" x="49"/>
        <item m="1" x="62"/>
        <item m="1" x="566"/>
        <item m="1" x="533"/>
        <item m="1" x="85"/>
        <item m="1" x="428"/>
        <item m="1" x="545"/>
        <item m="1" x="532"/>
        <item m="1" x="88"/>
        <item m="1" x="91"/>
        <item m="1" x="592"/>
        <item m="1" x="126"/>
        <item m="1" x="413"/>
        <item m="1" x="133"/>
        <item m="1" x="134"/>
        <item m="1" x="135"/>
        <item m="1" x="136"/>
        <item m="1" x="137"/>
        <item m="1" x="645"/>
        <item m="1" x="749"/>
        <item m="1" x="383"/>
        <item m="1" x="512"/>
        <item m="1" x="160"/>
        <item m="1" x="165"/>
        <item m="1" x="169"/>
        <item m="1" x="802"/>
        <item m="1" x="488"/>
        <item m="1" x="797"/>
        <item m="1" x="773"/>
        <item m="1" x="777"/>
        <item m="1" x="852"/>
        <item m="1" x="427"/>
        <item m="1" x="783"/>
        <item m="1" x="834"/>
        <item m="1" x="833"/>
        <item m="1" x="831"/>
        <item m="1" x="681"/>
        <item m="1" x="826"/>
        <item m="1" x="305"/>
        <item m="1" x="304"/>
        <item m="1" x="472"/>
        <item m="1" x="787"/>
        <item m="1" x="844"/>
        <item m="1" x="843"/>
        <item m="1" x="599"/>
        <item m="1" x="307"/>
        <item m="1" x="757"/>
        <item m="1" x="668"/>
        <item m="1" x="849"/>
        <item m="1" x="309"/>
        <item m="1" x="306"/>
        <item m="1" x="410"/>
        <item m="1" x="606"/>
        <item m="1" x="847"/>
        <item m="1" x="661"/>
        <item m="1" x="702"/>
        <item m="1" x="449"/>
        <item m="1" x="822"/>
        <item m="1" x="829"/>
        <item m="1" x="846"/>
        <item m="1" x="700"/>
        <item m="1" x="735"/>
        <item m="1" x="687"/>
        <item m="1" x="835"/>
        <item m="1" x="853"/>
        <item m="1" x="8"/>
        <item m="1" x="15"/>
        <item m="1" x="20"/>
        <item m="1" x="22"/>
        <item m="1" x="29"/>
        <item m="1" x="30"/>
        <item m="1" x="33"/>
        <item m="1" x="37"/>
        <item m="1" x="41"/>
        <item m="1" x="53"/>
        <item m="1" x="54"/>
        <item m="1" x="56"/>
        <item m="1" x="57"/>
        <item m="1" x="58"/>
        <item m="1" x="64"/>
        <item m="1" x="65"/>
        <item m="1" x="66"/>
        <item m="1" x="71"/>
        <item m="1" x="73"/>
        <item m="1" x="74"/>
        <item m="1" x="77"/>
        <item m="1" x="78"/>
        <item m="1" x="81"/>
        <item m="1" x="89"/>
        <item m="1" x="93"/>
        <item m="1" x="95"/>
        <item m="1" x="96"/>
        <item m="1" x="97"/>
        <item m="1" x="102"/>
        <item m="1" x="108"/>
        <item m="1" x="111"/>
        <item m="1" x="112"/>
        <item m="1" x="118"/>
        <item m="1" x="120"/>
        <item m="1" x="124"/>
        <item m="1" x="127"/>
        <item m="1" x="139"/>
        <item m="1" x="140"/>
        <item m="1" x="144"/>
        <item m="1" x="145"/>
        <item m="1" x="148"/>
        <item m="1" x="149"/>
        <item m="1" x="152"/>
        <item m="1" x="153"/>
        <item m="1" x="158"/>
        <item m="1" x="162"/>
        <item m="1" x="163"/>
        <item m="1" x="168"/>
        <item m="1" x="171"/>
        <item m="1" x="172"/>
        <item m="1" x="173"/>
        <item m="1" x="175"/>
        <item m="1" x="176"/>
        <item m="1" x="180"/>
        <item m="1" x="191"/>
        <item m="1" x="7"/>
        <item m="1" x="725"/>
        <item m="1" x="731"/>
        <item m="1" x="9"/>
        <item m="1" x="655"/>
        <item m="1" x="11"/>
        <item m="1" x="12"/>
        <item m="1" x="13"/>
        <item m="1" x="14"/>
        <item m="1" x="16"/>
        <item m="1" x="18"/>
        <item m="1" x="476"/>
        <item m="1" x="23"/>
        <item m="1" x="24"/>
        <item m="1" x="25"/>
        <item m="1" x="198"/>
        <item m="1" x="345"/>
        <item m="1" x="34"/>
        <item m="1" x="36"/>
        <item m="1" x="38"/>
        <item m="1" x="39"/>
        <item m="1" x="40"/>
        <item m="1" x="42"/>
        <item m="1" x="43"/>
        <item m="1" x="44"/>
        <item m="1" x="45"/>
        <item m="1" x="46"/>
        <item m="1" x="47"/>
        <item m="1" x="361"/>
        <item m="1" x="48"/>
        <item m="1" x="50"/>
        <item m="1" x="55"/>
        <item m="1" x="531"/>
        <item m="1" x="67"/>
        <item m="1" x="69"/>
        <item m="1" x="70"/>
        <item m="1" x="72"/>
        <item m="1" x="75"/>
        <item m="1" x="76"/>
        <item m="1" x="79"/>
        <item m="1" x="658"/>
        <item m="1" x="82"/>
        <item m="1" x="83"/>
        <item m="1" x="84"/>
        <item m="1" x="485"/>
        <item m="1" x="86"/>
        <item m="1" x="87"/>
        <item m="1" x="579"/>
        <item m="1" x="591"/>
        <item m="1" x="90"/>
        <item m="1" x="94"/>
        <item m="1" x="98"/>
        <item m="1" x="99"/>
        <item m="1" x="100"/>
        <item m="1" x="101"/>
        <item m="1" x="103"/>
        <item m="1" x="104"/>
        <item m="1" x="106"/>
        <item m="1" x="107"/>
        <item m="1" x="109"/>
        <item m="1" x="110"/>
        <item m="1" x="608"/>
        <item m="1" x="115"/>
        <item m="1" x="116"/>
        <item m="1" x="117"/>
        <item m="1" x="119"/>
        <item m="1" x="121"/>
        <item m="1" x="122"/>
        <item m="1" x="538"/>
        <item m="1" x="123"/>
        <item m="1" x="125"/>
        <item m="1" x="128"/>
        <item m="1" x="130"/>
        <item m="1" x="131"/>
        <item m="1" x="132"/>
        <item m="1" x="503"/>
        <item m="1" x="138"/>
        <item m="1" x="261"/>
        <item m="1" x="264"/>
        <item m="1" x="141"/>
        <item m="1" x="265"/>
        <item m="1" x="142"/>
        <item m="1" x="143"/>
        <item m="1" x="349"/>
        <item m="1" x="151"/>
        <item m="1" x="387"/>
        <item m="1" x="156"/>
        <item m="1" x="159"/>
        <item m="1" x="161"/>
        <item m="1" x="164"/>
        <item m="1" x="166"/>
        <item m="1" x="810"/>
        <item m="1" x="568"/>
        <item m="1" x="808"/>
        <item m="1" x="170"/>
        <item m="1" x="174"/>
        <item m="1" x="817"/>
        <item m="1" x="177"/>
        <item m="1" x="178"/>
        <item m="1" x="179"/>
        <item m="1" x="181"/>
        <item m="1" x="182"/>
        <item m="1" x="183"/>
        <item m="1" x="184"/>
        <item m="1" x="185"/>
        <item m="1" x="186"/>
        <item m="1" x="187"/>
        <item m="1" x="188"/>
        <item m="1" x="659"/>
        <item m="1" x="189"/>
        <item m="1" x="190"/>
        <item m="1" x="706"/>
        <item m="1" x="723"/>
        <item m="1" x="652"/>
        <item m="1" x="692"/>
        <item m="1" x="732"/>
        <item m="1" x="10"/>
        <item m="1" x="726"/>
        <item m="1" x="358"/>
        <item m="1" x="193"/>
        <item m="1" x="332"/>
        <item m="1" x="395"/>
        <item m="1" x="194"/>
        <item m="1" x="195"/>
        <item m="1" x="196"/>
        <item m="1" x="377"/>
        <item m="1" x="197"/>
        <item m="1" x="562"/>
        <item m="1" x="438"/>
        <item m="1" x="563"/>
        <item m="1" x="600"/>
        <item m="1" x="565"/>
        <item m="1" x="603"/>
        <item m="1" x="586"/>
        <item m="1" x="26"/>
        <item m="1" x="662"/>
        <item m="1" x="27"/>
        <item m="1" x="634"/>
        <item m="1" x="653"/>
        <item m="1" x="664"/>
        <item m="1" x="675"/>
        <item m="1" x="414"/>
        <item m="1" x="199"/>
        <item m="1" x="378"/>
        <item m="1" x="457"/>
        <item m="1" x="399"/>
        <item m="1" x="419"/>
        <item m="1" x="200"/>
        <item m="1" x="477"/>
        <item m="1" x="504"/>
        <item m="1" x="35"/>
        <item m="1" x="201"/>
        <item m="1" x="564"/>
        <item m="1" x="484"/>
        <item m="1" x="202"/>
        <item m="1" x="620"/>
        <item m="1" x="203"/>
        <item m="1" x="530"/>
        <item m="1" x="587"/>
        <item m="1" x="663"/>
        <item m="1" x="204"/>
        <item m="1" x="627"/>
        <item m="1" x="205"/>
        <item m="1" x="676"/>
        <item m="1" x="696"/>
        <item m="1" x="344"/>
        <item m="1" x="397"/>
        <item m="1" x="416"/>
        <item m="1" x="206"/>
        <item m="1" x="478"/>
        <item m="1" x="51"/>
        <item m="1" x="401"/>
        <item m="1" x="52"/>
        <item m="1" x="523"/>
        <item m="1" x="468"/>
        <item m="1" x="527"/>
        <item m="1" x="493"/>
        <item m="1" x="588"/>
        <item m="1" x="621"/>
        <item m="1" x="624"/>
        <item m="1" x="636"/>
        <item m="1" x="59"/>
        <item m="1" x="207"/>
        <item m="1" x="574"/>
        <item m="1" x="628"/>
        <item m="1" x="656"/>
        <item m="1" x="666"/>
        <item m="1" x="60"/>
        <item m="1" x="61"/>
        <item m="1" x="208"/>
        <item m="1" x="317"/>
        <item m="1" x="347"/>
        <item m="1" x="398"/>
        <item m="1" x="417"/>
        <item m="1" x="209"/>
        <item m="1" x="63"/>
        <item m="1" x="380"/>
        <item m="1" x="400"/>
        <item m="1" x="420"/>
        <item m="1" x="402"/>
        <item m="1" x="210"/>
        <item m="1" x="506"/>
        <item m="1" x="364"/>
        <item m="1" x="68"/>
        <item m="1" x="469"/>
        <item m="1" x="551"/>
        <item m="1" x="575"/>
        <item m="1" x="604"/>
        <item m="1" x="211"/>
        <item m="1" x="678"/>
        <item m="1" x="607"/>
        <item m="1" x="639"/>
        <item m="1" x="80"/>
        <item m="1" x="326"/>
        <item m="1" x="348"/>
        <item m="1" x="363"/>
        <item m="1" x="381"/>
        <item m="1" x="327"/>
        <item m="1" x="440"/>
        <item m="1" x="464"/>
        <item m="1" x="212"/>
        <item m="1" x="408"/>
        <item m="1" x="213"/>
        <item m="1" x="494"/>
        <item m="1" x="496"/>
        <item m="1" x="556"/>
        <item m="1" x="590"/>
        <item m="1" x="625"/>
        <item m="1" x="497"/>
        <item m="1" x="214"/>
        <item m="1" x="215"/>
        <item m="1" x="216"/>
        <item m="1" x="217"/>
        <item m="1" x="218"/>
        <item m="1" x="219"/>
        <item m="1" x="220"/>
        <item m="1" x="642"/>
        <item m="1" x="221"/>
        <item m="1" x="222"/>
        <item m="1" x="223"/>
        <item m="1" x="328"/>
        <item m="1" x="224"/>
        <item m="1" x="321"/>
        <item m="1" x="351"/>
        <item m="1" x="404"/>
        <item m="1" x="443"/>
        <item m="1" x="341"/>
        <item m="1" x="388"/>
        <item m="1" x="92"/>
        <item m="1" x="511"/>
        <item m="1" x="225"/>
        <item m="1" x="473"/>
        <item m="1" x="226"/>
        <item m="1" x="570"/>
        <item m="1" x="498"/>
        <item m="1" x="227"/>
        <item m="1" x="228"/>
        <item m="1" x="229"/>
        <item m="1" x="230"/>
        <item m="1" x="231"/>
        <item m="1" x="232"/>
        <item m="1" x="233"/>
        <item m="1" x="234"/>
        <item m="1" x="423"/>
        <item m="1" x="235"/>
        <item m="1" x="236"/>
        <item m="1" x="368"/>
        <item m="1" x="389"/>
        <item m="1" x="237"/>
        <item m="1" x="238"/>
        <item m="1" x="412"/>
        <item m="1" x="239"/>
        <item m="1" x="105"/>
        <item m="1" x="534"/>
        <item m="1" x="451"/>
        <item m="1" x="240"/>
        <item m="1" x="241"/>
        <item m="1" x="113"/>
        <item m="1" x="631"/>
        <item m="1" x="114"/>
        <item m="1" x="242"/>
        <item m="1" x="611"/>
        <item m="1" x="322"/>
        <item m="1" x="329"/>
        <item m="1" x="243"/>
        <item m="1" x="343"/>
        <item m="1" x="244"/>
        <item m="1" x="245"/>
        <item m="1" x="246"/>
        <item m="1" x="247"/>
        <item m="1" x="248"/>
        <item m="1" x="499"/>
        <item m="1" x="517"/>
        <item m="1" x="249"/>
        <item m="1" x="250"/>
        <item m="1" x="501"/>
        <item m="1" x="519"/>
        <item m="1" x="521"/>
        <item m="1" x="561"/>
        <item m="1" x="594"/>
        <item m="1" x="251"/>
        <item m="1" x="252"/>
        <item m="1" x="253"/>
        <item m="1" x="254"/>
        <item m="1" x="644"/>
        <item m="1" x="597"/>
        <item m="1" x="612"/>
        <item m="1" x="129"/>
        <item m="1" x="255"/>
        <item m="1" x="682"/>
        <item m="1" x="256"/>
        <item m="1" x="712"/>
        <item m="1" x="330"/>
        <item m="1" x="355"/>
        <item m="1" x="372"/>
        <item m="1" x="430"/>
        <item m="1" x="356"/>
        <item m="1" x="257"/>
        <item m="1" x="258"/>
        <item m="1" x="433"/>
        <item m="1" x="536"/>
        <item m="1" x="539"/>
        <item m="1" x="259"/>
        <item m="1" x="260"/>
        <item m="1" x="596"/>
        <item m="1" x="262"/>
        <item m="1" x="263"/>
        <item m="1" x="646"/>
        <item m="1" x="266"/>
        <item m="1" x="267"/>
        <item m="1" x="370"/>
        <item m="1" x="268"/>
        <item m="1" x="390"/>
        <item m="1" x="752"/>
        <item m="1" x="146"/>
        <item m="1" x="772"/>
        <item m="1" x="147"/>
        <item m="1" x="269"/>
        <item m="1" x="270"/>
        <item m="1" x="769"/>
        <item m="1" x="271"/>
        <item m="1" x="758"/>
        <item m="1" x="150"/>
        <item m="1" x="272"/>
        <item m="1" x="466"/>
        <item m="1" x="789"/>
        <item m="1" x="273"/>
        <item m="1" x="768"/>
        <item m="1" x="274"/>
        <item m="1" x="275"/>
        <item m="1" x="276"/>
        <item m="1" x="367"/>
        <item m="1" x="277"/>
        <item m="1" x="431"/>
        <item m="1" x="409"/>
        <item m="1" x="278"/>
        <item m="1" x="154"/>
        <item m="1" x="762"/>
        <item m="1" x="385"/>
        <item m="1" x="279"/>
        <item m="1" x="771"/>
        <item m="1" x="155"/>
        <item m="1" x="280"/>
        <item m="1" x="444"/>
        <item m="1" x="514"/>
        <item m="1" x="790"/>
        <item m="1" x="281"/>
        <item m="1" x="157"/>
        <item m="1" x="282"/>
        <item m="1" x="487"/>
        <item m="1" x="775"/>
        <item m="1" x="283"/>
        <item m="1" x="284"/>
        <item m="1" x="483"/>
        <item m="1" x="567"/>
        <item m="1" x="285"/>
        <item m="1" x="546"/>
        <item m="1" x="542"/>
        <item m="1" x="286"/>
        <item m="1" x="287"/>
        <item m="1" x="767"/>
        <item m="1" x="407"/>
        <item m="1" x="288"/>
        <item m="1" x="441"/>
        <item m="1" x="800"/>
        <item m="1" x="289"/>
        <item m="1" x="290"/>
        <item m="1" x="426"/>
        <item m="1" x="291"/>
        <item m="1" x="577"/>
        <item m="1" x="818"/>
        <item m="1" x="292"/>
        <item m="1" x="629"/>
        <item m="1" x="589"/>
        <item m="1" x="293"/>
        <item m="1" x="622"/>
        <item m="1" x="823"/>
        <item m="1" x="516"/>
        <item m="1" x="795"/>
        <item m="1" x="495"/>
        <item m="1" x="558"/>
        <item m="1" x="294"/>
        <item m="1" x="830"/>
        <item m="1" x="296"/>
        <item m="1" x="548"/>
        <item m="1" x="815"/>
        <item m="1" x="840"/>
        <item m="1" x="593"/>
        <item m="1" x="298"/>
        <item m="1" x="806"/>
        <item m="1" x="648"/>
        <item m="1" x="727"/>
        <item m="1" x="673"/>
        <item m="1" x="709"/>
        <item m="1" x="741"/>
        <item m="1" x="679"/>
        <item m="1" x="693"/>
        <item m="1" x="733"/>
        <item m="1" x="394"/>
        <item m="1" x="315"/>
        <item m="1" x="435"/>
        <item m="1" x="456"/>
        <item m="1" x="458"/>
        <item m="1" x="522"/>
        <item m="1" x="462"/>
        <item m="1" x="479"/>
        <item m="1" x="616"/>
        <item m="1" x="601"/>
        <item m="1" x="617"/>
        <item m="1" x="544"/>
        <item m="1" x="310"/>
        <item m="1" x="396"/>
        <item m="1" x="455"/>
        <item m="1" x="379"/>
        <item m="1" x="463"/>
        <item m="1" x="584"/>
        <item m="1" x="602"/>
        <item m="1" x="618"/>
        <item m="1" x="526"/>
        <item m="1" x="550"/>
        <item m="1" x="674"/>
        <item m="1" x="635"/>
        <item m="1" x="623"/>
        <item m="1" x="683"/>
        <item m="1" x="691"/>
        <item m="1" x="665"/>
        <item m="1" x="334"/>
        <item m="1" x="346"/>
        <item m="1" x="338"/>
        <item m="1" x="362"/>
        <item m="1" x="459"/>
        <item m="1" x="541"/>
        <item m="1" x="446"/>
        <item m="1" x="677"/>
        <item m="1" x="697"/>
        <item m="1" x="439"/>
        <item m="1" x="447"/>
        <item m="1" x="559"/>
        <item m="1" x="578"/>
        <item m="1" x="667"/>
        <item m="1" x="630"/>
        <item m="1" x="699"/>
        <item m="1" x="710"/>
        <item m="1" x="312"/>
        <item m="1" x="314"/>
        <item m="1" x="318"/>
        <item m="1" x="339"/>
        <item m="1" x="319"/>
        <item m="1" x="340"/>
        <item m="1" x="403"/>
        <item m="1" x="490"/>
        <item m="1" x="528"/>
        <item m="1" x="513"/>
        <item m="1" x="552"/>
        <item m="1" x="450"/>
        <item m="1" x="657"/>
        <item m="1" x="637"/>
        <item m="1" x="320"/>
        <item m="1" x="422"/>
        <item m="1" x="391"/>
        <item m="1" x="411"/>
        <item m="1" x="576"/>
        <item m="1" x="500"/>
        <item m="1" x="638"/>
        <item m="1" x="537"/>
        <item m="1" x="632"/>
        <item m="1" x="609"/>
        <item m="1" x="643"/>
        <item m="1" x="352"/>
        <item m="1" x="405"/>
        <item m="1" x="393"/>
        <item m="1" x="557"/>
        <item m="1" x="502"/>
        <item m="1" x="640"/>
        <item m="1" x="680"/>
        <item m="1" x="686"/>
        <item m="1" x="695"/>
        <item m="1" x="342"/>
        <item m="1" x="369"/>
        <item m="1" x="354"/>
        <item m="1" x="371"/>
        <item m="1" x="392"/>
        <item m="1" x="373"/>
        <item m="1" x="453"/>
        <item m="1" x="520"/>
        <item m="1" x="610"/>
        <item m="1" x="357"/>
        <item m="1" x="374"/>
        <item m="1" x="432"/>
        <item m="1" x="375"/>
        <item m="1" x="452"/>
        <item m="1" x="475"/>
        <item m="1" x="580"/>
        <item m="1" x="454"/>
        <item m="1" x="595"/>
        <item m="1" x="613"/>
        <item m="1" x="669"/>
        <item m="1" x="598"/>
        <item m="1" x="703"/>
        <item m="1" x="353"/>
        <item m="1" x="765"/>
        <item m="1" x="366"/>
        <item m="1" x="350"/>
        <item m="1" x="743"/>
        <item m="1" x="754"/>
        <item m="1" x="779"/>
        <item m="1" x="448"/>
        <item m="1" x="492"/>
        <item m="1" x="788"/>
        <item m="1" x="482"/>
        <item m="1" x="460"/>
        <item m="1" x="774"/>
        <item m="1" x="750"/>
        <item m="1" x="780"/>
        <item m="1" x="425"/>
        <item m="1" x="759"/>
        <item m="1" x="792"/>
        <item m="1" x="470"/>
        <item m="1" x="776"/>
        <item m="1" x="805"/>
        <item m="1" x="508"/>
        <item m="1" x="461"/>
        <item m="1" x="814"/>
        <item m="1" x="764"/>
        <item m="1" x="793"/>
        <item m="1" x="515"/>
        <item m="1" x="572"/>
        <item m="1" x="553"/>
        <item m="1" x="509"/>
        <item m="1" x="547"/>
        <item m="1" x="543"/>
        <item m="1" x="474"/>
        <item m="1" x="782"/>
        <item m="1" x="471"/>
        <item m="1" x="794"/>
        <item m="1" x="467"/>
        <item m="1" x="821"/>
        <item m="1" x="554"/>
        <item m="1" x="605"/>
        <item m="1" x="569"/>
        <item m="1" x="837"/>
        <item m="1" x="824"/>
        <item m="1" x="518"/>
        <item m="1" x="786"/>
        <item m="1" x="809"/>
        <item m="1" x="828"/>
        <item m="1" x="585"/>
        <item m="1" x="796"/>
        <item m="1" x="442"/>
        <item m="1" x="812"/>
      </items>
    </pivotField>
    <pivotField compact="0" outline="0" showAll="0" defaultSubtotal="0"/>
    <pivotField axis="axisRow" compact="0" outline="0" subtotalTop="0" showAll="0" defaultSubtotal="0">
      <items count="1747">
        <item m="1" x="656"/>
        <item m="1" x="744"/>
        <item m="1" x="813"/>
        <item m="1" x="1733"/>
        <item m="1" x="642"/>
        <item m="1" x="537"/>
        <item m="1" x="1492"/>
        <item m="1" x="575"/>
        <item m="1" x="1636"/>
        <item m="1" x="1074"/>
        <item m="1" x="1459"/>
        <item m="1" x="1157"/>
        <item m="1" x="494"/>
        <item m="1" x="489"/>
        <item m="1" x="1031"/>
        <item m="1" x="1503"/>
        <item m="1" x="1117"/>
        <item m="1" x="903"/>
        <item m="1" x="1476"/>
        <item m="1" x="651"/>
        <item m="1" x="1537"/>
        <item m="1" x="675"/>
        <item m="1" x="843"/>
        <item m="1" x="627"/>
        <item m="1" x="584"/>
        <item m="1" x="1089"/>
        <item m="1" x="1125"/>
        <item m="1" x="1302"/>
        <item m="1" x="451"/>
        <item m="1" x="1611"/>
        <item m="1" x="611"/>
        <item m="1" x="1379"/>
        <item m="1" x="541"/>
        <item m="1" x="1172"/>
        <item m="1" x="481"/>
        <item m="1" x="1188"/>
        <item m="1" x="1048"/>
        <item m="1" x="655"/>
        <item m="1" x="397"/>
        <item m="1" x="728"/>
        <item m="1" x="1127"/>
        <item m="1" x="1258"/>
        <item m="1" x="1658"/>
        <item m="1" x="1722"/>
        <item m="1" x="763"/>
        <item m="1" x="770"/>
        <item m="1" x="836"/>
        <item m="1" x="857"/>
        <item m="1" x="956"/>
        <item m="1" x="1565"/>
        <item m="1" x="428"/>
        <item m="1" x="450"/>
        <item m="1" x="986"/>
        <item m="1" x="1"/>
        <item m="1" x="1486"/>
        <item m="1" x="1251"/>
        <item m="1" x="548"/>
        <item m="1" x="1489"/>
        <item m="1" x="563"/>
        <item m="1" x="1577"/>
        <item m="1" x="769"/>
        <item m="1" x="841"/>
        <item m="1" x="791"/>
        <item m="1" x="519"/>
        <item m="1" x="900"/>
        <item m="1" x="1015"/>
        <item m="1" x="777"/>
        <item m="1" x="1143"/>
        <item m="1" x="441"/>
        <item m="1" x="1425"/>
        <item m="1" x="1138"/>
        <item m="1" x="1110"/>
        <item m="1" x="1284"/>
        <item m="1" x="1095"/>
        <item m="1" x="1277"/>
        <item m="1" x="510"/>
        <item m="1" x="778"/>
        <item m="1" x="1437"/>
        <item m="1" x="521"/>
        <item m="1" x="1165"/>
        <item m="1" x="891"/>
        <item m="1" x="1522"/>
        <item m="1" x="874"/>
        <item m="1" x="1386"/>
        <item m="1" x="1249"/>
        <item m="1" x="1585"/>
        <item m="1" x="1327"/>
        <item m="1" x="1166"/>
        <item m="1" x="652"/>
        <item m="1" x="702"/>
        <item m="1" x="984"/>
        <item m="1" x="1449"/>
        <item m="1" x="479"/>
        <item m="1" x="1699"/>
        <item m="1" x="799"/>
        <item m="1" x="1424"/>
        <item m="1" x="862"/>
        <item m="1" x="1444"/>
        <item m="1" x="1596"/>
        <item m="1" x="1001"/>
        <item m="1" x="495"/>
        <item m="1" x="1621"/>
        <item m="1" x="596"/>
        <item m="1" x="1153"/>
        <item m="1" x="682"/>
        <item m="1" x="177"/>
        <item m="1" x="516"/>
        <item m="1" x="1513"/>
        <item m="1" x="438"/>
        <item m="1" x="1049"/>
        <item m="1" x="912"/>
        <item m="1" x="1116"/>
        <item m="1" x="414"/>
        <item m="1" x="784"/>
        <item m="1" x="999"/>
        <item m="1" x="128"/>
        <item m="1" x="1555"/>
        <item m="1" x="1529"/>
        <item m="1" x="429"/>
        <item m="1" x="1046"/>
        <item m="1" x="774"/>
        <item m="1" x="174"/>
        <item m="1" x="940"/>
        <item m="1" x="725"/>
        <item m="1" x="758"/>
        <item m="1" x="1193"/>
        <item m="1" x="995"/>
        <item m="1" x="412"/>
        <item m="1" x="1443"/>
        <item m="1" x="792"/>
        <item m="1" x="1102"/>
        <item m="1" x="1232"/>
        <item m="1" x="833"/>
        <item m="1" x="1039"/>
        <item m="1" x="505"/>
        <item m="1" x="346"/>
        <item m="1" x="1234"/>
        <item m="1" x="583"/>
        <item m="1" x="713"/>
        <item m="1" x="1223"/>
        <item m="1" x="916"/>
        <item m="1" x="166"/>
        <item m="1" x="1677"/>
        <item m="1" x="969"/>
        <item m="1" x="1027"/>
        <item m="1" x="1671"/>
        <item m="1" x="1682"/>
        <item m="1" x="1311"/>
        <item m="1" x="1663"/>
        <item m="1" x="540"/>
        <item m="1" x="648"/>
        <item m="1" x="965"/>
        <item m="1" x="1736"/>
        <item m="1" x="1610"/>
        <item m="1" x="13"/>
        <item m="1" x="1709"/>
        <item m="1" x="1595"/>
        <item m="1" x="808"/>
        <item m="1" x="994"/>
        <item m="1" x="968"/>
        <item m="1" x="1583"/>
        <item m="1" x="830"/>
        <item m="1" x="436"/>
        <item m="1" x="1317"/>
        <item m="1" x="615"/>
        <item m="1" x="1230"/>
        <item m="1" x="1461"/>
        <item m="1" x="631"/>
        <item m="1" x="6"/>
        <item m="1" x="9"/>
        <item m="1" x="16"/>
        <item m="1" x="17"/>
        <item m="1" x="21"/>
        <item m="1" x="23"/>
        <item m="1" x="25"/>
        <item m="1" x="27"/>
        <item m="1" x="34"/>
        <item m="1" x="35"/>
        <item m="1" x="37"/>
        <item m="1" x="38"/>
        <item m="1" x="40"/>
        <item m="1" x="41"/>
        <item m="1" x="48"/>
        <item m="1" x="54"/>
        <item m="1" x="55"/>
        <item m="1" x="68"/>
        <item m="1" x="71"/>
        <item m="1" x="72"/>
        <item m="1" x="77"/>
        <item m="1" x="78"/>
        <item m="1" x="82"/>
        <item m="1" x="85"/>
        <item m="1" x="86"/>
        <item m="1" x="87"/>
        <item m="1" x="457"/>
        <item m="1" x="1262"/>
        <item m="1" x="88"/>
        <item m="1" x="95"/>
        <item m="1" x="97"/>
        <item m="1" x="99"/>
        <item m="1" x="100"/>
        <item m="1" x="103"/>
        <item m="1" x="104"/>
        <item m="1" x="105"/>
        <item m="1" x="108"/>
        <item m="1" x="109"/>
        <item m="1" x="114"/>
        <item m="1" x="118"/>
        <item m="1" x="121"/>
        <item m="1" x="123"/>
        <item m="1" x="125"/>
        <item m="1" x="126"/>
        <item m="1" x="130"/>
        <item m="1" x="131"/>
        <item m="1" x="132"/>
        <item m="1" x="143"/>
        <item m="1" x="146"/>
        <item m="1" x="152"/>
        <item m="1" x="155"/>
        <item m="1" x="156"/>
        <item m="1" x="162"/>
        <item m="1" x="165"/>
        <item m="1" x="172"/>
        <item m="1" x="173"/>
        <item m="1" x="176"/>
        <item m="1" x="178"/>
        <item m="1" x="179"/>
        <item m="1" x="181"/>
        <item m="1" x="183"/>
        <item m="1" x="186"/>
        <item m="1" x="191"/>
        <item m="1" x="192"/>
        <item m="1" x="195"/>
        <item m="1" x="198"/>
        <item m="1" x="203"/>
        <item m="1" x="207"/>
        <item m="1" x="209"/>
        <item m="1" x="211"/>
        <item m="1" x="213"/>
        <item m="1" x="217"/>
        <item m="1" x="219"/>
        <item m="1" x="222"/>
        <item m="1" x="223"/>
        <item m="1" x="224"/>
        <item m="1" x="226"/>
        <item m="1" x="227"/>
        <item m="1" x="232"/>
        <item m="1" x="1364"/>
        <item m="1" x="1133"/>
        <item m="1" x="2"/>
        <item m="1" x="4"/>
        <item m="1" x="5"/>
        <item m="1" x="7"/>
        <item m="1" x="959"/>
        <item m="1" x="8"/>
        <item m="1" x="420"/>
        <item m="1" x="680"/>
        <item m="1" x="948"/>
        <item m="1" x="1150"/>
        <item m="1" x="11"/>
        <item m="1" x="12"/>
        <item m="1" x="14"/>
        <item m="1" x="15"/>
        <item m="1" x="18"/>
        <item m="1" x="19"/>
        <item m="1" x="20"/>
        <item m="1" x="22"/>
        <item m="1" x="800"/>
        <item m="1" x="1171"/>
        <item m="1" x="24"/>
        <item m="1" x="26"/>
        <item m="1" x="28"/>
        <item m="1" x="29"/>
        <item m="1" x="30"/>
        <item m="1" x="31"/>
        <item m="1" x="1045"/>
        <item m="1" x="1496"/>
        <item m="1" x="36"/>
        <item m="1" x="963"/>
        <item m="1" x="962"/>
        <item m="1" x="39"/>
        <item m="1" x="42"/>
        <item m="1" x="43"/>
        <item m="1" x="44"/>
        <item m="1" x="764"/>
        <item m="1" x="46"/>
        <item m="1" x="47"/>
        <item m="1" x="1517"/>
        <item m="1" x="49"/>
        <item m="1" x="50"/>
        <item m="1" x="51"/>
        <item m="1" x="1023"/>
        <item m="1" x="574"/>
        <item m="1" x="52"/>
        <item m="1" x="53"/>
        <item m="1" x="56"/>
        <item m="1" x="57"/>
        <item m="1" x="58"/>
        <item m="1" x="61"/>
        <item m="1" x="62"/>
        <item m="1" x="64"/>
        <item m="1" x="65"/>
        <item m="1" x="501"/>
        <item m="1" x="66"/>
        <item m="1" x="67"/>
        <item m="1" x="599"/>
        <item m="1" x="1037"/>
        <item m="1" x="1599"/>
        <item m="1" x="69"/>
        <item m="1" x="789"/>
        <item m="1" x="632"/>
        <item m="1" x="73"/>
        <item m="1" x="745"/>
        <item m="1" x="74"/>
        <item m="1" x="1641"/>
        <item m="1" x="75"/>
        <item m="1" x="76"/>
        <item m="1" x="1576"/>
        <item m="1" x="81"/>
        <item m="1" x="84"/>
        <item m="1" x="1420"/>
        <item m="1" x="89"/>
        <item m="1" x="91"/>
        <item m="1" x="92"/>
        <item m="1" x="93"/>
        <item m="1" x="94"/>
        <item m="1" x="96"/>
        <item m="1" x="98"/>
        <item m="1" x="101"/>
        <item m="1" x="102"/>
        <item m="1" x="1126"/>
        <item m="1" x="566"/>
        <item m="1" x="431"/>
        <item m="1" x="706"/>
        <item m="1" x="106"/>
        <item m="1" x="480"/>
        <item m="1" x="110"/>
        <item m="1" x="112"/>
        <item m="1" x="1739"/>
        <item m="1" x="113"/>
        <item m="1" x="636"/>
        <item m="1" x="1646"/>
        <item m="1" x="1151"/>
        <item m="1" x="1029"/>
        <item m="1" x="562"/>
        <item m="1" x="115"/>
        <item m="1" x="116"/>
        <item m="1" x="117"/>
        <item m="1" x="119"/>
        <item m="1" x="895"/>
        <item m="1" x="630"/>
        <item m="1" x="1679"/>
        <item m="1" x="1041"/>
        <item m="1" x="122"/>
        <item m="1" x="124"/>
        <item m="1" x="1515"/>
        <item m="1" x="129"/>
        <item m="1" x="667"/>
        <item m="1" x="507"/>
        <item m="1" x="133"/>
        <item m="1" x="134"/>
        <item m="1" x="135"/>
        <item m="1" x="136"/>
        <item m="1" x="137"/>
        <item m="1" x="138"/>
        <item m="1" x="140"/>
        <item m="1" x="141"/>
        <item m="1" x="144"/>
        <item m="1" x="145"/>
        <item m="1" x="572"/>
        <item m="1" x="149"/>
        <item m="1" x="150"/>
        <item m="1" x="151"/>
        <item m="1" x="153"/>
        <item m="1" x="557"/>
        <item m="1" x="154"/>
        <item m="1" x="157"/>
        <item m="1" x="159"/>
        <item m="1" x="160"/>
        <item m="1" x="578"/>
        <item m="1" x="161"/>
        <item m="1" x="1535"/>
        <item m="1" x="679"/>
        <item m="1" x="1104"/>
        <item m="1" x="163"/>
        <item m="1" x="164"/>
        <item m="1" x="167"/>
        <item m="1" x="169"/>
        <item m="1" x="170"/>
        <item m="1" x="171"/>
        <item m="1" x="677"/>
        <item m="1" x="1373"/>
        <item m="1" x="1343"/>
        <item m="1" x="175"/>
        <item m="1" x="1407"/>
        <item m="1" x="786"/>
        <item m="1" x="1035"/>
        <item m="1" x="624"/>
        <item m="1" x="180"/>
        <item m="1" x="1634"/>
        <item m="1" x="182"/>
        <item m="1" x="977"/>
        <item m="1" x="982"/>
        <item m="1" x="1475"/>
        <item m="1" x="184"/>
        <item m="1" x="185"/>
        <item m="1" x="1653"/>
        <item m="1" x="187"/>
        <item m="1" x="1398"/>
        <item m="1" x="1086"/>
        <item m="1" x="188"/>
        <item m="1" x="189"/>
        <item m="1" x="190"/>
        <item m="1" x="972"/>
        <item m="1" x="1278"/>
        <item m="1" x="196"/>
        <item m="1" x="197"/>
        <item m="1" x="1308"/>
        <item m="1" x="201"/>
        <item m="1" x="839"/>
        <item m="1" x="205"/>
        <item m="1" x="206"/>
        <item m="1" x="208"/>
        <item m="1" x="210"/>
        <item m="1" x="212"/>
        <item m="1" x="1216"/>
        <item m="1" x="214"/>
        <item m="1" x="1524"/>
        <item m="1" x="215"/>
        <item m="1" x="1267"/>
        <item m="1" x="216"/>
        <item m="1" x="565"/>
        <item m="1" x="218"/>
        <item m="1" x="220"/>
        <item m="1" x="732"/>
        <item m="1" x="1735"/>
        <item m="1" x="1128"/>
        <item m="1" x="221"/>
        <item m="1" x="225"/>
        <item m="1" x="909"/>
        <item m="1" x="435"/>
        <item m="1" x="714"/>
        <item m="1" x="1145"/>
        <item m="1" x="228"/>
        <item m="1" x="229"/>
        <item m="1" x="1481"/>
        <item m="1" x="731"/>
        <item m="1" x="1180"/>
        <item m="1" x="230"/>
        <item m="1" x="231"/>
        <item m="1" x="233"/>
        <item m="1" x="234"/>
        <item m="1" x="235"/>
        <item m="1" x="236"/>
        <item m="1" x="237"/>
        <item m="1" x="238"/>
        <item m="1" x="239"/>
        <item m="1" x="1428"/>
        <item m="1" x="240"/>
        <item m="1" x="684"/>
        <item m="1" x="241"/>
        <item m="1" x="1154"/>
        <item m="1" x="1694"/>
        <item m="1" x="1105"/>
        <item m="1" x="705"/>
        <item m="1" x="1668"/>
        <item m="1" x="606"/>
        <item m="1" x="3"/>
        <item m="1" x="708"/>
        <item m="1" x="1561"/>
        <item m="1" x="1716"/>
        <item m="1" x="1552"/>
        <item m="1" x="1479"/>
        <item m="1" x="1068"/>
        <item m="1" x="1526"/>
        <item m="1" x="470"/>
        <item m="1" x="733"/>
        <item m="1" x="685"/>
        <item m="1" x="826"/>
        <item m="1" x="242"/>
        <item m="1" x="1604"/>
        <item m="1" x="797"/>
        <item m="1" x="243"/>
        <item m="1" x="1328"/>
        <item m="1" x="1320"/>
        <item m="1" x="1341"/>
        <item m="1" x="1412"/>
        <item m="1" x="1010"/>
        <item m="1" x="529"/>
        <item m="1" x="1073"/>
        <item m="1" x="722"/>
        <item m="1" x="633"/>
        <item m="1" x="865"/>
        <item m="1" x="483"/>
        <item m="1" x="877"/>
        <item m="1" x="1303"/>
        <item m="1" x="1415"/>
        <item m="1" x="1406"/>
        <item m="1" x="1574"/>
        <item m="1" x="794"/>
        <item m="1" x="876"/>
        <item m="1" x="426"/>
        <item m="1" x="10"/>
        <item m="1" x="1505"/>
        <item m="1" x="832"/>
        <item m="1" x="1511"/>
        <item m="1" x="1196"/>
        <item m="1" x="452"/>
        <item m="1" x="1566"/>
        <item m="1" x="989"/>
        <item m="1" x="747"/>
        <item m="1" x="1210"/>
        <item m="1" x="244"/>
        <item m="1" x="245"/>
        <item m="1" x="1356"/>
        <item m="1" x="1491"/>
        <item m="1" x="1701"/>
        <item m="1" x="1553"/>
        <item m="1" x="689"/>
        <item m="1" x="582"/>
        <item m="1" x="246"/>
        <item m="1" x="793"/>
        <item m="1" x="247"/>
        <item m="1" x="455"/>
        <item m="1" x="754"/>
        <item m="1" x="641"/>
        <item m="1" x="462"/>
        <item m="1" x="781"/>
        <item m="1" x="918"/>
        <item m="1" x="1194"/>
        <item m="1" x="248"/>
        <item m="1" x="249"/>
        <item m="1" x="250"/>
        <item m="1" x="888"/>
        <item m="1" x="579"/>
        <item m="1" x="1400"/>
        <item m="1" x="251"/>
        <item m="1" x="849"/>
        <item m="1" x="1506"/>
        <item m="1" x="252"/>
        <item m="1" x="253"/>
        <item m="1" x="873"/>
        <item m="1" x="1622"/>
        <item m="1" x="1462"/>
        <item m="1" x="1106"/>
        <item m="1" x="467"/>
        <item m="1" x="795"/>
        <item m="1" x="1706"/>
        <item m="1" x="553"/>
        <item m="1" x="645"/>
        <item m="1" x="634"/>
        <item m="1" x="1409"/>
        <item m="1" x="580"/>
        <item m="1" x="1725"/>
        <item m="1" x="1664"/>
        <item m="1" x="1185"/>
        <item m="1" x="488"/>
        <item m="1" x="496"/>
        <item m="1" x="1219"/>
        <item m="1" x="1183"/>
        <item m="1" x="660"/>
        <item m="1" x="1519"/>
        <item m="1" x="536"/>
        <item m="1" x="32"/>
        <item m="1" x="1076"/>
        <item m="1" x="1256"/>
        <item m="1" x="33"/>
        <item m="1" x="1613"/>
        <item m="1" x="719"/>
        <item m="1" x="701"/>
        <item m="1" x="1226"/>
        <item m="1" x="1493"/>
        <item m="1" x="949"/>
        <item m="1" x="254"/>
        <item m="1" x="704"/>
        <item m="1" x="1362"/>
        <item m="1" x="490"/>
        <item m="1" x="938"/>
        <item m="1" x="1306"/>
        <item m="1" x="255"/>
        <item m="1" x="981"/>
        <item m="1" x="404"/>
        <item m="1" x="905"/>
        <item m="1" x="569"/>
        <item m="1" x="644"/>
        <item m="1" x="1239"/>
        <item m="1" x="971"/>
        <item m="1" x="1184"/>
        <item m="1" x="256"/>
        <item m="1" x="746"/>
        <item m="1" x="542"/>
        <item m="1" x="257"/>
        <item m="1" x="446"/>
        <item m="1" x="487"/>
        <item m="1" x="1103"/>
        <item m="1" x="45"/>
        <item m="1" x="503"/>
        <item m="1" x="1667"/>
        <item m="1" x="1197"/>
        <item m="1" x="258"/>
        <item m="1" x="407"/>
        <item m="1" x="1608"/>
        <item m="1" x="543"/>
        <item m="1" x="522"/>
        <item m="1" x="1120"/>
        <item m="1" x="988"/>
        <item m="1" x="259"/>
        <item m="1" x="598"/>
        <item m="1" x="1305"/>
        <item m="1" x="823"/>
        <item m="1" x="1556"/>
        <item m="1" x="1383"/>
        <item m="1" x="398"/>
        <item m="1" x="1021"/>
        <item m="1" x="1659"/>
        <item m="1" x="427"/>
        <item m="1" x="686"/>
        <item m="1" x="1112"/>
        <item m="1" x="260"/>
        <item m="1" x="1252"/>
        <item m="1" x="840"/>
        <item m="1" x="1724"/>
        <item m="1" x="1500"/>
        <item m="1" x="59"/>
        <item m="1" x="60"/>
        <item m="1" x="1366"/>
        <item m="1" x="820"/>
        <item m="1" x="1448"/>
        <item m="1" x="1058"/>
        <item m="1" x="1402"/>
        <item m="1" x="1146"/>
        <item m="1" x="779"/>
        <item m="1" x="261"/>
        <item m="1" x="1488"/>
        <item m="1" x="63"/>
        <item m="1" x="837"/>
        <item m="1" x="1082"/>
        <item m="1" x="997"/>
        <item m="1" x="262"/>
        <item m="1" x="1268"/>
        <item m="1" x="1054"/>
        <item m="1" x="1174"/>
        <item m="1" x="1109"/>
        <item m="1" x="845"/>
        <item m="1" x="1617"/>
        <item m="1" x="453"/>
        <item m="1" x="1711"/>
        <item m="1" x="899"/>
        <item m="1" x="1629"/>
        <item m="1" x="626"/>
        <item m="1" x="923"/>
        <item m="1" x="628"/>
        <item m="1" x="1635"/>
        <item m="1" x="1286"/>
        <item m="1" x="1016"/>
        <item m="1" x="1695"/>
        <item m="1" x="1282"/>
        <item m="1" x="1662"/>
        <item m="1" x="1640"/>
        <item m="1" x="872"/>
        <item m="1" x="1118"/>
        <item m="1" x="1132"/>
        <item m="1" x="263"/>
        <item m="1" x="1131"/>
        <item m="1" x="1253"/>
        <item m="1" x="567"/>
        <item m="1" x="1707"/>
        <item m="1" x="1354"/>
        <item m="1" x="678"/>
        <item m="1" x="70"/>
        <item m="1" x="1214"/>
        <item m="1" x="1546"/>
        <item m="1" x="810"/>
        <item m="1" x="720"/>
        <item m="1" x="1259"/>
        <item m="1" x="264"/>
        <item m="1" x="1696"/>
        <item m="1" x="668"/>
        <item m="1" x="546"/>
        <item m="1" x="413"/>
        <item m="1" x="1291"/>
        <item m="1" x="418"/>
        <item m="1" x="818"/>
        <item m="1" x="875"/>
        <item m="1" x="1113"/>
        <item m="1" x="500"/>
        <item m="1" x="466"/>
        <item m="1" x="1028"/>
        <item m="1" x="265"/>
        <item m="1" x="421"/>
        <item m="1" x="1510"/>
        <item m="1" x="266"/>
        <item m="1" x="1005"/>
        <item m="1" x="1254"/>
        <item m="1" x="545"/>
        <item m="1" x="1630"/>
        <item m="1" x="1623"/>
        <item m="1" x="79"/>
        <item m="1" x="1452"/>
        <item m="1" x="819"/>
        <item m="1" x="80"/>
        <item m="1" x="1079"/>
        <item m="1" x="267"/>
        <item m="1" x="1643"/>
        <item m="1" x="1235"/>
        <item m="1" x="1545"/>
        <item m="1" x="1625"/>
        <item m="1" x="1447"/>
        <item m="1" x="268"/>
        <item m="1" x="83"/>
        <item m="1" x="1669"/>
        <item m="1" x="411"/>
        <item m="1" x="1283"/>
        <item m="1" x="699"/>
        <item m="1" x="1087"/>
        <item m="1" x="408"/>
        <item m="1" x="721"/>
        <item m="1" x="399"/>
        <item m="1" x="1708"/>
        <item m="1" x="269"/>
        <item m="1" x="1147"/>
        <item m="1" x="1309"/>
        <item m="1" x="742"/>
        <item m="1" x="650"/>
        <item m="1" x="1213"/>
        <item m="1" x="1158"/>
        <item m="1" x="90"/>
        <item m="1" x="921"/>
        <item m="1" x="835"/>
        <item m="1" x="549"/>
        <item m="1" x="855"/>
        <item m="1" x="1637"/>
        <item m="1" x="465"/>
        <item m="1" x="459"/>
        <item m="1" x="1149"/>
        <item m="1" x="1355"/>
        <item m="1" x="647"/>
        <item m="1" x="1221"/>
        <item m="1" x="741"/>
        <item m="1" x="1628"/>
        <item m="1" x="1201"/>
        <item m="1" x="673"/>
        <item m="1" x="750"/>
        <item m="1" x="1410"/>
        <item m="1" x="1274"/>
        <item m="1" x="1691"/>
        <item m="1" x="526"/>
        <item m="1" x="270"/>
        <item m="1" x="1740"/>
        <item m="1" x="271"/>
        <item m="1" x="550"/>
        <item m="1" x="1034"/>
        <item m="1" x="1469"/>
        <item m="1" x="1687"/>
        <item m="1" x="1114"/>
        <item m="1" x="945"/>
        <item m="1" x="739"/>
        <item m="1" x="670"/>
        <item m="1" x="272"/>
        <item m="1" x="273"/>
        <item m="1" x="1244"/>
        <item m="1" x="1330"/>
        <item m="1" x="1064"/>
        <item m="1" x="1179"/>
        <item m="1" x="1357"/>
        <item m="1" x="107"/>
        <item m="1" x="1723"/>
        <item m="1" x="274"/>
        <item m="1" x="444"/>
        <item m="1" x="619"/>
        <item m="1" x="1217"/>
        <item m="1" x="1744"/>
        <item m="1" x="653"/>
        <item m="1" x="711"/>
        <item m="1" x="993"/>
        <item m="1" x="1238"/>
        <item m="1" x="1587"/>
        <item m="1" x="904"/>
        <item m="1" x="1038"/>
        <item m="1" x="1227"/>
        <item m="1" x="1198"/>
        <item m="1" x="275"/>
        <item m="1" x="111"/>
        <item m="1" x="723"/>
        <item m="1" x="1008"/>
        <item m="1" x="1000"/>
        <item m="1" x="858"/>
        <item m="1" x="1466"/>
        <item m="1" x="276"/>
        <item m="1" x="1548"/>
        <item m="1" x="447"/>
        <item m="1" x="967"/>
        <item m="1" x="1528"/>
        <item m="1" x="1719"/>
        <item m="1" x="1439"/>
        <item m="1" x="1161"/>
        <item m="1" x="1323"/>
        <item m="1" x="277"/>
        <item m="1" x="1071"/>
        <item m="1" x="1336"/>
        <item m="1" x="1335"/>
        <item m="1" x="1726"/>
        <item m="1" x="1558"/>
        <item m="1" x="638"/>
        <item m="1" x="861"/>
        <item m="1" x="1091"/>
        <item m="1" x="700"/>
        <item m="1" x="1094"/>
        <item m="1" x="1243"/>
        <item m="1" x="814"/>
        <item m="1" x="610"/>
        <item m="1" x="120"/>
        <item m="1" x="1520"/>
        <item m="1" x="512"/>
        <item m="1" x="1167"/>
        <item m="1" x="1578"/>
        <item m="1" x="931"/>
        <item m="1" x="278"/>
        <item m="1" x="279"/>
        <item m="1" x="623"/>
        <item m="1" x="280"/>
        <item m="1" x="281"/>
        <item m="1" x="282"/>
        <item m="1" x="283"/>
        <item m="1" x="661"/>
        <item m="1" x="284"/>
        <item m="1" x="547"/>
        <item m="1" x="285"/>
        <item m="1" x="1605"/>
        <item m="1" x="743"/>
        <item m="1" x="286"/>
        <item m="1" x="902"/>
        <item m="1" x="1715"/>
        <item m="1" x="287"/>
        <item m="1" x="694"/>
        <item m="1" x="1012"/>
        <item m="1" x="1332"/>
        <item m="1" x="1273"/>
        <item m="1" x="1044"/>
        <item m="1" x="492"/>
        <item m="1" x="1329"/>
        <item m="1" x="1703"/>
        <item m="1" x="767"/>
        <item m="1" x="1246"/>
        <item m="1" x="1033"/>
        <item m="1" x="1473"/>
        <item m="1" x="1164"/>
        <item m="1" x="127"/>
        <item m="1" x="1490"/>
        <item m="1" x="1480"/>
        <item m="1" x="1187"/>
        <item m="1" x="607"/>
        <item m="1" x="803"/>
        <item m="1" x="691"/>
        <item m="1" x="1697"/>
        <item m="1" x="288"/>
        <item m="1" x="1601"/>
        <item m="1" x="544"/>
        <item m="1" x="460"/>
        <item m="1" x="1455"/>
        <item m="1" x="821"/>
        <item m="1" x="1560"/>
        <item m="1" x="1660"/>
        <item m="1" x="508"/>
        <item m="1" x="879"/>
        <item m="1" x="715"/>
        <item m="1" x="1516"/>
        <item m="1" x="1705"/>
        <item m="1" x="289"/>
        <item m="1" x="290"/>
        <item m="1" x="531"/>
        <item m="1" x="1347"/>
        <item m="1" x="291"/>
        <item m="1" x="1678"/>
        <item m="1" x="1648"/>
        <item m="1" x="637"/>
        <item m="1" x="292"/>
        <item m="1" x="293"/>
        <item m="1" x="294"/>
        <item m="1" x="295"/>
        <item m="1" x="296"/>
        <item m="1" x="297"/>
        <item m="1" x="1156"/>
        <item m="1" x="298"/>
        <item m="1" x="954"/>
        <item m="1" x="1683"/>
        <item m="1" x="1421"/>
        <item m="1" x="299"/>
        <item m="1" x="1224"/>
        <item m="1" x="300"/>
        <item m="1" x="780"/>
        <item m="1" x="1472"/>
        <item m="1" x="1582"/>
        <item m="1" x="1368"/>
        <item m="1" x="301"/>
        <item m="1" x="1391"/>
        <item m="1" x="302"/>
        <item m="1" x="303"/>
        <item m="1" x="1162"/>
        <item m="1" x="773"/>
        <item m="1" x="304"/>
        <item m="1" x="635"/>
        <item m="1" x="305"/>
        <item m="1" x="996"/>
        <item m="1" x="809"/>
        <item m="1" x="1569"/>
        <item m="1" x="493"/>
        <item m="1" x="306"/>
        <item m="1" x="538"/>
        <item m="1" x="1690"/>
        <item m="1" x="307"/>
        <item m="1" x="1650"/>
        <item m="1" x="1547"/>
        <item m="1" x="308"/>
        <item m="1" x="1017"/>
        <item m="1" x="1416"/>
        <item m="1" x="850"/>
        <item m="1" x="1263"/>
        <item m="1" x="1294"/>
        <item m="1" x="309"/>
        <item m="1" x="556"/>
        <item m="1" x="310"/>
        <item m="1" x="1331"/>
        <item m="1" x="1345"/>
        <item m="1" x="1360"/>
        <item m="1" x="311"/>
        <item m="1" x="860"/>
        <item m="1" x="139"/>
        <item m="1" x="1190"/>
        <item m="1" x="980"/>
        <item m="1" x="1501"/>
        <item m="1" x="812"/>
        <item m="1" x="1148"/>
        <item m="1" x="1468"/>
        <item m="1" x="312"/>
        <item m="1" x="142"/>
        <item m="1" x="1043"/>
        <item m="1" x="486"/>
        <item m="1" x="313"/>
        <item m="1" x="950"/>
        <item m="1" x="1450"/>
        <item m="1" x="726"/>
        <item m="1" x="314"/>
        <item m="1" x="315"/>
        <item m="1" x="914"/>
        <item m="1" x="1514"/>
        <item m="1" x="1365"/>
        <item m="1" x="1498"/>
        <item m="1" x="316"/>
        <item m="1" x="1632"/>
        <item m="1" x="524"/>
        <item m="1" x="1203"/>
        <item m="1" x="317"/>
        <item m="1" x="147"/>
        <item m="1" x="1236"/>
        <item m="1" x="1353"/>
        <item m="1" x="1093"/>
        <item m="1" x="1432"/>
        <item m="1" x="1318"/>
        <item m="1" x="148"/>
        <item m="1" x="1616"/>
        <item m="1" x="318"/>
        <item m="1" x="1084"/>
        <item m="1" x="1721"/>
        <item m="1" x="1672"/>
        <item m="1" x="898"/>
        <item m="1" x="1717"/>
        <item m="1" x="319"/>
        <item m="1" x="933"/>
        <item m="1" x="1096"/>
        <item m="1" x="1376"/>
        <item m="1" x="320"/>
        <item m="1" x="851"/>
        <item m="1" x="1478"/>
        <item m="1" x="798"/>
        <item m="1" x="657"/>
        <item m="1" x="1299"/>
        <item m="1" x="321"/>
        <item m="1" x="811"/>
        <item m="1" x="1025"/>
        <item m="1" x="322"/>
        <item m="1" x="323"/>
        <item m="1" x="1163"/>
        <item m="1" x="324"/>
        <item m="1" x="960"/>
        <item m="1" x="698"/>
        <item m="1" x="325"/>
        <item m="1" x="882"/>
        <item m="1" x="326"/>
        <item m="1" x="559"/>
        <item m="1" x="587"/>
        <item m="1" x="712"/>
        <item m="1" x="1590"/>
        <item m="1" x="757"/>
        <item m="1" x="327"/>
        <item m="1" x="328"/>
        <item m="1" x="1712"/>
        <item m="1" x="1240"/>
        <item m="1" x="1260"/>
        <item m="1" x="1191"/>
        <item m="1" x="716"/>
        <item m="1" x="806"/>
        <item m="1" x="329"/>
        <item m="1" x="158"/>
        <item m="1" x="330"/>
        <item m="1" x="1080"/>
        <item m="1" x="883"/>
        <item m="1" x="1059"/>
        <item m="1" x="590"/>
        <item m="1" x="1319"/>
        <item m="1" x="594"/>
        <item m="1" x="1477"/>
        <item m="1" x="533"/>
        <item m="1" x="331"/>
        <item m="1" x="332"/>
        <item m="1" x="1720"/>
        <item m="1" x="333"/>
        <item m="1" x="334"/>
        <item m="1" x="1255"/>
        <item m="1" x="1686"/>
        <item m="1" x="335"/>
        <item m="1" x="336"/>
        <item m="1" x="1077"/>
        <item m="1" x="515"/>
        <item m="1" x="890"/>
        <item m="1" x="168"/>
        <item m="1" x="405"/>
        <item m="1" x="790"/>
        <item m="1" x="337"/>
        <item m="1" x="643"/>
        <item m="1" x="775"/>
        <item m="1" x="941"/>
        <item m="1" x="338"/>
        <item m="1" x="339"/>
        <item m="1" x="1446"/>
        <item m="1" x="1463"/>
        <item m="1" x="1718"/>
        <item m="1" x="796"/>
        <item m="1" x="672"/>
        <item m="1" x="1020"/>
        <item m="1" x="925"/>
        <item m="1" x="561"/>
        <item m="1" x="1377"/>
        <item m="1" x="340"/>
        <item m="1" x="1370"/>
        <item m="1" x="1208"/>
        <item m="1" x="341"/>
        <item m="1" x="886"/>
        <item m="1" x="788"/>
        <item m="1" x="1269"/>
        <item m="1" x="1624"/>
        <item m="1" x="1453"/>
        <item m="1" x="805"/>
        <item m="1" x="1047"/>
        <item m="1" x="1509"/>
        <item m="1" x="1344"/>
        <item m="1" x="458"/>
        <item m="1" x="342"/>
        <item m="1" x="343"/>
        <item m="1" x="1228"/>
        <item m="1" x="344"/>
        <item m="1" x="1710"/>
        <item m="1" x="345"/>
        <item m="1" x="1334"/>
        <item m="1" x="347"/>
        <item m="1" x="348"/>
        <item m="1" x="1040"/>
        <item m="1" x="1372"/>
        <item m="1" x="349"/>
        <item m="1" x="1693"/>
        <item m="1" x="1085"/>
        <item m="1" x="350"/>
        <item m="1" x="499"/>
        <item m="1" x="434"/>
        <item m="1" x="351"/>
        <item m="1" x="352"/>
        <item m="1" x="1078"/>
        <item m="1" x="353"/>
        <item m="1" x="354"/>
        <item m="1" x="1442"/>
        <item m="1" x="1312"/>
        <item m="1" x="944"/>
        <item m="1" x="926"/>
        <item m="1" x="355"/>
        <item m="1" x="1266"/>
        <item m="1" x="1626"/>
        <item m="1" x="193"/>
        <item m="1" x="356"/>
        <item m="1" x="432"/>
        <item m="1" x="1121"/>
        <item m="1" x="646"/>
        <item m="1" x="1324"/>
        <item m="1" x="663"/>
        <item m="1" x="194"/>
        <item m="1" x="863"/>
        <item m="1" x="1600"/>
        <item m="1" x="357"/>
        <item m="1" x="1276"/>
        <item m="1" x="469"/>
        <item m="1" x="1571"/>
        <item m="1" x="662"/>
        <item m="1" x="454"/>
        <item m="1" x="358"/>
        <item m="1" x="1052"/>
        <item m="1" x="359"/>
        <item m="1" x="1652"/>
        <item m="1" x="1242"/>
        <item m="1" x="998"/>
        <item m="1" x="609"/>
        <item m="1" x="1182"/>
        <item m="1" x="360"/>
        <item m="1" x="1248"/>
        <item m="1" x="674"/>
        <item m="1" x="1666"/>
        <item m="1" x="929"/>
        <item m="1" x="361"/>
        <item m="1" x="362"/>
        <item m="1" x="614"/>
        <item m="1" x="1381"/>
        <item m="1" x="1139"/>
        <item m="1" x="613"/>
        <item m="1" x="363"/>
        <item m="1" x="364"/>
        <item m="1" x="1647"/>
        <item m="1" x="365"/>
        <item m="1" x="366"/>
        <item m="1" x="498"/>
        <item m="1" x="1378"/>
        <item m="1" x="1512"/>
        <item m="1" x="595"/>
        <item m="1" x="396"/>
        <item m="1" x="1124"/>
        <item m="1" x="367"/>
        <item m="1" x="368"/>
        <item m="1" x="1285"/>
        <item m="1" x="1107"/>
        <item m="1" x="605"/>
        <item m="1" x="369"/>
        <item m="1" x="370"/>
        <item m="1" x="1427"/>
        <item m="1" x="199"/>
        <item m="1" x="1390"/>
        <item m="1" x="690"/>
        <item m="1" x="1099"/>
        <item m="1" x="666"/>
        <item m="1" x="1639"/>
        <item m="1" x="1586"/>
        <item m="1" x="612"/>
        <item m="1" x="889"/>
        <item m="1" x="1333"/>
        <item m="1" x="1413"/>
        <item m="1" x="200"/>
        <item m="1" x="1072"/>
        <item m="1" x="371"/>
        <item m="1" x="1310"/>
        <item m="1" x="935"/>
        <item m="1" x="514"/>
        <item m="1" x="1620"/>
        <item m="1" x="372"/>
        <item m="1" x="1055"/>
        <item m="1" x="202"/>
        <item m="1" x="484"/>
        <item m="1" x="930"/>
        <item m="1" x="373"/>
        <item m="1" x="374"/>
        <item m="1" x="1581"/>
        <item m="1" x="896"/>
        <item m="1" x="659"/>
        <item m="1" x="204"/>
        <item m="1" x="729"/>
        <item m="1" x="910"/>
        <item m="1" x="1207"/>
        <item m="1" x="1465"/>
        <item m="1" x="1257"/>
        <item m="1" x="1656"/>
        <item m="1" x="759"/>
        <item m="1" x="375"/>
        <item m="1" x="1225"/>
        <item m="1" x="511"/>
        <item m="1" x="376"/>
        <item m="1" x="1123"/>
        <item m="1" x="377"/>
        <item m="1" x="1674"/>
        <item m="1" x="417"/>
        <item m="1" x="1387"/>
        <item m="1" x="1265"/>
        <item m="1" x="378"/>
        <item m="1" x="842"/>
        <item m="1" x="379"/>
        <item m="1" x="1418"/>
        <item m="1" x="380"/>
        <item m="1" x="973"/>
        <item m="1" x="765"/>
        <item m="1" x="696"/>
        <item m="1" x="381"/>
        <item m="1" x="1435"/>
        <item m="1" x="1359"/>
        <item m="1" x="824"/>
        <item m="1" x="1454"/>
        <item m="1" x="1060"/>
        <item m="1" x="1032"/>
        <item m="1" x="1681"/>
        <item m="1" x="893"/>
        <item m="1" x="1211"/>
        <item m="1" x="1403"/>
        <item m="1" x="382"/>
        <item m="1" x="771"/>
        <item m="1" x="1680"/>
        <item m="1" x="866"/>
        <item m="1" x="383"/>
        <item m="1" x="384"/>
        <item m="1" x="1638"/>
        <item m="1" x="385"/>
        <item m="1" x="1287"/>
        <item m="1" x="1633"/>
        <item m="1" x="597"/>
        <item m="1" x="1014"/>
        <item m="1" x="1119"/>
        <item m="1" x="1692"/>
        <item m="1" x="386"/>
        <item m="1" x="387"/>
        <item m="1" x="897"/>
        <item m="1" x="445"/>
        <item m="1" x="1536"/>
        <item m="1" x="753"/>
        <item m="1" x="1642"/>
        <item m="1" x="388"/>
        <item m="1" x="669"/>
        <item m="1" x="621"/>
        <item m="1" x="1229"/>
        <item m="1" x="847"/>
        <item m="1" x="1250"/>
        <item m="1" x="1494"/>
        <item m="1" x="471"/>
        <item m="1" x="1270"/>
        <item m="1" x="1136"/>
        <item m="1" x="1523"/>
        <item m="1" x="1730"/>
        <item m="1" x="1592"/>
        <item m="1" x="1550"/>
        <item m="1" x="1426"/>
        <item m="1" x="1729"/>
        <item m="1" x="1436"/>
        <item m="1" x="389"/>
        <item m="1" x="504"/>
        <item m="1" x="390"/>
        <item m="1" x="1081"/>
        <item m="1" x="391"/>
        <item m="1" x="1307"/>
        <item m="1" x="392"/>
        <item m="1" x="393"/>
        <item m="1" x="1422"/>
        <item m="1" x="394"/>
        <item m="1" x="1593"/>
        <item m="1" x="1206"/>
        <item m="1" x="1215"/>
        <item m="1" x="433"/>
        <item m="1" x="1101"/>
        <item m="1" x="1675"/>
        <item m="1" x="558"/>
        <item m="1" x="1591"/>
        <item m="1" x="1022"/>
        <item m="1" x="395"/>
        <item m="1" x="502"/>
        <item m="1" x="1056"/>
        <item x="0"/>
        <item m="1" x="506"/>
        <item m="1" x="1438"/>
        <item m="1" x="766"/>
        <item m="1" x="1568"/>
        <item m="1" x="586"/>
        <item m="1" x="683"/>
        <item m="1" x="990"/>
        <item m="1" x="671"/>
        <item m="1" x="477"/>
        <item m="1" x="1631"/>
        <item m="1" x="401"/>
        <item m="1" x="707"/>
        <item m="1" x="1543"/>
        <item m="1" x="970"/>
        <item m="1" x="846"/>
        <item m="1" x="710"/>
        <item m="1" x="1130"/>
        <item m="1" x="1098"/>
        <item m="1" x="1544"/>
        <item m="1" x="978"/>
        <item m="1" x="1063"/>
        <item m="1" x="422"/>
        <item m="1" x="1619"/>
        <item m="1" x="1738"/>
        <item m="1" x="1504"/>
        <item m="1" x="1069"/>
        <item m="1" x="1006"/>
        <item m="1" x="807"/>
        <item m="1" x="551"/>
        <item m="1" x="1470"/>
        <item m="1" x="525"/>
        <item m="1" x="1340"/>
        <item m="1" x="437"/>
        <item m="1" x="871"/>
        <item m="1" x="1300"/>
        <item m="1" x="881"/>
        <item m="1" x="1209"/>
        <item m="1" x="703"/>
        <item m="1" x="1499"/>
        <item m="1" x="1013"/>
        <item m="1" x="1507"/>
        <item m="1" x="1627"/>
        <item m="1" x="911"/>
        <item m="1" x="1534"/>
        <item m="1" x="1168"/>
        <item m="1" x="534"/>
        <item m="1" x="602"/>
        <item m="1" x="1728"/>
        <item m="1" x="1382"/>
        <item m="1" x="570"/>
        <item m="1" x="1539"/>
        <item m="1" x="1199"/>
        <item m="1" x="748"/>
        <item m="1" x="915"/>
        <item m="1" x="430"/>
        <item m="1" x="1375"/>
        <item m="1" x="946"/>
        <item m="1" x="1731"/>
        <item m="1" x="604"/>
        <item m="1" x="1122"/>
        <item m="1" x="518"/>
        <item m="1" x="1508"/>
        <item m="1" x="760"/>
        <item m="1" x="1111"/>
        <item m="1" x="768"/>
        <item m="1" x="442"/>
        <item m="1" x="1152"/>
        <item m="1" x="1061"/>
        <item m="1" x="620"/>
        <item m="1" x="528"/>
        <item m="1" x="1181"/>
        <item m="1" x="676"/>
        <item m="1" x="1272"/>
        <item m="1" x="1408"/>
        <item m="1" x="1363"/>
        <item m="1" x="1531"/>
        <item m="1" x="1115"/>
        <item m="1" x="976"/>
        <item m="1" x="425"/>
        <item m="1" x="924"/>
        <item m="1" x="1298"/>
        <item m="1" x="1395"/>
        <item m="1" x="1067"/>
        <item m="1" x="654"/>
        <item m="1" x="1538"/>
        <item m="1" x="801"/>
        <item m="1" x="815"/>
        <item m="1" x="1352"/>
        <item m="1" x="928"/>
        <item m="1" x="1169"/>
        <item m="1" x="1129"/>
        <item m="1" x="868"/>
        <item m="1" x="415"/>
        <item m="1" x="532"/>
        <item m="1" x="608"/>
        <item m="1" x="752"/>
        <item m="1" x="756"/>
        <item m="1" x="831"/>
        <item m="1" x="804"/>
        <item m="1" x="1742"/>
        <item m="1" x="1019"/>
        <item m="1" x="709"/>
        <item m="1" x="1088"/>
        <item m="1" x="1159"/>
        <item m="1" x="1495"/>
        <item m="1" x="782"/>
        <item m="1" x="901"/>
        <item m="1" x="1471"/>
        <item m="1" x="1205"/>
        <item m="1" x="852"/>
        <item m="1" x="416"/>
        <item m="1" x="1280"/>
        <item m="1" x="539"/>
        <item m="1" x="987"/>
        <item m="1" x="1451"/>
        <item m="1" x="1431"/>
        <item m="1" x="1589"/>
        <item m="1" x="1645"/>
        <item m="1" x="485"/>
        <item m="1" x="1567"/>
        <item m="1" x="1245"/>
        <item m="1" x="1204"/>
        <item m="1" x="735"/>
        <item m="1" x="1026"/>
        <item m="1" x="1053"/>
        <item m="1" x="1689"/>
        <item m="1" x="1279"/>
        <item m="1" x="1325"/>
        <item m="1" x="1698"/>
        <item m="1" x="870"/>
        <item m="1" x="1670"/>
        <item m="1" x="864"/>
        <item m="1" x="1036"/>
        <item m="1" x="1134"/>
        <item m="1" x="829"/>
        <item m="1" x="772"/>
        <item m="1" x="629"/>
        <item m="1" x="535"/>
        <item m="1" x="449"/>
        <item m="1" x="1003"/>
        <item m="1" x="1009"/>
        <item m="1" x="1434"/>
        <item m="1" x="1594"/>
        <item m="1" x="932"/>
        <item m="1" x="622"/>
        <item m="1" x="1057"/>
        <item m="1" x="1741"/>
        <item m="1" x="1745"/>
        <item m="1" x="1525"/>
        <item m="1" x="1727"/>
        <item m="1" x="497"/>
        <item m="1" x="639"/>
        <item m="1" x="1704"/>
        <item m="1" x="1160"/>
        <item m="1" x="919"/>
        <item m="1" x="1429"/>
        <item m="1" x="1367"/>
        <item m="1" x="1326"/>
        <item m="1" x="1651"/>
        <item m="1" x="1657"/>
        <item m="1" x="1142"/>
        <item m="1" x="1018"/>
        <item m="1" x="439"/>
        <item m="1" x="1532"/>
        <item m="1" x="1192"/>
        <item m="1" x="908"/>
        <item m="1" x="1521"/>
        <item m="1" x="1411"/>
        <item m="1" x="1685"/>
        <item m="1" x="717"/>
        <item m="1" x="751"/>
        <item m="1" x="953"/>
        <item m="1" x="1241"/>
        <item m="1" x="692"/>
        <item m="1" x="403"/>
        <item m="1" x="1189"/>
        <item m="1" x="1141"/>
        <item m="1" x="1237"/>
        <item m="1" x="693"/>
        <item m="1" x="848"/>
        <item m="1" x="1393"/>
        <item m="1" x="1456"/>
        <item m="1" x="1346"/>
        <item m="1" x="464"/>
        <item m="1" x="1676"/>
        <item m="1" x="1316"/>
        <item m="1" x="592"/>
        <item m="1" x="1075"/>
        <item m="1" x="1024"/>
        <item m="1" x="892"/>
        <item m="1" x="1176"/>
        <item m="1" x="461"/>
        <item m="1" x="1342"/>
        <item m="1" x="1304"/>
        <item m="1" x="1734"/>
        <item m="1" x="1042"/>
        <item m="1" x="523"/>
        <item m="1" x="762"/>
        <item m="1" x="509"/>
        <item m="1" x="658"/>
        <item m="1" x="1502"/>
        <item m="1" x="440"/>
        <item m="1" x="1338"/>
        <item m="1" x="476"/>
        <item m="1" x="1100"/>
        <item m="1" x="456"/>
        <item m="1" x="1482"/>
        <item m="1" x="695"/>
        <item m="1" x="907"/>
        <item m="1" x="419"/>
        <item m="1" x="947"/>
        <item m="1" x="1618"/>
        <item m="1" x="1743"/>
        <item m="1" x="625"/>
        <item m="1" x="564"/>
        <item m="1" x="1290"/>
        <item m="1" x="1351"/>
        <item m="1" x="1588"/>
        <item m="1" x="473"/>
        <item m="1" x="917"/>
        <item m="1" x="1361"/>
        <item m="1" x="1549"/>
        <item m="1" x="1700"/>
        <item m="1" x="1137"/>
        <item m="1" x="1083"/>
        <item m="1" x="1655"/>
        <item m="1" x="1315"/>
        <item m="1" x="576"/>
        <item m="1" x="906"/>
        <item m="1" x="1314"/>
        <item m="1" x="1614"/>
        <item m="1" x="1261"/>
        <item m="1" x="1606"/>
        <item m="1" x="475"/>
        <item m="1" x="589"/>
        <item m="1" x="734"/>
        <item m="1" x="761"/>
        <item m="1" x="1433"/>
        <item m="1" x="934"/>
        <item m="1" x="617"/>
        <item m="1" x="1231"/>
        <item m="1" x="1673"/>
        <item m="1" x="1746"/>
        <item m="1" x="402"/>
        <item m="1" x="1186"/>
        <item m="1" x="1688"/>
        <item m="1" x="1597"/>
        <item m="1" x="560"/>
        <item m="1" x="463"/>
        <item m="1" x="1293"/>
        <item m="1" x="785"/>
        <item m="1" x="424"/>
        <item m="1" x="827"/>
        <item m="1" x="1684"/>
        <item m="1" x="588"/>
        <item m="1" x="423"/>
        <item m="1" x="1644"/>
        <item m="1" x="1440"/>
        <item m="1" x="1030"/>
        <item m="1" x="1518"/>
        <item m="1" x="755"/>
        <item m="1" x="783"/>
        <item m="1" x="1603"/>
        <item m="1" x="443"/>
        <item m="1" x="859"/>
        <item m="1" x="687"/>
        <item m="1" x="952"/>
        <item m="1" x="1313"/>
        <item m="1" x="1066"/>
        <item m="1" x="1175"/>
        <item m="1" x="409"/>
        <item m="1" x="1233"/>
        <item m="1" x="1222"/>
        <item m="1" x="603"/>
        <item m="1" x="1002"/>
        <item m="1" x="1430"/>
        <item m="1" x="1380"/>
        <item m="1" x="966"/>
        <item m="1" x="1369"/>
        <item m="1" x="854"/>
        <item m="1" x="1065"/>
        <item m="1" x="478"/>
        <item m="1" x="1441"/>
        <item m="1" x="601"/>
        <item m="1" x="1527"/>
        <item m="1" x="1349"/>
        <item m="1" x="979"/>
        <item m="1" x="1484"/>
        <item m="1" x="749"/>
        <item m="1" x="1396"/>
        <item m="1" x="577"/>
        <item m="1" x="1322"/>
        <item m="1" x="927"/>
        <item m="1" x="1612"/>
        <item m="1" x="856"/>
        <item m="1" x="571"/>
        <item m="1" x="730"/>
        <item m="1" x="958"/>
        <item m="1" x="1358"/>
        <item m="1" x="1405"/>
        <item m="1" x="816"/>
        <item m="1" x="822"/>
        <item m="1" x="1288"/>
        <item m="1" x="1092"/>
        <item m="1" x="1177"/>
        <item m="1" x="1572"/>
        <item m="1" x="1533"/>
        <item m="1" x="1339"/>
        <item m="1" x="618"/>
        <item m="1" x="1392"/>
        <item m="1" x="887"/>
        <item m="1" x="530"/>
        <item m="1" x="985"/>
        <item m="1" x="1090"/>
        <item m="1" x="472"/>
        <item m="1" x="1654"/>
        <item m="1" x="787"/>
        <item m="1" x="664"/>
        <item m="1" x="1458"/>
        <item m="1" x="1563"/>
        <item m="1" x="740"/>
        <item m="1" x="1135"/>
        <item m="1" x="1374"/>
        <item m="1" x="738"/>
        <item m="1" x="1474"/>
        <item m="1" x="1414"/>
        <item m="1" x="1615"/>
        <item m="1" x="1140"/>
        <item m="1" x="1557"/>
        <item m="1" x="939"/>
        <item m="1" x="1170"/>
        <item m="1" x="1348"/>
        <item m="1" x="1564"/>
        <item m="1" x="853"/>
        <item m="1" x="517"/>
        <item m="1" x="1530"/>
        <item m="1" x="1579"/>
        <item m="1" x="955"/>
        <item m="1" x="1212"/>
        <item m="1" x="1062"/>
        <item m="1" x="943"/>
        <item m="1" x="1173"/>
        <item m="1" x="885"/>
        <item m="1" x="1649"/>
        <item m="1" x="951"/>
        <item m="1" x="1404"/>
        <item m="1" x="1388"/>
        <item m="1" x="828"/>
        <item m="1" x="1202"/>
        <item m="1" x="957"/>
        <item m="1" x="894"/>
        <item m="1" x="527"/>
        <item m="1" x="1371"/>
        <item m="1" x="520"/>
        <item m="1" x="992"/>
        <item m="1" x="1487"/>
        <item m="1" x="802"/>
        <item m="1" x="1155"/>
        <item m="1" x="1295"/>
        <item m="1" x="1394"/>
        <item m="1" x="1575"/>
        <item m="1" x="1419"/>
        <item m="1" x="724"/>
        <item m="1" x="1551"/>
        <item m="1" x="1220"/>
        <item m="1" x="649"/>
        <item m="1" x="482"/>
        <item m="1" x="406"/>
        <item m="1" x="1297"/>
        <item m="1" x="878"/>
        <item m="1" x="1467"/>
        <item m="1" x="937"/>
        <item m="1" x="474"/>
        <item m="1" x="737"/>
        <item m="1" x="1562"/>
        <item m="1" x="1051"/>
        <item m="1" x="1559"/>
        <item m="1" x="1007"/>
        <item m="1" x="834"/>
        <item m="1" x="1702"/>
        <item m="1" x="1423"/>
        <item m="1" x="838"/>
        <item m="1" x="1200"/>
        <item m="1" x="1050"/>
        <item m="1" x="1714"/>
        <item m="1" x="1485"/>
        <item m="1" x="1598"/>
        <item m="1" x="817"/>
        <item m="1" x="491"/>
        <item m="1" x="1570"/>
        <item m="1" x="1580"/>
        <item m="1" x="1732"/>
        <item m="1" x="884"/>
        <item m="1" x="1247"/>
        <item m="1" x="942"/>
        <item m="1" x="1195"/>
        <item m="1" x="1665"/>
        <item m="1" x="869"/>
        <item m="1" x="1397"/>
        <item m="1" x="568"/>
        <item m="1" x="1542"/>
        <item m="1" x="448"/>
        <item m="1" x="880"/>
        <item m="1" x="1384"/>
        <item m="1" x="1464"/>
        <item m="1" x="1445"/>
        <item m="1" x="585"/>
        <item m="1" x="555"/>
        <item m="1" x="1004"/>
        <item m="1" x="936"/>
        <item m="1" x="974"/>
        <item m="1" x="867"/>
        <item m="1" x="591"/>
        <item m="1" x="1554"/>
        <item m="1" x="1178"/>
        <item m="1" x="640"/>
        <item m="1" x="468"/>
        <item m="1" x="913"/>
        <item m="1" x="1399"/>
        <item m="1" x="983"/>
        <item m="1" x="1541"/>
        <item m="1" x="1483"/>
        <item m="1" x="1713"/>
        <item m="1" x="665"/>
        <item m="1" x="600"/>
        <item m="1" x="727"/>
        <item m="1" x="1497"/>
        <item m="1" x="410"/>
        <item m="1" x="1108"/>
        <item m="1" x="1271"/>
        <item m="1" x="1602"/>
        <item m="1" x="697"/>
        <item m="1" x="681"/>
        <item m="1" x="1350"/>
        <item m="1" x="844"/>
        <item m="1" x="920"/>
        <item m="1" x="1289"/>
        <item m="1" x="1401"/>
        <item m="1" x="991"/>
        <item m="1" x="688"/>
        <item m="1" x="1385"/>
        <item m="1" x="964"/>
        <item m="1" x="975"/>
        <item m="1" x="922"/>
        <item m="1" x="1540"/>
        <item m="1" x="1573"/>
        <item m="1" x="1584"/>
        <item m="1" x="581"/>
        <item m="1" x="1389"/>
        <item m="1" x="616"/>
        <item m="1" x="1417"/>
        <item m="1" x="1144"/>
        <item m="1" x="1218"/>
        <item m="1" x="1321"/>
        <item m="1" x="1737"/>
        <item m="1" x="776"/>
        <item m="1" x="1661"/>
        <item m="1" x="961"/>
        <item m="1" x="1607"/>
        <item m="1" x="1292"/>
        <item m="1" x="1609"/>
        <item m="1" x="552"/>
        <item m="1" x="1337"/>
        <item m="1" x="718"/>
        <item m="1" x="573"/>
        <item m="1" x="1296"/>
        <item m="1" x="1070"/>
        <item m="1" x="1301"/>
        <item m="1" x="736"/>
        <item m="1" x="1097"/>
        <item m="1" x="554"/>
        <item m="1" x="1460"/>
        <item m="1" x="825"/>
        <item m="1" x="400"/>
        <item m="1" x="1281"/>
        <item m="1" x="1275"/>
        <item m="1" x="593"/>
        <item m="1" x="1011"/>
        <item m="1" x="513"/>
        <item m="1" x="1457"/>
        <item m="1" x="1264"/>
      </items>
    </pivotField>
    <pivotField axis="axisRow" compact="0" outline="0" subtotalTop="0" showAll="0" sortType="descending" defaultSubtotal="0">
      <items count="828">
        <item x="0"/>
        <item m="1" x="347"/>
        <item m="1" x="671"/>
        <item m="1" x="732"/>
        <item m="1" x="651"/>
        <item m="1" x="459"/>
        <item m="1" x="124"/>
        <item m="1" x="122"/>
        <item m="1" x="560"/>
        <item m="1" x="84"/>
        <item m="1" x="655"/>
        <item m="1" x="392"/>
        <item m="1" x="60"/>
        <item m="1" x="464"/>
        <item m="1" x="76"/>
        <item m="1" x="127"/>
        <item m="1" x="276"/>
        <item m="1" x="34"/>
        <item m="1" x="22"/>
        <item m="1" x="400"/>
        <item m="1" x="114"/>
        <item m="1" x="80"/>
        <item m="1" x="120"/>
        <item m="1" x="146"/>
        <item m="1" x="798"/>
        <item m="1" x="20"/>
        <item m="1" x="519"/>
        <item m="1" x="31"/>
        <item m="1" x="115"/>
        <item m="1" x="33"/>
        <item m="1" x="149"/>
        <item m="1" x="81"/>
        <item m="1" x="151"/>
        <item m="1" x="23"/>
        <item m="1" x="707"/>
        <item m="1" x="143"/>
        <item m="1" x="821"/>
        <item m="1" x="100"/>
        <item m="1" x="89"/>
        <item m="1" x="145"/>
        <item m="1" x="288"/>
        <item m="1" x="756"/>
        <item m="1" x="349"/>
        <item m="1" x="804"/>
        <item m="1" x="484"/>
        <item m="1" x="466"/>
        <item m="1" x="698"/>
        <item m="1" x="790"/>
        <item m="1" x="551"/>
        <item m="1" x="411"/>
        <item m="1" x="741"/>
        <item m="1" x="380"/>
        <item m="1" x="352"/>
        <item m="1" x="727"/>
        <item m="1" x="738"/>
        <item m="1" x="365"/>
        <item m="1" x="71"/>
        <item m="1" x="372"/>
        <item m="1" x="578"/>
        <item m="1" x="451"/>
        <item m="1" x="825"/>
        <item m="1" x="70"/>
        <item m="1" x="264"/>
        <item m="1" x="478"/>
        <item m="1" x="653"/>
        <item m="1" x="720"/>
        <item m="1" x="136"/>
        <item m="1" x="559"/>
        <item m="1" x="562"/>
        <item m="1" x="729"/>
        <item m="1" x="121"/>
        <item m="1" x="90"/>
        <item m="1" x="570"/>
        <item m="1" x="812"/>
        <item m="1" x="637"/>
        <item m="1" x="447"/>
        <item m="1" x="86"/>
        <item m="1" x="453"/>
        <item m="1" x="454"/>
        <item m="1" x="647"/>
        <item m="1" x="258"/>
        <item m="1" x="83"/>
        <item m="1" x="471"/>
        <item m="1" x="715"/>
        <item m="1" x="338"/>
        <item m="1" x="552"/>
        <item m="1" x="69"/>
        <item m="1" x="348"/>
        <item m="1" x="87"/>
        <item m="1" x="155"/>
        <item m="1" x="725"/>
        <item m="1" x="799"/>
        <item m="1" x="806"/>
        <item m="1" x="434"/>
        <item m="1" x="634"/>
        <item m="1" x="448"/>
        <item m="1" x="638"/>
        <item m="1" x="106"/>
        <item m="1" x="455"/>
        <item m="1" x="642"/>
        <item m="1" x="702"/>
        <item m="1" x="324"/>
        <item m="1" x="538"/>
        <item m="1" x="541"/>
        <item m="1" x="710"/>
        <item m="1" x="336"/>
        <item m="1" x="110"/>
        <item m="1" x="548"/>
        <item m="1" x="719"/>
        <item m="1" x="341"/>
        <item m="1" x="154"/>
        <item m="1" x="343"/>
        <item m="1" x="415"/>
        <item m="1" x="73"/>
        <item m="1" x="794"/>
        <item m="1" x="621"/>
        <item m="1" x="36"/>
        <item m="1" x="807"/>
        <item m="1" x="635"/>
        <item m="1" x="442"/>
        <item m="1" x="152"/>
        <item m="1" x="125"/>
        <item m="1" x="525"/>
        <item m="1" x="320"/>
        <item m="1" x="696"/>
        <item m="1" x="326"/>
        <item m="1" x="535"/>
        <item m="1" x="706"/>
        <item m="1" x="107"/>
        <item m="1" x="330"/>
        <item m="1" x="409"/>
        <item m="1" x="137"/>
        <item m="1" x="619"/>
        <item m="1" x="138"/>
        <item m="1" x="129"/>
        <item m="1" x="426"/>
        <item m="1" x="801"/>
        <item m="1" x="17"/>
        <item m="1" x="688"/>
        <item m="1" x="313"/>
        <item m="1" x="703"/>
        <item m="1" x="18"/>
        <item m="1" x="328"/>
        <item m="1" x="394"/>
        <item m="1" x="600"/>
        <item m="1" x="774"/>
        <item m="1" x="132"/>
        <item m="1" x="776"/>
        <item m="1" x="611"/>
        <item m="1" x="32"/>
        <item m="1" x="11"/>
        <item m="1" x="25"/>
        <item m="1" x="416"/>
        <item m="1" x="616"/>
        <item m="1" x="420"/>
        <item m="1" x="672"/>
        <item m="1" x="295"/>
        <item m="1" x="506"/>
        <item m="1" x="297"/>
        <item m="1" x="66"/>
        <item m="1" x="678"/>
        <item m="1" x="682"/>
        <item m="1" x="685"/>
        <item m="1" x="68"/>
        <item m="1" x="690"/>
        <item m="1" x="312"/>
        <item m="1" x="7"/>
        <item m="1" x="527"/>
        <item m="1" x="44"/>
        <item m="1" x="67"/>
        <item m="1" x="134"/>
        <item m="1" x="697"/>
        <item m="1" x="45"/>
        <item m="1" x="6"/>
        <item m="1" x="594"/>
        <item m="1" x="765"/>
        <item m="1" x="13"/>
        <item m="1" x="58"/>
        <item m="1" x="770"/>
        <item m="1" x="46"/>
        <item m="1" x="602"/>
        <item m="1" x="775"/>
        <item m="1" x="401"/>
        <item m="1" x="778"/>
        <item m="1" x="40"/>
        <item m="1" x="610"/>
        <item m="1" x="133"/>
        <item m="1" x="405"/>
        <item m="1" x="116"/>
        <item m="1" x="410"/>
        <item m="1" x="14"/>
        <item m="1" x="786"/>
        <item m="1" x="3"/>
        <item m="1" x="284"/>
        <item m="1" x="495"/>
        <item m="1" x="667"/>
        <item m="1" x="289"/>
        <item m="1" x="500"/>
        <item m="1" x="5"/>
        <item m="1" x="293"/>
        <item m="1" x="57"/>
        <item m="1" x="673"/>
        <item m="1" x="296"/>
        <item m="1" x="64"/>
        <item m="1" x="674"/>
        <item m="1" x="101"/>
        <item m="1" x="680"/>
        <item m="1" x="302"/>
        <item m="1" x="511"/>
        <item m="1" x="681"/>
        <item m="1" x="306"/>
        <item m="1" x="514"/>
        <item m="1" x="686"/>
        <item m="1" x="15"/>
        <item m="1" x="16"/>
        <item m="1" x="61"/>
        <item m="1" x="584"/>
        <item m="1" x="751"/>
        <item m="1" x="28"/>
        <item m="1" x="585"/>
        <item m="1" x="754"/>
        <item m="1" x="51"/>
        <item m="1" x="385"/>
        <item m="1" x="56"/>
        <item m="1" x="763"/>
        <item m="1" x="141"/>
        <item m="1" x="88"/>
        <item m="1" x="102"/>
        <item m="1" x="42"/>
        <item m="1" x="108"/>
        <item m="1" x="52"/>
        <item m="1" x="777"/>
        <item m="1" x="41"/>
        <item m="1" x="118"/>
        <item m="1" x="272"/>
        <item m="1" x="487"/>
        <item m="1" x="660"/>
        <item m="1" x="274"/>
        <item m="1" x="662"/>
        <item m="1" x="278"/>
        <item m="1" x="54"/>
        <item m="1" x="666"/>
        <item m="1" x="286"/>
        <item m="1" x="95"/>
        <item m="1" x="668"/>
        <item m="1" x="290"/>
        <item m="1" x="98"/>
        <item m="1" x="505"/>
        <item m="1" x="92"/>
        <item m="1" x="96"/>
        <item m="1" x="675"/>
        <item m="1" x="298"/>
        <item m="1" x="509"/>
        <item m="1" x="74"/>
        <item m="1" x="91"/>
        <item m="1" x="576"/>
        <item m="1" x="748"/>
        <item m="1" x="586"/>
        <item m="1" x="383"/>
        <item m="1" x="759"/>
        <item m="1" x="267"/>
        <item m="1" x="658"/>
        <item m="1" x="665"/>
        <item m="1" x="287"/>
        <item m="1" x="496"/>
        <item m="1" x="142"/>
        <item m="1" x="502"/>
        <item m="1" x="94"/>
        <item m="1" x="734"/>
        <item m="1" x="93"/>
        <item m="1" x="572"/>
        <item m="1" x="153"/>
        <item m="1" x="366"/>
        <item m="1" x="371"/>
        <item m="1" x="577"/>
        <item m="1" x="99"/>
        <item m="1" x="104"/>
        <item m="1" x="581"/>
        <item m="1" x="379"/>
        <item m="1" x="476"/>
        <item m="1" x="270"/>
        <item m="1" x="144"/>
        <item m="1" x="663"/>
        <item m="1" x="357"/>
        <item m="1" x="565"/>
        <item m="1" x="735"/>
        <item m="1" x="740"/>
        <item m="1" x="370"/>
        <item m="1" x="823"/>
        <item m="1" x="467"/>
        <item m="1" x="4"/>
        <item m="1" x="382"/>
        <item m="1" x="479"/>
        <item m="1" x="263"/>
        <item m="1" x="334"/>
        <item m="1" x="618"/>
        <item m="1" x="424"/>
        <item m="1" x="329"/>
        <item m="1" x="604"/>
        <item m="1" x="670"/>
        <item m="1" x="12"/>
        <item m="1" x="30"/>
        <item m="1" x="504"/>
        <item m="1" x="315"/>
        <item m="1" x="452"/>
        <item m="1" x="314"/>
        <item m="1" x="639"/>
        <item m="1" x="808"/>
        <item m="1" x="605"/>
        <item m="1" x="364"/>
        <item m="1" x="815"/>
        <item m="1" x="771"/>
        <item m="1" x="488"/>
        <item m="1" x="739"/>
        <item m="1" x="603"/>
        <item m="1" x="640"/>
        <item m="1" x="532"/>
        <item m="1" x="518"/>
        <item m="1" x="733"/>
        <item m="1" x="425"/>
        <item m="1" x="745"/>
        <item m="1" x="580"/>
        <item m="1" x="428"/>
        <item m="1" x="303"/>
        <item m="1" x="659"/>
        <item m="1" x="123"/>
        <item m="1" x="460"/>
        <item m="1" x="483"/>
        <item m="1" x="346"/>
        <item m="1" x="822"/>
        <item m="1" x="402"/>
        <item m="1" x="498"/>
        <item m="1" x="470"/>
        <item m="1" x="363"/>
        <item m="1" x="813"/>
        <item m="1" x="421"/>
        <item m="1" x="606"/>
        <item m="1" x="280"/>
        <item m="1" x="147"/>
        <item m="1" x="440"/>
        <item m="1" x="85"/>
        <item m="1" x="669"/>
        <item m="1" x="395"/>
        <item m="1" x="369"/>
        <item m="1" x="809"/>
        <item m="1" x="687"/>
        <item m="1" x="524"/>
        <item m="1" x="493"/>
        <item m="1" x="764"/>
        <item m="1" x="553"/>
        <item m="1" x="350"/>
        <item m="1" x="148"/>
        <item m="1" x="795"/>
        <item m="1" x="626"/>
        <item m="1" x="512"/>
        <item m="1" x="752"/>
        <item m="1" x="59"/>
        <item m="1" x="590"/>
        <item m="1" x="567"/>
        <item m="1" x="472"/>
        <item m="1" x="75"/>
        <item m="1" x="657"/>
        <item m="1" x="358"/>
        <item m="1" x="259"/>
        <item m="1" x="21"/>
        <item m="1" x="545"/>
        <item m="1" x="446"/>
        <item m="1" x="111"/>
        <item m="1" x="319"/>
        <item m="1" x="158"/>
        <item m="1" x="105"/>
        <item m="1" x="597"/>
        <item m="1" x="507"/>
        <item m="1" x="482"/>
        <item m="1" x="373"/>
        <item m="1" x="724"/>
        <item m="1" x="644"/>
        <item m="1" x="140"/>
        <item m="1" x="432"/>
        <item m="1" x="332"/>
        <item m="1" x="782"/>
        <item m="1" x="497"/>
        <item m="1" x="388"/>
        <item m="1" x="266"/>
        <item m="1" x="742"/>
        <item m="1" x="10"/>
        <item m="1" x="128"/>
        <item m="1" x="354"/>
        <item m="1" x="325"/>
        <item m="1" x="708"/>
        <item m="1" x="677"/>
        <item m="1" x="160"/>
        <item m="1" x="515"/>
        <item m="1" x="376"/>
        <item m="1" x="279"/>
        <item m="1" x="757"/>
        <item m="1" x="569"/>
        <item m="1" x="477"/>
        <item m="1" x="340"/>
        <item m="1" x="817"/>
        <item m="1" x="695"/>
        <item m="1" x="534"/>
        <item m="1" x="393"/>
        <item m="1" x="301"/>
        <item m="1" x="47"/>
        <item m="1" x="112"/>
        <item m="1" x="465"/>
        <item m="1" x="360"/>
        <item m="1" x="135"/>
        <item m="1" x="714"/>
        <item m="1" x="35"/>
        <item m="1" x="130"/>
        <item m="1" x="414"/>
        <item m="1" x="24"/>
        <item m="1" x="598"/>
        <item m="1" x="575"/>
        <item m="1" x="485"/>
        <item m="1" x="55"/>
        <item m="1" x="62"/>
        <item m="1" x="131"/>
        <item m="1" x="82"/>
        <item m="1" x="625"/>
        <item m="1" x="542"/>
        <item m="1" x="435"/>
        <item m="1" x="404"/>
        <item m="1" x="309"/>
        <item m="1" x="785"/>
        <item m="1" x="784"/>
        <item m="1" x="156"/>
        <item m="1" x="589"/>
        <item m="1" x="588"/>
        <item m="1" x="503"/>
        <item m="1" x="389"/>
        <item m="1" x="78"/>
        <item m="1" x="165"/>
        <item m="1" x="164"/>
        <item m="1" x="48"/>
        <item m="1" x="458"/>
        <item m="1" x="327"/>
        <item m="1" x="800"/>
        <item m="1" x="126"/>
        <item m="1" x="113"/>
        <item m="1" x="517"/>
        <item m="1" x="378"/>
        <item m="1" x="285"/>
        <item m="1" x="39"/>
        <item m="1" x="648"/>
        <item m="1" x="544"/>
        <item m="1" x="445"/>
        <item m="1" x="157"/>
        <item m="1" x="820"/>
        <item m="1" x="791"/>
        <item m="1" x="701"/>
        <item m="1" x="399"/>
        <item m="1" x="304"/>
        <item m="1" x="79"/>
        <item m="1" x="119"/>
        <item m="1" x="150"/>
        <item m="1" x="19"/>
        <item m="1" x="362"/>
        <item m="1" x="331"/>
        <item m="1" x="159"/>
        <item m="1" x="614"/>
        <item m="1" x="529"/>
        <item m="1" x="387"/>
        <item m="1" x="769"/>
        <item m="1" x="353"/>
        <item m="1" x="827"/>
        <item m="1" x="728"/>
        <item m="1" x="63"/>
        <item m="1" x="630"/>
        <item m="1" x="97"/>
        <item m="1" x="49"/>
        <item m="1" x="2"/>
        <item m="1" x="475"/>
        <item m="1" x="269"/>
        <item m="1" x="816"/>
        <item m="1" x="27"/>
        <item m="1" x="641"/>
        <item m="1" x="558"/>
        <item m="1" x="533"/>
        <item m="1" x="109"/>
        <item m="1" x="103"/>
        <item m="1" x="9"/>
        <item m="1" x="26"/>
        <item m="1" x="491"/>
        <item m="1" x="359"/>
        <item m="1" x="262"/>
        <item m="1" x="162"/>
        <item m="1" x="652"/>
        <item m="1" x="550"/>
        <item m="1" x="449"/>
        <item m="1" x="77"/>
        <item m="1" x="161"/>
        <item m="1" x="8"/>
        <item m="1" x="65"/>
        <item m="1" x="53"/>
        <item m="1" x="163"/>
        <item m="1" x="43"/>
        <item m="1" x="273"/>
        <item m="1" x="117"/>
        <item m="1" x="38"/>
        <item m="1" x="1"/>
        <item m="1" x="433"/>
        <item m="1" x="337"/>
        <item m="1" x="29"/>
        <item m="1" x="139"/>
        <item m="1" x="72"/>
        <item m="1" x="249"/>
        <item m="1" x="50"/>
        <item m="1" x="221"/>
        <item m="1" x="185"/>
        <item m="1" x="210"/>
        <item m="1" x="167"/>
        <item m="1" x="556"/>
        <item m="1" x="255"/>
        <item m="1" x="217"/>
        <item m="1" x="257"/>
        <item m="1" x="206"/>
        <item m="1" x="631"/>
        <item m="1" x="608"/>
        <item m="1" x="516"/>
        <item m="1" x="316"/>
        <item m="1" x="282"/>
        <item m="1" x="758"/>
        <item m="1" x="251"/>
        <item m="1" x="175"/>
        <item m="1" x="174"/>
        <item m="1" x="190"/>
        <item m="1" x="224"/>
        <item m="1" x="723"/>
        <item m="1" x="699"/>
        <item m="1" x="250"/>
        <item m="1" x="166"/>
        <item m="1" x="193"/>
        <item m="1" x="397"/>
        <item m="1" x="238"/>
        <item m="1" x="187"/>
        <item m="1" x="494"/>
        <item m="1" x="180"/>
        <item m="1" x="245"/>
        <item m="1" x="173"/>
        <item m="1" x="767"/>
        <item m="1" x="242"/>
        <item m="1" x="486"/>
        <item m="1" x="277"/>
        <item m="1" x="172"/>
        <item m="1" x="568"/>
        <item m="1" x="439"/>
        <item m="1" x="694"/>
        <item m="1" x="592"/>
        <item m="1" x="182"/>
        <item m="1" x="233"/>
        <item m="1" x="179"/>
        <item m="1" x="557"/>
        <item m="1" x="423"/>
        <item m="1" x="805"/>
        <item m="1" x="181"/>
        <item m="1" x="523"/>
        <item m="1" x="178"/>
        <item m="1" x="762"/>
        <item m="1" x="237"/>
        <item m="1" x="345"/>
        <item m="1" x="792"/>
        <item m="1" x="624"/>
        <item m="1" x="195"/>
        <item m="1" x="308"/>
        <item m="1" x="750"/>
        <item m="1" x="587"/>
        <item m="1" x="186"/>
        <item m="1" x="248"/>
        <item m="1" x="718"/>
        <item m="1" x="615"/>
        <item m="1" x="419"/>
        <item m="1" x="171"/>
        <item m="1" x="679"/>
        <item m="1" x="229"/>
        <item m="1" x="377"/>
        <item m="1" x="183"/>
        <item m="1" x="709"/>
        <item m="1" x="222"/>
        <item m="1" x="407"/>
        <item m="1" x="789"/>
        <item m="1" x="209"/>
        <item m="1" x="234"/>
        <item m="1" x="368"/>
        <item m="1" x="243"/>
        <item m="1" x="643"/>
        <item m="1" x="170"/>
        <item m="1" x="244"/>
        <item m="1" x="780"/>
        <item m="1" x="177"/>
        <item m="1" x="219"/>
        <item m="1" x="292"/>
        <item m="1" x="737"/>
        <item m="1" x="218"/>
        <item m="1" x="240"/>
        <item m="1" x="322"/>
        <item m="1" x="168"/>
        <item m="1" x="601"/>
        <item m="1" x="198"/>
        <item m="1" x="192"/>
        <item m="1" x="205"/>
        <item m="1" x="566"/>
        <item m="1" x="437"/>
        <item m="1" x="197"/>
        <item m="1" x="692"/>
        <item m="1" x="531"/>
        <item m="1" x="391"/>
        <item m="1" x="773"/>
        <item m="1" x="208"/>
        <item m="1" x="490"/>
        <item m="1" x="356"/>
        <item m="1" x="241"/>
        <item m="1" x="633"/>
        <item m="1" x="521"/>
        <item m="1" x="318"/>
        <item m="1" x="761"/>
        <item m="1" x="596"/>
        <item m="1" x="481"/>
        <item m="1" x="196"/>
        <item m="1" x="200"/>
        <item m="1" x="622"/>
        <item m="1" x="431"/>
        <item m="1" x="305"/>
        <item m="1" x="691"/>
        <item m="1" x="201"/>
        <item m="1" x="199"/>
        <item m="1" x="265"/>
        <item m="1" x="716"/>
        <item m="1" x="555"/>
        <item m="1" x="417"/>
        <item m="1" x="797"/>
        <item m="1" x="676"/>
        <item m="1" x="513"/>
        <item m="1" x="375"/>
        <item m="1" x="755"/>
        <item m="1" x="252"/>
        <item m="1" x="216"/>
        <item m="1" x="339"/>
        <item m="1" x="787"/>
        <item m="1" x="239"/>
        <item m="1" x="247"/>
        <item m="1" x="300"/>
        <item m="1" x="746"/>
        <item m="1" x="583"/>
        <item m="1" x="463"/>
        <item m="1" x="253"/>
        <item m="1" x="713"/>
        <item m="1" x="612"/>
        <item m="1" x="413"/>
        <item m="1" x="291"/>
        <item m="1" x="236"/>
        <item m="1" x="574"/>
        <item m="1" x="450"/>
        <item m="1" x="826"/>
        <item m="1" x="704"/>
        <item m="1" x="540"/>
        <item m="1" x="403"/>
        <item m="1" x="783"/>
        <item m="1" x="664"/>
        <item m="1" x="501"/>
        <item m="1" x="214"/>
        <item m="1" x="814"/>
        <item m="1" x="211"/>
        <item m="1" x="530"/>
        <item m="1" x="225"/>
        <item m="1" x="772"/>
        <item m="1" x="609"/>
        <item m="1" x="489"/>
        <item m="1" x="283"/>
        <item m="1" x="731"/>
        <item m="1" x="194"/>
        <item m="1" x="444"/>
        <item m="1" x="246"/>
        <item m="1" x="700"/>
        <item m="1" x="595"/>
        <item m="1" x="398"/>
        <item m="1" x="271"/>
        <item m="1" x="213"/>
        <item m="1" x="563"/>
        <item m="1" x="430"/>
        <item m="1" x="811"/>
        <item m="1" x="689"/>
        <item m="1" x="528"/>
        <item m="1" x="386"/>
        <item m="1" x="768"/>
        <item m="1" x="654"/>
        <item m="1" x="554"/>
        <item m="1" x="351"/>
        <item m="1" x="796"/>
        <item m="1" x="629"/>
        <item m="1" x="226"/>
        <item m="1" x="311"/>
        <item m="1" x="753"/>
        <item m="1" x="593"/>
        <item m="1" x="474"/>
        <item m="1" x="254"/>
        <item m="1" x="722"/>
        <item m="1" x="617"/>
        <item m="1" x="230"/>
        <item m="1" x="299"/>
        <item m="1" x="684"/>
        <item m="1" x="582"/>
        <item m="1" x="461"/>
        <item m="1" x="261"/>
        <item m="1" x="711"/>
        <item m="1" x="549"/>
        <item m="1" x="412"/>
        <item m="1" x="793"/>
        <item m="1" x="510"/>
        <item m="1" x="374"/>
        <item m="1" x="824"/>
        <item m="1" x="212"/>
        <item m="1" x="335"/>
        <item m="1" x="184"/>
        <item m="1" x="499"/>
        <item m="1" x="227"/>
        <item m="1" x="457"/>
        <item m="1" x="607"/>
        <item m="1" x="408"/>
        <item m="1" x="281"/>
        <item m="1" x="730"/>
        <item m="1" x="571"/>
        <item m="1" x="441"/>
        <item m="1" x="819"/>
        <item m="1" x="537"/>
        <item m="1" x="396"/>
        <item m="1" x="781"/>
        <item m="1" x="661"/>
        <item m="1" x="561"/>
        <item m="1" x="361"/>
        <item m="1" x="810"/>
        <item m="1" x="526"/>
        <item m="1" x="323"/>
        <item m="1" x="766"/>
        <item m="1" x="628"/>
        <item m="1" x="438"/>
        <item m="1" x="310"/>
        <item m="1" x="693"/>
        <item m="1" x="591"/>
        <item m="1" x="473"/>
        <item m="1" x="422"/>
        <item m="1" x="803"/>
        <item m="1" x="683"/>
        <item m="1" x="522"/>
        <item m="1" x="381"/>
        <item m="1" x="260"/>
        <item m="1" x="650"/>
        <item m="1" x="546"/>
        <item m="1" x="344"/>
        <item m="1" x="623"/>
        <item m="1" x="508"/>
        <item m="1" x="307"/>
        <item m="1" x="749"/>
        <item m="1" x="645"/>
        <item m="1" x="469"/>
        <item m="1" x="333"/>
        <item m="1" x="717"/>
        <item m="1" x="418"/>
        <item m="1" x="294"/>
        <item m="1" x="743"/>
        <item m="1" x="579"/>
        <item m="1" x="456"/>
        <item m="1" x="256"/>
        <item m="1" x="543"/>
        <item m="1" x="406"/>
        <item m="1" x="788"/>
        <item m="1" x="231"/>
        <item m="1" x="367"/>
        <item m="1" x="818"/>
        <item m="1" x="536"/>
        <item m="1" x="779"/>
        <item m="1" x="613"/>
        <item m="1" x="492"/>
        <item m="1" x="736"/>
        <item m="1" x="636"/>
        <item m="1" x="321"/>
        <item m="1" x="705"/>
        <item m="1" x="599"/>
        <item m="1" x="275"/>
        <item m="1" x="726"/>
        <item m="1" x="564"/>
        <item m="1" x="436"/>
        <item m="1" x="390"/>
        <item m="1" x="268"/>
        <item m="1" x="656"/>
        <item m="1" x="228"/>
        <item m="1" x="355"/>
        <item m="1" x="802"/>
        <item m="1" x="632"/>
        <item m="1" x="520"/>
        <item m="1" x="317"/>
        <item m="1" x="760"/>
        <item m="1" x="649"/>
        <item m="1" x="342"/>
        <item m="1" x="620"/>
        <item m="1" x="747"/>
        <item m="1" x="468"/>
        <item m="1" x="462"/>
        <item m="1" x="712"/>
        <item m="1" x="539"/>
        <item m="1" x="176"/>
        <item m="1" x="443"/>
        <item m="1" x="429"/>
        <item m="1" x="189"/>
        <item m="1" x="384"/>
        <item m="1" x="721"/>
        <item m="1" x="220"/>
        <item m="1" x="547"/>
        <item m="1" x="573"/>
        <item m="1" x="646"/>
        <item m="1" x="744"/>
        <item m="1" x="627"/>
        <item m="1" x="223"/>
        <item m="1" x="215"/>
        <item m="1" x="37"/>
        <item m="1" x="480"/>
        <item m="1" x="188"/>
        <item m="1" x="169"/>
        <item m="1" x="191"/>
        <item m="1" x="203"/>
        <item m="1" x="232"/>
        <item m="1" x="202"/>
        <item m="1" x="204"/>
        <item m="1" x="207"/>
        <item m="1" x="235"/>
        <item m="1" x="427"/>
      </items>
    </pivotField>
    <pivotField compact="0" outline="0" showAll="0" sortType="descending" defaultSubtotal="0">
      <items count="1039">
        <item x="0"/>
        <item m="1" x="394"/>
        <item m="1" x="690"/>
        <item m="1" x="489"/>
        <item m="1" x="387"/>
        <item m="1" x="859"/>
        <item m="1" x="511"/>
        <item m="1" x="1004"/>
        <item m="1" x="923"/>
        <item m="1" x="428"/>
        <item m="1" x="526"/>
        <item m="1" x="1014"/>
        <item m="1" x="169"/>
        <item m="1" x="51"/>
        <item m="1" x="109"/>
        <item m="1" x="361"/>
        <item m="1" x="46"/>
        <item m="1" x="906"/>
        <item m="1" x="376"/>
        <item m="1" x="764"/>
        <item m="1" x="890"/>
        <item m="1" x="1025"/>
        <item m="1" x="73"/>
        <item m="1" x="806"/>
        <item m="1" x="501"/>
        <item m="1" x="340"/>
        <item m="1" x="596"/>
        <item m="1" x="914"/>
        <item m="1" x="796"/>
        <item m="1" x="47"/>
        <item m="1" x="542"/>
        <item m="1" x="545"/>
        <item m="1" x="785"/>
        <item m="1" x="976"/>
        <item m="1" x="640"/>
        <item m="1" x="580"/>
        <item m="1" x="302"/>
        <item m="1" x="856"/>
        <item m="1" x="931"/>
        <item m="1" x="638"/>
        <item m="1" x="947"/>
        <item m="1" x="987"/>
        <item m="1" x="532"/>
        <item m="1" x="107"/>
        <item m="1" x="352"/>
        <item m="1" x="110"/>
        <item m="1" x="346"/>
        <item m="1" x="28"/>
        <item m="1" x="319"/>
        <item m="1" x="32"/>
        <item m="1" x="411"/>
        <item m="1" x="1018"/>
        <item m="1" x="254"/>
        <item m="1" x="662"/>
        <item m="1" x="665"/>
        <item m="1" x="752"/>
        <item m="1" x="960"/>
        <item m="1" x="296"/>
        <item m="1" x="392"/>
        <item m="1" x="50"/>
        <item m="1" x="274"/>
        <item m="1" x="952"/>
        <item m="1" x="127"/>
        <item m="1" x="902"/>
        <item m="1" x="398"/>
        <item m="1" x="403"/>
        <item m="1" x="437"/>
        <item m="1" x="257"/>
        <item m="1" x="679"/>
        <item m="1" x="455"/>
        <item m="1" x="810"/>
        <item m="1" x="529"/>
        <item m="1" x="559"/>
        <item m="1" x="969"/>
        <item m="1" x="471"/>
        <item m="1" x="846"/>
        <item m="1" x="562"/>
        <item m="1" x="369"/>
        <item m="1" x="884"/>
        <item m="1" x="337"/>
        <item m="1" x="208"/>
        <item m="1" x="681"/>
        <item m="1" x="414"/>
        <item m="1" x="70"/>
        <item m="1" x="132"/>
        <item m="1" x="295"/>
        <item m="1" x="225"/>
        <item m="1" x="652"/>
        <item m="1" x="659"/>
        <item m="1" x="356"/>
        <item m="1" x="71"/>
        <item m="1" x="793"/>
        <item m="1" x="639"/>
        <item m="1" x="441"/>
        <item m="1" x="342"/>
        <item m="1" x="633"/>
        <item m="1" x="260"/>
        <item m="1" x="49"/>
        <item m="1" x="726"/>
        <item m="1" x="438"/>
        <item m="1" x="1007"/>
        <item m="1" x="19"/>
        <item m="1" x="452"/>
        <item m="1" x="100"/>
        <item m="1" x="108"/>
        <item m="1" x="942"/>
        <item m="1" x="124"/>
        <item m="1" x="44"/>
        <item m="1" x="770"/>
        <item m="1" x="86"/>
        <item m="1" x="226"/>
        <item m="1" x="162"/>
        <item m="1" x="157"/>
        <item m="1" x="212"/>
        <item m="1" x="483"/>
        <item m="1" x="253"/>
        <item m="1" x="891"/>
        <item m="1" x="326"/>
        <item m="1" x="586"/>
        <item m="1" x="550"/>
        <item m="1" x="170"/>
        <item m="1" x="649"/>
        <item m="1" x="440"/>
        <item m="1" x="805"/>
        <item m="1" x="466"/>
        <item m="1" x="601"/>
        <item m="1" x="555"/>
        <item m="1" x="67"/>
        <item m="1" x="534"/>
        <item m="1" x="239"/>
        <item m="1" x="301"/>
        <item m="1" x="874"/>
        <item m="1" x="17"/>
        <item m="1" x="478"/>
        <item m="1" x="1003"/>
        <item m="1" x="391"/>
        <item m="1" x="106"/>
        <item m="1" x="128"/>
        <item m="1" x="1010"/>
        <item m="1" x="15"/>
        <item m="1" x="623"/>
        <item m="1" x="25"/>
        <item m="1" x="101"/>
        <item m="1" x="27"/>
        <item m="1" x="131"/>
        <item m="1" x="74"/>
        <item m="1" x="134"/>
        <item m="1" x="18"/>
        <item m="1" x="126"/>
        <item m="1" x="1029"/>
        <item m="1" x="89"/>
        <item m="1" x="76"/>
        <item m="1" x="136"/>
        <item m="1" x="968"/>
        <item m="1" x="815"/>
        <item m="1" x="663"/>
        <item m="1" x="946"/>
        <item m="1" x="33"/>
        <item m="1" x="897"/>
        <item m="1" x="996"/>
        <item m="1" x="677"/>
        <item m="1" x="359"/>
        <item m="1" x="647"/>
        <item m="1" x="419"/>
        <item m="1" x="372"/>
        <item m="1" x="704"/>
        <item m="1" x="517"/>
        <item m="1" x="1009"/>
        <item m="1" x="578"/>
        <item m="1" x="413"/>
        <item m="1" x="384"/>
        <item m="1" x="481"/>
        <item m="1" x="800"/>
        <item m="1" x="294"/>
        <item m="1" x="14"/>
        <item m="1" x="893"/>
        <item m="1" x="670"/>
        <item m="1" x="926"/>
        <item m="1" x="988"/>
        <item m="1" x="220"/>
        <item m="1" x="94"/>
        <item m="1" x="733"/>
        <item m="1" x="588"/>
        <item m="1" x="597"/>
        <item m="1" x="648"/>
        <item m="1" x="1005"/>
        <item m="1" x="55"/>
        <item m="1" x="20"/>
        <item m="1" x="96"/>
        <item m="1" x="680"/>
        <item m="1" x="61"/>
        <item m="1" x="367"/>
        <item m="1" x="64"/>
        <item m="1" x="620"/>
        <item m="1" x="390"/>
        <item m="1" x="858"/>
        <item m="1" x="236"/>
        <item m="1" x="415"/>
        <item m="1" x="729"/>
        <item m="1" x="543"/>
        <item m="1" x="961"/>
        <item m="1" x="804"/>
        <item m="1" x="288"/>
        <item m="1" x="347"/>
        <item m="1" x="351"/>
        <item m="1" x="36"/>
        <item m="1" x="872"/>
        <item m="1" x="4"/>
        <item m="1" x="424"/>
        <item m="1" x="886"/>
        <item m="1" x="507"/>
        <item m="1" x="115"/>
        <item m="1" x="567"/>
        <item m="1" x="524"/>
        <item m="1" x="13"/>
        <item m="1" x="617"/>
        <item m="1" x="907"/>
        <item m="1" x="436"/>
        <item m="1" x="500"/>
        <item m="1" x="835"/>
        <item m="1" x="728"/>
        <item m="1" x="887"/>
        <item m="1" x="343"/>
        <item m="1" x="763"/>
        <item m="1" x="495"/>
        <item m="1" x="298"/>
        <item m="1" x="933"/>
        <item m="1" x="515"/>
        <item m="1" x="527"/>
        <item m="1" x="871"/>
        <item m="1" x="930"/>
        <item m="1" x="799"/>
        <item m="1" x="814"/>
        <item m="1" x="818"/>
        <item m="1" x="925"/>
        <item m="1" x="417"/>
        <item m="1" x="423"/>
        <item m="1" x="546"/>
        <item m="1" x="982"/>
        <item m="1" x="975"/>
        <item m="1" x="53"/>
        <item m="1" x="823"/>
        <item m="1" x="694"/>
        <item m="1" x="1019"/>
        <item m="1" x="378"/>
        <item m="1" x="1011"/>
        <item m="1" x="865"/>
        <item m="1" x="488"/>
        <item m="1" x="985"/>
        <item m="1" x="612"/>
        <item m="1" x="199"/>
        <item m="1" x="711"/>
        <item m="1" x="321"/>
        <item m="1" x="283"/>
        <item m="1" x="683"/>
        <item m="1" x="689"/>
        <item m="1" x="675"/>
        <item m="1" x="556"/>
        <item m="1" x="152"/>
        <item m="1" x="920"/>
        <item m="1" x="396"/>
        <item m="1" x="401"/>
        <item m="1" x="898"/>
        <item m="1" x="26"/>
        <item m="1" x="150"/>
        <item m="1" x="741"/>
        <item m="1" x="232"/>
        <item m="1" x="958"/>
        <item m="1" x="583"/>
        <item m="1" x="692"/>
        <item m="1" x="444"/>
        <item m="1" x="965"/>
        <item m="1" x="179"/>
        <item m="1" x="272"/>
        <item m="1" x="282"/>
        <item m="1" x="788"/>
        <item m="1" x="198"/>
        <item m="1" x="795"/>
        <item m="1" x="1016"/>
        <item m="1" x="1021"/>
        <item m="1" x="360"/>
        <item m="1" x="370"/>
        <item m="1" x="386"/>
        <item m="1" x="98"/>
        <item m="1" x="632"/>
        <item m="1" x="357"/>
        <item m="1" x="875"/>
        <item m="1" x="503"/>
        <item m="1" x="627"/>
        <item m="1" x="175"/>
        <item m="1" x="112"/>
        <item m="1" x="349"/>
        <item m="1" x="719"/>
        <item m="1" x="831"/>
        <item m="1" x="113"/>
        <item m="1" x="702"/>
        <item m="1" x="574"/>
        <item m="1" x="299"/>
        <item m="1" x="5"/>
        <item m="1" x="2"/>
        <item m="1" x="59"/>
        <item m="1" x="410"/>
        <item m="1" x="12"/>
        <item m="1" x="123"/>
        <item m="1" x="40"/>
        <item m="1" x="651"/>
        <item m="1" x="65"/>
        <item m="1" x="202"/>
        <item m="1" x="195"/>
        <item m="1" x="668"/>
        <item m="1" x="528"/>
        <item m="1" x="643"/>
        <item m="1" x="994"/>
        <item m="1" x="214"/>
        <item m="1" x="194"/>
        <item m="1" x="251"/>
        <item m="1" x="209"/>
        <item m="1" x="217"/>
        <item m="1" x="629"/>
        <item m="1" x="464"/>
        <item m="1" x="473"/>
        <item m="1" x="716"/>
        <item m="1" x="174"/>
        <item m="1" x="273"/>
        <item m="1" x="219"/>
        <item m="1" x="117"/>
        <item m="1" x="77"/>
        <item m="1" x="60"/>
        <item m="1" x="399"/>
        <item m="1" x="139"/>
        <item m="1" x="908"/>
        <item m="1" x="644"/>
        <item m="1" x="382"/>
        <item m="1" x="388"/>
        <item m="1" x="138"/>
        <item m="1" x="767"/>
        <item m="1" x="538"/>
        <item m="1" x="135"/>
        <item m="1" x="634"/>
        <item m="1" x="869"/>
        <item m="1" x="365"/>
        <item m="1" x="877"/>
        <item m="1" x="377"/>
        <item m="1" x="496"/>
        <item m="1" x="118"/>
        <item m="1" x="754"/>
        <item m="1" x="120"/>
        <item m="1" x="757"/>
        <item m="1" x="854"/>
        <item m="1" x="873"/>
        <item m="1" x="469"/>
        <item m="1" x="724"/>
        <item m="1" x="972"/>
        <item m="1" x="477"/>
        <item m="1" x="977"/>
        <item m="1" x="735"/>
        <item m="1" x="497"/>
        <item m="1" x="8"/>
        <item m="1" x="749"/>
        <item m="1" x="510"/>
        <item m="1" x="751"/>
        <item m="1" x="514"/>
        <item m="1" x="322"/>
        <item m="1" x="327"/>
        <item m="1" x="848"/>
        <item m="1" x="57"/>
        <item m="1" x="855"/>
        <item m="1" x="353"/>
        <item m="1" x="635"/>
        <item m="1" x="35"/>
        <item m="1" x="56"/>
        <item m="1" x="870"/>
        <item m="1" x="714"/>
        <item m="1" x="964"/>
        <item m="1" x="10"/>
        <item m="1" x="48"/>
        <item m="1" x="970"/>
        <item m="1" x="725"/>
        <item m="1" x="974"/>
        <item m="1" x="979"/>
        <item m="1" x="133"/>
        <item m="1" x="734"/>
        <item m="1" x="114"/>
        <item m="1" x="491"/>
        <item m="1" x="102"/>
        <item m="1" x="498"/>
        <item m="1" x="748"/>
        <item m="1" x="990"/>
        <item m="1" x="817"/>
        <item m="1" x="309"/>
        <item m="1" x="314"/>
        <item m="1" x="592"/>
        <item m="1" x="320"/>
        <item m="1" x="595"/>
        <item m="1" x="834"/>
        <item m="1" x="323"/>
        <item m="1" x="599"/>
        <item m="1" x="839"/>
        <item m="1" x="90"/>
        <item m="1" x="844"/>
        <item m="1" x="332"/>
        <item m="1" x="845"/>
        <item m="1" x="618"/>
        <item m="1" x="849"/>
        <item m="1" x="698"/>
        <item m="1" x="22"/>
        <item m="1" x="945"/>
        <item m="1" x="39"/>
        <item m="1" x="959"/>
        <item m="1" x="461"/>
        <item m="1" x="75"/>
        <item m="1" x="91"/>
        <item m="1" x="472"/>
        <item m="1" x="95"/>
        <item m="1" x="41"/>
        <item m="1" x="978"/>
        <item m="1" x="58"/>
        <item m="1" x="104"/>
        <item m="1" x="293"/>
        <item m="1" x="577"/>
        <item m="1" x="811"/>
        <item m="1" x="300"/>
        <item m="1" x="43"/>
        <item m="1" x="821"/>
        <item m="1" x="311"/>
        <item m="1" x="82"/>
        <item m="1" x="824"/>
        <item m="1" x="316"/>
        <item m="1" x="87"/>
        <item m="1" x="594"/>
        <item m="1" x="79"/>
        <item m="1" x="83"/>
        <item m="1" x="840"/>
        <item m="1" x="329"/>
        <item m="1" x="608"/>
        <item m="1" x="843"/>
        <item m="1" x="78"/>
        <item m="1" x="937"/>
        <item m="1" x="451"/>
        <item m="1" x="809"/>
        <item m="1" x="820"/>
        <item m="1" x="312"/>
        <item m="1" x="125"/>
        <item m="1" x="593"/>
        <item m="1" x="81"/>
        <item m="1" x="919"/>
        <item m="1" x="80"/>
        <item m="1" x="678"/>
        <item m="1" x="137"/>
        <item m="1" x="425"/>
        <item m="1" x="435"/>
        <item m="1" x="88"/>
        <item m="1" x="93"/>
        <item m="1" x="695"/>
        <item m="1" x="448"/>
        <item m="1" x="291"/>
        <item m="1" x="383"/>
        <item m="1" x="416"/>
        <item m="1" x="3"/>
        <item m="1" x="450"/>
        <item m="1" x="829"/>
        <item m="1" x="9"/>
        <item m="1" x="24"/>
        <item m="1" x="773"/>
        <item m="1" x="783"/>
        <item m="1" x="928"/>
        <item m="1" x="363"/>
        <item m="1" x="341"/>
        <item m="1" x="600"/>
        <item m="1" x="955"/>
        <item m="1" x="828"/>
        <item m="1" x="1033"/>
        <item m="1" x="547"/>
        <item m="1" x="706"/>
        <item m="1" x="667"/>
        <item m="1" x="787"/>
        <item m="1" x="281"/>
        <item m="1" x="630"/>
        <item m="1" x="830"/>
        <item m="1" x="38"/>
        <item m="1" x="487"/>
        <item m="1" x="827"/>
        <item m="1" x="564"/>
        <item m="1" x="929"/>
        <item m="1" x="866"/>
        <item m="1" x="797"/>
        <item m="1" x="812"/>
        <item m="1" x="1015"/>
        <item m="1" x="313"/>
        <item m="1" x="1031"/>
        <item m="1" x="535"/>
        <item m="1" x="909"/>
        <item m="1" x="606"/>
        <item m="1" x="825"/>
        <item m="1" x="602"/>
        <item m="1" x="460"/>
        <item m="1" x="801"/>
        <item m="1" x="493"/>
        <item m="1" x="393"/>
        <item m="1" x="850"/>
        <item m="1" x="962"/>
        <item m="1" x="950"/>
        <item m="1" x="434"/>
        <item m="1" x="552"/>
        <item m="1" x="954"/>
        <item m="1" x="338"/>
        <item m="1" x="590"/>
        <item m="1" x="536"/>
        <item m="1" x="992"/>
        <item m="1" x="611"/>
        <item m="1" x="671"/>
        <item m="1" x="993"/>
        <item m="1" x="484"/>
        <item m="1" x="816"/>
        <item m="1" x="433"/>
        <item m="1" x="904"/>
        <item m="1" x="852"/>
        <item m="1" x="325"/>
        <item m="1" x="686"/>
        <item m="1" x="499"/>
        <item m="1" x="613"/>
        <item m="1" x="603"/>
        <item m="1" x="786"/>
        <item m="1" x="922"/>
        <item m="1" x="943"/>
        <item m="1" x="760"/>
        <item m="1" x="730"/>
        <item m="1" x="467"/>
        <item m="1" x="289"/>
        <item m="1" x="563"/>
        <item m="1" x="732"/>
        <item m="1" x="837"/>
        <item m="1" x="197"/>
        <item m="1" x="270"/>
        <item m="1" x="710"/>
        <item m="1" x="747"/>
        <item m="1" x="447"/>
        <item m="1" x="271"/>
        <item m="1" x="997"/>
        <item m="1" x="1022"/>
        <item m="1" x="328"/>
        <item m="1" x="696"/>
        <item m="1" x="303"/>
        <item m="1" x="637"/>
        <item m="1" x="458"/>
        <item m="1" x="276"/>
        <item m="1" x="918"/>
        <item m="1" x="772"/>
        <item m="1" x="540"/>
        <item m="1" x="731"/>
        <item m="1" x="949"/>
        <item m="1" x="430"/>
        <item m="1" x="368"/>
        <item m="1" x="362"/>
        <item m="1" x="838"/>
        <item m="1" x="1035"/>
        <item m="1" x="646"/>
        <item m="1" x="334"/>
        <item m="1" x="701"/>
        <item m="1" x="779"/>
        <item m="1" x="966"/>
        <item m="1" x="395"/>
        <item m="1" x="345"/>
        <item m="1" x="130"/>
        <item m="1" x="781"/>
        <item m="1" x="666"/>
        <item m="1" x="1012"/>
        <item m="1" x="737"/>
        <item m="1" x="626"/>
        <item m="1" x="582"/>
        <item m="1" x="803"/>
        <item m="1" x="917"/>
        <item m="1" x="442"/>
        <item m="1" x="912"/>
        <item m="1" x="650"/>
        <item m="1" x="533"/>
        <item m="1" x="490"/>
        <item m="1" x="163"/>
        <item m="1" x="348"/>
        <item m="1" x="721"/>
        <item m="1" x="609"/>
        <item m="1" x="426"/>
        <item m="1" x="519"/>
        <item m="1" x="740"/>
        <item m="1" x="277"/>
        <item m="1" x="406"/>
        <item m="1" x="268"/>
        <item m="1" x="1001"/>
        <item m="1" x="119"/>
        <item m="1" x="791"/>
        <item m="1" x="860"/>
        <item m="1" x="324"/>
        <item m="1" x="700"/>
        <item m="1" x="927"/>
        <item m="1" x="279"/>
        <item m="1" x="549"/>
        <item m="1" x="1002"/>
        <item m="1" x="621"/>
        <item m="1" x="308"/>
        <item m="1" x="951"/>
        <item m="1" x="715"/>
        <item m="1" x="939"/>
        <item m="1" x="784"/>
        <item m="1" x="385"/>
        <item m="1" x="755"/>
        <item m="1" x="750"/>
        <item m="1" x="983"/>
        <item m="1" x="589"/>
        <item m="1" x="280"/>
        <item m="1" x="775"/>
        <item m="1" x="502"/>
        <item m="1" x="142"/>
        <item m="1" x="573"/>
        <item m="1" x="1030"/>
        <item m="1" x="140"/>
        <item m="1" x="759"/>
        <item m="1" x="479"/>
        <item m="1" x="936"/>
        <item m="1" x="463"/>
        <item m="1" x="591"/>
        <item m="1" x="553"/>
        <item m="1" x="505"/>
        <item m="1" x="691"/>
        <item m="1" x="833"/>
        <item m="1" x="539"/>
        <item m="1" x="768"/>
        <item m="1" x="1032"/>
        <item m="1" x="537"/>
        <item m="1" x="210"/>
        <item m="1" x="482"/>
        <item m="1" x="986"/>
        <item m="1" x="429"/>
        <item m="1" x="196"/>
        <item m="1" x="777"/>
        <item m="1" x="371"/>
        <item m="1" x="446"/>
        <item m="1" x="407"/>
        <item m="1" x="682"/>
        <item m="1" x="29"/>
        <item m="1" x="350"/>
        <item m="1" x="868"/>
        <item m="1" x="598"/>
        <item m="1" x="709"/>
        <item m="1" x="290"/>
        <item m="1" x="522"/>
        <item m="1" x="745"/>
        <item m="1" x="631"/>
        <item m="1" x="1036"/>
        <item m="1" x="879"/>
        <item m="1" x="727"/>
        <item m="1" x="995"/>
        <item m="1" x="344"/>
        <item m="1" x="566"/>
        <item m="1" x="258"/>
        <item m="1" x="375"/>
        <item m="1" x="984"/>
        <item m="1" x="973"/>
        <item m="1" x="158"/>
        <item m="1" x="794"/>
        <item m="1" x="864"/>
        <item m="1" x="753"/>
        <item m="1" x="465"/>
        <item m="1" x="330"/>
        <item m="1" x="554"/>
        <item m="1" x="790"/>
        <item m="1" x="381"/>
        <item m="1" x="708"/>
        <item m="1" x="459"/>
        <item m="1" x="250"/>
        <item m="1" x="896"/>
        <item m="1" x="516"/>
        <item m="1" x="474"/>
        <item m="1" x="333"/>
        <item m="1" x="420"/>
        <item m="1" x="746"/>
        <item m="1" x="509"/>
        <item m="1" x="453"/>
        <item m="1" x="963"/>
        <item m="1" x="688"/>
        <item m="1" x="576"/>
        <item m="1" x="400"/>
        <item m="1" x="880"/>
        <item m="1" x="765"/>
        <item m="1" x="989"/>
        <item m="1" x="941"/>
        <item m="1" x="713"/>
        <item m="1" x="568"/>
        <item m="1" x="900"/>
        <item m="1" x="780"/>
        <item m="1" x="736"/>
        <item m="1" x="656"/>
        <item m="1" x="358"/>
        <item m="1" x="720"/>
        <item m="1" x="480"/>
        <item m="1" x="560"/>
        <item m="1" x="380"/>
        <item m="1" x="181"/>
        <item m="1" x="252"/>
        <item m="1" x="924"/>
        <item m="1" x="548"/>
        <item m="1" x="405"/>
        <item m="1" x="1038"/>
        <item m="1" x="304"/>
        <item m="1" x="570"/>
        <item m="1" x="903"/>
        <item m="1" x="642"/>
        <item m="1" x="521"/>
        <item m="1" x="470"/>
        <item m="1" x="699"/>
        <item m="1" x="584"/>
        <item m="1" x="176"/>
        <item m="1" x="418"/>
        <item m="1" x="722"/>
        <item m="1" x="575"/>
        <item m="1" x="245"/>
        <item m="1" x="792"/>
        <item m="1" x="645"/>
        <item m="1" x="263"/>
        <item m="1" x="807"/>
        <item m="1" x="551"/>
        <item m="1" x="409"/>
        <item m="1" x="885"/>
        <item m="1" x="622"/>
        <item m="1" x="953"/>
        <item m="1" x="916"/>
        <item m="1" x="999"/>
        <item m="1" x="604"/>
        <item m="1" x="476"/>
        <item m="1" x="703"/>
        <item m="1" x="892"/>
        <item m="1" x="776"/>
        <item m="1" x="402"/>
        <item m="1" x="911"/>
        <item m="1" x="492"/>
        <item m="1" x="230"/>
        <item m="1" x="427"/>
        <item m="1" x="520"/>
        <item m="1" x="739"/>
        <item m="1" x="628"/>
        <item m="1" x="315"/>
        <item m="1" x="278"/>
        <item m="1" x="227"/>
        <item m="1" x="422"/>
        <item m="1" x="861"/>
        <item m="1" x="579"/>
        <item m="1" x="572"/>
        <item m="1" x="1028"/>
        <item m="1" x="335"/>
        <item m="1" x="853"/>
        <item m="1" x="774"/>
        <item m="1" x="841"/>
        <item m="1" x="910"/>
        <item m="1" x="863"/>
        <item m="1" x="172"/>
        <item m="1" x="178"/>
        <item m="1" x="264"/>
        <item m="1" x="504"/>
        <item m="1" x="243"/>
        <item m="1" x="762"/>
        <item m="1" x="707"/>
        <item m="1" x="664"/>
        <item m="1" x="366"/>
        <item m="1" x="913"/>
        <item m="1" x="129"/>
        <item m="1" x="826"/>
        <item m="1" x="233"/>
        <item m="1" x="374"/>
        <item m="1" x="851"/>
        <item m="1" x="744"/>
        <item m="1" x="153"/>
        <item m="1" x="318"/>
        <item m="1" x="687"/>
        <item m="1" x="544"/>
        <item m="1" x="223"/>
        <item m="1" x="614"/>
        <item m="1" x="940"/>
        <item m="1" x="822"/>
        <item m="1" x="712"/>
        <item m="1" x="674"/>
        <item m="1" x="565"/>
        <item m="1" x="66"/>
        <item m="1" x="412"/>
        <item m="1" x="16"/>
        <item m="1" x="655"/>
        <item m="1" x="141"/>
        <item m="1" x="832"/>
        <item m="1" x="605"/>
        <item m="1" x="207"/>
        <item m="1" x="122"/>
        <item m="1" x="525"/>
        <item m="1" x="7"/>
        <item m="1" x="111"/>
        <item m="1" x="404"/>
        <item m="1" x="364"/>
        <item m="1" x="882"/>
        <item m="1" x="842"/>
        <item m="1" x="143"/>
        <item m="1" x="619"/>
        <item m="1" x="1024"/>
        <item m="1" x="867"/>
        <item m="1" x="641"/>
        <item m="1" x="468"/>
        <item m="1" x="37"/>
        <item m="1" x="99"/>
        <item m="1" x="116"/>
        <item m="1" x="889"/>
        <item m="1" x="660"/>
        <item m="1" x="317"/>
        <item m="1" x="685"/>
        <item m="1" x="45"/>
        <item m="1" x="52"/>
        <item m="1" x="148"/>
        <item m="1" x="72"/>
        <item m="1" x="486"/>
        <item m="1" x="69"/>
        <item m="1" x="149"/>
        <item m="1" x="147"/>
        <item m="1" x="62"/>
        <item m="1" x="203"/>
        <item m="1" x="310"/>
        <item m="1" x="31"/>
        <item m="1" x="998"/>
        <item m="1" x="475"/>
        <item m="1" x="336"/>
        <item m="1" x="84"/>
        <item m="1" x="105"/>
        <item m="1" x="557"/>
        <item m="1" x="421"/>
        <item m="1" x="457"/>
        <item m="1" x="1037"/>
        <item m="1" x="881"/>
        <item m="1" x="85"/>
        <item m="1" x="11"/>
        <item m="1" x="569"/>
        <item m="1" x="287"/>
        <item m="1" x="1023"/>
        <item m="1" x="21"/>
        <item m="1" x="782"/>
        <item m="1" x="97"/>
        <item m="1" x="92"/>
        <item m="1" x="6"/>
        <item m="1" x="738"/>
        <item m="1" x="145"/>
        <item m="1" x="541"/>
        <item m="1" x="68"/>
        <item m="1" x="144"/>
        <item m="1" x="836"/>
        <item m="1" x="54"/>
        <item m="1" x="42"/>
        <item m="1" x="146"/>
        <item m="1" x="34"/>
        <item m="1" x="297"/>
        <item m="1" x="103"/>
        <item m="1" x="30"/>
        <item m="1" x="1"/>
        <item m="1" x="23"/>
        <item m="1" x="121"/>
        <item m="1" x="63"/>
        <item m="1" x="266"/>
        <item m="1" x="156"/>
        <item m="1" x="284"/>
        <item m="1" x="265"/>
        <item m="1" x="151"/>
        <item m="1" x="267"/>
        <item m="1" x="408"/>
        <item m="1" x="269"/>
        <item m="1" x="769"/>
        <item m="1" x="306"/>
        <item m="1" x="259"/>
        <item m="1" x="571"/>
        <item m="1" x="177"/>
        <item m="1" x="228"/>
        <item m="1" x="905"/>
        <item m="1" x="238"/>
        <item m="1" x="180"/>
        <item m="1" x="244"/>
        <item m="1" x="587"/>
        <item m="1" x="166"/>
        <item m="1" x="218"/>
        <item m="1" x="248"/>
        <item m="1" x="155"/>
        <item m="1" x="676"/>
        <item m="1" x="531"/>
        <item m="1" x="168"/>
        <item m="1" x="286"/>
        <item m="1" x="165"/>
        <item m="1" x="518"/>
        <item m="1" x="1013"/>
        <item m="1" x="167"/>
        <item m="1" x="957"/>
        <item m="1" x="397"/>
        <item m="1" x="761"/>
        <item m="1" x="192"/>
        <item m="1" x="938"/>
        <item m="1" x="705"/>
        <item m="1" x="173"/>
        <item m="1" x="255"/>
        <item m="1" x="895"/>
        <item m="1" x="513"/>
        <item m="1" x="154"/>
        <item m="1" x="445"/>
        <item m="1" x="205"/>
        <item m="1" x="883"/>
        <item m="1" x="654"/>
        <item m="1" x="201"/>
        <item m="1" x="240"/>
        <item m="1" x="432"/>
        <item m="1" x="249"/>
        <item m="1" x="191"/>
        <item m="1" x="373"/>
        <item m="1" x="981"/>
        <item m="1" x="161"/>
        <item m="1" x="222"/>
        <item m="1" x="921"/>
        <item m="1" x="221"/>
        <item m="1" x="246"/>
        <item m="1" x="878"/>
        <item m="1" x="184"/>
        <item m="1" x="256"/>
        <item m="1" x="213"/>
        <item m="1" x="673"/>
        <item m="1" x="183"/>
        <item m="1" x="862"/>
        <item m="1" x="581"/>
        <item m="1" x="247"/>
        <item m="1" x="625"/>
        <item m="1" x="956"/>
        <item m="1" x="718"/>
        <item m="1" x="182"/>
        <item m="1" x="186"/>
        <item m="1" x="758"/>
        <item m="1" x="523"/>
        <item m="1" x="857"/>
        <item m="1" x="187"/>
        <item m="1" x="185"/>
        <item m="1" x="894"/>
        <item m="1" x="512"/>
        <item m="1" x="1008"/>
        <item m="1" x="616"/>
        <item m="1" x="443"/>
        <item m="1" x="948"/>
        <item m="1" x="261"/>
        <item m="1" x="216"/>
        <item m="1" x="389"/>
        <item m="1" x="991"/>
        <item m="1" x="331"/>
        <item m="1" x="932"/>
        <item m="1" x="262"/>
        <item m="1" x="888"/>
        <item m="1" x="742"/>
        <item m="1" x="508"/>
        <item m="1" x="242"/>
        <item m="1" x="684"/>
        <item m="1" x="1034"/>
        <item m="1" x="876"/>
        <item m="1" x="485"/>
        <item m="1" x="819"/>
        <item m="1" x="211"/>
        <item m="1" x="1020"/>
        <item m="1" x="778"/>
        <item m="1" x="229"/>
        <item m="1" x="971"/>
        <item m="1" x="307"/>
        <item m="1" x="915"/>
        <item m="1" x="771"/>
        <item m="1" x="354"/>
        <item m="1" x="717"/>
        <item m="1" x="292"/>
        <item m="1" x="206"/>
        <item m="1" x="1017"/>
        <item m="1" x="636"/>
        <item m="1" x="456"/>
        <item m="1" x="967"/>
        <item m="1" x="802"/>
        <item m="1" x="661"/>
        <item m="1" x="1006"/>
        <item m="1" x="766"/>
        <item m="1" x="615"/>
        <item m="1" x="944"/>
        <item m="1" x="901"/>
        <item m="1" x="234"/>
        <item m="1" x="847"/>
        <item m="1" x="697"/>
        <item m="1" x="658"/>
        <item m="1" x="506"/>
        <item m="1" x="1000"/>
        <item m="1" x="610"/>
        <item m="1" x="439"/>
        <item m="1" x="204"/>
        <item m="1" x="171"/>
        <item m="1" x="231"/>
        <item m="1" x="494"/>
        <item m="1" x="305"/>
        <item m="1" x="1027"/>
        <item m="1" x="813"/>
        <item m="1" x="669"/>
        <item m="1" x="530"/>
        <item m="1" x="449"/>
        <item m="1" x="275"/>
        <item m="1" x="607"/>
        <item m="1" x="339"/>
        <item m="1" x="561"/>
        <item m="1" x="379"/>
        <item m="1" x="693"/>
        <item m="1" x="653"/>
        <item m="1" x="235"/>
        <item m="1" x="431"/>
        <item m="1" x="1026"/>
        <item m="1" x="980"/>
        <item m="1" x="743"/>
        <item m="1" x="585"/>
        <item m="1" x="723"/>
        <item m="1" x="672"/>
        <item m="1" x="462"/>
        <item m="1" x="285"/>
        <item m="1" x="808"/>
        <item m="1" x="624"/>
        <item m="1" x="355"/>
        <item m="1" x="798"/>
        <item m="1" x="756"/>
        <item m="1" x="935"/>
        <item m="1" x="558"/>
        <item m="1" x="159"/>
        <item m="1" x="454"/>
        <item m="1" x="899"/>
        <item m="1" x="224"/>
        <item m="1" x="657"/>
        <item m="1" x="789"/>
        <item m="1" x="215"/>
        <item m="1" x="160"/>
        <item m="1" x="934"/>
        <item m="1" x="164"/>
        <item m="1" x="189"/>
        <item m="1" x="190"/>
        <item m="1" x="237"/>
        <item m="1" x="188"/>
        <item m="1" x="193"/>
        <item m="1" x="200"/>
        <item m="1" x="241"/>
      </items>
    </pivotField>
    <pivotField compact="0" outline="0" showAll="0" defaultSubtotal="0"/>
    <pivotField compact="0" outline="0" showAll="0" defaultSubtotal="0">
      <items count="6">
        <item m="1" x="5"/>
        <item m="1" x="4"/>
        <item m="1" x="2"/>
        <item m="1" x="3"/>
        <item m="1" x="1"/>
        <item x="0"/>
      </items>
    </pivotField>
    <pivotField dataField="1" compact="0" outline="0" subtotalTop="0" showAll="0" defaultSubtotal="0">
      <items count="4139">
        <item m="1" x="3921"/>
        <item m="1" x="1213"/>
        <item m="1" x="3225"/>
        <item m="1" x="3529"/>
        <item m="1" x="2627"/>
        <item m="1" x="1939"/>
        <item m="1" x="1180"/>
        <item m="1" x="2414"/>
        <item m="1" x="3290"/>
        <item m="1" x="1726"/>
        <item m="1" x="2499"/>
        <item m="1" x="3830"/>
        <item m="1" x="1479"/>
        <item m="1" x="1401"/>
        <item m="1" x="3103"/>
        <item m="1" x="4001"/>
        <item m="1" x="2592"/>
        <item m="1" x="1729"/>
        <item m="1" x="3888"/>
        <item m="1" x="1816"/>
        <item m="1" x="1511"/>
        <item m="1" x="2644"/>
        <item m="1" x="3474"/>
        <item m="1" x="2980"/>
        <item m="1" x="2902"/>
        <item m="1" x="2202"/>
        <item m="1" x="1790"/>
        <item m="1" x="1755"/>
        <item m="1" x="2546"/>
        <item m="1" x="2210"/>
        <item m="1" x="2803"/>
        <item m="1" x="1060"/>
        <item m="1" x="1314"/>
        <item m="1" x="2239"/>
        <item m="1" x="2048"/>
        <item m="1" x="3393"/>
        <item m="1" x="4029"/>
        <item m="1" x="2009"/>
        <item m="1" x="2218"/>
        <item m="1" x="1603"/>
        <item m="1" x="3819"/>
        <item m="1" x="2659"/>
        <item m="1" x="3801"/>
        <item m="1" x="1707"/>
        <item m="1" x="2556"/>
        <item m="1" x="4000"/>
        <item m="1" x="3331"/>
        <item m="1" x="3078"/>
        <item m="1" x="2838"/>
        <item m="1" x="1932"/>
        <item m="1" x="1992"/>
        <item m="1" x="2060"/>
        <item m="1" x="3058"/>
        <item m="1" x="1831"/>
        <item m="1" x="1166"/>
        <item m="1" x="1883"/>
        <item m="1" x="3540"/>
        <item m="1" x="4137"/>
        <item m="1" x="3115"/>
        <item m="1" x="1821"/>
        <item m="1" x="3843"/>
        <item m="1" x="2796"/>
        <item m="1" x="2671"/>
        <item m="1" x="2743"/>
        <item m="1" x="3444"/>
        <item m="1" x="3851"/>
        <item m="1" x="3436"/>
        <item m="1" x="3272"/>
        <item m="1" x="4121"/>
        <item m="1" x="3132"/>
        <item m="1" x="4032"/>
        <item m="1" x="1097"/>
        <item m="1" x="3030"/>
        <item m="1" x="2689"/>
        <item m="1" x="3523"/>
        <item m="1" x="3177"/>
        <item m="1" x="1903"/>
        <item m="1" x="3060"/>
        <item m="1" x="3109"/>
        <item m="1" x="1777"/>
        <item m="1" x="1448"/>
        <item m="1" x="1100"/>
        <item m="1" x="3883"/>
        <item m="1" x="3914"/>
        <item m="1" x="2885"/>
        <item m="1" x="3174"/>
        <item m="1" x="3628"/>
        <item m="1" x="1508"/>
        <item m="1" x="1818"/>
        <item m="1" x="2370"/>
        <item m="1" x="3330"/>
        <item m="1" x="1813"/>
        <item m="1" x="1635"/>
        <item m="1" x="1490"/>
        <item m="1" x="2112"/>
        <item m="1" x="1549"/>
        <item m="1" x="3409"/>
        <item m="1" x="2892"/>
        <item m="1" x="1092"/>
        <item m="1" x="1640"/>
        <item m="1" x="3497"/>
        <item m="1" x="3156"/>
        <item m="1" x="2244"/>
        <item m="1" x="3832"/>
        <item m="1" x="230"/>
        <item m="1" x="3004"/>
        <item m="1" x="2593"/>
        <item m="1" x="1824"/>
        <item m="1" x="1404"/>
        <item m="1" x="231"/>
        <item m="1" x="232"/>
        <item m="1" x="2091"/>
        <item m="1" x="2390"/>
        <item m="1" x="233"/>
        <item m="1" x="2145"/>
        <item m="1" x="4013"/>
        <item m="1" x="1734"/>
        <item m="1" x="3992"/>
        <item m="1" x="1937"/>
        <item m="1" x="3718"/>
        <item m="1" x="1738"/>
        <item m="1" x="1966"/>
        <item m="1" x="3988"/>
        <item m="1" x="1425"/>
        <item m="1" x="1954"/>
        <item m="1" x="3567"/>
        <item m="1" x="2646"/>
        <item m="1" x="1471"/>
        <item m="1" x="3682"/>
        <item m="1" x="3076"/>
        <item m="1" x="2361"/>
        <item m="1" x="3136"/>
        <item m="1" x="1216"/>
        <item m="1" x="2455"/>
        <item m="1" x="4084"/>
        <item m="1" x="1545"/>
        <item m="1" x="2675"/>
        <item m="1" x="1339"/>
        <item m="1" x="4004"/>
        <item m="1" x="3559"/>
        <item m="1" x="4104"/>
        <item m="1" x="2353"/>
        <item m="1" x="2268"/>
        <item m="1" x="2938"/>
        <item m="1" x="2405"/>
        <item m="1" x="3376"/>
        <item m="1" x="2616"/>
        <item m="1" x="2857"/>
        <item m="1" x="1286"/>
        <item m="1" x="3736"/>
        <item m="1" x="3624"/>
        <item m="1" x="1981"/>
        <item m="1" x="1254"/>
        <item m="1" x="3096"/>
        <item m="1" x="3517"/>
        <item m="1" x="2369"/>
        <item m="1" x="2728"/>
        <item m="1" x="1089"/>
        <item m="1" x="422"/>
        <item m="1" x="1265"/>
        <item m="1" x="1154"/>
        <item m="1" x="1764"/>
        <item m="1" x="2290"/>
        <item m="1" x="2602"/>
        <item m="1" x="1344"/>
        <item m="1" x="1395"/>
        <item m="1" x="1654"/>
        <item m="1" x="3316"/>
        <item m="1" x="2055"/>
        <item m="1" x="2577"/>
        <item m="1" x="3520"/>
        <item m="1" x="3080"/>
        <item m="1" x="3991"/>
        <item m="1" x="1393"/>
        <item m="1" x="1354"/>
        <item m="1" x="2761"/>
        <item m="1" x="3565"/>
        <item m="1" x="3597"/>
        <item m="1" x="2767"/>
        <item m="1" x="1681"/>
        <item m="1" x="2362"/>
        <item m="1" x="3433"/>
        <item m="1" x="2364"/>
        <item m="1" x="2974"/>
        <item m="1" x="4008"/>
        <item m="1" x="1221"/>
        <item m="1" x="1550"/>
        <item m="1" x="3336"/>
        <item m="1" x="3771"/>
        <item m="1" x="2093"/>
        <item m="1" x="2183"/>
        <item m="1" x="2947"/>
        <item m="1" x="3773"/>
        <item m="1" x="4120"/>
        <item m="1" x="3063"/>
        <item m="1" x="3247"/>
        <item m="1" x="2374"/>
        <item m="1" x="1459"/>
        <item m="1" x="2745"/>
        <item m="1" x="1540"/>
        <item m="1" x="3617"/>
        <item m="1" x="2288"/>
        <item m="1" x="1871"/>
        <item m="1" x="1324"/>
        <item m="1" x="3665"/>
        <item m="1" x="1715"/>
        <item m="1" x="1169"/>
        <item m="1" x="1307"/>
        <item m="1" x="2535"/>
        <item m="1" x="1107"/>
        <item m="1" x="3072"/>
        <item m="1" x="3650"/>
        <item m="1" x="1911"/>
        <item m="1" x="2056"/>
        <item m="1" x="3199"/>
        <item m="1" x="3416"/>
        <item m="1" x="4010"/>
        <item m="1" x="2719"/>
        <item m="1" x="1582"/>
        <item m="1" x="3294"/>
        <item m="1" x="3310"/>
        <item m="1" x="3662"/>
        <item m="1" x="1480"/>
        <item m="1" x="1434"/>
        <item m="1" x="1897"/>
        <item m="1" x="1124"/>
        <item m="1" x="3146"/>
        <item m="1" x="2331"/>
        <item m="1" x="1591"/>
        <item m="1" x="3040"/>
        <item m="1" x="3879"/>
        <item m="1" x="1406"/>
        <item m="1" x="3061"/>
        <item m="1" x="1410"/>
        <item m="1" x="2834"/>
        <item m="1" x="1859"/>
        <item m="1" x="1792"/>
        <item m="1" x="3250"/>
        <item m="1" x="2095"/>
        <item m="1" x="2603"/>
        <item m="1" x="3404"/>
        <item m="1" x="3203"/>
        <item m="1" x="2941"/>
        <item m="1" x="1717"/>
        <item m="1" x="2434"/>
        <item m="1" x="3321"/>
        <item m="1" x="1144"/>
        <item m="1" x="1795"/>
        <item m="1" x="2477"/>
        <item m="1" x="4077"/>
        <item m="1" x="3315"/>
        <item m="1" x="2387"/>
        <item m="1" x="1064"/>
        <item m="1" x="4027"/>
        <item m="1" x="3475"/>
        <item m="1" x="2241"/>
        <item m="1" x="2769"/>
        <item m="1" x="1237"/>
        <item m="1" x="1368"/>
        <item m="1" x="3978"/>
        <item m="1" x="2101"/>
        <item m="1" x="3448"/>
        <item m="1" x="4034"/>
        <item m="1" x="3369"/>
        <item m="1" x="2019"/>
        <item m="1" x="3564"/>
        <item m="1" x="3167"/>
        <item m="1" x="2329"/>
        <item m="1" x="1228"/>
        <item m="1" x="2227"/>
        <item m="1" x="2121"/>
        <item m="1" x="1310"/>
        <item m="1" x="1989"/>
        <item m="1" x="3209"/>
        <item m="1" x="2070"/>
        <item m="1" x="2876"/>
        <item m="1" x="2291"/>
        <item m="1" x="2570"/>
        <item m="1" x="1247"/>
        <item m="1" x="1466"/>
        <item m="1" x="3064"/>
        <item m="1" x="3133"/>
        <item m="1" x="2269"/>
        <item m="1" x="3733"/>
        <item m="1" x="1847"/>
        <item m="1" x="2607"/>
        <item m="1" x="2366"/>
        <item m="1" x="1082"/>
        <item m="1" x="2074"/>
        <item m="1" x="3769"/>
        <item m="1" x="3033"/>
        <item m="1" x="3688"/>
        <item m="1" x="1559"/>
        <item m="1" x="2276"/>
        <item m="1" x="2922"/>
        <item m="1" x="1151"/>
        <item m="1" x="2111"/>
        <item m="1" x="2985"/>
        <item m="1" x="2724"/>
        <item m="1" x="1262"/>
        <item m="1" x="2635"/>
        <item m="1" x="1676"/>
        <item m="1" x="4071"/>
        <item m="1" x="3967"/>
        <item m="1" x="2418"/>
        <item m="1" x="2507"/>
        <item m="1" x="4060"/>
        <item m="1" x="1057"/>
        <item m="1" x="1296"/>
        <item m="1" x="2953"/>
        <item m="1" x="1447"/>
        <item m="1" x="2451"/>
        <item m="1" x="1239"/>
        <item m="1" x="1786"/>
        <item m="1" x="1682"/>
        <item m="1" x="2565"/>
        <item m="1" x="2294"/>
        <item m="1" x="2381"/>
        <item m="1" x="2893"/>
        <item m="1" x="2937"/>
        <item m="1" x="2967"/>
        <item m="1" x="2359"/>
        <item m="1" x="3010"/>
        <item m="1" x="1780"/>
        <item m="1" x="3021"/>
        <item m="1" x="3894"/>
        <item m="1" x="1196"/>
        <item m="1" x="2826"/>
        <item m="1" x="1358"/>
        <item m="1" x="2596"/>
        <item m="1" x="1636"/>
        <item m="1" x="1689"/>
        <item m="1" x="3672"/>
        <item m="1" x="1638"/>
        <item m="1" x="3800"/>
        <item m="1" x="3853"/>
        <item m="1" x="3841"/>
        <item m="1" x="1586"/>
        <item m="1" x="1118"/>
        <item m="1" x="2154"/>
        <item m="1" x="3768"/>
        <item m="1" x="1659"/>
        <item m="1" x="3214"/>
        <item m="1" x="1371"/>
        <item m="1" x="1299"/>
        <item m="1" x="2754"/>
        <item m="1" x="4092"/>
        <item m="1" x="2167"/>
        <item m="1" x="2620"/>
        <item m="1" x="1106"/>
        <item m="1" x="1849"/>
        <item m="1" x="3117"/>
        <item m="1" x="2199"/>
        <item m="1" x="3691"/>
        <item m="1" x="1742"/>
        <item m="1" x="2467"/>
        <item m="1" x="3929"/>
        <item m="1" x="2039"/>
        <item m="1" x="2384"/>
        <item m="1" x="3260"/>
        <item m="1" x="2994"/>
        <item m="1" x="2954"/>
        <item m="1" x="2594"/>
        <item m="1" x="1242"/>
        <item m="1" x="1882"/>
        <item m="1" x="2069"/>
        <item m="1" x="1664"/>
        <item m="1" x="1105"/>
        <item m="1" x="3056"/>
        <item m="1" x="2073"/>
        <item m="1" x="1619"/>
        <item m="1" x="3118"/>
        <item m="1" x="3922"/>
        <item m="1" x="1913"/>
        <item m="1" x="3449"/>
        <item m="1" x="3780"/>
        <item m="1" x="2532"/>
        <item m="1" x="2061"/>
        <item m="1" x="3710"/>
        <item m="1" x="3350"/>
        <item m="1" x="2709"/>
        <item m="1" x="2703"/>
        <item m="1" x="2468"/>
        <item m="1" x="1249"/>
        <item m="1" x="3296"/>
        <item m="1" x="2211"/>
        <item m="1" x="2735"/>
        <item m="1" x="3839"/>
        <item m="1" x="3091"/>
        <item m="1" x="1108"/>
        <item m="1" x="2881"/>
        <item m="1" x="2650"/>
        <item m="1" x="3471"/>
        <item m="1" x="1052"/>
        <item m="1" x="1666"/>
        <item m="1" x="1059"/>
        <item m="1" x="3666"/>
        <item m="1" x="3051"/>
        <item m="1" x="3973"/>
        <item m="1" x="3233"/>
        <item m="1" x="2629"/>
        <item m="1" x="1870"/>
        <item m="1" x="2718"/>
        <item m="1" x="2118"/>
        <item m="1" x="3911"/>
        <item m="1" x="1863"/>
        <item m="1" x="1367"/>
        <item m="1" x="2882"/>
        <item m="1" x="2262"/>
        <item m="1" x="2799"/>
        <item m="1" x="3683"/>
        <item m="1" x="1327"/>
        <item m="1" x="1485"/>
        <item m="1" x="4082"/>
        <item m="1" x="2092"/>
        <item m="1" x="3785"/>
        <item m="1" x="1643"/>
        <item m="1" x="1978"/>
        <item m="1" x="1665"/>
        <item m="1" x="3382"/>
        <item m="1" x="4033"/>
        <item m="1" x="1803"/>
        <item m="1" x="3226"/>
        <item m="1" x="2444"/>
        <item m="1" x="1500"/>
        <item m="1" x="3187"/>
        <item m="1" x="3385"/>
        <item m="1" x="3895"/>
        <item m="1" x="2630"/>
        <item m="1" x="3732"/>
        <item m="1" x="1375"/>
        <item m="1" x="3907"/>
        <item m="1" x="2584"/>
        <item m="1" x="3519"/>
        <item m="1" x="4030"/>
        <item m="1" x="2103"/>
        <item m="1" x="2988"/>
        <item m="1" x="3222"/>
        <item m="1" x="3269"/>
        <item m="1" x="4014"/>
        <item m="1" x="2753"/>
        <item m="1" x="3358"/>
        <item m="1" x="3684"/>
        <item m="1" x="2688"/>
        <item m="1" x="2223"/>
        <item m="1" x="2891"/>
        <item m="1" x="2051"/>
        <item m="1" x="3284"/>
        <item m="1" x="2757"/>
        <item m="1" x="2448"/>
        <item m="1" x="3047"/>
        <item m="1" x="3674"/>
        <item m="1" x="2333"/>
        <item m="1" x="3678"/>
        <item m="1" x="2660"/>
        <item m="1" x="4080"/>
        <item m="1" x="3844"/>
        <item m="1" x="1843"/>
        <item m="1" x="1566"/>
        <item m="1" x="3113"/>
        <item m="1" x="3324"/>
        <item m="1" x="3827"/>
        <item m="1" x="3232"/>
        <item m="1" x="2367"/>
        <item m="1" x="2308"/>
        <item m="1" x="3172"/>
        <item m="1" x="2335"/>
        <item m="1" x="1612"/>
        <item m="1" x="4028"/>
        <item m="1" x="3933"/>
        <item m="1" x="2522"/>
        <item m="1" x="3466"/>
        <item m="1" x="1781"/>
        <item m="1" x="1317"/>
        <item m="1" x="4130"/>
        <item m="1" x="515"/>
        <item m="1" x="1061"/>
        <item m="1" x="3259"/>
        <item m="1" x="3681"/>
        <item m="1" x="2855"/>
        <item m="1" x="1869"/>
        <item m="1" x="1373"/>
        <item m="1" x="2106"/>
        <item m="1" x="4069"/>
        <item m="1" x="2382"/>
        <item m="1" x="3831"/>
        <item m="1" x="1133"/>
        <item m="1" x="2950"/>
        <item m="1" x="2545"/>
        <item m="1" x="1714"/>
        <item m="1" x="3130"/>
        <item m="1" x="4009"/>
        <item m="1" x="2853"/>
        <item m="1" x="2416"/>
        <item m="1" x="3472"/>
        <item m="1" x="2673"/>
        <item m="1" x="1080"/>
        <item m="1" x="2571"/>
        <item m="1" x="3481"/>
        <item m="1" x="1096"/>
        <item m="1" x="3013"/>
        <item m="1" x="3656"/>
        <item m="1" x="3065"/>
        <item m="1" x="2818"/>
        <item m="1" x="3418"/>
        <item m="1" x="1589"/>
        <item m="1" x="4093"/>
        <item m="1" x="1706"/>
        <item m="1" x="2327"/>
        <item m="1" x="4057"/>
        <item m="1" x="2896"/>
        <item m="1" x="2047"/>
        <item m="1" x="1073"/>
        <item m="1" x="2200"/>
        <item m="1" x="3803"/>
        <item m="1" x="3221"/>
        <item m="1" x="2694"/>
        <item m="1" x="3573"/>
        <item m="1" x="3075"/>
        <item m="1" x="2905"/>
        <item m="1" x="2230"/>
        <item m="1" x="1087"/>
        <item m="1" x="1266"/>
        <item m="1" x="3882"/>
        <item m="1" x="1413"/>
        <item m="1" x="1110"/>
        <item m="1" x="3100"/>
        <item m="1" x="2987"/>
        <item m="1" x="3984"/>
        <item m="1" x="1289"/>
        <item m="1" x="1453"/>
        <item m="1" x="1246"/>
        <item m="1" x="2287"/>
        <item m="1" x="2151"/>
        <item m="1" x="2098"/>
        <item m="1" x="2086"/>
        <item m="1" x="1243"/>
        <item m="1" x="3849"/>
        <item m="1" x="1294"/>
        <item m="1" x="2133"/>
        <item m="1" x="1510"/>
        <item m="1" x="3753"/>
        <item m="1" x="4065"/>
        <item m="1" x="2100"/>
        <item m="1" x="3787"/>
        <item m="1" x="1850"/>
        <item m="1" x="1799"/>
        <item m="1" x="3190"/>
        <item m="1" x="2166"/>
        <item m="1" x="3738"/>
        <item m="1" x="1856"/>
        <item m="1" x="1615"/>
        <item m="1" x="3653"/>
        <item m="1" x="1828"/>
        <item m="1" x="1833"/>
        <item m="1" x="2439"/>
        <item m="1" x="2833"/>
        <item m="1" x="1179"/>
        <item m="1" x="2991"/>
        <item m="1" x="1284"/>
        <item m="1" x="4098"/>
        <item m="1" x="4005"/>
        <item m="1" x="3138"/>
        <item m="1" x="3008"/>
        <item m="1" x="1670"/>
        <item m="1" x="1456"/>
        <item m="1" x="3428"/>
        <item m="1" x="1515"/>
        <item m="1" x="3137"/>
        <item m="1" x="4110"/>
        <item m="1" x="1616"/>
        <item m="1" x="2962"/>
        <item m="1" x="1728"/>
        <item m="1" x="3140"/>
        <item m="1" x="1590"/>
        <item m="1" x="1986"/>
        <item m="1" x="3613"/>
        <item m="1" x="2306"/>
        <item m="1" x="2046"/>
        <item m="1" x="1520"/>
        <item m="1" x="1641"/>
        <item m="1" x="2217"/>
        <item m="1" x="2397"/>
        <item m="1" x="1908"/>
        <item m="1" x="2516"/>
        <item m="1" x="3417"/>
        <item m="1" x="1982"/>
        <item m="1" x="2912"/>
        <item m="1" x="2246"/>
        <item m="1" x="3740"/>
        <item m="1" x="2293"/>
        <item m="1" x="1961"/>
        <item m="1" x="2654"/>
        <item m="1" x="2971"/>
        <item m="1" x="2693"/>
        <item m="1" x="2464"/>
        <item m="1" x="1894"/>
        <item m="1" x="2150"/>
        <item m="1" x="1341"/>
        <item m="1" x="3154"/>
        <item m="1" x="2462"/>
        <item m="1" x="3041"/>
        <item m="1" x="1836"/>
        <item m="1" x="2989"/>
        <item m="1" x="4088"/>
        <item m="1" x="1121"/>
        <item m="1" x="1585"/>
        <item m="1" x="1858"/>
        <item m="1" x="2208"/>
        <item m="1" x="1758"/>
        <item m="1" x="3119"/>
        <item m="1" x="2429"/>
        <item m="1" x="3386"/>
        <item m="1" x="1802"/>
        <item m="1" x="1454"/>
        <item m="1" x="1902"/>
        <item m="1" x="1534"/>
        <item m="1" x="1942"/>
        <item m="1" x="3995"/>
        <item m="1" x="2342"/>
        <item m="1" x="2447"/>
        <item m="1" x="1806"/>
        <item m="1" x="2508"/>
        <item m="1" x="2914"/>
        <item m="1" x="2713"/>
        <item m="1" x="3288"/>
        <item m="1" x="2474"/>
        <item m="1" x="3059"/>
        <item m="1" x="2368"/>
        <item m="1" x="3025"/>
        <item m="1" x="1817"/>
        <item m="1" x="3456"/>
        <item m="1" x="3031"/>
        <item m="1" x="3238"/>
        <item m="1" x="3081"/>
        <item m="1" x="3956"/>
        <item m="1" x="2248"/>
        <item m="1" x="1226"/>
        <item m="1" x="3445"/>
        <item m="1" x="2913"/>
        <item m="1" x="3840"/>
        <item m="1" x="1420"/>
        <item m="1" x="3300"/>
        <item m="1" x="2668"/>
        <item m="1" x="1995"/>
        <item m="1" x="2839"/>
        <item m="1" x="1450"/>
        <item m="1" x="3347"/>
        <item m="1" x="2610"/>
        <item m="1" x="2722"/>
        <item m="1" x="3979"/>
        <item m="1" x="3120"/>
        <item m="1" x="1272"/>
        <item m="1" x="3027"/>
        <item m="1" x="3057"/>
        <item m="1" x="1349"/>
        <item m="1" x="2232"/>
        <item m="1" x="2633"/>
        <item m="1" x="1702"/>
        <item m="1" x="1184"/>
        <item m="1" x="2785"/>
        <item m="1" x="3997"/>
        <item m="1" x="1825"/>
        <item m="1" x="3870"/>
        <item m="1" x="2065"/>
        <item m="1" x="3759"/>
        <item m="1" x="2925"/>
        <item m="1" x="2475"/>
        <item m="1" x="3144"/>
        <item m="1" x="2683"/>
        <item m="1" x="2525"/>
        <item m="1" x="3796"/>
        <item m="1" x="3582"/>
        <item m="1" x="2868"/>
        <item m="1" x="1065"/>
        <item m="1" x="2792"/>
        <item m="1" x="3326"/>
        <item m="1" x="2424"/>
        <item m="1" x="1599"/>
        <item m="1" x="2007"/>
        <item m="1" x="2883"/>
        <item m="1" x="1700"/>
        <item m="1" x="4086"/>
        <item m="1" x="1572"/>
        <item m="1" x="4085"/>
        <item m="1" x="3557"/>
        <item m="1" x="4122"/>
        <item m="1" x="2191"/>
        <item m="1" x="2813"/>
        <item m="1" x="2188"/>
        <item m="1" x="2078"/>
        <item m="1" x="2794"/>
        <item m="1" x="1693"/>
        <item m="1" x="1553"/>
        <item m="1" x="1546"/>
        <item m="1" x="2295"/>
        <item m="1" x="1352"/>
        <item m="1" x="3246"/>
        <item m="1" x="2979"/>
        <item m="1" x="1735"/>
        <item m="1" x="2332"/>
        <item m="1" x="1770"/>
        <item m="1" x="3442"/>
        <item m="1" x="2137"/>
        <item m="1" x="1535"/>
        <item m="1" x="3384"/>
        <item m="1" x="2472"/>
        <item m="1" x="2027"/>
        <item m="1" x="1607"/>
        <item m="1" x="1384"/>
        <item m="1" x="2561"/>
        <item m="1" x="2031"/>
        <item m="1" x="2441"/>
        <item m="1" x="2253"/>
        <item m="1" x="2755"/>
        <item m="1" x="1487"/>
        <item m="1" x="3419"/>
        <item m="1" x="3996"/>
        <item m="1" x="3566"/>
        <item m="1" x="2738"/>
        <item m="1" x="3461"/>
        <item m="1" x="2488"/>
        <item m="1" x="1971"/>
        <item m="1" x="3128"/>
        <item m="1" x="3379"/>
        <item m="1" x="1085"/>
        <item m="1" x="1661"/>
        <item m="1" x="3534"/>
        <item m="1" x="1116"/>
        <item m="1" x="2621"/>
        <item m="1" x="2040"/>
        <item m="1" x="1671"/>
        <item m="1" x="2300"/>
        <item m="1" x="2466"/>
        <item m="1" x="3402"/>
        <item m="1" x="3439"/>
        <item m="1" x="1452"/>
        <item m="1" x="4090"/>
        <item m="1" x="3670"/>
        <item m="1" x="2509"/>
        <item m="1" x="1193"/>
        <item m="1" x="2168"/>
        <item m="1" x="1472"/>
        <item m="1" x="2114"/>
        <item m="1" x="3178"/>
        <item m="1" x="2652"/>
        <item m="1" x="1496"/>
        <item m="1" x="2875"/>
        <item m="1" x="3028"/>
        <item m="1" x="2765"/>
        <item m="1" x="1542"/>
        <item m="1" x="1704"/>
        <item m="1" x="3020"/>
        <item m="1" x="1752"/>
        <item m="1" x="1783"/>
        <item m="1" x="1805"/>
        <item m="1" x="2097"/>
        <item m="1" x="1238"/>
        <item m="1" x="3951"/>
        <item m="1" x="3725"/>
        <item m="1" x="2649"/>
        <item m="1" x="3153"/>
        <item m="1" x="2674"/>
        <item m="1" x="3183"/>
        <item m="1" x="2973"/>
        <item m="1" x="1796"/>
        <item m="1" x="2220"/>
        <item m="1" x="2606"/>
        <item m="1" x="2798"/>
        <item m="1" x="4136"/>
        <item m="1" x="1675"/>
        <item m="1" x="2540"/>
        <item m="1" x="3570"/>
        <item m="1" x="1834"/>
        <item m="1" x="4115"/>
        <item m="1" x="1934"/>
        <item m="1" x="2894"/>
        <item m="1" x="4043"/>
        <item m="1" x="3574"/>
        <item m="1" x="3989"/>
        <item m="1" x="3053"/>
        <item m="1" x="3813"/>
        <item m="1" x="3808"/>
        <item m="1" x="1868"/>
        <item m="1" x="2452"/>
        <item m="1" x="2354"/>
        <item m="1" x="2277"/>
        <item m="1" x="2787"/>
        <item m="1" x="1438"/>
        <item m="1" x="4087"/>
        <item m="1" x="1890"/>
        <item m="1" x="2029"/>
        <item m="1" x="3204"/>
        <item m="1" x="1325"/>
        <item m="1" x="4105"/>
        <item m="1" x="4067"/>
        <item m="1" x="3108"/>
        <item m="1" x="2958"/>
        <item m="1" x="2702"/>
        <item m="1" x="2141"/>
        <item m="1" x="2431"/>
        <item m="1" x="4022"/>
        <item m="1" x="1648"/>
        <item m="1" x="3218"/>
        <item m="1" x="3319"/>
        <item m="1" x="3179"/>
        <item m="1" x="2304"/>
        <item m="1" x="3262"/>
        <item m="1" x="3147"/>
        <item m="1" x="3312"/>
        <item m="1" x="3881"/>
        <item m="1" x="1807"/>
        <item m="1" x="2595"/>
        <item m="1" x="3977"/>
        <item m="1" x="1705"/>
        <item m="1" x="3387"/>
        <item m="1" x="2810"/>
        <item m="1" x="2254"/>
        <item m="1" x="1751"/>
        <item m="1" x="2756"/>
        <item m="1" x="3876"/>
        <item m="1" x="3720"/>
        <item m="1" x="2360"/>
        <item m="1" x="2819"/>
        <item m="1" x="2841"/>
        <item m="1" x="3074"/>
        <item m="1" x="3079"/>
        <item m="1" x="2957"/>
        <item m="1" x="3607"/>
        <item m="1" x="1720"/>
        <item m="1" x="2888"/>
        <item m="1" x="2251"/>
        <item m="1" x="1860"/>
        <item m="1" x="1150"/>
        <item m="1" x="3135"/>
        <item m="1" x="3328"/>
        <item m="1" x="3327"/>
        <item m="1" x="3509"/>
        <item m="1" x="3504"/>
        <item m="1" x="3355"/>
        <item m="1" x="1575"/>
        <item m="1" x="2586"/>
        <item m="1" x="3927"/>
        <item m="1" x="2617"/>
        <item m="1" x="1274"/>
        <item m="1" x="1397"/>
        <item m="1" x="3206"/>
        <item m="1" x="2817"/>
        <item m="1" x="2469"/>
        <item m="1" x="1956"/>
        <item m="1" x="2768"/>
        <item m="1" x="4126"/>
        <item m="1" x="3850"/>
        <item m="1" x="2215"/>
        <item m="1" x="1113"/>
        <item m="1" x="3687"/>
        <item m="1" x="3647"/>
        <item m="1" x="2800"/>
        <item m="1" x="1276"/>
        <item m="1" x="3182"/>
        <item m="1" x="3834"/>
        <item m="1" x="1379"/>
        <item m="1" x="3215"/>
        <item m="1" x="2117"/>
        <item m="1" x="1867"/>
        <item m="1" x="1142"/>
        <item m="1" x="2943"/>
        <item m="1" x="1557"/>
        <item m="1" x="2510"/>
        <item m="1" x="1653"/>
        <item m="1" x="1789"/>
        <item m="1" x="3181"/>
        <item m="1" x="3861"/>
        <item m="1" x="3370"/>
        <item m="1" x="3163"/>
        <item m="1" x="1940"/>
        <item m="1" x="2385"/>
        <item m="1" x="1944"/>
        <item m="1" x="3208"/>
        <item m="1" x="2503"/>
        <item m="1" x="1846"/>
        <item m="1" x="2094"/>
        <item m="1" x="3599"/>
        <item m="1" x="3704"/>
        <item m="1" x="2346"/>
        <item m="1" x="2846"/>
        <item m="1" x="1326"/>
        <item m="1" x="3313"/>
        <item m="1" x="2514"/>
        <item m="1" x="3877"/>
        <item m="1" x="2831"/>
        <item m="1" x="2575"/>
        <item m="1" x="3042"/>
        <item m="1" x="2275"/>
        <item m="1" x="3337"/>
        <item m="1" x="3394"/>
        <item m="1" x="3999"/>
        <item m="1" x="4091"/>
        <item m="1" x="3129"/>
        <item m="1" x="2614"/>
        <item m="1" x="2827"/>
        <item m="1" x="2297"/>
        <item m="1" x="3719"/>
        <item m="1" x="3280"/>
        <item m="1" x="1694"/>
        <item m="1" x="2552"/>
        <item m="1" x="1136"/>
        <item m="1" x="2170"/>
        <item m="1" x="3283"/>
        <item m="1" x="2764"/>
        <item m="1" x="3944"/>
        <item m="1" x="1695"/>
        <item m="1" x="1814"/>
        <item m="1" x="1429"/>
        <item m="1" x="1253"/>
        <item m="1" x="2749"/>
        <item m="1" x="2345"/>
        <item m="1" x="1718"/>
        <item m="1" x="1297"/>
        <item m="1" x="1460"/>
        <item m="1" x="1959"/>
        <item m="1" x="3602"/>
        <item m="1" x="1088"/>
        <item m="1" x="3792"/>
        <item m="1" x="1888"/>
        <item m="1" x="2580"/>
        <item m="1" x="3959"/>
        <item m="1" x="3443"/>
        <item m="1" x="4018"/>
        <item m="1" x="1712"/>
        <item m="1" x="3569"/>
        <item m="1" x="2072"/>
        <item m="1" x="2045"/>
        <item m="1" x="1251"/>
        <item m="1" x="1771"/>
        <item m="1" x="1892"/>
        <item m="1" x="1260"/>
        <item m="1" x="3700"/>
        <item m="1" x="4070"/>
        <item m="1" x="3865"/>
        <item m="1" x="2711"/>
        <item m="1" x="1801"/>
        <item m="1" x="1760"/>
        <item m="1" x="2727"/>
        <item m="1" x="1688"/>
        <item m="1" x="2076"/>
        <item m="1" x="2437"/>
        <item m="1" x="2498"/>
        <item m="1" x="2372"/>
        <item m="1" x="3675"/>
        <item m="1" x="1322"/>
        <item m="1" x="2085"/>
        <item m="1" x="3007"/>
        <item m="1" x="1674"/>
        <item m="1" x="4066"/>
        <item m="1" x="2867"/>
        <item m="1" x="2534"/>
        <item m="1" x="2337"/>
        <item m="1" x="2742"/>
        <item m="1" x="1753"/>
        <item m="1" x="3403"/>
        <item m="1" x="3200"/>
        <item m="1" x="2266"/>
        <item m="1" x="3334"/>
        <item m="1" x="3539"/>
        <item m="1" x="3723"/>
        <item m="1" x="2771"/>
        <item m="1" x="1312"/>
        <item m="1" x="2037"/>
        <item m="1" x="3767"/>
        <item m="1" x="2972"/>
        <item m="1" x="1747"/>
        <item m="1" x="2862"/>
        <item m="1" x="1070"/>
        <item m="1" x="3980"/>
        <item m="1" x="2970"/>
        <item m="1" x="3610"/>
        <item m="1" x="1405"/>
        <item m="1" x="2041"/>
        <item m="1" x="2077"/>
        <item m="1" x="2506"/>
        <item m="1" x="1984"/>
        <item m="1" x="1531"/>
        <item m="1" x="2326"/>
        <item m="1" x="2453"/>
        <item m="1" x="1291"/>
        <item m="1" x="1424"/>
        <item m="1" x="1316"/>
        <item m="1" x="3303"/>
        <item m="1" x="2194"/>
        <item m="1" x="1220"/>
        <item m="1" x="1853"/>
        <item m="1" x="2982"/>
        <item m="1" x="2805"/>
        <item m="1" x="2752"/>
        <item m="1" x="3142"/>
        <item m="1" x="1896"/>
        <item m="1" x="1722"/>
        <item m="1" x="3006"/>
        <item m="1" x="3593"/>
        <item m="1" x="2010"/>
        <item m="1" x="2206"/>
        <item m="1" x="1241"/>
        <item m="1" x="2388"/>
        <item m="1" x="4017"/>
        <item m="1" x="3022"/>
        <item m="1" x="2869"/>
        <item m="1" x="1749"/>
        <item m="1" x="2144"/>
        <item m="1" x="1552"/>
        <item m="1" x="3438"/>
        <item m="1" x="3941"/>
        <item m="1" x="2933"/>
        <item m="1" x="2446"/>
        <item m="1" x="1604"/>
        <item m="1" x="3196"/>
        <item m="1" x="2791"/>
        <item m="1" x="3289"/>
        <item m="1" x="1957"/>
        <item m="1" x="4064"/>
        <item m="1" x="3441"/>
        <item m="1" x="2099"/>
        <item m="1" x="2495"/>
        <item m="1" x="4128"/>
        <item m="1" x="1290"/>
        <item m="1" x="2463"/>
        <item m="1" x="1601"/>
        <item m="1" x="2497"/>
        <item m="1" x="1084"/>
        <item m="1" x="2669"/>
        <item m="1" x="3354"/>
        <item m="1" x="1478"/>
        <item m="1" x="1997"/>
        <item m="1" x="2897"/>
        <item m="1" x="3829"/>
        <item m="1" x="3685"/>
        <item m="1" x="3098"/>
        <item m="1" x="3134"/>
        <item m="1" x="2356"/>
        <item m="1" x="2003"/>
        <item m="1" x="1093"/>
        <item m="1" x="1879"/>
        <item m="1" x="3374"/>
        <item m="1" x="1573"/>
        <item m="1" x="3976"/>
        <item m="1" x="3420"/>
        <item m="1" x="1188"/>
        <item m="1" x="1593"/>
        <item m="1" x="3411"/>
        <item m="1" x="1177"/>
        <item m="1" x="1975"/>
        <item m="1" x="1360"/>
        <item m="1" x="1273"/>
        <item m="1" x="4056"/>
        <item m="1" x="3186"/>
        <item m="1" x="2119"/>
        <item m="1" x="2420"/>
        <item m="1" x="2927"/>
        <item m="1" x="1794"/>
        <item m="1" x="3193"/>
        <item m="1" x="3525"/>
        <item m="1" x="2024"/>
        <item m="1" x="3550"/>
        <item m="1" x="1132"/>
        <item m="1" x="2264"/>
        <item m="1" x="2075"/>
        <item m="1" x="1889"/>
        <item m="1" x="4079"/>
        <item m="1" x="3837"/>
        <item m="1" x="3235"/>
        <item m="1" x="3084"/>
        <item m="1" x="1202"/>
        <item m="1" x="1078"/>
        <item m="1" x="4058"/>
        <item m="1" x="2779"/>
        <item m="1" x="1054"/>
        <item m="1" x="3990"/>
        <item m="1" x="2380"/>
        <item m="1" x="3377"/>
        <item m="1" x="2515"/>
        <item m="1" x="1164"/>
        <item m="1" x="3511"/>
        <item m="1" x="3551"/>
        <item m="1" x="3643"/>
        <item m="1" x="3934"/>
        <item m="1" x="3633"/>
        <item m="1" x="1898"/>
        <item m="1" x="1793"/>
        <item m="1" x="1315"/>
        <item m="1" x="3489"/>
        <item m="1" x="2850"/>
        <item m="1" x="2874"/>
        <item m="1" x="2766"/>
        <item m="1" x="3323"/>
        <item m="1" x="3486"/>
        <item m="1" x="2123"/>
        <item m="1" x="2104"/>
        <item m="1" x="2411"/>
        <item m="1" x="2157"/>
        <item m="1" x="1412"/>
        <item m="1" x="2964"/>
        <item m="1" x="3299"/>
        <item m="1" x="3823"/>
        <item m="1" x="2809"/>
        <item m="1" x="3846"/>
        <item m="1" x="2396"/>
        <item m="1" x="3426"/>
        <item m="1" x="1343"/>
        <item m="1" x="3705"/>
        <item m="1" x="3884"/>
        <item m="1" x="2034"/>
        <item m="1" x="1298"/>
        <item m="1" x="1979"/>
        <item m="1" x="1353"/>
        <item m="1" x="2631"/>
        <item m="1" x="2292"/>
        <item m="1" x="2298"/>
        <item m="1" x="2044"/>
        <item m="1" x="1536"/>
        <item m="1" x="1350"/>
        <item m="1" x="3198"/>
        <item m="1" x="1876"/>
        <item m="1" x="3372"/>
        <item m="1" x="3782"/>
        <item m="1" x="3905"/>
        <item m="1" x="3046"/>
        <item m="1" x="1462"/>
        <item m="1" x="2737"/>
        <item m="1" x="3506"/>
        <item m="1" x="1362"/>
        <item m="1" x="2409"/>
        <item m="1" x="2185"/>
        <item m="1" x="4072"/>
        <item m="1" x="2665"/>
        <item m="1" x="2600"/>
        <item m="1" x="4015"/>
        <item m="1" x="1686"/>
        <item m="1" x="2425"/>
        <item m="1" x="2122"/>
        <item m="1" x="2559"/>
        <item m="1" x="1623"/>
        <item m="1" x="2852"/>
        <item m="1" x="2110"/>
        <item m="1" x="4125"/>
        <item m="1" x="2402"/>
        <item m="1" x="3252"/>
        <item m="1" x="1530"/>
        <item m="1" x="3859"/>
        <item m="1" x="1140"/>
        <item m="1" x="1990"/>
        <item m="1" x="3435"/>
        <item m="1" x="2182"/>
        <item m="1" x="2146"/>
        <item m="1" x="3694"/>
        <item m="1" x="1114"/>
        <item m="1" x="2180"/>
        <item m="1" x="2599"/>
        <item m="1" x="3616"/>
        <item m="1" x="3828"/>
        <item m="1" x="2338"/>
        <item m="1" x="2686"/>
        <item m="1" x="3963"/>
        <item m="1" x="3755"/>
        <item m="1" x="1283"/>
        <item m="1" x="3797"/>
        <item m="1" x="1380"/>
        <item m="1" x="1484"/>
        <item m="1" x="3412"/>
        <item m="1" x="1685"/>
        <item m="1" x="3275"/>
        <item m="1" x="1248"/>
        <item m="1" x="1533"/>
        <item m="1" x="2058"/>
        <item m="1" x="3380"/>
        <item m="1" x="1225"/>
        <item m="1" x="2355"/>
        <item m="1" x="3291"/>
        <item m="1" x="1737"/>
        <item m="1" x="1427"/>
        <item m="1" x="2317"/>
        <item m="1" x="3338"/>
        <item m="1" x="3085"/>
        <item m="1" x="2407"/>
        <item m="1" x="1668"/>
        <item m="1" x="1279"/>
        <item m="1" x="2365"/>
        <item m="1" x="2731"/>
        <item m="1" x="1958"/>
        <item m="1" x="3092"/>
        <item m="1" x="1561"/>
        <item m="1" x="2018"/>
        <item m="1" x="2604"/>
        <item m="1" x="2164"/>
        <item m="1" x="2243"/>
        <item m="1" x="1631"/>
        <item m="1" x="2128"/>
        <item m="1" x="1304"/>
        <item m="1" x="1178"/>
        <item m="1" x="3695"/>
        <item m="1" x="3885"/>
        <item m="1" x="1677"/>
        <item m="1" x="2828"/>
        <item m="1" x="1646"/>
        <item m="1" x="2107"/>
        <item m="1" x="1900"/>
        <item m="1" x="2762"/>
        <item m="1" x="3802"/>
        <item m="1" x="2161"/>
        <item m="1" x="1163"/>
        <item m="1" x="3629"/>
        <item m="1" x="1524"/>
        <item m="1" x="1543"/>
        <item m="1" x="1232"/>
        <item m="1" x="4012"/>
        <item m="1" x="3473"/>
        <item m="1" x="3923"/>
        <item m="1" x="3395"/>
        <item m="1" x="1584"/>
        <item m="1" x="1205"/>
        <item m="1" x="1916"/>
        <item m="1" x="2021"/>
        <item m="1" x="1655"/>
        <item m="1" x="3483"/>
        <item m="1" x="3223"/>
        <item m="1" x="1823"/>
        <item m="1" x="1189"/>
        <item m="1" x="1769"/>
        <item m="1" x="3242"/>
        <item m="1" x="2063"/>
        <item m="1" x="1139"/>
        <item m="1" x="1236"/>
        <item m="1" x="1987"/>
        <item m="1" x="2139"/>
        <item m="1" x="1152"/>
        <item m="1" x="3817"/>
        <item m="1" x="3451"/>
        <item m="1" x="4045"/>
        <item m="1" x="3794"/>
        <item m="1" x="2917"/>
        <item m="1" x="3188"/>
        <item m="1" x="4049"/>
        <item m="1" x="1519"/>
        <item m="1" x="3484"/>
        <item m="1" x="1925"/>
        <item m="1" x="3696"/>
        <item m="1" x="1662"/>
        <item m="1" x="3000"/>
        <item m="1" x="1211"/>
        <item m="1" x="2782"/>
        <item m="1" x="2795"/>
        <item m="1" x="1365"/>
        <item m="1" x="2975"/>
        <item m="1" x="4089"/>
        <item m="1" x="3241"/>
        <item m="1" x="2804"/>
        <item m="1" x="3434"/>
        <item m="1" x="3902"/>
        <item m="1" x="2502"/>
        <item m="1" x="2490"/>
        <item m="1" x="2226"/>
        <item m="1" x="1998"/>
        <item m="1" x="1748"/>
        <item m="1" x="1864"/>
        <item m="1" x="1208"/>
        <item m="1" x="1660"/>
        <item m="1" x="2301"/>
        <item m="1" x="2406"/>
        <item m="1" x="3375"/>
        <item m="1" x="1580"/>
        <item m="1" x="2591"/>
        <item m="1" x="1840"/>
        <item m="1" x="3308"/>
        <item m="1" x="2553"/>
        <item m="1" x="1269"/>
        <item m="1" x="1650"/>
        <item m="1" x="4050"/>
        <item m="1" x="1915"/>
        <item m="1" x="3677"/>
        <item m="1" x="3761"/>
        <item m="1" x="1797"/>
        <item m="1" x="3661"/>
        <item m="1" x="3361"/>
        <item m="1" x="1996"/>
        <item m="1" x="2461"/>
        <item m="1" x="1441"/>
        <item m="1" x="3547"/>
        <item m="1" x="1800"/>
        <item m="1" x="1431"/>
        <item m="1" x="2612"/>
        <item m="1" x="1945"/>
        <item m="1" x="2530"/>
        <item m="1" x="1439"/>
        <item m="1" x="1736"/>
        <item m="1" x="2999"/>
        <item m="1" x="1161"/>
        <item m="1" x="2489"/>
        <item m="1" x="1392"/>
        <item m="1" x="1173"/>
        <item m="1" x="2197"/>
        <item m="1" x="1872"/>
        <item m="1" x="1125"/>
        <item m="1" x="2084"/>
        <item m="1" x="1708"/>
        <item m="1" x="1264"/>
        <item m="1" x="2705"/>
        <item m="1" x="2235"/>
        <item m="1" x="2605"/>
        <item m="1" x="3026"/>
        <item m="1" x="4044"/>
        <item m="1" x="2347"/>
        <item m="1" x="3037"/>
        <item m="1" x="1523"/>
        <item m="1" x="2880"/>
        <item m="1" x="1822"/>
        <item m="1" x="3775"/>
        <item m="1" x="2401"/>
        <item m="1" x="4116"/>
        <item m="1" x="3392"/>
        <item m="1" x="4020"/>
        <item m="1" x="2435"/>
        <item m="1" x="3282"/>
        <item m="1" x="3799"/>
        <item m="1" x="1639"/>
        <item m="1" x="1861"/>
        <item m="1" x="2940"/>
        <item m="1" x="2889"/>
        <item m="1" x="1258"/>
        <item m="1" x="2096"/>
        <item m="1" x="1690"/>
        <item m="1" x="2471"/>
        <item m="1" x="2493"/>
        <item m="1" x="3396"/>
        <item m="1" x="3452"/>
        <item m="1" x="1947"/>
        <item m="1" x="1773"/>
        <item m="1" x="1904"/>
        <item m="1" x="3620"/>
        <item m="1" x="3928"/>
        <item m="1" x="1101"/>
        <item m="1" x="3220"/>
        <item m="1" x="2412"/>
        <item m="1" x="1927"/>
        <item m="1" x="2102"/>
        <item m="1" x="2415"/>
        <item m="1" x="1724"/>
        <item m="1" x="1287"/>
        <item m="1" x="1292"/>
        <item m="1" x="3305"/>
        <item m="1" x="3038"/>
        <item m="1" x="1176"/>
        <item m="1" x="2712"/>
        <item m="1" x="2955"/>
        <item m="1" x="2140"/>
        <item m="1" x="3234"/>
        <item m="1" x="4101"/>
        <item m="1" x="2567"/>
        <item m="1" x="2733"/>
        <item m="1" x="3352"/>
        <item m="1" x="2311"/>
        <item m="1" x="3039"/>
        <item m="1" x="2744"/>
        <item m="1" x="3368"/>
        <item m="1" x="2780"/>
        <item m="1" x="3018"/>
        <item m="1" x="2519"/>
        <item m="1" x="3248"/>
        <item m="1" x="3891"/>
        <item m="1" x="4061"/>
        <item m="1" x="3344"/>
        <item m="1" x="3549"/>
        <item m="1" x="4096"/>
        <item m="1" x="3728"/>
        <item m="1" x="1774"/>
        <item m="1" x="2000"/>
        <item m="1" x="1513"/>
        <item m="1" x="3867"/>
        <item m="1" x="2428"/>
        <item m="1" x="3019"/>
        <item m="1" x="2130"/>
        <item m="1" x="2449"/>
        <item m="1" x="2035"/>
        <item m="1" x="2716"/>
        <item m="1" x="2960"/>
        <item m="1" x="1311"/>
        <item m="1" x="1498"/>
        <item m="1" x="3750"/>
        <item m="1" x="1402"/>
        <item m="1" x="2699"/>
        <item m="1" x="3421"/>
        <item m="1" x="3731"/>
        <item m="1" x="2961"/>
        <item m="1" x="2657"/>
        <item m="1" x="1791"/>
        <item m="1" x="2625"/>
        <item m="1" x="2400"/>
        <item m="1" x="2496"/>
        <item m="1" x="1300"/>
        <item m="1" x="3488"/>
        <item m="1" x="4108"/>
        <item m="1" x="2858"/>
        <item m="1" x="3271"/>
        <item m="1" x="3983"/>
        <item m="1" x="2339"/>
        <item m="1" x="1443"/>
        <item m="1" x="2229"/>
        <item m="1" x="2801"/>
        <item m="1" x="2159"/>
        <item m="1" x="3116"/>
        <item m="1" x="3579"/>
        <item m="1" x="3360"/>
        <item m="1" x="2951"/>
        <item m="1" x="3930"/>
        <item m="1" x="3543"/>
        <item m="1" x="3173"/>
        <item m="1" x="2260"/>
        <item m="1" x="3751"/>
        <item m="1" x="3631"/>
        <item m="1" x="2554"/>
        <item m="1" x="2926"/>
        <item m="1" x="1295"/>
        <item m="1" x="1804"/>
        <item m="1" x="1267"/>
        <item m="1" x="3847"/>
        <item m="1" x="1953"/>
        <item m="1" x="1673"/>
        <item m="1" x="3171"/>
        <item m="1" x="2928"/>
        <item m="1" x="2968"/>
        <item m="1" x="3957"/>
        <item m="1" x="3952"/>
        <item m="1" x="3603"/>
        <item m="1" x="1921"/>
        <item m="1" x="1499"/>
        <item m="1" x="3845"/>
        <item m="1" x="3919"/>
        <item m="1" x="3077"/>
        <item m="1" x="2823"/>
        <item m="1" x="3244"/>
        <item m="1" x="4095"/>
        <item m="1" x="3737"/>
        <item m="1" x="3652"/>
        <item m="1" x="2216"/>
        <item m="1" x="2870"/>
        <item m="1" x="2562"/>
        <item m="1" x="3805"/>
        <item m="1" x="1051"/>
        <item m="1" x="3634"/>
        <item m="1" x="2020"/>
        <item m="1" x="2773"/>
        <item m="1" x="3795"/>
        <item m="1" x="2537"/>
        <item m="1" x="2125"/>
        <item m="1" x="3848"/>
        <item m="1" x="1710"/>
        <item m="1" x="3598"/>
        <item m="1" x="1306"/>
        <item m="1" x="2240"/>
        <item m="1" x="2013"/>
        <item m="1" x="2849"/>
        <item m="1" x="2944"/>
        <item m="1" x="3781"/>
        <item m="1" x="3935"/>
        <item m="1" x="1437"/>
        <item m="1" x="3717"/>
        <item m="1" x="2080"/>
        <item m="1" x="1309"/>
        <item m="1" x="1394"/>
        <item m="1" x="3249"/>
        <item m="1" x="1845"/>
        <item m="1" x="1657"/>
        <item m="1" x="3502"/>
        <item m="1" x="2052"/>
        <item m="1" x="3645"/>
        <item m="1" x="2257"/>
        <item m="1" x="1081"/>
        <item m="1" x="1527"/>
        <item m="1" x="3730"/>
        <item m="1" x="4113"/>
        <item m="1" x="3926"/>
        <item m="1" x="2574"/>
        <item m="1" x="3918"/>
        <item m="1" x="1378"/>
        <item m="1" x="2147"/>
        <item m="1" x="1538"/>
        <item m="1" x="3806"/>
        <item m="1" x="1962"/>
        <item m="1" x="2083"/>
        <item m="1" x="3637"/>
        <item m="1" x="2017"/>
        <item m="1" x="3680"/>
        <item m="1" x="4036"/>
        <item m="1" x="1852"/>
        <item m="1" x="3571"/>
        <item m="1" x="3440"/>
        <item m="1" x="2250"/>
        <item m="1" x="3164"/>
        <item m="1" x="2189"/>
        <item m="1" x="4011"/>
        <item m="1" x="2624"/>
        <item m="1" x="1634"/>
        <item m="1" x="1359"/>
        <item m="1" x="3527"/>
        <item m="1" x="2903"/>
        <item m="1" x="1699"/>
        <item m="1" x="1716"/>
        <item m="1" x="3958"/>
        <item m="1" x="2087"/>
        <item m="1" x="3586"/>
        <item m="1" x="1841"/>
        <item m="1" x="3490"/>
        <item m="1" x="1560"/>
        <item m="1" x="3224"/>
        <item m="1" x="2440"/>
        <item m="1" x="3122"/>
        <item m="1" x="2684"/>
        <item m="1" x="4119"/>
        <item m="1" x="1658"/>
        <item m="1" x="1750"/>
        <item m="1" x="1476"/>
        <item m="1" x="1363"/>
        <item m="1" x="1778"/>
        <item m="1" x="2969"/>
        <item m="1" x="1155"/>
        <item m="1" x="3938"/>
        <item m="1" x="1334"/>
        <item m="1" x="1355"/>
        <item m="1" x="1881"/>
        <item m="1" x="2213"/>
        <item m="1" x="3191"/>
        <item m="1" x="1256"/>
        <item m="1" x="3083"/>
        <item m="1" x="2016"/>
        <item m="1" x="1102"/>
        <item m="1" x="1126"/>
        <item m="1" x="2419"/>
        <item m="1" x="3766"/>
        <item m="1" x="3351"/>
        <item m="1" x="1732"/>
        <item m="1" x="2261"/>
        <item m="1" x="2392"/>
        <item m="1" x="2981"/>
        <item m="1" x="2830"/>
        <item m="1" x="3514"/>
        <item m="1" x="3499"/>
        <item m="1" x="2965"/>
        <item m="1" x="3528"/>
        <item m="1" x="3953"/>
        <item m="1" x="2836"/>
        <item m="1" x="3609"/>
        <item m="1" x="1165"/>
        <item m="1" x="2423"/>
        <item m="1" x="3405"/>
        <item m="1" x="2751"/>
        <item m="1" x="1190"/>
        <item m="1" x="3408"/>
        <item m="1" x="3067"/>
        <item m="1" x="3180"/>
        <item m="1" x="1949"/>
        <item m="1" x="3099"/>
        <item m="1" x="3253"/>
        <item m="1" x="2992"/>
        <item m="1" x="2135"/>
        <item m="1" x="3476"/>
        <item m="1" x="2445"/>
        <item m="1" x="2568"/>
        <item m="1" x="1855"/>
        <item m="1" x="2539"/>
        <item m="1" x="3124"/>
        <item m="1" x="3790"/>
        <item m="1" x="2747"/>
        <item m="1" x="3721"/>
        <item m="1" x="3630"/>
        <item m="1" x="2458"/>
        <item m="1" x="2576"/>
        <item m="1" x="3166"/>
        <item m="1" x="2774"/>
        <item m="1" x="3880"/>
        <item m="1" x="1422"/>
        <item m="1" x="3169"/>
        <item m="1" x="3563"/>
        <item m="1" x="1099"/>
        <item m="1" x="2043"/>
        <item m="1" x="3965"/>
        <item m="1" x="2993"/>
        <item m="1" x="3194"/>
        <item m="1" x="1910"/>
        <item m="1" x="1907"/>
        <item m="1" x="3298"/>
        <item m="1" x="3986"/>
        <item m="1" x="2349"/>
        <item m="1" x="3062"/>
        <item m="1" x="3161"/>
        <item m="1" x="1214"/>
        <item m="1" x="3908"/>
        <item m="1" x="1119"/>
        <item m="1" x="2997"/>
        <item m="1" x="1130"/>
        <item m="1" x="3667"/>
        <item m="1" x="2270"/>
        <item m="1" x="1507"/>
        <item m="1" x="1465"/>
        <item m="1" x="3479"/>
        <item m="1" x="1632"/>
        <item m="1" x="2279"/>
        <item m="1" x="1396"/>
        <item m="1" x="3786"/>
        <item m="1" x="1611"/>
        <item m="1" x="1387"/>
        <item m="1" x="1509"/>
        <item m="1" x="1766"/>
        <item m="1" x="1701"/>
        <item m="1" x="1862"/>
        <item m="1" x="2234"/>
        <item m="1" x="3363"/>
        <item m="1" x="1400"/>
        <item m="1" x="3779"/>
        <item m="1" x="3032"/>
        <item m="1" x="2171"/>
        <item m="1" x="1602"/>
        <item m="1" x="3889"/>
        <item m="1" x="2132"/>
        <item m="1" x="2666"/>
        <item m="1" x="3869"/>
        <item m="1" x="2690"/>
        <item m="1" x="3184"/>
        <item m="1" x="1338"/>
        <item m="1" x="1788"/>
        <item m="1" x="3618"/>
        <item m="1" x="3477"/>
        <item m="1" x="2623"/>
        <item m="1" x="1048"/>
        <item m="1" x="3552"/>
        <item m="1" x="2501"/>
        <item m="1" x="3946"/>
        <item m="1" x="3689"/>
        <item m="1" x="3816"/>
        <item m="1" x="1574"/>
        <item m="1" x="2057"/>
        <item m="1" x="3388"/>
        <item m="1" x="1075"/>
        <item m="1" x="2082"/>
        <item m="1" x="1440"/>
        <item m="1" x="3155"/>
        <item m="1" x="2899"/>
        <item m="1" x="1522"/>
        <item m="1" x="3627"/>
        <item m="1" x="3236"/>
        <item m="1" x="2255"/>
        <item m="1" x="2904"/>
        <item m="1" x="1617"/>
        <item m="1" x="3202"/>
        <item m="1" x="3295"/>
        <item m="1" x="1158"/>
        <item m="1" x="2398"/>
        <item m="1" x="2887"/>
        <item m="1" x="3638"/>
        <item m="1" x="3343"/>
        <item m="1" x="1333"/>
        <item m="1" x="3123"/>
        <item m="1" x="1827"/>
        <item m="1" x="1123"/>
        <item m="1" x="3912"/>
        <item m="1" x="3107"/>
        <item m="1" x="1731"/>
        <item m="1" x="1457"/>
        <item m="1" x="1501"/>
        <item m="1" x="3743"/>
        <item m="1" x="1135"/>
        <item m="1" x="1432"/>
        <item m="1" x="3583"/>
        <item m="1" x="1647"/>
        <item m="1" x="2504"/>
        <item m="1" x="3415"/>
        <item m="1" x="2634"/>
        <item m="1" x="3833"/>
        <item m="1" x="2008"/>
        <item m="1" x="1319"/>
        <item m="1" x="3595"/>
        <item m="1" x="2860"/>
        <item m="1" x="1200"/>
        <item m="1" x="3391"/>
        <item m="1" x="3903"/>
        <item m="1" x="2064"/>
        <item m="1" x="1255"/>
        <item m="1" x="1473"/>
        <item m="1" x="3642"/>
        <item m="1" x="1763"/>
        <item m="1" x="4073"/>
        <item m="1" x="3623"/>
        <item m="1" x="1366"/>
        <item m="1" x="3932"/>
        <item m="1" x="2900"/>
        <item m="1" x="1332"/>
        <item m="1" x="3029"/>
        <item m="1" x="2143"/>
        <item m="1" x="4138"/>
        <item m="1" x="2320"/>
        <item m="1" x="3114"/>
        <item m="1" x="2307"/>
        <item m="1" x="2442"/>
        <item m="1" x="1918"/>
        <item m="1" x="1063"/>
        <item m="1" x="3023"/>
        <item m="1" x="1346"/>
        <item m="1" x="2042"/>
        <item m="1" x="1492"/>
        <item m="1" x="3450"/>
        <item m="1" x="2036"/>
        <item m="1" x="2772"/>
        <item m="1" x="3531"/>
        <item m="1" x="3679"/>
        <item m="1" x="2682"/>
        <item m="1" x="4107"/>
        <item m="1" x="1887"/>
        <item m="1" x="1711"/>
        <item m="1" x="3432"/>
        <item m="1" x="3701"/>
        <item m="1" x="1950"/>
        <item m="1" x="3937"/>
        <item m="1" x="2282"/>
        <item m="1" x="1569"/>
        <item m="1" x="3175"/>
        <item m="1" x="1951"/>
        <item m="1" x="2403"/>
        <item m="1" x="1203"/>
        <item m="1" x="2706"/>
        <item m="1" x="3068"/>
        <item m="1" x="1212"/>
        <item m="1" x="2821"/>
        <item m="1" x="3836"/>
        <item m="1" x="3332"/>
        <item m="1" x="3148"/>
        <item m="1" x="2303"/>
        <item m="1" x="1494"/>
        <item m="1" x="2775"/>
        <item m="1" x="3758"/>
        <item m="1" x="3580"/>
        <item m="1" x="2272"/>
        <item m="1" x="2564"/>
        <item m="1" x="1483"/>
        <item m="1" x="2677"/>
        <item m="1" x="1556"/>
        <item m="1" x="3112"/>
        <item m="1" x="2555"/>
        <item m="1" x="3641"/>
        <item m="1" x="3842"/>
        <item m="1" x="2851"/>
        <item m="1" x="3713"/>
        <item m="1" x="1182"/>
        <item m="1" x="1288"/>
        <item m="1" x="3258"/>
        <item m="1" x="1679"/>
        <item m="1" x="1446"/>
        <item m="1" x="2790"/>
        <item m="1" x="1174"/>
        <item m="1" x="3508"/>
        <item m="1" x="3001"/>
        <item m="1" x="2006"/>
        <item m="1" x="1678"/>
        <item m="1" x="2832"/>
        <item m="1" x="3804"/>
        <item m="1" x="3592"/>
        <item m="1" x="3318"/>
        <item m="1" x="2238"/>
        <item m="1" x="3904"/>
        <item m="1" x="1199"/>
        <item m="1" x="1278"/>
        <item m="1" x="4054"/>
        <item m="1" x="3663"/>
        <item m="1" x="2176"/>
        <item m="1" x="3600"/>
        <item m="1" x="3793"/>
        <item m="1" x="1576"/>
        <item m="1" x="1503"/>
        <item m="1" x="2062"/>
        <item m="1" x="3457"/>
        <item m="1" x="3899"/>
        <item m="1" x="3611"/>
        <item m="1" x="2563"/>
        <item m="1" x="3916"/>
        <item m="1" x="1594"/>
        <item m="1" x="2527"/>
        <item m="1" x="1625"/>
        <item m="1" x="3577"/>
        <item m="1" x="3555"/>
        <item m="1" x="1587"/>
        <item m="1" x="2454"/>
        <item m="1" x="4047"/>
        <item m="1" x="1723"/>
        <item m="1" x="3576"/>
        <item m="1" x="2310"/>
        <item m="1" x="3195"/>
        <item m="1" x="2663"/>
        <item m="1" x="1761"/>
        <item m="1" x="3071"/>
        <item m="1" x="2450"/>
        <item m="1" x="1233"/>
        <item m="1" x="2990"/>
        <item m="1" x="3591"/>
        <item m="1" x="3826"/>
        <item m="1" x="1046"/>
        <item m="1" x="2816"/>
        <item m="1" x="4111"/>
        <item m="1" x="1055"/>
        <item m="1" x="2871"/>
        <item m="1" x="1131"/>
        <item m="1" x="3545"/>
        <item m="1" x="1555"/>
        <item m="1" x="3496"/>
        <item m="1" x="1839"/>
        <item m="1" x="3005"/>
        <item m="1" x="2949"/>
        <item m="1" x="3276"/>
        <item m="1" x="3333"/>
        <item m="1" x="2373"/>
        <item m="1" x="3798"/>
        <item m="1" x="1149"/>
        <item m="1" x="4025"/>
        <item m="1" x="3314"/>
        <item m="1" x="3306"/>
        <item m="1" x="3268"/>
        <item m="1" x="3049"/>
        <item m="1" x="1436"/>
        <item m="1" x="2033"/>
        <item m="1" x="1268"/>
        <item m="1" x="4048"/>
        <item m="1" x="1342"/>
        <item m="1" x="2131"/>
        <item m="1" x="1930"/>
        <item m="1" x="1385"/>
        <item m="1" x="3460"/>
        <item m="1" x="4083"/>
        <item m="1" x="3513"/>
        <item m="1" x="1837"/>
        <item m="1" x="3763"/>
        <item m="1" x="2120"/>
        <item m="1" x="1782"/>
        <item m="1" x="4124"/>
        <item m="1" x="3948"/>
        <item m="1" x="4103"/>
        <item m="1" x="1621"/>
        <item x="0"/>
        <item m="1" x="3726"/>
        <item m="1" x="3366"/>
        <item m="1" x="1187"/>
        <item m="1" x="3498"/>
        <item m="1" x="2748"/>
        <item m="1" x="3886"/>
        <item m="1" x="2873"/>
        <item m="1" x="3423"/>
        <item m="1" x="4118"/>
        <item m="1" x="2685"/>
        <item m="1" x="2015"/>
        <item m="1" x="3453"/>
        <item m="1" x="1068"/>
        <item m="1" x="3197"/>
        <item m="1" x="3297"/>
        <item m="1" x="1719"/>
        <item m="1" x="1481"/>
        <item m="1" x="3378"/>
        <item m="1" x="3742"/>
        <item m="1" x="2115"/>
        <item m="1" x="1074"/>
        <item m="1" x="2322"/>
        <item m="1" x="1983"/>
        <item m="1" x="3126"/>
        <item m="1" x="2002"/>
        <item m="1" x="4062"/>
        <item m="1" x="1528"/>
        <item m="1" x="2842"/>
        <item m="1" x="3646"/>
        <item m="1" x="1303"/>
        <item m="1" x="2273"/>
        <item m="1" x="3256"/>
        <item m="1" x="2655"/>
        <item m="1" x="2187"/>
        <item m="1" x="2541"/>
        <item m="1" x="1191"/>
        <item m="1" x="1884"/>
        <item m="1" x="3778"/>
        <item m="1" x="2721"/>
        <item m="1" x="2323"/>
        <item m="1" x="2921"/>
        <item m="1" x="2050"/>
        <item m="1" x="1595"/>
        <item m="1" x="2321"/>
        <item m="1" x="2598"/>
        <item m="1" x="2478"/>
        <item m="1" x="2302"/>
        <item m="1" x="1727"/>
        <item m="1" x="2517"/>
        <item m="1" x="3044"/>
        <item m="1" x="2656"/>
        <item m="1" x="3454"/>
        <item m="1" x="3998"/>
        <item m="1" x="2417"/>
        <item m="1" x="1056"/>
        <item m="1" x="2160"/>
        <item m="1" x="2203"/>
        <item m="1" x="3002"/>
        <item m="1" x="3207"/>
        <item m="1" x="3399"/>
        <item m="1" x="3503"/>
        <item m="1" x="3699"/>
        <item m="1" x="4021"/>
        <item m="1" x="3501"/>
        <item m="1" x="1613"/>
        <item m="1" x="2198"/>
        <item m="1" x="2558"/>
        <item m="1" x="3095"/>
        <item m="1" x="1829"/>
        <item m="1" x="2856"/>
        <item m="1" x="3035"/>
        <item m="1" x="2615"/>
        <item m="1" x="3774"/>
        <item m="1" x="1117"/>
        <item m="1" x="3622"/>
        <item m="1" x="2906"/>
        <item m="1" x="3464"/>
        <item m="1" x="1111"/>
        <item m="1" x="4100"/>
        <item m="1" x="2259"/>
        <item m="1" x="2895"/>
        <item m="1" x="1579"/>
        <item m="1" x="4076"/>
        <item m="1" x="2314"/>
        <item m="1" x="2542"/>
        <item m="1" x="1901"/>
        <item m="1" x="2931"/>
        <item m="1" x="2142"/>
        <item m="1" x="4129"/>
        <item m="1" x="2572"/>
        <item m="1" x="3424"/>
        <item m="1" x="3606"/>
        <item m="1" x="2252"/>
        <item m="1" x="2126"/>
        <item m="1" x="1112"/>
        <item m="1" x="1047"/>
        <item m="1" x="3515"/>
        <item m="1" x="3636"/>
        <item m="1" x="2457"/>
        <item m="1" x="3185"/>
        <item m="1" x="1605"/>
        <item m="1" x="2192"/>
        <item m="1" x="2105"/>
        <item m="1" x="1768"/>
        <item m="1" x="3584"/>
        <item m="1" x="2256"/>
        <item m="1" x="2589"/>
        <item m="1" x="2814"/>
        <item m="1" x="3495"/>
        <item m="1" x="3994"/>
        <item m="1" x="3754"/>
        <item m="1" x="3401"/>
        <item m="1" x="1919"/>
        <item m="1" x="4052"/>
        <item m="1" x="3526"/>
        <item m="1" x="2789"/>
        <item m="1" x="1469"/>
        <item m="1" x="1740"/>
        <item m="1" x="1624"/>
        <item m="1" x="2995"/>
        <item m="1" x="3237"/>
        <item m="1" x="3264"/>
        <item m="1" x="3556"/>
        <item m="1" x="2172"/>
        <item m="1" x="1386"/>
        <item m="1" x="2212"/>
        <item m="1" x="3601"/>
        <item m="1" x="1474"/>
        <item m="1" x="1168"/>
        <item m="1" x="1053"/>
        <item m="1" x="3516"/>
        <item m="1" x="2124"/>
        <item m="1" x="2582"/>
        <item m="1" x="2708"/>
        <item m="1" x="3596"/>
        <item m="1" x="2473"/>
        <item m="1" x="3863"/>
        <item m="1" x="1428"/>
        <item m="1" x="3635"/>
        <item m="1" x="1963"/>
        <item m="1" x="1250"/>
        <item m="1" x="3086"/>
        <item m="1" x="3575"/>
        <item m="1" x="2824"/>
        <item m="1" x="2886"/>
        <item m="1" x="1629"/>
        <item m="1" x="1458"/>
        <item m="1" x="1885"/>
        <item m="1" x="4003"/>
        <item m="1" x="4132"/>
        <item m="1" x="3054"/>
        <item m="1" x="1554"/>
        <item m="1" x="2679"/>
        <item m="1" x="4133"/>
        <item m="1" x="2470"/>
        <item m="1" x="1491"/>
        <item m="1" x="3536"/>
        <item m="1" x="1217"/>
        <item m="1" x="3348"/>
        <item m="1" x="2837"/>
        <item m="1" x="2956"/>
        <item m="1" x="2531"/>
        <item m="1" x="2898"/>
        <item m="1" x="1741"/>
        <item m="1" x="2012"/>
        <item m="1" x="3493"/>
        <item m="1" x="2714"/>
        <item m="1" x="2859"/>
        <item m="1" x="2613"/>
        <item m="1" x="1842"/>
        <item m="1" x="2687"/>
        <item m="1" x="1493"/>
        <item m="1" x="1245"/>
        <item m="1" x="2005"/>
        <item m="1" x="1351"/>
        <item m="1" x="1832"/>
        <item m="1" x="1271"/>
        <item m="1" x="1488"/>
        <item m="1" x="2004"/>
        <item m="1" x="1525"/>
        <item m="1" x="2638"/>
        <item m="1" x="1361"/>
        <item m="1" x="1713"/>
        <item m="1" x="1964"/>
        <item m="1" x="3981"/>
        <item m="1" x="3873"/>
        <item m="1" x="2148"/>
        <item m="1" x="1083"/>
        <item m="1" x="1377"/>
        <item m="1" x="2590"/>
        <item m="1" x="2776"/>
        <item m="1" x="2609"/>
        <item m="1" x="2729"/>
        <item m="1" x="1234"/>
        <item m="1" x="2325"/>
        <item m="1" x="2247"/>
        <item m="1" x="2662"/>
        <item m="1" x="1830"/>
        <item m="1" x="1767"/>
        <item m="1" x="1408"/>
        <item m="1" x="3465"/>
        <item m="1" x="1873"/>
        <item m="1" x="3320"/>
        <item m="1" x="2340"/>
        <item m="1" x="2549"/>
        <item m="1" x="2797"/>
        <item m="1" x="2315"/>
        <item m="1" x="3752"/>
        <item m="1" x="1922"/>
        <item m="1" x="2676"/>
        <item m="1" x="2640"/>
        <item m="1" x="3216"/>
        <item m="1" x="2720"/>
        <item m="1" x="1293"/>
        <item m="1" x="3070"/>
        <item m="1" x="2049"/>
        <item m="1" x="2695"/>
        <item m="1" x="1329"/>
        <item m="1" x="3707"/>
        <item m="1" x="3228"/>
        <item m="1" x="1301"/>
        <item m="1" x="1600"/>
        <item m="1" x="1642"/>
        <item m="1" x="3145"/>
        <item m="1" x="1532"/>
        <item m="1" x="1506"/>
        <item m="1" x="1390"/>
        <item m="1" x="1663"/>
        <item m="1" x="3400"/>
        <item m="1" x="1669"/>
        <item m="1" x="3159"/>
        <item m="1" x="1517"/>
        <item m="1" x="2158"/>
        <item m="1" x="2678"/>
        <item m="1" x="1583"/>
        <item m="1" x="2966"/>
        <item m="1" x="2283"/>
        <item m="1" x="2651"/>
        <item m="1" x="2942"/>
        <item m="1" x="2195"/>
        <item m="1" x="1999"/>
        <item m="1" x="3568"/>
        <item m="1" x="3648"/>
        <item m="1" x="3746"/>
        <item m="1" x="2628"/>
        <item m="1" x="4078"/>
        <item m="1" x="2201"/>
        <item m="1" x="3335"/>
        <item m="1" x="2209"/>
        <item m="1" x="3485"/>
        <item m="1" x="1622"/>
        <item m="1" x="2681"/>
        <item m="1" x="2802"/>
        <item m="1" x="2190"/>
        <item m="1" x="2911"/>
        <item m="1" x="2512"/>
        <item m="1" x="3626"/>
        <item m="1" x="1772"/>
        <item m="1" x="3739"/>
        <item m="1" x="1261"/>
        <item m="1" x="1383"/>
        <item m="1" x="3874"/>
        <item m="1" x="2861"/>
        <item m="1" x="3640"/>
        <item m="1" x="1477"/>
        <item m="1" x="1935"/>
        <item m="1" x="2030"/>
        <item m="1" x="1381"/>
        <item m="1" x="2375"/>
        <item m="1" x="2022"/>
        <item m="1" x="1331"/>
        <item m="1" x="1407"/>
        <item m="1" x="1160"/>
        <item m="1" x="1967"/>
        <item m="1" x="2258"/>
        <item m="1" x="4114"/>
        <item m="1" x="3734"/>
        <item m="1" x="3820"/>
        <item m="1" x="3217"/>
        <item m="1" x="2977"/>
        <item m="1" x="2587"/>
        <item m="1" x="3524"/>
        <item m="1" x="3749"/>
        <item m="1" x="1204"/>
        <item m="1" x="3325"/>
        <item m="1" x="3614"/>
        <item m="1" x="3708"/>
        <item m="1" x="2700"/>
        <item m="1" x="3494"/>
        <item m="1" x="1504"/>
        <item m="1" x="1094"/>
        <item m="1" x="3285"/>
        <item m="1" x="2285"/>
        <item m="1" x="1620"/>
        <item m="1" x="1815"/>
        <item m="1" x="4106"/>
        <item m="1" x="2394"/>
        <item m="1" x="3987"/>
        <item m="1" x="3512"/>
        <item m="1" x="1649"/>
        <item m="1" x="2358"/>
        <item m="1" x="1076"/>
        <item m="1" x="1909"/>
        <item m="1" x="2175"/>
        <item m="1" x="3381"/>
        <item m="1" x="3970"/>
        <item m="1" x="1976"/>
        <item m="1" x="1756"/>
        <item m="1" x="1936"/>
        <item m="1" x="1993"/>
        <item m="1" x="1167"/>
        <item m="1" x="3608"/>
        <item m="1" x="2233"/>
        <item m="1" x="1320"/>
        <item m="1" x="1739"/>
        <item m="1" x="3168"/>
        <item m="1" x="2822"/>
        <item m="1" x="2066"/>
        <item m="1" x="2986"/>
        <item m="1" x="2242"/>
        <item m="1" x="2265"/>
        <item m="1" x="2214"/>
        <item m="1" x="2079"/>
        <item m="1" x="2932"/>
        <item m="1" x="1340"/>
        <item m="1" x="3765"/>
        <item m="1" x="1464"/>
        <item m="1" x="3165"/>
        <item m="1" x="2334"/>
        <item m="1" x="3783"/>
        <item m="1" x="2312"/>
        <item m="1" x="3706"/>
        <item m="1" x="2286"/>
        <item m="1" x="1606"/>
        <item m="1" x="1147"/>
        <item m="1" x="1058"/>
        <item m="1" x="2815"/>
        <item m="1" x="3311"/>
        <item m="1" x="3257"/>
        <item m="1" x="3658"/>
        <item m="1" x="2934"/>
        <item m="1" x="2481"/>
        <item m="1" x="3807"/>
        <item m="1" x="3014"/>
        <item m="1" x="1652"/>
        <item m="1" x="2153"/>
        <item m="1" x="3210"/>
        <item m="1" x="1991"/>
        <item m="1" x="2691"/>
        <item m="1" x="3304"/>
        <item m="1" x="3945"/>
        <item m="1" x="1409"/>
        <item m="1" x="1421"/>
        <item m="1" x="4112"/>
        <item m="1" x="1680"/>
        <item m="1" x="1994"/>
        <item m="1" x="3673"/>
        <item m="1" x="3467"/>
        <item m="1" x="2413"/>
        <item m="1" x="3273"/>
        <item m="1" x="3741"/>
        <item m="1" x="1435"/>
        <item m="1" x="3558"/>
        <item m="1" x="4134"/>
        <item m="1" x="2138"/>
        <item m="1" x="2543"/>
        <item m="1" x="1372"/>
        <item m="1" x="3329"/>
        <item m="1" x="2924"/>
        <item m="1" x="3852"/>
        <item m="1" x="1691"/>
        <item m="1" x="4055"/>
        <item m="1" x="1808"/>
        <item m="1" x="2352"/>
        <item m="1" x="1285"/>
        <item m="1" x="3390"/>
        <item m="1" x="1637"/>
        <item m="1" x="2730"/>
        <item m="1" x="3542"/>
        <item m="1" x="1399"/>
        <item m="1" x="3854"/>
        <item m="1" x="3048"/>
        <item m="1" x="3901"/>
        <item m="1" x="1563"/>
        <item m="1" x="1185"/>
        <item m="1" x="3924"/>
        <item m="1" x="2443"/>
        <item m="1" x="3043"/>
        <item m="1" x="1645"/>
        <item m="1" x="2739"/>
        <item m="1" x="3192"/>
        <item m="1" x="2581"/>
        <item m="1" x="2193"/>
        <item m="1" x="3286"/>
        <item m="1" x="3141"/>
        <item m="1" x="2500"/>
        <item m="1" x="3230"/>
        <item m="1" x="2636"/>
        <item m="1" x="3862"/>
        <item m="1" x="2059"/>
        <item m="1" x="2299"/>
        <item m="1" x="1323"/>
        <item m="1" x="2710"/>
        <item m="1" x="1090"/>
        <item m="1" x="1565"/>
        <item m="1" x="2583"/>
        <item m="1" x="3087"/>
        <item m="1" x="1667"/>
        <item m="1" x="2726"/>
        <item m="1" x="1489"/>
        <item m="1" x="1240"/>
        <item m="1" x="2597"/>
        <item m="1" x="2393"/>
        <item m="1" x="1122"/>
        <item m="1" x="4127"/>
        <item m="1" x="4131"/>
        <item m="1" x="3446"/>
        <item m="1" x="1683"/>
        <item m="1" x="3066"/>
        <item m="1" x="1308"/>
        <item m="1" x="3654"/>
        <item m="1" x="3345"/>
        <item m="1" x="3110"/>
        <item m="1" x="2707"/>
        <item m="1" x="2723"/>
        <item m="1" x="2081"/>
        <item m="1" x="3760"/>
        <item m="1" x="2930"/>
        <item m="1" x="3664"/>
        <item m="1" x="3470"/>
        <item m="1" x="2181"/>
        <item m="1" x="3219"/>
        <item m="1" x="3858"/>
        <item m="1" x="3657"/>
        <item m="1" x="2692"/>
        <item m="1" x="3430"/>
        <item m="1" x="1968"/>
        <item m="1" x="2619"/>
        <item m="1" x="3170"/>
        <item m="1" x="1305"/>
        <item m="1" x="2163"/>
        <item m="1" x="2511"/>
        <item m="1" x="3036"/>
        <item m="1" x="2026"/>
        <item m="1" x="3176"/>
        <item m="1" x="3533"/>
        <item m="1" x="4097"/>
        <item m="1" x="1072"/>
        <item m="1" x="3702"/>
        <item m="1" x="1103"/>
        <item m="1" x="1417"/>
        <item m="1" x="1098"/>
        <item m="1" x="3659"/>
        <item m="1" x="4081"/>
        <item m="1" x="3676"/>
        <item m="1" x="2820"/>
        <item m="1" x="2136"/>
        <item m="1" x="2395"/>
        <item m="1" x="1475"/>
        <item m="1" x="1321"/>
        <item m="1" x="1811"/>
        <item m="1" x="2436"/>
        <item m="1" x="2760"/>
        <item m="1" x="1374"/>
        <item m="1" x="1568"/>
        <item m="1" x="2579"/>
        <item m="1" x="3356"/>
        <item m="1" x="2664"/>
        <item m="1" x="1364"/>
        <item m="1" x="3227"/>
        <item m="1" x="3735"/>
        <item m="1" x="2483"/>
        <item m="1" x="3322"/>
        <item m="1" x="2984"/>
        <item m="1" x="2088"/>
        <item m="1" x="3015"/>
        <item m="1" x="2071"/>
        <item m="1" x="1697"/>
        <item m="1" x="1787"/>
        <item m="1" x="1597"/>
        <item m="1" x="2054"/>
        <item m="1" x="2378"/>
        <item m="1" x="2601"/>
        <item m="1" x="1445"/>
        <item m="1" x="2089"/>
        <item m="1" x="4068"/>
        <item m="1" x="3764"/>
        <item m="1" x="2383"/>
        <item m="1" x="3447"/>
        <item m="1" x="1630"/>
        <item m="1" x="2741"/>
        <item m="1" x="2222"/>
        <item m="1" x="3770"/>
        <item m="1" x="3287"/>
        <item m="1" x="1696"/>
        <item m="1" x="1851"/>
        <item m="1" x="3975"/>
        <item m="1" x="2155"/>
        <item m="1" x="1866"/>
        <item m="1" x="1698"/>
        <item m="1" x="1627"/>
        <item m="1" x="2053"/>
        <item m="1" x="3359"/>
        <item m="1" x="2585"/>
        <item m="1" x="1066"/>
        <item m="1" x="3398"/>
        <item m="1" x="2611"/>
        <item m="1" x="1197"/>
        <item m="1" x="4002"/>
        <item m="1" x="3482"/>
        <item m="1" x="3993"/>
        <item m="1" x="1656"/>
        <item m="1" x="2884"/>
        <item m="1" x="2456"/>
        <item m="1" x="1521"/>
        <item m="1" x="2750"/>
        <item m="1" x="2479"/>
        <item m="1" x="3892"/>
        <item m="1" x="1775"/>
        <item m="1" x="1893"/>
        <item m="1" x="2825"/>
        <item m="1" x="3947"/>
        <item m="1" x="3266"/>
        <item m="1" x="2162"/>
        <item m="1" x="1730"/>
        <item m="1" x="1356"/>
        <item m="1" x="1157"/>
        <item m="1" x="3697"/>
        <item m="1" x="1810"/>
        <item m="1" x="4039"/>
        <item m="1" x="3651"/>
        <item m="1" x="3971"/>
        <item m="1" x="2432"/>
        <item m="1" x="3251"/>
        <item m="1" x="2379"/>
        <item m="1" x="3625"/>
        <item m="1" x="1854"/>
        <item m="1" x="1551"/>
        <item m="1" x="1162"/>
        <item m="1" x="1252"/>
        <item m="1" x="3860"/>
        <item m="1" x="3143"/>
        <item m="1" x="3690"/>
        <item m="1" x="2523"/>
        <item m="1" x="1571"/>
        <item m="1" x="3954"/>
        <item m="1" x="2267"/>
        <item m="1" x="1564"/>
        <item m="1" x="1972"/>
        <item m="1" x="3818"/>
        <item m="1" x="1148"/>
        <item m="1" x="2908"/>
        <item m="1" x="3127"/>
        <item m="1" x="4046"/>
        <item m="1" x="3422"/>
        <item m="1" x="3097"/>
        <item m="1" x="2569"/>
        <item m="1" x="3521"/>
        <item m="1" x="1644"/>
        <item m="1" x="1482"/>
        <item m="1" x="1218"/>
        <item m="1" x="2028"/>
        <item m="1" x="3621"/>
        <item m="1" x="4042"/>
        <item m="1" x="2278"/>
        <item m="1" x="1050"/>
        <item m="1" x="3915"/>
        <item m="1" x="1175"/>
        <item m="1" x="2438"/>
        <item m="1" x="2538"/>
        <item m="1" x="3397"/>
        <item m="1" x="2910"/>
        <item m="1" x="4031"/>
        <item m="1" x="2127"/>
        <item m="1" x="3162"/>
        <item m="1" x="3757"/>
        <item m="1" x="3939"/>
        <item m="1" x="1891"/>
        <item m="1" x="2433"/>
        <item m="1" x="1141"/>
        <item m="1" x="3353"/>
        <item m="1" x="3073"/>
        <item m="1" x="3920"/>
        <item m="1" x="2632"/>
        <item m="1" x="1281"/>
        <item m="1" x="2566"/>
        <item m="1" x="3455"/>
        <item m="1" x="2732"/>
        <item m="1" x="2376"/>
        <item m="1" x="4094"/>
        <item m="1" x="1104"/>
        <item m="1" x="4063"/>
        <item m="1" x="1809"/>
        <item m="1" x="1357"/>
        <item m="1" x="2389"/>
        <item m="1" x="2271"/>
        <item m="1" x="3572"/>
        <item m="1" x="3349"/>
        <item m="1" x="3307"/>
        <item m="1" x="3605"/>
        <item m="1" x="3342"/>
        <item m="1" x="1970"/>
        <item m="1" x="2740"/>
        <item m="1" x="2524"/>
        <item m="1" x="3492"/>
        <item m="1" x="3213"/>
        <item m="1" x="1170"/>
        <item m="1" x="3776"/>
        <item m="1" x="3340"/>
        <item m="1" x="2336"/>
        <item m="1" x="1277"/>
        <item m="1" x="2377"/>
        <item m="1" x="3744"/>
        <item m="1" x="2186"/>
        <item m="1" x="3942"/>
        <item m="1" x="2427"/>
        <item m="1" x="1079"/>
        <item m="1" x="2459"/>
        <item m="1" x="1486"/>
        <item m="1" x="4135"/>
        <item m="1" x="2573"/>
        <item m="1" x="3825"/>
        <item m="1" x="3158"/>
        <item m="1" x="1820"/>
        <item m="1" x="3917"/>
        <item m="1" x="3943"/>
        <item m="1" x="3518"/>
        <item m="1" x="1414"/>
        <item m="1" x="3887"/>
        <item m="1" x="2196"/>
        <item m="1" x="3302"/>
        <item m="1" x="3727"/>
        <item m="1" x="1091"/>
        <item m="1" x="3245"/>
        <item m="1" x="1348"/>
        <item m="1" x="3893"/>
        <item m="1" x="1633"/>
        <item m="1" x="3261"/>
        <item m="1" x="3544"/>
        <item m="1" x="3594"/>
        <item m="1" x="1609"/>
        <item m="1" x="2011"/>
        <item m="1" x="2642"/>
        <item m="1" x="1923"/>
        <item m="1" x="2588"/>
        <item m="1" x="3406"/>
        <item m="1" x="1920"/>
        <item m="1" x="2520"/>
        <item m="1" x="3530"/>
        <item m="1" x="3093"/>
        <item m="1" x="1259"/>
        <item m="1" x="3686"/>
        <item m="1" x="2763"/>
        <item m="1" x="4006"/>
        <item m="1" x="3389"/>
        <item m="1" x="1109"/>
        <item m="1" x="2878"/>
        <item m="1" x="2996"/>
        <item m="1" x="1709"/>
        <item m="1" x="3212"/>
        <item m="1" x="1651"/>
        <item m="1" x="2521"/>
        <item m="1" x="3972"/>
        <item m="1" x="1759"/>
        <item m="1" x="1812"/>
        <item m="1" x="3748"/>
        <item m="1" x="2068"/>
        <item m="1" x="1230"/>
        <item m="1" x="2430"/>
        <item m="1" x="2513"/>
        <item m="1" x="3910"/>
        <item m="1" x="3722"/>
        <item m="1" x="3812"/>
        <item m="1" x="3104"/>
        <item m="1" x="1210"/>
        <item m="1" x="1442"/>
        <item m="1" x="2351"/>
        <item m="1" x="3429"/>
        <item m="1" x="3491"/>
        <item m="1" x="1209"/>
        <item m="1" x="3003"/>
        <item m="1" x="3362"/>
        <item m="1" x="1194"/>
        <item m="1" x="3960"/>
        <item m="1" x="2319"/>
        <item m="1" x="2410"/>
        <item m="1" x="3111"/>
        <item m="1" x="2959"/>
        <item m="1" x="3105"/>
        <item m="1" x="1537"/>
        <item m="1" x="2653"/>
        <item m="1" x="3815"/>
        <item m="1" x="3961"/>
        <item m="1" x="2460"/>
        <item m="1" x="3267"/>
        <item m="1" x="3292"/>
        <item m="1" x="2844"/>
        <item m="1" x="3857"/>
        <item m="1" x="1746"/>
        <item m="1" x="3510"/>
        <item m="1" x="2550"/>
        <item m="1" x="1215"/>
        <item m="1" x="1946"/>
        <item m="1" x="1558"/>
        <item m="1" x="3777"/>
        <item m="1" x="3468"/>
        <item m="1" x="3478"/>
        <item m="1" x="1948"/>
        <item m="1" x="2341"/>
        <item m="1" x="2808"/>
        <item m="1" x="1077"/>
        <item m="1" x="1463"/>
        <item m="1" x="2920"/>
        <item m="1" x="1067"/>
        <item m="1" x="1745"/>
        <item m="1" x="1127"/>
        <item m="1" x="1449"/>
        <item m="1" x="1518"/>
        <item m="1" x="3589"/>
        <item m="1" x="1931"/>
        <item m="1" x="3897"/>
        <item m="1" x="1156"/>
        <item m="1" x="1618"/>
        <item m="1" x="2236"/>
        <item m="1" x="3619"/>
        <item m="1" x="1129"/>
        <item m="1" x="1941"/>
        <item m="1" x="3243"/>
        <item m="1" x="2116"/>
        <item m="1" x="3671"/>
        <item m="1" x="1562"/>
        <item m="1" x="3896"/>
        <item m="1" x="3231"/>
        <item m="1" x="3590"/>
        <item m="1" x="2371"/>
        <item m="1" x="2386"/>
        <item m="1" x="3301"/>
        <item m="1" x="1877"/>
        <item m="1" x="2778"/>
        <item m="1" x="2725"/>
        <item m="1" x="1370"/>
        <item m="1" x="2465"/>
        <item m="1" x="1905"/>
        <item m="1" x="1844"/>
        <item m="1" x="1779"/>
        <item m="1" x="3974"/>
        <item m="1" x="3270"/>
        <item m="1" x="2806"/>
        <item m="1" x="1227"/>
        <item m="1" x="1433"/>
        <item m="1" x="2759"/>
        <item m="1" x="3890"/>
        <item m="1" x="3581"/>
        <item m="1" x="4102"/>
        <item m="1" x="3811"/>
        <item m="1" x="2864"/>
        <item m="1" x="4051"/>
        <item m="1" x="3211"/>
        <item m="1" x="2948"/>
        <item m="1" x="3553"/>
        <item m="1" x="1095"/>
        <item m="1" x="1926"/>
        <item m="1" x="1874"/>
        <item m="1" x="2807"/>
        <item m="1" x="4026"/>
        <item m="1" x="2330"/>
        <item m="1" x="1875"/>
        <item m="1" x="3009"/>
        <item m="1" x="2318"/>
        <item m="1" x="2983"/>
        <item m="1" x="1857"/>
        <item m="1" x="3157"/>
        <item m="1" x="3274"/>
        <item m="1" x="2901"/>
        <item m="1" x="1744"/>
        <item m="1" x="3106"/>
        <item m="1" x="3724"/>
        <item m="1" x="2907"/>
        <item m="1" x="1455"/>
        <item m="1" x="1207"/>
        <item m="1" x="3458"/>
        <item m="1" x="3560"/>
        <item m="1" x="4117"/>
        <item m="1" x="1418"/>
        <item m="1" x="2313"/>
        <item m="1" x="3016"/>
        <item m="1" x="2032"/>
        <item m="1" x="2207"/>
        <item m="1" x="2936"/>
        <item m="1" x="2344"/>
        <item m="1" x="3239"/>
        <item m="1" x="1223"/>
        <item m="1" x="2529"/>
        <item m="1" x="3317"/>
        <item m="1" x="1721"/>
        <item m="1" x="2289"/>
        <item m="1" x="3309"/>
        <item m="1" x="1733"/>
        <item m="1" x="3788"/>
        <item m="1" x="3745"/>
        <item m="1" x="2014"/>
        <item m="1" x="3279"/>
        <item m="1" x="3201"/>
        <item m="1" x="3900"/>
        <item m="1" x="3546"/>
        <item m="1" x="4075"/>
        <item m="1" x="2343"/>
        <item m="1" x="3838"/>
        <item m="1" x="2976"/>
        <item m="1" x="1369"/>
        <item m="1" x="1146"/>
        <item m="1" x="3936"/>
        <item m="1" x="1974"/>
        <item m="1" x="2717"/>
        <item m="1" x="1526"/>
        <item m="1" x="3703"/>
        <item m="1" x="2408"/>
        <item m="1" x="2328"/>
        <item m="1" x="2935"/>
        <item m="1" x="2156"/>
        <item m="1" x="1071"/>
        <item m="1" x="3878"/>
        <item m="1" x="2866"/>
        <item m="1" x="2305"/>
        <item m="1" x="2249"/>
        <item m="1" x="3050"/>
        <item m="1" x="2845"/>
        <item m="1" x="2113"/>
        <item m="1" x="3809"/>
        <item m="1" x="2391"/>
        <item m="1" x="3585"/>
        <item m="1" x="3709"/>
        <item m="1" x="1451"/>
        <item m="1" x="2149"/>
        <item m="1" x="4035"/>
        <item m="1" x="1231"/>
        <item m="1" x="3810"/>
        <item m="1" x="1137"/>
        <item m="1" x="1757"/>
        <item m="1" x="1819"/>
        <item m="1" x="2829"/>
        <item m="1" x="1282"/>
        <item m="1" x="1988"/>
        <item m="1" x="3668"/>
        <item m="1" x="2916"/>
        <item m="1" x="3789"/>
        <item m="1" x="2350"/>
        <item m="1" x="2952"/>
        <item m="1" x="1969"/>
        <item m="1" x="3660"/>
        <item m="1" x="2890"/>
        <item m="1" x="2547"/>
        <item m="1" x="3500"/>
        <item m="1" x="2557"/>
        <item m="1" x="1389"/>
        <item m="1" x="2697"/>
        <item m="1" x="1514"/>
        <item m="1" x="2480"/>
        <item m="1" x="2476"/>
        <item m="1" x="3281"/>
        <item m="1" x="3655"/>
        <item m="1" x="1145"/>
        <item m="1" x="2551"/>
        <item m="1" x="3341"/>
        <item m="1" x="3205"/>
        <item m="1" x="1419"/>
        <item m="1" x="1539"/>
        <item m="1" x="1183"/>
        <item m="1" x="2228"/>
        <item m="1" x="2919"/>
        <item m="1" x="2704"/>
        <item m="1" x="2231"/>
        <item m="1" x="1347"/>
        <item m="1" x="2680"/>
        <item m="1" x="2643"/>
        <item m="1" x="2783"/>
        <item m="1" x="1302"/>
        <item m="1" x="3427"/>
        <item m="1" x="3459"/>
        <item m="1" x="2280"/>
        <item m="1" x="1198"/>
        <item m="1" x="1244"/>
        <item m="1" x="1270"/>
        <item m="1" x="1567"/>
        <item m="1" x="2494"/>
        <item m="1" x="3561"/>
        <item m="1" x="3612"/>
        <item m="1" x="2025"/>
        <item m="1" x="3578"/>
        <item m="1" x="3364"/>
        <item m="1" x="3425"/>
        <item m="1" x="2608"/>
        <item m="1" x="2672"/>
        <item m="1" x="3240"/>
        <item m="1" x="1544"/>
        <item m="1" x="2067"/>
        <item m="1" x="2237"/>
        <item m="1" x="1784"/>
        <item m="1" x="1186"/>
        <item m="1" x="4007"/>
        <item m="1" x="3615"/>
        <item m="1" x="3487"/>
        <item m="1" x="1960"/>
        <item m="1" x="3152"/>
        <item m="1" x="2426"/>
        <item m="1" x="2023"/>
        <item m="1" x="1192"/>
        <item m="1" x="3835"/>
        <item m="1" x="3821"/>
        <item m="1" x="2879"/>
        <item m="1" x="2618"/>
        <item m="1" x="4041"/>
        <item m="1" x="1765"/>
        <item m="1" x="3913"/>
        <item m="1" x="1086"/>
        <item m="1" x="2847"/>
        <item m="1" x="1672"/>
        <item m="1" x="2221"/>
        <item m="1" x="2963"/>
        <item m="1" x="3254"/>
        <item m="1" x="3034"/>
        <item m="1" x="1461"/>
        <item m="1" x="2929"/>
        <item m="1" x="1416"/>
        <item m="1" x="1684"/>
        <item m="1" x="2661"/>
        <item m="1" x="4019"/>
        <item m="1" x="2487"/>
        <item m="1" x="1505"/>
        <item m="1" x="3052"/>
        <item m="1" x="2205"/>
        <item m="1" x="2670"/>
        <item m="1" x="2296"/>
        <item m="1" x="1201"/>
        <item m="1" x="3784"/>
        <item m="1" x="3024"/>
        <item m="1" x="2184"/>
        <item m="1" x="1906"/>
        <item m="1" x="1181"/>
        <item m="1" x="1703"/>
        <item m="1" x="2639"/>
        <item m="1" x="2637"/>
        <item m="1" x="1943"/>
        <item m="1" x="1345"/>
        <item m="1" x="2641"/>
        <item m="1" x="1069"/>
        <item m="1" x="3089"/>
        <item m="1" x="3069"/>
        <item m="1" x="3698"/>
        <item m="1" x="4040"/>
        <item m="1" x="2626"/>
        <item m="1" x="4074"/>
        <item m="1" x="1382"/>
        <item m="1" x="2939"/>
        <item m="1" x="1062"/>
        <item m="1" x="1865"/>
        <item m="1" x="3940"/>
        <item m="1" x="3365"/>
        <item m="1" x="1592"/>
        <item m="1" x="1115"/>
        <item m="1" x="2701"/>
        <item m="1" x="2848"/>
        <item m="1" x="4053"/>
        <item m="1" x="1224"/>
        <item m="1" x="3716"/>
        <item m="1" x="1973"/>
        <item m="1" x="2224"/>
        <item m="1" x="1495"/>
        <item m="1" x="2178"/>
        <item m="1" x="1725"/>
        <item m="1" x="3909"/>
        <item m="1" x="3414"/>
        <item m="1" x="1330"/>
        <item m="1" x="4016"/>
        <item m="1" x="1929"/>
        <item m="1" x="3925"/>
        <item m="1" x="3505"/>
        <item m="1" x="2284"/>
        <item m="1" x="3824"/>
        <item m="1" x="3962"/>
        <item m="1" x="3982"/>
        <item m="1" x="3604"/>
        <item m="1" x="3357"/>
        <item m="1" x="1952"/>
        <item m="1" x="2274"/>
        <item m="1" x="2309"/>
        <item m="1" x="2421"/>
        <item m="1" x="3548"/>
        <item m="1" x="3949"/>
        <item m="1" x="3532"/>
        <item m="1" x="1588"/>
        <item m="1" x="2533"/>
        <item m="1" x="2548"/>
        <item m="1" x="2736"/>
        <item m="1" x="1955"/>
        <item m="1" x="3367"/>
        <item m="1" x="1985"/>
        <item m="1" x="3669"/>
        <item m="1" x="3649"/>
        <item m="1" x="2746"/>
        <item m="1" x="3535"/>
        <item m="1" x="2998"/>
        <item m="1" x="2877"/>
        <item m="1" x="3855"/>
        <item m="1" x="3229"/>
        <item m="1" x="2946"/>
        <item m="1" x="2108"/>
        <item m="1" x="1257"/>
        <item m="1" x="1313"/>
        <item m="1" x="3950"/>
        <item m="1" x="2152"/>
        <item m="1" x="1468"/>
        <item m="1" x="2134"/>
        <item m="1" x="3189"/>
        <item m="1" x="2667"/>
        <item m="1" x="1581"/>
        <item m="1" x="2177"/>
        <item m="1" x="2491"/>
        <item m="1" x="1570"/>
        <item m="1" x="3562"/>
        <item m="1" x="2781"/>
        <item m="1" x="2812"/>
        <item m="1" x="2492"/>
        <item m="1" x="1980"/>
        <item m="1" x="2486"/>
        <item m="1" x="3822"/>
        <item m="1" x="3692"/>
        <item m="1" x="3714"/>
        <item m="1" x="1444"/>
        <item m="1" x="3588"/>
        <item m="1" x="2777"/>
        <item m="1" x="3729"/>
        <item m="1" x="3102"/>
        <item m="1" x="1628"/>
        <item m="1" x="3151"/>
        <item m="1" x="4023"/>
        <item m="1" x="1608"/>
        <item m="1" x="1965"/>
        <item m="1" x="3554"/>
        <item m="1" x="3293"/>
        <item m="1" x="1798"/>
        <item m="1" x="2348"/>
        <item m="1" x="1880"/>
        <item m="1" x="3346"/>
        <item m="1" x="1398"/>
        <item m="1" x="3373"/>
        <item m="1" x="2536"/>
        <item m="1" x="1899"/>
        <item m="1" x="3480"/>
        <item m="1" x="1596"/>
        <item m="1" x="1318"/>
        <item m="1" x="3045"/>
        <item m="1" x="3160"/>
        <item m="1" x="2363"/>
        <item m="1" x="2560"/>
        <item m="1" x="3462"/>
        <item m="1" x="1878"/>
        <item m="1" x="1275"/>
        <item m="1" x="3431"/>
        <item m="1" x="3255"/>
        <item m="1" x="4099"/>
        <item m="1" x="2090"/>
        <item m="1" x="1426"/>
        <item m="1" x="1049"/>
        <item m="1" x="3931"/>
        <item m="1" x="2647"/>
        <item m="1" x="3762"/>
        <item m="1" x="3541"/>
        <item m="1" x="1598"/>
        <item m="1" x="1886"/>
        <item m="1" x="1914"/>
        <item m="1" x="2865"/>
        <item m="1" x="2770"/>
        <item m="1" x="1328"/>
        <item m="1" x="2173"/>
        <item m="1" x="2526"/>
        <item m="1" x="2788"/>
        <item m="1" x="2872"/>
        <item m="1" x="2174"/>
        <item m="1" x="3131"/>
        <item m="1" x="1754"/>
        <item m="1" x="2734"/>
        <item m="1" x="2316"/>
        <item m="1" x="3055"/>
        <item m="1" x="1120"/>
        <item m="1" x="4024"/>
        <item m="1" x="3906"/>
        <item m="1" x="1403"/>
        <item m="1" x="2658"/>
        <item m="1" x="1610"/>
        <item m="1" x="1222"/>
        <item m="1" x="3082"/>
        <item m="1" x="2648"/>
        <item m="1" x="3265"/>
        <item m="1" x="2811"/>
        <item m="1" x="1924"/>
        <item m="1" x="2324"/>
        <item m="1" x="3968"/>
        <item m="1" x="2854"/>
        <item m="1" x="3410"/>
        <item m="1" x="2843"/>
        <item m="1" x="3469"/>
        <item m="1" x="1391"/>
        <item m="1" x="3121"/>
        <item m="1" x="2505"/>
        <item m="1" x="3964"/>
        <item m="1" x="3587"/>
        <item m="1" x="3632"/>
        <item m="1" x="1376"/>
        <item m="1" x="3088"/>
        <item m="1" x="4059"/>
        <item m="1" x="1411"/>
        <item m="1" x="3437"/>
        <item m="1" x="1128"/>
        <item m="1" x="2485"/>
        <item m="1" x="2715"/>
        <item m="1" x="1280"/>
        <item m="1" x="1529"/>
        <item m="1" x="3872"/>
        <item m="1" x="1762"/>
        <item m="1" x="2622"/>
        <item m="1" x="2422"/>
        <item m="1" x="2909"/>
        <item m="1" x="1235"/>
        <item m="1" x="3955"/>
        <item m="1" x="2528"/>
        <item m="1" x="1547"/>
        <item m="1" x="2245"/>
        <item m="1" x="3150"/>
        <item m="1" x="1785"/>
        <item m="1" x="3125"/>
        <item m="1" x="1470"/>
        <item m="1" x="1497"/>
        <item m="1" x="1172"/>
        <item m="1" x="3756"/>
        <item m="1" x="3383"/>
        <item m="1" x="1692"/>
        <item m="1" x="1195"/>
        <item m="1" x="1826"/>
        <item m="1" x="1933"/>
        <item m="1" x="2179"/>
        <item m="1" x="3871"/>
        <item m="1" x="1743"/>
        <item m="1" x="1415"/>
        <item m="1" x="2544"/>
        <item m="1" x="2835"/>
        <item m="1" x="3693"/>
        <item m="1" x="2225"/>
        <item m="1" x="1430"/>
        <item m="1" x="1229"/>
        <item m="1" x="3277"/>
        <item m="1" x="1928"/>
        <item m="1" x="2399"/>
        <item m="1" x="3507"/>
        <item m="1" x="1835"/>
        <item m="1" x="3856"/>
        <item m="1" x="2945"/>
        <item m="1" x="3413"/>
        <item m="1" x="3639"/>
        <item m="1" x="3712"/>
        <item m="1" x="2915"/>
        <item m="1" x="1423"/>
        <item m="1" x="1578"/>
        <item m="1" x="1263"/>
        <item m="1" x="1516"/>
        <item m="1" x="1159"/>
        <item m="1" x="3898"/>
        <item m="1" x="3538"/>
        <item m="1" x="1614"/>
        <item m="1" x="3094"/>
        <item m="1" x="2518"/>
        <item m="1" x="3407"/>
        <item m="1" x="2109"/>
        <item m="1" x="2840"/>
        <item m="1" x="1134"/>
        <item m="1" x="3644"/>
        <item m="1" x="1848"/>
        <item m="1" x="3522"/>
        <item m="1" x="1938"/>
        <item m="1" x="1541"/>
        <item m="1" x="2698"/>
        <item m="1" x="2038"/>
        <item m="1" x="3537"/>
        <item m="1" x="2578"/>
        <item m="1" x="1776"/>
        <item m="1" x="1512"/>
        <item m="1" x="2786"/>
        <item m="1" x="1548"/>
        <item m="1" x="2696"/>
        <item m="1" x="3969"/>
        <item m="1" x="1336"/>
        <item m="1" x="4109"/>
        <item m="1" x="3747"/>
        <item m="1" x="2001"/>
        <item m="1" x="1838"/>
        <item m="1" x="2484"/>
        <item m="1" x="2165"/>
        <item m="1" x="2357"/>
        <item m="1" x="2758"/>
        <item m="1" x="3012"/>
        <item m="1" x="3864"/>
        <item m="1" x="1687"/>
        <item m="1" x="2918"/>
        <item m="1" x="3966"/>
        <item m="1" x="4038"/>
        <item m="1" x="2793"/>
        <item m="1" x="2204"/>
        <item m="1" x="1153"/>
        <item m="1" x="3791"/>
        <item m="1" x="3139"/>
        <item m="1" x="2923"/>
        <item m="1" x="3814"/>
        <item m="1" x="2219"/>
        <item m="1" x="3868"/>
        <item m="1" x="1138"/>
        <item m="1" x="1335"/>
        <item m="1" x="2281"/>
        <item m="1" x="3090"/>
        <item m="1" x="3985"/>
        <item m="1" x="1388"/>
        <item m="1" x="2169"/>
        <item m="1" x="1977"/>
        <item m="1" x="1206"/>
        <item m="1" x="2404"/>
        <item m="1" x="3875"/>
        <item m="1" x="3011"/>
        <item m="1" x="2645"/>
        <item m="1" x="2863"/>
        <item m="1" x="1626"/>
        <item m="1" x="1171"/>
        <item m="1" x="3149"/>
        <item m="1" x="1917"/>
        <item m="1" x="1577"/>
        <item m="1" x="1143"/>
        <item m="1" x="3772"/>
        <item m="1" x="3263"/>
        <item m="1" x="3101"/>
        <item m="1" x="1912"/>
        <item m="1" x="3715"/>
        <item m="1" x="2784"/>
        <item m="1" x="4037"/>
        <item m="1" x="3711"/>
        <item m="1" x="3866"/>
        <item m="1" x="1502"/>
        <item m="1" x="3463"/>
        <item m="1" x="2482"/>
        <item m="1" x="3339"/>
        <item m="1" x="2263"/>
        <item m="1" x="1219"/>
        <item m="1" x="1337"/>
        <item m="1" x="3371"/>
        <item m="1" x="1895"/>
        <item m="1" x="3278"/>
        <item m="1" x="2129"/>
        <item m="1" x="1467"/>
        <item m="1" x="4123"/>
        <item m="1" x="2978"/>
        <item m="1" x="3017"/>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s>
    </pivotField>
    <pivotField dataField="1" compact="0" outline="0" subtotalTop="0" showAll="0" defaultSubtotal="0">
      <items count="1511">
        <item m="1" x="1"/>
        <item m="1" x="1197"/>
        <item m="1" x="1062"/>
        <item m="1" x="433"/>
        <item m="1" x="948"/>
        <item m="1" x="520"/>
        <item m="1" x="617"/>
        <item m="1" x="367"/>
        <item m="1" x="543"/>
        <item m="1" x="1281"/>
        <item m="1" x="1118"/>
        <item m="1" x="502"/>
        <item m="1" x="838"/>
        <item m="1" x="372"/>
        <item m="1" x="1503"/>
        <item m="1" x="625"/>
        <item m="1" x="1041"/>
        <item m="1" x="513"/>
        <item m="1" x="711"/>
        <item m="1" x="974"/>
        <item m="1" x="1065"/>
        <item m="1" x="1444"/>
        <item m="1" x="858"/>
        <item m="1" x="1024"/>
        <item m="1" x="1342"/>
        <item m="1" x="896"/>
        <item m="1" x="1467"/>
        <item m="1" x="1322"/>
        <item m="1" x="1297"/>
        <item m="1" x="1095"/>
        <item m="1" x="1259"/>
        <item m="1" x="820"/>
        <item m="1" x="807"/>
        <item m="1" x="1482"/>
        <item m="1" x="923"/>
        <item m="1" x="1156"/>
        <item m="1" x="1190"/>
        <item m="1" x="989"/>
        <item m="1" x="779"/>
        <item m="1" x="593"/>
        <item m="1" x="87"/>
        <item m="1" x="88"/>
        <item m="1" x="383"/>
        <item m="1" x="1502"/>
        <item m="1" x="429"/>
        <item m="1" x="1096"/>
        <item m="1" x="1319"/>
        <item m="1" x="1108"/>
        <item m="1" x="953"/>
        <item m="1" x="1178"/>
        <item m="1" x="1495"/>
        <item m="1" x="979"/>
        <item m="1" x="578"/>
        <item m="1" x="1085"/>
        <item m="1" x="640"/>
        <item m="1" x="1286"/>
        <item m="1" x="544"/>
        <item m="1" x="997"/>
        <item m="1" x="984"/>
        <item m="1" x="1042"/>
        <item m="1" x="492"/>
        <item m="1" x="611"/>
        <item m="1" x="701"/>
        <item m="1" x="1406"/>
        <item m="1" x="1100"/>
        <item m="1" x="362"/>
        <item m="1" x="1299"/>
        <item m="1" x="753"/>
        <item m="1" x="966"/>
        <item m="1" x="772"/>
        <item m="1" x="638"/>
        <item m="1" x="515"/>
        <item m="1" x="1275"/>
        <item m="1" x="735"/>
        <item m="1" x="1078"/>
        <item m="1" x="1355"/>
        <item m="1" x="1256"/>
        <item m="1" x="366"/>
        <item m="1" x="581"/>
        <item m="1" x="1312"/>
        <item m="1" x="833"/>
        <item m="1" x="1381"/>
        <item m="1" x="364"/>
        <item m="1" x="598"/>
        <item m="1" x="1461"/>
        <item m="1" x="1033"/>
        <item m="1" x="1466"/>
        <item m="1" x="1137"/>
        <item m="1" x="921"/>
        <item m="1" x="666"/>
        <item m="1" x="1493"/>
        <item m="1" x="1221"/>
        <item m="1" x="1507"/>
        <item m="1" x="1416"/>
        <item m="1" x="1436"/>
        <item m="1" x="461"/>
        <item m="1" x="726"/>
        <item m="1" x="990"/>
        <item m="1" x="830"/>
        <item m="1" x="1106"/>
        <item m="1" x="1451"/>
        <item m="1" x="358"/>
        <item m="1" x="385"/>
        <item m="1" x="935"/>
        <item m="1" x="1274"/>
        <item m="1" x="533"/>
        <item m="1" x="1004"/>
        <item m="1" x="1494"/>
        <item m="1" x="877"/>
        <item m="1" x="937"/>
        <item m="1" x="915"/>
        <item m="1" x="1315"/>
        <item m="1" x="1425"/>
        <item m="1" x="601"/>
        <item m="1" x="1243"/>
        <item m="1" x="871"/>
        <item m="1" x="1171"/>
        <item m="1" x="1385"/>
        <item m="1" x="446"/>
        <item m="1" x="620"/>
        <item m="1" x="1047"/>
        <item m="1" x="694"/>
        <item m="1" x="662"/>
        <item m="1" x="1441"/>
        <item m="1" x="1345"/>
        <item m="1" x="574"/>
        <item m="1" x="748"/>
        <item m="1" x="850"/>
        <item m="1" x="791"/>
        <item m="1" x="576"/>
        <item m="1" x="1386"/>
        <item m="1" x="676"/>
        <item m="1" x="1260"/>
        <item m="1" x="996"/>
        <item m="1" x="1147"/>
        <item m="1" x="1284"/>
        <item m="1" x="756"/>
        <item m="1" x="981"/>
        <item m="1" x="641"/>
        <item m="1" x="922"/>
        <item m="1" x="1433"/>
        <item m="1" x="630"/>
        <item m="1" x="361"/>
        <item m="1" x="967"/>
        <item m="1" x="1235"/>
        <item m="1" x="491"/>
        <item m="1" x="439"/>
        <item m="1" x="1310"/>
        <item m="1" x="847"/>
        <item m="1" x="553"/>
        <item m="1" x="1218"/>
        <item m="1" x="929"/>
        <item m="1" x="585"/>
        <item m="1" x="1273"/>
        <item m="1" x="1404"/>
        <item m="1" x="993"/>
        <item m="1" x="977"/>
        <item m="1" x="970"/>
        <item m="1" x="517"/>
        <item m="1" x="1068"/>
        <item m="1" x="1007"/>
        <item m="1" x="1130"/>
        <item m="1" x="859"/>
        <item m="1" x="454"/>
        <item m="1" x="767"/>
        <item m="1" x="1250"/>
        <item m="1" x="436"/>
        <item m="1" x="521"/>
        <item m="1" x="391"/>
        <item m="1" x="1231"/>
        <item m="1" x="599"/>
        <item m="1" x="416"/>
        <item m="1" x="1414"/>
        <item m="1" x="1508"/>
        <item m="1" x="826"/>
        <item m="1" x="1009"/>
        <item m="1" x="691"/>
        <item m="1" x="610"/>
        <item m="1" x="434"/>
        <item m="1" x="1459"/>
        <item m="1" x="934"/>
        <item m="1" x="1343"/>
        <item m="1" x="1217"/>
        <item m="1" x="487"/>
        <item m="1" x="961"/>
        <item m="1" x="386"/>
        <item m="1" x="1353"/>
        <item m="1" x="1333"/>
        <item m="1" x="1264"/>
        <item m="1" x="623"/>
        <item m="1" x="1431"/>
        <item m="1" x="1421"/>
        <item m="1" x="650"/>
        <item m="1" x="503"/>
        <item m="1" x="1094"/>
        <item m="1" x="1469"/>
        <item m="1" x="663"/>
        <item m="1" x="588"/>
        <item m="1" x="784"/>
        <item m="1" x="1304"/>
        <item m="1" x="546"/>
        <item m="1" x="763"/>
        <item m="1" x="775"/>
        <item m="1" x="1222"/>
        <item m="1" x="1125"/>
        <item m="1" x="1325"/>
        <item m="1" x="1394"/>
        <item m="1" x="1397"/>
        <item m="1" x="1302"/>
        <item m="1" x="1133"/>
        <item m="1" x="804"/>
        <item m="1" x="401"/>
        <item m="1" x="541"/>
        <item m="1" x="381"/>
        <item m="1" x="1168"/>
        <item m="1" x="1332"/>
        <item m="1" x="893"/>
        <item m="1" x="1099"/>
        <item m="1" x="1510"/>
        <item m="1" x="884"/>
        <item m="1" x="608"/>
        <item m="1" x="562"/>
        <item m="1" x="382"/>
        <item m="1" x="482"/>
        <item m="1" x="1182"/>
        <item m="1" x="1232"/>
        <item m="1" x="1225"/>
        <item m="1" x="566"/>
        <item m="1" x="736"/>
        <item m="1" x="1362"/>
        <item m="1" x="668"/>
        <item m="1" x="1025"/>
        <item m="1" x="500"/>
        <item m="1" x="536"/>
        <item m="1" x="1214"/>
        <item m="1" x="1098"/>
        <item m="1" x="531"/>
        <item m="1" x="428"/>
        <item m="1" x="1141"/>
        <item m="1" x="1390"/>
        <item m="1" x="839"/>
        <item m="1" x="368"/>
        <item m="1" x="425"/>
        <item m="1" x="373"/>
        <item m="1" x="1138"/>
        <item m="1" x="699"/>
        <item m="1" x="692"/>
        <item m="1" x="682"/>
        <item m="1" x="715"/>
        <item m="1" x="1320"/>
        <item m="1" x="480"/>
        <item m="1" x="743"/>
        <item m="1" x="606"/>
        <item m="1" x="1202"/>
        <item m="1" x="549"/>
        <item m="1" x="1128"/>
        <item m="1" x="761"/>
        <item m="1" x="1509"/>
        <item m="1" x="1365"/>
        <item m="1" x="975"/>
        <item m="1" x="1083"/>
        <item m="1" x="1181"/>
        <item m="1" x="906"/>
        <item m="1" x="1087"/>
        <item m="1" x="723"/>
        <item m="1" x="986"/>
        <item m="1" x="1159"/>
        <item m="1" x="1177"/>
        <item m="1" x="747"/>
        <item m="1" x="1257"/>
        <item m="1" x="1245"/>
        <item m="1" x="751"/>
        <item m="1" x="1196"/>
        <item m="1" x="677"/>
        <item m="1" x="1361"/>
        <item m="1" x="1387"/>
        <item m="1" x="1076"/>
        <item m="1" x="1378"/>
        <item m="1" x="1213"/>
        <item m="1" x="1288"/>
        <item m="1" x="1071"/>
        <item m="1" x="476"/>
        <item m="1" x="1082"/>
        <item m="1" x="628"/>
        <item m="1" x="667"/>
        <item m="1" x="1430"/>
        <item m="1" x="548"/>
        <item m="1" x="1205"/>
        <item m="1" x="1016"/>
        <item m="1" x="1127"/>
        <item m="1" x="1340"/>
        <item m="1" x="1242"/>
        <item m="1" x="1183"/>
        <item m="1" x="568"/>
        <item m="1" x="1154"/>
        <item m="1" x="1358"/>
        <item m="1" x="1014"/>
        <item m="1" x="1376"/>
        <item m="1" x="972"/>
        <item m="1" x="426"/>
        <item m="1" x="1030"/>
        <item m="1" x="551"/>
        <item m="1" x="1163"/>
        <item m="1" x="1292"/>
        <item m="1" x="841"/>
        <item m="1" x="925"/>
        <item m="1" x="1326"/>
        <item m="1" x="539"/>
        <item m="1" x="866"/>
        <item m="1" x="579"/>
        <item m="1" x="1350"/>
        <item m="1" x="1318"/>
        <item m="1" x="717"/>
        <item m="1" x="1360"/>
        <item m="1" x="377"/>
        <item m="1" x="902"/>
        <item m="1" x="1339"/>
        <item m="1" x="870"/>
        <item m="1" x="949"/>
        <item m="1" x="1277"/>
        <item m="1" x="474"/>
        <item m="1" x="634"/>
        <item m="1" x="567"/>
        <item m="1" x="1465"/>
        <item m="1" x="1185"/>
        <item m="1" x="1046"/>
        <item m="1" x="909"/>
        <item m="1" x="1055"/>
        <item m="1" x="878"/>
        <item m="1" x="423"/>
        <item m="1" x="1074"/>
        <item m="1" x="797"/>
        <item m="1" x="888"/>
        <item m="1" x="1233"/>
        <item m="1" x="419"/>
        <item m="1" x="749"/>
        <item m="1" x="1058"/>
        <item m="1" x="1131"/>
        <item m="1" x="653"/>
        <item m="1" x="645"/>
        <item m="1" x="1102"/>
        <item m="1" x="493"/>
        <item m="1" x="447"/>
        <item m="1" x="982"/>
        <item m="1" x="698"/>
        <item m="1" x="827"/>
        <item m="1" x="740"/>
        <item m="1" x="933"/>
        <item m="1" x="518"/>
        <item m="1" x="1373"/>
        <item m="1" x="853"/>
        <item m="1" x="1290"/>
        <item m="1" x="1193"/>
        <item m="1" x="1246"/>
        <item m="1" x="379"/>
        <item m="1" x="556"/>
        <item m="1" x="1457"/>
        <item m="1" x="928"/>
        <item m="1" x="1166"/>
        <item m="1" x="1069"/>
        <item m="1" x="714"/>
        <item m="1" x="945"/>
        <item m="1" x="685"/>
        <item m="1" x="550"/>
        <item m="1" x="586"/>
        <item m="1" x="1492"/>
        <item m="1" x="1485"/>
        <item m="1" x="969"/>
        <item m="1" x="1153"/>
        <item m="1" x="733"/>
        <item m="1" x="1439"/>
        <item m="1" x="1021"/>
        <item m="1" x="1491"/>
        <item m="1" x="1354"/>
        <item m="1" x="917"/>
        <item m="1" x="1396"/>
        <item m="1" x="471"/>
        <item m="1" x="532"/>
        <item m="1" x="1443"/>
        <item m="1" x="1167"/>
        <item m="1" x="394"/>
        <item m="1" x="1008"/>
        <item m="1" x="787"/>
        <item m="1" x="1279"/>
        <item m="1" x="646"/>
        <item m="1" x="932"/>
        <item m="1" x="865"/>
        <item m="1" x="580"/>
        <item m="1" x="674"/>
        <item m="1" x="657"/>
        <item m="1" x="1180"/>
        <item m="1" x="954"/>
        <item m="1" x="1405"/>
        <item m="1" x="1458"/>
        <item m="1" x="757"/>
        <item m="1" x="563"/>
        <item m="1" x="1144"/>
        <item m="1" x="951"/>
        <item m="1" x="1352"/>
        <item m="1" x="584"/>
        <item m="1" x="1300"/>
        <item m="1" x="835"/>
        <item m="1" x="741"/>
        <item m="1" x="822"/>
        <item m="1" x="705"/>
        <item m="1" x="1192"/>
        <item m="1" x="1411"/>
        <item m="1" x="764"/>
        <item m="1" x="457"/>
        <item m="1" x="1462"/>
        <item m="1" x="669"/>
        <item m="1" x="404"/>
        <item m="1" x="1323"/>
        <item m="1" x="1164"/>
        <item m="1" x="744"/>
        <item m="1" x="1464"/>
        <item m="1" x="824"/>
        <item m="1" x="750"/>
        <item m="1" x="815"/>
        <item m="1" x="745"/>
        <item m="1" x="618"/>
        <item m="1" x="629"/>
        <item m="1" x="594"/>
        <item m="1" x="1422"/>
        <item m="1" x="1034"/>
        <item m="1" x="1330"/>
        <item m="1" x="834"/>
        <item m="1" x="1049"/>
        <item m="1" x="1005"/>
        <item m="1" x="683"/>
        <item m="1" x="431"/>
        <item m="1" x="1427"/>
        <item m="1" x="1317"/>
        <item m="1" x="1488"/>
        <item m="1" x="794"/>
        <item m="1" x="542"/>
        <item m="1" x="448"/>
        <item m="1" x="535"/>
        <item m="1" x="460"/>
        <item m="1" x="1109"/>
        <item m="1" x="1337"/>
        <item m="1" x="554"/>
        <item m="1" x="415"/>
        <item m="1" x="582"/>
        <item m="1" x="430"/>
        <item m="1" x="1194"/>
        <item m="1" x="591"/>
        <item m="1" x="832"/>
        <item m="1" x="1480"/>
        <item m="1" x="955"/>
        <item m="1" x="1336"/>
        <item m="1" x="1070"/>
        <item m="1" x="889"/>
        <item m="1" x="1496"/>
        <item m="1" x="728"/>
        <item m="1" x="1032"/>
        <item m="1" x="1112"/>
        <item m="1" x="1237"/>
        <item m="1" x="1072"/>
        <item m="1" x="504"/>
        <item m="1" x="369"/>
        <item m="1" x="1124"/>
        <item m="1" x="506"/>
        <item m="1" x="742"/>
        <item m="1" x="1084"/>
        <item m="1" x="916"/>
        <item m="1" x="737"/>
        <item m="1" x="819"/>
        <item m="1" x="505"/>
        <item m="1" x="626"/>
        <item m="1" x="519"/>
        <item m="1" x="849"/>
        <item m="1" x="1329"/>
        <item m="1" x="1200"/>
        <item m="1" x="869"/>
        <item m="1" x="1187"/>
        <item m="1" x="910"/>
        <item m="1" x="1211"/>
        <item m="1" x="673"/>
        <item m="1" x="697"/>
        <item m="1" x="799"/>
        <item m="1" x="414"/>
        <item m="1" x="1269"/>
        <item m="1" x="527"/>
        <item m="1" x="860"/>
        <item m="1" x="789"/>
        <item m="1" x="1035"/>
        <item m="1" x="686"/>
        <item m="1" x="511"/>
        <item m="1" x="421"/>
        <item m="1" x="1434"/>
        <item m="1" x="1150"/>
        <item m="1" x="973"/>
        <item m="1" x="914"/>
        <item m="1" x="1348"/>
        <item m="1" x="876"/>
        <item m="1" x="943"/>
        <item m="1" x="583"/>
        <item m="1" x="555"/>
        <item m="1" x="380"/>
        <item m="1" x="1248"/>
        <item m="1" x="1208"/>
        <item m="1" x="856"/>
        <item m="1" x="716"/>
        <item m="1" x="672"/>
        <item m="1" x="1301"/>
        <item m="1" x="498"/>
        <item m="1" x="793"/>
        <item m="1" x="960"/>
        <item m="1" x="950"/>
        <item m="1" x="1389"/>
        <item m="1" x="823"/>
        <item m="1" x="420"/>
        <item m="1" x="1000"/>
        <item m="1" x="649"/>
        <item m="1" x="637"/>
        <item m="1" x="514"/>
        <item m="1" x="1067"/>
        <item m="1" x="998"/>
        <item m="1" x="1440"/>
        <item m="1" x="911"/>
        <item m="1" x="1452"/>
        <item m="1" x="1145"/>
        <item m="1" x="467"/>
        <item m="1" x="1091"/>
        <item m="1" x="684"/>
        <item m="1" x="365"/>
        <item m="1" x="857"/>
        <item m="1" x="1489"/>
        <item m="1" x="1429"/>
        <item m="1" x="526"/>
        <item m="1" x="689"/>
        <item m="1" x="1392"/>
        <item m="1" x="1407"/>
        <item m="1" x="1468"/>
        <item m="1" x="903"/>
        <item m="1" x="1188"/>
        <item m="1" x="1230"/>
        <item m="1" x="400"/>
        <item m="1" x="1219"/>
        <item m="1" x="1054"/>
        <item m="1" x="806"/>
        <item m="1" x="1115"/>
        <item m="1" x="1059"/>
        <item m="1" x="1170"/>
        <item m="1" x="762"/>
        <item m="1" x="412"/>
        <item m="1" x="754"/>
        <item m="1" x="846"/>
        <item m="1" x="1184"/>
        <item m="1" x="703"/>
        <item m="1" x="565"/>
        <item m="1" x="1215"/>
        <item m="1" x="1454"/>
        <item m="1" x="718"/>
        <item m="1" x="547"/>
        <item m="1" x="801"/>
        <item m="1" x="1267"/>
        <item m="1" x="939"/>
        <item m="1" x="940"/>
        <item m="1" x="395"/>
        <item m="1" x="821"/>
        <item m="1" x="403"/>
        <item m="1" x="1027"/>
        <item m="1" x="444"/>
        <item m="1" x="1119"/>
        <item m="1" x="1417"/>
        <item m="1" x="862"/>
        <item m="1" x="843"/>
        <item m="1" x="1501"/>
        <item m="1" x="592"/>
        <item m="1" x="410"/>
        <item m="1" x="773"/>
        <item m="1" x="1050"/>
        <item m="1" x="389"/>
        <item m="1" x="708"/>
        <item m="1" x="1477"/>
        <item m="1" x="1247"/>
        <item m="1" x="1446"/>
        <item m="1" x="1129"/>
        <item m="1" x="894"/>
        <item m="1" x="1291"/>
        <item m="1" x="867"/>
        <item m="1" x="1497"/>
        <item m="1" x="817"/>
        <item m="1" x="572"/>
        <item m="1" x="1097"/>
        <item m="1" x="681"/>
        <item m="1" x="1209"/>
        <item m="1" x="359"/>
        <item m="1" x="836"/>
        <item m="1" x="946"/>
        <item m="1" x="1289"/>
        <item m="1" x="1189"/>
        <item m="1" x="437"/>
        <item m="1" x="927"/>
        <item m="1" x="732"/>
        <item m="1" x="1351"/>
        <item m="1" x="725"/>
        <item m="1" x="445"/>
        <item m="1" x="363"/>
        <item m="1" x="680"/>
        <item m="1" x="612"/>
        <item m="1" x="938"/>
        <item m="1" x="651"/>
        <item m="1" x="1412"/>
        <item m="1" x="722"/>
        <item m="1" x="746"/>
        <item m="1" x="766"/>
        <item m="1" x="589"/>
        <item m="1" x="1139"/>
        <item m="1" x="456"/>
        <item m="1" x="624"/>
        <item m="1" x="1472"/>
        <item m="1" x="892"/>
        <item m="1" x="522"/>
        <item m="1" x="800"/>
        <item m="1" x="534"/>
        <item m="1" x="918"/>
        <item m="1" x="1418"/>
        <item m="1" x="484"/>
        <item m="1" x="752"/>
        <item m="1" x="1447"/>
        <item m="1" x="1216"/>
        <item m="1" x="631"/>
        <item m="1" x="919"/>
        <item m="1" x="488"/>
        <item m="1" x="947"/>
        <item m="1" x="374"/>
        <item m="1" x="1309"/>
        <item m="1" x="1086"/>
        <item m="1" x="778"/>
        <item m="1" x="1114"/>
        <item m="1" x="1101"/>
        <item m="1" x="1382"/>
        <item m="1" x="696"/>
        <item m="1" x="449"/>
        <item m="1" x="1043"/>
        <item m="1" x="1006"/>
        <item m="1" x="627"/>
        <item m="1" x="614"/>
        <item m="1" x="901"/>
        <item m="1" x="895"/>
        <item m="1" x="1305"/>
        <item m="1" x="768"/>
        <item m="1" x="479"/>
        <item m="1" x="1399"/>
        <item m="1" x="1134"/>
        <item m="1" x="1011"/>
        <item m="1" x="523"/>
        <item m="1" x="913"/>
        <item m="1" x="1048"/>
        <item m="1" x="509"/>
        <item m="1" x="557"/>
        <item m="1" x="1152"/>
        <item m="1" x="1475"/>
        <item m="1" x="1122"/>
        <item m="1" x="709"/>
        <item m="1" x="396"/>
        <item x="0"/>
        <item m="1" x="670"/>
        <item m="1" x="1372"/>
        <item m="1" x="872"/>
        <item m="1" x="1234"/>
        <item m="1" x="693"/>
        <item m="1" x="1375"/>
        <item m="1" x="1143"/>
        <item m="1" x="942"/>
        <item m="1" x="1366"/>
        <item m="1" x="1117"/>
        <item m="1" x="1278"/>
        <item m="1" x="1227"/>
        <item m="1" x="632"/>
        <item m="1" x="635"/>
        <item m="1" x="882"/>
        <item m="1" x="1175"/>
        <item m="1" x="840"/>
        <item m="1" x="1438"/>
        <item m="1" x="1165"/>
        <item m="1" x="1280"/>
        <item m="1" x="959"/>
        <item m="1" x="688"/>
        <item m="1" x="690"/>
        <item m="1" x="952"/>
        <item m="1" x="1261"/>
        <item m="1" x="1450"/>
        <item m="1" x="1010"/>
        <item m="1" x="1265"/>
        <item m="1" x="1140"/>
        <item m="1" x="1445"/>
        <item m="1" x="427"/>
        <item m="1" x="470"/>
        <item m="1" x="1287"/>
        <item m="1" x="587"/>
        <item m="1" x="432"/>
        <item m="1" x="1442"/>
        <item m="1" x="1113"/>
        <item m="1" x="569"/>
        <item m="1" x="390"/>
        <item m="1" x="1120"/>
        <item m="1" x="1324"/>
        <item m="1" x="1401"/>
        <item m="1" x="1020"/>
        <item m="1" x="1077"/>
        <item m="1" x="1173"/>
        <item m="1" x="540"/>
        <item m="1" x="1483"/>
        <item m="1" x="861"/>
        <item m="1" x="811"/>
        <item m="1" x="802"/>
        <item m="1" x="665"/>
        <item m="1" x="1344"/>
        <item m="1" x="658"/>
        <item m="1" x="619"/>
        <item m="1" x="1012"/>
        <item m="1" x="1487"/>
        <item m="1" x="497"/>
        <item m="1" x="1408"/>
        <item m="1" x="656"/>
        <item m="1" x="529"/>
        <item m="1" x="1346"/>
        <item m="1" x="825"/>
        <item m="1" x="851"/>
        <item m="1" x="1328"/>
        <item m="1" x="1116"/>
        <item m="1" x="1255"/>
        <item m="1" x="712"/>
        <item m="1" x="607"/>
        <item m="1" x="602"/>
        <item m="1" x="1338"/>
        <item m="1" x="792"/>
        <item m="1" x="393"/>
        <item m="1" x="1306"/>
        <item m="1" x="1359"/>
        <item m="1" x="926"/>
        <item m="1" x="1335"/>
        <item m="1" x="931"/>
        <item m="1" x="545"/>
        <item m="1" x="924"/>
        <item m="1" x="1053"/>
        <item m="1" x="1191"/>
        <item m="1" x="1364"/>
        <item m="1" x="1357"/>
        <item m="1" x="409"/>
        <item m="1" x="1371"/>
        <item m="1" x="702"/>
        <item m="1" x="1073"/>
        <item m="1" x="483"/>
        <item m="1" x="453"/>
        <item m="1" x="411"/>
        <item m="1" x="1207"/>
        <item m="1" x="710"/>
        <item m="1" x="616"/>
        <item m="1" x="864"/>
        <item m="1" x="780"/>
        <item m="1" x="1110"/>
        <item m="1" x="1026"/>
        <item m="1" x="907"/>
        <item m="1" x="1161"/>
        <item m="1" x="964"/>
        <item m="1" x="994"/>
        <item m="1" x="647"/>
        <item m="1" x="417"/>
        <item m="1" x="891"/>
        <item m="1" x="992"/>
        <item m="1" x="868"/>
        <item m="1" x="1410"/>
        <item m="1" x="1268"/>
        <item m="1" x="1415"/>
        <item m="1" x="899"/>
        <item m="1" x="1148"/>
        <item m="1" x="1303"/>
        <item m="1" x="464"/>
        <item m="1" x="738"/>
        <item m="1" x="1313"/>
        <item m="1" x="570"/>
        <item m="1" x="999"/>
        <item m="1" x="898"/>
        <item m="1" x="1023"/>
        <item m="1" x="958"/>
        <item m="1" x="1296"/>
        <item m="1" x="963"/>
        <item m="1" x="885"/>
        <item m="1" x="603"/>
        <item m="1" x="956"/>
        <item m="1" x="1413"/>
        <item m="1" x="1347"/>
        <item m="1" x="1045"/>
        <item m="1" x="1162"/>
        <item m="1" x="1249"/>
        <item m="1" x="1206"/>
        <item m="1" x="776"/>
        <item m="1" x="1228"/>
        <item m="1" x="1276"/>
        <item m="1" x="1393"/>
        <item m="1" x="558"/>
        <item m="1" x="842"/>
        <item m="1" x="441"/>
        <item m="1" x="1499"/>
        <item m="1" x="1149"/>
        <item m="1" x="1498"/>
        <item m="1" x="507"/>
        <item m="1" x="360"/>
        <item m="1" x="1015"/>
        <item m="1" x="1473"/>
        <item m="1" x="418"/>
        <item m="1" x="1380"/>
        <item m="1" x="490"/>
        <item m="1" x="1038"/>
        <item m="1" x="397"/>
        <item m="1" x="424"/>
        <item m="1" x="962"/>
        <item m="1" x="571"/>
        <item m="1" x="1056"/>
        <item m="1" x="455"/>
        <item m="1" x="1367"/>
        <item m="1" x="1270"/>
        <item m="1" x="1500"/>
        <item m="1" x="777"/>
        <item m="1" x="829"/>
        <item m="1" x="810"/>
        <item m="1" x="577"/>
        <item m="1" x="468"/>
        <item m="1" x="458"/>
        <item m="1" x="1258"/>
        <item m="1" x="399"/>
        <item m="1" x="1229"/>
        <item m="1" x="494"/>
        <item m="1" x="1089"/>
        <item m="1" x="537"/>
        <item m="1" x="405"/>
        <item m="1" x="1331"/>
        <item m="1" x="1238"/>
        <item m="1" x="971"/>
        <item m="1" x="564"/>
        <item m="1" x="478"/>
        <item m="1" x="633"/>
        <item m="1" x="655"/>
        <item m="1" x="739"/>
        <item m="1" x="384"/>
        <item m="1" x="524"/>
        <item m="1" x="510"/>
        <item m="1" x="944"/>
        <item m="1" x="978"/>
        <item m="1" x="370"/>
        <item m="1" x="438"/>
        <item m="1" x="908"/>
        <item m="1" x="795"/>
        <item m="1" x="788"/>
        <item m="1" x="1423"/>
        <item m="1" x="1151"/>
        <item m="1" x="828"/>
        <item m="1" x="1479"/>
        <item m="1" x="475"/>
        <item m="1" x="530"/>
        <item m="1" x="466"/>
        <item m="1" x="450"/>
        <item m="1" x="1448"/>
        <item m="1" x="704"/>
        <item m="1" x="604"/>
        <item m="1" x="1402"/>
        <item m="1" x="727"/>
        <item m="1" x="720"/>
        <item m="1" x="1294"/>
        <item m="1" x="1210"/>
        <item m="1" x="613"/>
        <item m="1" x="1013"/>
        <item m="1" x="905"/>
        <item m="1" x="1455"/>
        <item m="1" x="644"/>
        <item m="1" x="486"/>
        <item m="1" x="1176"/>
        <item m="1" x="782"/>
        <item m="1" x="1420"/>
        <item m="1" x="1321"/>
        <item m="1" x="1298"/>
        <item m="1" x="528"/>
        <item m="1" x="758"/>
        <item m="1" x="786"/>
        <item m="1" x="879"/>
        <item m="1" x="1327"/>
        <item m="1" x="1395"/>
        <item m="1" x="814"/>
        <item m="1" x="495"/>
        <item m="1" x="976"/>
        <item m="1" x="1285"/>
        <item m="1" x="1241"/>
        <item m="1" x="392"/>
        <item m="1" x="1478"/>
        <item m="1" x="991"/>
        <item m="1" x="874"/>
        <item m="1" x="1283"/>
        <item m="1" x="1179"/>
        <item m="1" x="1426"/>
        <item m="1" x="678"/>
        <item m="1" x="597"/>
        <item m="1" x="560"/>
        <item m="1" x="1063"/>
        <item m="1" x="1103"/>
        <item m="1" x="700"/>
        <item m="1" x="837"/>
        <item m="1" x="413"/>
        <item m="1" x="957"/>
        <item m="1" x="873"/>
        <item m="1" x="398"/>
        <item m="1" x="1403"/>
        <item m="1" x="1135"/>
        <item m="1" x="983"/>
        <item m="1" x="1093"/>
        <item m="1" x="406"/>
        <item m="1" x="1486"/>
        <item m="1" x="1428"/>
        <item m="1" x="462"/>
        <item m="1" x="831"/>
        <item m="1" x="1506"/>
        <item m="1" x="1052"/>
        <item m="1" x="1060"/>
        <item m="1" x="729"/>
        <item m="1" x="785"/>
        <item m="1" x="1349"/>
        <item m="1" x="1123"/>
        <item m="1" x="1155"/>
        <item m="1" x="941"/>
        <item m="1" x="609"/>
        <item m="1" x="459"/>
        <item m="1" x="1263"/>
        <item m="1" x="760"/>
        <item m="1" x="886"/>
        <item m="1" x="1356"/>
        <item m="1" x="1001"/>
        <item m="1" x="435"/>
        <item m="1" x="1435"/>
        <item m="1" x="1484"/>
        <item m="1" x="1374"/>
        <item m="1" x="1195"/>
        <item m="1" x="1160"/>
        <item m="1" x="730"/>
        <item m="1" x="1262"/>
        <item m="1" x="451"/>
        <item m="1" x="590"/>
        <item m="1" x="422"/>
        <item m="1" x="1254"/>
        <item m="1" x="930"/>
        <item m="1" x="1136"/>
        <item m="1" x="1121"/>
        <item m="1" x="1017"/>
        <item m="1" x="904"/>
        <item m="1" x="1223"/>
        <item m="1" x="402"/>
        <item m="1" x="679"/>
        <item m="1" x="496"/>
        <item m="1" x="809"/>
        <item m="1" x="1158"/>
        <item m="1" x="1186"/>
        <item m="1" x="759"/>
        <item m="1" x="1040"/>
        <item m="1" x="818"/>
        <item m="1" x="1504"/>
        <item m="1" x="1111"/>
        <item m="1" x="844"/>
        <item m="1" x="371"/>
        <item m="1" x="1203"/>
        <item m="1" x="887"/>
        <item m="1" x="1126"/>
        <item m="1" x="755"/>
        <item m="1" x="1057"/>
        <item m="1" x="1092"/>
        <item m="1" x="1369"/>
        <item m="1" x="1341"/>
        <item m="1" x="965"/>
        <item m="1" x="636"/>
        <item m="1" x="765"/>
        <item m="1" x="648"/>
        <item m="1" x="605"/>
        <item m="1" x="615"/>
        <item m="1" x="1471"/>
        <item m="1" x="559"/>
        <item m="1" x="883"/>
        <item m="1" x="1036"/>
        <item m="1" x="443"/>
        <item m="1" x="1370"/>
        <item m="1" x="770"/>
        <item m="1" x="387"/>
        <item m="1" x="1236"/>
        <item m="1" x="661"/>
        <item m="1" x="378"/>
        <item m="1" x="485"/>
        <item m="1" x="1240"/>
        <item m="1" x="771"/>
        <item m="1" x="642"/>
        <item m="1" x="1224"/>
        <item m="1" x="1157"/>
        <item m="1" x="1061"/>
        <item m="1" x="1316"/>
        <item m="1" x="575"/>
        <item m="1" x="595"/>
        <item m="1" x="808"/>
        <item m="1" x="1266"/>
        <item m="1" x="621"/>
        <item m="1" x="936"/>
        <item m="1" x="499"/>
        <item m="1" x="489"/>
        <item m="1" x="1251"/>
        <item m="1" x="1282"/>
        <item m="1" x="987"/>
        <item m="1" x="855"/>
        <item m="1" x="552"/>
        <item m="1" x="1308"/>
        <item m="1" x="1271"/>
        <item m="1" x="1146"/>
        <item m="1" x="1051"/>
        <item m="1" x="1003"/>
        <item m="1" x="769"/>
        <item m="1" x="1039"/>
        <item m="1" x="1018"/>
        <item m="1" x="516"/>
        <item m="1" x="1505"/>
        <item m="1" x="1132"/>
        <item m="1" x="900"/>
        <item m="1" x="1419"/>
        <item m="1" x="659"/>
        <item m="1" x="1037"/>
        <item m="1" x="477"/>
        <item m="1" x="452"/>
        <item m="1" x="1064"/>
        <item m="1" x="724"/>
        <item m="1" x="1252"/>
        <item m="1" x="706"/>
        <item m="1" x="1334"/>
        <item m="1" x="388"/>
        <item m="1" x="442"/>
        <item m="1" x="1463"/>
        <item m="1" x="783"/>
        <item m="1" x="1090"/>
        <item m="1" x="790"/>
        <item m="1" x="1383"/>
        <item m="1" x="1075"/>
        <item m="1" x="781"/>
        <item m="1" x="1107"/>
        <item m="1" x="639"/>
        <item m="1" x="1201"/>
        <item m="1" x="845"/>
        <item m="1" x="995"/>
        <item m="1" x="473"/>
        <item m="1" x="1456"/>
        <item m="1" x="1104"/>
        <item m="1" x="852"/>
        <item m="1" x="1022"/>
        <item m="1" x="721"/>
        <item m="1" x="805"/>
        <item m="1" x="1272"/>
        <item m="1" x="671"/>
        <item m="1" x="1490"/>
        <item m="1" x="988"/>
        <item m="1" x="1088"/>
        <item m="1" x="465"/>
        <item m="1" x="980"/>
        <item m="1" x="920"/>
        <item m="1" x="481"/>
        <item m="1" x="881"/>
        <item m="1" x="816"/>
        <item m="1" x="1363"/>
        <item m="1" x="1388"/>
        <item m="1" x="1449"/>
        <item m="1" x="1437"/>
        <item m="1" x="375"/>
        <item m="1" x="538"/>
        <item m="1" x="652"/>
        <item m="1" x="660"/>
        <item m="1" x="1220"/>
        <item m="1" x="469"/>
        <item m="1" x="1079"/>
        <item m="1" x="643"/>
        <item m="1" x="1379"/>
        <item m="1" x="408"/>
        <item m="1" x="798"/>
        <item m="1" x="622"/>
        <item m="1" x="525"/>
        <item m="1" x="695"/>
        <item m="1" x="561"/>
        <item m="1" x="1239"/>
        <item m="1" x="968"/>
        <item m="1" x="1460"/>
        <item m="1" x="376"/>
        <item m="1" x="1295"/>
        <item m="1" x="890"/>
        <item m="1" x="1384"/>
        <item m="1" x="848"/>
        <item m="1" x="774"/>
        <item m="1" x="440"/>
        <item m="1" x="1174"/>
        <item m="1" x="1476"/>
        <item m="1" x="1474"/>
        <item m="1" x="854"/>
        <item m="1" x="1002"/>
        <item m="1" x="687"/>
        <item m="1" x="1307"/>
        <item m="1" x="1424"/>
        <item m="1" x="796"/>
        <item m="1" x="1226"/>
        <item m="1" x="573"/>
        <item m="1" x="1314"/>
        <item m="1" x="407"/>
        <item m="1" x="713"/>
        <item m="1" x="508"/>
        <item m="1" x="897"/>
        <item m="1" x="1293"/>
        <item m="1" x="472"/>
        <item m="1" x="1198"/>
        <item m="1" x="813"/>
        <item m="1" x="654"/>
        <item m="1" x="734"/>
        <item m="1" x="875"/>
        <item m="1" x="1244"/>
        <item m="1" x="912"/>
        <item m="1" x="803"/>
        <item m="1" x="985"/>
        <item m="1" x="1470"/>
        <item m="1" x="719"/>
        <item m="1" x="1453"/>
        <item m="1" x="1169"/>
        <item m="1" x="1368"/>
        <item m="1" x="1142"/>
        <item m="1" x="1311"/>
        <item m="1" x="1377"/>
        <item m="1" x="1409"/>
        <item m="1" x="1398"/>
        <item m="1" x="664"/>
        <item m="1" x="1432"/>
        <item m="1" x="501"/>
        <item m="1" x="1080"/>
        <item m="1" x="880"/>
        <item m="1" x="1391"/>
        <item m="1" x="463"/>
        <item m="1" x="1400"/>
        <item m="1" x="1029"/>
        <item m="1" x="1081"/>
        <item m="1" x="707"/>
        <item m="1" x="1028"/>
        <item m="1" x="596"/>
        <item m="1" x="512"/>
        <item m="1" x="1066"/>
        <item m="1" x="731"/>
        <item m="1" x="1105"/>
        <item m="1" x="1481"/>
        <item m="1" x="1253"/>
        <item m="1" x="1212"/>
        <item m="1" x="1172"/>
        <item m="1" x="1199"/>
        <item m="1" x="1019"/>
        <item m="1" x="1031"/>
        <item m="1" x="863"/>
        <item m="1" x="812"/>
        <item m="1" x="600"/>
        <item m="1" x="1044"/>
        <item m="1" x="675"/>
        <item m="1" x="1204"/>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s>
    </pivotField>
    <pivotField dataField="1" compact="0" outline="0" subtotalTop="0" showAll="0" defaultSubtotal="0">
      <items count="4537">
        <item m="1" x="4226"/>
        <item m="1" x="4361"/>
        <item m="1" x="1193"/>
        <item m="1" x="2446"/>
        <item m="1" x="2426"/>
        <item m="1" x="2743"/>
        <item m="1" x="2992"/>
        <item m="1" x="3089"/>
        <item m="1" x="4273"/>
        <item m="1" x="1873"/>
        <item m="1" x="3878"/>
        <item m="1" x="4163"/>
        <item m="1" x="2158"/>
        <item m="1" x="4254"/>
        <item m="1" x="1364"/>
        <item m="1" x="1639"/>
        <item m="1" x="4139"/>
        <item m="1" x="2029"/>
        <item m="1" x="2435"/>
        <item m="1" x="2437"/>
        <item m="1" x="3102"/>
        <item m="1" x="1496"/>
        <item m="1" x="3869"/>
        <item m="1" x="2703"/>
        <item m="1" x="3654"/>
        <item m="1" x="3428"/>
        <item m="1" x="3482"/>
        <item m="1" x="3346"/>
        <item m="1" x="2659"/>
        <item m="1" x="3280"/>
        <item m="1" x="4461"/>
        <item m="1" x="2553"/>
        <item m="1" x="2560"/>
        <item m="1" x="3267"/>
        <item m="1" x="4344"/>
        <item m="1" x="3595"/>
        <item m="1" x="1681"/>
        <item m="1" x="2681"/>
        <item m="1" x="1803"/>
        <item m="1" x="2150"/>
        <item m="1" x="1459"/>
        <item m="1" x="3516"/>
        <item m="1" x="1739"/>
        <item m="1" x="1273"/>
        <item m="1" x="1152"/>
        <item m="1" x="3779"/>
        <item m="1" x="3800"/>
        <item m="1" x="2805"/>
        <item m="1" x="1165"/>
        <item m="1" x="3447"/>
        <item m="1" x="3148"/>
        <item m="1" x="3087"/>
        <item m="1" x="3439"/>
        <item m="1" x="3660"/>
        <item m="1" x="1210"/>
        <item m="1" x="1748"/>
        <item m="1" x="3216"/>
        <item m="1" x="4362"/>
        <item m="1" x="2320"/>
        <item m="1" x="2803"/>
        <item m="1" x="4313"/>
        <item m="1" x="1716"/>
        <item m="1" x="3743"/>
        <item m="1" x="2804"/>
        <item m="1" x="2340"/>
        <item m="1" x="2024"/>
        <item m="1" x="1107"/>
        <item m="1" x="1760"/>
        <item m="1" x="1194"/>
        <item m="1" x="2954"/>
        <item m="1" x="2843"/>
        <item m="1" x="1361"/>
        <item m="1" x="4035"/>
        <item m="1" x="4091"/>
        <item m="1" x="2989"/>
        <item m="1" x="4529"/>
        <item m="1" x="3523"/>
        <item m="1" x="1807"/>
        <item m="1" x="1902"/>
        <item m="1" x="1272"/>
        <item m="1" x="4420"/>
        <item m="1" x="3284"/>
        <item m="1" x="1509"/>
        <item m="1" x="3617"/>
        <item m="1" x="1495"/>
        <item m="1" x="2629"/>
        <item m="1" x="3024"/>
        <item m="1" x="2224"/>
        <item m="1" x="1654"/>
        <item m="1" x="1736"/>
        <item m="1" x="3147"/>
        <item m="1" x="3971"/>
        <item m="1" x="2146"/>
        <item m="1" x="3860"/>
        <item m="1" x="3427"/>
        <item m="1" x="2622"/>
        <item m="1" x="1731"/>
        <item m="1" x="2729"/>
        <item m="1" x="1403"/>
        <item m="1" x="1473"/>
        <item m="1" x="1604"/>
        <item m="1" x="3100"/>
        <item m="1" x="2345"/>
        <item m="1" x="3340"/>
        <item m="1" x="2999"/>
        <item m="1" x="4027"/>
        <item m="1" x="4410"/>
        <item m="1" x="241"/>
        <item m="1" x="1566"/>
        <item m="1" x="2526"/>
        <item m="1" x="3897"/>
        <item m="1" x="2963"/>
        <item m="1" x="242"/>
        <item m="1" x="243"/>
        <item m="1" x="4509"/>
        <item m="1" x="4487"/>
        <item m="1" x="3120"/>
        <item m="1" x="3725"/>
        <item m="1" x="2410"/>
        <item m="1" x="1965"/>
        <item m="1" x="2403"/>
        <item m="1" x="2127"/>
        <item m="1" x="3142"/>
        <item m="1" x="3404"/>
        <item m="1" x="3393"/>
        <item m="1" x="2551"/>
        <item m="1" x="4335"/>
        <item m="1" x="4489"/>
        <item m="1" x="3084"/>
        <item m="1" x="1531"/>
        <item m="1" x="4108"/>
        <item m="1" x="2106"/>
        <item m="1" x="4216"/>
        <item m="1" x="4136"/>
        <item m="1" x="1680"/>
        <item m="1" x="1762"/>
        <item m="1" x="4088"/>
        <item m="1" x="3183"/>
        <item m="1" x="4087"/>
        <item m="1" x="1154"/>
        <item m="1" x="3695"/>
        <item m="1" x="3986"/>
        <item m="1" x="3379"/>
        <item m="1" x="4199"/>
        <item m="1" x="1895"/>
        <item m="1" x="2457"/>
        <item m="1" x="2820"/>
        <item m="1" x="1841"/>
        <item m="1" x="3837"/>
        <item m="1" x="3858"/>
        <item m="1" x="3896"/>
        <item m="1" x="2824"/>
        <item m="1" x="1353"/>
        <item m="1" x="3215"/>
        <item m="1" x="3307"/>
        <item m="1" x="2548"/>
        <item m="1" x="3166"/>
        <item m="1" x="4373"/>
        <item m="1" x="1293"/>
        <item m="1" x="2492"/>
        <item m="1" x="3824"/>
        <item m="1" x="2123"/>
        <item m="1" x="446"/>
        <item m="1" x="2658"/>
        <item m="1" x="3389"/>
        <item m="1" x="3960"/>
        <item m="1" x="4515"/>
        <item m="1" x="2126"/>
        <item m="1" x="2828"/>
        <item m="1" x="3458"/>
        <item m="1" x="1929"/>
        <item m="1" x="2862"/>
        <item m="1" x="4322"/>
        <item m="1" x="3027"/>
        <item m="1" x="3769"/>
        <item m="1" x="4291"/>
        <item m="1" x="3059"/>
        <item m="1" x="2983"/>
        <item m="1" x="1725"/>
        <item m="1" x="1630"/>
        <item m="1" x="2732"/>
        <item m="1" x="3195"/>
        <item m="1" x="1865"/>
        <item m="1" x="3602"/>
        <item m="1" x="3855"/>
        <item m="1" x="2787"/>
        <item m="1" x="2619"/>
        <item m="1" x="2943"/>
        <item m="1" x="1991"/>
        <item m="1" x="3921"/>
        <item m="1" x="4320"/>
        <item m="1" x="2575"/>
        <item m="1" x="2731"/>
        <item m="1" x="2142"/>
        <item m="1" x="3932"/>
        <item m="1" x="1263"/>
        <item m="1" x="3672"/>
        <item m="1" x="1112"/>
        <item m="1" x="1201"/>
        <item m="1" x="1302"/>
        <item m="1" x="2811"/>
        <item m="1" x="3451"/>
        <item m="1" x="1394"/>
        <item m="1" x="3967"/>
        <item m="1" x="2933"/>
        <item m="1" x="3611"/>
        <item m="1" x="2056"/>
        <item m="1" x="3390"/>
        <item m="1" x="3079"/>
        <item m="1" x="2336"/>
        <item m="1" x="3250"/>
        <item m="1" x="3181"/>
        <item m="1" x="1903"/>
        <item m="1" x="1859"/>
        <item m="1" x="2208"/>
        <item m="1" x="2890"/>
        <item m="1" x="2793"/>
        <item m="1" x="3832"/>
        <item m="1" x="1683"/>
        <item m="1" x="1749"/>
        <item m="1" x="2301"/>
        <item m="1" x="3877"/>
        <item m="1" x="1375"/>
        <item m="1" x="2500"/>
        <item m="1" x="4295"/>
        <item m="1" x="2480"/>
        <item m="1" x="4480"/>
        <item m="1" x="2201"/>
        <item m="1" x="3038"/>
        <item m="1" x="2781"/>
        <item m="1" x="3031"/>
        <item m="1" x="3990"/>
        <item m="1" x="1743"/>
        <item m="1" x="1564"/>
        <item m="1" x="1483"/>
        <item m="1" x="4041"/>
        <item m="1" x="1775"/>
        <item m="1" x="1120"/>
        <item m="1" x="4111"/>
        <item m="1" x="1500"/>
        <item m="1" x="4129"/>
        <item m="1" x="3715"/>
        <item m="1" x="4026"/>
        <item m="1" x="2771"/>
        <item m="1" x="1708"/>
        <item m="1" x="1170"/>
        <item m="1" x="2522"/>
        <item m="1" x="3223"/>
        <item m="1" x="4519"/>
        <item m="1" x="2232"/>
        <item m="1" x="3073"/>
        <item m="1" x="1898"/>
        <item m="1" x="3356"/>
        <item m="1" x="2371"/>
        <item m="1" x="1741"/>
        <item m="1" x="1536"/>
        <item m="1" x="3527"/>
        <item m="1" x="1412"/>
        <item m="1" x="2268"/>
        <item m="1" x="1832"/>
        <item m="1" x="4188"/>
        <item m="1" x="3067"/>
        <item m="1" x="2615"/>
        <item m="1" x="2576"/>
        <item m="1" x="2819"/>
        <item m="1" x="3948"/>
        <item m="1" x="1920"/>
        <item m="1" x="1578"/>
        <item m="1" x="3826"/>
        <item m="1" x="2205"/>
        <item m="1" x="3286"/>
        <item m="1" x="2751"/>
        <item m="1" x="3424"/>
        <item m="1" x="3847"/>
        <item m="1" x="1518"/>
        <item m="1" x="3825"/>
        <item m="1" x="4388"/>
        <item m="1" x="2305"/>
        <item m="1" x="1187"/>
        <item m="1" x="1492"/>
        <item m="1" x="3563"/>
        <item m="1" x="3292"/>
        <item m="1" x="2046"/>
        <item m="1" x="3884"/>
        <item m="1" x="4075"/>
        <item m="1" x="2195"/>
        <item m="1" x="2188"/>
        <item m="1" x="4229"/>
        <item m="1" x="2949"/>
        <item m="1" x="2501"/>
        <item m="1" x="4246"/>
        <item m="1" x="1547"/>
        <item m="1" x="3949"/>
        <item m="1" x="1419"/>
        <item m="1" x="2934"/>
        <item m="1" x="3696"/>
        <item m="1" x="4103"/>
        <item m="1" x="1653"/>
        <item m="1" x="3816"/>
        <item m="1" x="2122"/>
        <item m="1" x="1533"/>
        <item m="1" x="3791"/>
        <item m="1" x="2235"/>
        <item m="1" x="3495"/>
        <item m="1" x="3475"/>
        <item m="1" x="4491"/>
        <item m="1" x="1264"/>
        <item m="1" x="4133"/>
        <item m="1" x="3996"/>
        <item m="1" x="1729"/>
        <item m="1" x="1915"/>
        <item m="1" x="2009"/>
        <item m="1" x="1695"/>
        <item m="1" x="3670"/>
        <item m="1" x="2073"/>
        <item m="1" x="1949"/>
        <item m="1" x="2897"/>
        <item m="1" x="3320"/>
        <item m="1" x="1497"/>
        <item m="1" x="3749"/>
        <item m="1" x="2844"/>
        <item m="1" x="3506"/>
        <item m="1" x="1643"/>
        <item m="1" x="2491"/>
        <item m="1" x="2072"/>
        <item m="1" x="3537"/>
        <item m="1" x="4068"/>
        <item m="1" x="2939"/>
        <item m="1" x="2303"/>
        <item m="1" x="2117"/>
        <item m="1" x="2175"/>
        <item m="1" x="3129"/>
        <item m="1" x="4516"/>
        <item m="1" x="3625"/>
        <item m="1" x="1408"/>
        <item m="1" x="4081"/>
        <item m="1" x="1228"/>
        <item m="1" x="4317"/>
        <item m="1" x="1638"/>
        <item m="1" x="1526"/>
        <item m="1" x="4481"/>
        <item m="1" x="1135"/>
        <item m="1" x="1722"/>
        <item m="1" x="2959"/>
        <item m="1" x="2095"/>
        <item m="1" x="1391"/>
        <item m="1" x="4428"/>
        <item m="1" x="4029"/>
        <item m="1" x="3975"/>
        <item m="1" x="1167"/>
        <item m="1" x="4368"/>
        <item m="1" x="2047"/>
        <item m="1" x="2138"/>
        <item m="1" x="2946"/>
        <item m="1" x="2961"/>
        <item m="1" x="2190"/>
        <item m="1" x="4003"/>
        <item m="1" x="2825"/>
        <item m="1" x="4228"/>
        <item m="1" x="2466"/>
        <item m="1" x="1839"/>
        <item m="1" x="2837"/>
        <item m="1" x="2556"/>
        <item m="1" x="1706"/>
        <item m="1" x="1999"/>
        <item m="1" x="1283"/>
        <item m="1" x="2430"/>
        <item m="1" x="3604"/>
        <item m="1" x="2906"/>
        <item m="1" x="4351"/>
        <item m="1" x="1237"/>
        <item m="1" x="4025"/>
        <item m="1" x="1343"/>
        <item m="1" x="3386"/>
        <item m="1" x="2530"/>
        <item m="1" x="2467"/>
        <item m="1" x="3034"/>
        <item m="1" x="2624"/>
        <item m="1" x="2596"/>
        <item m="1" x="2152"/>
        <item m="1" x="2546"/>
        <item m="1" x="4262"/>
        <item m="1" x="3814"/>
        <item m="1" x="3219"/>
        <item m="1" x="3581"/>
        <item m="1" x="1887"/>
        <item m="1" x="3362"/>
        <item m="1" x="1113"/>
        <item m="1" x="3512"/>
        <item m="1" x="4301"/>
        <item m="1" x="3077"/>
        <item m="1" x="2709"/>
        <item m="1" x="3513"/>
        <item m="1" x="1480"/>
        <item m="1" x="1882"/>
        <item m="1" x="1617"/>
        <item m="1" x="2582"/>
        <item m="1" x="1435"/>
        <item m="1" x="4490"/>
        <item m="1" x="1482"/>
        <item m="1" x="3732"/>
        <item m="1" x="1212"/>
        <item m="1" x="1964"/>
        <item m="1" x="1733"/>
        <item m="1" x="1378"/>
        <item m="1" x="1712"/>
        <item m="1" x="3380"/>
        <item m="1" x="1955"/>
        <item m="1" x="4443"/>
        <item m="1" x="3639"/>
        <item m="1" x="2640"/>
        <item m="1" x="3658"/>
        <item m="1" x="1872"/>
        <item m="1" x="4386"/>
        <item m="1" x="2875"/>
        <item m="1" x="3437"/>
        <item m="1" x="1790"/>
        <item m="1" x="2765"/>
        <item m="1" x="2810"/>
        <item m="1" x="4020"/>
        <item m="1" x="2607"/>
        <item m="1" x="3799"/>
        <item m="1" x="3009"/>
        <item m="1" x="2269"/>
        <item m="1" x="1244"/>
        <item m="1" x="4206"/>
        <item m="1" x="1169"/>
        <item m="1" x="3049"/>
        <item m="1" x="1310"/>
        <item m="1" x="4211"/>
        <item m="1" x="2433"/>
        <item m="1" x="1893"/>
        <item m="1" x="3979"/>
        <item m="1" x="2634"/>
        <item m="1" x="1265"/>
        <item m="1" x="2366"/>
        <item m="1" x="3936"/>
        <item m="1" x="4332"/>
        <item m="1" x="3656"/>
        <item m="1" x="1355"/>
        <item m="1" x="2702"/>
        <item m="1" x="3905"/>
        <item m="1" x="1755"/>
        <item m="1" x="1233"/>
        <item m="1" x="3646"/>
        <item m="1" x="2510"/>
        <item m="1" x="2899"/>
        <item m="1" x="1334"/>
        <item m="1" x="1864"/>
        <item m="1" x="1649"/>
        <item m="1" x="3062"/>
        <item m="1" x="4070"/>
        <item m="1" x="4072"/>
        <item m="1" x="3373"/>
        <item m="1" x="3236"/>
        <item m="1" x="3140"/>
        <item m="1" x="2277"/>
        <item m="1" x="3410"/>
        <item m="1" x="1417"/>
        <item m="1" x="2905"/>
        <item m="1" x="3694"/>
        <item m="1" x="2176"/>
        <item m="1" x="2953"/>
        <item m="1" x="1280"/>
        <item m="1" x="3005"/>
        <item m="1" x="2059"/>
        <item m="1" x="3823"/>
        <item m="1" x="3107"/>
        <item m="1" x="1924"/>
        <item m="1" x="3198"/>
        <item m="1" x="1787"/>
        <item m="1" x="4126"/>
        <item m="1" x="3221"/>
        <item m="1" x="4208"/>
        <item m="1" x="2920"/>
        <item m="1" x="1678"/>
        <item m="1" x="4306"/>
        <item m="1" x="3481"/>
        <item m="1" x="1431"/>
        <item m="1" x="4476"/>
        <item m="1" x="4464"/>
        <item m="1" x="3116"/>
        <item m="1" x="1660"/>
        <item m="1" x="4268"/>
        <item m="1" x="4074"/>
        <item m="1" x="1879"/>
        <item m="1" x="4038"/>
        <item m="1" x="2470"/>
        <item m="1" x="3222"/>
        <item m="1" x="3730"/>
        <item m="1" x="3323"/>
        <item m="1" x="3956"/>
        <item m="1" x="3521"/>
        <item m="1" x="545"/>
        <item m="1" x="1121"/>
        <item m="1" x="4193"/>
        <item m="1" x="3271"/>
        <item m="1" x="1218"/>
        <item m="1" x="4049"/>
        <item m="1" x="4255"/>
        <item m="1" x="4312"/>
        <item m="1" x="3983"/>
        <item m="1" x="1149"/>
        <item m="1" x="2361"/>
        <item m="1" x="1510"/>
        <item m="1" x="2792"/>
        <item m="1" x="1342"/>
        <item m="1" x="3203"/>
        <item m="1" x="2612"/>
        <item m="1" x="1596"/>
        <item m="1" x="3518"/>
        <item m="1" x="1555"/>
        <item m="1" x="1974"/>
        <item m="1" x="3490"/>
        <item m="1" x="1657"/>
        <item m="1" x="1515"/>
        <item m="1" x="3839"/>
        <item m="1" x="2748"/>
        <item m="1" x="1797"/>
        <item m="1" x="4015"/>
        <item m="1" x="1928"/>
        <item m="1" x="1934"/>
        <item m="1" x="2460"/>
        <item m="1" x="3894"/>
        <item m="1" x="4077"/>
        <item m="1" x="4497"/>
        <item m="1" x="3071"/>
        <item m="1" x="1179"/>
        <item m="1" x="1457"/>
        <item m="1" x="1517"/>
        <item m="1" x="4518"/>
        <item m="1" x="3318"/>
        <item m="1" x="2248"/>
        <item m="1" x="4270"/>
        <item m="1" x="1336"/>
        <item m="1" x="1812"/>
        <item m="1" x="3434"/>
        <item m="1" x="1530"/>
        <item m="1" x="3804"/>
        <item m="1" x="3827"/>
        <item m="1" x="1485"/>
        <item m="1" x="2287"/>
        <item m="1" x="4296"/>
        <item m="1" x="4191"/>
        <item m="1" x="1115"/>
        <item m="1" x="2227"/>
        <item m="1" x="4472"/>
        <item m="1" x="1328"/>
        <item m="1" x="3514"/>
        <item m="1" x="2503"/>
        <item m="1" x="4263"/>
        <item m="1" x="4514"/>
        <item m="1" x="3392"/>
        <item m="1" x="2339"/>
        <item m="1" x="3784"/>
        <item m="1" x="2114"/>
        <item m="1" x="4093"/>
        <item m="1" x="3201"/>
        <item m="1" x="3074"/>
        <item m="1" x="1951"/>
        <item m="1" x="1443"/>
        <item m="1" x="1423"/>
        <item m="1" x="2918"/>
        <item m="1" x="4224"/>
        <item m="1" x="1703"/>
        <item m="1" x="1359"/>
        <item m="1" x="1178"/>
        <item m="1" x="3554"/>
        <item m="1" x="4346"/>
        <item m="1" x="2621"/>
        <item m="1" x="2347"/>
        <item m="1" x="1282"/>
        <item m="1" x="2454"/>
        <item m="1" x="1117"/>
        <item m="1" x="3008"/>
        <item m="1" x="2113"/>
        <item m="1" x="4413"/>
        <item m="1" x="4493"/>
        <item m="1" x="3806"/>
        <item m="1" x="3046"/>
        <item m="1" x="3904"/>
        <item m="1" x="1260"/>
        <item m="1" x="1325"/>
        <item m="1" x="3829"/>
        <item m="1" x="3432"/>
        <item m="1" x="4122"/>
        <item m="1" x="1247"/>
        <item m="1" x="1281"/>
        <item m="1" x="3688"/>
        <item m="1" x="4504"/>
        <item m="1" x="1141"/>
        <item m="1" x="1805"/>
        <item m="1" x="2565"/>
        <item m="1" x="1940"/>
        <item m="1" x="4427"/>
        <item m="1" x="1204"/>
        <item m="1" x="3943"/>
        <item m="1" x="2209"/>
        <item m="1" x="3471"/>
        <item m="1" x="4437"/>
        <item m="1" x="2740"/>
        <item m="1" x="1521"/>
        <item m="1" x="2735"/>
        <item m="1" x="3179"/>
        <item m="1" x="3204"/>
        <item m="1" x="3387"/>
        <item m="1" x="1425"/>
        <item m="1" x="2604"/>
        <item m="1" x="1917"/>
        <item m="1" x="1591"/>
        <item m="1" x="4024"/>
        <item m="1" x="4449"/>
        <item m="1" x="3709"/>
        <item m="1" x="3589"/>
        <item m="1" x="3893"/>
        <item m="1" x="3448"/>
        <item m="1" x="2239"/>
        <item m="1" x="1216"/>
        <item m="1" x="1374"/>
        <item m="1" x="1126"/>
        <item m="1" x="2260"/>
        <item m="1" x="2757"/>
        <item m="1" x="3018"/>
        <item m="1" x="3910"/>
        <item m="1" x="3329"/>
        <item m="1" x="2166"/>
        <item m="1" x="1220"/>
        <item m="1" x="1151"/>
        <item m="1" x="4001"/>
        <item m="1" x="1319"/>
        <item m="1" x="3802"/>
        <item m="1" x="1742"/>
        <item m="1" x="1896"/>
        <item m="1" x="2369"/>
        <item m="1" x="4394"/>
        <item m="1" x="2642"/>
        <item m="1" x="1278"/>
        <item m="1" x="2321"/>
        <item m="1" x="1600"/>
        <item m="1" x="2443"/>
        <item m="1" x="1884"/>
        <item m="1" x="4439"/>
        <item m="1" x="2296"/>
        <item m="1" x="3218"/>
        <item m="1" x="2052"/>
        <item m="1" x="3265"/>
        <item m="1" x="2605"/>
        <item m="1" x="3659"/>
        <item m="1" x="1209"/>
        <item m="1" x="2532"/>
        <item m="1" x="1123"/>
        <item m="1" x="3186"/>
        <item m="1" x="1576"/>
        <item m="1" x="2687"/>
        <item m="1" x="2872"/>
        <item m="1" x="1354"/>
        <item m="1" x="2948"/>
        <item m="1" x="2935"/>
        <item m="1" x="2022"/>
        <item m="1" x="1976"/>
        <item m="1" x="1542"/>
        <item m="1" x="3254"/>
        <item m="1" x="2483"/>
        <item m="1" x="2745"/>
        <item m="1" x="3550"/>
        <item m="1" x="4082"/>
        <item m="1" x="3624"/>
        <item m="1" x="1351"/>
        <item m="1" x="2718"/>
        <item m="1" x="4376"/>
        <item m="1" x="4114"/>
        <item m="1" x="4507"/>
        <item m="1" x="2169"/>
        <item m="1" x="2570"/>
        <item m="1" x="4014"/>
        <item m="1" x="2051"/>
        <item m="1" x="1441"/>
        <item m="1" x="2645"/>
        <item m="1" x="3994"/>
        <item m="1" x="4012"/>
        <item m="1" x="1180"/>
        <item m="1" x="2222"/>
        <item m="1" x="3788"/>
        <item m="1" x="3588"/>
        <item m="1" x="3394"/>
        <item m="1" x="3121"/>
        <item m="1" x="2408"/>
        <item m="1" x="4337"/>
        <item m="1" x="3511"/>
        <item m="1" x="1648"/>
        <item m="1" x="3098"/>
        <item m="1" x="2401"/>
        <item m="1" x="2699"/>
        <item m="1" x="2827"/>
        <item m="1" x="3783"/>
        <item m="1" x="2312"/>
        <item m="1" x="2542"/>
        <item m="1" x="3849"/>
        <item m="1" x="2762"/>
        <item m="1" x="2796"/>
        <item m="1" x="3650"/>
        <item m="1" x="2499"/>
        <item m="1" x="1414"/>
        <item m="1" x="2477"/>
        <item m="1" x="2846"/>
        <item m="1" x="1255"/>
        <item m="1" x="3822"/>
        <item m="1" x="3912"/>
        <item m="1" x="4203"/>
        <item m="1" x="2901"/>
        <item m="1" x="2903"/>
        <item m="1" x="3214"/>
        <item m="1" x="4343"/>
        <item m="1" x="1490"/>
        <item m="1" x="2065"/>
        <item m="1" x="1586"/>
        <item m="1" x="1257"/>
        <item m="1" x="3758"/>
        <item m="1" x="3913"/>
        <item m="1" x="1279"/>
        <item m="1" x="1561"/>
        <item m="1" x="3718"/>
        <item m="1" x="2144"/>
        <item m="1" x="3444"/>
        <item m="1" x="1234"/>
        <item m="1" x="3180"/>
        <item m="1" x="4336"/>
        <item m="1" x="2723"/>
        <item m="1" x="2173"/>
        <item m="1" x="4006"/>
        <item m="1" x="3293"/>
        <item m="1" x="1188"/>
        <item m="1" x="1607"/>
        <item m="1" x="4532"/>
        <item m="1" x="1701"/>
        <item m="1" x="2302"/>
        <item m="1" x="1802"/>
        <item m="1" x="3781"/>
        <item m="1" x="2744"/>
        <item m="1" x="3090"/>
        <item m="1" x="3536"/>
        <item m="1" x="3682"/>
        <item m="1" x="3189"/>
        <item m="1" x="1827"/>
        <item m="1" x="3508"/>
        <item m="1" x="2870"/>
        <item m="1" x="3764"/>
        <item m="1" x="2082"/>
        <item m="1" x="4448"/>
        <item m="1" x="3354"/>
        <item m="1" x="1906"/>
        <item m="1" x="4140"/>
        <item m="1" x="2062"/>
        <item m="1" x="3283"/>
        <item m="1" x="2739"/>
        <item m="1" x="4250"/>
        <item m="1" x="3501"/>
        <item m="1" x="2561"/>
        <item m="1" x="2096"/>
        <item m="1" x="1595"/>
        <item m="1" x="1119"/>
        <item m="1" x="3679"/>
        <item m="1" x="4243"/>
        <item m="1" x="4058"/>
        <item m="1" x="3530"/>
        <item m="1" x="3666"/>
        <item m="1" x="2617"/>
        <item m="1" x="3078"/>
        <item m="1" x="1266"/>
        <item m="1" x="3401"/>
        <item m="1" x="4499"/>
        <item m="1" x="1267"/>
        <item m="1" x="1288"/>
        <item m="1" x="4063"/>
        <item m="1" x="4096"/>
        <item m="1" x="3019"/>
        <item m="1" x="2951"/>
        <item m="1" x="3759"/>
        <item m="1" x="3592"/>
        <item m="1" x="2147"/>
        <item m="1" x="2041"/>
        <item m="1" x="3907"/>
        <item m="1" x="2682"/>
        <item m="1" x="1326"/>
        <item m="1" x="3111"/>
        <item m="1" x="4348"/>
        <item m="1" x="2616"/>
        <item m="1" x="3032"/>
        <item m="1" x="2506"/>
        <item m="1" x="3901"/>
        <item m="1" x="4405"/>
        <item m="1" x="1943"/>
        <item m="1" x="2683"/>
        <item m="1" x="2986"/>
        <item m="1" x="4100"/>
        <item m="1" x="2652"/>
        <item m="1" x="2956"/>
        <item m="1" x="3763"/>
        <item m="1" x="3333"/>
        <item m="1" x="3298"/>
        <item m="1" x="3187"/>
        <item m="1" x="1386"/>
        <item m="1" x="2280"/>
        <item m="1" x="1422"/>
        <item m="1" x="4338"/>
        <item m="1" x="2511"/>
        <item m="1" x="3991"/>
        <item m="1" x="2813"/>
        <item m="1" x="3599"/>
        <item m="1" x="2240"/>
        <item m="1" x="1236"/>
        <item m="1" x="3191"/>
        <item m="1" x="3851"/>
        <item m="1" x="3156"/>
        <item m="1" x="1308"/>
        <item m="1" x="2346"/>
        <item m="1" x="4095"/>
        <item m="1" x="3003"/>
        <item m="1" x="3199"/>
        <item m="1" x="2726"/>
        <item m="1" x="1658"/>
        <item m="1" x="4403"/>
        <item m="1" x="1185"/>
        <item m="1" x="4230"/>
        <item m="1" x="3945"/>
        <item m="1" x="3916"/>
        <item m="1" x="1759"/>
        <item m="1" x="2271"/>
        <item m="1" x="4086"/>
        <item m="1" x="1401"/>
        <item m="1" x="2775"/>
        <item m="1" x="1998"/>
        <item m="1" x="1118"/>
        <item m="1" x="3906"/>
        <item m="1" x="3460"/>
        <item m="1" x="3247"/>
        <item m="1" x="1981"/>
        <item m="1" x="3722"/>
        <item m="1" x="3093"/>
        <item m="1" x="4235"/>
        <item m="1" x="1867"/>
        <item m="1" x="4389"/>
        <item m="1" x="2323"/>
        <item m="1" x="2863"/>
        <item m="1" x="3727"/>
        <item m="1" x="2882"/>
        <item m="1" x="3651"/>
        <item m="1" x="2721"/>
        <item m="1" x="2450"/>
        <item m="1" x="4044"/>
        <item m="1" x="2343"/>
        <item m="1" x="3066"/>
        <item m="1" x="2225"/>
        <item m="1" x="1919"/>
        <item m="1" x="1287"/>
        <item m="1" x="4037"/>
        <item m="1" x="3151"/>
        <item m="1" x="4315"/>
        <item m="1" x="2194"/>
        <item m="1" x="1356"/>
        <item m="1" x="2895"/>
        <item m="1" x="4458"/>
        <item m="1" x="2598"/>
        <item m="1" x="1871"/>
        <item m="1" x="1801"/>
        <item m="1" x="3558"/>
        <item m="1" x="1128"/>
        <item m="1" x="1856"/>
        <item m="1" x="2704"/>
        <item m="1" x="3489"/>
        <item m="1" x="2461"/>
        <item m="1" x="3341"/>
        <item m="1" x="1622"/>
        <item m="1" x="4283"/>
        <item m="1" x="3464"/>
        <item m="1" x="1499"/>
        <item m="1" x="2925"/>
        <item m="1" x="1504"/>
        <item m="1" x="2990"/>
        <item m="1" x="3951"/>
        <item m="1" x="2237"/>
        <item m="1" x="2490"/>
        <item m="1" x="1514"/>
        <item m="1" x="2439"/>
        <item m="1" x="3446"/>
        <item m="1" x="4524"/>
        <item m="1" x="3753"/>
        <item m="1" x="2380"/>
        <item m="1" x="4249"/>
        <item m="1" x="4267"/>
        <item m="1" x="2475"/>
        <item m="1" x="3317"/>
        <item m="1" x="1796"/>
        <item m="1" x="4289"/>
        <item m="1" x="2334"/>
        <item m="1" x="3577"/>
        <item m="1" x="2666"/>
        <item m="1" x="1306"/>
        <item m="1" x="4370"/>
        <item m="1" x="3252"/>
        <item m="1" x="4393"/>
        <item m="1" x="3613"/>
        <item m="1" x="3819"/>
        <item m="1" x="3546"/>
        <item m="1" x="4404"/>
        <item m="1" x="1239"/>
        <item m="1" x="2069"/>
        <item m="1" x="3276"/>
        <item m="1" x="1623"/>
        <item m="1" x="3030"/>
        <item m="1" x="3557"/>
        <item m="1" x="3381"/>
        <item m="1" x="2840"/>
        <item m="1" x="4463"/>
        <item m="1" x="2006"/>
        <item m="1" x="2534"/>
        <item m="1" x="2865"/>
        <item m="1" x="3388"/>
        <item m="1" x="3750"/>
        <item m="1" x="1609"/>
        <item m="1" x="1720"/>
        <item m="1" x="3405"/>
        <item m="1" x="4218"/>
        <item m="1" x="3629"/>
        <item m="1" x="2523"/>
        <item m="1" x="1932"/>
        <item m="1" x="3882"/>
        <item m="1" x="1206"/>
        <item m="1" x="3507"/>
        <item m="1" x="3316"/>
        <item m="1" x="3741"/>
        <item m="1" x="3330"/>
        <item m="1" x="4441"/>
        <item m="1" x="3830"/>
        <item m="1" x="2007"/>
        <item m="1" x="1862"/>
        <item m="1" x="2678"/>
        <item m="1" x="1474"/>
        <item m="1" x="2942"/>
        <item m="1" x="4182"/>
        <item m="1" x="2104"/>
        <item m="1" x="4177"/>
        <item m="1" x="2829"/>
        <item m="1" x="4417"/>
        <item m="1" x="1382"/>
        <item m="1" x="2231"/>
        <item m="1" x="3873"/>
        <item m="1" x="3612"/>
        <item m="1" x="3061"/>
        <item m="1" x="3649"/>
        <item m="1" x="4482"/>
        <item m="1" x="3626"/>
        <item m="1" x="3614"/>
        <item m="1" x="2333"/>
        <item m="1" x="3270"/>
        <item m="1" x="4414"/>
        <item m="1" x="2139"/>
        <item m="1" x="4347"/>
        <item m="1" x="3065"/>
        <item m="1" x="4260"/>
        <item m="1" x="1885"/>
        <item m="1" x="3844"/>
        <item m="1" x="1584"/>
        <item m="1" x="3985"/>
        <item m="1" x="3853"/>
        <item m="1" x="3606"/>
        <item m="1" x="1174"/>
        <item m="1" x="4465"/>
        <item m="1" x="4400"/>
        <item m="1" x="4209"/>
        <item m="1" x="2254"/>
        <item m="1" x="3315"/>
        <item m="1" x="4451"/>
        <item m="1" x="1550"/>
        <item m="1" x="1948"/>
        <item m="1" x="3925"/>
        <item m="1" x="2243"/>
        <item m="1" x="2502"/>
        <item m="1" x="3766"/>
        <item m="1" x="1727"/>
        <item m="1" x="2566"/>
        <item m="1" x="2964"/>
        <item m="1" x="3420"/>
        <item m="1" x="3768"/>
        <item m="1" x="1384"/>
        <item m="1" x="2764"/>
        <item m="1" x="2809"/>
        <item m="1" x="2212"/>
        <item m="1" x="1390"/>
        <item m="1" x="4069"/>
        <item m="1" x="1583"/>
        <item m="1" x="1593"/>
        <item m="1" x="2537"/>
        <item m="1" x="2790"/>
        <item m="1" x="3321"/>
        <item m="1" x="3313"/>
        <item m="1" x="1525"/>
        <item m="1" x="2217"/>
        <item m="1" x="4462"/>
        <item m="1" x="2667"/>
        <item m="1" x="4455"/>
        <item m="1" x="1309"/>
        <item m="1" x="2536"/>
        <item m="1" x="2814"/>
        <item m="1" x="4419"/>
        <item m="1" x="2636"/>
        <item m="1" x="1242"/>
        <item m="1" x="3870"/>
        <item m="1" x="4355"/>
        <item m="1" x="4298"/>
        <item m="1" x="2585"/>
        <item m="1" x="2656"/>
        <item m="1" x="2329"/>
        <item m="1" x="3391"/>
        <item m="1" x="2407"/>
        <item m="1" x="2507"/>
        <item m="1" x="2193"/>
        <item m="1" x="1821"/>
        <item m="1" x="4004"/>
        <item m="1" x="1541"/>
        <item m="1" x="2613"/>
        <item m="1" x="4231"/>
        <item m="1" x="4442"/>
        <item m="1" x="3608"/>
        <item m="1" x="1111"/>
        <item m="1" x="2125"/>
        <item m="1" x="3334"/>
        <item m="1" x="4430"/>
        <item m="1" x="1677"/>
        <item m="1" x="2893"/>
        <item m="1" x="3192"/>
        <item m="1" x="3751"/>
        <item m="1" x="4256"/>
        <item m="1" x="3700"/>
        <item m="1" x="1652"/>
        <item m="1" x="3351"/>
        <item m="1" x="1724"/>
        <item m="1" x="2821"/>
        <item m="1" x="2967"/>
        <item m="1" x="1825"/>
        <item m="1" x="1304"/>
        <item m="1" x="2292"/>
        <item m="1" x="2694"/>
        <item m="1" x="2236"/>
        <item m="1" x="3760"/>
        <item m="1" x="2919"/>
        <item m="1" x="2859"/>
        <item m="1" x="1855"/>
        <item m="1" x="4457"/>
        <item m="1" x="4178"/>
        <item m="1" x="4168"/>
        <item m="1" x="3966"/>
        <item m="1" x="3834"/>
        <item m="1" x="1587"/>
        <item m="1" x="2907"/>
        <item m="1" x="4369"/>
        <item m="1" x="3898"/>
        <item m="1" x="1768"/>
        <item m="1" x="2671"/>
        <item m="1" x="1752"/>
        <item m="1" x="3926"/>
        <item m="1" x="2060"/>
        <item m="1" x="4234"/>
        <item m="1" x="1464"/>
        <item m="1" x="4496"/>
        <item m="1" x="1543"/>
        <item m="1" x="1129"/>
        <item m="1" x="2245"/>
        <item m="1" x="1232"/>
        <item m="1" x="3593"/>
        <item m="1" x="2795"/>
        <item m="1" x="2644"/>
        <item m="1" x="1451"/>
        <item m="1" x="2389"/>
        <item m="1" x="1292"/>
        <item m="1" x="2099"/>
        <item m="1" x="3596"/>
        <item m="1" x="1881"/>
        <item m="1" x="4005"/>
        <item m="1" x="4339"/>
        <item m="1" x="1723"/>
        <item m="1" x="2064"/>
        <item m="1" x="2384"/>
        <item m="1" x="1732"/>
        <item m="1" x="2914"/>
        <item m="1" x="4269"/>
        <item m="1" x="3575"/>
        <item m="1" x="3535"/>
        <item m="1" x="4390"/>
        <item m="1" x="3406"/>
        <item m="1" x="1765"/>
        <item m="1" x="3443"/>
        <item m="1" x="3225"/>
        <item m="1" x="4530"/>
        <item m="1" x="3676"/>
        <item m="1" x="3880"/>
        <item m="1" x="2083"/>
        <item m="1" x="1810"/>
        <item m="1" x="1467"/>
        <item m="1" x="2742"/>
        <item m="1" x="2770"/>
        <item m="1" x="4478"/>
        <item m="1" x="1959"/>
        <item m="1" x="3562"/>
        <item m="1" x="2996"/>
        <item m="1" x="3050"/>
        <item m="1" x="1989"/>
        <item m="1" x="1764"/>
        <item m="1" x="2698"/>
        <item m="1" x="4367"/>
        <item m="1" x="1777"/>
        <item m="1" x="1544"/>
        <item m="1" x="4471"/>
        <item m="1" x="2311"/>
        <item m="1" x="1512"/>
        <item m="1" x="3667"/>
        <item m="1" x="2557"/>
        <item m="1" x="2459"/>
        <item m="1" x="3790"/>
        <item m="1" x="1315"/>
        <item m="1" x="1456"/>
        <item m="1" x="2297"/>
        <item m="1" x="4383"/>
        <item m="1" x="3559"/>
        <item m="1" x="4138"/>
        <item m="1" x="2584"/>
        <item m="1" x="2263"/>
        <item m="1" x="2354"/>
        <item m="1" x="1616"/>
        <item m="1" x="3138"/>
        <item m="1" x="3479"/>
        <item m="1" x="2684"/>
        <item m="1" x="4066"/>
        <item m="1" x="3162"/>
        <item m="1" x="3442"/>
        <item m="1" x="1923"/>
        <item m="1" x="3805"/>
        <item m="1" x="3196"/>
        <item m="1" x="3560"/>
        <item m="1" x="2265"/>
        <item m="1" x="1715"/>
        <item m="1" x="3585"/>
        <item m="1" x="3449"/>
        <item m="1" x="1134"/>
        <item m="1" x="3294"/>
        <item m="1" x="4242"/>
        <item m="1" x="1102"/>
        <item m="1" x="4326"/>
        <item m="1" x="1746"/>
        <item m="1" x="2834"/>
        <item m="1" x="1549"/>
        <item m="1" x="1105"/>
        <item m="1" x="2458"/>
        <item m="1" x="4436"/>
        <item m="1" x="3055"/>
        <item m="1" x="1367"/>
        <item m="1" x="3580"/>
        <item m="1" x="4409"/>
        <item m="1" x="2868"/>
        <item m="1" x="2387"/>
        <item m="1" x="1548"/>
        <item m="1" x="3867"/>
        <item m="1" x="3124"/>
        <item m="1" x="4185"/>
        <item m="1" x="2651"/>
        <item m="1" x="2632"/>
        <item m="1" x="3452"/>
        <item m="1" x="3634"/>
        <item m="1" x="3520"/>
        <item m="1" x="1710"/>
        <item m="1" x="1770"/>
        <item m="1" x="4217"/>
        <item m="1" x="2693"/>
        <item m="1" x="2352"/>
        <item m="1" x="1635"/>
        <item m="1" x="3445"/>
        <item m="1" x="3903"/>
        <item m="1" x="1875"/>
        <item m="1" x="3253"/>
        <item m="1" x="3780"/>
        <item m="1" x="2884"/>
        <item m="1" x="2774"/>
        <item m="1" x="3450"/>
        <item m="1" x="1223"/>
        <item m="1" x="1631"/>
        <item m="1" x="1231"/>
        <item m="1" x="2487"/>
        <item m="1" x="1373"/>
        <item m="1" x="3543"/>
        <item m="1" x="2657"/>
        <item m="1" x="3193"/>
        <item m="1" x="2055"/>
        <item m="1" x="2568"/>
        <item m="1" x="3361"/>
        <item m="1" x="2456"/>
        <item m="1" x="4477"/>
        <item m="1" x="3533"/>
        <item m="1" x="2434"/>
        <item m="1" x="2527"/>
        <item m="1" x="3713"/>
        <item m="1" x="3331"/>
        <item m="1" x="2200"/>
        <item m="1" x="1918"/>
        <item m="1" x="2098"/>
        <item m="1" x="3244"/>
        <item m="1" x="1851"/>
        <item m="1" x="2912"/>
        <item m="1" x="2058"/>
        <item m="1" x="2650"/>
        <item m="1" x="2543"/>
        <item m="1" x="1469"/>
        <item m="1" x="4285"/>
        <item m="1" x="2913"/>
        <item m="1" x="1697"/>
        <item m="1" x="2822"/>
        <item m="1" x="2474"/>
        <item m="1" x="3976"/>
        <item m="1" x="3911"/>
        <item m="1" x="3946"/>
        <item m="1" x="3664"/>
        <item m="1" x="1840"/>
        <item m="1" x="3104"/>
        <item m="1" x="1874"/>
        <item m="1" x="1754"/>
        <item m="1" x="1190"/>
        <item m="1" x="2141"/>
        <item m="1" x="2275"/>
        <item m="1" x="1784"/>
        <item m="1" x="4525"/>
        <item m="1" x="2421"/>
        <item m="1" x="3345"/>
        <item m="1" x="2754"/>
        <item m="1" x="3238"/>
        <item m="1" x="1580"/>
        <item m="1" x="3736"/>
        <item m="1" x="1931"/>
        <item m="1" x="1406"/>
        <item m="1" x="2358"/>
        <item m="1" x="3099"/>
        <item m="1" x="2395"/>
        <item m="1" x="1284"/>
        <item m="1" x="2262"/>
        <item m="1" x="4247"/>
        <item m="1" x="1647"/>
        <item m="1" x="2701"/>
        <item m="1" x="3069"/>
        <item m="1" x="1271"/>
        <item m="1" x="1575"/>
        <item m="1" x="3302"/>
        <item m="1" x="2230"/>
        <item m="1" x="3889"/>
        <item m="1" x="3091"/>
        <item m="1" x="2162"/>
        <item m="1" x="1207"/>
        <item m="1" x="3418"/>
        <item m="1" x="2442"/>
        <item m="1" x="3529"/>
        <item m="1" x="4239"/>
        <item m="1" x="3295"/>
        <item m="1" x="3494"/>
        <item m="1" x="1686"/>
        <item m="1" x="3817"/>
        <item m="1" x="3643"/>
        <item m="1" x="2609"/>
        <item m="1" x="4121"/>
        <item m="1" x="1427"/>
        <item m="1" x="2573"/>
        <item m="1" x="1995"/>
        <item m="1" x="1738"/>
        <item m="1" x="4000"/>
        <item m="1" x="3383"/>
        <item m="1" x="3128"/>
        <item m="1" x="2027"/>
        <item m="1" x="2161"/>
        <item m="1" x="3369"/>
        <item m="1" x="1585"/>
        <item m="1" x="1737"/>
        <item m="1" x="3327"/>
        <item m="1" x="1400"/>
        <item m="1" x="4398"/>
        <item m="1" x="3310"/>
        <item m="1" x="4167"/>
        <item m="1" x="2690"/>
        <item m="1" x="2061"/>
        <item m="1" x="1980"/>
        <item m="1" x="2423"/>
        <item m="1" x="2207"/>
        <item m="1" x="3944"/>
        <item m="1" x="2274"/>
        <item m="1" x="4474"/>
        <item m="1" x="1472"/>
        <item m="1" x="2327"/>
        <item m="1" x="1363"/>
        <item m="1" x="2100"/>
        <item m="1" x="2800"/>
        <item m="1" x="3586"/>
        <item m="1" x="2386"/>
        <item m="1" x="4043"/>
        <item m="1" x="4151"/>
        <item m="1" x="3096"/>
        <item m="1" x="2950"/>
        <item m="1" x="3324"/>
        <item m="1" x="1296"/>
        <item m="1" x="1667"/>
        <item m="1" x="4535"/>
        <item m="1" x="1629"/>
        <item m="1" x="2285"/>
        <item m="1" x="3110"/>
        <item m="1" x="2676"/>
        <item m="1" x="3176"/>
        <item m="1" x="3064"/>
        <item m="1" x="2092"/>
        <item m="1" x="2603"/>
        <item m="1" x="3703"/>
        <item m="1" x="3601"/>
        <item m="1" x="2509"/>
        <item m="1" x="2124"/>
        <item m="1" x="2626"/>
        <item m="1" x="2192"/>
        <item m="1" x="3249"/>
        <item m="1" x="4147"/>
        <item m="1" x="4065"/>
        <item m="1" x="4357"/>
        <item m="1" x="1794"/>
        <item m="1" x="4510"/>
        <item m="1" x="2597"/>
        <item m="1" x="4202"/>
        <item m="1" x="3540"/>
        <item m="1" x="4132"/>
        <item m="1" x="4204"/>
        <item m="1" x="2025"/>
        <item m="1" x="3864"/>
        <item m="1" x="4379"/>
        <item m="1" x="3118"/>
        <item m="1" x="4078"/>
        <item m="1" x="1615"/>
        <item m="1" x="3549"/>
        <item m="1" x="3469"/>
        <item m="1" x="1314"/>
        <item m="1" x="3569"/>
        <item m="1" x="3678"/>
        <item m="1" x="1967"/>
        <item m="1" x="1941"/>
        <item m="1" x="1323"/>
        <item m="1" x="3465"/>
        <item m="1" x="1925"/>
        <item m="1" x="3636"/>
        <item m="1" x="1698"/>
        <item m="1" x="3413"/>
        <item m="1" x="3174"/>
        <item m="1" x="1213"/>
        <item m="1" x="2226"/>
        <item m="1" x="2186"/>
        <item m="1" x="3309"/>
        <item m="1" x="2761"/>
        <item m="1" x="1571"/>
        <item m="1" x="3685"/>
        <item m="1" x="1461"/>
        <item m="1" x="4288"/>
        <item m="1" x="2921"/>
        <item m="1" x="2665"/>
        <item m="1" x="2720"/>
        <item m="1" x="3082"/>
        <item m="1" x="1269"/>
        <item m="1" x="1156"/>
        <item m="1" x="3623"/>
        <item m="1" x="3668"/>
        <item m="1" x="3978"/>
        <item m="1" x="2730"/>
        <item m="1" x="2869"/>
        <item m="1" x="4011"/>
        <item m="1" x="2478"/>
        <item m="1" x="4106"/>
        <item m="1" x="3734"/>
        <item m="1" x="3303"/>
        <item m="1" x="2038"/>
        <item m="1" x="2259"/>
        <item m="1" x="1816"/>
        <item m="1" x="3185"/>
        <item m="1" x="3119"/>
        <item m="1" x="3675"/>
        <item m="1" x="1878"/>
        <item m="1" x="1197"/>
        <item m="1" x="1455"/>
        <item m="1" x="2993"/>
        <item m="1" x="2143"/>
        <item m="1" x="1845"/>
        <item m="1" x="3335"/>
        <item m="1" x="2838"/>
        <item m="1" x="4067"/>
        <item m="1" x="1761"/>
        <item m="1" x="3981"/>
        <item m="1" x="2664"/>
        <item m="1" x="1779"/>
        <item m="1" x="3813"/>
        <item m="1" x="1159"/>
        <item m="1" x="2904"/>
        <item m="1" x="3343"/>
        <item m="1" x="4350"/>
        <item m="1" x="2580"/>
        <item m="1" x="4309"/>
        <item m="1" x="3470"/>
        <item m="1" x="3705"/>
        <item m="1" x="4057"/>
        <item m="1" x="2267"/>
        <item m="1" x="4105"/>
        <item m="1" x="2980"/>
        <item m="1" x="1704"/>
        <item m="1" x="2928"/>
        <item m="1" x="1637"/>
        <item m="1" x="3328"/>
        <item m="1" x="3411"/>
        <item m="1" x="1388"/>
        <item m="1" x="2110"/>
        <item m="1" x="4252"/>
        <item m="1" x="1669"/>
        <item m="1" x="4381"/>
        <item m="1" x="1143"/>
        <item m="1" x="1225"/>
        <item m="1" x="4051"/>
        <item m="1" x="2279"/>
        <item m="1" x="1909"/>
        <item m="1" x="1477"/>
        <item m="1" x="1971"/>
        <item m="1" x="3565"/>
        <item m="1" x="2831"/>
        <item m="1" x="3094"/>
        <item m="1" x="2383"/>
        <item m="1" x="2365"/>
        <item m="1" x="1186"/>
        <item m="1" x="2995"/>
        <item m="1" x="2931"/>
        <item m="1" x="1569"/>
        <item m="1" x="4117"/>
        <item m="1" x="3370"/>
        <item m="1" x="3205"/>
        <item m="1" x="2880"/>
        <item m="1" x="2118"/>
        <item m="1" x="2714"/>
        <item m="1" x="4160"/>
        <item m="1" x="2431"/>
        <item m="1" x="3935"/>
        <item m="1" x="1791"/>
        <item m="1" x="2101"/>
        <item m="1" x="3371"/>
        <item m="1" x="3627"/>
        <item m="1" x="2374"/>
        <item m="1" x="2257"/>
        <item m="1" x="2637"/>
        <item m="1" x="1939"/>
        <item m="1" x="2749"/>
        <item m="1" x="2159"/>
        <item m="1" x="2670"/>
        <item m="1" x="2293"/>
        <item m="1" x="3358"/>
        <item m="1" x="4045"/>
        <item m="1" x="3771"/>
        <item m="1" x="3109"/>
        <item m="1" x="1478"/>
        <item m="1" x="1162"/>
        <item m="1" x="2791"/>
        <item m="1" x="2747"/>
        <item m="1" x="1137"/>
        <item m="1" x="4302"/>
        <item m="1" x="2249"/>
        <item m="1" x="3997"/>
        <item m="1" x="4236"/>
        <item m="1" x="4227"/>
        <item m="1" x="3438"/>
        <item m="1" x="3070"/>
        <item m="1" x="3056"/>
        <item m="1" x="3866"/>
        <item m="1" x="3938"/>
        <item m="1" x="4377"/>
        <item m="1" x="1131"/>
        <item m="1" x="1221"/>
        <item m="1" x="1921"/>
        <item m="1" x="2353"/>
        <item m="1" x="3177"/>
        <item m="1" x="3423"/>
        <item m="1" x="3312"/>
        <item m="1" x="1158"/>
        <item m="1" x="1945"/>
        <item m="1" x="2784"/>
        <item m="1" x="4331"/>
        <item m="1" x="4353"/>
        <item m="1" x="3838"/>
        <item m="1" x="4329"/>
        <item m="1" x="3657"/>
        <item m="1" x="2256"/>
        <item m="1" x="4076"/>
        <item m="1" x="4032"/>
        <item m="1" x="4501"/>
        <item m="1" x="4352"/>
        <item m="1" x="1168"/>
        <item m="1" x="1626"/>
        <item m="1" x="2877"/>
        <item m="1" x="1320"/>
        <item m="1" x="2545"/>
        <item m="1" x="4425"/>
        <item m="1" x="2524"/>
        <item m="1" x="2132"/>
        <item m="1" x="1389"/>
        <item m="1" x="1567"/>
        <item m="1" x="3934"/>
        <item m="1" x="4484"/>
        <item m="1" x="2508"/>
        <item m="1" x="1338"/>
        <item m="1" x="1814"/>
        <item m="1" x="1766"/>
        <item m="1" x="3871"/>
        <item m="1" x="2734"/>
        <item m="1" x="3085"/>
        <item m="1" x="2900"/>
        <item m="1" x="2839"/>
        <item m="1" x="2633"/>
        <item m="1" x="4399"/>
        <item m="1" x="3738"/>
        <item m="1" x="1670"/>
        <item m="1" x="1634"/>
        <item m="1" x="1335"/>
        <item m="1" x="1552"/>
        <item m="1" x="1479"/>
        <item m="1" x="2324"/>
        <item m="1" x="1124"/>
        <item m="1" x="2019"/>
        <item m="1" x="3220"/>
        <item m="1" x="3233"/>
        <item m="1" x="2359"/>
        <item m="1" x="3572"/>
        <item m="1" x="3706"/>
        <item m="1" x="2357"/>
        <item m="1" x="1392"/>
        <item m="1" x="2464"/>
        <item m="1" x="2842"/>
        <item m="1" x="2505"/>
        <item m="1" x="2711"/>
        <item m="1" x="3478"/>
        <item m="1" x="1659"/>
        <item m="1" x="4253"/>
        <item m="1" x="3797"/>
        <item m="1" x="4101"/>
        <item m="1" x="2830"/>
        <item m="1" x="1750"/>
        <item m="1" x="1249"/>
        <item m="1" x="4128"/>
        <item m="1" x="1241"/>
        <item m="1" x="2558"/>
        <item m="1" x="4123"/>
        <item m="1" x="4513"/>
        <item m="1" x="1785"/>
        <item m="1" x="1912"/>
        <item m="1" x="3883"/>
        <item m="1" x="2472"/>
        <item m="1" x="1332"/>
        <item m="1" x="4406"/>
        <item m="1" x="4195"/>
        <item m="1" x="1889"/>
        <item m="1" x="1297"/>
        <item m="1" x="3807"/>
        <item m="1" x="2068"/>
        <item m="1" x="3486"/>
        <item m="1" x="2028"/>
        <item m="1" x="4341"/>
        <item m="1" x="4334"/>
        <item m="1" x="3850"/>
        <item m="1" x="3591"/>
        <item m="1" x="3257"/>
        <item m="1" x="1645"/>
        <item m="1" x="1870"/>
        <item m="1" x="2874"/>
        <item m="1" x="1897"/>
        <item m="1" x="2759"/>
        <item m="1" x="2131"/>
        <item m="1" x="2385"/>
        <item m="1" x="1324"/>
        <item m="1" x="1357"/>
        <item m="1" x="4221"/>
        <item m="1" x="4349"/>
        <item m="1" x="3103"/>
        <item m="1" x="2563"/>
        <item m="1" x="2397"/>
        <item m="1" x="2091"/>
        <item m="1" x="2050"/>
        <item m="1" x="1493"/>
        <item m="1" x="2611"/>
        <item m="1" x="3143"/>
        <item m="1" x="3385"/>
        <item m="1" x="3023"/>
        <item m="1" x="1246"/>
        <item m="1" x="4241"/>
        <item m="1" x="4468"/>
        <item m="1" x="3714"/>
        <item m="1" x="2332"/>
        <item m="1" x="2979"/>
        <item m="1" x="3474"/>
        <item m="1" x="2233"/>
        <item m="1" x="2883"/>
        <item m="1" x="2606"/>
        <item m="1" x="1650"/>
        <item m="1" x="3735"/>
        <item m="1" x="3754"/>
        <item m="1" x="1582"/>
        <item m="1" x="2922"/>
        <item m="1" x="3088"/>
        <item m="1" x="4144"/>
        <item m="1" x="2011"/>
        <item m="1" x="3618"/>
        <item m="1" x="1938"/>
        <item m="1" x="3526"/>
        <item m="1" x="1311"/>
        <item m="1" x="2273"/>
        <item m="1" x="1505"/>
        <item m="1" x="4142"/>
        <item m="1" x="1719"/>
        <item m="1" x="1642"/>
        <item m="1" x="3336"/>
        <item m="1" x="2932"/>
        <item m="1" x="4162"/>
        <item m="1" x="2367"/>
        <item m="1" x="4214"/>
        <item m="1" x="3755"/>
        <item m="1" x="2291"/>
        <item m="1" x="1954"/>
        <item m="1" x="1675"/>
        <item m="1" x="4155"/>
        <item m="1" x="4170"/>
        <item m="1" x="1116"/>
        <item m="1" x="3208"/>
        <item m="1" x="3746"/>
        <item m="1" x="2806"/>
        <item m="1" x="1559"/>
        <item m="1" x="3039"/>
        <item m="1" x="1577"/>
        <item m="1" x="3942"/>
        <item m="1" x="2978"/>
        <item m="1" x="1327"/>
        <item m="1" x="3041"/>
        <item m="1" x="3848"/>
        <item m="1" x="3402"/>
        <item m="1" x="2672"/>
        <item m="1" x="3571"/>
        <item m="1" x="1416"/>
        <item m="1" x="1597"/>
        <item m="1" x="4097"/>
        <item m="1" x="2894"/>
        <item m="1" x="3153"/>
        <item m="1" x="4470"/>
        <item m="1" x="2178"/>
        <item m="1" x="1377"/>
        <item m="1" x="1127"/>
        <item m="1" x="3610"/>
        <item m="1" x="1519"/>
        <item m="1" x="2406"/>
        <item m="1" x="2555"/>
        <item m="1" x="3931"/>
        <item m="1" x="2136"/>
        <item m="1" x="2975"/>
        <item m="1" x="1730"/>
        <item m="1" x="4030"/>
        <item m="1" x="4466"/>
        <item m="1" x="2661"/>
        <item m="1" x="3924"/>
        <item m="1" x="1381"/>
        <item m="1" x="1813"/>
        <item m="1" x="3396"/>
        <item m="1" x="3184"/>
        <item m="1" x="4397"/>
        <item m="1" x="4526"/>
        <item m="1" x="4115"/>
        <item m="1" x="4248"/>
        <item m="1" x="4282"/>
        <item m="1" x="2215"/>
        <item m="1" x="2251"/>
        <item m="1" x="2326"/>
        <item m="1" x="3242"/>
        <item m="1" x="1183"/>
        <item m="1" x="2595"/>
        <item m="1" x="4215"/>
        <item m="1" x="2261"/>
        <item m="1" x="4527"/>
        <item m="1" x="4391"/>
        <item m="1" x="1307"/>
        <item m="1" x="3692"/>
        <item m="1" x="2631"/>
        <item m="1" x="3364"/>
        <item m="1" x="2440"/>
        <item m="1" x="3984"/>
        <item m="1" x="2121"/>
        <item m="1" x="1853"/>
        <item m="1" x="2853"/>
        <item m="1" x="2427"/>
        <item m="1" x="3959"/>
        <item m="1" x="3716"/>
        <item m="1" x="3105"/>
        <item m="1" x="3551"/>
        <item m="1" x="1321"/>
        <item m="1" x="4297"/>
        <item m="1" x="4060"/>
        <item m="1" x="2984"/>
        <item m="1" x="1950"/>
        <item m="1" x="1513"/>
        <item m="1" x="2306"/>
        <item m="1" x="2818"/>
        <item m="1" x="2685"/>
        <item m="1" x="1969"/>
        <item m="1" x="1993"/>
        <item m="1" x="3144"/>
        <item m="1" x="1166"/>
        <item m="1" x="4310"/>
        <item m="1" x="4517"/>
        <item m="1" x="4161"/>
        <item m="1" x="3723"/>
        <item m="1" x="1820"/>
        <item m="1" x="1454"/>
        <item m="1" x="4300"/>
        <item m="1" x="4318"/>
        <item m="1" x="2157"/>
        <item m="1" x="3794"/>
        <item m="1" x="2677"/>
        <item m="1" x="3060"/>
        <item m="1" x="3789"/>
        <item m="1" x="3811"/>
        <item m="1" x="2660"/>
        <item m="1" x="3861"/>
        <item m="1" x="2531"/>
        <item m="1" x="3007"/>
        <item m="1" x="1301"/>
        <item m="1" x="2015"/>
        <item m="1" x="2418"/>
        <item m="1" x="4019"/>
        <item m="1" x="1621"/>
        <item m="1" x="1904"/>
        <item m="1" x="3542"/>
        <item m="1" x="1968"/>
        <item m="1" x="3395"/>
        <item m="1" x="2468"/>
        <item m="1" x="3947"/>
        <item m="1" x="2623"/>
        <item m="1" x="3674"/>
        <item m="1" x="4190"/>
        <item m="1" x="2182"/>
        <item m="1" x="2836"/>
        <item m="1" x="1463"/>
        <item m="1" x="3211"/>
        <item m="1" x="3278"/>
        <item m="1" x="2860"/>
        <item m="1" x="2168"/>
        <item m="1" x="3524"/>
        <item m="1" x="1850"/>
        <item m="1" x="2697"/>
        <item m="1" x="4257"/>
        <item m="1" x="1330"/>
        <item m="1" x="2888"/>
        <item m="1" x="2463"/>
        <item m="1" x="1290"/>
        <item m="1" x="4173"/>
        <item m="1" x="2972"/>
        <item m="1" x="1734"/>
        <item m="1" x="1711"/>
        <item m="1" x="1824"/>
        <item m="1" x="2045"/>
        <item m="1" x="3793"/>
        <item m="1" x="3136"/>
        <item m="1" x="4536"/>
        <item m="1" x="4137"/>
        <item m="1" x="2325"/>
        <item m="1" x="3146"/>
        <item m="1" x="4284"/>
        <item m="1" x="1611"/>
        <item m="1" x="3188"/>
        <item m="1" x="2107"/>
        <item m="1" x="1972"/>
        <item m="1" x="2093"/>
        <item m="1" x="2314"/>
        <item m="1" x="3399"/>
        <item m="1" x="3522"/>
        <item m="1" x="1132"/>
        <item m="1" x="3547"/>
        <item m="1" x="3597"/>
        <item m="1" x="2669"/>
        <item m="1" x="3833"/>
        <item m="1" x="2518"/>
        <item m="1" x="3366"/>
        <item m="1" x="4198"/>
        <item m="1" x="1751"/>
        <item m="1" x="3964"/>
        <item m="1" x="1656"/>
        <item m="1" x="3263"/>
        <item m="1" x="4479"/>
        <item m="1" x="4146"/>
        <item m="1" x="1289"/>
        <item m="1" x="1671"/>
        <item m="1" x="1987"/>
        <item m="1" x="1205"/>
        <item m="1" x="1250"/>
        <item m="1" x="3492"/>
        <item m="1" x="1352"/>
        <item m="1" x="3040"/>
        <item m="1" x="3584"/>
        <item m="1" x="3534"/>
        <item m="1" x="1538"/>
        <item m="1" x="1489"/>
        <item m="1" x="4055"/>
        <item m="1" x="3836"/>
        <item m="1" x="2376"/>
        <item m="1" x="1914"/>
        <item m="1" x="2833"/>
        <item m="1" x="2760"/>
        <item m="1" x="1291"/>
        <item m="1" x="1958"/>
        <item m="1" x="1992"/>
        <item m="1" x="3000"/>
        <item m="1" x="2219"/>
        <item m="1" x="2445"/>
        <item m="1" x="2763"/>
        <item m="1" x="3704"/>
        <item m="1" x="1192"/>
        <item m="1" x="3053"/>
        <item m="1" x="1661"/>
        <item m="1" x="1350"/>
        <item m="1" x="1783"/>
        <item m="1" x="2043"/>
        <item m="1" x="4116"/>
        <item m="1" x="2571"/>
        <item m="1" x="1276"/>
        <item m="1" x="4189"/>
        <item m="1" x="2801"/>
        <item m="1" x="1900"/>
        <item m="1" x="1215"/>
        <item m="1" x="2590"/>
        <item m="1" x="2513"/>
        <item m="1" x="1322"/>
        <item m="1" x="3968"/>
        <item m="1" x="2221"/>
        <item m="1" x="3342"/>
        <item m="1" x="2075"/>
        <item m="1" x="4090"/>
        <item m="1" x="2929"/>
        <item m="1" x="1665"/>
        <item m="1" x="2772"/>
        <item m="1" x="2013"/>
        <item m="1" x="1558"/>
        <item m="1" x="2552"/>
        <item m="1" x="3998"/>
        <item m="1" x="1331"/>
        <item m="1" x="3206"/>
        <item m="1" x="1988"/>
        <item m="1" x="3228"/>
        <item m="1" x="2382"/>
        <item m="1" x="1811"/>
        <item m="1" x="3414"/>
        <item m="1" x="1333"/>
        <item m="1" x="1163"/>
        <item m="1" x="2788"/>
        <item m="1" x="1462"/>
        <item m="1" x="1275"/>
        <item m="1" x="3778"/>
        <item m="1" x="4521"/>
        <item m="1" x="4384"/>
        <item m="1" x="4042"/>
        <item m="1" x="3480"/>
        <item m="1" x="3515"/>
        <item m="1" x="2663"/>
        <item m="1" x="4156"/>
        <item m="1" x="3721"/>
        <item m="1" x="1961"/>
        <item m="1" x="4533"/>
        <item m="1" x="1507"/>
        <item m="1" x="4447"/>
        <item m="1" x="2559"/>
        <item m="1" x="2084"/>
        <item m="1" x="3264"/>
        <item m="1" x="1270"/>
        <item m="1" x="2388"/>
        <item m="1" x="3172"/>
        <item m="1" x="4073"/>
        <item m="1" x="1843"/>
        <item m="1" x="2591"/>
        <item m="1" x="3950"/>
        <item m="1" x="3772"/>
        <item m="1" x="2462"/>
        <item m="1" x="3155"/>
        <item m="1" x="1823"/>
        <item m="1" x="1863"/>
        <item m="1" x="2031"/>
        <item m="1" x="4187"/>
        <item m="1" x="2655"/>
        <item m="1" x="3036"/>
        <item m="1" x="4092"/>
        <item m="1" x="3246"/>
        <item m="1" x="1148"/>
        <item m="1" x="1557"/>
        <item m="1" x="3453"/>
        <item m="1" x="1471"/>
        <item m="1" x="2363"/>
        <item m="1" x="2512"/>
        <item m="1" x="3029"/>
        <item m="1" x="3139"/>
        <item m="1" x="1224"/>
        <item m="1" x="2736"/>
        <item m="1" x="3037"/>
        <item m="1" x="3532"/>
        <item m="1" x="4522"/>
        <item m="1" x="3570"/>
        <item m="1" x="3854"/>
        <item m="1" x="3927"/>
        <item m="1" x="2710"/>
        <item m="1" x="4340"/>
        <item m="1" x="4251"/>
        <item m="1" x="4148"/>
        <item m="1" x="1235"/>
        <item m="1" x="3224"/>
        <item m="1" x="3467"/>
        <item m="1" x="1627"/>
        <item m="1" x="1979"/>
        <item m="1" x="3178"/>
        <item m="1" x="1756"/>
        <item m="1" x="3232"/>
        <item m="1" x="2569"/>
        <item m="1" x="3487"/>
        <item m="1" x="4079"/>
        <item m="1" x="1619"/>
        <item m="1" x="2955"/>
        <item m="1" x="4181"/>
        <item m="1" x="2342"/>
        <item m="1" x="4085"/>
        <item m="1" x="2675"/>
        <item m="1" x="3920"/>
        <item m="1" x="2608"/>
        <item m="1" x="1767"/>
        <item m="1" x="4080"/>
        <item m="1" x="1769"/>
        <item m="1" x="3462"/>
        <item m="1" x="1692"/>
        <item m="1" x="3171"/>
        <item m="1" x="3774"/>
        <item m="1" x="1601"/>
        <item m="1" x="2540"/>
        <item m="1" x="2213"/>
        <item m="1" x="3277"/>
        <item m="1" x="3173"/>
        <item m="1" x="4511"/>
        <item m="1" x="2628"/>
        <item m="1" x="1153"/>
        <item m="1" x="1789"/>
        <item m="1" x="4505"/>
        <item m="1" x="3720"/>
        <item m="1" x="2154"/>
        <item m="1" x="2134"/>
        <item m="1" x="2242"/>
        <item m="1" x="3057"/>
        <item m="1" x="3775"/>
        <item m="1" x="2486"/>
        <item m="1" x="2544"/>
        <item m="1" x="2574"/>
        <item m="1" x="1440"/>
        <item m="1" x="2641"/>
        <item m="1" x="4494"/>
        <item m="1" x="2276"/>
        <item m="1" x="2635"/>
        <item m="1" x="1592"/>
        <item m="1" x="2807"/>
        <item m="1" x="2808"/>
        <item m="1" x="2206"/>
        <item m="1" x="4433"/>
        <item m="1" x="1828"/>
        <item m="1" x="4469"/>
        <item m="1" x="1572"/>
        <item m="1" x="3509"/>
        <item m="1" x="2494"/>
        <item m="1" x="2876"/>
        <item m="1" x="1852"/>
        <item m="1" x="1568"/>
        <item m="1" x="2097"/>
        <item m="1" x="3200"/>
        <item m="1" x="3274"/>
        <item m="1" x="2722"/>
        <item m="1" x="1460"/>
        <item m="1" x="4062"/>
        <item m="1" x="2089"/>
        <item m="1" x="2350"/>
        <item m="1" x="2866"/>
        <item m="1" x="3455"/>
        <item m="1" x="1916"/>
        <item m="1" x="3134"/>
        <item m="1" x="1570"/>
        <item m="1" x="3900"/>
        <item m="1" x="3787"/>
        <item m="1" x="1452"/>
        <item m="1" x="2627"/>
        <item m="1" x="2286"/>
        <item m="1" x="2308"/>
        <item m="1" x="4240"/>
        <item m="1" x="3017"/>
        <item m="1" x="3603"/>
        <item m="1" x="4387"/>
        <item m="1" x="3582"/>
        <item m="1" x="1404"/>
        <item m="1" x="2128"/>
        <item m="1" x="2538"/>
        <item m="1" x="3397"/>
        <item m="1" x="1565"/>
        <item m="1" x="1933"/>
        <item m="1" x="4040"/>
        <item m="1" x="3982"/>
        <item m="1" x="2071"/>
        <item m="1" x="1606"/>
        <item m="1" x="3422"/>
        <item m="1" x="2108"/>
        <item m="1" x="3229"/>
        <item m="1" x="4102"/>
        <item m="1" x="4175"/>
        <item m="1" x="3892"/>
        <item m="1" x="1854"/>
        <item m="1" x="4321"/>
        <item m="1" x="1140"/>
        <item m="1" x="1402"/>
        <item m="1" x="2968"/>
        <item m="1" x="2000"/>
        <item m="1" x="3782"/>
        <item m="1" x="2708"/>
        <item m="1" x="2817"/>
        <item m="1" x="4127"/>
        <item m="1" x="2181"/>
        <item m="1" x="1930"/>
        <item m="1" x="4424"/>
        <item m="1" x="1927"/>
        <item m="1" x="1907"/>
        <item m="1" x="1740"/>
        <item m="1" x="3798"/>
        <item m="1" x="2564"/>
        <item m="1" x="2541"/>
        <item m="1" x="2290"/>
        <item m="1" x="2533"/>
        <item m="1" x="4183"/>
        <item m="1" x="2021"/>
        <item m="1" x="2798"/>
        <item m="1" x="2111"/>
        <item m="1" x="3875"/>
        <item m="1" x="3006"/>
        <item m="1" x="1753"/>
        <item m="1" x="3742"/>
        <item m="1" x="2997"/>
        <item m="1" x="1534"/>
        <item m="1" x="3699"/>
        <item m="1" x="2218"/>
        <item m="1" x="1347"/>
        <item m="1" x="1393"/>
        <item m="1" x="4179"/>
        <item m="1" x="1684"/>
        <item m="1" x="2319"/>
        <item m="1" x="2039"/>
        <item m="1" x="2199"/>
        <item m="1" x="4378"/>
        <item x="0"/>
        <item m="1" x="4354"/>
        <item m="1" x="3426"/>
        <item m="1" x="2419"/>
        <item m="1" x="1774"/>
        <item m="1" x="3632"/>
        <item m="1" x="2917"/>
        <item m="1" x="1498"/>
        <item m="1" x="2396"/>
        <item m="1" x="1978"/>
        <item m="1" x="1800"/>
        <item m="1" x="2079"/>
        <item m="1" x="3367"/>
        <item m="1" x="1957"/>
        <item m="1" x="1834"/>
        <item m="1" x="2010"/>
        <item m="1" x="3635"/>
        <item m="1" x="3619"/>
        <item m="1" x="4498"/>
        <item m="1" x="1994"/>
        <item m="1" x="4280"/>
        <item m="1" x="1432"/>
        <item m="1" x="2998"/>
        <item m="1" x="3539"/>
        <item m="1" x="1655"/>
        <item m="1" x="3305"/>
        <item m="1" x="2390"/>
        <item m="1" x="2465"/>
        <item m="1" x="2040"/>
        <item m="1" x="1620"/>
        <item m="1" x="2861"/>
        <item m="1" x="2799"/>
        <item m="1" x="4021"/>
        <item m="1" x="4528"/>
        <item m="1" x="1806"/>
        <item m="1" x="3765"/>
        <item m="1" x="1208"/>
        <item m="1" x="2164"/>
        <item m="1" x="1668"/>
        <item m="1" x="3863"/>
        <item m="1" x="3409"/>
        <item m="1" x="3963"/>
        <item m="1" x="2037"/>
        <item m="1" x="4039"/>
        <item m="1" x="2282"/>
        <item m="1" x="2879"/>
        <item m="1" x="4125"/>
        <item m="1" x="1848"/>
        <item m="1" x="1640"/>
        <item m="1" x="4071"/>
        <item m="1" x="1690"/>
        <item m="1" x="3466"/>
        <item m="1" x="4502"/>
        <item m="1" x="2514"/>
        <item m="1" x="4048"/>
        <item m="1" x="3353"/>
        <item m="1" x="4277"/>
        <item m="1" x="3290"/>
        <item m="1" x="4421"/>
        <item m="1" x="2692"/>
        <item m="1" x="3282"/>
        <item m="1" x="3304"/>
        <item m="1" x="2272"/>
        <item m="1" x="1613"/>
        <item m="1" x="1339"/>
        <item m="1" x="1782"/>
        <item m="1" x="2654"/>
        <item m="1" x="4028"/>
        <item m="1" x="3033"/>
        <item m="1" x="1405"/>
        <item m="1" x="4176"/>
        <item m="1" x="1574"/>
        <item m="1" x="4131"/>
        <item m="1" x="2252"/>
        <item m="1" x="3226"/>
        <item m="1" x="2129"/>
        <item m="1" x="3256"/>
        <item m="1" x="2392"/>
        <item m="1" x="2755"/>
        <item m="1" x="1445"/>
        <item m="1" x="3895"/>
        <item m="1" x="1138"/>
        <item m="1" x="3965"/>
        <item m="1" x="2377"/>
        <item m="1" x="1429"/>
        <item m="1" x="1522"/>
        <item m="1" x="1420"/>
        <item m="1" x="2116"/>
        <item m="1" x="3407"/>
        <item m="1" x="3248"/>
        <item m="1" x="1581"/>
        <item m="1" x="1465"/>
        <item m="1" x="2375"/>
        <item m="1" x="2941"/>
        <item m="1" x="1556"/>
        <item m="1" x="2444"/>
        <item m="1" x="2165"/>
        <item m="1" x="3915"/>
        <item m="1" x="1503"/>
        <item m="1" x="3002"/>
        <item m="1" x="4435"/>
        <item m="1" x="1562"/>
        <item m="1" x="2241"/>
        <item m="1" x="1316"/>
        <item m="1" x="2250"/>
        <item m="1" x="2887"/>
        <item m="1" x="2987"/>
        <item m="1" x="3655"/>
        <item m="1" x="3498"/>
        <item m="1" x="2415"/>
        <item m="1" x="2782"/>
        <item m="1" x="3012"/>
        <item m="1" x="3868"/>
        <item m="1" x="3502"/>
        <item m="1" x="2244"/>
        <item m="1" x="4207"/>
        <item m="1" x="2845"/>
        <item m="1" x="1663"/>
        <item m="1" x="3641"/>
        <item m="1" x="1511"/>
        <item m="1" x="1376"/>
        <item m="1" x="3517"/>
        <item m="1" x="2855"/>
        <item m="1" x="4112"/>
        <item m="1" x="4094"/>
        <item m="1" x="1866"/>
        <item m="1" x="1475"/>
        <item m="1" x="2304"/>
        <item m="1" x="2700"/>
        <item m="1" x="2515"/>
        <item m="1" x="3421"/>
        <item m="1" x="2554"/>
        <item m="1" x="3698"/>
        <item m="1" x="3145"/>
        <item m="1" x="2295"/>
        <item m="1" x="1757"/>
        <item m="1" x="2330"/>
        <item m="1" x="3594"/>
        <item m="1" x="3961"/>
        <item m="1" x="2516"/>
        <item m="1" x="3010"/>
        <item m="1" x="1358"/>
        <item m="1" x="3598"/>
        <item m="1" x="3717"/>
        <item m="1" x="1298"/>
        <item m="1" x="1573"/>
        <item m="1" x="1211"/>
        <item m="1" x="4244"/>
        <item m="1" x="1960"/>
        <item m="1" x="3382"/>
        <item m="1" x="3258"/>
        <item m="1" x="3135"/>
        <item m="1" x="1305"/>
        <item m="1" x="3378"/>
        <item m="1" x="3072"/>
        <item m="1" x="4194"/>
        <item m="1" x="3368"/>
        <item m="1" x="1913"/>
        <item m="1" x="2493"/>
        <item m="1" x="1858"/>
        <item m="1" x="1952"/>
        <item m="1" x="3835"/>
        <item m="1" x="2717"/>
        <item m="1" x="1628"/>
        <item m="1" x="2283"/>
        <item m="1" x="1448"/>
        <item m="1" x="3491"/>
        <item m="1" x="3289"/>
        <item m="1" x="2036"/>
        <item m="1" x="3403"/>
        <item m="1" x="3504"/>
        <item m="1" x="2673"/>
        <item m="1" x="3708"/>
        <item m="1" x="3707"/>
        <item m="1" x="3808"/>
        <item m="1" x="2077"/>
        <item m="1" x="3940"/>
        <item m="1" x="1636"/>
        <item m="1" x="3531"/>
        <item m="1" x="4432"/>
        <item m="1" x="2891"/>
        <item m="1" x="3683"/>
        <item m="1" x="1589"/>
        <item m="1" x="1771"/>
        <item m="1" x="4056"/>
        <item m="1" x="3538"/>
        <item m="1" x="2196"/>
        <item m="1" x="3097"/>
        <item m="1" x="3251"/>
        <item m="1" x="3268"/>
        <item m="1" x="4118"/>
        <item m="1" x="4438"/>
        <item m="1" x="3564"/>
        <item m="1" x="3291"/>
        <item m="1" x="1295"/>
        <item m="1" x="2234"/>
        <item m="1" x="2848"/>
        <item m="1" x="3416"/>
        <item m="1" x="1369"/>
        <item m="1" x="4333"/>
        <item m="1" x="4054"/>
        <item m="1" x="2048"/>
        <item m="1" x="4225"/>
        <item m="1" x="3026"/>
        <item m="1" x="2416"/>
        <item m="1" x="3686"/>
        <item m="1" x="1778"/>
        <item m="1" x="1962"/>
        <item m="1" x="2896"/>
        <item m="1" x="3500"/>
        <item m="1" x="2707"/>
        <item m="1" x="2229"/>
        <item m="1" x="4031"/>
        <item m="1" x="3756"/>
        <item m="1" x="1396"/>
        <item m="1" x="1947"/>
        <item m="1" x="2940"/>
        <item m="1" x="4223"/>
        <item m="1" x="1433"/>
        <item m="1" x="4186"/>
        <item m="1" x="2567"/>
        <item m="1" x="2867"/>
        <item m="1" x="3165"/>
        <item m="1" x="4083"/>
        <item m="1" x="4356"/>
        <item m="1" x="4416"/>
        <item m="1" x="3954"/>
        <item m="1" x="3497"/>
        <item m="1" x="3477"/>
        <item m="1" x="1709"/>
        <item m="1" x="3360"/>
        <item m="1" x="2167"/>
        <item m="1" x="4520"/>
        <item m="1" x="3862"/>
        <item m="1" x="3400"/>
        <item m="1" x="1106"/>
        <item m="1" x="2902"/>
        <item m="1" x="1385"/>
        <item m="1" x="3987"/>
        <item m="1" x="4473"/>
        <item m="1" x="3974"/>
        <item m="1" x="1195"/>
        <item m="1" x="1407"/>
        <item m="1" x="3163"/>
        <item m="1" x="4374"/>
        <item m="1" x="2253"/>
        <item m="1" x="3016"/>
        <item m="1" x="1688"/>
        <item m="1" x="3744"/>
        <item m="1" x="1446"/>
        <item m="1" x="2400"/>
        <item m="1" x="2785"/>
        <item m="1" x="3989"/>
        <item m="1" x="1318"/>
        <item m="1" x="2741"/>
        <item m="1" x="3973"/>
        <item m="1" x="1966"/>
        <item m="1" x="1614"/>
        <item m="1" x="3115"/>
        <item m="1" x="1146"/>
        <item m="1" x="3726"/>
        <item m="1" x="1808"/>
        <item m="1" x="1418"/>
        <item m="1" x="1837"/>
        <item m="1" x="4141"/>
        <item m="1" x="3740"/>
        <item m="1" x="2063"/>
        <item m="1" x="3818"/>
        <item m="1" x="1259"/>
        <item m="1" x="2662"/>
        <item m="1" x="3881"/>
        <item m="1" x="2398"/>
        <item m="1" x="3859"/>
        <item m="1" x="3025"/>
        <item m="1" x="3748"/>
        <item m="1" x="3158"/>
        <item m="1" x="3127"/>
        <item m="1" x="1844"/>
        <item m="1" x="2497"/>
        <item m="1" x="4174"/>
        <item m="1" x="4205"/>
        <item m="1" x="2994"/>
        <item m="1" x="2550"/>
        <item m="1" x="3874"/>
        <item m="1" x="1202"/>
        <item m="1" x="3239"/>
        <item m="1" x="3374"/>
        <item m="1" x="4503"/>
        <item m="1" x="2307"/>
        <item m="1" x="1252"/>
        <item m="1" x="2927"/>
        <item m="1" x="2368"/>
        <item m="1" x="2449"/>
        <item m="1" x="1883"/>
        <item m="1" x="4475"/>
        <item m="1" x="4303"/>
        <item m="1" x="3561"/>
        <item m="1" x="1444"/>
        <item m="1" x="2878"/>
        <item m="1" x="3021"/>
        <item m="1" x="3240"/>
        <item m="1" x="1888"/>
        <item m="1" x="3347"/>
        <item m="1" x="1809"/>
        <item m="1" x="2768"/>
        <item m="1" x="2733"/>
        <item m="1" x="4508"/>
        <item m="1" x="2971"/>
        <item m="1" x="2610"/>
        <item m="1" x="3114"/>
        <item m="1" x="2539"/>
        <item m="1" x="1819"/>
        <item m="1" x="3697"/>
        <item m="1" x="3408"/>
        <item m="1" x="3541"/>
        <item m="1" x="1122"/>
        <item m="1" x="2120"/>
        <item m="1" x="2035"/>
        <item m="1" x="3463"/>
        <item m="1" x="1198"/>
        <item m="1" x="3300"/>
        <item m="1" x="1487"/>
        <item m="1" x="2909"/>
        <item m="1" x="4534"/>
        <item m="1" x="1691"/>
        <item m="1" x="3712"/>
        <item m="1" x="2653"/>
        <item m="1" x="1303"/>
        <item m="1" x="2851"/>
        <item m="1" x="1788"/>
        <item m="1" x="2016"/>
        <item m="1" x="1936"/>
        <item m="1" x="2044"/>
        <item m="1" x="2864"/>
        <item m="1" x="3842"/>
        <item m="1" x="1539"/>
        <item m="1" x="3483"/>
        <item m="1" x="2264"/>
        <item m="1" x="2080"/>
        <item m="1" x="2965"/>
        <item m="1" x="4064"/>
        <item m="1" x="3496"/>
        <item m="1" x="4366"/>
        <item m="1" x="2309"/>
        <item m="1" x="3810"/>
        <item m="1" x="4201"/>
        <item m="1" x="2924"/>
        <item m="1" x="1780"/>
        <item m="1" x="4034"/>
        <item m="1" x="1254"/>
        <item m="1" x="2471"/>
        <item m="1" x="3440"/>
        <item m="1" x="2938"/>
        <item m="1" x="2211"/>
        <item m="1" x="3212"/>
        <item m="1" x="2171"/>
        <item m="1" x="3052"/>
        <item m="1" x="2338"/>
        <item m="1" x="1963"/>
        <item m="1" x="2053"/>
        <item m="1" x="2981"/>
        <item m="1" x="2455"/>
        <item m="1" x="2223"/>
        <item m="1" x="1415"/>
        <item m="1" x="3923"/>
        <item m="1" x="1982"/>
        <item m="1" x="4200"/>
        <item m="1" x="1935"/>
        <item m="1" x="3149"/>
        <item m="1" x="3454"/>
        <item m="1" x="4392"/>
        <item m="1" x="2816"/>
        <item m="1" x="3815"/>
        <item m="1" x="1822"/>
        <item m="1" x="3693"/>
        <item m="1" x="3786"/>
        <item m="1" x="4278"/>
        <item m="1" x="3332"/>
        <item m="1" x="2549"/>
        <item m="1" x="3739"/>
        <item m="1" x="3840"/>
        <item m="1" x="4363"/>
        <item m="1" x="2945"/>
        <item m="1" x="1470"/>
        <item m="1" x="3273"/>
        <item m="1" x="4467"/>
        <item m="1" x="1240"/>
        <item m="1" x="1983"/>
        <item m="1" x="2776"/>
        <item m="1" x="2752"/>
        <item m="1" x="2910"/>
        <item m="1" x="4488"/>
        <item m="1" x="1633"/>
        <item m="1" x="2413"/>
        <item m="1" x="3068"/>
        <item m="1" x="4145"/>
        <item m="1" x="2034"/>
        <item m="1" x="3792"/>
        <item m="1" x="3637"/>
        <item m="1" x="3929"/>
        <item m="1" x="1831"/>
        <item m="1" x="1453"/>
        <item m="1" x="1484"/>
        <item m="1" x="4233"/>
        <item m="1" x="1651"/>
        <item m="1" x="3609"/>
        <item m="1" x="3607"/>
        <item m="1" x="4440"/>
        <item m="1" x="2156"/>
        <item m="1" x="1625"/>
        <item m="1" x="3648"/>
        <item m="1" x="3159"/>
        <item m="1" x="3545"/>
        <item m="1" x="3297"/>
        <item m="1" x="4365"/>
        <item m="1" x="2614"/>
        <item m="1" x="2436"/>
        <item m="1" x="2489"/>
        <item m="1" x="3846"/>
        <item m="1" x="1161"/>
        <item m="1" x="1345"/>
        <item m="1" x="2520"/>
        <item m="1" x="1560"/>
        <item m="1" x="3363"/>
        <item m="1" x="2074"/>
        <item m="1" x="2601"/>
        <item m="1" x="4046"/>
        <item m="1" x="3579"/>
        <item m="1" x="1399"/>
        <item m="1" x="2432"/>
        <item m="1" x="3365"/>
        <item m="1" x="3640"/>
        <item m="1" x="3337"/>
        <item m="1" x="4166"/>
        <item m="1" x="1245"/>
        <item m="1" x="2960"/>
        <item m="1" x="3711"/>
        <item m="1" x="4281"/>
        <item m="1" x="4454"/>
        <item m="1" x="1815"/>
        <item m="1" x="3197"/>
        <item m="1" x="4232"/>
        <item m="1" x="2258"/>
        <item m="1" x="2394"/>
        <item m="1" x="2725"/>
        <item m="1" x="4220"/>
        <item m="1" x="1203"/>
        <item m="1" x="3908"/>
        <item m="1" x="2266"/>
        <item m="1" x="2399"/>
        <item m="1" x="3167"/>
        <item m="1" x="4152"/>
        <item m="1" x="2826"/>
        <item m="1" x="2889"/>
        <item m="1" x="2529"/>
        <item m="1" x="2238"/>
        <item m="1" x="2586"/>
        <item m="1" x="2930"/>
        <item m="1" x="1540"/>
        <item m="1" x="4460"/>
        <item m="1" x="1371"/>
        <item m="1" x="4305"/>
        <item m="1" x="1781"/>
        <item m="1" x="2335"/>
        <item m="1" x="3042"/>
        <item m="1" x="2547"/>
        <item m="1" x="2495"/>
        <item m="1" x="2088"/>
        <item m="1" x="1182"/>
        <item m="1" x="1508"/>
        <item m="1" x="3928"/>
        <item m="1" x="3456"/>
        <item m="1" x="1253"/>
        <item m="1" x="3213"/>
        <item m="1" x="3281"/>
        <item m="1" x="4325"/>
        <item m="1" x="2284"/>
        <item m="1" x="3083"/>
        <item m="1" x="3169"/>
        <item m="1" x="1588"/>
        <item m="1" x="4197"/>
        <item m="1" x="2727"/>
        <item m="1" x="2985"/>
        <item m="1" x="1682"/>
        <item m="1" x="3152"/>
        <item m="1" x="3510"/>
        <item m="1" x="3080"/>
        <item m="1" x="3644"/>
        <item m="1" x="1527"/>
        <item m="1" x="3652"/>
        <item m="1" x="4360"/>
        <item m="1" x="1899"/>
        <item m="1" x="3255"/>
        <item m="1" x="2112"/>
        <item m="1" x="4169"/>
        <item m="1" x="1763"/>
        <item m="1" x="4258"/>
        <item m="1" x="3160"/>
        <item m="1" x="3011"/>
        <item m="1" x="2988"/>
        <item m="1" x="3488"/>
        <item m="1" x="1996"/>
        <item m="1" x="2797"/>
        <item m="1" x="2674"/>
        <item m="1" x="2344"/>
        <item m="1" x="1196"/>
        <item m="1" x="2094"/>
        <item m="1" x="1523"/>
        <item m="1" x="4483"/>
        <item m="1" x="3308"/>
        <item m="1" x="4304"/>
        <item m="1" x="2014"/>
        <item m="1" x="1181"/>
        <item m="1" x="1424"/>
        <item m="1" x="4184"/>
        <item m="1" x="1689"/>
        <item m="1" x="4531"/>
        <item m="1" x="3933"/>
        <item m="1" x="1717"/>
        <item m="1" x="2109"/>
        <item m="1" x="3355"/>
        <item m="1" x="3472"/>
        <item m="1" x="3493"/>
        <item m="1" x="3574"/>
        <item m="1" x="2299"/>
        <item m="1" x="2453"/>
        <item m="1" x="3132"/>
        <item m="1" x="4412"/>
        <item m="1" x="2835"/>
        <item m="1" x="2944"/>
        <item m="1" x="1910"/>
        <item m="1" x="4328"/>
        <item m="1" x="2738"/>
        <item m="1" x="2246"/>
        <item m="1" x="3548"/>
        <item m="1" x="4452"/>
        <item m="1" x="4407"/>
        <item m="1" x="2076"/>
        <item m="1" x="1798"/>
        <item m="1" x="1379"/>
        <item m="1" x="3154"/>
        <item m="1" x="4495"/>
        <item m="1" x="1973"/>
        <item m="1" x="1144"/>
        <item m="1" x="1880"/>
        <item m="1" x="1537"/>
        <item m="1" x="1694"/>
        <item m="1" x="2706"/>
        <item m="1" x="4261"/>
        <item m="1" x="3164"/>
        <item m="1" x="3275"/>
        <item m="1" x="1942"/>
        <item m="1" x="2210"/>
        <item m="1" x="1341"/>
        <item m="1" x="3796"/>
        <item m="1" x="3028"/>
        <item m="1" x="3919"/>
        <item m="1" x="3690"/>
        <item m="1" x="1679"/>
        <item m="1" x="2316"/>
        <item m="1" x="3828"/>
        <item m="1" x="1970"/>
        <item m="1" x="1139"/>
        <item m="1" x="3553"/>
        <item m="1" x="3622"/>
        <item m="1" x="3122"/>
        <item m="1" x="3261"/>
        <item m="1" x="2578"/>
        <item m="1" x="3301"/>
        <item m="1" x="1644"/>
        <item m="1" x="2873"/>
        <item m="1" x="3157"/>
        <item m="1" x="1554"/>
        <item m="1" x="2854"/>
        <item m="1" x="2778"/>
        <item m="1" x="2428"/>
        <item m="1" x="3917"/>
        <item m="1" x="1360"/>
        <item m="1" x="3576"/>
        <item m="1" x="2786"/>
        <item m="1" x="2140"/>
        <item m="1" x="3661"/>
        <item m="1" x="2172"/>
        <item m="1" x="2183"/>
        <item m="1" x="3150"/>
        <item m="1" x="2105"/>
        <item m="1" x="1147"/>
        <item m="1" x="3051"/>
        <item m="1" x="3820"/>
        <item m="1" x="2746"/>
        <item m="1" x="2728"/>
        <item m="1" x="4154"/>
        <item m="1" x="1705"/>
        <item m="1" x="1447"/>
        <item m="1" x="2315"/>
        <item m="1" x="1532"/>
        <item m="1" x="1718"/>
        <item m="1" x="3801"/>
        <item m="1" x="3902"/>
        <item m="1" x="4153"/>
        <item m="1" x="1676"/>
        <item m="1" x="2355"/>
        <item m="1" x="2026"/>
        <item m="1" x="2081"/>
        <item m="1" x="3259"/>
        <item m="1" x="4098"/>
        <item m="1" x="3733"/>
        <item m="1" x="2247"/>
        <item m="1" x="1442"/>
        <item m="1" x="1696"/>
        <item m="1" x="3630"/>
        <item m="1" x="1745"/>
        <item m="1" x="3130"/>
        <item m="1" x="2441"/>
        <item m="1" x="2885"/>
        <item m="1" x="2349"/>
        <item m="1" x="2528"/>
        <item m="1" x="2148"/>
        <item m="1" x="4266"/>
        <item m="1" x="1944"/>
        <item m="1" x="4265"/>
        <item m="1" x="3473"/>
        <item m="1" x="3372"/>
        <item m="1" x="1516"/>
        <item m="1" x="2372"/>
        <item m="1" x="4238"/>
        <item m="1" x="2313"/>
        <item m="1" x="1984"/>
        <item m="1" x="3182"/>
        <item m="1" x="1579"/>
        <item m="1" x="4453"/>
        <item m="1" x="4245"/>
        <item m="1" x="3209"/>
        <item m="1" x="4002"/>
        <item m="1" x="3415"/>
        <item m="1" x="1176"/>
        <item m="1" x="4053"/>
        <item m="1" x="3600"/>
        <item m="1" x="1598"/>
        <item m="1" x="4159"/>
        <item m="1" x="4084"/>
        <item m="1" x="4445"/>
        <item m="1" x="4276"/>
        <item m="1" x="1437"/>
        <item m="1" x="4299"/>
        <item m="1" x="1618"/>
        <item m="1" x="1986"/>
        <item m="1" x="4164"/>
        <item m="1" x="2300"/>
        <item m="1" x="1348"/>
        <item m="1" x="2593"/>
        <item m="1" x="4165"/>
        <item m="1" x="1285"/>
        <item m="1" x="2008"/>
        <item m="1" x="3590"/>
        <item m="1" x="3243"/>
        <item m="1" x="1605"/>
        <item m="1" x="3299"/>
        <item m="1" x="2535"/>
        <item m="1" x="4157"/>
        <item m="1" x="2198"/>
        <item m="1" x="3126"/>
        <item m="1" x="1251"/>
        <item m="1" x="1109"/>
        <item m="1" x="4395"/>
        <item m="1" x="4120"/>
        <item m="1" x="1411"/>
        <item m="1" x="2202"/>
        <item m="1" x="1773"/>
        <item m="1" x="1829"/>
        <item m="1" x="1229"/>
        <item m="1" x="2789"/>
        <item m="1" x="4272"/>
        <item m="1" x="2220"/>
        <item m="1" x="2042"/>
        <item m="1" x="2756"/>
        <item m="1" x="3962"/>
        <item m="1" x="3773"/>
        <item m="1" x="3279"/>
        <item m="1" x="4287"/>
        <item m="1" x="3047"/>
        <item m="1" x="2155"/>
        <item m="1" x="1110"/>
        <item m="1" x="3812"/>
        <item m="1" x="3285"/>
        <item m="1" x="1214"/>
        <item m="1" x="2484"/>
        <item m="1" x="2145"/>
        <item m="1" x="2737"/>
        <item m="1" x="4016"/>
        <item m="1" x="4033"/>
        <item m="1" x="1693"/>
        <item m="1" x="4371"/>
        <item m="1" x="2777"/>
        <item m="1" x="3043"/>
        <item m="1" x="2452"/>
        <item m="1" x="1286"/>
        <item m="1" x="1114"/>
        <item m="1" x="1849"/>
        <item m="1" x="4292"/>
        <item m="1" x="3731"/>
        <item m="1" x="2447"/>
        <item m="1" x="1868"/>
        <item m="1" x="3499"/>
        <item m="1" x="2331"/>
        <item m="1" x="3745"/>
        <item m="1" x="4382"/>
        <item m="1" x="1699"/>
        <item m="1" x="2402"/>
        <item m="1" x="4402"/>
        <item m="1" x="4210"/>
        <item m="1" x="3887"/>
        <item m="1" x="2030"/>
        <item m="1" x="2581"/>
        <item m="1" x="2856"/>
        <item m="1" x="2362"/>
        <item m="1" x="1488"/>
        <item m="1" x="3970"/>
        <item m="1" x="2381"/>
        <item m="1" x="1430"/>
        <item m="1" x="1795"/>
        <item m="1" x="2916"/>
        <item m="1" x="3081"/>
        <item m="1" x="2850"/>
        <item m="1" x="3092"/>
        <item m="1" x="3117"/>
        <item m="1" x="1977"/>
        <item m="1" x="1792"/>
        <item m="1" x="3058"/>
        <item m="1" x="4429"/>
        <item m="1" x="2414"/>
        <item m="1" x="2204"/>
        <item m="1" x="3662"/>
        <item m="1" x="1599"/>
        <item m="1" x="2411"/>
        <item m="1" x="1434"/>
        <item m="1" x="3843"/>
        <item m="1" x="1702"/>
        <item m="1" x="3048"/>
        <item m="1" x="1953"/>
        <item m="1" x="3616"/>
        <item m="1" x="4219"/>
        <item m="1" x="3476"/>
        <item m="1" x="2102"/>
        <item m="1" x="2017"/>
        <item m="1" x="2689"/>
        <item m="1" x="4022"/>
        <item m="1" x="2898"/>
        <item m="1" x="2405"/>
        <item m="1" x="3287"/>
        <item m="1" x="2448"/>
        <item m="1" x="2360"/>
        <item m="1" x="1535"/>
        <item m="1" x="1990"/>
        <item m="1" x="3653"/>
        <item m="1" x="3752"/>
        <item m="1" x="2417"/>
        <item m="1" x="1700"/>
        <item m="1" x="2049"/>
        <item m="1" x="1466"/>
        <item m="1" x="1758"/>
        <item m="1" x="2852"/>
        <item m="1" x="4307"/>
        <item m="1" x="2420"/>
        <item m="1" x="3992"/>
        <item m="1" x="2170"/>
        <item m="1" x="4444"/>
        <item m="1" x="3876"/>
        <item m="1" x="3014"/>
        <item m="1" x="1869"/>
        <item m="1" x="1368"/>
        <item m="1" x="3941"/>
        <item m="1" x="1387"/>
        <item m="1" x="4486"/>
        <item m="1" x="1299"/>
        <item m="1" x="4149"/>
        <item m="1" x="4446"/>
        <item m="1" x="2886"/>
        <item m="1" x="2228"/>
        <item m="1" x="1804"/>
        <item m="1" x="2648"/>
        <item m="1" x="4327"/>
        <item m="1" x="1641"/>
        <item m="1" x="2696"/>
        <item m="1" x="3555"/>
        <item m="1" x="1546"/>
        <item m="1" x="1312"/>
        <item m="1" x="2149"/>
        <item m="1" x="1946"/>
        <item m="1" x="3288"/>
        <item m="1" x="3133"/>
        <item m="1" x="1145"/>
        <item m="1" x="4319"/>
        <item m="1" x="4385"/>
        <item m="1" x="4492"/>
        <item m="1" x="4061"/>
        <item m="1" x="1300"/>
        <item m="1" x="4222"/>
        <item m="1" x="3519"/>
        <item m="1" x="3621"/>
        <item m="1" x="1603"/>
        <item m="1" x="3190"/>
        <item m="1" x="3141"/>
        <item m="1" x="3785"/>
        <item m="1" x="4308"/>
        <item m="1" x="2485"/>
        <item m="1" x="4130"/>
        <item m="1" x="3757"/>
        <item m="1" x="3359"/>
        <item m="1" x="2054"/>
        <item m="1" x="1826"/>
        <item m="1" x="1894"/>
        <item m="1" x="3677"/>
        <item m="1" x="2881"/>
        <item m="1" x="3724"/>
        <item m="1" x="3194"/>
        <item m="1" x="4212"/>
        <item m="1" x="3647"/>
        <item m="1" x="2974"/>
        <item m="1" x="1397"/>
        <item m="1" x="4323"/>
        <item m="1" x="2356"/>
        <item m="1" x="3035"/>
        <item m="1" x="3689"/>
        <item m="1" x="2351"/>
        <item m="1" x="3719"/>
        <item m="1" x="2115"/>
        <item m="1" x="2135"/>
        <item m="1" x="2479"/>
        <item m="1" x="1365"/>
        <item m="1" x="3701"/>
        <item m="1" x="1346"/>
        <item m="1" x="1230"/>
        <item m="1" x="3803"/>
        <item m="1" x="1130"/>
        <item m="1" x="1468"/>
        <item m="1" x="3995"/>
        <item m="1" x="4330"/>
        <item m="1" x="1157"/>
        <item m="1" x="1502"/>
        <item m="1" x="1817"/>
        <item m="1" x="2679"/>
        <item m="1" x="4380"/>
        <item m="1" x="2599"/>
        <item m="1" x="4423"/>
        <item m="1" x="1337"/>
        <item m="1" x="3269"/>
        <item m="1" x="2005"/>
        <item m="1" x="4008"/>
        <item m="1" x="3939"/>
        <item m="1" x="1612"/>
        <item m="1" x="3669"/>
        <item m="1" x="1713"/>
        <item m="1" x="4279"/>
        <item m="1" x="2137"/>
        <item m="1" x="4422"/>
        <item m="1" x="2348"/>
        <item m="1" x="4293"/>
        <item m="1" x="2424"/>
        <item m="1" x="1528"/>
        <item m="1" x="3633"/>
        <item m="1" x="4375"/>
        <item m="1" x="1632"/>
        <item m="1" x="2379"/>
        <item m="1" x="3235"/>
        <item m="1" x="2153"/>
        <item m="1" x="3398"/>
        <item m="1" x="4418"/>
        <item m="1" x="2337"/>
        <item m="1" x="3022"/>
        <item m="1" x="4180"/>
        <item m="1" x="2769"/>
        <item m="1" x="4172"/>
        <item m="1" x="2119"/>
        <item m="1" x="3891"/>
        <item m="1" x="4411"/>
        <item m="1" x="3262"/>
        <item m="1" x="3899"/>
        <item m="1" x="2969"/>
        <item m="1" x="3578"/>
        <item m="1" x="2982"/>
        <item m="1" x="1673"/>
        <item m="1" x="3234"/>
        <item m="1" x="2832"/>
        <item m="1" x="3642"/>
        <item m="1" x="4259"/>
        <item m="1" x="2066"/>
        <item m="1" x="4415"/>
        <item m="1" x="2815"/>
        <item m="1" x="1380"/>
        <item m="1" x="1160"/>
        <item m="1" x="1838"/>
        <item m="1" x="2908"/>
        <item m="1" x="1922"/>
        <item m="1" x="1175"/>
        <item m="1" x="3296"/>
        <item m="1" x="3937"/>
        <item m="1" x="3376"/>
        <item m="1" x="1674"/>
        <item m="1" x="3631"/>
        <item m="1" x="1776"/>
        <item m="1" x="2936"/>
        <item m="1" x="3063"/>
        <item m="1" x="2767"/>
        <item m="1" x="2572"/>
        <item m="1" x="1747"/>
        <item m="1" x="3314"/>
        <item m="1" x="1905"/>
        <item m="1" x="2823"/>
        <item m="1" x="1486"/>
        <item m="1" x="2758"/>
        <item m="1" x="1164"/>
        <item m="1" x="2032"/>
        <item m="1" x="1268"/>
        <item m="1" x="2589"/>
        <item m="1" x="1450"/>
        <item m="1" x="1340"/>
        <item m="1" x="3681"/>
        <item m="1" x="3879"/>
        <item m="1" x="2177"/>
        <item m="1" x="2298"/>
        <item m="1" x="4358"/>
        <item m="1" x="3729"/>
        <item m="1" x="1818"/>
        <item m="1" x="2185"/>
        <item m="1" x="3217"/>
        <item m="1" x="1799"/>
        <item m="1" x="2294"/>
        <item m="1" x="1125"/>
        <item m="1" x="2519"/>
        <item m="1" x="2643"/>
        <item m="1" x="2587"/>
        <item m="1" x="2779"/>
        <item m="1" x="2160"/>
        <item m="1" x="2409"/>
        <item m="1" x="3202"/>
        <item m="1" x="2577"/>
        <item m="1" x="2966"/>
        <item m="1" x="2163"/>
        <item m="1" x="2504"/>
        <item m="1" x="1256"/>
        <item m="1" x="3525"/>
        <item m="1" x="3375"/>
        <item m="1" x="3856"/>
        <item m="1" x="2794"/>
        <item m="1" x="4264"/>
        <item m="1" x="1436"/>
        <item m="1" x="1349"/>
        <item m="1" x="2498"/>
        <item m="1" x="4007"/>
        <item m="1" x="2715"/>
        <item m="1" x="2630"/>
        <item m="1" x="4500"/>
        <item m="1" x="1426"/>
        <item m="1" x="1833"/>
        <item m="1" x="2926"/>
        <item m="1" x="2270"/>
        <item m="1" x="1501"/>
        <item m="1" x="3325"/>
        <item m="1" x="3131"/>
        <item m="1" x="3013"/>
        <item m="1" x="1150"/>
        <item m="1" x="3930"/>
        <item m="1" x="2600"/>
        <item m="1" x="2425"/>
        <item m="1" x="4512"/>
        <item m="1" x="4290"/>
        <item m="1" x="3710"/>
        <item m="1" x="3777"/>
        <item m="1" x="2592"/>
        <item m="1" x="1985"/>
        <item m="1" x="4036"/>
        <item m="1" x="3086"/>
        <item m="1" x="3845"/>
        <item m="1" x="4050"/>
        <item m="1" x="4009"/>
        <item m="1" x="2404"/>
        <item m="1" x="2973"/>
        <item m="1" x="2857"/>
        <item m="1" x="3004"/>
        <item m="1" x="3573"/>
        <item m="1" x="3969"/>
        <item m="1" x="3054"/>
        <item m="1" x="2341"/>
        <item m="1" x="3702"/>
        <item m="1" x="1409"/>
        <item m="1" x="1104"/>
        <item m="1" x="2310"/>
        <item m="1" x="4107"/>
        <item m="1" x="3485"/>
        <item m="1" x="2023"/>
        <item m="1" x="2018"/>
        <item m="1" x="3227"/>
        <item m="1" x="3433"/>
        <item m="1" x="3075"/>
        <item m="1" x="4401"/>
        <item m="1" x="3955"/>
        <item m="1" x="1344"/>
        <item m="1" x="1136"/>
        <item m="1" x="2649"/>
        <item m="1" x="2525"/>
        <item m="1" x="1439"/>
        <item m="1" x="3210"/>
        <item m="1" x="3684"/>
        <item m="1" x="4052"/>
        <item m="1" x="2977"/>
        <item m="1" x="1108"/>
        <item m="1" x="2847"/>
        <item m="1" x="1261"/>
        <item m="1" x="2422"/>
        <item m="1" x="4274"/>
        <item m="1" x="1687"/>
        <item m="1" x="1529"/>
        <item m="1" x="1189"/>
        <item m="1" x="2716"/>
        <item m="1" x="1227"/>
        <item m="1" x="2067"/>
        <item m="1" x="2281"/>
        <item m="1" x="4359"/>
        <item m="1" x="4396"/>
        <item m="1" x="2638"/>
        <item m="1" x="1793"/>
        <item m="1" x="2602"/>
        <item m="1" x="3207"/>
        <item m="1" x="1219"/>
        <item m="1" x="2750"/>
        <item m="1" x="3412"/>
        <item m="1" x="3338"/>
        <item m="1" x="2412"/>
        <item m="1" x="2364"/>
        <item m="1" x="1155"/>
        <item m="1" x="1191"/>
        <item m="1" x="1860"/>
        <item m="1" x="2429"/>
        <item m="1" x="3101"/>
        <item m="1" x="2562"/>
        <item m="1" x="3230"/>
        <item m="1" x="2481"/>
        <item m="1" x="2393"/>
        <item m="1" x="3988"/>
        <item m="1" x="2962"/>
        <item m="1" x="2378"/>
        <item m="1" x="2391"/>
        <item m="1" x="3377"/>
        <item m="1" x="2288"/>
        <item m="1" x="2020"/>
        <item m="1" x="3587"/>
        <item m="1" x="3687"/>
        <item m="1" x="2719"/>
        <item m="1" x="1226"/>
        <item m="1" x="2588"/>
        <item m="1" x="3384"/>
        <item m="1" x="3322"/>
        <item m="1" x="2958"/>
        <item m="1" x="1383"/>
        <item m="1" x="1524"/>
        <item m="1" x="4506"/>
        <item m="1" x="2705"/>
        <item m="1" x="2085"/>
        <item m="1" x="3339"/>
        <item m="1" x="3505"/>
        <item m="1" x="3237"/>
        <item m="1" x="2289"/>
        <item m="1" x="3762"/>
        <item m="1" x="2625"/>
        <item m="1" x="2773"/>
        <item m="1" x="1877"/>
        <item m="1" x="4523"/>
        <item m="1" x="3170"/>
        <item m="1" x="4134"/>
        <item m="1" x="2952"/>
        <item m="1" x="4059"/>
        <item m="1" x="4408"/>
        <item m="1" x="2639"/>
        <item m="1" x="3958"/>
        <item m="1" x="2783"/>
        <item m="1" x="2957"/>
        <item m="1" x="3429"/>
        <item m="1" x="2976"/>
        <item m="1" x="4237"/>
        <item m="1" x="2496"/>
        <item m="1" x="1520"/>
        <item m="1" x="3431"/>
        <item m="1" x="3865"/>
        <item m="1" x="2086"/>
        <item m="1" x="2191"/>
        <item m="1" x="2476"/>
        <item m="1" x="4372"/>
        <item m="1" x="2691"/>
        <item m="1" x="3528"/>
        <item m="1" x="3671"/>
        <item m="1" x="2130"/>
        <item m="1" x="3556"/>
        <item m="1" x="1997"/>
        <item m="1" x="4364"/>
        <item m="1" x="2521"/>
        <item m="1" x="3306"/>
        <item m="1" x="3425"/>
        <item m="1" x="1173"/>
        <item m="1" x="2766"/>
        <item m="1" x="2318"/>
        <item m="1" x="1494"/>
        <item m="1" x="1172"/>
        <item m="1" x="1313"/>
        <item m="1" x="2438"/>
        <item m="1" x="1610"/>
        <item m="1" x="4010"/>
        <item m="1" x="1551"/>
        <item m="1" x="1847"/>
        <item m="1" x="3770"/>
        <item m="1" x="1506"/>
        <item m="1" x="3747"/>
        <item m="1" x="2451"/>
        <item m="1" x="1481"/>
        <item m="1" x="1238"/>
        <item m="1" x="4124"/>
        <item m="1" x="1714"/>
        <item m="1" x="1476"/>
        <item m="1" x="3645"/>
        <item m="1" x="3468"/>
        <item m="1" x="4047"/>
        <item m="1" x="1830"/>
        <item m="1" x="2003"/>
        <item m="1" x="2780"/>
        <item m="1" x="3628"/>
        <item m="1" x="1491"/>
        <item m="1" x="2618"/>
        <item m="1" x="1846"/>
        <item m="1" x="3568"/>
        <item m="1" x="1171"/>
        <item m="1" x="4143"/>
        <item m="1" x="4213"/>
        <item m="1" x="2594"/>
        <item m="1" x="3435"/>
        <item m="1" x="1177"/>
        <item m="1" x="3441"/>
        <item m="1" x="1428"/>
        <item m="1" x="1908"/>
        <item m="1" x="3922"/>
        <item m="1" x="4023"/>
        <item m="1" x="3108"/>
        <item m="1" x="3914"/>
        <item m="1" x="3015"/>
        <item m="1" x="3112"/>
        <item m="1" x="3095"/>
        <item m="1" x="1398"/>
        <item m="1" x="3767"/>
        <item m="1" x="3552"/>
        <item m="1" x="2174"/>
        <item m="1" x="2328"/>
        <item m="1" x="3566"/>
        <item m="1" x="4099"/>
        <item m="1" x="3503"/>
        <item m="1" x="3484"/>
        <item m="1" x="4311"/>
        <item m="1" x="1262"/>
        <item m="1" x="1590"/>
        <item m="1" x="3457"/>
        <item m="1" x="3620"/>
        <item m="1" x="4017"/>
        <item m="1" x="1410"/>
        <item m="1" x="3352"/>
        <item m="1" x="1926"/>
        <item m="1" x="3605"/>
        <item m="1" x="3311"/>
        <item m="1" x="2002"/>
        <item m="1" x="3350"/>
        <item m="1" x="3349"/>
        <item m="1" x="1857"/>
        <item m="1" x="1545"/>
        <item m="1" x="1937"/>
        <item m="1" x="2255"/>
        <item m="1" x="2482"/>
        <item m="1" x="1602"/>
        <item m="1" x="3020"/>
        <item m="1" x="4314"/>
        <item m="1" x="2317"/>
        <item m="1" x="2841"/>
        <item m="1" x="1956"/>
        <item m="1" x="1646"/>
        <item m="1" x="2087"/>
        <item m="1" x="1901"/>
        <item m="1" x="1892"/>
        <item m="1" x="2695"/>
        <item m="1" x="3691"/>
        <item m="1" x="3583"/>
        <item m="1" x="2197"/>
        <item m="1" x="4192"/>
        <item m="1" x="1685"/>
        <item m="1" x="3076"/>
        <item m="1" x="1277"/>
        <item m="1" x="3665"/>
        <item m="1" x="4271"/>
        <item m="1" x="3972"/>
        <item m="1" x="2216"/>
        <item m="1" x="3001"/>
        <item m="1" x="3831"/>
        <item m="1" x="2892"/>
        <item m="1" x="3977"/>
        <item m="1" x="1329"/>
        <item m="1" x="1258"/>
        <item m="1" x="1861"/>
        <item m="1" x="3430"/>
        <item m="1" x="2947"/>
        <item m="1" x="3890"/>
        <item m="1" x="1563"/>
        <item m="1" x="2583"/>
        <item m="1" x="3980"/>
        <item m="1" x="2151"/>
        <item m="1" x="2203"/>
        <item m="1" x="4450"/>
        <item m="1" x="3953"/>
        <item m="1" x="3123"/>
        <item m="1" x="1772"/>
        <item m="1" x="3168"/>
        <item m="1" x="4316"/>
        <item m="1" x="3245"/>
        <item m="1" x="1200"/>
        <item m="1" x="3918"/>
        <item m="1" x="2911"/>
        <item m="1" x="3106"/>
        <item m="1" x="1458"/>
        <item m="1" x="1413"/>
        <item m="1" x="1721"/>
        <item m="1" x="3113"/>
        <item m="1" x="2488"/>
        <item m="1" x="3357"/>
        <item m="1" x="3993"/>
        <item m="1" x="2473"/>
        <item m="1" x="2620"/>
        <item m="1" x="2057"/>
        <item m="1" x="1421"/>
        <item m="1" x="1835"/>
        <item m="1" x="2991"/>
        <item m="1" x="2858"/>
        <item m="1" x="2004"/>
        <item m="1" x="4018"/>
        <item m="1" x="2686"/>
        <item m="1" x="2133"/>
        <item m="1" x="4459"/>
        <item m="1" x="2189"/>
        <item m="1" x="1594"/>
        <item m="1" x="3728"/>
        <item m="1" x="2187"/>
        <item m="1" x="3857"/>
        <item m="1" x="1886"/>
        <item m="1" x="1624"/>
        <item m="1" x="3673"/>
        <item m="1" x="1370"/>
        <item m="1" x="4275"/>
        <item m="1" x="1726"/>
        <item m="1" x="4104"/>
        <item m="1" x="1744"/>
        <item m="1" x="3266"/>
        <item m="1" x="3776"/>
        <item m="1" x="1672"/>
        <item m="1" x="3821"/>
        <item m="1" x="3436"/>
        <item m="1" x="1222"/>
        <item m="1" x="3459"/>
        <item m="1" x="2090"/>
        <item m="1" x="3999"/>
        <item m="1" x="1735"/>
        <item m="1" x="1890"/>
        <item m="1" x="2184"/>
        <item m="1" x="1243"/>
        <item m="1" x="3888"/>
        <item m="1" x="3952"/>
        <item m="1" x="3638"/>
        <item m="1" x="3417"/>
        <item m="1" x="2469"/>
        <item m="1" x="1911"/>
        <item m="1" x="2103"/>
        <item m="1" x="2915"/>
        <item m="1" x="1553"/>
        <item m="1" x="2713"/>
        <item m="1" x="3044"/>
        <item m="1" x="2970"/>
        <item m="1" x="2078"/>
        <item m="1" x="3795"/>
        <item m="1" x="2680"/>
        <item m="1" x="2579"/>
        <item m="1" x="3125"/>
        <item m="1" x="1248"/>
        <item m="1" x="3419"/>
        <item m="1" x="1395"/>
        <item m="1" x="4171"/>
        <item m="1" x="3809"/>
        <item m="1" x="1449"/>
        <item m="1" x="2517"/>
        <item m="1" x="3045"/>
        <item m="1" x="4150"/>
        <item m="1" x="4110"/>
        <item m="1" x="3319"/>
        <item m="1" x="2033"/>
        <item m="1" x="3909"/>
        <item m="1" x="1372"/>
        <item m="1" x="1662"/>
        <item m="1" x="1274"/>
        <item m="1" x="3544"/>
        <item m="1" x="2322"/>
        <item m="1" x="1317"/>
        <item m="1" x="4434"/>
        <item m="1" x="3737"/>
        <item m="1" x="2923"/>
        <item m="1" x="1842"/>
        <item m="1" x="1103"/>
        <item m="1" x="3326"/>
        <item m="1" x="2646"/>
        <item m="1" x="1876"/>
        <item m="1" x="3567"/>
        <item m="1" x="1133"/>
        <item m="1" x="2871"/>
        <item m="1" x="4119"/>
        <item m="1" x="4135"/>
        <item m="1" x="1294"/>
        <item m="1" x="1608"/>
        <item m="1" x="4109"/>
        <item m="1" x="2753"/>
        <item m="1" x="4113"/>
        <item m="1" x="2214"/>
        <item m="1" x="2370"/>
        <item m="1" x="4294"/>
        <item m="1" x="1666"/>
        <item m="1" x="2712"/>
        <item m="1" x="1707"/>
        <item m="1" x="2724"/>
        <item m="1" x="1728"/>
        <item m="1" x="3886"/>
        <item m="1" x="3761"/>
        <item m="1" x="3852"/>
        <item m="1" x="1786"/>
        <item m="1" x="3231"/>
        <item m="1" x="3272"/>
        <item m="1" x="2688"/>
        <item m="1" x="3680"/>
        <item m="1" x="2647"/>
        <item m="1" x="4426"/>
        <item m="1" x="4485"/>
        <item m="1" x="3344"/>
        <item m="1" x="1142"/>
        <item m="1" x="2849"/>
        <item m="1" x="3885"/>
        <item m="1" x="4089"/>
        <item m="1" x="4196"/>
        <item m="1" x="2373"/>
        <item m="1" x="3872"/>
        <item m="1" x="3615"/>
        <item m="1" x="4456"/>
        <item m="1" x="2812"/>
        <item m="1" x="2179"/>
        <item m="1" x="1199"/>
        <item m="1" x="3841"/>
        <item m="1" x="2937"/>
        <item m="1" x="2070"/>
        <item m="1" x="1664"/>
        <item m="1" x="3348"/>
        <item m="1" x="2802"/>
        <item m="1" x="1836"/>
        <item m="1" x="1362"/>
        <item m="1" x="3260"/>
        <item m="1" x="3175"/>
        <item m="1" x="3161"/>
        <item m="1" x="4013"/>
        <item m="1" x="1217"/>
        <item m="1" x="1184"/>
        <item m="1" x="1438"/>
        <item m="1" x="4431"/>
        <item m="1" x="4324"/>
        <item m="1" x="3957"/>
        <item m="1" x="3137"/>
        <item m="1" x="2012"/>
        <item m="1" x="2001"/>
        <item m="1" x="4286"/>
        <item m="1" x="1975"/>
        <item m="1" x="3663"/>
        <item m="1" x="2278"/>
        <item m="1" x="2668"/>
        <item m="1" x="2180"/>
        <item m="1" x="3241"/>
        <item m="1" x="4345"/>
        <item m="1" x="3461"/>
        <item m="1" x="4158"/>
        <item m="1" x="1891"/>
        <item m="1" x="1366"/>
        <item m="1" x="4342"/>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s>
    </pivotField>
    <pivotField dataField="1" compact="0" outline="0" showAll="0" defaultSubtotal="0">
      <items count="4965">
        <item m="1" x="2034"/>
        <item m="1" x="2533"/>
        <item m="1" x="1819"/>
        <item m="1" x="4823"/>
        <item m="1" x="4486"/>
        <item m="1" x="3395"/>
        <item m="1" x="4569"/>
        <item m="1" x="1722"/>
        <item m="1" x="4958"/>
        <item m="1" x="4285"/>
        <item m="1" x="4407"/>
        <item m="1" x="3702"/>
        <item m="1" x="1880"/>
        <item m="1" x="1729"/>
        <item m="1" x="1591"/>
        <item m="1" x="4777"/>
        <item m="1" x="2809"/>
        <item m="1" x="3171"/>
        <item m="1" x="2832"/>
        <item m="1" x="263"/>
        <item m="1" x="3932"/>
        <item m="1" x="4544"/>
        <item m="1" x="3430"/>
        <item m="1" x="4791"/>
        <item m="1" x="3778"/>
        <item m="1" x="2005"/>
        <item m="1" x="2890"/>
        <item m="1" x="3125"/>
        <item m="1" x="2607"/>
        <item m="1" x="1582"/>
        <item m="1" x="3362"/>
        <item m="1" x="259"/>
        <item m="1" x="1633"/>
        <item m="1" x="4558"/>
        <item m="1" x="262"/>
        <item m="1" x="2386"/>
        <item m="1" x="4115"/>
        <item m="1" x="3861"/>
        <item m="1" x="1930"/>
        <item m="1" x="3415"/>
        <item m="1" x="3168"/>
        <item m="1" x="2304"/>
        <item m="1" x="3212"/>
        <item m="1" x="3384"/>
        <item m="1" x="4353"/>
        <item m="1" x="2731"/>
        <item m="1" x="3819"/>
        <item m="1" x="3795"/>
        <item m="1" x="4309"/>
        <item m="1" x="1226"/>
        <item m="1" x="2465"/>
        <item m="1" x="2856"/>
        <item m="1" x="2213"/>
        <item m="1" x="4847"/>
        <item m="1" x="4896"/>
        <item m="1" x="3550"/>
        <item m="1" x="2864"/>
        <item m="1" x="3933"/>
        <item m="1" x="1811"/>
        <item m="1" x="3866"/>
        <item m="1" x="3454"/>
        <item m="1" x="3498"/>
        <item m="1" x="2204"/>
        <item m="1" x="2063"/>
        <item m="1" x="2967"/>
        <item m="1" x="3808"/>
        <item m="1" x="1784"/>
        <item m="1" x="261"/>
        <item m="1" x="2652"/>
        <item m="1" x="1359"/>
        <item m="1" x="4001"/>
        <item m="1" x="2102"/>
        <item m="1" x="4689"/>
        <item m="1" x="1317"/>
        <item m="1" x="4031"/>
        <item m="1" x="4696"/>
        <item m="1" x="4225"/>
        <item m="1" x="3967"/>
        <item m="1" x="3640"/>
        <item m="1" x="3366"/>
        <item m="1" x="4485"/>
        <item m="1" x="4839"/>
        <item m="1" x="4813"/>
        <item m="1" x="3626"/>
        <item m="1" x="2332"/>
        <item m="1" x="1430"/>
        <item m="1" x="2616"/>
        <item m="1" x="3024"/>
        <item m="1" x="2724"/>
        <item m="1" x="1453"/>
        <item m="1" x="4783"/>
        <item m="1" x="2122"/>
        <item m="1" x="1342"/>
        <item m="1" x="1583"/>
        <item m="1" x="3074"/>
        <item m="1" x="2776"/>
        <item m="1" x="3660"/>
        <item m="1" x="2436"/>
        <item m="1" x="1786"/>
        <item m="1" x="4748"/>
        <item m="1" x="3954"/>
        <item m="1" x="2278"/>
        <item m="1" x="4922"/>
        <item m="1" x="1888"/>
        <item m="1" x="2378"/>
        <item m="1" x="4563"/>
        <item m="1" x="4526"/>
        <item m="1" x="4469"/>
        <item m="1" x="4448"/>
        <item m="1" x="4871"/>
        <item m="1" x="2282"/>
        <item m="1" x="4161"/>
        <item m="1" x="3973"/>
        <item m="1" x="1529"/>
        <item m="1" x="3924"/>
        <item m="1" x="2046"/>
        <item m="1" x="1634"/>
        <item m="1" x="4005"/>
        <item m="1" x="2022"/>
        <item m="1" x="4926"/>
        <item m="1" x="4883"/>
        <item m="1" x="3828"/>
        <item m="1" x="4335"/>
        <item m="1" x="2696"/>
        <item m="1" x="4914"/>
        <item m="1" x="3917"/>
        <item m="1" x="1564"/>
        <item m="1" x="1229"/>
        <item m="1" x="3174"/>
        <item m="1" x="2407"/>
        <item m="1" x="4723"/>
        <item m="1" x="2029"/>
        <item m="1" x="4661"/>
        <item m="1" x="3290"/>
        <item m="1" x="4319"/>
        <item m="1" x="3845"/>
        <item m="1" x="2565"/>
        <item m="1" x="2994"/>
        <item m="1" x="4202"/>
        <item m="1" x="265"/>
        <item m="1" x="3988"/>
        <item m="1" x="2791"/>
        <item m="1" x="4607"/>
        <item m="1" x="1924"/>
        <item m="1" x="266"/>
        <item m="1" x="267"/>
        <item m="1" x="3562"/>
        <item m="1" x="3330"/>
        <item m="1" x="2243"/>
        <item m="1" x="2798"/>
        <item m="1" x="3208"/>
        <item m="1" x="1775"/>
        <item m="1" x="2905"/>
        <item m="1" x="4179"/>
        <item m="1" x="3157"/>
        <item m="1" x="2320"/>
        <item m="1" x="2437"/>
        <item m="1" x="3028"/>
        <item m="1" x="2663"/>
        <item m="1" x="2569"/>
        <item m="1" x="1406"/>
        <item m="1" x="4084"/>
        <item m="1" x="2539"/>
        <item m="1" x="1539"/>
        <item m="1" x="1899"/>
        <item m="1" x="4351"/>
        <item m="1" x="3513"/>
        <item m="1" x="2368"/>
        <item m="1" x="2384"/>
        <item m="1" x="2554"/>
        <item m="1" x="2052"/>
        <item m="1" x="4800"/>
        <item m="1" x="3061"/>
        <item m="1" x="2414"/>
        <item m="1" x="1840"/>
        <item m="1" x="1788"/>
        <item m="1" x="2401"/>
        <item m="1" x="1988"/>
        <item m="1" x="4249"/>
        <item m="1" x="4341"/>
        <item m="1" x="2983"/>
        <item m="1" x="3807"/>
        <item m="1" x="1828"/>
        <item m="1" x="2673"/>
        <item m="1" x="4574"/>
        <item m="1" x="1835"/>
        <item m="1" x="2117"/>
        <item m="1" x="2271"/>
        <item m="1" x="1504"/>
        <item m="1" x="3920"/>
        <item m="1" x="4002"/>
        <item m="1" x="2021"/>
        <item m="1" x="4923"/>
        <item m="1" x="1524"/>
        <item m="1" x="2472"/>
        <item m="1" x="2263"/>
        <item m="1" x="2958"/>
        <item m="1" x="2988"/>
        <item m="1" x="486"/>
        <item m="1" x="1675"/>
        <item m="1" x="3881"/>
        <item m="1" x="4603"/>
        <item m="1" x="1848"/>
        <item m="1" x="4744"/>
        <item m="1" x="1705"/>
        <item m="1" x="4074"/>
        <item m="1" x="2672"/>
        <item m="1" x="1313"/>
        <item m="1" x="1636"/>
        <item m="1" x="4138"/>
        <item m="1" x="4924"/>
        <item m="1" x="1975"/>
        <item m="1" x="3325"/>
        <item m="1" x="3637"/>
        <item m="1" x="1872"/>
        <item m="1" x="4872"/>
        <item m="1" x="3081"/>
        <item m="1" x="3810"/>
        <item m="1" x="2313"/>
        <item m="1" x="2397"/>
        <item m="1" x="4700"/>
        <item m="1" x="4300"/>
        <item m="1" x="4939"/>
        <item m="1" x="1502"/>
        <item m="1" x="3185"/>
        <item m="1" x="4011"/>
        <item m="1" x="1862"/>
        <item m="1" x="2869"/>
        <item m="1" x="4473"/>
        <item m="1" x="3267"/>
        <item m="1" x="2736"/>
        <item m="1" x="2572"/>
        <item m="1" x="4251"/>
        <item m="1" x="2336"/>
        <item m="1" x="3698"/>
        <item m="1" x="1996"/>
        <item m="1" x="3137"/>
        <item m="1" x="1292"/>
        <item m="1" x="2979"/>
        <item m="1" x="2310"/>
        <item m="1" x="3855"/>
        <item m="1" x="1962"/>
        <item m="1" x="1952"/>
        <item m="1" x="2708"/>
        <item m="1" x="3288"/>
        <item m="1" x="2591"/>
        <item m="1" x="2267"/>
        <item m="1" x="4334"/>
        <item m="1" x="2446"/>
        <item m="1" x="2651"/>
        <item m="1" x="4034"/>
        <item m="1" x="2753"/>
        <item m="1" x="3213"/>
        <item m="1" x="3014"/>
        <item m="1" x="2919"/>
        <item m="1" x="1948"/>
        <item m="1" x="2355"/>
        <item m="1" x="3189"/>
        <item m="1" x="4447"/>
        <item m="1" x="2928"/>
        <item m="1" x="3863"/>
        <item m="1" x="4311"/>
        <item m="1" x="3370"/>
        <item m="1" x="1238"/>
        <item m="1" x="2915"/>
        <item m="1" x="1817"/>
        <item m="1" x="4933"/>
        <item m="1" x="4796"/>
        <item m="1" x="2259"/>
        <item m="1" x="4217"/>
        <item m="1" x="3088"/>
        <item m="1" x="2398"/>
        <item m="1" x="1751"/>
        <item m="1" x="3030"/>
        <item m="1" x="4460"/>
        <item m="1" x="1245"/>
        <item m="1" x="1797"/>
        <item m="1" x="3705"/>
        <item m="1" x="3344"/>
        <item m="1" x="3524"/>
        <item m="1" x="1210"/>
        <item m="1" x="1198"/>
        <item m="1" x="4509"/>
        <item m="1" x="4833"/>
        <item m="1" x="1733"/>
        <item m="1" x="2003"/>
        <item m="1" x="4567"/>
        <item m="1" x="3877"/>
        <item m="1" x="2422"/>
        <item m="1" x="1397"/>
        <item m="1" x="2357"/>
        <item m="1" x="1325"/>
        <item m="1" x="2631"/>
        <item m="1" x="2527"/>
        <item m="1" x="1920"/>
        <item m="1" x="3414"/>
        <item m="1" x="2881"/>
        <item m="1" x="3536"/>
        <item m="1" x="4550"/>
        <item m="1" x="1902"/>
        <item m="1" x="1649"/>
        <item m="1" x="2089"/>
        <item m="1" x="1494"/>
        <item m="1" x="1608"/>
        <item m="1" x="1247"/>
        <item m="1" x="3578"/>
        <item m="1" x="3403"/>
        <item m="1" x="3867"/>
        <item m="1" x="3773"/>
        <item m="1" x="2426"/>
        <item m="1" x="4430"/>
        <item m="1" x="3134"/>
        <item m="1" x="4176"/>
        <item m="1" x="1440"/>
        <item m="1" x="1526"/>
        <item m="1" x="1486"/>
        <item m="1" x="2920"/>
        <item m="1" x="2097"/>
        <item m="1" x="3055"/>
        <item m="1" x="1294"/>
        <item m="1" x="2338"/>
        <item m="1" x="4724"/>
        <item m="1" x="2486"/>
        <item m="1" x="1546"/>
        <item m="1" x="1258"/>
        <item m="1" x="2210"/>
        <item m="1" x="4355"/>
        <item m="1" x="3392"/>
        <item m="1" x="2058"/>
        <item m="1" x="3918"/>
        <item m="1" x="3688"/>
        <item m="1" x="3632"/>
        <item m="1" x="3201"/>
        <item m="1" x="4454"/>
        <item m="1" x="3869"/>
        <item m="1" x="2184"/>
        <item m="1" x="1298"/>
        <item m="1" x="3891"/>
        <item m="1" x="2079"/>
        <item m="1" x="2137"/>
        <item m="1" x="4203"/>
        <item m="1" x="4919"/>
        <item m="1" x="1487"/>
        <item m="1" x="4814"/>
        <item m="1" x="2076"/>
        <item m="1" x="2186"/>
        <item m="1" x="4916"/>
        <item m="1" x="4480"/>
        <item m="1" x="1438"/>
        <item m="1" x="4566"/>
        <item m="1" x="1304"/>
        <item m="1" x="3150"/>
        <item m="1" x="2787"/>
        <item m="1" x="1792"/>
        <item m="1" x="2637"/>
        <item m="1" x="1353"/>
        <item m="1" x="2302"/>
        <item m="1" x="4083"/>
        <item m="1" x="2083"/>
        <item m="1" x="1433"/>
        <item m="1" x="3146"/>
        <item m="1" x="3423"/>
        <item m="1" x="2793"/>
        <item m="1" x="2698"/>
        <item m="1" x="4196"/>
        <item m="1" x="1931"/>
        <item m="1" x="1763"/>
        <item m="1" x="3608"/>
        <item m="1" x="2253"/>
        <item m="1" x="4957"/>
        <item m="1" x="1897"/>
        <item m="1" x="2596"/>
        <item m="1" x="2666"/>
        <item m="1" x="3008"/>
        <item m="1" x="3995"/>
        <item m="1" x="2962"/>
        <item m="1" x="3827"/>
        <item m="1" x="4374"/>
        <item m="1" x="1380"/>
        <item m="1" x="4622"/>
        <item m="1" x="2433"/>
        <item m="1" x="2508"/>
        <item m="1" x="2878"/>
        <item m="1" x="1409"/>
        <item m="1" x="1534"/>
        <item m="1" x="2153"/>
        <item m="1" x="2221"/>
        <item m="1" x="3377"/>
        <item m="1" x="2234"/>
        <item m="1" x="2966"/>
        <item m="1" x="3595"/>
        <item m="1" x="4303"/>
        <item m="1" x="4915"/>
        <item m="1" x="4527"/>
        <item m="1" x="1254"/>
        <item m="1" x="2918"/>
        <item m="1" x="3761"/>
        <item m="1" x="2027"/>
        <item m="1" x="2051"/>
        <item m="1" x="3227"/>
        <item m="1" x="2425"/>
        <item m="1" x="4379"/>
        <item m="1" x="2322"/>
        <item m="1" x="3955"/>
        <item m="1" x="1923"/>
        <item m="1" x="4819"/>
        <item m="1" x="3099"/>
        <item m="1" x="1603"/>
        <item m="1" x="2833"/>
        <item m="1" x="3983"/>
        <item m="1" x="2740"/>
        <item m="1" x="3457"/>
        <item m="1" x="1815"/>
        <item m="1" x="4857"/>
        <item m="1" x="3573"/>
        <item m="1" x="3832"/>
        <item m="1" x="2334"/>
        <item m="1" x="3363"/>
        <item m="1" x="2576"/>
        <item m="1" x="3101"/>
        <item m="1" x="3393"/>
        <item m="1" x="1683"/>
        <item m="1" x="3886"/>
        <item m="1" x="4894"/>
        <item m="1" x="4610"/>
        <item m="1" x="2970"/>
        <item m="1" x="3183"/>
        <item m="1" x="1520"/>
        <item m="1" x="3677"/>
        <item m="1" x="4171"/>
        <item m="1" x="2135"/>
        <item m="1" x="2240"/>
        <item m="1" x="1982"/>
        <item m="1" x="3263"/>
        <item m="1" x="1417"/>
        <item m="1" x="3341"/>
        <item m="1" x="2598"/>
        <item m="1" x="1249"/>
        <item m="1" x="2889"/>
        <item m="1" x="3541"/>
        <item m="1" x="2557"/>
        <item m="1" x="3178"/>
        <item m="1" x="2305"/>
        <item m="1" x="1688"/>
        <item m="1" x="2280"/>
        <item m="1" x="2668"/>
        <item m="1" x="3003"/>
        <item m="1" x="4516"/>
        <item m="1" x="3062"/>
        <item m="1" x="3108"/>
        <item m="1" x="1183"/>
        <item m="1" x="1267"/>
        <item m="1" x="4491"/>
        <item m="1" x="4193"/>
        <item m="1" x="4149"/>
        <item m="1" x="2043"/>
        <item m="1" x="4809"/>
        <item m="1" x="2624"/>
        <item m="1" x="2843"/>
        <item m="1" x="3122"/>
        <item m="1" x="2676"/>
        <item m="1" x="1201"/>
        <item m="1" x="4439"/>
        <item m="1" x="3546"/>
        <item m="1" x="1424"/>
        <item m="1" x="3873"/>
        <item m="1" x="3919"/>
        <item m="1" x="3804"/>
        <item m="1" x="1810"/>
        <item m="1" x="4188"/>
        <item m="1" x="2008"/>
        <item m="1" x="1544"/>
        <item m="1" x="4595"/>
        <item m="1" x="1720"/>
        <item m="1" x="4845"/>
        <item m="1" x="2586"/>
        <item m="1" x="4280"/>
        <item m="1" x="1525"/>
        <item m="1" x="2781"/>
        <item m="1" x="2030"/>
        <item m="1" x="3793"/>
        <item m="1" x="2982"/>
        <item m="1" x="1946"/>
        <item m="1" x="4522"/>
        <item m="1" x="4665"/>
        <item m="1" x="4132"/>
        <item m="1" x="3276"/>
        <item m="1" x="4126"/>
        <item m="1" x="1791"/>
        <item m="1" x="3321"/>
        <item m="1" x="3630"/>
        <item m="1" x="4358"/>
        <item m="1" x="4888"/>
        <item m="1" x="2564"/>
        <item m="1" x="2816"/>
        <item m="1" x="1847"/>
        <item m="1" x="4498"/>
        <item m="1" x="4191"/>
        <item m="1" x="2080"/>
        <item m="1" x="1615"/>
        <item m="1" x="4030"/>
        <item m="1" x="2014"/>
        <item m="1" x="4330"/>
        <item m="1" x="2851"/>
        <item m="1" x="3388"/>
        <item m="1" x="1726"/>
        <item m="1" x="3748"/>
        <item m="1" x="3048"/>
        <item m="1" x="3633"/>
        <item m="1" x="1864"/>
        <item m="1" x="4167"/>
        <item m="1" x="3582"/>
        <item m="1" x="4620"/>
        <item m="1" x="4730"/>
        <item m="1" x="1692"/>
        <item m="1" x="3432"/>
        <item m="1" x="4766"/>
        <item m="1" x="3941"/>
        <item m="1" x="1690"/>
        <item m="1" x="3083"/>
        <item m="1" x="2619"/>
        <item m="1" x="1593"/>
        <item m="1" x="3615"/>
        <item m="1" x="4398"/>
        <item m="1" x="4233"/>
        <item m="1" x="2935"/>
        <item m="1" x="4137"/>
        <item m="1" x="3586"/>
        <item m="1" x="2555"/>
        <item m="1" x="2733"/>
        <item m="1" x="2667"/>
        <item m="1" x="4047"/>
        <item m="1" x="4859"/>
        <item m="1" x="3521"/>
        <item m="1" x="1961"/>
        <item m="1" x="2172"/>
        <item m="1" x="4298"/>
        <item m="1" x="2695"/>
        <item m="1" x="2895"/>
        <item m="1" x="4543"/>
        <item m="1" x="3641"/>
        <item m="1" x="3486"/>
        <item m="1" x="2818"/>
        <item m="1" x="3016"/>
        <item m="1" x="3400"/>
        <item m="1" x="3322"/>
        <item m="1" x="1451"/>
        <item m="1" x="3722"/>
        <item m="1" x="2814"/>
        <item m="1" x="2432"/>
        <item m="1" x="4120"/>
        <item m="1" x="4169"/>
        <item m="1" x="3479"/>
        <item m="1" x="2865"/>
        <item m="1" x="3275"/>
        <item m="1" x="4962"/>
        <item m="1" x="4107"/>
        <item m="1" x="4898"/>
        <item m="1" x="3059"/>
        <item m="1" x="1891"/>
        <item m="1" x="1256"/>
        <item m="1" x="3264"/>
        <item m="1" x="2845"/>
        <item m="1" x="3518"/>
        <item m="1" x="4561"/>
        <item m="1" x="2479"/>
        <item m="1" x="4739"/>
        <item m="1" x="1736"/>
        <item m="1" x="3225"/>
        <item m="1" x="3657"/>
        <item m="1" x="3999"/>
        <item m="1" x="3826"/>
        <item m="1" x="4697"/>
        <item m="1" x="1739"/>
        <item m="1" x="1805"/>
        <item m="1" x="3068"/>
        <item m="1" x="3483"/>
        <item m="1" x="4127"/>
        <item m="1" x="4873"/>
        <item m="1" x="4541"/>
        <item m="1" x="4806"/>
        <item m="1" x="3199"/>
        <item m="1" x="4324"/>
        <item m="1" x="3671"/>
        <item m="1" x="586"/>
        <item m="1" x="4272"/>
        <item m="1" x="1580"/>
        <item m="1" x="2978"/>
        <item m="1" x="1434"/>
        <item m="1" x="4500"/>
        <item m="1" x="2671"/>
        <item m="1" x="1227"/>
        <item m="1" x="1272"/>
        <item m="1" x="1767"/>
        <item m="1" x="2679"/>
        <item m="1" x="4098"/>
        <item m="1" x="4851"/>
        <item m="1" x="4318"/>
        <item m="1" x="3875"/>
        <item m="1" x="1195"/>
        <item m="1" x="3825"/>
        <item m="1" x="2367"/>
        <item m="1" x="4644"/>
        <item m="1" x="4110"/>
        <item m="1" x="1719"/>
        <item m="1" x="2427"/>
        <item m="1" x="1680"/>
        <item m="1" x="1623"/>
        <item m="1" x="2893"/>
        <item m="1" x="2640"/>
        <item m="1" x="2959"/>
        <item m="1" x="2960"/>
        <item m="1" x="2655"/>
        <item m="1" x="3629"/>
        <item m="1" x="2600"/>
        <item m="1" x="1218"/>
        <item m="1" x="2644"/>
        <item m="1" x="3076"/>
        <item m="1" x="1772"/>
        <item m="1" x="4020"/>
        <item m="1" x="2418"/>
        <item m="1" x="4198"/>
        <item m="1" x="4147"/>
        <item m="1" x="2466"/>
        <item m="1" x="2205"/>
        <item m="1" x="2502"/>
        <item m="1" x="4383"/>
        <item m="1" x="2923"/>
        <item m="1" x="3949"/>
        <item m="1" x="4692"/>
        <item m="1" x="3646"/>
        <item m="1" x="3012"/>
        <item m="1" x="3095"/>
        <item m="1" x="3184"/>
        <item m="1" x="1832"/>
        <item m="1" x="4702"/>
        <item m="1" x="3194"/>
        <item m="1" x="3927"/>
        <item m="1" x="1800"/>
        <item m="1" x="4140"/>
        <item m="1" x="4392"/>
        <item m="1" x="4241"/>
        <item m="1" x="2788"/>
        <item m="1" x="4588"/>
        <item m="1" x="4263"/>
        <item m="1" x="1277"/>
        <item m="1" x="2553"/>
        <item m="1" x="1291"/>
        <item m="1" x="3254"/>
        <item m="1" x="2858"/>
        <item m="1" x="2383"/>
        <item m="1" x="3859"/>
        <item m="1" x="3273"/>
        <item m="1" x="1670"/>
        <item m="1" x="1204"/>
        <item m="1" x="2713"/>
        <item m="1" x="1945"/>
        <item m="1" x="1994"/>
        <item m="1" x="1357"/>
        <item m="1" x="2574"/>
        <item m="1" x="4209"/>
        <item m="1" x="3162"/>
        <item m="1" x="4348"/>
        <item m="1" x="1312"/>
        <item m="1" x="3271"/>
        <item m="1" x="4172"/>
        <item m="1" x="1818"/>
        <item m="1" x="4625"/>
        <item m="1" x="2442"/>
        <item m="1" x="3910"/>
        <item m="1" x="2765"/>
        <item m="1" x="4637"/>
        <item m="1" x="1484"/>
        <item m="1" x="2348"/>
        <item m="1" x="3964"/>
        <item m="1" x="1214"/>
        <item m="1" x="2480"/>
        <item m="1" x="3774"/>
        <item m="1" x="1614"/>
        <item m="1" x="2784"/>
        <item m="1" x="4095"/>
        <item m="1" x="3878"/>
        <item m="1" x="1919"/>
        <item m="1" x="4267"/>
        <item m="1" x="3765"/>
        <item m="1" x="4938"/>
        <item m="1" x="2283"/>
        <item m="1" x="3939"/>
        <item m="1" x="3342"/>
        <item m="1" x="2817"/>
        <item m="1" x="1251"/>
        <item m="1" x="2876"/>
        <item m="1" x="3857"/>
        <item m="1" x="4488"/>
        <item m="1" x="4740"/>
        <item m="1" x="3769"/>
        <item m="1" x="3173"/>
        <item m="1" x="2423"/>
        <item m="1" x="2634"/>
        <item m="1" x="4399"/>
        <item m="1" x="3958"/>
        <item m="1" x="4199"/>
        <item m="1" x="2689"/>
        <item m="1" x="2393"/>
        <item m="1" x="3284"/>
        <item m="1" x="2343"/>
        <item m="1" x="2445"/>
        <item m="1" x="2141"/>
        <item m="1" x="3164"/>
        <item m="1" x="1363"/>
        <item m="1" x="4489"/>
        <item m="1" x="1787"/>
        <item m="1" x="1929"/>
        <item m="1" x="1622"/>
        <item m="1" x="2335"/>
        <item m="1" x="2308"/>
        <item m="1" x="3690"/>
        <item m="1" x="4226"/>
        <item m="1" x="4633"/>
        <item m="1" x="1697"/>
        <item m="1" x="2541"/>
        <item m="1" x="3308"/>
        <item m="1" x="2612"/>
        <item m="1" x="1207"/>
        <item m="1" x="4961"/>
        <item m="1" x="4326"/>
        <item m="1" x="3856"/>
        <item m="1" x="1423"/>
        <item m="1" x="4604"/>
        <item m="1" x="3715"/>
        <item m="1" x="1927"/>
        <item m="1" x="2203"/>
        <item m="1" x="2151"/>
        <item m="1" x="1490"/>
        <item m="1" x="1320"/>
        <item m="1" x="2654"/>
        <item m="1" x="2922"/>
        <item m="1" x="3682"/>
        <item m="1" x="3058"/>
        <item m="1" x="2824"/>
        <item m="1" x="2162"/>
        <item m="1" x="4270"/>
        <item m="1" x="3674"/>
        <item m="1" x="4220"/>
        <item m="1" x="1838"/>
        <item m="1" x="2248"/>
        <item m="1" x="2062"/>
        <item m="1" x="3981"/>
        <item m="1" x="3378"/>
        <item m="1" x="2550"/>
        <item m="1" x="3009"/>
        <item m="1" x="2520"/>
        <item m="1" x="3489"/>
        <item m="1" x="4865"/>
        <item m="1" x="3128"/>
        <item m="1" x="3972"/>
        <item m="1" x="1510"/>
        <item m="1" x="1322"/>
        <item m="1" x="4736"/>
        <item m="1" x="2995"/>
        <item m="1" x="4152"/>
        <item m="1" x="4131"/>
        <item m="1" x="1915"/>
        <item m="1" x="2314"/>
        <item m="1" x="2678"/>
        <item m="1" x="1959"/>
        <item m="1" x="3747"/>
        <item m="1" x="2913"/>
        <item m="1" x="2198"/>
        <item m="1" x="2144"/>
        <item m="1" x="2756"/>
        <item m="1" x="4122"/>
        <item m="1" x="2985"/>
        <item m="1" x="4579"/>
        <item m="1" x="3736"/>
        <item m="1" x="3257"/>
        <item m="1" x="1516"/>
        <item m="1" x="4097"/>
        <item m="1" x="3991"/>
        <item m="1" x="2156"/>
        <item m="1" x="1760"/>
        <item m="1" x="4234"/>
        <item m="1" x="4885"/>
        <item m="1" x="3990"/>
        <item m="1" x="3497"/>
        <item m="1" x="2906"/>
        <item m="1" x="2382"/>
        <item m="1" x="4501"/>
        <item m="1" x="2185"/>
        <item m="1" x="3860"/>
        <item m="1" x="4538"/>
        <item m="1" x="4201"/>
        <item m="1" x="2563"/>
        <item m="1" x="2590"/>
        <item m="1" x="1966"/>
        <item m="1" x="4327"/>
        <item m="1" x="2836"/>
        <item m="1" x="4018"/>
        <item m="1" x="2704"/>
        <item m="1" x="4372"/>
        <item m="1" x="3180"/>
        <item m="1" x="3418"/>
        <item m="1" x="4395"/>
        <item m="1" x="4086"/>
        <item m="1" x="4959"/>
        <item m="1" x="3258"/>
        <item m="1" x="4274"/>
        <item m="1" x="2722"/>
        <item m="1" x="1260"/>
        <item m="1" x="3011"/>
        <item m="1" x="3148"/>
        <item m="1" x="3570"/>
        <item m="1" x="1901"/>
        <item m="1" x="2755"/>
        <item m="1" x="1781"/>
        <item m="1" x="2531"/>
        <item m="1" x="1595"/>
        <item m="1" x="2245"/>
        <item m="1" x="4101"/>
        <item m="1" x="3364"/>
        <item m="1" x="2237"/>
        <item m="1" x="2274"/>
        <item m="1" x="3801"/>
        <item m="1" x="1550"/>
        <item m="1" x="3166"/>
        <item m="1" x="3193"/>
        <item m="1" x="3816"/>
        <item m="1" x="2628"/>
        <item m="1" x="3997"/>
        <item m="1" x="2653"/>
        <item m="1" x="2222"/>
        <item m="1" x="3843"/>
        <item m="1" x="2948"/>
        <item m="1" x="4325"/>
        <item m="1" x="1215"/>
        <item m="1" x="4518"/>
        <item m="1" x="3811"/>
        <item m="1" x="2399"/>
        <item m="1" x="3547"/>
        <item m="1" x="3244"/>
        <item m="1" x="1991"/>
        <item m="1" x="1687"/>
        <item m="1" x="3710"/>
        <item m="1" x="3268"/>
        <item m="1" x="1408"/>
        <item m="1" x="3340"/>
        <item m="1" x="3532"/>
        <item m="1" x="4077"/>
        <item m="1" x="1228"/>
        <item m="1" x="2749"/>
        <item m="1" x="1836"/>
        <item m="1" x="2483"/>
        <item m="1" x="2887"/>
        <item m="1" x="4139"/>
        <item m="1" x="2783"/>
        <item m="1" x="2601"/>
        <item m="1" x="4721"/>
        <item m="1" x="2193"/>
        <item m="1" x="1620"/>
        <item m="1" x="4085"/>
        <item m="1" x="4402"/>
        <item m="1" x="2440"/>
        <item m="1" x="4339"/>
        <item m="1" x="3343"/>
        <item m="1" x="1868"/>
        <item m="1" x="3976"/>
        <item m="1" x="1738"/>
        <item m="1" x="4912"/>
        <item m="1" x="2078"/>
        <item m="1" x="4181"/>
        <item m="1" x="4467"/>
        <item m="1" x="4050"/>
        <item m="1" x="1589"/>
        <item m="1" x="1476"/>
        <item m="1" x="2867"/>
        <item m="1" x="4197"/>
        <item m="1" x="2661"/>
        <item m="1" x="2700"/>
        <item m="1" x="2674"/>
        <item m="1" x="4849"/>
        <item m="1" x="4142"/>
        <item m="1" x="2949"/>
        <item m="1" x="1823"/>
        <item m="1" x="4523"/>
        <item m="1" x="3965"/>
        <item m="1" x="3463"/>
        <item m="1" x="2170"/>
        <item m="1" x="1600"/>
        <item m="1" x="1741"/>
        <item m="1" x="4792"/>
        <item m="1" x="4323"/>
        <item m="1" x="1857"/>
        <item m="1" x="2295"/>
        <item m="1" x="3192"/>
        <item m="1" x="4911"/>
        <item m="1" x="1984"/>
        <item m="1" x="2946"/>
        <item m="1" x="2190"/>
        <item m="1" x="4831"/>
        <item m="1" x="2072"/>
        <item m="1" x="1257"/>
        <item m="1" x="4648"/>
        <item m="1" x="4119"/>
        <item m="1" x="4503"/>
        <item m="1" x="1718"/>
        <item m="1" x="4647"/>
        <item m="1" x="4033"/>
        <item m="1" x="2236"/>
        <item m="1" x="2939"/>
        <item m="1" x="2751"/>
        <item m="1" x="4565"/>
        <item m="1" x="3255"/>
        <item m="1" x="2981"/>
        <item m="1" x="2084"/>
        <item m="1" x="2567"/>
        <item m="1" x="2228"/>
        <item m="1" x="2513"/>
        <item m="1" x="4286"/>
        <item m="1" x="2827"/>
        <item m="1" x="1935"/>
        <item m="1" x="3620"/>
        <item m="1" x="1976"/>
        <item m="1" x="3229"/>
        <item m="1" x="4328"/>
        <item m="1" x="4465"/>
        <item m="1" x="4927"/>
        <item m="1" x="3998"/>
        <item m="1" x="1279"/>
        <item m="1" x="3073"/>
        <item m="1" x="1388"/>
        <item m="1" x="1789"/>
        <item m="1" x="1242"/>
        <item m="1" x="1854"/>
        <item m="1" x="1343"/>
        <item m="1" x="4194"/>
        <item m="1" x="4009"/>
        <item m="1" x="4128"/>
        <item m="1" x="4123"/>
        <item m="1" x="4417"/>
        <item m="1" x="2746"/>
        <item m="1" x="2333"/>
        <item m="1" x="3652"/>
        <item m="1" x="4222"/>
        <item m="1" x="2525"/>
        <item m="1" x="1765"/>
        <item m="1" x="2613"/>
        <item m="1" x="2163"/>
        <item m="1" x="4081"/>
        <item m="1" x="4450"/>
        <item m="1" x="1937"/>
        <item m="1" x="4023"/>
        <item m="1" x="2699"/>
        <item m="1" x="2879"/>
        <item m="1" x="1974"/>
        <item m="1" x="4458"/>
        <item m="1" x="2091"/>
        <item m="1" x="3512"/>
        <item m="1" x="2745"/>
        <item m="1" x="2286"/>
        <item m="1" x="2164"/>
        <item m="1" x="3830"/>
        <item m="1" x="4759"/>
        <item m="1" x="2238"/>
        <item m="1" x="4333"/>
        <item m="1" x="1926"/>
        <item m="1" x="4113"/>
        <item m="1" x="2727"/>
        <item m="1" x="1951"/>
        <item m="1" x="4393"/>
        <item m="1" x="3903"/>
        <item m="1" x="3121"/>
        <item m="1" x="2361"/>
        <item m="1" x="3478"/>
        <item m="1" x="3945"/>
        <item m="1" x="1773"/>
        <item m="1" x="2943"/>
        <item m="1" x="3187"/>
        <item m="1" x="2774"/>
        <item m="1" x="4624"/>
        <item m="1" x="2402"/>
        <item m="1" x="3534"/>
        <item m="1" x="3864"/>
        <item m="1" x="2556"/>
        <item m="1" x="2575"/>
        <item m="1" x="3509"/>
        <item m="1" x="3097"/>
        <item m="1" x="3711"/>
        <item m="1" x="2115"/>
        <item m="1" x="1598"/>
        <item m="1" x="4382"/>
        <item m="1" x="4769"/>
        <item m="1" x="3528"/>
        <item m="1" x="4391"/>
        <item m="1" x="1206"/>
        <item m="1" x="4685"/>
        <item m="1" x="2167"/>
        <item m="1" x="2728"/>
        <item m="1" x="3469"/>
        <item m="1" x="1940"/>
        <item m="1" x="1477"/>
        <item m="1" x="4428"/>
        <item m="1" x="1391"/>
        <item m="1" x="2454"/>
        <item m="1" x="3084"/>
        <item m="1" x="3977"/>
        <item m="1" x="2528"/>
        <item m="1" x="3691"/>
        <item m="1" x="4805"/>
        <item m="1" x="2208"/>
        <item m="1" x="2054"/>
        <item m="1" x="1557"/>
        <item m="1" x="4320"/>
        <item m="1" x="3844"/>
        <item m="1" x="4071"/>
        <item m="1" x="3467"/>
        <item m="1" x="4751"/>
        <item m="1" x="1556"/>
        <item m="1" x="1290"/>
        <item m="1" x="1519"/>
        <item m="1" x="2880"/>
        <item m="1" x="2658"/>
        <item m="1" x="3131"/>
        <item m="1" x="2408"/>
        <item m="1" x="2986"/>
        <item m="1" x="1300"/>
        <item m="1" x="1932"/>
        <item m="1" x="4394"/>
        <item m="1" x="4722"/>
        <item m="1" x="2056"/>
        <item m="1" x="1876"/>
        <item m="1" x="1884"/>
        <item m="1" x="2972"/>
        <item m="1" x="1432"/>
        <item m="1" x="3411"/>
        <item m="1" x="3314"/>
        <item m="1" x="2220"/>
        <item m="1" x="3865"/>
        <item m="1" x="2875"/>
        <item m="1" x="4960"/>
        <item m="1" x="4426"/>
        <item m="1" x="2018"/>
        <item m="1" x="1710"/>
        <item m="1" x="2430"/>
        <item m="1" x="3493"/>
        <item m="1" x="2065"/>
        <item m="1" x="4415"/>
        <item m="1" x="4573"/>
        <item m="1" x="2492"/>
        <item m="1" x="1421"/>
        <item m="1" x="3572"/>
        <item m="1" x="3726"/>
        <item m="1" x="3404"/>
        <item m="1" x="2395"/>
        <item m="1" x="3665"/>
        <item m="1" x="2741"/>
        <item m="1" x="3784"/>
        <item m="1" x="2521"/>
        <item m="1" x="1365"/>
        <item m="1" x="3402"/>
        <item m="1" x="1213"/>
        <item m="1" x="4154"/>
        <item m="1" x="1329"/>
        <item m="1" x="3360"/>
        <item m="1" x="2647"/>
        <item m="1" x="2503"/>
        <item m="1" x="3763"/>
        <item m="1" x="4913"/>
        <item m="1" x="1236"/>
        <item m="1" x="1956"/>
        <item m="1" x="1462"/>
        <item m="1" x="3490"/>
        <item m="1" x="2350"/>
        <item m="1" x="3504"/>
        <item m="1" x="1182"/>
        <item m="1" x="1658"/>
        <item m="1" x="3270"/>
        <item m="1" x="4336"/>
        <item m="1" x="2377"/>
        <item m="1" x="3035"/>
        <item m="1" x="4601"/>
        <item m="1" x="4649"/>
        <item m="1" x="1584"/>
        <item m="1" x="2494"/>
        <item m="1" x="4613"/>
        <item m="1" x="2916"/>
        <item m="1" x="3311"/>
        <item m="1" x="1754"/>
        <item m="1" x="3369"/>
        <item m="1" x="1659"/>
        <item m="1" x="1849"/>
        <item m="1" x="2356"/>
        <item m="1" x="3133"/>
        <item m="1" x="1573"/>
        <item m="1" x="2991"/>
        <item m="1" x="1983"/>
        <item m="1" x="1500"/>
        <item m="1" x="1619"/>
        <item m="1" x="4218"/>
        <item m="1" x="1328"/>
        <item m="1" x="4682"/>
        <item m="1" x="4946"/>
        <item m="1" x="3648"/>
        <item m="1" x="1949"/>
        <item m="1" x="2268"/>
        <item m="1" x="4007"/>
        <item m="1" x="4016"/>
        <item m="1" x="2711"/>
        <item m="1" x="1750"/>
        <item m="1" x="4387"/>
        <item m="1" x="1709"/>
        <item m="1" x="3207"/>
        <item m="1" x="2216"/>
        <item m="1" x="2896"/>
        <item m="1" x="1695"/>
        <item m="1" x="1997"/>
        <item m="1" x="3118"/>
        <item m="1" x="4943"/>
        <item m="1" x="2199"/>
        <item m="1" x="2225"/>
        <item m="1" x="3759"/>
        <item m="1" x="2927"/>
        <item m="1" x="3707"/>
        <item m="1" x="4818"/>
        <item m="1" x="3286"/>
        <item m="1" x="3047"/>
        <item m="1" x="3812"/>
        <item m="1" x="2462"/>
        <item m="1" x="1806"/>
        <item m="1" x="1890"/>
        <item m="1" x="3872"/>
        <item m="1" x="3781"/>
        <item m="1" x="2082"/>
        <item m="1" x="2498"/>
        <item m="1" x="3937"/>
        <item m="1" x="2291"/>
        <item m="1" x="1717"/>
        <item m="1" x="4410"/>
        <item m="1" x="4846"/>
        <item m="1" x="1953"/>
        <item m="1" x="1407"/>
        <item m="1" x="4118"/>
        <item m="1" x="4254"/>
        <item m="1" x="2493"/>
        <item m="1" x="1877"/>
        <item m="1" x="2524"/>
        <item m="1" x="3041"/>
        <item m="1" x="2686"/>
        <item m="1" x="2200"/>
        <item m="1" x="1753"/>
        <item m="1" x="2589"/>
        <item m="1" x="1234"/>
        <item m="1" x="3946"/>
        <item m="1" x="2330"/>
        <item m="1" x="1783"/>
        <item m="1" x="3731"/>
        <item m="1" x="4581"/>
        <item m="1" x="4224"/>
        <item m="1" x="1605"/>
        <item m="1" x="3301"/>
        <item m="1" x="2449"/>
        <item m="1" x="2552"/>
        <item m="1" x="3559"/>
        <item m="1" x="3695"/>
        <item m="1" x="3361"/>
        <item m="1" x="3228"/>
        <item m="1" x="2863"/>
        <item m="1" x="2934"/>
        <item m="1" x="1246"/>
        <item m="1" x="1458"/>
        <item m="1" x="2914"/>
        <item m="1" x="3446"/>
        <item m="1" x="1505"/>
        <item m="1" x="1563"/>
        <item m="1" x="4934"/>
        <item m="1" x="3797"/>
        <item m="1" x="1814"/>
        <item m="1" x="3831"/>
        <item m="1" x="4368"/>
        <item m="1" x="2989"/>
        <item m="1" x="1255"/>
        <item m="1" x="2730"/>
        <item m="1" x="4441"/>
        <item m="1" x="1314"/>
        <item m="1" x="2218"/>
        <item m="1" x="2035"/>
        <item m="1" x="3365"/>
        <item m="1" x="4347"/>
        <item m="1" x="3043"/>
        <item m="1" x="4162"/>
        <item m="1" x="3944"/>
        <item m="1" x="4444"/>
        <item m="1" x="3516"/>
        <item m="1" x="2834"/>
        <item m="1" x="2133"/>
        <item m="1" x="2468"/>
        <item m="1" x="3953"/>
        <item m="1" x="2779"/>
        <item m="1" x="3723"/>
        <item m="1" x="4256"/>
        <item m="1" x="3724"/>
        <item m="1" x="1447"/>
        <item m="1" x="2020"/>
        <item m="1" x="3522"/>
        <item m="1" x="4076"/>
        <item m="1" x="4940"/>
        <item m="1" x="2766"/>
        <item m="1" x="3317"/>
        <item m="1" x="1903"/>
        <item m="1" x="4124"/>
        <item m="1" x="2529"/>
        <item m="1" x="3672"/>
        <item m="1" x="4305"/>
        <item m="1" x="1367"/>
        <item m="1" x="1560"/>
        <item m="1" x="3371"/>
        <item m="1" x="4587"/>
        <item m="1" x="3687"/>
        <item m="1" x="3593"/>
        <item m="1" x="3636"/>
        <item m="1" x="1348"/>
        <item m="1" x="3391"/>
        <item m="1" x="1269"/>
        <item m="1" x="4343"/>
        <item m="1" x="4905"/>
        <item m="1" x="3372"/>
        <item m="1" x="2276"/>
        <item m="1" x="4413"/>
        <item m="1" x="2626"/>
        <item m="1" x="4712"/>
        <item m="1" x="2132"/>
        <item m="1" x="1559"/>
        <item m="1" x="4750"/>
        <item m="1" x="3050"/>
        <item m="1" x="4291"/>
        <item m="1" x="2747"/>
        <item m="1" x="2795"/>
        <item m="1" x="3803"/>
        <item m="1" x="4889"/>
        <item m="1" x="4102"/>
        <item m="1" x="3022"/>
        <item m="1" x="4037"/>
        <item m="1" x="1950"/>
        <item m="1" x="1664"/>
        <item m="1" x="4182"/>
        <item m="1" x="3102"/>
        <item m="1" x="3899"/>
        <item m="1" x="3335"/>
        <item m="1" x="3367"/>
        <item m="1" x="1938"/>
        <item m="1" x="4816"/>
        <item m="1" x="1843"/>
        <item m="1" x="1515"/>
        <item m="1" x="4636"/>
        <item m="1" x="3712"/>
        <item m="1" x="3451"/>
        <item m="1" x="3029"/>
        <item m="1" x="4790"/>
        <item m="1" x="1532"/>
        <item m="1" x="3190"/>
        <item m="1" x="1274"/>
        <item m="1" x="4146"/>
        <item m="1" x="4505"/>
        <item m="1" x="4484"/>
        <item m="1" x="1278"/>
        <item m="1" x="3044"/>
        <item m="1" x="2094"/>
        <item m="1" x="2997"/>
        <item m="1" x="4950"/>
        <item m="1" x="2649"/>
        <item m="1" x="1374"/>
        <item m="1" x="2002"/>
        <item m="1" x="3701"/>
        <item m="1" x="2461"/>
        <item m="1" x="4213"/>
        <item m="1" x="4396"/>
        <item m="1" x="2242"/>
        <item m="1" x="2189"/>
        <item m="1" x="1905"/>
        <item m="1" x="1189"/>
        <item m="1" x="4920"/>
        <item m="1" x="4650"/>
        <item m="1" x="4546"/>
        <item m="1" x="3331"/>
        <item m="1" x="1493"/>
        <item m="1" x="3425"/>
        <item m="1" x="4664"/>
        <item m="1" x="2424"/>
        <item m="1" x="3473"/>
        <item m="1" x="2001"/>
        <item m="1" x="3571"/>
        <item m="1" x="2853"/>
        <item m="1" x="1412"/>
        <item m="1" x="3507"/>
        <item m="1" x="4345"/>
        <item m="1" x="2124"/>
        <item m="1" x="4590"/>
        <item m="1" x="1396"/>
        <item m="1" x="1202"/>
        <item m="1" x="2049"/>
        <item m="1" x="2785"/>
        <item m="1" x="2438"/>
        <item m="1" x="2095"/>
        <item m="1" x="3090"/>
        <item m="1" x="1492"/>
        <item m="1" x="4575"/>
        <item m="1" x="4606"/>
        <item m="1" x="4887"/>
        <item m="1" x="3951"/>
        <item m="1" x="2682"/>
        <item m="1" x="1970"/>
        <item m="1" x="4710"/>
        <item m="1" x="1297"/>
        <item m="1" x="3961"/>
        <item m="1" x="1873"/>
        <item m="1" x="2627"/>
        <item m="1" x="4732"/>
        <item m="1" x="1339"/>
        <item m="1" x="4214"/>
        <item m="1" x="4592"/>
        <item m="1" x="2331"/>
        <item m="1" x="4903"/>
        <item m="1" x="2907"/>
        <item m="1" x="4891"/>
        <item m="1" x="3345"/>
        <item m="1" x="3914"/>
        <item m="1" x="4344"/>
        <item m="1" x="1839"/>
        <item m="1" x="2339"/>
        <item m="1" x="2342"/>
        <item m="1" x="2443"/>
        <item m="1" x="2857"/>
        <item m="1" x="3602"/>
        <item m="1" x="3085"/>
        <item m="1" x="3109"/>
        <item m="1" x="3577"/>
        <item m="1" x="1273"/>
        <item m="1" x="4726"/>
        <item m="1" x="4041"/>
        <item m="1" x="3713"/>
        <item m="1" x="1957"/>
        <item m="1" x="1475"/>
        <item m="1" x="4257"/>
        <item m="1" x="2473"/>
        <item m="1" x="4004"/>
        <item m="1" x="2762"/>
        <item m="1" x="4599"/>
        <item m="1" x="3375"/>
        <item m="1" x="3794"/>
        <item m="1" x="3348"/>
        <item m="1" x="4377"/>
        <item m="1" x="3505"/>
        <item m="1" x="4058"/>
        <item m="1" x="2808"/>
        <item m="1" x="4931"/>
        <item m="1" x="3033"/>
        <item m="1" x="2178"/>
        <item m="1" x="3136"/>
        <item m="1" x="3320"/>
        <item m="1" x="1743"/>
        <item m="1" x="2955"/>
        <item m="1" x="2421"/>
        <item m="1" x="1630"/>
        <item m="1" x="1268"/>
        <item m="1" x="4236"/>
        <item m="1" x="3005"/>
        <item m="1" x="3459"/>
        <item m="1" x="4346"/>
        <item m="1" x="3684"/>
        <item m="1" x="4864"/>
        <item m="1" x="2157"/>
        <item m="1" x="3198"/>
        <item m="1" x="2825"/>
        <item m="1" x="4869"/>
        <item m="1" x="1499"/>
        <item m="1" x="1654"/>
        <item m="1" x="4589"/>
        <item m="1" x="2500"/>
        <item m="1" x="3600"/>
        <item m="1" x="2191"/>
        <item m="1" x="2848"/>
        <item m="1" x="3643"/>
        <item m="1" x="4738"/>
        <item m="1" x="4013"/>
        <item m="1" x="3744"/>
        <item m="1" x="1808"/>
        <item m="1" x="2516"/>
        <item m="1" x="4499"/>
        <item m="1" x="2365"/>
        <item m="1" x="2984"/>
        <item m="1" x="3380"/>
        <item m="1" x="2194"/>
        <item m="1" x="4359"/>
        <item m="1" x="1879"/>
        <item m="1" x="2909"/>
        <item m="1" x="3336"/>
        <item m="1" x="3666"/>
        <item m="1" x="2656"/>
        <item m="1" x="1250"/>
        <item m="1" x="2262"/>
        <item m="1" x="4944"/>
        <item m="1" x="1793"/>
        <item m="1" x="4684"/>
        <item m="1" x="2385"/>
        <item m="1" x="2275"/>
        <item m="1" x="3564"/>
        <item m="1" x="3443"/>
        <item m="1" x="4006"/>
        <item m="1" x="3445"/>
        <item m="1" x="4513"/>
        <item m="1" x="2690"/>
        <item m="1" x="1973"/>
        <item m="1" x="4629"/>
        <item m="1" x="2373"/>
        <item m="1" x="1674"/>
        <item m="1" x="1521"/>
        <item m="1" x="3580"/>
        <item m="1" x="4163"/>
        <item m="1" x="1618"/>
        <item m="1" x="1208"/>
        <item m="1" x="3500"/>
        <item m="1" x="4760"/>
        <item m="1" x="4746"/>
        <item m="1" x="2026"/>
        <item m="1" x="4287"/>
        <item m="1" x="1243"/>
        <item m="1" x="1309"/>
        <item m="1" x="2306"/>
        <item m="1" x="1523"/>
        <item m="1" x="3436"/>
        <item m="1" x="3282"/>
        <item m="1" x="2588"/>
        <item m="1" x="4316"/>
        <item m="1" x="2812"/>
        <item m="1" x="3851"/>
        <item m="1" x="2129"/>
        <item m="1" x="1489"/>
        <item m="1" x="1285"/>
        <item m="1" x="3217"/>
        <item m="1" x="4713"/>
        <item m="1" x="1577"/>
        <item m="1" x="2534"/>
        <item m="1" x="1545"/>
        <item m="1" x="4401"/>
        <item m="1" x="2901"/>
        <item m="1" x="2231"/>
        <item m="1" x="1420"/>
        <item m="1" x="2942"/>
        <item m="1" x="1222"/>
        <item m="1" x="4674"/>
        <item m="1" x="3296"/>
        <item m="1" x="2866"/>
        <item m="1" x="2526"/>
        <item m="1" x="4616"/>
        <item m="1" x="1315"/>
        <item m="1" x="4456"/>
        <item m="1" x="4235"/>
        <item m="1" x="2560"/>
        <item m="1" x="3510"/>
        <item m="1" x="3222"/>
        <item m="1" x="3015"/>
        <item m="1" x="4433"/>
        <item m="1" x="1965"/>
        <item m="1" x="3576"/>
        <item m="1" x="4297"/>
        <item m="1" x="3642"/>
        <item m="1" x="2341"/>
        <item m="1" x="1858"/>
        <item m="1" x="1939"/>
        <item m="1" x="3853"/>
        <item m="1" x="3251"/>
        <item m="1" x="3206"/>
        <item m="1" x="3696"/>
        <item m="1" x="2670"/>
        <item m="1" x="3530"/>
        <item m="1" x="1732"/>
        <item m="1" x="3283"/>
        <item m="1" x="4729"/>
        <item m="1" x="2323"/>
        <item m="1" x="4312"/>
        <item m="1" x="1916"/>
        <item m="1" x="3442"/>
        <item m="1" x="2898"/>
        <item m="1" x="1827"/>
        <item m="1" x="4141"/>
        <item m="1" x="1200"/>
        <item m="1" x="2570"/>
        <item m="1" x="2353"/>
        <item m="1" x="1482"/>
        <item m="1" x="3117"/>
        <item m="1" x="3328"/>
        <item m="1" x="4655"/>
        <item m="1" x="4028"/>
        <item m="1" x="3350"/>
        <item m="1" x="3994"/>
        <item m="1" x="1641"/>
        <item m="1" x="1963"/>
        <item m="1" x="3894"/>
        <item m="1" x="4706"/>
        <item m="1" x="1936"/>
        <item m="1" x="1727"/>
        <item m="1" x="4296"/>
        <item m="1" x="3725"/>
        <item m="1" x="3306"/>
        <item m="1" x="4948"/>
        <item m="1" x="1230"/>
        <item m="1" x="2675"/>
        <item m="1" x="2476"/>
        <item m="1" x="3382"/>
        <item m="1" x="4691"/>
        <item m="1" x="1454"/>
        <item m="1" x="4615"/>
        <item m="1" x="1324"/>
        <item m="1" x="4442"/>
        <item m="1" x="4754"/>
        <item m="1" x="2456"/>
        <item m="1" x="3214"/>
        <item m="1" x="2657"/>
        <item m="1" x="2717"/>
        <item m="1" x="3045"/>
        <item m="1" x="1448"/>
        <item m="1" x="1989"/>
        <item m="1" x="4815"/>
        <item m="1" x="4443"/>
        <item m="1" x="1181"/>
        <item m="1" x="4774"/>
        <item m="1" x="3019"/>
        <item m="1" x="3589"/>
        <item m="1" x="4741"/>
        <item m="1" x="4414"/>
        <item m="1" x="1551"/>
        <item m="1" x="1347"/>
        <item m="1" x="1262"/>
        <item m="1" x="1333"/>
        <item m="1" x="1384"/>
        <item m="1" x="3841"/>
        <item m="1" x="2415"/>
        <item m="1" x="4808"/>
        <item m="1" x="4262"/>
        <item m="1" x="3037"/>
        <item m="1" x="2098"/>
        <item m="1" x="3742"/>
        <item m="1" x="4434"/>
        <item m="1" x="3718"/>
        <item m="1" x="2032"/>
        <item m="1" x="3416"/>
        <item m="1" x="4658"/>
        <item m="1" x="2487"/>
        <item m="1" x="3567"/>
        <item m="1" x="2113"/>
        <item m="1" x="3730"/>
        <item m="1" x="2807"/>
        <item m="1" x="4643"/>
        <item m="1" x="1327"/>
        <item m="1" x="2041"/>
        <item m="1" x="3261"/>
        <item m="1" x="4231"/>
        <item m="1" x="1346"/>
        <item m="1" x="1886"/>
        <item m="1" x="2139"/>
        <item m="1" x="4178"/>
        <item m="1" x="3554"/>
        <item m="1" x="4435"/>
        <item m="1" x="2181"/>
        <item m="1" x="3105"/>
        <item m="1" x="3161"/>
        <item m="1" x="3656"/>
        <item m="1" x="1368"/>
        <item m="1" x="1425"/>
        <item m="1" x="4229"/>
        <item m="1" x="3585"/>
        <item m="1" x="3985"/>
        <item m="1" x="2459"/>
        <item m="1" x="3868"/>
        <item m="1" x="1321"/>
        <item m="1" x="3840"/>
        <item m="1" x="3237"/>
        <item m="1" x="2510"/>
        <item m="1" x="3610"/>
        <item m="1" x="3594"/>
        <item m="1" x="3204"/>
        <item m="1" x="1235"/>
        <item m="1" x="4902"/>
        <item m="1" x="1326"/>
        <item m="1" x="4117"/>
        <item m="1" x="3110"/>
        <item m="1" x="4255"/>
        <item m="1" x="4436"/>
        <item m="1" x="4772"/>
        <item m="1" x="2605"/>
        <item m="1" x="1842"/>
        <item m="1" x="4405"/>
        <item m="1" x="1536"/>
        <item m="1" x="4388"/>
        <item m="1" x="4186"/>
        <item m="1" x="2953"/>
        <item m="1" x="3653"/>
        <item m="1" x="3312"/>
        <item m="1" x="4026"/>
        <item m="1" x="3155"/>
        <item m="1" x="1387"/>
        <item m="1" x="3802"/>
        <item m="1" x="3309"/>
        <item m="1" x="1960"/>
        <item m="1" x="2614"/>
        <item m="1" x="3837"/>
        <item m="1" x="1549"/>
        <item m="1" x="3191"/>
        <item m="1" x="1223"/>
        <item m="1" x="3529"/>
        <item m="1" x="1517"/>
        <item m="1" x="2706"/>
        <item m="1" x="2114"/>
        <item m="1" x="4690"/>
        <item m="1" x="4882"/>
        <item m="1" x="2842"/>
        <item m="1" x="2681"/>
        <item m="1" x="1669"/>
        <item m="1" x="2692"/>
        <item m="1" x="1909"/>
        <item m="1" x="4825"/>
        <item m="1" x="2073"/>
        <item m="1" x="2142"/>
        <item m="1" x="4292"/>
        <item m="1" x="3334"/>
        <item m="1" x="3246"/>
        <item m="1" x="3708"/>
        <item m="1" x="3143"/>
        <item m="1" x="1824"/>
        <item m="1" x="3219"/>
        <item m="1" x="2406"/>
        <item m="1" x="3000"/>
        <item m="1" x="3655"/>
        <item m="1" x="4932"/>
        <item m="1" x="4868"/>
        <item m="1" x="4583"/>
        <item m="1" x="2296"/>
        <item m="1" x="3154"/>
        <item m="1" x="2345"/>
        <item m="1" x="2258"/>
        <item m="1" x="1533"/>
        <item m="1" x="4602"/>
        <item m="1" x="2410"/>
        <item m="1" x="1514"/>
        <item m="1" x="1774"/>
        <item m="1" x="1644"/>
        <item m="1" x="4502"/>
        <item m="1" x="4803"/>
        <item m="1" x="1794"/>
        <item m="1" x="3986"/>
        <item m="1" x="2775"/>
        <item m="1" x="4906"/>
        <item m="1" x="3750"/>
        <item m="1" x="4662"/>
        <item m="1" x="2416"/>
        <item m="1" x="3120"/>
        <item m="1" x="3326"/>
        <item m="1" x="2604"/>
        <item m="1" x="3144"/>
        <item m="1" x="2148"/>
        <item m="1" x="1628"/>
        <item m="1" x="2413"/>
        <item m="1" x="2009"/>
        <item m="1" x="3390"/>
        <item m="1" x="4621"/>
        <item m="1" x="4497"/>
        <item m="1" x="2504"/>
        <item m="1" x="3406"/>
        <item m="1" x="1609"/>
        <item m="1" x="4611"/>
        <item m="1" x="3751"/>
        <item m="1" x="2771"/>
        <item m="1" x="4698"/>
        <item m="1" x="2485"/>
        <item m="1" x="1252"/>
        <item m="1" x="4476"/>
        <item m="1" x="2096"/>
        <item m="1" x="4571"/>
        <item m="1" x="4858"/>
        <item m="1" x="4764"/>
        <item m="1" x="1570"/>
        <item m="1" x="1369"/>
        <item m="1" x="4765"/>
        <item m="1" x="3297"/>
        <item m="1" x="3100"/>
        <item m="1" x="3502"/>
        <item m="1" x="1318"/>
        <item m="1" x="3897"/>
        <item m="1" x="2537"/>
        <item m="1" x="1777"/>
        <item m="1" x="2090"/>
        <item m="1" x="2246"/>
        <item m="1" x="3683"/>
        <item m="1" x="4487"/>
        <item m="1" x="3612"/>
        <item m="1" x="2118"/>
        <item m="1" x="4901"/>
        <item m="1" x="2279"/>
        <item m="1" x="2364"/>
        <item m="1" x="2434"/>
        <item m="1" x="1910"/>
        <item m="1" x="3566"/>
        <item m="1" x="3852"/>
        <item m="1" x="3549"/>
        <item m="1" x="2721"/>
        <item m="1" x="1742"/>
        <item m="1" x="3842"/>
        <item m="1" x="1587"/>
        <item m="1" x="4099"/>
        <item m="1" x="3437"/>
        <item m="1" x="1672"/>
        <item m="1" x="3319"/>
        <item m="1" x="4956"/>
        <item m="1" x="2558"/>
        <item m="1" x="2750"/>
        <item m="1" x="3266"/>
        <item m="1" x="2872"/>
        <item m="1" x="2734"/>
        <item m="1" x="1703"/>
        <item m="1" x="2214"/>
        <item m="1" x="4504"/>
        <item m="1" x="2505"/>
        <item m="1" x="2620"/>
        <item m="1" x="3503"/>
        <item m="1" x="4725"/>
        <item m="1" x="2111"/>
        <item m="1" x="3485"/>
        <item m="1" x="2202"/>
        <item m="1" x="2017"/>
        <item m="1" x="4594"/>
        <item m="1" x="3302"/>
        <item m="1" x="2886"/>
        <item m="1" x="4371"/>
        <item m="1" x="1530"/>
        <item m="1" x="4628"/>
        <item m="1" x="4338"/>
        <item m="1" x="1673"/>
        <item m="1" x="2067"/>
        <item m="1" x="2838"/>
        <item m="1" x="2241"/>
        <item m="1" x="3056"/>
        <item m="1" x="1607"/>
        <item m="1" x="3305"/>
        <item m="1" x="2968"/>
        <item m="1" x="4039"/>
        <item m="1" x="4245"/>
        <item m="1" x="3357"/>
        <item m="1" x="3634"/>
        <item m="1" x="1635"/>
        <item m="1" x="4471"/>
        <item m="1" x="1335"/>
        <item m="1" x="1968"/>
        <item m="1" x="2615"/>
        <item m="1" x="1191"/>
        <item m="1" x="2484"/>
        <item m="1" x="3223"/>
        <item m="1" x="4133"/>
        <item m="1" x="2760"/>
        <item m="1" x="2735"/>
        <item m="1" x="2182"/>
        <item m="1" x="2594"/>
        <item m="1" x="4834"/>
        <item m="1" x="2975"/>
        <item m="1" x="3721"/>
        <item m="1" x="2328"/>
        <item m="1" x="4457"/>
        <item m="1" x="1590"/>
        <item m="1" x="4385"/>
        <item m="1" x="3916"/>
        <item m="1" x="3739"/>
        <item m="1" x="2127"/>
        <item m="1" x="1856"/>
        <item m="1" x="4204"/>
        <item m="1" x="1232"/>
        <item m="1" x="3783"/>
        <item m="1" x="4418"/>
        <item m="1" x="3906"/>
        <item m="1" x="2119"/>
        <item m="1" x="2599"/>
        <item m="1" x="2990"/>
        <item m="1" x="2453"/>
        <item m="1" x="1731"/>
        <item m="1" x="4093"/>
        <item m="1" x="1812"/>
        <item m="1" x="1542"/>
        <item m="1" x="2519"/>
        <item m="1" x="2496"/>
        <item m="1" x="1569"/>
        <item m="1" x="3177"/>
        <item m="1" x="4136"/>
        <item m="1" x="2947"/>
        <item m="1" x="4784"/>
        <item m="1" x="2622"/>
        <item m="1" x="2595"/>
        <item m="1" x="4917"/>
        <item m="1" x="4703"/>
        <item m="1" x="1860"/>
        <item m="1" x="4577"/>
        <item m="1" x="1427"/>
        <item m="1" x="3767"/>
        <item m="1" x="2810"/>
        <item m="1" x="4627"/>
        <item m="1" x="2957"/>
        <item m="1" x="3614"/>
        <item m="1" x="3383"/>
        <item m="1" x="3057"/>
        <item m="1" x="3915"/>
        <item m="1" x="1776"/>
        <item m="1" x="2347"/>
        <item m="1" x="2641"/>
        <item m="1" x="1403"/>
        <item m="1" x="3569"/>
        <item m="1" x="2703"/>
        <item m="1" x="2239"/>
        <item m="1" x="4424"/>
        <item m="1" x="3094"/>
        <item m="1" x="1435"/>
        <item m="1" x="2251"/>
        <item m="1" x="4507"/>
        <item m="1" x="4314"/>
        <item m="1" x="4716"/>
        <item m="1" x="2797"/>
        <item m="1" x="4952"/>
        <item m="1" x="2511"/>
        <item m="1" x="2450"/>
        <item m="1" x="2270"/>
        <item m="1" x="1383"/>
        <item m="1" x="2579"/>
        <item m="1" x="2303"/>
        <item m="1" x="2301"/>
        <item m="1" x="4049"/>
        <item m="1" x="1296"/>
        <item m="1" x="2344"/>
        <item m="1" x="1240"/>
        <item m="1" x="260"/>
        <item m="1" x="264"/>
        <item m="1" x="3813"/>
        <item m="1" x="3374"/>
        <item m="1" x="2169"/>
        <item m="1" x="4555"/>
        <item m="1" x="2217"/>
        <item m="1" x="2578"/>
        <item m="1" x="3082"/>
        <item m="1" x="1826"/>
        <item m="1" x="2281"/>
        <item m="1" x="1479"/>
        <item m="1" x="2441"/>
        <item m="1" x="4929"/>
        <item m="1" x="2514"/>
        <item m="1" x="2123"/>
        <item m="1" x="2247"/>
        <item m="1" x="2803"/>
        <item m="1" x="4474"/>
        <item m="1" x="1366"/>
        <item m="1" x="2266"/>
        <item m="1" x="4767"/>
        <item m="1" x="2146"/>
        <item m="1" x="1702"/>
        <item m="1" x="1624"/>
        <item m="1" x="4078"/>
        <item m="1" x="3236"/>
        <item m="1" x="3762"/>
        <item m="1" x="2300"/>
        <item m="1" x="4660"/>
        <item m="1" x="3755"/>
        <item m="1" x="4158"/>
        <item m="1" x="4423"/>
        <item m="1" x="2821"/>
        <item m="1" x="3135"/>
        <item m="1" x="2911"/>
        <item m="1" x="1319"/>
        <item m="1" x="1908"/>
        <item m="1" x="1841"/>
        <item m="1" x="4210"/>
        <item m="1" x="4884"/>
        <item m="1" x="3072"/>
        <item m="1" x="2805"/>
        <item m="1" x="3127"/>
        <item m="1" x="2093"/>
        <item m="1" x="4427"/>
        <item m="1" x="2006"/>
        <item m="1" x="2815"/>
        <item m="1" x="3026"/>
        <item m="1" x="2684"/>
        <item m="1" x="2577"/>
        <item m="1" x="3441"/>
        <item m="1" x="3628"/>
        <item m="1" x="1870"/>
        <item m="1" x="2951"/>
        <item m="1" x="2551"/>
        <item m="1" x="2969"/>
        <item m="1" x="1531"/>
        <item m="1" x="4663"/>
        <item m="1" x="3970"/>
        <item m="1" x="3354"/>
        <item m="1" x="4835"/>
        <item m="1" x="4250"/>
        <item m="1" x="3525"/>
        <item m="1" x="4411"/>
        <item m="1" x="3904"/>
        <item m="1" x="3892"/>
        <item m="1" x="3835"/>
        <item m="1" x="2211"/>
        <item m="1" x="3310"/>
        <item m="1" x="4021"/>
        <item m="1" x="4895"/>
        <item m="1" x="2016"/>
        <item m="1" x="4104"/>
        <item m="1" x="3359"/>
        <item m="1" x="1755"/>
        <item m="1" x="1518"/>
        <item m="1" x="1865"/>
        <item m="1" x="3926"/>
        <item m="1" x="4842"/>
        <item m="1" x="2562"/>
        <item m="1" x="2850"/>
        <item m="1" x="2718"/>
        <item m="1" x="1684"/>
        <item m="1" x="3231"/>
        <item m="1" x="2439"/>
        <item m="1" x="4337"/>
        <item m="1" x="1655"/>
        <item m="1" x="1604"/>
        <item m="1" x="2499"/>
        <item m="1" x="3743"/>
        <item m="1" x="4278"/>
        <item m="1" x="3165"/>
        <item m="1" x="4045"/>
        <item m="1" x="2140"/>
        <item m="1" x="4329"/>
        <item m="1" x="2159"/>
        <item m="1" x="3581"/>
        <item m="1" x="2802"/>
        <item m="1" x="3291"/>
        <item m="1" x="1809"/>
        <item m="1" x="3042"/>
        <item m="1" x="3590"/>
        <item m="1" x="4029"/>
        <item m="1" x="4533"/>
        <item m="1" x="4867"/>
        <item m="1" x="2390"/>
        <item m="1" x="4804"/>
        <item m="1" x="2265"/>
        <item m="1" x="3471"/>
        <item m="1" x="4826"/>
        <item m="1" x="2369"/>
        <item m="1" x="2107"/>
        <item m="1" x="3280"/>
        <item m="1" x="2358"/>
        <item m="1" x="1632"/>
        <item m="1" x="3234"/>
        <item m="1" x="4727"/>
        <item m="1" x="2638"/>
        <item m="1" x="1311"/>
        <item m="1" x="3821"/>
        <item m="1" x="3399"/>
        <item m="1" x="2451"/>
        <item m="1" x="1567"/>
        <item m="1" x="3900"/>
        <item m="1" x="2360"/>
        <item m="1" x="2538"/>
        <item m="1" x="3007"/>
        <item m="1" x="1376"/>
        <item m="1" x="1509"/>
        <item m="1" x="3256"/>
        <item m="1" x="2460"/>
        <item m="1" x="1682"/>
        <item m="1" x="1303"/>
        <item m="1" x="2897"/>
        <item m="1" x="3673"/>
        <item m="1" x="3974"/>
        <item m="1" x="1465"/>
        <item m="1" x="4354"/>
        <item m="1" x="4752"/>
        <item m="1" x="4539"/>
        <item m="1" x="1190"/>
        <item m="1" x="3298"/>
        <item m="1" x="4676"/>
        <item m="1" x="1483"/>
        <item m="1" x="2037"/>
        <item m="1" x="2761"/>
        <item m="1" x="2370"/>
        <item m="1" x="3038"/>
        <item m="1" x="3279"/>
        <item m="1" x="1941"/>
        <item m="1" x="1646"/>
        <item m="1" x="4493"/>
        <item m="1" x="3685"/>
        <item m="1" x="4301"/>
        <item m="1" x="2311"/>
        <item m="1" x="4173"/>
        <item m="1" x="2039"/>
        <item m="1" x="4397"/>
        <item m="1" x="2778"/>
        <item m="1" x="1602"/>
        <item m="1" x="4425"/>
        <item m="1" x="2482"/>
        <item m="1" x="4461"/>
        <item m="1" x="4605"/>
        <item m="1" x="2417"/>
        <item m="1" x="1481"/>
        <item m="1" x="2855"/>
        <item m="1" x="3659"/>
        <item m="1" x="2229"/>
        <item m="1" x="1782"/>
        <item m="1" x="2177"/>
        <item m="1" x="2602"/>
        <item m="1" x="2941"/>
        <item m="1" x="2260"/>
        <item m="1" x="1820"/>
        <item m="1" x="3539"/>
        <item m="1" x="4781"/>
        <item m="1" x="3905"/>
        <item m="1" x="3661"/>
        <item m="1" x="1867"/>
        <item m="1" x="3002"/>
        <item m="1" x="4064"/>
        <item m="1" x="1681"/>
        <item m="1" x="2883"/>
        <item m="1" x="4667"/>
        <item m="1" x="1579"/>
        <item m="1" x="3021"/>
        <item m="1" x="3980"/>
        <item m="1" x="4212"/>
        <item m="1" x="3337"/>
        <item m="1" x="3952"/>
        <item m="1" x="3719"/>
        <item m="1" x="3247"/>
        <item m="1" x="2772"/>
        <item m="1" x="1355"/>
        <item m="1" x="3544"/>
        <item m="1" x="1457"/>
        <item m="1" x="1455"/>
        <item m="1" x="1914"/>
        <item m="1" x="1912"/>
        <item m="1" x="2659"/>
        <item m="1" x="2325"/>
        <item m="1" x="1398"/>
        <item m="1" x="3770"/>
        <item m="1" x="4175"/>
        <item m="1" x="3515"/>
        <item m="1" x="4756"/>
        <item m="1" x="1522"/>
        <item m="1" x="1921"/>
        <item m="1" x="3116"/>
        <item m="1" x="1651"/>
        <item m="1" x="2693"/>
        <item m="1" x="1266"/>
        <item m="1" x="1302"/>
        <item m="1" x="4836"/>
        <item m="1" x="4679"/>
        <item m="1" x="4155"/>
        <item m="1" x="4059"/>
        <item m="1" x="3407"/>
        <item m="1" x="4040"/>
        <item m="1" x="1971"/>
        <item m="1" x="2327"/>
        <item m="1" x="4381"/>
        <item m="1" x="2744"/>
        <item m="1" x="1955"/>
        <item m="1" x="3078"/>
        <item m="1" x="4080"/>
        <item m="1" x="4472"/>
        <item m="1" x="3604"/>
        <item m="1" x="2840"/>
        <item m="1" x="4827"/>
        <item m="1" x="1508"/>
        <item m="1" x="3376"/>
        <item m="1" x="1203"/>
        <item m="1" x="2643"/>
        <item m="1" x="2192"/>
        <item m="1" x="2230"/>
        <item m="1" x="2105"/>
        <item m="1" x="2925"/>
        <item m="1" x="2340"/>
        <item m="1" x="1209"/>
        <item m="1" x="4877"/>
        <item m="1" x="1416"/>
        <item m="1" x="3520"/>
        <item m="1" x="3054"/>
        <item m="1" x="4704"/>
        <item m="1" x="3408"/>
        <item m="1" x="1414"/>
        <item m="1" x="3519"/>
        <item m="1" x="2903"/>
        <item m="1" x="4056"/>
        <item m="1" x="3106"/>
        <item m="1" x="2403"/>
        <item m="1" x="4184"/>
        <item m="1" x="1394"/>
        <item m="1" x="2134"/>
        <item m="1" x="2738"/>
        <item m="1" x="4735"/>
        <item m="1" x="4832"/>
        <item m="1" x="4782"/>
        <item m="1" x="2926"/>
        <item m="1" x="4483"/>
        <item m="1" x="3089"/>
        <item m="1" x="3925"/>
        <item m="1" x="4775"/>
        <item m="1" x="1528"/>
        <item m="1" x="4349"/>
        <item m="1" x="4693"/>
        <item m="1" x="4866"/>
        <item m="1" x="4412"/>
        <item m="1" x="2870"/>
        <item m="1" x="3935"/>
        <item m="1" x="2053"/>
        <item m="1" x="2420"/>
        <item m="1" x="4893"/>
        <item m="1" x="3817"/>
        <item m="1" x="1413"/>
        <item m="1" x="2792"/>
        <item m="1" x="4121"/>
        <item m="1" x="2318"/>
        <item m="1" x="1871"/>
        <item m="1" x="4707"/>
        <item m="1" x="1538"/>
        <item m="1" x="4908"/>
        <item m="1" x="2752"/>
        <item m="1" x="3542"/>
        <item m="1" x="4694"/>
        <item m="1" x="3252"/>
        <item m="1" x="3440"/>
        <item m="1" x="1576"/>
        <item m="1" x="4812"/>
        <item m="1" x="2801"/>
        <item m="1" x="2523"/>
        <item m="1" x="2059"/>
        <item m="1" x="2732"/>
        <item m="1" x="2201"/>
        <item m="1" x="2773"/>
        <item m="1" x="3444"/>
        <item m="1" x="3205"/>
        <item m="1" x="4054"/>
        <item m="1" x="2961"/>
        <item m="1" x="4043"/>
        <item m="1" x="3210"/>
        <item m="1" x="4755"/>
        <item m="1" x="3353"/>
        <item m="1" x="4253"/>
        <item m="1" x="3107"/>
        <item m="1" x="4728"/>
        <item m="1" x="4315"/>
        <item m="1" x="1846"/>
        <item m="1" x="2106"/>
        <item m="1" x="4238"/>
        <item m="1" x="3481"/>
        <item m="1" x="3779"/>
        <item m="1" x="3931"/>
        <item m="1" x="1561"/>
        <item m="1" x="3703"/>
        <item m="1" x="2411"/>
        <item m="1" x="3346"/>
        <item m="1" x="1338"/>
        <item m="1" x="3720"/>
        <item m="1" x="3704"/>
        <item m="1" x="4437"/>
        <item m="1" x="1725"/>
        <item m="1" x="1737"/>
        <item m="1" x="4651"/>
        <item m="1" x="3202"/>
        <item m="1" x="3592"/>
        <item m="1" x="1629"/>
        <item m="1" x="3129"/>
        <item m="1" x="1592"/>
        <item m="1" x="3051"/>
        <item m="1" x="4677"/>
        <item m="1" x="2894"/>
        <item m="1" x="1467"/>
        <item m="1" x="2233"/>
        <item m="1" x="1995"/>
        <item m="1" x="3464"/>
        <item m="1" x="3574"/>
        <item m="1" x="1778"/>
        <item m="1" x="2581"/>
        <item m="1" x="3930"/>
        <item m="1" x="2048"/>
        <item m="1" x="2608"/>
        <item m="1" x="3203"/>
        <item m="1" x="4593"/>
        <item m="1" x="2603"/>
        <item m="1" x="1616"/>
        <item m="1" x="1241"/>
        <item m="1" x="4718"/>
        <item m="1" x="2823"/>
        <item m="1" x="1364"/>
        <item m="1" x="2743"/>
        <item m="1" x="1221"/>
        <item m="1" x="1186"/>
        <item m="1" x="4634"/>
        <item m="1" x="4540"/>
        <item m="1" x="4719"/>
        <item m="1" x="4695"/>
        <item m="1" x="3697"/>
        <item m="1" x="3181"/>
        <item m="1" x="2349"/>
        <item m="1" x="4400"/>
        <item m="1" x="3316"/>
        <item m="1" x="2597"/>
        <item m="1" x="2993"/>
        <item m="1" x="4576"/>
        <item m="1" x="1656"/>
        <item m="1" x="3850"/>
        <item m="1" x="1708"/>
        <item m="1" x="3455"/>
        <item m="1" x="2435"/>
        <item m="1" x="2669"/>
        <item m="1" x="3709"/>
        <item m="1" x="4559"/>
        <item m="1" x="3686"/>
        <item m="1" x="3119"/>
        <item m="1" x="2963"/>
        <item m="1" x="4478"/>
        <item m="1" x="1898"/>
        <item m="1" x="1219"/>
        <item m="1" x="3766"/>
        <item m="1" x="1728"/>
        <item m="1" x="4535"/>
        <item m="1" x="1585"/>
        <item m="1" x="2400"/>
        <item m="1" x="3070"/>
        <item m="1" x="2710"/>
        <item m="1" x="2568"/>
        <item m="1" x="1513"/>
        <item m="1" x="2116"/>
        <item m="1" x="3568"/>
        <item m="1" x="3839"/>
        <item m="1" x="3737"/>
        <item m="1" x="3289"/>
        <item m="1" x="4384"/>
        <item m="1" x="4144"/>
        <item m="1" x="3332"/>
        <item m="1" x="2861"/>
        <item m="1" x="4261"/>
        <item m="1" x="2632"/>
        <item m="1" x="2131"/>
        <item m="1" x="4897"/>
        <item m="1" x="2362"/>
        <item m="1" x="3373"/>
        <item m="1" x="1866"/>
        <item m="1" x="3603"/>
        <item m="1" x="2716"/>
        <item m="1" x="2448"/>
        <item m="1" x="1352"/>
        <item m="1" x="4279"/>
        <item m="1" x="4048"/>
        <item m="1" x="1759"/>
        <item m="1" x="4598"/>
        <item m="1" x="4356"/>
        <item m="1" x="1662"/>
        <item m="1" x="4779"/>
        <item m="1" x="3727"/>
        <item m="1" x="2371"/>
        <item m="1" x="2544"/>
        <item m="1" x="4632"/>
        <item m="1" x="3409"/>
        <item m="1" x="4801"/>
        <item m="1" x="2976"/>
        <item m="1" x="2272"/>
        <item m="1" x="3870"/>
        <item m="1" x="1790"/>
        <item m="1" x="3123"/>
        <item m="1" x="3694"/>
        <item m="1" x="1429"/>
        <item m="1" x="1485"/>
        <item m="1" x="4843"/>
        <item m="1" x="3278"/>
        <item m="1" x="4264"/>
        <item m="1" x="1381"/>
        <item m="1" x="1459"/>
        <item m="1" x="4452"/>
        <item m="1" x="4168"/>
        <item m="1" x="2244"/>
        <item m="1" x="2033"/>
        <item m="1" x="4776"/>
        <item m="1" x="4557"/>
        <item m="1" x="3186"/>
        <item m="1" x="2532"/>
        <item m="1" x="3001"/>
        <item m="1" x="1497"/>
        <item m="1" x="3984"/>
        <item m="1" x="1197"/>
        <item m="1" x="2974"/>
        <item m="1" x="1671"/>
        <item x="0"/>
        <item m="1" x="1193"/>
        <item m="1" x="2366"/>
        <item m="1" x="1706"/>
        <item m="1" x="1185"/>
        <item m="1" x="1678"/>
        <item m="1" x="3182"/>
        <item m="1" x="2491"/>
        <item m="1" x="2464"/>
        <item m="1" x="3462"/>
        <item m="1" x="4953"/>
        <item m="1" x="3265"/>
        <item m="1" x="2665"/>
        <item m="1" x="1371"/>
        <item m="1" x="3450"/>
        <item m="1" x="4283"/>
        <item m="1" x="2254"/>
        <item m="1" x="4788"/>
        <item m="1" x="3304"/>
        <item m="1" x="4570"/>
        <item m="1" x="3477"/>
        <item m="1" x="3245"/>
        <item m="1" x="3548"/>
        <item m="1" x="1330"/>
        <item m="1" x="1855"/>
        <item m="1" x="4642"/>
        <item m="1" x="4909"/>
        <item m="1" x="4408"/>
        <item m="1" x="2804"/>
        <item m="1" x="4838"/>
        <item m="1" x="4331"/>
        <item m="1" x="1248"/>
        <item m="1" x="4352"/>
        <item m="1" x="4195"/>
        <item m="1" x="3692"/>
        <item m="1" x="4075"/>
        <item m="1" x="4612"/>
        <item m="1" x="1986"/>
        <item m="1" x="4614"/>
        <item m="1" x="2633"/>
        <item m="1" x="1418"/>
        <item m="1" x="1650"/>
        <item m="1" x="4313"/>
        <item m="1" x="3934"/>
        <item m="1" x="2087"/>
        <item m="1" x="3537"/>
        <item m="1" x="3820"/>
        <item m="1" x="4876"/>
        <item m="1" x="2548"/>
        <item m="1" x="2924"/>
        <item m="1" x="3069"/>
        <item m="1" x="4365"/>
        <item m="1" x="2694"/>
        <item m="1" x="1578"/>
        <item m="1" x="4549"/>
        <item m="1" x="2375"/>
        <item m="1" x="4681"/>
        <item m="1" x="3253"/>
        <item m="1" x="1757"/>
        <item m="1" x="1667"/>
        <item m="1" x="1676"/>
        <item m="1" x="4656"/>
        <item m="1" x="3006"/>
        <item m="1" x="2571"/>
        <item m="1" x="1385"/>
        <item m="1" x="4170"/>
        <item m="1" x="3514"/>
        <item m="1" x="4811"/>
        <item m="1" x="2587"/>
        <item m="1" x="4821"/>
        <item m="1" x="3754"/>
        <item m="1" x="4758"/>
        <item m="1" x="4747"/>
        <item m="1" x="3849"/>
        <item m="1" x="4082"/>
        <item m="1" x="4880"/>
        <item m="1" x="3942"/>
        <item m="1" x="2830"/>
        <item m="1" x="4564"/>
        <item m="1" x="1356"/>
        <item m="1" x="1554"/>
        <item m="1" x="4670"/>
        <item m="1" x="3294"/>
        <item m="1" x="2936"/>
        <item m="1" x="3295"/>
        <item m="1" x="3565"/>
        <item m="1" x="2288"/>
        <item m="1" x="3420"/>
        <item m="1" x="4310"/>
        <item m="1" x="2737"/>
        <item m="1" x="2885"/>
        <item m="1" x="3814"/>
        <item m="1" x="3598"/>
        <item m="1" x="2289"/>
        <item m="1" x="1883"/>
        <item m="1" x="2530"/>
        <item m="1" x="3663"/>
        <item m="1" x="4743"/>
        <item m="1" x="3555"/>
        <item m="1" x="3815"/>
        <item m="1" x="4373"/>
        <item m="1" x="1555"/>
        <item m="1" x="2789"/>
        <item m="1" x="4870"/>
        <item m="1" x="1779"/>
        <item m="1" x="4386"/>
        <item m="1" x="4453"/>
        <item m="1" x="3882"/>
        <item m="1" x="3249"/>
        <item m="1" x="3226"/>
        <item m="1" x="3036"/>
        <item m="1" x="1442"/>
        <item m="1" x="4246"/>
        <item m="1" x="3893"/>
        <item m="1" x="4492"/>
        <item m="1" x="2536"/>
        <item m="1" x="3753"/>
        <item m="1" x="1358"/>
        <item m="1" x="1473"/>
        <item m="1" x="2780"/>
        <item m="1" x="1625"/>
        <item m="1" x="1643"/>
        <item m="1" x="1220"/>
        <item m="1" x="4720"/>
        <item m="1" x="3235"/>
        <item m="1" x="2912"/>
        <item m="1" x="1663"/>
        <item m="1" x="4654"/>
        <item m="1" x="4737"/>
        <item m="1" x="2315"/>
        <item m="1" x="2168"/>
        <item m="1" x="1180"/>
        <item m="1" x="2130"/>
        <item m="1" x="4157"/>
        <item m="1" x="2937"/>
        <item m="1" x="3706"/>
        <item m="1" x="3622"/>
        <item m="1" x="3669"/>
        <item m="1" x="2806"/>
        <item m="1" x="1686"/>
        <item m="1" x="4930"/>
        <item m="1" x="4321"/>
        <item m="1" x="4520"/>
        <item m="1" x="2166"/>
        <item m="1" x="3242"/>
        <item m="1" x="2066"/>
        <item m="1" x="4910"/>
        <item m="1" x="4542"/>
        <item m="1" x="1762"/>
        <item m="1" x="4879"/>
        <item m="1" x="3494"/>
        <item m="1" x="1803"/>
        <item m="1" x="1445"/>
        <item m="1" x="1972"/>
        <item m="1" x="4519"/>
        <item m="1" x="1756"/>
        <item m="1" x="1993"/>
        <item m="1" x="4638"/>
        <item m="1" x="2224"/>
        <item m="1" x="2215"/>
        <item m="1" x="4582"/>
        <item m="1" x="2854"/>
        <item m="1" x="1822"/>
        <item m="1" x="3216"/>
        <item m="1" x="4762"/>
        <item m="1" x="3434"/>
        <item m="1" x="4363"/>
        <item m="1" x="4046"/>
        <item m="1" x="1881"/>
        <item m="1" x="4369"/>
        <item m="1" x="4277"/>
        <item m="1" x="4545"/>
        <item m="1" x="3013"/>
        <item m="1" x="2583"/>
        <item m="1" x="1399"/>
        <item m="1" x="4342"/>
        <item m="1" x="3410"/>
        <item m="1" x="3609"/>
        <item m="1" x="1205"/>
        <item m="1" x="1562"/>
        <item m="1" x="4900"/>
        <item m="1" x="2256"/>
        <item m="1" x="1472"/>
        <item m="1" x="2630"/>
        <item m="1" x="4778"/>
        <item m="1" x="1749"/>
        <item m="1" x="1987"/>
        <item m="1" x="1350"/>
        <item m="1" x="4949"/>
        <item m="1" x="4125"/>
        <item m="1" x="2980"/>
        <item m="1" x="1199"/>
        <item m="1" x="1439"/>
        <item m="1" x="1225"/>
        <item m="1" x="3476"/>
        <item m="1" x="3947"/>
        <item m="1" x="4514"/>
        <item m="1" x="1761"/>
        <item m="1" x="2307"/>
        <item m="1" x="4259"/>
        <item m="1" x="3662"/>
        <item m="1" x="1253"/>
        <item m="1" x="2209"/>
        <item m="1" x="3179"/>
        <item m="1" x="4094"/>
        <item m="1" x="3077"/>
        <item m="1" x="2155"/>
        <item m="1" x="2050"/>
        <item m="1" x="2257"/>
        <item m="1" x="1621"/>
        <item m="1" x="3936"/>
        <item m="1" x="4937"/>
        <item m="1" x="4129"/>
        <item m="1" x="2261"/>
        <item m="1" x="3890"/>
        <item m="1" x="3606"/>
        <item m="1" x="1878"/>
        <item m="1" x="2826"/>
        <item m="1" x="3943"/>
        <item m="1" x="4921"/>
        <item m="1" x="2811"/>
        <item m="1" x="4841"/>
        <item m="1" x="3103"/>
        <item m="1" x="2372"/>
        <item m="1" x="3448"/>
        <item m="1" x="2294"/>
        <item m="1" x="1194"/>
        <item m="1" x="3349"/>
        <item m="1" x="1744"/>
        <item m="1" x="1305"/>
        <item m="1" x="4560"/>
        <item m="1" x="2904"/>
        <item m="1" x="2180"/>
        <item m="1" x="2720"/>
        <item m="1" x="3526"/>
        <item m="1" x="2103"/>
        <item m="1" x="3738"/>
        <item m="1" x="3010"/>
        <item m="1" x="3071"/>
        <item m="1" x="1495"/>
        <item m="1" x="4053"/>
        <item m="1" x="2846"/>
        <item m="1" x="3908"/>
        <item m="1" x="3780"/>
        <item m="1" x="2999"/>
        <item m="1" x="4289"/>
        <item m="1" x="1653"/>
        <item m="1" x="3170"/>
        <item m="1" x="2900"/>
        <item m="1" x="2874"/>
        <item m="1" x="3746"/>
        <item m="1" x="3501"/>
        <item m="1" x="4332"/>
        <item m="1" x="1979"/>
        <item m="1" x="4490"/>
        <item m="1" x="4733"/>
        <item m="1" x="1748"/>
        <item m="1" x="4183"/>
        <item m="1" x="3424"/>
        <item m="1" x="4668"/>
        <item m="1" x="3978"/>
        <item m="1" x="3533"/>
        <item m="1" x="4042"/>
        <item m="1" x="2664"/>
        <item m="1" x="1900"/>
        <item m="1" x="2592"/>
        <item m="1" x="1437"/>
        <item m="1" x="1422"/>
        <item m="1" x="4672"/>
        <item m="1" x="3104"/>
        <item m="1" x="1212"/>
        <item m="1" x="4928"/>
        <item m="1" x="1354"/>
        <item m="1" x="4036"/>
        <item m="1" x="4828"/>
        <item m="1" x="2585"/>
        <item m="1" x="3735"/>
        <item m="1" x="4524"/>
        <item m="1" x="2219"/>
        <item m="1" x="3956"/>
        <item m="1" x="4282"/>
        <item m="1" x="2719"/>
        <item m="1" x="1679"/>
        <item m="1" x="2777"/>
        <item m="1" x="4705"/>
        <item m="1" x="4802"/>
        <item m="1" x="2463"/>
        <item m="1" x="4618"/>
        <item m="1" x="4673"/>
        <item m="1" x="4521"/>
        <item m="1" x="4745"/>
        <item m="1" x="4936"/>
        <item m="1" x="2507"/>
        <item m="1" x="1415"/>
        <item m="1" x="1192"/>
        <item m="1" x="1631"/>
        <item m="1" x="4242"/>
        <item m="1" x="4639"/>
        <item m="1" x="4223"/>
        <item m="1" x="2786"/>
        <item m="1" x="2971"/>
        <item m="1" x="1370"/>
        <item m="1" x="3838"/>
        <item m="1" x="3426"/>
        <item m="1" x="1307"/>
        <item m="1" x="3675"/>
        <item m="1" x="2764"/>
        <item m="1" x="4799"/>
        <item m="1" x="3613"/>
        <item m="1" x="2996"/>
        <item m="1" x="1288"/>
        <item m="1" x="2212"/>
        <item m="1" x="1441"/>
        <item m="1" x="1188"/>
        <item m="1" x="4675"/>
        <item m="1" x="4608"/>
        <item m="1" x="1850"/>
        <item m="1" x="3093"/>
        <item m="1" x="2648"/>
        <item m="1" x="1419"/>
        <item m="1" x="4239"/>
        <item m="1" x="4065"/>
        <item m="1" x="4768"/>
        <item m="1" x="4600"/>
        <item m="1" x="3871"/>
        <item m="1" x="2173"/>
        <item m="1" x="1501"/>
        <item m="1" x="1334"/>
        <item m="1" x="2060"/>
        <item m="1" x="1694"/>
        <item m="1" x="4844"/>
        <item m="1" x="3307"/>
        <item m="1" x="3149"/>
        <item m="1" x="2973"/>
        <item m="1" x="3681"/>
        <item m="1" x="3092"/>
        <item m="1" x="1716"/>
        <item m="1" x="4389"/>
        <item m="1" x="1696"/>
        <item m="1" x="2515"/>
        <item m="1" x="1540"/>
        <item m="1" x="4886"/>
        <item m="1" x="1943"/>
        <item m="1" x="2264"/>
        <item m="1" x="3303"/>
        <item m="1" x="2828"/>
        <item m="1" x="1237"/>
        <item m="1" x="2000"/>
        <item m="1" x="2293"/>
        <item m="1" x="3680"/>
        <item m="1" x="2298"/>
        <item m="1" x="2061"/>
        <item m="1" x="1893"/>
        <item m="1" x="4290"/>
        <item m="1" x="3413"/>
        <item m="1" x="4714"/>
        <item m="1" x="1887"/>
        <item m="1" x="2489"/>
        <item m="1" x="4308"/>
        <item m="1" x="3262"/>
        <item m="1" x="2092"/>
        <item m="1" x="1392"/>
        <item m="1" x="3645"/>
        <item m="1" x="3508"/>
        <item m="1" x="1443"/>
        <item m="1" x="2444"/>
        <item m="1" x="1922"/>
        <item m="1" x="3452"/>
        <item m="1" x="3318"/>
        <item m="1" x="2729"/>
        <item m="1" x="4248"/>
        <item m="1" x="1640"/>
        <item m="1" x="1895"/>
        <item m="1" x="3874"/>
        <item m="1" x="4366"/>
        <item m="1" x="3888"/>
        <item m="1" x="3757"/>
        <item m="1" x="1400"/>
        <item m="1" x="1875"/>
        <item m="1" x="1503"/>
        <item m="1" x="4096"/>
        <item m="1" x="1830"/>
        <item m="1" x="3847"/>
        <item m="1" x="2782"/>
        <item m="1" x="2580"/>
        <item m="1" x="2702"/>
        <item m="1" x="2767"/>
        <item m="1" x="2045"/>
        <item m="1" x="2940"/>
        <item m="1" x="3732"/>
        <item m="1" x="4174"/>
        <item m="1" x="3728"/>
        <item m="1" x="2069"/>
        <item m="1" x="4416"/>
        <item m="1" x="1894"/>
        <item m="1" x="2987"/>
        <item m="1" x="2174"/>
        <item m="1" x="2639"/>
        <item m="1" x="4680"/>
        <item m="1" x="3527"/>
        <item m="1" x="4106"/>
        <item m="1" x="3714"/>
        <item m="1" x="1594"/>
        <item m="1" x="2877"/>
        <item m="1" x="2316"/>
        <item m="1" x="1336"/>
        <item m="1" x="4466"/>
        <item m="1" x="4185"/>
        <item m="1" x="3209"/>
        <item m="1" x="3538"/>
        <item m="1" x="2829"/>
        <item m="1" x="3618"/>
        <item m="1" x="4266"/>
        <item m="1" x="3800"/>
        <item m="1" x="2175"/>
        <item m="1" x="2859"/>
        <item m="1" x="1642"/>
        <item m="1" x="3551"/>
        <item m="1" x="4669"/>
        <item m="1" x="3156"/>
        <item m="1" x="1224"/>
        <item m="1" x="2517"/>
        <item m="1" x="3338"/>
        <item m="1" x="3895"/>
        <item m="1" x="2800"/>
        <item m="1" x="2396"/>
        <item m="1" x="2351"/>
        <item m="1" x="3112"/>
        <item m="1" x="4548"/>
        <item m="1" x="3876"/>
        <item m="1" x="2849"/>
        <item m="1" x="4156"/>
        <item m="1" x="2024"/>
        <item m="1" x="2956"/>
        <item m="1" x="1270"/>
        <item m="1" x="1552"/>
        <item m="1" x="2038"/>
        <item m="1" x="3313"/>
        <item m="1" x="4468"/>
        <item m="1" x="3557"/>
        <item m="1" x="4596"/>
        <item m="1" x="2635"/>
        <item m="1" x="4304"/>
        <item m="1" x="3693"/>
        <item m="1" x="1610"/>
        <item m="1" x="1340"/>
        <item m="1" x="3938"/>
        <item m="1" x="2892"/>
        <item m="1" x="1372"/>
        <item m="1" x="4578"/>
        <item m="1" x="2852"/>
        <item m="1" x="3561"/>
        <item m="1" x="1488"/>
        <item m="1" x="4686"/>
        <item m="1" x="4012"/>
        <item m="1" x="2085"/>
        <item m="1" x="3758"/>
        <item m="1" x="4057"/>
        <item m="1" x="1645"/>
        <item m="1" x="2847"/>
        <item m="1" x="2068"/>
        <item m="1" x="1301"/>
        <item m="1" x="3429"/>
        <item m="1" x="3667"/>
        <item m="1" x="2748"/>
        <item m="1" x="2319"/>
        <item m="1" x="2945"/>
        <item m="1" x="3756"/>
        <item m="1" x="2884"/>
        <item m="1" x="1361"/>
        <item m="1" x="1478"/>
        <item m="1" x="2506"/>
        <item m="1" x="4715"/>
        <item m="1" x="4063"/>
        <item m="1" x="3511"/>
        <item m="1" x="3023"/>
        <item m="1" x="2481"/>
        <item m="1" x="3140"/>
        <item m="1" x="3553"/>
        <item m="1" x="1798"/>
        <item m="1" x="3787"/>
        <item m="1" x="1746"/>
        <item m="1" x="3169"/>
        <item m="1" x="1289"/>
        <item m="1" x="4528"/>
        <item m="1" x="1468"/>
        <item m="1" x="4829"/>
        <item m="1" x="1721"/>
        <item m="1" x="4688"/>
        <item m="1" x="3447"/>
        <item m="1" x="2888"/>
        <item m="1" x="1566"/>
        <item m="1" x="3921"/>
        <item m="1" x="3200"/>
        <item m="1" x="4580"/>
        <item m="1" x="4941"/>
        <item m="1" x="2326"/>
        <item m="1" x="3982"/>
        <item m="1" x="3224"/>
        <item m="1" x="2964"/>
        <item m="1" x="2540"/>
        <item m="1" x="3397"/>
        <item m="1" x="1436"/>
        <item m="1" x="1282"/>
        <item m="1" x="3879"/>
        <item m="1" x="3651"/>
        <item m="1" x="4148"/>
        <item m="1" x="2742"/>
        <item m="1" x="2497"/>
        <item m="1" x="2404"/>
        <item m="1" x="3465"/>
        <item m="1" x="1801"/>
        <item m="1" x="1332"/>
        <item m="1" x="3017"/>
        <item m="1" x="3211"/>
        <item m="1" x="3124"/>
        <item m="1" x="1601"/>
        <item m="1" x="1999"/>
        <item m="1" x="4935"/>
        <item m="1" x="3449"/>
        <item m="1" x="2611"/>
        <item m="1" x="2409"/>
        <item m="1" x="1373"/>
        <item m="1" x="3923"/>
        <item m="1" x="4626"/>
        <item m="1" x="3472"/>
        <item m="1" x="2455"/>
        <item m="1" x="2629"/>
        <item m="1" x="2662"/>
        <item m="1" x="3025"/>
        <item m="1" x="2077"/>
        <item m="1" x="1863"/>
        <item m="1" x="1947"/>
        <item m="1" x="2677"/>
        <item m="1" x="4556"/>
        <item m="1" x="3250"/>
        <item m="1" x="3111"/>
        <item m="1" x="1611"/>
        <item m="1" x="4470"/>
        <item m="1" x="4646"/>
        <item m="1" x="3749"/>
        <item m="1" x="1617"/>
        <item m="1" x="3114"/>
        <item m="1" x="3052"/>
        <item m="1" x="3975"/>
        <item m="1" x="4955"/>
        <item m="1" x="4108"/>
        <item m="1" x="4432"/>
        <item m="1" x="2269"/>
        <item m="1" x="3080"/>
        <item m="1" x="3475"/>
        <item m="1" x="3909"/>
        <item m="1" x="1740"/>
        <item m="1" x="4824"/>
        <item m="1" x="4052"/>
        <item m="1" x="2660"/>
        <item m="1" x="3379"/>
        <item m="1" x="1734"/>
        <item m="1" x="1821"/>
        <item m="1" x="4364"/>
        <item m="1" x="1574"/>
        <item m="1" x="3480"/>
        <item m="1" x="4749"/>
        <item m="1" x="4067"/>
        <item m="1" x="3034"/>
        <item m="1" x="3018"/>
        <item m="1" x="3221"/>
        <item m="1" x="3957"/>
        <item m="1" x="1715"/>
        <item m="1" x="4640"/>
        <item m="1" x="3523"/>
        <item m="1" x="1851"/>
        <item m="1" x="1693"/>
        <item m="1" x="2490"/>
        <item m="1" x="1512"/>
        <item m="1" x="1474"/>
        <item m="1" x="3145"/>
        <item m="1" x="2277"/>
        <item m="1" x="3563"/>
        <item m="1" x="1596"/>
        <item m="1" x="4275"/>
        <item m="1" x="3969"/>
        <item m="1" x="3907"/>
        <item m="1" x="2712"/>
        <item m="1" x="1599"/>
        <item m="1" x="1233"/>
        <item m="1" x="2547"/>
        <item m="1" x="3385"/>
        <item m="1" x="3631"/>
        <item m="1" x="1944"/>
        <item m="1" x="2412"/>
        <item m="1" x="4010"/>
        <item m="1" x="4761"/>
        <item m="1" x="4375"/>
        <item m="1" x="3545"/>
        <item m="1" x="1704"/>
        <item m="1" x="1606"/>
        <item m="1" x="3098"/>
        <item m="1" x="3240"/>
        <item m="1" x="3333"/>
        <item m="1" x="2055"/>
        <item m="1" x="1747"/>
        <item m="1" x="1498"/>
        <item m="1" x="1700"/>
        <item m="1" x="2470"/>
        <item m="1" x="3601"/>
        <item m="1" x="2028"/>
        <item m="1" x="4534"/>
        <item m="1" x="1541"/>
        <item m="1" x="4027"/>
        <item m="1" x="2321"/>
        <item m="1" x="2447"/>
        <item m="1" x="3647"/>
        <item m="1" x="3560"/>
        <item m="1" x="1184"/>
        <item m="1" x="2196"/>
        <item m="1" x="2542"/>
        <item m="1" x="2047"/>
        <item m="1" x="1701"/>
        <item m="1" x="2013"/>
        <item m="1" x="4022"/>
        <item m="1" x="1723"/>
        <item m="1" x="3064"/>
        <item m="1" x="2312"/>
        <item m="1" x="1691"/>
        <item m="1" x="1411"/>
        <item m="1" x="2007"/>
        <item m="1" x="4367"/>
        <item m="1" x="3799"/>
        <item m="1" x="3658"/>
        <item m="1" x="1954"/>
        <item m="1" x="4860"/>
        <item m="1" x="4070"/>
        <item m="1" x="3992"/>
        <item m="1" x="4429"/>
        <item m="1" x="3823"/>
        <item m="1" x="1780"/>
        <item m="1" x="3039"/>
        <item m="1" x="4785"/>
        <item m="1" x="3822"/>
        <item m="1" x="1892"/>
        <item m="1" x="3049"/>
        <item m="1" x="1337"/>
        <item m="1" x="3259"/>
        <item m="1" x="3079"/>
        <item m="1" x="3067"/>
        <item m="1" x="3616"/>
        <item m="1" x="3115"/>
        <item m="1" x="2714"/>
        <item m="1" x="3579"/>
        <item m="1" x="3960"/>
        <item m="1" x="4830"/>
        <item m="1" x="3627"/>
        <item m="1" x="2758"/>
        <item m="1" x="3040"/>
        <item m="1" x="3470"/>
        <item m="1" x="3381"/>
        <item m="1" x="1764"/>
        <item m="1" x="2389"/>
        <item m="1" x="3422"/>
        <item m="1" x="3716"/>
        <item m="1" x="2535"/>
        <item m="1" x="1730"/>
        <item m="1" x="2352"/>
        <item m="1" x="4947"/>
        <item m="1" x="1401"/>
        <item m="1" x="3588"/>
        <item m="1" x="4000"/>
        <item m="1" x="4431"/>
        <item m="1" x="2391"/>
        <item m="1" x="3032"/>
        <item m="1" x="1942"/>
        <item m="1" x="1668"/>
        <item m="1" x="4495"/>
        <item m="1" x="1967"/>
        <item m="1" x="2835"/>
        <item m="1" x="3989"/>
        <item m="1" x="4529"/>
        <item m="1" x="4008"/>
        <item m="1" x="4357"/>
        <item m="1" x="4079"/>
        <item m="1" x="3717"/>
        <item m="1" x="2299"/>
        <item m="1" x="4165"/>
        <item m="1" x="1345"/>
        <item m="1" x="1586"/>
        <item m="1" x="1990"/>
        <item m="1" x="4271"/>
        <item m="1" x="3829"/>
        <item m="1" x="3889"/>
        <item m="1" x="2188"/>
        <item m="1" x="4496"/>
        <item m="1" x="2705"/>
        <item m="1" x="2057"/>
        <item m="1" x="4848"/>
        <item m="1" x="1306"/>
        <item m="1" x="1565"/>
        <item m="1" x="1724"/>
        <item m="1" x="4051"/>
        <item m="1" x="2813"/>
        <item m="1" x="2250"/>
        <item m="1" x="1869"/>
        <item m="1" x="4645"/>
        <item m="1" x="2120"/>
        <item m="1" x="3668"/>
        <item m="1" x="4757"/>
        <item m="1" x="3355"/>
        <item m="1" x="4609"/>
        <item m="1" x="2324"/>
        <item m="1" x="2099"/>
        <item m="1" x="3619"/>
        <item m="1" x="4240"/>
        <item m="1" x="2509"/>
        <item m="1" x="1918"/>
        <item m="1" x="3438"/>
        <item m="1" x="4878"/>
        <item m="1" x="1588"/>
        <item m="1" x="3846"/>
        <item m="1" x="2126"/>
        <item m="1" x="2929"/>
        <item m="1" x="2475"/>
        <item m="1" x="4635"/>
        <item m="1" x="1889"/>
        <item m="1" x="4875"/>
        <item m="1" x="3966"/>
        <item m="1" x="1284"/>
        <item m="1" x="4551"/>
        <item m="1" x="3583"/>
        <item m="1" x="1293"/>
        <item m="1" x="3741"/>
        <item m="1" x="1745"/>
        <item m="1" x="4512"/>
        <item m="1" x="4380"/>
        <item m="1" x="1382"/>
        <item m="1" x="1785"/>
        <item m="1" x="4068"/>
        <item m="1" x="3734"/>
        <item m="1" x="3352"/>
        <item m="1" x="2899"/>
        <item m="1" x="1807"/>
        <item m="1" x="2820"/>
        <item m="1" x="1913"/>
        <item m="1" x="3075"/>
        <item m="1" x="1450"/>
        <item m="1" x="3152"/>
        <item m="1" x="2297"/>
        <item m="1" x="4317"/>
        <item m="1" x="1263"/>
        <item m="1" x="3517"/>
        <item m="1" x="3439"/>
        <item m="1" x="1196"/>
        <item m="1" x="2109"/>
        <item m="1" x="1323"/>
        <item m="1" x="2723"/>
        <item m="1" x="1882"/>
        <item m="1" x="1393"/>
        <item m="1" x="3679"/>
        <item m="1" x="1977"/>
        <item m="1" x="2921"/>
        <item m="1" x="1449"/>
        <item m="1" x="3535"/>
        <item m="1" x="3299"/>
        <item m="1" x="3798"/>
        <item m="1" x="2165"/>
        <item m="1" x="4942"/>
        <item m="1" x="2125"/>
        <item m="1" x="3053"/>
        <item m="1" x="3269"/>
        <item m="1" x="2902"/>
        <item m="1" x="1768"/>
        <item m="1" x="3387"/>
        <item m="1" x="3175"/>
        <item m="1" x="2031"/>
        <item m="1" x="3862"/>
        <item m="1" x="2004"/>
        <item m="1" x="3398"/>
        <item m="1" x="4517"/>
        <item m="1" x="2161"/>
        <item m="1" x="3230"/>
        <item m="1" x="3611"/>
        <item m="1" x="2495"/>
        <item m="1" x="4159"/>
        <item m="1" x="4003"/>
        <item m="1" x="2388"/>
        <item m="1" x="1216"/>
        <item m="1" x="3456"/>
        <item m="1" x="1463"/>
        <item m="1" x="4445"/>
        <item m="1" x="1553"/>
        <item m="1" x="2680"/>
        <item m="1" x="4904"/>
        <item m="1" x="1286"/>
        <item m="1" x="1444"/>
        <item m="1" x="2273"/>
        <item m="1" x="3760"/>
        <item m="1" x="1859"/>
        <item m="1" x="4069"/>
        <item m="1" x="4553"/>
        <item m="1" x="4683"/>
        <item m="1" x="4390"/>
        <item m="1" x="3488"/>
        <item m="1" x="2763"/>
        <item m="1" x="4421"/>
        <item m="1" x="3796"/>
        <item m="1" x="2458"/>
        <item m="1" x="3287"/>
        <item m="1" x="2104"/>
        <item m="1" x="3733"/>
        <item m="1" x="1985"/>
        <item m="1" x="2392"/>
        <item m="1" x="4763"/>
        <item m="1" x="1766"/>
        <item m="1" x="1506"/>
        <item m="1" x="3791"/>
        <item m="1" x="2757"/>
        <item m="1" x="2381"/>
        <item m="1" x="2768"/>
        <item m="1" x="2249"/>
        <item m="1" x="3196"/>
        <item m="1" x="3775"/>
        <item m="1" x="3885"/>
        <item m="1" x="3277"/>
        <item m="1" x="1378"/>
        <item m="1" x="4462"/>
        <item m="1" x="1713"/>
        <item m="1" x="2609"/>
        <item m="1" x="2938"/>
        <item m="1" x="2025"/>
        <item m="1" x="2183"/>
        <item m="1" x="4109"/>
        <item m="1" x="2837"/>
        <item m="1" x="4532"/>
        <item m="1" x="4925"/>
        <item m="1" x="3887"/>
        <item m="1" x="4850"/>
        <item m="1" x="4288"/>
        <item m="1" x="4463"/>
        <item m="1" x="4216"/>
        <item m="1" x="2154"/>
        <item m="1" x="2287"/>
        <item m="1" x="2138"/>
        <item m="1" x="4464"/>
        <item m="1" x="3218"/>
        <item m="1" x="1295"/>
        <item m="1" x="1998"/>
        <item m="1" x="4164"/>
        <item m="1" x="1390"/>
        <item m="1" x="4678"/>
        <item m="1" x="3323"/>
        <item m="1" x="2359"/>
        <item m="1" x="1461"/>
        <item m="1" x="3552"/>
        <item m="1" x="4403"/>
        <item m="1" x="4494"/>
        <item m="1" x="3417"/>
        <item m="1" x="3274"/>
        <item m="1" x="1558"/>
        <item m="1" x="1992"/>
        <item m="1" x="4770"/>
        <item m="1" x="3607"/>
        <item m="1" x="4105"/>
        <item m="1" x="2428"/>
        <item m="1" x="1852"/>
        <item m="1" x="3824"/>
        <item m="1" x="2687"/>
        <item m="1" x="4247"/>
        <item m="1" x="3239"/>
        <item m="1" x="4963"/>
        <item m="1" x="1980"/>
        <item m="1" x="3968"/>
        <item m="1" x="2645"/>
        <item m="1" x="4284"/>
        <item m="1" x="4276"/>
        <item m="1" x="4899"/>
        <item m="1" x="4361"/>
        <item m="1" x="3046"/>
        <item m="1" x="3329"/>
        <item m="1" x="4370"/>
        <item m="1" x="3700"/>
        <item m="1" x="3386"/>
        <item m="1" x="4586"/>
        <item m="1" x="2195"/>
        <item m="1" x="1187"/>
        <item m="1" x="3141"/>
        <item m="1" x="3556"/>
        <item m="1" x="1699"/>
        <item m="1" x="4422"/>
        <item m="1" x="3368"/>
        <item m="1" x="3412"/>
        <item m="1" x="4945"/>
        <item m="1" x="4130"/>
        <item m="1" x="4066"/>
        <item m="1" x="1377"/>
        <item m="1" x="3063"/>
        <item m="1" x="1925"/>
        <item m="1" x="4306"/>
        <item m="1" x="3232"/>
        <item m="1" x="1917"/>
        <item m="1" x="2621"/>
        <item m="1" x="2769"/>
        <item m="1" x="3389"/>
        <item m="1" x="4293"/>
        <item m="1" x="1496"/>
        <item m="1" x="1535"/>
        <item m="1" x="4116"/>
        <item m="1" x="4228"/>
        <item m="1" x="3597"/>
        <item m="1" x="2477"/>
        <item m="1" x="4617"/>
        <item m="1" x="4536"/>
        <item m="1" x="3922"/>
        <item m="1" x="4060"/>
        <item m="1" x="1360"/>
        <item m="1" x="1571"/>
        <item m="1" x="3963"/>
        <item m="1" x="3086"/>
        <item m="1" x="3066"/>
        <item m="1" x="4340"/>
        <item m="1" x="4044"/>
        <item m="1" x="2646"/>
        <item m="1" x="3777"/>
        <item m="1" x="2337"/>
        <item m="1" x="4015"/>
        <item m="1" x="1537"/>
        <item m="1" x="1402"/>
        <item m="1" x="1244"/>
        <item m="1" x="2650"/>
        <item m="1" x="2354"/>
        <item m="1" x="3625"/>
        <item m="1" x="1308"/>
        <item m="1" x="3971"/>
        <item m="1" x="1825"/>
        <item m="1" x="4817"/>
        <item m="1" x="4822"/>
        <item m="1" x="4299"/>
        <item m="1" x="1547"/>
        <item m="1" x="3126"/>
        <item m="1" x="4091"/>
        <item m="1" x="4260"/>
        <item m="1" x="3902"/>
        <item m="1" x="1271"/>
        <item m="1" x="2546"/>
        <item m="1" x="1711"/>
        <item m="1" x="3644"/>
        <item m="1" x="4038"/>
        <item m="1" x="2010"/>
        <item m="1" x="2292"/>
        <item m="1" x="3649"/>
        <item m="1" x="2171"/>
        <item m="1" x="3132"/>
        <item m="1" x="1904"/>
        <item m="1" x="1770"/>
        <item m="1" x="3458"/>
        <item m="1" x="3880"/>
        <item m="1" x="4584"/>
        <item m="1" x="4623"/>
        <item m="1" x="2394"/>
        <item m="1" x="3809"/>
        <item m="1" x="3912"/>
        <item m="1" x="3065"/>
        <item m="1" x="1896"/>
        <item m="1" x="4597"/>
        <item m="1" x="2011"/>
        <item m="1" x="1933"/>
        <item m="1" x="3356"/>
        <item m="1" x="2040"/>
        <item m="1" x="2252"/>
        <item m="1" x="1379"/>
        <item m="1" x="2150"/>
        <item m="1" x="4780"/>
        <item m="1" x="3621"/>
        <item m="1" x="1568"/>
        <item m="1" x="2636"/>
        <item m="1" x="1885"/>
        <item m="1" x="3806"/>
        <item m="1" x="2868"/>
        <item m="1" x="4630"/>
        <item m="1" x="3153"/>
        <item m="1" x="4798"/>
        <item m="1" x="4572"/>
        <item m="1" x="4111"/>
        <item m="1" x="2944"/>
        <item m="1" x="3836"/>
        <item m="1" x="1613"/>
        <item m="1" x="1677"/>
        <item m="1" x="2873"/>
        <item m="1" x="1264"/>
        <item m="1" x="3428"/>
        <item m="1" x="3786"/>
        <item m="1" x="2701"/>
        <item m="1" x="3789"/>
        <item m="1" x="3163"/>
        <item m="1" x="4552"/>
        <item m="1" x="4406"/>
        <item m="1" x="1981"/>
        <item m="1" x="4479"/>
        <item m="1" x="1351"/>
        <item m="1" x="1657"/>
        <item m="1" x="1469"/>
        <item m="1" x="4100"/>
        <item m="1" x="2290"/>
        <item m="1" x="4907"/>
        <item m="1" x="2206"/>
        <item m="1" x="2725"/>
        <item m="1" x="2685"/>
        <item m="1" x="2610"/>
        <item m="1" x="4073"/>
        <item m="1" x="3584"/>
        <item m="1" x="4307"/>
        <item m="1" x="4062"/>
        <item m="1" x="2561"/>
        <item m="1" x="2197"/>
        <item m="1" x="3172"/>
        <item m="1" x="2754"/>
        <item m="1" x="2429"/>
        <item m="1" x="4568"/>
        <item m="1" x="1283"/>
        <item m="1" x="3785"/>
        <item m="1" x="1316"/>
        <item m="1" x="2593"/>
        <item m="1" x="2794"/>
        <item m="1" x="3315"/>
        <item m="1" x="3096"/>
        <item m="1" x="4794"/>
        <item m="1" x="4641"/>
        <item m="1" x="4055"/>
        <item m="1" x="4951"/>
        <item m="1" x="3540"/>
        <item m="1" x="1239"/>
        <item m="1" x="3113"/>
        <item m="1" x="2474"/>
        <item m="1" x="1638"/>
        <item m="1" x="4771"/>
        <item m="1" x="4014"/>
        <item m="1" x="2709"/>
        <item m="1" x="3987"/>
        <item m="1" x="1831"/>
        <item m="1" x="3884"/>
        <item m="1" x="1813"/>
        <item m="1" x="4511"/>
        <item m="1" x="4862"/>
        <item m="1" x="1907"/>
        <item m="1" x="3020"/>
        <item m="1" x="3347"/>
        <item m="1" x="1816"/>
        <item m="1" x="4192"/>
        <item m="1" x="2108"/>
        <item m="1" x="2931"/>
        <item m="1" x="3558"/>
        <item m="1" x="2405"/>
        <item m="1" x="1259"/>
        <item m="1" x="1261"/>
        <item m="1" x="2642"/>
        <item m="1" x="3272"/>
        <item m="1" x="4103"/>
        <item m="1" x="4087"/>
        <item m="1" x="1735"/>
        <item m="1" x="4861"/>
        <item m="1" x="2917"/>
        <item m="1" x="2688"/>
        <item m="1" x="2469"/>
        <item m="1" x="4035"/>
        <item m="1" x="4854"/>
        <item m="1" x="3782"/>
        <item m="1" x="4302"/>
        <item m="1" x="4795"/>
        <item m="1" x="1470"/>
        <item m="1" x="4515"/>
        <item m="1" x="2891"/>
        <item m="1" x="1375"/>
        <item m="1" x="1211"/>
        <item m="1" x="2697"/>
        <item m="1" x="1853"/>
        <item m="1" x="2549"/>
        <item m="1" x="1287"/>
        <item m="1" x="3474"/>
        <item m="1" x="3948"/>
        <item m="1" x="3901"/>
        <item m="1" x="2346"/>
        <item m="1" x="2227"/>
        <item m="1" x="4734"/>
        <item m="1" x="2074"/>
        <item m="1" x="3979"/>
        <item m="1" x="2207"/>
        <item m="1" x="1597"/>
        <item m="1" x="4145"/>
        <item m="1" x="2992"/>
        <item m="1" x="2954"/>
        <item m="1" x="3689"/>
        <item m="1" x="2770"/>
        <item m="1" x="3776"/>
        <item m="1" x="3142"/>
        <item m="1" x="4482"/>
        <item m="1" x="3913"/>
        <item m="1" x="4294"/>
        <item m="1" x="2860"/>
        <item m="1" x="4477"/>
        <item m="1" x="3752"/>
        <item m="1" x="1275"/>
        <item m="1" x="1845"/>
        <item m="1" x="3664"/>
        <item m="1" x="4451"/>
        <item m="1" x="4187"/>
        <item m="1" x="3950"/>
        <item m="1" x="4089"/>
        <item m="1" x="3596"/>
        <item m="1" x="3176"/>
        <item m="1" x="3138"/>
        <item m="1" x="3993"/>
        <item m="1" x="4837"/>
        <item m="1" x="3396"/>
        <item m="1" x="3492"/>
        <item m="1" x="1844"/>
        <item m="1" x="2145"/>
        <item m="1" x="4787"/>
        <item m="1" x="3435"/>
        <item m="1" x="3293"/>
        <item m="1" x="2431"/>
        <item m="1" x="2726"/>
        <item m="1" x="1637"/>
        <item m="1" x="3605"/>
        <item m="1" x="2419"/>
        <item m="1" x="1362"/>
        <item m="1" x="2683"/>
        <item m="1" x="3285"/>
        <item m="1" x="2012"/>
        <item m="1" x="4525"/>
        <item m="1" x="3959"/>
        <item m="1" x="4177"/>
        <item m="1" x="2790"/>
        <item m="1" x="4537"/>
        <item m="1" x="1548"/>
        <item m="1" x="4190"/>
        <item m="1" x="1911"/>
        <item m="1" x="1804"/>
        <item m="1" x="2285"/>
        <item m="1" x="1627"/>
        <item m="1" x="3484"/>
        <item m="1" x="2501"/>
        <item m="1" x="2618"/>
        <item m="1" x="1934"/>
        <item m="1" x="1712"/>
        <item m="1" x="2136"/>
        <item m="1" x="4659"/>
        <item m="1" x="3491"/>
        <item m="1" x="1405"/>
        <item m="1" x="2376"/>
        <item m="1" x="4114"/>
        <item m="1" x="1386"/>
        <item m="1" x="4510"/>
        <item m="1" x="3460"/>
        <item m="1" x="1344"/>
        <item m="1" x="1299"/>
        <item m="1" x="2543"/>
        <item m="1" x="3461"/>
        <item m="1" x="4269"/>
        <item m="1" x="3771"/>
        <item m="1" x="2839"/>
        <item m="1" x="3624"/>
        <item m="1" x="3324"/>
        <item m="1" x="2545"/>
        <item m="1" x="4531"/>
        <item m="1" x="3745"/>
        <item m="1" x="2998"/>
        <item m="1" x="2036"/>
        <item m="1" x="3654"/>
        <item m="1" x="3292"/>
        <item m="1" x="2739"/>
        <item m="1" x="1410"/>
        <item m="1" x="2100"/>
        <item m="1" x="2088"/>
        <item m="1" x="4206"/>
        <item m="1" x="3220"/>
        <item m="1" x="1689"/>
        <item m="1" x="3790"/>
        <item m="1" x="2478"/>
        <item m="1" x="2387"/>
        <item m="1" x="2707"/>
        <item m="1" x="1758"/>
        <item m="1" x="4237"/>
        <item m="1" x="4653"/>
        <item m="1" x="2582"/>
        <item m="1" x="2329"/>
        <item m="1" x="4032"/>
        <item m="1" x="3928"/>
        <item m="1" x="1874"/>
        <item m="1" x="1527"/>
        <item m="1" x="2075"/>
        <item m="1" x="2064"/>
        <item m="1" x="3676"/>
        <item m="1" x="3650"/>
        <item m="1" x="1833"/>
        <item m="1" x="4619"/>
        <item m="1" x="1572"/>
        <item m="1" x="3670"/>
        <item m="1" x="4585"/>
        <item m="1" x="4090"/>
        <item m="1" x="4508"/>
        <item m="1" x="4671"/>
        <item m="1" x="2559"/>
        <item m="1" x="1837"/>
        <item m="1" x="3764"/>
        <item m="1" x="4459"/>
        <item m="1" x="4350"/>
        <item m="1" x="2152"/>
        <item m="1" x="3531"/>
        <item m="1" x="4189"/>
        <item m="1" x="4092"/>
        <item m="1" x="3158"/>
        <item m="1" x="4786"/>
        <item m="1" x="1647"/>
        <item m="1" x="3160"/>
        <item m="1" x="1456"/>
        <item m="1" x="4252"/>
        <item m="1" x="4797"/>
        <item m="1" x="2452"/>
        <item m="1" x="2110"/>
        <item m="1" x="2071"/>
        <item m="1" x="3339"/>
        <item m="1" x="2235"/>
        <item m="1" x="3833"/>
        <item m="1" x="2584"/>
        <item m="1" x="1265"/>
        <item m="1" x="4232"/>
        <item m="1" x="1707"/>
        <item m="1" x="2606"/>
        <item m="1" x="2160"/>
        <item m="1" x="1466"/>
        <item m="1" x="2831"/>
        <item m="1" x="3087"/>
        <item m="1" x="4954"/>
        <item m="1" x="1404"/>
        <item m="1" x="4853"/>
        <item m="1" x="4687"/>
        <item m="1" x="1769"/>
        <item m="1" x="2715"/>
        <item m="1" x="4207"/>
        <item m="1" x="4890"/>
        <item m="1" x="4840"/>
        <item m="1" x="3639"/>
        <item m="1" x="3358"/>
        <item m="1" x="2512"/>
        <item m="1" x="4753"/>
        <item m="1" x="3427"/>
        <item m="1" x="2019"/>
        <item m="1" x="1276"/>
        <item m="1" x="4881"/>
        <item m="1" x="4657"/>
        <item m="1" x="3421"/>
        <item m="1" x="1928"/>
        <item m="1" x="1714"/>
        <item m="1" x="2042"/>
        <item m="1" x="3854"/>
        <item m="1" x="3243"/>
        <item m="1" x="3327"/>
        <item m="1" x="3405"/>
        <item m="1" x="3431"/>
        <item m="1" x="3623"/>
        <item m="1" x="4072"/>
        <item m="1" x="3188"/>
        <item m="1" x="1829"/>
        <item m="1" x="3768"/>
        <item m="1" x="2952"/>
        <item m="1" x="1543"/>
        <item m="1" x="3848"/>
        <item m="1" x="4150"/>
        <item m="1" x="4475"/>
        <item m="1" x="4449"/>
        <item m="1" x="4530"/>
        <item m="1" x="3543"/>
        <item m="1" x="4025"/>
        <item m="1" x="1281"/>
        <item m="1" x="4219"/>
        <item m="1" x="4153"/>
        <item m="1" x="2044"/>
        <item m="1" x="4701"/>
        <item m="1" x="2284"/>
        <item m="1" x="4322"/>
        <item m="1" x="1491"/>
        <item m="1" x="2796"/>
        <item m="1" x="3599"/>
        <item m="1" x="1507"/>
        <item m="1" x="4409"/>
        <item m="1" x="2950"/>
        <item m="1" x="2309"/>
        <item m="1" x="2112"/>
        <item m="1" x="4376"/>
        <item m="1" x="3896"/>
        <item m="1" x="4631"/>
        <item m="1" x="3060"/>
        <item m="1" x="4652"/>
        <item m="1" x="2023"/>
        <item m="1" x="3233"/>
        <item m="1" x="4852"/>
        <item m="1" x="3453"/>
        <item m="1" x="3487"/>
        <item m="1" x="3197"/>
        <item m="1" x="3195"/>
        <item m="1" x="3772"/>
        <item m="1" x="4554"/>
        <item m="1" x="3898"/>
        <item m="1" x="4135"/>
        <item m="1" x="3130"/>
        <item m="1" x="2573"/>
        <item m="1" x="3159"/>
        <item m="1" x="2488"/>
        <item m="1" x="1431"/>
        <item m="1" x="2317"/>
        <item m="1" x="3401"/>
        <item m="1" x="2522"/>
        <item m="1" x="2908"/>
        <item m="1" x="4420"/>
        <item m="1" x="1796"/>
        <item m="1" x="4151"/>
        <item m="1" x="3004"/>
        <item m="1" x="1217"/>
        <item m="1" x="1426"/>
        <item m="1" x="3394"/>
        <item m="1" x="1575"/>
        <item m="1" x="1341"/>
        <item m="1" x="1648"/>
        <item m="1" x="3911"/>
        <item m="1" x="1665"/>
        <item m="1" x="3215"/>
        <item m="1" x="4918"/>
        <item m="1" x="1771"/>
        <item m="1" x="4789"/>
        <item m="1" x="2932"/>
        <item m="1" x="4810"/>
        <item m="1" x="3167"/>
        <item m="1" x="4160"/>
        <item m="1" x="4446"/>
        <item m="1" x="4481"/>
        <item m="1" x="1795"/>
        <item m="1" x="1612"/>
        <item m="1" x="2380"/>
        <item m="1" x="1661"/>
        <item m="1" x="4699"/>
        <item m="1" x="3962"/>
        <item m="1" x="4378"/>
        <item m="1" x="1834"/>
        <item m="1" x="2374"/>
        <item m="1" x="3996"/>
        <item m="1" x="1799"/>
        <item m="1" x="3031"/>
        <item m="1" x="3238"/>
        <item m="1" x="1752"/>
        <item m="1" x="1978"/>
        <item m="1" x="4874"/>
        <item m="1" x="1660"/>
        <item m="1" x="4892"/>
        <item m="1" x="4230"/>
        <item m="1" x="4244"/>
        <item m="1" x="2617"/>
        <item m="1" x="1452"/>
        <item m="1" x="3091"/>
        <item m="1" x="4208"/>
        <item m="1" x="3241"/>
        <item m="1" x="4591"/>
        <item m="1" x="4166"/>
        <item m="1" x="3818"/>
        <item m="1" x="2467"/>
        <item m="1" x="1698"/>
        <item m="1" x="3419"/>
        <item m="1" x="4024"/>
        <item m="1" x="1471"/>
        <item m="1" x="2086"/>
        <item m="1" x="4855"/>
        <item m="1" x="4281"/>
        <item m="1" x="1389"/>
        <item m="1" x="2147"/>
        <item m="1" x="4438"/>
        <item m="1" x="1906"/>
        <item m="1" x="4134"/>
        <item m="1" x="3678"/>
        <item m="1" x="1460"/>
        <item m="1" x="3351"/>
        <item m="1" x="3248"/>
        <item m="1" x="4742"/>
        <item m="1" x="4221"/>
        <item m="1" x="3929"/>
        <item m="1" x="3587"/>
        <item m="1" x="4243"/>
        <item m="1" x="4440"/>
        <item m="1" x="4180"/>
        <item m="1" x="3575"/>
        <item m="1" x="4717"/>
        <item m="1" x="4200"/>
        <item m="1" x="1480"/>
        <item m="1" x="4112"/>
        <item m="1" x="1685"/>
        <item m="1" x="2179"/>
        <item m="1" x="1280"/>
        <item m="1" x="3638"/>
        <item m="1" x="2841"/>
        <item m="1" x="1446"/>
        <item m="1" x="4088"/>
        <item m="1" x="4061"/>
        <item m="1" x="3805"/>
        <item m="1" x="1958"/>
        <item m="1" x="1511"/>
        <item m="1" x="4265"/>
        <item m="1" x="1310"/>
        <item m="1" x="2121"/>
        <item m="1" x="3591"/>
        <item m="1" x="2255"/>
        <item m="1" x="4709"/>
        <item m="1" x="2691"/>
        <item m="1" x="2871"/>
        <item m="1" x="3940"/>
        <item m="1" x="3495"/>
        <item m="1" x="2844"/>
        <item m="1" x="4360"/>
        <item m="1" x="2363"/>
        <item m="1" x="4863"/>
        <item m="1" x="3740"/>
        <item m="1" x="1464"/>
        <item m="1" x="1331"/>
        <item m="1" x="1428"/>
        <item m="1" x="3499"/>
        <item m="1" x="1626"/>
        <item m="1" x="1652"/>
        <item m="1" x="4964"/>
        <item m="1" x="3147"/>
        <item m="1" x="3729"/>
        <item m="1" x="2187"/>
        <item m="1" x="1349"/>
        <item m="1" x="4711"/>
        <item m="1" x="2882"/>
        <item m="1" x="2232"/>
        <item m="1" x="3617"/>
        <item m="1" x="1666"/>
        <item m="1" x="3496"/>
        <item m="1" x="2518"/>
        <item m="1" x="2081"/>
        <item m="1" x="4205"/>
        <item m="1" x="1581"/>
        <item m="1" x="4793"/>
        <item m="1" x="4017"/>
        <item m="1" x="2015"/>
        <item m="1" x="4666"/>
        <item m="1" x="2625"/>
        <item m="1" x="4506"/>
        <item m="1" x="4807"/>
        <item m="1" x="2862"/>
        <item m="1" x="2965"/>
        <item m="1" x="3635"/>
        <item m="1" x="4708"/>
        <item m="1" x="2977"/>
        <item m="1" x="3883"/>
        <item m="1" x="2930"/>
        <item m="1" x="4404"/>
        <item m="1" x="2149"/>
        <item m="1" x="4258"/>
        <item m="1" x="4215"/>
        <item m="1" x="1861"/>
        <item m="1" x="2070"/>
        <item m="1" x="1969"/>
        <item m="1" x="3788"/>
        <item m="1" x="2176"/>
        <item m="1" x="3506"/>
        <item m="1" x="2101"/>
        <item m="1" x="4562"/>
        <item m="1" x="4419"/>
        <item m="1" x="3468"/>
        <item m="1" x="3834"/>
        <item m="1" x="4211"/>
        <item m="1" x="2379"/>
        <item m="1" x="4856"/>
        <item m="1" x="2566"/>
        <item m="1" x="4268"/>
        <item m="1" x="2223"/>
        <item m="1" x="2819"/>
        <item m="1" x="4547"/>
        <item m="1" x="2226"/>
        <item m="1" x="3466"/>
        <item m="1" x="4019"/>
        <item m="1" x="3792"/>
        <item m="1" x="3139"/>
        <item m="1" x="4455"/>
        <item m="1" x="4820"/>
        <item m="1" x="2933"/>
        <item m="1" x="3699"/>
        <item m="1" x="4227"/>
        <item m="1" x="3281"/>
        <item m="1" x="2759"/>
        <item m="1" x="1639"/>
        <item m="1" x="2910"/>
        <item m="1" x="2457"/>
        <item m="1" x="3482"/>
        <item m="1" x="4273"/>
        <item m="1" x="1802"/>
        <item m="1" x="3858"/>
        <item m="1" x="4362"/>
        <item m="1" x="2158"/>
        <item m="1" x="3027"/>
        <item m="1" x="2143"/>
        <item m="1" x="3300"/>
        <item m="1" x="3433"/>
        <item m="1" x="2623"/>
        <item m="1" x="2822"/>
        <item m="1" x="3151"/>
        <item m="1" x="1395"/>
        <item m="1" x="2471"/>
        <item m="1" x="4143"/>
        <item m="1" x="4295"/>
        <item m="1" x="4731"/>
        <item m="1" x="1231"/>
        <item m="1" x="2128"/>
        <item m="1" x="3260"/>
        <item m="1" x="1964"/>
        <item m="1" x="2799"/>
        <item m="1" x="4773"/>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s>
    </pivotField>
    <pivotField axis="axisRow" compact="0" outline="0" showAll="0" defaultSubtotal="0">
      <items count="67">
        <item m="1" x="44"/>
        <item m="1" x="9"/>
        <item m="1" x="33"/>
        <item m="1" x="41"/>
        <item m="1" x="17"/>
        <item m="1" x="18"/>
        <item m="1" x="16"/>
        <item m="1" x="11"/>
        <item m="1" x="14"/>
        <item m="1" x="1"/>
        <item m="1" x="26"/>
        <item m="1" x="19"/>
        <item m="1" x="15"/>
        <item m="1" x="2"/>
        <item m="1" x="3"/>
        <item m="1" x="5"/>
        <item m="1" x="10"/>
        <item m="1" x="6"/>
        <item m="1" x="21"/>
        <item m="1" x="12"/>
        <item m="1" x="22"/>
        <item m="1" x="24"/>
        <item m="1" x="34"/>
        <item m="1" x="35"/>
        <item m="1" x="48"/>
        <item m="1" x="38"/>
        <item m="1" x="39"/>
        <item m="1" x="32"/>
        <item m="1" x="52"/>
        <item m="1" x="64"/>
        <item m="1" x="47"/>
        <item m="1" x="43"/>
        <item x="0"/>
        <item m="1" x="4"/>
        <item m="1" x="57"/>
        <item m="1" x="23"/>
        <item m="1" x="7"/>
        <item m="1" x="8"/>
        <item m="1" x="27"/>
        <item m="1" x="62"/>
        <item m="1" x="56"/>
        <item m="1" x="55"/>
        <item m="1" x="54"/>
        <item m="1" x="49"/>
        <item m="1" x="53"/>
        <item m="1" x="20"/>
        <item m="1" x="30"/>
        <item m="1" x="36"/>
        <item m="1" x="40"/>
        <item m="1" x="65"/>
        <item m="1" x="29"/>
        <item m="1" x="31"/>
        <item m="1" x="13"/>
        <item m="1" x="28"/>
        <item m="1" x="37"/>
        <item m="1" x="25"/>
        <item m="1" x="59"/>
        <item m="1" x="63"/>
        <item m="1" x="42"/>
        <item m="1" x="46"/>
        <item m="1" x="50"/>
        <item m="1" x="66"/>
        <item m="1" x="60"/>
        <item m="1" x="61"/>
        <item m="1" x="58"/>
        <item m="1" x="51"/>
        <item m="1" x="45"/>
      </items>
    </pivotField>
    <pivotField axis="axisRow" compact="0" outline="0" showAll="0" defaultSubtotal="0">
      <items count="34">
        <item m="1" x="26"/>
        <item m="1" x="9"/>
        <item m="1" x="5"/>
        <item m="1" x="25"/>
        <item m="1" x="10"/>
        <item m="1" x="12"/>
        <item m="1" x="11"/>
        <item m="1" x="1"/>
        <item m="1" x="14"/>
        <item m="1" x="2"/>
        <item m="1" x="3"/>
        <item m="1" x="6"/>
        <item m="1" x="8"/>
        <item m="1" x="13"/>
        <item x="0"/>
        <item m="1" x="7"/>
        <item m="1" x="18"/>
        <item m="1" x="16"/>
        <item m="1" x="17"/>
        <item m="1" x="32"/>
        <item m="1" x="33"/>
        <item m="1" x="24"/>
        <item m="1" x="28"/>
        <item m="1" x="30"/>
        <item m="1" x="4"/>
        <item m="1" x="22"/>
        <item m="1" x="19"/>
        <item m="1" x="20"/>
        <item m="1" x="15"/>
        <item m="1" x="31"/>
        <item m="1" x="21"/>
        <item m="1" x="27"/>
        <item m="1" x="23"/>
        <item m="1" x="29"/>
      </items>
    </pivotField>
    <pivotField axis="axisRow" compact="0" outline="0" showAll="0" defaultSubtotal="0">
      <items count="36">
        <item m="1" x="23"/>
        <item m="1" x="11"/>
        <item m="1" x="25"/>
        <item m="1" x="5"/>
        <item m="1" x="32"/>
        <item m="1" x="1"/>
        <item m="1" x="2"/>
        <item m="1" x="28"/>
        <item m="1" x="10"/>
        <item m="1" x="6"/>
        <item m="1" x="8"/>
        <item m="1" x="9"/>
        <item m="1" x="7"/>
        <item m="1" x="3"/>
        <item m="1" x="22"/>
        <item m="1" x="12"/>
        <item x="0"/>
        <item m="1" x="26"/>
        <item m="1" x="16"/>
        <item m="1" x="18"/>
        <item m="1" x="24"/>
        <item m="1" x="13"/>
        <item m="1" x="33"/>
        <item m="1" x="31"/>
        <item m="1" x="27"/>
        <item m="1" x="30"/>
        <item m="1" x="4"/>
        <item m="1" x="20"/>
        <item m="1" x="17"/>
        <item m="1" x="19"/>
        <item m="1" x="14"/>
        <item m="1" x="21"/>
        <item m="1" x="34"/>
        <item m="1" x="15"/>
        <item m="1" x="35"/>
        <item m="1" x="29"/>
      </items>
    </pivotField>
    <pivotField axis="axisRow" compact="0" outline="0" showAll="0" defaultSubtotal="0">
      <items count="2">
        <item m="1" x="1"/>
        <item x="0"/>
      </items>
    </pivotField>
    <pivotField axis="axisRow" compact="0" outline="0" showAll="0" defaultSubtotal="0">
      <items count="27">
        <item m="1" x="15"/>
        <item m="1" x="10"/>
        <item m="1" x="3"/>
        <item m="1" x="7"/>
        <item m="1" x="2"/>
        <item m="1" x="16"/>
        <item m="1" x="4"/>
        <item m="1" x="1"/>
        <item m="1" x="11"/>
        <item m="1" x="24"/>
        <item m="1" x="23"/>
        <item m="1" x="5"/>
        <item x="0"/>
        <item m="1" x="6"/>
        <item m="1" x="21"/>
        <item m="1" x="25"/>
        <item m="1" x="22"/>
        <item m="1" x="13"/>
        <item m="1" x="26"/>
        <item m="1" x="9"/>
        <item m="1" x="18"/>
        <item m="1" x="20"/>
        <item m="1" x="8"/>
        <item m="1" x="12"/>
        <item m="1" x="17"/>
        <item m="1" x="19"/>
        <item m="1" x="14"/>
      </items>
    </pivotField>
  </pivotFields>
  <rowFields count="8">
    <field x="5"/>
    <field x="2"/>
    <field x="16"/>
    <field x="17"/>
    <field x="13"/>
    <field x="4"/>
    <field x="14"/>
    <field x="15"/>
  </rowFields>
  <rowItems count="1">
    <i t="grand">
      <x/>
    </i>
  </rowItems>
  <colFields count="1">
    <field x="-2"/>
  </colFields>
  <colItems count="4">
    <i>
      <x/>
    </i>
    <i i="1">
      <x v="1"/>
    </i>
    <i i="2">
      <x v="2"/>
    </i>
    <i i="3">
      <x v="3"/>
    </i>
  </colItems>
  <dataFields count="4">
    <dataField name=" Element Works Cost" fld="9" baseField="15" baseItem="2" numFmtId="167"/>
    <dataField name=" TM Cost" fld="10" baseField="15" baseItem="2" numFmtId="167"/>
    <dataField name=" Add-on Cost" fld="11" baseField="15" baseItem="2" numFmtId="167"/>
    <dataField name=" Total Cost" fld="12" baseField="15" baseItem="2" numFmtId="167"/>
  </dataFields>
  <formats count="99">
    <format dxfId="135">
      <pivotArea field="8" type="button" dataOnly="0" labelOnly="1" outline="0"/>
    </format>
    <format dxfId="134">
      <pivotArea field="6" type="button" dataOnly="0" labelOnly="1" outline="0"/>
    </format>
    <format dxfId="133">
      <pivotArea field="16" type="button" dataOnly="0" labelOnly="1" outline="0" axis="axisRow" fieldPosition="2"/>
    </format>
    <format dxfId="132">
      <pivotArea field="17" type="button" dataOnly="0" labelOnly="1" outline="0" axis="axisRow" fieldPosition="3"/>
    </format>
    <format dxfId="131">
      <pivotArea field="8" type="button" dataOnly="0" labelOnly="1" outline="0"/>
    </format>
    <format dxfId="130">
      <pivotArea field="6" type="button" dataOnly="0" labelOnly="1" outline="0"/>
    </format>
    <format dxfId="129">
      <pivotArea field="16" type="button" dataOnly="0" labelOnly="1" outline="0" axis="axisRow" fieldPosition="2"/>
    </format>
    <format dxfId="128">
      <pivotArea field="17" type="button" dataOnly="0" labelOnly="1" outline="0" axis="axisRow" fieldPosition="3"/>
    </format>
    <format dxfId="127">
      <pivotArea field="8" type="button" dataOnly="0" labelOnly="1" outline="0"/>
    </format>
    <format dxfId="126">
      <pivotArea field="6" type="button" dataOnly="0" labelOnly="1" outline="0"/>
    </format>
    <format dxfId="125">
      <pivotArea field="16" type="button" dataOnly="0" labelOnly="1" outline="0" axis="axisRow" fieldPosition="2"/>
    </format>
    <format dxfId="124">
      <pivotArea field="17" type="button" dataOnly="0" labelOnly="1" outline="0" axis="axisRow" fieldPosition="3"/>
    </format>
    <format dxfId="123">
      <pivotArea field="13" type="button" dataOnly="0" labelOnly="1" outline="0" axis="axisRow" fieldPosition="4"/>
    </format>
    <format dxfId="122">
      <pivotArea field="14" type="button" dataOnly="0" labelOnly="1" outline="0" axis="axisRow" fieldPosition="6"/>
    </format>
    <format dxfId="121">
      <pivotArea field="15" type="button" dataOnly="0" labelOnly="1" outline="0" axis="axisRow" fieldPosition="7"/>
    </format>
    <format dxfId="120">
      <pivotArea field="9" type="button" dataOnly="0" labelOnly="1" outline="0"/>
    </format>
    <format dxfId="119">
      <pivotArea field="12" type="button" dataOnly="0" labelOnly="1" outline="0"/>
    </format>
    <format dxfId="118">
      <pivotArea field="11" type="button" dataOnly="0" labelOnly="1" outline="0"/>
    </format>
    <format dxfId="117">
      <pivotArea dataOnly="0" labelOnly="1" outline="0" fieldPosition="0">
        <references count="1">
          <reference field="14" count="0"/>
        </references>
      </pivotArea>
    </format>
    <format dxfId="116">
      <pivotArea field="10" type="button" dataOnly="0" labelOnly="1" outline="0"/>
    </format>
    <format dxfId="115">
      <pivotArea type="all" dataOnly="0" outline="0" fieldPosition="0"/>
    </format>
    <format dxfId="114">
      <pivotArea field="8" type="button" dataOnly="0" labelOnly="1" outline="0"/>
    </format>
    <format dxfId="113">
      <pivotArea field="6" type="button" dataOnly="0" labelOnly="1" outline="0"/>
    </format>
    <format dxfId="112">
      <pivotArea field="16" type="button" dataOnly="0" labelOnly="1" outline="0" axis="axisRow" fieldPosition="2"/>
    </format>
    <format dxfId="111">
      <pivotArea field="17" type="button" dataOnly="0" labelOnly="1" outline="0" axis="axisRow" fieldPosition="3"/>
    </format>
    <format dxfId="110">
      <pivotArea field="13" type="button" dataOnly="0" labelOnly="1" outline="0" axis="axisRow" fieldPosition="4"/>
    </format>
    <format dxfId="109">
      <pivotArea field="14" type="button" dataOnly="0" labelOnly="1" outline="0" axis="axisRow" fieldPosition="6"/>
    </format>
    <format dxfId="108">
      <pivotArea field="15" type="button" dataOnly="0" labelOnly="1" outline="0" axis="axisRow" fieldPosition="7"/>
    </format>
    <format dxfId="107">
      <pivotArea field="9" type="button" dataOnly="0" labelOnly="1" outline="0"/>
    </format>
    <format dxfId="106">
      <pivotArea field="10" type="button" dataOnly="0" labelOnly="1" outline="0"/>
    </format>
    <format dxfId="105">
      <pivotArea field="11" type="button" dataOnly="0" labelOnly="1" outline="0"/>
    </format>
    <format dxfId="104">
      <pivotArea field="12" type="button" dataOnly="0" labelOnly="1" outline="0"/>
    </format>
    <format dxfId="103">
      <pivotArea dataOnly="0" labelOnly="1" grandRow="1" outline="0" fieldPosition="0"/>
    </format>
    <format dxfId="102">
      <pivotArea field="5" type="button" dataOnly="0" labelOnly="1" outline="0" axis="axisRow" fieldPosition="0"/>
    </format>
    <format dxfId="101">
      <pivotArea field="2" type="button" dataOnly="0" labelOnly="1" outline="0" axis="axisRow" fieldPosition="1"/>
    </format>
    <format dxfId="100">
      <pivotArea field="4" type="button" dataOnly="0" labelOnly="1" outline="0" axis="axisRow" fieldPosition="5"/>
    </format>
    <format dxfId="99">
      <pivotArea dataOnly="0" labelOnly="1" outline="0" fieldPosition="0">
        <references count="1">
          <reference field="4" count="0"/>
        </references>
      </pivotArea>
    </format>
    <format dxfId="98">
      <pivotArea dataOnly="0" outline="0" fieldPosition="0">
        <references count="1">
          <reference field="4294967294" count="4">
            <x v="0"/>
            <x v="1"/>
            <x v="2"/>
            <x v="3"/>
          </reference>
        </references>
      </pivotArea>
    </format>
    <format dxfId="97">
      <pivotArea dataOnly="0" labelOnly="1" outline="0" fieldPosition="0">
        <references count="1">
          <reference field="4294967294" count="4">
            <x v="0"/>
            <x v="1"/>
            <x v="2"/>
            <x v="3"/>
          </reference>
        </references>
      </pivotArea>
    </format>
    <format dxfId="96">
      <pivotArea type="all" dataOnly="0" outline="0" fieldPosition="0"/>
    </format>
    <format dxfId="95">
      <pivotArea outline="0" collapsedLevelsAreSubtotals="1" fieldPosition="0"/>
    </format>
    <format dxfId="94">
      <pivotArea field="5" type="button" dataOnly="0" labelOnly="1" outline="0" axis="axisRow" fieldPosition="0"/>
    </format>
    <format dxfId="93">
      <pivotArea field="2" type="button" dataOnly="0" labelOnly="1" outline="0" axis="axisRow" fieldPosition="1"/>
    </format>
    <format dxfId="92">
      <pivotArea field="16" type="button" dataOnly="0" labelOnly="1" outline="0" axis="axisRow" fieldPosition="2"/>
    </format>
    <format dxfId="91">
      <pivotArea field="17" type="button" dataOnly="0" labelOnly="1" outline="0" axis="axisRow" fieldPosition="3"/>
    </format>
    <format dxfId="90">
      <pivotArea field="13" type="button" dataOnly="0" labelOnly="1" outline="0" axis="axisRow" fieldPosition="4"/>
    </format>
    <format dxfId="89">
      <pivotArea field="4" type="button" dataOnly="0" labelOnly="1" outline="0" axis="axisRow" fieldPosition="5"/>
    </format>
    <format dxfId="88">
      <pivotArea field="14" type="button" dataOnly="0" labelOnly="1" outline="0" axis="axisRow" fieldPosition="6"/>
    </format>
    <format dxfId="87">
      <pivotArea field="15" type="button" dataOnly="0" labelOnly="1" outline="0" axis="axisRow" fieldPosition="7"/>
    </format>
    <format dxfId="86">
      <pivotArea dataOnly="0" labelOnly="1" outline="0" fieldPosition="0">
        <references count="1">
          <reference field="5" count="0"/>
        </references>
      </pivotArea>
    </format>
    <format dxfId="85">
      <pivotArea dataOnly="0" labelOnly="1" grandRow="1" outline="0" fieldPosition="0"/>
    </format>
    <format dxfId="84">
      <pivotArea dataOnly="0" labelOnly="1" outline="0" fieldPosition="0">
        <references count="2">
          <reference field="2" count="2">
            <x v="20"/>
            <x v="21"/>
          </reference>
          <reference field="5" count="1" selected="0">
            <x v="40"/>
          </reference>
        </references>
      </pivotArea>
    </format>
    <format dxfId="83">
      <pivotArea dataOnly="0" labelOnly="1" outline="0" fieldPosition="0">
        <references count="2">
          <reference field="2" count="1">
            <x v="19"/>
          </reference>
          <reference field="5" count="1" selected="0">
            <x v="222"/>
          </reference>
        </references>
      </pivotArea>
    </format>
    <format dxfId="82">
      <pivotArea dataOnly="0" labelOnly="1" outline="0" fieldPosition="0">
        <references count="2">
          <reference field="2" count="1">
            <x v="11"/>
          </reference>
          <reference field="5" count="1" selected="0">
            <x v="274"/>
          </reference>
        </references>
      </pivotArea>
    </format>
    <format dxfId="81">
      <pivotArea dataOnly="0" labelOnly="1" outline="0" fieldPosition="0">
        <references count="2">
          <reference field="2" count="1">
            <x v="12"/>
          </reference>
          <reference field="5" count="1" selected="0">
            <x v="284"/>
          </reference>
        </references>
      </pivotArea>
    </format>
    <format dxfId="80">
      <pivotArea dataOnly="0" labelOnly="1" outline="0" fieldPosition="0">
        <references count="2">
          <reference field="2" count="1">
            <x v="20"/>
          </reference>
          <reference field="5" count="1" selected="0">
            <x v="285"/>
          </reference>
        </references>
      </pivotArea>
    </format>
    <format dxfId="79">
      <pivotArea dataOnly="0" labelOnly="1" outline="0" fieldPosition="0">
        <references count="2">
          <reference field="2" count="1">
            <x v="3"/>
          </reference>
          <reference field="5" count="1" selected="0">
            <x v="289"/>
          </reference>
        </references>
      </pivotArea>
    </format>
    <format dxfId="78">
      <pivotArea dataOnly="0" labelOnly="1" outline="0" fieldPosition="0">
        <references count="2">
          <reference field="2" count="1">
            <x v="19"/>
          </reference>
          <reference field="5" count="1" selected="0">
            <x v="537"/>
          </reference>
        </references>
      </pivotArea>
    </format>
    <format dxfId="77">
      <pivotArea dataOnly="0" labelOnly="1" outline="0" fieldPosition="0">
        <references count="2">
          <reference field="2" count="1">
            <x v="7"/>
          </reference>
          <reference field="5" count="1" selected="0">
            <x v="579"/>
          </reference>
        </references>
      </pivotArea>
    </format>
    <format dxfId="76">
      <pivotArea dataOnly="0" labelOnly="1" outline="0" fieldPosition="0">
        <references count="2">
          <reference field="2" count="1">
            <x v="28"/>
          </reference>
          <reference field="5" count="1" selected="0">
            <x v="598"/>
          </reference>
        </references>
      </pivotArea>
    </format>
    <format dxfId="75">
      <pivotArea dataOnly="0" labelOnly="1" outline="0" fieldPosition="0">
        <references count="2">
          <reference field="2" count="1">
            <x v="25"/>
          </reference>
          <reference field="5" count="1" selected="0">
            <x v="627"/>
          </reference>
        </references>
      </pivotArea>
    </format>
    <format dxfId="74">
      <pivotArea dataOnly="0" labelOnly="1" outline="0" fieldPosition="0">
        <references count="2">
          <reference field="2" count="1">
            <x v="6"/>
          </reference>
          <reference field="5" count="1" selected="0">
            <x v="629"/>
          </reference>
        </references>
      </pivotArea>
    </format>
    <format dxfId="73">
      <pivotArea dataOnly="0" labelOnly="1" outline="0" fieldPosition="0">
        <references count="2">
          <reference field="2" count="1">
            <x v="3"/>
          </reference>
          <reference field="5" count="1" selected="0">
            <x v="642"/>
          </reference>
        </references>
      </pivotArea>
    </format>
    <format dxfId="72">
      <pivotArea dataOnly="0" labelOnly="1" outline="0" fieldPosition="0">
        <references count="2">
          <reference field="2" count="1">
            <x v="4"/>
          </reference>
          <reference field="5" count="1" selected="0">
            <x v="644"/>
          </reference>
        </references>
      </pivotArea>
    </format>
    <format dxfId="71">
      <pivotArea dataOnly="0" labelOnly="1" outline="0" fieldPosition="0">
        <references count="2">
          <reference field="2" count="1">
            <x v="22"/>
          </reference>
          <reference field="5" count="1" selected="0">
            <x v="658"/>
          </reference>
        </references>
      </pivotArea>
    </format>
    <format dxfId="70">
      <pivotArea dataOnly="0" labelOnly="1" outline="0" fieldPosition="0">
        <references count="2">
          <reference field="2" count="2">
            <x v="1"/>
            <x v="21"/>
          </reference>
          <reference field="5" count="1" selected="0">
            <x v="660"/>
          </reference>
        </references>
      </pivotArea>
    </format>
    <format dxfId="69">
      <pivotArea dataOnly="0" labelOnly="1" outline="0" fieldPosition="0">
        <references count="2">
          <reference field="2" count="1">
            <x v="14"/>
          </reference>
          <reference field="5" count="1" selected="0">
            <x v="682"/>
          </reference>
        </references>
      </pivotArea>
    </format>
    <format dxfId="68">
      <pivotArea dataOnly="0" labelOnly="1" outline="0" fieldPosition="0">
        <references count="2">
          <reference field="2" count="1">
            <x v="23"/>
          </reference>
          <reference field="5" count="1" selected="0">
            <x v="683"/>
          </reference>
        </references>
      </pivotArea>
    </format>
    <format dxfId="67">
      <pivotArea dataOnly="0" labelOnly="1" outline="0" fieldPosition="0">
        <references count="2">
          <reference field="2" count="1">
            <x v="18"/>
          </reference>
          <reference field="5" count="1" selected="0">
            <x v="694"/>
          </reference>
        </references>
      </pivotArea>
    </format>
    <format dxfId="66">
      <pivotArea dataOnly="0" labelOnly="1" outline="0" fieldPosition="0">
        <references count="2">
          <reference field="2" count="1">
            <x v="17"/>
          </reference>
          <reference field="5" count="1" selected="0">
            <x v="703"/>
          </reference>
        </references>
      </pivotArea>
    </format>
    <format dxfId="65">
      <pivotArea dataOnly="0" labelOnly="1" outline="0" fieldPosition="0">
        <references count="2">
          <reference field="2" count="1">
            <x v="23"/>
          </reference>
          <reference field="5" count="1" selected="0">
            <x v="706"/>
          </reference>
        </references>
      </pivotArea>
    </format>
    <format dxfId="64">
      <pivotArea dataOnly="0" labelOnly="1" outline="0" fieldPosition="0">
        <references count="2">
          <reference field="2" count="1">
            <x v="24"/>
          </reference>
          <reference field="5" count="1" selected="0">
            <x v="707"/>
          </reference>
        </references>
      </pivotArea>
    </format>
    <format dxfId="63">
      <pivotArea dataOnly="0" labelOnly="1" outline="0" fieldPosition="0">
        <references count="2">
          <reference field="2" count="1">
            <x v="27"/>
          </reference>
          <reference field="5" count="1" selected="0">
            <x v="710"/>
          </reference>
        </references>
      </pivotArea>
    </format>
    <format dxfId="62">
      <pivotArea dataOnly="0" labelOnly="1" outline="0" fieldPosition="0">
        <references count="2">
          <reference field="2" count="1">
            <x v="19"/>
          </reference>
          <reference field="5" count="1" selected="0">
            <x v="713"/>
          </reference>
        </references>
      </pivotArea>
    </format>
    <format dxfId="61">
      <pivotArea dataOnly="0" labelOnly="1" outline="0" fieldPosition="0">
        <references count="2">
          <reference field="2" count="1">
            <x v="29"/>
          </reference>
          <reference field="5" count="1" selected="0">
            <x v="725"/>
          </reference>
        </references>
      </pivotArea>
    </format>
    <format dxfId="60">
      <pivotArea dataOnly="0" labelOnly="1" outline="0" fieldPosition="0">
        <references count="2">
          <reference field="2" count="1">
            <x v="26"/>
          </reference>
          <reference field="5" count="1" selected="0">
            <x v="729"/>
          </reference>
        </references>
      </pivotArea>
    </format>
    <format dxfId="59">
      <pivotArea dataOnly="0" labelOnly="1" outline="0" fieldPosition="0">
        <references count="2">
          <reference field="2" count="1">
            <x v="5"/>
          </reference>
          <reference field="5" count="1" selected="0">
            <x v="730"/>
          </reference>
        </references>
      </pivotArea>
    </format>
    <format dxfId="58">
      <pivotArea dataOnly="0" labelOnly="1" outline="0" fieldPosition="0">
        <references count="2">
          <reference field="2" count="1">
            <x v="11"/>
          </reference>
          <reference field="5" count="1" selected="0">
            <x v="736"/>
          </reference>
        </references>
      </pivotArea>
    </format>
    <format dxfId="57">
      <pivotArea dataOnly="0" labelOnly="1" outline="0" fieldPosition="0">
        <references count="2">
          <reference field="2" count="1">
            <x v="10"/>
          </reference>
          <reference field="5" count="1" selected="0">
            <x v="737"/>
          </reference>
        </references>
      </pivotArea>
    </format>
    <format dxfId="56">
      <pivotArea dataOnly="0" labelOnly="1" outline="0" fieldPosition="0">
        <references count="2">
          <reference field="2" count="1">
            <x v="16"/>
          </reference>
          <reference field="5" count="1" selected="0">
            <x v="741"/>
          </reference>
        </references>
      </pivotArea>
    </format>
    <format dxfId="55">
      <pivotArea dataOnly="0" labelOnly="1" outline="0" fieldPosition="0">
        <references count="2">
          <reference field="2" count="1">
            <x v="9"/>
          </reference>
          <reference field="5" count="1" selected="0">
            <x v="746"/>
          </reference>
        </references>
      </pivotArea>
    </format>
    <format dxfId="54">
      <pivotArea dataOnly="0" labelOnly="1" outline="0" fieldPosition="0">
        <references count="2">
          <reference field="2" count="3">
            <x v="2"/>
            <x v="15"/>
            <x v="16"/>
          </reference>
          <reference field="5" count="1" selected="0">
            <x v="747"/>
          </reference>
        </references>
      </pivotArea>
    </format>
    <format dxfId="53">
      <pivotArea dataOnly="0" labelOnly="1" outline="0" fieldPosition="0">
        <references count="2">
          <reference field="2" count="1">
            <x v="11"/>
          </reference>
          <reference field="5" count="1" selected="0">
            <x v="750"/>
          </reference>
        </references>
      </pivotArea>
    </format>
    <format dxfId="52">
      <pivotArea dataOnly="0" labelOnly="1" outline="0" fieldPosition="0">
        <references count="2">
          <reference field="2" count="1">
            <x v="1"/>
          </reference>
          <reference field="5" count="1" selected="0">
            <x v="752"/>
          </reference>
        </references>
      </pivotArea>
    </format>
    <format dxfId="51">
      <pivotArea dataOnly="0" labelOnly="1" outline="0" fieldPosition="0">
        <references count="2">
          <reference field="2" count="1">
            <x v="16"/>
          </reference>
          <reference field="5" count="1" selected="0">
            <x v="754"/>
          </reference>
        </references>
      </pivotArea>
    </format>
    <format dxfId="50">
      <pivotArea dataOnly="0" labelOnly="1" outline="0" fieldPosition="0">
        <references count="2">
          <reference field="2" count="2">
            <x v="14"/>
            <x v="15"/>
          </reference>
          <reference field="5" count="1" selected="0">
            <x v="756"/>
          </reference>
        </references>
      </pivotArea>
    </format>
    <format dxfId="49">
      <pivotArea dataOnly="0" labelOnly="1" outline="0" fieldPosition="0">
        <references count="2">
          <reference field="2" count="2">
            <x v="6"/>
            <x v="31"/>
          </reference>
          <reference field="5" count="1" selected="0">
            <x v="757"/>
          </reference>
        </references>
      </pivotArea>
    </format>
    <format dxfId="48">
      <pivotArea dataOnly="0" labelOnly="1" outline="0" fieldPosition="0">
        <references count="2">
          <reference field="2" count="1">
            <x v="4"/>
          </reference>
          <reference field="5" count="1" selected="0">
            <x v="758"/>
          </reference>
        </references>
      </pivotArea>
    </format>
    <format dxfId="47">
      <pivotArea dataOnly="0" labelOnly="1" outline="0" fieldPosition="0">
        <references count="2">
          <reference field="2" count="1">
            <x v="5"/>
          </reference>
          <reference field="5" count="1" selected="0">
            <x v="761"/>
          </reference>
        </references>
      </pivotArea>
    </format>
    <format dxfId="46">
      <pivotArea dataOnly="0" labelOnly="1" outline="0" fieldPosition="0">
        <references count="2">
          <reference field="2" count="1">
            <x v="12"/>
          </reference>
          <reference field="5" count="1" selected="0">
            <x v="763"/>
          </reference>
        </references>
      </pivotArea>
    </format>
    <format dxfId="45">
      <pivotArea dataOnly="0" labelOnly="1" outline="0" fieldPosition="0">
        <references count="2">
          <reference field="2" count="2">
            <x v="8"/>
            <x v="21"/>
          </reference>
          <reference field="5" count="1" selected="0">
            <x v="765"/>
          </reference>
        </references>
      </pivotArea>
    </format>
    <format dxfId="44">
      <pivotArea dataOnly="0" labelOnly="1" outline="0" fieldPosition="0">
        <references count="2">
          <reference field="2" count="1">
            <x v="13"/>
          </reference>
          <reference field="5" count="1" selected="0">
            <x v="770"/>
          </reference>
        </references>
      </pivotArea>
    </format>
    <format dxfId="43">
      <pivotArea dataOnly="0" labelOnly="1" outline="0" fieldPosition="0">
        <references count="2">
          <reference field="2" count="1">
            <x v="20"/>
          </reference>
          <reference field="5" count="1" selected="0">
            <x v="799"/>
          </reference>
        </references>
      </pivotArea>
    </format>
    <format dxfId="42">
      <pivotArea dataOnly="0" labelOnly="1" outline="0" fieldPosition="0">
        <references count="1">
          <reference field="4294967294" count="4">
            <x v="0"/>
            <x v="1"/>
            <x v="2"/>
            <x v="3"/>
          </reference>
        </references>
      </pivotArea>
    </format>
    <format dxfId="41">
      <pivotArea outline="0" collapsedLevelsAreSubtotals="1" fieldPosition="0"/>
    </format>
    <format dxfId="40">
      <pivotArea outline="0" fieldPosition="0">
        <references count="1">
          <reference field="4294967294" count="1">
            <x v="0"/>
          </reference>
        </references>
      </pivotArea>
    </format>
    <format dxfId="39">
      <pivotArea outline="0" fieldPosition="0">
        <references count="1">
          <reference field="4294967294" count="1">
            <x v="1"/>
          </reference>
        </references>
      </pivotArea>
    </format>
    <format dxfId="38">
      <pivotArea outline="0" fieldPosition="0">
        <references count="1">
          <reference field="4294967294" count="1">
            <x v="2"/>
          </reference>
        </references>
      </pivotArea>
    </format>
    <format dxfId="37">
      <pivotArea outline="0" fieldPosition="0">
        <references count="1">
          <reference field="4294967294" count="1">
            <x v="3"/>
          </reference>
        </references>
      </pivotArea>
    </format>
  </formats>
  <pivotTableStyleInfo name="PivotStyleLight16" showRowHeaders="1" showColHeaders="1" showRowStripes="0" showColStripes="0" showLastColumn="1"/>
  <filters count="1">
    <filter fld="5" type="captionGreaterThan" evalOrder="-1" id="3" stringValue1="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50677F1-180D-41EE-A6B9-8BB18687228D}" name="PivotTable2"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
  <location ref="CN6:CQ8" firstHeaderRow="0" firstDataRow="1" firstDataCol="1"/>
  <pivotFields count="61">
    <pivotField axis="axisRow" showAll="0">
      <items count="124">
        <item x="0"/>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121"/>
        <item m="1" x="79"/>
        <item m="1" x="36"/>
        <item m="1" x="83"/>
        <item m="1" x="40"/>
        <item m="1" x="87"/>
        <item m="1" x="44"/>
        <item m="1" x="91"/>
        <item m="1" x="48"/>
        <item m="1" x="95"/>
        <item m="1" x="52"/>
        <item m="1" x="99"/>
        <item m="1" x="56"/>
        <item m="1" x="103"/>
        <item m="1" x="60"/>
        <item m="1" x="106"/>
        <item m="1" x="63"/>
        <item m="1" x="109"/>
        <item m="1" x="66"/>
        <item m="1" x="112"/>
        <item m="1" x="69"/>
        <item m="1" x="115"/>
        <item m="1" x="73"/>
        <item m="1" x="119"/>
        <item m="1" x="77"/>
        <item m="1" x="34"/>
        <item m="1" x="82"/>
        <item m="1" x="39"/>
        <item m="1" x="86"/>
        <item m="1" x="43"/>
        <item m="1" x="90"/>
        <item m="1" x="47"/>
        <item m="1" x="94"/>
        <item m="1" x="71"/>
        <item m="1" x="51"/>
        <item m="1" x="117"/>
        <item m="1" x="98"/>
        <item m="1" x="75"/>
        <item m="1" x="55"/>
        <item m="1" x="122"/>
        <item m="1" x="102"/>
        <item m="1" x="80"/>
        <item m="1" x="59"/>
        <item m="1" x="37"/>
        <item m="1" x="105"/>
        <item m="1" x="84"/>
        <item m="1" x="62"/>
        <item m="1" x="41"/>
        <item m="1" x="108"/>
        <item m="1" x="88"/>
        <item m="1" x="65"/>
        <item m="1" x="45"/>
        <item m="1" x="111"/>
        <item m="1" x="92"/>
        <item m="1" x="68"/>
        <item m="1" x="49"/>
        <item m="1" x="114"/>
        <item m="1" x="96"/>
        <item m="1" x="72"/>
        <item m="1" x="53"/>
        <item m="1" x="118"/>
        <item m="1" x="100"/>
        <item m="1" x="76"/>
        <item m="1" x="57"/>
        <item m="1" x="33"/>
        <item m="1" x="104"/>
        <item m="1" x="81"/>
        <item m="1" x="61"/>
        <item m="1" x="38"/>
        <item m="1" x="107"/>
        <item m="1" x="85"/>
        <item m="1" x="64"/>
        <item m="1" x="42"/>
        <item m="1" x="110"/>
        <item m="1" x="89"/>
        <item m="1" x="67"/>
        <item m="1" x="46"/>
        <item m="1" x="113"/>
        <item m="1" x="93"/>
        <item m="1" x="70"/>
        <item m="1" x="50"/>
        <item m="1" x="116"/>
        <item m="1" x="97"/>
        <item m="1" x="74"/>
        <item m="1" x="54"/>
        <item m="1" x="120"/>
        <item m="1" x="101"/>
        <item m="1" x="78"/>
        <item m="1" x="58"/>
        <item h="1" x="1"/>
        <item m="1" x="3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0"/>
  </rowFields>
  <rowItems count="2">
    <i>
      <x/>
    </i>
    <i t="grand">
      <x/>
    </i>
  </rowItems>
  <colFields count="1">
    <field x="-2"/>
  </colFields>
  <colItems count="3">
    <i>
      <x/>
    </i>
    <i i="1">
      <x v="1"/>
    </i>
    <i i="2">
      <x v="2"/>
    </i>
  </colItems>
  <dataFields count="3">
    <dataField name="Length 0-10m" fld="50" baseField="0" baseItem="0"/>
    <dataField name="Length 10-20m" fld="51" baseField="0" baseItem="0"/>
    <dataField name="Length 20m+" fld="52" baseField="0" baseItem="0"/>
  </dataFields>
  <chartFormats count="4">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 chart="2" format="9">
      <pivotArea type="data" outline="0" fieldPosition="0">
        <references count="2">
          <reference field="4294967294" count="1" selected="0">
            <x v="0"/>
          </reference>
          <reference field="0" count="1" selected="0">
            <x v="8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14A8BA8-C1EC-4A06-8E2D-A9EA02A146B5}"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gridDropZones="1" multipleFieldFilters="0" chartFormat="4" rowHeaderCaption="Years" customListSort="0">
  <location ref="EB6:ED8" firstHeaderRow="1" firstDataRow="2" firstDataCol="1"/>
  <pivotFields count="61">
    <pivotField axis="axisRow" compact="0" outline="0" showAll="0" defaultSubtotal="0">
      <items count="123">
        <item x="0"/>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121"/>
        <item m="1" x="79"/>
        <item m="1" x="36"/>
        <item m="1" x="83"/>
        <item m="1" x="40"/>
        <item m="1" x="87"/>
        <item m="1" x="44"/>
        <item m="1" x="91"/>
        <item m="1" x="48"/>
        <item m="1" x="95"/>
        <item m="1" x="52"/>
        <item m="1" x="99"/>
        <item m="1" x="56"/>
        <item m="1" x="103"/>
        <item m="1" x="60"/>
        <item m="1" x="106"/>
        <item m="1" x="63"/>
        <item m="1" x="109"/>
        <item m="1" x="66"/>
        <item m="1" x="112"/>
        <item m="1" x="69"/>
        <item m="1" x="115"/>
        <item m="1" x="73"/>
        <item m="1" x="119"/>
        <item m="1" x="77"/>
        <item m="1" x="34"/>
        <item m="1" x="82"/>
        <item m="1" x="39"/>
        <item m="1" x="86"/>
        <item m="1" x="43"/>
        <item m="1" x="90"/>
        <item m="1" x="47"/>
        <item m="1" x="94"/>
        <item m="1" x="71"/>
        <item m="1" x="51"/>
        <item m="1" x="117"/>
        <item m="1" x="98"/>
        <item m="1" x="75"/>
        <item m="1" x="55"/>
        <item m="1" x="122"/>
        <item m="1" x="102"/>
        <item m="1" x="80"/>
        <item m="1" x="59"/>
        <item m="1" x="37"/>
        <item m="1" x="105"/>
        <item m="1" x="84"/>
        <item m="1" x="62"/>
        <item m="1" x="41"/>
        <item m="1" x="108"/>
        <item m="1" x="88"/>
        <item m="1" x="65"/>
        <item m="1" x="45"/>
        <item m="1" x="111"/>
        <item m="1" x="92"/>
        <item m="1" x="68"/>
        <item m="1" x="49"/>
        <item m="1" x="114"/>
        <item m="1" x="96"/>
        <item m="1" x="72"/>
        <item m="1" x="53"/>
        <item m="1" x="118"/>
        <item m="1" x="100"/>
        <item m="1" x="76"/>
        <item m="1" x="57"/>
        <item m="1" x="33"/>
        <item m="1" x="104"/>
        <item m="1" x="81"/>
        <item m="1" x="61"/>
        <item m="1" x="38"/>
        <item m="1" x="107"/>
        <item m="1" x="85"/>
        <item m="1" x="64"/>
        <item m="1" x="42"/>
        <item m="1" x="110"/>
        <item m="1" x="89"/>
        <item m="1" x="67"/>
        <item m="1" x="46"/>
        <item m="1" x="113"/>
        <item m="1" x="93"/>
        <item m="1" x="70"/>
        <item m="1" x="50"/>
        <item m="1" x="116"/>
        <item m="1" x="97"/>
        <item m="1" x="74"/>
        <item m="1" x="54"/>
        <item m="1" x="120"/>
        <item m="1" x="101"/>
        <item m="1" x="78"/>
        <item m="1" x="58"/>
        <item m="1" x="35"/>
        <item h="1" x="1"/>
      </items>
    </pivotField>
    <pivotField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ubtotalTop="0" dragToRow="0" dragToCol="0" dragToPage="0" showAll="0" defaultSubtotal="0"/>
  </pivotFields>
  <rowFields count="1">
    <field x="0"/>
  </rowFields>
  <rowItems count="1">
    <i>
      <x/>
    </i>
  </rowItems>
  <colFields count="1">
    <field x="-2"/>
  </colFields>
  <colItems count="2">
    <i>
      <x/>
    </i>
    <i i="1">
      <x v="1"/>
    </i>
  </colItems>
  <dataFields count="2">
    <dataField name=" Full Stock" fld="42" baseField="0" baseItem="39583488"/>
    <dataField name="Sum of    Full Stock" fld="60" baseField="0" baseItem="0"/>
  </dataFields>
  <chartFormats count="2">
    <chartFormat chart="3" format="3"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6E33AA7-92A3-4A5D-860A-88DE0B95F2E0}"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13">
  <location ref="CI6:CK7" firstHeaderRow="0" firstDataRow="1" firstDataCol="1"/>
  <pivotFields count="61">
    <pivotField axis="axisRow" showAll="0">
      <items count="124">
        <item x="0"/>
        <item m="1" x="2"/>
        <item m="1" x="3"/>
        <item m="1" x="4"/>
        <item m="1" x="5"/>
        <item m="1" x="6"/>
        <item m="1" x="7"/>
        <item m="1" x="8"/>
        <item m="1" x="9"/>
        <item m="1" x="10"/>
        <item m="1" x="11"/>
        <item x="1"/>
        <item m="1" x="12"/>
        <item m="1" x="13"/>
        <item m="1" x="14"/>
        <item m="1" x="15"/>
        <item m="1" x="16"/>
        <item m="1" x="17"/>
        <item m="1" x="18"/>
        <item m="1" x="19"/>
        <item m="1" x="20"/>
        <item m="1" x="21"/>
        <item m="1" x="22"/>
        <item m="1" x="23"/>
        <item m="1" x="24"/>
        <item m="1" x="25"/>
        <item m="1" x="26"/>
        <item m="1" x="27"/>
        <item m="1" x="28"/>
        <item m="1" x="29"/>
        <item m="1" x="30"/>
        <item m="1" x="31"/>
        <item m="1" x="32"/>
        <item m="1" x="121"/>
        <item m="1" x="79"/>
        <item m="1" x="36"/>
        <item m="1" x="83"/>
        <item m="1" x="40"/>
        <item m="1" x="87"/>
        <item m="1" x="44"/>
        <item m="1" x="91"/>
        <item m="1" x="48"/>
        <item m="1" x="95"/>
        <item m="1" x="52"/>
        <item m="1" x="99"/>
        <item m="1" x="56"/>
        <item m="1" x="103"/>
        <item m="1" x="60"/>
        <item m="1" x="106"/>
        <item m="1" x="63"/>
        <item m="1" x="109"/>
        <item m="1" x="66"/>
        <item m="1" x="112"/>
        <item m="1" x="69"/>
        <item m="1" x="115"/>
        <item m="1" x="73"/>
        <item m="1" x="119"/>
        <item m="1" x="77"/>
        <item m="1" x="34"/>
        <item m="1" x="82"/>
        <item m="1" x="39"/>
        <item m="1" x="86"/>
        <item m="1" x="43"/>
        <item m="1" x="90"/>
        <item m="1" x="47"/>
        <item m="1" x="94"/>
        <item m="1" x="71"/>
        <item m="1" x="51"/>
        <item m="1" x="117"/>
        <item m="1" x="98"/>
        <item m="1" x="75"/>
        <item m="1" x="55"/>
        <item m="1" x="122"/>
        <item m="1" x="102"/>
        <item m="1" x="80"/>
        <item m="1" x="59"/>
        <item m="1" x="37"/>
        <item m="1" x="105"/>
        <item m="1" x="84"/>
        <item m="1" x="62"/>
        <item m="1" x="41"/>
        <item m="1" x="108"/>
        <item m="1" x="88"/>
        <item m="1" x="65"/>
        <item m="1" x="45"/>
        <item m="1" x="111"/>
        <item m="1" x="92"/>
        <item m="1" x="68"/>
        <item m="1" x="49"/>
        <item m="1" x="114"/>
        <item m="1" x="96"/>
        <item m="1" x="72"/>
        <item m="1" x="53"/>
        <item m="1" x="118"/>
        <item m="1" x="100"/>
        <item m="1" x="76"/>
        <item m="1" x="57"/>
        <item m="1" x="33"/>
        <item m="1" x="104"/>
        <item m="1" x="81"/>
        <item m="1" x="61"/>
        <item m="1" x="38"/>
        <item m="1" x="107"/>
        <item m="1" x="85"/>
        <item m="1" x="64"/>
        <item m="1" x="42"/>
        <item m="1" x="110"/>
        <item m="1" x="89"/>
        <item m="1" x="67"/>
        <item m="1" x="46"/>
        <item m="1" x="113"/>
        <item m="1" x="93"/>
        <item m="1" x="70"/>
        <item m="1" x="50"/>
        <item m="1" x="116"/>
        <item m="1" x="97"/>
        <item m="1" x="74"/>
        <item m="1" x="54"/>
        <item m="1" x="120"/>
        <item m="1" x="101"/>
        <item m="1" x="78"/>
        <item m="1" x="58"/>
        <item m="1" x="3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ragToRow="0" dragToCol="0" dragToPage="0" showAll="0" defaultSubtotal="0"/>
  </pivotFields>
  <rowFields count="1">
    <field x="0"/>
  </rowFields>
  <rowItems count="1">
    <i>
      <x/>
    </i>
  </rowItems>
  <colFields count="1">
    <field x="-2"/>
  </colFields>
  <colItems count="2">
    <i>
      <x/>
    </i>
    <i i="1">
      <x v="1"/>
    </i>
  </colItems>
  <dataFields count="2">
    <dataField name="Traffic Delay Cost" fld="59" baseField="0" baseItem="0"/>
    <dataField name="No. Structures at risk" fld="49" baseField="0" baseItem="0"/>
  </dataFields>
  <chartFormats count="2">
    <chartFormat chart="6" format="8" series="1">
      <pivotArea type="data" outline="0" fieldPosition="0">
        <references count="1">
          <reference field="4294967294" count="1" selected="0">
            <x v="1"/>
          </reference>
        </references>
      </pivotArea>
    </chartFormat>
    <chartFormat chart="6"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aptionGreaterThanOrEqual" evalOrder="-1" id="2" stringValue1="0">
      <autoFilter ref="A1">
        <filterColumn colId="0">
          <customFilters>
            <customFilter operator="greaterThanOr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C7A7325-E988-4A21-9D73-742E75DE571B}" name="PivotTable12"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8">
  <location ref="EN6:ET7" firstHeaderRow="0" firstDataRow="1" firstDataCol="1"/>
  <pivotFields count="61">
    <pivotField axis="axisRow" showAll="0">
      <items count="124">
        <item x="0"/>
        <item m="1" x="2"/>
        <item m="1" x="3"/>
        <item m="1" x="4"/>
        <item m="1" x="5"/>
        <item m="1" x="6"/>
        <item m="1" x="7"/>
        <item m="1" x="8"/>
        <item m="1" x="9"/>
        <item m="1" x="10"/>
        <item m="1" x="11"/>
        <item x="1"/>
        <item m="1" x="12"/>
        <item m="1" x="13"/>
        <item m="1" x="14"/>
        <item m="1" x="15"/>
        <item m="1" x="16"/>
        <item m="1" x="17"/>
        <item m="1" x="18"/>
        <item m="1" x="19"/>
        <item m="1" x="20"/>
        <item m="1" x="21"/>
        <item m="1" x="22"/>
        <item m="1" x="23"/>
        <item m="1" x="24"/>
        <item m="1" x="25"/>
        <item m="1" x="26"/>
        <item m="1" x="27"/>
        <item m="1" x="28"/>
        <item m="1" x="29"/>
        <item m="1" x="30"/>
        <item m="1" x="31"/>
        <item m="1" x="32"/>
        <item m="1" x="121"/>
        <item m="1" x="79"/>
        <item m="1" x="36"/>
        <item m="1" x="83"/>
        <item m="1" x="40"/>
        <item m="1" x="87"/>
        <item m="1" x="44"/>
        <item m="1" x="91"/>
        <item m="1" x="48"/>
        <item m="1" x="95"/>
        <item m="1" x="52"/>
        <item m="1" x="99"/>
        <item m="1" x="56"/>
        <item m="1" x="103"/>
        <item m="1" x="60"/>
        <item m="1" x="106"/>
        <item m="1" x="63"/>
        <item m="1" x="109"/>
        <item m="1" x="66"/>
        <item m="1" x="112"/>
        <item m="1" x="69"/>
        <item m="1" x="115"/>
        <item m="1" x="73"/>
        <item m="1" x="119"/>
        <item m="1" x="77"/>
        <item m="1" x="34"/>
        <item m="1" x="82"/>
        <item m="1" x="39"/>
        <item m="1" x="86"/>
        <item m="1" x="43"/>
        <item m="1" x="90"/>
        <item m="1" x="47"/>
        <item m="1" x="94"/>
        <item m="1" x="71"/>
        <item m="1" x="51"/>
        <item m="1" x="117"/>
        <item m="1" x="98"/>
        <item m="1" x="75"/>
        <item m="1" x="55"/>
        <item m="1" x="122"/>
        <item m="1" x="102"/>
        <item m="1" x="80"/>
        <item m="1" x="59"/>
        <item m="1" x="37"/>
        <item m="1" x="105"/>
        <item m="1" x="84"/>
        <item m="1" x="62"/>
        <item m="1" x="41"/>
        <item m="1" x="108"/>
        <item m="1" x="88"/>
        <item m="1" x="65"/>
        <item m="1" x="45"/>
        <item m="1" x="111"/>
        <item m="1" x="92"/>
        <item m="1" x="68"/>
        <item m="1" x="49"/>
        <item m="1" x="114"/>
        <item m="1" x="96"/>
        <item m="1" x="72"/>
        <item m="1" x="53"/>
        <item m="1" x="118"/>
        <item m="1" x="100"/>
        <item m="1" x="76"/>
        <item m="1" x="57"/>
        <item m="1" x="33"/>
        <item m="1" x="104"/>
        <item m="1" x="81"/>
        <item m="1" x="61"/>
        <item m="1" x="38"/>
        <item m="1" x="107"/>
        <item m="1" x="85"/>
        <item m="1" x="64"/>
        <item m="1" x="42"/>
        <item m="1" x="110"/>
        <item m="1" x="89"/>
        <item m="1" x="67"/>
        <item m="1" x="46"/>
        <item m="1" x="113"/>
        <item m="1" x="93"/>
        <item m="1" x="70"/>
        <item m="1" x="50"/>
        <item m="1" x="116"/>
        <item m="1" x="97"/>
        <item m="1" x="74"/>
        <item m="1" x="54"/>
        <item m="1" x="120"/>
        <item m="1" x="101"/>
        <item m="1" x="78"/>
        <item m="1" x="58"/>
        <item m="1" x="3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0"/>
  </rowFields>
  <rowItems count="1">
    <i>
      <x/>
    </i>
  </rowItems>
  <colFields count="1">
    <field x="-2"/>
  </colFields>
  <colItems count="6">
    <i>
      <x/>
    </i>
    <i i="1">
      <x v="1"/>
    </i>
    <i i="2">
      <x v="2"/>
    </i>
    <i i="3">
      <x v="3"/>
    </i>
    <i i="4">
      <x v="4"/>
    </i>
    <i i="5">
      <x v="5"/>
    </i>
  </colItems>
  <dataFields count="6">
    <dataField name="Bridges " fld="36" baseField="0" baseItem="0"/>
    <dataField name="Retaining Walls " fld="37" baseField="0" baseItem="0"/>
    <dataField name="Culverts " fld="38" baseField="0" baseItem="0"/>
    <dataField name="Sign/Signal Gantries " fld="39" baseField="0" baseItem="0"/>
    <dataField name="High Mast Lighting " fld="40" baseField="0" baseItem="0"/>
    <dataField name="Tunnels &amp; Veh. Underpasses" fld="41" baseField="0" baseItem="0"/>
  </dataFields>
  <formats count="8">
    <format dxfId="12">
      <pivotArea outline="0" collapsedLevelsAreSubtotals="1" fieldPosition="0"/>
    </format>
    <format dxfId="11">
      <pivotArea type="all" dataOnly="0" outline="0" fieldPosition="0"/>
    </format>
    <format dxfId="10">
      <pivotArea outline="0" collapsedLevelsAreSubtotals="1" fieldPosition="0"/>
    </format>
    <format dxfId="9">
      <pivotArea dataOnly="0" labelOnly="1" outline="0" axis="axisValues" fieldPosition="0"/>
    </format>
    <format dxfId="8">
      <pivotArea type="all" dataOnly="0" outline="0" fieldPosition="0"/>
    </format>
    <format dxfId="7">
      <pivotArea outline="0" collapsedLevelsAreSubtotals="1" fieldPosition="0"/>
    </format>
    <format dxfId="6">
      <pivotArea dataOnly="0" labelOnly="1" outline="0" axis="axisValues" fieldPosition="0"/>
    </format>
    <format dxfId="5">
      <pivotArea outline="0" collapsedLevelsAreSubtotals="1" fieldPosition="0"/>
    </format>
  </formats>
  <chartFormats count="6">
    <chartFormat chart="7"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2"/>
          </reference>
        </references>
      </pivotArea>
    </chartFormat>
    <chartFormat chart="7" format="5" series="1">
      <pivotArea type="data" outline="0" fieldPosition="0">
        <references count="1">
          <reference field="4294967294" count="1" selected="0">
            <x v="3"/>
          </reference>
        </references>
      </pivotArea>
    </chartFormat>
    <chartFormat chart="7" format="6" series="1">
      <pivotArea type="data" outline="0" fieldPosition="0">
        <references count="1">
          <reference field="4294967294" count="1" selected="0">
            <x v="4"/>
          </reference>
        </references>
      </pivotArea>
    </chartFormat>
    <chartFormat chart="7" format="7"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filters count="1">
    <filter fld="0" type="captionGreaterThanOrEqual" evalOrder="-1" id="1" stringValue1="0">
      <autoFilter ref="A1">
        <filterColumn colId="0">
          <customFilters>
            <customFilter operator="greaterThanOr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54DA9F5-3514-438B-BFF8-BB11357F1CDD}"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gridDropZones="1" multipleFieldFilters="0" chartFormat="10">
  <location ref="BO6:BS8" firstHeaderRow="1" firstDataRow="2" firstDataCol="1"/>
  <pivotFields count="61">
    <pivotField axis="axisRow" compact="0" outline="0" showAll="0" sortType="ascending">
      <items count="124">
        <item x="0"/>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121"/>
        <item m="1" x="79"/>
        <item m="1" x="36"/>
        <item m="1" x="83"/>
        <item m="1" x="40"/>
        <item m="1" x="87"/>
        <item m="1" x="44"/>
        <item m="1" x="91"/>
        <item m="1" x="48"/>
        <item m="1" x="95"/>
        <item m="1" x="52"/>
        <item m="1" x="99"/>
        <item m="1" x="56"/>
        <item m="1" x="103"/>
        <item m="1" x="60"/>
        <item m="1" x="106"/>
        <item m="1" x="63"/>
        <item m="1" x="109"/>
        <item m="1" x="66"/>
        <item m="1" x="112"/>
        <item m="1" x="69"/>
        <item m="1" x="115"/>
        <item m="1" x="73"/>
        <item m="1" x="119"/>
        <item m="1" x="77"/>
        <item m="1" x="34"/>
        <item m="1" x="82"/>
        <item m="1" x="39"/>
        <item m="1" x="86"/>
        <item m="1" x="43"/>
        <item m="1" x="90"/>
        <item m="1" x="47"/>
        <item m="1" x="94"/>
        <item m="1" x="71"/>
        <item m="1" x="51"/>
        <item m="1" x="117"/>
        <item m="1" x="98"/>
        <item m="1" x="75"/>
        <item m="1" x="55"/>
        <item m="1" x="122"/>
        <item m="1" x="102"/>
        <item m="1" x="80"/>
        <item m="1" x="59"/>
        <item m="1" x="37"/>
        <item m="1" x="105"/>
        <item m="1" x="84"/>
        <item m="1" x="62"/>
        <item m="1" x="41"/>
        <item m="1" x="108"/>
        <item m="1" x="88"/>
        <item m="1" x="65"/>
        <item m="1" x="45"/>
        <item m="1" x="111"/>
        <item m="1" x="92"/>
        <item m="1" x="68"/>
        <item m="1" x="49"/>
        <item m="1" x="114"/>
        <item m="1" x="96"/>
        <item m="1" x="72"/>
        <item m="1" x="53"/>
        <item m="1" x="118"/>
        <item m="1" x="100"/>
        <item m="1" x="76"/>
        <item m="1" x="57"/>
        <item m="1" x="33"/>
        <item m="1" x="104"/>
        <item m="1" x="81"/>
        <item m="1" x="61"/>
        <item m="1" x="38"/>
        <item m="1" x="107"/>
        <item m="1" x="85"/>
        <item m="1" x="64"/>
        <item m="1" x="42"/>
        <item m="1" x="110"/>
        <item m="1" x="89"/>
        <item m="1" x="67"/>
        <item m="1" x="46"/>
        <item m="1" x="113"/>
        <item m="1" x="93"/>
        <item m="1" x="70"/>
        <item m="1" x="50"/>
        <item m="1" x="116"/>
        <item m="1" x="97"/>
        <item m="1" x="74"/>
        <item m="1" x="54"/>
        <item m="1" x="120"/>
        <item m="1" x="101"/>
        <item m="1" x="78"/>
        <item m="1" x="58"/>
        <item m="1" x="35"/>
        <item h="1" x="1"/>
        <item t="default"/>
      </items>
    </pivotField>
    <pivotField compact="0" outline="0" showAll="0"/>
    <pivotField dataField="1"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0"/>
  </rowFields>
  <rowItems count="1">
    <i>
      <x/>
    </i>
  </rowItems>
  <colFields count="1">
    <field x="-2"/>
  </colFields>
  <colItems count="4">
    <i>
      <x/>
    </i>
    <i i="1">
      <x v="1"/>
    </i>
    <i i="2">
      <x v="2"/>
    </i>
    <i i="3">
      <x v="3"/>
    </i>
  </colItems>
  <dataFields count="4">
    <dataField name="Budget " fld="2" subtotal="min" baseField="0" baseItem="1"/>
    <dataField name="Expenditure " fld="6" baseField="0" baseItem="0"/>
    <dataField name="SSCIav" fld="23" baseField="0" baseItem="0"/>
    <dataField name="SSCIcrit" fld="30" baseField="0" baseItem="0"/>
  </dataFields>
  <chartFormats count="4">
    <chartFormat chart="9" format="10" series="1">
      <pivotArea type="data" outline="0" fieldPosition="0">
        <references count="1">
          <reference field="4294967294" count="1" selected="0">
            <x v="0"/>
          </reference>
        </references>
      </pivotArea>
    </chartFormat>
    <chartFormat chart="9" format="12" series="1">
      <pivotArea type="data" outline="0" fieldPosition="0">
        <references count="1">
          <reference field="4294967294" count="1" selected="0">
            <x v="1"/>
          </reference>
        </references>
      </pivotArea>
    </chartFormat>
    <chartFormat chart="9" format="13" series="1">
      <pivotArea type="data" outline="0" fieldPosition="0">
        <references count="1">
          <reference field="4294967294" count="1" selected="0">
            <x v="2"/>
          </reference>
        </references>
      </pivotArea>
    </chartFormat>
    <chartFormat chart="9" format="14"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6B02ABB-4073-41D7-AC62-9E70B827FB07}"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7">
  <location ref="BV6:BY7" firstHeaderRow="0" firstDataRow="1" firstDataCol="1"/>
  <pivotFields count="61">
    <pivotField axis="axisRow" showAll="0">
      <items count="124">
        <item x="0"/>
        <item m="1" x="2"/>
        <item m="1" x="3"/>
        <item m="1" x="4"/>
        <item m="1" x="5"/>
        <item m="1" x="6"/>
        <item m="1" x="7"/>
        <item m="1" x="8"/>
        <item m="1" x="9"/>
        <item m="1" x="10"/>
        <item m="1" x="11"/>
        <item h="1" x="1"/>
        <item m="1" x="12"/>
        <item m="1" x="13"/>
        <item m="1" x="14"/>
        <item m="1" x="15"/>
        <item m="1" x="16"/>
        <item m="1" x="17"/>
        <item m="1" x="18"/>
        <item m="1" x="19"/>
        <item m="1" x="20"/>
        <item m="1" x="21"/>
        <item m="1" x="22"/>
        <item m="1" x="23"/>
        <item m="1" x="24"/>
        <item m="1" x="25"/>
        <item m="1" x="26"/>
        <item m="1" x="27"/>
        <item m="1" x="28"/>
        <item m="1" x="29"/>
        <item m="1" x="30"/>
        <item m="1" x="31"/>
        <item m="1" x="32"/>
        <item m="1" x="121"/>
        <item m="1" x="79"/>
        <item m="1" x="36"/>
        <item m="1" x="83"/>
        <item m="1" x="40"/>
        <item m="1" x="87"/>
        <item m="1" x="44"/>
        <item m="1" x="91"/>
        <item m="1" x="48"/>
        <item m="1" x="95"/>
        <item m="1" x="52"/>
        <item m="1" x="99"/>
        <item m="1" x="56"/>
        <item m="1" x="103"/>
        <item m="1" x="60"/>
        <item m="1" x="106"/>
        <item m="1" x="63"/>
        <item m="1" x="109"/>
        <item m="1" x="66"/>
        <item m="1" x="112"/>
        <item m="1" x="69"/>
        <item m="1" x="115"/>
        <item m="1" x="73"/>
        <item m="1" x="119"/>
        <item m="1" x="77"/>
        <item m="1" x="34"/>
        <item m="1" x="82"/>
        <item m="1" x="39"/>
        <item m="1" x="86"/>
        <item m="1" x="43"/>
        <item m="1" x="90"/>
        <item m="1" x="47"/>
        <item m="1" x="94"/>
        <item m="1" x="71"/>
        <item m="1" x="51"/>
        <item m="1" x="117"/>
        <item m="1" x="98"/>
        <item m="1" x="75"/>
        <item m="1" x="55"/>
        <item m="1" x="122"/>
        <item m="1" x="102"/>
        <item m="1" x="80"/>
        <item m="1" x="59"/>
        <item m="1" x="37"/>
        <item m="1" x="105"/>
        <item m="1" x="84"/>
        <item m="1" x="62"/>
        <item m="1" x="41"/>
        <item m="1" x="108"/>
        <item m="1" x="88"/>
        <item m="1" x="65"/>
        <item m="1" x="45"/>
        <item m="1" x="111"/>
        <item m="1" x="92"/>
        <item m="1" x="68"/>
        <item m="1" x="49"/>
        <item m="1" x="114"/>
        <item m="1" x="96"/>
        <item m="1" x="72"/>
        <item m="1" x="53"/>
        <item m="1" x="118"/>
        <item m="1" x="100"/>
        <item m="1" x="76"/>
        <item m="1" x="57"/>
        <item m="1" x="33"/>
        <item m="1" x="104"/>
        <item m="1" x="81"/>
        <item m="1" x="61"/>
        <item m="1" x="38"/>
        <item m="1" x="107"/>
        <item m="1" x="85"/>
        <item m="1" x="64"/>
        <item m="1" x="42"/>
        <item m="1" x="110"/>
        <item m="1" x="89"/>
        <item m="1" x="67"/>
        <item m="1" x="46"/>
        <item m="1" x="113"/>
        <item m="1" x="93"/>
        <item m="1" x="70"/>
        <item m="1" x="50"/>
        <item m="1" x="116"/>
        <item m="1" x="97"/>
        <item m="1" x="74"/>
        <item m="1" x="54"/>
        <item m="1" x="120"/>
        <item m="1" x="101"/>
        <item m="1" x="78"/>
        <item m="1" x="58"/>
        <item m="1" x="35"/>
        <item t="default"/>
      </items>
    </pivotField>
    <pivotField showAll="0"/>
    <pivotField dataField="1"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0"/>
  </rowFields>
  <rowItems count="1">
    <i>
      <x/>
    </i>
  </rowItems>
  <colFields count="1">
    <field x="-2"/>
  </colFields>
  <colItems count="3">
    <i>
      <x/>
    </i>
    <i i="1">
      <x v="1"/>
    </i>
    <i i="2">
      <x v="2"/>
    </i>
  </colItems>
  <dataFields count="3">
    <dataField name="Expenditure " fld="6" baseField="0" baseItem="0"/>
    <dataField name="Budget" fld="2" baseField="0" baseItem="0"/>
    <dataField name="Workbank " fld="5" baseField="0" baseItem="0"/>
  </dataFields>
  <formats count="5">
    <format dxfId="17">
      <pivotArea outline="0" collapsedLevelsAreSubtotals="1" fieldPosition="0"/>
    </format>
    <format dxfId="16">
      <pivotArea type="all" dataOnly="0" outline="0" fieldPosition="0"/>
    </format>
    <format dxfId="15">
      <pivotArea outline="0" collapsedLevelsAreSubtotals="1" fieldPosition="0"/>
    </format>
    <format dxfId="14">
      <pivotArea type="all" dataOnly="0" outline="0" fieldPosition="0"/>
    </format>
    <format dxfId="13">
      <pivotArea outline="0" collapsedLevelsAreSubtotals="1" fieldPosition="0"/>
    </format>
  </formats>
  <chartFormats count="3">
    <chartFormat chart="6" format="13" series="1">
      <pivotArea type="data" outline="0" fieldPosition="0">
        <references count="1">
          <reference field="4294967294" count="1" selected="0">
            <x v="2"/>
          </reference>
        </references>
      </pivotArea>
    </chartFormat>
    <chartFormat chart="6" format="14" series="1">
      <pivotArea type="data" outline="0" fieldPosition="0">
        <references count="1">
          <reference field="4294967294" count="1" selected="0">
            <x v="0"/>
          </reference>
        </references>
      </pivotArea>
    </chartFormat>
    <chartFormat chart="6" format="1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97BCCBA-D55D-46DD-8671-6403ADDECCAC}" name="PivotTable8"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
  <location ref="CT6:CZ8" firstHeaderRow="0" firstDataRow="1" firstDataCol="1"/>
  <pivotFields count="61">
    <pivotField axis="axisRow" showAll="0">
      <items count="124">
        <item x="0"/>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121"/>
        <item m="1" x="79"/>
        <item m="1" x="36"/>
        <item m="1" x="83"/>
        <item m="1" x="40"/>
        <item m="1" x="87"/>
        <item m="1" x="44"/>
        <item m="1" x="91"/>
        <item m="1" x="48"/>
        <item m="1" x="95"/>
        <item m="1" x="52"/>
        <item m="1" x="99"/>
        <item m="1" x="56"/>
        <item m="1" x="103"/>
        <item m="1" x="60"/>
        <item m="1" x="106"/>
        <item m="1" x="63"/>
        <item m="1" x="109"/>
        <item m="1" x="66"/>
        <item m="1" x="112"/>
        <item m="1" x="69"/>
        <item m="1" x="115"/>
        <item m="1" x="73"/>
        <item m="1" x="119"/>
        <item m="1" x="77"/>
        <item m="1" x="34"/>
        <item m="1" x="82"/>
        <item m="1" x="39"/>
        <item m="1" x="86"/>
        <item m="1" x="43"/>
        <item m="1" x="90"/>
        <item m="1" x="47"/>
        <item m="1" x="94"/>
        <item m="1" x="71"/>
        <item m="1" x="51"/>
        <item m="1" x="117"/>
        <item m="1" x="98"/>
        <item m="1" x="75"/>
        <item m="1" x="55"/>
        <item m="1" x="122"/>
        <item m="1" x="102"/>
        <item m="1" x="80"/>
        <item m="1" x="59"/>
        <item m="1" x="37"/>
        <item m="1" x="105"/>
        <item m="1" x="84"/>
        <item m="1" x="62"/>
        <item m="1" x="41"/>
        <item m="1" x="108"/>
        <item m="1" x="88"/>
        <item m="1" x="65"/>
        <item m="1" x="45"/>
        <item m="1" x="111"/>
        <item m="1" x="92"/>
        <item m="1" x="68"/>
        <item m="1" x="49"/>
        <item m="1" x="114"/>
        <item m="1" x="96"/>
        <item m="1" x="72"/>
        <item m="1" x="53"/>
        <item m="1" x="118"/>
        <item m="1" x="100"/>
        <item m="1" x="76"/>
        <item m="1" x="57"/>
        <item m="1" x="33"/>
        <item m="1" x="104"/>
        <item m="1" x="81"/>
        <item m="1" x="61"/>
        <item m="1" x="38"/>
        <item m="1" x="107"/>
        <item m="1" x="85"/>
        <item m="1" x="64"/>
        <item m="1" x="42"/>
        <item m="1" x="110"/>
        <item m="1" x="89"/>
        <item m="1" x="67"/>
        <item m="1" x="46"/>
        <item m="1" x="113"/>
        <item m="1" x="93"/>
        <item m="1" x="70"/>
        <item m="1" x="50"/>
        <item m="1" x="116"/>
        <item m="1" x="97"/>
        <item m="1" x="74"/>
        <item m="1" x="54"/>
        <item m="1" x="120"/>
        <item m="1" x="101"/>
        <item m="1" x="78"/>
        <item m="1" x="58"/>
        <item h="1" x="1"/>
        <item m="1" x="3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0"/>
  </rowFields>
  <rowItems count="2">
    <i>
      <x/>
    </i>
    <i t="grand">
      <x/>
    </i>
  </rowItems>
  <colFields count="1">
    <field x="-2"/>
  </colFields>
  <colItems count="6">
    <i>
      <x/>
    </i>
    <i i="1">
      <x v="1"/>
    </i>
    <i i="2">
      <x v="2"/>
    </i>
    <i i="3">
      <x v="3"/>
    </i>
    <i i="4">
      <x v="4"/>
    </i>
    <i i="5">
      <x v="5"/>
    </i>
  </colItems>
  <dataFields count="6">
    <dataField name="Bridges " fld="43" baseField="0" baseItem="0"/>
    <dataField name="Retaining Walls " fld="44" baseField="0" baseItem="0"/>
    <dataField name="Culverts " fld="45" baseField="0" baseItem="0"/>
    <dataField name="Sign/Signal Gantries " fld="46" baseField="0" baseItem="0"/>
    <dataField name="High Mast Lighting " fld="47" baseField="0" baseItem="0"/>
    <dataField name="Tunnels &amp; Veh. Underpasses" fld="48" baseField="0" baseItem="0"/>
  </dataFields>
  <chartFormats count="6">
    <chartFormat chart="2" format="18" series="1">
      <pivotArea type="data" outline="0" fieldPosition="0">
        <references count="1">
          <reference field="4294967294" count="1" selected="0">
            <x v="0"/>
          </reference>
        </references>
      </pivotArea>
    </chartFormat>
    <chartFormat chart="2" format="19" series="1">
      <pivotArea type="data" outline="0" fieldPosition="0">
        <references count="1">
          <reference field="4294967294" count="1" selected="0">
            <x v="1"/>
          </reference>
        </references>
      </pivotArea>
    </chartFormat>
    <chartFormat chart="2" format="20" series="1">
      <pivotArea type="data" outline="0" fieldPosition="0">
        <references count="1">
          <reference field="4294967294" count="1" selected="0">
            <x v="2"/>
          </reference>
        </references>
      </pivotArea>
    </chartFormat>
    <chartFormat chart="2" format="21" series="1">
      <pivotArea type="data" outline="0" fieldPosition="0">
        <references count="1">
          <reference field="4294967294" count="1" selected="0">
            <x v="3"/>
          </reference>
        </references>
      </pivotArea>
    </chartFormat>
    <chartFormat chart="2" format="22" series="1">
      <pivotArea type="data" outline="0" fieldPosition="0">
        <references count="1">
          <reference field="4294967294" count="1" selected="0">
            <x v="4"/>
          </reference>
        </references>
      </pivotArea>
    </chartFormat>
    <chartFormat chart="2" format="23"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8E55804-11BF-4047-9793-D2106739191A}"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7">
  <location ref="DJ6:DP7" firstHeaderRow="0" firstDataRow="1" firstDataCol="1"/>
  <pivotFields count="61">
    <pivotField axis="axisRow" showAll="0">
      <items count="124">
        <item x="0"/>
        <item m="1" x="2"/>
        <item m="1" x="3"/>
        <item m="1" x="4"/>
        <item m="1" x="5"/>
        <item m="1" x="6"/>
        <item m="1" x="7"/>
        <item m="1" x="8"/>
        <item m="1" x="9"/>
        <item m="1" x="10"/>
        <item m="1" x="11"/>
        <item x="1"/>
        <item m="1" x="12"/>
        <item m="1" x="13"/>
        <item m="1" x="14"/>
        <item m="1" x="15"/>
        <item m="1" x="16"/>
        <item m="1" x="17"/>
        <item m="1" x="18"/>
        <item m="1" x="19"/>
        <item m="1" x="20"/>
        <item m="1" x="21"/>
        <item m="1" x="22"/>
        <item m="1" x="23"/>
        <item m="1" x="24"/>
        <item m="1" x="25"/>
        <item m="1" x="26"/>
        <item m="1" x="27"/>
        <item m="1" x="28"/>
        <item m="1" x="29"/>
        <item m="1" x="30"/>
        <item m="1" x="31"/>
        <item m="1" x="32"/>
        <item m="1" x="121"/>
        <item m="1" x="79"/>
        <item m="1" x="36"/>
        <item m="1" x="83"/>
        <item m="1" x="40"/>
        <item m="1" x="87"/>
        <item m="1" x="44"/>
        <item m="1" x="91"/>
        <item m="1" x="48"/>
        <item m="1" x="95"/>
        <item m="1" x="52"/>
        <item m="1" x="99"/>
        <item m="1" x="56"/>
        <item m="1" x="103"/>
        <item m="1" x="60"/>
        <item m="1" x="106"/>
        <item m="1" x="63"/>
        <item m="1" x="109"/>
        <item m="1" x="66"/>
        <item m="1" x="112"/>
        <item m="1" x="69"/>
        <item m="1" x="115"/>
        <item m="1" x="73"/>
        <item m="1" x="119"/>
        <item m="1" x="77"/>
        <item m="1" x="34"/>
        <item m="1" x="82"/>
        <item m="1" x="39"/>
        <item m="1" x="86"/>
        <item m="1" x="43"/>
        <item m="1" x="90"/>
        <item m="1" x="47"/>
        <item m="1" x="94"/>
        <item m="1" x="71"/>
        <item m="1" x="51"/>
        <item m="1" x="117"/>
        <item m="1" x="98"/>
        <item m="1" x="75"/>
        <item m="1" x="55"/>
        <item m="1" x="122"/>
        <item m="1" x="102"/>
        <item m="1" x="80"/>
        <item m="1" x="59"/>
        <item m="1" x="37"/>
        <item m="1" x="105"/>
        <item m="1" x="84"/>
        <item m="1" x="62"/>
        <item m="1" x="41"/>
        <item m="1" x="108"/>
        <item m="1" x="88"/>
        <item m="1" x="65"/>
        <item m="1" x="45"/>
        <item m="1" x="111"/>
        <item m="1" x="92"/>
        <item m="1" x="68"/>
        <item m="1" x="49"/>
        <item m="1" x="114"/>
        <item m="1" x="96"/>
        <item m="1" x="72"/>
        <item m="1" x="53"/>
        <item m="1" x="118"/>
        <item m="1" x="100"/>
        <item m="1" x="76"/>
        <item m="1" x="57"/>
        <item m="1" x="33"/>
        <item m="1" x="104"/>
        <item m="1" x="81"/>
        <item m="1" x="61"/>
        <item m="1" x="38"/>
        <item m="1" x="107"/>
        <item m="1" x="85"/>
        <item m="1" x="64"/>
        <item m="1" x="42"/>
        <item m="1" x="110"/>
        <item m="1" x="89"/>
        <item m="1" x="67"/>
        <item m="1" x="46"/>
        <item m="1" x="113"/>
        <item m="1" x="93"/>
        <item m="1" x="70"/>
        <item m="1" x="50"/>
        <item m="1" x="116"/>
        <item m="1" x="97"/>
        <item m="1" x="74"/>
        <item m="1" x="54"/>
        <item m="1" x="120"/>
        <item m="1" x="101"/>
        <item m="1" x="78"/>
        <item m="1" x="58"/>
        <item m="1" x="3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0"/>
  </rowFields>
  <rowItems count="1">
    <i>
      <x/>
    </i>
  </rowItems>
  <colFields count="1">
    <field x="-2"/>
  </colFields>
  <colItems count="6">
    <i>
      <x/>
    </i>
    <i i="1">
      <x v="1"/>
    </i>
    <i i="2">
      <x v="2"/>
    </i>
    <i i="3">
      <x v="3"/>
    </i>
    <i i="4">
      <x v="4"/>
    </i>
    <i i="5">
      <x v="5"/>
    </i>
  </colItems>
  <dataFields count="6">
    <dataField name="Bridges " fld="17" baseField="0" baseItem="0"/>
    <dataField name="Retaining Walls " fld="18" baseField="0" baseItem="0"/>
    <dataField name="Culverts " fld="19" baseField="0" baseItem="0"/>
    <dataField name="Sign/Signal Gantries " fld="20" baseField="0" baseItem="0"/>
    <dataField name="High Mast Lighting " fld="21" baseField="0" baseItem="0"/>
    <dataField name="Tunnels &amp; Veh. Underpasses " fld="22" baseField="0" baseItem="0"/>
  </dataFields>
  <formats count="5">
    <format dxfId="22">
      <pivotArea outline="0" collapsedLevelsAreSubtotals="1" fieldPosition="0"/>
    </format>
    <format dxfId="21">
      <pivotArea type="all" dataOnly="0" outline="0" fieldPosition="0"/>
    </format>
    <format dxfId="20">
      <pivotArea outline="0" collapsedLevelsAreSubtotals="1" fieldPosition="0"/>
    </format>
    <format dxfId="19">
      <pivotArea type="all" dataOnly="0" outline="0" fieldPosition="0"/>
    </format>
    <format dxfId="18">
      <pivotArea outline="0" collapsedLevelsAreSubtotals="1" fieldPosition="0"/>
    </format>
  </formats>
  <chartFormats count="6">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filters count="1">
    <filter fld="0" type="captionGreaterThanOrEqual" evalOrder="-1" id="1" stringValue1="0">
      <autoFilter ref="A1">
        <filterColumn colId="0">
          <customFilters>
            <customFilter operator="greaterThanOr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9253571-5607-4B7E-9CB8-40870792602E}"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7">
  <location ref="CB6:CF7" firstHeaderRow="0" firstDataRow="1" firstDataCol="1"/>
  <pivotFields count="61">
    <pivotField axis="axisRow" showAll="0">
      <items count="124">
        <item x="0"/>
        <item m="1" x="2"/>
        <item m="1" x="3"/>
        <item m="1" x="4"/>
        <item m="1" x="5"/>
        <item m="1" x="6"/>
        <item m="1" x="7"/>
        <item m="1" x="8"/>
        <item m="1" x="9"/>
        <item m="1" x="10"/>
        <item m="1" x="11"/>
        <item h="1" x="1"/>
        <item m="1" x="12"/>
        <item m="1" x="13"/>
        <item m="1" x="14"/>
        <item m="1" x="15"/>
        <item m="1" x="16"/>
        <item m="1" x="17"/>
        <item m="1" x="18"/>
        <item m="1" x="19"/>
        <item m="1" x="20"/>
        <item m="1" x="21"/>
        <item m="1" x="22"/>
        <item m="1" x="23"/>
        <item m="1" x="24"/>
        <item m="1" x="25"/>
        <item m="1" x="26"/>
        <item m="1" x="27"/>
        <item m="1" x="28"/>
        <item m="1" x="29"/>
        <item m="1" x="30"/>
        <item m="1" x="31"/>
        <item m="1" x="32"/>
        <item m="1" x="121"/>
        <item m="1" x="79"/>
        <item m="1" x="36"/>
        <item m="1" x="83"/>
        <item m="1" x="40"/>
        <item m="1" x="87"/>
        <item m="1" x="44"/>
        <item m="1" x="91"/>
        <item m="1" x="48"/>
        <item m="1" x="95"/>
        <item m="1" x="52"/>
        <item m="1" x="99"/>
        <item m="1" x="56"/>
        <item m="1" x="103"/>
        <item m="1" x="60"/>
        <item m="1" x="106"/>
        <item m="1" x="63"/>
        <item m="1" x="109"/>
        <item m="1" x="66"/>
        <item m="1" x="112"/>
        <item m="1" x="69"/>
        <item m="1" x="115"/>
        <item m="1" x="73"/>
        <item m="1" x="119"/>
        <item m="1" x="77"/>
        <item m="1" x="34"/>
        <item m="1" x="82"/>
        <item m="1" x="39"/>
        <item m="1" x="86"/>
        <item m="1" x="43"/>
        <item m="1" x="90"/>
        <item m="1" x="47"/>
        <item m="1" x="94"/>
        <item m="1" x="71"/>
        <item m="1" x="51"/>
        <item m="1" x="117"/>
        <item m="1" x="98"/>
        <item m="1" x="75"/>
        <item m="1" x="55"/>
        <item m="1" x="122"/>
        <item m="1" x="102"/>
        <item m="1" x="80"/>
        <item m="1" x="59"/>
        <item m="1" x="37"/>
        <item m="1" x="105"/>
        <item m="1" x="84"/>
        <item m="1" x="62"/>
        <item m="1" x="41"/>
        <item m="1" x="108"/>
        <item m="1" x="88"/>
        <item m="1" x="65"/>
        <item m="1" x="45"/>
        <item m="1" x="111"/>
        <item m="1" x="92"/>
        <item m="1" x="68"/>
        <item m="1" x="49"/>
        <item m="1" x="114"/>
        <item m="1" x="96"/>
        <item m="1" x="72"/>
        <item m="1" x="53"/>
        <item m="1" x="118"/>
        <item m="1" x="100"/>
        <item m="1" x="76"/>
        <item m="1" x="57"/>
        <item m="1" x="33"/>
        <item m="1" x="104"/>
        <item m="1" x="81"/>
        <item m="1" x="61"/>
        <item m="1" x="38"/>
        <item m="1" x="107"/>
        <item m="1" x="85"/>
        <item m="1" x="64"/>
        <item m="1" x="42"/>
        <item m="1" x="110"/>
        <item m="1" x="89"/>
        <item m="1" x="67"/>
        <item m="1" x="46"/>
        <item m="1" x="113"/>
        <item m="1" x="93"/>
        <item m="1" x="70"/>
        <item m="1" x="50"/>
        <item m="1" x="116"/>
        <item m="1" x="97"/>
        <item m="1" x="74"/>
        <item m="1" x="54"/>
        <item m="1" x="120"/>
        <item m="1" x="101"/>
        <item m="1" x="78"/>
        <item m="1" x="58"/>
        <item m="1" x="35"/>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0"/>
  </rowFields>
  <rowItems count="1">
    <i>
      <x/>
    </i>
  </rowItems>
  <colFields count="1">
    <field x="-2"/>
  </colFields>
  <colItems count="4">
    <i>
      <x/>
    </i>
    <i i="1">
      <x v="1"/>
    </i>
    <i i="2">
      <x v="2"/>
    </i>
    <i i="3">
      <x v="3"/>
    </i>
  </colItems>
  <dataFields count="4">
    <dataField name="Planned Maintenance - Finite Life Elements" fld="13" baseField="0" baseItem="0"/>
    <dataField name="Planned Maintenance - Indefinite Life Elements" fld="15" baseField="0" baseItem="0"/>
    <dataField name="Condition Triggered - Finite Life Elements" fld="12" baseField="0" baseItem="0"/>
    <dataField name="Condition Triggered - Indefinite Life Elements" fld="14" baseField="0" baseItem="0"/>
  </dataFields>
  <formats count="5">
    <format dxfId="27">
      <pivotArea outline="0" collapsedLevelsAreSubtotals="1" fieldPosition="0"/>
    </format>
    <format dxfId="26">
      <pivotArea type="all" dataOnly="0" outline="0" fieldPosition="0"/>
    </format>
    <format dxfId="25">
      <pivotArea outline="0" collapsedLevelsAreSubtotals="1" fieldPosition="0"/>
    </format>
    <format dxfId="24">
      <pivotArea type="all" dataOnly="0" outline="0" fieldPosition="0"/>
    </format>
    <format dxfId="23">
      <pivotArea outline="0" collapsedLevelsAreSubtotals="1" fieldPosition="0"/>
    </format>
  </formats>
  <chartFormats count="4">
    <chartFormat chart="6" format="9" series="1">
      <pivotArea type="data" outline="0" fieldPosition="0">
        <references count="1">
          <reference field="4294967294" count="1" selected="0">
            <x v="2"/>
          </reference>
        </references>
      </pivotArea>
    </chartFormat>
    <chartFormat chart="6" format="10" series="1">
      <pivotArea type="data" outline="0" fieldPosition="0">
        <references count="1">
          <reference field="4294967294" count="1" selected="0">
            <x v="0"/>
          </reference>
        </references>
      </pivotArea>
    </chartFormat>
    <chartFormat chart="6" format="11" series="1">
      <pivotArea type="data" outline="0" fieldPosition="0">
        <references count="1">
          <reference field="4294967294" count="1" selected="0">
            <x v="3"/>
          </reference>
        </references>
      </pivotArea>
    </chartFormat>
    <chartFormat chart="6"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03D1448-8A82-4217-AD1B-9AD377B93C67}"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7">
  <location ref="DS6:DY7" firstHeaderRow="0" firstDataRow="1" firstDataCol="1"/>
  <pivotFields count="61">
    <pivotField axis="axisRow" showAll="0">
      <items count="124">
        <item x="0"/>
        <item m="1" x="2"/>
        <item m="1" x="3"/>
        <item m="1" x="4"/>
        <item m="1" x="5"/>
        <item m="1" x="6"/>
        <item m="1" x="7"/>
        <item m="1" x="8"/>
        <item m="1" x="9"/>
        <item m="1" x="10"/>
        <item m="1" x="11"/>
        <item x="1"/>
        <item m="1" x="12"/>
        <item m="1" x="13"/>
        <item m="1" x="14"/>
        <item m="1" x="15"/>
        <item m="1" x="16"/>
        <item m="1" x="17"/>
        <item m="1" x="18"/>
        <item m="1" x="19"/>
        <item m="1" x="20"/>
        <item m="1" x="21"/>
        <item m="1" x="22"/>
        <item m="1" x="23"/>
        <item m="1" x="24"/>
        <item m="1" x="25"/>
        <item m="1" x="26"/>
        <item m="1" x="27"/>
        <item m="1" x="28"/>
        <item m="1" x="29"/>
        <item m="1" x="30"/>
        <item m="1" x="31"/>
        <item m="1" x="32"/>
        <item m="1" x="121"/>
        <item m="1" x="79"/>
        <item m="1" x="36"/>
        <item m="1" x="83"/>
        <item m="1" x="40"/>
        <item m="1" x="87"/>
        <item m="1" x="44"/>
        <item m="1" x="91"/>
        <item m="1" x="48"/>
        <item m="1" x="95"/>
        <item m="1" x="52"/>
        <item m="1" x="99"/>
        <item m="1" x="56"/>
        <item m="1" x="103"/>
        <item m="1" x="60"/>
        <item m="1" x="106"/>
        <item m="1" x="63"/>
        <item m="1" x="109"/>
        <item m="1" x="66"/>
        <item m="1" x="112"/>
        <item m="1" x="69"/>
        <item m="1" x="115"/>
        <item m="1" x="73"/>
        <item m="1" x="119"/>
        <item m="1" x="77"/>
        <item m="1" x="34"/>
        <item m="1" x="82"/>
        <item m="1" x="39"/>
        <item m="1" x="86"/>
        <item m="1" x="43"/>
        <item m="1" x="90"/>
        <item m="1" x="47"/>
        <item m="1" x="94"/>
        <item m="1" x="71"/>
        <item m="1" x="51"/>
        <item m="1" x="117"/>
        <item m="1" x="98"/>
        <item m="1" x="75"/>
        <item m="1" x="55"/>
        <item m="1" x="122"/>
        <item m="1" x="102"/>
        <item m="1" x="80"/>
        <item m="1" x="59"/>
        <item m="1" x="37"/>
        <item m="1" x="105"/>
        <item m="1" x="84"/>
        <item m="1" x="62"/>
        <item m="1" x="41"/>
        <item m="1" x="108"/>
        <item m="1" x="88"/>
        <item m="1" x="65"/>
        <item m="1" x="45"/>
        <item m="1" x="111"/>
        <item m="1" x="92"/>
        <item m="1" x="68"/>
        <item m="1" x="49"/>
        <item m="1" x="114"/>
        <item m="1" x="96"/>
        <item m="1" x="72"/>
        <item m="1" x="53"/>
        <item m="1" x="118"/>
        <item m="1" x="100"/>
        <item m="1" x="76"/>
        <item m="1" x="57"/>
        <item m="1" x="33"/>
        <item m="1" x="104"/>
        <item m="1" x="81"/>
        <item m="1" x="61"/>
        <item m="1" x="38"/>
        <item m="1" x="107"/>
        <item m="1" x="85"/>
        <item m="1" x="64"/>
        <item m="1" x="42"/>
        <item m="1" x="110"/>
        <item m="1" x="89"/>
        <item m="1" x="67"/>
        <item m="1" x="46"/>
        <item m="1" x="113"/>
        <item m="1" x="93"/>
        <item m="1" x="70"/>
        <item m="1" x="50"/>
        <item m="1" x="116"/>
        <item m="1" x="97"/>
        <item m="1" x="74"/>
        <item m="1" x="54"/>
        <item m="1" x="120"/>
        <item m="1" x="101"/>
        <item m="1" x="78"/>
        <item m="1" x="58"/>
        <item m="1" x="3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0"/>
  </rowFields>
  <rowItems count="1">
    <i>
      <x/>
    </i>
  </rowItems>
  <colFields count="1">
    <field x="-2"/>
  </colFields>
  <colItems count="6">
    <i>
      <x/>
    </i>
    <i i="1">
      <x v="1"/>
    </i>
    <i i="2">
      <x v="2"/>
    </i>
    <i i="3">
      <x v="3"/>
    </i>
    <i i="4">
      <x v="4"/>
    </i>
    <i i="5">
      <x v="5"/>
    </i>
  </colItems>
  <dataFields count="6">
    <dataField name="Bridges " fld="24" baseField="0" baseItem="0"/>
    <dataField name="Retaining Walls " fld="25" baseField="0" baseItem="0"/>
    <dataField name="Culverts " fld="26" baseField="0" baseItem="2"/>
    <dataField name="Sign/Signal Gantries " fld="27" baseField="0" baseItem="0"/>
    <dataField name="High Mast Lighting " fld="28" baseField="0" baseItem="0"/>
    <dataField name="Tunnels &amp; Veh. Underpasses" fld="29" baseField="0" baseItem="0"/>
  </dataFields>
  <formats count="5">
    <format dxfId="32">
      <pivotArea outline="0" collapsedLevelsAreSubtotals="1" fieldPosition="0"/>
    </format>
    <format dxfId="31">
      <pivotArea type="all" dataOnly="0" outline="0" fieldPosition="0"/>
    </format>
    <format dxfId="30">
      <pivotArea outline="0" collapsedLevelsAreSubtotals="1" fieldPosition="0"/>
    </format>
    <format dxfId="29">
      <pivotArea type="all" dataOnly="0" outline="0" fieldPosition="0"/>
    </format>
    <format dxfId="28">
      <pivotArea outline="0" collapsedLevelsAreSubtotals="1" fieldPosition="0"/>
    </format>
  </formats>
  <chartFormats count="7">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1">
          <reference field="4294967294" count="1" selected="0">
            <x v="1"/>
          </reference>
        </references>
      </pivotArea>
    </chartFormat>
    <chartFormat chart="6" format="14" series="1">
      <pivotArea type="data" outline="0" fieldPosition="0">
        <references count="1">
          <reference field="4294967294" count="1" selected="0">
            <x v="2"/>
          </reference>
        </references>
      </pivotArea>
    </chartFormat>
    <chartFormat chart="6" format="15" series="1">
      <pivotArea type="data" outline="0" fieldPosition="0">
        <references count="1">
          <reference field="4294967294" count="1" selected="0">
            <x v="3"/>
          </reference>
        </references>
      </pivotArea>
    </chartFormat>
    <chartFormat chart="6" format="16" series="1">
      <pivotArea type="data" outline="0" fieldPosition="0">
        <references count="1">
          <reference field="4294967294" count="1" selected="0">
            <x v="4"/>
          </reference>
        </references>
      </pivotArea>
    </chartFormat>
    <chartFormat chart="6" format="17" series="1">
      <pivotArea type="data" outline="0" fieldPosition="0">
        <references count="1">
          <reference field="4294967294" count="1" selected="0">
            <x v="5"/>
          </reference>
        </references>
      </pivotArea>
    </chartFormat>
    <chartFormat chart="6" format="18">
      <pivotArea type="data" outline="0" fieldPosition="0">
        <references count="2">
          <reference field="4294967294" count="1" selected="0">
            <x v="5"/>
          </reference>
          <reference field="0" count="1" selected="0">
            <x v="60"/>
          </reference>
        </references>
      </pivotArea>
    </chartFormat>
  </chartFormats>
  <pivotTableStyleInfo name="PivotStyleLight16" showRowHeaders="1" showColHeaders="1" showRowStripes="0" showColStripes="0" showLastColumn="1"/>
  <filters count="1">
    <filter fld="0" type="captionGreaterThanOrEqual" evalOrder="-1" id="1" stringValue1="0">
      <autoFilter ref="A1">
        <filterColumn colId="0">
          <customFilters>
            <customFilter operator="greaterThanOr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89C475B-574D-44AE-AFFB-3CE010BC4C4D}"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7">
  <location ref="EF6:EK7" firstHeaderRow="0" firstDataRow="1" firstDataCol="1"/>
  <pivotFields count="61">
    <pivotField axis="axisRow" showAll="0">
      <items count="124">
        <item x="0"/>
        <item m="1" x="2"/>
        <item m="1" x="3"/>
        <item m="1" x="4"/>
        <item m="1" x="5"/>
        <item m="1" x="6"/>
        <item m="1" x="7"/>
        <item m="1" x="8"/>
        <item m="1" x="9"/>
        <item m="1" x="10"/>
        <item m="1" x="11"/>
        <item x="1"/>
        <item m="1" x="12"/>
        <item m="1" x="13"/>
        <item m="1" x="14"/>
        <item m="1" x="15"/>
        <item m="1" x="16"/>
        <item m="1" x="17"/>
        <item m="1" x="18"/>
        <item m="1" x="19"/>
        <item m="1" x="20"/>
        <item m="1" x="21"/>
        <item m="1" x="22"/>
        <item m="1" x="23"/>
        <item m="1" x="24"/>
        <item m="1" x="25"/>
        <item m="1" x="26"/>
        <item m="1" x="27"/>
        <item m="1" x="28"/>
        <item m="1" x="29"/>
        <item m="1" x="30"/>
        <item m="1" x="31"/>
        <item m="1" x="32"/>
        <item m="1" x="121"/>
        <item m="1" x="79"/>
        <item m="1" x="36"/>
        <item m="1" x="83"/>
        <item m="1" x="40"/>
        <item m="1" x="87"/>
        <item m="1" x="44"/>
        <item m="1" x="91"/>
        <item m="1" x="48"/>
        <item m="1" x="95"/>
        <item m="1" x="52"/>
        <item m="1" x="99"/>
        <item m="1" x="56"/>
        <item m="1" x="103"/>
        <item m="1" x="60"/>
        <item m="1" x="106"/>
        <item m="1" x="63"/>
        <item m="1" x="109"/>
        <item m="1" x="66"/>
        <item m="1" x="112"/>
        <item m="1" x="69"/>
        <item m="1" x="115"/>
        <item m="1" x="73"/>
        <item m="1" x="119"/>
        <item m="1" x="77"/>
        <item m="1" x="34"/>
        <item m="1" x="82"/>
        <item m="1" x="39"/>
        <item m="1" x="86"/>
        <item m="1" x="43"/>
        <item m="1" x="90"/>
        <item m="1" x="47"/>
        <item m="1" x="94"/>
        <item m="1" x="71"/>
        <item m="1" x="51"/>
        <item m="1" x="117"/>
        <item m="1" x="98"/>
        <item m="1" x="75"/>
        <item m="1" x="55"/>
        <item m="1" x="122"/>
        <item m="1" x="102"/>
        <item m="1" x="80"/>
        <item m="1" x="59"/>
        <item m="1" x="37"/>
        <item m="1" x="105"/>
        <item m="1" x="84"/>
        <item m="1" x="62"/>
        <item m="1" x="41"/>
        <item m="1" x="108"/>
        <item m="1" x="88"/>
        <item m="1" x="65"/>
        <item m="1" x="45"/>
        <item m="1" x="111"/>
        <item m="1" x="92"/>
        <item m="1" x="68"/>
        <item m="1" x="49"/>
        <item m="1" x="114"/>
        <item m="1" x="96"/>
        <item m="1" x="72"/>
        <item m="1" x="53"/>
        <item m="1" x="118"/>
        <item m="1" x="100"/>
        <item m="1" x="76"/>
        <item m="1" x="57"/>
        <item m="1" x="33"/>
        <item m="1" x="104"/>
        <item m="1" x="81"/>
        <item m="1" x="61"/>
        <item m="1" x="38"/>
        <item m="1" x="107"/>
        <item m="1" x="85"/>
        <item m="1" x="64"/>
        <item m="1" x="42"/>
        <item m="1" x="110"/>
        <item m="1" x="89"/>
        <item m="1" x="67"/>
        <item m="1" x="46"/>
        <item m="1" x="113"/>
        <item m="1" x="93"/>
        <item m="1" x="70"/>
        <item m="1" x="50"/>
        <item m="1" x="116"/>
        <item m="1" x="97"/>
        <item m="1" x="74"/>
        <item m="1" x="54"/>
        <item m="1" x="120"/>
        <item m="1" x="101"/>
        <item m="1" x="78"/>
        <item m="1" x="58"/>
        <item m="1" x="3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0"/>
  </rowFields>
  <rowItems count="1">
    <i>
      <x/>
    </i>
  </rowItems>
  <colFields count="1">
    <field x="-2"/>
  </colFields>
  <colItems count="5">
    <i>
      <x/>
    </i>
    <i i="1">
      <x v="1"/>
    </i>
    <i i="2">
      <x v="2"/>
    </i>
    <i i="3">
      <x v="3"/>
    </i>
    <i i="4">
      <x v="4"/>
    </i>
  </colItems>
  <dataFields count="5">
    <dataField name="Very poor " fld="35" baseField="0" baseItem="0"/>
    <dataField name="Poor " fld="34" baseField="0" baseItem="0"/>
    <dataField name="Fair " fld="33" baseField="0" baseItem="0"/>
    <dataField name="Good " fld="32" baseField="0" baseItem="0"/>
    <dataField name="Very Good " fld="31" baseField="0" baseItem="0"/>
  </dataFields>
  <formats count="4">
    <format dxfId="36">
      <pivotArea type="all" dataOnly="0" outline="0" fieldPosition="0"/>
    </format>
    <format dxfId="35">
      <pivotArea outline="0" collapsedLevelsAreSubtotals="1" fieldPosition="0"/>
    </format>
    <format dxfId="34">
      <pivotArea type="all" dataOnly="0" outline="0" fieldPosition="0"/>
    </format>
    <format dxfId="33">
      <pivotArea outline="0" collapsedLevelsAreSubtotals="1" fieldPosition="0"/>
    </format>
  </formats>
  <chartFormats count="5">
    <chartFormat chart="6" format="10" series="1">
      <pivotArea type="data" outline="0" fieldPosition="0">
        <references count="1">
          <reference field="4294967294" count="1" selected="0">
            <x v="4"/>
          </reference>
        </references>
      </pivotArea>
    </chartFormat>
    <chartFormat chart="6" format="11" series="1">
      <pivotArea type="data" outline="0" fieldPosition="0">
        <references count="1">
          <reference field="4294967294" count="1" selected="0">
            <x v="3"/>
          </reference>
        </references>
      </pivotArea>
    </chartFormat>
    <chartFormat chart="6" format="12" series="1">
      <pivotArea type="data" outline="0" fieldPosition="0">
        <references count="1">
          <reference field="4294967294" count="1" selected="0">
            <x v="2"/>
          </reference>
        </references>
      </pivotArea>
    </chartFormat>
    <chartFormat chart="6" format="13" series="1">
      <pivotArea type="data" outline="0" fieldPosition="0">
        <references count="1">
          <reference field="4294967294" count="1" selected="0">
            <x v="1"/>
          </reference>
        </references>
      </pivotArea>
    </chartFormat>
    <chartFormat chart="6"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aptionGreaterThanOrEqual" evalOrder="-1" id="1" stringValue1="0">
      <autoFilter ref="A1">
        <filterColumn colId="0">
          <customFilters>
            <customFilter operator="greaterThanOr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C9BCF730-5757-4664-A680-257EEF9E52D4}" name="PivotTable10"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
  <location ref="DC6:DE8" firstHeaderRow="0" firstDataRow="1" firstDataCol="1"/>
  <pivotFields count="61">
    <pivotField axis="axisRow" showAll="0">
      <items count="124">
        <item x="0"/>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121"/>
        <item m="1" x="79"/>
        <item m="1" x="36"/>
        <item m="1" x="83"/>
        <item m="1" x="40"/>
        <item m="1" x="87"/>
        <item m="1" x="44"/>
        <item m="1" x="91"/>
        <item m="1" x="48"/>
        <item m="1" x="95"/>
        <item m="1" x="52"/>
        <item m="1" x="99"/>
        <item m="1" x="56"/>
        <item m="1" x="103"/>
        <item m="1" x="60"/>
        <item m="1" x="106"/>
        <item m="1" x="63"/>
        <item m="1" x="109"/>
        <item m="1" x="66"/>
        <item m="1" x="112"/>
        <item m="1" x="69"/>
        <item m="1" x="115"/>
        <item m="1" x="73"/>
        <item m="1" x="119"/>
        <item m="1" x="77"/>
        <item m="1" x="34"/>
        <item m="1" x="82"/>
        <item m="1" x="39"/>
        <item m="1" x="86"/>
        <item m="1" x="43"/>
        <item m="1" x="90"/>
        <item m="1" x="47"/>
        <item m="1" x="94"/>
        <item m="1" x="71"/>
        <item m="1" x="51"/>
        <item m="1" x="117"/>
        <item m="1" x="98"/>
        <item m="1" x="75"/>
        <item m="1" x="55"/>
        <item m="1" x="122"/>
        <item m="1" x="102"/>
        <item m="1" x="80"/>
        <item m="1" x="59"/>
        <item m="1" x="37"/>
        <item m="1" x="105"/>
        <item m="1" x="84"/>
        <item m="1" x="62"/>
        <item m="1" x="41"/>
        <item m="1" x="108"/>
        <item m="1" x="88"/>
        <item m="1" x="65"/>
        <item m="1" x="45"/>
        <item m="1" x="111"/>
        <item m="1" x="92"/>
        <item m="1" x="68"/>
        <item m="1" x="49"/>
        <item m="1" x="114"/>
        <item m="1" x="96"/>
        <item m="1" x="72"/>
        <item m="1" x="53"/>
        <item m="1" x="118"/>
        <item m="1" x="100"/>
        <item m="1" x="76"/>
        <item m="1" x="57"/>
        <item m="1" x="33"/>
        <item m="1" x="104"/>
        <item m="1" x="81"/>
        <item m="1" x="61"/>
        <item m="1" x="38"/>
        <item m="1" x="107"/>
        <item m="1" x="85"/>
        <item m="1" x="64"/>
        <item m="1" x="42"/>
        <item m="1" x="110"/>
        <item m="1" x="89"/>
        <item m="1" x="67"/>
        <item m="1" x="46"/>
        <item m="1" x="113"/>
        <item m="1" x="93"/>
        <item m="1" x="70"/>
        <item m="1" x="50"/>
        <item m="1" x="116"/>
        <item m="1" x="97"/>
        <item m="1" x="74"/>
        <item m="1" x="54"/>
        <item m="1" x="120"/>
        <item m="1" x="101"/>
        <item m="1" x="78"/>
        <item m="1" x="58"/>
        <item h="1" x="1"/>
        <item m="1" x="3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0"/>
  </rowFields>
  <rowItems count="2">
    <i>
      <x/>
    </i>
    <i t="grand">
      <x/>
    </i>
  </rowItems>
  <colFields count="1">
    <field x="-2"/>
  </colFields>
  <colItems count="2">
    <i>
      <x/>
    </i>
    <i i="1">
      <x v="1"/>
    </i>
  </colItems>
  <dataFields count="2">
    <dataField name="SCIav " fld="23" baseField="0" baseItem="0"/>
    <dataField name="SCIcrit" fld="30"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www.nationalarchives.gov.uk/doc/open-government-licence/version/3/"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3.bin"/><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trlProp" Target="../ctrlProps/ctrlProp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ctrlProp" Target="../ctrlProps/ctrlProp3.xml"/><Relationship Id="rId5" Type="http://schemas.openxmlformats.org/officeDocument/2006/relationships/vmlDrawing" Target="../drawings/vmlDrawing4.vml"/><Relationship Id="rId4" Type="http://schemas.openxmlformats.org/officeDocument/2006/relationships/drawing" Target="../drawings/drawing6.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6.bin"/><Relationship Id="rId1" Type="http://schemas.openxmlformats.org/officeDocument/2006/relationships/pivotTable" Target="../pivotTables/pivotTable4.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7.bin"/><Relationship Id="rId1" Type="http://schemas.openxmlformats.org/officeDocument/2006/relationships/pivotTable" Target="../pivotTables/pivotTable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8.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9.xml.rels><?xml version="1.0" encoding="UTF-8" standalone="yes"?>
<Relationships xmlns="http://schemas.openxmlformats.org/package/2006/relationships"><Relationship Id="rId8" Type="http://schemas.openxmlformats.org/officeDocument/2006/relationships/pivotTable" Target="../pivotTables/pivotTable13.xml"/><Relationship Id="rId13" Type="http://schemas.openxmlformats.org/officeDocument/2006/relationships/printerSettings" Target="../printerSettings/printerSettings19.bin"/><Relationship Id="rId3" Type="http://schemas.openxmlformats.org/officeDocument/2006/relationships/pivotTable" Target="../pivotTables/pivotTable8.xml"/><Relationship Id="rId7" Type="http://schemas.openxmlformats.org/officeDocument/2006/relationships/pivotTable" Target="../pivotTables/pivotTable12.xml"/><Relationship Id="rId12" Type="http://schemas.openxmlformats.org/officeDocument/2006/relationships/pivotTable" Target="../pivotTables/pivotTable17.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11" Type="http://schemas.openxmlformats.org/officeDocument/2006/relationships/pivotTable" Target="../pivotTables/pivotTable16.xml"/><Relationship Id="rId5" Type="http://schemas.openxmlformats.org/officeDocument/2006/relationships/pivotTable" Target="../pivotTables/pivotTable10.xml"/><Relationship Id="rId10" Type="http://schemas.openxmlformats.org/officeDocument/2006/relationships/pivotTable" Target="../pivotTables/pivotTable15.xml"/><Relationship Id="rId4" Type="http://schemas.openxmlformats.org/officeDocument/2006/relationships/pivotTable" Target="../pivotTables/pivotTable9.xml"/><Relationship Id="rId9" Type="http://schemas.openxmlformats.org/officeDocument/2006/relationships/pivotTable" Target="../pivotTables/pivotTable14.xml"/><Relationship Id="rId14" Type="http://schemas.openxmlformats.org/officeDocument/2006/relationships/drawing" Target="../drawings/drawing10.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AF998-D0CB-4259-9183-B1335DE4C870}">
  <sheetPr codeName="Sheet_NamedRanges"/>
  <dimension ref="A1:B270"/>
  <sheetViews>
    <sheetView showGridLines="0" zoomScale="70" zoomScaleNormal="70" workbookViewId="0">
      <selection activeCell="B5" sqref="B5"/>
    </sheetView>
  </sheetViews>
  <sheetFormatPr defaultRowHeight="15" x14ac:dyDescent="0.25"/>
  <cols>
    <col min="1" max="1" width="39" bestFit="1" customWidth="1"/>
    <col min="2" max="2" width="64.28515625" customWidth="1"/>
    <col min="3" max="3" width="18.42578125" customWidth="1"/>
  </cols>
  <sheetData>
    <row r="1" spans="1:2" ht="15.75" thickBot="1" x14ac:dyDescent="0.3">
      <c r="A1" s="218" t="s">
        <v>1026</v>
      </c>
      <c r="B1" s="218" t="s">
        <v>1770</v>
      </c>
    </row>
    <row r="2" spans="1:2" x14ac:dyDescent="0.25">
      <c r="A2" s="219" t="s">
        <v>1238</v>
      </c>
      <c r="B2" s="219" t="s">
        <v>1239</v>
      </c>
    </row>
    <row r="3" spans="1:2" x14ac:dyDescent="0.25">
      <c r="A3" t="s">
        <v>1240</v>
      </c>
      <c r="B3" s="220" t="s">
        <v>1241</v>
      </c>
    </row>
    <row r="4" spans="1:2" x14ac:dyDescent="0.25">
      <c r="A4" s="220" t="s">
        <v>1242</v>
      </c>
      <c r="B4" s="220" t="s">
        <v>1243</v>
      </c>
    </row>
    <row r="5" spans="1:2" x14ac:dyDescent="0.25">
      <c r="A5" s="220" t="s">
        <v>1244</v>
      </c>
      <c r="B5" s="220" t="s">
        <v>1245</v>
      </c>
    </row>
    <row r="6" spans="1:2" x14ac:dyDescent="0.25">
      <c r="A6" t="s">
        <v>1246</v>
      </c>
      <c r="B6" s="220" t="s">
        <v>1247</v>
      </c>
    </row>
    <row r="7" spans="1:2" x14ac:dyDescent="0.25">
      <c r="A7" t="s">
        <v>1248</v>
      </c>
      <c r="B7" s="220" t="s">
        <v>1249</v>
      </c>
    </row>
    <row r="8" spans="1:2" x14ac:dyDescent="0.25">
      <c r="A8" t="s">
        <v>1250</v>
      </c>
      <c r="B8" s="220" t="s">
        <v>1251</v>
      </c>
    </row>
    <row r="9" spans="1:2" x14ac:dyDescent="0.25">
      <c r="A9" s="220" t="s">
        <v>1252</v>
      </c>
      <c r="B9" s="220" t="s">
        <v>1253</v>
      </c>
    </row>
    <row r="10" spans="1:2" x14ac:dyDescent="0.25">
      <c r="A10" s="220" t="s">
        <v>1254</v>
      </c>
      <c r="B10" s="220" t="s">
        <v>1255</v>
      </c>
    </row>
    <row r="11" spans="1:2" x14ac:dyDescent="0.25">
      <c r="A11" s="220" t="s">
        <v>1256</v>
      </c>
      <c r="B11" s="220" t="s">
        <v>1257</v>
      </c>
    </row>
    <row r="12" spans="1:2" x14ac:dyDescent="0.25">
      <c r="A12" s="220" t="s">
        <v>1258</v>
      </c>
      <c r="B12" s="220" t="s">
        <v>1259</v>
      </c>
    </row>
    <row r="13" spans="1:2" x14ac:dyDescent="0.25">
      <c r="A13" s="220" t="s">
        <v>1260</v>
      </c>
      <c r="B13" s="220" t="s">
        <v>1261</v>
      </c>
    </row>
    <row r="14" spans="1:2" x14ac:dyDescent="0.25">
      <c r="A14" s="220" t="s">
        <v>1262</v>
      </c>
      <c r="B14" s="220" t="s">
        <v>1263</v>
      </c>
    </row>
    <row r="15" spans="1:2" x14ac:dyDescent="0.25">
      <c r="A15" t="s">
        <v>1264</v>
      </c>
      <c r="B15" s="220" t="s">
        <v>1265</v>
      </c>
    </row>
    <row r="16" spans="1:2" x14ac:dyDescent="0.25">
      <c r="A16" s="220" t="s">
        <v>1266</v>
      </c>
      <c r="B16" s="220" t="s">
        <v>1267</v>
      </c>
    </row>
    <row r="17" spans="1:2" x14ac:dyDescent="0.25">
      <c r="A17" s="220" t="s">
        <v>1268</v>
      </c>
      <c r="B17" s="220" t="s">
        <v>1269</v>
      </c>
    </row>
    <row r="18" spans="1:2" x14ac:dyDescent="0.25">
      <c r="A18" t="s">
        <v>1270</v>
      </c>
      <c r="B18" s="220" t="s">
        <v>1271</v>
      </c>
    </row>
    <row r="19" spans="1:2" x14ac:dyDescent="0.25">
      <c r="A19" s="220" t="s">
        <v>1272</v>
      </c>
      <c r="B19" s="220" t="s">
        <v>1273</v>
      </c>
    </row>
    <row r="20" spans="1:2" x14ac:dyDescent="0.25">
      <c r="A20" t="s">
        <v>1274</v>
      </c>
      <c r="B20" s="220" t="s">
        <v>1275</v>
      </c>
    </row>
    <row r="21" spans="1:2" x14ac:dyDescent="0.25">
      <c r="A21" t="s">
        <v>1276</v>
      </c>
      <c r="B21" s="220" t="s">
        <v>1277</v>
      </c>
    </row>
    <row r="22" spans="1:2" x14ac:dyDescent="0.25">
      <c r="A22" t="s">
        <v>1278</v>
      </c>
      <c r="B22" s="220" t="s">
        <v>1279</v>
      </c>
    </row>
    <row r="23" spans="1:2" x14ac:dyDescent="0.25">
      <c r="A23" s="220" t="s">
        <v>1280</v>
      </c>
      <c r="B23" s="220" t="s">
        <v>1281</v>
      </c>
    </row>
    <row r="24" spans="1:2" x14ac:dyDescent="0.25">
      <c r="A24" t="s">
        <v>1282</v>
      </c>
      <c r="B24" s="220" t="s">
        <v>1283</v>
      </c>
    </row>
    <row r="25" spans="1:2" x14ac:dyDescent="0.25">
      <c r="A25" t="s">
        <v>1284</v>
      </c>
      <c r="B25" s="220" t="s">
        <v>1285</v>
      </c>
    </row>
    <row r="26" spans="1:2" x14ac:dyDescent="0.25">
      <c r="A26" t="s">
        <v>1286</v>
      </c>
      <c r="B26" s="220" t="s">
        <v>1287</v>
      </c>
    </row>
    <row r="27" spans="1:2" x14ac:dyDescent="0.25">
      <c r="A27" t="s">
        <v>1288</v>
      </c>
      <c r="B27" s="220" t="s">
        <v>1289</v>
      </c>
    </row>
    <row r="28" spans="1:2" x14ac:dyDescent="0.25">
      <c r="A28" t="s">
        <v>1290</v>
      </c>
      <c r="B28" s="220" t="s">
        <v>1291</v>
      </c>
    </row>
    <row r="29" spans="1:2" x14ac:dyDescent="0.25">
      <c r="A29" t="s">
        <v>1292</v>
      </c>
      <c r="B29" s="220" t="s">
        <v>1293</v>
      </c>
    </row>
    <row r="30" spans="1:2" x14ac:dyDescent="0.25">
      <c r="A30" t="s">
        <v>1294</v>
      </c>
      <c r="B30" s="220" t="s">
        <v>1295</v>
      </c>
    </row>
    <row r="31" spans="1:2" x14ac:dyDescent="0.25">
      <c r="A31" t="s">
        <v>1296</v>
      </c>
      <c r="B31" s="220" t="s">
        <v>1297</v>
      </c>
    </row>
    <row r="32" spans="1:2" x14ac:dyDescent="0.25">
      <c r="A32" t="s">
        <v>1298</v>
      </c>
      <c r="B32" s="220" t="s">
        <v>1299</v>
      </c>
    </row>
    <row r="33" spans="1:2" x14ac:dyDescent="0.25">
      <c r="A33" t="s">
        <v>1300</v>
      </c>
      <c r="B33" s="220" t="s">
        <v>1301</v>
      </c>
    </row>
    <row r="34" spans="1:2" x14ac:dyDescent="0.25">
      <c r="A34" t="s">
        <v>1302</v>
      </c>
      <c r="B34" s="220" t="s">
        <v>1303</v>
      </c>
    </row>
    <row r="35" spans="1:2" x14ac:dyDescent="0.25">
      <c r="A35" t="s">
        <v>1304</v>
      </c>
      <c r="B35" s="220" t="s">
        <v>1305</v>
      </c>
    </row>
    <row r="36" spans="1:2" x14ac:dyDescent="0.25">
      <c r="A36" t="s">
        <v>1306</v>
      </c>
      <c r="B36" s="220" t="s">
        <v>1307</v>
      </c>
    </row>
    <row r="37" spans="1:2" x14ac:dyDescent="0.25">
      <c r="A37" t="s">
        <v>1308</v>
      </c>
      <c r="B37" s="220" t="s">
        <v>1309</v>
      </c>
    </row>
    <row r="38" spans="1:2" x14ac:dyDescent="0.25">
      <c r="A38" t="s">
        <v>1310</v>
      </c>
      <c r="B38" s="220" t="s">
        <v>1311</v>
      </c>
    </row>
    <row r="39" spans="1:2" x14ac:dyDescent="0.25">
      <c r="A39" t="s">
        <v>1312</v>
      </c>
      <c r="B39" s="220" t="s">
        <v>1313</v>
      </c>
    </row>
    <row r="40" spans="1:2" x14ac:dyDescent="0.25">
      <c r="A40" t="s">
        <v>1314</v>
      </c>
      <c r="B40" s="220" t="s">
        <v>1315</v>
      </c>
    </row>
    <row r="41" spans="1:2" x14ac:dyDescent="0.25">
      <c r="A41" t="s">
        <v>1316</v>
      </c>
      <c r="B41" s="220" t="s">
        <v>1317</v>
      </c>
    </row>
    <row r="42" spans="1:2" x14ac:dyDescent="0.25">
      <c r="A42" t="s">
        <v>1318</v>
      </c>
      <c r="B42" s="220" t="s">
        <v>1319</v>
      </c>
    </row>
    <row r="43" spans="1:2" x14ac:dyDescent="0.25">
      <c r="A43" t="s">
        <v>1320</v>
      </c>
      <c r="B43" s="220" t="s">
        <v>1321</v>
      </c>
    </row>
    <row r="44" spans="1:2" x14ac:dyDescent="0.25">
      <c r="A44" t="s">
        <v>1322</v>
      </c>
      <c r="B44" s="220" t="s">
        <v>1323</v>
      </c>
    </row>
    <row r="45" spans="1:2" x14ac:dyDescent="0.25">
      <c r="A45" t="s">
        <v>1324</v>
      </c>
      <c r="B45" s="220" t="s">
        <v>1325</v>
      </c>
    </row>
    <row r="46" spans="1:2" x14ac:dyDescent="0.25">
      <c r="A46" t="s">
        <v>1326</v>
      </c>
      <c r="B46" s="220" t="s">
        <v>1327</v>
      </c>
    </row>
    <row r="47" spans="1:2" x14ac:dyDescent="0.25">
      <c r="A47" t="s">
        <v>1328</v>
      </c>
      <c r="B47" s="220" t="s">
        <v>1329</v>
      </c>
    </row>
    <row r="48" spans="1:2" x14ac:dyDescent="0.25">
      <c r="A48" t="s">
        <v>1330</v>
      </c>
      <c r="B48" s="220" t="s">
        <v>1331</v>
      </c>
    </row>
    <row r="49" spans="1:2" x14ac:dyDescent="0.25">
      <c r="A49" t="s">
        <v>1332</v>
      </c>
      <c r="B49" s="220" t="s">
        <v>1333</v>
      </c>
    </row>
    <row r="50" spans="1:2" x14ac:dyDescent="0.25">
      <c r="A50" t="s">
        <v>1334</v>
      </c>
      <c r="B50" s="220" t="s">
        <v>1335</v>
      </c>
    </row>
    <row r="51" spans="1:2" x14ac:dyDescent="0.25">
      <c r="A51" t="s">
        <v>1336</v>
      </c>
      <c r="B51" s="220" t="s">
        <v>1337</v>
      </c>
    </row>
    <row r="52" spans="1:2" x14ac:dyDescent="0.25">
      <c r="A52" t="s">
        <v>1338</v>
      </c>
      <c r="B52" s="220" t="s">
        <v>1339</v>
      </c>
    </row>
    <row r="53" spans="1:2" x14ac:dyDescent="0.25">
      <c r="A53" s="220" t="s">
        <v>1340</v>
      </c>
      <c r="B53" s="220" t="s">
        <v>1341</v>
      </c>
    </row>
    <row r="54" spans="1:2" x14ac:dyDescent="0.25">
      <c r="A54" t="s">
        <v>1342</v>
      </c>
      <c r="B54" s="220" t="s">
        <v>1343</v>
      </c>
    </row>
    <row r="55" spans="1:2" x14ac:dyDescent="0.25">
      <c r="A55" t="s">
        <v>1344</v>
      </c>
      <c r="B55" s="220" t="s">
        <v>1345</v>
      </c>
    </row>
    <row r="56" spans="1:2" x14ac:dyDescent="0.25">
      <c r="A56" t="s">
        <v>1346</v>
      </c>
      <c r="B56" s="220" t="s">
        <v>1347</v>
      </c>
    </row>
    <row r="57" spans="1:2" x14ac:dyDescent="0.25">
      <c r="A57" t="s">
        <v>1348</v>
      </c>
      <c r="B57" s="220" t="s">
        <v>1349</v>
      </c>
    </row>
    <row r="58" spans="1:2" x14ac:dyDescent="0.25">
      <c r="A58" t="s">
        <v>1350</v>
      </c>
      <c r="B58" s="220" t="s">
        <v>1351</v>
      </c>
    </row>
    <row r="59" spans="1:2" x14ac:dyDescent="0.25">
      <c r="A59" t="s">
        <v>1352</v>
      </c>
      <c r="B59" s="220" t="s">
        <v>1353</v>
      </c>
    </row>
    <row r="60" spans="1:2" x14ac:dyDescent="0.25">
      <c r="A60" t="s">
        <v>1354</v>
      </c>
      <c r="B60" s="220" t="s">
        <v>1355</v>
      </c>
    </row>
    <row r="61" spans="1:2" x14ac:dyDescent="0.25">
      <c r="A61" t="s">
        <v>1356</v>
      </c>
      <c r="B61" s="220" t="s">
        <v>1357</v>
      </c>
    </row>
    <row r="62" spans="1:2" x14ac:dyDescent="0.25">
      <c r="A62" t="s">
        <v>1358</v>
      </c>
      <c r="B62" s="220" t="s">
        <v>1359</v>
      </c>
    </row>
    <row r="63" spans="1:2" x14ac:dyDescent="0.25">
      <c r="A63" t="s">
        <v>1360</v>
      </c>
      <c r="B63" s="220" t="s">
        <v>1361</v>
      </c>
    </row>
    <row r="64" spans="1:2" x14ac:dyDescent="0.25">
      <c r="A64" t="s">
        <v>1362</v>
      </c>
      <c r="B64" s="220" t="s">
        <v>1363</v>
      </c>
    </row>
    <row r="65" spans="1:2" x14ac:dyDescent="0.25">
      <c r="A65" t="s">
        <v>1364</v>
      </c>
      <c r="B65" s="220" t="s">
        <v>1365</v>
      </c>
    </row>
    <row r="66" spans="1:2" x14ac:dyDescent="0.25">
      <c r="A66" t="s">
        <v>1366</v>
      </c>
      <c r="B66" s="220" t="s">
        <v>1367</v>
      </c>
    </row>
    <row r="67" spans="1:2" x14ac:dyDescent="0.25">
      <c r="A67" t="s">
        <v>1368</v>
      </c>
      <c r="B67" s="220" t="s">
        <v>1369</v>
      </c>
    </row>
    <row r="68" spans="1:2" x14ac:dyDescent="0.25">
      <c r="A68" t="s">
        <v>1370</v>
      </c>
      <c r="B68" s="220" t="s">
        <v>1371</v>
      </c>
    </row>
    <row r="69" spans="1:2" x14ac:dyDescent="0.25">
      <c r="A69" t="s">
        <v>1372</v>
      </c>
      <c r="B69" s="220" t="s">
        <v>1373</v>
      </c>
    </row>
    <row r="70" spans="1:2" x14ac:dyDescent="0.25">
      <c r="A70" t="s">
        <v>1374</v>
      </c>
      <c r="B70" s="220" t="s">
        <v>1375</v>
      </c>
    </row>
    <row r="71" spans="1:2" x14ac:dyDescent="0.25">
      <c r="A71" t="s">
        <v>1376</v>
      </c>
      <c r="B71" s="220" t="s">
        <v>1377</v>
      </c>
    </row>
    <row r="72" spans="1:2" x14ac:dyDescent="0.25">
      <c r="A72" t="s">
        <v>1378</v>
      </c>
      <c r="B72" s="220" t="s">
        <v>1379</v>
      </c>
    </row>
    <row r="73" spans="1:2" x14ac:dyDescent="0.25">
      <c r="A73" t="s">
        <v>1380</v>
      </c>
      <c r="B73" s="220" t="s">
        <v>1381</v>
      </c>
    </row>
    <row r="74" spans="1:2" x14ac:dyDescent="0.25">
      <c r="A74" t="s">
        <v>1382</v>
      </c>
      <c r="B74" s="220" t="s">
        <v>1383</v>
      </c>
    </row>
    <row r="75" spans="1:2" x14ac:dyDescent="0.25">
      <c r="A75" t="s">
        <v>1384</v>
      </c>
      <c r="B75" s="220" t="s">
        <v>1385</v>
      </c>
    </row>
    <row r="76" spans="1:2" x14ac:dyDescent="0.25">
      <c r="A76" t="s">
        <v>1386</v>
      </c>
      <c r="B76" s="220" t="s">
        <v>1387</v>
      </c>
    </row>
    <row r="77" spans="1:2" x14ac:dyDescent="0.25">
      <c r="A77" t="s">
        <v>1388</v>
      </c>
      <c r="B77" s="220" t="s">
        <v>1389</v>
      </c>
    </row>
    <row r="78" spans="1:2" x14ac:dyDescent="0.25">
      <c r="A78" t="s">
        <v>1390</v>
      </c>
      <c r="B78" s="220" t="s">
        <v>1391</v>
      </c>
    </row>
    <row r="79" spans="1:2" x14ac:dyDescent="0.25">
      <c r="A79" t="s">
        <v>1392</v>
      </c>
      <c r="B79" s="220" t="s">
        <v>1393</v>
      </c>
    </row>
    <row r="80" spans="1:2" x14ac:dyDescent="0.25">
      <c r="A80" t="s">
        <v>1394</v>
      </c>
      <c r="B80" s="220" t="s">
        <v>1395</v>
      </c>
    </row>
    <row r="81" spans="1:2" x14ac:dyDescent="0.25">
      <c r="A81" t="s">
        <v>1396</v>
      </c>
      <c r="B81" s="220" t="s">
        <v>1397</v>
      </c>
    </row>
    <row r="82" spans="1:2" x14ac:dyDescent="0.25">
      <c r="A82" t="s">
        <v>1398</v>
      </c>
      <c r="B82" s="220" t="s">
        <v>1399</v>
      </c>
    </row>
    <row r="83" spans="1:2" x14ac:dyDescent="0.25">
      <c r="A83" t="s">
        <v>1400</v>
      </c>
      <c r="B83" s="220" t="s">
        <v>1401</v>
      </c>
    </row>
    <row r="84" spans="1:2" x14ac:dyDescent="0.25">
      <c r="A84" t="s">
        <v>1402</v>
      </c>
      <c r="B84" s="220" t="s">
        <v>1403</v>
      </c>
    </row>
    <row r="85" spans="1:2" x14ac:dyDescent="0.25">
      <c r="A85" t="s">
        <v>1404</v>
      </c>
      <c r="B85" s="220" t="s">
        <v>1405</v>
      </c>
    </row>
    <row r="86" spans="1:2" x14ac:dyDescent="0.25">
      <c r="A86" t="s">
        <v>1406</v>
      </c>
      <c r="B86" s="220" t="s">
        <v>1407</v>
      </c>
    </row>
    <row r="87" spans="1:2" x14ac:dyDescent="0.25">
      <c r="A87" t="s">
        <v>1408</v>
      </c>
      <c r="B87" s="220" t="s">
        <v>1409</v>
      </c>
    </row>
    <row r="88" spans="1:2" x14ac:dyDescent="0.25">
      <c r="A88" t="s">
        <v>1410</v>
      </c>
      <c r="B88" s="220" t="s">
        <v>1411</v>
      </c>
    </row>
    <row r="89" spans="1:2" x14ac:dyDescent="0.25">
      <c r="A89" t="s">
        <v>1412</v>
      </c>
      <c r="B89" s="220" t="s">
        <v>1413</v>
      </c>
    </row>
    <row r="90" spans="1:2" x14ac:dyDescent="0.25">
      <c r="A90" t="s">
        <v>1414</v>
      </c>
      <c r="B90" s="220" t="s">
        <v>1415</v>
      </c>
    </row>
    <row r="91" spans="1:2" x14ac:dyDescent="0.25">
      <c r="A91" t="s">
        <v>1416</v>
      </c>
      <c r="B91" s="220" t="s">
        <v>1417</v>
      </c>
    </row>
    <row r="92" spans="1:2" x14ac:dyDescent="0.25">
      <c r="A92" t="s">
        <v>1418</v>
      </c>
      <c r="B92" s="220" t="s">
        <v>1419</v>
      </c>
    </row>
    <row r="93" spans="1:2" x14ac:dyDescent="0.25">
      <c r="A93" t="s">
        <v>1420</v>
      </c>
      <c r="B93" s="220" t="s">
        <v>1421</v>
      </c>
    </row>
    <row r="94" spans="1:2" x14ac:dyDescent="0.25">
      <c r="A94" t="s">
        <v>1422</v>
      </c>
      <c r="B94" s="220" t="s">
        <v>1423</v>
      </c>
    </row>
    <row r="95" spans="1:2" x14ac:dyDescent="0.25">
      <c r="A95" t="s">
        <v>1424</v>
      </c>
      <c r="B95" s="220" t="s">
        <v>1425</v>
      </c>
    </row>
    <row r="96" spans="1:2" x14ac:dyDescent="0.25">
      <c r="A96" t="s">
        <v>1426</v>
      </c>
      <c r="B96" s="220" t="s">
        <v>1427</v>
      </c>
    </row>
    <row r="97" spans="1:2" x14ac:dyDescent="0.25">
      <c r="A97" t="s">
        <v>1428</v>
      </c>
      <c r="B97" s="220" t="s">
        <v>1429</v>
      </c>
    </row>
    <row r="98" spans="1:2" x14ac:dyDescent="0.25">
      <c r="A98" t="s">
        <v>1430</v>
      </c>
      <c r="B98" s="220" t="s">
        <v>1431</v>
      </c>
    </row>
    <row r="99" spans="1:2" x14ac:dyDescent="0.25">
      <c r="A99" t="s">
        <v>1432</v>
      </c>
      <c r="B99" s="220" t="s">
        <v>1433</v>
      </c>
    </row>
    <row r="100" spans="1:2" x14ac:dyDescent="0.25">
      <c r="A100" t="s">
        <v>1434</v>
      </c>
      <c r="B100" s="220" t="s">
        <v>1435</v>
      </c>
    </row>
    <row r="101" spans="1:2" x14ac:dyDescent="0.25">
      <c r="A101" t="s">
        <v>1436</v>
      </c>
      <c r="B101" s="220" t="s">
        <v>1437</v>
      </c>
    </row>
    <row r="102" spans="1:2" x14ac:dyDescent="0.25">
      <c r="A102" t="s">
        <v>1438</v>
      </c>
      <c r="B102" s="220" t="s">
        <v>1439</v>
      </c>
    </row>
    <row r="103" spans="1:2" x14ac:dyDescent="0.25">
      <c r="A103" t="s">
        <v>1440</v>
      </c>
      <c r="B103" s="220" t="s">
        <v>1441</v>
      </c>
    </row>
    <row r="104" spans="1:2" x14ac:dyDescent="0.25">
      <c r="A104" t="s">
        <v>1442</v>
      </c>
      <c r="B104" s="220" t="s">
        <v>1443</v>
      </c>
    </row>
    <row r="105" spans="1:2" x14ac:dyDescent="0.25">
      <c r="A105" t="s">
        <v>1444</v>
      </c>
      <c r="B105" s="220" t="s">
        <v>1445</v>
      </c>
    </row>
    <row r="106" spans="1:2" x14ac:dyDescent="0.25">
      <c r="A106" t="s">
        <v>1446</v>
      </c>
      <c r="B106" s="220" t="s">
        <v>1447</v>
      </c>
    </row>
    <row r="107" spans="1:2" x14ac:dyDescent="0.25">
      <c r="A107" t="s">
        <v>1448</v>
      </c>
      <c r="B107" s="220" t="s">
        <v>1449</v>
      </c>
    </row>
    <row r="108" spans="1:2" x14ac:dyDescent="0.25">
      <c r="A108" t="s">
        <v>1450</v>
      </c>
      <c r="B108" s="220" t="s">
        <v>1451</v>
      </c>
    </row>
    <row r="109" spans="1:2" x14ac:dyDescent="0.25">
      <c r="A109" t="s">
        <v>1452</v>
      </c>
      <c r="B109" s="220" t="s">
        <v>1453</v>
      </c>
    </row>
    <row r="110" spans="1:2" x14ac:dyDescent="0.25">
      <c r="A110" t="s">
        <v>1454</v>
      </c>
      <c r="B110" s="220" t="s">
        <v>1455</v>
      </c>
    </row>
    <row r="111" spans="1:2" x14ac:dyDescent="0.25">
      <c r="A111" t="s">
        <v>1456</v>
      </c>
      <c r="B111" s="220" t="s">
        <v>1457</v>
      </c>
    </row>
    <row r="112" spans="1:2" x14ac:dyDescent="0.25">
      <c r="A112" t="s">
        <v>1458</v>
      </c>
      <c r="B112" s="220" t="s">
        <v>1459</v>
      </c>
    </row>
    <row r="113" spans="1:2" x14ac:dyDescent="0.25">
      <c r="A113" t="s">
        <v>1460</v>
      </c>
      <c r="B113" s="220" t="s">
        <v>1461</v>
      </c>
    </row>
    <row r="114" spans="1:2" x14ac:dyDescent="0.25">
      <c r="A114" t="s">
        <v>1462</v>
      </c>
      <c r="B114" s="220" t="s">
        <v>1463</v>
      </c>
    </row>
    <row r="115" spans="1:2" x14ac:dyDescent="0.25">
      <c r="A115" t="s">
        <v>1464</v>
      </c>
      <c r="B115" s="220" t="s">
        <v>1465</v>
      </c>
    </row>
    <row r="116" spans="1:2" x14ac:dyDescent="0.25">
      <c r="A116" t="s">
        <v>1466</v>
      </c>
      <c r="B116" s="220" t="s">
        <v>1467</v>
      </c>
    </row>
    <row r="117" spans="1:2" x14ac:dyDescent="0.25">
      <c r="A117" t="s">
        <v>1468</v>
      </c>
      <c r="B117" s="220" t="s">
        <v>1469</v>
      </c>
    </row>
    <row r="118" spans="1:2" x14ac:dyDescent="0.25">
      <c r="A118" t="s">
        <v>1470</v>
      </c>
      <c r="B118" s="220" t="s">
        <v>1471</v>
      </c>
    </row>
    <row r="119" spans="1:2" x14ac:dyDescent="0.25">
      <c r="A119" t="s">
        <v>1472</v>
      </c>
      <c r="B119" s="220" t="s">
        <v>1473</v>
      </c>
    </row>
    <row r="120" spans="1:2" x14ac:dyDescent="0.25">
      <c r="A120" t="s">
        <v>1474</v>
      </c>
      <c r="B120" s="220" t="s">
        <v>1475</v>
      </c>
    </row>
    <row r="121" spans="1:2" x14ac:dyDescent="0.25">
      <c r="A121" t="s">
        <v>1476</v>
      </c>
      <c r="B121" s="220" t="s">
        <v>1477</v>
      </c>
    </row>
    <row r="122" spans="1:2" x14ac:dyDescent="0.25">
      <c r="A122" t="s">
        <v>1478</v>
      </c>
      <c r="B122" s="220" t="s">
        <v>1479</v>
      </c>
    </row>
    <row r="123" spans="1:2" x14ac:dyDescent="0.25">
      <c r="A123" t="s">
        <v>1480</v>
      </c>
      <c r="B123" s="220" t="s">
        <v>1481</v>
      </c>
    </row>
    <row r="124" spans="1:2" x14ac:dyDescent="0.25">
      <c r="A124" t="s">
        <v>1482</v>
      </c>
      <c r="B124" s="220" t="s">
        <v>1483</v>
      </c>
    </row>
    <row r="125" spans="1:2" x14ac:dyDescent="0.25">
      <c r="A125" t="s">
        <v>1484</v>
      </c>
      <c r="B125" s="220" t="s">
        <v>1485</v>
      </c>
    </row>
    <row r="126" spans="1:2" x14ac:dyDescent="0.25">
      <c r="A126" t="s">
        <v>1486</v>
      </c>
      <c r="B126" s="220" t="s">
        <v>1487</v>
      </c>
    </row>
    <row r="127" spans="1:2" x14ac:dyDescent="0.25">
      <c r="A127" t="s">
        <v>1488</v>
      </c>
      <c r="B127" s="220" t="s">
        <v>1489</v>
      </c>
    </row>
    <row r="128" spans="1:2" x14ac:dyDescent="0.25">
      <c r="A128" t="s">
        <v>1490</v>
      </c>
      <c r="B128" s="220" t="s">
        <v>1491</v>
      </c>
    </row>
    <row r="129" spans="1:2" x14ac:dyDescent="0.25">
      <c r="A129" t="s">
        <v>1492</v>
      </c>
      <c r="B129" s="220" t="s">
        <v>1493</v>
      </c>
    </row>
    <row r="130" spans="1:2" x14ac:dyDescent="0.25">
      <c r="A130" t="s">
        <v>1494</v>
      </c>
      <c r="B130" s="220" t="s">
        <v>1495</v>
      </c>
    </row>
    <row r="131" spans="1:2" x14ac:dyDescent="0.25">
      <c r="A131" t="s">
        <v>1496</v>
      </c>
      <c r="B131" s="220" t="s">
        <v>1497</v>
      </c>
    </row>
    <row r="132" spans="1:2" x14ac:dyDescent="0.25">
      <c r="A132" t="s">
        <v>1498</v>
      </c>
      <c r="B132" s="220" t="s">
        <v>1499</v>
      </c>
    </row>
    <row r="133" spans="1:2" x14ac:dyDescent="0.25">
      <c r="A133" t="s">
        <v>1500</v>
      </c>
      <c r="B133" s="220" t="s">
        <v>1501</v>
      </c>
    </row>
    <row r="134" spans="1:2" x14ac:dyDescent="0.25">
      <c r="A134" t="s">
        <v>1502</v>
      </c>
      <c r="B134" s="220" t="s">
        <v>1503</v>
      </c>
    </row>
    <row r="135" spans="1:2" x14ac:dyDescent="0.25">
      <c r="A135" t="s">
        <v>1504</v>
      </c>
      <c r="B135" s="220" t="s">
        <v>1505</v>
      </c>
    </row>
    <row r="136" spans="1:2" x14ac:dyDescent="0.25">
      <c r="A136" t="s">
        <v>1506</v>
      </c>
      <c r="B136" s="220" t="s">
        <v>1507</v>
      </c>
    </row>
    <row r="137" spans="1:2" x14ac:dyDescent="0.25">
      <c r="A137" t="s">
        <v>1508</v>
      </c>
      <c r="B137" s="220" t="s">
        <v>1509</v>
      </c>
    </row>
    <row r="138" spans="1:2" x14ac:dyDescent="0.25">
      <c r="A138" t="s">
        <v>1510</v>
      </c>
      <c r="B138" s="220" t="s">
        <v>1511</v>
      </c>
    </row>
    <row r="139" spans="1:2" x14ac:dyDescent="0.25">
      <c r="A139" t="s">
        <v>1512</v>
      </c>
      <c r="B139" s="220" t="s">
        <v>1513</v>
      </c>
    </row>
    <row r="140" spans="1:2" x14ac:dyDescent="0.25">
      <c r="A140" t="s">
        <v>1514</v>
      </c>
      <c r="B140" s="220" t="s">
        <v>1515</v>
      </c>
    </row>
    <row r="141" spans="1:2" x14ac:dyDescent="0.25">
      <c r="A141" t="s">
        <v>1516</v>
      </c>
      <c r="B141" s="220" t="s">
        <v>1517</v>
      </c>
    </row>
    <row r="142" spans="1:2" x14ac:dyDescent="0.25">
      <c r="A142" t="s">
        <v>1518</v>
      </c>
      <c r="B142" s="220" t="s">
        <v>1519</v>
      </c>
    </row>
    <row r="143" spans="1:2" x14ac:dyDescent="0.25">
      <c r="A143" t="s">
        <v>1520</v>
      </c>
      <c r="B143" s="220" t="s">
        <v>1521</v>
      </c>
    </row>
    <row r="144" spans="1:2" x14ac:dyDescent="0.25">
      <c r="A144" t="s">
        <v>1522</v>
      </c>
      <c r="B144" s="220" t="s">
        <v>1523</v>
      </c>
    </row>
    <row r="145" spans="1:2" x14ac:dyDescent="0.25">
      <c r="A145" t="s">
        <v>1524</v>
      </c>
      <c r="B145" s="220" t="s">
        <v>1525</v>
      </c>
    </row>
    <row r="146" spans="1:2" x14ac:dyDescent="0.25">
      <c r="A146" t="s">
        <v>1526</v>
      </c>
      <c r="B146" s="220" t="s">
        <v>1527</v>
      </c>
    </row>
    <row r="147" spans="1:2" x14ac:dyDescent="0.25">
      <c r="A147" t="s">
        <v>1528</v>
      </c>
      <c r="B147" s="220" t="s">
        <v>1529</v>
      </c>
    </row>
    <row r="148" spans="1:2" x14ac:dyDescent="0.25">
      <c r="A148" t="s">
        <v>1530</v>
      </c>
      <c r="B148" s="220" t="s">
        <v>1531</v>
      </c>
    </row>
    <row r="149" spans="1:2" x14ac:dyDescent="0.25">
      <c r="A149" t="s">
        <v>1532</v>
      </c>
      <c r="B149" s="220" t="s">
        <v>1533</v>
      </c>
    </row>
    <row r="150" spans="1:2" x14ac:dyDescent="0.25">
      <c r="A150" t="s">
        <v>1534</v>
      </c>
      <c r="B150" s="220" t="s">
        <v>1535</v>
      </c>
    </row>
    <row r="151" spans="1:2" x14ac:dyDescent="0.25">
      <c r="A151" t="s">
        <v>1536</v>
      </c>
      <c r="B151" s="220" t="s">
        <v>1537</v>
      </c>
    </row>
    <row r="152" spans="1:2" x14ac:dyDescent="0.25">
      <c r="A152" t="s">
        <v>1538</v>
      </c>
      <c r="B152" s="220" t="s">
        <v>1539</v>
      </c>
    </row>
    <row r="153" spans="1:2" x14ac:dyDescent="0.25">
      <c r="A153" t="s">
        <v>1540</v>
      </c>
      <c r="B153" s="220" t="s">
        <v>1541</v>
      </c>
    </row>
    <row r="154" spans="1:2" x14ac:dyDescent="0.25">
      <c r="A154" t="s">
        <v>1542</v>
      </c>
      <c r="B154" s="220" t="s">
        <v>1543</v>
      </c>
    </row>
    <row r="155" spans="1:2" x14ac:dyDescent="0.25">
      <c r="A155" t="s">
        <v>1544</v>
      </c>
      <c r="B155" s="220" t="s">
        <v>1545</v>
      </c>
    </row>
    <row r="156" spans="1:2" x14ac:dyDescent="0.25">
      <c r="A156" t="s">
        <v>1546</v>
      </c>
      <c r="B156" s="220" t="s">
        <v>1547</v>
      </c>
    </row>
    <row r="157" spans="1:2" x14ac:dyDescent="0.25">
      <c r="A157" t="s">
        <v>1548</v>
      </c>
      <c r="B157" s="220" t="s">
        <v>1549</v>
      </c>
    </row>
    <row r="158" spans="1:2" x14ac:dyDescent="0.25">
      <c r="A158" t="s">
        <v>1550</v>
      </c>
      <c r="B158" s="220" t="s">
        <v>1551</v>
      </c>
    </row>
    <row r="159" spans="1:2" x14ac:dyDescent="0.25">
      <c r="A159" t="s">
        <v>1552</v>
      </c>
      <c r="B159" s="220" t="s">
        <v>1553</v>
      </c>
    </row>
    <row r="160" spans="1:2" x14ac:dyDescent="0.25">
      <c r="A160" t="s">
        <v>1153</v>
      </c>
      <c r="B160" s="220" t="s">
        <v>1554</v>
      </c>
    </row>
    <row r="161" spans="1:2" x14ac:dyDescent="0.25">
      <c r="A161" t="s">
        <v>1152</v>
      </c>
      <c r="B161" s="220" t="s">
        <v>1555</v>
      </c>
    </row>
    <row r="162" spans="1:2" x14ac:dyDescent="0.25">
      <c r="A162" t="s">
        <v>1151</v>
      </c>
      <c r="B162" s="220" t="s">
        <v>1556</v>
      </c>
    </row>
    <row r="163" spans="1:2" x14ac:dyDescent="0.25">
      <c r="A163" t="s">
        <v>1557</v>
      </c>
      <c r="B163" s="220" t="s">
        <v>1558</v>
      </c>
    </row>
    <row r="164" spans="1:2" x14ac:dyDescent="0.25">
      <c r="A164" t="s">
        <v>1559</v>
      </c>
      <c r="B164" s="220" t="s">
        <v>1560</v>
      </c>
    </row>
    <row r="165" spans="1:2" x14ac:dyDescent="0.25">
      <c r="A165" t="s">
        <v>1561</v>
      </c>
      <c r="B165" s="220" t="s">
        <v>1562</v>
      </c>
    </row>
    <row r="166" spans="1:2" x14ac:dyDescent="0.25">
      <c r="A166" t="s">
        <v>1563</v>
      </c>
      <c r="B166" s="220" t="s">
        <v>1564</v>
      </c>
    </row>
    <row r="167" spans="1:2" x14ac:dyDescent="0.25">
      <c r="A167" t="s">
        <v>1565</v>
      </c>
      <c r="B167" s="220" t="s">
        <v>1566</v>
      </c>
    </row>
    <row r="168" spans="1:2" x14ac:dyDescent="0.25">
      <c r="A168" t="s">
        <v>1567</v>
      </c>
      <c r="B168" s="220" t="s">
        <v>1568</v>
      </c>
    </row>
    <row r="169" spans="1:2" x14ac:dyDescent="0.25">
      <c r="A169" t="s">
        <v>1569</v>
      </c>
      <c r="B169" s="220" t="s">
        <v>1570</v>
      </c>
    </row>
    <row r="170" spans="1:2" x14ac:dyDescent="0.25">
      <c r="A170" t="s">
        <v>1571</v>
      </c>
      <c r="B170" s="220" t="s">
        <v>1572</v>
      </c>
    </row>
    <row r="171" spans="1:2" x14ac:dyDescent="0.25">
      <c r="A171" t="s">
        <v>1573</v>
      </c>
      <c r="B171" s="220" t="s">
        <v>1574</v>
      </c>
    </row>
    <row r="172" spans="1:2" x14ac:dyDescent="0.25">
      <c r="A172" t="s">
        <v>1575</v>
      </c>
      <c r="B172" s="220" t="s">
        <v>1576</v>
      </c>
    </row>
    <row r="173" spans="1:2" x14ac:dyDescent="0.25">
      <c r="A173" t="s">
        <v>1577</v>
      </c>
      <c r="B173" s="220" t="s">
        <v>1578</v>
      </c>
    </row>
    <row r="174" spans="1:2" x14ac:dyDescent="0.25">
      <c r="A174" t="s">
        <v>1579</v>
      </c>
      <c r="B174" s="220" t="s">
        <v>1580</v>
      </c>
    </row>
    <row r="175" spans="1:2" x14ac:dyDescent="0.25">
      <c r="A175" t="s">
        <v>1581</v>
      </c>
      <c r="B175" s="220" t="s">
        <v>1582</v>
      </c>
    </row>
    <row r="176" spans="1:2" x14ac:dyDescent="0.25">
      <c r="A176" t="s">
        <v>1583</v>
      </c>
      <c r="B176" s="220" t="s">
        <v>1584</v>
      </c>
    </row>
    <row r="177" spans="1:2" x14ac:dyDescent="0.25">
      <c r="A177" t="s">
        <v>1585</v>
      </c>
      <c r="B177" s="220" t="s">
        <v>1586</v>
      </c>
    </row>
    <row r="178" spans="1:2" x14ac:dyDescent="0.25">
      <c r="A178" t="s">
        <v>1587</v>
      </c>
      <c r="B178" s="220" t="s">
        <v>1588</v>
      </c>
    </row>
    <row r="179" spans="1:2" x14ac:dyDescent="0.25">
      <c r="A179" t="s">
        <v>1589</v>
      </c>
      <c r="B179" s="220" t="s">
        <v>1590</v>
      </c>
    </row>
    <row r="180" spans="1:2" x14ac:dyDescent="0.25">
      <c r="A180" t="s">
        <v>1591</v>
      </c>
      <c r="B180" s="220" t="s">
        <v>1592</v>
      </c>
    </row>
    <row r="181" spans="1:2" x14ac:dyDescent="0.25">
      <c r="A181" t="s">
        <v>1593</v>
      </c>
      <c r="B181" s="220" t="s">
        <v>1594</v>
      </c>
    </row>
    <row r="182" spans="1:2" x14ac:dyDescent="0.25">
      <c r="A182" t="s">
        <v>1595</v>
      </c>
      <c r="B182" s="220" t="s">
        <v>1596</v>
      </c>
    </row>
    <row r="183" spans="1:2" x14ac:dyDescent="0.25">
      <c r="A183" t="s">
        <v>1597</v>
      </c>
      <c r="B183" s="220" t="s">
        <v>1598</v>
      </c>
    </row>
    <row r="184" spans="1:2" x14ac:dyDescent="0.25">
      <c r="A184" t="s">
        <v>1599</v>
      </c>
      <c r="B184" s="220" t="s">
        <v>1600</v>
      </c>
    </row>
    <row r="185" spans="1:2" x14ac:dyDescent="0.25">
      <c r="A185" t="s">
        <v>1601</v>
      </c>
      <c r="B185" s="220" t="s">
        <v>1602</v>
      </c>
    </row>
    <row r="186" spans="1:2" x14ac:dyDescent="0.25">
      <c r="A186" t="s">
        <v>1603</v>
      </c>
      <c r="B186" s="220" t="s">
        <v>1604</v>
      </c>
    </row>
    <row r="187" spans="1:2" x14ac:dyDescent="0.25">
      <c r="A187" t="s">
        <v>1605</v>
      </c>
      <c r="B187" s="220" t="s">
        <v>1606</v>
      </c>
    </row>
    <row r="188" spans="1:2" x14ac:dyDescent="0.25">
      <c r="A188" t="s">
        <v>1607</v>
      </c>
      <c r="B188" s="220" t="s">
        <v>1608</v>
      </c>
    </row>
    <row r="189" spans="1:2" x14ac:dyDescent="0.25">
      <c r="A189" t="s">
        <v>1609</v>
      </c>
      <c r="B189" s="220" t="s">
        <v>1610</v>
      </c>
    </row>
    <row r="190" spans="1:2" x14ac:dyDescent="0.25">
      <c r="A190" t="s">
        <v>1611</v>
      </c>
      <c r="B190" s="220" t="s">
        <v>1612</v>
      </c>
    </row>
    <row r="191" spans="1:2" x14ac:dyDescent="0.25">
      <c r="A191" t="s">
        <v>1613</v>
      </c>
      <c r="B191" s="220" t="s">
        <v>1614</v>
      </c>
    </row>
    <row r="192" spans="1:2" x14ac:dyDescent="0.25">
      <c r="A192" t="s">
        <v>1615</v>
      </c>
      <c r="B192" s="220" t="s">
        <v>1616</v>
      </c>
    </row>
    <row r="193" spans="1:2" x14ac:dyDescent="0.25">
      <c r="A193" t="s">
        <v>1617</v>
      </c>
      <c r="B193" s="220" t="s">
        <v>1618</v>
      </c>
    </row>
    <row r="194" spans="1:2" x14ac:dyDescent="0.25">
      <c r="A194" t="s">
        <v>1619</v>
      </c>
      <c r="B194" s="220" t="s">
        <v>1620</v>
      </c>
    </row>
    <row r="195" spans="1:2" x14ac:dyDescent="0.25">
      <c r="A195" t="s">
        <v>1621</v>
      </c>
      <c r="B195" s="220" t="s">
        <v>1622</v>
      </c>
    </row>
    <row r="196" spans="1:2" x14ac:dyDescent="0.25">
      <c r="A196" t="s">
        <v>1623</v>
      </c>
      <c r="B196" s="220" t="s">
        <v>1624</v>
      </c>
    </row>
    <row r="197" spans="1:2" x14ac:dyDescent="0.25">
      <c r="A197" t="s">
        <v>1625</v>
      </c>
      <c r="B197" s="220" t="s">
        <v>1626</v>
      </c>
    </row>
    <row r="198" spans="1:2" x14ac:dyDescent="0.25">
      <c r="A198" t="s">
        <v>1627</v>
      </c>
      <c r="B198" s="220" t="s">
        <v>1628</v>
      </c>
    </row>
    <row r="199" spans="1:2" x14ac:dyDescent="0.25">
      <c r="A199" t="s">
        <v>1629</v>
      </c>
      <c r="B199" s="220" t="s">
        <v>1630</v>
      </c>
    </row>
    <row r="200" spans="1:2" x14ac:dyDescent="0.25">
      <c r="A200" t="s">
        <v>1631</v>
      </c>
      <c r="B200" s="220" t="s">
        <v>1632</v>
      </c>
    </row>
    <row r="201" spans="1:2" x14ac:dyDescent="0.25">
      <c r="A201" t="s">
        <v>1633</v>
      </c>
      <c r="B201" s="220" t="s">
        <v>1634</v>
      </c>
    </row>
    <row r="202" spans="1:2" x14ac:dyDescent="0.25">
      <c r="A202" t="s">
        <v>1635</v>
      </c>
      <c r="B202" s="220" t="s">
        <v>1636</v>
      </c>
    </row>
    <row r="203" spans="1:2" x14ac:dyDescent="0.25">
      <c r="A203" t="s">
        <v>1637</v>
      </c>
      <c r="B203" s="220" t="s">
        <v>1638</v>
      </c>
    </row>
    <row r="204" spans="1:2" x14ac:dyDescent="0.25">
      <c r="A204" t="s">
        <v>1639</v>
      </c>
      <c r="B204" s="220" t="s">
        <v>1640</v>
      </c>
    </row>
    <row r="205" spans="1:2" x14ac:dyDescent="0.25">
      <c r="A205" t="s">
        <v>1641</v>
      </c>
      <c r="B205" s="220" t="s">
        <v>1642</v>
      </c>
    </row>
    <row r="206" spans="1:2" x14ac:dyDescent="0.25">
      <c r="A206" t="s">
        <v>1643</v>
      </c>
      <c r="B206" s="220" t="s">
        <v>1644</v>
      </c>
    </row>
    <row r="207" spans="1:2" x14ac:dyDescent="0.25">
      <c r="A207" t="s">
        <v>1645</v>
      </c>
      <c r="B207" s="220" t="s">
        <v>1636</v>
      </c>
    </row>
    <row r="208" spans="1:2" x14ac:dyDescent="0.25">
      <c r="A208" t="s">
        <v>1646</v>
      </c>
      <c r="B208" s="220" t="s">
        <v>1647</v>
      </c>
    </row>
    <row r="209" spans="1:2" x14ac:dyDescent="0.25">
      <c r="A209" t="s">
        <v>1648</v>
      </c>
      <c r="B209" s="220" t="s">
        <v>1649</v>
      </c>
    </row>
    <row r="210" spans="1:2" x14ac:dyDescent="0.25">
      <c r="A210" t="s">
        <v>1650</v>
      </c>
      <c r="B210" s="220" t="s">
        <v>1651</v>
      </c>
    </row>
    <row r="211" spans="1:2" x14ac:dyDescent="0.25">
      <c r="A211" t="s">
        <v>1652</v>
      </c>
      <c r="B211" s="220" t="s">
        <v>1653</v>
      </c>
    </row>
    <row r="212" spans="1:2" x14ac:dyDescent="0.25">
      <c r="A212" t="s">
        <v>1654</v>
      </c>
      <c r="B212" s="220" t="s">
        <v>1655</v>
      </c>
    </row>
    <row r="213" spans="1:2" x14ac:dyDescent="0.25">
      <c r="A213" t="s">
        <v>1656</v>
      </c>
      <c r="B213" s="220" t="s">
        <v>1657</v>
      </c>
    </row>
    <row r="214" spans="1:2" x14ac:dyDescent="0.25">
      <c r="A214" t="s">
        <v>1658</v>
      </c>
      <c r="B214" s="220" t="s">
        <v>1659</v>
      </c>
    </row>
    <row r="215" spans="1:2" x14ac:dyDescent="0.25">
      <c r="A215" t="s">
        <v>1660</v>
      </c>
      <c r="B215" s="220" t="s">
        <v>1661</v>
      </c>
    </row>
    <row r="216" spans="1:2" x14ac:dyDescent="0.25">
      <c r="A216" t="s">
        <v>1662</v>
      </c>
      <c r="B216" s="220" t="s">
        <v>1663</v>
      </c>
    </row>
    <row r="217" spans="1:2" x14ac:dyDescent="0.25">
      <c r="A217" t="s">
        <v>1664</v>
      </c>
      <c r="B217" s="220" t="s">
        <v>1665</v>
      </c>
    </row>
    <row r="218" spans="1:2" x14ac:dyDescent="0.25">
      <c r="A218" t="s">
        <v>1666</v>
      </c>
      <c r="B218" s="220" t="s">
        <v>1667</v>
      </c>
    </row>
    <row r="219" spans="1:2" x14ac:dyDescent="0.25">
      <c r="A219" t="s">
        <v>1668</v>
      </c>
      <c r="B219" s="220" t="s">
        <v>1669</v>
      </c>
    </row>
    <row r="220" spans="1:2" x14ac:dyDescent="0.25">
      <c r="A220" t="s">
        <v>1670</v>
      </c>
      <c r="B220" s="220" t="s">
        <v>1671</v>
      </c>
    </row>
    <row r="221" spans="1:2" x14ac:dyDescent="0.25">
      <c r="A221" t="s">
        <v>1672</v>
      </c>
      <c r="B221" s="220" t="s">
        <v>1673</v>
      </c>
    </row>
    <row r="222" spans="1:2" x14ac:dyDescent="0.25">
      <c r="A222" t="s">
        <v>1674</v>
      </c>
      <c r="B222" s="220" t="s">
        <v>1675</v>
      </c>
    </row>
    <row r="223" spans="1:2" x14ac:dyDescent="0.25">
      <c r="A223" t="s">
        <v>1676</v>
      </c>
      <c r="B223" s="220" t="s">
        <v>1677</v>
      </c>
    </row>
    <row r="224" spans="1:2" x14ac:dyDescent="0.25">
      <c r="A224" t="s">
        <v>1678</v>
      </c>
      <c r="B224" s="220" t="s">
        <v>1679</v>
      </c>
    </row>
    <row r="225" spans="1:2" x14ac:dyDescent="0.25">
      <c r="A225" t="s">
        <v>1680</v>
      </c>
      <c r="B225" s="220" t="s">
        <v>1681</v>
      </c>
    </row>
    <row r="226" spans="1:2" x14ac:dyDescent="0.25">
      <c r="A226" t="s">
        <v>1682</v>
      </c>
      <c r="B226" s="220" t="s">
        <v>1683</v>
      </c>
    </row>
    <row r="227" spans="1:2" x14ac:dyDescent="0.25">
      <c r="A227" t="s">
        <v>1684</v>
      </c>
      <c r="B227" s="220" t="s">
        <v>1685</v>
      </c>
    </row>
    <row r="228" spans="1:2" x14ac:dyDescent="0.25">
      <c r="A228" t="s">
        <v>1686</v>
      </c>
      <c r="B228" s="220" t="s">
        <v>1687</v>
      </c>
    </row>
    <row r="229" spans="1:2" x14ac:dyDescent="0.25">
      <c r="A229" t="s">
        <v>1688</v>
      </c>
      <c r="B229" s="220" t="s">
        <v>1689</v>
      </c>
    </row>
    <row r="230" spans="1:2" x14ac:dyDescent="0.25">
      <c r="A230" t="s">
        <v>1690</v>
      </c>
      <c r="B230" s="220" t="s">
        <v>1691</v>
      </c>
    </row>
    <row r="231" spans="1:2" x14ac:dyDescent="0.25">
      <c r="A231" t="s">
        <v>1692</v>
      </c>
      <c r="B231" s="220" t="s">
        <v>1693</v>
      </c>
    </row>
    <row r="232" spans="1:2" x14ac:dyDescent="0.25">
      <c r="A232" t="s">
        <v>1694</v>
      </c>
      <c r="B232" s="220" t="s">
        <v>1695</v>
      </c>
    </row>
    <row r="233" spans="1:2" x14ac:dyDescent="0.25">
      <c r="A233" t="s">
        <v>1696</v>
      </c>
      <c r="B233" s="220" t="s">
        <v>1697</v>
      </c>
    </row>
    <row r="234" spans="1:2" x14ac:dyDescent="0.25">
      <c r="A234" t="s">
        <v>1698</v>
      </c>
      <c r="B234" s="220" t="s">
        <v>1699</v>
      </c>
    </row>
    <row r="235" spans="1:2" x14ac:dyDescent="0.25">
      <c r="A235" t="s">
        <v>1700</v>
      </c>
      <c r="B235" s="220" t="s">
        <v>1701</v>
      </c>
    </row>
    <row r="236" spans="1:2" x14ac:dyDescent="0.25">
      <c r="A236" t="s">
        <v>1702</v>
      </c>
      <c r="B236" s="220" t="s">
        <v>1703</v>
      </c>
    </row>
    <row r="237" spans="1:2" x14ac:dyDescent="0.25">
      <c r="A237" t="s">
        <v>1704</v>
      </c>
      <c r="B237" s="220" t="s">
        <v>1705</v>
      </c>
    </row>
    <row r="238" spans="1:2" x14ac:dyDescent="0.25">
      <c r="A238" t="s">
        <v>1706</v>
      </c>
      <c r="B238" s="220" t="s">
        <v>1707</v>
      </c>
    </row>
    <row r="239" spans="1:2" x14ac:dyDescent="0.25">
      <c r="A239" t="s">
        <v>1708</v>
      </c>
      <c r="B239" s="220" t="s">
        <v>1709</v>
      </c>
    </row>
    <row r="240" spans="1:2" x14ac:dyDescent="0.25">
      <c r="A240" t="s">
        <v>1710</v>
      </c>
      <c r="B240" s="220" t="s">
        <v>1711</v>
      </c>
    </row>
    <row r="241" spans="1:2" x14ac:dyDescent="0.25">
      <c r="A241" t="s">
        <v>1712</v>
      </c>
      <c r="B241" s="220" t="s">
        <v>1713</v>
      </c>
    </row>
    <row r="242" spans="1:2" x14ac:dyDescent="0.25">
      <c r="A242" t="s">
        <v>1714</v>
      </c>
      <c r="B242" s="220" t="s">
        <v>1715</v>
      </c>
    </row>
    <row r="243" spans="1:2" x14ac:dyDescent="0.25">
      <c r="A243" t="s">
        <v>1716</v>
      </c>
      <c r="B243" s="220" t="s">
        <v>1717</v>
      </c>
    </row>
    <row r="244" spans="1:2" x14ac:dyDescent="0.25">
      <c r="A244" t="s">
        <v>1718</v>
      </c>
      <c r="B244" s="220" t="s">
        <v>1719</v>
      </c>
    </row>
    <row r="245" spans="1:2" x14ac:dyDescent="0.25">
      <c r="A245" t="s">
        <v>1720</v>
      </c>
      <c r="B245" s="220" t="s">
        <v>1721</v>
      </c>
    </row>
    <row r="246" spans="1:2" x14ac:dyDescent="0.25">
      <c r="A246" t="s">
        <v>1722</v>
      </c>
      <c r="B246" s="220" t="s">
        <v>1723</v>
      </c>
    </row>
    <row r="247" spans="1:2" x14ac:dyDescent="0.25">
      <c r="A247" t="s">
        <v>1724</v>
      </c>
      <c r="B247" s="220" t="s">
        <v>1725</v>
      </c>
    </row>
    <row r="248" spans="1:2" x14ac:dyDescent="0.25">
      <c r="A248" t="s">
        <v>1726</v>
      </c>
      <c r="B248" s="220" t="s">
        <v>1727</v>
      </c>
    </row>
    <row r="249" spans="1:2" x14ac:dyDescent="0.25">
      <c r="A249" t="s">
        <v>1728</v>
      </c>
      <c r="B249" s="220" t="s">
        <v>1729</v>
      </c>
    </row>
    <row r="250" spans="1:2" x14ac:dyDescent="0.25">
      <c r="A250" t="s">
        <v>1730</v>
      </c>
      <c r="B250" s="220" t="s">
        <v>1731</v>
      </c>
    </row>
    <row r="251" spans="1:2" x14ac:dyDescent="0.25">
      <c r="A251" t="s">
        <v>1732</v>
      </c>
      <c r="B251" s="220" t="s">
        <v>1733</v>
      </c>
    </row>
    <row r="252" spans="1:2" x14ac:dyDescent="0.25">
      <c r="A252" t="s">
        <v>1734</v>
      </c>
      <c r="B252" s="220" t="s">
        <v>1723</v>
      </c>
    </row>
    <row r="253" spans="1:2" x14ac:dyDescent="0.25">
      <c r="A253" t="s">
        <v>1735</v>
      </c>
      <c r="B253" s="220" t="s">
        <v>1736</v>
      </c>
    </row>
    <row r="254" spans="1:2" x14ac:dyDescent="0.25">
      <c r="A254" t="s">
        <v>1737</v>
      </c>
      <c r="B254" s="220" t="s">
        <v>1738</v>
      </c>
    </row>
    <row r="255" spans="1:2" x14ac:dyDescent="0.25">
      <c r="A255" t="s">
        <v>1739</v>
      </c>
      <c r="B255" s="220" t="s">
        <v>1740</v>
      </c>
    </row>
    <row r="256" spans="1:2" x14ac:dyDescent="0.25">
      <c r="A256" t="s">
        <v>1741</v>
      </c>
      <c r="B256" s="220" t="s">
        <v>1742</v>
      </c>
    </row>
    <row r="257" spans="1:2" x14ac:dyDescent="0.25">
      <c r="A257" t="s">
        <v>1743</v>
      </c>
      <c r="B257" s="220" t="s">
        <v>1744</v>
      </c>
    </row>
    <row r="258" spans="1:2" x14ac:dyDescent="0.25">
      <c r="A258" t="s">
        <v>1745</v>
      </c>
      <c r="B258" s="220" t="s">
        <v>1746</v>
      </c>
    </row>
    <row r="259" spans="1:2" x14ac:dyDescent="0.25">
      <c r="A259" t="s">
        <v>1747</v>
      </c>
      <c r="B259" s="220" t="s">
        <v>1748</v>
      </c>
    </row>
    <row r="260" spans="1:2" x14ac:dyDescent="0.25">
      <c r="A260" t="s">
        <v>1749</v>
      </c>
      <c r="B260" s="220" t="s">
        <v>1750</v>
      </c>
    </row>
    <row r="261" spans="1:2" x14ac:dyDescent="0.25">
      <c r="A261" t="s">
        <v>1751</v>
      </c>
      <c r="B261" s="220" t="s">
        <v>1752</v>
      </c>
    </row>
    <row r="262" spans="1:2" x14ac:dyDescent="0.25">
      <c r="A262" t="s">
        <v>1753</v>
      </c>
      <c r="B262" s="220" t="s">
        <v>1754</v>
      </c>
    </row>
    <row r="263" spans="1:2" x14ac:dyDescent="0.25">
      <c r="A263" t="s">
        <v>1755</v>
      </c>
      <c r="B263" s="220" t="s">
        <v>1756</v>
      </c>
    </row>
    <row r="264" spans="1:2" x14ac:dyDescent="0.25">
      <c r="A264" t="s">
        <v>1757</v>
      </c>
      <c r="B264" s="220" t="s">
        <v>1758</v>
      </c>
    </row>
    <row r="265" spans="1:2" x14ac:dyDescent="0.25">
      <c r="A265" t="s">
        <v>1759</v>
      </c>
      <c r="B265" s="220" t="s">
        <v>1760</v>
      </c>
    </row>
    <row r="266" spans="1:2" x14ac:dyDescent="0.25">
      <c r="A266" t="s">
        <v>1761</v>
      </c>
      <c r="B266" s="220" t="s">
        <v>1762</v>
      </c>
    </row>
    <row r="267" spans="1:2" x14ac:dyDescent="0.25">
      <c r="A267" t="s">
        <v>1763</v>
      </c>
      <c r="B267" s="220" t="s">
        <v>1764</v>
      </c>
    </row>
    <row r="268" spans="1:2" x14ac:dyDescent="0.25">
      <c r="A268" t="s">
        <v>1765</v>
      </c>
      <c r="B268" s="220" t="s">
        <v>1766</v>
      </c>
    </row>
    <row r="269" spans="1:2" x14ac:dyDescent="0.25">
      <c r="A269" t="s">
        <v>1767</v>
      </c>
      <c r="B269" s="220" t="s">
        <v>1768</v>
      </c>
    </row>
    <row r="270" spans="1:2" x14ac:dyDescent="0.25">
      <c r="A270" t="s">
        <v>1769</v>
      </c>
      <c r="B270" s="220" t="s">
        <v>1768</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_VersionControl">
    <pageSetUpPr fitToPage="1"/>
  </sheetPr>
  <dimension ref="B2:K29"/>
  <sheetViews>
    <sheetView showGridLines="0" zoomScale="70" zoomScaleNormal="70" workbookViewId="0">
      <selection activeCell="B30" sqref="B30"/>
    </sheetView>
  </sheetViews>
  <sheetFormatPr defaultColWidth="9.140625" defaultRowHeight="12.75" x14ac:dyDescent="0.25"/>
  <cols>
    <col min="1" max="1" width="5.7109375" style="2" customWidth="1"/>
    <col min="2" max="2" width="20.7109375" style="161" customWidth="1"/>
    <col min="3" max="3" width="55.7109375" style="2" customWidth="1"/>
    <col min="4" max="4" width="20.7109375" style="403" customWidth="1"/>
    <col min="5" max="9" width="9.140625" style="2"/>
    <col min="10" max="10" width="57.28515625" style="2" customWidth="1"/>
    <col min="11" max="11" width="12.7109375" style="2" customWidth="1"/>
    <col min="12" max="16384" width="9.140625" style="2"/>
  </cols>
  <sheetData>
    <row r="2" spans="2:11" s="13" customFormat="1" ht="20.25" x14ac:dyDescent="0.25">
      <c r="B2" s="407"/>
      <c r="D2" s="405"/>
    </row>
    <row r="3" spans="2:11" ht="18.600000000000001" customHeight="1" x14ac:dyDescent="0.25">
      <c r="C3" s="14" t="s">
        <v>787</v>
      </c>
      <c r="D3" s="406"/>
    </row>
    <row r="4" spans="2:11" ht="12.6" customHeight="1" x14ac:dyDescent="0.25">
      <c r="C4" s="15"/>
      <c r="D4" s="406"/>
    </row>
    <row r="5" spans="2:11" ht="12.6" customHeight="1" x14ac:dyDescent="0.25">
      <c r="C5" s="15"/>
      <c r="D5" s="406"/>
    </row>
    <row r="7" spans="2:11" x14ac:dyDescent="0.25">
      <c r="B7" s="408"/>
    </row>
    <row r="8" spans="2:11" ht="24.95" customHeight="1" x14ac:dyDescent="0.25">
      <c r="B8" s="409" t="s">
        <v>726</v>
      </c>
      <c r="C8" s="492" t="s">
        <v>787</v>
      </c>
      <c r="D8" s="493"/>
      <c r="I8" s="412"/>
      <c r="J8" s="412"/>
      <c r="K8" s="413"/>
    </row>
    <row r="9" spans="2:11" ht="24.95" customHeight="1" x14ac:dyDescent="0.25">
      <c r="B9" s="409" t="s">
        <v>727</v>
      </c>
      <c r="C9" s="494" t="str">
        <f>LOOKUP(2,1/(B:B&lt;&gt;""),B:B)</f>
        <v>1.10</v>
      </c>
      <c r="D9" s="493"/>
      <c r="I9" s="414"/>
      <c r="J9" s="415"/>
      <c r="K9" s="416"/>
    </row>
    <row r="10" spans="2:11" ht="24.95" customHeight="1" x14ac:dyDescent="0.25">
      <c r="B10" s="409" t="s">
        <v>728</v>
      </c>
      <c r="C10" s="492" t="s">
        <v>1795</v>
      </c>
      <c r="D10" s="493"/>
      <c r="I10" s="414"/>
      <c r="J10" s="415"/>
      <c r="K10" s="416"/>
    </row>
    <row r="11" spans="2:11" ht="24.95" customHeight="1" x14ac:dyDescent="0.25">
      <c r="B11" s="409" t="s">
        <v>729</v>
      </c>
      <c r="C11" s="492" t="s">
        <v>1199</v>
      </c>
      <c r="D11" s="493"/>
    </row>
    <row r="12" spans="2:11" ht="24.95" customHeight="1" x14ac:dyDescent="0.25">
      <c r="B12" s="409" t="s">
        <v>730</v>
      </c>
      <c r="C12" s="490">
        <f>MAX(D:D)</f>
        <v>46163</v>
      </c>
      <c r="D12" s="491"/>
    </row>
    <row r="13" spans="2:11" x14ac:dyDescent="0.25">
      <c r="B13" s="410"/>
    </row>
    <row r="14" spans="2:11" x14ac:dyDescent="0.25">
      <c r="B14" s="410"/>
    </row>
    <row r="15" spans="2:11" x14ac:dyDescent="0.25">
      <c r="B15" s="410"/>
    </row>
    <row r="16" spans="2:11" x14ac:dyDescent="0.25">
      <c r="B16" s="401" t="s">
        <v>731</v>
      </c>
    </row>
    <row r="17" spans="2:4" x14ac:dyDescent="0.25">
      <c r="B17" s="411"/>
    </row>
    <row r="18" spans="2:4" ht="24.95" customHeight="1" x14ac:dyDescent="0.25">
      <c r="B18" s="3" t="s">
        <v>732</v>
      </c>
      <c r="C18" s="3" t="s">
        <v>733</v>
      </c>
      <c r="D18" s="404" t="s">
        <v>734</v>
      </c>
    </row>
    <row r="19" spans="2:4" x14ac:dyDescent="0.25">
      <c r="B19" s="4">
        <v>1</v>
      </c>
      <c r="C19" s="147" t="s">
        <v>1888</v>
      </c>
      <c r="D19" s="5">
        <v>43900</v>
      </c>
    </row>
    <row r="20" spans="2:4" x14ac:dyDescent="0.25">
      <c r="B20" s="4">
        <v>1.01</v>
      </c>
      <c r="C20" s="147" t="s">
        <v>1885</v>
      </c>
      <c r="D20" s="5">
        <v>43910</v>
      </c>
    </row>
    <row r="21" spans="2:4" x14ac:dyDescent="0.25">
      <c r="B21" s="479">
        <v>1.02</v>
      </c>
      <c r="C21" s="417" t="s">
        <v>1889</v>
      </c>
      <c r="D21" s="418">
        <v>43933</v>
      </c>
    </row>
    <row r="22" spans="2:4" x14ac:dyDescent="0.25">
      <c r="B22" s="479">
        <v>1.03</v>
      </c>
      <c r="C22" s="417" t="s">
        <v>1890</v>
      </c>
      <c r="D22" s="418">
        <v>43949</v>
      </c>
    </row>
    <row r="23" spans="2:4" x14ac:dyDescent="0.25">
      <c r="B23" s="479">
        <v>1.04</v>
      </c>
      <c r="C23" s="417" t="s">
        <v>5951</v>
      </c>
      <c r="D23" s="418">
        <v>44337</v>
      </c>
    </row>
    <row r="24" spans="2:4" x14ac:dyDescent="0.25">
      <c r="B24" s="479">
        <v>1.05</v>
      </c>
      <c r="C24" s="417" t="s">
        <v>5962</v>
      </c>
      <c r="D24" s="418">
        <v>44650</v>
      </c>
    </row>
    <row r="25" spans="2:4" x14ac:dyDescent="0.25">
      <c r="B25" s="479">
        <v>1.06</v>
      </c>
      <c r="C25" s="417" t="s">
        <v>5967</v>
      </c>
      <c r="D25" s="418">
        <v>45015</v>
      </c>
    </row>
    <row r="26" spans="2:4" x14ac:dyDescent="0.25">
      <c r="B26" s="479" t="s">
        <v>5968</v>
      </c>
      <c r="C26" s="417" t="s">
        <v>5969</v>
      </c>
      <c r="D26" s="418">
        <v>45168</v>
      </c>
    </row>
    <row r="27" spans="2:4" x14ac:dyDescent="0.25">
      <c r="B27" s="479">
        <v>1.08</v>
      </c>
      <c r="C27" s="417" t="s">
        <v>5971</v>
      </c>
      <c r="D27" s="418">
        <v>45412</v>
      </c>
    </row>
    <row r="28" spans="2:4" x14ac:dyDescent="0.25">
      <c r="B28" s="479">
        <v>1.0900000000000001</v>
      </c>
      <c r="C28" s="417" t="s">
        <v>5974</v>
      </c>
      <c r="D28" s="418">
        <v>45750</v>
      </c>
    </row>
    <row r="29" spans="2:4" x14ac:dyDescent="0.25">
      <c r="B29" s="480" t="s">
        <v>5979</v>
      </c>
      <c r="C29" s="417" t="s">
        <v>5978</v>
      </c>
      <c r="D29" s="418">
        <v>46163</v>
      </c>
    </row>
  </sheetData>
  <sheetProtection selectLockedCells="1" autoFilter="0"/>
  <dataConsolidate/>
  <mergeCells count="5">
    <mergeCell ref="C12:D12"/>
    <mergeCell ref="C8:D8"/>
    <mergeCell ref="C9:D9"/>
    <mergeCell ref="C10:D10"/>
    <mergeCell ref="C11:D11"/>
  </mergeCells>
  <phoneticPr fontId="87" type="noConversion"/>
  <pageMargins left="0.70866141732283472" right="0.70866141732283472" top="0.74803149606299213" bottom="0.74803149606299213" header="0.31496062992125984" footer="0.31496062992125984"/>
  <pageSetup paperSize="9" scale="1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9DE3-7877-4CB7-8B2C-9B87F2D3EFD8}">
  <sheetPr codeName="VBConstants">
    <tabColor rgb="FFFF0000"/>
  </sheetPr>
  <dimension ref="A1:J24"/>
  <sheetViews>
    <sheetView showGridLines="0" zoomScale="70" zoomScaleNormal="70" workbookViewId="0">
      <selection activeCell="B5" sqref="B5"/>
    </sheetView>
  </sheetViews>
  <sheetFormatPr defaultColWidth="8.85546875" defaultRowHeight="15" x14ac:dyDescent="0.25"/>
  <cols>
    <col min="1" max="1" width="22.28515625" bestFit="1" customWidth="1"/>
    <col min="2" max="2" width="28.42578125" bestFit="1" customWidth="1"/>
    <col min="3" max="6" width="15.85546875" bestFit="1" customWidth="1"/>
    <col min="8" max="8" width="16.5703125" bestFit="1" customWidth="1"/>
  </cols>
  <sheetData>
    <row r="1" spans="1:10" ht="20.25" x14ac:dyDescent="0.25">
      <c r="A1" t="s">
        <v>1028</v>
      </c>
      <c r="B1" t="s">
        <v>1042</v>
      </c>
      <c r="D1" s="159" t="s">
        <v>1206</v>
      </c>
      <c r="E1" s="159" t="s">
        <v>1029</v>
      </c>
      <c r="F1" s="84" t="s">
        <v>1875</v>
      </c>
      <c r="G1" t="s">
        <v>1040</v>
      </c>
    </row>
    <row r="2" spans="1:10" ht="14.45" customHeight="1" x14ac:dyDescent="0.25">
      <c r="D2" s="159"/>
      <c r="E2" s="159" t="s">
        <v>1042</v>
      </c>
      <c r="F2" s="83" t="s">
        <v>1876</v>
      </c>
      <c r="G2" t="s">
        <v>1041</v>
      </c>
    </row>
    <row r="3" spans="1:10" ht="14.45" customHeight="1" x14ac:dyDescent="0.25">
      <c r="A3" t="s">
        <v>1030</v>
      </c>
      <c r="B3" t="s">
        <v>1214</v>
      </c>
      <c r="F3" s="151" t="s">
        <v>1151</v>
      </c>
      <c r="G3" s="151">
        <v>0</v>
      </c>
    </row>
    <row r="4" spans="1:10" x14ac:dyDescent="0.25">
      <c r="F4" s="151" t="s">
        <v>1152</v>
      </c>
      <c r="G4" s="151">
        <v>3</v>
      </c>
    </row>
    <row r="5" spans="1:10" x14ac:dyDescent="0.25">
      <c r="A5" t="s">
        <v>980</v>
      </c>
      <c r="B5">
        <v>4</v>
      </c>
      <c r="F5" s="151" t="s">
        <v>1153</v>
      </c>
      <c r="G5" s="151">
        <v>0</v>
      </c>
    </row>
    <row r="6" spans="1:10" x14ac:dyDescent="0.25">
      <c r="A6" s="1" t="s">
        <v>981</v>
      </c>
      <c r="B6" s="1">
        <v>4</v>
      </c>
      <c r="F6" s="151" t="s">
        <v>1773</v>
      </c>
      <c r="G6" s="151">
        <v>0</v>
      </c>
    </row>
    <row r="7" spans="1:10" x14ac:dyDescent="0.25">
      <c r="A7" s="80" t="s">
        <v>1031</v>
      </c>
      <c r="B7" s="80">
        <v>4</v>
      </c>
      <c r="F7" s="151" t="s">
        <v>1797</v>
      </c>
      <c r="G7" s="151"/>
    </row>
    <row r="8" spans="1:10" x14ac:dyDescent="0.25">
      <c r="F8" s="151" t="s">
        <v>1798</v>
      </c>
      <c r="G8" s="151"/>
    </row>
    <row r="9" spans="1:10" x14ac:dyDescent="0.25">
      <c r="A9" s="80" t="s">
        <v>1032</v>
      </c>
      <c r="B9" s="80" t="s">
        <v>1214</v>
      </c>
    </row>
    <row r="10" spans="1:10" x14ac:dyDescent="0.25">
      <c r="A10" t="s">
        <v>1229</v>
      </c>
      <c r="B10" t="str">
        <f>getpath()</f>
        <v>S:\HERTFORD\HIGHWAYS\G-BS000_Structures\BC2--.YX - Asset Management\G-BSBC2.01 Structures Asset Mgt\Asset Management\Herts Structures Toolkit\2025-04 SAVI v1.09\SAVI v1.09 Package 20250403 135316</v>
      </c>
    </row>
    <row r="11" spans="1:10" x14ac:dyDescent="0.25">
      <c r="A11" s="80" t="s">
        <v>1033</v>
      </c>
      <c r="B11" s="80">
        <v>1880963251424</v>
      </c>
    </row>
    <row r="13" spans="1:10" ht="15.75" thickBot="1" x14ac:dyDescent="0.3">
      <c r="A13" s="237"/>
      <c r="B13" s="237"/>
      <c r="C13" s="237"/>
      <c r="D13" s="237"/>
    </row>
    <row r="14" spans="1:10" ht="15.75" thickBot="1" x14ac:dyDescent="0.3">
      <c r="A14" s="229" t="s">
        <v>1786</v>
      </c>
      <c r="B14" s="80" t="s">
        <v>1034</v>
      </c>
      <c r="C14" s="80" t="s">
        <v>1035</v>
      </c>
      <c r="D14" s="80" t="s">
        <v>1036</v>
      </c>
      <c r="E14" s="81" t="s">
        <v>1037</v>
      </c>
      <c r="F14" s="81" t="s">
        <v>1038</v>
      </c>
      <c r="I14" s="89" t="s">
        <v>1043</v>
      </c>
      <c r="J14" s="88" t="s">
        <v>1046</v>
      </c>
    </row>
    <row r="15" spans="1:10" x14ac:dyDescent="0.25">
      <c r="A15" s="228">
        <v>45750.578113425923</v>
      </c>
      <c r="B15" s="82"/>
      <c r="C15" s="82"/>
      <c r="D15" s="82"/>
      <c r="E15" s="92"/>
      <c r="F15" s="92"/>
      <c r="H15" t="s">
        <v>1112</v>
      </c>
      <c r="I15" s="90" t="s">
        <v>1044</v>
      </c>
      <c r="J15" s="86">
        <f>1/24</f>
        <v>4.1666666666666664E-2</v>
      </c>
    </row>
    <row r="16" spans="1:10" ht="15.75" thickBot="1" x14ac:dyDescent="0.3">
      <c r="A16" s="228">
        <v>45750.578657407408</v>
      </c>
      <c r="B16" s="80"/>
      <c r="C16" s="80"/>
      <c r="D16" s="80"/>
      <c r="E16" s="81"/>
      <c r="F16" s="81"/>
      <c r="H16" t="s">
        <v>1113</v>
      </c>
      <c r="I16" s="91" t="s">
        <v>1045</v>
      </c>
      <c r="J16" s="87">
        <f>J15/4</f>
        <v>1.0416666666666666E-2</v>
      </c>
    </row>
    <row r="17" spans="1:6" x14ac:dyDescent="0.25">
      <c r="A17" s="229" t="str">
        <f>ROUNDUP((A16-A15)*(60*60*24),0)&amp;" sec(s)"</f>
        <v>48 sec(s)</v>
      </c>
      <c r="B17" s="80"/>
      <c r="C17" s="80"/>
      <c r="D17" s="80"/>
      <c r="E17" s="81"/>
      <c r="F17" s="81"/>
    </row>
    <row r="19" spans="1:6" x14ac:dyDescent="0.25">
      <c r="A19" s="80" t="s">
        <v>1039</v>
      </c>
      <c r="B19" s="80" t="str">
        <f ca="1">CONCATENATE('Main Page'!J47,"+",'Main Page'!J48,"+",'Main Page'!J49,"+",'Main Page'!J50,"+",'Main Page'!J51)</f>
        <v>Valid+Valid+Valid+Valid+Valid</v>
      </c>
    </row>
    <row r="21" spans="1:6" x14ac:dyDescent="0.25">
      <c r="E21" s="145"/>
      <c r="F21" s="146"/>
    </row>
    <row r="22" spans="1:6" x14ac:dyDescent="0.25">
      <c r="E22" s="145"/>
      <c r="F22" s="146"/>
    </row>
    <row r="23" spans="1:6" x14ac:dyDescent="0.25">
      <c r="E23" s="145"/>
      <c r="F23" s="146"/>
    </row>
    <row r="24" spans="1:6" x14ac:dyDescent="0.25">
      <c r="E24" s="145"/>
      <c r="F24" s="146"/>
    </row>
  </sheetData>
  <conditionalFormatting sqref="N27:AA27">
    <cfRule type="expression" priority="1">
      <formula>MODE=$E$1</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_MainPage">
    <tabColor theme="1"/>
    <pageSetUpPr autoPageBreaks="0"/>
  </sheetPr>
  <dimension ref="A1:CZ84"/>
  <sheetViews>
    <sheetView showGridLines="0" showRowColHeaders="0" zoomScale="70" zoomScaleNormal="70" workbookViewId="0">
      <selection activeCell="AN49" sqref="AN49"/>
    </sheetView>
  </sheetViews>
  <sheetFormatPr defaultColWidth="9.140625" defaultRowHeight="12.75" customHeight="1" x14ac:dyDescent="0.2"/>
  <cols>
    <col min="1" max="49" width="3.140625" style="1" customWidth="1"/>
    <col min="50" max="51" width="3.5703125" style="1" customWidth="1"/>
    <col min="52" max="85" width="3.140625" style="1" customWidth="1"/>
    <col min="86" max="91" width="9.140625" style="1" customWidth="1"/>
    <col min="92" max="100" width="9.140625" style="93" customWidth="1"/>
    <col min="101" max="16384" width="9.140625" style="1"/>
  </cols>
  <sheetData>
    <row r="1" spans="1:102" ht="12.75" customHeight="1" x14ac:dyDescent="0.5">
      <c r="B1" s="425"/>
      <c r="C1" s="425"/>
      <c r="D1" s="425"/>
      <c r="E1" s="425"/>
      <c r="F1" s="425"/>
      <c r="G1" s="425"/>
      <c r="H1" s="425"/>
      <c r="I1" s="425"/>
      <c r="J1" s="425"/>
      <c r="K1" s="425"/>
      <c r="L1" s="425"/>
      <c r="M1" s="425"/>
      <c r="N1" s="425"/>
      <c r="O1" s="425"/>
      <c r="P1" s="425"/>
      <c r="Q1" s="425"/>
      <c r="R1" s="425"/>
      <c r="S1" s="425"/>
      <c r="T1" s="425"/>
      <c r="U1" s="425"/>
      <c r="V1" s="425"/>
      <c r="W1" s="425"/>
      <c r="X1" s="425"/>
      <c r="Y1" s="425"/>
      <c r="Z1" s="425"/>
      <c r="AA1" s="425"/>
      <c r="AB1" s="425"/>
      <c r="AC1" s="425"/>
      <c r="AD1" s="425"/>
      <c r="AE1" s="425"/>
      <c r="AF1" s="425"/>
      <c r="AG1" s="425"/>
      <c r="AH1" s="425"/>
      <c r="AI1" s="425"/>
      <c r="AJ1" s="425"/>
      <c r="AK1" s="425"/>
      <c r="AL1" s="425"/>
      <c r="AM1" s="425"/>
      <c r="AN1" s="425"/>
      <c r="AO1" s="425"/>
      <c r="AP1" s="426"/>
      <c r="AQ1" s="426"/>
      <c r="AR1" s="426"/>
      <c r="AS1" s="426"/>
      <c r="AT1" s="426"/>
      <c r="AU1" s="426"/>
      <c r="AV1" s="426"/>
      <c r="AW1" s="426"/>
      <c r="AX1" s="426"/>
      <c r="AY1" s="426"/>
      <c r="AZ1" s="426"/>
      <c r="BA1" s="426"/>
      <c r="BB1" s="426"/>
      <c r="BC1" s="426"/>
      <c r="CO1" s="427"/>
      <c r="CP1" s="160"/>
      <c r="CQ1" s="160"/>
      <c r="CR1" s="160"/>
      <c r="CS1" s="160"/>
    </row>
    <row r="2" spans="1:102" ht="12.75" customHeight="1" x14ac:dyDescent="0.5">
      <c r="B2" s="425"/>
      <c r="C2" s="425"/>
      <c r="D2" s="425"/>
      <c r="E2" s="425"/>
      <c r="F2" s="425"/>
      <c r="G2" s="507" t="s">
        <v>787</v>
      </c>
      <c r="H2" s="507"/>
      <c r="I2" s="507"/>
      <c r="J2" s="507"/>
      <c r="K2" s="507"/>
      <c r="L2" s="507"/>
      <c r="M2" s="507"/>
      <c r="N2" s="507"/>
      <c r="O2" s="507"/>
      <c r="P2" s="507"/>
      <c r="Q2" s="507"/>
      <c r="R2" s="507"/>
      <c r="S2" s="507"/>
      <c r="T2" s="507"/>
      <c r="U2" s="507"/>
      <c r="V2" s="507"/>
      <c r="W2" s="507"/>
      <c r="X2" s="507"/>
      <c r="Y2" s="507"/>
      <c r="Z2" s="507"/>
      <c r="AA2" s="507"/>
      <c r="AB2" s="507"/>
      <c r="AC2" s="507"/>
      <c r="AD2" s="507"/>
      <c r="AE2" s="507"/>
      <c r="AF2" s="507"/>
      <c r="AG2" s="507"/>
      <c r="AH2" s="507"/>
      <c r="AI2" s="507"/>
      <c r="AJ2" s="507"/>
      <c r="AK2" s="507"/>
      <c r="AL2" s="507"/>
      <c r="AM2" s="507"/>
      <c r="AN2" s="507"/>
      <c r="AO2" s="507"/>
      <c r="AP2" s="507"/>
      <c r="AQ2" s="507"/>
      <c r="AR2" s="507"/>
      <c r="AS2" s="507"/>
      <c r="AT2" s="507"/>
      <c r="AU2" s="507"/>
      <c r="AV2" s="507"/>
      <c r="AW2" s="507"/>
      <c r="AX2" s="507"/>
      <c r="AY2" s="507"/>
      <c r="AZ2" s="507"/>
      <c r="BA2" s="507"/>
      <c r="BB2" s="507"/>
      <c r="BC2" s="426"/>
      <c r="CO2" s="427"/>
      <c r="CP2" s="160"/>
      <c r="CQ2" s="160"/>
      <c r="CR2" s="160"/>
      <c r="CS2" s="160"/>
    </row>
    <row r="3" spans="1:102" ht="12.75" customHeight="1" x14ac:dyDescent="0.5">
      <c r="B3" s="425"/>
      <c r="C3" s="425"/>
      <c r="D3" s="425"/>
      <c r="E3" s="425"/>
      <c r="F3" s="425"/>
      <c r="G3" s="507"/>
      <c r="H3" s="507"/>
      <c r="I3" s="507"/>
      <c r="J3" s="507"/>
      <c r="K3" s="507"/>
      <c r="L3" s="507"/>
      <c r="M3" s="507"/>
      <c r="N3" s="507"/>
      <c r="O3" s="507"/>
      <c r="P3" s="507"/>
      <c r="Q3" s="507"/>
      <c r="R3" s="507"/>
      <c r="S3" s="507"/>
      <c r="T3" s="507"/>
      <c r="U3" s="507"/>
      <c r="V3" s="507"/>
      <c r="W3" s="507"/>
      <c r="X3" s="507"/>
      <c r="Y3" s="507"/>
      <c r="Z3" s="507"/>
      <c r="AA3" s="507"/>
      <c r="AB3" s="507"/>
      <c r="AC3" s="507"/>
      <c r="AD3" s="507"/>
      <c r="AE3" s="507"/>
      <c r="AF3" s="507"/>
      <c r="AG3" s="507"/>
      <c r="AH3" s="507"/>
      <c r="AI3" s="507"/>
      <c r="AJ3" s="507"/>
      <c r="AK3" s="507"/>
      <c r="AL3" s="507"/>
      <c r="AM3" s="507"/>
      <c r="AN3" s="507"/>
      <c r="AO3" s="507"/>
      <c r="AP3" s="507"/>
      <c r="AQ3" s="507"/>
      <c r="AR3" s="507"/>
      <c r="AS3" s="507"/>
      <c r="AT3" s="507"/>
      <c r="AU3" s="507"/>
      <c r="AV3" s="507"/>
      <c r="AW3" s="507"/>
      <c r="AX3" s="507"/>
      <c r="AY3" s="507"/>
      <c r="AZ3" s="507"/>
      <c r="BA3" s="507"/>
      <c r="BB3" s="507"/>
      <c r="BC3" s="426"/>
      <c r="CO3" s="427"/>
      <c r="CP3" s="160"/>
      <c r="CQ3" s="160"/>
      <c r="CR3" s="160"/>
      <c r="CS3" s="160"/>
    </row>
    <row r="4" spans="1:102" ht="12.75" customHeight="1" x14ac:dyDescent="0.5">
      <c r="B4" s="425"/>
      <c r="C4" s="425"/>
      <c r="D4" s="425"/>
      <c r="E4" s="425"/>
      <c r="F4" s="425"/>
      <c r="G4" s="507"/>
      <c r="H4" s="507"/>
      <c r="I4" s="507"/>
      <c r="J4" s="507"/>
      <c r="K4" s="507"/>
      <c r="L4" s="507"/>
      <c r="M4" s="507"/>
      <c r="N4" s="507"/>
      <c r="O4" s="507"/>
      <c r="P4" s="507"/>
      <c r="Q4" s="507"/>
      <c r="R4" s="507"/>
      <c r="S4" s="507"/>
      <c r="T4" s="507"/>
      <c r="U4" s="507"/>
      <c r="V4" s="507"/>
      <c r="W4" s="507"/>
      <c r="X4" s="507"/>
      <c r="Y4" s="507"/>
      <c r="Z4" s="507"/>
      <c r="AA4" s="507"/>
      <c r="AB4" s="507"/>
      <c r="AC4" s="507"/>
      <c r="AD4" s="507"/>
      <c r="AE4" s="507"/>
      <c r="AF4" s="507"/>
      <c r="AG4" s="507"/>
      <c r="AH4" s="507"/>
      <c r="AI4" s="507"/>
      <c r="AJ4" s="507"/>
      <c r="AK4" s="507"/>
      <c r="AL4" s="507"/>
      <c r="AM4" s="507"/>
      <c r="AN4" s="507"/>
      <c r="AO4" s="507"/>
      <c r="AP4" s="507"/>
      <c r="AQ4" s="507"/>
      <c r="AR4" s="507"/>
      <c r="AS4" s="507"/>
      <c r="AT4" s="507"/>
      <c r="AU4" s="507"/>
      <c r="AV4" s="507"/>
      <c r="AW4" s="507"/>
      <c r="AX4" s="507"/>
      <c r="AY4" s="507"/>
      <c r="AZ4" s="507"/>
      <c r="BA4" s="507"/>
      <c r="BB4" s="507"/>
      <c r="BC4" s="426"/>
      <c r="CN4" s="1"/>
      <c r="CO4" s="1"/>
      <c r="CP4" s="160"/>
      <c r="CQ4" s="160"/>
      <c r="CR4" s="160"/>
      <c r="CS4" s="160"/>
    </row>
    <row r="5" spans="1:102" ht="12.75" customHeight="1" x14ac:dyDescent="0.5">
      <c r="B5" s="425"/>
      <c r="C5" s="425"/>
      <c r="D5" s="425"/>
      <c r="E5" s="425"/>
      <c r="F5" s="425"/>
      <c r="G5" s="507"/>
      <c r="H5" s="507"/>
      <c r="I5" s="507"/>
      <c r="J5" s="507"/>
      <c r="K5" s="507"/>
      <c r="L5" s="507"/>
      <c r="M5" s="507"/>
      <c r="N5" s="507"/>
      <c r="O5" s="507"/>
      <c r="P5" s="507"/>
      <c r="Q5" s="507"/>
      <c r="R5" s="507"/>
      <c r="S5" s="507"/>
      <c r="T5" s="507"/>
      <c r="U5" s="507"/>
      <c r="V5" s="507"/>
      <c r="W5" s="507"/>
      <c r="X5" s="507"/>
      <c r="Y5" s="507"/>
      <c r="Z5" s="507"/>
      <c r="AA5" s="507"/>
      <c r="AB5" s="507"/>
      <c r="AC5" s="507"/>
      <c r="AD5" s="507"/>
      <c r="AE5" s="507"/>
      <c r="AF5" s="507"/>
      <c r="AG5" s="507"/>
      <c r="AH5" s="507"/>
      <c r="AI5" s="507"/>
      <c r="AJ5" s="507"/>
      <c r="AK5" s="507"/>
      <c r="AL5" s="507"/>
      <c r="AM5" s="507"/>
      <c r="AN5" s="507"/>
      <c r="AO5" s="507"/>
      <c r="AP5" s="507"/>
      <c r="AQ5" s="507"/>
      <c r="AR5" s="507"/>
      <c r="AS5" s="507"/>
      <c r="AT5" s="507"/>
      <c r="AU5" s="507"/>
      <c r="AV5" s="507"/>
      <c r="AW5" s="507"/>
      <c r="AX5" s="507"/>
      <c r="AY5" s="507"/>
      <c r="AZ5" s="507"/>
      <c r="BA5" s="507"/>
      <c r="BB5" s="507"/>
      <c r="BC5" s="426"/>
      <c r="CN5" s="1"/>
      <c r="CO5" s="1"/>
      <c r="CP5" s="160"/>
      <c r="CQ5" s="160"/>
      <c r="CR5" s="160"/>
      <c r="CS5" s="160"/>
    </row>
    <row r="6" spans="1:102" ht="12.6" customHeight="1" x14ac:dyDescent="0.2">
      <c r="B6" s="428"/>
      <c r="C6" s="429"/>
      <c r="D6" s="429"/>
      <c r="E6" s="429"/>
      <c r="F6" s="429"/>
      <c r="G6" s="429"/>
      <c r="H6" s="429"/>
      <c r="I6" s="508" t="str">
        <f>"Version "&amp;'Version Control'!C9</f>
        <v>Version 1.10</v>
      </c>
      <c r="J6" s="508"/>
      <c r="K6" s="508"/>
      <c r="L6" s="508"/>
      <c r="M6" s="508"/>
      <c r="N6" s="508"/>
      <c r="O6" s="508"/>
      <c r="P6" s="508"/>
      <c r="Q6" s="508"/>
      <c r="R6" s="508"/>
      <c r="S6" s="508"/>
      <c r="T6" s="508"/>
      <c r="U6" s="508"/>
      <c r="V6" s="508"/>
      <c r="W6" s="508"/>
      <c r="X6" s="508"/>
      <c r="Y6" s="508"/>
      <c r="Z6" s="508"/>
      <c r="AA6" s="508"/>
      <c r="AB6" s="508"/>
      <c r="AC6" s="508"/>
      <c r="AD6" s="508"/>
      <c r="AE6" s="508"/>
      <c r="AF6" s="508"/>
      <c r="AG6" s="508"/>
      <c r="AH6" s="508"/>
      <c r="AI6" s="508"/>
      <c r="AJ6" s="508"/>
      <c r="AK6" s="508"/>
      <c r="AL6" s="508"/>
      <c r="AM6" s="508"/>
      <c r="AN6" s="508"/>
      <c r="AO6" s="508"/>
      <c r="AP6" s="508"/>
      <c r="AQ6" s="508"/>
      <c r="AR6" s="508"/>
      <c r="AS6" s="508"/>
      <c r="AT6" s="508"/>
      <c r="AU6" s="508"/>
      <c r="AV6" s="508"/>
      <c r="AW6" s="508"/>
      <c r="AX6" s="508"/>
      <c r="AY6" s="508"/>
      <c r="AZ6" s="508"/>
      <c r="BA6" s="508"/>
      <c r="BB6" s="429"/>
      <c r="BC6" s="429"/>
      <c r="BD6" s="429"/>
      <c r="CJ6" s="110"/>
      <c r="CN6" s="1"/>
      <c r="CO6" s="1"/>
      <c r="CX6" s="161"/>
    </row>
    <row r="7" spans="1:102" ht="12.75" customHeight="1" x14ac:dyDescent="0.2">
      <c r="B7" s="428"/>
      <c r="C7" s="429"/>
      <c r="D7" s="429"/>
      <c r="E7" s="429"/>
      <c r="F7" s="429"/>
      <c r="G7" s="429"/>
      <c r="H7" s="429"/>
      <c r="I7" s="430"/>
      <c r="J7" s="430"/>
      <c r="K7" s="430"/>
      <c r="L7" s="430"/>
      <c r="M7" s="430"/>
      <c r="N7" s="430"/>
      <c r="O7" s="430"/>
      <c r="P7" s="430"/>
      <c r="Q7" s="430"/>
      <c r="R7" s="430"/>
      <c r="S7" s="430"/>
      <c r="T7" s="430"/>
      <c r="U7" s="430"/>
      <c r="V7" s="430"/>
      <c r="W7" s="430"/>
      <c r="X7" s="430"/>
      <c r="Y7" s="430"/>
      <c r="Z7" s="430"/>
      <c r="AA7" s="430"/>
      <c r="AB7" s="430"/>
      <c r="AC7" s="430"/>
      <c r="AD7" s="430"/>
      <c r="AE7" s="430"/>
      <c r="AF7" s="430"/>
      <c r="AG7" s="430"/>
      <c r="AH7" s="430"/>
      <c r="AI7" s="430"/>
      <c r="AJ7" s="430"/>
      <c r="AK7" s="430"/>
      <c r="AL7" s="430"/>
      <c r="AM7" s="430"/>
      <c r="AN7" s="430"/>
      <c r="AO7" s="430"/>
      <c r="AP7" s="430"/>
      <c r="AQ7" s="430"/>
      <c r="AR7" s="430"/>
      <c r="AS7" s="430"/>
      <c r="AT7" s="430"/>
      <c r="AU7" s="430"/>
      <c r="AV7" s="430"/>
      <c r="AW7" s="430"/>
      <c r="AX7" s="430"/>
      <c r="AY7" s="430"/>
      <c r="AZ7" s="430"/>
      <c r="BA7" s="430"/>
      <c r="BB7" s="429"/>
      <c r="BC7" s="429"/>
      <c r="BD7" s="429"/>
      <c r="CJ7" s="110"/>
      <c r="CN7" s="1"/>
      <c r="CO7" s="1"/>
      <c r="CX7" s="161"/>
    </row>
    <row r="8" spans="1:102" ht="12.75" customHeight="1" x14ac:dyDescent="0.2">
      <c r="A8" s="510" t="str">
        <f>IF(MODE=VBConstants!E1,VBConstants!F1,IF(MODE=VBConstants!E2,VBConstants!F2,""))</f>
        <v>SAVI is currently in Edit Data Mode. Input and changes to data or parameters are permitted. To run Analysis, please close Edit Data Mode via the SAVI Ribbon.</v>
      </c>
      <c r="B8" s="510"/>
      <c r="C8" s="510"/>
      <c r="D8" s="510"/>
      <c r="E8" s="510"/>
      <c r="F8" s="510"/>
      <c r="G8" s="510"/>
      <c r="H8" s="510"/>
      <c r="I8" s="510"/>
      <c r="J8" s="510"/>
      <c r="K8" s="510"/>
      <c r="L8" s="510"/>
      <c r="M8" s="510"/>
      <c r="N8" s="510"/>
      <c r="O8" s="510"/>
      <c r="P8" s="510"/>
      <c r="Q8" s="510"/>
      <c r="R8" s="510"/>
      <c r="S8" s="510"/>
      <c r="T8" s="510"/>
      <c r="U8" s="510"/>
      <c r="V8" s="510"/>
      <c r="W8" s="510"/>
      <c r="X8" s="510"/>
      <c r="Y8" s="510"/>
      <c r="Z8" s="510"/>
      <c r="AA8" s="510"/>
      <c r="AB8" s="510"/>
      <c r="AC8" s="510"/>
      <c r="AD8" s="510"/>
      <c r="AE8" s="510"/>
      <c r="AF8" s="510"/>
      <c r="AG8" s="510"/>
      <c r="AH8" s="510"/>
      <c r="AI8" s="510"/>
      <c r="AJ8" s="510"/>
      <c r="AK8" s="510"/>
      <c r="AL8" s="510"/>
      <c r="AM8" s="510"/>
      <c r="AN8" s="510"/>
      <c r="AO8" s="510"/>
      <c r="AP8" s="510"/>
      <c r="AQ8" s="510"/>
      <c r="AR8" s="510"/>
      <c r="AS8" s="510"/>
      <c r="AT8" s="510"/>
      <c r="AU8" s="510"/>
      <c r="AV8" s="510"/>
      <c r="AW8" s="510"/>
      <c r="AX8" s="510"/>
      <c r="AY8" s="510"/>
      <c r="AZ8" s="510"/>
      <c r="BA8" s="510"/>
      <c r="BB8" s="510"/>
      <c r="BC8" s="510"/>
      <c r="BD8" s="510"/>
      <c r="BE8" s="510"/>
      <c r="BF8" s="510"/>
      <c r="BG8" s="510"/>
      <c r="BH8" s="510"/>
      <c r="BI8" s="510"/>
      <c r="BJ8" s="510"/>
      <c r="BK8" s="510"/>
      <c r="BL8" s="510"/>
      <c r="BM8" s="510"/>
      <c r="BN8" s="510"/>
      <c r="BO8" s="510"/>
      <c r="BP8" s="510"/>
      <c r="BQ8" s="510"/>
      <c r="BR8" s="510"/>
      <c r="BS8" s="510"/>
      <c r="BT8" s="510"/>
      <c r="BU8" s="510"/>
      <c r="BV8" s="510"/>
      <c r="BW8" s="510"/>
      <c r="BX8" s="510"/>
      <c r="BY8" s="510"/>
      <c r="BZ8" s="510"/>
      <c r="CA8" s="510"/>
      <c r="CB8" s="510"/>
      <c r="CC8" s="510"/>
      <c r="CD8" s="510"/>
      <c r="CE8" s="510"/>
      <c r="CF8" s="510"/>
      <c r="CG8" s="510"/>
      <c r="CJ8" s="110"/>
      <c r="CN8" s="1"/>
      <c r="CO8" s="1"/>
      <c r="CX8" s="161"/>
    </row>
    <row r="9" spans="1:102" ht="12.75" customHeight="1" x14ac:dyDescent="0.2">
      <c r="A9" s="510"/>
      <c r="B9" s="510"/>
      <c r="C9" s="510"/>
      <c r="D9" s="510"/>
      <c r="E9" s="510"/>
      <c r="F9" s="510"/>
      <c r="G9" s="510"/>
      <c r="H9" s="510"/>
      <c r="I9" s="510"/>
      <c r="J9" s="510"/>
      <c r="K9" s="510"/>
      <c r="L9" s="510"/>
      <c r="M9" s="510"/>
      <c r="N9" s="510"/>
      <c r="O9" s="510"/>
      <c r="P9" s="510"/>
      <c r="Q9" s="510"/>
      <c r="R9" s="510"/>
      <c r="S9" s="510"/>
      <c r="T9" s="510"/>
      <c r="U9" s="510"/>
      <c r="V9" s="510"/>
      <c r="W9" s="510"/>
      <c r="X9" s="510"/>
      <c r="Y9" s="510"/>
      <c r="Z9" s="510"/>
      <c r="AA9" s="510"/>
      <c r="AB9" s="510"/>
      <c r="AC9" s="510"/>
      <c r="AD9" s="510"/>
      <c r="AE9" s="510"/>
      <c r="AF9" s="510"/>
      <c r="AG9" s="510"/>
      <c r="AH9" s="510"/>
      <c r="AI9" s="510"/>
      <c r="AJ9" s="510"/>
      <c r="AK9" s="510"/>
      <c r="AL9" s="510"/>
      <c r="AM9" s="510"/>
      <c r="AN9" s="510"/>
      <c r="AO9" s="510"/>
      <c r="AP9" s="510"/>
      <c r="AQ9" s="510"/>
      <c r="AR9" s="510"/>
      <c r="AS9" s="510"/>
      <c r="AT9" s="510"/>
      <c r="AU9" s="510"/>
      <c r="AV9" s="510"/>
      <c r="AW9" s="510"/>
      <c r="AX9" s="510"/>
      <c r="AY9" s="510"/>
      <c r="AZ9" s="510"/>
      <c r="BA9" s="510"/>
      <c r="BB9" s="510"/>
      <c r="BC9" s="510"/>
      <c r="BD9" s="510"/>
      <c r="BE9" s="510"/>
      <c r="BF9" s="510"/>
      <c r="BG9" s="510"/>
      <c r="BH9" s="510"/>
      <c r="BI9" s="510"/>
      <c r="BJ9" s="510"/>
      <c r="BK9" s="510"/>
      <c r="BL9" s="510"/>
      <c r="BM9" s="510"/>
      <c r="BN9" s="510"/>
      <c r="BO9" s="510"/>
      <c r="BP9" s="510"/>
      <c r="BQ9" s="510"/>
      <c r="BR9" s="510"/>
      <c r="BS9" s="510"/>
      <c r="BT9" s="510"/>
      <c r="BU9" s="510"/>
      <c r="BV9" s="510"/>
      <c r="BW9" s="510"/>
      <c r="BX9" s="510"/>
      <c r="BY9" s="510"/>
      <c r="BZ9" s="510"/>
      <c r="CA9" s="510"/>
      <c r="CB9" s="510"/>
      <c r="CC9" s="510"/>
      <c r="CD9" s="510"/>
      <c r="CE9" s="510"/>
      <c r="CF9" s="510"/>
      <c r="CG9" s="510"/>
      <c r="CJ9" s="110"/>
      <c r="CN9" s="1"/>
      <c r="CO9" s="1"/>
      <c r="CX9" s="161"/>
    </row>
    <row r="10" spans="1:102" ht="12.75" customHeight="1" x14ac:dyDescent="0.2">
      <c r="B10" s="431"/>
      <c r="C10" s="431"/>
      <c r="D10" s="431"/>
      <c r="E10" s="431"/>
      <c r="F10" s="431"/>
      <c r="G10" s="431"/>
      <c r="H10" s="431"/>
      <c r="I10" s="431"/>
      <c r="J10" s="431"/>
      <c r="K10" s="431"/>
      <c r="L10" s="431"/>
      <c r="M10" s="431"/>
      <c r="N10" s="431"/>
      <c r="O10" s="431"/>
      <c r="P10" s="431"/>
      <c r="Q10" s="431"/>
      <c r="R10" s="431"/>
      <c r="S10" s="431"/>
      <c r="T10" s="431"/>
      <c r="U10" s="431"/>
      <c r="V10" s="431"/>
      <c r="W10" s="432"/>
      <c r="X10" s="432"/>
      <c r="Y10" s="432"/>
      <c r="Z10" s="432"/>
      <c r="BE10" s="432"/>
      <c r="BF10" s="432"/>
      <c r="BG10" s="432"/>
      <c r="BH10" s="432"/>
      <c r="BI10" s="432"/>
      <c r="BJ10" s="432"/>
      <c r="BK10" s="432"/>
      <c r="BL10" s="432"/>
      <c r="BM10" s="432"/>
      <c r="BN10" s="432"/>
      <c r="BO10" s="432"/>
      <c r="BP10" s="432"/>
      <c r="BQ10" s="432"/>
      <c r="BR10" s="432"/>
      <c r="BS10" s="432"/>
      <c r="BT10" s="432"/>
      <c r="BU10" s="432"/>
      <c r="BV10" s="432"/>
      <c r="BW10" s="432"/>
      <c r="BX10" s="432"/>
      <c r="BY10" s="432"/>
      <c r="BZ10" s="432"/>
      <c r="CA10" s="432"/>
      <c r="CB10" s="432"/>
      <c r="CC10" s="432"/>
      <c r="CD10" s="432"/>
      <c r="CE10" s="432"/>
      <c r="CF10" s="432"/>
      <c r="CG10" s="432"/>
      <c r="CH10" s="432"/>
      <c r="CN10" s="1"/>
      <c r="CO10" s="1"/>
      <c r="CP10" s="433"/>
      <c r="CQ10" s="433"/>
      <c r="CR10" s="433"/>
      <c r="CS10" s="433"/>
      <c r="CT10" s="1"/>
      <c r="CU10" s="1"/>
      <c r="CX10" s="161"/>
    </row>
    <row r="11" spans="1:102" ht="12.6" customHeight="1" x14ac:dyDescent="0.2">
      <c r="B11" s="244"/>
      <c r="C11" s="245"/>
      <c r="D11" s="245"/>
      <c r="E11" s="245"/>
      <c r="F11" s="245"/>
      <c r="G11" s="245"/>
      <c r="H11" s="245"/>
      <c r="I11" s="245"/>
      <c r="J11" s="245"/>
      <c r="K11" s="245"/>
      <c r="L11" s="245"/>
      <c r="M11" s="245"/>
      <c r="N11" s="245"/>
      <c r="O11" s="245"/>
      <c r="P11" s="245"/>
      <c r="Q11" s="245"/>
      <c r="R11" s="245"/>
      <c r="S11" s="245"/>
      <c r="T11" s="245"/>
      <c r="U11" s="245"/>
      <c r="V11" s="245"/>
      <c r="W11" s="245"/>
      <c r="X11" s="245"/>
      <c r="Y11" s="245"/>
      <c r="Z11" s="245"/>
      <c r="AA11" s="245"/>
      <c r="AB11" s="245"/>
      <c r="AD11" s="245"/>
      <c r="AE11" s="245"/>
      <c r="AF11" s="245"/>
      <c r="AG11" s="245"/>
      <c r="AH11" s="245"/>
      <c r="AI11" s="245"/>
      <c r="AJ11" s="245"/>
      <c r="AK11" s="245"/>
      <c r="AL11" s="245"/>
      <c r="AM11" s="245"/>
      <c r="AN11" s="245"/>
      <c r="AO11" s="247"/>
      <c r="AP11" s="247"/>
      <c r="AQ11" s="247"/>
      <c r="AR11" s="247"/>
      <c r="AS11" s="247"/>
      <c r="AT11" s="245"/>
      <c r="AU11" s="434"/>
      <c r="AV11" s="435"/>
      <c r="AW11" s="435"/>
      <c r="AX11" s="435"/>
      <c r="AY11" s="435"/>
      <c r="AZ11" s="435"/>
      <c r="BA11" s="435"/>
      <c r="BB11" s="435"/>
      <c r="BC11" s="435"/>
      <c r="BD11" s="435"/>
      <c r="BE11" s="435"/>
      <c r="BF11" s="435"/>
      <c r="BG11" s="436"/>
      <c r="BH11" s="436"/>
      <c r="BI11" s="436"/>
      <c r="BJ11" s="436"/>
      <c r="BK11" s="436"/>
      <c r="BL11" s="436"/>
      <c r="BM11" s="435"/>
      <c r="BN11" s="434"/>
      <c r="BO11" s="437"/>
      <c r="BP11" s="435"/>
      <c r="BQ11" s="435"/>
      <c r="BR11" s="435"/>
      <c r="BS11" s="435"/>
      <c r="BT11" s="435"/>
      <c r="BU11" s="435"/>
      <c r="BV11" s="435"/>
      <c r="BW11" s="435"/>
      <c r="BX11" s="435"/>
      <c r="BY11" s="435"/>
      <c r="BZ11" s="436"/>
      <c r="CA11" s="436"/>
      <c r="CB11" s="436"/>
      <c r="CC11" s="436"/>
      <c r="CD11" s="436"/>
      <c r="CE11" s="436"/>
      <c r="CF11" s="11"/>
    </row>
    <row r="12" spans="1:102" ht="13.9" customHeight="1" x14ac:dyDescent="0.25">
      <c r="B12" s="244"/>
      <c r="C12" s="256" t="s">
        <v>1841</v>
      </c>
      <c r="D12" s="245"/>
      <c r="E12" s="245"/>
      <c r="F12" s="245"/>
      <c r="G12" s="245"/>
      <c r="H12" s="245"/>
      <c r="I12" s="245"/>
      <c r="J12" s="245"/>
      <c r="K12" s="245"/>
      <c r="L12" s="245"/>
      <c r="M12" s="245"/>
      <c r="N12" s="245"/>
      <c r="O12" s="245"/>
      <c r="P12" s="245"/>
      <c r="Q12" s="245"/>
      <c r="R12" s="245"/>
      <c r="S12" s="245"/>
      <c r="T12" s="245"/>
      <c r="U12" s="245"/>
      <c r="V12" s="245"/>
      <c r="W12" s="245"/>
      <c r="X12" s="245"/>
      <c r="Y12" s="245"/>
      <c r="Z12" s="245"/>
      <c r="AA12" s="245"/>
      <c r="AB12" s="245"/>
      <c r="AD12" s="245"/>
      <c r="AE12" s="514" t="s">
        <v>752</v>
      </c>
      <c r="AF12" s="514"/>
      <c r="AG12" s="514"/>
      <c r="AH12" s="514"/>
      <c r="AI12" s="514"/>
      <c r="AJ12" s="514"/>
      <c r="AK12" s="514"/>
      <c r="AL12" s="514"/>
      <c r="AM12" s="245"/>
      <c r="AN12" s="245"/>
      <c r="AO12" s="245"/>
      <c r="AP12" s="245"/>
      <c r="AQ12" s="245"/>
      <c r="AR12" s="245"/>
      <c r="AS12" s="245"/>
      <c r="AT12" s="245"/>
      <c r="AV12" s="6"/>
      <c r="AW12" s="438" t="s">
        <v>751</v>
      </c>
      <c r="AX12" s="438"/>
      <c r="AY12" s="438"/>
      <c r="AZ12" s="438"/>
      <c r="BA12" s="438"/>
      <c r="BB12" s="438"/>
      <c r="BC12" s="438"/>
      <c r="BD12" s="438"/>
      <c r="BE12" s="6"/>
      <c r="BF12" s="6"/>
      <c r="BG12" s="6"/>
      <c r="BH12" s="6"/>
      <c r="BI12" s="6"/>
      <c r="BJ12" s="6"/>
      <c r="BK12" s="6"/>
      <c r="BL12" s="6"/>
      <c r="BM12" s="6"/>
      <c r="BO12" s="6"/>
      <c r="BP12" s="438" t="s">
        <v>750</v>
      </c>
      <c r="BQ12" s="438"/>
      <c r="BR12" s="438"/>
      <c r="BS12" s="438"/>
      <c r="BT12" s="438"/>
      <c r="BU12" s="438"/>
      <c r="BV12" s="438"/>
      <c r="BW12" s="438"/>
      <c r="BX12" s="6"/>
      <c r="BY12" s="6"/>
      <c r="BZ12" s="6"/>
      <c r="CA12" s="6"/>
      <c r="CB12" s="6"/>
      <c r="CC12" s="6"/>
      <c r="CD12" s="6"/>
      <c r="CE12" s="6"/>
      <c r="CF12" s="6"/>
    </row>
    <row r="13" spans="1:102" ht="12.75" customHeight="1" x14ac:dyDescent="0.2">
      <c r="B13" s="244"/>
      <c r="C13" s="509" t="s">
        <v>1840</v>
      </c>
      <c r="D13" s="509"/>
      <c r="E13" s="509"/>
      <c r="F13" s="509"/>
      <c r="G13" s="509"/>
      <c r="H13" s="509"/>
      <c r="I13" s="509"/>
      <c r="J13" s="509"/>
      <c r="K13" s="509"/>
      <c r="L13" s="509"/>
      <c r="M13" s="509"/>
      <c r="N13" s="509"/>
      <c r="O13" s="509"/>
      <c r="P13" s="509"/>
      <c r="Q13" s="509"/>
      <c r="R13" s="509"/>
      <c r="S13" s="509"/>
      <c r="T13" s="509"/>
      <c r="U13" s="509"/>
      <c r="V13" s="509"/>
      <c r="W13" s="509"/>
      <c r="X13" s="509"/>
      <c r="Y13" s="509"/>
      <c r="Z13" s="509"/>
      <c r="AA13" s="509"/>
      <c r="AB13" s="245"/>
      <c r="AD13" s="245"/>
      <c r="AE13" s="509" t="s">
        <v>1200</v>
      </c>
      <c r="AF13" s="509"/>
      <c r="AG13" s="509"/>
      <c r="AH13" s="509"/>
      <c r="AI13" s="509"/>
      <c r="AJ13" s="509"/>
      <c r="AK13" s="509"/>
      <c r="AL13" s="509"/>
      <c r="AM13" s="509"/>
      <c r="AN13" s="509"/>
      <c r="AO13" s="509"/>
      <c r="AP13" s="509"/>
      <c r="AQ13" s="509"/>
      <c r="AR13" s="509"/>
      <c r="AS13" s="509"/>
      <c r="AT13" s="245"/>
      <c r="AU13" s="10"/>
      <c r="AV13" s="162"/>
      <c r="AW13" s="498" t="s">
        <v>1787</v>
      </c>
      <c r="AX13" s="498"/>
      <c r="AY13" s="498"/>
      <c r="AZ13" s="498"/>
      <c r="BA13" s="498"/>
      <c r="BB13" s="498"/>
      <c r="BC13" s="498"/>
      <c r="BD13" s="498"/>
      <c r="BE13" s="498"/>
      <c r="BF13" s="498"/>
      <c r="BG13" s="498"/>
      <c r="BH13" s="498"/>
      <c r="BI13" s="498"/>
      <c r="BJ13" s="498"/>
      <c r="BK13" s="498"/>
      <c r="BL13" s="498"/>
      <c r="BM13" s="162"/>
      <c r="BN13" s="10"/>
      <c r="BO13" s="162"/>
      <c r="BP13" s="498" t="s">
        <v>1788</v>
      </c>
      <c r="BQ13" s="498"/>
      <c r="BR13" s="498"/>
      <c r="BS13" s="498"/>
      <c r="BT13" s="498"/>
      <c r="BU13" s="498"/>
      <c r="BV13" s="498"/>
      <c r="BW13" s="498"/>
      <c r="BX13" s="498"/>
      <c r="BY13" s="498"/>
      <c r="BZ13" s="498"/>
      <c r="CA13" s="498"/>
      <c r="CB13" s="498"/>
      <c r="CC13" s="498"/>
      <c r="CD13" s="498"/>
      <c r="CE13" s="498"/>
      <c r="CF13" s="162"/>
    </row>
    <row r="14" spans="1:102" ht="12.75" customHeight="1" x14ac:dyDescent="0.2">
      <c r="B14" s="244"/>
      <c r="C14" s="509"/>
      <c r="D14" s="509"/>
      <c r="E14" s="509"/>
      <c r="F14" s="509"/>
      <c r="G14" s="509"/>
      <c r="H14" s="509"/>
      <c r="I14" s="509"/>
      <c r="J14" s="509"/>
      <c r="K14" s="509"/>
      <c r="L14" s="509"/>
      <c r="M14" s="509"/>
      <c r="N14" s="509"/>
      <c r="O14" s="509"/>
      <c r="P14" s="509"/>
      <c r="Q14" s="509"/>
      <c r="R14" s="509"/>
      <c r="S14" s="509"/>
      <c r="T14" s="509"/>
      <c r="U14" s="509"/>
      <c r="V14" s="509"/>
      <c r="W14" s="509"/>
      <c r="X14" s="509"/>
      <c r="Y14" s="509"/>
      <c r="Z14" s="509"/>
      <c r="AA14" s="509"/>
      <c r="AB14" s="245"/>
      <c r="AD14" s="245"/>
      <c r="AE14" s="509"/>
      <c r="AF14" s="509"/>
      <c r="AG14" s="509"/>
      <c r="AH14" s="509"/>
      <c r="AI14" s="509"/>
      <c r="AJ14" s="509"/>
      <c r="AK14" s="509"/>
      <c r="AL14" s="509"/>
      <c r="AM14" s="509"/>
      <c r="AN14" s="509"/>
      <c r="AO14" s="509"/>
      <c r="AP14" s="509"/>
      <c r="AQ14" s="509"/>
      <c r="AR14" s="509"/>
      <c r="AS14" s="509"/>
      <c r="AT14" s="245"/>
      <c r="AV14" s="6"/>
      <c r="AW14" s="498"/>
      <c r="AX14" s="498"/>
      <c r="AY14" s="498"/>
      <c r="AZ14" s="498"/>
      <c r="BA14" s="498"/>
      <c r="BB14" s="498"/>
      <c r="BC14" s="498"/>
      <c r="BD14" s="498"/>
      <c r="BE14" s="498"/>
      <c r="BF14" s="498"/>
      <c r="BG14" s="498"/>
      <c r="BH14" s="498"/>
      <c r="BI14" s="498"/>
      <c r="BJ14" s="498"/>
      <c r="BK14" s="498"/>
      <c r="BL14" s="498"/>
      <c r="BM14" s="6"/>
      <c r="BO14" s="6"/>
      <c r="BP14" s="498"/>
      <c r="BQ14" s="498"/>
      <c r="BR14" s="498"/>
      <c r="BS14" s="498"/>
      <c r="BT14" s="498"/>
      <c r="BU14" s="498"/>
      <c r="BV14" s="498"/>
      <c r="BW14" s="498"/>
      <c r="BX14" s="498"/>
      <c r="BY14" s="498"/>
      <c r="BZ14" s="498"/>
      <c r="CA14" s="498"/>
      <c r="CB14" s="498"/>
      <c r="CC14" s="498"/>
      <c r="CD14" s="498"/>
      <c r="CE14" s="498"/>
      <c r="CF14" s="6"/>
    </row>
    <row r="15" spans="1:102" ht="12.75" customHeight="1" x14ac:dyDescent="0.2">
      <c r="B15" s="244"/>
      <c r="C15" s="509"/>
      <c r="D15" s="509"/>
      <c r="E15" s="509"/>
      <c r="F15" s="509"/>
      <c r="G15" s="509"/>
      <c r="H15" s="509"/>
      <c r="I15" s="509"/>
      <c r="J15" s="509"/>
      <c r="K15" s="509"/>
      <c r="L15" s="509"/>
      <c r="M15" s="509"/>
      <c r="N15" s="509"/>
      <c r="O15" s="509"/>
      <c r="P15" s="509"/>
      <c r="Q15" s="509"/>
      <c r="R15" s="509"/>
      <c r="S15" s="509"/>
      <c r="T15" s="509"/>
      <c r="U15" s="509"/>
      <c r="V15" s="509"/>
      <c r="W15" s="509"/>
      <c r="X15" s="509"/>
      <c r="Y15" s="509"/>
      <c r="Z15" s="509"/>
      <c r="AA15" s="509"/>
      <c r="AB15" s="245"/>
      <c r="AD15" s="245"/>
      <c r="AE15" s="245"/>
      <c r="AF15" s="245"/>
      <c r="AG15" s="245"/>
      <c r="AH15" s="245"/>
      <c r="AI15" s="245"/>
      <c r="AJ15" s="245"/>
      <c r="AK15" s="245"/>
      <c r="AL15" s="245"/>
      <c r="AM15" s="245"/>
      <c r="AN15" s="245"/>
      <c r="AO15" s="245"/>
      <c r="AP15" s="245"/>
      <c r="AQ15" s="245"/>
      <c r="AR15" s="245"/>
      <c r="AS15" s="245"/>
      <c r="AT15" s="245"/>
      <c r="AV15" s="6"/>
      <c r="AW15" s="6"/>
      <c r="AX15" s="6"/>
      <c r="AY15" s="6"/>
      <c r="AZ15" s="6"/>
      <c r="BA15" s="6"/>
      <c r="BB15" s="6"/>
      <c r="BC15" s="6"/>
      <c r="BD15" s="6"/>
      <c r="BE15" s="6"/>
      <c r="BF15" s="6"/>
      <c r="BG15" s="6"/>
      <c r="BH15" s="6"/>
      <c r="BI15" s="6"/>
      <c r="BJ15" s="6"/>
      <c r="BK15" s="6"/>
      <c r="BL15" s="6"/>
      <c r="BM15" s="6"/>
      <c r="BO15" s="6"/>
      <c r="BP15" s="6"/>
      <c r="BQ15" s="6"/>
      <c r="BR15" s="6"/>
      <c r="BS15" s="6"/>
      <c r="BT15" s="6"/>
      <c r="BU15" s="6"/>
      <c r="BV15" s="6"/>
      <c r="BW15" s="6"/>
      <c r="BX15" s="6"/>
      <c r="BY15" s="6"/>
      <c r="BZ15" s="6"/>
      <c r="CA15" s="6"/>
      <c r="CB15" s="6"/>
      <c r="CC15" s="6"/>
      <c r="CD15" s="6"/>
      <c r="CE15" s="6"/>
      <c r="CF15" s="6"/>
    </row>
    <row r="16" spans="1:102" ht="12.75" customHeight="1" x14ac:dyDescent="0.2">
      <c r="B16" s="244"/>
      <c r="C16" s="509"/>
      <c r="D16" s="509"/>
      <c r="E16" s="509"/>
      <c r="F16" s="509"/>
      <c r="G16" s="509"/>
      <c r="H16" s="509"/>
      <c r="I16" s="509"/>
      <c r="J16" s="509"/>
      <c r="K16" s="509"/>
      <c r="L16" s="509"/>
      <c r="M16" s="509"/>
      <c r="N16" s="509"/>
      <c r="O16" s="509"/>
      <c r="P16" s="509"/>
      <c r="Q16" s="509"/>
      <c r="R16" s="509"/>
      <c r="S16" s="509"/>
      <c r="T16" s="509"/>
      <c r="U16" s="509"/>
      <c r="V16" s="509"/>
      <c r="W16" s="509"/>
      <c r="X16" s="509"/>
      <c r="Y16" s="509"/>
      <c r="Z16" s="509"/>
      <c r="AA16" s="509"/>
      <c r="AB16" s="245"/>
      <c r="AC16" s="163"/>
      <c r="AD16" s="245"/>
      <c r="AE16" s="245" t="s">
        <v>832</v>
      </c>
      <c r="AF16" s="245"/>
      <c r="AG16" s="245"/>
      <c r="AH16" s="245"/>
      <c r="AI16" s="245"/>
      <c r="AJ16" s="245"/>
      <c r="AK16" s="245"/>
      <c r="AL16" s="245"/>
      <c r="AM16" s="245"/>
      <c r="AN16" s="245"/>
      <c r="AO16" s="512">
        <f>VBConstants!B15</f>
        <v>0</v>
      </c>
      <c r="AP16" s="512"/>
      <c r="AQ16" s="512"/>
      <c r="AR16" s="512"/>
      <c r="AS16" s="512"/>
      <c r="AT16" s="245"/>
      <c r="AV16" s="6"/>
      <c r="AW16" s="498" t="s">
        <v>810</v>
      </c>
      <c r="AX16" s="498"/>
      <c r="AY16" s="498"/>
      <c r="AZ16" s="498"/>
      <c r="BA16" s="498"/>
      <c r="BB16" s="498"/>
      <c r="BC16" s="498"/>
      <c r="BD16" s="498"/>
      <c r="BE16" s="498"/>
      <c r="BF16" s="498"/>
      <c r="BG16" s="498"/>
      <c r="BH16" s="498"/>
      <c r="BI16" s="498"/>
      <c r="BJ16" s="498"/>
      <c r="BK16" s="498"/>
      <c r="BL16" s="498"/>
      <c r="BM16" s="6"/>
      <c r="BO16" s="6"/>
      <c r="BP16" s="6" t="s">
        <v>1116</v>
      </c>
      <c r="BQ16" s="6"/>
      <c r="BR16" s="6"/>
      <c r="BS16" s="6"/>
      <c r="BT16" s="6"/>
      <c r="BU16" s="6"/>
      <c r="BV16" s="6"/>
      <c r="BW16" s="6"/>
      <c r="BX16" s="6"/>
      <c r="BY16" s="6"/>
      <c r="BZ16" s="6"/>
      <c r="CA16" s="6"/>
      <c r="CB16" s="513"/>
      <c r="CC16" s="513"/>
      <c r="CD16" s="513"/>
      <c r="CE16" s="513"/>
      <c r="CF16" s="6"/>
      <c r="CN16" s="433"/>
      <c r="CO16" s="433"/>
      <c r="CP16" s="433"/>
      <c r="CQ16" s="433"/>
      <c r="CR16" s="433"/>
      <c r="CS16" s="433"/>
    </row>
    <row r="17" spans="2:100" ht="12.75" customHeight="1" x14ac:dyDescent="0.2">
      <c r="B17" s="244"/>
      <c r="C17" s="509"/>
      <c r="D17" s="509"/>
      <c r="E17" s="509"/>
      <c r="F17" s="509"/>
      <c r="G17" s="509"/>
      <c r="H17" s="509"/>
      <c r="I17" s="509"/>
      <c r="J17" s="509"/>
      <c r="K17" s="509"/>
      <c r="L17" s="509"/>
      <c r="M17" s="509"/>
      <c r="N17" s="509"/>
      <c r="O17" s="509"/>
      <c r="P17" s="509"/>
      <c r="Q17" s="509"/>
      <c r="R17" s="509"/>
      <c r="S17" s="509"/>
      <c r="T17" s="509"/>
      <c r="U17" s="509"/>
      <c r="V17" s="509"/>
      <c r="W17" s="509"/>
      <c r="X17" s="509"/>
      <c r="Y17" s="509"/>
      <c r="Z17" s="509"/>
      <c r="AA17" s="509"/>
      <c r="AB17" s="245"/>
      <c r="AD17" s="245"/>
      <c r="AE17" s="245"/>
      <c r="AF17" s="245"/>
      <c r="AG17" s="245"/>
      <c r="AH17" s="245"/>
      <c r="AI17" s="245"/>
      <c r="AJ17" s="245"/>
      <c r="AK17" s="245"/>
      <c r="AL17" s="245"/>
      <c r="AM17" s="245"/>
      <c r="AN17" s="245"/>
      <c r="AO17" s="6"/>
      <c r="AP17" s="6"/>
      <c r="AQ17" s="6"/>
      <c r="AR17" s="6"/>
      <c r="AS17" s="6"/>
      <c r="AT17" s="245"/>
      <c r="AV17" s="6"/>
      <c r="AW17" s="498"/>
      <c r="AX17" s="498"/>
      <c r="AY17" s="498"/>
      <c r="AZ17" s="498"/>
      <c r="BA17" s="498"/>
      <c r="BB17" s="498"/>
      <c r="BC17" s="498"/>
      <c r="BD17" s="498"/>
      <c r="BE17" s="498"/>
      <c r="BF17" s="498"/>
      <c r="BG17" s="498"/>
      <c r="BH17" s="498"/>
      <c r="BI17" s="498"/>
      <c r="BJ17" s="498"/>
      <c r="BK17" s="498"/>
      <c r="BL17" s="498"/>
      <c r="BM17" s="6"/>
      <c r="BO17" s="6"/>
      <c r="BP17" s="6"/>
      <c r="BQ17" s="6"/>
      <c r="BR17" s="6"/>
      <c r="BS17" s="6"/>
      <c r="BT17" s="6"/>
      <c r="BU17" s="6"/>
      <c r="BV17" s="6"/>
      <c r="BW17" s="6"/>
      <c r="BX17" s="6"/>
      <c r="BY17" s="6"/>
      <c r="BZ17" s="6"/>
      <c r="CA17" s="6"/>
      <c r="CB17" s="6"/>
      <c r="CC17" s="6"/>
      <c r="CD17" s="6"/>
      <c r="CE17" s="6"/>
      <c r="CF17" s="6"/>
      <c r="CN17" s="427"/>
    </row>
    <row r="18" spans="2:100" ht="12.75" customHeight="1" x14ac:dyDescent="0.2">
      <c r="B18" s="244"/>
      <c r="C18" s="509"/>
      <c r="D18" s="509"/>
      <c r="E18" s="509"/>
      <c r="F18" s="509"/>
      <c r="G18" s="509"/>
      <c r="H18" s="509"/>
      <c r="I18" s="509"/>
      <c r="J18" s="509"/>
      <c r="K18" s="509"/>
      <c r="L18" s="509"/>
      <c r="M18" s="509"/>
      <c r="N18" s="509"/>
      <c r="O18" s="509"/>
      <c r="P18" s="509"/>
      <c r="Q18" s="509"/>
      <c r="R18" s="509"/>
      <c r="S18" s="509"/>
      <c r="T18" s="509"/>
      <c r="U18" s="509"/>
      <c r="V18" s="509"/>
      <c r="W18" s="509"/>
      <c r="X18" s="509"/>
      <c r="Y18" s="509"/>
      <c r="Z18" s="509"/>
      <c r="AA18" s="509"/>
      <c r="AB18" s="245"/>
      <c r="AD18" s="245"/>
      <c r="AE18" s="245" t="s">
        <v>833</v>
      </c>
      <c r="AF18" s="245"/>
      <c r="AG18" s="245"/>
      <c r="AH18" s="245"/>
      <c r="AI18" s="245"/>
      <c r="AJ18" s="245"/>
      <c r="AK18" s="245"/>
      <c r="AL18" s="245"/>
      <c r="AM18" s="245"/>
      <c r="AN18" s="245"/>
      <c r="AO18" s="511"/>
      <c r="AP18" s="511"/>
      <c r="AQ18" s="511"/>
      <c r="AR18" s="511"/>
      <c r="AS18" s="511"/>
      <c r="AT18" s="248"/>
      <c r="AV18" s="6"/>
      <c r="AW18" s="6"/>
      <c r="AX18" s="6"/>
      <c r="AY18" s="6"/>
      <c r="AZ18" s="6"/>
      <c r="BA18" s="6"/>
      <c r="BB18" s="6"/>
      <c r="BC18" s="6"/>
      <c r="BD18" s="6"/>
      <c r="BE18" s="6"/>
      <c r="BF18" s="6"/>
      <c r="BG18" s="6"/>
      <c r="BH18" s="6"/>
      <c r="BI18" s="6"/>
      <c r="BJ18" s="6"/>
      <c r="BK18" s="6"/>
      <c r="BL18" s="6"/>
      <c r="BM18" s="6"/>
      <c r="BO18" s="6"/>
      <c r="BP18" s="498" t="s">
        <v>749</v>
      </c>
      <c r="BQ18" s="498"/>
      <c r="BR18" s="498"/>
      <c r="BS18" s="498"/>
      <c r="BT18" s="498"/>
      <c r="BU18" s="498"/>
      <c r="BV18" s="498"/>
      <c r="BW18" s="504" t="s">
        <v>1791</v>
      </c>
      <c r="BX18" s="504"/>
      <c r="BY18" s="504" t="s">
        <v>1792</v>
      </c>
      <c r="BZ18" s="504"/>
      <c r="CA18" s="502" t="s">
        <v>813</v>
      </c>
      <c r="CB18" s="502"/>
      <c r="CC18" s="502"/>
      <c r="CD18" s="502"/>
      <c r="CE18" s="502"/>
      <c r="CF18" s="6"/>
      <c r="CN18" s="505"/>
      <c r="CO18" s="505"/>
      <c r="CP18" s="439"/>
      <c r="CQ18" s="439"/>
      <c r="CR18" s="439"/>
    </row>
    <row r="19" spans="2:100" ht="12.75" customHeight="1" x14ac:dyDescent="0.2">
      <c r="B19" s="244"/>
      <c r="C19" s="509"/>
      <c r="D19" s="509"/>
      <c r="E19" s="509"/>
      <c r="F19" s="509"/>
      <c r="G19" s="509"/>
      <c r="H19" s="509"/>
      <c r="I19" s="509"/>
      <c r="J19" s="509"/>
      <c r="K19" s="509"/>
      <c r="L19" s="509"/>
      <c r="M19" s="509"/>
      <c r="N19" s="509"/>
      <c r="O19" s="509"/>
      <c r="P19" s="509"/>
      <c r="Q19" s="509"/>
      <c r="R19" s="509"/>
      <c r="S19" s="509"/>
      <c r="T19" s="509"/>
      <c r="U19" s="509"/>
      <c r="V19" s="509"/>
      <c r="W19" s="509"/>
      <c r="X19" s="509"/>
      <c r="Y19" s="509"/>
      <c r="Z19" s="509"/>
      <c r="AA19" s="509"/>
      <c r="AB19" s="245"/>
      <c r="AD19" s="245"/>
      <c r="AE19" s="245"/>
      <c r="AF19" s="245"/>
      <c r="AG19" s="245"/>
      <c r="AH19" s="245"/>
      <c r="AI19" s="245"/>
      <c r="AJ19" s="245"/>
      <c r="AK19" s="245"/>
      <c r="AL19" s="245"/>
      <c r="AM19" s="245"/>
      <c r="AN19" s="245"/>
      <c r="AO19" s="245"/>
      <c r="AP19" s="245"/>
      <c r="AQ19" s="245"/>
      <c r="AR19" s="245"/>
      <c r="AS19" s="245"/>
      <c r="AT19" s="245"/>
      <c r="AV19" s="6"/>
      <c r="AW19" s="12" t="s">
        <v>814</v>
      </c>
      <c r="AX19" s="440"/>
      <c r="AY19" s="440"/>
      <c r="AZ19" s="440"/>
      <c r="BA19" s="440"/>
      <c r="BB19" s="440"/>
      <c r="BC19" s="440"/>
      <c r="BD19" s="440"/>
      <c r="BE19" s="440"/>
      <c r="BF19" s="440"/>
      <c r="BG19" s="6"/>
      <c r="BH19" s="517"/>
      <c r="BI19" s="517"/>
      <c r="BJ19" s="517"/>
      <c r="BK19" s="517"/>
      <c r="BL19" s="517"/>
      <c r="BM19" s="6"/>
      <c r="BO19" s="6"/>
      <c r="BP19" s="498"/>
      <c r="BQ19" s="498"/>
      <c r="BR19" s="498"/>
      <c r="BS19" s="498"/>
      <c r="BT19" s="498"/>
      <c r="BU19" s="498"/>
      <c r="BV19" s="498"/>
      <c r="BW19" s="502">
        <v>1</v>
      </c>
      <c r="BX19" s="502"/>
      <c r="BY19" s="497">
        <f>IF(OR(BY18="",BY18=$CB$16),"",IF(SUM(BW20:$BW$26)=0,$CB$16,IF(BW20&gt;0,BW20-1,"")))</f>
        <v>0</v>
      </c>
      <c r="BZ19" s="497"/>
      <c r="CA19" s="503"/>
      <c r="CB19" s="503"/>
      <c r="CC19" s="503"/>
      <c r="CD19" s="503"/>
      <c r="CE19" s="503"/>
      <c r="CF19" s="6"/>
      <c r="CL19" s="441"/>
      <c r="CN19" s="506"/>
      <c r="CO19" s="506"/>
      <c r="CS19" s="442"/>
    </row>
    <row r="20" spans="2:100" ht="12.75" customHeight="1" x14ac:dyDescent="0.2">
      <c r="B20" s="244"/>
      <c r="C20" s="509"/>
      <c r="D20" s="509"/>
      <c r="E20" s="509"/>
      <c r="F20" s="509"/>
      <c r="G20" s="509"/>
      <c r="H20" s="509"/>
      <c r="I20" s="509"/>
      <c r="J20" s="509"/>
      <c r="K20" s="509"/>
      <c r="L20" s="509"/>
      <c r="M20" s="509"/>
      <c r="N20" s="509"/>
      <c r="O20" s="509"/>
      <c r="P20" s="509"/>
      <c r="Q20" s="509"/>
      <c r="R20" s="509"/>
      <c r="S20" s="509"/>
      <c r="T20" s="509"/>
      <c r="U20" s="509"/>
      <c r="V20" s="509"/>
      <c r="W20" s="509"/>
      <c r="X20" s="509"/>
      <c r="Y20" s="509"/>
      <c r="Z20" s="509"/>
      <c r="AA20" s="509"/>
      <c r="AB20" s="245"/>
      <c r="AD20" s="245"/>
      <c r="AE20" s="245"/>
      <c r="AF20" s="245"/>
      <c r="AG20" s="245"/>
      <c r="AH20" s="245"/>
      <c r="AI20" s="245"/>
      <c r="AJ20" s="245"/>
      <c r="AK20" s="245"/>
      <c r="AL20" s="245"/>
      <c r="AM20" s="245"/>
      <c r="AN20" s="245"/>
      <c r="AO20" s="249"/>
      <c r="AP20" s="249"/>
      <c r="AQ20" s="249"/>
      <c r="AR20" s="249"/>
      <c r="AS20" s="249"/>
      <c r="AT20" s="245"/>
      <c r="AV20" s="6"/>
      <c r="AW20" s="440"/>
      <c r="AX20" s="6"/>
      <c r="AY20" s="6"/>
      <c r="AZ20" s="6"/>
      <c r="BA20" s="6"/>
      <c r="BB20" s="6"/>
      <c r="BC20" s="6"/>
      <c r="BD20" s="6"/>
      <c r="BE20" s="6"/>
      <c r="BF20" s="6"/>
      <c r="BG20" s="6"/>
      <c r="BH20" s="6"/>
      <c r="BI20" s="6"/>
      <c r="BJ20" s="6"/>
      <c r="BK20" s="6"/>
      <c r="BL20" s="6"/>
      <c r="BM20" s="6"/>
      <c r="BO20" s="6"/>
      <c r="BP20" s="498"/>
      <c r="BQ20" s="498"/>
      <c r="BR20" s="498"/>
      <c r="BS20" s="498"/>
      <c r="BT20" s="498"/>
      <c r="BU20" s="498"/>
      <c r="BV20" s="498"/>
      <c r="BW20" s="496"/>
      <c r="BX20" s="496"/>
      <c r="BY20" s="497" t="str">
        <f>IF(OR(BY19="",BY19=$CB$16),"",IF(SUM(BW21:$BW$26)=0,$CB$16,IF(BW21&gt;0,BW21-1,"")))</f>
        <v/>
      </c>
      <c r="BZ20" s="497"/>
      <c r="CA20" s="503"/>
      <c r="CB20" s="503"/>
      <c r="CC20" s="503"/>
      <c r="CD20" s="503"/>
      <c r="CE20" s="503"/>
      <c r="CF20" s="6"/>
      <c r="CL20" s="110"/>
    </row>
    <row r="21" spans="2:100" ht="12.75" customHeight="1" x14ac:dyDescent="0.2">
      <c r="B21" s="244"/>
      <c r="C21" s="509"/>
      <c r="D21" s="509"/>
      <c r="E21" s="509"/>
      <c r="F21" s="509"/>
      <c r="G21" s="509"/>
      <c r="H21" s="509"/>
      <c r="I21" s="509"/>
      <c r="J21" s="509"/>
      <c r="K21" s="509"/>
      <c r="L21" s="509"/>
      <c r="M21" s="509"/>
      <c r="N21" s="509"/>
      <c r="O21" s="509"/>
      <c r="P21" s="509"/>
      <c r="Q21" s="509"/>
      <c r="R21" s="509"/>
      <c r="S21" s="509"/>
      <c r="T21" s="509"/>
      <c r="U21" s="509"/>
      <c r="V21" s="509"/>
      <c r="W21" s="509"/>
      <c r="X21" s="509"/>
      <c r="Y21" s="509"/>
      <c r="Z21" s="509"/>
      <c r="AA21" s="509"/>
      <c r="AB21" s="245"/>
      <c r="AD21" s="245"/>
      <c r="AE21" s="250"/>
      <c r="AF21" s="250"/>
      <c r="AG21" s="250"/>
      <c r="AH21" s="250"/>
      <c r="AI21" s="250"/>
      <c r="AJ21" s="250"/>
      <c r="AK21" s="250"/>
      <c r="AL21" s="250"/>
      <c r="AM21" s="250"/>
      <c r="AN21" s="250"/>
      <c r="AO21" s="250"/>
      <c r="AP21" s="250"/>
      <c r="AQ21" s="250"/>
      <c r="AR21" s="250"/>
      <c r="AS21" s="250"/>
      <c r="AT21" s="245"/>
      <c r="AV21" s="6"/>
      <c r="AW21" s="6"/>
      <c r="AX21" s="6"/>
      <c r="AY21" s="6"/>
      <c r="AZ21" s="6"/>
      <c r="BA21" s="6"/>
      <c r="BB21" s="6"/>
      <c r="BC21" s="6"/>
      <c r="BD21" s="6"/>
      <c r="BE21" s="6"/>
      <c r="BF21" s="6"/>
      <c r="BG21" s="6"/>
      <c r="BH21" s="6"/>
      <c r="BI21" s="6"/>
      <c r="BJ21" s="6"/>
      <c r="BK21" s="6"/>
      <c r="BL21" s="6"/>
      <c r="BM21" s="6"/>
      <c r="BO21" s="6"/>
      <c r="BP21" s="443"/>
      <c r="BQ21" s="443"/>
      <c r="BR21" s="443"/>
      <c r="BS21" s="443"/>
      <c r="BT21" s="443"/>
      <c r="BU21" s="443"/>
      <c r="BV21" s="6"/>
      <c r="BW21" s="496"/>
      <c r="BX21" s="496"/>
      <c r="BY21" s="497" t="str">
        <f>IF(OR(BY20="",BY20=$CB$16),"",IF(SUM(BW22:$BW$26)=0,$CB$16,IF(BW22&gt;0,BW22-1,"")))</f>
        <v/>
      </c>
      <c r="BZ21" s="497"/>
      <c r="CA21" s="503"/>
      <c r="CB21" s="503"/>
      <c r="CC21" s="503"/>
      <c r="CD21" s="503"/>
      <c r="CE21" s="503"/>
      <c r="CF21" s="6"/>
    </row>
    <row r="22" spans="2:100" ht="12.75" customHeight="1" x14ac:dyDescent="0.25">
      <c r="B22" s="244"/>
      <c r="C22" s="509"/>
      <c r="D22" s="509"/>
      <c r="E22" s="509"/>
      <c r="F22" s="509"/>
      <c r="G22" s="509"/>
      <c r="H22" s="509"/>
      <c r="I22" s="509"/>
      <c r="J22" s="509"/>
      <c r="K22" s="509"/>
      <c r="L22" s="509"/>
      <c r="M22" s="509"/>
      <c r="N22" s="509"/>
      <c r="O22" s="509"/>
      <c r="P22" s="509"/>
      <c r="Q22" s="509"/>
      <c r="R22" s="509"/>
      <c r="S22" s="509"/>
      <c r="T22" s="509"/>
      <c r="U22" s="509"/>
      <c r="V22" s="509"/>
      <c r="W22" s="509"/>
      <c r="X22" s="509"/>
      <c r="Y22" s="509"/>
      <c r="Z22" s="509"/>
      <c r="AA22" s="509"/>
      <c r="AB22" s="245"/>
      <c r="AD22" s="245"/>
      <c r="AE22" s="250"/>
      <c r="AF22" s="250"/>
      <c r="AG22" s="250"/>
      <c r="AH22" s="250"/>
      <c r="AI22" s="250"/>
      <c r="AJ22" s="250"/>
      <c r="AK22" s="250"/>
      <c r="AL22" s="250"/>
      <c r="AM22" s="250"/>
      <c r="AN22" s="250"/>
      <c r="AO22" s="250"/>
      <c r="AP22" s="250"/>
      <c r="AQ22" s="250"/>
      <c r="AR22" s="250"/>
      <c r="AS22" s="250"/>
      <c r="AT22" s="245"/>
      <c r="AV22" s="6"/>
      <c r="AW22" s="6"/>
      <c r="AX22" s="6"/>
      <c r="AY22" s="6"/>
      <c r="AZ22" s="6"/>
      <c r="BA22" s="6"/>
      <c r="BB22" s="6"/>
      <c r="BC22" s="6"/>
      <c r="BD22" s="6"/>
      <c r="BE22" s="6"/>
      <c r="BF22" s="6"/>
      <c r="BG22" s="6"/>
      <c r="BH22" s="6"/>
      <c r="BI22" s="6"/>
      <c r="BJ22" s="6"/>
      <c r="BK22" s="6"/>
      <c r="BL22" s="6"/>
      <c r="BM22" s="6"/>
      <c r="BO22" s="6"/>
      <c r="BP22" s="443"/>
      <c r="BQ22" s="443"/>
      <c r="BR22" s="443"/>
      <c r="BS22" s="443"/>
      <c r="BT22" s="443"/>
      <c r="BU22" s="443"/>
      <c r="BV22" s="6"/>
      <c r="BW22" s="496"/>
      <c r="BX22" s="496"/>
      <c r="BY22" s="497" t="str">
        <f>IF(OR(BY21="",BY21=$CB$16),"",IF(SUM(BW23:$BW$26)=0,$CB$16,IF(BW23&gt;0,BW23-1,"")))</f>
        <v/>
      </c>
      <c r="BZ22" s="497"/>
      <c r="CA22" s="503"/>
      <c r="CB22" s="503"/>
      <c r="CC22" s="503"/>
      <c r="CD22" s="503"/>
      <c r="CE22" s="503"/>
      <c r="CF22" s="6"/>
      <c r="CO22"/>
      <c r="CP22"/>
      <c r="CQ22"/>
      <c r="CR22"/>
    </row>
    <row r="23" spans="2:100" ht="12.75" customHeight="1" x14ac:dyDescent="0.25">
      <c r="AD23" s="245"/>
      <c r="AE23" s="245"/>
      <c r="AF23" s="245"/>
      <c r="AG23" s="245"/>
      <c r="AH23" s="245"/>
      <c r="AI23" s="245"/>
      <c r="AJ23" s="245"/>
      <c r="AK23" s="245"/>
      <c r="AL23" s="245"/>
      <c r="AM23" s="245"/>
      <c r="AN23" s="245"/>
      <c r="AO23" s="245"/>
      <c r="AP23" s="245"/>
      <c r="AQ23" s="245"/>
      <c r="AR23" s="245"/>
      <c r="AS23" s="245"/>
      <c r="AT23" s="245"/>
      <c r="AV23" s="6"/>
      <c r="AW23" s="6"/>
      <c r="AX23" s="6"/>
      <c r="AY23" s="6"/>
      <c r="AZ23" s="6"/>
      <c r="BA23" s="6"/>
      <c r="BB23" s="6"/>
      <c r="BC23" s="6"/>
      <c r="BD23" s="6"/>
      <c r="BE23" s="6"/>
      <c r="BF23" s="6"/>
      <c r="BG23" s="6"/>
      <c r="BH23" s="6"/>
      <c r="BI23" s="6"/>
      <c r="BJ23" s="6"/>
      <c r="BK23" s="6"/>
      <c r="BL23" s="6"/>
      <c r="BM23" s="6"/>
      <c r="BO23" s="6"/>
      <c r="BP23" s="443"/>
      <c r="BQ23" s="443"/>
      <c r="BR23" s="443"/>
      <c r="BS23" s="443"/>
      <c r="BT23" s="443"/>
      <c r="BU23" s="443"/>
      <c r="BV23" s="6"/>
      <c r="BW23" s="496"/>
      <c r="BX23" s="496"/>
      <c r="BY23" s="497" t="str">
        <f>IF(OR(BY22="",BY22=$CB$16),"",IF(SUM(BW24:$BW$26)=0,$CB$16,IF(BW24&gt;0,BW24-1,"")))</f>
        <v/>
      </c>
      <c r="BZ23" s="497"/>
      <c r="CA23" s="503"/>
      <c r="CB23" s="503"/>
      <c r="CC23" s="503"/>
      <c r="CD23" s="503"/>
      <c r="CE23" s="503"/>
      <c r="CF23" s="6"/>
      <c r="CO23"/>
      <c r="CP23"/>
      <c r="CQ23"/>
      <c r="CR23" s="444"/>
      <c r="CT23" s="1"/>
      <c r="CU23" s="1"/>
      <c r="CV23" s="1"/>
    </row>
    <row r="24" spans="2:100" ht="12.75" customHeight="1" x14ac:dyDescent="0.25">
      <c r="B24" s="245"/>
      <c r="C24" s="245"/>
      <c r="D24" s="245"/>
      <c r="E24" s="245"/>
      <c r="F24" s="245"/>
      <c r="G24" s="245"/>
      <c r="H24" s="245"/>
      <c r="I24" s="245"/>
      <c r="J24" s="245"/>
      <c r="K24" s="245"/>
      <c r="L24" s="245"/>
      <c r="M24" s="245"/>
      <c r="N24" s="245"/>
      <c r="O24" s="245"/>
      <c r="P24" s="245"/>
      <c r="Q24" s="245"/>
      <c r="R24" s="245"/>
      <c r="S24" s="245"/>
      <c r="T24" s="245"/>
      <c r="U24" s="245"/>
      <c r="V24" s="245"/>
      <c r="W24" s="245"/>
      <c r="X24" s="245"/>
      <c r="Y24" s="245"/>
      <c r="Z24" s="245"/>
      <c r="AA24" s="245"/>
      <c r="AB24" s="244"/>
      <c r="AD24" s="245"/>
      <c r="AE24" s="245"/>
      <c r="AF24" s="245"/>
      <c r="AG24" s="245"/>
      <c r="AH24" s="245"/>
      <c r="AI24" s="245"/>
      <c r="AJ24" s="245"/>
      <c r="AK24" s="245"/>
      <c r="AL24" s="245"/>
      <c r="AM24" s="245"/>
      <c r="AN24" s="245"/>
      <c r="AO24" s="249"/>
      <c r="AP24" s="249"/>
      <c r="AQ24" s="249"/>
      <c r="AR24" s="249"/>
      <c r="AS24" s="249"/>
      <c r="AT24" s="245"/>
      <c r="AV24" s="6"/>
      <c r="AW24" s="6"/>
      <c r="AX24" s="6"/>
      <c r="AY24" s="6"/>
      <c r="AZ24" s="6"/>
      <c r="BA24" s="6"/>
      <c r="BB24" s="6"/>
      <c r="BC24" s="6"/>
      <c r="BD24" s="6"/>
      <c r="BE24" s="6"/>
      <c r="BF24" s="6"/>
      <c r="BG24" s="6"/>
      <c r="BH24" s="6"/>
      <c r="BI24" s="6"/>
      <c r="BJ24" s="6"/>
      <c r="BK24" s="6"/>
      <c r="BL24" s="6"/>
      <c r="BM24" s="6"/>
      <c r="BO24" s="6"/>
      <c r="BP24" s="6"/>
      <c r="BQ24" s="6"/>
      <c r="BR24" s="8"/>
      <c r="BS24" s="6"/>
      <c r="BT24" s="6"/>
      <c r="BU24" s="6"/>
      <c r="BV24" s="6"/>
      <c r="BW24" s="496"/>
      <c r="BX24" s="496"/>
      <c r="BY24" s="497" t="str">
        <f>IF(OR(BY23="",BY23=$CB$16),"",IF(SUM(BW25:$BW$26)=0,$CB$16,IF(BW25&gt;0,BW25-1,"")))</f>
        <v/>
      </c>
      <c r="BZ24" s="497"/>
      <c r="CA24" s="503"/>
      <c r="CB24" s="503"/>
      <c r="CC24" s="503"/>
      <c r="CD24" s="503"/>
      <c r="CE24" s="503"/>
      <c r="CF24" s="6"/>
      <c r="CR24" s="444"/>
      <c r="CT24" s="1"/>
      <c r="CU24" s="1"/>
      <c r="CV24" s="1"/>
    </row>
    <row r="25" spans="2:100" ht="12.75" customHeight="1" x14ac:dyDescent="0.25">
      <c r="B25" s="245"/>
      <c r="C25" s="260" t="s">
        <v>762</v>
      </c>
      <c r="D25" s="245"/>
      <c r="E25" s="245"/>
      <c r="F25" s="245"/>
      <c r="G25" s="245"/>
      <c r="H25" s="245"/>
      <c r="I25" s="245"/>
      <c r="J25" s="245"/>
      <c r="K25" s="245"/>
      <c r="L25" s="245"/>
      <c r="M25" s="245"/>
      <c r="N25" s="245"/>
      <c r="O25" s="245"/>
      <c r="P25" s="245"/>
      <c r="Q25" s="245"/>
      <c r="R25" s="245"/>
      <c r="S25" s="245"/>
      <c r="T25" s="245"/>
      <c r="U25" s="245"/>
      <c r="V25" s="245"/>
      <c r="W25" s="245"/>
      <c r="X25" s="245"/>
      <c r="Y25" s="245"/>
      <c r="Z25" s="245"/>
      <c r="AA25" s="245"/>
      <c r="AB25" s="244"/>
      <c r="AD25" s="245"/>
      <c r="AE25" s="245"/>
      <c r="AF25" s="245"/>
      <c r="AG25" s="245"/>
      <c r="AH25" s="245"/>
      <c r="AI25" s="245"/>
      <c r="AJ25" s="245"/>
      <c r="AK25" s="245"/>
      <c r="AL25" s="245"/>
      <c r="AM25" s="245"/>
      <c r="AN25" s="245"/>
      <c r="AO25" s="245"/>
      <c r="AP25" s="245"/>
      <c r="AQ25" s="245"/>
      <c r="AR25" s="245"/>
      <c r="AS25" s="245"/>
      <c r="AT25" s="245"/>
      <c r="AV25" s="6"/>
      <c r="AW25" s="6"/>
      <c r="AX25" s="6"/>
      <c r="AY25" s="6"/>
      <c r="AZ25" s="6"/>
      <c r="BA25" s="6"/>
      <c r="BB25" s="6"/>
      <c r="BC25" s="6"/>
      <c r="BD25" s="6"/>
      <c r="BE25" s="6"/>
      <c r="BF25" s="6"/>
      <c r="BG25" s="6"/>
      <c r="BH25" s="6"/>
      <c r="BI25" s="6"/>
      <c r="BJ25" s="6"/>
      <c r="BK25" s="6"/>
      <c r="BL25" s="6"/>
      <c r="BM25" s="6"/>
      <c r="BO25" s="6"/>
      <c r="BP25" s="6"/>
      <c r="BQ25" s="6"/>
      <c r="BR25" s="8"/>
      <c r="BS25" s="6"/>
      <c r="BT25" s="6"/>
      <c r="BU25" s="6"/>
      <c r="BV25" s="6"/>
      <c r="BW25" s="496"/>
      <c r="BX25" s="496"/>
      <c r="BY25" s="497" t="str">
        <f>IF(OR(BY24="",BY24=$CB$16),"",IF(SUM(BW26:$BW$26)=0,$CB$16,IF(BW26&gt;0,BW26-1,"")))</f>
        <v/>
      </c>
      <c r="BZ25" s="497"/>
      <c r="CA25" s="503"/>
      <c r="CB25" s="503"/>
      <c r="CC25" s="503"/>
      <c r="CD25" s="503"/>
      <c r="CE25" s="503"/>
      <c r="CF25" s="6"/>
      <c r="CR25" s="444"/>
      <c r="CT25" s="1"/>
      <c r="CU25" s="1"/>
      <c r="CV25" s="1"/>
    </row>
    <row r="26" spans="2:100" ht="12.75" customHeight="1" x14ac:dyDescent="0.25">
      <c r="B26" s="245"/>
      <c r="C26" s="245"/>
      <c r="D26" s="245"/>
      <c r="E26" s="245"/>
      <c r="F26" s="245"/>
      <c r="G26" s="245"/>
      <c r="H26" s="245"/>
      <c r="I26" s="245"/>
      <c r="J26" s="245"/>
      <c r="K26" s="245"/>
      <c r="L26" s="245"/>
      <c r="M26" s="245"/>
      <c r="N26" s="245"/>
      <c r="O26" s="245"/>
      <c r="P26" s="245"/>
      <c r="Q26" s="245"/>
      <c r="R26" s="245"/>
      <c r="S26" s="245"/>
      <c r="T26" s="245"/>
      <c r="U26" s="245"/>
      <c r="V26" s="245"/>
      <c r="W26" s="245"/>
      <c r="X26" s="245"/>
      <c r="Y26" s="245"/>
      <c r="Z26" s="245"/>
      <c r="AA26" s="245"/>
      <c r="AB26" s="244"/>
      <c r="AD26" s="245"/>
      <c r="AE26" s="245"/>
      <c r="AF26" s="245"/>
      <c r="AG26" s="245"/>
      <c r="AH26" s="245"/>
      <c r="AI26" s="245"/>
      <c r="AJ26" s="245"/>
      <c r="AK26" s="245"/>
      <c r="AL26" s="245"/>
      <c r="AM26" s="245"/>
      <c r="AN26" s="245"/>
      <c r="AO26" s="249"/>
      <c r="AP26" s="249"/>
      <c r="AQ26" s="249"/>
      <c r="AR26" s="249"/>
      <c r="AS26" s="249"/>
      <c r="AT26" s="245"/>
      <c r="AV26" s="6"/>
      <c r="AW26" s="6"/>
      <c r="AX26" s="6"/>
      <c r="AY26" s="6"/>
      <c r="AZ26" s="6"/>
      <c r="BA26" s="6"/>
      <c r="BB26" s="6"/>
      <c r="BC26" s="6"/>
      <c r="BD26" s="6"/>
      <c r="BE26" s="6"/>
      <c r="BF26" s="6"/>
      <c r="BG26" s="6"/>
      <c r="BH26" s="6"/>
      <c r="BI26" s="6"/>
      <c r="BJ26" s="6"/>
      <c r="BK26" s="6"/>
      <c r="BL26" s="6"/>
      <c r="BM26" s="6"/>
      <c r="BO26" s="6"/>
      <c r="BP26" s="6"/>
      <c r="BQ26" s="6"/>
      <c r="BR26" s="6"/>
      <c r="BS26" s="6"/>
      <c r="BT26" s="6"/>
      <c r="BU26" s="6"/>
      <c r="BV26" s="6"/>
      <c r="BW26" s="496"/>
      <c r="BX26" s="496"/>
      <c r="BY26" s="497" t="str">
        <f>IF(OR(BY25="",BY25=$CB$16),"",IF(SUM(BW$26:$BW27)=0,$CB$16,IF(BW27&gt;0,BW27-1,"")))</f>
        <v/>
      </c>
      <c r="BZ26" s="497"/>
      <c r="CA26" s="503"/>
      <c r="CB26" s="503"/>
      <c r="CC26" s="503"/>
      <c r="CD26" s="503"/>
      <c r="CE26" s="503"/>
      <c r="CF26" s="6"/>
      <c r="CR26" s="444"/>
      <c r="CT26" s="1"/>
      <c r="CU26" s="1"/>
      <c r="CV26" s="1"/>
    </row>
    <row r="27" spans="2:100" ht="12.75" customHeight="1" x14ac:dyDescent="0.2">
      <c r="B27" s="245"/>
      <c r="C27" s="245" t="s">
        <v>761</v>
      </c>
      <c r="D27" s="245"/>
      <c r="E27" s="245"/>
      <c r="F27" s="245"/>
      <c r="G27" s="245"/>
      <c r="H27" s="245"/>
      <c r="I27" s="245"/>
      <c r="J27" s="245"/>
      <c r="K27" s="245"/>
      <c r="L27" s="245"/>
      <c r="M27" s="245"/>
      <c r="N27" s="523"/>
      <c r="O27" s="523"/>
      <c r="P27" s="523"/>
      <c r="Q27" s="523"/>
      <c r="R27" s="523"/>
      <c r="S27" s="523"/>
      <c r="T27" s="523"/>
      <c r="U27" s="523"/>
      <c r="V27" s="523"/>
      <c r="W27" s="523"/>
      <c r="X27" s="523"/>
      <c r="Y27" s="523"/>
      <c r="Z27" s="523"/>
      <c r="AA27" s="523"/>
      <c r="AB27" s="244"/>
      <c r="AD27" s="245"/>
      <c r="AE27" s="245"/>
      <c r="AF27" s="245"/>
      <c r="AG27" s="245"/>
      <c r="AH27" s="245"/>
      <c r="AI27" s="245"/>
      <c r="AJ27" s="245"/>
      <c r="AK27" s="245"/>
      <c r="AL27" s="245"/>
      <c r="AM27" s="245"/>
      <c r="AN27" s="245"/>
      <c r="AO27" s="251"/>
      <c r="AP27" s="251"/>
      <c r="AQ27" s="251"/>
      <c r="AR27" s="251"/>
      <c r="AS27" s="251"/>
      <c r="AT27" s="245"/>
      <c r="AV27" s="6"/>
      <c r="AW27" s="6"/>
      <c r="AX27" s="6"/>
      <c r="AY27" s="6"/>
      <c r="AZ27" s="6"/>
      <c r="BA27" s="6"/>
      <c r="BB27" s="6"/>
      <c r="BC27" s="6"/>
      <c r="BD27" s="6"/>
      <c r="BE27" s="6"/>
      <c r="BF27" s="6"/>
      <c r="BG27" s="6"/>
      <c r="BH27" s="6"/>
      <c r="BI27" s="6"/>
      <c r="BJ27" s="6"/>
      <c r="BK27" s="6"/>
      <c r="BL27" s="6"/>
      <c r="BM27" s="6"/>
      <c r="BO27" s="6"/>
      <c r="BP27" s="6"/>
      <c r="BQ27" s="6"/>
      <c r="BR27" s="6"/>
      <c r="BS27" s="6"/>
      <c r="BT27" s="6"/>
      <c r="BU27" s="6"/>
      <c r="BV27" s="6"/>
      <c r="BW27" s="6"/>
      <c r="BX27" s="6"/>
      <c r="BY27" s="502"/>
      <c r="BZ27" s="502"/>
      <c r="CA27" s="6"/>
      <c r="CB27" s="6"/>
      <c r="CC27" s="6"/>
      <c r="CD27" s="6"/>
      <c r="CE27" s="6"/>
      <c r="CF27" s="6"/>
      <c r="CT27" s="1"/>
      <c r="CU27" s="1"/>
      <c r="CV27" s="1"/>
    </row>
    <row r="28" spans="2:100" ht="12.75" customHeight="1" x14ac:dyDescent="0.2">
      <c r="B28" s="245"/>
      <c r="C28" s="245"/>
      <c r="D28" s="245"/>
      <c r="E28" s="245"/>
      <c r="F28" s="245"/>
      <c r="G28" s="245"/>
      <c r="H28" s="245"/>
      <c r="I28" s="245"/>
      <c r="J28" s="245"/>
      <c r="K28" s="245"/>
      <c r="L28" s="245"/>
      <c r="M28" s="245"/>
      <c r="N28" s="245"/>
      <c r="O28" s="245"/>
      <c r="P28" s="245"/>
      <c r="Q28" s="245"/>
      <c r="R28" s="245"/>
      <c r="S28" s="245"/>
      <c r="T28" s="245"/>
      <c r="U28" s="245"/>
      <c r="V28" s="245"/>
      <c r="W28" s="245"/>
      <c r="X28" s="245"/>
      <c r="Y28" s="245"/>
      <c r="Z28" s="245"/>
      <c r="AA28" s="245"/>
      <c r="AB28" s="244"/>
      <c r="AD28" s="245"/>
      <c r="AE28" s="245"/>
      <c r="AF28" s="245"/>
      <c r="AG28" s="245"/>
      <c r="AH28" s="245"/>
      <c r="AI28" s="245"/>
      <c r="AJ28" s="245"/>
      <c r="AK28" s="245"/>
      <c r="AL28" s="245"/>
      <c r="AM28" s="245"/>
      <c r="AN28" s="245"/>
      <c r="AO28" s="245"/>
      <c r="AP28" s="245"/>
      <c r="AQ28" s="245"/>
      <c r="AR28" s="245"/>
      <c r="AS28" s="245"/>
      <c r="AT28" s="245"/>
      <c r="AV28" s="6"/>
      <c r="AW28" s="445"/>
      <c r="AX28" s="445"/>
      <c r="AY28" s="445"/>
      <c r="AZ28" s="445"/>
      <c r="BA28" s="445"/>
      <c r="BB28" s="445"/>
      <c r="BC28" s="445"/>
      <c r="BD28" s="445"/>
      <c r="BE28" s="445"/>
      <c r="BF28" s="445"/>
      <c r="BG28" s="445"/>
      <c r="BH28" s="445"/>
      <c r="BI28" s="445"/>
      <c r="BJ28" s="445"/>
      <c r="BK28" s="445"/>
      <c r="BL28" s="445"/>
      <c r="BM28" s="445"/>
      <c r="BN28" s="164"/>
      <c r="BO28" s="164"/>
      <c r="BP28" s="164"/>
      <c r="BQ28" s="164"/>
      <c r="BR28" s="164"/>
      <c r="BS28" s="445"/>
      <c r="BT28" s="445"/>
      <c r="BU28" s="445"/>
      <c r="BV28" s="445"/>
      <c r="BW28" s="445"/>
      <c r="BX28" s="445"/>
      <c r="BY28" s="445"/>
      <c r="BZ28" s="445"/>
      <c r="CA28" s="445"/>
      <c r="CB28" s="445"/>
      <c r="CC28" s="445"/>
      <c r="CD28" s="445"/>
      <c r="CE28" s="445"/>
      <c r="CF28" s="6"/>
      <c r="CN28" s="1"/>
      <c r="CO28" s="446"/>
      <c r="CP28" s="1"/>
      <c r="CQ28" s="1"/>
      <c r="CS28" s="442"/>
      <c r="CT28" s="1"/>
      <c r="CU28" s="1"/>
      <c r="CV28" s="1"/>
    </row>
    <row r="29" spans="2:100" ht="12.75" customHeight="1" x14ac:dyDescent="0.2">
      <c r="B29" s="245"/>
      <c r="C29" s="255" t="s">
        <v>760</v>
      </c>
      <c r="D29" s="245"/>
      <c r="E29" s="245"/>
      <c r="F29" s="245"/>
      <c r="G29" s="245"/>
      <c r="H29" s="245"/>
      <c r="I29" s="245"/>
      <c r="J29" s="245"/>
      <c r="K29" s="245"/>
      <c r="L29" s="245"/>
      <c r="M29" s="245"/>
      <c r="N29" s="523" t="s">
        <v>187</v>
      </c>
      <c r="O29" s="523"/>
      <c r="P29" s="523"/>
      <c r="Q29" s="523"/>
      <c r="R29" s="523"/>
      <c r="S29" s="523"/>
      <c r="T29" s="523"/>
      <c r="U29" s="523"/>
      <c r="V29" s="523"/>
      <c r="W29" s="523"/>
      <c r="X29" s="523"/>
      <c r="Y29" s="523"/>
      <c r="Z29" s="523"/>
      <c r="AA29" s="523"/>
      <c r="AB29" s="244"/>
      <c r="AD29" s="245"/>
      <c r="AE29" s="245"/>
      <c r="AF29" s="245"/>
      <c r="AG29" s="245"/>
      <c r="AH29" s="245"/>
      <c r="AI29" s="245"/>
      <c r="AJ29" s="245"/>
      <c r="AK29" s="245"/>
      <c r="AL29" s="245"/>
      <c r="AM29" s="245"/>
      <c r="AN29" s="245"/>
      <c r="AO29" s="245"/>
      <c r="AP29" s="245"/>
      <c r="AQ29" s="245"/>
      <c r="AR29" s="245"/>
      <c r="AS29" s="245"/>
      <c r="AT29" s="245"/>
      <c r="AV29" s="6"/>
      <c r="AW29" s="445"/>
      <c r="AX29" s="445" t="s">
        <v>748</v>
      </c>
      <c r="AY29" s="445"/>
      <c r="AZ29" s="445"/>
      <c r="BA29" s="445"/>
      <c r="BB29" s="445"/>
      <c r="BC29" s="445"/>
      <c r="BD29" s="445"/>
      <c r="BE29" s="445"/>
      <c r="BF29" s="445"/>
      <c r="BG29" s="445"/>
      <c r="BH29" s="445"/>
      <c r="BI29" s="445"/>
      <c r="BJ29" s="445"/>
      <c r="BK29" s="445"/>
      <c r="BL29" s="445"/>
      <c r="BM29" s="445"/>
      <c r="BN29" s="164"/>
      <c r="BO29" s="164"/>
      <c r="BP29" s="164"/>
      <c r="BQ29" s="164"/>
      <c r="BR29" s="164"/>
      <c r="BS29" s="445"/>
      <c r="BT29" s="445"/>
      <c r="BU29" s="445"/>
      <c r="BV29" s="445"/>
      <c r="BW29" s="445"/>
      <c r="BX29" s="445"/>
      <c r="BY29" s="445"/>
      <c r="BZ29" s="445"/>
      <c r="CA29" s="445"/>
      <c r="CB29" s="445"/>
      <c r="CC29" s="445"/>
      <c r="CD29" s="445"/>
      <c r="CE29" s="445"/>
      <c r="CF29" s="6"/>
      <c r="CN29" s="1"/>
      <c r="CO29" s="446"/>
      <c r="CS29" s="442"/>
      <c r="CT29" s="1"/>
      <c r="CU29" s="1"/>
      <c r="CV29" s="1"/>
    </row>
    <row r="30" spans="2:100" ht="12.75" customHeight="1" x14ac:dyDescent="0.2">
      <c r="B30" s="245"/>
      <c r="C30" s="245"/>
      <c r="D30" s="245"/>
      <c r="E30" s="245"/>
      <c r="F30" s="245"/>
      <c r="G30" s="245"/>
      <c r="H30" s="245"/>
      <c r="I30" s="245"/>
      <c r="J30" s="245"/>
      <c r="K30" s="245"/>
      <c r="L30" s="245"/>
      <c r="M30" s="245"/>
      <c r="N30" s="245"/>
      <c r="O30" s="245"/>
      <c r="P30" s="245"/>
      <c r="Q30" s="245"/>
      <c r="R30" s="245"/>
      <c r="S30" s="245"/>
      <c r="T30" s="245"/>
      <c r="U30" s="245"/>
      <c r="V30" s="245"/>
      <c r="W30" s="245"/>
      <c r="X30" s="245"/>
      <c r="Y30" s="245"/>
      <c r="Z30" s="245"/>
      <c r="AA30" s="245"/>
      <c r="AB30" s="244"/>
      <c r="AD30" s="245"/>
      <c r="AE30" s="245"/>
      <c r="AF30" s="245"/>
      <c r="AG30" s="245"/>
      <c r="AH30" s="245"/>
      <c r="AI30" s="245"/>
      <c r="AJ30" s="245"/>
      <c r="AK30" s="245"/>
      <c r="AL30" s="245"/>
      <c r="AM30" s="245"/>
      <c r="AN30" s="245"/>
      <c r="AO30" s="245"/>
      <c r="AP30" s="245"/>
      <c r="AQ30" s="245"/>
      <c r="AR30" s="245"/>
      <c r="AS30" s="245"/>
      <c r="AT30" s="245"/>
      <c r="AV30" s="6"/>
      <c r="AW30" s="445"/>
      <c r="AX30" s="445"/>
      <c r="AY30" s="445"/>
      <c r="AZ30" s="445"/>
      <c r="BA30" s="445"/>
      <c r="BB30" s="445"/>
      <c r="BC30" s="445"/>
      <c r="BD30" s="445"/>
      <c r="BE30" s="445"/>
      <c r="BF30" s="445"/>
      <c r="BG30" s="445"/>
      <c r="BH30" s="445"/>
      <c r="BI30" s="445"/>
      <c r="BJ30" s="447"/>
      <c r="BK30" s="445"/>
      <c r="BL30" s="445"/>
      <c r="BM30" s="165"/>
      <c r="BN30" s="164"/>
      <c r="BO30" s="164"/>
      <c r="BP30" s="164"/>
      <c r="BQ30" s="165"/>
      <c r="BR30" s="165"/>
      <c r="BS30" s="165"/>
      <c r="BT30" s="165"/>
      <c r="BU30" s="165"/>
      <c r="BV30" s="165"/>
      <c r="BW30" s="165"/>
      <c r="BX30" s="166"/>
      <c r="BY30" s="166"/>
      <c r="BZ30" s="166"/>
      <c r="CA30" s="166"/>
      <c r="CB30" s="166"/>
      <c r="CC30" s="166"/>
      <c r="CD30" s="166"/>
      <c r="CE30" s="166"/>
      <c r="CF30" s="6"/>
      <c r="CN30" s="1"/>
      <c r="CO30" s="446"/>
      <c r="CS30" s="442"/>
      <c r="CT30" s="1"/>
      <c r="CU30" s="1"/>
      <c r="CV30" s="1"/>
    </row>
    <row r="31" spans="2:100" ht="12.75" customHeight="1" x14ac:dyDescent="0.2">
      <c r="AD31" s="245"/>
      <c r="AE31" s="245"/>
      <c r="AF31" s="245"/>
      <c r="AG31" s="245"/>
      <c r="AH31" s="245"/>
      <c r="AI31" s="245"/>
      <c r="AJ31" s="245"/>
      <c r="AK31" s="245"/>
      <c r="AL31" s="245"/>
      <c r="AM31" s="245"/>
      <c r="AN31" s="245"/>
      <c r="AO31" s="245"/>
      <c r="AP31" s="245"/>
      <c r="AQ31" s="245"/>
      <c r="AR31" s="245"/>
      <c r="AS31" s="245"/>
      <c r="AT31" s="245"/>
      <c r="AV31" s="6"/>
      <c r="AW31" s="445"/>
      <c r="AX31" s="516" t="s">
        <v>725</v>
      </c>
      <c r="AY31" s="516"/>
      <c r="AZ31" s="516"/>
      <c r="BA31" s="516"/>
      <c r="BB31" s="516"/>
      <c r="BC31" s="516"/>
      <c r="BD31" s="516"/>
      <c r="BE31" s="516"/>
      <c r="BF31" s="516" t="s">
        <v>724</v>
      </c>
      <c r="BG31" s="516"/>
      <c r="BH31" s="516"/>
      <c r="BI31" s="516"/>
      <c r="BJ31" s="516" t="s">
        <v>5</v>
      </c>
      <c r="BK31" s="516"/>
      <c r="BL31" s="516"/>
      <c r="BM31" s="516"/>
      <c r="BN31" s="164"/>
      <c r="BO31" s="448" t="s">
        <v>1775</v>
      </c>
      <c r="BP31" s="164"/>
      <c r="BQ31" s="164"/>
      <c r="BR31" s="165"/>
      <c r="BS31" s="445"/>
      <c r="BT31" s="445"/>
      <c r="BU31" s="499" t="s">
        <v>1190</v>
      </c>
      <c r="BV31" s="499"/>
      <c r="BW31" s="499"/>
      <c r="BX31" s="499"/>
      <c r="BY31" s="499"/>
      <c r="BZ31" s="499"/>
      <c r="CA31" s="499"/>
      <c r="CB31" s="499"/>
      <c r="CC31" s="499"/>
      <c r="CD31" s="499"/>
      <c r="CE31" s="166"/>
      <c r="CF31" s="6"/>
      <c r="CO31" s="449"/>
      <c r="CS31" s="442"/>
      <c r="CT31" s="1"/>
      <c r="CU31" s="1"/>
      <c r="CV31" s="1"/>
    </row>
    <row r="32" spans="2:100" ht="12.75" customHeight="1" x14ac:dyDescent="0.2">
      <c r="B32" s="244"/>
      <c r="C32" s="245"/>
      <c r="D32" s="245"/>
      <c r="E32" s="245"/>
      <c r="F32" s="245"/>
      <c r="G32" s="245"/>
      <c r="H32" s="245"/>
      <c r="I32" s="245"/>
      <c r="J32" s="245"/>
      <c r="K32" s="245"/>
      <c r="L32" s="245"/>
      <c r="M32" s="245"/>
      <c r="N32" s="245"/>
      <c r="O32" s="245"/>
      <c r="P32" s="245"/>
      <c r="Q32" s="245"/>
      <c r="R32" s="245"/>
      <c r="S32" s="245"/>
      <c r="T32" s="245"/>
      <c r="U32" s="245"/>
      <c r="V32" s="245"/>
      <c r="W32" s="245"/>
      <c r="X32" s="245"/>
      <c r="Y32" s="245"/>
      <c r="Z32" s="245"/>
      <c r="AA32" s="245"/>
      <c r="AB32" s="245"/>
      <c r="AD32" s="245"/>
      <c r="AE32" s="245"/>
      <c r="AF32" s="245"/>
      <c r="AG32" s="245"/>
      <c r="AH32" s="245"/>
      <c r="AI32" s="245"/>
      <c r="AJ32" s="245"/>
      <c r="AK32" s="245"/>
      <c r="AL32" s="245"/>
      <c r="AM32" s="245"/>
      <c r="AN32" s="245"/>
      <c r="AO32" s="245"/>
      <c r="AP32" s="245"/>
      <c r="AQ32" s="245"/>
      <c r="AR32" s="245"/>
      <c r="AS32" s="245"/>
      <c r="AT32" s="245"/>
      <c r="AV32" s="6"/>
      <c r="AW32" s="445"/>
      <c r="AX32" s="520" t="s">
        <v>5975</v>
      </c>
      <c r="AY32" s="520"/>
      <c r="AZ32" s="520"/>
      <c r="BA32" s="520"/>
      <c r="BB32" s="520"/>
      <c r="BC32" s="520"/>
      <c r="BD32" s="520"/>
      <c r="BE32" s="520"/>
      <c r="BF32" s="515">
        <v>1</v>
      </c>
      <c r="BG32" s="515"/>
      <c r="BH32" s="515"/>
      <c r="BI32" s="515"/>
      <c r="BJ32" s="515">
        <v>1</v>
      </c>
      <c r="BK32" s="515"/>
      <c r="BL32" s="515"/>
      <c r="BM32" s="515"/>
      <c r="BN32" s="164"/>
      <c r="BO32" s="164"/>
      <c r="BP32" s="164"/>
      <c r="BQ32" s="165"/>
      <c r="BR32" s="165"/>
      <c r="BS32" s="165"/>
      <c r="BT32" s="165"/>
      <c r="BU32" s="165"/>
      <c r="BV32" s="165"/>
      <c r="BW32" s="165"/>
      <c r="BX32" s="166"/>
      <c r="BY32" s="166"/>
      <c r="BZ32" s="166"/>
      <c r="CA32" s="166"/>
      <c r="CB32" s="166"/>
      <c r="CC32" s="166"/>
      <c r="CD32" s="166"/>
      <c r="CE32" s="166"/>
      <c r="CF32" s="6"/>
      <c r="CO32" s="449"/>
      <c r="CS32" s="442"/>
      <c r="CT32" s="1"/>
      <c r="CU32" s="1"/>
      <c r="CV32" s="1"/>
    </row>
    <row r="33" spans="2:104" ht="12.75" customHeight="1" x14ac:dyDescent="0.25">
      <c r="B33" s="244"/>
      <c r="C33" s="256" t="s">
        <v>759</v>
      </c>
      <c r="D33" s="245"/>
      <c r="E33" s="245"/>
      <c r="F33" s="245"/>
      <c r="G33" s="245"/>
      <c r="H33" s="245"/>
      <c r="I33" s="245"/>
      <c r="J33" s="245"/>
      <c r="K33" s="245"/>
      <c r="L33" s="257"/>
      <c r="M33" s="245"/>
      <c r="N33" s="245"/>
      <c r="O33" s="245"/>
      <c r="P33" s="245"/>
      <c r="Q33" s="245"/>
      <c r="R33" s="245"/>
      <c r="S33" s="245"/>
      <c r="T33" s="245"/>
      <c r="U33" s="245"/>
      <c r="V33" s="245"/>
      <c r="W33" s="245"/>
      <c r="X33" s="245"/>
      <c r="Y33" s="245"/>
      <c r="Z33" s="245"/>
      <c r="AA33" s="245"/>
      <c r="AB33" s="245"/>
      <c r="AD33" s="245"/>
      <c r="AE33" s="245"/>
      <c r="AF33" s="245"/>
      <c r="AG33" s="245"/>
      <c r="AH33" s="245"/>
      <c r="AI33" s="245"/>
      <c r="AJ33" s="245"/>
      <c r="AK33" s="245"/>
      <c r="AL33" s="245"/>
      <c r="AM33" s="245"/>
      <c r="AN33" s="245"/>
      <c r="AO33" s="245"/>
      <c r="AP33" s="245"/>
      <c r="AQ33" s="245"/>
      <c r="AR33" s="245"/>
      <c r="AS33" s="245"/>
      <c r="AT33" s="245"/>
      <c r="AV33" s="6"/>
      <c r="AW33" s="445"/>
      <c r="AX33" s="520" t="s">
        <v>1870</v>
      </c>
      <c r="AY33" s="520"/>
      <c r="AZ33" s="520"/>
      <c r="BA33" s="520"/>
      <c r="BB33" s="520"/>
      <c r="BC33" s="520"/>
      <c r="BD33" s="520"/>
      <c r="BE33" s="520"/>
      <c r="BF33" s="515">
        <v>1</v>
      </c>
      <c r="BG33" s="515"/>
      <c r="BH33" s="515"/>
      <c r="BI33" s="515"/>
      <c r="BJ33" s="515">
        <v>1</v>
      </c>
      <c r="BK33" s="515"/>
      <c r="BL33" s="515"/>
      <c r="BM33" s="515"/>
      <c r="BN33" s="164"/>
      <c r="BO33" s="167" t="s">
        <v>815</v>
      </c>
      <c r="BP33" s="164"/>
      <c r="BQ33" s="165"/>
      <c r="BR33" s="168"/>
      <c r="BS33" s="168"/>
      <c r="BT33" s="168"/>
      <c r="BU33" s="168"/>
      <c r="BV33" s="168"/>
      <c r="BW33" s="168"/>
      <c r="BX33" s="169"/>
      <c r="BY33" s="169"/>
      <c r="BZ33" s="169"/>
      <c r="CA33" s="166"/>
      <c r="CB33" s="166"/>
      <c r="CC33" s="166"/>
      <c r="CD33" s="166"/>
      <c r="CE33" s="166"/>
      <c r="CF33" s="6"/>
      <c r="CT33" s="1"/>
      <c r="CU33" s="1"/>
      <c r="CV33" s="1"/>
    </row>
    <row r="34" spans="2:104" s="10" customFormat="1" ht="12.75" customHeight="1" x14ac:dyDescent="0.2">
      <c r="B34" s="244"/>
      <c r="C34" s="245"/>
      <c r="D34" s="245"/>
      <c r="E34" s="245"/>
      <c r="F34" s="245"/>
      <c r="G34" s="245"/>
      <c r="H34" s="245"/>
      <c r="I34" s="245"/>
      <c r="J34" s="245"/>
      <c r="K34" s="245"/>
      <c r="L34" s="245"/>
      <c r="M34" s="245"/>
      <c r="N34" s="245"/>
      <c r="O34" s="245"/>
      <c r="P34" s="245"/>
      <c r="Q34" s="245"/>
      <c r="R34" s="245"/>
      <c r="S34" s="245"/>
      <c r="T34" s="245"/>
      <c r="U34" s="245"/>
      <c r="V34" s="245"/>
      <c r="W34" s="245"/>
      <c r="X34" s="245"/>
      <c r="Y34" s="245"/>
      <c r="Z34" s="245"/>
      <c r="AA34" s="245"/>
      <c r="AB34" s="245"/>
      <c r="AC34" s="1"/>
      <c r="AD34" s="245"/>
      <c r="AE34" s="245"/>
      <c r="AF34" s="245"/>
      <c r="AG34" s="245"/>
      <c r="AH34" s="245"/>
      <c r="AI34" s="245"/>
      <c r="AJ34" s="245"/>
      <c r="AK34" s="245"/>
      <c r="AL34" s="245"/>
      <c r="AM34" s="245"/>
      <c r="AN34" s="245"/>
      <c r="AO34" s="245"/>
      <c r="AP34" s="245"/>
      <c r="AQ34" s="245"/>
      <c r="AR34" s="245"/>
      <c r="AS34" s="245"/>
      <c r="AT34" s="245"/>
      <c r="AU34" s="1"/>
      <c r="AV34" s="6"/>
      <c r="AW34" s="445"/>
      <c r="AX34" s="520" t="s">
        <v>1871</v>
      </c>
      <c r="AY34" s="520"/>
      <c r="AZ34" s="520"/>
      <c r="BA34" s="520"/>
      <c r="BB34" s="520"/>
      <c r="BC34" s="520"/>
      <c r="BD34" s="520"/>
      <c r="BE34" s="520"/>
      <c r="BF34" s="515">
        <v>1</v>
      </c>
      <c r="BG34" s="515"/>
      <c r="BH34" s="515"/>
      <c r="BI34" s="515"/>
      <c r="BJ34" s="515">
        <v>1</v>
      </c>
      <c r="BK34" s="515"/>
      <c r="BL34" s="515"/>
      <c r="BM34" s="515"/>
      <c r="BN34" s="164"/>
      <c r="BO34" s="201" t="s">
        <v>1789</v>
      </c>
      <c r="BP34" s="170"/>
      <c r="BQ34" s="170"/>
      <c r="BR34" s="171"/>
      <c r="BS34" s="171"/>
      <c r="BT34" s="170"/>
      <c r="BU34" s="170"/>
      <c r="BV34" s="171" t="s">
        <v>816</v>
      </c>
      <c r="BW34" s="171"/>
      <c r="BX34" s="171"/>
      <c r="BY34" s="171"/>
      <c r="BZ34" s="171"/>
      <c r="CA34" s="171"/>
      <c r="CB34" s="496" t="s">
        <v>823</v>
      </c>
      <c r="CC34" s="496"/>
      <c r="CD34" s="496"/>
      <c r="CE34" s="166"/>
      <c r="CF34" s="6"/>
      <c r="CH34" s="1"/>
      <c r="CI34" s="1"/>
      <c r="CJ34" s="1"/>
      <c r="CK34" s="1"/>
      <c r="CL34" s="1"/>
      <c r="CM34" s="1"/>
      <c r="CP34" s="93"/>
      <c r="CQ34" s="93"/>
      <c r="CR34" s="93"/>
      <c r="CT34" s="1"/>
      <c r="CU34" s="1"/>
      <c r="CV34" s="1"/>
      <c r="CW34" s="1"/>
      <c r="CX34" s="1"/>
      <c r="CY34" s="1"/>
      <c r="CZ34" s="1"/>
    </row>
    <row r="35" spans="2:104" s="10" customFormat="1" ht="12.75" customHeight="1" x14ac:dyDescent="0.2">
      <c r="B35" s="244"/>
      <c r="C35" s="244"/>
      <c r="D35" s="244"/>
      <c r="E35" s="244"/>
      <c r="F35" s="244"/>
      <c r="G35" s="244"/>
      <c r="H35" s="244"/>
      <c r="I35" s="244"/>
      <c r="J35" s="244"/>
      <c r="K35" s="244"/>
      <c r="L35" s="244"/>
      <c r="M35" s="244"/>
      <c r="N35" s="244"/>
      <c r="O35" s="258"/>
      <c r="P35" s="258"/>
      <c r="Q35" s="258"/>
      <c r="R35" s="245"/>
      <c r="S35" s="245"/>
      <c r="T35" s="245"/>
      <c r="U35" s="245"/>
      <c r="V35" s="245"/>
      <c r="W35" s="245"/>
      <c r="X35" s="245"/>
      <c r="Y35" s="245"/>
      <c r="Z35" s="245"/>
      <c r="AA35" s="245"/>
      <c r="AB35" s="245"/>
      <c r="AC35" s="1"/>
      <c r="AD35" s="245"/>
      <c r="AE35" s="245"/>
      <c r="AF35" s="245"/>
      <c r="AG35" s="245"/>
      <c r="AH35" s="245"/>
      <c r="AI35" s="245"/>
      <c r="AJ35" s="245"/>
      <c r="AK35" s="245"/>
      <c r="AL35" s="245"/>
      <c r="AM35" s="245"/>
      <c r="AN35" s="245"/>
      <c r="AO35" s="245"/>
      <c r="AP35" s="245"/>
      <c r="AQ35" s="245"/>
      <c r="AR35" s="245"/>
      <c r="AS35" s="245"/>
      <c r="AT35" s="245"/>
      <c r="AU35" s="1"/>
      <c r="AV35" s="6"/>
      <c r="AW35" s="445"/>
      <c r="AX35" s="520" t="s">
        <v>1827</v>
      </c>
      <c r="AY35" s="520"/>
      <c r="AZ35" s="520"/>
      <c r="BA35" s="520"/>
      <c r="BB35" s="520"/>
      <c r="BC35" s="520"/>
      <c r="BD35" s="520"/>
      <c r="BE35" s="520"/>
      <c r="BF35" s="515">
        <v>1</v>
      </c>
      <c r="BG35" s="515"/>
      <c r="BH35" s="515"/>
      <c r="BI35" s="515"/>
      <c r="BJ35" s="515">
        <v>1</v>
      </c>
      <c r="BK35" s="515"/>
      <c r="BL35" s="515"/>
      <c r="BM35" s="515"/>
      <c r="BN35" s="164"/>
      <c r="BO35" s="170"/>
      <c r="BP35" s="170"/>
      <c r="BQ35" s="170"/>
      <c r="BR35" s="172"/>
      <c r="BS35" s="172"/>
      <c r="BT35" s="170"/>
      <c r="BU35" s="170"/>
      <c r="BV35" s="171" t="s">
        <v>817</v>
      </c>
      <c r="BW35" s="171"/>
      <c r="BX35" s="171"/>
      <c r="BY35" s="171"/>
      <c r="BZ35" s="171"/>
      <c r="CA35" s="171"/>
      <c r="CB35" s="496" t="s">
        <v>824</v>
      </c>
      <c r="CC35" s="496"/>
      <c r="CD35" s="496"/>
      <c r="CE35" s="166"/>
      <c r="CF35" s="6"/>
      <c r="CH35" s="1"/>
      <c r="CI35" s="1"/>
      <c r="CJ35" s="1"/>
      <c r="CK35" s="1"/>
      <c r="CL35" s="1"/>
      <c r="CM35" s="1"/>
      <c r="CP35" s="439"/>
      <c r="CQ35" s="439"/>
      <c r="CR35" s="439"/>
      <c r="CT35" s="1"/>
      <c r="CU35" s="1"/>
      <c r="CV35" s="1"/>
      <c r="CW35" s="1"/>
      <c r="CX35" s="1"/>
      <c r="CY35" s="1"/>
      <c r="CZ35" s="1"/>
    </row>
    <row r="36" spans="2:104" s="10" customFormat="1" ht="12.75" customHeight="1" x14ac:dyDescent="0.2">
      <c r="B36" s="244"/>
      <c r="C36" s="245" t="s">
        <v>1877</v>
      </c>
      <c r="D36" s="245"/>
      <c r="E36" s="245"/>
      <c r="F36" s="245"/>
      <c r="G36" s="245"/>
      <c r="H36" s="245"/>
      <c r="I36" s="245"/>
      <c r="J36" s="245"/>
      <c r="K36" s="245"/>
      <c r="L36" s="524">
        <f ca="1">IFERROR(SUM(Str_NumOfStructures),0)</f>
        <v>0</v>
      </c>
      <c r="M36" s="524"/>
      <c r="N36" s="524"/>
      <c r="O36" s="258"/>
      <c r="P36" s="258"/>
      <c r="Q36" s="258"/>
      <c r="R36" s="245"/>
      <c r="S36" s="245"/>
      <c r="T36" s="245"/>
      <c r="U36" s="245"/>
      <c r="V36" s="245"/>
      <c r="W36" s="245"/>
      <c r="X36" s="245"/>
      <c r="Y36" s="245"/>
      <c r="Z36" s="245"/>
      <c r="AA36" s="245"/>
      <c r="AB36" s="245"/>
      <c r="AC36" s="1"/>
      <c r="AD36" s="245"/>
      <c r="AE36" s="245"/>
      <c r="AF36" s="245"/>
      <c r="AG36" s="245"/>
      <c r="AH36" s="245"/>
      <c r="AI36" s="245"/>
      <c r="AJ36" s="245"/>
      <c r="AK36" s="245"/>
      <c r="AL36" s="245"/>
      <c r="AM36" s="245"/>
      <c r="AN36" s="245"/>
      <c r="AO36" s="245"/>
      <c r="AP36" s="245"/>
      <c r="AQ36" s="245"/>
      <c r="AR36" s="245"/>
      <c r="AS36" s="245"/>
      <c r="AT36" s="245"/>
      <c r="AU36" s="1"/>
      <c r="AV36" s="6"/>
      <c r="AW36" s="445"/>
      <c r="AX36" s="520" t="s">
        <v>1828</v>
      </c>
      <c r="AY36" s="520"/>
      <c r="AZ36" s="520"/>
      <c r="BA36" s="520"/>
      <c r="BB36" s="520"/>
      <c r="BC36" s="520"/>
      <c r="BD36" s="520"/>
      <c r="BE36" s="520"/>
      <c r="BF36" s="515">
        <v>1</v>
      </c>
      <c r="BG36" s="515"/>
      <c r="BH36" s="515"/>
      <c r="BI36" s="515"/>
      <c r="BJ36" s="515">
        <v>1</v>
      </c>
      <c r="BK36" s="515"/>
      <c r="BL36" s="515"/>
      <c r="BM36" s="515"/>
      <c r="BN36" s="164"/>
      <c r="BO36" s="201" t="s">
        <v>1774</v>
      </c>
      <c r="BP36" s="173"/>
      <c r="BQ36" s="173"/>
      <c r="BR36" s="171"/>
      <c r="BS36" s="171"/>
      <c r="BT36" s="173"/>
      <c r="BU36" s="173"/>
      <c r="BV36" s="171" t="s">
        <v>816</v>
      </c>
      <c r="BW36" s="171"/>
      <c r="BX36" s="171"/>
      <c r="BY36" s="171"/>
      <c r="BZ36" s="171"/>
      <c r="CA36" s="171"/>
      <c r="CB36" s="496" t="s">
        <v>823</v>
      </c>
      <c r="CC36" s="496"/>
      <c r="CD36" s="496"/>
      <c r="CE36" s="445"/>
      <c r="CF36" s="6"/>
      <c r="CH36" s="1"/>
      <c r="CI36" s="1"/>
      <c r="CJ36" s="1"/>
      <c r="CK36" s="1"/>
      <c r="CL36" s="1"/>
      <c r="CM36" s="450"/>
      <c r="CP36" s="93"/>
      <c r="CQ36" s="93"/>
      <c r="CR36" s="93"/>
      <c r="CS36" s="442"/>
      <c r="CT36" s="1"/>
      <c r="CU36" s="1"/>
      <c r="CV36" s="1"/>
      <c r="CW36" s="1"/>
      <c r="CX36" s="1"/>
      <c r="CY36" s="1"/>
      <c r="CZ36" s="1"/>
    </row>
    <row r="37" spans="2:104" s="10" customFormat="1" ht="12.75" customHeight="1" x14ac:dyDescent="0.2">
      <c r="B37" s="244"/>
      <c r="C37" s="244"/>
      <c r="D37" s="244"/>
      <c r="E37" s="244"/>
      <c r="F37" s="244"/>
      <c r="G37" s="244"/>
      <c r="H37" s="244"/>
      <c r="I37" s="244"/>
      <c r="J37" s="244"/>
      <c r="K37" s="244"/>
      <c r="L37" s="244"/>
      <c r="M37" s="244"/>
      <c r="N37" s="244"/>
      <c r="O37" s="245"/>
      <c r="P37" s="245"/>
      <c r="Q37" s="245"/>
      <c r="R37" s="245"/>
      <c r="S37" s="245"/>
      <c r="T37" s="245"/>
      <c r="U37" s="245"/>
      <c r="V37" s="245"/>
      <c r="W37" s="245"/>
      <c r="X37" s="245"/>
      <c r="Y37" s="245"/>
      <c r="Z37" s="245"/>
      <c r="AA37" s="245"/>
      <c r="AB37" s="245"/>
      <c r="AC37" s="1"/>
      <c r="AD37" s="245"/>
      <c r="AE37" s="245"/>
      <c r="AF37" s="245"/>
      <c r="AG37" s="245"/>
      <c r="AH37" s="245"/>
      <c r="AI37" s="245"/>
      <c r="AJ37" s="245"/>
      <c r="AK37" s="245"/>
      <c r="AL37" s="245"/>
      <c r="AM37" s="245"/>
      <c r="AN37" s="245"/>
      <c r="AO37" s="245"/>
      <c r="AP37" s="245"/>
      <c r="AQ37" s="245"/>
      <c r="AR37" s="245"/>
      <c r="AS37" s="245"/>
      <c r="AT37" s="245"/>
      <c r="AU37" s="1"/>
      <c r="AV37" s="6"/>
      <c r="AW37" s="445"/>
      <c r="AX37" s="520" t="s">
        <v>1829</v>
      </c>
      <c r="AY37" s="520"/>
      <c r="AZ37" s="520"/>
      <c r="BA37" s="520"/>
      <c r="BB37" s="520"/>
      <c r="BC37" s="520"/>
      <c r="BD37" s="520"/>
      <c r="BE37" s="520"/>
      <c r="BF37" s="515">
        <v>1</v>
      </c>
      <c r="BG37" s="515"/>
      <c r="BH37" s="515"/>
      <c r="BI37" s="515"/>
      <c r="BJ37" s="515">
        <v>1</v>
      </c>
      <c r="BK37" s="515"/>
      <c r="BL37" s="515"/>
      <c r="BM37" s="515"/>
      <c r="BN37" s="164"/>
      <c r="BO37" s="173"/>
      <c r="BP37" s="173"/>
      <c r="BQ37" s="173"/>
      <c r="BR37" s="172"/>
      <c r="BS37" s="172"/>
      <c r="BT37" s="173"/>
      <c r="BU37" s="173"/>
      <c r="BV37" s="171" t="s">
        <v>817</v>
      </c>
      <c r="BW37" s="171"/>
      <c r="BX37" s="171"/>
      <c r="BY37" s="171"/>
      <c r="BZ37" s="171"/>
      <c r="CA37" s="171"/>
      <c r="CB37" s="496" t="s">
        <v>824</v>
      </c>
      <c r="CC37" s="496"/>
      <c r="CD37" s="496"/>
      <c r="CE37" s="445"/>
      <c r="CF37" s="6"/>
      <c r="CH37" s="1"/>
      <c r="CI37" s="1"/>
      <c r="CJ37" s="1"/>
      <c r="CK37" s="1"/>
      <c r="CL37" s="1"/>
      <c r="CM37" s="1"/>
      <c r="CP37" s="93"/>
      <c r="CQ37" s="93"/>
      <c r="CR37" s="93"/>
      <c r="CT37" s="1"/>
      <c r="CU37" s="1"/>
      <c r="CV37" s="1"/>
      <c r="CW37" s="1"/>
      <c r="CX37" s="1"/>
      <c r="CY37" s="1"/>
      <c r="CZ37" s="1"/>
    </row>
    <row r="38" spans="2:104" s="10" customFormat="1" ht="12.75" customHeight="1" x14ac:dyDescent="0.2">
      <c r="B38" s="244"/>
      <c r="C38" s="245" t="s">
        <v>1878</v>
      </c>
      <c r="D38" s="245"/>
      <c r="E38" s="245"/>
      <c r="F38" s="245"/>
      <c r="G38" s="245"/>
      <c r="H38" s="245"/>
      <c r="I38" s="245"/>
      <c r="J38" s="245"/>
      <c r="K38" s="245"/>
      <c r="L38" s="524">
        <f>COUNTA(Elements!$B:$B)-COUNTA(Elements!$B$1:$B$4)</f>
        <v>0</v>
      </c>
      <c r="M38" s="524"/>
      <c r="N38" s="524"/>
      <c r="O38" s="245"/>
      <c r="P38" s="245"/>
      <c r="Q38" s="245"/>
      <c r="R38" s="245"/>
      <c r="S38" s="245"/>
      <c r="T38" s="245"/>
      <c r="U38" s="245"/>
      <c r="V38" s="245"/>
      <c r="W38" s="245"/>
      <c r="X38" s="245"/>
      <c r="Y38" s="245"/>
      <c r="Z38" s="245"/>
      <c r="AA38" s="245"/>
      <c r="AB38" s="245"/>
      <c r="AC38" s="1"/>
      <c r="AD38" s="245"/>
      <c r="AE38" s="245"/>
      <c r="AF38" s="245"/>
      <c r="AG38" s="245"/>
      <c r="AH38" s="245"/>
      <c r="AI38" s="245"/>
      <c r="AJ38" s="245"/>
      <c r="AK38" s="245"/>
      <c r="AL38" s="245"/>
      <c r="AM38" s="245"/>
      <c r="AN38" s="245"/>
      <c r="AO38" s="245"/>
      <c r="AP38" s="245"/>
      <c r="AQ38" s="245"/>
      <c r="AR38" s="245"/>
      <c r="AS38" s="245"/>
      <c r="AT38" s="245"/>
      <c r="AU38" s="1"/>
      <c r="AV38" s="6"/>
      <c r="AW38" s="445"/>
      <c r="AX38" s="445"/>
      <c r="AY38" s="445"/>
      <c r="AZ38" s="445"/>
      <c r="BA38" s="445"/>
      <c r="BB38" s="445"/>
      <c r="BC38" s="445"/>
      <c r="BD38" s="445"/>
      <c r="BE38" s="445"/>
      <c r="BF38" s="445"/>
      <c r="BG38" s="445"/>
      <c r="BH38" s="445"/>
      <c r="BI38" s="445"/>
      <c r="BJ38" s="445"/>
      <c r="BK38" s="445"/>
      <c r="BL38" s="445"/>
      <c r="BM38" s="165"/>
      <c r="BN38" s="164"/>
      <c r="BO38" s="164"/>
      <c r="BP38" s="164"/>
      <c r="BQ38" s="166"/>
      <c r="BR38" s="166"/>
      <c r="BS38" s="445"/>
      <c r="BT38" s="445"/>
      <c r="BU38" s="445"/>
      <c r="BV38" s="445"/>
      <c r="BW38" s="445"/>
      <c r="BX38" s="445"/>
      <c r="BY38" s="445"/>
      <c r="BZ38" s="445"/>
      <c r="CA38" s="445"/>
      <c r="CB38" s="445"/>
      <c r="CC38" s="445"/>
      <c r="CD38" s="445"/>
      <c r="CE38" s="445"/>
      <c r="CF38" s="6"/>
      <c r="CH38" s="1"/>
      <c r="CI38" s="1"/>
      <c r="CJ38" s="1"/>
      <c r="CK38" s="1"/>
      <c r="CL38" s="1"/>
      <c r="CM38" s="1"/>
      <c r="CT38" s="1"/>
      <c r="CU38" s="1"/>
      <c r="CV38" s="1"/>
      <c r="CW38" s="1"/>
      <c r="CX38" s="1"/>
      <c r="CY38" s="1"/>
      <c r="CZ38" s="1"/>
    </row>
    <row r="39" spans="2:104" s="10" customFormat="1" ht="12.75" customHeight="1" x14ac:dyDescent="0.2">
      <c r="B39" s="244"/>
      <c r="C39" s="244"/>
      <c r="D39" s="244"/>
      <c r="E39" s="244"/>
      <c r="F39" s="244"/>
      <c r="G39" s="244"/>
      <c r="H39" s="244"/>
      <c r="I39" s="244"/>
      <c r="J39" s="244"/>
      <c r="K39" s="244"/>
      <c r="L39" s="244"/>
      <c r="M39" s="244"/>
      <c r="N39" s="244"/>
      <c r="O39" s="245"/>
      <c r="P39" s="245"/>
      <c r="Q39" s="245"/>
      <c r="R39" s="245"/>
      <c r="S39" s="245"/>
      <c r="T39" s="245"/>
      <c r="U39" s="245"/>
      <c r="V39" s="245"/>
      <c r="W39" s="245"/>
      <c r="X39" s="245"/>
      <c r="Y39" s="245"/>
      <c r="Z39" s="245"/>
      <c r="AA39" s="245"/>
      <c r="AB39" s="245"/>
      <c r="AC39" s="1"/>
      <c r="AD39" s="245"/>
      <c r="AE39" s="245"/>
      <c r="AF39" s="245"/>
      <c r="AG39" s="245"/>
      <c r="AH39" s="245"/>
      <c r="AI39" s="245"/>
      <c r="AJ39" s="245"/>
      <c r="AK39" s="245"/>
      <c r="AL39" s="245"/>
      <c r="AM39" s="245"/>
      <c r="AN39" s="245"/>
      <c r="AO39" s="245"/>
      <c r="AP39" s="245"/>
      <c r="AQ39" s="245"/>
      <c r="AR39" s="245"/>
      <c r="AS39" s="245"/>
      <c r="AT39" s="245"/>
      <c r="AU39" s="1"/>
      <c r="AV39" s="246"/>
      <c r="AW39" s="246"/>
      <c r="AX39" s="246"/>
      <c r="AY39" s="246"/>
      <c r="AZ39" s="246"/>
      <c r="BA39" s="246"/>
      <c r="BB39" s="246"/>
      <c r="BC39" s="246"/>
      <c r="BD39" s="246"/>
      <c r="BE39" s="246"/>
      <c r="BF39" s="246"/>
      <c r="BG39" s="246"/>
      <c r="BH39" s="246"/>
      <c r="BI39" s="246"/>
      <c r="BJ39" s="246"/>
      <c r="BK39" s="246"/>
      <c r="BL39" s="252"/>
      <c r="BM39" s="246"/>
      <c r="BN39" s="1"/>
      <c r="BO39" s="246"/>
      <c r="BP39" s="253"/>
      <c r="BQ39" s="254"/>
      <c r="BR39" s="254"/>
      <c r="BS39" s="246"/>
      <c r="BT39" s="246"/>
      <c r="BU39" s="246"/>
      <c r="BV39" s="246"/>
      <c r="BW39" s="246"/>
      <c r="BX39" s="246"/>
      <c r="BY39" s="246"/>
      <c r="BZ39" s="246"/>
      <c r="CA39" s="246"/>
      <c r="CB39" s="246"/>
      <c r="CC39" s="246"/>
      <c r="CD39" s="246"/>
      <c r="CE39" s="246"/>
      <c r="CF39" s="246"/>
      <c r="CH39" s="1"/>
      <c r="CI39" s="1"/>
      <c r="CJ39" s="1"/>
      <c r="CN39" s="1"/>
      <c r="CO39" s="1"/>
      <c r="CP39" s="93"/>
      <c r="CQ39" s="93"/>
      <c r="CR39" s="93"/>
      <c r="CS39" s="93"/>
    </row>
    <row r="40" spans="2:104" s="10" customFormat="1" ht="12.75" customHeight="1" x14ac:dyDescent="0.2">
      <c r="B40" s="244"/>
      <c r="C40" s="245"/>
      <c r="D40" s="245"/>
      <c r="E40" s="245"/>
      <c r="F40" s="245"/>
      <c r="G40" s="245"/>
      <c r="H40" s="245"/>
      <c r="I40" s="245"/>
      <c r="J40" s="245"/>
      <c r="K40" s="245"/>
      <c r="L40" s="245"/>
      <c r="M40" s="245"/>
      <c r="N40" s="245"/>
      <c r="O40" s="245"/>
      <c r="P40" s="245"/>
      <c r="Q40" s="245"/>
      <c r="R40" s="245"/>
      <c r="S40" s="245"/>
      <c r="T40" s="245"/>
      <c r="U40" s="245"/>
      <c r="V40" s="245"/>
      <c r="W40" s="245"/>
      <c r="X40" s="245"/>
      <c r="Y40" s="245"/>
      <c r="Z40" s="245"/>
      <c r="AA40" s="245"/>
      <c r="AB40" s="245"/>
      <c r="AC40" s="1"/>
      <c r="AD40" s="245"/>
      <c r="AE40" s="501" t="s">
        <v>1842</v>
      </c>
      <c r="AF40" s="501"/>
      <c r="AG40" s="501"/>
      <c r="AH40" s="501"/>
      <c r="AI40" s="501"/>
      <c r="AJ40" s="501"/>
      <c r="AK40" s="501"/>
      <c r="AL40" s="501"/>
      <c r="AM40" s="501"/>
      <c r="AN40" s="501"/>
      <c r="AO40" s="501"/>
      <c r="AP40" s="501"/>
      <c r="AQ40" s="501"/>
      <c r="AR40" s="501"/>
      <c r="AS40" s="501"/>
      <c r="AT40" s="245"/>
      <c r="AU40" s="1"/>
      <c r="AV40" s="246"/>
      <c r="AW40" s="501" t="s">
        <v>1843</v>
      </c>
      <c r="AX40" s="501"/>
      <c r="AY40" s="501"/>
      <c r="AZ40" s="501"/>
      <c r="BA40" s="501"/>
      <c r="BB40" s="501"/>
      <c r="BC40" s="501"/>
      <c r="BD40" s="501"/>
      <c r="BE40" s="501"/>
      <c r="BF40" s="501"/>
      <c r="BG40" s="501"/>
      <c r="BH40" s="501"/>
      <c r="BI40" s="501"/>
      <c r="BJ40" s="501"/>
      <c r="BK40" s="501"/>
      <c r="BL40" s="501"/>
      <c r="BM40" s="246"/>
      <c r="BN40" s="1"/>
      <c r="BO40" s="246"/>
      <c r="BP40" s="501" t="s">
        <v>1844</v>
      </c>
      <c r="BQ40" s="501"/>
      <c r="BR40" s="501"/>
      <c r="BS40" s="501"/>
      <c r="BT40" s="501"/>
      <c r="BU40" s="501"/>
      <c r="BV40" s="501"/>
      <c r="BW40" s="501"/>
      <c r="BX40" s="501"/>
      <c r="BY40" s="501"/>
      <c r="BZ40" s="501"/>
      <c r="CA40" s="501"/>
      <c r="CB40" s="501"/>
      <c r="CC40" s="501"/>
      <c r="CD40" s="501"/>
      <c r="CE40" s="501"/>
      <c r="CF40" s="246"/>
      <c r="CH40" s="1"/>
      <c r="CI40" s="1"/>
      <c r="CJ40" s="1"/>
      <c r="CP40" s="439"/>
      <c r="CQ40" s="439"/>
      <c r="CR40" s="439"/>
    </row>
    <row r="41" spans="2:104" s="10" customFormat="1" ht="12.75" customHeight="1" x14ac:dyDescent="0.2">
      <c r="B41" s="244"/>
      <c r="C41" s="244"/>
      <c r="D41" s="244"/>
      <c r="E41" s="244"/>
      <c r="F41" s="244"/>
      <c r="G41" s="244"/>
      <c r="H41" s="244"/>
      <c r="I41" s="244"/>
      <c r="J41" s="244"/>
      <c r="K41" s="244"/>
      <c r="L41" s="244"/>
      <c r="M41" s="244"/>
      <c r="N41" s="244"/>
      <c r="O41" s="244"/>
      <c r="P41" s="244"/>
      <c r="Q41" s="244"/>
      <c r="R41" s="244"/>
      <c r="S41" s="244"/>
      <c r="T41" s="244"/>
      <c r="U41" s="244"/>
      <c r="V41" s="244"/>
      <c r="W41" s="244"/>
      <c r="X41" s="244"/>
      <c r="Y41" s="244"/>
      <c r="Z41" s="244"/>
      <c r="AA41" s="244"/>
      <c r="AB41" s="244"/>
      <c r="AD41" s="245"/>
      <c r="AE41" s="501"/>
      <c r="AF41" s="501"/>
      <c r="AG41" s="501"/>
      <c r="AH41" s="501"/>
      <c r="AI41" s="501"/>
      <c r="AJ41" s="501"/>
      <c r="AK41" s="501"/>
      <c r="AL41" s="501"/>
      <c r="AM41" s="501"/>
      <c r="AN41" s="501"/>
      <c r="AO41" s="501"/>
      <c r="AP41" s="501"/>
      <c r="AQ41" s="501"/>
      <c r="AR41" s="501"/>
      <c r="AS41" s="501"/>
      <c r="AT41" s="245"/>
      <c r="AU41" s="1"/>
      <c r="AV41" s="246"/>
      <c r="AW41" s="501"/>
      <c r="AX41" s="501"/>
      <c r="AY41" s="501"/>
      <c r="AZ41" s="501"/>
      <c r="BA41" s="501"/>
      <c r="BB41" s="501"/>
      <c r="BC41" s="501"/>
      <c r="BD41" s="501"/>
      <c r="BE41" s="501"/>
      <c r="BF41" s="501"/>
      <c r="BG41" s="501"/>
      <c r="BH41" s="501"/>
      <c r="BI41" s="501"/>
      <c r="BJ41" s="501"/>
      <c r="BK41" s="501"/>
      <c r="BL41" s="501"/>
      <c r="BM41" s="246"/>
      <c r="BN41" s="1"/>
      <c r="BO41" s="246"/>
      <c r="BP41" s="501"/>
      <c r="BQ41" s="501"/>
      <c r="BR41" s="501"/>
      <c r="BS41" s="501"/>
      <c r="BT41" s="501"/>
      <c r="BU41" s="501"/>
      <c r="BV41" s="501"/>
      <c r="BW41" s="501"/>
      <c r="BX41" s="501"/>
      <c r="BY41" s="501"/>
      <c r="BZ41" s="501"/>
      <c r="CA41" s="501"/>
      <c r="CB41" s="501"/>
      <c r="CC41" s="501"/>
      <c r="CD41" s="501"/>
      <c r="CE41" s="501"/>
      <c r="CF41" s="246"/>
      <c r="CH41" s="1"/>
      <c r="CI41" s="1"/>
      <c r="CJ41" s="1"/>
      <c r="CP41" s="93"/>
      <c r="CQ41" s="93"/>
      <c r="CR41" s="93"/>
      <c r="CS41" s="442"/>
    </row>
    <row r="42" spans="2:104" s="10" customFormat="1" ht="12.75" customHeight="1" x14ac:dyDescent="0.2">
      <c r="B42" s="244"/>
      <c r="C42" s="244"/>
      <c r="D42" s="244"/>
      <c r="E42" s="244"/>
      <c r="F42" s="244"/>
      <c r="G42" s="244"/>
      <c r="H42" s="244"/>
      <c r="I42" s="244"/>
      <c r="J42" s="244"/>
      <c r="K42" s="244"/>
      <c r="L42" s="244"/>
      <c r="M42" s="244"/>
      <c r="N42" s="244"/>
      <c r="O42" s="244"/>
      <c r="P42" s="244"/>
      <c r="Q42" s="244"/>
      <c r="R42" s="244"/>
      <c r="S42" s="244"/>
      <c r="T42" s="244"/>
      <c r="U42" s="244"/>
      <c r="V42" s="244"/>
      <c r="W42" s="244"/>
      <c r="X42" s="244"/>
      <c r="Y42" s="244"/>
      <c r="Z42" s="244"/>
      <c r="AA42" s="244"/>
      <c r="AB42" s="244"/>
      <c r="AC42" s="1"/>
      <c r="AD42" s="245"/>
      <c r="AE42" s="501"/>
      <c r="AF42" s="501"/>
      <c r="AG42" s="501"/>
      <c r="AH42" s="501"/>
      <c r="AI42" s="501"/>
      <c r="AJ42" s="501"/>
      <c r="AK42" s="501"/>
      <c r="AL42" s="501"/>
      <c r="AM42" s="501"/>
      <c r="AN42" s="501"/>
      <c r="AO42" s="501"/>
      <c r="AP42" s="501"/>
      <c r="AQ42" s="501"/>
      <c r="AR42" s="501"/>
      <c r="AS42" s="501"/>
      <c r="AT42" s="245"/>
      <c r="AU42" s="1"/>
      <c r="AV42" s="246"/>
      <c r="AW42" s="501"/>
      <c r="AX42" s="501"/>
      <c r="AY42" s="501"/>
      <c r="AZ42" s="501"/>
      <c r="BA42" s="501"/>
      <c r="BB42" s="501"/>
      <c r="BC42" s="501"/>
      <c r="BD42" s="501"/>
      <c r="BE42" s="501"/>
      <c r="BF42" s="501"/>
      <c r="BG42" s="501"/>
      <c r="BH42" s="501"/>
      <c r="BI42" s="501"/>
      <c r="BJ42" s="501"/>
      <c r="BK42" s="501"/>
      <c r="BL42" s="501"/>
      <c r="BM42" s="246"/>
      <c r="BN42" s="1"/>
      <c r="BO42" s="246"/>
      <c r="BP42" s="501"/>
      <c r="BQ42" s="501"/>
      <c r="BR42" s="501"/>
      <c r="BS42" s="501"/>
      <c r="BT42" s="501"/>
      <c r="BU42" s="501"/>
      <c r="BV42" s="501"/>
      <c r="BW42" s="501"/>
      <c r="BX42" s="501"/>
      <c r="BY42" s="501"/>
      <c r="BZ42" s="501"/>
      <c r="CA42" s="501"/>
      <c r="CB42" s="501"/>
      <c r="CC42" s="501"/>
      <c r="CD42" s="501"/>
      <c r="CE42" s="501"/>
      <c r="CF42" s="246"/>
      <c r="CP42" s="93"/>
      <c r="CQ42" s="93"/>
      <c r="CR42" s="93"/>
    </row>
    <row r="43" spans="2:104" s="10" customFormat="1" ht="12.75" customHeight="1" x14ac:dyDescent="0.2"/>
    <row r="44" spans="2:104" s="10" customFormat="1" ht="12.75" customHeight="1" x14ac:dyDescent="0.2">
      <c r="B44" s="6"/>
      <c r="C44" s="6"/>
      <c r="D44" s="6"/>
      <c r="E44" s="6"/>
      <c r="F44" s="6"/>
      <c r="G44" s="6"/>
      <c r="H44" s="6"/>
      <c r="I44" s="6"/>
      <c r="J44" s="6"/>
      <c r="K44" s="6"/>
      <c r="L44" s="6"/>
      <c r="M44" s="6"/>
      <c r="N44" s="6"/>
      <c r="O44" s="6"/>
      <c r="P44" s="6"/>
      <c r="Q44" s="6"/>
      <c r="R44" s="6"/>
      <c r="S44" s="6"/>
      <c r="T44" s="6"/>
      <c r="U44" s="6"/>
      <c r="V44" s="6"/>
      <c r="W44" s="6"/>
      <c r="X44" s="6"/>
      <c r="Y44" s="6"/>
      <c r="Z44" s="6"/>
      <c r="AA44" s="6"/>
      <c r="AB44" s="6"/>
      <c r="AD44" s="245"/>
      <c r="AE44" s="424"/>
      <c r="AF44" s="424"/>
      <c r="AG44" s="424"/>
      <c r="AH44" s="424"/>
      <c r="AI44" s="424"/>
      <c r="AJ44" s="424"/>
      <c r="AK44" s="424"/>
      <c r="AL44" s="245"/>
      <c r="AM44" s="245"/>
      <c r="AN44" s="245"/>
      <c r="AO44" s="245"/>
      <c r="AP44" s="245"/>
      <c r="AQ44" s="245"/>
      <c r="AR44" s="245"/>
      <c r="AS44" s="245"/>
      <c r="AT44" s="245"/>
      <c r="AU44" s="245"/>
      <c r="AV44" s="245"/>
      <c r="AW44" s="424"/>
      <c r="AX44" s="424"/>
      <c r="AY44" s="424"/>
      <c r="AZ44" s="424"/>
      <c r="BA44" s="424"/>
      <c r="BB44" s="424"/>
      <c r="BC44" s="424"/>
      <c r="BD44" s="424"/>
      <c r="BF44" s="6"/>
      <c r="BG44" s="6"/>
      <c r="BH44" s="6"/>
      <c r="BI44" s="6"/>
      <c r="BJ44" s="6"/>
      <c r="BK44" s="6"/>
      <c r="BL44" s="6"/>
      <c r="BM44" s="6"/>
      <c r="BN44" s="6"/>
      <c r="BO44" s="6"/>
      <c r="BP44" s="451"/>
      <c r="BQ44" s="451"/>
      <c r="BR44" s="451"/>
      <c r="BS44" s="451"/>
      <c r="BT44" s="451"/>
      <c r="BU44" s="451"/>
      <c r="BV44" s="451"/>
      <c r="BW44" s="451"/>
      <c r="BX44" s="6"/>
      <c r="BY44" s="6"/>
      <c r="BZ44" s="6"/>
      <c r="CA44" s="6"/>
      <c r="CB44" s="6"/>
      <c r="CC44" s="6"/>
      <c r="CD44" s="6"/>
      <c r="CE44" s="6"/>
      <c r="CF44" s="6"/>
    </row>
    <row r="45" spans="2:104" s="10" customFormat="1" ht="12.75" customHeight="1" x14ac:dyDescent="0.25">
      <c r="B45" s="6"/>
      <c r="C45" s="452" t="s">
        <v>758</v>
      </c>
      <c r="D45" s="6"/>
      <c r="E45" s="6"/>
      <c r="F45" s="6"/>
      <c r="G45" s="6"/>
      <c r="H45" s="6"/>
      <c r="I45" s="6"/>
      <c r="J45" s="6"/>
      <c r="K45" s="6"/>
      <c r="L45" s="6"/>
      <c r="M45" s="6"/>
      <c r="N45" s="6"/>
      <c r="O45" s="6"/>
      <c r="P45" s="6"/>
      <c r="Q45" s="6"/>
      <c r="R45" s="6"/>
      <c r="S45" s="6"/>
      <c r="T45" s="6"/>
      <c r="U45" s="6"/>
      <c r="V45" s="6"/>
      <c r="W45" s="6"/>
      <c r="X45" s="6"/>
      <c r="Y45" s="6"/>
      <c r="Z45" s="6"/>
      <c r="AA45" s="6"/>
      <c r="AB45" s="6"/>
      <c r="AD45" s="244"/>
      <c r="AE45" s="452" t="s">
        <v>763</v>
      </c>
      <c r="AF45" s="245"/>
      <c r="AG45" s="245"/>
      <c r="AH45" s="245"/>
      <c r="AI45" s="245"/>
      <c r="AJ45" s="245"/>
      <c r="AK45" s="245"/>
      <c r="AL45" s="245"/>
      <c r="AM45" s="245"/>
      <c r="AN45" s="245"/>
      <c r="AO45" s="245"/>
      <c r="AP45" s="245"/>
      <c r="AQ45" s="245"/>
      <c r="AR45" s="245"/>
      <c r="AS45" s="245"/>
      <c r="AT45" s="245"/>
      <c r="AU45" s="245"/>
      <c r="AV45" s="245"/>
      <c r="AW45" s="245"/>
      <c r="AX45" s="245"/>
      <c r="AY45" s="245"/>
      <c r="AZ45" s="245"/>
      <c r="BA45" s="245"/>
      <c r="BB45" s="245"/>
      <c r="BC45" s="245"/>
      <c r="BD45" s="245"/>
      <c r="BF45" s="6"/>
      <c r="BG45" s="452" t="s">
        <v>747</v>
      </c>
      <c r="BH45" s="6"/>
      <c r="BI45" s="6"/>
      <c r="BJ45" s="6"/>
      <c r="BK45" s="6"/>
      <c r="BL45" s="6"/>
      <c r="BM45" s="6"/>
      <c r="BN45" s="6"/>
      <c r="BO45" s="6"/>
      <c r="BP45" s="6"/>
      <c r="BQ45" s="6"/>
      <c r="BR45" s="6"/>
      <c r="BS45" s="6"/>
      <c r="BT45" s="6"/>
      <c r="BU45" s="6"/>
      <c r="BV45" s="6"/>
      <c r="BW45" s="6"/>
      <c r="BX45" s="6"/>
      <c r="BY45" s="6"/>
      <c r="BZ45" s="6"/>
      <c r="CA45" s="6"/>
      <c r="CB45" s="6"/>
      <c r="CC45" s="6"/>
      <c r="CD45" s="6"/>
      <c r="CE45" s="6"/>
      <c r="CF45" s="6"/>
      <c r="CP45" s="93"/>
      <c r="CQ45" s="93"/>
      <c r="CR45" s="93"/>
      <c r="CS45" s="93"/>
    </row>
    <row r="46" spans="2:104" s="10" customFormat="1" ht="12.75" customHeight="1" x14ac:dyDescent="0.2">
      <c r="B46" s="6"/>
      <c r="C46" s="6"/>
      <c r="D46" s="6"/>
      <c r="E46" s="6"/>
      <c r="F46" s="6"/>
      <c r="G46" s="6"/>
      <c r="H46" s="6"/>
      <c r="I46" s="6"/>
      <c r="J46" s="6"/>
      <c r="K46" s="6"/>
      <c r="L46" s="6"/>
      <c r="M46" s="6"/>
      <c r="N46" s="6"/>
      <c r="O46" s="6"/>
      <c r="P46" s="6"/>
      <c r="Q46" s="6"/>
      <c r="R46" s="6"/>
      <c r="S46" s="6"/>
      <c r="T46" s="6"/>
      <c r="U46" s="6"/>
      <c r="V46" s="6"/>
      <c r="W46" s="6"/>
      <c r="X46" s="6"/>
      <c r="Y46" s="6"/>
      <c r="Z46" s="6"/>
      <c r="AA46" s="6"/>
      <c r="AB46" s="6"/>
      <c r="AD46" s="244"/>
      <c r="AE46" s="245" t="s">
        <v>803</v>
      </c>
      <c r="AF46" s="245"/>
      <c r="AG46" s="245"/>
      <c r="AH46" s="245"/>
      <c r="AI46" s="245"/>
      <c r="AJ46" s="245"/>
      <c r="AK46" s="245"/>
      <c r="AL46" s="245"/>
      <c r="AM46" s="244"/>
      <c r="AN46" s="244"/>
      <c r="AO46" s="521" t="s">
        <v>5976</v>
      </c>
      <c r="AP46" s="522"/>
      <c r="AQ46" s="522"/>
      <c r="AR46" s="522"/>
      <c r="AS46" s="522"/>
      <c r="AT46" s="245"/>
      <c r="AU46" s="259" t="str">
        <f>VLOOKUP(Main_InflationYear,'Ref15'!B4:E24,4,FALSE)</f>
        <v>ROCOS Index</v>
      </c>
      <c r="AV46" s="259"/>
      <c r="AW46" s="259"/>
      <c r="AX46" s="259"/>
      <c r="AY46" s="259"/>
      <c r="AZ46" s="259"/>
      <c r="BA46" s="259"/>
      <c r="BB46" s="259"/>
      <c r="BC46" s="245"/>
      <c r="BD46" s="245"/>
      <c r="BF46" s="6"/>
      <c r="BG46" s="498" t="s">
        <v>1047</v>
      </c>
      <c r="BH46" s="498"/>
      <c r="BI46" s="498"/>
      <c r="BJ46" s="498"/>
      <c r="BK46" s="498"/>
      <c r="BL46" s="498"/>
      <c r="BM46" s="498"/>
      <c r="BN46" s="498"/>
      <c r="BO46" s="498"/>
      <c r="BP46" s="498"/>
      <c r="BQ46" s="498"/>
      <c r="BR46" s="498"/>
      <c r="BS46" s="498"/>
      <c r="BT46" s="498"/>
      <c r="BU46" s="498"/>
      <c r="BV46" s="498"/>
      <c r="BW46" s="498"/>
      <c r="BX46" s="498"/>
      <c r="BY46" s="498"/>
      <c r="BZ46" s="498"/>
      <c r="CA46" s="498"/>
      <c r="CB46" s="498"/>
      <c r="CC46" s="498"/>
      <c r="CD46" s="498"/>
      <c r="CE46" s="498"/>
      <c r="CF46" s="6"/>
      <c r="CP46" s="439"/>
      <c r="CQ46" s="439"/>
      <c r="CR46" s="439"/>
      <c r="CS46" s="93"/>
    </row>
    <row r="47" spans="2:104" s="10" customFormat="1" ht="12.75" customHeight="1" x14ac:dyDescent="0.2">
      <c r="B47" s="6"/>
      <c r="C47" s="6" t="s">
        <v>757</v>
      </c>
      <c r="D47" s="6"/>
      <c r="E47" s="6"/>
      <c r="F47" s="6"/>
      <c r="G47" s="6"/>
      <c r="H47" s="6"/>
      <c r="I47" s="6"/>
      <c r="J47" s="9" t="str">
        <f>IF(COUNTIF(Structures!BU:BU,"Valid")&lt;&gt;COUNTA(Structures!BU:$BU)-1,"Please review 'Structures' input for data issues!","Valid")</f>
        <v>Valid</v>
      </c>
      <c r="K47" s="9"/>
      <c r="L47" s="9"/>
      <c r="M47" s="9"/>
      <c r="N47" s="9"/>
      <c r="O47" s="9"/>
      <c r="P47" s="9"/>
      <c r="Q47" s="9"/>
      <c r="R47" s="9"/>
      <c r="S47" s="9"/>
      <c r="T47" s="9"/>
      <c r="U47" s="9"/>
      <c r="V47" s="9"/>
      <c r="W47" s="9"/>
      <c r="X47" s="9"/>
      <c r="Y47" s="9"/>
      <c r="Z47" s="9"/>
      <c r="AA47" s="9"/>
      <c r="AB47" s="9"/>
      <c r="AD47" s="244"/>
      <c r="AE47" s="245"/>
      <c r="AF47" s="245"/>
      <c r="AG47" s="245"/>
      <c r="AH47" s="245"/>
      <c r="AI47" s="245"/>
      <c r="AJ47" s="245"/>
      <c r="AK47" s="245"/>
      <c r="AL47" s="245"/>
      <c r="AM47" s="245"/>
      <c r="AN47" s="245"/>
      <c r="AO47" s="245"/>
      <c r="AP47" s="245"/>
      <c r="AQ47" s="245"/>
      <c r="AR47" s="245"/>
      <c r="AS47" s="245"/>
      <c r="AT47" s="245"/>
      <c r="AU47" s="245"/>
      <c r="AV47" s="245"/>
      <c r="AW47" s="245"/>
      <c r="AX47" s="245"/>
      <c r="AY47" s="245"/>
      <c r="AZ47" s="245"/>
      <c r="BA47" s="245"/>
      <c r="BB47" s="245"/>
      <c r="BC47" s="245"/>
      <c r="BD47" s="245"/>
      <c r="BF47" s="453"/>
      <c r="BG47" s="498"/>
      <c r="BH47" s="498"/>
      <c r="BI47" s="498"/>
      <c r="BJ47" s="498"/>
      <c r="BK47" s="498"/>
      <c r="BL47" s="498"/>
      <c r="BM47" s="498"/>
      <c r="BN47" s="498"/>
      <c r="BO47" s="498"/>
      <c r="BP47" s="498"/>
      <c r="BQ47" s="498"/>
      <c r="BR47" s="498"/>
      <c r="BS47" s="498"/>
      <c r="BT47" s="498"/>
      <c r="BU47" s="498"/>
      <c r="BV47" s="498"/>
      <c r="BW47" s="498"/>
      <c r="BX47" s="498"/>
      <c r="BY47" s="498"/>
      <c r="BZ47" s="498"/>
      <c r="CA47" s="498"/>
      <c r="CB47" s="498"/>
      <c r="CC47" s="498"/>
      <c r="CD47" s="498"/>
      <c r="CE47" s="498"/>
      <c r="CF47" s="6"/>
      <c r="CP47" s="93"/>
      <c r="CQ47" s="93"/>
      <c r="CR47" s="93"/>
      <c r="CS47" s="442"/>
    </row>
    <row r="48" spans="2:104" s="10" customFormat="1" x14ac:dyDescent="0.2">
      <c r="B48" s="6"/>
      <c r="C48" s="6" t="s">
        <v>756</v>
      </c>
      <c r="D48" s="6"/>
      <c r="E48" s="6"/>
      <c r="F48" s="6"/>
      <c r="G48" s="6"/>
      <c r="H48" s="6"/>
      <c r="I48" s="6"/>
      <c r="J48" s="9" t="str">
        <f ca="1">IF(COUNTIF(Elements!AL:AL,"Valid")&lt;&gt;COUNTA(Elements!AL:AL)-2,"Please review 'Elements' input for data issues!","Valid")</f>
        <v>Valid</v>
      </c>
      <c r="K48" s="9"/>
      <c r="L48" s="9"/>
      <c r="M48" s="9"/>
      <c r="N48" s="9"/>
      <c r="O48" s="9"/>
      <c r="P48" s="9"/>
      <c r="Q48" s="9"/>
      <c r="R48" s="9"/>
      <c r="S48" s="9"/>
      <c r="T48" s="9"/>
      <c r="U48" s="9"/>
      <c r="V48" s="9"/>
      <c r="W48" s="9"/>
      <c r="X48" s="9"/>
      <c r="Y48" s="9"/>
      <c r="Z48" s="9"/>
      <c r="AA48" s="9"/>
      <c r="AB48" s="9"/>
      <c r="AD48" s="244"/>
      <c r="AE48" s="245" t="s">
        <v>804</v>
      </c>
      <c r="AF48" s="245"/>
      <c r="AG48" s="245"/>
      <c r="AH48" s="245"/>
      <c r="AI48" s="245"/>
      <c r="AJ48" s="245"/>
      <c r="AK48" s="245"/>
      <c r="AL48" s="245"/>
      <c r="AM48" s="244"/>
      <c r="AN48" s="244"/>
      <c r="AO48" s="518">
        <f>IF(AND('Main Page'!$BA$48&lt;&gt;"",Main_InflationYear="User input"),'Main Page'!$BA$48,SUMIF('Ref15'!$B$4:$B$24,'Main Page'!$AO$46:$AS$46,'Ref15'!$C$4:$C$24))</f>
        <v>1.629678796696348</v>
      </c>
      <c r="AP48" s="518"/>
      <c r="AQ48" s="518"/>
      <c r="AR48" s="518"/>
      <c r="AS48" s="518"/>
      <c r="AT48" s="245"/>
      <c r="AU48" s="245" t="s">
        <v>1155</v>
      </c>
      <c r="AV48" s="245"/>
      <c r="AW48" s="245"/>
      <c r="AX48" s="245"/>
      <c r="AY48" s="245"/>
      <c r="AZ48" s="245"/>
      <c r="BA48" s="519">
        <v>1.3</v>
      </c>
      <c r="BB48" s="519"/>
      <c r="BC48" s="519"/>
      <c r="BD48" s="245"/>
      <c r="BF48" s="453"/>
      <c r="BG48" s="498"/>
      <c r="BH48" s="498"/>
      <c r="BI48" s="498"/>
      <c r="BJ48" s="498"/>
      <c r="BK48" s="498"/>
      <c r="BL48" s="498"/>
      <c r="BM48" s="498"/>
      <c r="BN48" s="498"/>
      <c r="BO48" s="498"/>
      <c r="BP48" s="498"/>
      <c r="BQ48" s="498"/>
      <c r="BR48" s="498"/>
      <c r="BS48" s="498"/>
      <c r="BT48" s="498"/>
      <c r="BU48" s="498"/>
      <c r="BV48" s="498"/>
      <c r="BW48" s="498"/>
      <c r="BX48" s="498"/>
      <c r="BY48" s="498"/>
      <c r="BZ48" s="498"/>
      <c r="CA48" s="498"/>
      <c r="CB48" s="498"/>
      <c r="CC48" s="498"/>
      <c r="CD48" s="498"/>
      <c r="CE48" s="498"/>
      <c r="CF48" s="6"/>
      <c r="CP48" s="93"/>
      <c r="CQ48" s="93"/>
      <c r="CR48" s="93"/>
      <c r="CS48" s="93"/>
    </row>
    <row r="49" spans="2:98" s="10" customFormat="1" ht="12.75" customHeight="1" x14ac:dyDescent="0.2">
      <c r="B49" s="6"/>
      <c r="C49" s="6" t="s">
        <v>755</v>
      </c>
      <c r="D49" s="6"/>
      <c r="E49" s="6"/>
      <c r="F49" s="6"/>
      <c r="G49" s="6"/>
      <c r="H49" s="6"/>
      <c r="I49" s="6"/>
      <c r="J49" s="9" t="str">
        <f>IF(COUNTIF(Elements!AN:AN,"Valid")&lt;&gt;COUNTA(Elements!AN:AN)-1,"Please review 'Elements' input for data issues!","Valid")</f>
        <v>Valid</v>
      </c>
      <c r="K49" s="9"/>
      <c r="L49" s="9"/>
      <c r="M49" s="9"/>
      <c r="N49" s="9"/>
      <c r="O49" s="9"/>
      <c r="P49" s="9"/>
      <c r="Q49" s="9"/>
      <c r="R49" s="9"/>
      <c r="S49" s="9"/>
      <c r="T49" s="9"/>
      <c r="U49" s="9"/>
      <c r="V49" s="9"/>
      <c r="W49" s="9"/>
      <c r="X49" s="9"/>
      <c r="Y49" s="9"/>
      <c r="Z49" s="9"/>
      <c r="AA49" s="9"/>
      <c r="AB49" s="9"/>
      <c r="AD49" s="244"/>
      <c r="AE49" s="244"/>
      <c r="AF49" s="244"/>
      <c r="AG49" s="244"/>
      <c r="AH49" s="244"/>
      <c r="AI49" s="244"/>
      <c r="AJ49" s="244"/>
      <c r="AK49" s="244"/>
      <c r="AL49" s="244"/>
      <c r="AM49" s="244"/>
      <c r="AN49" s="244"/>
      <c r="AO49" s="244"/>
      <c r="AP49" s="244"/>
      <c r="AQ49" s="244"/>
      <c r="AR49" s="244"/>
      <c r="AS49" s="244"/>
      <c r="AT49" s="244"/>
      <c r="AU49" s="244"/>
      <c r="AV49" s="244"/>
      <c r="AW49" s="244"/>
      <c r="AX49" s="244"/>
      <c r="AY49" s="244"/>
      <c r="AZ49" s="244"/>
      <c r="BA49" s="244"/>
      <c r="BB49" s="244"/>
      <c r="BC49" s="244"/>
      <c r="BD49" s="244"/>
      <c r="BF49" s="453"/>
      <c r="BG49" s="498" t="s">
        <v>1048</v>
      </c>
      <c r="BH49" s="498"/>
      <c r="BI49" s="498"/>
      <c r="BJ49" s="498"/>
      <c r="BK49" s="498"/>
      <c r="BL49" s="498"/>
      <c r="BM49" s="498"/>
      <c r="BN49" s="498"/>
      <c r="BO49" s="498"/>
      <c r="BP49" s="498"/>
      <c r="BQ49" s="498"/>
      <c r="BR49" s="498"/>
      <c r="BS49" s="498"/>
      <c r="BT49" s="498"/>
      <c r="BU49" s="498"/>
      <c r="BV49" s="498"/>
      <c r="BW49" s="498"/>
      <c r="BX49" s="498"/>
      <c r="BY49" s="498"/>
      <c r="BZ49" s="498"/>
      <c r="CA49" s="500"/>
      <c r="CB49" s="500"/>
      <c r="CC49" s="500"/>
      <c r="CD49" s="500"/>
      <c r="CE49" s="500"/>
      <c r="CF49" s="453"/>
      <c r="CN49" s="93"/>
      <c r="CO49" s="93"/>
      <c r="CP49" s="93"/>
      <c r="CQ49" s="93"/>
      <c r="CR49" s="93"/>
      <c r="CS49" s="93"/>
      <c r="CT49" s="93"/>
    </row>
    <row r="50" spans="2:98" s="10" customFormat="1" ht="12.75" customHeight="1" x14ac:dyDescent="0.2">
      <c r="B50" s="6"/>
      <c r="C50" s="6" t="s">
        <v>754</v>
      </c>
      <c r="D50" s="6"/>
      <c r="E50" s="6"/>
      <c r="F50" s="6"/>
      <c r="G50" s="6"/>
      <c r="H50" s="6"/>
      <c r="I50" s="6"/>
      <c r="J50" s="454" t="str">
        <f>IF(COUNTIF(Planned!U:U,"Valid")&lt;&gt;COUNTA(Planned!U:U)-1,"Please review 'Planned' input for data issues!","Valid")</f>
        <v>Valid</v>
      </c>
      <c r="K50" s="9"/>
      <c r="L50" s="9"/>
      <c r="M50" s="9"/>
      <c r="N50" s="9"/>
      <c r="O50" s="9"/>
      <c r="P50" s="9"/>
      <c r="Q50" s="9"/>
      <c r="R50" s="9"/>
      <c r="S50" s="9"/>
      <c r="T50" s="9"/>
      <c r="U50" s="9"/>
      <c r="V50" s="9"/>
      <c r="W50" s="9"/>
      <c r="X50" s="9"/>
      <c r="Y50" s="9"/>
      <c r="Z50" s="9"/>
      <c r="AA50" s="9"/>
      <c r="AB50" s="9"/>
      <c r="AD50" s="244"/>
      <c r="AE50" s="245" t="s">
        <v>771</v>
      </c>
      <c r="AF50" s="245"/>
      <c r="AG50" s="245"/>
      <c r="AH50" s="245"/>
      <c r="AI50" s="245"/>
      <c r="AJ50" s="245"/>
      <c r="AK50" s="245"/>
      <c r="AL50" s="245"/>
      <c r="AM50" s="245"/>
      <c r="AN50" s="245"/>
      <c r="AO50" s="518">
        <f>IF(AND('Main Page'!$BA$50&lt;&gt;"",Main_InflationYear="User input"),'Main Page'!$BA$50,SUMIF('Ref15'!$B$4:$B$24,'Main Page'!$AO$46:$AS$46,'Ref15'!$D$4:$D$24))</f>
        <v>1.6137015535914818</v>
      </c>
      <c r="AP50" s="518"/>
      <c r="AQ50" s="518"/>
      <c r="AR50" s="518"/>
      <c r="AS50" s="518"/>
      <c r="AT50" s="245"/>
      <c r="AU50" s="245" t="s">
        <v>1155</v>
      </c>
      <c r="AV50" s="245"/>
      <c r="AW50" s="245"/>
      <c r="AX50" s="245"/>
      <c r="AY50" s="245"/>
      <c r="AZ50" s="245"/>
      <c r="BA50" s="519">
        <v>1.3</v>
      </c>
      <c r="BB50" s="519"/>
      <c r="BC50" s="519"/>
      <c r="BD50" s="245"/>
      <c r="BF50" s="453"/>
      <c r="BG50" s="498"/>
      <c r="BH50" s="498"/>
      <c r="BI50" s="498"/>
      <c r="BJ50" s="498"/>
      <c r="BK50" s="498"/>
      <c r="BL50" s="498"/>
      <c r="BM50" s="498"/>
      <c r="BN50" s="498"/>
      <c r="BO50" s="498"/>
      <c r="BP50" s="498"/>
      <c r="BQ50" s="498"/>
      <c r="BR50" s="498"/>
      <c r="BS50" s="498"/>
      <c r="BT50" s="498"/>
      <c r="BU50" s="498"/>
      <c r="BV50" s="498"/>
      <c r="BW50" s="498"/>
      <c r="BX50" s="498"/>
      <c r="BY50" s="498"/>
      <c r="BZ50" s="498"/>
      <c r="CA50" s="440"/>
      <c r="CB50" s="453"/>
      <c r="CC50" s="453"/>
      <c r="CD50" s="453"/>
      <c r="CE50" s="453"/>
      <c r="CF50" s="453"/>
      <c r="CP50" s="93"/>
      <c r="CQ50" s="93"/>
      <c r="CR50" s="93"/>
      <c r="CS50" s="93"/>
    </row>
    <row r="51" spans="2:98" s="10" customFormat="1" ht="12.75" customHeight="1" x14ac:dyDescent="0.2">
      <c r="B51" s="6"/>
      <c r="C51" s="6" t="s">
        <v>753</v>
      </c>
      <c r="D51" s="6"/>
      <c r="E51" s="6"/>
      <c r="F51" s="6"/>
      <c r="G51" s="6"/>
      <c r="H51" s="6"/>
      <c r="I51" s="6"/>
      <c r="J51" s="9" t="str">
        <f>IF(COUNTIF(Routine!I:I,"Valid")&lt;&gt;COUNTA(Routine!I:I)-1,"Issues found. Please review 'Routine' data before proceeding!","Valid")</f>
        <v>Valid</v>
      </c>
      <c r="K51" s="9"/>
      <c r="L51" s="9"/>
      <c r="M51" s="9"/>
      <c r="N51" s="9"/>
      <c r="O51" s="9"/>
      <c r="P51" s="9"/>
      <c r="Q51" s="9"/>
      <c r="R51" s="9"/>
      <c r="S51" s="9"/>
      <c r="T51" s="9"/>
      <c r="U51" s="9"/>
      <c r="V51" s="9"/>
      <c r="W51" s="9"/>
      <c r="X51" s="9"/>
      <c r="Y51" s="9"/>
      <c r="Z51" s="9"/>
      <c r="AA51" s="9"/>
      <c r="AB51" s="9"/>
      <c r="AD51" s="244"/>
      <c r="AE51" s="245"/>
      <c r="AF51" s="245"/>
      <c r="AG51" s="245"/>
      <c r="AH51" s="245"/>
      <c r="AI51" s="245"/>
      <c r="AJ51" s="245"/>
      <c r="AK51" s="245"/>
      <c r="AL51" s="245"/>
      <c r="AM51" s="245"/>
      <c r="AN51" s="245"/>
      <c r="AO51" s="245"/>
      <c r="AP51" s="245"/>
      <c r="AQ51" s="245"/>
      <c r="AR51" s="245"/>
      <c r="AS51" s="245"/>
      <c r="AT51" s="245"/>
      <c r="AU51" s="245"/>
      <c r="AV51" s="245"/>
      <c r="AW51" s="245"/>
      <c r="AX51" s="245"/>
      <c r="AY51" s="245"/>
      <c r="AZ51" s="245"/>
      <c r="BA51" s="245"/>
      <c r="BB51" s="245"/>
      <c r="BC51" s="245"/>
      <c r="BD51" s="245"/>
      <c r="BF51" s="453"/>
      <c r="BG51" s="498" t="s">
        <v>1049</v>
      </c>
      <c r="BH51" s="498"/>
      <c r="BI51" s="498"/>
      <c r="BJ51" s="498"/>
      <c r="BK51" s="498"/>
      <c r="BL51" s="498"/>
      <c r="BM51" s="498"/>
      <c r="BN51" s="498"/>
      <c r="BO51" s="498"/>
      <c r="BP51" s="498"/>
      <c r="BQ51" s="498"/>
      <c r="BR51" s="498"/>
      <c r="BS51" s="498"/>
      <c r="BT51" s="498"/>
      <c r="BU51" s="498"/>
      <c r="BV51" s="498"/>
      <c r="BW51" s="498"/>
      <c r="BX51" s="498"/>
      <c r="BY51" s="498"/>
      <c r="BZ51" s="498"/>
      <c r="CA51" s="453"/>
      <c r="CB51" s="453"/>
      <c r="CC51" s="453"/>
      <c r="CD51" s="453"/>
      <c r="CE51" s="453"/>
      <c r="CF51" s="453"/>
      <c r="CN51" s="93"/>
      <c r="CO51" s="93"/>
      <c r="CP51" s="439"/>
      <c r="CQ51" s="439"/>
      <c r="CR51" s="439"/>
      <c r="CS51" s="93"/>
      <c r="CT51" s="93"/>
    </row>
    <row r="52" spans="2:98" s="10" customFormat="1" ht="12.75" customHeight="1" x14ac:dyDescent="0.2">
      <c r="B52" s="6"/>
      <c r="C52" s="6"/>
      <c r="D52" s="6"/>
      <c r="E52" s="6"/>
      <c r="F52" s="6"/>
      <c r="G52" s="6"/>
      <c r="H52" s="6"/>
      <c r="I52" s="6"/>
      <c r="J52" s="6"/>
      <c r="K52" s="6"/>
      <c r="L52" s="6"/>
      <c r="M52" s="6"/>
      <c r="N52" s="6"/>
      <c r="O52" s="6"/>
      <c r="P52" s="6"/>
      <c r="Q52" s="6"/>
      <c r="R52" s="6"/>
      <c r="S52" s="6"/>
      <c r="T52" s="6"/>
      <c r="U52" s="6"/>
      <c r="V52" s="6"/>
      <c r="W52" s="6"/>
      <c r="X52" s="6"/>
      <c r="Y52" s="6"/>
      <c r="Z52" s="6"/>
      <c r="AA52" s="6"/>
      <c r="AB52" s="6"/>
      <c r="AD52" s="244"/>
      <c r="AE52" s="245"/>
      <c r="AF52" s="245"/>
      <c r="AG52" s="245"/>
      <c r="AH52" s="245"/>
      <c r="AI52" s="245"/>
      <c r="AJ52" s="245"/>
      <c r="AK52" s="245"/>
      <c r="AL52" s="245"/>
      <c r="AM52" s="245"/>
      <c r="AN52" s="245"/>
      <c r="AO52" s="245"/>
      <c r="AP52" s="245"/>
      <c r="AQ52" s="245"/>
      <c r="AR52" s="245"/>
      <c r="AS52" s="245"/>
      <c r="AT52" s="245"/>
      <c r="AU52" s="245"/>
      <c r="AV52" s="245"/>
      <c r="AW52" s="245"/>
      <c r="AX52" s="245"/>
      <c r="AY52" s="245"/>
      <c r="AZ52" s="245"/>
      <c r="BA52" s="245"/>
      <c r="BB52" s="245"/>
      <c r="BC52" s="245"/>
      <c r="BD52" s="245"/>
      <c r="BF52" s="453"/>
      <c r="BG52" s="498"/>
      <c r="BH52" s="498"/>
      <c r="BI52" s="498"/>
      <c r="BJ52" s="498"/>
      <c r="BK52" s="498"/>
      <c r="BL52" s="498"/>
      <c r="BM52" s="498"/>
      <c r="BN52" s="498"/>
      <c r="BO52" s="498"/>
      <c r="BP52" s="498"/>
      <c r="BQ52" s="498"/>
      <c r="BR52" s="498"/>
      <c r="BS52" s="498"/>
      <c r="BT52" s="498"/>
      <c r="BU52" s="498"/>
      <c r="BV52" s="498"/>
      <c r="BW52" s="498"/>
      <c r="BX52" s="498"/>
      <c r="BY52" s="498"/>
      <c r="BZ52" s="498"/>
      <c r="CA52" s="453"/>
      <c r="CB52" s="453"/>
      <c r="CC52" s="453"/>
      <c r="CD52" s="453"/>
      <c r="CE52" s="453"/>
      <c r="CF52" s="453"/>
      <c r="CN52" s="93"/>
      <c r="CO52" s="93"/>
      <c r="CP52" s="93"/>
      <c r="CQ52" s="93"/>
      <c r="CR52" s="93"/>
      <c r="CS52" s="442"/>
      <c r="CT52" s="93"/>
    </row>
    <row r="53" spans="2:98" s="10" customFormat="1" ht="12.75" customHeight="1" x14ac:dyDescent="0.2">
      <c r="CN53" s="93"/>
      <c r="CO53" s="93"/>
      <c r="CP53" s="93"/>
      <c r="CQ53" s="93"/>
      <c r="CR53" s="93"/>
      <c r="CS53" s="93"/>
      <c r="CT53" s="93"/>
    </row>
    <row r="54" spans="2:98" s="93" customFormat="1" ht="12.75" customHeight="1" x14ac:dyDescent="0.2">
      <c r="B54" s="455"/>
      <c r="C54" s="456"/>
      <c r="D54" s="456"/>
      <c r="E54" s="456"/>
      <c r="F54" s="456"/>
      <c r="G54" s="456"/>
      <c r="H54" s="456"/>
      <c r="I54" s="456"/>
      <c r="J54" s="456"/>
      <c r="K54" s="456"/>
      <c r="L54" s="456"/>
      <c r="M54" s="456"/>
      <c r="N54" s="456"/>
      <c r="O54" s="456"/>
      <c r="P54" s="456"/>
      <c r="Q54" s="456"/>
      <c r="R54" s="456"/>
      <c r="S54" s="456"/>
      <c r="T54" s="456"/>
      <c r="U54" s="456"/>
      <c r="V54" s="456"/>
      <c r="W54" s="457"/>
      <c r="X54" s="457"/>
      <c r="Y54" s="457"/>
      <c r="Z54" s="457"/>
      <c r="AA54" s="457"/>
      <c r="AB54" s="457"/>
      <c r="AC54" s="457"/>
      <c r="AD54" s="457"/>
      <c r="AE54" s="457"/>
      <c r="AF54" s="457"/>
      <c r="AG54" s="457"/>
      <c r="AH54" s="457"/>
      <c r="AI54" s="457"/>
      <c r="AJ54" s="457"/>
      <c r="AK54" s="457"/>
      <c r="AL54" s="457"/>
      <c r="AM54" s="457"/>
      <c r="AN54" s="457"/>
      <c r="AO54" s="457"/>
      <c r="AP54" s="457"/>
      <c r="AQ54" s="457"/>
      <c r="AR54" s="457"/>
      <c r="AS54" s="457"/>
      <c r="AT54" s="457"/>
      <c r="AU54" s="457"/>
      <c r="AV54" s="457"/>
      <c r="AW54" s="457"/>
      <c r="AX54" s="457"/>
      <c r="AY54" s="457"/>
      <c r="AZ54" s="457"/>
      <c r="BA54" s="457"/>
      <c r="BB54" s="457"/>
      <c r="BC54" s="457"/>
      <c r="BD54" s="457"/>
      <c r="BE54" s="457"/>
      <c r="BF54" s="457"/>
      <c r="BG54" s="457"/>
      <c r="BH54" s="457"/>
      <c r="BI54" s="457"/>
      <c r="BJ54" s="457"/>
      <c r="BK54" s="457"/>
      <c r="BL54" s="457"/>
      <c r="BM54" s="457"/>
      <c r="BN54" s="457"/>
      <c r="BO54" s="457"/>
      <c r="BP54" s="457"/>
      <c r="BQ54" s="457"/>
      <c r="BR54" s="457"/>
      <c r="BS54" s="457"/>
      <c r="BT54" s="457"/>
      <c r="BU54" s="457"/>
      <c r="BV54" s="457"/>
      <c r="BW54" s="457"/>
      <c r="BX54" s="457"/>
      <c r="BY54" s="457"/>
      <c r="BZ54" s="457"/>
      <c r="CA54" s="457"/>
      <c r="CB54" s="457"/>
      <c r="CC54" s="457"/>
      <c r="CD54" s="457"/>
      <c r="CE54" s="457"/>
      <c r="CF54" s="457"/>
      <c r="CN54" s="1"/>
      <c r="CO54" s="1"/>
      <c r="CP54" s="1"/>
    </row>
    <row r="55" spans="2:98" s="93" customFormat="1" ht="12.75" customHeight="1" x14ac:dyDescent="0.2">
      <c r="B55" s="455"/>
      <c r="C55" s="7"/>
      <c r="D55" s="456"/>
      <c r="E55" s="456"/>
      <c r="F55" s="12" t="s">
        <v>1201</v>
      </c>
      <c r="G55" s="440"/>
      <c r="H55" s="440"/>
      <c r="I55" s="440"/>
      <c r="J55" s="440"/>
      <c r="K55" s="440"/>
      <c r="L55" s="440"/>
      <c r="M55" s="440"/>
      <c r="N55" s="440"/>
      <c r="O55" s="440"/>
      <c r="P55" s="440"/>
      <c r="Q55" s="440"/>
      <c r="R55" s="440"/>
      <c r="S55" s="440"/>
      <c r="T55" s="440"/>
      <c r="U55" s="440"/>
      <c r="V55" s="440"/>
      <c r="W55" s="440"/>
      <c r="X55" s="440"/>
      <c r="Y55" s="440"/>
      <c r="Z55" s="440"/>
      <c r="AA55" s="440"/>
      <c r="AB55" s="440"/>
      <c r="AC55" s="440"/>
      <c r="AD55" s="440"/>
      <c r="AE55" s="440"/>
      <c r="AF55" s="440"/>
      <c r="AG55" s="440"/>
      <c r="AH55" s="440"/>
      <c r="AI55" s="440"/>
      <c r="AJ55" s="440"/>
      <c r="AK55" s="440"/>
      <c r="AL55" s="440"/>
      <c r="AM55" s="440"/>
      <c r="AN55" s="440"/>
      <c r="AO55" s="495" t="s">
        <v>1202</v>
      </c>
      <c r="AP55" s="495"/>
      <c r="AQ55" s="495"/>
      <c r="AR55" s="495"/>
      <c r="AS55" s="495"/>
      <c r="AT55" s="495"/>
      <c r="AU55" s="495"/>
      <c r="AV55" s="495"/>
      <c r="AW55" s="495"/>
      <c r="AX55" s="495"/>
      <c r="AY55" s="495"/>
      <c r="AZ55" s="495"/>
      <c r="BA55" s="495"/>
      <c r="BB55" s="495"/>
      <c r="BC55" s="495"/>
      <c r="BD55" s="495"/>
      <c r="BE55" s="495"/>
      <c r="BF55" s="495"/>
      <c r="BG55" s="495"/>
      <c r="BH55" s="495"/>
      <c r="BI55" s="495"/>
      <c r="BJ55" s="440"/>
      <c r="BK55" s="440"/>
      <c r="BL55" s="440"/>
      <c r="BM55" s="440"/>
      <c r="BN55" s="440"/>
      <c r="BO55" s="440"/>
      <c r="BP55" s="440"/>
      <c r="BQ55" s="440"/>
      <c r="BR55" s="440"/>
      <c r="BS55" s="440"/>
      <c r="BT55" s="440"/>
      <c r="BU55" s="440"/>
      <c r="BV55" s="440"/>
      <c r="BW55" s="440"/>
      <c r="BX55" s="440"/>
      <c r="BY55" s="440"/>
      <c r="BZ55" s="440"/>
      <c r="CA55" s="440"/>
      <c r="CB55" s="440"/>
      <c r="CC55" s="440"/>
      <c r="CD55" s="440"/>
      <c r="CE55" s="440"/>
      <c r="CF55" s="457"/>
      <c r="CM55" s="1"/>
      <c r="CN55" s="1"/>
      <c r="CO55" s="1"/>
      <c r="CP55" s="1"/>
    </row>
    <row r="56" spans="2:98" s="93" customFormat="1" ht="12.75" customHeight="1" x14ac:dyDescent="0.25">
      <c r="B56" s="455"/>
      <c r="C56" s="452"/>
      <c r="D56" s="440"/>
      <c r="E56" s="440"/>
      <c r="F56" s="440"/>
      <c r="G56" s="440"/>
      <c r="H56" s="440"/>
      <c r="I56" s="440"/>
      <c r="J56" s="440"/>
      <c r="K56" s="440"/>
      <c r="L56" s="440"/>
      <c r="M56" s="440"/>
      <c r="N56" s="440"/>
      <c r="O56" s="440"/>
      <c r="P56" s="440"/>
      <c r="Q56" s="440"/>
      <c r="R56" s="440"/>
      <c r="S56" s="440"/>
      <c r="T56" s="440"/>
      <c r="U56" s="440"/>
      <c r="V56" s="440"/>
      <c r="W56" s="440"/>
      <c r="X56" s="440"/>
      <c r="Y56" s="440"/>
      <c r="Z56" s="440"/>
      <c r="AA56" s="440"/>
      <c r="AB56" s="440"/>
      <c r="AC56" s="440"/>
      <c r="AD56" s="440"/>
      <c r="AE56" s="440"/>
      <c r="AF56" s="440"/>
      <c r="AG56" s="440"/>
      <c r="AH56" s="440"/>
      <c r="AI56" s="440"/>
      <c r="AJ56" s="440"/>
      <c r="AK56" s="440"/>
      <c r="AL56" s="440"/>
      <c r="AM56" s="440"/>
      <c r="AN56" s="440"/>
      <c r="AO56" s="440"/>
      <c r="AP56" s="440"/>
      <c r="AQ56" s="440"/>
      <c r="AR56" s="440"/>
      <c r="AS56" s="440"/>
      <c r="AT56" s="440"/>
      <c r="AU56" s="440"/>
      <c r="AV56" s="440"/>
      <c r="AW56" s="440"/>
      <c r="AX56" s="440"/>
      <c r="AY56" s="440"/>
      <c r="AZ56" s="440"/>
      <c r="BA56" s="440"/>
      <c r="BB56" s="440"/>
      <c r="BC56" s="440"/>
      <c r="BD56" s="440"/>
      <c r="BE56" s="440"/>
      <c r="BF56" s="440"/>
      <c r="BG56" s="440"/>
      <c r="BH56" s="440"/>
      <c r="BI56" s="440"/>
      <c r="BJ56" s="440"/>
      <c r="BK56" s="440"/>
      <c r="BL56" s="440"/>
      <c r="BM56" s="440"/>
      <c r="BN56" s="440"/>
      <c r="BO56" s="440"/>
      <c r="BP56" s="440"/>
      <c r="BQ56" s="440"/>
      <c r="BR56" s="440"/>
      <c r="BS56" s="440"/>
      <c r="BT56" s="440"/>
      <c r="BU56" s="440"/>
      <c r="BV56" s="440"/>
      <c r="BW56" s="440"/>
      <c r="BX56" s="440"/>
      <c r="BY56" s="440"/>
      <c r="BZ56" s="440"/>
      <c r="CA56" s="440"/>
      <c r="CB56" s="440"/>
      <c r="CC56" s="440"/>
      <c r="CD56" s="440"/>
      <c r="CE56" s="440"/>
      <c r="CF56" s="6"/>
      <c r="CI56" s="174"/>
      <c r="CJ56" s="1"/>
      <c r="CK56" s="1"/>
      <c r="CL56" s="1"/>
      <c r="CM56" s="1"/>
    </row>
    <row r="57" spans="2:98" s="93" customFormat="1" ht="12.75" customHeight="1" x14ac:dyDescent="0.2">
      <c r="CJ57" s="1"/>
      <c r="CK57" s="1"/>
      <c r="CL57" s="1"/>
      <c r="CM57" s="1"/>
      <c r="CO57" s="1"/>
      <c r="CP57" s="1"/>
      <c r="CQ57" s="1"/>
      <c r="CR57" s="1"/>
    </row>
    <row r="58" spans="2:98" s="93" customFormat="1" ht="12.75" customHeight="1" x14ac:dyDescent="0.2">
      <c r="CJ58" s="1"/>
      <c r="CK58" s="1"/>
      <c r="CL58" s="1"/>
      <c r="CM58" s="427"/>
      <c r="CN58" s="1"/>
      <c r="CO58" s="1"/>
      <c r="CP58" s="1"/>
      <c r="CQ58" s="1"/>
      <c r="CR58" s="1"/>
    </row>
    <row r="59" spans="2:98" ht="12.75" customHeight="1" x14ac:dyDescent="0.2">
      <c r="CQ59" s="1"/>
      <c r="CR59" s="1"/>
      <c r="CS59" s="1"/>
    </row>
    <row r="62" spans="2:98" s="93" customFormat="1" ht="12.75" customHeight="1" x14ac:dyDescent="0.2">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row>
    <row r="63" spans="2:98" s="93" customFormat="1" ht="12.75" customHeight="1" x14ac:dyDescent="0.2">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row>
    <row r="64" spans="2:98" s="93" customFormat="1" ht="12.75" customHeight="1" x14ac:dyDescent="0.2">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row>
    <row r="65" spans="29:85" s="93" customFormat="1" ht="12.75" customHeight="1" x14ac:dyDescent="0.2">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row>
    <row r="66" spans="29:85" s="93" customFormat="1" ht="12.75" customHeight="1" x14ac:dyDescent="0.2">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row>
    <row r="67" spans="29:85" s="93" customFormat="1" ht="12.75" customHeight="1" x14ac:dyDescent="0.2">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row>
    <row r="68" spans="29:85" s="93" customFormat="1" ht="12.75" customHeight="1" x14ac:dyDescent="0.2">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row>
    <row r="69" spans="29:85" s="93" customFormat="1" ht="12.75" customHeight="1" x14ac:dyDescent="0.2">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row>
    <row r="70" spans="29:85" s="93" customFormat="1" ht="12.75" customHeight="1" x14ac:dyDescent="0.2">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row>
    <row r="71" spans="29:85" s="93" customFormat="1" ht="12.75" customHeight="1" x14ac:dyDescent="0.2">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row>
    <row r="72" spans="29:85" s="93" customFormat="1" ht="12.75" customHeight="1" x14ac:dyDescent="0.2">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row>
    <row r="73" spans="29:85" s="93" customFormat="1" ht="12.75" customHeight="1" x14ac:dyDescent="0.2">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row>
    <row r="74" spans="29:85" s="93" customFormat="1" ht="12.75" customHeight="1" x14ac:dyDescent="0.2">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row>
    <row r="75" spans="29:85" s="93" customFormat="1" ht="12.75" customHeight="1" x14ac:dyDescent="0.2">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row>
    <row r="76" spans="29:85" s="93" customFormat="1" ht="12.75" customHeight="1" x14ac:dyDescent="0.2">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row>
    <row r="77" spans="29:85" s="93" customFormat="1" ht="12.75" customHeight="1" x14ac:dyDescent="0.2">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row>
    <row r="84" s="458" customFormat="1" ht="14.25" customHeight="1" x14ac:dyDescent="0.2"/>
  </sheetData>
  <mergeCells count="87">
    <mergeCell ref="N27:AA27"/>
    <mergeCell ref="AX36:BE36"/>
    <mergeCell ref="BF36:BI36"/>
    <mergeCell ref="BJ36:BM36"/>
    <mergeCell ref="L38:N38"/>
    <mergeCell ref="AX37:BE37"/>
    <mergeCell ref="L36:N36"/>
    <mergeCell ref="BF34:BI34"/>
    <mergeCell ref="BJ34:BM34"/>
    <mergeCell ref="AX32:BE32"/>
    <mergeCell ref="BF31:BI31"/>
    <mergeCell ref="BJ31:BM31"/>
    <mergeCell ref="N29:AA29"/>
    <mergeCell ref="AO50:AS50"/>
    <mergeCell ref="BA50:BC50"/>
    <mergeCell ref="AX35:BE35"/>
    <mergeCell ref="BF35:BI35"/>
    <mergeCell ref="AX33:BE33"/>
    <mergeCell ref="AX34:BE34"/>
    <mergeCell ref="AO48:AS48"/>
    <mergeCell ref="BA48:BC48"/>
    <mergeCell ref="AE40:AS42"/>
    <mergeCell ref="AW40:BL42"/>
    <mergeCell ref="AO46:AS46"/>
    <mergeCell ref="AE12:AL12"/>
    <mergeCell ref="BP13:CE14"/>
    <mergeCell ref="BJ35:BM35"/>
    <mergeCell ref="BF37:BI37"/>
    <mergeCell ref="BJ37:BM37"/>
    <mergeCell ref="BF33:BI33"/>
    <mergeCell ref="BJ33:BM33"/>
    <mergeCell ref="AX31:BE31"/>
    <mergeCell ref="BF32:BI32"/>
    <mergeCell ref="BH19:BL19"/>
    <mergeCell ref="BW19:BX19"/>
    <mergeCell ref="BY19:BZ19"/>
    <mergeCell ref="BJ32:BM32"/>
    <mergeCell ref="BW23:BX23"/>
    <mergeCell ref="BY23:BZ23"/>
    <mergeCell ref="CB37:CD37"/>
    <mergeCell ref="G2:BB5"/>
    <mergeCell ref="I6:BA6"/>
    <mergeCell ref="BP18:BV20"/>
    <mergeCell ref="BW18:BX18"/>
    <mergeCell ref="AE13:AS14"/>
    <mergeCell ref="AW13:BL14"/>
    <mergeCell ref="A8:CG9"/>
    <mergeCell ref="C13:AA22"/>
    <mergeCell ref="AO18:AS18"/>
    <mergeCell ref="BW21:BX21"/>
    <mergeCell ref="AO16:AS16"/>
    <mergeCell ref="AW16:BL17"/>
    <mergeCell ref="BY21:BZ21"/>
    <mergeCell ref="CB16:CE16"/>
    <mergeCell ref="BW22:BX22"/>
    <mergeCell ref="BY22:BZ22"/>
    <mergeCell ref="CN18:CO18"/>
    <mergeCell ref="CA18:CE18"/>
    <mergeCell ref="CA22:CE22"/>
    <mergeCell ref="CN19:CO19"/>
    <mergeCell ref="CA25:CE25"/>
    <mergeCell ref="CA23:CE23"/>
    <mergeCell ref="CA21:CE21"/>
    <mergeCell ref="CA24:CE24"/>
    <mergeCell ref="CA19:CE19"/>
    <mergeCell ref="CA20:CE20"/>
    <mergeCell ref="CB35:CD35"/>
    <mergeCell ref="CB34:CD34"/>
    <mergeCell ref="CA26:CE26"/>
    <mergeCell ref="CB36:CD36"/>
    <mergeCell ref="BY18:BZ18"/>
    <mergeCell ref="AO55:BI55"/>
    <mergeCell ref="BW20:BX20"/>
    <mergeCell ref="BY20:BZ20"/>
    <mergeCell ref="BG51:BZ52"/>
    <mergeCell ref="BW25:BX25"/>
    <mergeCell ref="BY24:BZ24"/>
    <mergeCell ref="BW26:BX26"/>
    <mergeCell ref="BY26:BZ26"/>
    <mergeCell ref="BU31:CD31"/>
    <mergeCell ref="CA49:CE49"/>
    <mergeCell ref="BG46:CE48"/>
    <mergeCell ref="BG49:BZ50"/>
    <mergeCell ref="BP40:CE42"/>
    <mergeCell ref="BY25:BZ25"/>
    <mergeCell ref="BY27:BZ27"/>
    <mergeCell ref="BW24:BX24"/>
  </mergeCells>
  <conditionalFormatting sqref="L45:M45">
    <cfRule type="expression" dxfId="327" priority="37">
      <formula>COUNTA($V$46:$W$50)&gt;0</formula>
    </cfRule>
  </conditionalFormatting>
  <conditionalFormatting sqref="J45:K45">
    <cfRule type="expression" dxfId="326" priority="36">
      <formula>COUNTA($T$46:$T$50)=5</formula>
    </cfRule>
  </conditionalFormatting>
  <conditionalFormatting sqref="J47:AB51">
    <cfRule type="containsText" dxfId="325" priority="34" operator="containsText" text="Issue">
      <formula>NOT(ISERROR(SEARCH("Issue",J47)))</formula>
    </cfRule>
    <cfRule type="cellIs" dxfId="324" priority="35" operator="equal">
      <formula>"Valid"</formula>
    </cfRule>
  </conditionalFormatting>
  <conditionalFormatting sqref="BA48">
    <cfRule type="expression" dxfId="323" priority="15">
      <formula>AND($AO$46="User input",MODE="EDIT")</formula>
    </cfRule>
  </conditionalFormatting>
  <conditionalFormatting sqref="BA48">
    <cfRule type="expression" dxfId="322" priority="16">
      <formula>MODE="Analyse"</formula>
    </cfRule>
  </conditionalFormatting>
  <conditionalFormatting sqref="BA50">
    <cfRule type="expression" dxfId="321" priority="12">
      <formula>MODE="Analyse"</formula>
    </cfRule>
  </conditionalFormatting>
  <conditionalFormatting sqref="BA50">
    <cfRule type="expression" dxfId="320" priority="11">
      <formula>AND($AO$46="User input",MODE="EDIT")</formula>
    </cfRule>
  </conditionalFormatting>
  <dataValidations count="9">
    <dataValidation type="whole" showInputMessage="1" showErrorMessage="1" sqref="BH19" xr:uid="{00000000-0002-0000-0100-000000000000}">
      <formula1>10000</formula1>
      <formula2>100000000000</formula2>
    </dataValidation>
    <dataValidation type="decimal" allowBlank="1" showInputMessage="1" showErrorMessage="1" sqref="BA48 BA50" xr:uid="{00000000-0002-0000-0100-000005000000}">
      <formula1>0.5</formula1>
      <formula2>5</formula2>
    </dataValidation>
    <dataValidation type="whole" allowBlank="1" showInputMessage="1" showErrorMessage="1" sqref="BW19" xr:uid="{8AA541A2-A934-45B6-9BAF-E0E9FEB6DE4B}">
      <formula1>1</formula1>
      <formula2>1</formula2>
    </dataValidation>
    <dataValidation type="decimal" errorStyle="warning" allowBlank="1" showInputMessage="1" showErrorMessage="1" error="The global reduction factor must be between 0 and 3" sqref="CA49" xr:uid="{31628FAD-7A8C-4F77-95B5-0DD6E5445F1A}">
      <formula1>0</formula1>
      <formula2>3</formula2>
    </dataValidation>
    <dataValidation type="whole" allowBlank="1" showInputMessage="1" showErrorMessage="1" sqref="CB16" xr:uid="{00000000-0002-0000-0100-000001000000}">
      <formula1>1</formula1>
      <formula2>120</formula2>
    </dataValidation>
    <dataValidation type="whole" operator="lessThanOrEqual" allowBlank="1" showInputMessage="1" showErrorMessage="1" sqref="BW20:BW26" xr:uid="{5144B202-049A-4943-AE93-EB64F0E27D0B}">
      <formula1>$CB$16</formula1>
    </dataValidation>
    <dataValidation type="whole" showInputMessage="1" showErrorMessage="1" sqref="CA19:CA26" xr:uid="{EA271DF6-2B05-4EAB-8FDC-02B90881FF83}">
      <formula1>0</formula1>
      <formula2>100000000000</formula2>
    </dataValidation>
    <dataValidation type="list" allowBlank="1" showInputMessage="1" showErrorMessage="1" sqref="BU31" xr:uid="{00000000-0002-0000-0100-000003000000}">
      <formula1>MntnceStrategyTypes</formula1>
    </dataValidation>
    <dataValidation type="list" showInputMessage="1" showErrorMessage="1" sqref="CB34:CB37" xr:uid="{BE0B31EF-F092-46D1-A366-67855DDF3784}">
      <formula1>"Yes,No"</formula1>
    </dataValidation>
  </dataValidations>
  <hyperlinks>
    <hyperlink ref="AO55" r:id="rId1" xr:uid="{E9D10900-7ECF-4E59-A0BA-9824BCC020A1}"/>
  </hyperlinks>
  <pageMargins left="0.75" right="0.75" top="1" bottom="1" header="0.5" footer="0.5"/>
  <pageSetup paperSize="9" scale="75" orientation="portrait" horizont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3430" r:id="rId5" name="Button 6">
              <controlPr defaultSize="0" print="0" autoFill="0" autoPict="0" macro="[0]!GoTo_Ref0304ii">
                <anchor moveWithCells="1" sizeWithCells="1">
                  <from>
                    <xdr:col>78</xdr:col>
                    <xdr:colOff>0</xdr:colOff>
                    <xdr:row>49</xdr:row>
                    <xdr:rowOff>123825</xdr:rowOff>
                  </from>
                  <to>
                    <xdr:col>82</xdr:col>
                    <xdr:colOff>209550</xdr:colOff>
                    <xdr:row>51</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9104ED68-1679-4BBD-9AA9-4A696692E62D}">
            <xm:f>MODE=VBConstants!$E$2</xm:f>
            <x14:dxf>
              <font>
                <b/>
                <i/>
                <strike val="0"/>
                <color theme="0"/>
              </font>
              <fill>
                <patternFill>
                  <bgColor theme="5"/>
                </patternFill>
              </fill>
            </x14:dxf>
          </x14:cfRule>
          <x14:cfRule type="expression" priority="32" id="{6B2AAD1F-F37C-4284-A49C-0BA7E472EC28}">
            <xm:f>MODE=VBConstants!$E$1</xm:f>
            <x14:dxf>
              <font>
                <b/>
                <i/>
                <strike val="0"/>
                <color theme="0"/>
              </font>
              <fill>
                <patternFill>
                  <bgColor rgb="FF0070C0"/>
                </patternFill>
              </fill>
            </x14:dxf>
          </x14:cfRule>
          <xm:sqref>A8</xm:sqref>
        </x14:conditionalFormatting>
        <x14:conditionalFormatting xmlns:xm="http://schemas.microsoft.com/office/excel/2006/main">
          <x14:cfRule type="expression" priority="27" id="{615F1F6A-A909-446A-B47A-26521158B199}">
            <xm:f>MODE=VBConstants!$E1</xm:f>
            <x14:dxf>
              <fill>
                <patternFill>
                  <bgColor theme="4" tint="0.79998168889431442"/>
                </patternFill>
              </fill>
            </x14:dxf>
          </x14:cfRule>
          <xm:sqref>N29</xm:sqref>
        </x14:conditionalFormatting>
        <x14:conditionalFormatting xmlns:xm="http://schemas.microsoft.com/office/excel/2006/main">
          <x14:cfRule type="expression" priority="25" id="{73C428B5-ECDC-4CC6-BC30-614957C275DE}">
            <xm:f>MODE=VBConstants!$E1</xm:f>
            <x14:dxf>
              <fill>
                <patternFill>
                  <bgColor theme="4" tint="0.79998168889431442"/>
                </patternFill>
              </fill>
            </x14:dxf>
          </x14:cfRule>
          <xm:sqref>BH19</xm:sqref>
        </x14:conditionalFormatting>
        <x14:conditionalFormatting xmlns:xm="http://schemas.microsoft.com/office/excel/2006/main">
          <x14:cfRule type="expression" priority="24" id="{734FB7D5-1E6F-476B-96D6-E8CDCF9374B7}">
            <xm:f>MODE=VBConstants!$E1</xm:f>
            <x14:dxf>
              <fill>
                <patternFill>
                  <bgColor theme="4" tint="0.79998168889431442"/>
                </patternFill>
              </fill>
            </x14:dxf>
          </x14:cfRule>
          <xm:sqref>N27</xm:sqref>
        </x14:conditionalFormatting>
        <x14:conditionalFormatting xmlns:xm="http://schemas.microsoft.com/office/excel/2006/main">
          <x14:cfRule type="expression" priority="23" id="{4195CCCD-58D9-454D-A5A7-9B93061120F7}">
            <xm:f>MODE=VBConstants!$E1</xm:f>
            <x14:dxf>
              <fill>
                <patternFill>
                  <bgColor theme="4" tint="0.79998168889431442"/>
                </patternFill>
              </fill>
            </x14:dxf>
          </x14:cfRule>
          <xm:sqref>CB16</xm:sqref>
        </x14:conditionalFormatting>
        <x14:conditionalFormatting xmlns:xm="http://schemas.microsoft.com/office/excel/2006/main">
          <x14:cfRule type="expression" priority="22" id="{91247192-81DA-4443-B5AA-7988659899EC}">
            <xm:f>MODE=VBConstants!$E$1</xm:f>
            <x14:dxf>
              <fill>
                <patternFill>
                  <bgColor theme="4" tint="0.79998168889431442"/>
                </patternFill>
              </fill>
            </x14:dxf>
          </x14:cfRule>
          <xm:sqref>BW19:BW26</xm:sqref>
        </x14:conditionalFormatting>
        <x14:conditionalFormatting xmlns:xm="http://schemas.microsoft.com/office/excel/2006/main">
          <x14:cfRule type="expression" priority="21" id="{BDE04D99-5EBE-43D2-9735-202B1E16070C}">
            <xm:f>MODE=VBConstants!$E$1</xm:f>
            <x14:dxf>
              <fill>
                <patternFill>
                  <bgColor theme="4" tint="0.79998168889431442"/>
                </patternFill>
              </fill>
            </x14:dxf>
          </x14:cfRule>
          <xm:sqref>CA19:CA26</xm:sqref>
        </x14:conditionalFormatting>
        <x14:conditionalFormatting xmlns:xm="http://schemas.microsoft.com/office/excel/2006/main">
          <x14:cfRule type="expression" priority="20" id="{08A1FF22-7E99-4093-AC11-BA7B2C803ACE}">
            <xm:f>MODE=VBConstants!$E1</xm:f>
            <x14:dxf>
              <fill>
                <patternFill>
                  <bgColor theme="4" tint="0.59996337778862885"/>
                </patternFill>
              </fill>
            </x14:dxf>
          </x14:cfRule>
          <xm:sqref>BU31</xm:sqref>
        </x14:conditionalFormatting>
        <x14:conditionalFormatting xmlns:xm="http://schemas.microsoft.com/office/excel/2006/main">
          <x14:cfRule type="expression" priority="19" id="{0B17C60E-83ED-4D4A-87D8-D0F67C024971}">
            <xm:f>MODE=VBConstants!$E$1</xm:f>
            <x14:dxf>
              <fill>
                <patternFill>
                  <bgColor theme="4" tint="0.59996337778862885"/>
                </patternFill>
              </fill>
            </x14:dxf>
          </x14:cfRule>
          <xm:sqref>CB34:CB37</xm:sqref>
        </x14:conditionalFormatting>
        <x14:conditionalFormatting xmlns:xm="http://schemas.microsoft.com/office/excel/2006/main">
          <x14:cfRule type="expression" priority="18" id="{D5EAB92A-F0C8-4081-AF23-CAA696AFEC1E}">
            <xm:f>MODE=VBConstants!$E$1</xm:f>
            <x14:dxf>
              <fill>
                <patternFill>
                  <bgColor theme="4" tint="0.59996337778862885"/>
                </patternFill>
              </fill>
            </x14:dxf>
          </x14:cfRule>
          <xm:sqref>BF32:BF37 BJ32:BJ37 AX32:AX37</xm:sqref>
        </x14:conditionalFormatting>
        <x14:conditionalFormatting xmlns:xm="http://schemas.microsoft.com/office/excel/2006/main">
          <x14:cfRule type="expression" priority="17" id="{EA3A660B-2FE8-42FC-8A43-16161402B7D8}">
            <xm:f>MODE=VBConstants!$E$1</xm:f>
            <x14:dxf>
              <fill>
                <patternFill>
                  <bgColor theme="4" tint="0.79998168889431442"/>
                </patternFill>
              </fill>
            </x14:dxf>
          </x14:cfRule>
          <xm:sqref>CA49</xm:sqref>
        </x14:conditionalFormatting>
        <x14:conditionalFormatting xmlns:xm="http://schemas.microsoft.com/office/excel/2006/main">
          <x14:cfRule type="expression" priority="2" id="{A86302EE-0BBF-444B-B462-2C3733653DC3}">
            <xm:f>MODE=VBConstants!$E1</xm:f>
            <x14:dxf>
              <fill>
                <patternFill>
                  <bgColor theme="4" tint="0.79998168889431442"/>
                </patternFill>
              </fill>
            </x14:dxf>
          </x14:cfRule>
          <xm:sqref>AO18:AS18</xm:sqref>
        </x14:conditionalFormatting>
        <x14:conditionalFormatting xmlns:xm="http://schemas.microsoft.com/office/excel/2006/main">
          <x14:cfRule type="expression" priority="1" id="{943D4126-5DA3-48E5-950F-9F1C34A27A8E}">
            <xm:f>MODE=VBConstants!$E$1</xm:f>
            <x14:dxf>
              <fill>
                <patternFill>
                  <bgColor theme="4" tint="0.79998168889431442"/>
                </patternFill>
              </fill>
            </x14:dxf>
          </x14:cfRule>
          <xm:sqref>AO46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6000000}">
          <x14:formula1>
            <xm:f>Ref11i!$C$72:$E$72</xm:f>
          </x14:formula1>
          <xm:sqref>N29</xm:sqref>
        </x14:dataValidation>
        <x14:dataValidation type="list" allowBlank="1" showInputMessage="1" showErrorMessage="1" promptTitle="Use Drop Down" xr:uid="{00000000-0002-0000-0100-000007000000}">
          <x14:formula1>
            <xm:f>'Ref15'!$B$4:$B$24</xm:f>
          </x14:formula1>
          <xm:sqref>AO46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_Structures">
    <tabColor theme="5" tint="0.39997558519241921"/>
  </sheetPr>
  <dimension ref="A1:BU4"/>
  <sheetViews>
    <sheetView showGridLines="0" zoomScale="70" zoomScaleNormal="70" workbookViewId="0">
      <pane ySplit="4" topLeftCell="A5" activePane="bottomLeft" state="frozen"/>
      <selection activeCell="A2" sqref="A2"/>
      <selection pane="bottomLeft" activeCell="B5" sqref="B5"/>
    </sheetView>
  </sheetViews>
  <sheetFormatPr defaultColWidth="2" defaultRowHeight="12.75" customHeight="1" x14ac:dyDescent="0.2"/>
  <cols>
    <col min="1" max="2" width="12.7109375" style="19" customWidth="1"/>
    <col min="3" max="3" width="40.7109375" style="19" customWidth="1"/>
    <col min="4" max="4" width="18.7109375" style="19" customWidth="1"/>
    <col min="5" max="5" width="40.7109375" style="19" customWidth="1"/>
    <col min="6" max="8" width="18.7109375" style="19" customWidth="1"/>
    <col min="9" max="9" width="24.28515625" style="19" customWidth="1"/>
    <col min="10" max="11" width="18.7109375" style="19" customWidth="1"/>
    <col min="12" max="12" width="24.7109375" style="19" customWidth="1"/>
    <col min="13" max="14" width="18.7109375" style="19" customWidth="1"/>
    <col min="15" max="15" width="30.7109375" style="19" customWidth="1"/>
    <col min="16" max="16" width="18.7109375" style="19" customWidth="1"/>
    <col min="17" max="41" width="12.7109375" style="19" customWidth="1"/>
    <col min="42" max="46" width="18.7109375" style="19" customWidth="1"/>
    <col min="47" max="47" width="18.7109375" style="392" customWidth="1"/>
    <col min="48" max="51" width="18.7109375" style="19" customWidth="1"/>
    <col min="52" max="52" width="18.7109375" style="39" customWidth="1"/>
    <col min="53" max="58" width="18.7109375" style="19" customWidth="1"/>
    <col min="59" max="59" width="3.7109375" style="19" customWidth="1"/>
    <col min="60" max="72" width="14.42578125" style="19" customWidth="1"/>
    <col min="73" max="73" width="29" style="19" customWidth="1"/>
    <col min="74" max="16384" width="2" style="19"/>
  </cols>
  <sheetData>
    <row r="1" spans="1:73" ht="17.45" hidden="1" customHeight="1" x14ac:dyDescent="0.2">
      <c r="C1" s="420"/>
      <c r="E1" s="25"/>
      <c r="L1" s="25"/>
      <c r="N1" s="25"/>
      <c r="O1" s="25"/>
      <c r="AH1" s="19">
        <f>IF(AND(OR(E1="Tunnel (bored)",E1="Tunnel (cut and cover)"),G1&gt;400),1,0)</f>
        <v>0</v>
      </c>
      <c r="AI1" s="19">
        <f>IF(K1="Rural",1,0)</f>
        <v>0</v>
      </c>
      <c r="AJ1" s="19">
        <f>IF(L1="Local Road - unclassified",1,0)</f>
        <v>0</v>
      </c>
      <c r="AK1" s="19">
        <f>IF(O1="Footway/cycleway",1,0)</f>
        <v>0</v>
      </c>
      <c r="AL1" s="19">
        <f>IF(O1="Watercourse - non-navigable",1,0)</f>
        <v>0</v>
      </c>
      <c r="AM1" s="19">
        <f>IF(O1="Land/Disused",1,0)</f>
        <v>0</v>
      </c>
      <c r="AN1" s="19">
        <f>IF(OR(O1="Railway: Freight",O1="Railway: Inter-City Line",O1="Railway: Suburban, Tram, Underground"),1,0)</f>
        <v>0</v>
      </c>
      <c r="AO1" s="19">
        <f>IF(OR(O1="Business and Community Premises",O1="Residential Premises"),1,0)</f>
        <v>0</v>
      </c>
      <c r="AP1" s="385" t="str">
        <f>IF(E1="","",MATCH(E1,'Ref12'!$B$5:$B$25,0))</f>
        <v/>
      </c>
      <c r="AQ1" s="19" t="e">
        <f>INDEX('Ref12'!$B$5:$H$25,AP1,4)*F1</f>
        <v>#VALUE!</v>
      </c>
      <c r="AR1" s="19" t="e">
        <f>INDEX('Ref12'!$B$5:$H$25,AP1,5)*G1</f>
        <v>#VALUE!</v>
      </c>
      <c r="AS1" s="19" t="e">
        <f>INDEX('Ref12'!$B$5:$H$25,AP1,6)*H1</f>
        <v>#VALUE!</v>
      </c>
      <c r="AT1" s="19" t="e">
        <f>INDEX('Ref12'!$B$5:$H$25,AP1,7)*I1</f>
        <v>#VALUE!</v>
      </c>
      <c r="AU1" s="66" t="e">
        <f>IF(AQ1=0,1,AQ1)*IF(AR1=0,1,AR1)*IF(AS1=0,1,AS1)*IF(AT1=0,1,AT1)</f>
        <v>#VALUE!</v>
      </c>
      <c r="AV1" s="385" t="e">
        <f>(INDEX('Ref12'!$B$5:$H$25,AP1,2))*AU1</f>
        <v>#VALUE!</v>
      </c>
      <c r="AW1" s="385">
        <f>IF(AH1=0,1,AH1*$AH$3)*IF(AI1=0,1,AI1*$AI$3)*IF(AJ1=0,1,AJ1*$AJ$3)*IF(AK1=0,1,AK1*$AK$3)*IF(AL1=0,1,AL1*$AL$3)*IF(AM1=0,1,AM1*$AM$3)*IF(AN1=0,1,AN1*$AN$3)*IF(AO1=0,1,AO1*$AO$3)*IF(W1=0,1,W1*$W$3)*IF(X1=0,1,X1*$X$3)*IF(Y1=0,1,Y1*$Y$3)*IF(Z1=0,1,Z1*$Z$3)*IF(AA1=0,1,AA1*$AA$3)*IF(AB1=0,1,AB1*$AB$3)*IF(AC1=0,1,AC1*$AC$3)*IF(AD1=0,1,AD1*$AD$3)*IF(AE1=0,1,AE1*$AE$3)*IF(AF1=0,1,AF1*$AF$3)*IF(AG1=0,1,AG1*$AG$3)</f>
        <v>1</v>
      </c>
      <c r="AX1" s="25" t="e">
        <f>IF(AV1="Not Used","",AV1*AW1)</f>
        <v>#VALUE!</v>
      </c>
      <c r="AY1" s="25">
        <f>IFERROR(Ref11i!$C$5*(SUMIF(Ref11i_Route,L1,Ref11i!$C$36:$C$45)+SUMIF(Ref11i_Traffic,N1,Ref11i!$C$10:$C$12)+SUMIF(Ref11i_ObstacleCrossed,O1,Ref11i!$C$16:$C$32))+Ref11i!$C$6*SUMIF(Ref11i_StructureType,E1,Ref11i!$C$49:$C$69),"")</f>
        <v>0</v>
      </c>
      <c r="AZ1" s="25">
        <f>$Q$3*Q1+$R$3*R1+$S$3*S1+$T$3*T1+$U$3*U1+$V$3*V1</f>
        <v>0</v>
      </c>
      <c r="BA1" s="25" t="str">
        <f>IF(E1="","",INDEX(Ref11i!$D$49:$D$69,MATCH(E1,Ref11i_StructureType,0),1))</f>
        <v/>
      </c>
      <c r="BB1" s="25">
        <f>IFERROR(IF('Main Page'!$N$29="Local Authority",INDEX(Ref11i!$C$73:$C$79,MATCH($BA1,Ref11i!$B$73:$B$79,0)),IF('Main Page'!$N$29="Overseeing (Trunk Road) Authority",INDEX(Ref11i!$D$73:$D$79,MATCH($BA1,Ref11i!$B$73:$B$79,0)),IF('Main Page'!$N$29="Transport for London",INDEX(Ref11i!$E$73:$E$79,MATCH($BA1,Ref11i!$B$73:$B$79,0)),0))),0)</f>
        <v>0</v>
      </c>
      <c r="BC1" s="25">
        <f>IFERROR(AU1*BB1,0)</f>
        <v>0</v>
      </c>
      <c r="BD1" s="25" t="e">
        <f ca="1">COUNTIF(Ele_StructureIdentifier,B1)</f>
        <v>#REF!</v>
      </c>
      <c r="BE1" s="25" t="e">
        <f ca="1">IF(BD1&gt;0,MATCH(B1,Ele_StructureIdentifier,0),0)</f>
        <v>#REF!</v>
      </c>
      <c r="BF1" s="25" t="e">
        <f ca="1">IF(BD1=0,0,LOOKUP(2,1/(Ele_StructureIdentifier=B1),ROW(Ele_StructureIdentifier)-4))</f>
        <v>#REF!</v>
      </c>
      <c r="BG1" s="25"/>
      <c r="BH1" s="25" t="str">
        <f>IF(AND(B1="",COUNTA(C1:AG1)&gt;0),"ID/data","")</f>
        <v/>
      </c>
      <c r="BI1" s="25" t="str">
        <f>IF(B1="","",IF(ISERROR(INDEX(Ref11i_StructureType,MATCH(E1,Ref11i_StructureType,0))),"Structure Type,",""))</f>
        <v/>
      </c>
      <c r="BJ1" s="25" t="str">
        <f>IF(B1="","",IF(SUM(F1)&gt;=1,"","No. of structures,"))</f>
        <v/>
      </c>
      <c r="BK1" s="25" t="str">
        <f>IF(B1="","",IF(OR(E1=Ref11i!$B$54,E1=Ref11i!$B$58),"",IF(G1&gt;0,"","Length,")))</f>
        <v/>
      </c>
      <c r="BL1" s="25" t="str">
        <f>IF(B1="","",IF(OR(E1=Ref11i!$B$54,E1=Ref11i!$B$58,E1=Ref11i!$B$59,E1=Ref11i!$B$60),"",IF(Structures!H1&gt;0,"","Width,")))</f>
        <v/>
      </c>
      <c r="BM1" s="25" t="str">
        <f>IF(B1="","",IF(OR(E1=Ref11i!$B$54,E1=Ref11i!$B$58,E1=Ref11i!$B$63,E1=Ref11i!$B$64),"",IF(Structures!I1&gt;0,"","Headroom,")))</f>
        <v/>
      </c>
      <c r="BN1" s="25" t="str">
        <f>IF(B1="","",IF(OR(E1=Ref11i!$B$54,E1=Ref11i!$B$58,E1=Ref11i!$B$59,E1=Ref11i!$B$60,E1=Ref11i!$B$61,E1=Ref11i!$B$62,E1=Ref11i!$B$63,E1=Ref11i!$B$64),"",IF(Structures!J1&gt;0,"","Spans,")))</f>
        <v/>
      </c>
      <c r="BO1" s="25" t="str">
        <f>IF(B1="","",IF(ISERROR(INDEX(Ref00_StructureLocation,MATCH(K1,Ref00_StructureLocation,0))),"Location,",""))</f>
        <v/>
      </c>
      <c r="BP1" s="25" t="str">
        <f>IF(B1="","",IF(OR(M1=1,M1=0),IF(ISERROR(INDEX(Ref11i_Route,MATCH(L1,Ref11i_Route,0))),"Route,",""),"Route,"))</f>
        <v/>
      </c>
      <c r="BQ1" s="25" t="str">
        <f>IF(B1="","",IF(OR(P1=0,P1=1),IF(OR(E1=Ref11i!$B$54,E1=Ref11i!$B$58,E1=Ref11i!$B$61,E1=Ref11i!$B$62),"",IF(ISERROR(INDEX(Ref11i_ObstacleCrossed,MATCH(O1,Ref11i_ObstacleCrossed,0))),"Obstacle,","")),"Obstacle,"))</f>
        <v/>
      </c>
      <c r="BR1" s="25" t="str">
        <f>IF(B1="","",IF(ISERROR(INDEX(Ref11i_Traffic,MATCH(N1,Ref11i_Traffic,0))),"Traffic,",""))</f>
        <v/>
      </c>
      <c r="BS1" s="25" t="str">
        <f>IF(B1="","",IF(AND(OR(W1=0,W1=1,W1=""),OR(X1=0,X1=1,X1=""),OR(Y1=0,Y1=1,Y1=""),OR(Z1=0,Z1=1,Z1=""),OR(AA1=0,AA1=1,AA1=""),OR(AB1=0,AB1=1,AB1=""),OR(AC1=0,AC1=1,AC1=""),OR(AD1=0,AD1=1,AD1=""),OR(AE1=0,AE1=1,AE1=""),OR(AF1=0,AF1=1,AF1=""),OR(AG1=0,AG1=1,AG1="")),"","Adjustment factor,"))</f>
        <v/>
      </c>
      <c r="BT1" s="25" t="e">
        <f ca="1">IF(BD1&lt;1,"No. elements for structure,","")</f>
        <v>#REF!</v>
      </c>
      <c r="BU1" s="25" t="str">
        <f>SUBSTITUTE(TRIM(IF(AND(B1="",COUNTA(C1:AG1)=0),"Valid",IF(LEN(CONCATENATE(BH1,BI1,BJ1,BK1,BL1,BM1,BN1,BO1,BP1,BQ1,BR1,BS1,BT1))=0,"Valid",CONCATENATE(BH1&amp;" "&amp;BI1&amp;" "&amp;BJ1&amp;" "&amp;BK1&amp;" "&amp;BL1&amp;" "&amp;BM1&amp;" "&amp;BN1&amp;" "&amp;BO1&amp;" "&amp;BP1&amp;" "&amp;BQ1&amp;" "&amp;BR1&amp;" "&amp;BS1&amp;" "&amp;BT1)))),"  "," ")</f>
        <v>Valid</v>
      </c>
    </row>
    <row r="2" spans="1:73" ht="17.45" customHeight="1" x14ac:dyDescent="0.2">
      <c r="A2" s="386"/>
      <c r="B2" s="386"/>
      <c r="C2" s="386"/>
      <c r="D2" s="386"/>
      <c r="E2" s="386"/>
      <c r="F2" s="386"/>
      <c r="G2" s="386"/>
      <c r="H2" s="386"/>
      <c r="I2" s="386"/>
      <c r="J2" s="386"/>
      <c r="K2" s="386"/>
      <c r="L2" s="386"/>
      <c r="M2" s="386"/>
      <c r="N2" s="386"/>
      <c r="O2" s="386"/>
      <c r="P2" s="386"/>
      <c r="Q2" s="525" t="s">
        <v>1205</v>
      </c>
      <c r="R2" s="525"/>
      <c r="S2" s="525"/>
      <c r="T2" s="525"/>
      <c r="U2" s="525"/>
      <c r="V2" s="525"/>
      <c r="W2" s="525" t="s">
        <v>1208</v>
      </c>
      <c r="X2" s="525"/>
      <c r="Y2" s="525"/>
      <c r="Z2" s="525"/>
      <c r="AA2" s="525"/>
      <c r="AB2" s="525"/>
      <c r="AC2" s="525"/>
      <c r="AD2" s="525"/>
      <c r="AE2" s="525"/>
      <c r="AF2" s="525"/>
      <c r="AG2" s="525"/>
      <c r="AH2" s="525"/>
      <c r="AI2" s="525"/>
      <c r="AJ2" s="525"/>
      <c r="AK2" s="525"/>
      <c r="AL2" s="525"/>
      <c r="AM2" s="525"/>
      <c r="AN2" s="525"/>
      <c r="AO2" s="525"/>
      <c r="AP2" s="386"/>
      <c r="AQ2" s="386"/>
      <c r="AR2" s="386"/>
      <c r="AS2" s="386"/>
      <c r="AT2" s="386"/>
      <c r="AU2" s="386"/>
      <c r="AV2" s="386"/>
      <c r="AW2" s="386"/>
      <c r="AX2" s="386"/>
      <c r="AY2" s="386"/>
      <c r="AZ2" s="386"/>
      <c r="BA2" s="386"/>
      <c r="BB2" s="386"/>
      <c r="BC2" s="386"/>
      <c r="BD2" s="386"/>
      <c r="BE2" s="386"/>
      <c r="BF2" s="386"/>
      <c r="BH2" s="386"/>
      <c r="BI2" s="386"/>
      <c r="BJ2" s="386"/>
      <c r="BK2" s="386"/>
      <c r="BL2" s="386"/>
      <c r="BM2" s="386"/>
      <c r="BN2" s="386"/>
      <c r="BO2" s="386"/>
      <c r="BP2" s="386"/>
      <c r="BQ2" s="386"/>
      <c r="BR2" s="386"/>
      <c r="BS2" s="386"/>
      <c r="BT2" s="386"/>
      <c r="BU2" s="386"/>
    </row>
    <row r="3" spans="1:73" x14ac:dyDescent="0.2">
      <c r="A3" s="386"/>
      <c r="B3" s="386"/>
      <c r="C3" s="386"/>
      <c r="D3" s="386"/>
      <c r="E3" s="386"/>
      <c r="F3" s="386"/>
      <c r="G3" s="386"/>
      <c r="H3" s="386"/>
      <c r="I3" s="386"/>
      <c r="J3" s="386"/>
      <c r="K3" s="386"/>
      <c r="L3" s="386"/>
      <c r="M3" s="386"/>
      <c r="N3" s="386"/>
      <c r="O3" s="386"/>
      <c r="P3" s="387"/>
      <c r="Q3" s="388">
        <f t="array" ref="Q3:V3">TRANSPOSE('Main Page'!BF32:BF37)</f>
        <v>1</v>
      </c>
      <c r="R3" s="388">
        <v>1</v>
      </c>
      <c r="S3" s="388">
        <v>1</v>
      </c>
      <c r="T3" s="388">
        <v>1</v>
      </c>
      <c r="U3" s="388">
        <v>1</v>
      </c>
      <c r="V3" s="388">
        <v>1</v>
      </c>
      <c r="W3" s="388">
        <f t="array" ref="W3:AA3">TRANSPOSE('Ref12'!$C$37:$C$41)</f>
        <v>2</v>
      </c>
      <c r="X3" s="388">
        <v>1.25</v>
      </c>
      <c r="Y3" s="388">
        <v>1.4</v>
      </c>
      <c r="Z3" s="388">
        <v>1.6</v>
      </c>
      <c r="AA3" s="388">
        <v>0.85</v>
      </c>
      <c r="AB3" s="388">
        <f t="array" ref="AB3:AG3">TRANSPOSE('Ref12'!$C$43:$C$48)</f>
        <v>1</v>
      </c>
      <c r="AC3" s="388">
        <v>1</v>
      </c>
      <c r="AD3" s="388">
        <v>1</v>
      </c>
      <c r="AE3" s="388">
        <v>1</v>
      </c>
      <c r="AF3" s="388">
        <v>1</v>
      </c>
      <c r="AG3" s="388">
        <v>1</v>
      </c>
      <c r="AH3" s="388">
        <f t="array" ref="AH3:AO3">TRANSPOSE('Ref12'!$C$29:$C$36)</f>
        <v>1.25</v>
      </c>
      <c r="AI3" s="388">
        <v>0.7</v>
      </c>
      <c r="AJ3" s="388">
        <v>0.8</v>
      </c>
      <c r="AK3" s="388">
        <v>0.75</v>
      </c>
      <c r="AL3" s="388">
        <v>0.9</v>
      </c>
      <c r="AM3" s="388">
        <v>0.9</v>
      </c>
      <c r="AN3" s="388">
        <v>2</v>
      </c>
      <c r="AO3" s="388">
        <v>1.1000000000000001</v>
      </c>
      <c r="AP3" s="386"/>
      <c r="AQ3" s="386"/>
      <c r="AR3" s="386"/>
      <c r="AS3" s="386"/>
      <c r="AT3" s="386"/>
      <c r="AU3" s="386"/>
      <c r="AV3" s="386"/>
      <c r="AW3" s="386"/>
      <c r="AX3" s="386"/>
      <c r="AY3" s="386"/>
      <c r="AZ3" s="386"/>
      <c r="BA3" s="386"/>
      <c r="BB3" s="386"/>
      <c r="BC3" s="386"/>
      <c r="BD3" s="386"/>
      <c r="BE3" s="386"/>
      <c r="BF3" s="386"/>
      <c r="BH3" s="386"/>
      <c r="BI3" s="386"/>
      <c r="BJ3" s="386"/>
      <c r="BK3" s="386"/>
      <c r="BL3" s="386"/>
      <c r="BM3" s="386"/>
      <c r="BN3" s="386"/>
      <c r="BO3" s="386"/>
      <c r="BP3" s="386"/>
      <c r="BQ3" s="386"/>
      <c r="BR3" s="386"/>
      <c r="BS3" s="386"/>
      <c r="BT3" s="386"/>
      <c r="BU3" s="386"/>
    </row>
    <row r="4" spans="1:73" ht="75" x14ac:dyDescent="0.2">
      <c r="A4" s="388" t="s">
        <v>940</v>
      </c>
      <c r="B4" s="389" t="s">
        <v>773</v>
      </c>
      <c r="C4" s="389" t="s">
        <v>1793</v>
      </c>
      <c r="D4" s="389" t="s">
        <v>774</v>
      </c>
      <c r="E4" s="389" t="s">
        <v>585</v>
      </c>
      <c r="F4" s="421" t="s">
        <v>1087</v>
      </c>
      <c r="G4" s="389" t="s">
        <v>775</v>
      </c>
      <c r="H4" s="389" t="s">
        <v>776</v>
      </c>
      <c r="I4" s="389" t="s">
        <v>777</v>
      </c>
      <c r="J4" s="389" t="s">
        <v>778</v>
      </c>
      <c r="K4" s="389" t="s">
        <v>654</v>
      </c>
      <c r="L4" s="389" t="s">
        <v>779</v>
      </c>
      <c r="M4" s="389" t="s">
        <v>1085</v>
      </c>
      <c r="N4" s="389" t="s">
        <v>780</v>
      </c>
      <c r="O4" s="389" t="s">
        <v>781</v>
      </c>
      <c r="P4" s="389" t="s">
        <v>1086</v>
      </c>
      <c r="Q4" s="389" t="str">
        <f t="array" ref="Q4:V4">TRANSPOSE('Main Page'!AX32:AX37)</f>
        <v>(Priority Adjustment Factor 1)</v>
      </c>
      <c r="R4" s="389" t="str">
        <v>(Priority Adjustment Factor 2)</v>
      </c>
      <c r="S4" s="389" t="str">
        <v>(Priority Adjustment Factor 3)</v>
      </c>
      <c r="T4" s="389" t="str">
        <v>(Priority Adjustment Factor 4)</v>
      </c>
      <c r="U4" s="389" t="str">
        <v>(Priority Adjustment Factor 5)</v>
      </c>
      <c r="V4" s="389" t="str">
        <v>(Priority Adjustment Factor 6)</v>
      </c>
      <c r="W4" s="389" t="str">
        <f t="array" ref="W4:AA4">TRANSPOSE('Ref12'!$B$37:$B$41)</f>
        <v>Heritage</v>
      </c>
      <c r="X4" s="389" t="str">
        <v>Conservation Area</v>
      </c>
      <c r="Y4" s="389" t="str">
        <v>Environmentally Sensitive</v>
      </c>
      <c r="Z4" s="389" t="str">
        <v>River, Coastal etc. Walls</v>
      </c>
      <c r="AA4" s="389" t="str">
        <v>Substandard Structure</v>
      </c>
      <c r="AB4" s="389" t="str">
        <f t="array" ref="AB4:AG4">TRANSPOSE('Ref12'!$B$43:$B$48)</f>
        <v>[Spare Adjustment Factor 1]</v>
      </c>
      <c r="AC4" s="389" t="str">
        <v>[Spare Adjustment Factor 2]</v>
      </c>
      <c r="AD4" s="389" t="str">
        <v>[Spare Adjustment Factor 3]</v>
      </c>
      <c r="AE4" s="389" t="str">
        <v>[Spare Adjustment Factor 4]</v>
      </c>
      <c r="AF4" s="389" t="str">
        <v>[Spare Adjustment Factor 5]</v>
      </c>
      <c r="AG4" s="389" t="str">
        <v>[Spare Adjustment Factor 6]</v>
      </c>
      <c r="AH4" s="388" t="str">
        <f t="array" ref="AH4:AO4">TRANSPOSE('Ref12'!$B$29:$B$36)</f>
        <v>Tunnel (&gt; 400m)</v>
      </c>
      <c r="AI4" s="388" t="str">
        <v>Location - Rural</v>
      </c>
      <c r="AJ4" s="388" t="str">
        <v>Route Supported - Unclassified</v>
      </c>
      <c r="AK4" s="388" t="str">
        <v>Obstacle (Footway/Cycleway)</v>
      </c>
      <c r="AL4" s="388" t="str">
        <v>Obstacle (Watercourse - Non-Navigable)</v>
      </c>
      <c r="AM4" s="388" t="str">
        <v>Obstacle (Land/Disused)</v>
      </c>
      <c r="AN4" s="388" t="str">
        <v>Obstacle (Railway)</v>
      </c>
      <c r="AO4" s="388" t="str">
        <v>Obstacle (Tenanted/Business)</v>
      </c>
      <c r="AP4" s="388" t="s">
        <v>1198</v>
      </c>
      <c r="AQ4" s="388" t="s">
        <v>911</v>
      </c>
      <c r="AR4" s="388" t="s">
        <v>912</v>
      </c>
      <c r="AS4" s="388" t="s">
        <v>913</v>
      </c>
      <c r="AT4" s="388" t="s">
        <v>914</v>
      </c>
      <c r="AU4" s="388" t="s">
        <v>1154</v>
      </c>
      <c r="AV4" s="388" t="s">
        <v>53</v>
      </c>
      <c r="AW4" s="388" t="s">
        <v>52</v>
      </c>
      <c r="AX4" s="388" t="s">
        <v>51</v>
      </c>
      <c r="AY4" s="388" t="s">
        <v>718</v>
      </c>
      <c r="AZ4" s="388" t="s">
        <v>1771</v>
      </c>
      <c r="BA4" s="388" t="s">
        <v>50</v>
      </c>
      <c r="BB4" s="388" t="s">
        <v>879</v>
      </c>
      <c r="BC4" s="388" t="s">
        <v>49</v>
      </c>
      <c r="BD4" s="388" t="s">
        <v>48</v>
      </c>
      <c r="BE4" s="388" t="s">
        <v>47</v>
      </c>
      <c r="BF4" s="388" t="s">
        <v>46</v>
      </c>
      <c r="BG4" s="390"/>
      <c r="BH4" s="391" t="s">
        <v>5966</v>
      </c>
      <c r="BI4" s="391" t="s">
        <v>842</v>
      </c>
      <c r="BJ4" s="391" t="s">
        <v>843</v>
      </c>
      <c r="BK4" s="391" t="s">
        <v>844</v>
      </c>
      <c r="BL4" s="391" t="s">
        <v>845</v>
      </c>
      <c r="BM4" s="391" t="s">
        <v>846</v>
      </c>
      <c r="BN4" s="391" t="s">
        <v>847</v>
      </c>
      <c r="BO4" s="391" t="s">
        <v>1865</v>
      </c>
      <c r="BP4" s="391" t="s">
        <v>848</v>
      </c>
      <c r="BQ4" s="391" t="s">
        <v>849</v>
      </c>
      <c r="BR4" s="391" t="s">
        <v>850</v>
      </c>
      <c r="BS4" s="391" t="s">
        <v>851</v>
      </c>
      <c r="BT4" s="391" t="s">
        <v>852</v>
      </c>
      <c r="BU4" s="391" t="s">
        <v>841</v>
      </c>
    </row>
  </sheetData>
  <sheetProtection autoFilter="0"/>
  <protectedRanges>
    <protectedRange sqref="F4:I4" name="Range1_1_1"/>
    <protectedRange sqref="B4:D4" name="Range1_2_1"/>
    <protectedRange sqref="Q2:AO3" name="Range1_3_5"/>
    <protectedRange sqref="Q4:AO4" name="Range1_4_5"/>
    <protectedRange sqref="E4" name="Range1_6"/>
    <protectedRange sqref="BH4:BN4" name="Range1_5_1"/>
  </protectedRanges>
  <autoFilter ref="A4:BU4" xr:uid="{D9A48898-60AD-4803-99D3-A3ECA7254817}"/>
  <dataConsolidate/>
  <mergeCells count="2">
    <mergeCell ref="Q2:V2"/>
    <mergeCell ref="W2:AO2"/>
  </mergeCells>
  <dataValidations count="12">
    <dataValidation type="list" allowBlank="1" showInputMessage="1" showErrorMessage="1" sqref="N3" xr:uid="{EF8C583D-931B-41B1-8F8E-3B6F2F043FA3}">
      <formula1>Ref11i_Traffic</formula1>
    </dataValidation>
    <dataValidation type="list" allowBlank="1" showInputMessage="1" showErrorMessage="1" sqref="O3" xr:uid="{02191899-6609-43F1-9100-8B79119EF66C}">
      <formula1>Ref11i_ObstacleCrossed</formula1>
    </dataValidation>
    <dataValidation type="whole" allowBlank="1" showInputMessage="1" showErrorMessage="1" sqref="AH1:AO1" xr:uid="{BDDC1727-1971-4510-88D4-7480432F2321}">
      <formula1>0</formula1>
      <formula2>1</formula2>
    </dataValidation>
    <dataValidation type="whole" operator="greaterThanOrEqual" allowBlank="1" showInputMessage="1" showErrorMessage="1" errorTitle="Incorrect" error="Please review the number entered" sqref="F1 F5:F104" xr:uid="{7EDA663B-55C7-47B0-B43E-02AD0A83836B}">
      <formula1>1</formula1>
    </dataValidation>
    <dataValidation type="decimal" operator="greaterThanOrEqual" allowBlank="1" showInputMessage="1" showErrorMessage="1" errorTitle="Incorrect" error="Please review the number entered" sqref="G1:J1 G5:J104" xr:uid="{F8975D27-785B-43FB-8BF2-16794A3EDF32}">
      <formula1>0</formula1>
    </dataValidation>
    <dataValidation type="whole" allowBlank="1" showInputMessage="1" showErrorMessage="1" errorTitle="Incorrect" error="Please review the number entered" sqref="M1 P1 M5:M104 P5:P104" xr:uid="{41563B41-D27B-4011-9366-7DF58347F161}">
      <formula1>0</formula1>
      <formula2>1</formula2>
    </dataValidation>
    <dataValidation type="list" showErrorMessage="1" errorTitle="Incorrect" error="Invalid selection has been entered" sqref="Q1:AG1 Q5:AG104" xr:uid="{37EC87AC-F4F9-4952-84A4-E122065A9DFC}">
      <formula1>"0,1"</formula1>
    </dataValidation>
    <dataValidation type="list" allowBlank="1" showErrorMessage="1" errorTitle="Incorrect" error="Invalid selection has been entered" sqref="E1 E5:E104" xr:uid="{67274F2B-EC69-476C-81B4-DF16AD29A9BE}">
      <formula1>Ref11i_StructureType</formula1>
    </dataValidation>
    <dataValidation type="list" allowBlank="1" showErrorMessage="1" errorTitle="Incorrect" error="Invalid selection has been entered" sqref="K1 K5:K104" xr:uid="{D579FDC3-5AE8-47AF-8B91-CD0F3D5BD828}">
      <formula1>Ref00_StructureLocation</formula1>
    </dataValidation>
    <dataValidation type="list" allowBlank="1" showErrorMessage="1" errorTitle="Incorrect" error="Invalid selection has been entered" sqref="L1 L5:L104" xr:uid="{8716AB95-06AF-4F12-ACDC-5B9D5BB49F55}">
      <formula1>Ref11i_Route</formula1>
    </dataValidation>
    <dataValidation type="list" allowBlank="1" showErrorMessage="1" errorTitle="Incorrect" error="Invalid selection has been entered" sqref="N1 N5:N104" xr:uid="{7F45D449-F130-49FB-A90C-5DA274ECA19D}">
      <formula1>Ref11i_Traffic</formula1>
    </dataValidation>
    <dataValidation type="list" allowBlank="1" showErrorMessage="1" errorTitle="Incorrect" error="Invalid selection has been entered" sqref="O1 O5:O104" xr:uid="{5F5F594B-FAA1-4DFD-8656-F8D0FD130444}">
      <formula1>Ref11i_ObstacleCrossed</formula1>
    </dataValidation>
  </dataValidations>
  <pageMargins left="0.74803149606299213" right="0.74803149606299213" top="0.98425196850393704" bottom="0.98425196850393704" header="0.51181102362204722" footer="0.51181102362204722"/>
  <pageSetup paperSize="8" orientation="landscape" r:id="rId1"/>
  <headerFooter alignWithMargins="0">
    <oddHeader>&amp;LStructures Asset Management Planning Toolkit</oddHeader>
    <oddFooter>&amp;L&amp;A&amp;R&amp;P of &amp;N</oddFooter>
  </headerFooter>
  <colBreaks count="3" manualBreakCount="3">
    <brk id="5" max="1048575" man="1"/>
    <brk id="10" max="1048575" man="1"/>
    <brk id="33" max="1048575" man="1"/>
  </colBreak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_Elements">
    <tabColor theme="5" tint="0.39997558519241921"/>
  </sheetPr>
  <dimension ref="A1:AN104"/>
  <sheetViews>
    <sheetView showGridLines="0" zoomScale="70" zoomScaleNormal="70" workbookViewId="0">
      <pane ySplit="4" topLeftCell="A5" activePane="bottomLeft" state="frozen"/>
      <selection activeCell="D3" sqref="D3"/>
      <selection pane="bottomLeft" activeCell="B5" sqref="B5"/>
    </sheetView>
  </sheetViews>
  <sheetFormatPr defaultColWidth="2" defaultRowHeight="12.75" customHeight="1" x14ac:dyDescent="0.2"/>
  <cols>
    <col min="1" max="2" width="12.7109375" style="19" customWidth="1"/>
    <col min="3" max="4" width="40.7109375" style="19" customWidth="1"/>
    <col min="5" max="5" width="12.7109375" style="19" customWidth="1"/>
    <col min="6" max="6" width="53" style="19" customWidth="1"/>
    <col min="7" max="12" width="12.7109375" style="19" customWidth="1"/>
    <col min="13" max="30" width="18.7109375" style="19" customWidth="1"/>
    <col min="31" max="31" width="29.140625" style="19" customWidth="1"/>
    <col min="32" max="32" width="6.140625" style="19" customWidth="1"/>
    <col min="33" max="37" width="18.7109375" style="19" customWidth="1"/>
    <col min="38" max="38" width="25.140625" style="19" customWidth="1"/>
    <col min="39" max="39" width="25.140625" style="19" hidden="1" customWidth="1"/>
    <col min="40" max="40" width="25.140625" style="19" customWidth="1"/>
    <col min="41" max="16384" width="2" style="19"/>
  </cols>
  <sheetData>
    <row r="1" spans="1:40" hidden="1" x14ac:dyDescent="0.2">
      <c r="B1" s="25"/>
      <c r="C1" s="25"/>
      <c r="D1" s="25"/>
      <c r="E1" s="25"/>
      <c r="F1" s="25"/>
      <c r="M1" s="25" t="str">
        <f>Main_ScenarioToAnalyse</f>
        <v>Mid Intervention (condition 4B)</v>
      </c>
      <c r="N1" s="25" t="str">
        <f>IF(B1="","",INDEX(Str_StructureID,MATCH(B1,Str_StructureIdentifier,0),1))</f>
        <v/>
      </c>
      <c r="O1" s="25">
        <f>IFERROR(IF(A1="",1,MATCH(A1,Pln_ElementIDsWithPlannedWork,0)),0)</f>
        <v>1</v>
      </c>
      <c r="P1" s="393">
        <f ca="1">IF(O1=0,1,INDEX(Pln_YearOfWorkMatrix,Elements!O1,6))</f>
        <v>0</v>
      </c>
      <c r="Q1" s="25">
        <f>IF(C1="",1,MATCH(C1,'Ref14'!$A$3:$A$76,0))</f>
        <v>1</v>
      </c>
      <c r="R1" s="25">
        <f>IF(C1="",0,INDEX('Ref07&amp;08'!$I$3:$I$76,Q1,1))</f>
        <v>0</v>
      </c>
      <c r="S1" s="25" t="e">
        <f ca="1">INDEX('Ref07&amp;08'!$A$3:$K$76,$Q1,5)*INDEX(Str_Sizing,N1,1)</f>
        <v>#REF!</v>
      </c>
      <c r="T1" s="25" t="e">
        <f ca="1">INDEX('Ref07&amp;08'!$A$3:$K$76,$Q1,6)*INDEX(Str_Sizing,N1,2)</f>
        <v>#REF!</v>
      </c>
      <c r="U1" s="25" t="e">
        <f ca="1">INDEX('Ref07&amp;08'!$A$3:$K$76,$Q1,7)*INDEX(Str_Sizing,N1,3)</f>
        <v>#REF!</v>
      </c>
      <c r="V1" s="25" t="e">
        <f ca="1">INDEX('Ref07&amp;08'!$A$3:$K$76,$Q1,8)*INDEX(Str_Sizing,N1,4)</f>
        <v>#REF!</v>
      </c>
      <c r="W1" s="25">
        <f>INDEX('Ref07&amp;08'!$J$3:$J$76,Q1,1)</f>
        <v>0</v>
      </c>
      <c r="X1" s="25">
        <f>IF(W1=1,INDEX(Str_NumberSpans,N1,1)+INDEX('Ref07&amp;08'!$K$3:$K$76,Q1,1),0)</f>
        <v>0</v>
      </c>
      <c r="Y1" s="25" t="e">
        <f ca="1">IF(R1=0,1,R1)*IF(S1=0,1,S1)*IF(T1=0,1,T1)*IF(U1=0,1,U1)*IF(V1=0,1,V1)*IF(W1=0,1,W1)*IF(X1=0,1,X1)</f>
        <v>#REF!</v>
      </c>
      <c r="Z1" s="25">
        <f>IFERROR(IF(N1="",1,MATCH(INDEX(Str_StructureType,N1,1),Ref11ii!$C$2:$W$2,0)),1)</f>
        <v>1</v>
      </c>
      <c r="AA1" s="25">
        <f>IF(C1="",1,MATCH(C1,'Ref03&amp;04i'!$C$2:$BX$2,0))</f>
        <v>1</v>
      </c>
      <c r="AB1" s="25" t="str">
        <f>IF(OR(N1="",C1=""),"",IF(SUMIF(Ref11i_StructureType,INDEX(Str_StructureType,N1,1),Ref11i!$I$49:$I$69)=1,INDEX('Ref09'!$C$34:$C$107,Q1,1),""))</f>
        <v/>
      </c>
      <c r="AC1" s="25" t="str">
        <f>IF(AB1="","",SUMPRODUCT((IF(AB1="RouteAndObstacle",MAX(INDEX(Ref11i!$D$36:$I$45,MATCH(INDEX(Str_RouteType,N1,1),Ref11i_Route,0),0),INDEX(Ref11i!$D$16:$I$32,MATCH(INDEX(Str_ObstacleCrossed,N1,1),Ref11i_ObstacleCrossed,0),0)),IF(AB1="Route",INDEX(Ref11i!$D$36:$I$45,MATCH(INDEX(Str_RouteType,N1,1),Ref11i_Route,0),0),INDEX(Ref11i!$D$16:$I$32,MATCH(INDEX(Str_ObstacleCrossed,N1,1),Ref11i_ObstacleCrossed,0),0)))*INDEX('Ref09'!$D$34:$I$107,Q1,0)),'Ref09'!$D$109:$I$109))</f>
        <v/>
      </c>
      <c r="AD1" s="25" t="e">
        <f ca="1">($G$3*G1+$H$3*H1+$I$3*I1+$J$3*J1+$K$3*K1+$L$3*L1)+INDEX(Str_PriorityFactors,N1,52)</f>
        <v>#REF!</v>
      </c>
      <c r="AE1" s="25" t="str">
        <f>IF(M1="",Main_ScenarioToAnalyse,M1)</f>
        <v>Mid Intervention (condition 4B)</v>
      </c>
      <c r="AF1" s="25"/>
      <c r="AG1" s="25" t="str">
        <f>IF(B1="","",IF(COUNTIF(Str_StructureIdentifier,B1)=1,"","The structure or group of structures is not recognised,"))</f>
        <v/>
      </c>
      <c r="AH1" s="25" t="str">
        <f>IF(B1="","Structure not found,",IF(ISERROR(N1),"Structure not found,",""))</f>
        <v>Structure not found,</v>
      </c>
      <c r="AI1" s="25" t="str">
        <f>IF(C1="","",IF(COUNTIF(INDEX(Ref11ii_ElementLists_Matrix,0,Z1),C1)=1,"","The element is not recognised,"))</f>
        <v/>
      </c>
      <c r="AJ1" s="25" t="str">
        <f>IFERROR(IF(D1="","The component/material type is not populated,",IF(COUNTIF(INDEX(ComponentMaterialLists_Matrix,0,AA1),D1)=1,"","The component/material type is not recognised,")),"The element is not recognised,")</f>
        <v>The component/material type is not populated,</v>
      </c>
      <c r="AK1" s="25" t="e">
        <f ca="1">IF(OR(C1="",INDEX(Str_StructureType,MATCH(N1,Str_StructureID))=Ref11i!$B$55),"",IF(ISERROR(INDEX(Ref00_SprayZoneProximity,MATCH(F1,Ref00_SprayZoneProximity,0))),"Proximity,",""))</f>
        <v>#REF!</v>
      </c>
      <c r="AL1" s="25" t="e">
        <f ca="1">SUBSTITUTE(TRIM(IF(LEN(CONCATENATE(AG1,AH1,AI1,AJ1,AK1))=0,"Valid",CONCATENATE(AG1&amp;" "&amp;AH1&amp;" "&amp;AI1&amp;" "&amp;AJ1&amp;" "&amp;AK1))),"  "," ")</f>
        <v>#REF!</v>
      </c>
      <c r="AM1" s="25" t="str">
        <f>IF(C1="","",IF(ISERROR(INDEX(Ref00_Condition,MATCH(E1,Ref00_Condition,0))),"Condition",""))</f>
        <v/>
      </c>
      <c r="AN1" s="25" t="str">
        <f>IF(AM1="","Valid",AM1)</f>
        <v>Valid</v>
      </c>
    </row>
    <row r="2" spans="1:40" x14ac:dyDescent="0.2">
      <c r="A2" s="386"/>
      <c r="B2" s="386"/>
      <c r="C2" s="386"/>
      <c r="D2" s="386"/>
      <c r="E2" s="386"/>
      <c r="F2" s="386"/>
      <c r="G2" s="525" t="s">
        <v>902</v>
      </c>
      <c r="H2" s="525"/>
      <c r="I2" s="525"/>
      <c r="J2" s="525"/>
      <c r="K2" s="525"/>
      <c r="L2" s="525"/>
      <c r="M2" s="386"/>
      <c r="N2" s="386"/>
      <c r="O2" s="386"/>
      <c r="P2" s="386"/>
      <c r="Q2" s="386"/>
      <c r="R2" s="386"/>
      <c r="S2" s="386"/>
      <c r="T2" s="386"/>
      <c r="U2" s="386"/>
      <c r="V2" s="386"/>
      <c r="W2" s="386"/>
      <c r="X2" s="386"/>
      <c r="Y2" s="386"/>
      <c r="Z2" s="386"/>
      <c r="AA2" s="386"/>
      <c r="AB2" s="386"/>
      <c r="AC2" s="386"/>
      <c r="AD2" s="386"/>
      <c r="AE2" s="386"/>
      <c r="AF2" s="25"/>
      <c r="AG2" s="386"/>
      <c r="AH2" s="386"/>
      <c r="AI2" s="386"/>
      <c r="AJ2" s="386"/>
      <c r="AK2" s="386"/>
      <c r="AL2" s="386"/>
      <c r="AM2" s="386"/>
      <c r="AN2" s="386"/>
    </row>
    <row r="3" spans="1:40" x14ac:dyDescent="0.2">
      <c r="A3" s="386"/>
      <c r="B3" s="386"/>
      <c r="C3" s="386"/>
      <c r="D3" s="386"/>
      <c r="E3" s="386"/>
      <c r="F3" s="386"/>
      <c r="G3" s="388">
        <f t="array" ref="G3:L3">TRANSPOSE('Main Page'!BJ32:BJ37)</f>
        <v>1</v>
      </c>
      <c r="H3" s="388">
        <v>1</v>
      </c>
      <c r="I3" s="388">
        <v>1</v>
      </c>
      <c r="J3" s="388">
        <v>1</v>
      </c>
      <c r="K3" s="388">
        <v>1</v>
      </c>
      <c r="L3" s="388">
        <v>1</v>
      </c>
      <c r="M3" s="394"/>
      <c r="N3" s="386"/>
      <c r="O3" s="386"/>
      <c r="P3" s="386"/>
      <c r="Q3" s="386"/>
      <c r="R3" s="386"/>
      <c r="S3" s="386"/>
      <c r="T3" s="386"/>
      <c r="U3" s="386"/>
      <c r="V3" s="386"/>
      <c r="W3" s="386"/>
      <c r="X3" s="386"/>
      <c r="Y3" s="386"/>
      <c r="Z3" s="386"/>
      <c r="AA3" s="386"/>
      <c r="AB3" s="386"/>
      <c r="AC3" s="386"/>
      <c r="AD3" s="386"/>
      <c r="AE3" s="386"/>
      <c r="AF3" s="25"/>
      <c r="AG3" s="386"/>
      <c r="AH3" s="386"/>
      <c r="AI3" s="386"/>
      <c r="AJ3" s="386"/>
      <c r="AK3" s="386"/>
      <c r="AL3" s="386"/>
      <c r="AM3" s="386"/>
      <c r="AN3" s="386"/>
    </row>
    <row r="4" spans="1:40" s="54" customFormat="1" ht="75" x14ac:dyDescent="0.2">
      <c r="A4" s="388" t="s">
        <v>903</v>
      </c>
      <c r="B4" s="389" t="s">
        <v>773</v>
      </c>
      <c r="C4" s="389" t="s">
        <v>169</v>
      </c>
      <c r="D4" s="389" t="s">
        <v>168</v>
      </c>
      <c r="E4" s="389" t="s">
        <v>782</v>
      </c>
      <c r="F4" s="389" t="s">
        <v>213</v>
      </c>
      <c r="G4" s="389" t="str">
        <f t="array" ref="G4:L4">TRANSPOSE('Main Page'!AX32:AX37)</f>
        <v>(Priority Adjustment Factor 1)</v>
      </c>
      <c r="H4" s="389" t="str">
        <v>(Priority Adjustment Factor 2)</v>
      </c>
      <c r="I4" s="389" t="str">
        <v>(Priority Adjustment Factor 3)</v>
      </c>
      <c r="J4" s="389" t="str">
        <v>(Priority Adjustment Factor 4)</v>
      </c>
      <c r="K4" s="389" t="str">
        <v>(Priority Adjustment Factor 5)</v>
      </c>
      <c r="L4" s="389" t="str">
        <v>(Priority Adjustment Factor 6)</v>
      </c>
      <c r="M4" s="395" t="s">
        <v>1213</v>
      </c>
      <c r="N4" s="388" t="s">
        <v>939</v>
      </c>
      <c r="O4" s="388" t="s">
        <v>915</v>
      </c>
      <c r="P4" s="388" t="s">
        <v>163</v>
      </c>
      <c r="Q4" s="388" t="s">
        <v>162</v>
      </c>
      <c r="R4" s="388" t="s">
        <v>904</v>
      </c>
      <c r="S4" s="388" t="s">
        <v>905</v>
      </c>
      <c r="T4" s="388" t="s">
        <v>906</v>
      </c>
      <c r="U4" s="388" t="s">
        <v>907</v>
      </c>
      <c r="V4" s="388" t="s">
        <v>908</v>
      </c>
      <c r="W4" s="388" t="s">
        <v>909</v>
      </c>
      <c r="X4" s="388" t="s">
        <v>910</v>
      </c>
      <c r="Y4" s="388" t="s">
        <v>1830</v>
      </c>
      <c r="Z4" s="388" t="s">
        <v>1845</v>
      </c>
      <c r="AA4" s="388" t="s">
        <v>1846</v>
      </c>
      <c r="AB4" s="388" t="s">
        <v>161</v>
      </c>
      <c r="AC4" s="388" t="s">
        <v>160</v>
      </c>
      <c r="AD4" s="388" t="s">
        <v>1772</v>
      </c>
      <c r="AE4" s="388" t="s">
        <v>1838</v>
      </c>
      <c r="AF4" s="25"/>
      <c r="AG4" s="391" t="s">
        <v>166</v>
      </c>
      <c r="AH4" s="391" t="s">
        <v>878</v>
      </c>
      <c r="AI4" s="391" t="s">
        <v>165</v>
      </c>
      <c r="AJ4" s="391" t="s">
        <v>164</v>
      </c>
      <c r="AK4" s="391" t="s">
        <v>723</v>
      </c>
      <c r="AL4" s="391" t="s">
        <v>1866</v>
      </c>
      <c r="AM4" s="391" t="s">
        <v>722</v>
      </c>
      <c r="AN4" s="391" t="s">
        <v>1867</v>
      </c>
    </row>
    <row r="5" spans="1:40" ht="12.75" customHeight="1" x14ac:dyDescent="0.2">
      <c r="N5" s="25" t="str">
        <f t="shared" ref="N5:N36" si="0">IF(B5="","",INDEX(Str_StructureID,MATCH(B5,Str_StructureIdentifier,0),1))</f>
        <v/>
      </c>
      <c r="Z5" s="25">
        <f>IFERROR(IF(N5="",1,MATCH(INDEX(Str_StructureType,N5,1),Ref11ii!$C$2:$W$2,0)),1)</f>
        <v>1</v>
      </c>
      <c r="AA5" s="25">
        <f>IF(C5="",1,MATCH(C5,'Ref03&amp;04i'!$C$2:$BX$2,0))</f>
        <v>1</v>
      </c>
    </row>
    <row r="6" spans="1:40" ht="12.75" customHeight="1" x14ac:dyDescent="0.2">
      <c r="N6" s="25" t="str">
        <f t="shared" si="0"/>
        <v/>
      </c>
      <c r="Z6" s="25">
        <f>IFERROR(IF(N6="",1,MATCH(INDEX(Str_StructureType,N6,1),Ref11ii!$C$2:$W$2,0)),1)</f>
        <v>1</v>
      </c>
      <c r="AA6" s="25">
        <f>IF(C6="",1,MATCH(C6,'Ref03&amp;04i'!$C$2:$BX$2,0))</f>
        <v>1</v>
      </c>
    </row>
    <row r="7" spans="1:40" ht="12.75" customHeight="1" x14ac:dyDescent="0.2">
      <c r="N7" s="25" t="str">
        <f t="shared" si="0"/>
        <v/>
      </c>
      <c r="Z7" s="25">
        <f>IFERROR(IF(N7="",1,MATCH(INDEX(Str_StructureType,N7,1),Ref11ii!$C$2:$W$2,0)),1)</f>
        <v>1</v>
      </c>
      <c r="AA7" s="25">
        <f>IF(C7="",1,MATCH(C7,'Ref03&amp;04i'!$C$2:$BX$2,0))</f>
        <v>1</v>
      </c>
    </row>
    <row r="8" spans="1:40" ht="12.75" customHeight="1" x14ac:dyDescent="0.2">
      <c r="N8" s="25" t="str">
        <f t="shared" si="0"/>
        <v/>
      </c>
      <c r="Z8" s="25">
        <f>IFERROR(IF(N8="",1,MATCH(INDEX(Str_StructureType,N8,1),Ref11ii!$C$2:$W$2,0)),1)</f>
        <v>1</v>
      </c>
      <c r="AA8" s="25">
        <f>IF(C8="",1,MATCH(C8,'Ref03&amp;04i'!$C$2:$BX$2,0))</f>
        <v>1</v>
      </c>
    </row>
    <row r="9" spans="1:40" ht="12.75" customHeight="1" x14ac:dyDescent="0.2">
      <c r="N9" s="25" t="str">
        <f t="shared" si="0"/>
        <v/>
      </c>
      <c r="Z9" s="25">
        <f>IFERROR(IF(N9="",1,MATCH(INDEX(Str_StructureType,N9,1),Ref11ii!$C$2:$W$2,0)),1)</f>
        <v>1</v>
      </c>
      <c r="AA9" s="25">
        <f>IF(C9="",1,MATCH(C9,'Ref03&amp;04i'!$C$2:$BX$2,0))</f>
        <v>1</v>
      </c>
    </row>
    <row r="10" spans="1:40" ht="12.75" customHeight="1" x14ac:dyDescent="0.2">
      <c r="N10" s="25" t="str">
        <f t="shared" si="0"/>
        <v/>
      </c>
      <c r="Z10" s="25">
        <f>IFERROR(IF(N10="",1,MATCH(INDEX(Str_StructureType,N10,1),Ref11ii!$C$2:$W$2,0)),1)</f>
        <v>1</v>
      </c>
      <c r="AA10" s="25">
        <f>IF(C10="",1,MATCH(C10,'Ref03&amp;04i'!$C$2:$BX$2,0))</f>
        <v>1</v>
      </c>
    </row>
    <row r="11" spans="1:40" ht="12.75" customHeight="1" x14ac:dyDescent="0.2">
      <c r="N11" s="25" t="str">
        <f t="shared" si="0"/>
        <v/>
      </c>
      <c r="Z11" s="25">
        <f>IFERROR(IF(N11="",1,MATCH(INDEX(Str_StructureType,N11,1),Ref11ii!$C$2:$W$2,0)),1)</f>
        <v>1</v>
      </c>
      <c r="AA11" s="25">
        <f>IF(C11="",1,MATCH(C11,'Ref03&amp;04i'!$C$2:$BX$2,0))</f>
        <v>1</v>
      </c>
    </row>
    <row r="12" spans="1:40" ht="12.75" customHeight="1" x14ac:dyDescent="0.2">
      <c r="N12" s="25" t="str">
        <f t="shared" si="0"/>
        <v/>
      </c>
      <c r="Z12" s="25">
        <f>IFERROR(IF(N12="",1,MATCH(INDEX(Str_StructureType,N12,1),Ref11ii!$C$2:$W$2,0)),1)</f>
        <v>1</v>
      </c>
      <c r="AA12" s="25">
        <f>IF(C12="",1,MATCH(C12,'Ref03&amp;04i'!$C$2:$BX$2,0))</f>
        <v>1</v>
      </c>
    </row>
    <row r="13" spans="1:40" ht="12.75" customHeight="1" x14ac:dyDescent="0.2">
      <c r="N13" s="25" t="str">
        <f t="shared" si="0"/>
        <v/>
      </c>
      <c r="Z13" s="25">
        <f>IFERROR(IF(N13="",1,MATCH(INDEX(Str_StructureType,N13,1),Ref11ii!$C$2:$W$2,0)),1)</f>
        <v>1</v>
      </c>
      <c r="AA13" s="25">
        <f>IF(C13="",1,MATCH(C13,'Ref03&amp;04i'!$C$2:$BX$2,0))</f>
        <v>1</v>
      </c>
    </row>
    <row r="14" spans="1:40" ht="12.75" customHeight="1" x14ac:dyDescent="0.2">
      <c r="N14" s="25" t="str">
        <f t="shared" si="0"/>
        <v/>
      </c>
      <c r="Z14" s="25">
        <f>IFERROR(IF(N14="",1,MATCH(INDEX(Str_StructureType,N14,1),Ref11ii!$C$2:$W$2,0)),1)</f>
        <v>1</v>
      </c>
      <c r="AA14" s="25">
        <f>IF(C14="",1,MATCH(C14,'Ref03&amp;04i'!$C$2:$BX$2,0))</f>
        <v>1</v>
      </c>
    </row>
    <row r="15" spans="1:40" ht="12.75" customHeight="1" x14ac:dyDescent="0.2">
      <c r="N15" s="25" t="str">
        <f t="shared" si="0"/>
        <v/>
      </c>
      <c r="Z15" s="25">
        <f>IFERROR(IF(N15="",1,MATCH(INDEX(Str_StructureType,N15,1),Ref11ii!$C$2:$W$2,0)),1)</f>
        <v>1</v>
      </c>
      <c r="AA15" s="25">
        <f>IF(C15="",1,MATCH(C15,'Ref03&amp;04i'!$C$2:$BX$2,0))</f>
        <v>1</v>
      </c>
    </row>
    <row r="16" spans="1:40" ht="12.75" customHeight="1" x14ac:dyDescent="0.2">
      <c r="N16" s="25" t="str">
        <f t="shared" si="0"/>
        <v/>
      </c>
      <c r="Z16" s="25">
        <f>IFERROR(IF(N16="",1,MATCH(INDEX(Str_StructureType,N16,1),Ref11ii!$C$2:$W$2,0)),1)</f>
        <v>1</v>
      </c>
      <c r="AA16" s="25">
        <f>IF(C16="",1,MATCH(C16,'Ref03&amp;04i'!$C$2:$BX$2,0))</f>
        <v>1</v>
      </c>
    </row>
    <row r="17" spans="14:27" ht="12.75" customHeight="1" x14ac:dyDescent="0.2">
      <c r="N17" s="25" t="str">
        <f t="shared" si="0"/>
        <v/>
      </c>
      <c r="Z17" s="25">
        <f>IFERROR(IF(N17="",1,MATCH(INDEX(Str_StructureType,N17,1),Ref11ii!$C$2:$W$2,0)),1)</f>
        <v>1</v>
      </c>
      <c r="AA17" s="25">
        <f>IF(C17="",1,MATCH(C17,'Ref03&amp;04i'!$C$2:$BX$2,0))</f>
        <v>1</v>
      </c>
    </row>
    <row r="18" spans="14:27" ht="12.75" customHeight="1" x14ac:dyDescent="0.2">
      <c r="N18" s="25" t="str">
        <f t="shared" si="0"/>
        <v/>
      </c>
      <c r="Z18" s="25">
        <f>IFERROR(IF(N18="",1,MATCH(INDEX(Str_StructureType,N18,1),Ref11ii!$C$2:$W$2,0)),1)</f>
        <v>1</v>
      </c>
      <c r="AA18" s="25">
        <f>IF(C18="",1,MATCH(C18,'Ref03&amp;04i'!$C$2:$BX$2,0))</f>
        <v>1</v>
      </c>
    </row>
    <row r="19" spans="14:27" ht="12.75" customHeight="1" x14ac:dyDescent="0.2">
      <c r="N19" s="25" t="str">
        <f t="shared" si="0"/>
        <v/>
      </c>
      <c r="Z19" s="25">
        <f>IFERROR(IF(N19="",1,MATCH(INDEX(Str_StructureType,N19,1),Ref11ii!$C$2:$W$2,0)),1)</f>
        <v>1</v>
      </c>
      <c r="AA19" s="25">
        <f>IF(C19="",1,MATCH(C19,'Ref03&amp;04i'!$C$2:$BX$2,0))</f>
        <v>1</v>
      </c>
    </row>
    <row r="20" spans="14:27" ht="12.75" customHeight="1" x14ac:dyDescent="0.2">
      <c r="N20" s="25" t="str">
        <f t="shared" si="0"/>
        <v/>
      </c>
      <c r="Z20" s="25">
        <f>IFERROR(IF(N20="",1,MATCH(INDEX(Str_StructureType,N20,1),Ref11ii!$C$2:$W$2,0)),1)</f>
        <v>1</v>
      </c>
      <c r="AA20" s="25">
        <f>IF(C20="",1,MATCH(C20,'Ref03&amp;04i'!$C$2:$BX$2,0))</f>
        <v>1</v>
      </c>
    </row>
    <row r="21" spans="14:27" ht="12.75" customHeight="1" x14ac:dyDescent="0.2">
      <c r="N21" s="25" t="str">
        <f t="shared" si="0"/>
        <v/>
      </c>
      <c r="Z21" s="25">
        <f>IFERROR(IF(N21="",1,MATCH(INDEX(Str_StructureType,N21,1),Ref11ii!$C$2:$W$2,0)),1)</f>
        <v>1</v>
      </c>
      <c r="AA21" s="25">
        <f>IF(C21="",1,MATCH(C21,'Ref03&amp;04i'!$C$2:$BX$2,0))</f>
        <v>1</v>
      </c>
    </row>
    <row r="22" spans="14:27" ht="12.75" customHeight="1" x14ac:dyDescent="0.2">
      <c r="N22" s="25" t="str">
        <f t="shared" si="0"/>
        <v/>
      </c>
      <c r="Z22" s="25">
        <f>IFERROR(IF(N22="",1,MATCH(INDEX(Str_StructureType,N22,1),Ref11ii!$C$2:$W$2,0)),1)</f>
        <v>1</v>
      </c>
      <c r="AA22" s="25">
        <f>IF(C22="",1,MATCH(C22,'Ref03&amp;04i'!$C$2:$BX$2,0))</f>
        <v>1</v>
      </c>
    </row>
    <row r="23" spans="14:27" ht="12.75" customHeight="1" x14ac:dyDescent="0.2">
      <c r="N23" s="25" t="str">
        <f t="shared" si="0"/>
        <v/>
      </c>
      <c r="Z23" s="25">
        <f>IFERROR(IF(N23="",1,MATCH(INDEX(Str_StructureType,N23,1),Ref11ii!$C$2:$W$2,0)),1)</f>
        <v>1</v>
      </c>
      <c r="AA23" s="25">
        <f>IF(C23="",1,MATCH(C23,'Ref03&amp;04i'!$C$2:$BX$2,0))</f>
        <v>1</v>
      </c>
    </row>
    <row r="24" spans="14:27" ht="12.75" customHeight="1" x14ac:dyDescent="0.2">
      <c r="N24" s="25" t="str">
        <f t="shared" si="0"/>
        <v/>
      </c>
      <c r="Z24" s="25">
        <f>IFERROR(IF(N24="",1,MATCH(INDEX(Str_StructureType,N24,1),Ref11ii!$C$2:$W$2,0)),1)</f>
        <v>1</v>
      </c>
      <c r="AA24" s="25">
        <f>IF(C24="",1,MATCH(C24,'Ref03&amp;04i'!$C$2:$BX$2,0))</f>
        <v>1</v>
      </c>
    </row>
    <row r="25" spans="14:27" ht="12.75" customHeight="1" x14ac:dyDescent="0.2">
      <c r="N25" s="25" t="str">
        <f t="shared" si="0"/>
        <v/>
      </c>
      <c r="Z25" s="25">
        <f>IFERROR(IF(N25="",1,MATCH(INDEX(Str_StructureType,N25,1),Ref11ii!$C$2:$W$2,0)),1)</f>
        <v>1</v>
      </c>
      <c r="AA25" s="25">
        <f>IF(C25="",1,MATCH(C25,'Ref03&amp;04i'!$C$2:$BX$2,0))</f>
        <v>1</v>
      </c>
    </row>
    <row r="26" spans="14:27" ht="12.75" customHeight="1" x14ac:dyDescent="0.2">
      <c r="N26" s="25" t="str">
        <f t="shared" si="0"/>
        <v/>
      </c>
      <c r="Z26" s="25">
        <f>IFERROR(IF(N26="",1,MATCH(INDEX(Str_StructureType,N26,1),Ref11ii!$C$2:$W$2,0)),1)</f>
        <v>1</v>
      </c>
      <c r="AA26" s="25">
        <f>IF(C26="",1,MATCH(C26,'Ref03&amp;04i'!$C$2:$BX$2,0))</f>
        <v>1</v>
      </c>
    </row>
    <row r="27" spans="14:27" ht="12.75" customHeight="1" x14ac:dyDescent="0.2">
      <c r="N27" s="25" t="str">
        <f t="shared" si="0"/>
        <v/>
      </c>
      <c r="Z27" s="25">
        <f>IFERROR(IF(N27="",1,MATCH(INDEX(Str_StructureType,N27,1),Ref11ii!$C$2:$W$2,0)),1)</f>
        <v>1</v>
      </c>
      <c r="AA27" s="25">
        <f>IF(C27="",1,MATCH(C27,'Ref03&amp;04i'!$C$2:$BX$2,0))</f>
        <v>1</v>
      </c>
    </row>
    <row r="28" spans="14:27" ht="12.75" customHeight="1" x14ac:dyDescent="0.2">
      <c r="N28" s="25" t="str">
        <f t="shared" si="0"/>
        <v/>
      </c>
      <c r="Z28" s="25">
        <f>IFERROR(IF(N28="",1,MATCH(INDEX(Str_StructureType,N28,1),Ref11ii!$C$2:$W$2,0)),1)</f>
        <v>1</v>
      </c>
      <c r="AA28" s="25">
        <f>IF(C28="",1,MATCH(C28,'Ref03&amp;04i'!$C$2:$BX$2,0))</f>
        <v>1</v>
      </c>
    </row>
    <row r="29" spans="14:27" ht="12.75" customHeight="1" x14ac:dyDescent="0.2">
      <c r="N29" s="25" t="str">
        <f t="shared" si="0"/>
        <v/>
      </c>
      <c r="Z29" s="25">
        <f>IFERROR(IF(N29="",1,MATCH(INDEX(Str_StructureType,N29,1),Ref11ii!$C$2:$W$2,0)),1)</f>
        <v>1</v>
      </c>
      <c r="AA29" s="25">
        <f>IF(C29="",1,MATCH(C29,'Ref03&amp;04i'!$C$2:$BX$2,0))</f>
        <v>1</v>
      </c>
    </row>
    <row r="30" spans="14:27" ht="12.75" customHeight="1" x14ac:dyDescent="0.2">
      <c r="N30" s="25" t="str">
        <f t="shared" si="0"/>
        <v/>
      </c>
      <c r="Z30" s="25">
        <f>IFERROR(IF(N30="",1,MATCH(INDEX(Str_StructureType,N30,1),Ref11ii!$C$2:$W$2,0)),1)</f>
        <v>1</v>
      </c>
      <c r="AA30" s="25">
        <f>IF(C30="",1,MATCH(C30,'Ref03&amp;04i'!$C$2:$BX$2,0))</f>
        <v>1</v>
      </c>
    </row>
    <row r="31" spans="14:27" ht="12.75" customHeight="1" x14ac:dyDescent="0.2">
      <c r="N31" s="25" t="str">
        <f t="shared" si="0"/>
        <v/>
      </c>
      <c r="Z31" s="25">
        <f>IFERROR(IF(N31="",1,MATCH(INDEX(Str_StructureType,N31,1),Ref11ii!$C$2:$W$2,0)),1)</f>
        <v>1</v>
      </c>
      <c r="AA31" s="25">
        <f>IF(C31="",1,MATCH(C31,'Ref03&amp;04i'!$C$2:$BX$2,0))</f>
        <v>1</v>
      </c>
    </row>
    <row r="32" spans="14:27" ht="12.75" customHeight="1" x14ac:dyDescent="0.2">
      <c r="N32" s="25" t="str">
        <f t="shared" si="0"/>
        <v/>
      </c>
      <c r="Z32" s="25">
        <f>IFERROR(IF(N32="",1,MATCH(INDEX(Str_StructureType,N32,1),Ref11ii!$C$2:$W$2,0)),1)</f>
        <v>1</v>
      </c>
      <c r="AA32" s="25">
        <f>IF(C32="",1,MATCH(C32,'Ref03&amp;04i'!$C$2:$BX$2,0))</f>
        <v>1</v>
      </c>
    </row>
    <row r="33" spans="14:27" ht="12.75" customHeight="1" x14ac:dyDescent="0.2">
      <c r="N33" s="25" t="str">
        <f t="shared" si="0"/>
        <v/>
      </c>
      <c r="Z33" s="25">
        <f>IFERROR(IF(N33="",1,MATCH(INDEX(Str_StructureType,N33,1),Ref11ii!$C$2:$W$2,0)),1)</f>
        <v>1</v>
      </c>
      <c r="AA33" s="25">
        <f>IF(C33="",1,MATCH(C33,'Ref03&amp;04i'!$C$2:$BX$2,0))</f>
        <v>1</v>
      </c>
    </row>
    <row r="34" spans="14:27" ht="12.75" customHeight="1" x14ac:dyDescent="0.2">
      <c r="N34" s="25" t="str">
        <f t="shared" si="0"/>
        <v/>
      </c>
      <c r="Z34" s="25">
        <f>IFERROR(IF(N34="",1,MATCH(INDEX(Str_StructureType,N34,1),Ref11ii!$C$2:$W$2,0)),1)</f>
        <v>1</v>
      </c>
      <c r="AA34" s="25">
        <f>IF(C34="",1,MATCH(C34,'Ref03&amp;04i'!$C$2:$BX$2,0))</f>
        <v>1</v>
      </c>
    </row>
    <row r="35" spans="14:27" ht="12.75" customHeight="1" x14ac:dyDescent="0.2">
      <c r="N35" s="25" t="str">
        <f t="shared" si="0"/>
        <v/>
      </c>
      <c r="Z35" s="25">
        <f>IFERROR(IF(N35="",1,MATCH(INDEX(Str_StructureType,N35,1),Ref11ii!$C$2:$W$2,0)),1)</f>
        <v>1</v>
      </c>
      <c r="AA35" s="25">
        <f>IF(C35="",1,MATCH(C35,'Ref03&amp;04i'!$C$2:$BX$2,0))</f>
        <v>1</v>
      </c>
    </row>
    <row r="36" spans="14:27" ht="12.75" customHeight="1" x14ac:dyDescent="0.2">
      <c r="N36" s="25" t="str">
        <f t="shared" si="0"/>
        <v/>
      </c>
      <c r="Z36" s="25">
        <f>IFERROR(IF(N36="",1,MATCH(INDEX(Str_StructureType,N36,1),Ref11ii!$C$2:$W$2,0)),1)</f>
        <v>1</v>
      </c>
      <c r="AA36" s="25">
        <f>IF(C36="",1,MATCH(C36,'Ref03&amp;04i'!$C$2:$BX$2,0))</f>
        <v>1</v>
      </c>
    </row>
    <row r="37" spans="14:27" ht="12.75" customHeight="1" x14ac:dyDescent="0.2">
      <c r="N37" s="25" t="str">
        <f t="shared" ref="N37:N68" si="1">IF(B37="","",INDEX(Str_StructureID,MATCH(B37,Str_StructureIdentifier,0),1))</f>
        <v/>
      </c>
      <c r="Z37" s="25">
        <f>IFERROR(IF(N37="",1,MATCH(INDEX(Str_StructureType,N37,1),Ref11ii!$C$2:$W$2,0)),1)</f>
        <v>1</v>
      </c>
      <c r="AA37" s="25">
        <f>IF(C37="",1,MATCH(C37,'Ref03&amp;04i'!$C$2:$BX$2,0))</f>
        <v>1</v>
      </c>
    </row>
    <row r="38" spans="14:27" ht="12.75" customHeight="1" x14ac:dyDescent="0.2">
      <c r="N38" s="25" t="str">
        <f t="shared" si="1"/>
        <v/>
      </c>
      <c r="Z38" s="25">
        <f>IFERROR(IF(N38="",1,MATCH(INDEX(Str_StructureType,N38,1),Ref11ii!$C$2:$W$2,0)),1)</f>
        <v>1</v>
      </c>
      <c r="AA38" s="25">
        <f>IF(C38="",1,MATCH(C38,'Ref03&amp;04i'!$C$2:$BX$2,0))</f>
        <v>1</v>
      </c>
    </row>
    <row r="39" spans="14:27" ht="12.75" customHeight="1" x14ac:dyDescent="0.2">
      <c r="N39" s="25" t="str">
        <f t="shared" si="1"/>
        <v/>
      </c>
      <c r="Z39" s="25">
        <f>IFERROR(IF(N39="",1,MATCH(INDEX(Str_StructureType,N39,1),Ref11ii!$C$2:$W$2,0)),1)</f>
        <v>1</v>
      </c>
      <c r="AA39" s="25">
        <f>IF(C39="",1,MATCH(C39,'Ref03&amp;04i'!$C$2:$BX$2,0))</f>
        <v>1</v>
      </c>
    </row>
    <row r="40" spans="14:27" ht="12.75" customHeight="1" x14ac:dyDescent="0.2">
      <c r="N40" s="25" t="str">
        <f t="shared" si="1"/>
        <v/>
      </c>
      <c r="Z40" s="25">
        <f>IFERROR(IF(N40="",1,MATCH(INDEX(Str_StructureType,N40,1),Ref11ii!$C$2:$W$2,0)),1)</f>
        <v>1</v>
      </c>
      <c r="AA40" s="25">
        <f>IF(C40="",1,MATCH(C40,'Ref03&amp;04i'!$C$2:$BX$2,0))</f>
        <v>1</v>
      </c>
    </row>
    <row r="41" spans="14:27" ht="12.75" customHeight="1" x14ac:dyDescent="0.2">
      <c r="N41" s="25" t="str">
        <f t="shared" si="1"/>
        <v/>
      </c>
      <c r="Z41" s="25">
        <f>IFERROR(IF(N41="",1,MATCH(INDEX(Str_StructureType,N41,1),Ref11ii!$C$2:$W$2,0)),1)</f>
        <v>1</v>
      </c>
      <c r="AA41" s="25">
        <f>IF(C41="",1,MATCH(C41,'Ref03&amp;04i'!$C$2:$BX$2,0))</f>
        <v>1</v>
      </c>
    </row>
    <row r="42" spans="14:27" ht="12.75" customHeight="1" x14ac:dyDescent="0.2">
      <c r="N42" s="25" t="str">
        <f t="shared" si="1"/>
        <v/>
      </c>
      <c r="Z42" s="25">
        <f>IFERROR(IF(N42="",1,MATCH(INDEX(Str_StructureType,N42,1),Ref11ii!$C$2:$W$2,0)),1)</f>
        <v>1</v>
      </c>
      <c r="AA42" s="25">
        <f>IF(C42="",1,MATCH(C42,'Ref03&amp;04i'!$C$2:$BX$2,0))</f>
        <v>1</v>
      </c>
    </row>
    <row r="43" spans="14:27" ht="12.75" customHeight="1" x14ac:dyDescent="0.2">
      <c r="N43" s="25" t="str">
        <f t="shared" si="1"/>
        <v/>
      </c>
      <c r="Z43" s="25">
        <f>IFERROR(IF(N43="",1,MATCH(INDEX(Str_StructureType,N43,1),Ref11ii!$C$2:$W$2,0)),1)</f>
        <v>1</v>
      </c>
      <c r="AA43" s="25">
        <f>IF(C43="",1,MATCH(C43,'Ref03&amp;04i'!$C$2:$BX$2,0))</f>
        <v>1</v>
      </c>
    </row>
    <row r="44" spans="14:27" ht="12.75" customHeight="1" x14ac:dyDescent="0.2">
      <c r="N44" s="25" t="str">
        <f t="shared" si="1"/>
        <v/>
      </c>
      <c r="Z44" s="25">
        <f>IFERROR(IF(N44="",1,MATCH(INDEX(Str_StructureType,N44,1),Ref11ii!$C$2:$W$2,0)),1)</f>
        <v>1</v>
      </c>
      <c r="AA44" s="25">
        <f>IF(C44="",1,MATCH(C44,'Ref03&amp;04i'!$C$2:$BX$2,0))</f>
        <v>1</v>
      </c>
    </row>
    <row r="45" spans="14:27" ht="12.75" customHeight="1" x14ac:dyDescent="0.2">
      <c r="N45" s="25" t="str">
        <f t="shared" si="1"/>
        <v/>
      </c>
      <c r="Z45" s="25">
        <f>IFERROR(IF(N45="",1,MATCH(INDEX(Str_StructureType,N45,1),Ref11ii!$C$2:$W$2,0)),1)</f>
        <v>1</v>
      </c>
      <c r="AA45" s="25">
        <f>IF(C45="",1,MATCH(C45,'Ref03&amp;04i'!$C$2:$BX$2,0))</f>
        <v>1</v>
      </c>
    </row>
    <row r="46" spans="14:27" ht="12.75" customHeight="1" x14ac:dyDescent="0.2">
      <c r="N46" s="25" t="str">
        <f t="shared" si="1"/>
        <v/>
      </c>
      <c r="Z46" s="25">
        <f>IFERROR(IF(N46="",1,MATCH(INDEX(Str_StructureType,N46,1),Ref11ii!$C$2:$W$2,0)),1)</f>
        <v>1</v>
      </c>
      <c r="AA46" s="25">
        <f>IF(C46="",1,MATCH(C46,'Ref03&amp;04i'!$C$2:$BX$2,0))</f>
        <v>1</v>
      </c>
    </row>
    <row r="47" spans="14:27" ht="12.75" customHeight="1" x14ac:dyDescent="0.2">
      <c r="N47" s="25" t="str">
        <f t="shared" si="1"/>
        <v/>
      </c>
      <c r="Z47" s="25">
        <f>IFERROR(IF(N47="",1,MATCH(INDEX(Str_StructureType,N47,1),Ref11ii!$C$2:$W$2,0)),1)</f>
        <v>1</v>
      </c>
      <c r="AA47" s="25">
        <f>IF(C47="",1,MATCH(C47,'Ref03&amp;04i'!$C$2:$BX$2,0))</f>
        <v>1</v>
      </c>
    </row>
    <row r="48" spans="14:27" ht="12.75" customHeight="1" x14ac:dyDescent="0.2">
      <c r="N48" s="25" t="str">
        <f t="shared" si="1"/>
        <v/>
      </c>
      <c r="Z48" s="25">
        <f>IFERROR(IF(N48="",1,MATCH(INDEX(Str_StructureType,N48,1),Ref11ii!$C$2:$W$2,0)),1)</f>
        <v>1</v>
      </c>
      <c r="AA48" s="25">
        <f>IF(C48="",1,MATCH(C48,'Ref03&amp;04i'!$C$2:$BX$2,0))</f>
        <v>1</v>
      </c>
    </row>
    <row r="49" spans="14:27" ht="12.75" customHeight="1" x14ac:dyDescent="0.2">
      <c r="N49" s="25" t="str">
        <f t="shared" si="1"/>
        <v/>
      </c>
      <c r="Z49" s="25">
        <f>IFERROR(IF(N49="",1,MATCH(INDEX(Str_StructureType,N49,1),Ref11ii!$C$2:$W$2,0)),1)</f>
        <v>1</v>
      </c>
      <c r="AA49" s="25">
        <f>IF(C49="",1,MATCH(C49,'Ref03&amp;04i'!$C$2:$BX$2,0))</f>
        <v>1</v>
      </c>
    </row>
    <row r="50" spans="14:27" ht="12.75" customHeight="1" x14ac:dyDescent="0.2">
      <c r="N50" s="25" t="str">
        <f t="shared" si="1"/>
        <v/>
      </c>
      <c r="Z50" s="25">
        <f>IFERROR(IF(N50="",1,MATCH(INDEX(Str_StructureType,N50,1),Ref11ii!$C$2:$W$2,0)),1)</f>
        <v>1</v>
      </c>
      <c r="AA50" s="25">
        <f>IF(C50="",1,MATCH(C50,'Ref03&amp;04i'!$C$2:$BX$2,0))</f>
        <v>1</v>
      </c>
    </row>
    <row r="51" spans="14:27" ht="12.75" customHeight="1" x14ac:dyDescent="0.2">
      <c r="N51" s="25" t="str">
        <f t="shared" si="1"/>
        <v/>
      </c>
      <c r="Z51" s="25">
        <f>IFERROR(IF(N51="",1,MATCH(INDEX(Str_StructureType,N51,1),Ref11ii!$C$2:$W$2,0)),1)</f>
        <v>1</v>
      </c>
      <c r="AA51" s="25">
        <f>IF(C51="",1,MATCH(C51,'Ref03&amp;04i'!$C$2:$BX$2,0))</f>
        <v>1</v>
      </c>
    </row>
    <row r="52" spans="14:27" ht="12.75" customHeight="1" x14ac:dyDescent="0.2">
      <c r="N52" s="25" t="str">
        <f t="shared" si="1"/>
        <v/>
      </c>
      <c r="Z52" s="25">
        <f>IFERROR(IF(N52="",1,MATCH(INDEX(Str_StructureType,N52,1),Ref11ii!$C$2:$W$2,0)),1)</f>
        <v>1</v>
      </c>
      <c r="AA52" s="25">
        <f>IF(C52="",1,MATCH(C52,'Ref03&amp;04i'!$C$2:$BX$2,0))</f>
        <v>1</v>
      </c>
    </row>
    <row r="53" spans="14:27" ht="12.75" customHeight="1" x14ac:dyDescent="0.2">
      <c r="N53" s="25" t="str">
        <f t="shared" si="1"/>
        <v/>
      </c>
      <c r="Z53" s="25">
        <f>IFERROR(IF(N53="",1,MATCH(INDEX(Str_StructureType,N53,1),Ref11ii!$C$2:$W$2,0)),1)</f>
        <v>1</v>
      </c>
      <c r="AA53" s="25">
        <f>IF(C53="",1,MATCH(C53,'Ref03&amp;04i'!$C$2:$BX$2,0))</f>
        <v>1</v>
      </c>
    </row>
    <row r="54" spans="14:27" ht="12.75" customHeight="1" x14ac:dyDescent="0.2">
      <c r="N54" s="25" t="str">
        <f t="shared" si="1"/>
        <v/>
      </c>
      <c r="Z54" s="25">
        <f>IFERROR(IF(N54="",1,MATCH(INDEX(Str_StructureType,N54,1),Ref11ii!$C$2:$W$2,0)),1)</f>
        <v>1</v>
      </c>
      <c r="AA54" s="25">
        <f>IF(C54="",1,MATCH(C54,'Ref03&amp;04i'!$C$2:$BX$2,0))</f>
        <v>1</v>
      </c>
    </row>
    <row r="55" spans="14:27" ht="12.75" customHeight="1" x14ac:dyDescent="0.2">
      <c r="N55" s="25" t="str">
        <f t="shared" si="1"/>
        <v/>
      </c>
      <c r="Z55" s="25">
        <f>IFERROR(IF(N55="",1,MATCH(INDEX(Str_StructureType,N55,1),Ref11ii!$C$2:$W$2,0)),1)</f>
        <v>1</v>
      </c>
      <c r="AA55" s="25">
        <f>IF(C55="",1,MATCH(C55,'Ref03&amp;04i'!$C$2:$BX$2,0))</f>
        <v>1</v>
      </c>
    </row>
    <row r="56" spans="14:27" ht="12.75" customHeight="1" x14ac:dyDescent="0.2">
      <c r="N56" s="25" t="str">
        <f t="shared" si="1"/>
        <v/>
      </c>
      <c r="Z56" s="25">
        <f>IFERROR(IF(N56="",1,MATCH(INDEX(Str_StructureType,N56,1),Ref11ii!$C$2:$W$2,0)),1)</f>
        <v>1</v>
      </c>
      <c r="AA56" s="25">
        <f>IF(C56="",1,MATCH(C56,'Ref03&amp;04i'!$C$2:$BX$2,0))</f>
        <v>1</v>
      </c>
    </row>
    <row r="57" spans="14:27" ht="12.75" customHeight="1" x14ac:dyDescent="0.2">
      <c r="N57" s="25" t="str">
        <f t="shared" si="1"/>
        <v/>
      </c>
      <c r="Z57" s="25">
        <f>IFERROR(IF(N57="",1,MATCH(INDEX(Str_StructureType,N57,1),Ref11ii!$C$2:$W$2,0)),1)</f>
        <v>1</v>
      </c>
      <c r="AA57" s="25">
        <f>IF(C57="",1,MATCH(C57,'Ref03&amp;04i'!$C$2:$BX$2,0))</f>
        <v>1</v>
      </c>
    </row>
    <row r="58" spans="14:27" ht="12.75" customHeight="1" x14ac:dyDescent="0.2">
      <c r="N58" s="25" t="str">
        <f t="shared" si="1"/>
        <v/>
      </c>
      <c r="Z58" s="25">
        <f>IFERROR(IF(N58="",1,MATCH(INDEX(Str_StructureType,N58,1),Ref11ii!$C$2:$W$2,0)),1)</f>
        <v>1</v>
      </c>
      <c r="AA58" s="25">
        <f>IF(C58="",1,MATCH(C58,'Ref03&amp;04i'!$C$2:$BX$2,0))</f>
        <v>1</v>
      </c>
    </row>
    <row r="59" spans="14:27" ht="12.75" customHeight="1" x14ac:dyDescent="0.2">
      <c r="N59" s="25" t="str">
        <f t="shared" si="1"/>
        <v/>
      </c>
      <c r="Z59" s="25">
        <f>IFERROR(IF(N59="",1,MATCH(INDEX(Str_StructureType,N59,1),Ref11ii!$C$2:$W$2,0)),1)</f>
        <v>1</v>
      </c>
      <c r="AA59" s="25">
        <f>IF(C59="",1,MATCH(C59,'Ref03&amp;04i'!$C$2:$BX$2,0))</f>
        <v>1</v>
      </c>
    </row>
    <row r="60" spans="14:27" ht="12.75" customHeight="1" x14ac:dyDescent="0.2">
      <c r="N60" s="25" t="str">
        <f t="shared" si="1"/>
        <v/>
      </c>
      <c r="Z60" s="25">
        <f>IFERROR(IF(N60="",1,MATCH(INDEX(Str_StructureType,N60,1),Ref11ii!$C$2:$W$2,0)),1)</f>
        <v>1</v>
      </c>
      <c r="AA60" s="25">
        <f>IF(C60="",1,MATCH(C60,'Ref03&amp;04i'!$C$2:$BX$2,0))</f>
        <v>1</v>
      </c>
    </row>
    <row r="61" spans="14:27" ht="12.75" customHeight="1" x14ac:dyDescent="0.2">
      <c r="N61" s="25" t="str">
        <f t="shared" si="1"/>
        <v/>
      </c>
      <c r="Z61" s="25">
        <f>IFERROR(IF(N61="",1,MATCH(INDEX(Str_StructureType,N61,1),Ref11ii!$C$2:$W$2,0)),1)</f>
        <v>1</v>
      </c>
      <c r="AA61" s="25">
        <f>IF(C61="",1,MATCH(C61,'Ref03&amp;04i'!$C$2:$BX$2,0))</f>
        <v>1</v>
      </c>
    </row>
    <row r="62" spans="14:27" ht="12.75" customHeight="1" x14ac:dyDescent="0.2">
      <c r="N62" s="25" t="str">
        <f t="shared" si="1"/>
        <v/>
      </c>
      <c r="Z62" s="25">
        <f>IFERROR(IF(N62="",1,MATCH(INDEX(Str_StructureType,N62,1),Ref11ii!$C$2:$W$2,0)),1)</f>
        <v>1</v>
      </c>
      <c r="AA62" s="25">
        <f>IF(C62="",1,MATCH(C62,'Ref03&amp;04i'!$C$2:$BX$2,0))</f>
        <v>1</v>
      </c>
    </row>
    <row r="63" spans="14:27" ht="12.75" customHeight="1" x14ac:dyDescent="0.2">
      <c r="N63" s="25" t="str">
        <f t="shared" si="1"/>
        <v/>
      </c>
      <c r="Z63" s="25">
        <f>IFERROR(IF(N63="",1,MATCH(INDEX(Str_StructureType,N63,1),Ref11ii!$C$2:$W$2,0)),1)</f>
        <v>1</v>
      </c>
      <c r="AA63" s="25">
        <f>IF(C63="",1,MATCH(C63,'Ref03&amp;04i'!$C$2:$BX$2,0))</f>
        <v>1</v>
      </c>
    </row>
    <row r="64" spans="14:27" ht="12.75" customHeight="1" x14ac:dyDescent="0.2">
      <c r="N64" s="25" t="str">
        <f t="shared" si="1"/>
        <v/>
      </c>
      <c r="Z64" s="25">
        <f>IFERROR(IF(N64="",1,MATCH(INDEX(Str_StructureType,N64,1),Ref11ii!$C$2:$W$2,0)),1)</f>
        <v>1</v>
      </c>
      <c r="AA64" s="25">
        <f>IF(C64="",1,MATCH(C64,'Ref03&amp;04i'!$C$2:$BX$2,0))</f>
        <v>1</v>
      </c>
    </row>
    <row r="65" spans="14:27" ht="12.75" customHeight="1" x14ac:dyDescent="0.2">
      <c r="N65" s="25" t="str">
        <f t="shared" si="1"/>
        <v/>
      </c>
      <c r="Z65" s="25">
        <f>IFERROR(IF(N65="",1,MATCH(INDEX(Str_StructureType,N65,1),Ref11ii!$C$2:$W$2,0)),1)</f>
        <v>1</v>
      </c>
      <c r="AA65" s="25">
        <f>IF(C65="",1,MATCH(C65,'Ref03&amp;04i'!$C$2:$BX$2,0))</f>
        <v>1</v>
      </c>
    </row>
    <row r="66" spans="14:27" ht="12.75" customHeight="1" x14ac:dyDescent="0.2">
      <c r="N66" s="25" t="str">
        <f t="shared" si="1"/>
        <v/>
      </c>
      <c r="Z66" s="25">
        <f>IFERROR(IF(N66="",1,MATCH(INDEX(Str_StructureType,N66,1),Ref11ii!$C$2:$W$2,0)),1)</f>
        <v>1</v>
      </c>
      <c r="AA66" s="25">
        <f>IF(C66="",1,MATCH(C66,'Ref03&amp;04i'!$C$2:$BX$2,0))</f>
        <v>1</v>
      </c>
    </row>
    <row r="67" spans="14:27" ht="12.75" customHeight="1" x14ac:dyDescent="0.2">
      <c r="N67" s="25" t="str">
        <f t="shared" si="1"/>
        <v/>
      </c>
      <c r="Z67" s="25">
        <f>IFERROR(IF(N67="",1,MATCH(INDEX(Str_StructureType,N67,1),Ref11ii!$C$2:$W$2,0)),1)</f>
        <v>1</v>
      </c>
      <c r="AA67" s="25">
        <f>IF(C67="",1,MATCH(C67,'Ref03&amp;04i'!$C$2:$BX$2,0))</f>
        <v>1</v>
      </c>
    </row>
    <row r="68" spans="14:27" ht="12.75" customHeight="1" x14ac:dyDescent="0.2">
      <c r="N68" s="25" t="str">
        <f t="shared" si="1"/>
        <v/>
      </c>
      <c r="Z68" s="25">
        <f>IFERROR(IF(N68="",1,MATCH(INDEX(Str_StructureType,N68,1),Ref11ii!$C$2:$W$2,0)),1)</f>
        <v>1</v>
      </c>
      <c r="AA68" s="25">
        <f>IF(C68="",1,MATCH(C68,'Ref03&amp;04i'!$C$2:$BX$2,0))</f>
        <v>1</v>
      </c>
    </row>
    <row r="69" spans="14:27" ht="12.75" customHeight="1" x14ac:dyDescent="0.2">
      <c r="N69" s="25" t="str">
        <f t="shared" ref="N69:N104" si="2">IF(B69="","",INDEX(Str_StructureID,MATCH(B69,Str_StructureIdentifier,0),1))</f>
        <v/>
      </c>
      <c r="Z69" s="25">
        <f>IFERROR(IF(N69="",1,MATCH(INDEX(Str_StructureType,N69,1),Ref11ii!$C$2:$W$2,0)),1)</f>
        <v>1</v>
      </c>
      <c r="AA69" s="25">
        <f>IF(C69="",1,MATCH(C69,'Ref03&amp;04i'!$C$2:$BX$2,0))</f>
        <v>1</v>
      </c>
    </row>
    <row r="70" spans="14:27" ht="12.75" customHeight="1" x14ac:dyDescent="0.2">
      <c r="N70" s="25" t="str">
        <f t="shared" si="2"/>
        <v/>
      </c>
      <c r="Z70" s="25">
        <f>IFERROR(IF(N70="",1,MATCH(INDEX(Str_StructureType,N70,1),Ref11ii!$C$2:$W$2,0)),1)</f>
        <v>1</v>
      </c>
      <c r="AA70" s="25">
        <f>IF(C70="",1,MATCH(C70,'Ref03&amp;04i'!$C$2:$BX$2,0))</f>
        <v>1</v>
      </c>
    </row>
    <row r="71" spans="14:27" ht="12.75" customHeight="1" x14ac:dyDescent="0.2">
      <c r="N71" s="25" t="str">
        <f t="shared" si="2"/>
        <v/>
      </c>
      <c r="Z71" s="25">
        <f>IFERROR(IF(N71="",1,MATCH(INDEX(Str_StructureType,N71,1),Ref11ii!$C$2:$W$2,0)),1)</f>
        <v>1</v>
      </c>
      <c r="AA71" s="25">
        <f>IF(C71="",1,MATCH(C71,'Ref03&amp;04i'!$C$2:$BX$2,0))</f>
        <v>1</v>
      </c>
    </row>
    <row r="72" spans="14:27" ht="12.75" customHeight="1" x14ac:dyDescent="0.2">
      <c r="N72" s="25" t="str">
        <f t="shared" si="2"/>
        <v/>
      </c>
      <c r="Z72" s="25">
        <f>IFERROR(IF(N72="",1,MATCH(INDEX(Str_StructureType,N72,1),Ref11ii!$C$2:$W$2,0)),1)</f>
        <v>1</v>
      </c>
      <c r="AA72" s="25">
        <f>IF(C72="",1,MATCH(C72,'Ref03&amp;04i'!$C$2:$BX$2,0))</f>
        <v>1</v>
      </c>
    </row>
    <row r="73" spans="14:27" ht="12.75" customHeight="1" x14ac:dyDescent="0.2">
      <c r="N73" s="25" t="str">
        <f t="shared" si="2"/>
        <v/>
      </c>
      <c r="Z73" s="25">
        <f>IFERROR(IF(N73="",1,MATCH(INDEX(Str_StructureType,N73,1),Ref11ii!$C$2:$W$2,0)),1)</f>
        <v>1</v>
      </c>
      <c r="AA73" s="25">
        <f>IF(C73="",1,MATCH(C73,'Ref03&amp;04i'!$C$2:$BX$2,0))</f>
        <v>1</v>
      </c>
    </row>
    <row r="74" spans="14:27" ht="12.75" customHeight="1" x14ac:dyDescent="0.2">
      <c r="N74" s="25" t="str">
        <f t="shared" si="2"/>
        <v/>
      </c>
      <c r="Z74" s="25">
        <f>IFERROR(IF(N74="",1,MATCH(INDEX(Str_StructureType,N74,1),Ref11ii!$C$2:$W$2,0)),1)</f>
        <v>1</v>
      </c>
      <c r="AA74" s="25">
        <f>IF(C74="",1,MATCH(C74,'Ref03&amp;04i'!$C$2:$BX$2,0))</f>
        <v>1</v>
      </c>
    </row>
    <row r="75" spans="14:27" ht="12.75" customHeight="1" x14ac:dyDescent="0.2">
      <c r="N75" s="25" t="str">
        <f t="shared" si="2"/>
        <v/>
      </c>
      <c r="Z75" s="25">
        <f>IFERROR(IF(N75="",1,MATCH(INDEX(Str_StructureType,N75,1),Ref11ii!$C$2:$W$2,0)),1)</f>
        <v>1</v>
      </c>
      <c r="AA75" s="25">
        <f>IF(C75="",1,MATCH(C75,'Ref03&amp;04i'!$C$2:$BX$2,0))</f>
        <v>1</v>
      </c>
    </row>
    <row r="76" spans="14:27" ht="12.75" customHeight="1" x14ac:dyDescent="0.2">
      <c r="N76" s="25" t="str">
        <f t="shared" si="2"/>
        <v/>
      </c>
      <c r="Z76" s="25">
        <f>IFERROR(IF(N76="",1,MATCH(INDEX(Str_StructureType,N76,1),Ref11ii!$C$2:$W$2,0)),1)</f>
        <v>1</v>
      </c>
      <c r="AA76" s="25">
        <f>IF(C76="",1,MATCH(C76,'Ref03&amp;04i'!$C$2:$BX$2,0))</f>
        <v>1</v>
      </c>
    </row>
    <row r="77" spans="14:27" ht="12.75" customHeight="1" x14ac:dyDescent="0.2">
      <c r="N77" s="25" t="str">
        <f t="shared" si="2"/>
        <v/>
      </c>
      <c r="Z77" s="25">
        <f>IFERROR(IF(N77="",1,MATCH(INDEX(Str_StructureType,N77,1),Ref11ii!$C$2:$W$2,0)),1)</f>
        <v>1</v>
      </c>
      <c r="AA77" s="25">
        <f>IF(C77="",1,MATCH(C77,'Ref03&amp;04i'!$C$2:$BX$2,0))</f>
        <v>1</v>
      </c>
    </row>
    <row r="78" spans="14:27" ht="12.75" customHeight="1" x14ac:dyDescent="0.2">
      <c r="N78" s="25" t="str">
        <f t="shared" si="2"/>
        <v/>
      </c>
      <c r="Z78" s="25">
        <f>IFERROR(IF(N78="",1,MATCH(INDEX(Str_StructureType,N78,1),Ref11ii!$C$2:$W$2,0)),1)</f>
        <v>1</v>
      </c>
      <c r="AA78" s="25">
        <f>IF(C78="",1,MATCH(C78,'Ref03&amp;04i'!$C$2:$BX$2,0))</f>
        <v>1</v>
      </c>
    </row>
    <row r="79" spans="14:27" ht="12.75" customHeight="1" x14ac:dyDescent="0.2">
      <c r="N79" s="25" t="str">
        <f t="shared" si="2"/>
        <v/>
      </c>
      <c r="Z79" s="25">
        <f>IFERROR(IF(N79="",1,MATCH(INDEX(Str_StructureType,N79,1),Ref11ii!$C$2:$W$2,0)),1)</f>
        <v>1</v>
      </c>
      <c r="AA79" s="25">
        <f>IF(C79="",1,MATCH(C79,'Ref03&amp;04i'!$C$2:$BX$2,0))</f>
        <v>1</v>
      </c>
    </row>
    <row r="80" spans="14:27" ht="12.75" customHeight="1" x14ac:dyDescent="0.2">
      <c r="N80" s="25" t="str">
        <f t="shared" si="2"/>
        <v/>
      </c>
      <c r="Z80" s="25">
        <f>IFERROR(IF(N80="",1,MATCH(INDEX(Str_StructureType,N80,1),Ref11ii!$C$2:$W$2,0)),1)</f>
        <v>1</v>
      </c>
      <c r="AA80" s="25">
        <f>IF(C80="",1,MATCH(C80,'Ref03&amp;04i'!$C$2:$BX$2,0))</f>
        <v>1</v>
      </c>
    </row>
    <row r="81" spans="14:27" ht="12.75" customHeight="1" x14ac:dyDescent="0.2">
      <c r="N81" s="25" t="str">
        <f t="shared" si="2"/>
        <v/>
      </c>
      <c r="Z81" s="25">
        <f>IFERROR(IF(N81="",1,MATCH(INDEX(Str_StructureType,N81,1),Ref11ii!$C$2:$W$2,0)),1)</f>
        <v>1</v>
      </c>
      <c r="AA81" s="25">
        <f>IF(C81="",1,MATCH(C81,'Ref03&amp;04i'!$C$2:$BX$2,0))</f>
        <v>1</v>
      </c>
    </row>
    <row r="82" spans="14:27" ht="12.75" customHeight="1" x14ac:dyDescent="0.2">
      <c r="N82" s="25" t="str">
        <f t="shared" si="2"/>
        <v/>
      </c>
      <c r="Z82" s="25">
        <f>IFERROR(IF(N82="",1,MATCH(INDEX(Str_StructureType,N82,1),Ref11ii!$C$2:$W$2,0)),1)</f>
        <v>1</v>
      </c>
      <c r="AA82" s="25">
        <f>IF(C82="",1,MATCH(C82,'Ref03&amp;04i'!$C$2:$BX$2,0))</f>
        <v>1</v>
      </c>
    </row>
    <row r="83" spans="14:27" ht="12.75" customHeight="1" x14ac:dyDescent="0.2">
      <c r="N83" s="25" t="str">
        <f t="shared" si="2"/>
        <v/>
      </c>
      <c r="Z83" s="25">
        <f>IFERROR(IF(N83="",1,MATCH(INDEX(Str_StructureType,N83,1),Ref11ii!$C$2:$W$2,0)),1)</f>
        <v>1</v>
      </c>
      <c r="AA83" s="25">
        <f>IF(C83="",1,MATCH(C83,'Ref03&amp;04i'!$C$2:$BX$2,0))</f>
        <v>1</v>
      </c>
    </row>
    <row r="84" spans="14:27" ht="12.75" customHeight="1" x14ac:dyDescent="0.2">
      <c r="N84" s="25" t="str">
        <f t="shared" si="2"/>
        <v/>
      </c>
      <c r="Z84" s="25">
        <f>IFERROR(IF(N84="",1,MATCH(INDEX(Str_StructureType,N84,1),Ref11ii!$C$2:$W$2,0)),1)</f>
        <v>1</v>
      </c>
      <c r="AA84" s="25">
        <f>IF(C84="",1,MATCH(C84,'Ref03&amp;04i'!$C$2:$BX$2,0))</f>
        <v>1</v>
      </c>
    </row>
    <row r="85" spans="14:27" ht="12.75" customHeight="1" x14ac:dyDescent="0.2">
      <c r="N85" s="25" t="str">
        <f t="shared" si="2"/>
        <v/>
      </c>
      <c r="Z85" s="25">
        <f>IFERROR(IF(N85="",1,MATCH(INDEX(Str_StructureType,N85,1),Ref11ii!$C$2:$W$2,0)),1)</f>
        <v>1</v>
      </c>
      <c r="AA85" s="25">
        <f>IF(C85="",1,MATCH(C85,'Ref03&amp;04i'!$C$2:$BX$2,0))</f>
        <v>1</v>
      </c>
    </row>
    <row r="86" spans="14:27" ht="12.75" customHeight="1" x14ac:dyDescent="0.2">
      <c r="N86" s="25" t="str">
        <f t="shared" si="2"/>
        <v/>
      </c>
      <c r="Z86" s="25">
        <f>IFERROR(IF(N86="",1,MATCH(INDEX(Str_StructureType,N86,1),Ref11ii!$C$2:$W$2,0)),1)</f>
        <v>1</v>
      </c>
      <c r="AA86" s="25">
        <f>IF(C86="",1,MATCH(C86,'Ref03&amp;04i'!$C$2:$BX$2,0))</f>
        <v>1</v>
      </c>
    </row>
    <row r="87" spans="14:27" ht="12.75" customHeight="1" x14ac:dyDescent="0.2">
      <c r="N87" s="25" t="str">
        <f t="shared" si="2"/>
        <v/>
      </c>
      <c r="Z87" s="25">
        <f>IFERROR(IF(N87="",1,MATCH(INDEX(Str_StructureType,N87,1),Ref11ii!$C$2:$W$2,0)),1)</f>
        <v>1</v>
      </c>
      <c r="AA87" s="25">
        <f>IF(C87="",1,MATCH(C87,'Ref03&amp;04i'!$C$2:$BX$2,0))</f>
        <v>1</v>
      </c>
    </row>
    <row r="88" spans="14:27" ht="12.75" customHeight="1" x14ac:dyDescent="0.2">
      <c r="N88" s="25" t="str">
        <f t="shared" si="2"/>
        <v/>
      </c>
      <c r="Z88" s="25">
        <f>IFERROR(IF(N88="",1,MATCH(INDEX(Str_StructureType,N88,1),Ref11ii!$C$2:$W$2,0)),1)</f>
        <v>1</v>
      </c>
      <c r="AA88" s="25">
        <f>IF(C88="",1,MATCH(C88,'Ref03&amp;04i'!$C$2:$BX$2,0))</f>
        <v>1</v>
      </c>
    </row>
    <row r="89" spans="14:27" ht="12.75" customHeight="1" x14ac:dyDescent="0.2">
      <c r="N89" s="25" t="str">
        <f t="shared" si="2"/>
        <v/>
      </c>
      <c r="Z89" s="25">
        <f>IFERROR(IF(N89="",1,MATCH(INDEX(Str_StructureType,N89,1),Ref11ii!$C$2:$W$2,0)),1)</f>
        <v>1</v>
      </c>
      <c r="AA89" s="25">
        <f>IF(C89="",1,MATCH(C89,'Ref03&amp;04i'!$C$2:$BX$2,0))</f>
        <v>1</v>
      </c>
    </row>
    <row r="90" spans="14:27" ht="12.75" customHeight="1" x14ac:dyDescent="0.2">
      <c r="N90" s="25" t="str">
        <f t="shared" si="2"/>
        <v/>
      </c>
      <c r="Z90" s="25">
        <f>IFERROR(IF(N90="",1,MATCH(INDEX(Str_StructureType,N90,1),Ref11ii!$C$2:$W$2,0)),1)</f>
        <v>1</v>
      </c>
      <c r="AA90" s="25">
        <f>IF(C90="",1,MATCH(C90,'Ref03&amp;04i'!$C$2:$BX$2,0))</f>
        <v>1</v>
      </c>
    </row>
    <row r="91" spans="14:27" ht="12.75" customHeight="1" x14ac:dyDescent="0.2">
      <c r="N91" s="25" t="str">
        <f t="shared" si="2"/>
        <v/>
      </c>
      <c r="Z91" s="25">
        <f>IFERROR(IF(N91="",1,MATCH(INDEX(Str_StructureType,N91,1),Ref11ii!$C$2:$W$2,0)),1)</f>
        <v>1</v>
      </c>
      <c r="AA91" s="25">
        <f>IF(C91="",1,MATCH(C91,'Ref03&amp;04i'!$C$2:$BX$2,0))</f>
        <v>1</v>
      </c>
    </row>
    <row r="92" spans="14:27" ht="12.75" customHeight="1" x14ac:dyDescent="0.2">
      <c r="N92" s="25" t="str">
        <f t="shared" si="2"/>
        <v/>
      </c>
      <c r="Z92" s="25">
        <f>IFERROR(IF(N92="",1,MATCH(INDEX(Str_StructureType,N92,1),Ref11ii!$C$2:$W$2,0)),1)</f>
        <v>1</v>
      </c>
      <c r="AA92" s="25">
        <f>IF(C92="",1,MATCH(C92,'Ref03&amp;04i'!$C$2:$BX$2,0))</f>
        <v>1</v>
      </c>
    </row>
    <row r="93" spans="14:27" ht="12.75" customHeight="1" x14ac:dyDescent="0.2">
      <c r="N93" s="25" t="str">
        <f t="shared" si="2"/>
        <v/>
      </c>
      <c r="Z93" s="25">
        <f>IFERROR(IF(N93="",1,MATCH(INDEX(Str_StructureType,N93,1),Ref11ii!$C$2:$W$2,0)),1)</f>
        <v>1</v>
      </c>
      <c r="AA93" s="25">
        <f>IF(C93="",1,MATCH(C93,'Ref03&amp;04i'!$C$2:$BX$2,0))</f>
        <v>1</v>
      </c>
    </row>
    <row r="94" spans="14:27" ht="12.75" customHeight="1" x14ac:dyDescent="0.2">
      <c r="N94" s="25" t="str">
        <f t="shared" si="2"/>
        <v/>
      </c>
      <c r="Z94" s="25">
        <f>IFERROR(IF(N94="",1,MATCH(INDEX(Str_StructureType,N94,1),Ref11ii!$C$2:$W$2,0)),1)</f>
        <v>1</v>
      </c>
      <c r="AA94" s="25">
        <f>IF(C94="",1,MATCH(C94,'Ref03&amp;04i'!$C$2:$BX$2,0))</f>
        <v>1</v>
      </c>
    </row>
    <row r="95" spans="14:27" ht="12.75" customHeight="1" x14ac:dyDescent="0.2">
      <c r="N95" s="25" t="str">
        <f t="shared" si="2"/>
        <v/>
      </c>
      <c r="Z95" s="25">
        <f>IFERROR(IF(N95="",1,MATCH(INDEX(Str_StructureType,N95,1),Ref11ii!$C$2:$W$2,0)),1)</f>
        <v>1</v>
      </c>
      <c r="AA95" s="25">
        <f>IF(C95="",1,MATCH(C95,'Ref03&amp;04i'!$C$2:$BX$2,0))</f>
        <v>1</v>
      </c>
    </row>
    <row r="96" spans="14:27" ht="12.75" customHeight="1" x14ac:dyDescent="0.2">
      <c r="N96" s="25" t="str">
        <f t="shared" si="2"/>
        <v/>
      </c>
      <c r="Z96" s="25">
        <f>IFERROR(IF(N96="",1,MATCH(INDEX(Str_StructureType,N96,1),Ref11ii!$C$2:$W$2,0)),1)</f>
        <v>1</v>
      </c>
      <c r="AA96" s="25">
        <f>IF(C96="",1,MATCH(C96,'Ref03&amp;04i'!$C$2:$BX$2,0))</f>
        <v>1</v>
      </c>
    </row>
    <row r="97" spans="14:27" ht="12.75" customHeight="1" x14ac:dyDescent="0.2">
      <c r="N97" s="25" t="str">
        <f t="shared" si="2"/>
        <v/>
      </c>
      <c r="Z97" s="25">
        <f>IFERROR(IF(N97="",1,MATCH(INDEX(Str_StructureType,N97,1),Ref11ii!$C$2:$W$2,0)),1)</f>
        <v>1</v>
      </c>
      <c r="AA97" s="25">
        <f>IF(C97="",1,MATCH(C97,'Ref03&amp;04i'!$C$2:$BX$2,0))</f>
        <v>1</v>
      </c>
    </row>
    <row r="98" spans="14:27" ht="12.75" customHeight="1" x14ac:dyDescent="0.2">
      <c r="N98" s="25" t="str">
        <f t="shared" si="2"/>
        <v/>
      </c>
      <c r="Z98" s="25">
        <f>IFERROR(IF(N98="",1,MATCH(INDEX(Str_StructureType,N98,1),Ref11ii!$C$2:$W$2,0)),1)</f>
        <v>1</v>
      </c>
      <c r="AA98" s="25">
        <f>IF(C98="",1,MATCH(C98,'Ref03&amp;04i'!$C$2:$BX$2,0))</f>
        <v>1</v>
      </c>
    </row>
    <row r="99" spans="14:27" ht="12.75" customHeight="1" x14ac:dyDescent="0.2">
      <c r="N99" s="25" t="str">
        <f t="shared" si="2"/>
        <v/>
      </c>
      <c r="Z99" s="25">
        <f>IFERROR(IF(N99="",1,MATCH(INDEX(Str_StructureType,N99,1),Ref11ii!$C$2:$W$2,0)),1)</f>
        <v>1</v>
      </c>
      <c r="AA99" s="25">
        <f>IF(C99="",1,MATCH(C99,'Ref03&amp;04i'!$C$2:$BX$2,0))</f>
        <v>1</v>
      </c>
    </row>
    <row r="100" spans="14:27" ht="12.75" customHeight="1" x14ac:dyDescent="0.2">
      <c r="N100" s="25" t="str">
        <f t="shared" si="2"/>
        <v/>
      </c>
      <c r="Z100" s="25">
        <f>IFERROR(IF(N100="",1,MATCH(INDEX(Str_StructureType,N100,1),Ref11ii!$C$2:$W$2,0)),1)</f>
        <v>1</v>
      </c>
      <c r="AA100" s="25">
        <f>IF(C100="",1,MATCH(C100,'Ref03&amp;04i'!$C$2:$BX$2,0))</f>
        <v>1</v>
      </c>
    </row>
    <row r="101" spans="14:27" ht="12.75" customHeight="1" x14ac:dyDescent="0.2">
      <c r="N101" s="25" t="str">
        <f t="shared" si="2"/>
        <v/>
      </c>
      <c r="Z101" s="25">
        <f>IFERROR(IF(N101="",1,MATCH(INDEX(Str_StructureType,N101,1),Ref11ii!$C$2:$W$2,0)),1)</f>
        <v>1</v>
      </c>
      <c r="AA101" s="25">
        <f>IF(C101="",1,MATCH(C101,'Ref03&amp;04i'!$C$2:$BX$2,0))</f>
        <v>1</v>
      </c>
    </row>
    <row r="102" spans="14:27" ht="12.75" customHeight="1" x14ac:dyDescent="0.2">
      <c r="N102" s="25" t="str">
        <f t="shared" si="2"/>
        <v/>
      </c>
      <c r="Z102" s="25">
        <f>IFERROR(IF(N102="",1,MATCH(INDEX(Str_StructureType,N102,1),Ref11ii!$C$2:$W$2,0)),1)</f>
        <v>1</v>
      </c>
      <c r="AA102" s="25">
        <f>IF(C102="",1,MATCH(C102,'Ref03&amp;04i'!$C$2:$BX$2,0))</f>
        <v>1</v>
      </c>
    </row>
    <row r="103" spans="14:27" ht="12.75" customHeight="1" x14ac:dyDescent="0.2">
      <c r="N103" s="25" t="str">
        <f t="shared" si="2"/>
        <v/>
      </c>
      <c r="Z103" s="25">
        <f>IFERROR(IF(N103="",1,MATCH(INDEX(Str_StructureType,N103,1),Ref11ii!$C$2:$W$2,0)),1)</f>
        <v>1</v>
      </c>
      <c r="AA103" s="25">
        <f>IF(C103="",1,MATCH(C103,'Ref03&amp;04i'!$C$2:$BX$2,0))</f>
        <v>1</v>
      </c>
    </row>
    <row r="104" spans="14:27" ht="12.75" customHeight="1" x14ac:dyDescent="0.2">
      <c r="N104" s="25" t="str">
        <f t="shared" si="2"/>
        <v/>
      </c>
      <c r="Z104" s="25">
        <f>IFERROR(IF(N104="",1,MATCH(INDEX(Str_StructureType,N104,1),Ref11ii!$C$2:$W$2,0)),1)</f>
        <v>1</v>
      </c>
      <c r="AA104" s="25">
        <f>IF(C104="",1,MATCH(C104,'Ref03&amp;04i'!$C$2:$BX$2,0))</f>
        <v>1</v>
      </c>
    </row>
  </sheetData>
  <sheetProtection autoFilter="0"/>
  <protectedRanges>
    <protectedRange sqref="B4" name="Range1_2"/>
    <protectedRange sqref="G2:L3" name="Range1_3_1"/>
    <protectedRange sqref="G4:L4" name="Range1_4_1"/>
  </protectedRanges>
  <autoFilter ref="A4:AN4" xr:uid="{ADE3A229-C2F9-4134-AD2E-A53D0E970518}"/>
  <dataConsolidate/>
  <mergeCells count="1">
    <mergeCell ref="G2:L2"/>
  </mergeCells>
  <dataValidations xWindow="661" yWindow="643" count="7">
    <dataValidation type="list" allowBlank="1" showInputMessage="1" showErrorMessage="1" sqref="B1 B5:B104" xr:uid="{00000000-0002-0000-0400-000000000000}">
      <formula1>Str_StructureIdentifier</formula1>
    </dataValidation>
    <dataValidation type="list" allowBlank="1" showErrorMessage="1" errorTitle="Incorrect" error="Invalid selection has been entered" sqref="G1:L1 G5:L104" xr:uid="{3C470966-436B-4AF1-B621-AFEF6B5A2E36}">
      <formula1>"0,1"</formula1>
    </dataValidation>
    <dataValidation type="list" showErrorMessage="1" errorTitle="Incorrect" error="Invalid option has been entered!" sqref="C1 C5:C104" xr:uid="{31BE786C-AD20-488F-A547-D668B3539A6E}">
      <formula1>OFFSET(Ref11ii_ElementLists_Matrix_StartCell,0,Z1-1,36-COUNTBLANK(INDEX(Ref11ii_ElementLists_Matrix,0,Z1)),1)</formula1>
    </dataValidation>
    <dataValidation type="list" showErrorMessage="1" errorTitle="Incorrect" error="Invalid option has been entered" sqref="D1 D5:D104" xr:uid="{5C2D389C-ECA0-4BBB-AADA-614F6BC0A8D3}">
      <formula1>OFFSET(ComponentMaterialLists_Matrix_StartCell,0,AA1-1,25-COUNTBLANK(INDEX(ComponentMaterialLists_Matrix,0,AA1)),1)</formula1>
    </dataValidation>
    <dataValidation type="list" showErrorMessage="1" errorTitle="Incorrect" error="Invalid option has been entered" sqref="E1 E5:E104" xr:uid="{F34997D9-1D74-4F52-A881-64A692529F60}">
      <formula1>Ref00_Condition</formula1>
    </dataValidation>
    <dataValidation type="list" showErrorMessage="1" errorTitle="Incorrect" error="Invalid option has been entered" sqref="F1 F5:F104" xr:uid="{DE1D158C-AB44-4EF7-B531-91342183A290}">
      <formula1>Ref00_SprayZoneProximity</formula1>
    </dataValidation>
    <dataValidation type="list" showErrorMessage="1" errorTitle="Incorrect" error="Invalid option has been entered" sqref="M1 M5:M104" xr:uid="{83165239-EF88-495C-A784-CC7BFCE81FE3}">
      <formula1>MntnceStrategyTypes</formula1>
    </dataValidation>
  </dataValidations>
  <pageMargins left="0.74803149606299213" right="0.74803149606299213" top="0.98425196850393704" bottom="0.98425196850393704" header="0.51181102362204722" footer="0.51181102362204722"/>
  <pageSetup paperSize="8" orientation="landscape" r:id="rId1"/>
  <headerFooter alignWithMargins="0">
    <oddHeader>&amp;LStructures Asset Management Planning Toolkit</oddHeader>
    <oddFooter>&amp;L&amp;A&amp;R&amp;P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48" r:id="rId4" name="Button 8">
              <controlPr defaultSize="0" print="0" autoFill="0" autoPict="0" macro="[0]!Elements_CopyDown_Intervention_ONLY">
                <anchor moveWithCells="1" sizeWithCells="1">
                  <from>
                    <xdr:col>12</xdr:col>
                    <xdr:colOff>19050</xdr:colOff>
                    <xdr:row>3</xdr:row>
                    <xdr:rowOff>19050</xdr:rowOff>
                  </from>
                  <to>
                    <xdr:col>13</xdr:col>
                    <xdr:colOff>0</xdr:colOff>
                    <xdr:row>3</xdr:row>
                    <xdr:rowOff>504825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_Planned">
    <tabColor theme="5" tint="0.39997558519241921"/>
    <pageSetUpPr fitToPage="1"/>
  </sheetPr>
  <dimension ref="A1:U4"/>
  <sheetViews>
    <sheetView showGridLines="0" zoomScale="70" zoomScaleNormal="70" workbookViewId="0">
      <pane ySplit="4" topLeftCell="A5" activePane="bottomLeft" state="frozen"/>
      <selection activeCell="D3" sqref="D3"/>
      <selection pane="bottomLeft" activeCell="A5" sqref="A5"/>
    </sheetView>
  </sheetViews>
  <sheetFormatPr defaultColWidth="9.140625" defaultRowHeight="12.75" customHeight="1" x14ac:dyDescent="0.2"/>
  <cols>
    <col min="1" max="2" width="12.7109375" style="19" customWidth="1"/>
    <col min="3" max="3" width="18.7109375" style="19" customWidth="1"/>
    <col min="4" max="5" width="40.7109375" style="19" customWidth="1"/>
    <col min="6" max="6" width="12.7109375" style="19" customWidth="1"/>
    <col min="7" max="7" width="40.7109375" style="19" customWidth="1"/>
    <col min="8" max="9" width="18.7109375" style="19" customWidth="1"/>
    <col min="10" max="14" width="12.7109375" style="19" customWidth="1"/>
    <col min="15" max="15" width="3.7109375" style="19" customWidth="1"/>
    <col min="16" max="20" width="12.7109375" style="19" customWidth="1"/>
    <col min="21" max="21" width="25.28515625" style="19" customWidth="1"/>
    <col min="22" max="16384" width="9.140625" style="19"/>
  </cols>
  <sheetData>
    <row r="1" spans="1:21" hidden="1" x14ac:dyDescent="0.2">
      <c r="B1" s="25" t="str">
        <f>IF(A1=0,"",INDEX(Ele_StructureIdentifier,A1,1))</f>
        <v/>
      </c>
      <c r="C1" s="25" t="str">
        <f>IF(A1=0,"",INDEX(Structures!$C:$C,MATCH(B1,Structures!B:B,0),1))</f>
        <v/>
      </c>
      <c r="D1" s="25" t="str">
        <f>IF(A1=0,"",INDEX(Elements!$C:$C,A1+4,1))</f>
        <v/>
      </c>
      <c r="E1" s="25" t="str">
        <f>IF(A1=0,"",INDEX(Elements!$D:$D,A1+4,1))</f>
        <v/>
      </c>
      <c r="J1" s="25" t="str">
        <f>IFERROR(LOOKUP(I1,Ref00_Condition,Ref00_ECS),"")</f>
        <v/>
      </c>
      <c r="K1" s="25" t="str">
        <f>IF(A1=0,"",INDEX(Elements!$N:$N,A1+4,1))</f>
        <v/>
      </c>
      <c r="L1" s="25" t="str">
        <f>IF(AND(F1&gt;0,F1&lt;=5),"Yes","No")</f>
        <v>No</v>
      </c>
      <c r="M1" s="25" t="str">
        <f>IF(AND(F1&gt;0,F1&lt;=5),CONCATENATE(A1,"_y5"),"")</f>
        <v/>
      </c>
      <c r="N1" s="25" t="str">
        <f>CONCATENATE(A1,"_",F1)</f>
        <v>_</v>
      </c>
      <c r="O1" s="25"/>
      <c r="P1" s="25" t="str">
        <f>IF(A1="","",IF(ISERROR(B1),"Element not found,",""))</f>
        <v/>
      </c>
      <c r="Q1" s="19" t="str">
        <f>IF(AND($F1&gt;=0,$F1&lt;=120),"","Year of work,")</f>
        <v/>
      </c>
      <c r="R1" s="19" t="str">
        <f>IF($G1="","",IF(ISERR(INDEX(MaintenanceActions,MATCH($G1,MaintenanceActions,0))),"Maintenance Action,",""))</f>
        <v/>
      </c>
      <c r="S1" s="19" t="str">
        <f>IF(AND($H1&gt;=0,$H1&lt;10000000)=TRUE,"","Cost,")</f>
        <v/>
      </c>
      <c r="T1" s="19" t="str">
        <f>IF($I1="","",IF(INDEX(Ref00_Condition,MATCH($I1,Ref00_Condition,0))&lt;&gt;FALSE,"","Condition,"))</f>
        <v/>
      </c>
      <c r="U1" s="19" t="str">
        <f>SUBSTITUTE(TRIM(IF(LEN(CONCATENATE($P1,$Q1,$R1,$S1,$T1))=0,"Valid",CONCATENATE(P1," ",Q1," ",R1," ",S1," ",T1))),"  "," ")</f>
        <v>Valid</v>
      </c>
    </row>
    <row r="2" spans="1:21" ht="13.9" customHeight="1" x14ac:dyDescent="0.2">
      <c r="A2" s="386"/>
      <c r="B2" s="386"/>
      <c r="C2" s="386"/>
      <c r="D2" s="386"/>
      <c r="E2" s="386"/>
      <c r="F2" s="386"/>
      <c r="G2" s="386"/>
      <c r="H2" s="386"/>
      <c r="I2" s="386"/>
      <c r="J2" s="386"/>
      <c r="K2" s="386"/>
      <c r="L2" s="386"/>
      <c r="M2" s="386"/>
      <c r="N2" s="386"/>
      <c r="O2" s="25"/>
      <c r="P2" s="386"/>
      <c r="Q2" s="386"/>
      <c r="R2" s="386"/>
      <c r="S2" s="386"/>
      <c r="T2" s="386"/>
      <c r="U2" s="386"/>
    </row>
    <row r="3" spans="1:21" ht="13.9" customHeight="1" x14ac:dyDescent="0.2">
      <c r="A3" s="386"/>
      <c r="B3" s="386"/>
      <c r="C3" s="386"/>
      <c r="D3" s="386"/>
      <c r="E3" s="386"/>
      <c r="F3" s="386"/>
      <c r="G3" s="386"/>
      <c r="H3" s="386"/>
      <c r="I3" s="386"/>
      <c r="J3" s="386"/>
      <c r="K3" s="386"/>
      <c r="L3" s="386"/>
      <c r="M3" s="386"/>
      <c r="N3" s="386"/>
      <c r="O3" s="25"/>
      <c r="P3" s="386"/>
      <c r="Q3" s="386"/>
      <c r="R3" s="386"/>
      <c r="S3" s="386"/>
      <c r="T3" s="386"/>
      <c r="U3" s="386"/>
    </row>
    <row r="4" spans="1:21" ht="72" customHeight="1" x14ac:dyDescent="0.2">
      <c r="A4" s="389" t="s">
        <v>983</v>
      </c>
      <c r="B4" s="388" t="s">
        <v>773</v>
      </c>
      <c r="C4" s="388" t="s">
        <v>772</v>
      </c>
      <c r="D4" s="388" t="s">
        <v>169</v>
      </c>
      <c r="E4" s="388" t="s">
        <v>168</v>
      </c>
      <c r="F4" s="389" t="s">
        <v>941</v>
      </c>
      <c r="G4" s="389" t="s">
        <v>468</v>
      </c>
      <c r="H4" s="389" t="s">
        <v>984</v>
      </c>
      <c r="I4" s="389" t="s">
        <v>985</v>
      </c>
      <c r="J4" s="388" t="s">
        <v>994</v>
      </c>
      <c r="K4" s="388" t="s">
        <v>940</v>
      </c>
      <c r="L4" s="388" t="s">
        <v>988</v>
      </c>
      <c r="M4" s="388" t="s">
        <v>989</v>
      </c>
      <c r="N4" s="388" t="s">
        <v>990</v>
      </c>
      <c r="O4" s="25"/>
      <c r="P4" s="391" t="s">
        <v>1863</v>
      </c>
      <c r="Q4" s="391" t="s">
        <v>853</v>
      </c>
      <c r="R4" s="391" t="s">
        <v>854</v>
      </c>
      <c r="S4" s="391" t="s">
        <v>1864</v>
      </c>
      <c r="T4" s="391" t="s">
        <v>855</v>
      </c>
      <c r="U4" s="391" t="s">
        <v>841</v>
      </c>
    </row>
  </sheetData>
  <sheetProtection autoFilter="0"/>
  <autoFilter ref="A4:T4" xr:uid="{00000000-0001-0000-0500-000000000000}"/>
  <dataValidations count="5">
    <dataValidation type="whole" operator="greaterThan" allowBlank="1" showInputMessage="1" showErrorMessage="1" sqref="A1" xr:uid="{417A9CA0-BDDB-4BA6-BF0C-F8304FC3F738}">
      <formula1>0</formula1>
    </dataValidation>
    <dataValidation type="whole" showInputMessage="1" showErrorMessage="1" sqref="F1 F5:F104" xr:uid="{B5E37A66-C4E6-42CE-AD2B-C4B92D2DD56B}">
      <formula1>1</formula1>
      <formula2>120</formula2>
    </dataValidation>
    <dataValidation type="decimal" operator="greaterThan" showInputMessage="1" showErrorMessage="1" errorTitle="Incorrect" error="Please re-check the entered value." sqref="H1 H5:H104" xr:uid="{A2762E62-712B-4541-A231-548CC4B2CB93}">
      <formula1>0</formula1>
    </dataValidation>
    <dataValidation type="list" showErrorMessage="1" errorTitle="Incorrect" error="Invalid selection has been entered" sqref="G1 G5:G104" xr:uid="{0596C253-C829-49A3-8DB2-8DC3D734255F}">
      <formula1>MaintenanceActions</formula1>
    </dataValidation>
    <dataValidation type="list" showErrorMessage="1" errorTitle="Incorrect" error="Invalid selection has been entered" sqref="I1 I5:I104" xr:uid="{5ACC500A-A11D-495F-B372-028C2741F01A}">
      <formula1>Ref00_Condition</formula1>
    </dataValidation>
  </dataValidations>
  <pageMargins left="0.70866141732283472" right="0.70866141732283472" top="0.74803149606299213" bottom="0.74803149606299213" header="0.31496062992125984" footer="0.31496062992125984"/>
  <pageSetup paperSize="8" scale="10" fitToWidth="3" fitToHeight="0" orientation="landscape" r:id="rId1"/>
  <headerFooter>
    <oddHeader>&amp;LStructures Asset Management Planning Toolkit</oddHeader>
    <oddFooter>&amp;L&amp;A&amp;R&amp;P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_Routine">
    <tabColor theme="5" tint="0.39997558519241921"/>
  </sheetPr>
  <dimension ref="A1:N124"/>
  <sheetViews>
    <sheetView showGridLines="0" topLeftCell="A2" zoomScale="70" zoomScaleNormal="70" workbookViewId="0">
      <pane ySplit="3" topLeftCell="A5" activePane="bottomLeft" state="frozen"/>
      <selection activeCell="D3" sqref="D3"/>
      <selection pane="bottomLeft" activeCell="B5" sqref="B5"/>
    </sheetView>
  </sheetViews>
  <sheetFormatPr defaultColWidth="9.140625" defaultRowHeight="12.75" customHeight="1" x14ac:dyDescent="0.2"/>
  <cols>
    <col min="1" max="1" width="12.7109375" style="19" customWidth="1"/>
    <col min="2" max="7" width="18.7109375" style="19" customWidth="1"/>
    <col min="8" max="8" width="3.7109375" style="19" customWidth="1"/>
    <col min="9" max="9" width="17" style="19" bestFit="1" customWidth="1"/>
    <col min="10" max="16384" width="9.140625" style="19"/>
  </cols>
  <sheetData>
    <row r="1" spans="1:14" ht="12.75" hidden="1" customHeight="1" x14ac:dyDescent="0.2"/>
    <row r="2" spans="1:14" ht="13.9" customHeight="1" x14ac:dyDescent="0.2">
      <c r="A2" s="386"/>
      <c r="B2" s="386"/>
      <c r="C2" s="386"/>
      <c r="D2" s="386"/>
      <c r="E2" s="386"/>
      <c r="F2" s="386"/>
      <c r="G2" s="386"/>
      <c r="I2" s="386"/>
    </row>
    <row r="3" spans="1:14" ht="13.9" customHeight="1" x14ac:dyDescent="0.2">
      <c r="A3" s="386"/>
      <c r="B3" s="526" t="s">
        <v>175</v>
      </c>
      <c r="C3" s="526"/>
      <c r="D3" s="526"/>
      <c r="E3" s="526"/>
      <c r="F3" s="526"/>
      <c r="G3" s="386"/>
      <c r="I3" s="386"/>
    </row>
    <row r="4" spans="1:14" ht="72" customHeight="1" x14ac:dyDescent="0.2">
      <c r="A4" s="388" t="s">
        <v>8</v>
      </c>
      <c r="B4" s="389" t="s">
        <v>174</v>
      </c>
      <c r="C4" s="389" t="s">
        <v>173</v>
      </c>
      <c r="D4" s="389" t="s">
        <v>172</v>
      </c>
      <c r="E4" s="389" t="s">
        <v>171</v>
      </c>
      <c r="F4" s="389" t="s">
        <v>170</v>
      </c>
      <c r="G4" s="388" t="s">
        <v>857</v>
      </c>
      <c r="I4" s="391" t="s">
        <v>856</v>
      </c>
    </row>
    <row r="5" spans="1:14" ht="12.75" customHeight="1" x14ac:dyDescent="0.2">
      <c r="A5" s="396">
        <v>1</v>
      </c>
      <c r="B5" s="397"/>
      <c r="C5" s="397"/>
      <c r="D5" s="397"/>
      <c r="E5" s="397"/>
      <c r="F5" s="397"/>
      <c r="G5" s="397">
        <f t="shared" ref="G5:G36" si="0">SUM(B5:F5)</f>
        <v>0</v>
      </c>
      <c r="I5" s="396" t="str">
        <f>IF(OR(B5&lt;0,C5&lt;0,D5&lt;0,E5&lt;0,F5&lt;0,ISTEXT(B5),ISTEXT(C5),ISTEXT(D5),ISTEXT(E5),ISTEXT(F5)),"Invalid","Valid")</f>
        <v>Valid</v>
      </c>
    </row>
    <row r="6" spans="1:14" ht="12.75" customHeight="1" x14ac:dyDescent="0.2">
      <c r="A6" s="396">
        <v>2</v>
      </c>
      <c r="B6" s="397"/>
      <c r="C6" s="397"/>
      <c r="D6" s="397"/>
      <c r="E6" s="397"/>
      <c r="F6" s="397"/>
      <c r="G6" s="397">
        <f t="shared" si="0"/>
        <v>0</v>
      </c>
      <c r="I6" s="396" t="str">
        <f t="shared" ref="I6:I69" si="1">IF(OR(B6&lt;0,C6&lt;0,D6&lt;0,E6&lt;0,F6&lt;0,ISTEXT(B6),ISTEXT(C6),ISTEXT(D6),ISTEXT(E6),ISTEXT(F6)),"Invalid","Valid")</f>
        <v>Valid</v>
      </c>
    </row>
    <row r="7" spans="1:14" ht="12.75" customHeight="1" x14ac:dyDescent="0.2">
      <c r="A7" s="396">
        <v>3</v>
      </c>
      <c r="B7" s="397"/>
      <c r="C7" s="397"/>
      <c r="D7" s="397"/>
      <c r="E7" s="397"/>
      <c r="F7" s="397"/>
      <c r="G7" s="397">
        <f t="shared" si="0"/>
        <v>0</v>
      </c>
      <c r="I7" s="396" t="str">
        <f t="shared" si="1"/>
        <v>Valid</v>
      </c>
    </row>
    <row r="8" spans="1:14" ht="12.75" customHeight="1" x14ac:dyDescent="0.2">
      <c r="A8" s="396">
        <v>4</v>
      </c>
      <c r="B8" s="397"/>
      <c r="C8" s="397"/>
      <c r="D8" s="397"/>
      <c r="E8" s="397"/>
      <c r="F8" s="397"/>
      <c r="G8" s="397">
        <f t="shared" si="0"/>
        <v>0</v>
      </c>
      <c r="I8" s="396" t="str">
        <f t="shared" si="1"/>
        <v>Valid</v>
      </c>
    </row>
    <row r="9" spans="1:14" ht="12.75" customHeight="1" x14ac:dyDescent="0.2">
      <c r="A9" s="396">
        <v>5</v>
      </c>
      <c r="B9" s="397"/>
      <c r="C9" s="397"/>
      <c r="D9" s="397"/>
      <c r="E9" s="397"/>
      <c r="F9" s="397"/>
      <c r="G9" s="397">
        <f t="shared" si="0"/>
        <v>0</v>
      </c>
      <c r="I9" s="396" t="str">
        <f t="shared" si="1"/>
        <v>Valid</v>
      </c>
    </row>
    <row r="10" spans="1:14" ht="12.75" customHeight="1" x14ac:dyDescent="0.2">
      <c r="A10" s="396">
        <v>6</v>
      </c>
      <c r="B10" s="397"/>
      <c r="C10" s="397"/>
      <c r="D10" s="397"/>
      <c r="E10" s="397"/>
      <c r="F10" s="397"/>
      <c r="G10" s="397">
        <f t="shared" si="0"/>
        <v>0</v>
      </c>
      <c r="I10" s="396" t="str">
        <f t="shared" si="1"/>
        <v>Valid</v>
      </c>
    </row>
    <row r="11" spans="1:14" ht="12.75" customHeight="1" x14ac:dyDescent="0.2">
      <c r="A11" s="396">
        <v>7</v>
      </c>
      <c r="B11" s="397"/>
      <c r="C11" s="397"/>
      <c r="D11" s="397"/>
      <c r="E11" s="397"/>
      <c r="F11" s="397"/>
      <c r="G11" s="397">
        <f t="shared" si="0"/>
        <v>0</v>
      </c>
      <c r="H11" s="397"/>
      <c r="I11" s="396" t="str">
        <f t="shared" si="1"/>
        <v>Valid</v>
      </c>
    </row>
    <row r="12" spans="1:14" ht="12.75" customHeight="1" x14ac:dyDescent="0.2">
      <c r="A12" s="396">
        <v>8</v>
      </c>
      <c r="B12" s="397"/>
      <c r="C12" s="397"/>
      <c r="D12" s="397"/>
      <c r="E12" s="397"/>
      <c r="F12" s="397"/>
      <c r="G12" s="397">
        <f t="shared" si="0"/>
        <v>0</v>
      </c>
      <c r="H12" s="397"/>
      <c r="I12" s="396" t="str">
        <f t="shared" si="1"/>
        <v>Valid</v>
      </c>
      <c r="N12" s="19">
        <f>PLROWCOUNT</f>
        <v>4</v>
      </c>
    </row>
    <row r="13" spans="1:14" ht="12.75" customHeight="1" x14ac:dyDescent="0.2">
      <c r="A13" s="396">
        <v>9</v>
      </c>
      <c r="B13" s="397"/>
      <c r="C13" s="397"/>
      <c r="D13" s="397"/>
      <c r="E13" s="397"/>
      <c r="F13" s="397"/>
      <c r="G13" s="397">
        <f t="shared" si="0"/>
        <v>0</v>
      </c>
      <c r="H13" s="397"/>
      <c r="I13" s="396" t="str">
        <f t="shared" si="1"/>
        <v>Valid</v>
      </c>
    </row>
    <row r="14" spans="1:14" ht="12.75" customHeight="1" x14ac:dyDescent="0.2">
      <c r="A14" s="396">
        <v>10</v>
      </c>
      <c r="B14" s="397"/>
      <c r="C14" s="397"/>
      <c r="D14" s="397"/>
      <c r="E14" s="397"/>
      <c r="F14" s="397"/>
      <c r="G14" s="397">
        <f t="shared" si="0"/>
        <v>0</v>
      </c>
      <c r="H14" s="397"/>
      <c r="I14" s="396" t="str">
        <f t="shared" si="1"/>
        <v>Valid</v>
      </c>
    </row>
    <row r="15" spans="1:14" ht="12.75" customHeight="1" x14ac:dyDescent="0.2">
      <c r="A15" s="396">
        <v>11</v>
      </c>
      <c r="B15" s="397"/>
      <c r="C15" s="397"/>
      <c r="D15" s="397"/>
      <c r="E15" s="397"/>
      <c r="F15" s="397"/>
      <c r="G15" s="397">
        <f t="shared" si="0"/>
        <v>0</v>
      </c>
      <c r="H15" s="397"/>
      <c r="I15" s="396" t="str">
        <f t="shared" si="1"/>
        <v>Valid</v>
      </c>
    </row>
    <row r="16" spans="1:14" ht="12.75" customHeight="1" x14ac:dyDescent="0.2">
      <c r="A16" s="396">
        <v>12</v>
      </c>
      <c r="B16" s="397"/>
      <c r="C16" s="397"/>
      <c r="D16" s="397"/>
      <c r="E16" s="397"/>
      <c r="F16" s="397"/>
      <c r="G16" s="397">
        <f t="shared" si="0"/>
        <v>0</v>
      </c>
      <c r="H16" s="397"/>
      <c r="I16" s="396" t="str">
        <f t="shared" si="1"/>
        <v>Valid</v>
      </c>
    </row>
    <row r="17" spans="1:9" ht="12.75" customHeight="1" x14ac:dyDescent="0.2">
      <c r="A17" s="396">
        <v>13</v>
      </c>
      <c r="B17" s="397"/>
      <c r="C17" s="397"/>
      <c r="D17" s="397"/>
      <c r="E17" s="397"/>
      <c r="F17" s="397"/>
      <c r="G17" s="397">
        <f t="shared" si="0"/>
        <v>0</v>
      </c>
      <c r="H17" s="397"/>
      <c r="I17" s="396" t="str">
        <f t="shared" si="1"/>
        <v>Valid</v>
      </c>
    </row>
    <row r="18" spans="1:9" ht="12.75" customHeight="1" x14ac:dyDescent="0.2">
      <c r="A18" s="396">
        <v>14</v>
      </c>
      <c r="B18" s="397"/>
      <c r="C18" s="397"/>
      <c r="D18" s="397"/>
      <c r="E18" s="397"/>
      <c r="F18" s="397"/>
      <c r="G18" s="397">
        <f t="shared" si="0"/>
        <v>0</v>
      </c>
      <c r="H18" s="397"/>
      <c r="I18" s="396" t="str">
        <f t="shared" si="1"/>
        <v>Valid</v>
      </c>
    </row>
    <row r="19" spans="1:9" ht="12.75" customHeight="1" x14ac:dyDescent="0.2">
      <c r="A19" s="396">
        <v>15</v>
      </c>
      <c r="B19" s="397"/>
      <c r="C19" s="397"/>
      <c r="D19" s="397"/>
      <c r="E19" s="397"/>
      <c r="F19" s="397"/>
      <c r="G19" s="397">
        <f t="shared" si="0"/>
        <v>0</v>
      </c>
      <c r="H19" s="397"/>
      <c r="I19" s="396" t="str">
        <f t="shared" si="1"/>
        <v>Valid</v>
      </c>
    </row>
    <row r="20" spans="1:9" ht="12.75" customHeight="1" x14ac:dyDescent="0.2">
      <c r="A20" s="396">
        <v>16</v>
      </c>
      <c r="B20" s="397"/>
      <c r="C20" s="397"/>
      <c r="D20" s="397"/>
      <c r="E20" s="397"/>
      <c r="F20" s="397"/>
      <c r="G20" s="397">
        <f t="shared" si="0"/>
        <v>0</v>
      </c>
      <c r="H20" s="397"/>
      <c r="I20" s="396" t="str">
        <f t="shared" si="1"/>
        <v>Valid</v>
      </c>
    </row>
    <row r="21" spans="1:9" ht="12.75" customHeight="1" x14ac:dyDescent="0.2">
      <c r="A21" s="396">
        <v>17</v>
      </c>
      <c r="B21" s="397"/>
      <c r="C21" s="397"/>
      <c r="D21" s="397"/>
      <c r="E21" s="397"/>
      <c r="F21" s="397"/>
      <c r="G21" s="397">
        <f t="shared" si="0"/>
        <v>0</v>
      </c>
      <c r="H21" s="397"/>
      <c r="I21" s="396" t="str">
        <f t="shared" si="1"/>
        <v>Valid</v>
      </c>
    </row>
    <row r="22" spans="1:9" ht="12.75" customHeight="1" x14ac:dyDescent="0.2">
      <c r="A22" s="396">
        <v>18</v>
      </c>
      <c r="B22" s="397"/>
      <c r="C22" s="397"/>
      <c r="D22" s="397"/>
      <c r="E22" s="397"/>
      <c r="F22" s="397"/>
      <c r="G22" s="397">
        <f t="shared" si="0"/>
        <v>0</v>
      </c>
      <c r="H22" s="397"/>
      <c r="I22" s="396" t="str">
        <f t="shared" si="1"/>
        <v>Valid</v>
      </c>
    </row>
    <row r="23" spans="1:9" ht="12.75" customHeight="1" x14ac:dyDescent="0.2">
      <c r="A23" s="396">
        <v>19</v>
      </c>
      <c r="B23" s="397"/>
      <c r="C23" s="397"/>
      <c r="D23" s="397"/>
      <c r="E23" s="397"/>
      <c r="F23" s="397"/>
      <c r="G23" s="397">
        <f t="shared" si="0"/>
        <v>0</v>
      </c>
      <c r="H23" s="397"/>
      <c r="I23" s="396" t="str">
        <f t="shared" si="1"/>
        <v>Valid</v>
      </c>
    </row>
    <row r="24" spans="1:9" ht="12.75" customHeight="1" x14ac:dyDescent="0.2">
      <c r="A24" s="396">
        <v>20</v>
      </c>
      <c r="B24" s="397"/>
      <c r="C24" s="397"/>
      <c r="D24" s="397"/>
      <c r="E24" s="397"/>
      <c r="F24" s="397"/>
      <c r="G24" s="397">
        <f t="shared" si="0"/>
        <v>0</v>
      </c>
      <c r="H24" s="397"/>
      <c r="I24" s="396" t="str">
        <f t="shared" si="1"/>
        <v>Valid</v>
      </c>
    </row>
    <row r="25" spans="1:9" ht="12.75" customHeight="1" x14ac:dyDescent="0.2">
      <c r="A25" s="396">
        <v>21</v>
      </c>
      <c r="B25" s="397"/>
      <c r="C25" s="397"/>
      <c r="D25" s="397"/>
      <c r="E25" s="397"/>
      <c r="F25" s="397"/>
      <c r="G25" s="397">
        <f t="shared" si="0"/>
        <v>0</v>
      </c>
      <c r="H25" s="397"/>
      <c r="I25" s="396" t="str">
        <f t="shared" si="1"/>
        <v>Valid</v>
      </c>
    </row>
    <row r="26" spans="1:9" ht="12.75" customHeight="1" x14ac:dyDescent="0.2">
      <c r="A26" s="396">
        <v>22</v>
      </c>
      <c r="B26" s="397"/>
      <c r="C26" s="397"/>
      <c r="D26" s="397"/>
      <c r="E26" s="397"/>
      <c r="F26" s="397"/>
      <c r="G26" s="397">
        <f t="shared" si="0"/>
        <v>0</v>
      </c>
      <c r="H26" s="397"/>
      <c r="I26" s="396" t="str">
        <f t="shared" si="1"/>
        <v>Valid</v>
      </c>
    </row>
    <row r="27" spans="1:9" ht="12.75" customHeight="1" x14ac:dyDescent="0.2">
      <c r="A27" s="396">
        <v>23</v>
      </c>
      <c r="B27" s="397"/>
      <c r="C27" s="397"/>
      <c r="D27" s="397"/>
      <c r="E27" s="397"/>
      <c r="F27" s="397"/>
      <c r="G27" s="397">
        <f t="shared" si="0"/>
        <v>0</v>
      </c>
      <c r="H27" s="397"/>
      <c r="I27" s="396" t="str">
        <f t="shared" si="1"/>
        <v>Valid</v>
      </c>
    </row>
    <row r="28" spans="1:9" ht="12.75" customHeight="1" x14ac:dyDescent="0.2">
      <c r="A28" s="396">
        <v>24</v>
      </c>
      <c r="B28" s="397"/>
      <c r="C28" s="397"/>
      <c r="D28" s="397"/>
      <c r="E28" s="397"/>
      <c r="F28" s="397"/>
      <c r="G28" s="397">
        <f t="shared" si="0"/>
        <v>0</v>
      </c>
      <c r="H28" s="397"/>
      <c r="I28" s="396" t="str">
        <f t="shared" si="1"/>
        <v>Valid</v>
      </c>
    </row>
    <row r="29" spans="1:9" ht="12.75" customHeight="1" x14ac:dyDescent="0.2">
      <c r="A29" s="396">
        <v>25</v>
      </c>
      <c r="B29" s="397"/>
      <c r="C29" s="397"/>
      <c r="D29" s="397"/>
      <c r="E29" s="397"/>
      <c r="F29" s="397"/>
      <c r="G29" s="397">
        <f t="shared" si="0"/>
        <v>0</v>
      </c>
      <c r="H29" s="397"/>
      <c r="I29" s="396" t="str">
        <f t="shared" si="1"/>
        <v>Valid</v>
      </c>
    </row>
    <row r="30" spans="1:9" ht="12.75" customHeight="1" x14ac:dyDescent="0.2">
      <c r="A30" s="396">
        <v>26</v>
      </c>
      <c r="B30" s="397"/>
      <c r="C30" s="397"/>
      <c r="D30" s="397"/>
      <c r="E30" s="397"/>
      <c r="F30" s="397"/>
      <c r="G30" s="397">
        <f t="shared" si="0"/>
        <v>0</v>
      </c>
      <c r="H30" s="397"/>
      <c r="I30" s="396" t="str">
        <f t="shared" si="1"/>
        <v>Valid</v>
      </c>
    </row>
    <row r="31" spans="1:9" ht="12.75" customHeight="1" x14ac:dyDescent="0.2">
      <c r="A31" s="396">
        <v>27</v>
      </c>
      <c r="B31" s="397"/>
      <c r="C31" s="397"/>
      <c r="D31" s="397"/>
      <c r="E31" s="397"/>
      <c r="F31" s="397"/>
      <c r="G31" s="397">
        <f t="shared" si="0"/>
        <v>0</v>
      </c>
      <c r="H31" s="397"/>
      <c r="I31" s="396" t="str">
        <f t="shared" si="1"/>
        <v>Valid</v>
      </c>
    </row>
    <row r="32" spans="1:9" ht="12.75" customHeight="1" x14ac:dyDescent="0.2">
      <c r="A32" s="396">
        <v>28</v>
      </c>
      <c r="B32" s="397"/>
      <c r="C32" s="397"/>
      <c r="D32" s="397"/>
      <c r="E32" s="397"/>
      <c r="F32" s="397"/>
      <c r="G32" s="397">
        <f t="shared" si="0"/>
        <v>0</v>
      </c>
      <c r="H32" s="397"/>
      <c r="I32" s="396" t="str">
        <f t="shared" si="1"/>
        <v>Valid</v>
      </c>
    </row>
    <row r="33" spans="1:9" ht="12.75" customHeight="1" x14ac:dyDescent="0.2">
      <c r="A33" s="396">
        <v>29</v>
      </c>
      <c r="B33" s="397"/>
      <c r="C33" s="397"/>
      <c r="D33" s="397"/>
      <c r="E33" s="397"/>
      <c r="F33" s="397"/>
      <c r="G33" s="397">
        <f t="shared" si="0"/>
        <v>0</v>
      </c>
      <c r="H33" s="397"/>
      <c r="I33" s="396" t="str">
        <f t="shared" si="1"/>
        <v>Valid</v>
      </c>
    </row>
    <row r="34" spans="1:9" ht="12.75" customHeight="1" x14ac:dyDescent="0.2">
      <c r="A34" s="396">
        <v>30</v>
      </c>
      <c r="B34" s="397"/>
      <c r="C34" s="397"/>
      <c r="D34" s="397"/>
      <c r="E34" s="397"/>
      <c r="F34" s="397"/>
      <c r="G34" s="397">
        <f t="shared" si="0"/>
        <v>0</v>
      </c>
      <c r="H34" s="397"/>
      <c r="I34" s="396" t="str">
        <f t="shared" si="1"/>
        <v>Valid</v>
      </c>
    </row>
    <row r="35" spans="1:9" ht="12.75" customHeight="1" x14ac:dyDescent="0.2">
      <c r="A35" s="396">
        <v>31</v>
      </c>
      <c r="B35" s="397"/>
      <c r="C35" s="397"/>
      <c r="D35" s="397"/>
      <c r="E35" s="397"/>
      <c r="F35" s="397"/>
      <c r="G35" s="397">
        <f t="shared" si="0"/>
        <v>0</v>
      </c>
      <c r="H35" s="397"/>
      <c r="I35" s="396" t="str">
        <f t="shared" si="1"/>
        <v>Valid</v>
      </c>
    </row>
    <row r="36" spans="1:9" ht="12.75" customHeight="1" x14ac:dyDescent="0.2">
      <c r="A36" s="396">
        <v>32</v>
      </c>
      <c r="B36" s="397"/>
      <c r="C36" s="397"/>
      <c r="D36" s="397"/>
      <c r="E36" s="397"/>
      <c r="F36" s="397"/>
      <c r="G36" s="397">
        <f t="shared" si="0"/>
        <v>0</v>
      </c>
      <c r="H36" s="397"/>
      <c r="I36" s="396" t="str">
        <f t="shared" si="1"/>
        <v>Valid</v>
      </c>
    </row>
    <row r="37" spans="1:9" ht="12.75" customHeight="1" x14ac:dyDescent="0.2">
      <c r="A37" s="396">
        <v>33</v>
      </c>
      <c r="B37" s="397"/>
      <c r="C37" s="397"/>
      <c r="D37" s="397"/>
      <c r="E37" s="397"/>
      <c r="F37" s="397"/>
      <c r="G37" s="397">
        <f t="shared" ref="G37:G68" si="2">SUM(B37:F37)</f>
        <v>0</v>
      </c>
      <c r="H37" s="397"/>
      <c r="I37" s="396" t="str">
        <f t="shared" si="1"/>
        <v>Valid</v>
      </c>
    </row>
    <row r="38" spans="1:9" ht="12.75" customHeight="1" x14ac:dyDescent="0.2">
      <c r="A38" s="396">
        <v>34</v>
      </c>
      <c r="B38" s="397"/>
      <c r="C38" s="397"/>
      <c r="D38" s="397"/>
      <c r="E38" s="397"/>
      <c r="F38" s="397"/>
      <c r="G38" s="397">
        <f t="shared" si="2"/>
        <v>0</v>
      </c>
      <c r="H38" s="397"/>
      <c r="I38" s="396" t="str">
        <f t="shared" si="1"/>
        <v>Valid</v>
      </c>
    </row>
    <row r="39" spans="1:9" ht="12.75" customHeight="1" x14ac:dyDescent="0.2">
      <c r="A39" s="396">
        <v>35</v>
      </c>
      <c r="B39" s="397"/>
      <c r="C39" s="397"/>
      <c r="D39" s="397"/>
      <c r="E39" s="397"/>
      <c r="F39" s="397"/>
      <c r="G39" s="397">
        <f t="shared" si="2"/>
        <v>0</v>
      </c>
      <c r="H39" s="397"/>
      <c r="I39" s="396" t="str">
        <f t="shared" si="1"/>
        <v>Valid</v>
      </c>
    </row>
    <row r="40" spans="1:9" ht="12.75" customHeight="1" x14ac:dyDescent="0.2">
      <c r="A40" s="396">
        <v>36</v>
      </c>
      <c r="B40" s="397"/>
      <c r="C40" s="397"/>
      <c r="D40" s="397"/>
      <c r="E40" s="397"/>
      <c r="F40" s="397"/>
      <c r="G40" s="397">
        <f t="shared" si="2"/>
        <v>0</v>
      </c>
      <c r="H40" s="397"/>
      <c r="I40" s="396" t="str">
        <f t="shared" si="1"/>
        <v>Valid</v>
      </c>
    </row>
    <row r="41" spans="1:9" ht="12.75" customHeight="1" x14ac:dyDescent="0.2">
      <c r="A41" s="396">
        <v>37</v>
      </c>
      <c r="B41" s="397"/>
      <c r="C41" s="397"/>
      <c r="D41" s="397"/>
      <c r="E41" s="397"/>
      <c r="F41" s="397"/>
      <c r="G41" s="397">
        <f t="shared" si="2"/>
        <v>0</v>
      </c>
      <c r="H41" s="397"/>
      <c r="I41" s="396" t="str">
        <f t="shared" si="1"/>
        <v>Valid</v>
      </c>
    </row>
    <row r="42" spans="1:9" ht="12.75" customHeight="1" x14ac:dyDescent="0.2">
      <c r="A42" s="396">
        <v>38</v>
      </c>
      <c r="B42" s="397"/>
      <c r="C42" s="397"/>
      <c r="D42" s="397"/>
      <c r="E42" s="397"/>
      <c r="F42" s="397"/>
      <c r="G42" s="397">
        <f t="shared" si="2"/>
        <v>0</v>
      </c>
      <c r="H42" s="397"/>
      <c r="I42" s="396" t="str">
        <f t="shared" si="1"/>
        <v>Valid</v>
      </c>
    </row>
    <row r="43" spans="1:9" ht="12.75" customHeight="1" x14ac:dyDescent="0.2">
      <c r="A43" s="396">
        <v>39</v>
      </c>
      <c r="B43" s="397"/>
      <c r="C43" s="397"/>
      <c r="D43" s="397"/>
      <c r="E43" s="397"/>
      <c r="F43" s="397"/>
      <c r="G43" s="397">
        <f t="shared" si="2"/>
        <v>0</v>
      </c>
      <c r="H43" s="397"/>
      <c r="I43" s="396" t="str">
        <f t="shared" si="1"/>
        <v>Valid</v>
      </c>
    </row>
    <row r="44" spans="1:9" ht="12.75" customHeight="1" x14ac:dyDescent="0.2">
      <c r="A44" s="396">
        <v>40</v>
      </c>
      <c r="B44" s="397"/>
      <c r="C44" s="397"/>
      <c r="D44" s="397"/>
      <c r="E44" s="397"/>
      <c r="F44" s="397"/>
      <c r="G44" s="397">
        <f t="shared" si="2"/>
        <v>0</v>
      </c>
      <c r="H44" s="397"/>
      <c r="I44" s="396" t="str">
        <f t="shared" si="1"/>
        <v>Valid</v>
      </c>
    </row>
    <row r="45" spans="1:9" ht="12.75" customHeight="1" x14ac:dyDescent="0.2">
      <c r="A45" s="396">
        <v>41</v>
      </c>
      <c r="B45" s="397"/>
      <c r="C45" s="397"/>
      <c r="D45" s="397"/>
      <c r="E45" s="397"/>
      <c r="F45" s="397"/>
      <c r="G45" s="397">
        <f t="shared" si="2"/>
        <v>0</v>
      </c>
      <c r="H45" s="397"/>
      <c r="I45" s="396" t="str">
        <f t="shared" si="1"/>
        <v>Valid</v>
      </c>
    </row>
    <row r="46" spans="1:9" ht="12.75" customHeight="1" x14ac:dyDescent="0.2">
      <c r="A46" s="396">
        <v>42</v>
      </c>
      <c r="B46" s="397"/>
      <c r="C46" s="397"/>
      <c r="D46" s="397"/>
      <c r="E46" s="397"/>
      <c r="F46" s="397"/>
      <c r="G46" s="397">
        <f t="shared" si="2"/>
        <v>0</v>
      </c>
      <c r="H46" s="397"/>
      <c r="I46" s="396" t="str">
        <f t="shared" si="1"/>
        <v>Valid</v>
      </c>
    </row>
    <row r="47" spans="1:9" ht="12.75" customHeight="1" x14ac:dyDescent="0.2">
      <c r="A47" s="396">
        <v>43</v>
      </c>
      <c r="B47" s="397"/>
      <c r="C47" s="397"/>
      <c r="D47" s="397"/>
      <c r="E47" s="397"/>
      <c r="F47" s="397"/>
      <c r="G47" s="397">
        <f t="shared" si="2"/>
        <v>0</v>
      </c>
      <c r="H47" s="397"/>
      <c r="I47" s="396" t="str">
        <f t="shared" si="1"/>
        <v>Valid</v>
      </c>
    </row>
    <row r="48" spans="1:9" ht="12.75" customHeight="1" x14ac:dyDescent="0.2">
      <c r="A48" s="396">
        <v>44</v>
      </c>
      <c r="B48" s="397"/>
      <c r="C48" s="397"/>
      <c r="D48" s="397"/>
      <c r="E48" s="397"/>
      <c r="F48" s="397"/>
      <c r="G48" s="397">
        <f t="shared" si="2"/>
        <v>0</v>
      </c>
      <c r="H48" s="397"/>
      <c r="I48" s="396" t="str">
        <f t="shared" si="1"/>
        <v>Valid</v>
      </c>
    </row>
    <row r="49" spans="1:9" ht="12.75" customHeight="1" x14ac:dyDescent="0.2">
      <c r="A49" s="396">
        <v>45</v>
      </c>
      <c r="B49" s="397"/>
      <c r="C49" s="397"/>
      <c r="D49" s="397"/>
      <c r="E49" s="397"/>
      <c r="F49" s="397"/>
      <c r="G49" s="397">
        <f t="shared" si="2"/>
        <v>0</v>
      </c>
      <c r="H49" s="397"/>
      <c r="I49" s="396" t="str">
        <f t="shared" si="1"/>
        <v>Valid</v>
      </c>
    </row>
    <row r="50" spans="1:9" ht="12.75" customHeight="1" x14ac:dyDescent="0.2">
      <c r="A50" s="396">
        <v>46</v>
      </c>
      <c r="B50" s="397"/>
      <c r="C50" s="397"/>
      <c r="D50" s="397"/>
      <c r="E50" s="397"/>
      <c r="F50" s="397"/>
      <c r="G50" s="397">
        <f t="shared" si="2"/>
        <v>0</v>
      </c>
      <c r="H50" s="397"/>
      <c r="I50" s="396" t="str">
        <f t="shared" si="1"/>
        <v>Valid</v>
      </c>
    </row>
    <row r="51" spans="1:9" ht="12.75" customHeight="1" x14ac:dyDescent="0.2">
      <c r="A51" s="396">
        <v>47</v>
      </c>
      <c r="B51" s="397"/>
      <c r="C51" s="397"/>
      <c r="D51" s="397"/>
      <c r="E51" s="397"/>
      <c r="F51" s="397"/>
      <c r="G51" s="397">
        <f t="shared" si="2"/>
        <v>0</v>
      </c>
      <c r="H51" s="397"/>
      <c r="I51" s="396" t="str">
        <f t="shared" si="1"/>
        <v>Valid</v>
      </c>
    </row>
    <row r="52" spans="1:9" ht="12.75" customHeight="1" x14ac:dyDescent="0.2">
      <c r="A52" s="396">
        <v>48</v>
      </c>
      <c r="B52" s="397"/>
      <c r="C52" s="397"/>
      <c r="D52" s="397"/>
      <c r="E52" s="397"/>
      <c r="F52" s="397"/>
      <c r="G52" s="397">
        <f t="shared" si="2"/>
        <v>0</v>
      </c>
      <c r="H52" s="397"/>
      <c r="I52" s="396" t="str">
        <f t="shared" si="1"/>
        <v>Valid</v>
      </c>
    </row>
    <row r="53" spans="1:9" ht="12.75" customHeight="1" x14ac:dyDescent="0.2">
      <c r="A53" s="396">
        <v>49</v>
      </c>
      <c r="B53" s="397"/>
      <c r="C53" s="397"/>
      <c r="D53" s="397"/>
      <c r="E53" s="397"/>
      <c r="F53" s="397"/>
      <c r="G53" s="397">
        <f t="shared" si="2"/>
        <v>0</v>
      </c>
      <c r="H53" s="397"/>
      <c r="I53" s="396" t="str">
        <f t="shared" si="1"/>
        <v>Valid</v>
      </c>
    </row>
    <row r="54" spans="1:9" ht="12.75" customHeight="1" x14ac:dyDescent="0.2">
      <c r="A54" s="396">
        <v>50</v>
      </c>
      <c r="B54" s="397"/>
      <c r="C54" s="397"/>
      <c r="D54" s="397"/>
      <c r="E54" s="397"/>
      <c r="F54" s="397"/>
      <c r="G54" s="397">
        <f t="shared" si="2"/>
        <v>0</v>
      </c>
      <c r="H54" s="397"/>
      <c r="I54" s="396" t="str">
        <f t="shared" si="1"/>
        <v>Valid</v>
      </c>
    </row>
    <row r="55" spans="1:9" ht="12.75" customHeight="1" x14ac:dyDescent="0.2">
      <c r="A55" s="396">
        <v>51</v>
      </c>
      <c r="B55" s="397"/>
      <c r="C55" s="397"/>
      <c r="D55" s="397"/>
      <c r="E55" s="397"/>
      <c r="F55" s="397"/>
      <c r="G55" s="397">
        <f t="shared" si="2"/>
        <v>0</v>
      </c>
      <c r="H55" s="397"/>
      <c r="I55" s="396" t="str">
        <f t="shared" si="1"/>
        <v>Valid</v>
      </c>
    </row>
    <row r="56" spans="1:9" ht="12.75" customHeight="1" x14ac:dyDescent="0.2">
      <c r="A56" s="396">
        <v>52</v>
      </c>
      <c r="B56" s="397"/>
      <c r="C56" s="397"/>
      <c r="D56" s="397"/>
      <c r="E56" s="397"/>
      <c r="F56" s="397"/>
      <c r="G56" s="397">
        <f t="shared" si="2"/>
        <v>0</v>
      </c>
      <c r="H56" s="397"/>
      <c r="I56" s="396" t="str">
        <f t="shared" si="1"/>
        <v>Valid</v>
      </c>
    </row>
    <row r="57" spans="1:9" ht="12.75" customHeight="1" x14ac:dyDescent="0.2">
      <c r="A57" s="396">
        <v>53</v>
      </c>
      <c r="B57" s="397"/>
      <c r="C57" s="397"/>
      <c r="D57" s="397"/>
      <c r="E57" s="397"/>
      <c r="F57" s="397"/>
      <c r="G57" s="397">
        <f t="shared" si="2"/>
        <v>0</v>
      </c>
      <c r="H57" s="397"/>
      <c r="I57" s="396" t="str">
        <f t="shared" si="1"/>
        <v>Valid</v>
      </c>
    </row>
    <row r="58" spans="1:9" ht="12.75" customHeight="1" x14ac:dyDescent="0.2">
      <c r="A58" s="396">
        <v>54</v>
      </c>
      <c r="B58" s="397"/>
      <c r="C58" s="397"/>
      <c r="D58" s="397"/>
      <c r="E58" s="397"/>
      <c r="F58" s="397"/>
      <c r="G58" s="397">
        <f t="shared" si="2"/>
        <v>0</v>
      </c>
      <c r="H58" s="397"/>
      <c r="I58" s="396" t="str">
        <f t="shared" si="1"/>
        <v>Valid</v>
      </c>
    </row>
    <row r="59" spans="1:9" ht="12.75" customHeight="1" x14ac:dyDescent="0.2">
      <c r="A59" s="396">
        <v>55</v>
      </c>
      <c r="B59" s="397"/>
      <c r="C59" s="397"/>
      <c r="D59" s="397"/>
      <c r="E59" s="397"/>
      <c r="F59" s="397"/>
      <c r="G59" s="397">
        <f t="shared" si="2"/>
        <v>0</v>
      </c>
      <c r="H59" s="397"/>
      <c r="I59" s="396" t="str">
        <f t="shared" si="1"/>
        <v>Valid</v>
      </c>
    </row>
    <row r="60" spans="1:9" ht="12.75" customHeight="1" x14ac:dyDescent="0.2">
      <c r="A60" s="396">
        <v>56</v>
      </c>
      <c r="B60" s="397"/>
      <c r="C60" s="397"/>
      <c r="D60" s="397"/>
      <c r="E60" s="397"/>
      <c r="F60" s="397"/>
      <c r="G60" s="397">
        <f t="shared" si="2"/>
        <v>0</v>
      </c>
      <c r="H60" s="397"/>
      <c r="I60" s="396" t="str">
        <f t="shared" si="1"/>
        <v>Valid</v>
      </c>
    </row>
    <row r="61" spans="1:9" ht="12.75" customHeight="1" x14ac:dyDescent="0.2">
      <c r="A61" s="396">
        <v>57</v>
      </c>
      <c r="B61" s="397"/>
      <c r="C61" s="397"/>
      <c r="D61" s="397"/>
      <c r="E61" s="397"/>
      <c r="F61" s="397"/>
      <c r="G61" s="397">
        <f t="shared" si="2"/>
        <v>0</v>
      </c>
      <c r="H61" s="397"/>
      <c r="I61" s="396" t="str">
        <f t="shared" si="1"/>
        <v>Valid</v>
      </c>
    </row>
    <row r="62" spans="1:9" ht="12.75" customHeight="1" x14ac:dyDescent="0.2">
      <c r="A62" s="396">
        <v>58</v>
      </c>
      <c r="B62" s="397"/>
      <c r="C62" s="397"/>
      <c r="D62" s="397"/>
      <c r="E62" s="397"/>
      <c r="F62" s="397"/>
      <c r="G62" s="397">
        <f t="shared" si="2"/>
        <v>0</v>
      </c>
      <c r="H62" s="397"/>
      <c r="I62" s="396" t="str">
        <f t="shared" si="1"/>
        <v>Valid</v>
      </c>
    </row>
    <row r="63" spans="1:9" ht="12.75" customHeight="1" x14ac:dyDescent="0.2">
      <c r="A63" s="396">
        <v>59</v>
      </c>
      <c r="B63" s="397"/>
      <c r="C63" s="397"/>
      <c r="D63" s="397"/>
      <c r="E63" s="397"/>
      <c r="F63" s="397"/>
      <c r="G63" s="397">
        <f t="shared" si="2"/>
        <v>0</v>
      </c>
      <c r="H63" s="397"/>
      <c r="I63" s="396" t="str">
        <f t="shared" si="1"/>
        <v>Valid</v>
      </c>
    </row>
    <row r="64" spans="1:9" ht="12.75" customHeight="1" x14ac:dyDescent="0.2">
      <c r="A64" s="396">
        <v>60</v>
      </c>
      <c r="B64" s="397"/>
      <c r="C64" s="397"/>
      <c r="D64" s="397"/>
      <c r="E64" s="397"/>
      <c r="F64" s="397"/>
      <c r="G64" s="397">
        <f t="shared" si="2"/>
        <v>0</v>
      </c>
      <c r="H64" s="397"/>
      <c r="I64" s="396" t="str">
        <f t="shared" si="1"/>
        <v>Valid</v>
      </c>
    </row>
    <row r="65" spans="1:9" ht="12.75" customHeight="1" x14ac:dyDescent="0.2">
      <c r="A65" s="396">
        <v>61</v>
      </c>
      <c r="B65" s="397"/>
      <c r="C65" s="397"/>
      <c r="D65" s="397"/>
      <c r="E65" s="397"/>
      <c r="F65" s="397"/>
      <c r="G65" s="397">
        <f t="shared" si="2"/>
        <v>0</v>
      </c>
      <c r="H65" s="397"/>
      <c r="I65" s="396" t="str">
        <f t="shared" si="1"/>
        <v>Valid</v>
      </c>
    </row>
    <row r="66" spans="1:9" ht="12.75" customHeight="1" x14ac:dyDescent="0.2">
      <c r="A66" s="396">
        <v>62</v>
      </c>
      <c r="B66" s="397"/>
      <c r="C66" s="397"/>
      <c r="D66" s="397"/>
      <c r="E66" s="397"/>
      <c r="F66" s="397"/>
      <c r="G66" s="397">
        <f t="shared" si="2"/>
        <v>0</v>
      </c>
      <c r="H66" s="397"/>
      <c r="I66" s="396" t="str">
        <f t="shared" si="1"/>
        <v>Valid</v>
      </c>
    </row>
    <row r="67" spans="1:9" ht="12.75" customHeight="1" x14ac:dyDescent="0.2">
      <c r="A67" s="396">
        <v>63</v>
      </c>
      <c r="B67" s="397"/>
      <c r="C67" s="397"/>
      <c r="D67" s="397"/>
      <c r="E67" s="397"/>
      <c r="F67" s="397"/>
      <c r="G67" s="397">
        <f t="shared" si="2"/>
        <v>0</v>
      </c>
      <c r="H67" s="397"/>
      <c r="I67" s="396" t="str">
        <f t="shared" si="1"/>
        <v>Valid</v>
      </c>
    </row>
    <row r="68" spans="1:9" ht="12.75" customHeight="1" x14ac:dyDescent="0.2">
      <c r="A68" s="396">
        <v>64</v>
      </c>
      <c r="B68" s="397"/>
      <c r="C68" s="397"/>
      <c r="D68" s="397"/>
      <c r="E68" s="397"/>
      <c r="F68" s="397"/>
      <c r="G68" s="397">
        <f t="shared" si="2"/>
        <v>0</v>
      </c>
      <c r="H68" s="397"/>
      <c r="I68" s="396" t="str">
        <f t="shared" si="1"/>
        <v>Valid</v>
      </c>
    </row>
    <row r="69" spans="1:9" ht="12.75" customHeight="1" x14ac:dyDescent="0.2">
      <c r="A69" s="396">
        <v>65</v>
      </c>
      <c r="B69" s="397"/>
      <c r="C69" s="397"/>
      <c r="D69" s="397"/>
      <c r="E69" s="397"/>
      <c r="F69" s="397"/>
      <c r="G69" s="397">
        <f t="shared" ref="G69:G100" si="3">SUM(B69:F69)</f>
        <v>0</v>
      </c>
      <c r="H69" s="397"/>
      <c r="I69" s="396" t="str">
        <f t="shared" si="1"/>
        <v>Valid</v>
      </c>
    </row>
    <row r="70" spans="1:9" ht="12.75" customHeight="1" x14ac:dyDescent="0.2">
      <c r="A70" s="396">
        <v>66</v>
      </c>
      <c r="B70" s="397"/>
      <c r="C70" s="397"/>
      <c r="D70" s="397"/>
      <c r="E70" s="397"/>
      <c r="F70" s="397"/>
      <c r="G70" s="397">
        <f t="shared" si="3"/>
        <v>0</v>
      </c>
      <c r="H70" s="397"/>
      <c r="I70" s="396" t="str">
        <f t="shared" ref="I70:I124" si="4">IF(OR(B70&lt;0,C70&lt;0,D70&lt;0,E70&lt;0,F70&lt;0,ISTEXT(B70),ISTEXT(C70),ISTEXT(D70),ISTEXT(E70),ISTEXT(F70)),"Invalid","Valid")</f>
        <v>Valid</v>
      </c>
    </row>
    <row r="71" spans="1:9" ht="12.75" customHeight="1" x14ac:dyDescent="0.2">
      <c r="A71" s="396">
        <v>67</v>
      </c>
      <c r="B71" s="397"/>
      <c r="C71" s="397"/>
      <c r="D71" s="397"/>
      <c r="E71" s="397"/>
      <c r="F71" s="397"/>
      <c r="G71" s="397">
        <f t="shared" si="3"/>
        <v>0</v>
      </c>
      <c r="H71" s="397"/>
      <c r="I71" s="396" t="str">
        <f t="shared" si="4"/>
        <v>Valid</v>
      </c>
    </row>
    <row r="72" spans="1:9" ht="12.75" customHeight="1" x14ac:dyDescent="0.2">
      <c r="A72" s="396">
        <v>68</v>
      </c>
      <c r="B72" s="397"/>
      <c r="C72" s="397"/>
      <c r="D72" s="397"/>
      <c r="E72" s="397"/>
      <c r="F72" s="397"/>
      <c r="G72" s="397">
        <f t="shared" si="3"/>
        <v>0</v>
      </c>
      <c r="H72" s="397"/>
      <c r="I72" s="396" t="str">
        <f t="shared" si="4"/>
        <v>Valid</v>
      </c>
    </row>
    <row r="73" spans="1:9" ht="12.75" customHeight="1" x14ac:dyDescent="0.2">
      <c r="A73" s="396">
        <v>69</v>
      </c>
      <c r="B73" s="397"/>
      <c r="C73" s="397"/>
      <c r="D73" s="397"/>
      <c r="E73" s="397"/>
      <c r="F73" s="397"/>
      <c r="G73" s="397">
        <f t="shared" si="3"/>
        <v>0</v>
      </c>
      <c r="H73" s="397"/>
      <c r="I73" s="396" t="str">
        <f t="shared" si="4"/>
        <v>Valid</v>
      </c>
    </row>
    <row r="74" spans="1:9" ht="12.75" customHeight="1" x14ac:dyDescent="0.2">
      <c r="A74" s="396">
        <v>70</v>
      </c>
      <c r="B74" s="397"/>
      <c r="C74" s="397"/>
      <c r="D74" s="397"/>
      <c r="E74" s="397"/>
      <c r="F74" s="397"/>
      <c r="G74" s="397">
        <f t="shared" si="3"/>
        <v>0</v>
      </c>
      <c r="H74" s="397"/>
      <c r="I74" s="396" t="str">
        <f t="shared" si="4"/>
        <v>Valid</v>
      </c>
    </row>
    <row r="75" spans="1:9" ht="12.75" customHeight="1" x14ac:dyDescent="0.2">
      <c r="A75" s="396">
        <v>71</v>
      </c>
      <c r="B75" s="397"/>
      <c r="C75" s="397"/>
      <c r="D75" s="397"/>
      <c r="E75" s="397"/>
      <c r="F75" s="397"/>
      <c r="G75" s="397">
        <f t="shared" si="3"/>
        <v>0</v>
      </c>
      <c r="H75" s="397"/>
      <c r="I75" s="396" t="str">
        <f t="shared" si="4"/>
        <v>Valid</v>
      </c>
    </row>
    <row r="76" spans="1:9" ht="12.75" customHeight="1" x14ac:dyDescent="0.2">
      <c r="A76" s="396">
        <v>72</v>
      </c>
      <c r="B76" s="397"/>
      <c r="C76" s="397"/>
      <c r="D76" s="397"/>
      <c r="E76" s="397"/>
      <c r="F76" s="397"/>
      <c r="G76" s="397">
        <f t="shared" si="3"/>
        <v>0</v>
      </c>
      <c r="H76" s="397"/>
      <c r="I76" s="396" t="str">
        <f t="shared" si="4"/>
        <v>Valid</v>
      </c>
    </row>
    <row r="77" spans="1:9" ht="12.75" customHeight="1" x14ac:dyDescent="0.2">
      <c r="A77" s="396">
        <v>73</v>
      </c>
      <c r="B77" s="397"/>
      <c r="C77" s="397"/>
      <c r="D77" s="397"/>
      <c r="E77" s="397"/>
      <c r="F77" s="397"/>
      <c r="G77" s="397">
        <f t="shared" si="3"/>
        <v>0</v>
      </c>
      <c r="H77" s="397"/>
      <c r="I77" s="396" t="str">
        <f t="shared" si="4"/>
        <v>Valid</v>
      </c>
    </row>
    <row r="78" spans="1:9" ht="12.75" customHeight="1" x14ac:dyDescent="0.2">
      <c r="A78" s="396">
        <v>74</v>
      </c>
      <c r="B78" s="397"/>
      <c r="C78" s="397"/>
      <c r="D78" s="397"/>
      <c r="E78" s="397"/>
      <c r="F78" s="397"/>
      <c r="G78" s="397">
        <f t="shared" si="3"/>
        <v>0</v>
      </c>
      <c r="H78" s="397"/>
      <c r="I78" s="396" t="str">
        <f t="shared" si="4"/>
        <v>Valid</v>
      </c>
    </row>
    <row r="79" spans="1:9" ht="12.75" customHeight="1" x14ac:dyDescent="0.2">
      <c r="A79" s="396">
        <v>75</v>
      </c>
      <c r="B79" s="397"/>
      <c r="C79" s="397"/>
      <c r="D79" s="397"/>
      <c r="E79" s="397"/>
      <c r="F79" s="397"/>
      <c r="G79" s="397">
        <f t="shared" si="3"/>
        <v>0</v>
      </c>
      <c r="H79" s="397"/>
      <c r="I79" s="396" t="str">
        <f t="shared" si="4"/>
        <v>Valid</v>
      </c>
    </row>
    <row r="80" spans="1:9" ht="12.75" customHeight="1" x14ac:dyDescent="0.2">
      <c r="A80" s="396">
        <v>76</v>
      </c>
      <c r="B80" s="397"/>
      <c r="C80" s="397"/>
      <c r="D80" s="397"/>
      <c r="E80" s="397"/>
      <c r="F80" s="397"/>
      <c r="G80" s="397">
        <f t="shared" si="3"/>
        <v>0</v>
      </c>
      <c r="H80" s="397"/>
      <c r="I80" s="396" t="str">
        <f t="shared" si="4"/>
        <v>Valid</v>
      </c>
    </row>
    <row r="81" spans="1:9" ht="12.75" customHeight="1" x14ac:dyDescent="0.2">
      <c r="A81" s="396">
        <v>77</v>
      </c>
      <c r="B81" s="397"/>
      <c r="C81" s="397"/>
      <c r="D81" s="397"/>
      <c r="E81" s="397"/>
      <c r="F81" s="397"/>
      <c r="G81" s="397">
        <f t="shared" si="3"/>
        <v>0</v>
      </c>
      <c r="H81" s="397"/>
      <c r="I81" s="396" t="str">
        <f t="shared" si="4"/>
        <v>Valid</v>
      </c>
    </row>
    <row r="82" spans="1:9" ht="12.75" customHeight="1" x14ac:dyDescent="0.2">
      <c r="A82" s="396">
        <v>78</v>
      </c>
      <c r="B82" s="397"/>
      <c r="C82" s="397"/>
      <c r="D82" s="397"/>
      <c r="E82" s="397"/>
      <c r="F82" s="397"/>
      <c r="G82" s="397">
        <f t="shared" si="3"/>
        <v>0</v>
      </c>
      <c r="H82" s="397"/>
      <c r="I82" s="396" t="str">
        <f t="shared" si="4"/>
        <v>Valid</v>
      </c>
    </row>
    <row r="83" spans="1:9" ht="12.75" customHeight="1" x14ac:dyDescent="0.2">
      <c r="A83" s="396">
        <v>79</v>
      </c>
      <c r="B83" s="397"/>
      <c r="C83" s="397"/>
      <c r="D83" s="397"/>
      <c r="E83" s="397"/>
      <c r="F83" s="397"/>
      <c r="G83" s="397">
        <f t="shared" si="3"/>
        <v>0</v>
      </c>
      <c r="H83" s="397"/>
      <c r="I83" s="396" t="str">
        <f t="shared" si="4"/>
        <v>Valid</v>
      </c>
    </row>
    <row r="84" spans="1:9" ht="12.75" customHeight="1" x14ac:dyDescent="0.2">
      <c r="A84" s="396">
        <v>80</v>
      </c>
      <c r="B84" s="397"/>
      <c r="C84" s="397"/>
      <c r="D84" s="397"/>
      <c r="E84" s="397"/>
      <c r="F84" s="397"/>
      <c r="G84" s="397">
        <f t="shared" si="3"/>
        <v>0</v>
      </c>
      <c r="H84" s="397"/>
      <c r="I84" s="396" t="str">
        <f t="shared" si="4"/>
        <v>Valid</v>
      </c>
    </row>
    <row r="85" spans="1:9" ht="12.75" customHeight="1" x14ac:dyDescent="0.2">
      <c r="A85" s="396">
        <v>81</v>
      </c>
      <c r="B85" s="397"/>
      <c r="C85" s="397"/>
      <c r="D85" s="397"/>
      <c r="E85" s="397"/>
      <c r="F85" s="397"/>
      <c r="G85" s="397">
        <f t="shared" si="3"/>
        <v>0</v>
      </c>
      <c r="H85" s="397"/>
      <c r="I85" s="396" t="str">
        <f t="shared" si="4"/>
        <v>Valid</v>
      </c>
    </row>
    <row r="86" spans="1:9" ht="12.75" customHeight="1" x14ac:dyDescent="0.2">
      <c r="A86" s="396">
        <v>82</v>
      </c>
      <c r="B86" s="397"/>
      <c r="C86" s="397"/>
      <c r="D86" s="397"/>
      <c r="E86" s="397"/>
      <c r="F86" s="397"/>
      <c r="G86" s="397">
        <f t="shared" si="3"/>
        <v>0</v>
      </c>
      <c r="H86" s="397"/>
      <c r="I86" s="396" t="str">
        <f t="shared" si="4"/>
        <v>Valid</v>
      </c>
    </row>
    <row r="87" spans="1:9" ht="12.75" customHeight="1" x14ac:dyDescent="0.2">
      <c r="A87" s="396">
        <v>83</v>
      </c>
      <c r="B87" s="397"/>
      <c r="C87" s="397"/>
      <c r="D87" s="397"/>
      <c r="E87" s="397"/>
      <c r="F87" s="397"/>
      <c r="G87" s="397">
        <f t="shared" si="3"/>
        <v>0</v>
      </c>
      <c r="H87" s="397"/>
      <c r="I87" s="396" t="str">
        <f t="shared" si="4"/>
        <v>Valid</v>
      </c>
    </row>
    <row r="88" spans="1:9" ht="12.75" customHeight="1" x14ac:dyDescent="0.2">
      <c r="A88" s="396">
        <v>84</v>
      </c>
      <c r="B88" s="397"/>
      <c r="C88" s="397"/>
      <c r="D88" s="397"/>
      <c r="E88" s="397"/>
      <c r="F88" s="397"/>
      <c r="G88" s="397">
        <f t="shared" si="3"/>
        <v>0</v>
      </c>
      <c r="H88" s="397"/>
      <c r="I88" s="396" t="str">
        <f t="shared" si="4"/>
        <v>Valid</v>
      </c>
    </row>
    <row r="89" spans="1:9" ht="12.75" customHeight="1" x14ac:dyDescent="0.2">
      <c r="A89" s="396">
        <v>85</v>
      </c>
      <c r="B89" s="397"/>
      <c r="C89" s="397"/>
      <c r="D89" s="397"/>
      <c r="E89" s="397"/>
      <c r="F89" s="397"/>
      <c r="G89" s="397">
        <f t="shared" si="3"/>
        <v>0</v>
      </c>
      <c r="H89" s="397"/>
      <c r="I89" s="396" t="str">
        <f t="shared" si="4"/>
        <v>Valid</v>
      </c>
    </row>
    <row r="90" spans="1:9" ht="12.75" customHeight="1" x14ac:dyDescent="0.2">
      <c r="A90" s="396">
        <v>86</v>
      </c>
      <c r="B90" s="397"/>
      <c r="C90" s="397"/>
      <c r="D90" s="397"/>
      <c r="E90" s="397"/>
      <c r="F90" s="397"/>
      <c r="G90" s="397">
        <f t="shared" si="3"/>
        <v>0</v>
      </c>
      <c r="H90" s="397"/>
      <c r="I90" s="396" t="str">
        <f t="shared" si="4"/>
        <v>Valid</v>
      </c>
    </row>
    <row r="91" spans="1:9" ht="12.75" customHeight="1" x14ac:dyDescent="0.2">
      <c r="A91" s="396">
        <v>87</v>
      </c>
      <c r="B91" s="397"/>
      <c r="C91" s="397"/>
      <c r="D91" s="397"/>
      <c r="E91" s="397"/>
      <c r="F91" s="397"/>
      <c r="G91" s="397">
        <f t="shared" si="3"/>
        <v>0</v>
      </c>
      <c r="H91" s="397"/>
      <c r="I91" s="396" t="str">
        <f t="shared" si="4"/>
        <v>Valid</v>
      </c>
    </row>
    <row r="92" spans="1:9" ht="12.75" customHeight="1" x14ac:dyDescent="0.2">
      <c r="A92" s="396">
        <v>88</v>
      </c>
      <c r="B92" s="397"/>
      <c r="C92" s="397"/>
      <c r="D92" s="397"/>
      <c r="E92" s="397"/>
      <c r="F92" s="397"/>
      <c r="G92" s="397">
        <f t="shared" si="3"/>
        <v>0</v>
      </c>
      <c r="H92" s="397"/>
      <c r="I92" s="396" t="str">
        <f t="shared" si="4"/>
        <v>Valid</v>
      </c>
    </row>
    <row r="93" spans="1:9" ht="12.75" customHeight="1" x14ac:dyDescent="0.2">
      <c r="A93" s="396">
        <v>89</v>
      </c>
      <c r="B93" s="397"/>
      <c r="C93" s="397"/>
      <c r="D93" s="397"/>
      <c r="E93" s="397"/>
      <c r="F93" s="397"/>
      <c r="G93" s="397">
        <f t="shared" si="3"/>
        <v>0</v>
      </c>
      <c r="H93" s="397"/>
      <c r="I93" s="396" t="str">
        <f t="shared" si="4"/>
        <v>Valid</v>
      </c>
    </row>
    <row r="94" spans="1:9" ht="12.75" customHeight="1" x14ac:dyDescent="0.2">
      <c r="A94" s="396">
        <v>90</v>
      </c>
      <c r="B94" s="397"/>
      <c r="C94" s="397"/>
      <c r="D94" s="397"/>
      <c r="E94" s="397"/>
      <c r="F94" s="397"/>
      <c r="G94" s="397">
        <f t="shared" si="3"/>
        <v>0</v>
      </c>
      <c r="H94" s="397"/>
      <c r="I94" s="396" t="str">
        <f t="shared" si="4"/>
        <v>Valid</v>
      </c>
    </row>
    <row r="95" spans="1:9" ht="12.75" customHeight="1" x14ac:dyDescent="0.2">
      <c r="A95" s="396">
        <v>91</v>
      </c>
      <c r="B95" s="397"/>
      <c r="C95" s="397"/>
      <c r="D95" s="397"/>
      <c r="E95" s="397"/>
      <c r="F95" s="397"/>
      <c r="G95" s="397">
        <f t="shared" si="3"/>
        <v>0</v>
      </c>
      <c r="H95" s="397"/>
      <c r="I95" s="396" t="str">
        <f t="shared" si="4"/>
        <v>Valid</v>
      </c>
    </row>
    <row r="96" spans="1:9" ht="12.75" customHeight="1" x14ac:dyDescent="0.2">
      <c r="A96" s="396">
        <v>92</v>
      </c>
      <c r="B96" s="397"/>
      <c r="C96" s="397"/>
      <c r="D96" s="397"/>
      <c r="E96" s="397"/>
      <c r="F96" s="397"/>
      <c r="G96" s="397">
        <f t="shared" si="3"/>
        <v>0</v>
      </c>
      <c r="H96" s="397"/>
      <c r="I96" s="396" t="str">
        <f t="shared" si="4"/>
        <v>Valid</v>
      </c>
    </row>
    <row r="97" spans="1:9" ht="12.75" customHeight="1" x14ac:dyDescent="0.2">
      <c r="A97" s="396">
        <v>93</v>
      </c>
      <c r="B97" s="397"/>
      <c r="C97" s="397"/>
      <c r="D97" s="397"/>
      <c r="E97" s="397"/>
      <c r="F97" s="397"/>
      <c r="G97" s="397">
        <f t="shared" si="3"/>
        <v>0</v>
      </c>
      <c r="H97" s="397"/>
      <c r="I97" s="396" t="str">
        <f t="shared" si="4"/>
        <v>Valid</v>
      </c>
    </row>
    <row r="98" spans="1:9" ht="12.75" customHeight="1" x14ac:dyDescent="0.2">
      <c r="A98" s="396">
        <v>94</v>
      </c>
      <c r="B98" s="397"/>
      <c r="C98" s="397"/>
      <c r="D98" s="397"/>
      <c r="E98" s="397"/>
      <c r="F98" s="397"/>
      <c r="G98" s="397">
        <f t="shared" si="3"/>
        <v>0</v>
      </c>
      <c r="H98" s="397"/>
      <c r="I98" s="396" t="str">
        <f t="shared" si="4"/>
        <v>Valid</v>
      </c>
    </row>
    <row r="99" spans="1:9" ht="12.75" customHeight="1" x14ac:dyDescent="0.2">
      <c r="A99" s="396">
        <v>95</v>
      </c>
      <c r="B99" s="397"/>
      <c r="C99" s="397"/>
      <c r="D99" s="397"/>
      <c r="E99" s="397"/>
      <c r="F99" s="397"/>
      <c r="G99" s="397">
        <f t="shared" si="3"/>
        <v>0</v>
      </c>
      <c r="H99" s="397"/>
      <c r="I99" s="396" t="str">
        <f t="shared" si="4"/>
        <v>Valid</v>
      </c>
    </row>
    <row r="100" spans="1:9" ht="12.75" customHeight="1" x14ac:dyDescent="0.2">
      <c r="A100" s="396">
        <v>96</v>
      </c>
      <c r="B100" s="397"/>
      <c r="C100" s="397"/>
      <c r="D100" s="397"/>
      <c r="E100" s="397"/>
      <c r="F100" s="397"/>
      <c r="G100" s="397">
        <f t="shared" si="3"/>
        <v>0</v>
      </c>
      <c r="H100" s="397"/>
      <c r="I100" s="396" t="str">
        <f t="shared" si="4"/>
        <v>Valid</v>
      </c>
    </row>
    <row r="101" spans="1:9" ht="12.75" customHeight="1" x14ac:dyDescent="0.2">
      <c r="A101" s="396">
        <v>97</v>
      </c>
      <c r="B101" s="397"/>
      <c r="C101" s="397"/>
      <c r="D101" s="397"/>
      <c r="E101" s="397"/>
      <c r="F101" s="397"/>
      <c r="G101" s="397">
        <f t="shared" ref="G101:G124" si="5">SUM(B101:F101)</f>
        <v>0</v>
      </c>
      <c r="H101" s="397"/>
      <c r="I101" s="396" t="str">
        <f t="shared" si="4"/>
        <v>Valid</v>
      </c>
    </row>
    <row r="102" spans="1:9" ht="12.75" customHeight="1" x14ac:dyDescent="0.2">
      <c r="A102" s="396">
        <v>98</v>
      </c>
      <c r="B102" s="397"/>
      <c r="C102" s="397"/>
      <c r="D102" s="397"/>
      <c r="E102" s="397"/>
      <c r="F102" s="397"/>
      <c r="G102" s="397">
        <f t="shared" si="5"/>
        <v>0</v>
      </c>
      <c r="H102" s="397"/>
      <c r="I102" s="396" t="str">
        <f t="shared" si="4"/>
        <v>Valid</v>
      </c>
    </row>
    <row r="103" spans="1:9" ht="12.75" customHeight="1" x14ac:dyDescent="0.2">
      <c r="A103" s="396">
        <v>99</v>
      </c>
      <c r="B103" s="397"/>
      <c r="C103" s="397"/>
      <c r="D103" s="397"/>
      <c r="E103" s="397"/>
      <c r="F103" s="397"/>
      <c r="G103" s="397">
        <f t="shared" si="5"/>
        <v>0</v>
      </c>
      <c r="H103" s="397"/>
      <c r="I103" s="396" t="str">
        <f t="shared" si="4"/>
        <v>Valid</v>
      </c>
    </row>
    <row r="104" spans="1:9" ht="12.75" customHeight="1" x14ac:dyDescent="0.2">
      <c r="A104" s="396">
        <v>100</v>
      </c>
      <c r="B104" s="397"/>
      <c r="C104" s="397"/>
      <c r="D104" s="397"/>
      <c r="E104" s="397"/>
      <c r="F104" s="397"/>
      <c r="G104" s="397">
        <f t="shared" si="5"/>
        <v>0</v>
      </c>
      <c r="H104" s="397"/>
      <c r="I104" s="396" t="str">
        <f t="shared" si="4"/>
        <v>Valid</v>
      </c>
    </row>
    <row r="105" spans="1:9" ht="12.75" customHeight="1" x14ac:dyDescent="0.2">
      <c r="A105" s="396">
        <v>101</v>
      </c>
      <c r="B105" s="397"/>
      <c r="C105" s="397"/>
      <c r="D105" s="397"/>
      <c r="E105" s="397"/>
      <c r="F105" s="397"/>
      <c r="G105" s="397">
        <f t="shared" si="5"/>
        <v>0</v>
      </c>
      <c r="H105" s="397"/>
      <c r="I105" s="396" t="str">
        <f t="shared" si="4"/>
        <v>Valid</v>
      </c>
    </row>
    <row r="106" spans="1:9" ht="12.75" customHeight="1" x14ac:dyDescent="0.2">
      <c r="A106" s="396">
        <v>102</v>
      </c>
      <c r="B106" s="397"/>
      <c r="C106" s="397"/>
      <c r="D106" s="397"/>
      <c r="E106" s="397"/>
      <c r="F106" s="397"/>
      <c r="G106" s="397">
        <f t="shared" si="5"/>
        <v>0</v>
      </c>
      <c r="H106" s="397"/>
      <c r="I106" s="396" t="str">
        <f t="shared" si="4"/>
        <v>Valid</v>
      </c>
    </row>
    <row r="107" spans="1:9" ht="12.75" customHeight="1" x14ac:dyDescent="0.2">
      <c r="A107" s="396">
        <v>103</v>
      </c>
      <c r="B107" s="397"/>
      <c r="C107" s="397"/>
      <c r="D107" s="397"/>
      <c r="E107" s="397"/>
      <c r="F107" s="397"/>
      <c r="G107" s="397">
        <f t="shared" si="5"/>
        <v>0</v>
      </c>
      <c r="H107" s="397"/>
      <c r="I107" s="396" t="str">
        <f t="shared" si="4"/>
        <v>Valid</v>
      </c>
    </row>
    <row r="108" spans="1:9" ht="12.75" customHeight="1" x14ac:dyDescent="0.2">
      <c r="A108" s="396">
        <v>104</v>
      </c>
      <c r="B108" s="397"/>
      <c r="C108" s="397"/>
      <c r="D108" s="397"/>
      <c r="E108" s="397"/>
      <c r="F108" s="397"/>
      <c r="G108" s="397">
        <f t="shared" si="5"/>
        <v>0</v>
      </c>
      <c r="H108" s="397"/>
      <c r="I108" s="396" t="str">
        <f t="shared" si="4"/>
        <v>Valid</v>
      </c>
    </row>
    <row r="109" spans="1:9" ht="12.75" customHeight="1" x14ac:dyDescent="0.2">
      <c r="A109" s="396">
        <v>105</v>
      </c>
      <c r="B109" s="397"/>
      <c r="C109" s="397"/>
      <c r="D109" s="397"/>
      <c r="E109" s="397"/>
      <c r="F109" s="397"/>
      <c r="G109" s="397">
        <f t="shared" si="5"/>
        <v>0</v>
      </c>
      <c r="H109" s="397"/>
      <c r="I109" s="396" t="str">
        <f t="shared" si="4"/>
        <v>Valid</v>
      </c>
    </row>
    <row r="110" spans="1:9" ht="12.75" customHeight="1" x14ac:dyDescent="0.2">
      <c r="A110" s="396">
        <v>106</v>
      </c>
      <c r="B110" s="397"/>
      <c r="C110" s="397"/>
      <c r="D110" s="397"/>
      <c r="E110" s="397"/>
      <c r="F110" s="397"/>
      <c r="G110" s="397">
        <f t="shared" si="5"/>
        <v>0</v>
      </c>
      <c r="H110" s="397"/>
      <c r="I110" s="396" t="str">
        <f t="shared" si="4"/>
        <v>Valid</v>
      </c>
    </row>
    <row r="111" spans="1:9" ht="12.75" customHeight="1" x14ac:dyDescent="0.2">
      <c r="A111" s="396">
        <v>107</v>
      </c>
      <c r="B111" s="397"/>
      <c r="C111" s="397"/>
      <c r="D111" s="397"/>
      <c r="E111" s="397"/>
      <c r="F111" s="397"/>
      <c r="G111" s="397">
        <f t="shared" si="5"/>
        <v>0</v>
      </c>
      <c r="H111" s="397"/>
      <c r="I111" s="396" t="str">
        <f t="shared" si="4"/>
        <v>Valid</v>
      </c>
    </row>
    <row r="112" spans="1:9" ht="12.75" customHeight="1" x14ac:dyDescent="0.2">
      <c r="A112" s="396">
        <v>108</v>
      </c>
      <c r="B112" s="397"/>
      <c r="C112" s="397"/>
      <c r="D112" s="397"/>
      <c r="E112" s="397"/>
      <c r="F112" s="397"/>
      <c r="G112" s="397">
        <f t="shared" si="5"/>
        <v>0</v>
      </c>
      <c r="H112" s="397"/>
      <c r="I112" s="396" t="str">
        <f t="shared" si="4"/>
        <v>Valid</v>
      </c>
    </row>
    <row r="113" spans="1:9" ht="12.75" customHeight="1" x14ac:dyDescent="0.2">
      <c r="A113" s="396">
        <v>109</v>
      </c>
      <c r="B113" s="397"/>
      <c r="C113" s="397"/>
      <c r="D113" s="397"/>
      <c r="E113" s="397"/>
      <c r="F113" s="397"/>
      <c r="G113" s="397">
        <f t="shared" si="5"/>
        <v>0</v>
      </c>
      <c r="H113" s="397"/>
      <c r="I113" s="396" t="str">
        <f t="shared" si="4"/>
        <v>Valid</v>
      </c>
    </row>
    <row r="114" spans="1:9" ht="12.75" customHeight="1" x14ac:dyDescent="0.2">
      <c r="A114" s="396">
        <v>110</v>
      </c>
      <c r="B114" s="397"/>
      <c r="C114" s="397"/>
      <c r="D114" s="397"/>
      <c r="E114" s="397"/>
      <c r="F114" s="397"/>
      <c r="G114" s="397">
        <f t="shared" si="5"/>
        <v>0</v>
      </c>
      <c r="H114" s="397"/>
      <c r="I114" s="396" t="str">
        <f t="shared" si="4"/>
        <v>Valid</v>
      </c>
    </row>
    <row r="115" spans="1:9" ht="12.75" customHeight="1" x14ac:dyDescent="0.2">
      <c r="A115" s="396">
        <v>111</v>
      </c>
      <c r="B115" s="397"/>
      <c r="C115" s="397"/>
      <c r="D115" s="397"/>
      <c r="E115" s="397"/>
      <c r="F115" s="397"/>
      <c r="G115" s="397">
        <f t="shared" si="5"/>
        <v>0</v>
      </c>
      <c r="H115" s="397"/>
      <c r="I115" s="396" t="str">
        <f t="shared" si="4"/>
        <v>Valid</v>
      </c>
    </row>
    <row r="116" spans="1:9" ht="12.75" customHeight="1" x14ac:dyDescent="0.2">
      <c r="A116" s="396">
        <v>112</v>
      </c>
      <c r="B116" s="397"/>
      <c r="C116" s="397"/>
      <c r="D116" s="397"/>
      <c r="E116" s="397"/>
      <c r="F116" s="397"/>
      <c r="G116" s="397">
        <f t="shared" si="5"/>
        <v>0</v>
      </c>
      <c r="H116" s="397"/>
      <c r="I116" s="396" t="str">
        <f t="shared" si="4"/>
        <v>Valid</v>
      </c>
    </row>
    <row r="117" spans="1:9" ht="12.75" customHeight="1" x14ac:dyDescent="0.2">
      <c r="A117" s="396">
        <v>113</v>
      </c>
      <c r="B117" s="397"/>
      <c r="C117" s="397"/>
      <c r="D117" s="397"/>
      <c r="E117" s="397"/>
      <c r="F117" s="397"/>
      <c r="G117" s="397">
        <f t="shared" si="5"/>
        <v>0</v>
      </c>
      <c r="H117" s="397"/>
      <c r="I117" s="396" t="str">
        <f t="shared" si="4"/>
        <v>Valid</v>
      </c>
    </row>
    <row r="118" spans="1:9" ht="12.75" customHeight="1" x14ac:dyDescent="0.2">
      <c r="A118" s="396">
        <v>114</v>
      </c>
      <c r="B118" s="397"/>
      <c r="C118" s="397"/>
      <c r="D118" s="397"/>
      <c r="E118" s="397"/>
      <c r="F118" s="397"/>
      <c r="G118" s="397">
        <f t="shared" si="5"/>
        <v>0</v>
      </c>
      <c r="H118" s="397"/>
      <c r="I118" s="396" t="str">
        <f t="shared" si="4"/>
        <v>Valid</v>
      </c>
    </row>
    <row r="119" spans="1:9" ht="12.75" customHeight="1" x14ac:dyDescent="0.2">
      <c r="A119" s="396">
        <v>115</v>
      </c>
      <c r="B119" s="397"/>
      <c r="C119" s="397"/>
      <c r="D119" s="397"/>
      <c r="E119" s="397"/>
      <c r="F119" s="397"/>
      <c r="G119" s="397">
        <f t="shared" si="5"/>
        <v>0</v>
      </c>
      <c r="H119" s="397"/>
      <c r="I119" s="396" t="str">
        <f t="shared" si="4"/>
        <v>Valid</v>
      </c>
    </row>
    <row r="120" spans="1:9" ht="12.75" customHeight="1" x14ac:dyDescent="0.2">
      <c r="A120" s="396">
        <v>116</v>
      </c>
      <c r="B120" s="397"/>
      <c r="C120" s="397"/>
      <c r="D120" s="397"/>
      <c r="E120" s="397"/>
      <c r="F120" s="397"/>
      <c r="G120" s="397">
        <f t="shared" si="5"/>
        <v>0</v>
      </c>
      <c r="H120" s="397"/>
      <c r="I120" s="396" t="str">
        <f t="shared" si="4"/>
        <v>Valid</v>
      </c>
    </row>
    <row r="121" spans="1:9" ht="12.75" customHeight="1" x14ac:dyDescent="0.2">
      <c r="A121" s="396">
        <v>117</v>
      </c>
      <c r="B121" s="397"/>
      <c r="C121" s="397"/>
      <c r="D121" s="397"/>
      <c r="E121" s="397"/>
      <c r="F121" s="397"/>
      <c r="G121" s="397">
        <f t="shared" si="5"/>
        <v>0</v>
      </c>
      <c r="H121" s="397"/>
      <c r="I121" s="396" t="str">
        <f t="shared" si="4"/>
        <v>Valid</v>
      </c>
    </row>
    <row r="122" spans="1:9" ht="12.75" customHeight="1" x14ac:dyDescent="0.2">
      <c r="A122" s="396">
        <v>118</v>
      </c>
      <c r="B122" s="397"/>
      <c r="C122" s="397"/>
      <c r="D122" s="397"/>
      <c r="E122" s="397"/>
      <c r="F122" s="397"/>
      <c r="G122" s="397">
        <f t="shared" si="5"/>
        <v>0</v>
      </c>
      <c r="H122" s="397"/>
      <c r="I122" s="396" t="str">
        <f t="shared" si="4"/>
        <v>Valid</v>
      </c>
    </row>
    <row r="123" spans="1:9" ht="12.75" customHeight="1" x14ac:dyDescent="0.2">
      <c r="A123" s="396">
        <v>119</v>
      </c>
      <c r="B123" s="397"/>
      <c r="C123" s="397"/>
      <c r="D123" s="397"/>
      <c r="E123" s="397"/>
      <c r="F123" s="397"/>
      <c r="G123" s="397">
        <f t="shared" si="5"/>
        <v>0</v>
      </c>
      <c r="H123" s="397"/>
      <c r="I123" s="396" t="str">
        <f t="shared" si="4"/>
        <v>Valid</v>
      </c>
    </row>
    <row r="124" spans="1:9" ht="12.75" customHeight="1" x14ac:dyDescent="0.2">
      <c r="A124" s="396">
        <v>120</v>
      </c>
      <c r="B124" s="397"/>
      <c r="C124" s="397"/>
      <c r="D124" s="397"/>
      <c r="E124" s="397"/>
      <c r="F124" s="397"/>
      <c r="G124" s="397">
        <f t="shared" si="5"/>
        <v>0</v>
      </c>
      <c r="H124" s="397"/>
      <c r="I124" s="396" t="str">
        <f t="shared" si="4"/>
        <v>Valid</v>
      </c>
    </row>
  </sheetData>
  <sheetProtection autoFilter="0"/>
  <autoFilter ref="A4:I4" xr:uid="{3D89EE98-2E31-4C7B-9E00-071AFB839109}"/>
  <mergeCells count="1">
    <mergeCell ref="B3:F3"/>
  </mergeCells>
  <dataValidations count="1">
    <dataValidation type="decimal" operator="greaterThanOrEqual" allowBlank="1" showErrorMessage="1" error="Please enter only positive values" sqref="B1:F1 B5:F7684" xr:uid="{4C735EDA-7411-4C4F-B017-C70D1ED7CFC7}">
      <formula1>0</formula1>
    </dataValidation>
  </dataValidations>
  <pageMargins left="0.70866141732283472" right="0.70866141732283472" top="0.74803149606299213" bottom="0.74803149606299213" header="0.31496062992125984" footer="0.31496062992125984"/>
  <pageSetup paperSize="8" orientation="landscape" r:id="rId1"/>
  <headerFooter>
    <oddHeader>&amp;LStructures Asset Management Planning Toolkit</oddHeader>
    <oddFooter>&amp;L&amp;A&amp;R&amp;P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_Y0">
    <tabColor theme="9" tint="0.59999389629810485"/>
  </sheetPr>
  <dimension ref="A1:AV100"/>
  <sheetViews>
    <sheetView showGridLines="0" zoomScale="70" zoomScaleNormal="70" workbookViewId="0">
      <pane ySplit="4" topLeftCell="A5" activePane="bottomLeft" state="frozen"/>
      <selection activeCell="D3" sqref="D3"/>
      <selection pane="bottomLeft" activeCell="B5" sqref="B5"/>
    </sheetView>
  </sheetViews>
  <sheetFormatPr defaultColWidth="2" defaultRowHeight="12.75" customHeight="1" x14ac:dyDescent="0.2"/>
  <cols>
    <col min="1" max="13" width="12.7109375" style="19" customWidth="1"/>
    <col min="14" max="14" width="3.7109375" style="19" customWidth="1"/>
    <col min="15" max="26" width="12.7109375" style="19" customWidth="1"/>
    <col min="27" max="27" width="3.7109375" style="19" customWidth="1"/>
    <col min="28" max="32" width="12.7109375" style="19" customWidth="1"/>
    <col min="33" max="36" width="18.7109375" style="19" customWidth="1"/>
    <col min="37" max="39" width="24.7109375" style="19" customWidth="1"/>
    <col min="40" max="40" width="3.7109375" style="19" customWidth="1"/>
    <col min="41" max="41" width="36.140625" style="27" customWidth="1"/>
    <col min="42" max="42" width="30.7109375" style="27" customWidth="1"/>
    <col min="43" max="44" width="12.7109375" style="27" customWidth="1"/>
    <col min="45" max="45" width="18.7109375" style="27" hidden="1" customWidth="1"/>
    <col min="46" max="46" width="12.7109375" style="27" customWidth="1"/>
    <col min="47" max="47" width="30.7109375" style="27" customWidth="1"/>
    <col min="48" max="48" width="12.7109375" style="27" customWidth="1"/>
    <col min="49" max="16384" width="2" style="19"/>
  </cols>
  <sheetData>
    <row r="1" spans="1:48" ht="12.75" hidden="1" customHeight="1" x14ac:dyDescent="0.2">
      <c r="A1" s="25">
        <f>Elements!A1</f>
        <v>0</v>
      </c>
      <c r="B1" s="25">
        <f>Elements!E1</f>
        <v>0</v>
      </c>
      <c r="C1" s="25">
        <f>SUMIF(Ref00_Condition,B1,Ref00_ECS)</f>
        <v>0</v>
      </c>
      <c r="D1" s="25">
        <f>IFERROR(IF(B1="5E",INDEX(Ref00_ECS,17),INDEX(Ref00_ECS,MATCH(C1,Ref00_ECS)+1)),0)</f>
        <v>0</v>
      </c>
      <c r="E1" s="231">
        <f>'Ref99'!A1</f>
        <v>0</v>
      </c>
      <c r="F1" s="232">
        <f>C1+E1*(D1-C1)</f>
        <v>0</v>
      </c>
      <c r="G1" s="25">
        <f>IF(A1=0,0,INDEX(Ref14_ElementImportance,Elements!AA1,1))</f>
        <v>0</v>
      </c>
      <c r="H1" s="25">
        <f>IF(A1=0,0,INDEX(Ref14_EIF,Elements!AA1,1))</f>
        <v>0</v>
      </c>
      <c r="I1" s="233">
        <f>IF(G1="Very High",0,IF(G1="High",(0.3-((C1-1)*(0.3/4))),IF(G1="Medium",(0.6-((C1-1)*(0.6/4))),IF(G1="Low",(1.2-((C1-1)*(1.2/4))),0))))</f>
        <v>0</v>
      </c>
      <c r="J1" s="233">
        <f>IF(C1=0,0,IF(H1=0,0,MAX(C1-I1,1)))</f>
        <v>0</v>
      </c>
      <c r="K1" s="233">
        <f>H1*J1</f>
        <v>0</v>
      </c>
      <c r="L1" s="233">
        <f>IF(OR(H1=2,H1=1.5),F1,0)</f>
        <v>0</v>
      </c>
      <c r="M1" s="25">
        <f>IF(H1=2,J1,0)</f>
        <v>0</v>
      </c>
      <c r="O1" s="19">
        <f>Structures!A1</f>
        <v>0</v>
      </c>
      <c r="P1" s="19" t="e">
        <f ca="1">IF(SUMPRODUCT(MAX(( INDEX(Ele_ElementOnStructureNum,AB1):INDEX(Ele_ElementOnStructureNum,AC1)=O1)*INDEX(y0_ECSwhereElementImportVHandH,AB1):INDEX(y0_ECSwhereElementImportVHandH,AC1)))&gt;=5,5,IF(SUMPRODUCT(MAX(( INDEX(Ele_ElementOnStructureNum,AB1):INDEX(Ele_ElementOnStructureNum,AC1)=O1)*INDEX(y0_ECSwhereElementImportVHandH,AB1):INDEX(y0_ECSwhereElementImportVHandH,AC1)))&gt;=4,4,0))</f>
        <v>#REF!</v>
      </c>
      <c r="Q1" s="25" t="e">
        <f ca="1">IF(P1=4,INDEX(Ref10_TrafficRestrictionCode,MATCH(Structures!BA1,'Ref10'!$B$5:$B$11,0),2),IF(P1=5,INDEX(Ref10_TrafficRestrictionCode,MATCH(Structures!BA1,'Ref10'!$B$5:$B$11,0),3),0))</f>
        <v>#REF!</v>
      </c>
      <c r="R1" s="233" t="e">
        <f ca="1">IF(P1=0,0,INDEX(Str_LengthofStructure,O1,1))</f>
        <v>#REF!</v>
      </c>
      <c r="S1" s="19" t="e">
        <f ca="1">IF(R1=0,0,IF(R1&lt;=10,0,IF(R1&lt;=20,10.0001,20.0001)))</f>
        <v>#REF!</v>
      </c>
      <c r="T1" s="19" t="e">
        <f ca="1">MATCH(S1,Ref10_LengthGroupTrafficDelay,0)</f>
        <v>#REF!</v>
      </c>
      <c r="U1" s="19" t="e">
        <f ca="1">IF(P1=0,0,INDEX(Ref10_TrafficDelayDays,T1,Q1))</f>
        <v>#REF!</v>
      </c>
      <c r="V1" s="19" t="e">
        <f ca="1">IF(P1=0,0,INDEX(Str_TrafficOfStructure,O1,1))</f>
        <v>#REF!</v>
      </c>
      <c r="W1" s="19" t="e">
        <f ca="1">IF(V1=0,0,MATCH(V1,Ref10_TrafficVolume,0))</f>
        <v>#REF!</v>
      </c>
      <c r="X1" s="233" t="e">
        <f ca="1">IF(W1=0,0,INDEX(Ref10_DailyTrafficDelayRate,W1,2))</f>
        <v>#REF!</v>
      </c>
      <c r="Y1" s="233" t="e">
        <f ca="1">X1*U1*'Ref10'!$D$25</f>
        <v>#REF!</v>
      </c>
      <c r="Z1" s="26" t="e">
        <f ca="1">IF(Y1&gt;0,Structures!$F1,0)</f>
        <v>#REF!</v>
      </c>
      <c r="AA1" s="53"/>
      <c r="AB1" s="25" t="e">
        <f ca="1">Structures!BE1</f>
        <v>#REF!</v>
      </c>
      <c r="AC1" s="25" t="e">
        <f ca="1">Structures!BF1</f>
        <v>#REF!</v>
      </c>
      <c r="AD1" s="25" t="e">
        <f ca="1">SUMPRODUCT(MAX(( INDEX(Ele_ElementOnStructureNum,AB1):INDEX(Ele_ElementOnStructureNum,AC1)=O1)*INDEX(y0_ECIwhereElementImportVH,AB1):INDEX(y0_ECIwhereElementImportVH,AC1)))</f>
        <v>#REF!</v>
      </c>
      <c r="AE1" s="233" t="str">
        <f>IF(Structures!B1="","",IF(SUMIF(INDEX(Ele_ElementOnStructureNum,AB1):INDEX(Ele_ElementOnStructureNum,AC1),O1,INDEX(y0_EIF,AB1):INDEX(y0_EIF,AC1))=0,0,MIN(115-2*SUMIF(INDEX(Ele_ElementOnStructureNum,AB1):INDEX(Ele_ElementOnStructureNum,AC1),O1,INDEX(y0_ECIxEIF,AB1):INDEX(y0_ECIxEIF,AC1))/SUMIF(INDEX(Ele_ElementOnStructureNum,AB1):INDEX(Ele_ElementOnStructureNum,AC1),O1,INDEX(y0_EIF,AB1):INDEX(y0_EIF,AC1))*(SUMIF(INDEX(Ele_ElementOnStructureNum,AB1):INDEX(Ele_ElementOnStructureNum,AC1),O1,INDEX(y0_ECIxEIF,AB1):INDEX(y0_ECIxEIF,AC1))/SUMIF(INDEX(Ele_ElementOnStructureNum,AB1):INDEX(Ele_ElementOnStructureNum,AC1),O1,INDEX(y0_EIF,AB1):INDEX(y0_EIF,AC1))+6.5),100)))</f>
        <v/>
      </c>
      <c r="AF1" s="233" t="str">
        <f>IF(Structures!B1="","",MAX(MIN(115-2*AD1*(AD1+6.5),100),0))</f>
        <v/>
      </c>
      <c r="AG1" s="233">
        <f>IF(AE1="",0,AE1*Structures!AU1)</f>
        <v>0</v>
      </c>
      <c r="AH1" s="233">
        <f>IF(AF1="",0,AF1*Structures!AU1)</f>
        <v>0</v>
      </c>
      <c r="AI1" s="233">
        <f>IF(AE1="",0,AE1*Structures!BC1)</f>
        <v>0</v>
      </c>
      <c r="AJ1" s="233">
        <f>IF(AF1="",0,AF1*Structures!BC1)</f>
        <v>0</v>
      </c>
      <c r="AK1" s="25">
        <f>IF(AND(AE1&gt;'Ref15'!$D$33,AF1&gt;'Ref15'!$D$34),1,0)</f>
        <v>1</v>
      </c>
      <c r="AL1" s="233" t="e">
        <f>IF(AK1=1,Structures!AU1,0)</f>
        <v>#VALUE!</v>
      </c>
      <c r="AM1" s="233" t="e">
        <f>AL1*Structures!BB1</f>
        <v>#VALUE!</v>
      </c>
      <c r="AO1" s="289"/>
      <c r="AP1" s="289"/>
      <c r="AQ1" s="287"/>
      <c r="AR1" s="264"/>
      <c r="AS1" s="29"/>
      <c r="AT1" s="288"/>
      <c r="AU1" s="289"/>
      <c r="AV1" s="35"/>
    </row>
    <row r="2" spans="1:48" s="27" customFormat="1" ht="31.15" customHeight="1" x14ac:dyDescent="0.25">
      <c r="A2" s="527" t="s">
        <v>1818</v>
      </c>
      <c r="B2" s="528"/>
      <c r="C2" s="528"/>
      <c r="D2" s="528"/>
      <c r="E2" s="528"/>
      <c r="F2" s="528"/>
      <c r="G2" s="528"/>
      <c r="H2" s="528"/>
      <c r="I2" s="528"/>
      <c r="J2" s="528"/>
      <c r="K2" s="528"/>
      <c r="L2" s="528"/>
      <c r="M2" s="529"/>
      <c r="O2" s="527" t="s">
        <v>1819</v>
      </c>
      <c r="P2" s="528"/>
      <c r="Q2" s="528"/>
      <c r="R2" s="528"/>
      <c r="S2" s="528"/>
      <c r="T2" s="528"/>
      <c r="U2" s="528"/>
      <c r="V2" s="528"/>
      <c r="W2" s="528"/>
      <c r="X2" s="528"/>
      <c r="Y2" s="528"/>
      <c r="Z2" s="529"/>
      <c r="AA2" s="230"/>
      <c r="AB2" s="534" t="s">
        <v>1820</v>
      </c>
      <c r="AC2" s="535"/>
      <c r="AD2" s="535"/>
      <c r="AE2" s="535"/>
      <c r="AF2" s="535"/>
      <c r="AG2" s="535"/>
      <c r="AH2" s="535"/>
      <c r="AI2" s="535"/>
      <c r="AJ2" s="535"/>
      <c r="AK2" s="535"/>
      <c r="AL2" s="535"/>
      <c r="AM2" s="535"/>
      <c r="AO2" s="530" t="s">
        <v>1171</v>
      </c>
      <c r="AP2" s="531"/>
      <c r="AQ2" s="531"/>
      <c r="AR2" s="531"/>
      <c r="AS2" s="531"/>
      <c r="AT2" s="531"/>
      <c r="AU2" s="531"/>
      <c r="AV2" s="532"/>
    </row>
    <row r="3" spans="1:48" ht="40.15" customHeight="1" x14ac:dyDescent="0.2">
      <c r="AA3" s="53"/>
    </row>
    <row r="4" spans="1:48" ht="109.9" customHeight="1" x14ac:dyDescent="0.2">
      <c r="A4" s="238" t="s">
        <v>1851</v>
      </c>
      <c r="B4" s="238" t="s">
        <v>1852</v>
      </c>
      <c r="C4" s="238" t="s">
        <v>1853</v>
      </c>
      <c r="D4" s="238" t="s">
        <v>1854</v>
      </c>
      <c r="E4" s="238" t="s">
        <v>716</v>
      </c>
      <c r="F4" s="238" t="s">
        <v>1855</v>
      </c>
      <c r="G4" s="238" t="s">
        <v>202</v>
      </c>
      <c r="H4" s="238" t="s">
        <v>921</v>
      </c>
      <c r="I4" s="238" t="s">
        <v>919</v>
      </c>
      <c r="J4" s="238" t="s">
        <v>920</v>
      </c>
      <c r="K4" s="238" t="s">
        <v>1856</v>
      </c>
      <c r="L4" s="238" t="s">
        <v>1857</v>
      </c>
      <c r="M4" s="238" t="s">
        <v>646</v>
      </c>
      <c r="O4" s="238" t="s">
        <v>940</v>
      </c>
      <c r="P4" s="238" t="s">
        <v>1161</v>
      </c>
      <c r="Q4" s="238" t="s">
        <v>1162</v>
      </c>
      <c r="R4" s="238" t="s">
        <v>944</v>
      </c>
      <c r="S4" s="238" t="s">
        <v>918</v>
      </c>
      <c r="T4" s="238" t="s">
        <v>943</v>
      </c>
      <c r="U4" s="238" t="s">
        <v>916</v>
      </c>
      <c r="V4" s="238" t="s">
        <v>567</v>
      </c>
      <c r="W4" s="238" t="s">
        <v>942</v>
      </c>
      <c r="X4" s="238" t="s">
        <v>917</v>
      </c>
      <c r="Y4" s="238" t="s">
        <v>655</v>
      </c>
      <c r="Z4" s="238" t="s">
        <v>923</v>
      </c>
      <c r="AA4" s="53"/>
      <c r="AB4" s="238" t="s">
        <v>47</v>
      </c>
      <c r="AC4" s="238" t="s">
        <v>46</v>
      </c>
      <c r="AD4" s="238" t="s">
        <v>698</v>
      </c>
      <c r="AE4" s="238" t="s">
        <v>645</v>
      </c>
      <c r="AF4" s="238" t="s">
        <v>644</v>
      </c>
      <c r="AG4" s="238" t="s">
        <v>1858</v>
      </c>
      <c r="AH4" s="238" t="s">
        <v>1859</v>
      </c>
      <c r="AI4" s="238" t="s">
        <v>1860</v>
      </c>
      <c r="AJ4" s="238" t="s">
        <v>1861</v>
      </c>
      <c r="AK4" s="238" t="s">
        <v>1862</v>
      </c>
      <c r="AL4" s="238" t="s">
        <v>1783</v>
      </c>
      <c r="AM4" s="238" t="s">
        <v>785</v>
      </c>
      <c r="AQ4" s="262" t="s">
        <v>1794</v>
      </c>
      <c r="AR4" s="263"/>
      <c r="AV4" s="238" t="s">
        <v>1794</v>
      </c>
    </row>
    <row r="5" spans="1:48" ht="12.75" customHeight="1" x14ac:dyDescent="0.2">
      <c r="A5" s="25"/>
      <c r="B5" s="25"/>
      <c r="C5" s="25"/>
      <c r="D5" s="25"/>
      <c r="E5" s="231"/>
      <c r="F5" s="232"/>
      <c r="G5" s="25"/>
      <c r="H5" s="25"/>
      <c r="I5" s="233"/>
      <c r="J5" s="233"/>
      <c r="K5" s="233"/>
      <c r="L5" s="233"/>
      <c r="M5" s="25"/>
      <c r="Q5" s="25"/>
      <c r="R5" s="233"/>
      <c r="X5" s="233"/>
      <c r="Y5" s="233"/>
      <c r="Z5" s="26"/>
      <c r="AA5" s="53"/>
      <c r="AB5" s="25"/>
      <c r="AC5" s="25"/>
      <c r="AD5" s="25"/>
      <c r="AE5" s="233"/>
      <c r="AF5" s="233"/>
      <c r="AG5" s="233"/>
      <c r="AH5" s="233"/>
      <c r="AI5" s="233"/>
      <c r="AJ5" s="233"/>
      <c r="AK5" s="25"/>
      <c r="AL5" s="233"/>
      <c r="AM5" s="233"/>
      <c r="AO5" s="261" t="s">
        <v>8</v>
      </c>
      <c r="AP5" s="261"/>
      <c r="AQ5" s="266">
        <v>0</v>
      </c>
      <c r="AR5" s="264"/>
      <c r="AS5" s="29" t="s">
        <v>573</v>
      </c>
      <c r="AT5" s="533" t="s">
        <v>183</v>
      </c>
      <c r="AU5" s="238" t="s">
        <v>181</v>
      </c>
      <c r="AV5" s="266">
        <f t="shared" ref="AV5:AV11" ca="1" si="0">IFERROR(SUMIF(Str_AVFStructureType,$AS5,y0_SCIavDimensionforSSCI)/SUMIF(Str_AVFStructureType,$AS5,Str_DimensionforSSCI),0)</f>
        <v>0</v>
      </c>
    </row>
    <row r="6" spans="1:48" ht="12.75" customHeight="1" x14ac:dyDescent="0.2">
      <c r="A6" s="25"/>
      <c r="B6" s="25"/>
      <c r="C6" s="25"/>
      <c r="D6" s="25"/>
      <c r="E6" s="231"/>
      <c r="F6" s="232"/>
      <c r="G6" s="25"/>
      <c r="H6" s="25"/>
      <c r="I6" s="233"/>
      <c r="J6" s="233"/>
      <c r="K6" s="233"/>
      <c r="L6" s="233"/>
      <c r="M6" s="25"/>
      <c r="Q6" s="25"/>
      <c r="R6" s="233"/>
      <c r="X6" s="233"/>
      <c r="Y6" s="233"/>
      <c r="Z6" s="26"/>
      <c r="AA6" s="53"/>
      <c r="AB6" s="25"/>
      <c r="AC6" s="25"/>
      <c r="AD6" s="25"/>
      <c r="AE6" s="233"/>
      <c r="AF6" s="233"/>
      <c r="AG6" s="233"/>
      <c r="AH6" s="233"/>
      <c r="AI6" s="233"/>
      <c r="AJ6" s="233"/>
      <c r="AK6" s="25"/>
      <c r="AL6" s="233"/>
      <c r="AM6" s="233"/>
      <c r="AO6" s="261" t="s">
        <v>183</v>
      </c>
      <c r="AP6" s="261" t="s">
        <v>181</v>
      </c>
      <c r="AQ6" s="266">
        <f t="shared" ref="AQ6:AQ11" ca="1" si="1">AV5</f>
        <v>0</v>
      </c>
      <c r="AR6" s="264"/>
      <c r="AS6" s="30" t="s">
        <v>572</v>
      </c>
      <c r="AT6" s="533"/>
      <c r="AU6" s="238" t="s">
        <v>180</v>
      </c>
      <c r="AV6" s="266">
        <f t="shared" ca="1" si="0"/>
        <v>0</v>
      </c>
    </row>
    <row r="7" spans="1:48" ht="12.75" customHeight="1" x14ac:dyDescent="0.2">
      <c r="A7" s="25"/>
      <c r="B7" s="25"/>
      <c r="C7" s="25"/>
      <c r="D7" s="25"/>
      <c r="E7" s="231"/>
      <c r="F7" s="232"/>
      <c r="G7" s="25"/>
      <c r="H7" s="25"/>
      <c r="I7" s="233"/>
      <c r="J7" s="233"/>
      <c r="K7" s="233"/>
      <c r="L7" s="233"/>
      <c r="M7" s="25"/>
      <c r="Q7" s="25"/>
      <c r="R7" s="233"/>
      <c r="X7" s="233"/>
      <c r="Y7" s="233"/>
      <c r="Z7" s="26"/>
      <c r="AA7" s="53"/>
      <c r="AB7" s="25"/>
      <c r="AC7" s="25"/>
      <c r="AD7" s="25"/>
      <c r="AE7" s="233"/>
      <c r="AF7" s="233"/>
      <c r="AG7" s="233"/>
      <c r="AH7" s="233"/>
      <c r="AI7" s="233"/>
      <c r="AJ7" s="233"/>
      <c r="AK7" s="25"/>
      <c r="AL7" s="233"/>
      <c r="AM7" s="233"/>
      <c r="AO7" s="261"/>
      <c r="AP7" s="261" t="s">
        <v>180</v>
      </c>
      <c r="AQ7" s="266">
        <f t="shared" ca="1" si="1"/>
        <v>0</v>
      </c>
      <c r="AR7" s="264"/>
      <c r="AS7" s="29" t="s">
        <v>571</v>
      </c>
      <c r="AT7" s="533"/>
      <c r="AU7" s="238" t="s">
        <v>179</v>
      </c>
      <c r="AV7" s="266">
        <f t="shared" ca="1" si="0"/>
        <v>0</v>
      </c>
    </row>
    <row r="8" spans="1:48" ht="12.75" customHeight="1" x14ac:dyDescent="0.2">
      <c r="A8" s="25"/>
      <c r="B8" s="25"/>
      <c r="C8" s="25"/>
      <c r="D8" s="25"/>
      <c r="E8" s="231"/>
      <c r="F8" s="232"/>
      <c r="G8" s="25"/>
      <c r="H8" s="25"/>
      <c r="I8" s="233"/>
      <c r="J8" s="233"/>
      <c r="K8" s="233"/>
      <c r="L8" s="233"/>
      <c r="M8" s="25"/>
      <c r="Q8" s="25"/>
      <c r="R8" s="233"/>
      <c r="X8" s="233"/>
      <c r="Y8" s="233"/>
      <c r="Z8" s="26"/>
      <c r="AA8" s="26"/>
      <c r="AB8" s="25"/>
      <c r="AC8" s="25"/>
      <c r="AD8" s="25"/>
      <c r="AE8" s="233"/>
      <c r="AF8" s="233"/>
      <c r="AG8" s="233"/>
      <c r="AH8" s="233"/>
      <c r="AI8" s="233"/>
      <c r="AJ8" s="233"/>
      <c r="AK8" s="25"/>
      <c r="AL8" s="233"/>
      <c r="AM8" s="233"/>
      <c r="AO8" s="261"/>
      <c r="AP8" s="261" t="s">
        <v>179</v>
      </c>
      <c r="AQ8" s="266">
        <f t="shared" ca="1" si="1"/>
        <v>0</v>
      </c>
      <c r="AR8" s="264"/>
      <c r="AS8" s="29" t="s">
        <v>570</v>
      </c>
      <c r="AT8" s="533"/>
      <c r="AU8" s="238" t="s">
        <v>178</v>
      </c>
      <c r="AV8" s="266">
        <f t="shared" ca="1" si="0"/>
        <v>0</v>
      </c>
    </row>
    <row r="9" spans="1:48" ht="12.75" customHeight="1" x14ac:dyDescent="0.2">
      <c r="A9" s="25"/>
      <c r="B9" s="25"/>
      <c r="C9" s="25"/>
      <c r="D9" s="25"/>
      <c r="E9" s="231"/>
      <c r="F9" s="232"/>
      <c r="G9" s="25"/>
      <c r="H9" s="25"/>
      <c r="I9" s="233"/>
      <c r="J9" s="233"/>
      <c r="K9" s="233"/>
      <c r="L9" s="233"/>
      <c r="M9" s="25"/>
      <c r="Q9" s="25"/>
      <c r="R9" s="233"/>
      <c r="X9" s="233"/>
      <c r="Y9" s="233"/>
      <c r="Z9" s="26"/>
      <c r="AA9" s="26"/>
      <c r="AB9" s="25"/>
      <c r="AC9" s="25"/>
      <c r="AD9" s="25"/>
      <c r="AE9" s="233"/>
      <c r="AF9" s="233"/>
      <c r="AG9" s="233"/>
      <c r="AH9" s="233"/>
      <c r="AI9" s="233"/>
      <c r="AJ9" s="233"/>
      <c r="AK9" s="25"/>
      <c r="AL9" s="233"/>
      <c r="AM9" s="233"/>
      <c r="AO9" s="261"/>
      <c r="AP9" s="261" t="s">
        <v>178</v>
      </c>
      <c r="AQ9" s="266">
        <f t="shared" ca="1" si="1"/>
        <v>0</v>
      </c>
      <c r="AR9" s="264"/>
      <c r="AS9" s="29" t="s">
        <v>569</v>
      </c>
      <c r="AT9" s="533"/>
      <c r="AU9" s="238" t="s">
        <v>177</v>
      </c>
      <c r="AV9" s="266">
        <f t="shared" ca="1" si="0"/>
        <v>0</v>
      </c>
    </row>
    <row r="10" spans="1:48" ht="12.75" customHeight="1" x14ac:dyDescent="0.2">
      <c r="A10" s="25"/>
      <c r="B10" s="25"/>
      <c r="C10" s="25"/>
      <c r="D10" s="25"/>
      <c r="E10" s="231"/>
      <c r="F10" s="232"/>
      <c r="G10" s="25"/>
      <c r="H10" s="25"/>
      <c r="I10" s="233"/>
      <c r="J10" s="233"/>
      <c r="K10" s="233"/>
      <c r="L10" s="233"/>
      <c r="M10" s="25"/>
      <c r="Q10" s="25"/>
      <c r="R10" s="233"/>
      <c r="X10" s="233"/>
      <c r="Y10" s="233"/>
      <c r="Z10" s="26"/>
      <c r="AA10" s="26"/>
      <c r="AB10" s="25"/>
      <c r="AC10" s="25"/>
      <c r="AD10" s="25"/>
      <c r="AE10" s="233"/>
      <c r="AF10" s="233"/>
      <c r="AG10" s="233"/>
      <c r="AH10" s="233"/>
      <c r="AI10" s="233"/>
      <c r="AJ10" s="233"/>
      <c r="AK10" s="25"/>
      <c r="AL10" s="233"/>
      <c r="AM10" s="233"/>
      <c r="AO10" s="261"/>
      <c r="AP10" s="261" t="s">
        <v>177</v>
      </c>
      <c r="AQ10" s="266">
        <f t="shared" ca="1" si="1"/>
        <v>0</v>
      </c>
      <c r="AR10" s="264"/>
      <c r="AS10" s="29" t="s">
        <v>568</v>
      </c>
      <c r="AT10" s="533"/>
      <c r="AU10" s="238" t="s">
        <v>176</v>
      </c>
      <c r="AV10" s="266">
        <f t="shared" ca="1" si="0"/>
        <v>0</v>
      </c>
    </row>
    <row r="11" spans="1:48" ht="12.75" customHeight="1" x14ac:dyDescent="0.2">
      <c r="A11" s="25"/>
      <c r="B11" s="25"/>
      <c r="C11" s="25"/>
      <c r="D11" s="25"/>
      <c r="E11" s="231"/>
      <c r="F11" s="232"/>
      <c r="G11" s="25"/>
      <c r="H11" s="25"/>
      <c r="I11" s="233"/>
      <c r="J11" s="233"/>
      <c r="K11" s="233"/>
      <c r="L11" s="233"/>
      <c r="M11" s="25"/>
      <c r="Q11" s="25"/>
      <c r="R11" s="233"/>
      <c r="X11" s="233"/>
      <c r="Y11" s="233"/>
      <c r="Z11" s="26"/>
      <c r="AA11" s="26"/>
      <c r="AB11" s="25"/>
      <c r="AC11" s="25"/>
      <c r="AD11" s="25"/>
      <c r="AE11" s="233"/>
      <c r="AF11" s="233"/>
      <c r="AG11" s="233"/>
      <c r="AH11" s="233"/>
      <c r="AI11" s="233"/>
      <c r="AJ11" s="233"/>
      <c r="AK11" s="25"/>
      <c r="AL11" s="233"/>
      <c r="AM11" s="233"/>
      <c r="AO11" s="261"/>
      <c r="AP11" s="261" t="s">
        <v>176</v>
      </c>
      <c r="AQ11" s="267">
        <f t="shared" ca="1" si="1"/>
        <v>0</v>
      </c>
      <c r="AR11" s="264"/>
      <c r="AS11" s="31" t="s">
        <v>681</v>
      </c>
      <c r="AT11" s="533"/>
      <c r="AU11" s="238" t="s">
        <v>25</v>
      </c>
      <c r="AV11" s="266">
        <f t="shared" ca="1" si="0"/>
        <v>0</v>
      </c>
    </row>
    <row r="12" spans="1:48" ht="12.75" customHeight="1" x14ac:dyDescent="0.2">
      <c r="A12" s="25"/>
      <c r="B12" s="25"/>
      <c r="C12" s="25"/>
      <c r="D12" s="25"/>
      <c r="E12" s="231"/>
      <c r="F12" s="232"/>
      <c r="G12" s="25"/>
      <c r="H12" s="25"/>
      <c r="I12" s="233"/>
      <c r="J12" s="233"/>
      <c r="K12" s="233"/>
      <c r="L12" s="233"/>
      <c r="M12" s="25"/>
      <c r="Q12" s="25"/>
      <c r="R12" s="233"/>
      <c r="X12" s="233"/>
      <c r="Y12" s="233"/>
      <c r="Z12" s="26"/>
      <c r="AA12" s="26"/>
      <c r="AB12" s="25"/>
      <c r="AC12" s="25"/>
      <c r="AD12" s="25"/>
      <c r="AE12" s="233"/>
      <c r="AF12" s="233"/>
      <c r="AG12" s="233"/>
      <c r="AH12" s="233"/>
      <c r="AI12" s="233"/>
      <c r="AJ12" s="233"/>
      <c r="AK12" s="25"/>
      <c r="AL12" s="233"/>
      <c r="AM12" s="233"/>
      <c r="AO12" s="261"/>
      <c r="AP12" s="261" t="s">
        <v>736</v>
      </c>
      <c r="AQ12" s="266">
        <f t="shared" ref="AQ12:AQ18" ca="1" si="2">AV12</f>
        <v>0</v>
      </c>
      <c r="AR12" s="264"/>
      <c r="AT12" s="533"/>
      <c r="AU12" s="238" t="s">
        <v>706</v>
      </c>
      <c r="AV12" s="266">
        <f ca="1">IFERROR((SUM(y0_SCIavDimensionforSSCIxAVF))/(SUM(Str_DimensionforSSCIxAVF)),0)</f>
        <v>0</v>
      </c>
    </row>
    <row r="13" spans="1:48" ht="12.75" customHeight="1" x14ac:dyDescent="0.2">
      <c r="A13" s="25"/>
      <c r="B13" s="25"/>
      <c r="C13" s="25"/>
      <c r="D13" s="25"/>
      <c r="E13" s="231"/>
      <c r="F13" s="232"/>
      <c r="G13" s="25"/>
      <c r="H13" s="25"/>
      <c r="I13" s="233"/>
      <c r="J13" s="233"/>
      <c r="K13" s="233"/>
      <c r="L13" s="233"/>
      <c r="M13" s="25"/>
      <c r="Q13" s="25"/>
      <c r="R13" s="233"/>
      <c r="X13" s="233"/>
      <c r="Y13" s="233"/>
      <c r="Z13" s="26"/>
      <c r="AA13" s="26"/>
      <c r="AB13" s="25"/>
      <c r="AC13" s="25"/>
      <c r="AD13" s="25"/>
      <c r="AE13" s="233"/>
      <c r="AF13" s="233"/>
      <c r="AG13" s="233"/>
      <c r="AH13" s="233"/>
      <c r="AI13" s="233"/>
      <c r="AJ13" s="233"/>
      <c r="AK13" s="25"/>
      <c r="AL13" s="233"/>
      <c r="AM13" s="233"/>
      <c r="AO13" s="261" t="s">
        <v>182</v>
      </c>
      <c r="AP13" s="261" t="s">
        <v>181</v>
      </c>
      <c r="AQ13" s="266">
        <f t="shared" ca="1" si="2"/>
        <v>0</v>
      </c>
      <c r="AR13" s="264"/>
      <c r="AT13" s="533" t="s">
        <v>182</v>
      </c>
      <c r="AU13" s="238" t="s">
        <v>181</v>
      </c>
      <c r="AV13" s="266">
        <f t="shared" ref="AV13:AV19" ca="1" si="3">IFERROR(SUMIF(Str_AVFStructureType,$AS5,y0_SCIcritDimensionforSSCI)/SUMIF(Str_AVFStructureType,$AS5,Str_DimensionforSSCI),0)</f>
        <v>0</v>
      </c>
    </row>
    <row r="14" spans="1:48" ht="12.75" customHeight="1" x14ac:dyDescent="0.2">
      <c r="A14" s="25"/>
      <c r="B14" s="25"/>
      <c r="C14" s="25"/>
      <c r="D14" s="25"/>
      <c r="E14" s="231"/>
      <c r="F14" s="232"/>
      <c r="G14" s="25"/>
      <c r="H14" s="25"/>
      <c r="I14" s="233"/>
      <c r="J14" s="233"/>
      <c r="K14" s="233"/>
      <c r="L14" s="233"/>
      <c r="M14" s="25"/>
      <c r="Q14" s="25"/>
      <c r="R14" s="233"/>
      <c r="X14" s="233"/>
      <c r="Y14" s="233"/>
      <c r="Z14" s="26"/>
      <c r="AA14" s="26"/>
      <c r="AB14" s="25"/>
      <c r="AC14" s="25"/>
      <c r="AD14" s="25"/>
      <c r="AE14" s="233"/>
      <c r="AF14" s="233"/>
      <c r="AG14" s="233"/>
      <c r="AH14" s="233"/>
      <c r="AI14" s="233"/>
      <c r="AJ14" s="233"/>
      <c r="AK14" s="25"/>
      <c r="AL14" s="233"/>
      <c r="AM14" s="233"/>
      <c r="AO14" s="261"/>
      <c r="AP14" s="261" t="s">
        <v>180</v>
      </c>
      <c r="AQ14" s="266">
        <f t="shared" ca="1" si="2"/>
        <v>0</v>
      </c>
      <c r="AR14" s="264"/>
      <c r="AT14" s="533"/>
      <c r="AU14" s="238" t="s">
        <v>180</v>
      </c>
      <c r="AV14" s="266">
        <f t="shared" ca="1" si="3"/>
        <v>0</v>
      </c>
    </row>
    <row r="15" spans="1:48" ht="12.75" customHeight="1" x14ac:dyDescent="0.2">
      <c r="A15" s="25"/>
      <c r="B15" s="25"/>
      <c r="C15" s="25"/>
      <c r="D15" s="25"/>
      <c r="E15" s="231"/>
      <c r="F15" s="232"/>
      <c r="G15" s="25"/>
      <c r="H15" s="25"/>
      <c r="I15" s="233"/>
      <c r="J15" s="233"/>
      <c r="K15" s="233"/>
      <c r="L15" s="233"/>
      <c r="M15" s="25"/>
      <c r="Q15" s="25"/>
      <c r="R15" s="233"/>
      <c r="X15" s="233"/>
      <c r="Y15" s="233"/>
      <c r="Z15" s="26"/>
      <c r="AA15" s="26"/>
      <c r="AB15" s="25"/>
      <c r="AC15" s="25"/>
      <c r="AD15" s="25"/>
      <c r="AE15" s="233"/>
      <c r="AF15" s="233"/>
      <c r="AG15" s="233"/>
      <c r="AH15" s="233"/>
      <c r="AI15" s="233"/>
      <c r="AJ15" s="233"/>
      <c r="AK15" s="25"/>
      <c r="AL15" s="233"/>
      <c r="AM15" s="233"/>
      <c r="AO15" s="261"/>
      <c r="AP15" s="261" t="s">
        <v>179</v>
      </c>
      <c r="AQ15" s="266">
        <f t="shared" ca="1" si="2"/>
        <v>0</v>
      </c>
      <c r="AR15" s="264"/>
      <c r="AT15" s="533"/>
      <c r="AU15" s="238" t="s">
        <v>179</v>
      </c>
      <c r="AV15" s="266">
        <f t="shared" ca="1" si="3"/>
        <v>0</v>
      </c>
    </row>
    <row r="16" spans="1:48" ht="12.75" customHeight="1" x14ac:dyDescent="0.2">
      <c r="A16" s="25"/>
      <c r="B16" s="25"/>
      <c r="C16" s="25"/>
      <c r="D16" s="25"/>
      <c r="E16" s="231"/>
      <c r="F16" s="232"/>
      <c r="G16" s="25"/>
      <c r="H16" s="25"/>
      <c r="I16" s="233"/>
      <c r="J16" s="233"/>
      <c r="K16" s="233"/>
      <c r="L16" s="233"/>
      <c r="M16" s="25"/>
      <c r="Q16" s="25"/>
      <c r="R16" s="233"/>
      <c r="X16" s="233"/>
      <c r="Y16" s="233"/>
      <c r="Z16" s="26"/>
      <c r="AA16" s="26"/>
      <c r="AB16" s="25"/>
      <c r="AC16" s="25"/>
      <c r="AD16" s="25"/>
      <c r="AE16" s="233"/>
      <c r="AF16" s="233"/>
      <c r="AG16" s="233"/>
      <c r="AH16" s="233"/>
      <c r="AI16" s="233"/>
      <c r="AJ16" s="233"/>
      <c r="AK16" s="25"/>
      <c r="AL16" s="233"/>
      <c r="AM16" s="233"/>
      <c r="AO16" s="261"/>
      <c r="AP16" s="261" t="s">
        <v>178</v>
      </c>
      <c r="AQ16" s="266">
        <f t="shared" ca="1" si="2"/>
        <v>0</v>
      </c>
      <c r="AR16" s="264"/>
      <c r="AT16" s="533"/>
      <c r="AU16" s="238" t="s">
        <v>178</v>
      </c>
      <c r="AV16" s="266">
        <f t="shared" ca="1" si="3"/>
        <v>0</v>
      </c>
    </row>
    <row r="17" spans="1:48" ht="12.75" customHeight="1" x14ac:dyDescent="0.2">
      <c r="A17" s="25"/>
      <c r="B17" s="25"/>
      <c r="C17" s="25"/>
      <c r="D17" s="25"/>
      <c r="E17" s="231"/>
      <c r="F17" s="232"/>
      <c r="G17" s="25"/>
      <c r="H17" s="25"/>
      <c r="I17" s="233"/>
      <c r="J17" s="233"/>
      <c r="K17" s="233"/>
      <c r="L17" s="233"/>
      <c r="M17" s="25"/>
      <c r="Q17" s="25"/>
      <c r="R17" s="233"/>
      <c r="X17" s="233"/>
      <c r="Y17" s="233"/>
      <c r="Z17" s="26"/>
      <c r="AA17" s="26"/>
      <c r="AB17" s="25"/>
      <c r="AC17" s="25"/>
      <c r="AD17" s="25"/>
      <c r="AE17" s="233"/>
      <c r="AF17" s="233"/>
      <c r="AG17" s="233"/>
      <c r="AH17" s="233"/>
      <c r="AI17" s="233"/>
      <c r="AJ17" s="233"/>
      <c r="AK17" s="25"/>
      <c r="AL17" s="233"/>
      <c r="AM17" s="233"/>
      <c r="AO17" s="261"/>
      <c r="AP17" s="261" t="s">
        <v>177</v>
      </c>
      <c r="AQ17" s="266">
        <f t="shared" ca="1" si="2"/>
        <v>0</v>
      </c>
      <c r="AR17" s="264"/>
      <c r="AT17" s="533"/>
      <c r="AU17" s="238" t="s">
        <v>177</v>
      </c>
      <c r="AV17" s="266">
        <f t="shared" ca="1" si="3"/>
        <v>0</v>
      </c>
    </row>
    <row r="18" spans="1:48" ht="12.75" customHeight="1" x14ac:dyDescent="0.2">
      <c r="A18" s="25"/>
      <c r="B18" s="25"/>
      <c r="C18" s="25"/>
      <c r="D18" s="25"/>
      <c r="E18" s="231"/>
      <c r="F18" s="232"/>
      <c r="G18" s="25"/>
      <c r="H18" s="25"/>
      <c r="I18" s="233"/>
      <c r="J18" s="233"/>
      <c r="K18" s="233"/>
      <c r="L18" s="233"/>
      <c r="M18" s="25"/>
      <c r="Q18" s="25"/>
      <c r="R18" s="233"/>
      <c r="X18" s="233"/>
      <c r="Y18" s="233"/>
      <c r="Z18" s="26"/>
      <c r="AA18" s="26"/>
      <c r="AB18" s="25"/>
      <c r="AC18" s="25"/>
      <c r="AD18" s="25"/>
      <c r="AE18" s="233"/>
      <c r="AF18" s="233"/>
      <c r="AG18" s="233"/>
      <c r="AH18" s="233"/>
      <c r="AI18" s="233"/>
      <c r="AJ18" s="233"/>
      <c r="AK18" s="25"/>
      <c r="AL18" s="233"/>
      <c r="AM18" s="233"/>
      <c r="AO18" s="261"/>
      <c r="AP18" s="261" t="s">
        <v>176</v>
      </c>
      <c r="AQ18" s="267">
        <f t="shared" ca="1" si="2"/>
        <v>0</v>
      </c>
      <c r="AR18" s="264"/>
      <c r="AT18" s="533"/>
      <c r="AU18" s="238" t="s">
        <v>176</v>
      </c>
      <c r="AV18" s="266">
        <f t="shared" ca="1" si="3"/>
        <v>0</v>
      </c>
    </row>
    <row r="19" spans="1:48" ht="12.75" customHeight="1" x14ac:dyDescent="0.2">
      <c r="A19" s="25"/>
      <c r="B19" s="25"/>
      <c r="C19" s="25"/>
      <c r="D19" s="25"/>
      <c r="E19" s="231"/>
      <c r="F19" s="232"/>
      <c r="G19" s="25"/>
      <c r="H19" s="25"/>
      <c r="I19" s="233"/>
      <c r="J19" s="233"/>
      <c r="K19" s="233"/>
      <c r="L19" s="233"/>
      <c r="M19" s="25"/>
      <c r="Q19" s="25"/>
      <c r="R19" s="233"/>
      <c r="X19" s="233"/>
      <c r="Y19" s="233"/>
      <c r="Z19" s="26"/>
      <c r="AA19" s="26"/>
      <c r="AB19" s="25"/>
      <c r="AC19" s="25"/>
      <c r="AD19" s="25"/>
      <c r="AE19" s="233"/>
      <c r="AF19" s="233"/>
      <c r="AG19" s="233"/>
      <c r="AH19" s="233"/>
      <c r="AI19" s="233"/>
      <c r="AJ19" s="233"/>
      <c r="AK19" s="25"/>
      <c r="AL19" s="233"/>
      <c r="AM19" s="233"/>
      <c r="AO19" s="261"/>
      <c r="AP19" s="261" t="s">
        <v>736</v>
      </c>
      <c r="AQ19" s="266">
        <f ca="1">AV20</f>
        <v>0</v>
      </c>
      <c r="AR19" s="264"/>
      <c r="AT19" s="533"/>
      <c r="AU19" s="238" t="s">
        <v>25</v>
      </c>
      <c r="AV19" s="266">
        <f t="shared" ca="1" si="3"/>
        <v>0</v>
      </c>
    </row>
    <row r="20" spans="1:48" ht="12.75" customHeight="1" x14ac:dyDescent="0.2">
      <c r="A20" s="25"/>
      <c r="B20" s="25"/>
      <c r="C20" s="25"/>
      <c r="D20" s="25"/>
      <c r="E20" s="231"/>
      <c r="F20" s="232"/>
      <c r="G20" s="25"/>
      <c r="H20" s="25"/>
      <c r="I20" s="233"/>
      <c r="J20" s="233"/>
      <c r="K20" s="233"/>
      <c r="L20" s="233"/>
      <c r="M20" s="25"/>
      <c r="Q20" s="25"/>
      <c r="R20" s="233"/>
      <c r="X20" s="233"/>
      <c r="Y20" s="233"/>
      <c r="Z20" s="26"/>
      <c r="AA20" s="26"/>
      <c r="AB20" s="25"/>
      <c r="AC20" s="25"/>
      <c r="AD20" s="25"/>
      <c r="AE20" s="233"/>
      <c r="AF20" s="233"/>
      <c r="AG20" s="233"/>
      <c r="AH20" s="233"/>
      <c r="AI20" s="233"/>
      <c r="AJ20" s="233"/>
      <c r="AK20" s="25"/>
      <c r="AL20" s="233"/>
      <c r="AM20" s="233"/>
      <c r="AO20" s="261" t="s">
        <v>710</v>
      </c>
      <c r="AP20" s="261"/>
      <c r="AQ20" s="268" t="e">
        <f ca="1">AV28</f>
        <v>#REF!</v>
      </c>
      <c r="AR20" s="264"/>
      <c r="AT20" s="533"/>
      <c r="AU20" s="238" t="s">
        <v>706</v>
      </c>
      <c r="AV20" s="266">
        <f ca="1">IFERROR((SUM(y0_SCIcritDimensionforSSCIxAVF))/(SUM(Str_DimensionforSSCIxAVF)),0)</f>
        <v>0</v>
      </c>
    </row>
    <row r="21" spans="1:48" ht="12.75" customHeight="1" x14ac:dyDescent="0.2">
      <c r="A21" s="25"/>
      <c r="B21" s="25"/>
      <c r="C21" s="25"/>
      <c r="D21" s="25"/>
      <c r="E21" s="231"/>
      <c r="F21" s="232"/>
      <c r="G21" s="25"/>
      <c r="H21" s="25"/>
      <c r="I21" s="233"/>
      <c r="J21" s="233"/>
      <c r="K21" s="233"/>
      <c r="L21" s="233"/>
      <c r="M21" s="25"/>
      <c r="Q21" s="25"/>
      <c r="R21" s="233"/>
      <c r="X21" s="233"/>
      <c r="Y21" s="233"/>
      <c r="Z21" s="26"/>
      <c r="AA21" s="26"/>
      <c r="AB21" s="25"/>
      <c r="AC21" s="25"/>
      <c r="AD21" s="25"/>
      <c r="AE21" s="233"/>
      <c r="AF21" s="233"/>
      <c r="AG21" s="233"/>
      <c r="AH21" s="233"/>
      <c r="AI21" s="233"/>
      <c r="AJ21" s="233"/>
      <c r="AK21" s="25"/>
      <c r="AL21" s="233"/>
      <c r="AM21" s="233"/>
      <c r="AO21" s="261" t="s">
        <v>689</v>
      </c>
      <c r="AP21" s="261"/>
      <c r="AQ21" s="268" t="e">
        <f ca="1">AV36</f>
        <v>#REF!</v>
      </c>
      <c r="AR21" s="264"/>
      <c r="AT21" s="533" t="s">
        <v>710</v>
      </c>
      <c r="AU21" s="238" t="s">
        <v>181</v>
      </c>
      <c r="AV21" s="266" t="e">
        <f ca="1">SUMIFS(Str_NumOfStructures,y0_SCIav,"&gt;=90",Str_AVFStructureType,$AS5)</f>
        <v>#REF!</v>
      </c>
    </row>
    <row r="22" spans="1:48" ht="12.75" customHeight="1" x14ac:dyDescent="0.2">
      <c r="A22" s="25"/>
      <c r="B22" s="25"/>
      <c r="C22" s="25"/>
      <c r="D22" s="25"/>
      <c r="E22" s="231"/>
      <c r="F22" s="232"/>
      <c r="G22" s="25"/>
      <c r="H22" s="25"/>
      <c r="I22" s="233"/>
      <c r="J22" s="233"/>
      <c r="K22" s="233"/>
      <c r="L22" s="233"/>
      <c r="M22" s="25"/>
      <c r="Q22" s="25"/>
      <c r="R22" s="233"/>
      <c r="X22" s="233"/>
      <c r="Y22" s="233"/>
      <c r="Z22" s="26"/>
      <c r="AA22" s="26"/>
      <c r="AB22" s="25"/>
      <c r="AC22" s="25"/>
      <c r="AD22" s="25"/>
      <c r="AE22" s="233"/>
      <c r="AF22" s="233"/>
      <c r="AG22" s="233"/>
      <c r="AH22" s="233"/>
      <c r="AI22" s="233"/>
      <c r="AJ22" s="233"/>
      <c r="AK22" s="25"/>
      <c r="AL22" s="233"/>
      <c r="AM22" s="233"/>
      <c r="AO22" s="261" t="s">
        <v>688</v>
      </c>
      <c r="AP22" s="261"/>
      <c r="AQ22" s="268" t="e">
        <f ca="1">AV44</f>
        <v>#REF!</v>
      </c>
      <c r="AR22" s="264"/>
      <c r="AT22" s="533"/>
      <c r="AU22" s="238" t="s">
        <v>180</v>
      </c>
      <c r="AV22" s="266" t="e">
        <f t="shared" ref="AV22:AV27" ca="1" si="4">SUMIFS(Str_NumOfStructures,y0_SCIav,"&gt;=90",Str_AVFStructureType,$AS6)</f>
        <v>#REF!</v>
      </c>
    </row>
    <row r="23" spans="1:48" ht="12.75" customHeight="1" x14ac:dyDescent="0.2">
      <c r="A23" s="25"/>
      <c r="B23" s="25"/>
      <c r="C23" s="25"/>
      <c r="D23" s="25"/>
      <c r="E23" s="231"/>
      <c r="F23" s="232"/>
      <c r="G23" s="25"/>
      <c r="H23" s="25"/>
      <c r="I23" s="233"/>
      <c r="J23" s="233"/>
      <c r="K23" s="233"/>
      <c r="L23" s="233"/>
      <c r="M23" s="25"/>
      <c r="Q23" s="25"/>
      <c r="R23" s="233"/>
      <c r="X23" s="233"/>
      <c r="Y23" s="233"/>
      <c r="Z23" s="26"/>
      <c r="AA23" s="26"/>
      <c r="AB23" s="25"/>
      <c r="AC23" s="25"/>
      <c r="AD23" s="25"/>
      <c r="AE23" s="233"/>
      <c r="AF23" s="233"/>
      <c r="AG23" s="233"/>
      <c r="AH23" s="233"/>
      <c r="AI23" s="233"/>
      <c r="AJ23" s="233"/>
      <c r="AK23" s="25"/>
      <c r="AL23" s="233"/>
      <c r="AM23" s="233"/>
      <c r="AO23" s="261" t="s">
        <v>687</v>
      </c>
      <c r="AP23" s="261"/>
      <c r="AQ23" s="268" t="e">
        <f ca="1">AV52</f>
        <v>#REF!</v>
      </c>
      <c r="AR23" s="264"/>
      <c r="AT23" s="533"/>
      <c r="AU23" s="238" t="s">
        <v>179</v>
      </c>
      <c r="AV23" s="266" t="e">
        <f t="shared" ca="1" si="4"/>
        <v>#REF!</v>
      </c>
    </row>
    <row r="24" spans="1:48" ht="12.75" customHeight="1" x14ac:dyDescent="0.2">
      <c r="A24" s="25"/>
      <c r="B24" s="25"/>
      <c r="C24" s="25"/>
      <c r="D24" s="25"/>
      <c r="E24" s="231"/>
      <c r="F24" s="232"/>
      <c r="G24" s="25"/>
      <c r="H24" s="25"/>
      <c r="I24" s="233"/>
      <c r="J24" s="233"/>
      <c r="K24" s="233"/>
      <c r="L24" s="233"/>
      <c r="M24" s="25"/>
      <c r="Q24" s="25"/>
      <c r="R24" s="233"/>
      <c r="X24" s="233"/>
      <c r="Y24" s="233"/>
      <c r="Z24" s="26"/>
      <c r="AA24" s="26"/>
      <c r="AB24" s="25"/>
      <c r="AC24" s="25"/>
      <c r="AD24" s="25"/>
      <c r="AE24" s="233"/>
      <c r="AF24" s="233"/>
      <c r="AG24" s="233"/>
      <c r="AH24" s="233"/>
      <c r="AI24" s="233"/>
      <c r="AJ24" s="233"/>
      <c r="AK24" s="25"/>
      <c r="AL24" s="233"/>
      <c r="AM24" s="233"/>
      <c r="AO24" s="261" t="s">
        <v>713</v>
      </c>
      <c r="AP24" s="261"/>
      <c r="AQ24" s="268" t="e">
        <f ca="1">AV60</f>
        <v>#REF!</v>
      </c>
      <c r="AR24" s="264"/>
      <c r="AT24" s="533"/>
      <c r="AU24" s="238" t="s">
        <v>178</v>
      </c>
      <c r="AV24" s="266" t="e">
        <f t="shared" ca="1" si="4"/>
        <v>#REF!</v>
      </c>
    </row>
    <row r="25" spans="1:48" ht="12.75" customHeight="1" x14ac:dyDescent="0.2">
      <c r="A25" s="25"/>
      <c r="B25" s="25"/>
      <c r="C25" s="25"/>
      <c r="D25" s="25"/>
      <c r="E25" s="231"/>
      <c r="F25" s="232"/>
      <c r="G25" s="25"/>
      <c r="H25" s="25"/>
      <c r="I25" s="233"/>
      <c r="J25" s="233"/>
      <c r="K25" s="233"/>
      <c r="L25" s="233"/>
      <c r="M25" s="25"/>
      <c r="Q25" s="25"/>
      <c r="R25" s="233"/>
      <c r="X25" s="233"/>
      <c r="Y25" s="233"/>
      <c r="Z25" s="26"/>
      <c r="AA25" s="26"/>
      <c r="AB25" s="25"/>
      <c r="AC25" s="25"/>
      <c r="AD25" s="25"/>
      <c r="AE25" s="233"/>
      <c r="AF25" s="233"/>
      <c r="AG25" s="233"/>
      <c r="AH25" s="233"/>
      <c r="AI25" s="233"/>
      <c r="AJ25" s="233"/>
      <c r="AK25" s="25"/>
      <c r="AL25" s="233"/>
      <c r="AM25" s="233"/>
      <c r="AO25" s="261" t="s">
        <v>786</v>
      </c>
      <c r="AP25" s="261" t="s">
        <v>181</v>
      </c>
      <c r="AQ25" s="269">
        <f t="shared" ref="AQ25:AQ30" ca="1" si="5">AV69</f>
        <v>0</v>
      </c>
      <c r="AR25" s="265"/>
      <c r="AT25" s="533"/>
      <c r="AU25" s="238" t="s">
        <v>177</v>
      </c>
      <c r="AV25" s="266" t="e">
        <f t="shared" ca="1" si="4"/>
        <v>#REF!</v>
      </c>
    </row>
    <row r="26" spans="1:48" ht="12.75" customHeight="1" x14ac:dyDescent="0.2">
      <c r="A26" s="25"/>
      <c r="B26" s="25"/>
      <c r="C26" s="25"/>
      <c r="D26" s="25"/>
      <c r="E26" s="231"/>
      <c r="F26" s="232"/>
      <c r="G26" s="25"/>
      <c r="H26" s="25"/>
      <c r="I26" s="233"/>
      <c r="J26" s="233"/>
      <c r="K26" s="233"/>
      <c r="L26" s="233"/>
      <c r="M26" s="25"/>
      <c r="Q26" s="25"/>
      <c r="R26" s="233"/>
      <c r="X26" s="233"/>
      <c r="Y26" s="233"/>
      <c r="Z26" s="26"/>
      <c r="AA26" s="26"/>
      <c r="AB26" s="25"/>
      <c r="AC26" s="25"/>
      <c r="AD26" s="25"/>
      <c r="AE26" s="233"/>
      <c r="AF26" s="233"/>
      <c r="AG26" s="233"/>
      <c r="AH26" s="233"/>
      <c r="AI26" s="233"/>
      <c r="AJ26" s="233"/>
      <c r="AK26" s="25"/>
      <c r="AL26" s="233"/>
      <c r="AM26" s="233"/>
      <c r="AO26" s="261"/>
      <c r="AP26" s="261" t="s">
        <v>180</v>
      </c>
      <c r="AQ26" s="269">
        <f t="shared" ca="1" si="5"/>
        <v>0</v>
      </c>
      <c r="AR26" s="265"/>
      <c r="AT26" s="533"/>
      <c r="AU26" s="238" t="s">
        <v>176</v>
      </c>
      <c r="AV26" s="266" t="e">
        <f t="shared" ca="1" si="4"/>
        <v>#REF!</v>
      </c>
    </row>
    <row r="27" spans="1:48" ht="12.75" customHeight="1" x14ac:dyDescent="0.2">
      <c r="A27" s="25"/>
      <c r="B27" s="25"/>
      <c r="C27" s="25"/>
      <c r="D27" s="25"/>
      <c r="E27" s="231"/>
      <c r="F27" s="232"/>
      <c r="G27" s="25"/>
      <c r="H27" s="25"/>
      <c r="I27" s="233"/>
      <c r="J27" s="233"/>
      <c r="K27" s="233"/>
      <c r="L27" s="233"/>
      <c r="M27" s="25"/>
      <c r="Q27" s="25"/>
      <c r="R27" s="233"/>
      <c r="X27" s="233"/>
      <c r="Y27" s="233"/>
      <c r="Z27" s="26"/>
      <c r="AA27" s="26"/>
      <c r="AB27" s="25"/>
      <c r="AC27" s="25"/>
      <c r="AD27" s="25"/>
      <c r="AE27" s="233"/>
      <c r="AF27" s="233"/>
      <c r="AG27" s="233"/>
      <c r="AH27" s="233"/>
      <c r="AI27" s="233"/>
      <c r="AJ27" s="233"/>
      <c r="AK27" s="25"/>
      <c r="AL27" s="233"/>
      <c r="AM27" s="233"/>
      <c r="AO27" s="261"/>
      <c r="AP27" s="261" t="s">
        <v>179</v>
      </c>
      <c r="AQ27" s="269">
        <f t="shared" ca="1" si="5"/>
        <v>0</v>
      </c>
      <c r="AR27" s="265"/>
      <c r="AT27" s="533"/>
      <c r="AU27" s="238" t="s">
        <v>25</v>
      </c>
      <c r="AV27" s="266" t="e">
        <f t="shared" ca="1" si="4"/>
        <v>#REF!</v>
      </c>
    </row>
    <row r="28" spans="1:48" ht="12.75" customHeight="1" x14ac:dyDescent="0.2">
      <c r="A28" s="25"/>
      <c r="B28" s="25"/>
      <c r="C28" s="25"/>
      <c r="D28" s="25"/>
      <c r="E28" s="231"/>
      <c r="F28" s="232"/>
      <c r="G28" s="25"/>
      <c r="H28" s="25"/>
      <c r="I28" s="233"/>
      <c r="J28" s="233"/>
      <c r="K28" s="233"/>
      <c r="L28" s="233"/>
      <c r="M28" s="25"/>
      <c r="Q28" s="25"/>
      <c r="R28" s="233"/>
      <c r="X28" s="233"/>
      <c r="Y28" s="233"/>
      <c r="Z28" s="26"/>
      <c r="AA28" s="26"/>
      <c r="AB28" s="25"/>
      <c r="AC28" s="25"/>
      <c r="AD28" s="25"/>
      <c r="AE28" s="233"/>
      <c r="AF28" s="233"/>
      <c r="AG28" s="233"/>
      <c r="AH28" s="233"/>
      <c r="AI28" s="233"/>
      <c r="AJ28" s="233"/>
      <c r="AK28" s="25"/>
      <c r="AL28" s="233"/>
      <c r="AM28" s="233"/>
      <c r="AO28" s="261"/>
      <c r="AP28" s="261" t="s">
        <v>178</v>
      </c>
      <c r="AQ28" s="269">
        <f t="shared" ca="1" si="5"/>
        <v>0</v>
      </c>
      <c r="AR28" s="265"/>
      <c r="AT28" s="533"/>
      <c r="AU28" s="238" t="s">
        <v>706</v>
      </c>
      <c r="AV28" s="266" t="e">
        <f ca="1">SUM(AV21:AV27)</f>
        <v>#REF!</v>
      </c>
    </row>
    <row r="29" spans="1:48" ht="12.75" customHeight="1" x14ac:dyDescent="0.2">
      <c r="A29" s="25"/>
      <c r="B29" s="25"/>
      <c r="C29" s="25"/>
      <c r="D29" s="25"/>
      <c r="E29" s="231"/>
      <c r="F29" s="232"/>
      <c r="G29" s="25"/>
      <c r="H29" s="25"/>
      <c r="I29" s="233"/>
      <c r="J29" s="233"/>
      <c r="K29" s="233"/>
      <c r="L29" s="233"/>
      <c r="M29" s="25"/>
      <c r="Q29" s="25"/>
      <c r="R29" s="233"/>
      <c r="X29" s="233"/>
      <c r="Y29" s="233"/>
      <c r="Z29" s="26"/>
      <c r="AA29" s="26"/>
      <c r="AB29" s="25"/>
      <c r="AC29" s="25"/>
      <c r="AD29" s="25"/>
      <c r="AE29" s="233"/>
      <c r="AF29" s="233"/>
      <c r="AG29" s="233"/>
      <c r="AH29" s="233"/>
      <c r="AI29" s="233"/>
      <c r="AJ29" s="233"/>
      <c r="AK29" s="25"/>
      <c r="AL29" s="233"/>
      <c r="AM29" s="233"/>
      <c r="AO29" s="261"/>
      <c r="AP29" s="261" t="s">
        <v>177</v>
      </c>
      <c r="AQ29" s="269">
        <f t="shared" ca="1" si="5"/>
        <v>0</v>
      </c>
      <c r="AR29" s="265"/>
      <c r="AT29" s="533" t="s">
        <v>689</v>
      </c>
      <c r="AU29" s="238" t="s">
        <v>181</v>
      </c>
      <c r="AV29" s="266" t="e">
        <f t="shared" ref="AV29:AV35" ca="1" si="6">SUMIFS(Str_NumOfStructures,y0_SCIav,"&gt;=80",Str_AVFStructureType,$AS5)-AV21</f>
        <v>#REF!</v>
      </c>
    </row>
    <row r="30" spans="1:48" ht="12.75" customHeight="1" x14ac:dyDescent="0.2">
      <c r="A30" s="25"/>
      <c r="B30" s="25"/>
      <c r="C30" s="25"/>
      <c r="D30" s="25"/>
      <c r="E30" s="231"/>
      <c r="F30" s="232"/>
      <c r="G30" s="25"/>
      <c r="H30" s="25"/>
      <c r="I30" s="233"/>
      <c r="J30" s="233"/>
      <c r="K30" s="233"/>
      <c r="L30" s="233"/>
      <c r="M30" s="25"/>
      <c r="Q30" s="25"/>
      <c r="R30" s="233"/>
      <c r="X30" s="233"/>
      <c r="Y30" s="233"/>
      <c r="Z30" s="26"/>
      <c r="AA30" s="26"/>
      <c r="AB30" s="25"/>
      <c r="AC30" s="25"/>
      <c r="AD30" s="25"/>
      <c r="AE30" s="233"/>
      <c r="AF30" s="233"/>
      <c r="AG30" s="233"/>
      <c r="AH30" s="233"/>
      <c r="AI30" s="233"/>
      <c r="AJ30" s="233"/>
      <c r="AK30" s="25"/>
      <c r="AL30" s="233"/>
      <c r="AM30" s="233"/>
      <c r="AO30" s="261"/>
      <c r="AP30" s="261" t="s">
        <v>176</v>
      </c>
      <c r="AQ30" s="269">
        <f t="shared" ca="1" si="5"/>
        <v>0</v>
      </c>
      <c r="AR30" s="265"/>
      <c r="AT30" s="533"/>
      <c r="AU30" s="238" t="s">
        <v>180</v>
      </c>
      <c r="AV30" s="266" t="e">
        <f t="shared" ca="1" si="6"/>
        <v>#REF!</v>
      </c>
    </row>
    <row r="31" spans="1:48" ht="12.75" customHeight="1" x14ac:dyDescent="0.2">
      <c r="A31" s="25"/>
      <c r="B31" s="25"/>
      <c r="C31" s="25"/>
      <c r="D31" s="25"/>
      <c r="E31" s="231"/>
      <c r="F31" s="232"/>
      <c r="G31" s="25"/>
      <c r="H31" s="25"/>
      <c r="I31" s="233"/>
      <c r="J31" s="233"/>
      <c r="K31" s="233"/>
      <c r="L31" s="233"/>
      <c r="M31" s="25"/>
      <c r="Q31" s="25"/>
      <c r="R31" s="233"/>
      <c r="X31" s="233"/>
      <c r="Y31" s="233"/>
      <c r="Z31" s="26"/>
      <c r="AA31" s="26"/>
      <c r="AB31" s="25"/>
      <c r="AC31" s="25"/>
      <c r="AD31" s="25"/>
      <c r="AE31" s="233"/>
      <c r="AF31" s="233"/>
      <c r="AG31" s="233"/>
      <c r="AH31" s="233"/>
      <c r="AI31" s="233"/>
      <c r="AJ31" s="233"/>
      <c r="AK31" s="25"/>
      <c r="AL31" s="233"/>
      <c r="AM31" s="233"/>
      <c r="AO31" s="261"/>
      <c r="AP31" s="261" t="s">
        <v>736</v>
      </c>
      <c r="AQ31" s="269">
        <f ca="1">AV76</f>
        <v>0</v>
      </c>
      <c r="AR31" s="265"/>
      <c r="AT31" s="533"/>
      <c r="AU31" s="238" t="s">
        <v>179</v>
      </c>
      <c r="AV31" s="266" t="e">
        <f t="shared" ca="1" si="6"/>
        <v>#REF!</v>
      </c>
    </row>
    <row r="32" spans="1:48" ht="12.75" customHeight="1" x14ac:dyDescent="0.2">
      <c r="A32" s="25"/>
      <c r="B32" s="25"/>
      <c r="C32" s="25"/>
      <c r="D32" s="25"/>
      <c r="E32" s="231"/>
      <c r="F32" s="232"/>
      <c r="G32" s="25"/>
      <c r="H32" s="25"/>
      <c r="I32" s="233"/>
      <c r="J32" s="233"/>
      <c r="K32" s="233"/>
      <c r="L32" s="233"/>
      <c r="M32" s="25"/>
      <c r="Q32" s="25"/>
      <c r="R32" s="233"/>
      <c r="X32" s="233"/>
      <c r="Y32" s="233"/>
      <c r="Z32" s="26"/>
      <c r="AA32" s="26"/>
      <c r="AB32" s="25"/>
      <c r="AC32" s="25"/>
      <c r="AD32" s="25"/>
      <c r="AE32" s="233"/>
      <c r="AF32" s="233"/>
      <c r="AG32" s="233"/>
      <c r="AH32" s="233"/>
      <c r="AI32" s="233"/>
      <c r="AJ32" s="233"/>
      <c r="AK32" s="25"/>
      <c r="AL32" s="233"/>
      <c r="AM32" s="233"/>
      <c r="AO32" s="261" t="s">
        <v>712</v>
      </c>
      <c r="AP32" s="261" t="s">
        <v>181</v>
      </c>
      <c r="AQ32" s="267" t="e">
        <f t="shared" ref="AQ32:AQ37" ca="1" si="7">SUMIF(Str_AVFStructureType,AR5,y0_StructuresWithTrafficDelay)</f>
        <v>#REF!</v>
      </c>
      <c r="AR32" s="264"/>
      <c r="AT32" s="533"/>
      <c r="AU32" s="238" t="s">
        <v>178</v>
      </c>
      <c r="AV32" s="266" t="e">
        <f t="shared" ca="1" si="6"/>
        <v>#REF!</v>
      </c>
    </row>
    <row r="33" spans="1:48" ht="12.75" customHeight="1" x14ac:dyDescent="0.2">
      <c r="A33" s="25"/>
      <c r="B33" s="25"/>
      <c r="C33" s="25"/>
      <c r="D33" s="25"/>
      <c r="E33" s="231"/>
      <c r="F33" s="232"/>
      <c r="G33" s="25"/>
      <c r="H33" s="25"/>
      <c r="I33" s="233"/>
      <c r="J33" s="233"/>
      <c r="K33" s="233"/>
      <c r="L33" s="233"/>
      <c r="M33" s="25"/>
      <c r="Q33" s="25"/>
      <c r="R33" s="233"/>
      <c r="X33" s="233"/>
      <c r="Y33" s="233"/>
      <c r="Z33" s="26"/>
      <c r="AA33" s="26"/>
      <c r="AB33" s="25"/>
      <c r="AC33" s="25"/>
      <c r="AD33" s="25"/>
      <c r="AE33" s="233"/>
      <c r="AF33" s="233"/>
      <c r="AG33" s="233"/>
      <c r="AH33" s="233"/>
      <c r="AI33" s="233"/>
      <c r="AJ33" s="233"/>
      <c r="AK33" s="25"/>
      <c r="AL33" s="233"/>
      <c r="AM33" s="233"/>
      <c r="AO33" s="261"/>
      <c r="AP33" s="261" t="s">
        <v>180</v>
      </c>
      <c r="AQ33" s="267" t="e">
        <f t="shared" ca="1" si="7"/>
        <v>#REF!</v>
      </c>
      <c r="AR33" s="264"/>
      <c r="AT33" s="533"/>
      <c r="AU33" s="238" t="s">
        <v>177</v>
      </c>
      <c r="AV33" s="266" t="e">
        <f t="shared" ca="1" si="6"/>
        <v>#REF!</v>
      </c>
    </row>
    <row r="34" spans="1:48" ht="12.75" customHeight="1" x14ac:dyDescent="0.2">
      <c r="A34" s="25"/>
      <c r="B34" s="25"/>
      <c r="C34" s="25"/>
      <c r="D34" s="25"/>
      <c r="E34" s="231"/>
      <c r="F34" s="232"/>
      <c r="G34" s="25"/>
      <c r="H34" s="25"/>
      <c r="I34" s="233"/>
      <c r="J34" s="233"/>
      <c r="K34" s="233"/>
      <c r="L34" s="233"/>
      <c r="M34" s="25"/>
      <c r="Q34" s="25"/>
      <c r="R34" s="233"/>
      <c r="X34" s="233"/>
      <c r="Y34" s="233"/>
      <c r="Z34" s="26"/>
      <c r="AA34" s="26"/>
      <c r="AB34" s="25"/>
      <c r="AC34" s="25"/>
      <c r="AD34" s="25"/>
      <c r="AE34" s="233"/>
      <c r="AF34" s="233"/>
      <c r="AG34" s="233"/>
      <c r="AH34" s="233"/>
      <c r="AI34" s="233"/>
      <c r="AJ34" s="233"/>
      <c r="AK34" s="25"/>
      <c r="AL34" s="233"/>
      <c r="AM34" s="233"/>
      <c r="AO34" s="261"/>
      <c r="AP34" s="261" t="s">
        <v>179</v>
      </c>
      <c r="AQ34" s="267" t="e">
        <f t="shared" ca="1" si="7"/>
        <v>#REF!</v>
      </c>
      <c r="AR34" s="264"/>
      <c r="AT34" s="533"/>
      <c r="AU34" s="238" t="s">
        <v>176</v>
      </c>
      <c r="AV34" s="266" t="e">
        <f t="shared" ca="1" si="6"/>
        <v>#REF!</v>
      </c>
    </row>
    <row r="35" spans="1:48" ht="12.75" customHeight="1" x14ac:dyDescent="0.2">
      <c r="A35" s="25"/>
      <c r="B35" s="25"/>
      <c r="C35" s="25"/>
      <c r="D35" s="25"/>
      <c r="E35" s="231"/>
      <c r="F35" s="232"/>
      <c r="G35" s="25"/>
      <c r="H35" s="25"/>
      <c r="I35" s="233"/>
      <c r="J35" s="233"/>
      <c r="K35" s="233"/>
      <c r="L35" s="233"/>
      <c r="M35" s="25"/>
      <c r="Q35" s="25"/>
      <c r="R35" s="233"/>
      <c r="X35" s="233"/>
      <c r="Y35" s="233"/>
      <c r="Z35" s="26"/>
      <c r="AA35" s="26"/>
      <c r="AB35" s="25"/>
      <c r="AC35" s="25"/>
      <c r="AD35" s="25"/>
      <c r="AE35" s="233"/>
      <c r="AF35" s="233"/>
      <c r="AG35" s="233"/>
      <c r="AH35" s="233"/>
      <c r="AI35" s="233"/>
      <c r="AJ35" s="233"/>
      <c r="AK35" s="25"/>
      <c r="AL35" s="233"/>
      <c r="AM35" s="233"/>
      <c r="AO35" s="261"/>
      <c r="AP35" s="261" t="s">
        <v>178</v>
      </c>
      <c r="AQ35" s="267" t="e">
        <f t="shared" ca="1" si="7"/>
        <v>#REF!</v>
      </c>
      <c r="AR35" s="264"/>
      <c r="AT35" s="533"/>
      <c r="AU35" s="238" t="s">
        <v>25</v>
      </c>
      <c r="AV35" s="266" t="e">
        <f t="shared" ca="1" si="6"/>
        <v>#REF!</v>
      </c>
    </row>
    <row r="36" spans="1:48" ht="12.75" customHeight="1" x14ac:dyDescent="0.2">
      <c r="A36" s="25"/>
      <c r="B36" s="25"/>
      <c r="C36" s="25"/>
      <c r="D36" s="25"/>
      <c r="E36" s="231"/>
      <c r="F36" s="232"/>
      <c r="G36" s="25"/>
      <c r="H36" s="25"/>
      <c r="I36" s="233"/>
      <c r="J36" s="233"/>
      <c r="K36" s="233"/>
      <c r="L36" s="233"/>
      <c r="M36" s="25"/>
      <c r="Q36" s="25"/>
      <c r="R36" s="233"/>
      <c r="X36" s="233"/>
      <c r="Y36" s="233"/>
      <c r="Z36" s="26"/>
      <c r="AA36" s="26"/>
      <c r="AB36" s="25"/>
      <c r="AC36" s="25"/>
      <c r="AD36" s="25"/>
      <c r="AE36" s="233"/>
      <c r="AF36" s="233"/>
      <c r="AG36" s="233"/>
      <c r="AH36" s="233"/>
      <c r="AI36" s="233"/>
      <c r="AJ36" s="233"/>
      <c r="AK36" s="25"/>
      <c r="AL36" s="233"/>
      <c r="AM36" s="233"/>
      <c r="AO36" s="261"/>
      <c r="AP36" s="261" t="s">
        <v>177</v>
      </c>
      <c r="AQ36" s="267" t="e">
        <f t="shared" ca="1" si="7"/>
        <v>#REF!</v>
      </c>
      <c r="AR36" s="264"/>
      <c r="AT36" s="533"/>
      <c r="AU36" s="238" t="s">
        <v>706</v>
      </c>
      <c r="AV36" s="266" t="e">
        <f ca="1">SUM(AV29:AV35)</f>
        <v>#REF!</v>
      </c>
    </row>
    <row r="37" spans="1:48" ht="12.75" customHeight="1" x14ac:dyDescent="0.2">
      <c r="A37" s="25"/>
      <c r="B37" s="25"/>
      <c r="C37" s="25"/>
      <c r="D37" s="25"/>
      <c r="E37" s="231"/>
      <c r="F37" s="232"/>
      <c r="G37" s="25"/>
      <c r="H37" s="25"/>
      <c r="I37" s="233"/>
      <c r="J37" s="233"/>
      <c r="K37" s="233"/>
      <c r="L37" s="233"/>
      <c r="M37" s="25"/>
      <c r="Q37" s="25"/>
      <c r="R37" s="233"/>
      <c r="X37" s="233"/>
      <c r="Y37" s="233"/>
      <c r="Z37" s="26"/>
      <c r="AA37" s="26"/>
      <c r="AB37" s="25"/>
      <c r="AC37" s="25"/>
      <c r="AD37" s="25"/>
      <c r="AE37" s="233"/>
      <c r="AF37" s="233"/>
      <c r="AG37" s="233"/>
      <c r="AH37" s="233"/>
      <c r="AI37" s="233"/>
      <c r="AJ37" s="233"/>
      <c r="AK37" s="25"/>
      <c r="AL37" s="233"/>
      <c r="AM37" s="233"/>
      <c r="AO37" s="261"/>
      <c r="AP37" s="261" t="s">
        <v>176</v>
      </c>
      <c r="AQ37" s="267" t="e">
        <f t="shared" ca="1" si="7"/>
        <v>#REF!</v>
      </c>
      <c r="AR37" s="264"/>
      <c r="AT37" s="533" t="s">
        <v>688</v>
      </c>
      <c r="AU37" s="238" t="s">
        <v>181</v>
      </c>
      <c r="AV37" s="266" t="e">
        <f t="shared" ref="AV37:AV43" ca="1" si="8">SUMIFS(Str_NumOfStructures,y0_SCIav,"&gt;=65",Str_AVFStructureType,$AS5)-AV29-AV21</f>
        <v>#REF!</v>
      </c>
    </row>
    <row r="38" spans="1:48" ht="12.75" customHeight="1" x14ac:dyDescent="0.2">
      <c r="A38" s="25"/>
      <c r="B38" s="25"/>
      <c r="C38" s="25"/>
      <c r="D38" s="25"/>
      <c r="E38" s="231"/>
      <c r="F38" s="232"/>
      <c r="G38" s="25"/>
      <c r="H38" s="25"/>
      <c r="I38" s="233"/>
      <c r="J38" s="233"/>
      <c r="K38" s="233"/>
      <c r="L38" s="233"/>
      <c r="M38" s="25"/>
      <c r="Q38" s="25"/>
      <c r="R38" s="233"/>
      <c r="X38" s="233"/>
      <c r="Y38" s="233"/>
      <c r="Z38" s="26"/>
      <c r="AA38" s="26"/>
      <c r="AB38" s="25"/>
      <c r="AC38" s="25"/>
      <c r="AD38" s="25"/>
      <c r="AE38" s="233"/>
      <c r="AF38" s="233"/>
      <c r="AG38" s="233"/>
      <c r="AH38" s="233"/>
      <c r="AI38" s="233"/>
      <c r="AJ38" s="233"/>
      <c r="AK38" s="25"/>
      <c r="AL38" s="233"/>
      <c r="AM38" s="233"/>
      <c r="AO38" s="261"/>
      <c r="AP38" s="261" t="s">
        <v>736</v>
      </c>
      <c r="AQ38" s="267" t="e">
        <f ca="1">SUM(y0_StructuresWithTrafficDelay)</f>
        <v>#REF!</v>
      </c>
      <c r="AR38" s="264"/>
      <c r="AT38" s="533"/>
      <c r="AU38" s="238" t="s">
        <v>180</v>
      </c>
      <c r="AV38" s="266" t="e">
        <f t="shared" ca="1" si="8"/>
        <v>#REF!</v>
      </c>
    </row>
    <row r="39" spans="1:48" ht="12.75" customHeight="1" x14ac:dyDescent="0.2">
      <c r="A39" s="25"/>
      <c r="B39" s="25"/>
      <c r="C39" s="25"/>
      <c r="D39" s="25"/>
      <c r="E39" s="231"/>
      <c r="F39" s="232"/>
      <c r="G39" s="25"/>
      <c r="H39" s="25"/>
      <c r="I39" s="233"/>
      <c r="J39" s="233"/>
      <c r="K39" s="233"/>
      <c r="L39" s="233"/>
      <c r="M39" s="25"/>
      <c r="Q39" s="25"/>
      <c r="R39" s="233"/>
      <c r="X39" s="233"/>
      <c r="Y39" s="233"/>
      <c r="Z39" s="26"/>
      <c r="AA39" s="26"/>
      <c r="AB39" s="25"/>
      <c r="AC39" s="25"/>
      <c r="AD39" s="25"/>
      <c r="AE39" s="233"/>
      <c r="AF39" s="233"/>
      <c r="AG39" s="233"/>
      <c r="AH39" s="233"/>
      <c r="AI39" s="233"/>
      <c r="AJ39" s="233"/>
      <c r="AK39" s="25"/>
      <c r="AL39" s="233"/>
      <c r="AM39" s="233"/>
      <c r="AO39" s="261" t="s">
        <v>712</v>
      </c>
      <c r="AP39" s="261" t="s">
        <v>1132</v>
      </c>
      <c r="AQ39" s="267" t="e">
        <f ca="1">SUMIF(y0_LengthGroup,0,y0_StructuresWithTrafficDelay)</f>
        <v>#REF!</v>
      </c>
      <c r="AR39" s="264"/>
      <c r="AT39" s="533"/>
      <c r="AU39" s="238" t="s">
        <v>179</v>
      </c>
      <c r="AV39" s="266" t="e">
        <f t="shared" ca="1" si="8"/>
        <v>#REF!</v>
      </c>
    </row>
    <row r="40" spans="1:48" ht="12.75" customHeight="1" x14ac:dyDescent="0.2">
      <c r="A40" s="25"/>
      <c r="B40" s="25"/>
      <c r="C40" s="25"/>
      <c r="D40" s="25"/>
      <c r="E40" s="231"/>
      <c r="F40" s="232"/>
      <c r="G40" s="25"/>
      <c r="H40" s="25"/>
      <c r="I40" s="233"/>
      <c r="J40" s="233"/>
      <c r="K40" s="233"/>
      <c r="L40" s="233"/>
      <c r="M40" s="25"/>
      <c r="Q40" s="25"/>
      <c r="R40" s="233"/>
      <c r="X40" s="233"/>
      <c r="Y40" s="233"/>
      <c r="Z40" s="26"/>
      <c r="AA40" s="26"/>
      <c r="AB40" s="25"/>
      <c r="AC40" s="25"/>
      <c r="AD40" s="25"/>
      <c r="AE40" s="233"/>
      <c r="AF40" s="233"/>
      <c r="AG40" s="233"/>
      <c r="AH40" s="233"/>
      <c r="AI40" s="233"/>
      <c r="AJ40" s="233"/>
      <c r="AK40" s="25"/>
      <c r="AL40" s="233"/>
      <c r="AM40" s="233"/>
      <c r="AO40" s="261"/>
      <c r="AP40" s="261" t="s">
        <v>1133</v>
      </c>
      <c r="AQ40" s="267" t="e">
        <f ca="1">SUMIF(y0_LengthGroup,10.0001,y0_StructuresWithTrafficDelay)</f>
        <v>#REF!</v>
      </c>
      <c r="AR40" s="264"/>
      <c r="AT40" s="533"/>
      <c r="AU40" s="238" t="s">
        <v>178</v>
      </c>
      <c r="AV40" s="266" t="e">
        <f t="shared" ca="1" si="8"/>
        <v>#REF!</v>
      </c>
    </row>
    <row r="41" spans="1:48" ht="12.75" customHeight="1" x14ac:dyDescent="0.2">
      <c r="A41" s="25"/>
      <c r="B41" s="25"/>
      <c r="C41" s="25"/>
      <c r="D41" s="25"/>
      <c r="E41" s="231"/>
      <c r="F41" s="232"/>
      <c r="G41" s="25"/>
      <c r="H41" s="25"/>
      <c r="I41" s="233"/>
      <c r="J41" s="233"/>
      <c r="K41" s="233"/>
      <c r="L41" s="233"/>
      <c r="M41" s="25"/>
      <c r="Q41" s="25"/>
      <c r="R41" s="233"/>
      <c r="X41" s="233"/>
      <c r="Y41" s="233"/>
      <c r="Z41" s="26"/>
      <c r="AA41" s="26"/>
      <c r="AB41" s="25"/>
      <c r="AC41" s="25"/>
      <c r="AD41" s="25"/>
      <c r="AE41" s="233"/>
      <c r="AF41" s="233"/>
      <c r="AG41" s="233"/>
      <c r="AH41" s="233"/>
      <c r="AI41" s="233"/>
      <c r="AJ41" s="233"/>
      <c r="AK41" s="25"/>
      <c r="AL41" s="233"/>
      <c r="AM41" s="233"/>
      <c r="AO41" s="261"/>
      <c r="AP41" s="261" t="s">
        <v>1134</v>
      </c>
      <c r="AQ41" s="267" t="e">
        <f ca="1">SUMIF(y0_LengthGroup,20.0001,y0_StructuresWithTrafficDelay)</f>
        <v>#REF!</v>
      </c>
      <c r="AR41" s="264"/>
      <c r="AT41" s="533"/>
      <c r="AU41" s="238" t="s">
        <v>177</v>
      </c>
      <c r="AV41" s="266" t="e">
        <f t="shared" ca="1" si="8"/>
        <v>#REF!</v>
      </c>
    </row>
    <row r="42" spans="1:48" ht="12.75" customHeight="1" x14ac:dyDescent="0.2">
      <c r="A42" s="25"/>
      <c r="B42" s="25"/>
      <c r="C42" s="25"/>
      <c r="D42" s="25"/>
      <c r="E42" s="231"/>
      <c r="F42" s="232"/>
      <c r="G42" s="25"/>
      <c r="H42" s="25"/>
      <c r="I42" s="233"/>
      <c r="J42" s="233"/>
      <c r="K42" s="233"/>
      <c r="L42" s="233"/>
      <c r="M42" s="25"/>
      <c r="Q42" s="25"/>
      <c r="R42" s="233"/>
      <c r="X42" s="233"/>
      <c r="Y42" s="233"/>
      <c r="Z42" s="26"/>
      <c r="AA42" s="26"/>
      <c r="AB42" s="25"/>
      <c r="AC42" s="25"/>
      <c r="AD42" s="25"/>
      <c r="AE42" s="233"/>
      <c r="AF42" s="233"/>
      <c r="AG42" s="233"/>
      <c r="AH42" s="233"/>
      <c r="AI42" s="233"/>
      <c r="AJ42" s="233"/>
      <c r="AK42" s="25"/>
      <c r="AL42" s="233"/>
      <c r="AM42" s="233"/>
      <c r="AO42" s="261" t="s">
        <v>185</v>
      </c>
      <c r="AP42" s="261" t="s">
        <v>181</v>
      </c>
      <c r="AQ42" s="270" t="e">
        <f t="shared" ref="AQ42:AQ47" ca="1" si="9">SUMIF(Str_AVFStructureType,AR5,y0_TrafficDelayCost)</f>
        <v>#REF!</v>
      </c>
      <c r="AR42" s="264"/>
      <c r="AT42" s="533"/>
      <c r="AU42" s="238" t="s">
        <v>176</v>
      </c>
      <c r="AV42" s="266" t="e">
        <f t="shared" ca="1" si="8"/>
        <v>#REF!</v>
      </c>
    </row>
    <row r="43" spans="1:48" ht="12.75" customHeight="1" x14ac:dyDescent="0.2">
      <c r="A43" s="25"/>
      <c r="B43" s="25"/>
      <c r="C43" s="25"/>
      <c r="D43" s="25"/>
      <c r="E43" s="231"/>
      <c r="F43" s="232"/>
      <c r="G43" s="25"/>
      <c r="H43" s="25"/>
      <c r="I43" s="233"/>
      <c r="J43" s="233"/>
      <c r="K43" s="233"/>
      <c r="L43" s="233"/>
      <c r="M43" s="25"/>
      <c r="Q43" s="25"/>
      <c r="R43" s="233"/>
      <c r="X43" s="233"/>
      <c r="Y43" s="233"/>
      <c r="Z43" s="26"/>
      <c r="AA43" s="26"/>
      <c r="AB43" s="25"/>
      <c r="AC43" s="25"/>
      <c r="AD43" s="25"/>
      <c r="AE43" s="233"/>
      <c r="AF43" s="233"/>
      <c r="AG43" s="233"/>
      <c r="AH43" s="233"/>
      <c r="AI43" s="233"/>
      <c r="AJ43" s="233"/>
      <c r="AK43" s="25"/>
      <c r="AL43" s="233"/>
      <c r="AM43" s="233"/>
      <c r="AO43" s="261"/>
      <c r="AP43" s="261" t="s">
        <v>180</v>
      </c>
      <c r="AQ43" s="270" t="e">
        <f t="shared" ca="1" si="9"/>
        <v>#REF!</v>
      </c>
      <c r="AR43" s="264"/>
      <c r="AT43" s="533"/>
      <c r="AU43" s="238" t="s">
        <v>25</v>
      </c>
      <c r="AV43" s="266" t="e">
        <f t="shared" ca="1" si="8"/>
        <v>#REF!</v>
      </c>
    </row>
    <row r="44" spans="1:48" ht="12.75" customHeight="1" x14ac:dyDescent="0.2">
      <c r="A44" s="25"/>
      <c r="B44" s="25"/>
      <c r="C44" s="25"/>
      <c r="D44" s="25"/>
      <c r="E44" s="231"/>
      <c r="F44" s="232"/>
      <c r="G44" s="25"/>
      <c r="H44" s="25"/>
      <c r="I44" s="233"/>
      <c r="J44" s="233"/>
      <c r="K44" s="233"/>
      <c r="L44" s="233"/>
      <c r="M44" s="25"/>
      <c r="Q44" s="25"/>
      <c r="R44" s="233"/>
      <c r="X44" s="233"/>
      <c r="Y44" s="233"/>
      <c r="Z44" s="26"/>
      <c r="AA44" s="26"/>
      <c r="AB44" s="25"/>
      <c r="AC44" s="25"/>
      <c r="AD44" s="25"/>
      <c r="AE44" s="233"/>
      <c r="AF44" s="233"/>
      <c r="AG44" s="233"/>
      <c r="AH44" s="233"/>
      <c r="AI44" s="233"/>
      <c r="AJ44" s="233"/>
      <c r="AK44" s="25"/>
      <c r="AL44" s="233"/>
      <c r="AM44" s="233"/>
      <c r="AO44" s="261"/>
      <c r="AP44" s="261" t="s">
        <v>179</v>
      </c>
      <c r="AQ44" s="270" t="e">
        <f t="shared" ca="1" si="9"/>
        <v>#REF!</v>
      </c>
      <c r="AR44" s="264"/>
      <c r="AT44" s="533"/>
      <c r="AU44" s="238" t="s">
        <v>706</v>
      </c>
      <c r="AV44" s="266" t="e">
        <f ca="1">SUM(AV37:AV43)</f>
        <v>#REF!</v>
      </c>
    </row>
    <row r="45" spans="1:48" ht="12.75" customHeight="1" x14ac:dyDescent="0.2">
      <c r="A45" s="25"/>
      <c r="B45" s="25"/>
      <c r="C45" s="25"/>
      <c r="D45" s="25"/>
      <c r="E45" s="231"/>
      <c r="F45" s="232"/>
      <c r="G45" s="25"/>
      <c r="H45" s="25"/>
      <c r="I45" s="233"/>
      <c r="J45" s="233"/>
      <c r="K45" s="233"/>
      <c r="L45" s="233"/>
      <c r="M45" s="25"/>
      <c r="Q45" s="25"/>
      <c r="R45" s="233"/>
      <c r="X45" s="233"/>
      <c r="Y45" s="233"/>
      <c r="Z45" s="26"/>
      <c r="AA45" s="26"/>
      <c r="AB45" s="25"/>
      <c r="AC45" s="25"/>
      <c r="AD45" s="25"/>
      <c r="AE45" s="233"/>
      <c r="AF45" s="233"/>
      <c r="AG45" s="233"/>
      <c r="AH45" s="233"/>
      <c r="AI45" s="233"/>
      <c r="AJ45" s="233"/>
      <c r="AK45" s="25"/>
      <c r="AL45" s="233"/>
      <c r="AM45" s="233"/>
      <c r="AO45" s="261"/>
      <c r="AP45" s="261" t="s">
        <v>178</v>
      </c>
      <c r="AQ45" s="270" t="e">
        <f t="shared" ca="1" si="9"/>
        <v>#REF!</v>
      </c>
      <c r="AR45" s="264"/>
      <c r="AT45" s="533" t="s">
        <v>687</v>
      </c>
      <c r="AU45" s="238" t="s">
        <v>181</v>
      </c>
      <c r="AV45" s="266" t="e">
        <f t="shared" ref="AV45:AV51" ca="1" si="10">SUMIFS(Str_NumOfStructures,y0_SCIav,"&gt;=40",Str_AVFStructureType,$AS5)-AV37-AV29-AV21</f>
        <v>#REF!</v>
      </c>
    </row>
    <row r="46" spans="1:48" ht="12.75" customHeight="1" x14ac:dyDescent="0.2">
      <c r="A46" s="25"/>
      <c r="B46" s="25"/>
      <c r="C46" s="25"/>
      <c r="D46" s="25"/>
      <c r="E46" s="231"/>
      <c r="F46" s="232"/>
      <c r="G46" s="25"/>
      <c r="H46" s="25"/>
      <c r="I46" s="233"/>
      <c r="J46" s="233"/>
      <c r="K46" s="233"/>
      <c r="L46" s="233"/>
      <c r="M46" s="25"/>
      <c r="Q46" s="25"/>
      <c r="R46" s="233"/>
      <c r="X46" s="233"/>
      <c r="Y46" s="233"/>
      <c r="Z46" s="26"/>
      <c r="AA46" s="26"/>
      <c r="AB46" s="25"/>
      <c r="AC46" s="25"/>
      <c r="AD46" s="25"/>
      <c r="AE46" s="233"/>
      <c r="AF46" s="233"/>
      <c r="AG46" s="233"/>
      <c r="AH46" s="233"/>
      <c r="AI46" s="233"/>
      <c r="AJ46" s="233"/>
      <c r="AK46" s="25"/>
      <c r="AL46" s="233"/>
      <c r="AM46" s="233"/>
      <c r="AO46" s="261"/>
      <c r="AP46" s="261" t="s">
        <v>177</v>
      </c>
      <c r="AQ46" s="270" t="e">
        <f t="shared" ca="1" si="9"/>
        <v>#REF!</v>
      </c>
      <c r="AR46" s="264"/>
      <c r="AT46" s="533"/>
      <c r="AU46" s="238" t="s">
        <v>180</v>
      </c>
      <c r="AV46" s="266" t="e">
        <f t="shared" ca="1" si="10"/>
        <v>#REF!</v>
      </c>
    </row>
    <row r="47" spans="1:48" ht="12.75" customHeight="1" x14ac:dyDescent="0.2">
      <c r="A47" s="25"/>
      <c r="B47" s="25"/>
      <c r="C47" s="25"/>
      <c r="D47" s="25"/>
      <c r="E47" s="231"/>
      <c r="F47" s="232"/>
      <c r="G47" s="25"/>
      <c r="H47" s="25"/>
      <c r="I47" s="233"/>
      <c r="J47" s="233"/>
      <c r="K47" s="233"/>
      <c r="L47" s="233"/>
      <c r="M47" s="25"/>
      <c r="Q47" s="25"/>
      <c r="R47" s="233"/>
      <c r="X47" s="233"/>
      <c r="Y47" s="233"/>
      <c r="Z47" s="26"/>
      <c r="AA47" s="26"/>
      <c r="AB47" s="25"/>
      <c r="AC47" s="25"/>
      <c r="AD47" s="25"/>
      <c r="AE47" s="233"/>
      <c r="AF47" s="233"/>
      <c r="AG47" s="233"/>
      <c r="AH47" s="233"/>
      <c r="AI47" s="233"/>
      <c r="AJ47" s="233"/>
      <c r="AK47" s="25"/>
      <c r="AL47" s="233"/>
      <c r="AM47" s="233"/>
      <c r="AO47" s="261"/>
      <c r="AP47" s="261" t="s">
        <v>176</v>
      </c>
      <c r="AQ47" s="270" t="e">
        <f t="shared" ca="1" si="9"/>
        <v>#REF!</v>
      </c>
      <c r="AR47" s="264"/>
      <c r="AT47" s="533"/>
      <c r="AU47" s="238" t="s">
        <v>179</v>
      </c>
      <c r="AV47" s="266" t="e">
        <f t="shared" ca="1" si="10"/>
        <v>#REF!</v>
      </c>
    </row>
    <row r="48" spans="1:48" ht="12.75" customHeight="1" x14ac:dyDescent="0.2">
      <c r="A48" s="25"/>
      <c r="B48" s="25"/>
      <c r="C48" s="25"/>
      <c r="D48" s="25"/>
      <c r="E48" s="231"/>
      <c r="F48" s="232"/>
      <c r="G48" s="25"/>
      <c r="H48" s="25"/>
      <c r="I48" s="233"/>
      <c r="J48" s="233"/>
      <c r="K48" s="233"/>
      <c r="L48" s="233"/>
      <c r="M48" s="25"/>
      <c r="Q48" s="25"/>
      <c r="R48" s="233"/>
      <c r="X48" s="233"/>
      <c r="Y48" s="233"/>
      <c r="Z48" s="26"/>
      <c r="AA48" s="26"/>
      <c r="AB48" s="25"/>
      <c r="AC48" s="25"/>
      <c r="AD48" s="25"/>
      <c r="AE48" s="233"/>
      <c r="AF48" s="233"/>
      <c r="AG48" s="233"/>
      <c r="AH48" s="233"/>
      <c r="AI48" s="233"/>
      <c r="AJ48" s="233"/>
      <c r="AK48" s="25"/>
      <c r="AL48" s="233"/>
      <c r="AM48" s="233"/>
      <c r="AO48" s="261"/>
      <c r="AP48" s="261" t="s">
        <v>736</v>
      </c>
      <c r="AQ48" s="270">
        <f ca="1">SUM(y0_TrafficDelayCost)</f>
        <v>0</v>
      </c>
      <c r="AR48" s="264"/>
      <c r="AT48" s="533"/>
      <c r="AU48" s="238" t="s">
        <v>178</v>
      </c>
      <c r="AV48" s="266" t="e">
        <f t="shared" ca="1" si="10"/>
        <v>#REF!</v>
      </c>
    </row>
    <row r="49" spans="1:48" ht="12.75" customHeight="1" x14ac:dyDescent="0.2">
      <c r="A49" s="25"/>
      <c r="B49" s="25"/>
      <c r="C49" s="25"/>
      <c r="D49" s="25"/>
      <c r="E49" s="231"/>
      <c r="F49" s="232"/>
      <c r="G49" s="25"/>
      <c r="H49" s="25"/>
      <c r="I49" s="233"/>
      <c r="J49" s="233"/>
      <c r="K49" s="233"/>
      <c r="L49" s="233"/>
      <c r="M49" s="25"/>
      <c r="Q49" s="25"/>
      <c r="R49" s="233"/>
      <c r="X49" s="233"/>
      <c r="Y49" s="233"/>
      <c r="Z49" s="26"/>
      <c r="AA49" s="26"/>
      <c r="AB49" s="25"/>
      <c r="AC49" s="25"/>
      <c r="AD49" s="25"/>
      <c r="AE49" s="233"/>
      <c r="AF49" s="233"/>
      <c r="AG49" s="233"/>
      <c r="AH49" s="233"/>
      <c r="AI49" s="233"/>
      <c r="AJ49" s="233"/>
      <c r="AK49" s="25"/>
      <c r="AL49" s="233"/>
      <c r="AM49" s="233"/>
      <c r="AO49" s="28"/>
      <c r="AP49" s="28"/>
      <c r="AT49" s="533"/>
      <c r="AU49" s="238" t="s">
        <v>177</v>
      </c>
      <c r="AV49" s="266" t="e">
        <f t="shared" ca="1" si="10"/>
        <v>#REF!</v>
      </c>
    </row>
    <row r="50" spans="1:48" ht="12.75" customHeight="1" x14ac:dyDescent="0.2">
      <c r="A50" s="25"/>
      <c r="B50" s="25"/>
      <c r="C50" s="25"/>
      <c r="D50" s="25"/>
      <c r="E50" s="231"/>
      <c r="F50" s="232"/>
      <c r="G50" s="25"/>
      <c r="H50" s="25"/>
      <c r="I50" s="233"/>
      <c r="J50" s="233"/>
      <c r="K50" s="233"/>
      <c r="L50" s="233"/>
      <c r="M50" s="25"/>
      <c r="Q50" s="25"/>
      <c r="R50" s="233"/>
      <c r="X50" s="233"/>
      <c r="Y50" s="233"/>
      <c r="Z50" s="26"/>
      <c r="AA50" s="26"/>
      <c r="AB50" s="25"/>
      <c r="AC50" s="25"/>
      <c r="AD50" s="25"/>
      <c r="AE50" s="233"/>
      <c r="AF50" s="233"/>
      <c r="AG50" s="233"/>
      <c r="AH50" s="233"/>
      <c r="AI50" s="233"/>
      <c r="AJ50" s="233"/>
      <c r="AK50" s="25"/>
      <c r="AL50" s="233"/>
      <c r="AM50" s="233"/>
      <c r="AO50" s="28"/>
      <c r="AP50" s="28"/>
      <c r="AT50" s="533"/>
      <c r="AU50" s="238" t="s">
        <v>176</v>
      </c>
      <c r="AV50" s="266" t="e">
        <f t="shared" ca="1" si="10"/>
        <v>#REF!</v>
      </c>
    </row>
    <row r="51" spans="1:48" ht="12.75" customHeight="1" x14ac:dyDescent="0.2">
      <c r="A51" s="25"/>
      <c r="B51" s="25"/>
      <c r="C51" s="25"/>
      <c r="D51" s="25"/>
      <c r="E51" s="231"/>
      <c r="F51" s="232"/>
      <c r="G51" s="25"/>
      <c r="H51" s="25"/>
      <c r="I51" s="233"/>
      <c r="J51" s="233"/>
      <c r="K51" s="233"/>
      <c r="L51" s="233"/>
      <c r="M51" s="25"/>
      <c r="Q51" s="25"/>
      <c r="R51" s="233"/>
      <c r="X51" s="233"/>
      <c r="Y51" s="233"/>
      <c r="Z51" s="26"/>
      <c r="AA51" s="26"/>
      <c r="AB51" s="25"/>
      <c r="AC51" s="25"/>
      <c r="AD51" s="25"/>
      <c r="AE51" s="233"/>
      <c r="AF51" s="233"/>
      <c r="AG51" s="233"/>
      <c r="AH51" s="233"/>
      <c r="AI51" s="233"/>
      <c r="AJ51" s="233"/>
      <c r="AK51" s="25"/>
      <c r="AL51" s="233"/>
      <c r="AM51" s="233"/>
      <c r="AO51" s="28"/>
      <c r="AP51" s="28"/>
      <c r="AT51" s="533"/>
      <c r="AU51" s="238" t="s">
        <v>25</v>
      </c>
      <c r="AV51" s="266" t="e">
        <f t="shared" ca="1" si="10"/>
        <v>#REF!</v>
      </c>
    </row>
    <row r="52" spans="1:48" ht="12.75" customHeight="1" x14ac:dyDescent="0.2">
      <c r="A52" s="25"/>
      <c r="B52" s="25"/>
      <c r="C52" s="25"/>
      <c r="D52" s="25"/>
      <c r="E52" s="231"/>
      <c r="F52" s="232"/>
      <c r="G52" s="25"/>
      <c r="H52" s="25"/>
      <c r="I52" s="233"/>
      <c r="J52" s="233"/>
      <c r="K52" s="233"/>
      <c r="L52" s="233"/>
      <c r="M52" s="25"/>
      <c r="Q52" s="25"/>
      <c r="R52" s="233"/>
      <c r="X52" s="233"/>
      <c r="Y52" s="233"/>
      <c r="Z52" s="26"/>
      <c r="AA52" s="26"/>
      <c r="AB52" s="25"/>
      <c r="AC52" s="25"/>
      <c r="AD52" s="25"/>
      <c r="AE52" s="233"/>
      <c r="AF52" s="233"/>
      <c r="AG52" s="233"/>
      <c r="AH52" s="233"/>
      <c r="AI52" s="233"/>
      <c r="AJ52" s="233"/>
      <c r="AK52" s="25"/>
      <c r="AL52" s="233"/>
      <c r="AM52" s="233"/>
      <c r="AO52" s="28"/>
      <c r="AP52" s="28"/>
      <c r="AT52" s="533"/>
      <c r="AU52" s="238" t="s">
        <v>706</v>
      </c>
      <c r="AV52" s="266" t="e">
        <f ca="1">SUM(AV45:AV51)</f>
        <v>#REF!</v>
      </c>
    </row>
    <row r="53" spans="1:48" ht="12.75" customHeight="1" x14ac:dyDescent="0.2">
      <c r="A53" s="25"/>
      <c r="B53" s="25"/>
      <c r="C53" s="25"/>
      <c r="D53" s="25"/>
      <c r="E53" s="231"/>
      <c r="F53" s="232"/>
      <c r="G53" s="25"/>
      <c r="H53" s="25"/>
      <c r="I53" s="233"/>
      <c r="J53" s="233"/>
      <c r="K53" s="233"/>
      <c r="L53" s="233"/>
      <c r="M53" s="25"/>
      <c r="Q53" s="25"/>
      <c r="R53" s="233"/>
      <c r="X53" s="233"/>
      <c r="Y53" s="233"/>
      <c r="Z53" s="26"/>
      <c r="AA53" s="26"/>
      <c r="AB53" s="25"/>
      <c r="AC53" s="25"/>
      <c r="AD53" s="25"/>
      <c r="AE53" s="233"/>
      <c r="AF53" s="233"/>
      <c r="AG53" s="233"/>
      <c r="AH53" s="233"/>
      <c r="AI53" s="233"/>
      <c r="AJ53" s="233"/>
      <c r="AK53" s="25"/>
      <c r="AL53" s="233"/>
      <c r="AM53" s="233"/>
      <c r="AO53" s="28"/>
      <c r="AP53" s="28"/>
      <c r="AT53" s="533" t="s">
        <v>686</v>
      </c>
      <c r="AU53" s="238" t="s">
        <v>181</v>
      </c>
      <c r="AV53" s="266" t="e">
        <f t="shared" ref="AV53:AV59" ca="1" si="11">SUMIFS(Str_NumOfStructures,y0_SCIav,"&lt;40",Str_AVFStructureType,$AS5)</f>
        <v>#REF!</v>
      </c>
    </row>
    <row r="54" spans="1:48" ht="12.75" customHeight="1" x14ac:dyDescent="0.2">
      <c r="A54" s="25"/>
      <c r="B54" s="25"/>
      <c r="C54" s="25"/>
      <c r="D54" s="25"/>
      <c r="E54" s="231"/>
      <c r="F54" s="232"/>
      <c r="G54" s="25"/>
      <c r="H54" s="25"/>
      <c r="I54" s="233"/>
      <c r="J54" s="233"/>
      <c r="K54" s="233"/>
      <c r="L54" s="233"/>
      <c r="M54" s="25"/>
      <c r="Q54" s="25"/>
      <c r="R54" s="233"/>
      <c r="X54" s="233"/>
      <c r="Y54" s="233"/>
      <c r="Z54" s="26"/>
      <c r="AA54" s="26"/>
      <c r="AB54" s="25"/>
      <c r="AC54" s="25"/>
      <c r="AD54" s="25"/>
      <c r="AE54" s="233"/>
      <c r="AF54" s="233"/>
      <c r="AG54" s="233"/>
      <c r="AH54" s="233"/>
      <c r="AI54" s="233"/>
      <c r="AJ54" s="233"/>
      <c r="AK54" s="25"/>
      <c r="AL54" s="233"/>
      <c r="AM54" s="233"/>
      <c r="AO54" s="28"/>
      <c r="AP54" s="28"/>
      <c r="AT54" s="533"/>
      <c r="AU54" s="238" t="s">
        <v>180</v>
      </c>
      <c r="AV54" s="266" t="e">
        <f t="shared" ca="1" si="11"/>
        <v>#REF!</v>
      </c>
    </row>
    <row r="55" spans="1:48" ht="12.75" customHeight="1" x14ac:dyDescent="0.2">
      <c r="A55" s="25"/>
      <c r="B55" s="25"/>
      <c r="C55" s="25"/>
      <c r="D55" s="25"/>
      <c r="E55" s="231"/>
      <c r="F55" s="232"/>
      <c r="G55" s="25"/>
      <c r="H55" s="25"/>
      <c r="I55" s="233"/>
      <c r="J55" s="233"/>
      <c r="K55" s="233"/>
      <c r="L55" s="233"/>
      <c r="M55" s="25"/>
      <c r="Q55" s="25"/>
      <c r="R55" s="233"/>
      <c r="X55" s="233"/>
      <c r="Y55" s="233"/>
      <c r="Z55" s="26"/>
      <c r="AA55" s="26"/>
      <c r="AB55" s="25"/>
      <c r="AC55" s="25"/>
      <c r="AD55" s="25"/>
      <c r="AE55" s="233"/>
      <c r="AF55" s="233"/>
      <c r="AG55" s="233"/>
      <c r="AH55" s="233"/>
      <c r="AI55" s="233"/>
      <c r="AJ55" s="233"/>
      <c r="AK55" s="25"/>
      <c r="AL55" s="233"/>
      <c r="AM55" s="233"/>
      <c r="AO55" s="28"/>
      <c r="AP55" s="28"/>
      <c r="AT55" s="533"/>
      <c r="AU55" s="238" t="s">
        <v>179</v>
      </c>
      <c r="AV55" s="266" t="e">
        <f t="shared" ca="1" si="11"/>
        <v>#REF!</v>
      </c>
    </row>
    <row r="56" spans="1:48" ht="12.75" customHeight="1" x14ac:dyDescent="0.2">
      <c r="A56" s="25"/>
      <c r="B56" s="25"/>
      <c r="C56" s="25"/>
      <c r="D56" s="25"/>
      <c r="E56" s="231"/>
      <c r="F56" s="232"/>
      <c r="G56" s="25"/>
      <c r="H56" s="25"/>
      <c r="I56" s="233"/>
      <c r="J56" s="233"/>
      <c r="K56" s="233"/>
      <c r="L56" s="233"/>
      <c r="M56" s="25"/>
      <c r="Q56" s="25"/>
      <c r="R56" s="233"/>
      <c r="X56" s="233"/>
      <c r="Y56" s="233"/>
      <c r="Z56" s="26"/>
      <c r="AA56" s="26"/>
      <c r="AB56" s="25"/>
      <c r="AC56" s="25"/>
      <c r="AD56" s="25"/>
      <c r="AE56" s="233"/>
      <c r="AF56" s="233"/>
      <c r="AG56" s="233"/>
      <c r="AH56" s="233"/>
      <c r="AI56" s="233"/>
      <c r="AJ56" s="233"/>
      <c r="AK56" s="25"/>
      <c r="AL56" s="233"/>
      <c r="AM56" s="233"/>
      <c r="AO56" s="28"/>
      <c r="AP56" s="28"/>
      <c r="AT56" s="533"/>
      <c r="AU56" s="238" t="s">
        <v>178</v>
      </c>
      <c r="AV56" s="266" t="e">
        <f t="shared" ca="1" si="11"/>
        <v>#REF!</v>
      </c>
    </row>
    <row r="57" spans="1:48" ht="12.75" customHeight="1" x14ac:dyDescent="0.2">
      <c r="A57" s="25"/>
      <c r="B57" s="25"/>
      <c r="C57" s="25"/>
      <c r="D57" s="25"/>
      <c r="E57" s="231"/>
      <c r="F57" s="232"/>
      <c r="G57" s="25"/>
      <c r="H57" s="25"/>
      <c r="I57" s="233"/>
      <c r="J57" s="233"/>
      <c r="K57" s="233"/>
      <c r="L57" s="233"/>
      <c r="M57" s="25"/>
      <c r="Q57" s="25"/>
      <c r="R57" s="233"/>
      <c r="X57" s="233"/>
      <c r="Y57" s="233"/>
      <c r="Z57" s="26"/>
      <c r="AA57" s="26"/>
      <c r="AB57" s="25"/>
      <c r="AC57" s="25"/>
      <c r="AD57" s="25"/>
      <c r="AE57" s="233"/>
      <c r="AF57" s="233"/>
      <c r="AG57" s="233"/>
      <c r="AH57" s="233"/>
      <c r="AI57" s="233"/>
      <c r="AJ57" s="233"/>
      <c r="AK57" s="25"/>
      <c r="AL57" s="233"/>
      <c r="AM57" s="233"/>
      <c r="AO57" s="28"/>
      <c r="AP57" s="28"/>
      <c r="AT57" s="533"/>
      <c r="AU57" s="238" t="s">
        <v>177</v>
      </c>
      <c r="AV57" s="266" t="e">
        <f t="shared" ca="1" si="11"/>
        <v>#REF!</v>
      </c>
    </row>
    <row r="58" spans="1:48" ht="12.75" customHeight="1" x14ac:dyDescent="0.2">
      <c r="A58" s="25"/>
      <c r="B58" s="25"/>
      <c r="C58" s="25"/>
      <c r="D58" s="25"/>
      <c r="E58" s="231"/>
      <c r="F58" s="232"/>
      <c r="G58" s="25"/>
      <c r="H58" s="25"/>
      <c r="I58" s="233"/>
      <c r="J58" s="233"/>
      <c r="K58" s="233"/>
      <c r="L58" s="233"/>
      <c r="M58" s="25"/>
      <c r="Q58" s="25"/>
      <c r="R58" s="233"/>
      <c r="X58" s="233"/>
      <c r="Y58" s="233"/>
      <c r="Z58" s="26"/>
      <c r="AA58" s="26"/>
      <c r="AB58" s="25"/>
      <c r="AC58" s="25"/>
      <c r="AD58" s="25"/>
      <c r="AE58" s="233"/>
      <c r="AF58" s="233"/>
      <c r="AG58" s="233"/>
      <c r="AH58" s="233"/>
      <c r="AI58" s="233"/>
      <c r="AJ58" s="233"/>
      <c r="AK58" s="25"/>
      <c r="AL58" s="233"/>
      <c r="AM58" s="233"/>
      <c r="AO58" s="28"/>
      <c r="AP58" s="28"/>
      <c r="AT58" s="533"/>
      <c r="AU58" s="238" t="s">
        <v>176</v>
      </c>
      <c r="AV58" s="266" t="e">
        <f t="shared" ca="1" si="11"/>
        <v>#REF!</v>
      </c>
    </row>
    <row r="59" spans="1:48" ht="12.75" customHeight="1" x14ac:dyDescent="0.2">
      <c r="A59" s="25"/>
      <c r="B59" s="25"/>
      <c r="C59" s="25"/>
      <c r="D59" s="25"/>
      <c r="E59" s="231"/>
      <c r="F59" s="232"/>
      <c r="G59" s="25"/>
      <c r="H59" s="25"/>
      <c r="I59" s="233"/>
      <c r="J59" s="233"/>
      <c r="K59" s="233"/>
      <c r="L59" s="233"/>
      <c r="M59" s="25"/>
      <c r="Q59" s="25"/>
      <c r="R59" s="233"/>
      <c r="X59" s="233"/>
      <c r="Y59" s="233"/>
      <c r="Z59" s="26"/>
      <c r="AA59" s="26"/>
      <c r="AB59" s="25"/>
      <c r="AC59" s="25"/>
      <c r="AD59" s="25"/>
      <c r="AE59" s="233"/>
      <c r="AF59" s="233"/>
      <c r="AG59" s="233"/>
      <c r="AH59" s="233"/>
      <c r="AI59" s="233"/>
      <c r="AJ59" s="233"/>
      <c r="AK59" s="25"/>
      <c r="AL59" s="233"/>
      <c r="AM59" s="233"/>
      <c r="AO59" s="28"/>
      <c r="AP59" s="28"/>
      <c r="AT59" s="533"/>
      <c r="AU59" s="238" t="s">
        <v>25</v>
      </c>
      <c r="AV59" s="266" t="e">
        <f t="shared" ca="1" si="11"/>
        <v>#REF!</v>
      </c>
    </row>
    <row r="60" spans="1:48" ht="12.75" customHeight="1" x14ac:dyDescent="0.2">
      <c r="A60" s="25"/>
      <c r="B60" s="25"/>
      <c r="C60" s="25"/>
      <c r="D60" s="25"/>
      <c r="E60" s="231"/>
      <c r="F60" s="232"/>
      <c r="G60" s="25"/>
      <c r="H60" s="25"/>
      <c r="I60" s="233"/>
      <c r="J60" s="233"/>
      <c r="K60" s="233"/>
      <c r="L60" s="233"/>
      <c r="M60" s="25"/>
      <c r="Q60" s="25"/>
      <c r="R60" s="233"/>
      <c r="X60" s="233"/>
      <c r="Y60" s="233"/>
      <c r="Z60" s="26"/>
      <c r="AA60" s="26"/>
      <c r="AB60" s="25"/>
      <c r="AC60" s="25"/>
      <c r="AD60" s="25"/>
      <c r="AE60" s="233"/>
      <c r="AF60" s="233"/>
      <c r="AG60" s="233"/>
      <c r="AH60" s="233"/>
      <c r="AI60" s="233"/>
      <c r="AJ60" s="233"/>
      <c r="AK60" s="25"/>
      <c r="AL60" s="233"/>
      <c r="AM60" s="233"/>
      <c r="AO60" s="28"/>
      <c r="AP60" s="28"/>
      <c r="AT60" s="533"/>
      <c r="AU60" s="238" t="s">
        <v>706</v>
      </c>
      <c r="AV60" s="266" t="e">
        <f ca="1">SUM(AV53:AV59)</f>
        <v>#REF!</v>
      </c>
    </row>
    <row r="61" spans="1:48" ht="12.75" customHeight="1" x14ac:dyDescent="0.2">
      <c r="A61" s="25"/>
      <c r="B61" s="25"/>
      <c r="C61" s="25"/>
      <c r="D61" s="25"/>
      <c r="E61" s="231"/>
      <c r="F61" s="232"/>
      <c r="G61" s="25"/>
      <c r="H61" s="25"/>
      <c r="I61" s="233"/>
      <c r="J61" s="233"/>
      <c r="K61" s="233"/>
      <c r="L61" s="233"/>
      <c r="M61" s="25"/>
      <c r="Q61" s="25"/>
      <c r="R61" s="233"/>
      <c r="X61" s="233"/>
      <c r="Y61" s="233"/>
      <c r="Z61" s="26"/>
      <c r="AA61" s="26"/>
      <c r="AB61" s="25"/>
      <c r="AC61" s="25"/>
      <c r="AD61" s="25"/>
      <c r="AE61" s="233"/>
      <c r="AF61" s="233"/>
      <c r="AG61" s="233"/>
      <c r="AH61" s="233"/>
      <c r="AI61" s="233"/>
      <c r="AJ61" s="233"/>
      <c r="AK61" s="25"/>
      <c r="AL61" s="233"/>
      <c r="AM61" s="233"/>
      <c r="AO61" s="28"/>
      <c r="AP61" s="28"/>
      <c r="AT61" s="533" t="s">
        <v>707</v>
      </c>
      <c r="AU61" s="238" t="s">
        <v>181</v>
      </c>
      <c r="AV61" s="266" t="e">
        <f t="shared" ref="AV61:AV68" ca="1" si="12">SUMIF($AU$21:$AU$60,AU61,$AV$21:$AV$60)</f>
        <v>#REF!</v>
      </c>
    </row>
    <row r="62" spans="1:48" ht="12.75" customHeight="1" x14ac:dyDescent="0.2">
      <c r="A62" s="25"/>
      <c r="B62" s="25"/>
      <c r="C62" s="25"/>
      <c r="D62" s="25"/>
      <c r="E62" s="231"/>
      <c r="F62" s="232"/>
      <c r="G62" s="25"/>
      <c r="H62" s="25"/>
      <c r="I62" s="233"/>
      <c r="J62" s="233"/>
      <c r="K62" s="233"/>
      <c r="L62" s="233"/>
      <c r="M62" s="25"/>
      <c r="Q62" s="25"/>
      <c r="R62" s="233"/>
      <c r="X62" s="233"/>
      <c r="Y62" s="233"/>
      <c r="Z62" s="26"/>
      <c r="AA62" s="26"/>
      <c r="AB62" s="25"/>
      <c r="AC62" s="25"/>
      <c r="AD62" s="25"/>
      <c r="AE62" s="233"/>
      <c r="AF62" s="233"/>
      <c r="AG62" s="233"/>
      <c r="AH62" s="233"/>
      <c r="AI62" s="233"/>
      <c r="AJ62" s="233"/>
      <c r="AK62" s="25"/>
      <c r="AL62" s="233"/>
      <c r="AM62" s="233"/>
      <c r="AO62" s="28"/>
      <c r="AP62" s="28"/>
      <c r="AT62" s="533"/>
      <c r="AU62" s="238" t="s">
        <v>180</v>
      </c>
      <c r="AV62" s="266" t="e">
        <f t="shared" ca="1" si="12"/>
        <v>#REF!</v>
      </c>
    </row>
    <row r="63" spans="1:48" ht="12.75" customHeight="1" x14ac:dyDescent="0.2">
      <c r="A63" s="25"/>
      <c r="B63" s="25"/>
      <c r="C63" s="25"/>
      <c r="D63" s="25"/>
      <c r="E63" s="231"/>
      <c r="F63" s="232"/>
      <c r="G63" s="25"/>
      <c r="H63" s="25"/>
      <c r="I63" s="233"/>
      <c r="J63" s="233"/>
      <c r="K63" s="233"/>
      <c r="L63" s="233"/>
      <c r="M63" s="25"/>
      <c r="Q63" s="25"/>
      <c r="R63" s="233"/>
      <c r="X63" s="233"/>
      <c r="Y63" s="233"/>
      <c r="Z63" s="26"/>
      <c r="AA63" s="26"/>
      <c r="AB63" s="25"/>
      <c r="AC63" s="25"/>
      <c r="AD63" s="25"/>
      <c r="AE63" s="233"/>
      <c r="AF63" s="233"/>
      <c r="AG63" s="233"/>
      <c r="AH63" s="233"/>
      <c r="AI63" s="233"/>
      <c r="AJ63" s="233"/>
      <c r="AK63" s="25"/>
      <c r="AL63" s="233"/>
      <c r="AM63" s="233"/>
      <c r="AO63" s="28"/>
      <c r="AP63" s="28"/>
      <c r="AT63" s="533"/>
      <c r="AU63" s="238" t="s">
        <v>179</v>
      </c>
      <c r="AV63" s="266" t="e">
        <f t="shared" ca="1" si="12"/>
        <v>#REF!</v>
      </c>
    </row>
    <row r="64" spans="1:48" ht="12.75" customHeight="1" x14ac:dyDescent="0.2">
      <c r="A64" s="25"/>
      <c r="B64" s="25"/>
      <c r="C64" s="25"/>
      <c r="D64" s="25"/>
      <c r="E64" s="231"/>
      <c r="F64" s="232"/>
      <c r="G64" s="25"/>
      <c r="H64" s="25"/>
      <c r="I64" s="233"/>
      <c r="J64" s="233"/>
      <c r="K64" s="233"/>
      <c r="L64" s="233"/>
      <c r="M64" s="25"/>
      <c r="Q64" s="25"/>
      <c r="R64" s="233"/>
      <c r="X64" s="233"/>
      <c r="Y64" s="233"/>
      <c r="Z64" s="26"/>
      <c r="AA64" s="22"/>
      <c r="AB64" s="25"/>
      <c r="AC64" s="25"/>
      <c r="AD64" s="25"/>
      <c r="AE64" s="233"/>
      <c r="AF64" s="233"/>
      <c r="AG64" s="233"/>
      <c r="AH64" s="233"/>
      <c r="AI64" s="233"/>
      <c r="AJ64" s="233"/>
      <c r="AK64" s="25"/>
      <c r="AL64" s="233"/>
      <c r="AM64" s="233"/>
      <c r="AO64" s="28"/>
      <c r="AP64" s="28"/>
      <c r="AT64" s="533"/>
      <c r="AU64" s="238" t="s">
        <v>178</v>
      </c>
      <c r="AV64" s="266" t="e">
        <f t="shared" ca="1" si="12"/>
        <v>#REF!</v>
      </c>
    </row>
    <row r="65" spans="1:48" ht="12.75" customHeight="1" x14ac:dyDescent="0.2">
      <c r="A65" s="25"/>
      <c r="B65" s="25"/>
      <c r="C65" s="25"/>
      <c r="D65" s="25"/>
      <c r="E65" s="231"/>
      <c r="F65" s="232"/>
      <c r="G65" s="25"/>
      <c r="H65" s="25"/>
      <c r="I65" s="233"/>
      <c r="J65" s="233"/>
      <c r="K65" s="233"/>
      <c r="L65" s="233"/>
      <c r="M65" s="25"/>
      <c r="Q65" s="25"/>
      <c r="R65" s="233"/>
      <c r="X65" s="233"/>
      <c r="Y65" s="233"/>
      <c r="Z65" s="26"/>
      <c r="AA65" s="22"/>
      <c r="AB65" s="25"/>
      <c r="AC65" s="25"/>
      <c r="AD65" s="25"/>
      <c r="AE65" s="233"/>
      <c r="AF65" s="233"/>
      <c r="AG65" s="233"/>
      <c r="AH65" s="233"/>
      <c r="AI65" s="233"/>
      <c r="AJ65" s="233"/>
      <c r="AK65" s="25"/>
      <c r="AL65" s="233"/>
      <c r="AM65" s="233"/>
      <c r="AO65" s="28"/>
      <c r="AP65" s="28"/>
      <c r="AT65" s="533"/>
      <c r="AU65" s="238" t="s">
        <v>177</v>
      </c>
      <c r="AV65" s="266" t="e">
        <f t="shared" ca="1" si="12"/>
        <v>#REF!</v>
      </c>
    </row>
    <row r="66" spans="1:48" ht="12.75" customHeight="1" x14ac:dyDescent="0.2">
      <c r="A66" s="25"/>
      <c r="B66" s="25"/>
      <c r="C66" s="25"/>
      <c r="D66" s="25"/>
      <c r="E66" s="231"/>
      <c r="F66" s="232"/>
      <c r="G66" s="25"/>
      <c r="H66" s="25"/>
      <c r="I66" s="233"/>
      <c r="J66" s="233"/>
      <c r="K66" s="233"/>
      <c r="L66" s="233"/>
      <c r="M66" s="25"/>
      <c r="Q66" s="25"/>
      <c r="R66" s="233"/>
      <c r="X66" s="233"/>
      <c r="Y66" s="233"/>
      <c r="Z66" s="26"/>
      <c r="AA66" s="22"/>
      <c r="AB66" s="25"/>
      <c r="AC66" s="25"/>
      <c r="AD66" s="25"/>
      <c r="AE66" s="233"/>
      <c r="AF66" s="233"/>
      <c r="AG66" s="233"/>
      <c r="AH66" s="233"/>
      <c r="AI66" s="233"/>
      <c r="AJ66" s="233"/>
      <c r="AK66" s="25"/>
      <c r="AL66" s="233"/>
      <c r="AM66" s="233"/>
      <c r="AO66" s="28"/>
      <c r="AP66" s="28"/>
      <c r="AT66" s="533"/>
      <c r="AU66" s="238" t="s">
        <v>176</v>
      </c>
      <c r="AV66" s="266" t="e">
        <f t="shared" ca="1" si="12"/>
        <v>#REF!</v>
      </c>
    </row>
    <row r="67" spans="1:48" ht="12.75" customHeight="1" x14ac:dyDescent="0.2">
      <c r="A67" s="25"/>
      <c r="B67" s="25"/>
      <c r="C67" s="25"/>
      <c r="D67" s="25"/>
      <c r="E67" s="231"/>
      <c r="F67" s="232"/>
      <c r="G67" s="25"/>
      <c r="H67" s="25"/>
      <c r="I67" s="233"/>
      <c r="J67" s="233"/>
      <c r="K67" s="233"/>
      <c r="L67" s="233"/>
      <c r="M67" s="25"/>
      <c r="Q67" s="25"/>
      <c r="R67" s="233"/>
      <c r="X67" s="233"/>
      <c r="Y67" s="233"/>
      <c r="Z67" s="26"/>
      <c r="AA67" s="22"/>
      <c r="AB67" s="25"/>
      <c r="AC67" s="25"/>
      <c r="AD67" s="25"/>
      <c r="AE67" s="233"/>
      <c r="AF67" s="233"/>
      <c r="AG67" s="233"/>
      <c r="AH67" s="233"/>
      <c r="AI67" s="233"/>
      <c r="AJ67" s="233"/>
      <c r="AK67" s="25"/>
      <c r="AL67" s="233"/>
      <c r="AM67" s="233"/>
      <c r="AO67" s="28"/>
      <c r="AP67" s="28"/>
      <c r="AT67" s="533"/>
      <c r="AU67" s="238" t="s">
        <v>25</v>
      </c>
      <c r="AV67" s="266" t="e">
        <f t="shared" ca="1" si="12"/>
        <v>#REF!</v>
      </c>
    </row>
    <row r="68" spans="1:48" ht="12.75" customHeight="1" x14ac:dyDescent="0.2">
      <c r="A68" s="25"/>
      <c r="B68" s="25"/>
      <c r="C68" s="25"/>
      <c r="D68" s="25"/>
      <c r="E68" s="231"/>
      <c r="F68" s="232"/>
      <c r="G68" s="25"/>
      <c r="H68" s="25"/>
      <c r="I68" s="233"/>
      <c r="J68" s="233"/>
      <c r="K68" s="233"/>
      <c r="L68" s="233"/>
      <c r="M68" s="25"/>
      <c r="Q68" s="25"/>
      <c r="R68" s="233"/>
      <c r="X68" s="233"/>
      <c r="Y68" s="233"/>
      <c r="Z68" s="26"/>
      <c r="AA68" s="22"/>
      <c r="AB68" s="25"/>
      <c r="AC68" s="25"/>
      <c r="AD68" s="25"/>
      <c r="AE68" s="233"/>
      <c r="AF68" s="233"/>
      <c r="AG68" s="233"/>
      <c r="AH68" s="233"/>
      <c r="AI68" s="233"/>
      <c r="AJ68" s="233"/>
      <c r="AK68" s="25"/>
      <c r="AL68" s="233"/>
      <c r="AM68" s="233"/>
      <c r="AO68" s="28"/>
      <c r="AP68" s="28"/>
      <c r="AT68" s="533"/>
      <c r="AU68" s="238" t="s">
        <v>706</v>
      </c>
      <c r="AV68" s="266" t="e">
        <f t="shared" ca="1" si="12"/>
        <v>#REF!</v>
      </c>
    </row>
    <row r="69" spans="1:48" ht="12.75" customHeight="1" x14ac:dyDescent="0.2">
      <c r="A69" s="25"/>
      <c r="B69" s="25"/>
      <c r="C69" s="25"/>
      <c r="D69" s="25"/>
      <c r="E69" s="231"/>
      <c r="F69" s="232"/>
      <c r="G69" s="25"/>
      <c r="H69" s="25"/>
      <c r="I69" s="233"/>
      <c r="J69" s="233"/>
      <c r="K69" s="233"/>
      <c r="L69" s="233"/>
      <c r="M69" s="25"/>
      <c r="Q69" s="25"/>
      <c r="R69" s="233"/>
      <c r="X69" s="233"/>
      <c r="Y69" s="233"/>
      <c r="Z69" s="26"/>
      <c r="AA69" s="22"/>
      <c r="AB69" s="25"/>
      <c r="AC69" s="25"/>
      <c r="AD69" s="25"/>
      <c r="AE69" s="233"/>
      <c r="AF69" s="233"/>
      <c r="AG69" s="233"/>
      <c r="AH69" s="233"/>
      <c r="AI69" s="233"/>
      <c r="AJ69" s="233"/>
      <c r="AK69" s="25"/>
      <c r="AL69" s="233"/>
      <c r="AM69" s="233"/>
      <c r="AO69" s="28"/>
      <c r="AP69" s="28"/>
      <c r="AT69" s="533" t="s">
        <v>1156</v>
      </c>
      <c r="AU69" s="238" t="s">
        <v>181</v>
      </c>
      <c r="AV69" s="266">
        <f t="shared" ref="AV69:AV75" ca="1" si="13">IFERROR(SUMIF(Str_AVFStructureType,$AS5,y0_QuantityKeyDimensionSSS)/SUMIF(Str_AVFStructureType,$AS5,Str_DimensionforSSCI),0)</f>
        <v>0</v>
      </c>
    </row>
    <row r="70" spans="1:48" ht="12.75" customHeight="1" x14ac:dyDescent="0.2">
      <c r="A70" s="25"/>
      <c r="B70" s="25"/>
      <c r="C70" s="25"/>
      <c r="D70" s="25"/>
      <c r="E70" s="231"/>
      <c r="F70" s="232"/>
      <c r="G70" s="25"/>
      <c r="H70" s="25"/>
      <c r="I70" s="233"/>
      <c r="J70" s="233"/>
      <c r="K70" s="233"/>
      <c r="L70" s="233"/>
      <c r="M70" s="25"/>
      <c r="Q70" s="25"/>
      <c r="R70" s="233"/>
      <c r="X70" s="233"/>
      <c r="Y70" s="233"/>
      <c r="Z70" s="26"/>
      <c r="AA70" s="22"/>
      <c r="AB70" s="25"/>
      <c r="AC70" s="25"/>
      <c r="AD70" s="25"/>
      <c r="AE70" s="233"/>
      <c r="AF70" s="233"/>
      <c r="AG70" s="233"/>
      <c r="AH70" s="233"/>
      <c r="AI70" s="233"/>
      <c r="AJ70" s="233"/>
      <c r="AK70" s="25"/>
      <c r="AL70" s="233"/>
      <c r="AM70" s="233"/>
      <c r="AT70" s="533"/>
      <c r="AU70" s="238" t="s">
        <v>180</v>
      </c>
      <c r="AV70" s="266">
        <f t="shared" ca="1" si="13"/>
        <v>0</v>
      </c>
    </row>
    <row r="71" spans="1:48" ht="12.75" customHeight="1" x14ac:dyDescent="0.2">
      <c r="A71" s="25"/>
      <c r="B71" s="25"/>
      <c r="C71" s="25"/>
      <c r="D71" s="25"/>
      <c r="E71" s="231"/>
      <c r="F71" s="232"/>
      <c r="G71" s="25"/>
      <c r="H71" s="25"/>
      <c r="I71" s="233"/>
      <c r="J71" s="233"/>
      <c r="K71" s="233"/>
      <c r="L71" s="233"/>
      <c r="M71" s="25"/>
      <c r="Q71" s="25"/>
      <c r="R71" s="233"/>
      <c r="X71" s="233"/>
      <c r="Y71" s="233"/>
      <c r="Z71" s="26"/>
      <c r="AA71" s="22"/>
      <c r="AB71" s="25"/>
      <c r="AC71" s="25"/>
      <c r="AD71" s="25"/>
      <c r="AE71" s="233"/>
      <c r="AF71" s="233"/>
      <c r="AG71" s="233"/>
      <c r="AH71" s="233"/>
      <c r="AI71" s="233"/>
      <c r="AJ71" s="233"/>
      <c r="AK71" s="25"/>
      <c r="AL71" s="233"/>
      <c r="AM71" s="233"/>
      <c r="AT71" s="533"/>
      <c r="AU71" s="238" t="s">
        <v>179</v>
      </c>
      <c r="AV71" s="266">
        <f t="shared" ca="1" si="13"/>
        <v>0</v>
      </c>
    </row>
    <row r="72" spans="1:48" ht="12.75" customHeight="1" x14ac:dyDescent="0.2">
      <c r="A72" s="25"/>
      <c r="B72" s="25"/>
      <c r="C72" s="25"/>
      <c r="D72" s="25"/>
      <c r="E72" s="231"/>
      <c r="F72" s="232"/>
      <c r="G72" s="25"/>
      <c r="H72" s="25"/>
      <c r="I72" s="233"/>
      <c r="J72" s="233"/>
      <c r="K72" s="233"/>
      <c r="L72" s="233"/>
      <c r="M72" s="25"/>
      <c r="Q72" s="25"/>
      <c r="R72" s="233"/>
      <c r="X72" s="233"/>
      <c r="Y72" s="233"/>
      <c r="Z72" s="26"/>
      <c r="AA72" s="22"/>
      <c r="AB72" s="25"/>
      <c r="AC72" s="25"/>
      <c r="AD72" s="25"/>
      <c r="AE72" s="233"/>
      <c r="AF72" s="233"/>
      <c r="AG72" s="233"/>
      <c r="AH72" s="233"/>
      <c r="AI72" s="233"/>
      <c r="AJ72" s="233"/>
      <c r="AK72" s="25"/>
      <c r="AL72" s="233"/>
      <c r="AM72" s="233"/>
      <c r="AT72" s="533"/>
      <c r="AU72" s="238" t="s">
        <v>178</v>
      </c>
      <c r="AV72" s="266">
        <f t="shared" ca="1" si="13"/>
        <v>0</v>
      </c>
    </row>
    <row r="73" spans="1:48" ht="12.75" customHeight="1" x14ac:dyDescent="0.2">
      <c r="A73" s="25"/>
      <c r="B73" s="25"/>
      <c r="C73" s="25"/>
      <c r="D73" s="25"/>
      <c r="E73" s="231"/>
      <c r="F73" s="232"/>
      <c r="G73" s="25"/>
      <c r="H73" s="25"/>
      <c r="I73" s="233"/>
      <c r="J73" s="233"/>
      <c r="K73" s="233"/>
      <c r="L73" s="233"/>
      <c r="M73" s="25"/>
      <c r="Q73" s="25"/>
      <c r="R73" s="233"/>
      <c r="X73" s="233"/>
      <c r="Y73" s="233"/>
      <c r="Z73" s="26"/>
      <c r="AA73" s="22"/>
      <c r="AB73" s="25"/>
      <c r="AC73" s="25"/>
      <c r="AD73" s="25"/>
      <c r="AE73" s="233"/>
      <c r="AF73" s="233"/>
      <c r="AG73" s="233"/>
      <c r="AH73" s="233"/>
      <c r="AI73" s="233"/>
      <c r="AJ73" s="233"/>
      <c r="AK73" s="25"/>
      <c r="AL73" s="233"/>
      <c r="AM73" s="233"/>
      <c r="AT73" s="533"/>
      <c r="AU73" s="238" t="s">
        <v>177</v>
      </c>
      <c r="AV73" s="266">
        <f t="shared" ca="1" si="13"/>
        <v>0</v>
      </c>
    </row>
    <row r="74" spans="1:48" ht="12.75" customHeight="1" x14ac:dyDescent="0.2">
      <c r="A74" s="25"/>
      <c r="B74" s="25"/>
      <c r="C74" s="25"/>
      <c r="D74" s="25"/>
      <c r="E74" s="231"/>
      <c r="F74" s="232"/>
      <c r="G74" s="25"/>
      <c r="H74" s="25"/>
      <c r="I74" s="233"/>
      <c r="J74" s="233"/>
      <c r="K74" s="233"/>
      <c r="L74" s="233"/>
      <c r="M74" s="25"/>
      <c r="Q74" s="25"/>
      <c r="R74" s="233"/>
      <c r="X74" s="233"/>
      <c r="Y74" s="233"/>
      <c r="Z74" s="26"/>
      <c r="AA74" s="22"/>
      <c r="AB74" s="25"/>
      <c r="AC74" s="25"/>
      <c r="AD74" s="25"/>
      <c r="AE74" s="233"/>
      <c r="AF74" s="233"/>
      <c r="AG74" s="233"/>
      <c r="AH74" s="233"/>
      <c r="AI74" s="233"/>
      <c r="AJ74" s="233"/>
      <c r="AK74" s="25"/>
      <c r="AL74" s="233"/>
      <c r="AM74" s="233"/>
      <c r="AT74" s="533"/>
      <c r="AU74" s="238" t="s">
        <v>176</v>
      </c>
      <c r="AV74" s="266">
        <f t="shared" ca="1" si="13"/>
        <v>0</v>
      </c>
    </row>
    <row r="75" spans="1:48" ht="12.75" customHeight="1" x14ac:dyDescent="0.2">
      <c r="A75" s="25"/>
      <c r="B75" s="25"/>
      <c r="C75" s="25"/>
      <c r="D75" s="25"/>
      <c r="E75" s="231"/>
      <c r="F75" s="232"/>
      <c r="G75" s="25"/>
      <c r="H75" s="25"/>
      <c r="I75" s="233"/>
      <c r="J75" s="233"/>
      <c r="K75" s="233"/>
      <c r="L75" s="233"/>
      <c r="M75" s="25"/>
      <c r="Q75" s="25"/>
      <c r="R75" s="233"/>
      <c r="X75" s="233"/>
      <c r="Y75" s="233"/>
      <c r="Z75" s="26"/>
      <c r="AA75" s="22"/>
      <c r="AB75" s="25"/>
      <c r="AC75" s="25"/>
      <c r="AD75" s="25"/>
      <c r="AE75" s="233"/>
      <c r="AF75" s="233"/>
      <c r="AG75" s="233"/>
      <c r="AH75" s="233"/>
      <c r="AI75" s="233"/>
      <c r="AJ75" s="233"/>
      <c r="AK75" s="25"/>
      <c r="AL75" s="233"/>
      <c r="AM75" s="233"/>
      <c r="AT75" s="533"/>
      <c r="AU75" s="238" t="s">
        <v>25</v>
      </c>
      <c r="AV75" s="266">
        <f t="shared" ca="1" si="13"/>
        <v>0</v>
      </c>
    </row>
    <row r="76" spans="1:48" ht="12.75" customHeight="1" x14ac:dyDescent="0.2">
      <c r="A76" s="25"/>
      <c r="B76" s="25"/>
      <c r="C76" s="25"/>
      <c r="D76" s="25"/>
      <c r="E76" s="231"/>
      <c r="F76" s="232"/>
      <c r="G76" s="25"/>
      <c r="H76" s="25"/>
      <c r="I76" s="233"/>
      <c r="J76" s="233"/>
      <c r="K76" s="233"/>
      <c r="L76" s="233"/>
      <c r="M76" s="25"/>
      <c r="Q76" s="25"/>
      <c r="R76" s="233"/>
      <c r="X76" s="233"/>
      <c r="Y76" s="233"/>
      <c r="Z76" s="26"/>
      <c r="AA76" s="22"/>
      <c r="AB76" s="25"/>
      <c r="AC76" s="25"/>
      <c r="AD76" s="25"/>
      <c r="AE76" s="233"/>
      <c r="AF76" s="233"/>
      <c r="AG76" s="233"/>
      <c r="AH76" s="233"/>
      <c r="AI76" s="233"/>
      <c r="AJ76" s="233"/>
      <c r="AK76" s="25"/>
      <c r="AL76" s="233"/>
      <c r="AM76" s="233"/>
      <c r="AT76" s="533"/>
      <c r="AU76" s="238" t="s">
        <v>706</v>
      </c>
      <c r="AV76" s="266">
        <f ca="1">IFERROR((SUM(y0_QuantityKeyDimensionxAVFSSS))/(SUM(Str_DimensionforSSCIxAVF)),0)</f>
        <v>0</v>
      </c>
    </row>
    <row r="77" spans="1:48" ht="12.75" customHeight="1" x14ac:dyDescent="0.2">
      <c r="A77" s="25"/>
      <c r="B77" s="25"/>
      <c r="C77" s="25"/>
      <c r="D77" s="25"/>
      <c r="E77" s="231"/>
      <c r="F77" s="232"/>
      <c r="G77" s="25"/>
      <c r="H77" s="25"/>
      <c r="I77" s="233"/>
      <c r="J77" s="233"/>
      <c r="K77" s="233"/>
      <c r="L77" s="233"/>
      <c r="M77" s="25"/>
      <c r="Q77" s="25"/>
      <c r="R77" s="233"/>
      <c r="X77" s="233"/>
      <c r="Y77" s="233"/>
      <c r="Z77" s="26"/>
      <c r="AA77" s="22"/>
      <c r="AB77" s="25"/>
      <c r="AC77" s="25"/>
      <c r="AD77" s="25"/>
      <c r="AE77" s="233"/>
      <c r="AF77" s="233"/>
      <c r="AG77" s="233"/>
      <c r="AH77" s="233"/>
      <c r="AI77" s="233"/>
      <c r="AJ77" s="233"/>
      <c r="AK77" s="25"/>
      <c r="AL77" s="233"/>
      <c r="AM77" s="233"/>
      <c r="AT77" s="38"/>
      <c r="AU77" s="33"/>
      <c r="AV77" s="34"/>
    </row>
    <row r="78" spans="1:48" ht="12.75" customHeight="1" x14ac:dyDescent="0.2">
      <c r="A78" s="25"/>
      <c r="B78" s="25"/>
      <c r="C78" s="25"/>
      <c r="D78" s="25"/>
      <c r="E78" s="231"/>
      <c r="F78" s="232"/>
      <c r="G78" s="25"/>
      <c r="H78" s="25"/>
      <c r="I78" s="233"/>
      <c r="J78" s="233"/>
      <c r="K78" s="233"/>
      <c r="L78" s="233"/>
      <c r="M78" s="25"/>
      <c r="Q78" s="25"/>
      <c r="R78" s="233"/>
      <c r="X78" s="233"/>
      <c r="Y78" s="233"/>
      <c r="Z78" s="26"/>
      <c r="AA78" s="22"/>
      <c r="AB78" s="25"/>
      <c r="AC78" s="25"/>
      <c r="AD78" s="25"/>
      <c r="AE78" s="233"/>
      <c r="AF78" s="233"/>
      <c r="AG78" s="233"/>
      <c r="AH78" s="233"/>
      <c r="AI78" s="233"/>
      <c r="AJ78" s="233"/>
      <c r="AK78" s="25"/>
      <c r="AL78" s="233"/>
      <c r="AM78" s="233"/>
      <c r="AT78" s="38"/>
      <c r="AU78" s="33"/>
      <c r="AV78" s="34"/>
    </row>
    <row r="79" spans="1:48" ht="12.75" customHeight="1" x14ac:dyDescent="0.2">
      <c r="A79" s="25"/>
      <c r="B79" s="25"/>
      <c r="C79" s="25"/>
      <c r="D79" s="25"/>
      <c r="E79" s="231"/>
      <c r="F79" s="232"/>
      <c r="G79" s="25"/>
      <c r="H79" s="25"/>
      <c r="I79" s="233"/>
      <c r="J79" s="233"/>
      <c r="K79" s="233"/>
      <c r="L79" s="233"/>
      <c r="M79" s="25"/>
      <c r="Q79" s="25"/>
      <c r="R79" s="233"/>
      <c r="X79" s="233"/>
      <c r="Y79" s="233"/>
      <c r="Z79" s="26"/>
      <c r="AA79" s="22"/>
      <c r="AB79" s="25"/>
      <c r="AC79" s="25"/>
      <c r="AD79" s="25"/>
      <c r="AE79" s="233"/>
      <c r="AF79" s="233"/>
      <c r="AG79" s="233"/>
      <c r="AH79" s="233"/>
      <c r="AI79" s="233"/>
      <c r="AJ79" s="233"/>
      <c r="AK79" s="25"/>
      <c r="AL79" s="233"/>
      <c r="AM79" s="233"/>
      <c r="AT79" s="38"/>
      <c r="AU79" s="33"/>
      <c r="AV79" s="34"/>
    </row>
    <row r="80" spans="1:48" ht="12.75" customHeight="1" x14ac:dyDescent="0.2">
      <c r="A80" s="25"/>
      <c r="B80" s="25"/>
      <c r="C80" s="25"/>
      <c r="D80" s="25"/>
      <c r="E80" s="231"/>
      <c r="F80" s="232"/>
      <c r="G80" s="25"/>
      <c r="H80" s="25"/>
      <c r="I80" s="233"/>
      <c r="J80" s="233"/>
      <c r="K80" s="233"/>
      <c r="L80" s="233"/>
      <c r="M80" s="25"/>
      <c r="Q80" s="25"/>
      <c r="R80" s="233"/>
      <c r="X80" s="233"/>
      <c r="Y80" s="233"/>
      <c r="Z80" s="26"/>
      <c r="AA80" s="22"/>
      <c r="AB80" s="25"/>
      <c r="AC80" s="25"/>
      <c r="AD80" s="25"/>
      <c r="AE80" s="233"/>
      <c r="AF80" s="233"/>
      <c r="AG80" s="233"/>
      <c r="AH80" s="233"/>
      <c r="AI80" s="233"/>
      <c r="AJ80" s="233"/>
      <c r="AK80" s="25"/>
      <c r="AL80" s="233"/>
      <c r="AM80" s="233"/>
      <c r="AT80" s="38"/>
      <c r="AU80" s="33"/>
      <c r="AV80" s="34"/>
    </row>
    <row r="81" spans="1:48" ht="12.75" customHeight="1" x14ac:dyDescent="0.2">
      <c r="A81" s="25"/>
      <c r="B81" s="25"/>
      <c r="C81" s="25"/>
      <c r="D81" s="25"/>
      <c r="E81" s="231"/>
      <c r="F81" s="232"/>
      <c r="G81" s="25"/>
      <c r="H81" s="25"/>
      <c r="I81" s="233"/>
      <c r="J81" s="233"/>
      <c r="K81" s="233"/>
      <c r="L81" s="233"/>
      <c r="M81" s="25"/>
      <c r="Q81" s="25"/>
      <c r="R81" s="233"/>
      <c r="X81" s="233"/>
      <c r="Y81" s="233"/>
      <c r="Z81" s="26"/>
      <c r="AA81" s="22"/>
      <c r="AB81" s="25"/>
      <c r="AC81" s="25"/>
      <c r="AD81" s="25"/>
      <c r="AE81" s="233"/>
      <c r="AF81" s="233"/>
      <c r="AG81" s="233"/>
      <c r="AH81" s="233"/>
      <c r="AI81" s="233"/>
      <c r="AJ81" s="233"/>
      <c r="AK81" s="25"/>
      <c r="AL81" s="233"/>
      <c r="AM81" s="233"/>
      <c r="AT81" s="38"/>
      <c r="AU81" s="33"/>
      <c r="AV81" s="34"/>
    </row>
    <row r="82" spans="1:48" ht="12.75" customHeight="1" x14ac:dyDescent="0.2">
      <c r="A82" s="25"/>
      <c r="B82" s="25"/>
      <c r="C82" s="25"/>
      <c r="D82" s="25"/>
      <c r="E82" s="231"/>
      <c r="F82" s="232"/>
      <c r="G82" s="25"/>
      <c r="H82" s="25"/>
      <c r="I82" s="233"/>
      <c r="J82" s="233"/>
      <c r="K82" s="233"/>
      <c r="L82" s="233"/>
      <c r="M82" s="25"/>
      <c r="Q82" s="25"/>
      <c r="R82" s="233"/>
      <c r="X82" s="233"/>
      <c r="Y82" s="233"/>
      <c r="Z82" s="26"/>
      <c r="AA82" s="22"/>
      <c r="AB82" s="25"/>
      <c r="AC82" s="25"/>
      <c r="AD82" s="25"/>
      <c r="AE82" s="233"/>
      <c r="AF82" s="233"/>
      <c r="AG82" s="233"/>
      <c r="AH82" s="233"/>
      <c r="AI82" s="233"/>
      <c r="AJ82" s="233"/>
      <c r="AK82" s="25"/>
      <c r="AL82" s="233"/>
      <c r="AM82" s="233"/>
      <c r="AT82" s="38"/>
      <c r="AU82" s="33"/>
      <c r="AV82" s="34"/>
    </row>
    <row r="83" spans="1:48" ht="12.75" customHeight="1" x14ac:dyDescent="0.2">
      <c r="A83" s="25"/>
      <c r="B83" s="25"/>
      <c r="C83" s="25"/>
      <c r="D83" s="25"/>
      <c r="E83" s="231"/>
      <c r="F83" s="232"/>
      <c r="G83" s="25"/>
      <c r="H83" s="25"/>
      <c r="I83" s="233"/>
      <c r="J83" s="233"/>
      <c r="K83" s="233"/>
      <c r="L83" s="233"/>
      <c r="M83" s="25"/>
      <c r="Q83" s="25"/>
      <c r="R83" s="233"/>
      <c r="X83" s="233"/>
      <c r="Y83" s="233"/>
      <c r="Z83" s="26"/>
      <c r="AA83" s="22"/>
      <c r="AB83" s="25"/>
      <c r="AC83" s="25"/>
      <c r="AD83" s="25"/>
      <c r="AE83" s="233"/>
      <c r="AF83" s="233"/>
      <c r="AG83" s="233"/>
      <c r="AH83" s="233"/>
      <c r="AI83" s="233"/>
      <c r="AJ83" s="233"/>
      <c r="AK83" s="25"/>
      <c r="AL83" s="233"/>
      <c r="AM83" s="233"/>
      <c r="AT83" s="38"/>
      <c r="AU83" s="33"/>
      <c r="AV83" s="34"/>
    </row>
    <row r="84" spans="1:48" ht="12.75" customHeight="1" x14ac:dyDescent="0.2">
      <c r="A84" s="25"/>
      <c r="B84" s="25"/>
      <c r="C84" s="25"/>
      <c r="D84" s="25"/>
      <c r="E84" s="231"/>
      <c r="F84" s="232"/>
      <c r="G84" s="25"/>
      <c r="H84" s="25"/>
      <c r="I84" s="233"/>
      <c r="J84" s="233"/>
      <c r="K84" s="233"/>
      <c r="L84" s="233"/>
      <c r="M84" s="25"/>
      <c r="Q84" s="25"/>
      <c r="R84" s="233"/>
      <c r="X84" s="233"/>
      <c r="Y84" s="233"/>
      <c r="Z84" s="26"/>
      <c r="AA84" s="22"/>
      <c r="AB84" s="25"/>
      <c r="AC84" s="25"/>
      <c r="AD84" s="25"/>
      <c r="AE84" s="233"/>
      <c r="AF84" s="233"/>
      <c r="AG84" s="233"/>
      <c r="AH84" s="233"/>
      <c r="AI84" s="233"/>
      <c r="AJ84" s="233"/>
      <c r="AK84" s="25"/>
      <c r="AL84" s="233"/>
      <c r="AM84" s="233"/>
      <c r="AT84" s="38"/>
      <c r="AU84" s="33"/>
      <c r="AV84" s="35"/>
    </row>
    <row r="85" spans="1:48" ht="12.75" customHeight="1" x14ac:dyDescent="0.2">
      <c r="A85" s="25"/>
      <c r="B85" s="25"/>
      <c r="C85" s="25"/>
      <c r="D85" s="25"/>
      <c r="E85" s="231"/>
      <c r="F85" s="232"/>
      <c r="G85" s="25"/>
      <c r="H85" s="25"/>
      <c r="I85" s="233"/>
      <c r="J85" s="233"/>
      <c r="K85" s="233"/>
      <c r="L85" s="233"/>
      <c r="M85" s="25"/>
      <c r="Q85" s="25"/>
      <c r="R85" s="233"/>
      <c r="X85" s="233"/>
      <c r="Y85" s="233"/>
      <c r="Z85" s="26"/>
      <c r="AA85" s="22"/>
      <c r="AB85" s="25"/>
      <c r="AC85" s="25"/>
      <c r="AD85" s="25"/>
      <c r="AE85" s="233"/>
      <c r="AF85" s="233"/>
      <c r="AG85" s="233"/>
      <c r="AH85" s="233"/>
      <c r="AI85" s="233"/>
      <c r="AJ85" s="233"/>
      <c r="AK85" s="25"/>
      <c r="AL85" s="233"/>
      <c r="AM85" s="233"/>
      <c r="AU85" s="33"/>
      <c r="AV85" s="36"/>
    </row>
    <row r="86" spans="1:48" ht="12.75" customHeight="1" x14ac:dyDescent="0.2">
      <c r="A86" s="25"/>
      <c r="B86" s="25"/>
      <c r="C86" s="25"/>
      <c r="D86" s="25"/>
      <c r="E86" s="231"/>
      <c r="F86" s="232"/>
      <c r="G86" s="25"/>
      <c r="H86" s="25"/>
      <c r="I86" s="233"/>
      <c r="J86" s="233"/>
      <c r="K86" s="233"/>
      <c r="L86" s="233"/>
      <c r="M86" s="25"/>
      <c r="Q86" s="25"/>
      <c r="R86" s="233"/>
      <c r="X86" s="233"/>
      <c r="Y86" s="233"/>
      <c r="Z86" s="26"/>
      <c r="AA86" s="22"/>
      <c r="AB86" s="25"/>
      <c r="AC86" s="25"/>
      <c r="AD86" s="25"/>
      <c r="AE86" s="233"/>
      <c r="AF86" s="233"/>
      <c r="AG86" s="233"/>
      <c r="AH86" s="233"/>
      <c r="AI86" s="233"/>
      <c r="AJ86" s="233"/>
      <c r="AK86" s="25"/>
      <c r="AL86" s="233"/>
      <c r="AM86" s="233"/>
      <c r="AU86" s="33"/>
      <c r="AV86" s="36"/>
    </row>
    <row r="87" spans="1:48" ht="12.75" customHeight="1" x14ac:dyDescent="0.2">
      <c r="A87" s="25"/>
      <c r="B87" s="25"/>
      <c r="C87" s="25"/>
      <c r="D87" s="25"/>
      <c r="E87" s="231"/>
      <c r="F87" s="232"/>
      <c r="G87" s="25"/>
      <c r="H87" s="25"/>
      <c r="I87" s="233"/>
      <c r="J87" s="233"/>
      <c r="K87" s="233"/>
      <c r="L87" s="233"/>
      <c r="M87" s="25"/>
      <c r="Q87" s="25"/>
      <c r="R87" s="233"/>
      <c r="X87" s="233"/>
      <c r="Y87" s="233"/>
      <c r="Z87" s="26"/>
      <c r="AA87" s="22"/>
      <c r="AB87" s="25"/>
      <c r="AC87" s="25"/>
      <c r="AD87" s="25"/>
      <c r="AE87" s="233"/>
      <c r="AF87" s="233"/>
      <c r="AG87" s="233"/>
      <c r="AH87" s="233"/>
      <c r="AI87" s="233"/>
      <c r="AJ87" s="233"/>
      <c r="AK87" s="25"/>
      <c r="AL87" s="233"/>
      <c r="AM87" s="233"/>
      <c r="AU87" s="33"/>
      <c r="AV87" s="36"/>
    </row>
    <row r="88" spans="1:48" ht="12.75" customHeight="1" x14ac:dyDescent="0.2">
      <c r="A88" s="25"/>
      <c r="B88" s="25"/>
      <c r="C88" s="25"/>
      <c r="D88" s="25"/>
      <c r="E88" s="231"/>
      <c r="F88" s="232"/>
      <c r="G88" s="25"/>
      <c r="H88" s="25"/>
      <c r="I88" s="233"/>
      <c r="J88" s="233"/>
      <c r="K88" s="233"/>
      <c r="L88" s="233"/>
      <c r="M88" s="25"/>
      <c r="Q88" s="25"/>
      <c r="R88" s="233"/>
      <c r="X88" s="233"/>
      <c r="Y88" s="233"/>
      <c r="Z88" s="26"/>
      <c r="AA88" s="22"/>
      <c r="AB88" s="25"/>
      <c r="AC88" s="25"/>
      <c r="AD88" s="25"/>
      <c r="AE88" s="233"/>
      <c r="AF88" s="233"/>
      <c r="AG88" s="233"/>
      <c r="AH88" s="233"/>
      <c r="AI88" s="233"/>
      <c r="AJ88" s="233"/>
      <c r="AK88" s="25"/>
      <c r="AL88" s="233"/>
      <c r="AM88" s="233"/>
      <c r="AU88" s="33"/>
      <c r="AV88" s="36"/>
    </row>
    <row r="89" spans="1:48" ht="12.75" customHeight="1" x14ac:dyDescent="0.2">
      <c r="A89" s="25"/>
      <c r="B89" s="25"/>
      <c r="C89" s="25"/>
      <c r="D89" s="25"/>
      <c r="E89" s="231"/>
      <c r="F89" s="232"/>
      <c r="G89" s="25"/>
      <c r="H89" s="25"/>
      <c r="I89" s="233"/>
      <c r="J89" s="233"/>
      <c r="K89" s="233"/>
      <c r="L89" s="233"/>
      <c r="M89" s="25"/>
      <c r="Q89" s="25"/>
      <c r="R89" s="233"/>
      <c r="X89" s="233"/>
      <c r="Y89" s="233"/>
      <c r="Z89" s="26"/>
      <c r="AA89" s="22"/>
      <c r="AB89" s="25"/>
      <c r="AC89" s="25"/>
      <c r="AD89" s="25"/>
      <c r="AE89" s="233"/>
      <c r="AF89" s="233"/>
      <c r="AG89" s="233"/>
      <c r="AH89" s="233"/>
      <c r="AI89" s="233"/>
      <c r="AJ89" s="233"/>
      <c r="AK89" s="25"/>
      <c r="AL89" s="233"/>
      <c r="AM89" s="233"/>
      <c r="AU89" s="33"/>
      <c r="AV89" s="36"/>
    </row>
    <row r="90" spans="1:48" ht="12.75" customHeight="1" x14ac:dyDescent="0.2">
      <c r="A90" s="25"/>
      <c r="B90" s="25"/>
      <c r="C90" s="25"/>
      <c r="D90" s="25"/>
      <c r="E90" s="231"/>
      <c r="F90" s="232"/>
      <c r="G90" s="25"/>
      <c r="H90" s="25"/>
      <c r="I90" s="233"/>
      <c r="J90" s="233"/>
      <c r="K90" s="233"/>
      <c r="L90" s="233"/>
      <c r="M90" s="25"/>
      <c r="Q90" s="25"/>
      <c r="R90" s="233"/>
      <c r="X90" s="233"/>
      <c r="Y90" s="233"/>
      <c r="Z90" s="26"/>
      <c r="AA90" s="22"/>
      <c r="AB90" s="25"/>
      <c r="AC90" s="25"/>
      <c r="AD90" s="25"/>
      <c r="AE90" s="233"/>
      <c r="AF90" s="233"/>
      <c r="AG90" s="233"/>
      <c r="AH90" s="233"/>
      <c r="AI90" s="233"/>
      <c r="AJ90" s="233"/>
      <c r="AK90" s="25"/>
      <c r="AL90" s="233"/>
      <c r="AM90" s="233"/>
      <c r="AU90" s="33"/>
      <c r="AV90" s="36"/>
    </row>
    <row r="91" spans="1:48" ht="12.75" customHeight="1" x14ac:dyDescent="0.2">
      <c r="A91" s="25"/>
      <c r="B91" s="25"/>
      <c r="C91" s="25"/>
      <c r="D91" s="25"/>
      <c r="E91" s="231"/>
      <c r="F91" s="232"/>
      <c r="G91" s="25"/>
      <c r="H91" s="25"/>
      <c r="I91" s="233"/>
      <c r="J91" s="233"/>
      <c r="K91" s="233"/>
      <c r="L91" s="233"/>
      <c r="M91" s="25"/>
      <c r="Q91" s="25"/>
      <c r="R91" s="233"/>
      <c r="X91" s="233"/>
      <c r="Y91" s="233"/>
      <c r="Z91" s="26"/>
      <c r="AA91" s="22"/>
      <c r="AB91" s="25"/>
      <c r="AC91" s="25"/>
      <c r="AD91" s="25"/>
      <c r="AE91" s="233"/>
      <c r="AF91" s="233"/>
      <c r="AG91" s="233"/>
      <c r="AH91" s="233"/>
      <c r="AI91" s="233"/>
      <c r="AJ91" s="233"/>
      <c r="AK91" s="25"/>
      <c r="AL91" s="233"/>
      <c r="AM91" s="233"/>
      <c r="AU91" s="33"/>
      <c r="AV91" s="36"/>
    </row>
    <row r="92" spans="1:48" ht="12.75" customHeight="1" x14ac:dyDescent="0.2">
      <c r="A92" s="25"/>
      <c r="B92" s="25"/>
      <c r="C92" s="25"/>
      <c r="D92" s="25"/>
      <c r="E92" s="231"/>
      <c r="F92" s="232"/>
      <c r="G92" s="25"/>
      <c r="H92" s="25"/>
      <c r="I92" s="233"/>
      <c r="J92" s="233"/>
      <c r="K92" s="233"/>
      <c r="L92" s="233"/>
      <c r="M92" s="25"/>
      <c r="Q92" s="25"/>
      <c r="R92" s="233"/>
      <c r="X92" s="233"/>
      <c r="Y92" s="233"/>
      <c r="Z92" s="26"/>
      <c r="AA92" s="22"/>
      <c r="AB92" s="25"/>
      <c r="AC92" s="25"/>
      <c r="AD92" s="25"/>
      <c r="AE92" s="233"/>
      <c r="AF92" s="233"/>
      <c r="AG92" s="233"/>
      <c r="AH92" s="233"/>
      <c r="AI92" s="233"/>
      <c r="AJ92" s="233"/>
      <c r="AK92" s="25"/>
      <c r="AL92" s="233"/>
      <c r="AM92" s="233"/>
      <c r="AU92" s="33"/>
      <c r="AV92" s="37"/>
    </row>
    <row r="93" spans="1:48" ht="12.75" customHeight="1" x14ac:dyDescent="0.2">
      <c r="A93" s="25"/>
      <c r="B93" s="25"/>
      <c r="C93" s="25"/>
      <c r="D93" s="25"/>
      <c r="E93" s="231"/>
      <c r="F93" s="232"/>
      <c r="G93" s="25"/>
      <c r="H93" s="25"/>
      <c r="I93" s="233"/>
      <c r="J93" s="233"/>
      <c r="K93" s="233"/>
      <c r="L93" s="233"/>
      <c r="M93" s="25"/>
      <c r="Q93" s="25"/>
      <c r="R93" s="233"/>
      <c r="X93" s="233"/>
      <c r="Y93" s="233"/>
      <c r="Z93" s="26"/>
      <c r="AA93" s="22"/>
      <c r="AB93" s="25"/>
      <c r="AC93" s="25"/>
      <c r="AD93" s="25"/>
      <c r="AE93" s="233"/>
      <c r="AF93" s="233"/>
      <c r="AG93" s="233"/>
      <c r="AH93" s="233"/>
      <c r="AI93" s="233"/>
      <c r="AJ93" s="233"/>
      <c r="AK93" s="25"/>
      <c r="AL93" s="233"/>
      <c r="AM93" s="233"/>
    </row>
    <row r="94" spans="1:48" ht="12.75" customHeight="1" x14ac:dyDescent="0.2">
      <c r="A94" s="25"/>
      <c r="B94" s="25"/>
      <c r="C94" s="25"/>
      <c r="D94" s="25"/>
      <c r="E94" s="231"/>
      <c r="F94" s="232"/>
      <c r="G94" s="25"/>
      <c r="H94" s="25"/>
      <c r="I94" s="233"/>
      <c r="J94" s="233"/>
      <c r="K94" s="233"/>
      <c r="L94" s="233"/>
      <c r="M94" s="25"/>
      <c r="Q94" s="25"/>
      <c r="R94" s="233"/>
      <c r="X94" s="233"/>
      <c r="Y94" s="233"/>
      <c r="Z94" s="26"/>
      <c r="AA94" s="22"/>
      <c r="AB94" s="25"/>
      <c r="AC94" s="25"/>
      <c r="AD94" s="25"/>
      <c r="AE94" s="233"/>
      <c r="AF94" s="233"/>
      <c r="AG94" s="233"/>
      <c r="AH94" s="233"/>
      <c r="AI94" s="233"/>
      <c r="AJ94" s="233"/>
      <c r="AK94" s="25"/>
      <c r="AL94" s="233"/>
      <c r="AM94" s="233"/>
    </row>
    <row r="95" spans="1:48" ht="12.75" customHeight="1" x14ac:dyDescent="0.2">
      <c r="A95" s="25"/>
      <c r="B95" s="25"/>
      <c r="C95" s="25"/>
      <c r="D95" s="25"/>
      <c r="E95" s="231"/>
      <c r="F95" s="232"/>
      <c r="G95" s="25"/>
      <c r="H95" s="25"/>
      <c r="I95" s="233"/>
      <c r="J95" s="233"/>
      <c r="K95" s="233"/>
      <c r="L95" s="233"/>
      <c r="M95" s="25"/>
      <c r="Q95" s="25"/>
      <c r="R95" s="233"/>
      <c r="X95" s="233"/>
      <c r="Y95" s="233"/>
      <c r="Z95" s="26"/>
      <c r="AA95" s="22"/>
      <c r="AB95" s="25"/>
      <c r="AC95" s="25"/>
      <c r="AD95" s="25"/>
      <c r="AE95" s="233"/>
      <c r="AF95" s="233"/>
      <c r="AG95" s="233"/>
      <c r="AH95" s="233"/>
      <c r="AI95" s="233"/>
      <c r="AJ95" s="233"/>
      <c r="AK95" s="25"/>
      <c r="AL95" s="233"/>
      <c r="AM95" s="233"/>
      <c r="AV95" s="32"/>
    </row>
    <row r="96" spans="1:48" ht="12.75" customHeight="1" x14ac:dyDescent="0.2">
      <c r="A96" s="25"/>
      <c r="B96" s="25"/>
      <c r="C96" s="25"/>
      <c r="D96" s="25"/>
      <c r="E96" s="231"/>
      <c r="F96" s="232"/>
      <c r="G96" s="25"/>
      <c r="H96" s="25"/>
      <c r="I96" s="233"/>
      <c r="J96" s="233"/>
      <c r="K96" s="233"/>
      <c r="L96" s="233"/>
      <c r="M96" s="25"/>
      <c r="Q96" s="25"/>
      <c r="R96" s="233"/>
      <c r="X96" s="233"/>
      <c r="Y96" s="233"/>
      <c r="Z96" s="26"/>
      <c r="AA96" s="22"/>
      <c r="AB96" s="25"/>
      <c r="AC96" s="25"/>
      <c r="AD96" s="25"/>
      <c r="AE96" s="233"/>
      <c r="AF96" s="233"/>
      <c r="AG96" s="233"/>
      <c r="AH96" s="233"/>
      <c r="AI96" s="233"/>
      <c r="AJ96" s="233"/>
      <c r="AK96" s="25"/>
      <c r="AL96" s="233"/>
      <c r="AM96" s="233"/>
    </row>
    <row r="97" spans="1:39" ht="12.75" customHeight="1" x14ac:dyDescent="0.2">
      <c r="A97" s="25"/>
      <c r="B97" s="25"/>
      <c r="C97" s="25"/>
      <c r="D97" s="25"/>
      <c r="E97" s="231"/>
      <c r="F97" s="232"/>
      <c r="G97" s="25"/>
      <c r="H97" s="25"/>
      <c r="I97" s="233"/>
      <c r="J97" s="233"/>
      <c r="K97" s="233"/>
      <c r="L97" s="233"/>
      <c r="M97" s="25"/>
      <c r="Q97" s="25"/>
      <c r="R97" s="233"/>
      <c r="X97" s="233"/>
      <c r="Y97" s="233"/>
      <c r="Z97" s="26"/>
      <c r="AA97" s="22"/>
      <c r="AB97" s="25"/>
      <c r="AC97" s="25"/>
      <c r="AD97" s="25"/>
      <c r="AE97" s="233"/>
      <c r="AF97" s="233"/>
      <c r="AG97" s="233"/>
      <c r="AH97" s="233"/>
      <c r="AI97" s="233"/>
      <c r="AJ97" s="233"/>
      <c r="AK97" s="25"/>
      <c r="AL97" s="233"/>
      <c r="AM97" s="233"/>
    </row>
    <row r="98" spans="1:39" ht="12.75" customHeight="1" x14ac:dyDescent="0.2">
      <c r="A98" s="25"/>
      <c r="B98" s="25"/>
      <c r="C98" s="25"/>
      <c r="D98" s="25"/>
      <c r="E98" s="231"/>
      <c r="F98" s="232"/>
      <c r="G98" s="25"/>
      <c r="H98" s="25"/>
      <c r="I98" s="233"/>
      <c r="J98" s="233"/>
      <c r="K98" s="233"/>
      <c r="L98" s="233"/>
      <c r="M98" s="25"/>
      <c r="Q98" s="25"/>
      <c r="R98" s="233"/>
      <c r="X98" s="233"/>
      <c r="Y98" s="233"/>
      <c r="Z98" s="26"/>
      <c r="AA98" s="22"/>
      <c r="AB98" s="25"/>
      <c r="AC98" s="25"/>
      <c r="AD98" s="25"/>
      <c r="AE98" s="233"/>
      <c r="AF98" s="233"/>
      <c r="AG98" s="233"/>
      <c r="AH98" s="233"/>
      <c r="AI98" s="233"/>
      <c r="AJ98" s="233"/>
      <c r="AK98" s="25"/>
      <c r="AL98" s="233"/>
      <c r="AM98" s="233"/>
    </row>
    <row r="99" spans="1:39" ht="12.75" customHeight="1" x14ac:dyDescent="0.2">
      <c r="A99" s="25"/>
      <c r="B99" s="25"/>
      <c r="C99" s="25"/>
      <c r="D99" s="25"/>
      <c r="E99" s="231"/>
      <c r="F99" s="232"/>
      <c r="G99" s="25"/>
      <c r="H99" s="25"/>
      <c r="I99" s="233"/>
      <c r="J99" s="233"/>
      <c r="K99" s="233"/>
      <c r="L99" s="233"/>
      <c r="M99" s="25"/>
      <c r="Q99" s="25"/>
      <c r="R99" s="233"/>
      <c r="X99" s="233"/>
      <c r="Y99" s="233"/>
      <c r="Z99" s="26"/>
      <c r="AA99" s="22"/>
      <c r="AB99" s="25"/>
      <c r="AC99" s="25"/>
      <c r="AD99" s="25"/>
      <c r="AE99" s="233"/>
      <c r="AF99" s="233"/>
      <c r="AG99" s="233"/>
      <c r="AH99" s="233"/>
      <c r="AI99" s="233"/>
      <c r="AJ99" s="233"/>
      <c r="AK99" s="25"/>
      <c r="AL99" s="233"/>
      <c r="AM99" s="233"/>
    </row>
    <row r="100" spans="1:39" ht="12.75" customHeight="1" x14ac:dyDescent="0.2">
      <c r="A100" s="25"/>
      <c r="B100" s="25"/>
      <c r="C100" s="25"/>
      <c r="D100" s="25"/>
      <c r="E100" s="231"/>
      <c r="F100" s="232"/>
      <c r="G100" s="25"/>
      <c r="H100" s="25"/>
      <c r="I100" s="233"/>
      <c r="J100" s="233"/>
      <c r="K100" s="233"/>
      <c r="L100" s="233"/>
      <c r="M100" s="25"/>
      <c r="Q100" s="25"/>
      <c r="R100" s="233"/>
      <c r="X100" s="233"/>
      <c r="Y100" s="233"/>
      <c r="Z100" s="26"/>
      <c r="AA100" s="22"/>
      <c r="AB100" s="25"/>
      <c r="AC100" s="25"/>
      <c r="AD100" s="25"/>
      <c r="AE100" s="233"/>
      <c r="AF100" s="233"/>
      <c r="AG100" s="233"/>
      <c r="AH100" s="233"/>
      <c r="AI100" s="233"/>
      <c r="AJ100" s="233"/>
      <c r="AK100" s="25"/>
      <c r="AL100" s="233"/>
      <c r="AM100" s="233"/>
    </row>
  </sheetData>
  <autoFilter ref="A4:AM4" xr:uid="{10D4228C-995D-4C5E-90F1-90F958875993}"/>
  <mergeCells count="13">
    <mergeCell ref="AT13:AT20"/>
    <mergeCell ref="AT21:AT28"/>
    <mergeCell ref="AT29:AT36"/>
    <mergeCell ref="AT69:AT76"/>
    <mergeCell ref="AT37:AT44"/>
    <mergeCell ref="AT45:AT52"/>
    <mergeCell ref="AT53:AT60"/>
    <mergeCell ref="AT61:AT68"/>
    <mergeCell ref="O2:Z2"/>
    <mergeCell ref="AO2:AV2"/>
    <mergeCell ref="AT5:AT12"/>
    <mergeCell ref="A2:M2"/>
    <mergeCell ref="AB2:AM2"/>
  </mergeCells>
  <pageMargins left="0.74803149606299213" right="0.74803149606299213" top="0.98425196850393704" bottom="0.98425196850393704" header="0.51181102362204722" footer="0.51181102362204722"/>
  <pageSetup paperSize="8" orientation="landscape" r:id="rId1"/>
  <headerFooter alignWithMargins="0">
    <oddHeader>&amp;LStructures Asset Management Planning Toolkit</oddHeader>
    <oddFooter>&amp;L&amp;A&amp;R&amp;P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_Value">
    <tabColor theme="9" tint="0.59999389629810485"/>
    <pageSetUpPr autoPageBreaks="0"/>
  </sheetPr>
  <dimension ref="A1:CK20"/>
  <sheetViews>
    <sheetView showGridLines="0" zoomScale="70" zoomScaleNormal="70" workbookViewId="0">
      <pane ySplit="4" topLeftCell="A5" activePane="bottomLeft" state="frozen"/>
      <selection activeCell="D3" sqref="D3"/>
      <selection pane="bottomLeft" activeCell="B5" sqref="B5"/>
    </sheetView>
  </sheetViews>
  <sheetFormatPr defaultColWidth="2" defaultRowHeight="12.75" x14ac:dyDescent="0.2"/>
  <cols>
    <col min="1" max="4" width="12.7109375" style="19" customWidth="1"/>
    <col min="5" max="5" width="36.7109375" style="19" customWidth="1"/>
    <col min="6" max="6" width="19" style="19" customWidth="1"/>
    <col min="7" max="18" width="12.7109375" style="19" customWidth="1"/>
    <col min="19" max="19" width="36.7109375" style="19" customWidth="1"/>
    <col min="20" max="25" width="12.7109375" style="19" customWidth="1"/>
    <col min="26" max="26" width="3.7109375" style="19" customWidth="1"/>
    <col min="27" max="46" width="12.7109375" style="19" customWidth="1"/>
    <col min="47" max="47" width="3.7109375" style="19" customWidth="1"/>
    <col min="48" max="54" width="12.7109375" style="19" customWidth="1"/>
    <col min="55" max="55" width="3.7109375" style="19" customWidth="1"/>
    <col min="56" max="60" width="12.7109375" style="19" customWidth="1"/>
    <col min="61" max="61" width="3.7109375" style="19" customWidth="1"/>
    <col min="62" max="73" width="12.7109375" style="19" customWidth="1"/>
    <col min="74" max="75" width="30.7109375" style="19" customWidth="1"/>
    <col min="76" max="76" width="40.7109375" style="19" customWidth="1"/>
    <col min="77" max="77" width="12.7109375" style="19" customWidth="1"/>
    <col min="78" max="78" width="3.28515625" style="19" bestFit="1" customWidth="1"/>
    <col min="79" max="79" width="23.140625" style="19" customWidth="1"/>
    <col min="80" max="88" width="18.7109375" style="19" customWidth="1"/>
    <col min="89" max="89" width="0" style="19" hidden="1" customWidth="1"/>
    <col min="90" max="16384" width="2" style="19"/>
  </cols>
  <sheetData>
    <row r="1" spans="1:89" hidden="1" x14ac:dyDescent="0.2">
      <c r="A1" s="25">
        <f>Elements!A1</f>
        <v>0</v>
      </c>
      <c r="B1" s="25">
        <f>Y0!B1</f>
        <v>0</v>
      </c>
      <c r="C1" s="25">
        <f>Y0!C1</f>
        <v>0</v>
      </c>
      <c r="D1" s="25" t="str">
        <f>Elements!N1</f>
        <v/>
      </c>
      <c r="E1" s="25">
        <f>Elements!C1</f>
        <v>0</v>
      </c>
      <c r="F1" s="234" t="str">
        <f>IF(OR(Elements!N1="",Elements!C1="",Elements!D1=""),"",ROUND(INDEX(Ref02i!$B$3:$B$76,Elements!Q1,1)*Ref02i!$B$77+SUMPRODUCT(Ref02i!$C$77:$U$77,INDEX(Ref02i!$C$3:$U$76,Elements!Q1,0),INDEX(Val_ExposureParameters,Elements!N1,0))+SUMPRODUCT(Ref02i!$V$77,INDEX(Ref02i!$V$3:$V$76,Elements!Q1,1),SUMIF(Ref00_SprayZoneProximity,Elements!F1,Ref00!$C$8:$C$9))+SUMPRODUCT(Ref02i!$W$77,INDEX(Ref02i!$W$3:$W$76,Elements!Q1,1),SUMIF('Ref03&amp;04i'!$B$3:$B$105,Elements!D1,'Ref03&amp;04i'!$BY$3:$BY$105)),2))</f>
        <v/>
      </c>
      <c r="G1" s="25" t="e">
        <f>IF(INDEX('Ref14'!$E$2:$E$76,MATCH(Elements!C1,'Ref14'!$A$2:$A$76,0))=1,"",IF(F1="","",INDEX(Ref02ii!$B$4:$B$29283,MATCH(F1,Ref02ii!$A$4:$A$29283,),1)))</f>
        <v>#N/A</v>
      </c>
      <c r="H1" s="25">
        <f>SUMIF('Ref03&amp;04ii'!$Z$4:$Z$427,Elements!D1&amp;G1,'Ref03&amp;04ii'!$W$4:$W$427)</f>
        <v>0</v>
      </c>
      <c r="I1" s="232">
        <f>IFERROR(MIN(1,INDEX('Ref03&amp;04ii'!$C$4:$S$427,MATCH(Elements!D1&amp;"Average",'Ref03&amp;04ii'!$Z$4:$Z$427,0),MATCH(B1,Ref00_Condition,0))),0)</f>
        <v>0</v>
      </c>
      <c r="J1" s="232">
        <f>H1*I1</f>
        <v>0</v>
      </c>
      <c r="K1" s="25" t="e">
        <f>IF(INDEX('Ref14'!$E$2:$E$76,MATCH(Elements!C1,'Ref14'!$A$2:$A$76,0))=1,-10,IFERROR(MATCH(CONCATENATE("5B",Elements!D1,IF(G1="Protected","Moderate",G1)),'Ref06'!$P$4:$P$3380,0),-10))</f>
        <v>#N/A</v>
      </c>
      <c r="L1" s="25" t="e">
        <f>IF(K1=-10,"",INDEX('Ref06'!$I$4:$I$3380,K1))</f>
        <v>#N/A</v>
      </c>
      <c r="M1" s="232" t="e">
        <f>IF(L1&lt;&gt;"2B",0,2*INDEX('Ref03&amp;04ii'!$C$4:$S$427,MATCH(Elements!D1&amp;"Average",'Ref03&amp;04ii'!$Z$4:$Z$427,0),1))</f>
        <v>#N/A</v>
      </c>
      <c r="N1" s="232" t="e">
        <f>H1*M1</f>
        <v>#N/A</v>
      </c>
      <c r="O1" s="25">
        <f>IFERROR(MATCH(INDEX('Ref06'!$H$4:$H$3380,K1,1),'Ref05&amp;07'!$B$4:$B$96,0),-10)</f>
        <v>-10</v>
      </c>
      <c r="P1" s="25" t="str">
        <f>IFERROR(INDEX('Ref05&amp;07'!$D$4:$D$96,O1,1),"")</f>
        <v/>
      </c>
      <c r="Q1" s="232" t="e">
        <f ca="1">IF(P1="Fixed",1,Elements!$Y1*IF(P1="Constant",1,IF(P1="Variable",Ref00!$H$26,0)))</f>
        <v>#REF!</v>
      </c>
      <c r="R1" s="232" t="e">
        <f ca="1">IF(P1="Fixed",INDEX('Ref05&amp;07'!$E$4:$E$96,O1,1),IF(P1="Constant",INDEX('Ref05&amp;07'!$F$4:$F$96,O1,1),IF(P1="Variable",SUMPRODUCT(INDEX('Ref05&amp;07'!$G$4:$J$96,O1,0),INDEX(Ref00!$D$13:$G$29,14,0))/INDEX(Ref00!$H$13:$H$29,14,0),0)))*Q1</f>
        <v>#REF!</v>
      </c>
      <c r="S1" s="235">
        <f>IF(OR(Elements!AC1="",Elements!AC1=0),0,CONCATENATE(Elements!AB1,LOOKUP(Elements!AC1,'Ref09'!$D$109:$I$109,TrafficManagement_Types)))</f>
        <v>0</v>
      </c>
      <c r="T1" s="232">
        <f>IF(OR(O1=-10,S1=0),0,Q1/INDEX('Ref05&amp;07'!$K$4:$K$96,O1,1)*LOOKUP(INDEX($CA$3:$CI$3,1,MATCH(S1,$CA$4:$CI$4,0)),TrafficManagement_Types,'Ref09'!$D$108:$I$108))</f>
        <v>0</v>
      </c>
      <c r="U1" s="25" t="e">
        <f ca="1">LOOKUP(R1,'Ref09'!$B$13:$B$16,'Ref09'!$C$13:$C$16)</f>
        <v>#REF!</v>
      </c>
      <c r="V1" s="25" t="e">
        <f ca="1">LOOKUP(R1,'Ref09'!$B$20:$B$23,'Ref09'!$C$20:$C$23)</f>
        <v>#REF!</v>
      </c>
      <c r="W1" s="25" t="e">
        <f ca="1">LOOKUP(R1*(1+U1+V1)+T1,'Ref09'!$B$27:$B$30,'Ref09'!$C$27:$C$30)</f>
        <v>#REF!</v>
      </c>
      <c r="X1" s="232" t="e">
        <f>(1/(1-M1))</f>
        <v>#N/A</v>
      </c>
      <c r="Y1" s="232">
        <f>IFERROR(IF(OR(C1=0,O1=-10),0,X1*(R1*(1+U1+V1+W1+U1*W1+V1*W1)+T1*(1+W1))),)</f>
        <v>0</v>
      </c>
      <c r="Z1" s="21"/>
      <c r="AA1" s="25">
        <f>Structures!A1</f>
        <v>0</v>
      </c>
      <c r="AB1" s="25" t="e">
        <f ca="1">IF($AW1=0,0,COUNTIFS(INDEX(Ele_ElementOnStructureNum,$AW1):INDEX(Ele_ElementOnStructureNum,$AX1),$AV1,INDEX(Ele_NameofElement,$AW1):INDEX(Ele_NameofElement,$AX1),AB$4)+COUNTIFS(INDEX(Ele_ElementOnStructureNum,$AW1):INDEX(Ele_ElementOnStructureNum,$AX1),$AV1,INDEX(Ele_NameofElement,$AW1):INDEX(Ele_NameofElement,$AX1),AB$4,INDEX(Val_OriginalECS,$AW1):INDEX(Val_OriginalECS,$AX1),"&lt;4"))</f>
        <v>#REF!</v>
      </c>
      <c r="AC1" s="25" t="e">
        <f ca="1">IF($AW1=0,0,COUNTIFS(INDEX(Ele_ElementOnStructureNum,$AW1):INDEX(Ele_ElementOnStructureNum,$AX1),$AV1,INDEX(Ele_NameofElement,$AW1):INDEX(Ele_NameofElement,$AX1),AC$4)+COUNTIFS(INDEX(Ele_ElementOnStructureNum,$AW1):INDEX(Ele_ElementOnStructureNum,$AX1),$AV1,INDEX(Ele_NameofElement,$AW1):INDEX(Ele_NameofElement,$AX1),AC$4,INDEX(Val_OriginalECS,$AW1):INDEX(Val_OriginalECS,$AX1),"&lt;4"))</f>
        <v>#REF!</v>
      </c>
      <c r="AD1" s="25" t="e">
        <f ca="1">IF($AW1=0,0,COUNTIFS(INDEX(Ele_ElementOnStructureNum,$AW1):INDEX(Ele_ElementOnStructureNum,$AX1),$AV1,INDEX(Ele_NameofElement,$AW1):INDEX(Ele_NameofElement,$AX1),AD$4)+COUNTIFS(INDEX(Ele_ElementOnStructureNum,$AW1):INDEX(Ele_ElementOnStructureNum,$AX1),$AV1,INDEX(Ele_NameofElement,$AW1):INDEX(Ele_NameofElement,$AX1),AD$4,INDEX(Val_OriginalECS,$AW1):INDEX(Val_OriginalECS,$AX1),"&lt;4"))</f>
        <v>#REF!</v>
      </c>
      <c r="AE1" s="25" t="e">
        <f ca="1">IF($AW1=0,0,COUNTIFS(INDEX(Ele_ElementOnStructureNum,$AW1):INDEX(Ele_ElementOnStructureNum,$AX1),$AV1,INDEX(Ele_NameofElement,$AW1):INDEX(Ele_NameofElement,$AX1),AE$4)+COUNTIFS(INDEX(Ele_ElementOnStructureNum,$AW1):INDEX(Ele_ElementOnStructureNum,$AX1),$AV1,INDEX(Ele_NameofElement,$AW1):INDEX(Ele_NameofElement,$AX1),AE$4,INDEX(Val_OriginalECS,$AW1):INDEX(Val_OriginalECS,$AX1),"&lt;4"))</f>
        <v>#REF!</v>
      </c>
      <c r="AF1" s="25" t="e">
        <f ca="1">IF($AW1=0,0,COUNTIFS(INDEX(Ele_ElementOnStructureNum,$AW1):INDEX(Ele_ElementOnStructureNum,$AX1),$AV1,INDEX(Ele_NameofElement,$AW1):INDEX(Ele_NameofElement,$AX1),AF$4)+COUNTIFS(INDEX(Ele_ElementOnStructureNum,$AW1):INDEX(Ele_ElementOnStructureNum,$AX1),$AV1,INDEX(Ele_NameofElement,$AW1):INDEX(Ele_NameofElement,$AX1),AF$4,INDEX(Val_OriginalECS,$AW1):INDEX(Val_OriginalECS,$AX1),"&lt;4"))</f>
        <v>#REF!</v>
      </c>
      <c r="AG1" s="25" t="e">
        <f ca="1">IF($AW1=0,0,COUNTIFS(INDEX(Ele_ElementOnStructureNum,$AW1):INDEX(Ele_ElementOnStructureNum,$AX1),$AV1,INDEX(Ele_NameofElement,$AW1):INDEX(Ele_NameofElement,$AX1),AG$4)+COUNTIFS(INDEX(Ele_ElementOnStructureNum,$AW1):INDEX(Ele_ElementOnStructureNum,$AX1),$AV1,INDEX(Ele_NameofElement,$AW1):INDEX(Ele_NameofElement,$AX1),AG$4,INDEX(Val_OriginalECS,$AW1):INDEX(Val_OriginalECS,$AX1),"&lt;4"))</f>
        <v>#REF!</v>
      </c>
      <c r="AH1" s="25" t="e">
        <f ca="1">IF($AW1=0,0,COUNTIFS(INDEX(Ele_ElementOnStructureNum,$AW1):INDEX(Ele_ElementOnStructureNum,$AX1),$AV1,INDEX(Ele_NameofElement,$AW1):INDEX(Ele_NameofElement,$AX1),AH$4)+COUNTIFS(INDEX(Ele_ElementOnStructureNum,$AW1):INDEX(Ele_ElementOnStructureNum,$AX1),$AV1,INDEX(Ele_NameofElement,$AW1):INDEX(Ele_NameofElement,$AX1),AH$4,INDEX(Val_OriginalECS,$AW1):INDEX(Val_OriginalECS,$AX1),"&lt;4"))</f>
        <v>#REF!</v>
      </c>
      <c r="AI1" s="25" t="e">
        <f ca="1">IF($AW1=0,0,COUNTIFS(INDEX(Ele_ElementOnStructureNum,$AW1):INDEX(Ele_ElementOnStructureNum,$AX1),$AV1,INDEX(Ele_NameofElement,$AW1):INDEX(Ele_NameofElement,$AX1),AI$4)+COUNTIFS(INDEX(Ele_ElementOnStructureNum,$AW1):INDEX(Ele_ElementOnStructureNum,$AX1),$AV1,INDEX(Ele_NameofElement,$AW1):INDEX(Ele_NameofElement,$AX1),AI$4,INDEX(Val_OriginalECS,$AW1):INDEX(Val_OriginalECS,$AX1),"&lt;4"))</f>
        <v>#REF!</v>
      </c>
      <c r="AJ1" s="25" t="e">
        <f ca="1">IF($AW1=0,0,COUNTIFS(INDEX(Ele_ElementOnStructureNum,$AW1):INDEX(Ele_ElementOnStructureNum,$AX1),$AV1,INDEX(Ele_NameofElement,$AW1):INDEX(Ele_NameofElement,$AX1),AJ$4)+COUNTIFS(INDEX(Ele_ElementOnStructureNum,$AW1):INDEX(Ele_ElementOnStructureNum,$AX1),$AV1,INDEX(Ele_NameofElement,$AW1):INDEX(Ele_NameofElement,$AX1),AJ$4,INDEX(Val_OriginalECS,$AW1):INDEX(Val_OriginalECS,$AX1),"&lt;4"))</f>
        <v>#REF!</v>
      </c>
      <c r="AK1" s="25" t="e">
        <f ca="1">IF($AW1=0,0,COUNTIFS(INDEX(Ele_ElementOnStructureNum,$AW1):INDEX(Ele_ElementOnStructureNum,$AX1),$AV1,INDEX(Ele_NameofElement,$AW1):INDEX(Ele_NameofElement,$AX1),AK$4)+COUNTIFS(INDEX(Ele_ElementOnStructureNum,$AW1):INDEX(Ele_ElementOnStructureNum,$AX1),$AV1,INDEX(Ele_NameofElement,$AW1):INDEX(Ele_NameofElement,$AX1),AK$4,INDEX(Val_OriginalECS,$AW1):INDEX(Val_OriginalECS,$AX1),"&lt;4"))</f>
        <v>#REF!</v>
      </c>
      <c r="AL1" s="25" t="e">
        <f ca="1">IF($AW1=0,0,COUNTIFS(INDEX(Ele_ElementOnStructureNum,$AW1):INDEX(Ele_ElementOnStructureNum,$AX1),$AV1,INDEX(Ele_NameofElement,$AW1):INDEX(Ele_NameofElement,$AX1),AL$4)+COUNTIFS(INDEX(Ele_ElementOnStructureNum,$AW1):INDEX(Ele_ElementOnStructureNum,$AX1),$AV1,INDEX(Ele_NameofElement,$AW1):INDEX(Ele_NameofElement,$AX1),AL$4,INDEX(Val_OriginalECS,$AW1):INDEX(Val_OriginalECS,$AX1),"&lt;4"))</f>
        <v>#REF!</v>
      </c>
      <c r="AM1" s="25" t="e">
        <f ca="1">IF($AW1=0,0,COUNTIFS(INDEX(Ele_ElementOnStructureNum,$AW1):INDEX(Ele_ElementOnStructureNum,$AX1),$AV1,INDEX(Ele_NameofElement,$AW1):INDEX(Ele_NameofElement,$AX1),AM$4)+COUNTIFS(INDEX(Ele_ElementOnStructureNum,$AW1):INDEX(Ele_ElementOnStructureNum,$AX1),$AV1,INDEX(Ele_NameofElement,$AW1):INDEX(Ele_NameofElement,$AX1),AM$4,INDEX(Val_OriginalECS,$AW1):INDEX(Val_OriginalECS,$AX1),"&lt;4"))</f>
        <v>#REF!</v>
      </c>
      <c r="AN1" s="25" t="e">
        <f ca="1">IF($AW1=0,0,COUNTIFS(INDEX(Ele_ElementOnStructureNum,$AW1):INDEX(Ele_ElementOnStructureNum,$AX1),$AV1,INDEX(Ele_NameofElement,$AW1):INDEX(Ele_NameofElement,$AX1),AN$4)+COUNTIFS(INDEX(Ele_ElementOnStructureNum,$AW1):INDEX(Ele_ElementOnStructureNum,$AX1),$AV1,INDEX(Ele_NameofElement,$AW1):INDEX(Ele_NameofElement,$AX1),AN$4,INDEX(Val_OriginalECS,$AW1):INDEX(Val_OriginalECS,$AX1),"&lt;4"))</f>
        <v>#REF!</v>
      </c>
      <c r="AO1" s="25" t="e">
        <f ca="1">IF($AW1=0,0,COUNTIFS(INDEX(Ele_ElementOnStructureNum,$AW1):INDEX(Ele_ElementOnStructureNum,$AX1),$AV1,INDEX(Ele_NameofElement,$AW1):INDEX(Ele_NameofElement,$AX1),AO$4)+COUNTIFS(INDEX(Ele_ElementOnStructureNum,$AW1):INDEX(Ele_ElementOnStructureNum,$AX1),$AV1,INDEX(Ele_NameofElement,$AW1):INDEX(Ele_NameofElement,$AX1),AO$4,INDEX(Val_OriginalECS,$AW1):INDEX(Val_OriginalECS,$AX1),"&lt;4"))</f>
        <v>#REF!</v>
      </c>
      <c r="AP1" s="25">
        <f>SUMIF(Ref00_StructureLocation,Structures!K1,Ref00!$C$3:$C$5)</f>
        <v>0</v>
      </c>
      <c r="AQ1" s="25">
        <f>Structures!M1</f>
        <v>0</v>
      </c>
      <c r="AR1" s="25">
        <f>SUMIF(Ref11i_Traffic,Structures!N1,Ref11i!$D$10:$D$12)</f>
        <v>0</v>
      </c>
      <c r="AS1" s="25">
        <f>IF(OR(Structures!O1="Watercourse - navigable",Structures!O1="Watercourse - non-navigable"),1,0)</f>
        <v>0</v>
      </c>
      <c r="AT1" s="25">
        <f>Structures!P1</f>
        <v>0</v>
      </c>
      <c r="AU1" s="21"/>
      <c r="AV1" s="25">
        <f>AA1</f>
        <v>0</v>
      </c>
      <c r="AW1" s="25" t="e">
        <f ca="1">Structures!BE1</f>
        <v>#REF!</v>
      </c>
      <c r="AX1" s="25" t="e">
        <f ca="1">Structures!BF1</f>
        <v>#REF!</v>
      </c>
      <c r="AY1" s="25">
        <f>Structures!F1</f>
        <v>0</v>
      </c>
      <c r="AZ1" s="232" t="e">
        <f ca="1">IF(AW1=0,0,SUMIFS(INDEX(Val_ElementReplacementCost,AW1):INDEX(Val_ElementReplacementCost,AX1),INDEX(Ele_ElementOnStructureNum,AW1):INDEX(Ele_ElementOnStructureNum,AX1),AV1))</f>
        <v>#REF!</v>
      </c>
      <c r="BA1" s="232" t="e">
        <f>Structures!AX1</f>
        <v>#VALUE!</v>
      </c>
      <c r="BB1" s="232" t="e">
        <f ca="1">MIN(1,BA1/AZ1)</f>
        <v>#VALUE!</v>
      </c>
      <c r="BC1" s="22"/>
      <c r="BD1" s="25">
        <f>A1</f>
        <v>0</v>
      </c>
      <c r="BE1" s="232" t="e">
        <f ca="1">INDEX(Val_FactorGRCtoTERC,D1)</f>
        <v>#REF!</v>
      </c>
      <c r="BF1" s="232">
        <f ca="1">IFERROR(Y1*BE1,0)</f>
        <v>0</v>
      </c>
      <c r="BG1" s="232">
        <f>IF(Y1=0,0,(Y1/H1)*BE1)</f>
        <v>0</v>
      </c>
      <c r="BH1" s="232">
        <f ca="1">IFERROR(I1*Y1*BE1,0)</f>
        <v>0</v>
      </c>
      <c r="BI1" s="21"/>
      <c r="BJ1" s="25">
        <f>AA1</f>
        <v>0</v>
      </c>
      <c r="BK1" s="232" t="e">
        <f>BA1</f>
        <v>#VALUE!</v>
      </c>
      <c r="BL1" s="232" t="e">
        <f ca="1">IF(AW1=0,0,SUMIFS(INDEX(Val_FactoredCost,AW1):INDEX(Val_FactoredCost,AX1),INDEX(Ele_ElementOnStructureNum,AW1):INDEX(Ele_ElementOnStructureNum,AX1),AV1))</f>
        <v>#REF!</v>
      </c>
      <c r="BM1" s="232" t="e">
        <f ca="1">IF(AW1=0,0,SUMIFS(INDEX(Val_AnnualDepreciation,AW1):INDEX(Val_AnnualDepreciation,AX1),INDEX(Ele_ElementOnStructureNum,AW1):INDEX(Ele_ElementOnStructureNum,AX1),AV1))</f>
        <v>#REF!</v>
      </c>
      <c r="BN1" s="232" t="e">
        <f ca="1">IF(AW1=0,0,SUMIFS(INDEX(Val_ElementDepreciation,AW1):INDEX(Val_ElementDepreciation,AX1),INDEX(Ele_ElementOnStructureNum,AW1):INDEX(Ele_ElementOnStructureNum,AX1),AV1))</f>
        <v>#REF!</v>
      </c>
      <c r="BO1" s="232" t="str">
        <f ca="1">IFERROR(BA1-BN1,"")</f>
        <v/>
      </c>
      <c r="BP1" s="232" t="e">
        <f ca="1">Val_GRC-Val_DRC</f>
        <v>#REF!</v>
      </c>
      <c r="BQ1" s="232" t="e">
        <f ca="1">(Val_GRC-Val_DRC)/Val_GRC</f>
        <v>#REF!</v>
      </c>
      <c r="BR1" s="232" t="str">
        <f>Y0!AE1</f>
        <v/>
      </c>
      <c r="BS1" s="232" t="str">
        <f>Y0!AF1</f>
        <v/>
      </c>
      <c r="BT1" s="25" t="e">
        <f ca="1">Structures!BD1</f>
        <v>#REF!</v>
      </c>
      <c r="BU1" s="25">
        <f>AY1</f>
        <v>0</v>
      </c>
      <c r="BV1" s="25">
        <f>Structures!O1</f>
        <v>0</v>
      </c>
      <c r="BW1" s="25">
        <f>Structures!L1</f>
        <v>0</v>
      </c>
      <c r="BX1" s="25">
        <f>IF(Structures!E1="Structural Earthworks - Reinforced/Strengthened Soil/Fill Structure (height &gt; 3m)","Structural Earthworks (height &gt; 3m)",IF(Structures!E1="Structural Earthworks - Reinforced/Strengthened Soil/Fill Structure (height ≤ 3m)","Structural Earthworks (height ≤ 3m)",Structures!E1))</f>
        <v>0</v>
      </c>
      <c r="BY1" s="25">
        <f>Structures!B1</f>
        <v>0</v>
      </c>
      <c r="BZ1" s="57"/>
      <c r="CA1" s="19" t="s">
        <v>671</v>
      </c>
    </row>
    <row r="2" spans="1:89" ht="31.15" customHeight="1" x14ac:dyDescent="0.2">
      <c r="A2" s="536" t="s">
        <v>901</v>
      </c>
      <c r="B2" s="537"/>
      <c r="C2" s="537"/>
      <c r="D2" s="537"/>
      <c r="E2" s="537"/>
      <c r="F2" s="537"/>
      <c r="G2" s="537"/>
      <c r="H2" s="537"/>
      <c r="I2" s="537"/>
      <c r="J2" s="537"/>
      <c r="K2" s="537"/>
      <c r="L2" s="537"/>
      <c r="M2" s="537"/>
      <c r="N2" s="537"/>
      <c r="O2" s="537"/>
      <c r="P2" s="537"/>
      <c r="Q2" s="537"/>
      <c r="R2" s="537"/>
      <c r="S2" s="537"/>
      <c r="T2" s="537"/>
      <c r="U2" s="537"/>
      <c r="V2" s="537"/>
      <c r="W2" s="537"/>
      <c r="X2" s="537"/>
      <c r="Y2" s="537"/>
      <c r="Z2" s="21"/>
      <c r="AA2" s="538" t="s">
        <v>949</v>
      </c>
      <c r="AB2" s="539"/>
      <c r="AC2" s="539"/>
      <c r="AD2" s="539"/>
      <c r="AE2" s="539"/>
      <c r="AF2" s="539"/>
      <c r="AG2" s="539"/>
      <c r="AH2" s="539"/>
      <c r="AI2" s="539"/>
      <c r="AJ2" s="539"/>
      <c r="AK2" s="539"/>
      <c r="AL2" s="539"/>
      <c r="AM2" s="539"/>
      <c r="AN2" s="539"/>
      <c r="AO2" s="539"/>
      <c r="AP2" s="539"/>
      <c r="AQ2" s="539"/>
      <c r="AR2" s="539"/>
      <c r="AS2" s="539"/>
      <c r="AT2" s="540"/>
      <c r="AU2" s="21"/>
      <c r="AV2" s="538" t="s">
        <v>953</v>
      </c>
      <c r="AW2" s="539"/>
      <c r="AX2" s="539"/>
      <c r="AY2" s="539"/>
      <c r="AZ2" s="539"/>
      <c r="BA2" s="539"/>
      <c r="BB2" s="539"/>
      <c r="BD2" s="538" t="s">
        <v>1136</v>
      </c>
      <c r="BE2" s="539"/>
      <c r="BF2" s="539"/>
      <c r="BG2" s="539"/>
      <c r="BH2" s="540"/>
      <c r="BI2" s="21"/>
      <c r="BJ2" s="538" t="s">
        <v>1139</v>
      </c>
      <c r="BK2" s="539"/>
      <c r="BL2" s="539"/>
      <c r="BM2" s="539"/>
      <c r="BN2" s="539"/>
      <c r="BO2" s="539"/>
      <c r="BP2" s="539"/>
      <c r="BQ2" s="540"/>
      <c r="BR2" s="538" t="s">
        <v>1140</v>
      </c>
      <c r="BS2" s="539"/>
      <c r="BT2" s="539"/>
      <c r="BU2" s="539"/>
      <c r="BV2" s="539"/>
      <c r="BW2" s="539"/>
      <c r="BX2" s="539"/>
      <c r="BY2" s="540"/>
      <c r="CA2" s="60" t="s">
        <v>193</v>
      </c>
      <c r="CB2" s="60" t="s">
        <v>193</v>
      </c>
      <c r="CC2" s="60" t="s">
        <v>193</v>
      </c>
      <c r="CD2" s="60" t="s">
        <v>194</v>
      </c>
      <c r="CE2" s="60" t="s">
        <v>192</v>
      </c>
      <c r="CF2" s="60" t="s">
        <v>192</v>
      </c>
      <c r="CG2" s="60" t="s">
        <v>192</v>
      </c>
      <c r="CH2" s="60" t="s">
        <v>192</v>
      </c>
      <c r="CI2" s="60" t="s">
        <v>192</v>
      </c>
      <c r="CJ2" s="60"/>
    </row>
    <row r="3" spans="1:89" ht="40.15" customHeight="1" x14ac:dyDescent="0.2">
      <c r="F3" s="55"/>
      <c r="H3" s="39"/>
      <c r="I3" s="39"/>
      <c r="N3" s="39"/>
      <c r="S3" s="25"/>
      <c r="T3" s="25"/>
      <c r="U3" s="56"/>
      <c r="V3" s="56"/>
      <c r="W3" s="56"/>
      <c r="X3" s="56"/>
      <c r="Y3" s="25"/>
      <c r="Z3" s="25"/>
      <c r="AA3" s="25"/>
      <c r="AB3" s="544" t="s">
        <v>954</v>
      </c>
      <c r="AC3" s="545"/>
      <c r="AD3" s="545"/>
      <c r="AE3" s="545"/>
      <c r="AF3" s="545"/>
      <c r="AG3" s="545"/>
      <c r="AH3" s="545"/>
      <c r="AI3" s="545"/>
      <c r="AJ3" s="545"/>
      <c r="AK3" s="545"/>
      <c r="AL3" s="545"/>
      <c r="AM3" s="545"/>
      <c r="AN3" s="545"/>
      <c r="AO3" s="546"/>
      <c r="AP3" s="61" t="s">
        <v>950</v>
      </c>
      <c r="AQ3" s="61" t="s">
        <v>951</v>
      </c>
      <c r="AR3" s="61" t="s">
        <v>952</v>
      </c>
      <c r="AS3" s="61" t="s">
        <v>951</v>
      </c>
      <c r="AT3" s="61" t="s">
        <v>951</v>
      </c>
      <c r="AU3" s="21"/>
      <c r="BE3" s="56"/>
      <c r="BF3" s="56"/>
      <c r="BG3" s="56"/>
      <c r="BH3" s="56"/>
      <c r="BI3" s="21"/>
      <c r="BJ3" s="56"/>
      <c r="BK3" s="56"/>
      <c r="BZ3" s="56"/>
      <c r="CA3" s="221" t="s">
        <v>549</v>
      </c>
      <c r="CB3" s="221" t="s">
        <v>545</v>
      </c>
      <c r="CC3" s="221" t="s">
        <v>548</v>
      </c>
      <c r="CD3" s="221" t="s">
        <v>546</v>
      </c>
      <c r="CE3" s="221" t="s">
        <v>549</v>
      </c>
      <c r="CF3" s="221" t="s">
        <v>545</v>
      </c>
      <c r="CG3" s="221" t="s">
        <v>548</v>
      </c>
      <c r="CH3" s="221" t="s">
        <v>544</v>
      </c>
      <c r="CI3" s="221" t="s">
        <v>547</v>
      </c>
      <c r="CJ3" s="60"/>
    </row>
    <row r="4" spans="1:89" ht="109.9" customHeight="1" x14ac:dyDescent="0.2">
      <c r="A4" s="238" t="s">
        <v>903</v>
      </c>
      <c r="B4" s="238" t="s">
        <v>783</v>
      </c>
      <c r="C4" s="238" t="s">
        <v>965</v>
      </c>
      <c r="D4" s="238" t="s">
        <v>868</v>
      </c>
      <c r="E4" s="238" t="s">
        <v>169</v>
      </c>
      <c r="F4" s="238" t="s">
        <v>924</v>
      </c>
      <c r="G4" s="238" t="s">
        <v>238</v>
      </c>
      <c r="H4" s="238" t="s">
        <v>1138</v>
      </c>
      <c r="I4" s="238" t="s">
        <v>869</v>
      </c>
      <c r="J4" s="238" t="s">
        <v>872</v>
      </c>
      <c r="K4" s="238" t="s">
        <v>946</v>
      </c>
      <c r="L4" s="238" t="s">
        <v>1137</v>
      </c>
      <c r="M4" s="238" t="s">
        <v>871</v>
      </c>
      <c r="N4" s="238" t="s">
        <v>870</v>
      </c>
      <c r="O4" s="238" t="s">
        <v>705</v>
      </c>
      <c r="P4" s="238" t="s">
        <v>678</v>
      </c>
      <c r="Q4" s="238" t="s">
        <v>704</v>
      </c>
      <c r="R4" s="238" t="s">
        <v>677</v>
      </c>
      <c r="S4" s="238" t="s">
        <v>676</v>
      </c>
      <c r="T4" s="238" t="s">
        <v>703</v>
      </c>
      <c r="U4" s="238" t="s">
        <v>558</v>
      </c>
      <c r="V4" s="238" t="s">
        <v>555</v>
      </c>
      <c r="W4" s="238" t="s">
        <v>552</v>
      </c>
      <c r="X4" s="238" t="s">
        <v>877</v>
      </c>
      <c r="Y4" s="238" t="s">
        <v>875</v>
      </c>
      <c r="Z4" s="21"/>
      <c r="AA4" s="238" t="s">
        <v>700</v>
      </c>
      <c r="AB4" s="238" t="s">
        <v>116</v>
      </c>
      <c r="AC4" s="238" t="s">
        <v>92</v>
      </c>
      <c r="AD4" s="238" t="s">
        <v>115</v>
      </c>
      <c r="AE4" s="238" t="s">
        <v>90</v>
      </c>
      <c r="AF4" s="238" t="s">
        <v>120</v>
      </c>
      <c r="AG4" s="238" t="s">
        <v>71</v>
      </c>
      <c r="AH4" s="238" t="s">
        <v>158</v>
      </c>
      <c r="AI4" s="238" t="s">
        <v>89</v>
      </c>
      <c r="AJ4" s="238" t="s">
        <v>128</v>
      </c>
      <c r="AK4" s="238" t="s">
        <v>126</v>
      </c>
      <c r="AL4" s="238" t="s">
        <v>102</v>
      </c>
      <c r="AM4" s="238" t="s">
        <v>147</v>
      </c>
      <c r="AN4" s="238" t="s">
        <v>146</v>
      </c>
      <c r="AO4" s="238" t="s">
        <v>156</v>
      </c>
      <c r="AP4" s="238" t="s">
        <v>654</v>
      </c>
      <c r="AQ4" s="238" t="s">
        <v>653</v>
      </c>
      <c r="AR4" s="238" t="s">
        <v>652</v>
      </c>
      <c r="AS4" s="238" t="s">
        <v>651</v>
      </c>
      <c r="AT4" s="238" t="s">
        <v>650</v>
      </c>
      <c r="AU4" s="21"/>
      <c r="AV4" s="238" t="s">
        <v>700</v>
      </c>
      <c r="AW4" s="238" t="s">
        <v>47</v>
      </c>
      <c r="AX4" s="238" t="s">
        <v>46</v>
      </c>
      <c r="AY4" s="238" t="s">
        <v>865</v>
      </c>
      <c r="AZ4" s="238" t="s">
        <v>876</v>
      </c>
      <c r="BA4" s="238" t="s">
        <v>11</v>
      </c>
      <c r="BB4" s="238" t="s">
        <v>874</v>
      </c>
      <c r="BD4" s="238" t="s">
        <v>903</v>
      </c>
      <c r="BE4" s="238" t="s">
        <v>702</v>
      </c>
      <c r="BF4" s="238" t="s">
        <v>873</v>
      </c>
      <c r="BG4" s="238" t="s">
        <v>1135</v>
      </c>
      <c r="BH4" s="238" t="s">
        <v>701</v>
      </c>
      <c r="BI4" s="21"/>
      <c r="BJ4" s="238" t="s">
        <v>700</v>
      </c>
      <c r="BK4" s="238" t="s">
        <v>11</v>
      </c>
      <c r="BL4" s="238" t="s">
        <v>873</v>
      </c>
      <c r="BM4" s="238" t="s">
        <v>1135</v>
      </c>
      <c r="BN4" s="238" t="s">
        <v>699</v>
      </c>
      <c r="BO4" s="238" t="s">
        <v>10</v>
      </c>
      <c r="BP4" s="238" t="s">
        <v>683</v>
      </c>
      <c r="BQ4" s="238" t="s">
        <v>1088</v>
      </c>
      <c r="BR4" s="271" t="s">
        <v>645</v>
      </c>
      <c r="BS4" s="271" t="s">
        <v>644</v>
      </c>
      <c r="BT4" s="271" t="s">
        <v>1025</v>
      </c>
      <c r="BU4" s="271" t="s">
        <v>900</v>
      </c>
      <c r="BV4" s="271" t="s">
        <v>697</v>
      </c>
      <c r="BW4" s="271" t="s">
        <v>696</v>
      </c>
      <c r="BX4" s="271" t="s">
        <v>585</v>
      </c>
      <c r="BY4" s="271" t="s">
        <v>773</v>
      </c>
      <c r="BZ4" s="59"/>
      <c r="CA4" s="221" t="s">
        <v>667</v>
      </c>
      <c r="CB4" s="221" t="s">
        <v>666</v>
      </c>
      <c r="CC4" s="221" t="s">
        <v>665</v>
      </c>
      <c r="CD4" s="221" t="s">
        <v>664</v>
      </c>
      <c r="CE4" s="221" t="s">
        <v>663</v>
      </c>
      <c r="CF4" s="221" t="s">
        <v>662</v>
      </c>
      <c r="CG4" s="221" t="s">
        <v>661</v>
      </c>
      <c r="CH4" s="221" t="s">
        <v>660</v>
      </c>
      <c r="CI4" s="221" t="s">
        <v>659</v>
      </c>
      <c r="CJ4" s="60"/>
    </row>
    <row r="5" spans="1:89" x14ac:dyDescent="0.2">
      <c r="A5" s="25"/>
      <c r="B5" s="25"/>
      <c r="C5" s="25"/>
      <c r="D5" s="25"/>
      <c r="E5" s="25"/>
      <c r="F5" s="234"/>
      <c r="G5" s="25"/>
      <c r="H5" s="25"/>
      <c r="I5" s="232"/>
      <c r="J5" s="232"/>
      <c r="K5" s="25"/>
      <c r="L5" s="25"/>
      <c r="M5" s="232"/>
      <c r="N5" s="232"/>
      <c r="O5" s="25"/>
      <c r="P5" s="25"/>
      <c r="Q5" s="232"/>
      <c r="R5" s="232"/>
      <c r="S5" s="235"/>
      <c r="T5" s="232"/>
      <c r="U5" s="25"/>
      <c r="V5" s="25"/>
      <c r="W5" s="25"/>
      <c r="X5" s="232"/>
      <c r="Y5" s="232"/>
      <c r="Z5" s="21"/>
      <c r="AA5" s="25"/>
      <c r="AB5" s="25"/>
      <c r="AC5" s="25"/>
      <c r="AD5" s="25"/>
      <c r="AE5" s="25"/>
      <c r="AF5" s="25"/>
      <c r="AG5" s="25"/>
      <c r="AH5" s="25"/>
      <c r="AI5" s="25"/>
      <c r="AJ5" s="25"/>
      <c r="AK5" s="25"/>
      <c r="AL5" s="25"/>
      <c r="AM5" s="25"/>
      <c r="AN5" s="25"/>
      <c r="AO5" s="25"/>
      <c r="AP5" s="25"/>
      <c r="AQ5" s="25"/>
      <c r="AR5" s="25"/>
      <c r="AS5" s="25"/>
      <c r="AT5" s="25"/>
      <c r="AU5" s="21"/>
      <c r="AV5" s="25"/>
      <c r="AW5" s="25"/>
      <c r="AX5" s="25"/>
      <c r="AY5" s="25"/>
      <c r="AZ5" s="232"/>
      <c r="BA5" s="232"/>
      <c r="BB5" s="232"/>
      <c r="BC5" s="22"/>
      <c r="BD5" s="25"/>
      <c r="BE5" s="232"/>
      <c r="BF5" s="232"/>
      <c r="BG5" s="232"/>
      <c r="BH5" s="232"/>
      <c r="BI5" s="21"/>
      <c r="BJ5" s="25"/>
      <c r="BK5" s="232"/>
      <c r="BL5" s="232"/>
      <c r="BM5" s="232"/>
      <c r="BN5" s="232"/>
      <c r="BO5" s="232"/>
      <c r="BP5" s="232"/>
      <c r="BQ5" s="232"/>
      <c r="BR5" s="232"/>
      <c r="BS5" s="232"/>
      <c r="BT5" s="25"/>
      <c r="BU5" s="25"/>
      <c r="BV5" s="25"/>
      <c r="BW5" s="25"/>
      <c r="BX5" s="25"/>
      <c r="BY5" s="25"/>
      <c r="BZ5" s="57"/>
    </row>
    <row r="6" spans="1:89" x14ac:dyDescent="0.2">
      <c r="A6" s="25"/>
      <c r="B6" s="25"/>
      <c r="C6" s="25"/>
      <c r="D6" s="25"/>
      <c r="E6" s="25"/>
      <c r="F6" s="234"/>
      <c r="G6" s="25"/>
      <c r="H6" s="25"/>
      <c r="I6" s="232"/>
      <c r="J6" s="232"/>
      <c r="K6" s="25"/>
      <c r="L6" s="25"/>
      <c r="M6" s="232"/>
      <c r="N6" s="232"/>
      <c r="O6" s="25"/>
      <c r="P6" s="25"/>
      <c r="Q6" s="232"/>
      <c r="R6" s="232"/>
      <c r="S6" s="235"/>
      <c r="T6" s="232"/>
      <c r="U6" s="25"/>
      <c r="V6" s="25"/>
      <c r="W6" s="25"/>
      <c r="X6" s="232"/>
      <c r="Y6" s="232"/>
      <c r="Z6" s="21"/>
      <c r="AA6" s="25"/>
      <c r="AB6" s="25"/>
      <c r="AC6" s="25"/>
      <c r="AD6" s="25"/>
      <c r="AE6" s="25"/>
      <c r="AF6" s="25"/>
      <c r="AG6" s="25"/>
      <c r="AH6" s="25"/>
      <c r="AI6" s="25"/>
      <c r="AJ6" s="25"/>
      <c r="AK6" s="25"/>
      <c r="AL6" s="25"/>
      <c r="AM6" s="25"/>
      <c r="AN6" s="25"/>
      <c r="AO6" s="25"/>
      <c r="AP6" s="25"/>
      <c r="AQ6" s="25"/>
      <c r="AR6" s="25"/>
      <c r="AS6" s="25"/>
      <c r="AT6" s="25"/>
      <c r="AU6" s="21"/>
      <c r="AV6" s="25"/>
      <c r="AW6" s="25"/>
      <c r="AX6" s="25"/>
      <c r="AY6" s="25"/>
      <c r="AZ6" s="232"/>
      <c r="BA6" s="232"/>
      <c r="BB6" s="232"/>
      <c r="BC6" s="22"/>
      <c r="BD6" s="25"/>
      <c r="BE6" s="232"/>
      <c r="BF6" s="232"/>
      <c r="BG6" s="232"/>
      <c r="BH6" s="232"/>
      <c r="BI6" s="21"/>
      <c r="BJ6" s="25"/>
      <c r="BK6" s="232"/>
      <c r="BL6" s="232"/>
      <c r="BM6" s="232"/>
      <c r="BN6" s="232"/>
      <c r="BO6" s="232"/>
      <c r="BP6" s="232"/>
      <c r="BQ6" s="232"/>
      <c r="BR6" s="232"/>
      <c r="BS6" s="232"/>
      <c r="BT6" s="25"/>
      <c r="BU6" s="25"/>
      <c r="BV6" s="25"/>
      <c r="BW6" s="25"/>
      <c r="BX6" s="25"/>
      <c r="BY6" s="25"/>
      <c r="BZ6" s="57"/>
      <c r="CA6" s="271" t="s">
        <v>693</v>
      </c>
      <c r="CB6" s="271" t="s">
        <v>955</v>
      </c>
      <c r="CC6" s="541" t="s">
        <v>692</v>
      </c>
      <c r="CD6" s="542"/>
      <c r="CE6" s="541" t="s">
        <v>691</v>
      </c>
      <c r="CF6" s="543"/>
      <c r="CG6" s="543"/>
      <c r="CH6" s="542"/>
      <c r="CI6" s="271"/>
      <c r="CJ6" s="271" t="s">
        <v>786</v>
      </c>
    </row>
    <row r="7" spans="1:89" x14ac:dyDescent="0.2">
      <c r="A7" s="25"/>
      <c r="B7" s="25"/>
      <c r="C7" s="25"/>
      <c r="D7" s="25"/>
      <c r="E7" s="25"/>
      <c r="F7" s="234"/>
      <c r="G7" s="25"/>
      <c r="H7" s="25"/>
      <c r="I7" s="232"/>
      <c r="J7" s="232"/>
      <c r="K7" s="25"/>
      <c r="L7" s="25"/>
      <c r="M7" s="232"/>
      <c r="N7" s="232"/>
      <c r="O7" s="25"/>
      <c r="P7" s="25"/>
      <c r="Q7" s="232"/>
      <c r="R7" s="232"/>
      <c r="S7" s="235"/>
      <c r="T7" s="232"/>
      <c r="U7" s="25"/>
      <c r="V7" s="25"/>
      <c r="W7" s="25"/>
      <c r="X7" s="232"/>
      <c r="Y7" s="232"/>
      <c r="Z7" s="21"/>
      <c r="AA7" s="25"/>
      <c r="AB7" s="25"/>
      <c r="AC7" s="25"/>
      <c r="AD7" s="25"/>
      <c r="AE7" s="25"/>
      <c r="AF7" s="25"/>
      <c r="AG7" s="25"/>
      <c r="AH7" s="25"/>
      <c r="AI7" s="25"/>
      <c r="AJ7" s="25"/>
      <c r="AK7" s="25"/>
      <c r="AL7" s="25"/>
      <c r="AM7" s="25"/>
      <c r="AN7" s="25"/>
      <c r="AO7" s="25"/>
      <c r="AP7" s="25"/>
      <c r="AQ7" s="25"/>
      <c r="AR7" s="25"/>
      <c r="AS7" s="25"/>
      <c r="AT7" s="25"/>
      <c r="AU7" s="21"/>
      <c r="AV7" s="25"/>
      <c r="AW7" s="25"/>
      <c r="AX7" s="25"/>
      <c r="AY7" s="25"/>
      <c r="AZ7" s="232"/>
      <c r="BA7" s="232"/>
      <c r="BB7" s="232"/>
      <c r="BC7" s="22"/>
      <c r="BD7" s="25"/>
      <c r="BE7" s="232"/>
      <c r="BF7" s="232"/>
      <c r="BG7" s="232"/>
      <c r="BH7" s="232"/>
      <c r="BI7" s="21"/>
      <c r="BJ7" s="25"/>
      <c r="BK7" s="232"/>
      <c r="BL7" s="232"/>
      <c r="BM7" s="232"/>
      <c r="BN7" s="232"/>
      <c r="BO7" s="232"/>
      <c r="BP7" s="232"/>
      <c r="BQ7" s="232"/>
      <c r="BR7" s="232"/>
      <c r="BS7" s="232"/>
      <c r="BT7" s="25"/>
      <c r="BU7" s="25"/>
      <c r="BV7" s="25"/>
      <c r="BW7" s="25"/>
      <c r="BX7" s="25"/>
      <c r="BY7" s="25"/>
      <c r="BZ7" s="57"/>
      <c r="CA7" s="271"/>
      <c r="CB7" s="271"/>
      <c r="CC7" s="271" t="s">
        <v>183</v>
      </c>
      <c r="CD7" s="271" t="s">
        <v>182</v>
      </c>
      <c r="CE7" s="271" t="s">
        <v>690</v>
      </c>
      <c r="CF7" s="271" t="s">
        <v>689</v>
      </c>
      <c r="CG7" s="271" t="s">
        <v>688</v>
      </c>
      <c r="CH7" s="271" t="s">
        <v>687</v>
      </c>
      <c r="CI7" s="271" t="s">
        <v>686</v>
      </c>
      <c r="CJ7" s="271"/>
    </row>
    <row r="8" spans="1:89" x14ac:dyDescent="0.2">
      <c r="A8" s="25"/>
      <c r="B8" s="25"/>
      <c r="C8" s="25"/>
      <c r="D8" s="25"/>
      <c r="E8" s="25"/>
      <c r="F8" s="234"/>
      <c r="G8" s="25"/>
      <c r="H8" s="25"/>
      <c r="I8" s="232"/>
      <c r="J8" s="232"/>
      <c r="K8" s="25"/>
      <c r="L8" s="25"/>
      <c r="M8" s="232"/>
      <c r="N8" s="232"/>
      <c r="O8" s="25"/>
      <c r="P8" s="25"/>
      <c r="Q8" s="232"/>
      <c r="R8" s="232"/>
      <c r="S8" s="235"/>
      <c r="T8" s="232"/>
      <c r="U8" s="25"/>
      <c r="V8" s="25"/>
      <c r="W8" s="25"/>
      <c r="X8" s="232"/>
      <c r="Y8" s="232"/>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32"/>
      <c r="BA8" s="232"/>
      <c r="BB8" s="232"/>
      <c r="BC8" s="22"/>
      <c r="BD8" s="25"/>
      <c r="BE8" s="232"/>
      <c r="BF8" s="232"/>
      <c r="BG8" s="232"/>
      <c r="BH8" s="232"/>
      <c r="BI8" s="21"/>
      <c r="BJ8" s="25"/>
      <c r="BK8" s="232"/>
      <c r="BL8" s="232"/>
      <c r="BM8" s="232"/>
      <c r="BN8" s="232"/>
      <c r="BO8" s="232"/>
      <c r="BP8" s="232"/>
      <c r="BQ8" s="232"/>
      <c r="BR8" s="232"/>
      <c r="BS8" s="232"/>
      <c r="BT8" s="25"/>
      <c r="BU8" s="25"/>
      <c r="BV8" s="25"/>
      <c r="BW8" s="25"/>
      <c r="BX8" s="25"/>
      <c r="BY8" s="25"/>
      <c r="BZ8" s="57"/>
      <c r="CA8" s="272" t="s">
        <v>181</v>
      </c>
      <c r="CB8" s="273" t="e">
        <f ca="1">SUMIFS(Str_NumOfStructures,Str_AVFStructureType,Value!$CK8)</f>
        <v>#REF!</v>
      </c>
      <c r="CC8" s="274">
        <f ca="1">IFERROR(SUMIF(Str_AVFStructureType,Value!$CK8,y0_SCIavDimensionforSSCI)/SUMIF(Str_AVFStructureType,Value!$CK8,Str_DimensionforSSCI),0)</f>
        <v>0</v>
      </c>
      <c r="CD8" s="275">
        <f ca="1">IFERROR(SUMIF(Str_AVFStructureType,Value!$CK8,y0_SCIcritDimensionforSSCI)/SUMIF(Str_AVFStructureType,Value!$CK8,Str_DimensionforSSCI),0)</f>
        <v>0</v>
      </c>
      <c r="CE8" s="273" t="e">
        <f ca="1">SUMIFS(Str_NumOfStructures,Val_SCIAv,"&gt;=90",Str_AVFStructureType,Value!$CK8)</f>
        <v>#REF!</v>
      </c>
      <c r="CF8" s="276" t="e">
        <f ca="1">SUMIFS(Str_NumOfStructures,Val_SCIAv,"&gt;=80",Str_AVFStructureType,Value!$CK8)-CE8</f>
        <v>#REF!</v>
      </c>
      <c r="CG8" s="276" t="e">
        <f ca="1">SUMIFS(Str_NumOfStructures,Val_SCIAv,"&gt;=65",Str_AVFStructureType,Value!$CK8)-CE8-CF8</f>
        <v>#REF!</v>
      </c>
      <c r="CH8" s="276" t="e">
        <f ca="1">SUMIFS(Str_NumOfStructures,Val_SCIAv,"&gt;=40",Str_AVFStructureType,Value!$CK8)-SUM(CE8:CG8)</f>
        <v>#REF!</v>
      </c>
      <c r="CI8" s="273" t="e">
        <f ca="1">SUMIFS(Str_NumOfStructures,Val_SCIAv,"&lt;40",Str_AVFStructureType,Value!$CK8)</f>
        <v>#REF!</v>
      </c>
      <c r="CJ8" s="277">
        <f t="shared" ref="CJ8:CJ14" ca="1" si="0">IFERROR(SUMIF(Str_AVFStructureType,CK8,y0_QuantityKeyDimensionSSS)/SUMIF(Str_AVFStructureType,CK8,Str_DimensionforSSCI),0)</f>
        <v>0</v>
      </c>
      <c r="CK8" s="19" t="s">
        <v>573</v>
      </c>
    </row>
    <row r="9" spans="1:89" x14ac:dyDescent="0.2">
      <c r="A9" s="25"/>
      <c r="B9" s="25"/>
      <c r="C9" s="25"/>
      <c r="D9" s="25"/>
      <c r="E9" s="25"/>
      <c r="F9" s="234"/>
      <c r="G9" s="25"/>
      <c r="H9" s="25"/>
      <c r="I9" s="232"/>
      <c r="J9" s="232"/>
      <c r="K9" s="25"/>
      <c r="L9" s="25"/>
      <c r="M9" s="232"/>
      <c r="N9" s="232"/>
      <c r="O9" s="25"/>
      <c r="P9" s="25"/>
      <c r="Q9" s="232"/>
      <c r="R9" s="232"/>
      <c r="S9" s="235"/>
      <c r="T9" s="232"/>
      <c r="U9" s="25"/>
      <c r="V9" s="25"/>
      <c r="W9" s="25"/>
      <c r="X9" s="232"/>
      <c r="Y9" s="232"/>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32"/>
      <c r="BA9" s="232"/>
      <c r="BB9" s="232"/>
      <c r="BC9" s="22"/>
      <c r="BD9" s="25"/>
      <c r="BE9" s="232"/>
      <c r="BF9" s="232"/>
      <c r="BG9" s="232"/>
      <c r="BH9" s="232"/>
      <c r="BI9" s="25"/>
      <c r="BJ9" s="25"/>
      <c r="BK9" s="232"/>
      <c r="BL9" s="232"/>
      <c r="BM9" s="232"/>
      <c r="BN9" s="232"/>
      <c r="BO9" s="232"/>
      <c r="BP9" s="232"/>
      <c r="BQ9" s="232"/>
      <c r="BR9" s="232"/>
      <c r="BS9" s="232"/>
      <c r="BT9" s="25"/>
      <c r="BU9" s="25"/>
      <c r="BV9" s="25"/>
      <c r="BW9" s="25"/>
      <c r="BX9" s="25"/>
      <c r="BY9" s="25"/>
      <c r="BZ9" s="57"/>
      <c r="CA9" s="272" t="s">
        <v>180</v>
      </c>
      <c r="CB9" s="273" t="e">
        <f ca="1">SUMIFS(Str_NumOfStructures,Str_AVFStructureType,Value!$CK9)</f>
        <v>#REF!</v>
      </c>
      <c r="CC9" s="275">
        <f ca="1">IFERROR(SUMIF(Str_AVFStructureType,Value!$CK9,y0_SCIavDimensionforSSCI)/SUMIF(Str_AVFStructureType,Value!$CK9,Str_DimensionforSSCI),0)</f>
        <v>0</v>
      </c>
      <c r="CD9" s="275">
        <f ca="1">IFERROR(SUMIF(Str_AVFStructureType,Value!$CK9,y0_SCIcritDimensionforSSCI)/SUMIF(Str_AVFStructureType,Value!$CK9,Str_DimensionforSSCI),0)</f>
        <v>0</v>
      </c>
      <c r="CE9" s="273" t="e">
        <f ca="1">SUMIFS(Str_NumOfStructures,Val_SCIAv,"&gt;=90",Str_AVFStructureType,Value!$CK9)</f>
        <v>#REF!</v>
      </c>
      <c r="CF9" s="276" t="e">
        <f ca="1">SUMIFS(Str_NumOfStructures,Val_SCIAv,"&gt;=80",Str_AVFStructureType,Value!$CK9)-CE9</f>
        <v>#REF!</v>
      </c>
      <c r="CG9" s="276" t="e">
        <f ca="1">SUMIFS(Str_NumOfStructures,Val_SCIAv,"&gt;=65",Str_AVFStructureType,Value!$CK9)-CE9-CF9</f>
        <v>#REF!</v>
      </c>
      <c r="CH9" s="276" t="e">
        <f ca="1">SUMIFS(Str_NumOfStructures,Val_SCIAv,"&gt;=40",Str_AVFStructureType,Value!$CK9)-SUM(CE9:CG9)</f>
        <v>#REF!</v>
      </c>
      <c r="CI9" s="273" t="e">
        <f ca="1">SUMIFS(Str_NumOfStructures,Val_SCIAv,"&lt;40",Str_AVFStructureType,Value!$CK9)</f>
        <v>#REF!</v>
      </c>
      <c r="CJ9" s="277">
        <f t="shared" ca="1" si="0"/>
        <v>0</v>
      </c>
      <c r="CK9" s="58" t="s">
        <v>572</v>
      </c>
    </row>
    <row r="10" spans="1:89" x14ac:dyDescent="0.2">
      <c r="A10" s="25"/>
      <c r="B10" s="25"/>
      <c r="C10" s="25"/>
      <c r="D10" s="25"/>
      <c r="E10" s="25"/>
      <c r="F10" s="234"/>
      <c r="G10" s="25"/>
      <c r="H10" s="25"/>
      <c r="I10" s="232"/>
      <c r="J10" s="232"/>
      <c r="K10" s="25"/>
      <c r="L10" s="25"/>
      <c r="M10" s="232"/>
      <c r="N10" s="232"/>
      <c r="O10" s="25"/>
      <c r="P10" s="25"/>
      <c r="Q10" s="232"/>
      <c r="R10" s="232"/>
      <c r="S10" s="235"/>
      <c r="T10" s="232"/>
      <c r="U10" s="25"/>
      <c r="V10" s="25"/>
      <c r="W10" s="25"/>
      <c r="X10" s="232"/>
      <c r="Y10" s="232"/>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32"/>
      <c r="BA10" s="232"/>
      <c r="BB10" s="232"/>
      <c r="BC10" s="22"/>
      <c r="BD10" s="25"/>
      <c r="BE10" s="232"/>
      <c r="BF10" s="232"/>
      <c r="BG10" s="232"/>
      <c r="BH10" s="232"/>
      <c r="BI10" s="25"/>
      <c r="BJ10" s="25"/>
      <c r="BK10" s="232"/>
      <c r="BL10" s="232"/>
      <c r="BM10" s="232"/>
      <c r="BN10" s="232"/>
      <c r="BO10" s="232"/>
      <c r="BP10" s="232"/>
      <c r="BQ10" s="232"/>
      <c r="BR10" s="232"/>
      <c r="BS10" s="232"/>
      <c r="BT10" s="25"/>
      <c r="BU10" s="25"/>
      <c r="BV10" s="25"/>
      <c r="BW10" s="25"/>
      <c r="BX10" s="25"/>
      <c r="BY10" s="25"/>
      <c r="BZ10" s="57"/>
      <c r="CA10" s="272" t="s">
        <v>179</v>
      </c>
      <c r="CB10" s="273" t="e">
        <f ca="1">SUMIFS(Str_NumOfStructures,Str_AVFStructureType,Value!$CK10)</f>
        <v>#REF!</v>
      </c>
      <c r="CC10" s="275">
        <f ca="1">IFERROR(SUMIF(Str_AVFStructureType,Value!$CK10,y0_SCIavDimensionforSSCI)/SUMIF(Str_AVFStructureType,Value!$CK10,Str_DimensionforSSCI),0)</f>
        <v>0</v>
      </c>
      <c r="CD10" s="275">
        <f ca="1">IFERROR(SUMIF(Str_AVFStructureType,Value!$CK10,y0_SCIcritDimensionforSSCI)/SUMIF(Str_AVFStructureType,Value!$CK10,Str_DimensionforSSCI),0)</f>
        <v>0</v>
      </c>
      <c r="CE10" s="273" t="e">
        <f ca="1">SUMIFS(Str_NumOfStructures,Val_SCIAv,"&gt;=90",Str_AVFStructureType,Value!$CK10)</f>
        <v>#REF!</v>
      </c>
      <c r="CF10" s="276" t="e">
        <f ca="1">SUMIFS(Str_NumOfStructures,Val_SCIAv,"&gt;=80",Str_AVFStructureType,Value!$CK10)-CE10</f>
        <v>#REF!</v>
      </c>
      <c r="CG10" s="276" t="e">
        <f ca="1">SUMIFS(Str_NumOfStructures,Val_SCIAv,"&gt;=65",Str_AVFStructureType,Value!$CK10)-CE10-CF10</f>
        <v>#REF!</v>
      </c>
      <c r="CH10" s="276" t="e">
        <f ca="1">SUMIFS(Str_NumOfStructures,Val_SCIAv,"&gt;=40",Str_AVFStructureType,Value!$CK10)-SUM(CE10:CG10)</f>
        <v>#REF!</v>
      </c>
      <c r="CI10" s="273" t="e">
        <f ca="1">SUMIFS(Str_NumOfStructures,Val_SCIAv,"&lt;40",Str_AVFStructureType,Value!$CK10)</f>
        <v>#REF!</v>
      </c>
      <c r="CJ10" s="277">
        <f t="shared" ca="1" si="0"/>
        <v>0</v>
      </c>
      <c r="CK10" s="19" t="s">
        <v>571</v>
      </c>
    </row>
    <row r="11" spans="1:89" x14ac:dyDescent="0.2">
      <c r="A11" s="25"/>
      <c r="B11" s="25"/>
      <c r="C11" s="25"/>
      <c r="D11" s="25"/>
      <c r="E11" s="25"/>
      <c r="F11" s="234"/>
      <c r="G11" s="25"/>
      <c r="H11" s="25"/>
      <c r="I11" s="232"/>
      <c r="J11" s="232"/>
      <c r="K11" s="25"/>
      <c r="L11" s="25"/>
      <c r="M11" s="232"/>
      <c r="N11" s="232"/>
      <c r="O11" s="25"/>
      <c r="P11" s="25"/>
      <c r="Q11" s="232"/>
      <c r="R11" s="232"/>
      <c r="S11" s="235"/>
      <c r="T11" s="232"/>
      <c r="U11" s="25"/>
      <c r="V11" s="25"/>
      <c r="W11" s="25"/>
      <c r="X11" s="232"/>
      <c r="Y11" s="232"/>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32"/>
      <c r="BA11" s="232"/>
      <c r="BB11" s="232"/>
      <c r="BC11" s="22"/>
      <c r="BD11" s="25"/>
      <c r="BE11" s="232"/>
      <c r="BF11" s="232"/>
      <c r="BG11" s="232"/>
      <c r="BH11" s="232"/>
      <c r="BI11" s="25"/>
      <c r="BJ11" s="25"/>
      <c r="BK11" s="232"/>
      <c r="BL11" s="232"/>
      <c r="BM11" s="232"/>
      <c r="BN11" s="232"/>
      <c r="BO11" s="232"/>
      <c r="BP11" s="232"/>
      <c r="BQ11" s="232"/>
      <c r="BR11" s="232"/>
      <c r="BS11" s="232"/>
      <c r="BT11" s="25"/>
      <c r="BU11" s="25"/>
      <c r="BV11" s="25"/>
      <c r="BW11" s="25"/>
      <c r="BX11" s="25"/>
      <c r="BY11" s="25"/>
      <c r="BZ11" s="57"/>
      <c r="CA11" s="272" t="s">
        <v>178</v>
      </c>
      <c r="CB11" s="273" t="e">
        <f ca="1">SUMIFS(Str_NumOfStructures,Str_AVFStructureType,Value!$CK11)</f>
        <v>#REF!</v>
      </c>
      <c r="CC11" s="275">
        <f ca="1">IFERROR(SUMIF(Str_AVFStructureType,Value!$CK11,y0_SCIavDimensionforSSCI)/SUMIF(Str_AVFStructureType,Value!$CK11,Str_DimensionforSSCI),0)</f>
        <v>0</v>
      </c>
      <c r="CD11" s="275">
        <f ca="1">IFERROR(SUMIF(Str_AVFStructureType,Value!$CK11,y0_SCIcritDimensionforSSCI)/SUMIF(Str_AVFStructureType,Value!$CK11,Str_DimensionforSSCI),0)</f>
        <v>0</v>
      </c>
      <c r="CE11" s="273" t="e">
        <f ca="1">SUMIFS(Str_NumOfStructures,Val_SCIAv,"&gt;=90",Str_AVFStructureType,Value!$CK11)</f>
        <v>#REF!</v>
      </c>
      <c r="CF11" s="276" t="e">
        <f ca="1">SUMIFS(Str_NumOfStructures,Val_SCIAv,"&gt;=80",Str_AVFStructureType,Value!$CK11)-CE11</f>
        <v>#REF!</v>
      </c>
      <c r="CG11" s="276" t="e">
        <f ca="1">SUMIFS(Str_NumOfStructures,Val_SCIAv,"&gt;=65",Str_AVFStructureType,Value!$CK11)-CE11-CF11</f>
        <v>#REF!</v>
      </c>
      <c r="CH11" s="276" t="e">
        <f ca="1">SUMIFS(Str_NumOfStructures,Val_SCIAv,"&gt;=40",Str_AVFStructureType,Value!$CK11)-SUM(CE11:CG11)</f>
        <v>#REF!</v>
      </c>
      <c r="CI11" s="273" t="e">
        <f ca="1">SUMIFS(Str_NumOfStructures,Val_SCIAv,"&lt;40",Str_AVFStructureType,Value!$CK11)</f>
        <v>#REF!</v>
      </c>
      <c r="CJ11" s="277">
        <f t="shared" ca="1" si="0"/>
        <v>0</v>
      </c>
      <c r="CK11" s="19" t="s">
        <v>570</v>
      </c>
    </row>
    <row r="12" spans="1:89" x14ac:dyDescent="0.2">
      <c r="A12" s="25"/>
      <c r="B12" s="25"/>
      <c r="C12" s="25"/>
      <c r="D12" s="25"/>
      <c r="E12" s="25"/>
      <c r="F12" s="234"/>
      <c r="G12" s="25"/>
      <c r="H12" s="25"/>
      <c r="I12" s="232"/>
      <c r="J12" s="232"/>
      <c r="K12" s="25"/>
      <c r="L12" s="25"/>
      <c r="M12" s="232"/>
      <c r="N12" s="232"/>
      <c r="O12" s="25"/>
      <c r="P12" s="25"/>
      <c r="Q12" s="232"/>
      <c r="R12" s="232"/>
      <c r="S12" s="235"/>
      <c r="T12" s="232"/>
      <c r="U12" s="25"/>
      <c r="V12" s="25"/>
      <c r="W12" s="25"/>
      <c r="X12" s="232"/>
      <c r="Y12" s="232"/>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32"/>
      <c r="BA12" s="232"/>
      <c r="BB12" s="232"/>
      <c r="BC12" s="22"/>
      <c r="BD12" s="25"/>
      <c r="BE12" s="232"/>
      <c r="BF12" s="232"/>
      <c r="BG12" s="232"/>
      <c r="BH12" s="232"/>
      <c r="BI12" s="25"/>
      <c r="BJ12" s="25"/>
      <c r="BK12" s="232"/>
      <c r="BL12" s="232"/>
      <c r="BM12" s="232"/>
      <c r="BN12" s="232"/>
      <c r="BO12" s="232"/>
      <c r="BP12" s="232"/>
      <c r="BQ12" s="232"/>
      <c r="BR12" s="232"/>
      <c r="BS12" s="232"/>
      <c r="BT12" s="25"/>
      <c r="BU12" s="25"/>
      <c r="BV12" s="25"/>
      <c r="BW12" s="25"/>
      <c r="BX12" s="25"/>
      <c r="BY12" s="25"/>
      <c r="BZ12" s="57"/>
      <c r="CA12" s="272" t="s">
        <v>177</v>
      </c>
      <c r="CB12" s="273" t="e">
        <f ca="1">SUMIFS(Str_NumOfStructures,Str_AVFStructureType,Value!$CK12)</f>
        <v>#REF!</v>
      </c>
      <c r="CC12" s="275">
        <f ca="1">IFERROR(SUMIF(Str_AVFStructureType,Value!$CK12,y0_SCIavDimensionforSSCI)/SUMIF(Str_AVFStructureType,Value!$CK12,Str_DimensionforSSCI),0)</f>
        <v>0</v>
      </c>
      <c r="CD12" s="275">
        <f ca="1">IFERROR(SUMIF(Str_AVFStructureType,Value!$CK12,y0_SCIcritDimensionforSSCI)/SUMIF(Str_AVFStructureType,Value!$CK12,Str_DimensionforSSCI),0)</f>
        <v>0</v>
      </c>
      <c r="CE12" s="273" t="e">
        <f ca="1">SUMIFS(Str_NumOfStructures,Val_SCIAv,"&gt;=90",Str_AVFStructureType,Value!$CK12)</f>
        <v>#REF!</v>
      </c>
      <c r="CF12" s="276" t="e">
        <f ca="1">SUMIFS(Str_NumOfStructures,Val_SCIAv,"&gt;=80",Str_AVFStructureType,Value!$CK12)-CE12</f>
        <v>#REF!</v>
      </c>
      <c r="CG12" s="276" t="e">
        <f ca="1">SUMIFS(Str_NumOfStructures,Val_SCIAv,"&gt;=65",Str_AVFStructureType,Value!$CK12)-CE12-CF12</f>
        <v>#REF!</v>
      </c>
      <c r="CH12" s="276" t="e">
        <f ca="1">SUMIFS(Str_NumOfStructures,Val_SCIAv,"&gt;=40",Str_AVFStructureType,Value!$CK12)-SUM(CE12:CG12)</f>
        <v>#REF!</v>
      </c>
      <c r="CI12" s="273" t="e">
        <f ca="1">SUMIFS(Str_NumOfStructures,Val_SCIAv,"&lt;40",Str_AVFStructureType,Value!$CK12)</f>
        <v>#REF!</v>
      </c>
      <c r="CJ12" s="277">
        <f t="shared" ca="1" si="0"/>
        <v>0</v>
      </c>
      <c r="CK12" s="19" t="s">
        <v>569</v>
      </c>
    </row>
    <row r="13" spans="1:89" x14ac:dyDescent="0.2">
      <c r="A13" s="25"/>
      <c r="B13" s="25"/>
      <c r="C13" s="25"/>
      <c r="D13" s="25"/>
      <c r="E13" s="25"/>
      <c r="F13" s="234"/>
      <c r="G13" s="25"/>
      <c r="H13" s="25"/>
      <c r="I13" s="232"/>
      <c r="J13" s="232"/>
      <c r="K13" s="25"/>
      <c r="L13" s="25"/>
      <c r="M13" s="232"/>
      <c r="N13" s="232"/>
      <c r="O13" s="25"/>
      <c r="P13" s="25"/>
      <c r="Q13" s="232"/>
      <c r="R13" s="232"/>
      <c r="S13" s="235"/>
      <c r="T13" s="232"/>
      <c r="U13" s="25"/>
      <c r="V13" s="25"/>
      <c r="W13" s="25"/>
      <c r="X13" s="232"/>
      <c r="Y13" s="232"/>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32"/>
      <c r="BA13" s="232"/>
      <c r="BB13" s="232"/>
      <c r="BC13" s="22"/>
      <c r="BD13" s="25"/>
      <c r="BE13" s="232"/>
      <c r="BF13" s="232"/>
      <c r="BG13" s="232"/>
      <c r="BH13" s="232"/>
      <c r="BI13" s="25"/>
      <c r="BJ13" s="25"/>
      <c r="BK13" s="232"/>
      <c r="BL13" s="232"/>
      <c r="BM13" s="232"/>
      <c r="BN13" s="232"/>
      <c r="BO13" s="232"/>
      <c r="BP13" s="232"/>
      <c r="BQ13" s="232"/>
      <c r="BR13" s="232"/>
      <c r="BS13" s="232"/>
      <c r="BT13" s="25"/>
      <c r="BU13" s="25"/>
      <c r="BV13" s="25"/>
      <c r="BW13" s="25"/>
      <c r="BX13" s="25"/>
      <c r="BY13" s="25"/>
      <c r="BZ13" s="57"/>
      <c r="CA13" s="272" t="s">
        <v>682</v>
      </c>
      <c r="CB13" s="273" t="e">
        <f ca="1">SUMIFS(Str_NumOfStructures,Str_AVFStructureType,Value!$CK13)</f>
        <v>#REF!</v>
      </c>
      <c r="CC13" s="275">
        <f ca="1">IFERROR(SUMIF(Str_AVFStructureType,Value!$CK13,y0_SCIavDimensionforSSCI)/SUMIF(Str_AVFStructureType,Value!$CK13,Str_DimensionforSSCI),0)</f>
        <v>0</v>
      </c>
      <c r="CD13" s="275">
        <f ca="1">IFERROR(SUMIF(Str_AVFStructureType,Value!$CK13,y0_SCIcritDimensionforSSCI)/SUMIF(Str_AVFStructureType,Value!$CK13,Str_DimensionforSSCI),0)</f>
        <v>0</v>
      </c>
      <c r="CE13" s="273" t="e">
        <f ca="1">SUMIFS(Str_NumOfStructures,Val_SCIAv,"&gt;=90",Str_AVFStructureType,Value!$CK13)</f>
        <v>#REF!</v>
      </c>
      <c r="CF13" s="276" t="e">
        <f ca="1">SUMIFS(Str_NumOfStructures,Val_SCIAv,"&gt;=80",Str_AVFStructureType,Value!$CK13)-CE13</f>
        <v>#REF!</v>
      </c>
      <c r="CG13" s="276" t="e">
        <f ca="1">SUMIFS(Str_NumOfStructures,Val_SCIAv,"&gt;=65",Str_AVFStructureType,Value!$CK13)-CE13-CF13</f>
        <v>#REF!</v>
      </c>
      <c r="CH13" s="276" t="e">
        <f ca="1">SUMIFS(Str_NumOfStructures,Val_SCIAv,"&gt;=40",Str_AVFStructureType,Value!$CK13)-SUM(CE13:CG13)</f>
        <v>#REF!</v>
      </c>
      <c r="CI13" s="273" t="e">
        <f ca="1">SUMIFS(Str_NumOfStructures,Val_SCIAv,"&lt;40",Str_AVFStructureType,Value!$CK13)</f>
        <v>#REF!</v>
      </c>
      <c r="CJ13" s="277">
        <f t="shared" ca="1" si="0"/>
        <v>0</v>
      </c>
      <c r="CK13" s="19" t="s">
        <v>568</v>
      </c>
    </row>
    <row r="14" spans="1:89" x14ac:dyDescent="0.2">
      <c r="A14" s="25"/>
      <c r="B14" s="25"/>
      <c r="C14" s="25"/>
      <c r="D14" s="25"/>
      <c r="E14" s="25"/>
      <c r="F14" s="234"/>
      <c r="G14" s="25"/>
      <c r="H14" s="25"/>
      <c r="I14" s="232"/>
      <c r="J14" s="232"/>
      <c r="K14" s="25"/>
      <c r="L14" s="25"/>
      <c r="M14" s="232"/>
      <c r="N14" s="232"/>
      <c r="O14" s="25"/>
      <c r="P14" s="25"/>
      <c r="Q14" s="232"/>
      <c r="R14" s="232"/>
      <c r="S14" s="235"/>
      <c r="T14" s="232"/>
      <c r="U14" s="25"/>
      <c r="V14" s="25"/>
      <c r="W14" s="25"/>
      <c r="X14" s="232"/>
      <c r="Y14" s="232"/>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32"/>
      <c r="BA14" s="232"/>
      <c r="BB14" s="232"/>
      <c r="BC14" s="22"/>
      <c r="BD14" s="25"/>
      <c r="BE14" s="232"/>
      <c r="BF14" s="232"/>
      <c r="BG14" s="232"/>
      <c r="BH14" s="232"/>
      <c r="BI14" s="25"/>
      <c r="BJ14" s="25"/>
      <c r="BK14" s="232"/>
      <c r="BL14" s="232"/>
      <c r="BM14" s="232"/>
      <c r="BN14" s="232"/>
      <c r="BO14" s="232"/>
      <c r="BP14" s="232"/>
      <c r="BQ14" s="232"/>
      <c r="BR14" s="232"/>
      <c r="BS14" s="232"/>
      <c r="BT14" s="25"/>
      <c r="BU14" s="25"/>
      <c r="BV14" s="25"/>
      <c r="BW14" s="25"/>
      <c r="BX14" s="25"/>
      <c r="BY14" s="25"/>
      <c r="BZ14" s="57"/>
      <c r="CA14" s="272" t="s">
        <v>25</v>
      </c>
      <c r="CB14" s="273" t="e">
        <f ca="1">SUMIFS(Str_NumOfStructures,Str_AVFStructureType,Value!$CK14)</f>
        <v>#REF!</v>
      </c>
      <c r="CC14" s="275">
        <f ca="1">IFERROR(SUMIF(Str_AVFStructureType,Value!$CK14,y0_SCIavDimensionforSSCI)/SUMIF(Str_AVFStructureType,Value!$CK14,Str_DimensionforSSCI),0)</f>
        <v>0</v>
      </c>
      <c r="CD14" s="275">
        <f ca="1">IFERROR(SUMIF(Str_AVFStructureType,Value!$CK14,y0_SCIcritDimensionforSSCI)/SUMIF(Str_AVFStructureType,Value!$CK14,Str_DimensionforSSCI),0)</f>
        <v>0</v>
      </c>
      <c r="CE14" s="273" t="e">
        <f ca="1">SUMIFS(Str_NumOfStructures,Val_SCIAv,"&gt;=90",Str_AVFStructureType,Value!$CK14)</f>
        <v>#REF!</v>
      </c>
      <c r="CF14" s="276" t="e">
        <f ca="1">SUMIFS(Str_NumOfStructures,Val_SCIAv,"&gt;=80",Str_AVFStructureType,Value!$CK14)-CE14</f>
        <v>#REF!</v>
      </c>
      <c r="CG14" s="276" t="e">
        <f ca="1">SUMIFS(Str_NumOfStructures,Val_SCIAv,"&gt;=65",Str_AVFStructureType,Value!$CK14)-CE14-CF14</f>
        <v>#REF!</v>
      </c>
      <c r="CH14" s="276" t="e">
        <f ca="1">SUMIFS(Str_NumOfStructures,Val_SCIAv,"&gt;=40",Str_AVFStructureType,Value!$CK14)-SUM(CE14:CG14)</f>
        <v>#REF!</v>
      </c>
      <c r="CI14" s="273" t="e">
        <f ca="1">SUMIFS(Str_NumOfStructures,Val_SCIAv,"&lt;40",Str_AVFStructureType,Value!$CK14)</f>
        <v>#REF!</v>
      </c>
      <c r="CJ14" s="277">
        <f t="shared" ca="1" si="0"/>
        <v>0</v>
      </c>
      <c r="CK14" s="41" t="s">
        <v>681</v>
      </c>
    </row>
    <row r="15" spans="1:89" x14ac:dyDescent="0.2">
      <c r="A15" s="25"/>
      <c r="B15" s="25"/>
      <c r="C15" s="25"/>
      <c r="D15" s="25"/>
      <c r="E15" s="25"/>
      <c r="F15" s="234"/>
      <c r="G15" s="25"/>
      <c r="H15" s="25"/>
      <c r="I15" s="232"/>
      <c r="J15" s="232"/>
      <c r="K15" s="25"/>
      <c r="L15" s="25"/>
      <c r="M15" s="232"/>
      <c r="N15" s="232"/>
      <c r="O15" s="25"/>
      <c r="P15" s="25"/>
      <c r="Q15" s="232"/>
      <c r="R15" s="232"/>
      <c r="S15" s="235"/>
      <c r="T15" s="232"/>
      <c r="U15" s="25"/>
      <c r="V15" s="25"/>
      <c r="W15" s="25"/>
      <c r="X15" s="232"/>
      <c r="Y15" s="232"/>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32"/>
      <c r="BA15" s="232"/>
      <c r="BB15" s="232"/>
      <c r="BC15" s="22"/>
      <c r="BD15" s="25"/>
      <c r="BE15" s="232"/>
      <c r="BF15" s="232"/>
      <c r="BG15" s="232"/>
      <c r="BH15" s="232"/>
      <c r="BI15" s="25"/>
      <c r="BJ15" s="25"/>
      <c r="BK15" s="232"/>
      <c r="BL15" s="232"/>
      <c r="BM15" s="232"/>
      <c r="BN15" s="232"/>
      <c r="BO15" s="232"/>
      <c r="BP15" s="232"/>
      <c r="BQ15" s="232"/>
      <c r="BR15" s="232"/>
      <c r="BS15" s="232"/>
      <c r="BT15" s="25"/>
      <c r="BU15" s="25"/>
      <c r="BV15" s="25"/>
      <c r="BW15" s="25"/>
      <c r="BX15" s="25"/>
      <c r="BY15" s="25"/>
      <c r="BZ15" s="57"/>
      <c r="CA15" s="272" t="s">
        <v>680</v>
      </c>
      <c r="CB15" s="278" t="e">
        <f ca="1">SUM(CB8:CB14)</f>
        <v>#REF!</v>
      </c>
      <c r="CC15" s="279">
        <f ca="1">IFERROR(SUM(y0_SCIavDimensionforSSCIxAVF)/SUM(Str_DimensionforSSCIxAVF),0)</f>
        <v>0</v>
      </c>
      <c r="CD15" s="275">
        <f ca="1">IFERROR(SUM(y0_SCIcritDimensionforSSCIxAVF)/SUM(Str_DimensionforSSCIxAVF),0)</f>
        <v>0</v>
      </c>
      <c r="CE15" s="278" t="e">
        <f ca="1">SUM(CE8:CE14)</f>
        <v>#REF!</v>
      </c>
      <c r="CF15" s="278" t="e">
        <f ca="1">SUM(CF8:CF14)</f>
        <v>#REF!</v>
      </c>
      <c r="CG15" s="278" t="e">
        <f ca="1">SUM(CG8:CG14)</f>
        <v>#REF!</v>
      </c>
      <c r="CH15" s="278" t="e">
        <f ca="1">SUM(CH8:CH14)</f>
        <v>#REF!</v>
      </c>
      <c r="CI15" s="278" t="e">
        <f ca="1">SUM(CI8:CI14)</f>
        <v>#REF!</v>
      </c>
      <c r="CJ15" s="280">
        <f ca="1">IFERROR((SUM(y0_QuantityKeyDimensionxAVFSSS))/(SUM(Str_DimensionforSSCIxAVF)),0)</f>
        <v>0</v>
      </c>
    </row>
    <row r="16" spans="1:89" x14ac:dyDescent="0.2">
      <c r="A16" s="25"/>
      <c r="B16" s="25"/>
      <c r="C16" s="25"/>
      <c r="D16" s="25"/>
      <c r="E16" s="25"/>
      <c r="F16" s="234"/>
      <c r="G16" s="25"/>
      <c r="H16" s="25"/>
      <c r="I16" s="232"/>
      <c r="J16" s="232"/>
      <c r="K16" s="25"/>
      <c r="L16" s="25"/>
      <c r="M16" s="232"/>
      <c r="N16" s="232"/>
      <c r="O16" s="25"/>
      <c r="P16" s="25"/>
      <c r="Q16" s="232"/>
      <c r="R16" s="232"/>
      <c r="S16" s="235"/>
      <c r="T16" s="232"/>
      <c r="U16" s="25"/>
      <c r="V16" s="25"/>
      <c r="W16" s="25"/>
      <c r="X16" s="232"/>
      <c r="Y16" s="232"/>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32"/>
      <c r="BA16" s="232"/>
      <c r="BB16" s="232"/>
      <c r="BC16" s="22"/>
      <c r="BD16" s="25"/>
      <c r="BE16" s="232"/>
      <c r="BF16" s="232"/>
      <c r="BG16" s="232"/>
      <c r="BH16" s="232"/>
      <c r="BI16" s="25"/>
      <c r="BJ16" s="25"/>
      <c r="BK16" s="232"/>
      <c r="BL16" s="232"/>
      <c r="BM16" s="232"/>
      <c r="BN16" s="232"/>
      <c r="BO16" s="232"/>
      <c r="BP16" s="232"/>
      <c r="BQ16" s="232"/>
      <c r="BR16" s="232"/>
      <c r="BS16" s="232"/>
      <c r="BT16" s="25"/>
      <c r="BU16" s="25"/>
      <c r="BV16" s="25"/>
      <c r="BW16" s="25"/>
      <c r="BX16" s="25"/>
      <c r="BY16" s="25"/>
      <c r="BZ16" s="57"/>
    </row>
    <row r="17" spans="1:77" x14ac:dyDescent="0.2">
      <c r="A17" s="25"/>
      <c r="B17" s="25"/>
      <c r="C17" s="25"/>
      <c r="D17" s="25"/>
      <c r="E17" s="25"/>
      <c r="F17" s="234"/>
      <c r="G17" s="25"/>
      <c r="H17" s="25"/>
      <c r="I17" s="232"/>
      <c r="J17" s="232"/>
      <c r="K17" s="25"/>
      <c r="L17" s="25"/>
      <c r="M17" s="232"/>
      <c r="N17" s="232"/>
      <c r="O17" s="25"/>
      <c r="P17" s="25"/>
      <c r="Q17" s="232"/>
      <c r="R17" s="232"/>
      <c r="S17" s="235"/>
      <c r="T17" s="232"/>
      <c r="U17" s="25"/>
      <c r="V17" s="25"/>
      <c r="W17" s="25"/>
      <c r="X17" s="232"/>
      <c r="Y17" s="232"/>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32"/>
      <c r="BA17" s="232"/>
      <c r="BB17" s="232"/>
      <c r="BD17" s="25"/>
      <c r="BE17" s="232"/>
      <c r="BF17" s="232"/>
      <c r="BG17" s="232"/>
      <c r="BH17" s="232"/>
      <c r="BI17" s="25"/>
      <c r="BJ17" s="25"/>
      <c r="BK17" s="232"/>
      <c r="BL17" s="232"/>
      <c r="BM17" s="232"/>
      <c r="BN17" s="232"/>
      <c r="BO17" s="232"/>
      <c r="BP17" s="232"/>
      <c r="BQ17" s="232"/>
      <c r="BR17" s="232"/>
      <c r="BS17" s="232"/>
      <c r="BT17" s="25"/>
      <c r="BU17" s="25"/>
      <c r="BV17" s="25"/>
      <c r="BW17" s="25"/>
      <c r="BX17" s="25"/>
      <c r="BY17" s="25"/>
    </row>
    <row r="18" spans="1:77" x14ac:dyDescent="0.2">
      <c r="A18" s="25"/>
      <c r="B18" s="25"/>
      <c r="C18" s="25"/>
      <c r="D18" s="25"/>
      <c r="E18" s="25"/>
      <c r="F18" s="234"/>
      <c r="G18" s="25"/>
      <c r="H18" s="25"/>
      <c r="I18" s="232"/>
      <c r="J18" s="232"/>
      <c r="K18" s="25"/>
      <c r="L18" s="25"/>
      <c r="M18" s="232"/>
      <c r="N18" s="232"/>
      <c r="O18" s="25"/>
      <c r="P18" s="25"/>
      <c r="Q18" s="232"/>
      <c r="R18" s="232"/>
      <c r="S18" s="235"/>
      <c r="T18" s="232"/>
      <c r="U18" s="25"/>
      <c r="V18" s="25"/>
      <c r="W18" s="25"/>
      <c r="X18" s="232"/>
      <c r="Y18" s="232"/>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32"/>
      <c r="BA18" s="232"/>
      <c r="BB18" s="232"/>
      <c r="BD18" s="25"/>
      <c r="BE18" s="232"/>
      <c r="BF18" s="232"/>
      <c r="BG18" s="232"/>
      <c r="BH18" s="232"/>
      <c r="BI18" s="25"/>
      <c r="BJ18" s="25"/>
      <c r="BK18" s="232"/>
      <c r="BL18" s="232"/>
      <c r="BM18" s="232"/>
      <c r="BN18" s="232"/>
      <c r="BO18" s="232"/>
      <c r="BP18" s="232"/>
      <c r="BQ18" s="232"/>
      <c r="BR18" s="232"/>
      <c r="BS18" s="232"/>
      <c r="BT18" s="25"/>
      <c r="BU18" s="25"/>
      <c r="BV18" s="25"/>
      <c r="BW18" s="25"/>
      <c r="BX18" s="25"/>
      <c r="BY18" s="25"/>
    </row>
    <row r="19" spans="1:77" x14ac:dyDescent="0.2">
      <c r="A19" s="25"/>
      <c r="B19" s="25"/>
      <c r="C19" s="25"/>
      <c r="D19" s="25"/>
      <c r="E19" s="25"/>
      <c r="F19" s="234"/>
      <c r="G19" s="25"/>
      <c r="H19" s="25"/>
      <c r="I19" s="232"/>
      <c r="J19" s="232"/>
      <c r="K19" s="25"/>
      <c r="L19" s="25"/>
      <c r="M19" s="232"/>
      <c r="N19" s="232"/>
      <c r="O19" s="25"/>
      <c r="P19" s="25"/>
      <c r="Q19" s="232"/>
      <c r="R19" s="232"/>
      <c r="S19" s="235"/>
      <c r="T19" s="232"/>
      <c r="U19" s="25"/>
      <c r="V19" s="25"/>
      <c r="W19" s="25"/>
      <c r="X19" s="232"/>
      <c r="Y19" s="232"/>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32"/>
      <c r="BA19" s="232"/>
      <c r="BB19" s="232"/>
      <c r="BD19" s="25"/>
      <c r="BE19" s="232"/>
      <c r="BF19" s="232"/>
      <c r="BG19" s="232"/>
      <c r="BH19" s="232"/>
      <c r="BI19" s="25"/>
      <c r="BJ19" s="25"/>
      <c r="BK19" s="232"/>
      <c r="BL19" s="232"/>
      <c r="BM19" s="232"/>
      <c r="BN19" s="232"/>
      <c r="BO19" s="232"/>
      <c r="BP19" s="232"/>
      <c r="BQ19" s="232"/>
      <c r="BR19" s="232"/>
      <c r="BS19" s="232"/>
      <c r="BT19" s="25"/>
      <c r="BU19" s="25"/>
      <c r="BV19" s="25"/>
      <c r="BW19" s="25"/>
      <c r="BX19" s="25"/>
      <c r="BY19" s="25"/>
    </row>
    <row r="20" spans="1:77" x14ac:dyDescent="0.2">
      <c r="A20" s="25"/>
      <c r="B20" s="25"/>
      <c r="C20" s="25"/>
      <c r="D20" s="25"/>
      <c r="E20" s="25"/>
      <c r="F20" s="234"/>
      <c r="G20" s="25"/>
      <c r="H20" s="25"/>
      <c r="I20" s="232"/>
      <c r="J20" s="232"/>
      <c r="K20" s="25"/>
      <c r="L20" s="25"/>
      <c r="M20" s="232"/>
      <c r="N20" s="232"/>
      <c r="O20" s="25"/>
      <c r="P20" s="25"/>
      <c r="Q20" s="232"/>
      <c r="R20" s="232"/>
      <c r="S20" s="235"/>
      <c r="T20" s="232"/>
      <c r="U20" s="25"/>
      <c r="V20" s="25"/>
      <c r="W20" s="25"/>
      <c r="X20" s="232"/>
      <c r="Y20" s="232"/>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32"/>
      <c r="BA20" s="232"/>
      <c r="BB20" s="232"/>
      <c r="BD20" s="25"/>
      <c r="BE20" s="232"/>
      <c r="BF20" s="232"/>
      <c r="BG20" s="232"/>
      <c r="BH20" s="232"/>
      <c r="BI20" s="25"/>
      <c r="BJ20" s="25"/>
      <c r="BK20" s="232"/>
      <c r="BL20" s="232"/>
      <c r="BM20" s="232"/>
      <c r="BN20" s="232"/>
      <c r="BO20" s="232"/>
      <c r="BP20" s="232"/>
      <c r="BQ20" s="232"/>
      <c r="BR20" s="232"/>
      <c r="BS20" s="232"/>
      <c r="BT20" s="25"/>
      <c r="BU20" s="25"/>
      <c r="BV20" s="25"/>
      <c r="BW20" s="25"/>
      <c r="BX20" s="25"/>
      <c r="BY20" s="25"/>
    </row>
  </sheetData>
  <autoFilter ref="A4:BY20" xr:uid="{6EBC4830-80A6-42E7-90B0-63403A2B1A18}"/>
  <mergeCells count="9">
    <mergeCell ref="A2:Y2"/>
    <mergeCell ref="AA2:AT2"/>
    <mergeCell ref="AV2:BB2"/>
    <mergeCell ref="CC6:CD6"/>
    <mergeCell ref="CE6:CH6"/>
    <mergeCell ref="AB3:AO3"/>
    <mergeCell ref="BD2:BH2"/>
    <mergeCell ref="BR2:BY2"/>
    <mergeCell ref="BJ2:BQ2"/>
  </mergeCells>
  <pageMargins left="0.74803149606299213" right="0.74803149606299213" top="0.98425196850393704" bottom="0.98425196850393704" header="0.51181102362204722" footer="0.51181102362204722"/>
  <pageSetup paperSize="8" orientation="landscape" r:id="rId1"/>
  <headerFooter alignWithMargins="0">
    <oddHeader>&amp;LStructures Asset Management Planning Toolkit</oddHeader>
    <oddFooter>&amp;L&amp;A&amp;R&amp;P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_Y5">
    <tabColor theme="9" tint="0.59999389629810485"/>
  </sheetPr>
  <dimension ref="A1:GM100"/>
  <sheetViews>
    <sheetView showGridLines="0" topLeftCell="A2" zoomScale="70" zoomScaleNormal="70" workbookViewId="0">
      <selection activeCell="B5" sqref="B5"/>
    </sheetView>
  </sheetViews>
  <sheetFormatPr defaultColWidth="2" defaultRowHeight="12.75" customHeight="1" x14ac:dyDescent="0.2"/>
  <cols>
    <col min="1" max="8" width="12.7109375" style="19" customWidth="1"/>
    <col min="9" max="9" width="21.140625" style="19" customWidth="1"/>
    <col min="10" max="21" width="12.7109375" style="19" customWidth="1"/>
    <col min="22" max="22" width="36.7109375" style="19" customWidth="1"/>
    <col min="23" max="32" width="12.7109375" style="19" customWidth="1"/>
    <col min="33" max="33" width="3.7109375" style="19" customWidth="1"/>
    <col min="34" max="50" width="12.7109375" style="19" customWidth="1"/>
    <col min="51" max="51" width="18.140625" style="19" customWidth="1"/>
    <col min="52" max="55" width="12.7109375" style="19" customWidth="1"/>
    <col min="56" max="56" width="3.7109375" style="19" customWidth="1"/>
    <col min="57" max="81" width="12.7109375" style="19" customWidth="1"/>
    <col min="82" max="82" width="3.7109375" style="19" customWidth="1"/>
    <col min="83" max="115" width="12.7109375" style="19" customWidth="1"/>
    <col min="116" max="116" width="3.7109375" style="19" customWidth="1"/>
    <col min="117" max="129" width="12.7109375" style="19" customWidth="1"/>
    <col min="130" max="130" width="12.7109375" style="39" customWidth="1"/>
    <col min="131" max="142" width="12.7109375" style="19" customWidth="1"/>
    <col min="143" max="143" width="4.140625" style="19" customWidth="1"/>
    <col min="144" max="155" width="12.7109375" style="19" customWidth="1"/>
    <col min="156" max="156" width="3.7109375" style="19" customWidth="1"/>
    <col min="157" max="157" width="12.7109375" style="19" customWidth="1"/>
    <col min="158" max="167" width="13.28515625" style="19" customWidth="1"/>
    <col min="168" max="168" width="3.7109375" style="19" customWidth="1"/>
    <col min="169" max="186" width="12.7109375" style="19" customWidth="1"/>
    <col min="187" max="187" width="3.7109375" style="19" customWidth="1"/>
    <col min="188" max="189" width="36.140625" style="51" customWidth="1"/>
    <col min="190" max="191" width="12.7109375" style="22" customWidth="1"/>
    <col min="192" max="192" width="17.7109375" style="22" hidden="1" customWidth="1"/>
    <col min="193" max="193" width="12.7109375" style="22" customWidth="1"/>
    <col min="194" max="194" width="30.5703125" style="22" customWidth="1"/>
    <col min="195" max="195" width="12.7109375" style="22" customWidth="1"/>
    <col min="196" max="16384" width="2" style="19"/>
  </cols>
  <sheetData>
    <row r="1" spans="1:195" ht="20.45" hidden="1" customHeight="1" x14ac:dyDescent="0.2">
      <c r="A1" s="19">
        <f>Elements!A1</f>
        <v>0</v>
      </c>
      <c r="B1" s="25">
        <f>Y0!B1</f>
        <v>0</v>
      </c>
      <c r="C1" s="25">
        <f>Y0!C1</f>
        <v>0</v>
      </c>
      <c r="D1" s="232">
        <f>Y0!F1</f>
        <v>0</v>
      </c>
      <c r="E1" s="232">
        <f>IF(Y0!G1="Very High",0,IF(Y0!G1="High",(0.3-((D1-1)*(0.3/4))),IF(Y0!G1="Medium",(0.6-((D1-1)*(0.6/4))),IF(Y0!G1="Low",(1.2-((D1-1)*(1.2/4))),0))))</f>
        <v>0</v>
      </c>
      <c r="F1" s="232">
        <f>IF(D1=0,0,IF(Y0!H1=0,0,MAX(D1-E1,1)))</f>
        <v>0</v>
      </c>
      <c r="G1" s="25" t="str">
        <f>IFERROR(INDEX(Ref14_ElementLifeType,Elements!Q1,1),"")</f>
        <v>Indefinite</v>
      </c>
      <c r="H1" s="25">
        <f>IFERROR(MATCH(INDEX(Ref14_ElementImportance,Elements!Q1,1),Ref00_ElementImportanceTypes,),0)</f>
        <v>4</v>
      </c>
      <c r="I1" s="234" t="str">
        <f>IF(OR(Elements!N1="",Elements!C1="",Elements!D1=""),"",ROUND(INDEX(Ref02i!$B$3:$B$76,Elements!Q1,1)*Ref02i!$B$77+SUMPRODUCT(Ref02i!$C$77:$U$77,INDEX(Ref02i!$C$3:$U$76,Elements!Q1,0),INDEX(y5_ExposureParameters,Elements!N1,0))+SUMPRODUCT(Ref02i!$V$77,INDEX(Ref02i!$V$3:$V$76,Elements!Q1,1),SUMIF(Ref00_SprayZoneProximity,Elements!F1,Ref00!$C$8:$C$9))+SUMPRODUCT(Ref02i!$W$77,INDEX(Ref02i!$W$3:$W$76,Elements!Q1,1),SUMIF('Ref03&amp;04i'!$B$3:$B$105,Elements!D1,'Ref03&amp;04i'!$BY$3:$BY$105)),2))</f>
        <v/>
      </c>
      <c r="J1" s="25" t="str">
        <f>IF(I1="","",INDEX(Ref02ii_Exposure,MATCH(I1,Ref02ii_ExposureID,),1))</f>
        <v/>
      </c>
      <c r="K1" s="25">
        <f>ROUND(SUMIF(Ref0304ii_MaterialExposureCode,CONCATENATE(Elements!D1,J1),Ref0304ii_MeanTimetoFailure),0)</f>
        <v>0</v>
      </c>
      <c r="L1" s="25" t="str">
        <f ca="1">IFERROR(IF(MATCH(CONCATENATE(A1,"_y5",),Pln_y5PlannedCode,0)&gt;0,"Yes","No"),"No")</f>
        <v>No</v>
      </c>
      <c r="M1" s="25">
        <f ca="1">IF(L1="Yes",-10,IFERROR(MATCH(CONCATENATE(B1,Elements!D1,J1),INDEX(Ref06_ScenarioCodes,0,MATCH(INDEX(Ele_Scenario,A1,1),Ref06_ScenarioName,0)),0),-10))</f>
        <v>-10</v>
      </c>
      <c r="N1" s="25">
        <f ca="1">IFERROR(MATCH(INDEX('Ref06'!$H$4:$H$3380,M1,1),'Ref05&amp;07'!$B$4:$B$96,0),-10)</f>
        <v>-10</v>
      </c>
      <c r="O1" s="232">
        <f ca="1">IFERROR(ROUND(IF(N1=-10,0,Ref11i!$C$4*F1+INDEX(Str_PriorityScore,Elements!N1,1)),2),0)</f>
        <v>0</v>
      </c>
      <c r="P1" s="25">
        <f ca="1">IFERROR(IF(J1="Protected",0,5000*(C1&gt;=5)*OR((H1&gt;2)*'Ref98'!$P$3,(H1&lt;3)*'Ref98'!$P$4)+400*(AND(C1&gt;=4,C1&lt;5))*OR((H1&gt;2)*'Ref98'!$P$5,(H1&lt;3)*'Ref98'!$P$6)+Elements!AD1),0)</f>
        <v>0</v>
      </c>
      <c r="Q1" s="232">
        <f ca="1">O1+P1</f>
        <v>0</v>
      </c>
      <c r="R1" s="25" t="str">
        <f ca="1">IFERROR(INDEX('Ref05&amp;07'!$D$4:$D$96,N1,1),"")</f>
        <v/>
      </c>
      <c r="S1" s="25" t="e">
        <f>IF(B1="",2,MATCH(B1,Ref00_Condition,0))</f>
        <v>#N/A</v>
      </c>
      <c r="T1" s="232" t="e">
        <f ca="1">IF(R1="Fixed",1,Elements!$Y1*IF(R1="Constant",1,IF(R1="Variable",INDEX(Ref00!$H$13:$H$29,S1,0),0)))</f>
        <v>#REF!</v>
      </c>
      <c r="U1" s="232" t="e">
        <f ca="1">IF(R1="Fixed",INDEX('Ref05&amp;07'!$E$4:$E$96,N1,1),IF(R1="Constant",INDEX('Ref05&amp;07'!$F$4:$F$96,N1,1),IF(R1="Variable",SUMPRODUCT(INDEX('Ref05&amp;07'!$G$4:$J$96,N1,0),INDEX(Ref00!$D$13:$G$29,S1,0))/INDEX(Ref00!$H$13:$H$29,S1,0),0)))*T1</f>
        <v>#REF!</v>
      </c>
      <c r="V1" s="25">
        <f>IF(OR(Elements!AC1="",Elements!AC1=0),0,CONCATENATE(Elements!AB1,LOOKUP(Elements!AC1,'Ref09'!$D$109:$I$109,TrafficManagement_Types)))</f>
        <v>0</v>
      </c>
      <c r="W1" s="236">
        <f ca="1">IF(OR(N1=-10,V1=0),0,T1/INDEX('Ref05&amp;07'!$K$4:$K$96,N1,1))</f>
        <v>0</v>
      </c>
      <c r="X1" s="236">
        <f ca="1">IF(OR(N1=-10,V1=0),0,W1*INDEX('Ref09'!$D$108:$I$108,MATCH(INDEX($CQ$3:$CY$3,1,MATCH(V1,$CQ$4:$CY$4,0)),TrafficManagement_Types,0)))</f>
        <v>0</v>
      </c>
      <c r="Y1" s="25" t="e">
        <f ca="1">INDEX('Ref09'!$C$13:$C$16,MATCH(U1,'Ref09'!$B$13:$B$16,1))</f>
        <v>#REF!</v>
      </c>
      <c r="Z1" s="25" t="e">
        <f ca="1">INDEX('Ref09'!$C$20:$C$23,MATCH(U1,'Ref09'!$B$20:$B$23,1))</f>
        <v>#REF!</v>
      </c>
      <c r="AA1" s="25" t="e">
        <f ca="1">INDEX('Ref09'!$C$27:$C$30,MATCH(U1*(1+Y1+Z1)+X1,'Ref09'!$B$27:$B$30,1))</f>
        <v>#REF!</v>
      </c>
      <c r="AB1" s="232" t="e">
        <f ca="1">ROUND(U1*(1+Y1+Z1+AA1+Y1*AA1+Z1*AA1)+X1*(1+AA1),2)</f>
        <v>#REF!</v>
      </c>
      <c r="AC1" s="25">
        <f ca="1">IF(N1=-10,0,RANK(Q1,y5_ALLElementPriorityScore)+COUNTIF($Q1:Q$5,Q1)-1)</f>
        <v>0</v>
      </c>
      <c r="AD1" s="232">
        <f ca="1">IF(N1=-10,,SUMIF(y5_ElementPriorityRank,"&lt;="&amp;AC1,y5_ElementTotalCost))</f>
        <v>0</v>
      </c>
      <c r="AE1" s="25">
        <f ca="1">IF(AND(N1&lt;&gt;-10,AD1&lt;=$GH$7*($GH$6-($GH$10+$GH$9))),1,0)</f>
        <v>0</v>
      </c>
      <c r="AF1" s="232">
        <f ca="1">Q1*AE1</f>
        <v>0</v>
      </c>
      <c r="AG1" s="25"/>
      <c r="AH1" s="25">
        <f>Structures!A1</f>
        <v>0</v>
      </c>
      <c r="AI1" s="25" t="e">
        <f ca="1">Structures!BE1</f>
        <v>#REF!</v>
      </c>
      <c r="AJ1" s="25" t="e">
        <f ca="1">Structures!BF1</f>
        <v>#REF!</v>
      </c>
      <c r="AK1" s="25" t="e">
        <f ca="1">IF(AI1=0,0,(COUNTIFS(INDEX(Ele_ElementOnStructureNum,$AI1):INDEX(Ele_ElementOnStructureNum,$AJ1),$AH1,INDEX(Ele_NameofElement,$AI1):INDEX(Ele_NameofElement,$AJ1),AK$4)+COUNTIFS(INDEX(Ele_ElementOnStructureNum,$AI1):INDEX(Ele_ElementOnStructureNum,$AJ1),$AH1,INDEX(Ele_NameofElement,$AI1):INDEX(Ele_NameofElement,$AJ1),AK$4,INDEX(y5_OriginalECS,$AI1):INDEX(y5_OriginalECS,$AJ1),"&lt;4")))</f>
        <v>#REF!</v>
      </c>
      <c r="AL1" s="25" t="e">
        <f ca="1">IF(AI1=0,0,(COUNTIFS(INDEX(Ele_ElementOnStructureNum,$AI1):INDEX(Ele_ElementOnStructureNum,$AJ1),$AH1,INDEX(Ele_NameofElement,$AI1):INDEX(Ele_NameofElement,$AJ1),AL$4)+COUNTIFS(INDEX(Ele_ElementOnStructureNum,$AI1):INDEX(Ele_ElementOnStructureNum,$AJ1),$AH1,INDEX(Ele_NameofElement,$AI1):INDEX(Ele_NameofElement,$AJ1),AL$4,INDEX(y5_OriginalECS,$AI1):INDEX(y5_OriginalECS,$AJ1),"&lt;4")))</f>
        <v>#REF!</v>
      </c>
      <c r="AM1" s="25" t="e">
        <f ca="1">IF(AI1=0,0,(COUNTIFS(INDEX(Ele_ElementOnStructureNum,$AI1):INDEX(Ele_ElementOnStructureNum,$AJ1),$AH1,INDEX(Ele_NameofElement,$AI1):INDEX(Ele_NameofElement,$AJ1),AM$4)+COUNTIFS(INDEX(Ele_ElementOnStructureNum,$AI1):INDEX(Ele_ElementOnStructureNum,$AJ1),$AH1,INDEX(Ele_NameofElement,$AI1):INDEX(Ele_NameofElement,$AJ1),AM$4,INDEX(y5_OriginalECS,$AI1):INDEX(y5_OriginalECS,$AJ1),"&lt;4")))</f>
        <v>#REF!</v>
      </c>
      <c r="AN1" s="25" t="e">
        <f ca="1">IF(AI1=0,0,(COUNTIFS(INDEX(Ele_ElementOnStructureNum,$AI1):INDEX(Ele_ElementOnStructureNum,$AJ1),$AH1,INDEX(Ele_NameofElement,$AI1):INDEX(Ele_NameofElement,$AJ1),AN$4)+COUNTIFS(INDEX(Ele_ElementOnStructureNum,$AI1):INDEX(Ele_ElementOnStructureNum,$AJ1),$AH1,INDEX(Ele_NameofElement,$AI1):INDEX(Ele_NameofElement,$AJ1),AN$4,INDEX(y5_OriginalECS,$AI1):INDEX(y5_OriginalECS,$AJ1),"&lt;4")))</f>
        <v>#REF!</v>
      </c>
      <c r="AO1" s="25" t="e">
        <f ca="1">IF(AI1=0,0,(COUNTIFS(INDEX(Ele_ElementOnStructureNum,$AI1):INDEX(Ele_ElementOnStructureNum,$AJ1),$AH1,INDEX(Ele_NameofElement,$AI1):INDEX(Ele_NameofElement,$AJ1),AO$4)+COUNTIFS(INDEX(Ele_ElementOnStructureNum,$AI1):INDEX(Ele_ElementOnStructureNum,$AJ1),$AH1,INDEX(Ele_NameofElement,$AI1):INDEX(Ele_NameofElement,$AJ1),AO$4,INDEX(y5_OriginalECS,$AI1):INDEX(y5_OriginalECS,$AJ1),"&lt;4")))</f>
        <v>#REF!</v>
      </c>
      <c r="AP1" s="25" t="e">
        <f ca="1">IF(AI1=0,0,(COUNTIFS(INDEX(Ele_ElementOnStructureNum,$AI1):INDEX(Ele_ElementOnStructureNum,$AJ1),$AH1,INDEX(Ele_NameofElement,$AI1):INDEX(Ele_NameofElement,$AJ1),AP$4)+COUNTIFS(INDEX(Ele_ElementOnStructureNum,$AI1):INDEX(Ele_ElementOnStructureNum,$AJ1),$AH1,INDEX(Ele_NameofElement,$AI1):INDEX(Ele_NameofElement,$AJ1),AP$4,INDEX(y5_OriginalECS,$AI1):INDEX(y5_OriginalECS,$AJ1),"&lt;4")))</f>
        <v>#REF!</v>
      </c>
      <c r="AQ1" s="25" t="e">
        <f ca="1">IF(AI1=0,0,(COUNTIFS(INDEX(Ele_ElementOnStructureNum,$AI1):INDEX(Ele_ElementOnStructureNum,$AJ1),$AH1,INDEX(Ele_NameofElement,$AI1):INDEX(Ele_NameofElement,$AJ1),AQ$4)+COUNTIFS(INDEX(Ele_ElementOnStructureNum,$AI1):INDEX(Ele_ElementOnStructureNum,$AJ1),$AH1,INDEX(Ele_NameofElement,$AI1):INDEX(Ele_NameofElement,$AJ1),AQ$4,INDEX(y5_OriginalECS,$AI1):INDEX(y5_OriginalECS,$AJ1),"&lt;4")))</f>
        <v>#REF!</v>
      </c>
      <c r="AR1" s="25" t="e">
        <f ca="1">IF(AI1=0,0,(COUNTIFS(INDEX(Ele_ElementOnStructureNum,$AI1):INDEX(Ele_ElementOnStructureNum,$AJ1),$AH1,INDEX(Ele_NameofElement,$AI1):INDEX(Ele_NameofElement,$AJ1),AR$4)+COUNTIFS(INDEX(Ele_ElementOnStructureNum,$AI1):INDEX(Ele_ElementOnStructureNum,$AJ1),$AH1,INDEX(Ele_NameofElement,$AI1):INDEX(Ele_NameofElement,$AJ1),AR$4,INDEX(y5_OriginalECS,$AI1):INDEX(y5_OriginalECS,$AJ1),"&lt;4")))</f>
        <v>#REF!</v>
      </c>
      <c r="AS1" s="25" t="e">
        <f ca="1">IF(AI1=0,0,(COUNTIFS(INDEX(Ele_ElementOnStructureNum,$AI1):INDEX(Ele_ElementOnStructureNum,$AJ1),$AH1,INDEX(Ele_NameofElement,$AI1):INDEX(Ele_NameofElement,$AJ1),AS$4)+COUNTIFS(INDEX(Ele_ElementOnStructureNum,$AI1):INDEX(Ele_ElementOnStructureNum,$AJ1),$AH1,INDEX(Ele_NameofElement,$AI1):INDEX(Ele_NameofElement,$AJ1),AS$4,INDEX(y5_OriginalECS,$AI1):INDEX(y5_OriginalECS,$AJ1),"&lt;4")))</f>
        <v>#REF!</v>
      </c>
      <c r="AT1" s="25" t="e">
        <f ca="1">IF(AI1=0,0,(COUNTIFS(INDEX(Ele_ElementOnStructureNum,$AI1):INDEX(Ele_ElementOnStructureNum,$AJ1),$AH1,INDEX(Ele_NameofElement,$AI1):INDEX(Ele_NameofElement,$AJ1),AT$4)+COUNTIFS(INDEX(Ele_ElementOnStructureNum,$AI1):INDEX(Ele_ElementOnStructureNum,$AJ1),$AH1,INDEX(Ele_NameofElement,$AI1):INDEX(Ele_NameofElement,$AJ1),AT$4,INDEX(y5_OriginalECS,$AI1):INDEX(y5_OriginalECS,$AJ1),"&lt;4")))</f>
        <v>#REF!</v>
      </c>
      <c r="AU1" s="25" t="e">
        <f ca="1">IF(AI1=0,0,(COUNTIFS(INDEX(Ele_ElementOnStructureNum,$AI1):INDEX(Ele_ElementOnStructureNum,$AJ1),$AH1,INDEX(Ele_NameofElement,$AI1):INDEX(Ele_NameofElement,$AJ1),AU$4)+COUNTIFS(INDEX(Ele_ElementOnStructureNum,$AI1):INDEX(Ele_ElementOnStructureNum,$AJ1),$AH1,INDEX(Ele_NameofElement,$AI1):INDEX(Ele_NameofElement,$AJ1),AU$4,INDEX(y5_OriginalECS,$AI1):INDEX(y5_OriginalECS,$AJ1),"&lt;4")))</f>
        <v>#REF!</v>
      </c>
      <c r="AV1" s="25" t="e">
        <f ca="1">IF(AI1=0,0,(COUNTIFS(INDEX(Ele_ElementOnStructureNum,$AI1):INDEX(Ele_ElementOnStructureNum,$AJ1),$AH1,INDEX(Ele_NameofElement,$AI1):INDEX(Ele_NameofElement,$AJ1),AV$4)+COUNTIFS(INDEX(Ele_ElementOnStructureNum,$AI1):INDEX(Ele_ElementOnStructureNum,$AJ1),$AH1,INDEX(Ele_NameofElement,$AI1):INDEX(Ele_NameofElement,$AJ1),AV$4,INDEX(y5_OriginalECS,$AI1):INDEX(y5_OriginalECS,$AJ1),"&lt;4")))</f>
        <v>#REF!</v>
      </c>
      <c r="AW1" s="25" t="e">
        <f ca="1">IF(AI1=0,0,(COUNTIFS(INDEX(Ele_ElementOnStructureNum,$AI1):INDEX(Ele_ElementOnStructureNum,$AJ1),$AH1,INDEX(Ele_NameofElement,$AI1):INDEX(Ele_NameofElement,$AJ1),AW$4)+COUNTIFS(INDEX(Ele_ElementOnStructureNum,$AI1):INDEX(Ele_ElementOnStructureNum,$AJ1),$AH1,INDEX(Ele_NameofElement,$AI1):INDEX(Ele_NameofElement,$AJ1),AW$4,INDEX(y5_OriginalECS,$AI1):INDEX(y5_OriginalECS,$AJ1),"&lt;4")))</f>
        <v>#REF!</v>
      </c>
      <c r="AX1" s="25" t="e">
        <f ca="1">IF(AI1=0,0,(COUNTIFS(INDEX(Ele_ElementOnStructureNum,$AI1):INDEX(Ele_ElementOnStructureNum,$AJ1),$AH1,INDEX(Ele_NameofElement,$AI1):INDEX(Ele_NameofElement,$AJ1),AX$4)+COUNTIFS(INDEX(Ele_ElementOnStructureNum,$AI1):INDEX(Ele_ElementOnStructureNum,$AJ1),$AH1,INDEX(Ele_NameofElement,$AI1):INDEX(Ele_NameofElement,$AJ1),AX$4,INDEX(y5_OriginalECS,$AI1):INDEX(y5_OriginalECS,$AJ1),"&lt;4")))</f>
        <v>#REF!</v>
      </c>
      <c r="AY1" s="25">
        <f>SUMIF(Ref00_StructureLocation,Structures!K1,Ref00!$C$3:$C$5)</f>
        <v>0</v>
      </c>
      <c r="AZ1" s="25">
        <f>Structures!M1</f>
        <v>0</v>
      </c>
      <c r="BA1" s="25">
        <f>SUMIF(Ref11i_Traffic,Structures!N1,Ref11i!$D$10:$D$12)</f>
        <v>0</v>
      </c>
      <c r="BB1" s="25">
        <f>IF(OR(Structures!O1="Watercourse - navigable",Structures!O1="Watercourse - non-navigable"),1,0)</f>
        <v>0</v>
      </c>
      <c r="BC1" s="25">
        <f>Structures!P1</f>
        <v>0</v>
      </c>
      <c r="BD1" s="25"/>
      <c r="BE1" s="25">
        <f>AH1</f>
        <v>0</v>
      </c>
      <c r="BF1" s="232" t="e">
        <f ca="1">IF(AI1=0,0,ROUND(SUMIF(INDEX(Ele_ElementOnStructureNum,AI1):INDEX(Ele_ElementOnStructureNum,AJ1),BE1,INDEX(y5_ALLElementPriorityScore,AI1):INDEX(y5_ALLElementPriorityScore,AJ1)),2))</f>
        <v>#REF!</v>
      </c>
      <c r="BG1" s="50" t="e">
        <f ca="1">IF(BF1=0,0,_xlfn.RANK.EQ(BF1,y5_SumofALLElementPriorityScores)+COUNTIF($BF1:BF$5,BF1)-1)</f>
        <v>#REF!</v>
      </c>
      <c r="BH1" s="25">
        <f>BE1</f>
        <v>0</v>
      </c>
      <c r="BI1" s="50">
        <f ca="1">IFERROR(MATCH(BH1,y5_StructureRankALLElements,0),0)</f>
        <v>0</v>
      </c>
      <c r="BJ1" s="50" t="e">
        <f ca="1">INDEX(Str_FirstElementID,BI1)</f>
        <v>#REF!</v>
      </c>
      <c r="BK1" s="50" t="e">
        <f ca="1">INDEX(Str_LastElementID,BI1)</f>
        <v>#REF!</v>
      </c>
      <c r="BL1" s="232">
        <f ca="1">IF(BI1=0,0,(SUMIFS(y5_ElementWorksCost,Ele_ElementOnStructureNum,BI1)))</f>
        <v>0</v>
      </c>
      <c r="BM1" s="232">
        <f ca="1">INDEX('Ref09'!$C$13:$C$16,MATCH(BL1,'Ref09'!$B$13:$B$16,1))</f>
        <v>0.2</v>
      </c>
      <c r="BN1" s="232">
        <f ca="1">BM1*BL1</f>
        <v>0</v>
      </c>
      <c r="BO1" s="232">
        <f ca="1">INDEX('Ref09'!$C$20:$C$23,MATCH(BL1,'Ref09'!$B$20:$B$23,1))</f>
        <v>0.2</v>
      </c>
      <c r="BP1" s="232">
        <f ca="1">BO1*BL1</f>
        <v>0</v>
      </c>
      <c r="BQ1" s="232">
        <f ca="1">IF(BI1=0,0,SUMPRODUCT(MAX((INDEX(Ele_ElementOnStructureNum,BJ1):INDEX(Ele_ElementOnStructureNum,BK1)=$BI1)*(INDEX(y5_TMCode,BJ1): INDEX(y5_TMCode,BK1)=BQ$4)*(INDEX(y5_TMDuration,BJ1): INDEX(y5_TMDuration,BK1)))))</f>
        <v>0</v>
      </c>
      <c r="BR1" s="232">
        <f ca="1">IF(BI1=0,0,MAX(SUMPRODUCT(MAX((INDEX(Ele_ElementOnStructureNum,BJ1):INDEX(Ele_ElementOnStructureNum,BK1)=$BI1)*(INDEX(y5_TMCode,BJ1): INDEX(y5_TMCode,BK1)=BR$4)*(INDEX(y5_TMDuration,BJ1): INDEX(y5_TMDuration,BK1))))-BQ1,0))</f>
        <v>0</v>
      </c>
      <c r="BS1" s="232">
        <f ca="1">IF(BI1=0,0,MAX(SUMPRODUCT(MAX((INDEX(Ele_ElementOnStructureNum,BJ1):INDEX(Ele_ElementOnStructureNum,BK1)=$BI1)*(INDEX(y5_TMCode,BJ1): INDEX(y5_TMCode,BK1)=BS$4)*(INDEX(y5_TMDuration,BJ1): INDEX(y5_TMDuration,BK1))))-BQ1-BR1,0))</f>
        <v>0</v>
      </c>
      <c r="BT1" s="232">
        <f ca="1">IF(BI1=0,0,MAX(SUMPRODUCT(MAX((INDEX(Ele_ElementOnStructureNum,BJ1):INDEX(Ele_ElementOnStructureNum,BK1)=$BI1)*(INDEX(y5_TMCode,BJ1): INDEX(y5_TMCode,BK1)=BT$4)*(INDEX(y5_TMDuration,BJ1): INDEX(y5_TMDuration,BK1))))-BS1,0))</f>
        <v>0</v>
      </c>
      <c r="BU1" s="232">
        <f ca="1">IF(BI1=0,0,MAX(SUMPRODUCT(MAX((INDEX(Ele_ElementOnStructureNum,BJ1):INDEX(Ele_ElementOnStructureNum,BK1)=$BI1)*(INDEX(y5_TMCode,BJ1): INDEX(y5_TMCode,BK1)=BU$4)*(INDEX(y5_TMDuration,BJ1): INDEX(y5_TMDuration,BK1)))),0))</f>
        <v>0</v>
      </c>
      <c r="BV1" s="232">
        <f ca="1">IF(BI1=0,0,MAX(SUMPRODUCT(MAX((INDEX(Ele_ElementOnStructureNum,BJ1):INDEX(Ele_ElementOnStructureNum,BK1)=$BI1)*(INDEX(y5_TMCode,BJ1): INDEX(y5_TMCode,BK1)=BV$4)*(INDEX(y5_TMDuration,BJ1): INDEX(y5_TMDuration,BK1))))-BU1,0))</f>
        <v>0</v>
      </c>
      <c r="BW1" s="232">
        <f ca="1">IF(BI1=0,0,MAX(SUMPRODUCT(MAX((INDEX(Ele_ElementOnStructureNum,BJ1):INDEX(Ele_ElementOnStructureNum,BK1)=$BI1)*(INDEX(y5_TMCode,BJ1): INDEX(y5_TMCode,BK1)=BW$4)*(INDEX(y5_TMDuration,BJ1): INDEX(y5_TMDuration,BK1))))-BV1-BU1,0))</f>
        <v>0</v>
      </c>
      <c r="BX1" s="232">
        <f ca="1">IF(BI1=0,0,MAX(SUMPRODUCT(MAX((INDEX(Ele_ElementOnStructureNum,BJ1):INDEX(Ele_ElementOnStructureNum,BK1)=$BI1)*(INDEX(y5_TMCode,BJ1): INDEX(y5_TMCode,BK1)=BX$4)*(INDEX(y5_TMDuration,BJ1): INDEX(y5_TMDuration,BK1)))),0))</f>
        <v>0</v>
      </c>
      <c r="BY1" s="232">
        <f ca="1">IF(BI1=0,0,MAX(SUMPRODUCT(MAX((INDEX(Ele_ElementOnStructureNum,BJ1):INDEX(Ele_ElementOnStructureNum,BK1)=$BI1)*(INDEX(y5_TMCode,BJ1): INDEX(y5_TMCode,BK1)=BY$4)*(INDEX(y5_TMDuration,BJ1): INDEX(y5_TMDuration,BK1)))),0))</f>
        <v>0</v>
      </c>
      <c r="BZ1" s="232">
        <f ca="1">SUM(BQ1*(INDEX('Ref09'!$D$108:$I$108,MATCH(BQ$3,TrafficManagement_Types,0))),BR1*(INDEX('Ref09'!$D$108:$I$108,MATCH(BR$3,TrafficManagement_Types,0))),BS1*(INDEX('Ref09'!$D$108:$I$108,MATCH(BS$3,TrafficManagement_Types,0))),BT1*(INDEX('Ref09'!$D$108:$I$108,MATCH(BT$3,TrafficManagement_Types,0))),BU1*(INDEX('Ref09'!$D$108:$I$108,MATCH(BU$3,TrafficManagement_Types,0))),BV1*(INDEX('Ref09'!$D$108:$I$108,MATCH(BV$3,TrafficManagement_Types,0))),BW1*(INDEX('Ref09'!$D$108:$I$108,MATCH(BW$3,TrafficManagement_Types,0))),BX1*(INDEX('Ref09'!$D$108:$I$108,MATCH(BX$3,TrafficManagement_Types,0))),BY1*(INDEX('Ref09'!$D$108:$I$108,MATCH(BY$3,TrafficManagement_Types,0))))</f>
        <v>0</v>
      </c>
      <c r="CA1" s="50">
        <f ca="1">INDEX('Ref09'!$C$27:$C$30,MATCH(BL1+BN1+BP1+BZ1,'Ref09'!$B$27:$B$30,1))</f>
        <v>0.4</v>
      </c>
      <c r="CB1" s="232">
        <f ca="1">CA1*(BL1+BN1+BP1+BZ1)</f>
        <v>0</v>
      </c>
      <c r="CC1" s="232">
        <f ca="1">BL1+BN1+BP1+BZ1+CB1</f>
        <v>0</v>
      </c>
      <c r="CD1" s="25"/>
      <c r="CE1" s="25">
        <f>AH1</f>
        <v>0</v>
      </c>
      <c r="CF1" s="232" t="e">
        <f ca="1">IF(AI1=0,0,ROUND(SUMIF(INDEX(Ele_ElementOnStructureNum,AI1):INDEX(Ele_ElementOnStructureNum,AJ1),CE1,INDEX(y5_DESIREDElementPriorityScore,AI1):INDEX(y5_DESIREDElementPriorityScore,AJ1)),2))</f>
        <v>#REF!</v>
      </c>
      <c r="CG1" s="25" t="e">
        <f ca="1">IF(CF1=0,0,_xlfn.RANK.EQ(CF1,y5_SumofDESIREDElementPriorityScores)+COUNTIF($CF1:CF$5,CF1)-1)</f>
        <v>#REF!</v>
      </c>
      <c r="CH1" s="25">
        <f>CE1</f>
        <v>0</v>
      </c>
      <c r="CI1" s="25">
        <f ca="1">IFERROR(MATCH(CH1,y5_StructureRankDESIREDElements,0),0)</f>
        <v>0</v>
      </c>
      <c r="CJ1" s="25" t="e">
        <f ca="1">INDEX(Str_FirstElementID,CI1)</f>
        <v>#REF!</v>
      </c>
      <c r="CK1" s="25" t="e">
        <f ca="1">INDEX(Str_LastElementID,CI1)</f>
        <v>#REF!</v>
      </c>
      <c r="CL1" s="232">
        <f ca="1">IF(CI1=0,0,SUMIFS(y5_ElementWorksCost,Ele_ElementOnStructureNum,CI1,y5_ConsiderElementforScheme,1))</f>
        <v>0</v>
      </c>
      <c r="CM1" s="25">
        <f ca="1">INDEX('Ref09'!$C$13:$C$16,MATCH(CL1,'Ref09'!$B$13:$B$16,1))</f>
        <v>0.2</v>
      </c>
      <c r="CN1" s="232">
        <f ca="1">CM1*CL1</f>
        <v>0</v>
      </c>
      <c r="CO1" s="25">
        <f ca="1">INDEX('Ref09'!$C$20:$C$23,MATCH(CL1,'Ref09'!$B$20:$B$23,1))</f>
        <v>0.2</v>
      </c>
      <c r="CP1" s="232">
        <f ca="1">CO1*CL1</f>
        <v>0</v>
      </c>
      <c r="CQ1" s="232">
        <f ca="1">IF(CI1=0,0,SUMPRODUCT(MAX((INDEX(Ele_ElementOnStructureNum,CJ1):INDEX(Ele_ElementOnStructureNum,CK1)=$CI1)*(INDEX(y5_TMCode,CJ1): INDEX(y5_TMCode,CK1)=CQ$4)*(INDEX(y5_TMDuration,CJ1): INDEX(y5_TMDuration,CK1))*(INDEX(y5_ConsiderElementforScheme,CJ1):INDEX(y5_ConsiderElementforScheme,CK1)))))</f>
        <v>0</v>
      </c>
      <c r="CR1" s="232">
        <f ca="1">IF(CI1=0,0,MAX(SUMPRODUCT(MAX((INDEX(Ele_ElementOnStructureNum,CJ1):INDEX(Ele_ElementOnStructureNum,CK1)=$CI1)*(INDEX(y5_TMCode,CJ1): INDEX(y5_TMCode,CK1)=CR$4)*(INDEX(y5_TMDuration,CJ1): INDEX(y5_TMDuration,CK1))*(INDEX(y5_ConsiderElementforScheme,CJ1):INDEX(y5_ConsiderElementforScheme,CK1))))-CQ1,0))</f>
        <v>0</v>
      </c>
      <c r="CS1" s="232">
        <f ca="1">IF(CI1=0,0,MAX(SUMPRODUCT(MAX((INDEX(Ele_ElementOnStructureNum,CJ1):INDEX(Ele_ElementOnStructureNum,CK1)=$CI1)*(INDEX(y5_TMCode,CJ1): INDEX(y5_TMCode,CK1)=CS$4)*(INDEX(y5_TMDuration,CJ1): INDEX(y5_TMDuration,CK1))*(INDEX(y5_ConsiderElementforScheme,CJ1):INDEX(y5_ConsiderElementforScheme,CK1))))-CQ1-CR1,0))</f>
        <v>0</v>
      </c>
      <c r="CT1" s="232">
        <f ca="1">IF(CI1=0,0,MAX(SUMPRODUCT(MAX((INDEX(Ele_ElementOnStructureNum,CJ1):INDEX(Ele_ElementOnStructureNum,CK1)=$CI1)*(INDEX(y5_TMCode,CJ1): INDEX(y5_TMCode,CK1)=CT$4)*(INDEX(y5_TMDuration,CJ1): INDEX(y5_TMDuration,CK1))*(INDEX(y5_ConsiderElementforScheme,CJ1):INDEX(y5_ConsiderElementforScheme,CK1))))-CS1,0))</f>
        <v>0</v>
      </c>
      <c r="CU1" s="232">
        <f ca="1">IF(CI1=0,0,MAX(SUMPRODUCT(MAX((INDEX(Ele_ElementOnStructureNum,CJ1):INDEX(Ele_ElementOnStructureNum,CK1)=$CI1)*(INDEX(y5_TMCode,CJ1): INDEX(y5_TMCode,CK1)=CU$4)*(INDEX(y5_TMDuration,CJ1): INDEX(y5_TMDuration,CK1))*(INDEX(y5_ConsiderElementforScheme,CJ1):INDEX(y5_ConsiderElementforScheme,CK1)))),0))</f>
        <v>0</v>
      </c>
      <c r="CV1" s="232">
        <f ca="1">IF(CI1=0,0,MAX(SUMPRODUCT(MAX((INDEX(Ele_ElementOnStructureNum,CJ1):INDEX(Ele_ElementOnStructureNum,CK1)=$CI1)*(INDEX(y5_TMCode,CJ1): INDEX(y5_TMCode,CK1)=CV$4)*(INDEX(y5_TMDuration,CJ1): INDEX(y5_TMDuration,CK1))*(INDEX(y5_ConsiderElementforScheme,CJ1):INDEX(y5_ConsiderElementforScheme,CK1))))-CU1,0))</f>
        <v>0</v>
      </c>
      <c r="CW1" s="232">
        <f ca="1">IF(CI1=0,0,MAX(SUMPRODUCT(MAX((INDEX(Ele_ElementOnStructureNum,CJ1):INDEX(Ele_ElementOnStructureNum,CK1)=$CI1)*(INDEX(y5_TMCode,CJ1): INDEX(y5_TMCode,CK1)=CW$4)*(INDEX(y5_TMDuration,CJ1): INDEX(y5_TMDuration,CK1))*(INDEX(y5_ConsiderElementforScheme,CJ1):INDEX(y5_ConsiderElementforScheme,CK1))))-CV1-CU1,0))</f>
        <v>0</v>
      </c>
      <c r="CX1" s="232">
        <f ca="1">IF(CI1=0,0,MAX(SUMPRODUCT(MAX((INDEX(Ele_ElementOnStructureNum,CJ1):INDEX(Ele_ElementOnStructureNum,CK1)=$CI1)*(INDEX(y5_TMCode,CJ1): INDEX(y5_TMCode,CK1)=CX$4)*(INDEX(y5_TMDuration,CJ1): INDEX(y5_TMDuration,CK1))*(INDEX(y5_ConsiderElementforScheme,CJ1):INDEX(y5_ConsiderElementforScheme,CK1)))),0))</f>
        <v>0</v>
      </c>
      <c r="CY1" s="232">
        <f ca="1">IF(CI1=0,0,MAX(SUMPRODUCT(MAX((INDEX(Ele_ElementOnStructureNum,CJ1):INDEX(Ele_ElementOnStructureNum,CK1)=$CI1)*(INDEX(y5_TMCode,CJ1): INDEX(y5_TMCode,CK1)=CY$4)*(INDEX(y5_TMDuration,CJ1): INDEX(y5_TMDuration,CK1))*(INDEX(y5_ConsiderElementforScheme,CJ1):INDEX(y5_ConsiderElementforScheme,CK1)))),0))</f>
        <v>0</v>
      </c>
      <c r="CZ1" s="232">
        <f ca="1">SUM(CQ1*(INDEX('Ref09'!$D$108:$I$108,MATCH(CQ$3,TrafficManagement_Types,0))),CR1*(INDEX('Ref09'!$D$108:$I$108,MATCH(CR$3,TrafficManagement_Types,0))),CS1*(INDEX('Ref09'!$D$108:$I$108,MATCH(CS$3,TrafficManagement_Types,0))),CT1*(INDEX('Ref09'!$D$108:$I$108,MATCH(CT$3,TrafficManagement_Types,0))),CU1*(INDEX('Ref09'!$D$108:$I$108,MATCH(CU$3,TrafficManagement_Types,0))),CV1*(INDEX('Ref09'!$D$108:$I$108,MATCH(CV$3,TrafficManagement_Types,0))),CW1*(INDEX('Ref09'!$D$108:$I$108,MATCH(CW$3,TrafficManagement_Types,0))),CX1*(INDEX('Ref09'!$D$108:$I$108,MATCH(CX$3,TrafficManagement_Types,0))),CY1*(INDEX('Ref09'!$D$108:$I$108,MATCH(CY$3,TrafficManagement_Types,0))))</f>
        <v>0</v>
      </c>
      <c r="DA1" s="25">
        <f ca="1">INDEX('Ref09'!$C$27:$C$30,MATCH(CL1+CN1+CP1+CZ1,'Ref09'!$B$27:$B$30,1))</f>
        <v>0.4</v>
      </c>
      <c r="DB1" s="232">
        <f ca="1">DA1*(CL1+CN1+CP1+CZ1)</f>
        <v>0</v>
      </c>
      <c r="DC1" s="232">
        <f ca="1">CL1+CN1+CP1+CZ1+DB1</f>
        <v>0</v>
      </c>
      <c r="DD1" s="232" t="e">
        <f ca="1">INDEX(Str_TotalGRC,CI1)*'Ref15'!$D$28</f>
        <v>#REF!</v>
      </c>
      <c r="DE1" s="25" t="str">
        <f ca="1">IF(DC1=0,"No action",IF(DD1&lt;DC1,"Replace","Maintain"))</f>
        <v>No action</v>
      </c>
      <c r="DF1" s="232">
        <f ca="1">IF(DE1="No action",0,IF(DE1="Replace",DD1,DC1))</f>
        <v>0</v>
      </c>
      <c r="DG1" s="25">
        <f ca="1">IF($GH$6-($GH$9+$GH$10)-SUM($DF1:DF$5)&gt;=0,IF(DE1="Maintain",1,IF(DE1="Replace",2,0)),0)</f>
        <v>0</v>
      </c>
      <c r="DH1" s="232">
        <f ca="1">IF(OR(DG1=1,DG1=2),DF1,0)</f>
        <v>0</v>
      </c>
      <c r="DI1" s="232">
        <f ca="1">IF(DE1="Replace",DD1,INDEX($CC:$CC,MATCH($CI1,$BI:$BI,0)))</f>
        <v>0</v>
      </c>
      <c r="DJ1" s="25">
        <f ca="1">DI1-DH1</f>
        <v>0</v>
      </c>
      <c r="DK1" s="25">
        <f ca="1">IF(SUM($DF1:$DF$5)&lt;=($GH$6/5),1,IF(AND(SUM($DF1:$DF$5)&gt;($GH$6/5),SUM($DF1:$DF$5)&lt;=(2*$GH$6/5)),2,IF(AND(SUM($DF1:$DF$5)&gt;(2*$GH$6/5),SUM($DF1:$DF$5)&lt;=(3*$GH$6/5)),3,IF(AND(SUM($DF1:$DF$5)&gt;(3*$GH$6/5),SUM($DF1:$DF$5)&lt;=(4*$GH$6/5)),4,IF(AND(SUM($DF1:$DF$5)&gt;(4*$GH$6/5),SUM($DF1:$DF$5)&lt;=(5*$GH$6/5)),5,"6 +")))))</f>
        <v>1</v>
      </c>
      <c r="DL1" s="25"/>
      <c r="DM1" s="25">
        <f>A1</f>
        <v>0</v>
      </c>
      <c r="DN1" s="25" t="str">
        <f ca="1">L1</f>
        <v>No</v>
      </c>
      <c r="DO1" s="25" t="e">
        <f ca="1">IF(SUMIF(y5_StructureIDPrioritisedWorks,Elements!N1,y5_StructurestobeMaintained)=2,"Yes","No")</f>
        <v>#REF!</v>
      </c>
      <c r="DP1" s="25" t="e">
        <f ca="1">IF(DN1="Yes",3,IF(DO1="Yes",2,IF(Elements!N1=0,0,IF(AE1=0,0,SUMIF(y5_StructureIDPrioritisedWorks,Elements!N1,y5_StructurestobeMaintained)))))</f>
        <v>#REF!</v>
      </c>
      <c r="DQ1" s="25" t="e">
        <f ca="1">IF(DP1=1,SUMIF(y5_StructureIDPrioritisedWorks,Elements!N1,y5_fPPrioritisedWorks),"")</f>
        <v>#REF!</v>
      </c>
      <c r="DR1" s="232" t="e">
        <f ca="1">IF(DP1=1,U1*DQ1,"")</f>
        <v>#REF!</v>
      </c>
      <c r="DS1" s="25" t="e">
        <f ca="1">IF(DP1=1,SUMIF(y5_StructureIDPrioritisedWorks,Elements!N1,y5_fOPrioritisedWorks),"")</f>
        <v>#REF!</v>
      </c>
      <c r="DT1" s="232" t="e">
        <f ca="1">IF(DP1=1,U1*DS1,"")</f>
        <v>#REF!</v>
      </c>
      <c r="DU1" s="232" t="e">
        <f ca="1">IF(DP1=1,IF(W1=0,0,W1/SUMIFS(y5_TMDuration,Ele_ElementOnStructureNum,Elements!N1,y5_TMCode,V1)*INDEX(y5_TMTypes,MATCH(Elements!N1,y5_StructureIDPrioritisedWorks,0),MATCH(V1,$CQ$4:$CY$4,0))*INDEX('Ref09'!$D$108:$I$108,MATCH(INDEX($CQ$3:$CY$3,1,MATCH(V1,$CQ$4:$CY$4,0)),TrafficManagement_Types,0))),"")</f>
        <v>#REF!</v>
      </c>
      <c r="DV1" s="25" t="e">
        <f ca="1">IF(DP1=1,SUMIF(y5_StructureIDPrioritisedWorks,Elements!N1,y5_fDPrioritisedWorks),"")</f>
        <v>#REF!</v>
      </c>
      <c r="DW1" s="232" t="e">
        <f ca="1">IF(DP1=1,DV1*(U1+DU1+DR1+DT1),"")</f>
        <v>#REF!</v>
      </c>
      <c r="DX1" s="232" t="e">
        <f ca="1">IF(DP1=1,U1+DR1+DT1+DU1+DW1,0)</f>
        <v>#REF!</v>
      </c>
      <c r="DY1" s="232" t="e">
        <f ca="1">IF(DP1=2,(U1/SUMIF(Ele_ElementOnStructureNum,Elements!N1,y5_ElementWorksCost))*SUMIF(y5_StructureIDPrioritisedWorks,Elements!N1,y5_CostPrioritisedWorks),0)</f>
        <v>#REF!</v>
      </c>
      <c r="DZ1" s="232" t="e">
        <f ca="1">IF(DP1=3,SUMIF(Pln_y5PlannedCode,CONCATENATE('Y5'!DM1,"_y5"),Pln_PlannedWorksCost),0)</f>
        <v>#REF!</v>
      </c>
      <c r="EA1" s="232" t="e">
        <f ca="1">SUM(DX1:DZ1)</f>
        <v>#REF!</v>
      </c>
      <c r="EB1" s="232">
        <f>IFERROR(5*(INDEX(Ref00_ECS,S1+1,1)-C1)/((INDEX('Ref03&amp;04ii'!$C$4:$S$427,MATCH(CONCATENATE(Elements!D1,J1),'Ref03&amp;04ii'!$Z$4:$Z$427,0),S1+1)-INDEX('Ref03&amp;04ii'!$C$4:$S$427,MATCH(CONCATENATE(Elements!D1,J1),'Ref03&amp;04ii'!$Z$4:$Z$427,0),S1))*K1),0)</f>
        <v>0</v>
      </c>
      <c r="EC1" s="232">
        <f>D1+EB1</f>
        <v>0</v>
      </c>
      <c r="ED1" s="232">
        <f>IFERROR(LOOKUP(INDEX(Planned!#REF!,MATCH(CONCATENATE(A1,"_"),Planned!#REF!,0),1),Ref00_Condition,Ref00_ECS),IF(D1=0,0,IF(DP1=2,1,IF(DP1=1,LOOKUP(INDEX('Ref06'!$I$4:$I$3380,M1,1),Ref00_Condition,Ref00_ECS),EC1))))</f>
        <v>0</v>
      </c>
      <c r="EE1" s="50" t="e">
        <f>IF(AND(ED1&gt;5,ED1&lt;=5.000000000001),5.000000000001,IF(AND(ED1&gt;5.000000000001,ED1&lt;=5.000000000002),5.000000000002,IF(ED1&gt;5.000000000002,5.000000000003,INDEX(Ref00_ECS,MATCH(ROUNDDOWN(ED1,1),Ref00_ECS,1)))))</f>
        <v>#N/A</v>
      </c>
      <c r="EF1" s="50">
        <f>IF(DM1=0,0,INDEX(Ref14_ElementImportance,Elements!AA1,1))</f>
        <v>0</v>
      </c>
      <c r="EG1" s="25">
        <f>IF(DM1=0,0,INDEX(Ref14_EIF,Elements!AA1,1))</f>
        <v>0</v>
      </c>
      <c r="EH1" s="232">
        <f>IF(EF1="Very High",0,IF(EF1="High",(0.3-((EE1-1)*(0.3/4))),IF(EF1="Medium",(0.6-((EE1-1)*(0.6/4))),IF(EF1="Low",(1.2-((EE1-1)*(1.2/4))),0))))</f>
        <v>0</v>
      </c>
      <c r="EI1" s="232">
        <f>IF(DM1=0,0,IF(EG1=0,0,MAX(EE1-EH1,1)))</f>
        <v>0</v>
      </c>
      <c r="EJ1" s="232">
        <f>EG1*EI1</f>
        <v>0</v>
      </c>
      <c r="EK1" s="232">
        <f>IF(OR(EG1=2,EG1=1.5),ED1,0)</f>
        <v>0</v>
      </c>
      <c r="EL1" s="25">
        <f>IF(EG1=2,EI1,0)</f>
        <v>0</v>
      </c>
      <c r="EN1" s="25">
        <f>AH1</f>
        <v>0</v>
      </c>
      <c r="EO1" s="19" t="e">
        <f ca="1">IF(SUMPRODUCT(MAX((INDEX(Ele_ElementOnStructureNum,AI1):INDEX(Ele_ElementOnStructureNum,AJ1)=EN1)*INDEX(y5_ECSwhereElementImportVHorH,AI1):INDEX(y5_ECSwhereElementImportVHorH,AJ1)))&gt;=5,5,IF(SUMPRODUCT(MAX((INDEX(Ele_ElementOnStructureNum,AI1):INDEX(Ele_ElementOnStructureNum,AJ1)=EN1)*INDEX(y5_ECSwhereElementImportVHorH,AI1):INDEX(y5_ECSwhereElementImportVHorH,AJ1)))&gt;=4,4,0))</f>
        <v>#REF!</v>
      </c>
      <c r="EP1" s="19" t="e">
        <f ca="1">IF(EO1=4,INDEX(Ref10_TrafficRestrictionCode,MATCH(Structures!BA1,'Ref10'!$B$5:$B$11,0),2),IF(EO1=5,INDEX(Ref10_TrafficRestrictionCode,MATCH(Structures!BA1,'Ref10'!$B$5:$B$11,0),3),0))</f>
        <v>#REF!</v>
      </c>
      <c r="EQ1" s="19" t="e">
        <f ca="1">IF(EO1=0,0,INDEX(Str_LengthofStructure,EN1,1))</f>
        <v>#REF!</v>
      </c>
      <c r="ER1" s="19" t="e">
        <f ca="1">IF(EQ1=0,0,IF(EQ1&lt;=10,0,IF(EQ1&lt;=20,10.0001,20.0001)))</f>
        <v>#REF!</v>
      </c>
      <c r="ES1" s="19" t="e">
        <f ca="1">MATCH(ER1,Ref10_LengthGroupTrafficDelay,0)</f>
        <v>#REF!</v>
      </c>
      <c r="ET1" s="19" t="e">
        <f ca="1">IF(EO1=0,0,INDEX(Ref10_TrafficDelayDays,ES1,EP1))</f>
        <v>#REF!</v>
      </c>
      <c r="EU1" s="19" t="e">
        <f ca="1">IF(EO1=0,0,INDEX(Str_TrafficOfStructure,EN1,1))</f>
        <v>#REF!</v>
      </c>
      <c r="EV1" s="19" t="e">
        <f ca="1">IF(EU1=0,0,MATCH(EU1,Ref10_TrafficVolume,0))</f>
        <v>#REF!</v>
      </c>
      <c r="EW1" s="20" t="e">
        <f ca="1">IF(EV1=0,0,INDEX(Ref10_DailyTrafficDelayRate,EV1,2))</f>
        <v>#REF!</v>
      </c>
      <c r="EX1" s="26" t="e">
        <f ca="1">EW1*ET1*'Ref10'!$D$25</f>
        <v>#REF!</v>
      </c>
      <c r="EY1" s="26" t="e">
        <f ca="1">IF(EX1&gt;0,Structures!$F1,0)</f>
        <v>#REF!</v>
      </c>
      <c r="EZ1" s="26"/>
      <c r="FA1" s="26">
        <f>AH1</f>
        <v>0</v>
      </c>
      <c r="FB1" s="25" t="e">
        <f ca="1">SUMPRODUCT(MAX(( INDEX(Ele_ElementOnStructureNum,AI1):INDEX(Ele_ElementOnStructureNum,AJ1)=AH1)*INDEX(y5_ECIwhereElementImportVH,AI1):INDEX(y5_ECIwhereElementImportVH,AJ1)))</f>
        <v>#REF!</v>
      </c>
      <c r="FC1" s="232" t="str">
        <f>IF(Structures!B1="","",IF(SUMIF(INDEX(Ele_ElementOnStructureNum,AI1):INDEX(Ele_ElementOnStructureNum,AJ1),AH1,INDEX(y5_EIF,AI1):INDEX(y5_EIF,AJ1))=0,0,MIN(115-2*SUMIF(INDEX(Ele_ElementOnStructureNum,AI1):INDEX(Ele_ElementOnStructureNum,AJ1),AH1,INDEX(y5_ECIxEIF,AI1):INDEX(y5_ECIxEIF,AJ1))/SUMIF(INDEX(Ele_ElementOnStructureNum,AI1):INDEX(Ele_ElementOnStructureNum,AJ1),AH1,INDEX(y5_EIF,AI1):INDEX(y5_EIF,AJ1))*(SUMIF(INDEX(Ele_ElementOnStructureNum,AI1):INDEX(Ele_ElementOnStructureNum,AJ1),AH1,INDEX(y5_ECIxEIF,AI1):INDEX(y5_ECIxEIF,AJ1))/SUMIF(INDEX(Ele_ElementOnStructureNum,AI1):INDEX(Ele_ElementOnStructureNum,AJ1),AH1,INDEX(y5_EIF,AI1):INDEX(y5_EIF,AJ1))+6.5),100)))</f>
        <v/>
      </c>
      <c r="FD1" s="232" t="str">
        <f>IF(Structures!B1="","",MAX(MIN(115-2*FB1*(FB1+6.5),100),0))</f>
        <v/>
      </c>
      <c r="FE1" s="232" t="e">
        <f>FC1*Structures!AU1</f>
        <v>#VALUE!</v>
      </c>
      <c r="FF1" s="232" t="e">
        <f>FD1*Structures!AU1</f>
        <v>#VALUE!</v>
      </c>
      <c r="FG1" s="232" t="e">
        <f>FC1*Structures!BC1</f>
        <v>#VALUE!</v>
      </c>
      <c r="FH1" s="232" t="e">
        <f>FD1*Structures!BC1</f>
        <v>#VALUE!</v>
      </c>
      <c r="FI1" s="25">
        <f>IF(AND(FC1&gt;'Ref15'!$D$33,FD1&gt;'Ref15'!$D$34),1,0)</f>
        <v>1</v>
      </c>
      <c r="FJ1" s="232" t="e">
        <f>IF(FI1=1,Structures!AU1,0)</f>
        <v>#VALUE!</v>
      </c>
      <c r="FK1" s="25" t="e">
        <f>FJ1*Structures!BB1</f>
        <v>#VALUE!</v>
      </c>
      <c r="FL1" s="25"/>
      <c r="FM1" s="25">
        <f>A1</f>
        <v>0</v>
      </c>
      <c r="FN1" s="25" t="e">
        <f ca="1">IF(DP1=3,"Planned Works",IF(DP1=2,"Replaced",IF(DP1=1,"Maintained","No action")))</f>
        <v>#REF!</v>
      </c>
      <c r="FO1" s="50" t="e">
        <f ca="1">IF(OR(DP1=3,DP1=2,DP1=1),INDEX(Ele_StructureIdentifier,A1),"")</f>
        <v>#REF!</v>
      </c>
      <c r="FP1" s="50" t="e">
        <f ca="1">IF(OR(DP1=3,DP1=2,DP1=1),MATCH(FO1,Str_StructureIdentifier,0),"")</f>
        <v>#REF!</v>
      </c>
      <c r="FQ1" s="232" t="e">
        <f ca="1">IF(AND(OR(DP1=2,DP1=1),AC1&lt;&gt;0),D1,"")</f>
        <v>#REF!</v>
      </c>
      <c r="FR1" s="232" t="e">
        <f ca="1">IF(DP1=3,"Planned",IF(AND(OR(DP1=2,DP1=1),AC1&lt;&gt;0),Q1,""))</f>
        <v>#REF!</v>
      </c>
      <c r="FS1" s="232" t="e">
        <f ca="1">IF(DP1=3,"Planned Works",IF(OR(DP1=2,DP1=1),INDEX(y5_SumofDESIREDElementPriorityScores,FP1),""))</f>
        <v>#REF!</v>
      </c>
      <c r="FT1" s="50" t="e">
        <f ca="1">IF(OR(DP1=2,DP1=1),INDEX(y5_StructureRankDESIREDElements,FP1),"")</f>
        <v>#REF!</v>
      </c>
      <c r="FU1" s="50" t="e">
        <f ca="1">IF(DP1=3,SUMIF(Pln_y5PlannedCode,CONCATENATE('Y5'!DM1,"_y5"),Pln_YearofWork),IF(OR(DP1=2,DP1=1),INDEX(y5_PlannedYear,FT1),""))</f>
        <v>#REF!</v>
      </c>
      <c r="FV1" s="232" t="e">
        <f ca="1">IF(DP1=1,U1,"")</f>
        <v>#REF!</v>
      </c>
      <c r="FW1" s="76" t="e">
        <f ca="1">IF(DP1=1,DU1,"")</f>
        <v>#REF!</v>
      </c>
      <c r="FX1" s="232" t="e">
        <f ca="1">IF(DP1=1,DR1+DT1+DW1,"")</f>
        <v>#REF!</v>
      </c>
      <c r="FY1" s="232" t="e">
        <f ca="1">IF(DP1=3,EA1,IF(OR(DP1=0,U1=0),"",EA1))</f>
        <v>#REF!</v>
      </c>
      <c r="FZ1" s="50" t="e">
        <f ca="1">IF(DP1=0,"",INDEX(Ele_NameofElement,A1))</f>
        <v>#REF!</v>
      </c>
      <c r="GA1" s="50" t="e">
        <f ca="1">IF(DP1=0,"",INDEX(Ele_MaterialComponentType,A1))</f>
        <v>#REF!</v>
      </c>
      <c r="GB1" s="50" t="e">
        <f ca="1">IF(DP1=3,"Planned Works",IF(DP1=2,"Structure replaced",IF(DP1=1,INDEX('Ref06'!$H$4:$H$3402,$M1),"")))</f>
        <v>#REF!</v>
      </c>
      <c r="GC1" s="50" t="e">
        <f ca="1">IF(DP1=0,"",INDEX(Str_StructureReference,MATCH($FO1,Str_StructureIdentifier,0)))</f>
        <v>#REF!</v>
      </c>
      <c r="GD1" s="50" t="e">
        <f ca="1">IF(DP1=0,"",INDEX(Str_StructureType,MATCH($FO1,Str_StructureIdentifier,0)))</f>
        <v>#REF!</v>
      </c>
      <c r="GE1" s="22"/>
      <c r="GF1" s="547" t="s">
        <v>922</v>
      </c>
      <c r="GG1" s="548"/>
      <c r="GH1" s="282"/>
      <c r="GI1" s="283"/>
      <c r="GJ1" s="47"/>
      <c r="GK1" s="284"/>
      <c r="GL1" s="285"/>
      <c r="GM1" s="286"/>
    </row>
    <row r="2" spans="1:195" ht="15.6" customHeight="1" x14ac:dyDescent="0.2">
      <c r="A2" s="538" t="s">
        <v>996</v>
      </c>
      <c r="B2" s="539"/>
      <c r="C2" s="539"/>
      <c r="D2" s="539"/>
      <c r="E2" s="539"/>
      <c r="F2" s="539"/>
      <c r="G2" s="539"/>
      <c r="H2" s="539"/>
      <c r="I2" s="539"/>
      <c r="J2" s="539"/>
      <c r="K2" s="539"/>
      <c r="L2" s="539"/>
      <c r="M2" s="539"/>
      <c r="N2" s="539"/>
      <c r="O2" s="539"/>
      <c r="P2" s="539"/>
      <c r="Q2" s="539"/>
      <c r="R2" s="539"/>
      <c r="S2" s="539"/>
      <c r="T2" s="539"/>
      <c r="U2" s="539"/>
      <c r="V2" s="539"/>
      <c r="W2" s="539"/>
      <c r="X2" s="539"/>
      <c r="Y2" s="539"/>
      <c r="Z2" s="539"/>
      <c r="AA2" s="539"/>
      <c r="AB2" s="539"/>
      <c r="AC2" s="539"/>
      <c r="AD2" s="539"/>
      <c r="AE2" s="539"/>
      <c r="AF2" s="539"/>
      <c r="AG2" s="39"/>
      <c r="AH2" s="538" t="s">
        <v>964</v>
      </c>
      <c r="AI2" s="539"/>
      <c r="AJ2" s="539"/>
      <c r="AK2" s="539"/>
      <c r="AL2" s="539"/>
      <c r="AM2" s="539"/>
      <c r="AN2" s="539"/>
      <c r="AO2" s="539"/>
      <c r="AP2" s="539"/>
      <c r="AQ2" s="539"/>
      <c r="AR2" s="539"/>
      <c r="AS2" s="539"/>
      <c r="AT2" s="539"/>
      <c r="AU2" s="539"/>
      <c r="AV2" s="539"/>
      <c r="AW2" s="539"/>
      <c r="AX2" s="539"/>
      <c r="AY2" s="539"/>
      <c r="AZ2" s="539"/>
      <c r="BA2" s="539"/>
      <c r="BB2" s="539"/>
      <c r="BC2" s="539"/>
      <c r="BD2" s="21"/>
      <c r="BE2" s="538" t="s">
        <v>997</v>
      </c>
      <c r="BF2" s="539"/>
      <c r="BG2" s="539"/>
      <c r="BH2" s="539"/>
      <c r="BI2" s="539"/>
      <c r="BJ2" s="539"/>
      <c r="BK2" s="539"/>
      <c r="BL2" s="539"/>
      <c r="BM2" s="539"/>
      <c r="BN2" s="539"/>
      <c r="BO2" s="539"/>
      <c r="BP2" s="539"/>
      <c r="BQ2" s="239" t="s">
        <v>193</v>
      </c>
      <c r="BR2" s="239" t="s">
        <v>193</v>
      </c>
      <c r="BS2" s="239" t="s">
        <v>193</v>
      </c>
      <c r="BT2" s="239" t="s">
        <v>194</v>
      </c>
      <c r="BU2" s="239" t="s">
        <v>192</v>
      </c>
      <c r="BV2" s="239" t="s">
        <v>192</v>
      </c>
      <c r="BW2" s="239" t="s">
        <v>192</v>
      </c>
      <c r="BX2" s="239" t="s">
        <v>192</v>
      </c>
      <c r="BY2" s="239" t="s">
        <v>192</v>
      </c>
      <c r="BZ2" s="538" t="s">
        <v>933</v>
      </c>
      <c r="CA2" s="539"/>
      <c r="CB2" s="539"/>
      <c r="CC2" s="539"/>
      <c r="CE2" s="538" t="s">
        <v>1872</v>
      </c>
      <c r="CF2" s="539"/>
      <c r="CG2" s="539"/>
      <c r="CH2" s="539"/>
      <c r="CI2" s="539"/>
      <c r="CJ2" s="539"/>
      <c r="CK2" s="539"/>
      <c r="CL2" s="539"/>
      <c r="CM2" s="539"/>
      <c r="CN2" s="539"/>
      <c r="CO2" s="539"/>
      <c r="CP2" s="550"/>
      <c r="CQ2" s="239" t="s">
        <v>193</v>
      </c>
      <c r="CR2" s="239" t="s">
        <v>193</v>
      </c>
      <c r="CS2" s="239" t="s">
        <v>193</v>
      </c>
      <c r="CT2" s="239" t="s">
        <v>194</v>
      </c>
      <c r="CU2" s="239" t="s">
        <v>192</v>
      </c>
      <c r="CV2" s="239" t="s">
        <v>192</v>
      </c>
      <c r="CW2" s="239" t="s">
        <v>192</v>
      </c>
      <c r="CX2" s="239" t="s">
        <v>192</v>
      </c>
      <c r="CY2" s="239" t="s">
        <v>192</v>
      </c>
      <c r="CZ2" s="538" t="s">
        <v>934</v>
      </c>
      <c r="DA2" s="539"/>
      <c r="DB2" s="539"/>
      <c r="DC2" s="539"/>
      <c r="DD2" s="539"/>
      <c r="DE2" s="539"/>
      <c r="DF2" s="539"/>
      <c r="DG2" s="539"/>
      <c r="DH2" s="539"/>
      <c r="DI2" s="539"/>
      <c r="DJ2" s="539"/>
      <c r="DK2" s="550"/>
      <c r="DM2" s="538" t="s">
        <v>1005</v>
      </c>
      <c r="DN2" s="539"/>
      <c r="DO2" s="539"/>
      <c r="DP2" s="539"/>
      <c r="DQ2" s="539"/>
      <c r="DR2" s="539"/>
      <c r="DS2" s="539"/>
      <c r="DT2" s="539"/>
      <c r="DU2" s="539"/>
      <c r="DV2" s="539"/>
      <c r="DW2" s="539"/>
      <c r="DX2" s="539"/>
      <c r="DY2" s="539"/>
      <c r="DZ2" s="539"/>
      <c r="EA2" s="539"/>
      <c r="EB2" s="539"/>
      <c r="EC2" s="539"/>
      <c r="ED2" s="539"/>
      <c r="EE2" s="539"/>
      <c r="EF2" s="539"/>
      <c r="EG2" s="539"/>
      <c r="EH2" s="539"/>
      <c r="EI2" s="539"/>
      <c r="EJ2" s="539"/>
      <c r="EK2" s="539"/>
      <c r="EL2" s="539"/>
      <c r="EM2" s="21"/>
      <c r="EN2" s="527" t="s">
        <v>1816</v>
      </c>
      <c r="EO2" s="528"/>
      <c r="EP2" s="528"/>
      <c r="EQ2" s="528"/>
      <c r="ER2" s="528"/>
      <c r="ES2" s="528"/>
      <c r="ET2" s="528"/>
      <c r="EU2" s="528"/>
      <c r="EV2" s="528"/>
      <c r="EW2" s="528"/>
      <c r="EX2" s="528"/>
      <c r="EY2" s="529"/>
      <c r="EZ2" s="23"/>
      <c r="FA2" s="538" t="s">
        <v>1817</v>
      </c>
      <c r="FB2" s="539"/>
      <c r="FC2" s="539"/>
      <c r="FD2" s="539"/>
      <c r="FE2" s="539"/>
      <c r="FF2" s="539"/>
      <c r="FG2" s="539"/>
      <c r="FH2" s="539"/>
      <c r="FI2" s="539"/>
      <c r="FJ2" s="540"/>
      <c r="FK2" s="241"/>
      <c r="FM2" s="527" t="s">
        <v>1159</v>
      </c>
      <c r="FN2" s="528"/>
      <c r="FO2" s="528"/>
      <c r="FP2" s="528"/>
      <c r="FQ2" s="528"/>
      <c r="FR2" s="528"/>
      <c r="FS2" s="528"/>
      <c r="FT2" s="528"/>
      <c r="FU2" s="528"/>
      <c r="FV2" s="528"/>
      <c r="FW2" s="528"/>
      <c r="FX2" s="528"/>
      <c r="FY2" s="528"/>
      <c r="FZ2" s="528"/>
      <c r="GA2" s="528"/>
      <c r="GB2" s="528"/>
      <c r="GC2" s="528"/>
      <c r="GD2" s="529"/>
      <c r="GF2" s="527" t="s">
        <v>1160</v>
      </c>
      <c r="GG2" s="528"/>
      <c r="GH2" s="531"/>
      <c r="GI2" s="531"/>
      <c r="GJ2" s="531"/>
      <c r="GK2" s="531"/>
      <c r="GL2" s="531"/>
      <c r="GM2" s="532"/>
    </row>
    <row r="3" spans="1:195" ht="40.15" customHeight="1" x14ac:dyDescent="0.2">
      <c r="D3" s="39"/>
      <c r="E3" s="39"/>
      <c r="F3" s="39"/>
      <c r="G3" s="39"/>
      <c r="H3" s="39"/>
      <c r="I3" s="39"/>
      <c r="J3" s="39"/>
      <c r="K3" s="39"/>
      <c r="L3" s="39"/>
      <c r="M3" s="39"/>
      <c r="N3" s="39"/>
      <c r="O3" s="40"/>
      <c r="P3" s="39"/>
      <c r="Q3" s="39"/>
      <c r="R3" s="39"/>
      <c r="S3" s="39"/>
      <c r="T3" s="39"/>
      <c r="U3" s="39"/>
      <c r="W3" s="39"/>
      <c r="X3" s="39"/>
      <c r="Y3" s="39"/>
      <c r="Z3" s="39"/>
      <c r="AA3" s="39"/>
      <c r="AB3" s="39"/>
      <c r="AC3" s="39"/>
      <c r="AD3" s="39"/>
      <c r="AK3" s="549" t="s">
        <v>1807</v>
      </c>
      <c r="AL3" s="549"/>
      <c r="AM3" s="549"/>
      <c r="AN3" s="549"/>
      <c r="AO3" s="549"/>
      <c r="AP3" s="549"/>
      <c r="AQ3" s="549"/>
      <c r="AR3" s="549"/>
      <c r="AS3" s="549"/>
      <c r="AT3" s="549"/>
      <c r="AU3" s="549"/>
      <c r="AV3" s="549"/>
      <c r="AW3" s="549"/>
      <c r="AX3" s="549"/>
      <c r="AY3" s="239" t="s">
        <v>950</v>
      </c>
      <c r="AZ3" s="239" t="s">
        <v>951</v>
      </c>
      <c r="BA3" s="239" t="s">
        <v>952</v>
      </c>
      <c r="BB3" s="239" t="s">
        <v>951</v>
      </c>
      <c r="BC3" s="239" t="s">
        <v>951</v>
      </c>
      <c r="BD3" s="21"/>
      <c r="BG3" s="39"/>
      <c r="BI3" s="22"/>
      <c r="BJ3" s="22"/>
      <c r="BK3" s="22"/>
      <c r="BL3" s="22"/>
      <c r="BM3" s="22"/>
      <c r="BN3" s="22"/>
      <c r="BO3" s="22"/>
      <c r="BP3" s="22"/>
      <c r="BQ3" s="239" t="s">
        <v>549</v>
      </c>
      <c r="BR3" s="239" t="s">
        <v>545</v>
      </c>
      <c r="BS3" s="239" t="s">
        <v>548</v>
      </c>
      <c r="BT3" s="239" t="s">
        <v>546</v>
      </c>
      <c r="BU3" s="239" t="s">
        <v>549</v>
      </c>
      <c r="BV3" s="239" t="s">
        <v>545</v>
      </c>
      <c r="BW3" s="239" t="s">
        <v>548</v>
      </c>
      <c r="BX3" s="239" t="s">
        <v>544</v>
      </c>
      <c r="BY3" s="239" t="s">
        <v>547</v>
      </c>
      <c r="BZ3" s="39"/>
      <c r="CC3" s="42"/>
      <c r="CG3" s="39"/>
      <c r="CI3" s="39"/>
      <c r="CJ3" s="39"/>
      <c r="CK3" s="39"/>
      <c r="CL3" s="39"/>
      <c r="CM3" s="39"/>
      <c r="CP3" s="43"/>
      <c r="CQ3" s="239" t="s">
        <v>549</v>
      </c>
      <c r="CR3" s="239" t="s">
        <v>545</v>
      </c>
      <c r="CS3" s="239" t="s">
        <v>548</v>
      </c>
      <c r="CT3" s="239" t="s">
        <v>546</v>
      </c>
      <c r="CU3" s="239" t="s">
        <v>549</v>
      </c>
      <c r="CV3" s="239" t="s">
        <v>545</v>
      </c>
      <c r="CW3" s="239" t="s">
        <v>548</v>
      </c>
      <c r="CX3" s="239" t="s">
        <v>544</v>
      </c>
      <c r="CY3" s="239" t="s">
        <v>547</v>
      </c>
      <c r="CZ3" s="39"/>
      <c r="DG3" s="66"/>
      <c r="EA3" s="39"/>
      <c r="EB3" s="39"/>
      <c r="EC3" s="39"/>
      <c r="EM3" s="21"/>
      <c r="EN3" s="21"/>
      <c r="EO3" s="42"/>
      <c r="EP3" s="42"/>
      <c r="EQ3" s="42"/>
      <c r="ER3" s="42"/>
      <c r="ES3" s="42"/>
      <c r="ET3" s="42"/>
      <c r="EU3" s="42"/>
      <c r="EV3" s="42"/>
      <c r="EW3" s="42"/>
      <c r="EY3" s="23"/>
      <c r="EZ3" s="23"/>
      <c r="FA3" s="23"/>
      <c r="FL3" s="44"/>
      <c r="FM3" s="27"/>
      <c r="FN3" s="27"/>
      <c r="FO3" s="27"/>
      <c r="FP3" s="27"/>
      <c r="FQ3" s="27"/>
      <c r="FR3" s="27"/>
      <c r="FS3" s="27"/>
      <c r="FT3" s="27"/>
      <c r="FU3" s="27"/>
      <c r="FV3" s="27"/>
      <c r="FW3" s="27"/>
      <c r="FX3" s="27"/>
      <c r="FY3" s="27"/>
      <c r="FZ3" s="27"/>
      <c r="GA3" s="27"/>
      <c r="GB3" s="27"/>
      <c r="GC3" s="27"/>
      <c r="GD3" s="27"/>
    </row>
    <row r="4" spans="1:195" ht="109.9" customHeight="1" x14ac:dyDescent="0.2">
      <c r="A4" s="238" t="s">
        <v>903</v>
      </c>
      <c r="B4" s="238" t="s">
        <v>783</v>
      </c>
      <c r="C4" s="238" t="s">
        <v>965</v>
      </c>
      <c r="D4" s="238" t="s">
        <v>966</v>
      </c>
      <c r="E4" s="238" t="s">
        <v>919</v>
      </c>
      <c r="F4" s="238" t="s">
        <v>920</v>
      </c>
      <c r="G4" s="238" t="s">
        <v>641</v>
      </c>
      <c r="H4" s="238" t="s">
        <v>945</v>
      </c>
      <c r="I4" s="238" t="s">
        <v>924</v>
      </c>
      <c r="J4" s="238" t="s">
        <v>238</v>
      </c>
      <c r="K4" s="238" t="s">
        <v>679</v>
      </c>
      <c r="L4" s="238" t="s">
        <v>992</v>
      </c>
      <c r="M4" s="238" t="s">
        <v>946</v>
      </c>
      <c r="N4" s="238" t="s">
        <v>947</v>
      </c>
      <c r="O4" s="238" t="s">
        <v>957</v>
      </c>
      <c r="P4" s="238" t="s">
        <v>958</v>
      </c>
      <c r="Q4" s="238" t="s">
        <v>959</v>
      </c>
      <c r="R4" s="238" t="s">
        <v>678</v>
      </c>
      <c r="S4" s="238" t="s">
        <v>948</v>
      </c>
      <c r="T4" s="238" t="s">
        <v>704</v>
      </c>
      <c r="U4" s="238" t="s">
        <v>677</v>
      </c>
      <c r="V4" s="238" t="s">
        <v>676</v>
      </c>
      <c r="W4" s="238" t="s">
        <v>671</v>
      </c>
      <c r="X4" s="238" t="s">
        <v>675</v>
      </c>
      <c r="Y4" s="238" t="s">
        <v>558</v>
      </c>
      <c r="Z4" s="238" t="s">
        <v>555</v>
      </c>
      <c r="AA4" s="238" t="s">
        <v>552</v>
      </c>
      <c r="AB4" s="238" t="s">
        <v>960</v>
      </c>
      <c r="AC4" s="238" t="s">
        <v>961</v>
      </c>
      <c r="AD4" s="238" t="s">
        <v>962</v>
      </c>
      <c r="AE4" s="238" t="s">
        <v>963</v>
      </c>
      <c r="AF4" s="238" t="s">
        <v>672</v>
      </c>
      <c r="AG4" s="20"/>
      <c r="AH4" s="238" t="s">
        <v>940</v>
      </c>
      <c r="AI4" s="238" t="s">
        <v>47</v>
      </c>
      <c r="AJ4" s="238" t="s">
        <v>46</v>
      </c>
      <c r="AK4" s="238" t="s">
        <v>116</v>
      </c>
      <c r="AL4" s="238" t="s">
        <v>92</v>
      </c>
      <c r="AM4" s="238" t="s">
        <v>115</v>
      </c>
      <c r="AN4" s="238" t="s">
        <v>90</v>
      </c>
      <c r="AO4" s="238" t="s">
        <v>120</v>
      </c>
      <c r="AP4" s="238" t="s">
        <v>71</v>
      </c>
      <c r="AQ4" s="238" t="s">
        <v>158</v>
      </c>
      <c r="AR4" s="238" t="s">
        <v>89</v>
      </c>
      <c r="AS4" s="238" t="s">
        <v>128</v>
      </c>
      <c r="AT4" s="238" t="s">
        <v>126</v>
      </c>
      <c r="AU4" s="238" t="s">
        <v>102</v>
      </c>
      <c r="AV4" s="238" t="s">
        <v>147</v>
      </c>
      <c r="AW4" s="238" t="s">
        <v>146</v>
      </c>
      <c r="AX4" s="238" t="s">
        <v>156</v>
      </c>
      <c r="AY4" s="238" t="s">
        <v>654</v>
      </c>
      <c r="AZ4" s="238" t="s">
        <v>653</v>
      </c>
      <c r="BA4" s="238" t="s">
        <v>652</v>
      </c>
      <c r="BB4" s="238" t="s">
        <v>651</v>
      </c>
      <c r="BC4" s="238" t="s">
        <v>650</v>
      </c>
      <c r="BD4" s="21"/>
      <c r="BE4" s="238" t="s">
        <v>940</v>
      </c>
      <c r="BF4" s="238" t="s">
        <v>858</v>
      </c>
      <c r="BG4" s="238" t="s">
        <v>927</v>
      </c>
      <c r="BH4" s="238" t="s">
        <v>925</v>
      </c>
      <c r="BI4" s="238" t="s">
        <v>54</v>
      </c>
      <c r="BJ4" s="238" t="s">
        <v>764</v>
      </c>
      <c r="BK4" s="238" t="s">
        <v>765</v>
      </c>
      <c r="BL4" s="238" t="s">
        <v>967</v>
      </c>
      <c r="BM4" s="238" t="s">
        <v>558</v>
      </c>
      <c r="BN4" s="238" t="s">
        <v>669</v>
      </c>
      <c r="BO4" s="238" t="s">
        <v>555</v>
      </c>
      <c r="BP4" s="238" t="s">
        <v>668</v>
      </c>
      <c r="BQ4" s="238" t="s">
        <v>667</v>
      </c>
      <c r="BR4" s="238" t="s">
        <v>666</v>
      </c>
      <c r="BS4" s="238" t="s">
        <v>665</v>
      </c>
      <c r="BT4" s="238" t="s">
        <v>664</v>
      </c>
      <c r="BU4" s="238" t="s">
        <v>663</v>
      </c>
      <c r="BV4" s="238" t="s">
        <v>662</v>
      </c>
      <c r="BW4" s="238" t="s">
        <v>661</v>
      </c>
      <c r="BX4" s="238" t="s">
        <v>660</v>
      </c>
      <c r="BY4" s="238" t="s">
        <v>659</v>
      </c>
      <c r="BZ4" s="238" t="s">
        <v>658</v>
      </c>
      <c r="CA4" s="238" t="s">
        <v>552</v>
      </c>
      <c r="CB4" s="238" t="s">
        <v>657</v>
      </c>
      <c r="CC4" s="238" t="s">
        <v>656</v>
      </c>
      <c r="CD4" s="45"/>
      <c r="CE4" s="238" t="s">
        <v>940</v>
      </c>
      <c r="CF4" s="238" t="s">
        <v>670</v>
      </c>
      <c r="CG4" s="238" t="s">
        <v>927</v>
      </c>
      <c r="CH4" s="238" t="s">
        <v>928</v>
      </c>
      <c r="CI4" s="238" t="s">
        <v>54</v>
      </c>
      <c r="CJ4" s="238" t="s">
        <v>764</v>
      </c>
      <c r="CK4" s="238" t="s">
        <v>765</v>
      </c>
      <c r="CL4" s="238" t="s">
        <v>967</v>
      </c>
      <c r="CM4" s="238" t="s">
        <v>558</v>
      </c>
      <c r="CN4" s="238" t="s">
        <v>669</v>
      </c>
      <c r="CO4" s="238" t="s">
        <v>555</v>
      </c>
      <c r="CP4" s="238" t="s">
        <v>668</v>
      </c>
      <c r="CQ4" s="238" t="s">
        <v>667</v>
      </c>
      <c r="CR4" s="238" t="s">
        <v>666</v>
      </c>
      <c r="CS4" s="238" t="s">
        <v>665</v>
      </c>
      <c r="CT4" s="238" t="s">
        <v>664</v>
      </c>
      <c r="CU4" s="238" t="s">
        <v>663</v>
      </c>
      <c r="CV4" s="238" t="s">
        <v>662</v>
      </c>
      <c r="CW4" s="238" t="s">
        <v>661</v>
      </c>
      <c r="CX4" s="238" t="s">
        <v>660</v>
      </c>
      <c r="CY4" s="238" t="s">
        <v>659</v>
      </c>
      <c r="CZ4" s="238" t="s">
        <v>658</v>
      </c>
      <c r="DA4" s="238" t="s">
        <v>552</v>
      </c>
      <c r="DB4" s="238" t="s">
        <v>657</v>
      </c>
      <c r="DC4" s="238" t="s">
        <v>656</v>
      </c>
      <c r="DD4" s="238" t="s">
        <v>1195</v>
      </c>
      <c r="DE4" s="238" t="s">
        <v>971</v>
      </c>
      <c r="DF4" s="238" t="s">
        <v>972</v>
      </c>
      <c r="DG4" s="238" t="s">
        <v>975</v>
      </c>
      <c r="DH4" s="238" t="s">
        <v>976</v>
      </c>
      <c r="DI4" s="238" t="s">
        <v>974</v>
      </c>
      <c r="DJ4" s="238" t="s">
        <v>977</v>
      </c>
      <c r="DK4" s="238" t="s">
        <v>978</v>
      </c>
      <c r="DM4" s="238" t="s">
        <v>903</v>
      </c>
      <c r="DN4" s="238" t="s">
        <v>992</v>
      </c>
      <c r="DO4" s="238" t="s">
        <v>995</v>
      </c>
      <c r="DP4" s="238" t="s">
        <v>991</v>
      </c>
      <c r="DQ4" s="238" t="s">
        <v>558</v>
      </c>
      <c r="DR4" s="238" t="s">
        <v>1000</v>
      </c>
      <c r="DS4" s="238" t="s">
        <v>555</v>
      </c>
      <c r="DT4" s="238" t="s">
        <v>1001</v>
      </c>
      <c r="DU4" s="238" t="s">
        <v>1003</v>
      </c>
      <c r="DV4" s="238" t="s">
        <v>552</v>
      </c>
      <c r="DW4" s="238" t="s">
        <v>1002</v>
      </c>
      <c r="DX4" s="238" t="s">
        <v>979</v>
      </c>
      <c r="DY4" s="238" t="s">
        <v>982</v>
      </c>
      <c r="DZ4" s="238" t="s">
        <v>987</v>
      </c>
      <c r="EA4" s="238" t="s">
        <v>993</v>
      </c>
      <c r="EB4" s="238" t="s">
        <v>674</v>
      </c>
      <c r="EC4" s="238" t="s">
        <v>673</v>
      </c>
      <c r="ED4" s="238" t="s">
        <v>648</v>
      </c>
      <c r="EE4" s="238" t="s">
        <v>1203</v>
      </c>
      <c r="EF4" s="238" t="s">
        <v>202</v>
      </c>
      <c r="EG4" s="238" t="s">
        <v>921</v>
      </c>
      <c r="EH4" s="238" t="s">
        <v>919</v>
      </c>
      <c r="EI4" s="238" t="s">
        <v>920</v>
      </c>
      <c r="EJ4" s="238" t="s">
        <v>647</v>
      </c>
      <c r="EK4" s="238" t="s">
        <v>1169</v>
      </c>
      <c r="EL4" s="238" t="s">
        <v>646</v>
      </c>
      <c r="EM4" s="21"/>
      <c r="EN4" s="238" t="s">
        <v>940</v>
      </c>
      <c r="EO4" s="238" t="s">
        <v>1161</v>
      </c>
      <c r="EP4" s="238" t="s">
        <v>1162</v>
      </c>
      <c r="EQ4" s="238" t="s">
        <v>944</v>
      </c>
      <c r="ER4" s="238" t="s">
        <v>918</v>
      </c>
      <c r="ES4" s="238" t="s">
        <v>943</v>
      </c>
      <c r="ET4" s="238" t="s">
        <v>916</v>
      </c>
      <c r="EU4" s="238" t="s">
        <v>567</v>
      </c>
      <c r="EV4" s="238" t="s">
        <v>942</v>
      </c>
      <c r="EW4" s="238" t="s">
        <v>917</v>
      </c>
      <c r="EX4" s="238" t="s">
        <v>655</v>
      </c>
      <c r="EY4" s="238" t="s">
        <v>923</v>
      </c>
      <c r="EZ4" s="23"/>
      <c r="FA4" s="238" t="s">
        <v>940</v>
      </c>
      <c r="FB4" s="238" t="s">
        <v>998</v>
      </c>
      <c r="FC4" s="238" t="s">
        <v>645</v>
      </c>
      <c r="FD4" s="238" t="s">
        <v>644</v>
      </c>
      <c r="FE4" s="238" t="s">
        <v>1157</v>
      </c>
      <c r="FF4" s="238" t="s">
        <v>1158</v>
      </c>
      <c r="FG4" s="238" t="s">
        <v>643</v>
      </c>
      <c r="FH4" s="238" t="s">
        <v>642</v>
      </c>
      <c r="FI4" s="238" t="s">
        <v>784</v>
      </c>
      <c r="FJ4" s="238" t="s">
        <v>1783</v>
      </c>
      <c r="FK4" s="238" t="s">
        <v>785</v>
      </c>
      <c r="FL4" s="46"/>
      <c r="FM4" s="262" t="s">
        <v>903</v>
      </c>
      <c r="FN4" s="262" t="s">
        <v>999</v>
      </c>
      <c r="FO4" s="262" t="s">
        <v>773</v>
      </c>
      <c r="FP4" s="262" t="s">
        <v>868</v>
      </c>
      <c r="FQ4" s="262" t="s">
        <v>649</v>
      </c>
      <c r="FR4" s="262" t="s">
        <v>1018</v>
      </c>
      <c r="FS4" s="262" t="s">
        <v>1019</v>
      </c>
      <c r="FT4" s="262" t="s">
        <v>926</v>
      </c>
      <c r="FU4" s="262" t="s">
        <v>888</v>
      </c>
      <c r="FV4" s="262" t="s">
        <v>1016</v>
      </c>
      <c r="FW4" s="262" t="s">
        <v>703</v>
      </c>
      <c r="FX4" s="262" t="s">
        <v>1017</v>
      </c>
      <c r="FY4" s="262" t="s">
        <v>884</v>
      </c>
      <c r="FZ4" s="262" t="s">
        <v>808</v>
      </c>
      <c r="GA4" s="262" t="s">
        <v>866</v>
      </c>
      <c r="GB4" s="262" t="s">
        <v>883</v>
      </c>
      <c r="GC4" s="262" t="s">
        <v>867</v>
      </c>
      <c r="GD4" s="296" t="s">
        <v>585</v>
      </c>
      <c r="GE4" s="301"/>
      <c r="GH4" s="296" t="s">
        <v>1794</v>
      </c>
      <c r="GI4" s="263"/>
      <c r="GM4" s="238" t="s">
        <v>1794</v>
      </c>
    </row>
    <row r="5" spans="1:195" x14ac:dyDescent="0.2">
      <c r="B5" s="25"/>
      <c r="C5" s="25"/>
      <c r="D5" s="232"/>
      <c r="E5" s="232"/>
      <c r="F5" s="232"/>
      <c r="G5" s="25"/>
      <c r="H5" s="25"/>
      <c r="I5" s="234"/>
      <c r="J5" s="25"/>
      <c r="K5" s="25"/>
      <c r="L5" s="25"/>
      <c r="M5" s="25"/>
      <c r="N5" s="25"/>
      <c r="O5" s="232"/>
      <c r="P5" s="25"/>
      <c r="Q5" s="232"/>
      <c r="R5" s="25"/>
      <c r="S5" s="25"/>
      <c r="T5" s="232"/>
      <c r="U5" s="232"/>
      <c r="V5" s="25"/>
      <c r="W5" s="236"/>
      <c r="X5" s="236"/>
      <c r="Y5" s="25"/>
      <c r="Z5" s="25"/>
      <c r="AA5" s="25"/>
      <c r="AB5" s="232"/>
      <c r="AC5" s="25"/>
      <c r="AD5" s="232"/>
      <c r="AE5" s="25"/>
      <c r="AF5" s="232"/>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32"/>
      <c r="BG5" s="50"/>
      <c r="BH5" s="25"/>
      <c r="BI5" s="50"/>
      <c r="BJ5" s="50"/>
      <c r="BK5" s="50"/>
      <c r="BL5" s="232"/>
      <c r="BM5" s="232"/>
      <c r="BN5" s="232"/>
      <c r="BO5" s="232"/>
      <c r="BP5" s="232"/>
      <c r="BQ5" s="232"/>
      <c r="BR5" s="232"/>
      <c r="BS5" s="232"/>
      <c r="BT5" s="232"/>
      <c r="BU5" s="232"/>
      <c r="BV5" s="232"/>
      <c r="BW5" s="232"/>
      <c r="BX5" s="232"/>
      <c r="BY5" s="232"/>
      <c r="BZ5" s="232"/>
      <c r="CA5" s="50"/>
      <c r="CB5" s="232"/>
      <c r="CC5" s="232"/>
      <c r="CD5" s="25"/>
      <c r="CE5" s="25"/>
      <c r="CF5" s="232"/>
      <c r="CG5" s="25"/>
      <c r="CH5" s="25"/>
      <c r="CI5" s="25"/>
      <c r="CJ5" s="25"/>
      <c r="CK5" s="25"/>
      <c r="CL5" s="232"/>
      <c r="CM5" s="25"/>
      <c r="CN5" s="232"/>
      <c r="CO5" s="25"/>
      <c r="CP5" s="232"/>
      <c r="CQ5" s="232"/>
      <c r="CR5" s="232"/>
      <c r="CS5" s="232"/>
      <c r="CT5" s="232"/>
      <c r="CU5" s="232"/>
      <c r="CV5" s="232"/>
      <c r="CW5" s="232"/>
      <c r="CX5" s="232"/>
      <c r="CY5" s="232"/>
      <c r="CZ5" s="232"/>
      <c r="DA5" s="25"/>
      <c r="DB5" s="232"/>
      <c r="DC5" s="232"/>
      <c r="DD5" s="232"/>
      <c r="DE5" s="25"/>
      <c r="DF5" s="232"/>
      <c r="DG5" s="25"/>
      <c r="DH5" s="232"/>
      <c r="DI5" s="232"/>
      <c r="DJ5" s="25"/>
      <c r="DK5" s="25"/>
      <c r="DL5" s="25"/>
      <c r="DM5" s="25"/>
      <c r="DN5" s="25"/>
      <c r="DO5" s="25"/>
      <c r="DP5" s="25"/>
      <c r="DQ5" s="25"/>
      <c r="DR5" s="232"/>
      <c r="DS5" s="25"/>
      <c r="DT5" s="232"/>
      <c r="DU5" s="232"/>
      <c r="DV5" s="25"/>
      <c r="DW5" s="232"/>
      <c r="DX5" s="232"/>
      <c r="DY5" s="232"/>
      <c r="DZ5" s="232"/>
      <c r="EA5" s="232"/>
      <c r="EB5" s="232"/>
      <c r="EC5" s="232"/>
      <c r="ED5" s="232"/>
      <c r="EE5" s="50"/>
      <c r="EF5" s="50"/>
      <c r="EG5" s="25"/>
      <c r="EH5" s="232"/>
      <c r="EI5" s="232"/>
      <c r="EJ5" s="232"/>
      <c r="EK5" s="232"/>
      <c r="EL5" s="25"/>
      <c r="EN5" s="25"/>
      <c r="EW5" s="20"/>
      <c r="EX5" s="26"/>
      <c r="EY5" s="26"/>
      <c r="EZ5" s="26"/>
      <c r="FA5" s="26"/>
      <c r="FB5" s="25"/>
      <c r="FC5" s="232"/>
      <c r="FD5" s="232"/>
      <c r="FE5" s="232"/>
      <c r="FF5" s="232"/>
      <c r="FG5" s="232"/>
      <c r="FH5" s="232"/>
      <c r="FI5" s="25"/>
      <c r="FJ5" s="232"/>
      <c r="FK5" s="25"/>
      <c r="FL5" s="25"/>
      <c r="FM5" s="25"/>
      <c r="FN5" s="25"/>
      <c r="FO5" s="50"/>
      <c r="FP5" s="50"/>
      <c r="FQ5" s="232"/>
      <c r="FR5" s="232"/>
      <c r="FS5" s="232"/>
      <c r="FT5" s="50"/>
      <c r="FU5" s="50"/>
      <c r="FV5" s="232"/>
      <c r="FW5" s="76"/>
      <c r="FX5" s="232"/>
      <c r="FY5" s="232"/>
      <c r="FZ5" s="50"/>
      <c r="GA5" s="50"/>
      <c r="GB5" s="50"/>
      <c r="GC5" s="50"/>
      <c r="GD5" s="50"/>
      <c r="GE5" s="22"/>
      <c r="GF5" s="281" t="s">
        <v>929</v>
      </c>
      <c r="GG5" s="281"/>
      <c r="GH5" s="291">
        <f>Main_y5AnnualBudget</f>
        <v>0</v>
      </c>
      <c r="GI5" s="283"/>
      <c r="GJ5" s="47" t="s">
        <v>573</v>
      </c>
      <c r="GK5" s="533" t="s">
        <v>183</v>
      </c>
      <c r="GL5" s="238" t="s">
        <v>181</v>
      </c>
      <c r="GM5" s="299">
        <f t="shared" ref="GM5:GM11" ca="1" si="0">IFERROR(SUMIF(Str_AVFStructureType,$GJ5,y5_SCIavDimensionforSSCI)/SUMIF(Str_AVFStructureType,$GJ5,Str_DimensionforSSCI),0)</f>
        <v>0</v>
      </c>
    </row>
    <row r="6" spans="1:195" ht="12.75" customHeight="1" x14ac:dyDescent="0.2">
      <c r="B6" s="25"/>
      <c r="C6" s="25"/>
      <c r="D6" s="232"/>
      <c r="E6" s="232"/>
      <c r="F6" s="232"/>
      <c r="G6" s="25"/>
      <c r="H6" s="25"/>
      <c r="I6" s="234"/>
      <c r="J6" s="25"/>
      <c r="K6" s="25"/>
      <c r="L6" s="25"/>
      <c r="M6" s="25"/>
      <c r="N6" s="25"/>
      <c r="O6" s="232"/>
      <c r="P6" s="25"/>
      <c r="Q6" s="232"/>
      <c r="R6" s="25"/>
      <c r="S6" s="25"/>
      <c r="T6" s="232"/>
      <c r="U6" s="232"/>
      <c r="V6" s="25"/>
      <c r="W6" s="236"/>
      <c r="X6" s="236"/>
      <c r="Y6" s="25"/>
      <c r="Z6" s="25"/>
      <c r="AA6" s="25"/>
      <c r="AB6" s="232"/>
      <c r="AC6" s="25"/>
      <c r="AD6" s="232"/>
      <c r="AE6" s="25"/>
      <c r="AF6" s="232"/>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32"/>
      <c r="BG6" s="50"/>
      <c r="BH6" s="25"/>
      <c r="BI6" s="50"/>
      <c r="BJ6" s="50"/>
      <c r="BK6" s="50"/>
      <c r="BL6" s="232"/>
      <c r="BM6" s="232"/>
      <c r="BN6" s="232"/>
      <c r="BO6" s="232"/>
      <c r="BP6" s="232"/>
      <c r="BQ6" s="232"/>
      <c r="BR6" s="232"/>
      <c r="BS6" s="232"/>
      <c r="BT6" s="232"/>
      <c r="BU6" s="232"/>
      <c r="BV6" s="232"/>
      <c r="BW6" s="232"/>
      <c r="BX6" s="232"/>
      <c r="BY6" s="232"/>
      <c r="BZ6" s="232"/>
      <c r="CA6" s="50"/>
      <c r="CB6" s="232"/>
      <c r="CC6" s="232"/>
      <c r="CD6" s="25"/>
      <c r="CE6" s="25"/>
      <c r="CF6" s="232"/>
      <c r="CG6" s="25"/>
      <c r="CH6" s="25"/>
      <c r="CI6" s="25"/>
      <c r="CJ6" s="25"/>
      <c r="CK6" s="25"/>
      <c r="CL6" s="232"/>
      <c r="CM6" s="25"/>
      <c r="CN6" s="232"/>
      <c r="CO6" s="25"/>
      <c r="CP6" s="232"/>
      <c r="CQ6" s="232"/>
      <c r="CR6" s="232"/>
      <c r="CS6" s="232"/>
      <c r="CT6" s="232"/>
      <c r="CU6" s="232"/>
      <c r="CV6" s="232"/>
      <c r="CW6" s="232"/>
      <c r="CX6" s="232"/>
      <c r="CY6" s="232"/>
      <c r="CZ6" s="232"/>
      <c r="DA6" s="25"/>
      <c r="DB6" s="232"/>
      <c r="DC6" s="232"/>
      <c r="DD6" s="232"/>
      <c r="DE6" s="25"/>
      <c r="DF6" s="232"/>
      <c r="DG6" s="25"/>
      <c r="DH6" s="232"/>
      <c r="DI6" s="232"/>
      <c r="DJ6" s="25"/>
      <c r="DK6" s="25"/>
      <c r="DM6" s="25"/>
      <c r="DN6" s="25"/>
      <c r="DO6" s="25"/>
      <c r="DP6" s="25"/>
      <c r="DQ6" s="25"/>
      <c r="DR6" s="232"/>
      <c r="DS6" s="25"/>
      <c r="DT6" s="232"/>
      <c r="DU6" s="232"/>
      <c r="DV6" s="25"/>
      <c r="DW6" s="232"/>
      <c r="DX6" s="232"/>
      <c r="DY6" s="232"/>
      <c r="DZ6" s="232"/>
      <c r="EA6" s="232"/>
      <c r="EB6" s="232"/>
      <c r="EC6" s="232"/>
      <c r="ED6" s="232"/>
      <c r="EE6" s="50"/>
      <c r="EF6" s="50"/>
      <c r="EG6" s="25"/>
      <c r="EH6" s="232"/>
      <c r="EI6" s="232"/>
      <c r="EJ6" s="232"/>
      <c r="EK6" s="232"/>
      <c r="EL6" s="25"/>
      <c r="EN6" s="25"/>
      <c r="EW6" s="20"/>
      <c r="EX6" s="26"/>
      <c r="EY6" s="26"/>
      <c r="EZ6" s="26"/>
      <c r="FA6" s="26"/>
      <c r="FB6" s="25"/>
      <c r="FC6" s="232"/>
      <c r="FD6" s="232"/>
      <c r="FE6" s="232"/>
      <c r="FF6" s="232"/>
      <c r="FG6" s="232"/>
      <c r="FH6" s="232"/>
      <c r="FI6" s="25"/>
      <c r="FJ6" s="232"/>
      <c r="FK6" s="25"/>
      <c r="FL6" s="25"/>
      <c r="FM6" s="25"/>
      <c r="FN6" s="25"/>
      <c r="FO6" s="50"/>
      <c r="FP6" s="50"/>
      <c r="FQ6" s="232"/>
      <c r="FR6" s="232"/>
      <c r="FS6" s="232"/>
      <c r="FT6" s="50"/>
      <c r="FU6" s="50"/>
      <c r="FV6" s="232"/>
      <c r="FW6" s="76"/>
      <c r="FX6" s="232"/>
      <c r="FY6" s="232"/>
      <c r="FZ6" s="50"/>
      <c r="GA6" s="50"/>
      <c r="GB6" s="50"/>
      <c r="GC6" s="50"/>
      <c r="GD6" s="50"/>
      <c r="GE6" s="52"/>
      <c r="GF6" s="281" t="s">
        <v>930</v>
      </c>
      <c r="GG6" s="281"/>
      <c r="GH6" s="291">
        <f>$GH$5*5</f>
        <v>0</v>
      </c>
      <c r="GI6" s="283"/>
      <c r="GJ6" s="48" t="s">
        <v>572</v>
      </c>
      <c r="GK6" s="533"/>
      <c r="GL6" s="238" t="s">
        <v>180</v>
      </c>
      <c r="GM6" s="299">
        <f t="shared" ca="1" si="0"/>
        <v>0</v>
      </c>
    </row>
    <row r="7" spans="1:195" ht="12.75" customHeight="1" x14ac:dyDescent="0.2">
      <c r="B7" s="25"/>
      <c r="C7" s="25"/>
      <c r="D7" s="232"/>
      <c r="E7" s="232"/>
      <c r="F7" s="232"/>
      <c r="G7" s="25"/>
      <c r="H7" s="25"/>
      <c r="I7" s="234"/>
      <c r="J7" s="25"/>
      <c r="K7" s="25"/>
      <c r="L7" s="25"/>
      <c r="M7" s="25"/>
      <c r="N7" s="25"/>
      <c r="O7" s="232"/>
      <c r="P7" s="25"/>
      <c r="Q7" s="232"/>
      <c r="R7" s="25"/>
      <c r="S7" s="25"/>
      <c r="T7" s="232"/>
      <c r="U7" s="232"/>
      <c r="V7" s="25"/>
      <c r="W7" s="236"/>
      <c r="X7" s="236"/>
      <c r="Y7" s="25"/>
      <c r="Z7" s="25"/>
      <c r="AA7" s="25"/>
      <c r="AB7" s="232"/>
      <c r="AC7" s="25"/>
      <c r="AD7" s="232"/>
      <c r="AE7" s="25"/>
      <c r="AF7" s="232"/>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32"/>
      <c r="BG7" s="50"/>
      <c r="BH7" s="25"/>
      <c r="BI7" s="50"/>
      <c r="BJ7" s="50"/>
      <c r="BK7" s="50"/>
      <c r="BL7" s="232"/>
      <c r="BM7" s="232"/>
      <c r="BN7" s="232"/>
      <c r="BO7" s="232"/>
      <c r="BP7" s="232"/>
      <c r="BQ7" s="232"/>
      <c r="BR7" s="232"/>
      <c r="BS7" s="232"/>
      <c r="BT7" s="232"/>
      <c r="BU7" s="232"/>
      <c r="BV7" s="232"/>
      <c r="BW7" s="232"/>
      <c r="BX7" s="232"/>
      <c r="BY7" s="232"/>
      <c r="BZ7" s="232"/>
      <c r="CA7" s="50"/>
      <c r="CB7" s="232"/>
      <c r="CC7" s="232"/>
      <c r="CD7" s="25"/>
      <c r="CE7" s="25"/>
      <c r="CF7" s="232"/>
      <c r="CG7" s="25"/>
      <c r="CH7" s="25"/>
      <c r="CI7" s="25"/>
      <c r="CJ7" s="25"/>
      <c r="CK7" s="25"/>
      <c r="CL7" s="232"/>
      <c r="CM7" s="25"/>
      <c r="CN7" s="232"/>
      <c r="CO7" s="25"/>
      <c r="CP7" s="232"/>
      <c r="CQ7" s="232"/>
      <c r="CR7" s="232"/>
      <c r="CS7" s="232"/>
      <c r="CT7" s="232"/>
      <c r="CU7" s="232"/>
      <c r="CV7" s="232"/>
      <c r="CW7" s="232"/>
      <c r="CX7" s="232"/>
      <c r="CY7" s="232"/>
      <c r="CZ7" s="232"/>
      <c r="DA7" s="25"/>
      <c r="DB7" s="232"/>
      <c r="DC7" s="232"/>
      <c r="DD7" s="232"/>
      <c r="DE7" s="25"/>
      <c r="DF7" s="232"/>
      <c r="DG7" s="25"/>
      <c r="DH7" s="232"/>
      <c r="DI7" s="232"/>
      <c r="DJ7" s="25"/>
      <c r="DK7" s="25"/>
      <c r="DM7" s="25"/>
      <c r="DN7" s="25"/>
      <c r="DO7" s="25"/>
      <c r="DP7" s="25"/>
      <c r="DQ7" s="25"/>
      <c r="DR7" s="232"/>
      <c r="DS7" s="25"/>
      <c r="DT7" s="232"/>
      <c r="DU7" s="232"/>
      <c r="DV7" s="25"/>
      <c r="DW7" s="232"/>
      <c r="DX7" s="232"/>
      <c r="DY7" s="232"/>
      <c r="DZ7" s="232"/>
      <c r="EA7" s="232"/>
      <c r="EB7" s="232"/>
      <c r="EC7" s="232"/>
      <c r="ED7" s="232"/>
      <c r="EE7" s="50"/>
      <c r="EF7" s="50"/>
      <c r="EG7" s="25"/>
      <c r="EH7" s="232"/>
      <c r="EI7" s="232"/>
      <c r="EJ7" s="232"/>
      <c r="EK7" s="232"/>
      <c r="EL7" s="25"/>
      <c r="EN7" s="25"/>
      <c r="EW7" s="20"/>
      <c r="EX7" s="26"/>
      <c r="EY7" s="26"/>
      <c r="EZ7" s="26"/>
      <c r="FA7" s="26"/>
      <c r="FB7" s="25"/>
      <c r="FC7" s="232"/>
      <c r="FD7" s="232"/>
      <c r="FE7" s="232"/>
      <c r="FF7" s="232"/>
      <c r="FG7" s="232"/>
      <c r="FH7" s="232"/>
      <c r="FI7" s="25"/>
      <c r="FJ7" s="232"/>
      <c r="FK7" s="25"/>
      <c r="FL7" s="25"/>
      <c r="FM7" s="25"/>
      <c r="FN7" s="25"/>
      <c r="FO7" s="50"/>
      <c r="FP7" s="50"/>
      <c r="FQ7" s="232"/>
      <c r="FR7" s="232"/>
      <c r="FS7" s="232"/>
      <c r="FT7" s="50"/>
      <c r="FU7" s="50"/>
      <c r="FV7" s="232"/>
      <c r="FW7" s="76"/>
      <c r="FX7" s="232"/>
      <c r="FY7" s="232"/>
      <c r="FZ7" s="50"/>
      <c r="GA7" s="50"/>
      <c r="GB7" s="50"/>
      <c r="GC7" s="50"/>
      <c r="GD7" s="50"/>
      <c r="GE7" s="52"/>
      <c r="GF7" s="281" t="s">
        <v>1215</v>
      </c>
      <c r="GG7" s="281" t="s">
        <v>938</v>
      </c>
      <c r="GH7" s="291">
        <v>1.2</v>
      </c>
      <c r="GI7" s="283"/>
      <c r="GJ7" s="47" t="s">
        <v>571</v>
      </c>
      <c r="GK7" s="533"/>
      <c r="GL7" s="238" t="s">
        <v>179</v>
      </c>
      <c r="GM7" s="299">
        <f t="shared" ca="1" si="0"/>
        <v>0</v>
      </c>
    </row>
    <row r="8" spans="1:195" ht="12.75" customHeight="1" x14ac:dyDescent="0.2">
      <c r="B8" s="25"/>
      <c r="C8" s="25"/>
      <c r="D8" s="232"/>
      <c r="E8" s="232"/>
      <c r="F8" s="232"/>
      <c r="G8" s="25"/>
      <c r="H8" s="25"/>
      <c r="I8" s="234"/>
      <c r="J8" s="25"/>
      <c r="K8" s="25"/>
      <c r="L8" s="25"/>
      <c r="M8" s="25"/>
      <c r="N8" s="25"/>
      <c r="O8" s="232"/>
      <c r="P8" s="25"/>
      <c r="Q8" s="232"/>
      <c r="R8" s="25"/>
      <c r="S8" s="25"/>
      <c r="T8" s="232"/>
      <c r="U8" s="232"/>
      <c r="V8" s="25"/>
      <c r="W8" s="236"/>
      <c r="X8" s="236"/>
      <c r="Y8" s="25"/>
      <c r="Z8" s="25"/>
      <c r="AA8" s="25"/>
      <c r="AB8" s="232"/>
      <c r="AC8" s="25"/>
      <c r="AD8" s="232"/>
      <c r="AE8" s="25"/>
      <c r="AF8" s="232"/>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32"/>
      <c r="BG8" s="50"/>
      <c r="BH8" s="25"/>
      <c r="BI8" s="50"/>
      <c r="BJ8" s="50"/>
      <c r="BK8" s="50"/>
      <c r="BL8" s="232"/>
      <c r="BM8" s="232"/>
      <c r="BN8" s="232"/>
      <c r="BO8" s="232"/>
      <c r="BP8" s="232"/>
      <c r="BQ8" s="232"/>
      <c r="BR8" s="232"/>
      <c r="BS8" s="232"/>
      <c r="BT8" s="232"/>
      <c r="BU8" s="232"/>
      <c r="BV8" s="232"/>
      <c r="BW8" s="232"/>
      <c r="BX8" s="232"/>
      <c r="BY8" s="232"/>
      <c r="BZ8" s="232"/>
      <c r="CA8" s="50"/>
      <c r="CB8" s="232"/>
      <c r="CC8" s="232"/>
      <c r="CD8" s="25"/>
      <c r="CE8" s="25"/>
      <c r="CF8" s="232"/>
      <c r="CG8" s="25"/>
      <c r="CH8" s="25"/>
      <c r="CI8" s="25"/>
      <c r="CJ8" s="25"/>
      <c r="CK8" s="25"/>
      <c r="CL8" s="232"/>
      <c r="CM8" s="25"/>
      <c r="CN8" s="232"/>
      <c r="CO8" s="25"/>
      <c r="CP8" s="232"/>
      <c r="CQ8" s="232"/>
      <c r="CR8" s="232"/>
      <c r="CS8" s="232"/>
      <c r="CT8" s="232"/>
      <c r="CU8" s="232"/>
      <c r="CV8" s="232"/>
      <c r="CW8" s="232"/>
      <c r="CX8" s="232"/>
      <c r="CY8" s="232"/>
      <c r="CZ8" s="232"/>
      <c r="DA8" s="25"/>
      <c r="DB8" s="232"/>
      <c r="DC8" s="232"/>
      <c r="DD8" s="232"/>
      <c r="DE8" s="25"/>
      <c r="DF8" s="232"/>
      <c r="DG8" s="25"/>
      <c r="DH8" s="232"/>
      <c r="DI8" s="232"/>
      <c r="DJ8" s="25"/>
      <c r="DK8" s="25"/>
      <c r="DM8" s="25"/>
      <c r="DN8" s="25"/>
      <c r="DO8" s="25"/>
      <c r="DP8" s="25"/>
      <c r="DQ8" s="25"/>
      <c r="DR8" s="232"/>
      <c r="DS8" s="25"/>
      <c r="DT8" s="232"/>
      <c r="DU8" s="232"/>
      <c r="DV8" s="25"/>
      <c r="DW8" s="232"/>
      <c r="DX8" s="232"/>
      <c r="DY8" s="232"/>
      <c r="DZ8" s="232"/>
      <c r="EA8" s="232"/>
      <c r="EB8" s="232"/>
      <c r="EC8" s="232"/>
      <c r="ED8" s="232"/>
      <c r="EE8" s="50"/>
      <c r="EF8" s="50"/>
      <c r="EG8" s="25"/>
      <c r="EH8" s="232"/>
      <c r="EI8" s="232"/>
      <c r="EJ8" s="232"/>
      <c r="EK8" s="232"/>
      <c r="EL8" s="25"/>
      <c r="EN8" s="25"/>
      <c r="EW8" s="20"/>
      <c r="EX8" s="26"/>
      <c r="EY8" s="26"/>
      <c r="EZ8" s="26"/>
      <c r="FA8" s="26"/>
      <c r="FB8" s="25"/>
      <c r="FC8" s="232"/>
      <c r="FD8" s="232"/>
      <c r="FE8" s="232"/>
      <c r="FF8" s="232"/>
      <c r="FG8" s="232"/>
      <c r="FH8" s="232"/>
      <c r="FI8" s="25"/>
      <c r="FJ8" s="232"/>
      <c r="FK8" s="25"/>
      <c r="FL8" s="25"/>
      <c r="FM8" s="25"/>
      <c r="FN8" s="25"/>
      <c r="FO8" s="50"/>
      <c r="FP8" s="50"/>
      <c r="FQ8" s="232"/>
      <c r="FR8" s="232"/>
      <c r="FS8" s="232"/>
      <c r="FT8" s="50"/>
      <c r="FU8" s="50"/>
      <c r="FV8" s="232"/>
      <c r="FW8" s="76"/>
      <c r="FX8" s="232"/>
      <c r="FY8" s="232"/>
      <c r="FZ8" s="50"/>
      <c r="GA8" s="50"/>
      <c r="GB8" s="50"/>
      <c r="GC8" s="50"/>
      <c r="GD8" s="50"/>
      <c r="GE8" s="52"/>
      <c r="GF8" s="281" t="s">
        <v>186</v>
      </c>
      <c r="GG8" s="281"/>
      <c r="GH8" s="291" t="e">
        <f ca="1">SUM(y5_TotalElementMainCost,y5_TotalElementReplaceCost)</f>
        <v>#REF!</v>
      </c>
      <c r="GI8" s="283"/>
      <c r="GJ8" s="47" t="s">
        <v>570</v>
      </c>
      <c r="GK8" s="533"/>
      <c r="GL8" s="238" t="s">
        <v>178</v>
      </c>
      <c r="GM8" s="299">
        <f t="shared" ca="1" si="0"/>
        <v>0</v>
      </c>
    </row>
    <row r="9" spans="1:195" ht="12.75" customHeight="1" x14ac:dyDescent="0.2">
      <c r="B9" s="25"/>
      <c r="C9" s="25"/>
      <c r="D9" s="232"/>
      <c r="E9" s="232"/>
      <c r="F9" s="232"/>
      <c r="G9" s="25"/>
      <c r="H9" s="25"/>
      <c r="I9" s="234"/>
      <c r="J9" s="25"/>
      <c r="K9" s="25"/>
      <c r="L9" s="25"/>
      <c r="M9" s="25"/>
      <c r="N9" s="25"/>
      <c r="O9" s="232"/>
      <c r="P9" s="25"/>
      <c r="Q9" s="232"/>
      <c r="R9" s="25"/>
      <c r="S9" s="25"/>
      <c r="T9" s="232"/>
      <c r="U9" s="232"/>
      <c r="V9" s="25"/>
      <c r="W9" s="236"/>
      <c r="X9" s="236"/>
      <c r="Y9" s="25"/>
      <c r="Z9" s="25"/>
      <c r="AA9" s="25"/>
      <c r="AB9" s="232"/>
      <c r="AC9" s="25"/>
      <c r="AD9" s="232"/>
      <c r="AE9" s="25"/>
      <c r="AF9" s="232"/>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32"/>
      <c r="BG9" s="50"/>
      <c r="BH9" s="25"/>
      <c r="BI9" s="50"/>
      <c r="BJ9" s="50"/>
      <c r="BK9" s="50"/>
      <c r="BL9" s="232"/>
      <c r="BM9" s="232"/>
      <c r="BN9" s="232"/>
      <c r="BO9" s="232"/>
      <c r="BP9" s="232"/>
      <c r="BQ9" s="232"/>
      <c r="BR9" s="232"/>
      <c r="BS9" s="232"/>
      <c r="BT9" s="232"/>
      <c r="BU9" s="232"/>
      <c r="BV9" s="232"/>
      <c r="BW9" s="232"/>
      <c r="BX9" s="232"/>
      <c r="BY9" s="232"/>
      <c r="BZ9" s="232"/>
      <c r="CA9" s="50"/>
      <c r="CB9" s="232"/>
      <c r="CC9" s="232"/>
      <c r="CD9" s="25"/>
      <c r="CE9" s="25"/>
      <c r="CF9" s="232"/>
      <c r="CG9" s="25"/>
      <c r="CH9" s="25"/>
      <c r="CI9" s="25"/>
      <c r="CJ9" s="25"/>
      <c r="CK9" s="25"/>
      <c r="CL9" s="232"/>
      <c r="CM9" s="25"/>
      <c r="CN9" s="232"/>
      <c r="CO9" s="25"/>
      <c r="CP9" s="232"/>
      <c r="CQ9" s="232"/>
      <c r="CR9" s="232"/>
      <c r="CS9" s="232"/>
      <c r="CT9" s="232"/>
      <c r="CU9" s="232"/>
      <c r="CV9" s="232"/>
      <c r="CW9" s="232"/>
      <c r="CX9" s="232"/>
      <c r="CY9" s="232"/>
      <c r="CZ9" s="232"/>
      <c r="DA9" s="25"/>
      <c r="DB9" s="232"/>
      <c r="DC9" s="232"/>
      <c r="DD9" s="232"/>
      <c r="DE9" s="25"/>
      <c r="DF9" s="232"/>
      <c r="DG9" s="25"/>
      <c r="DH9" s="232"/>
      <c r="DI9" s="232"/>
      <c r="DJ9" s="25"/>
      <c r="DK9" s="25"/>
      <c r="DM9" s="25"/>
      <c r="DN9" s="25"/>
      <c r="DO9" s="25"/>
      <c r="DP9" s="25"/>
      <c r="DQ9" s="25"/>
      <c r="DR9" s="232"/>
      <c r="DS9" s="25"/>
      <c r="DT9" s="232"/>
      <c r="DU9" s="232"/>
      <c r="DV9" s="25"/>
      <c r="DW9" s="232"/>
      <c r="DX9" s="232"/>
      <c r="DY9" s="232"/>
      <c r="DZ9" s="232"/>
      <c r="EA9" s="232"/>
      <c r="EB9" s="232"/>
      <c r="EC9" s="232"/>
      <c r="ED9" s="232"/>
      <c r="EE9" s="50"/>
      <c r="EF9" s="50"/>
      <c r="EG9" s="25"/>
      <c r="EH9" s="232"/>
      <c r="EI9" s="232"/>
      <c r="EJ9" s="232"/>
      <c r="EK9" s="232"/>
      <c r="EL9" s="25"/>
      <c r="EN9" s="25"/>
      <c r="EW9" s="20"/>
      <c r="EX9" s="26"/>
      <c r="EY9" s="26"/>
      <c r="EZ9" s="26"/>
      <c r="FA9" s="26"/>
      <c r="FB9" s="25"/>
      <c r="FC9" s="232"/>
      <c r="FD9" s="232"/>
      <c r="FE9" s="232"/>
      <c r="FF9" s="232"/>
      <c r="FG9" s="232"/>
      <c r="FH9" s="232"/>
      <c r="FI9" s="25"/>
      <c r="FJ9" s="232"/>
      <c r="FK9" s="25"/>
      <c r="FL9" s="25"/>
      <c r="FM9" s="25"/>
      <c r="FN9" s="25"/>
      <c r="FO9" s="50"/>
      <c r="FP9" s="50"/>
      <c r="FQ9" s="232"/>
      <c r="FR9" s="232"/>
      <c r="FS9" s="232"/>
      <c r="FT9" s="50"/>
      <c r="FU9" s="50"/>
      <c r="FV9" s="232"/>
      <c r="FW9" s="76"/>
      <c r="FX9" s="232"/>
      <c r="FY9" s="232"/>
      <c r="FZ9" s="50"/>
      <c r="GA9" s="50"/>
      <c r="GB9" s="50"/>
      <c r="GC9" s="50"/>
      <c r="GD9" s="50"/>
      <c r="GE9" s="52"/>
      <c r="GF9" s="281" t="s">
        <v>986</v>
      </c>
      <c r="GG9" s="281"/>
      <c r="GH9" s="291">
        <f ca="1">IFERROR(SUMIF(Pln_y5PlannedWork,"Yes",Pln_PlannedWorksCost),0)</f>
        <v>0</v>
      </c>
      <c r="GI9" s="283"/>
      <c r="GJ9" s="47" t="s">
        <v>569</v>
      </c>
      <c r="GK9" s="533"/>
      <c r="GL9" s="238" t="s">
        <v>177</v>
      </c>
      <c r="GM9" s="299">
        <f t="shared" ca="1" si="0"/>
        <v>0</v>
      </c>
    </row>
    <row r="10" spans="1:195" ht="12.75" customHeight="1" x14ac:dyDescent="0.2">
      <c r="B10" s="25"/>
      <c r="C10" s="25"/>
      <c r="D10" s="232"/>
      <c r="E10" s="232"/>
      <c r="F10" s="232"/>
      <c r="G10" s="25"/>
      <c r="H10" s="25"/>
      <c r="I10" s="234"/>
      <c r="J10" s="25"/>
      <c r="K10" s="25"/>
      <c r="L10" s="25"/>
      <c r="M10" s="25"/>
      <c r="N10" s="25"/>
      <c r="O10" s="232"/>
      <c r="P10" s="25"/>
      <c r="Q10" s="232"/>
      <c r="R10" s="25"/>
      <c r="S10" s="25"/>
      <c r="T10" s="232"/>
      <c r="U10" s="232"/>
      <c r="V10" s="25"/>
      <c r="W10" s="236"/>
      <c r="X10" s="236"/>
      <c r="Y10" s="25"/>
      <c r="Z10" s="25"/>
      <c r="AA10" s="25"/>
      <c r="AB10" s="232"/>
      <c r="AC10" s="25"/>
      <c r="AD10" s="232"/>
      <c r="AE10" s="25"/>
      <c r="AF10" s="232"/>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32"/>
      <c r="BG10" s="50"/>
      <c r="BH10" s="25"/>
      <c r="BI10" s="50"/>
      <c r="BJ10" s="50"/>
      <c r="BK10" s="50"/>
      <c r="BL10" s="232"/>
      <c r="BM10" s="232"/>
      <c r="BN10" s="232"/>
      <c r="BO10" s="232"/>
      <c r="BP10" s="232"/>
      <c r="BQ10" s="232"/>
      <c r="BR10" s="232"/>
      <c r="BS10" s="232"/>
      <c r="BT10" s="232"/>
      <c r="BU10" s="232"/>
      <c r="BV10" s="232"/>
      <c r="BW10" s="232"/>
      <c r="BX10" s="232"/>
      <c r="BY10" s="232"/>
      <c r="BZ10" s="232"/>
      <c r="CA10" s="50"/>
      <c r="CB10" s="232"/>
      <c r="CC10" s="232"/>
      <c r="CD10" s="25"/>
      <c r="CE10" s="25"/>
      <c r="CF10" s="232"/>
      <c r="CG10" s="25"/>
      <c r="CH10" s="25"/>
      <c r="CI10" s="25"/>
      <c r="CJ10" s="25"/>
      <c r="CK10" s="25"/>
      <c r="CL10" s="232"/>
      <c r="CM10" s="25"/>
      <c r="CN10" s="232"/>
      <c r="CO10" s="25"/>
      <c r="CP10" s="232"/>
      <c r="CQ10" s="232"/>
      <c r="CR10" s="232"/>
      <c r="CS10" s="232"/>
      <c r="CT10" s="232"/>
      <c r="CU10" s="232"/>
      <c r="CV10" s="232"/>
      <c r="CW10" s="232"/>
      <c r="CX10" s="232"/>
      <c r="CY10" s="232"/>
      <c r="CZ10" s="232"/>
      <c r="DA10" s="25"/>
      <c r="DB10" s="232"/>
      <c r="DC10" s="232"/>
      <c r="DD10" s="232"/>
      <c r="DE10" s="25"/>
      <c r="DF10" s="232"/>
      <c r="DG10" s="25"/>
      <c r="DH10" s="232"/>
      <c r="DI10" s="232"/>
      <c r="DJ10" s="25"/>
      <c r="DK10" s="25"/>
      <c r="DM10" s="25"/>
      <c r="DN10" s="25"/>
      <c r="DO10" s="25"/>
      <c r="DP10" s="25"/>
      <c r="DQ10" s="25"/>
      <c r="DR10" s="232"/>
      <c r="DS10" s="25"/>
      <c r="DT10" s="232"/>
      <c r="DU10" s="232"/>
      <c r="DV10" s="25"/>
      <c r="DW10" s="232"/>
      <c r="DX10" s="232"/>
      <c r="DY10" s="232"/>
      <c r="DZ10" s="232"/>
      <c r="EA10" s="232"/>
      <c r="EB10" s="232"/>
      <c r="EC10" s="232"/>
      <c r="ED10" s="232"/>
      <c r="EE10" s="50"/>
      <c r="EF10" s="50"/>
      <c r="EG10" s="25"/>
      <c r="EH10" s="232"/>
      <c r="EI10" s="232"/>
      <c r="EJ10" s="232"/>
      <c r="EK10" s="232"/>
      <c r="EL10" s="25"/>
      <c r="EN10" s="25"/>
      <c r="EW10" s="20"/>
      <c r="EX10" s="26"/>
      <c r="EY10" s="26"/>
      <c r="EZ10" s="26"/>
      <c r="FA10" s="26"/>
      <c r="FB10" s="25"/>
      <c r="FC10" s="232"/>
      <c r="FD10" s="232"/>
      <c r="FE10" s="232"/>
      <c r="FF10" s="232"/>
      <c r="FG10" s="232"/>
      <c r="FH10" s="232"/>
      <c r="FI10" s="25"/>
      <c r="FJ10" s="232"/>
      <c r="FK10" s="25"/>
      <c r="FL10" s="25"/>
      <c r="FM10" s="25"/>
      <c r="FN10" s="25"/>
      <c r="FO10" s="50"/>
      <c r="FP10" s="50"/>
      <c r="FQ10" s="232"/>
      <c r="FR10" s="232"/>
      <c r="FS10" s="232"/>
      <c r="FT10" s="50"/>
      <c r="FU10" s="50"/>
      <c r="FV10" s="232"/>
      <c r="FW10" s="76"/>
      <c r="FX10" s="232"/>
      <c r="FY10" s="232"/>
      <c r="FZ10" s="50"/>
      <c r="GA10" s="50"/>
      <c r="GB10" s="50"/>
      <c r="GC10" s="50"/>
      <c r="GD10" s="50"/>
      <c r="GE10" s="52"/>
      <c r="GF10" s="281" t="s">
        <v>932</v>
      </c>
      <c r="GG10" s="281"/>
      <c r="GH10" s="291">
        <f>IFERROR(SUM(Routine!G5:G9),0)</f>
        <v>0</v>
      </c>
      <c r="GI10" s="283"/>
      <c r="GJ10" s="47" t="s">
        <v>568</v>
      </c>
      <c r="GK10" s="533"/>
      <c r="GL10" s="238" t="s">
        <v>176</v>
      </c>
      <c r="GM10" s="299">
        <f t="shared" ca="1" si="0"/>
        <v>0</v>
      </c>
    </row>
    <row r="11" spans="1:195" ht="12.75" customHeight="1" x14ac:dyDescent="0.2">
      <c r="B11" s="25"/>
      <c r="C11" s="25"/>
      <c r="D11" s="232"/>
      <c r="E11" s="232"/>
      <c r="F11" s="232"/>
      <c r="G11" s="25"/>
      <c r="H11" s="25"/>
      <c r="I11" s="234"/>
      <c r="J11" s="25"/>
      <c r="K11" s="25"/>
      <c r="L11" s="25"/>
      <c r="M11" s="25"/>
      <c r="N11" s="25"/>
      <c r="O11" s="232"/>
      <c r="P11" s="25"/>
      <c r="Q11" s="232"/>
      <c r="R11" s="25"/>
      <c r="S11" s="25"/>
      <c r="T11" s="232"/>
      <c r="U11" s="232"/>
      <c r="V11" s="25"/>
      <c r="W11" s="236"/>
      <c r="X11" s="236"/>
      <c r="Y11" s="25"/>
      <c r="Z11" s="25"/>
      <c r="AA11" s="25"/>
      <c r="AB11" s="232"/>
      <c r="AC11" s="25"/>
      <c r="AD11" s="232"/>
      <c r="AE11" s="25"/>
      <c r="AF11" s="232"/>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32"/>
      <c r="BG11" s="50"/>
      <c r="BH11" s="25"/>
      <c r="BI11" s="50"/>
      <c r="BJ11" s="50"/>
      <c r="BK11" s="50"/>
      <c r="BL11" s="232"/>
      <c r="BM11" s="232"/>
      <c r="BN11" s="232"/>
      <c r="BO11" s="232"/>
      <c r="BP11" s="232"/>
      <c r="BQ11" s="232"/>
      <c r="BR11" s="232"/>
      <c r="BS11" s="232"/>
      <c r="BT11" s="232"/>
      <c r="BU11" s="232"/>
      <c r="BV11" s="232"/>
      <c r="BW11" s="232"/>
      <c r="BX11" s="232"/>
      <c r="BY11" s="232"/>
      <c r="BZ11" s="232"/>
      <c r="CA11" s="50"/>
      <c r="CB11" s="232"/>
      <c r="CC11" s="232"/>
      <c r="CD11" s="25"/>
      <c r="CE11" s="25"/>
      <c r="CF11" s="232"/>
      <c r="CG11" s="25"/>
      <c r="CH11" s="25"/>
      <c r="CI11" s="25"/>
      <c r="CJ11" s="25"/>
      <c r="CK11" s="25"/>
      <c r="CL11" s="232"/>
      <c r="CM11" s="25"/>
      <c r="CN11" s="232"/>
      <c r="CO11" s="25"/>
      <c r="CP11" s="232"/>
      <c r="CQ11" s="232"/>
      <c r="CR11" s="232"/>
      <c r="CS11" s="232"/>
      <c r="CT11" s="232"/>
      <c r="CU11" s="232"/>
      <c r="CV11" s="232"/>
      <c r="CW11" s="232"/>
      <c r="CX11" s="232"/>
      <c r="CY11" s="232"/>
      <c r="CZ11" s="232"/>
      <c r="DA11" s="25"/>
      <c r="DB11" s="232"/>
      <c r="DC11" s="232"/>
      <c r="DD11" s="232"/>
      <c r="DE11" s="25"/>
      <c r="DF11" s="232"/>
      <c r="DG11" s="25"/>
      <c r="DH11" s="232"/>
      <c r="DI11" s="232"/>
      <c r="DJ11" s="25"/>
      <c r="DK11" s="25"/>
      <c r="DM11" s="25"/>
      <c r="DN11" s="25"/>
      <c r="DO11" s="25"/>
      <c r="DP11" s="25"/>
      <c r="DQ11" s="25"/>
      <c r="DR11" s="232"/>
      <c r="DS11" s="25"/>
      <c r="DT11" s="232"/>
      <c r="DU11" s="232"/>
      <c r="DV11" s="25"/>
      <c r="DW11" s="232"/>
      <c r="DX11" s="232"/>
      <c r="DY11" s="232"/>
      <c r="DZ11" s="232"/>
      <c r="EA11" s="232"/>
      <c r="EB11" s="232"/>
      <c r="EC11" s="232"/>
      <c r="ED11" s="232"/>
      <c r="EE11" s="50"/>
      <c r="EF11" s="50"/>
      <c r="EG11" s="25"/>
      <c r="EH11" s="232"/>
      <c r="EI11" s="232"/>
      <c r="EJ11" s="232"/>
      <c r="EK11" s="232"/>
      <c r="EL11" s="25"/>
      <c r="EN11" s="25"/>
      <c r="EW11" s="20"/>
      <c r="EX11" s="26"/>
      <c r="EY11" s="26"/>
      <c r="EZ11" s="26"/>
      <c r="FA11" s="26"/>
      <c r="FB11" s="25"/>
      <c r="FC11" s="232"/>
      <c r="FD11" s="232"/>
      <c r="FE11" s="232"/>
      <c r="FF11" s="232"/>
      <c r="FG11" s="232"/>
      <c r="FH11" s="232"/>
      <c r="FI11" s="25"/>
      <c r="FJ11" s="232"/>
      <c r="FK11" s="25"/>
      <c r="FL11" s="25"/>
      <c r="FM11" s="25"/>
      <c r="FN11" s="25"/>
      <c r="FO11" s="50"/>
      <c r="FP11" s="50"/>
      <c r="FQ11" s="232"/>
      <c r="FR11" s="232"/>
      <c r="FS11" s="232"/>
      <c r="FT11" s="50"/>
      <c r="FU11" s="50"/>
      <c r="FV11" s="232"/>
      <c r="FW11" s="76"/>
      <c r="FX11" s="232"/>
      <c r="FY11" s="232"/>
      <c r="FZ11" s="50"/>
      <c r="GA11" s="50"/>
      <c r="GB11" s="50"/>
      <c r="GC11" s="50"/>
      <c r="GD11" s="50"/>
      <c r="GE11" s="52"/>
      <c r="GF11" s="281" t="s">
        <v>1004</v>
      </c>
      <c r="GG11" s="281"/>
      <c r="GH11" s="291" t="e">
        <f ca="1">GH6-(GH8+GH9+GH10)</f>
        <v>#REF!</v>
      </c>
      <c r="GI11" s="283"/>
      <c r="GJ11" s="49" t="s">
        <v>681</v>
      </c>
      <c r="GK11" s="533"/>
      <c r="GL11" s="238" t="s">
        <v>25</v>
      </c>
      <c r="GM11" s="299">
        <f t="shared" ca="1" si="0"/>
        <v>0</v>
      </c>
    </row>
    <row r="12" spans="1:195" ht="12.75" customHeight="1" x14ac:dyDescent="0.2">
      <c r="B12" s="25"/>
      <c r="C12" s="25"/>
      <c r="D12" s="232"/>
      <c r="E12" s="232"/>
      <c r="F12" s="232"/>
      <c r="G12" s="25"/>
      <c r="H12" s="25"/>
      <c r="I12" s="234"/>
      <c r="J12" s="25"/>
      <c r="K12" s="25"/>
      <c r="L12" s="25"/>
      <c r="M12" s="25"/>
      <c r="N12" s="25"/>
      <c r="O12" s="232"/>
      <c r="P12" s="25"/>
      <c r="Q12" s="232"/>
      <c r="R12" s="25"/>
      <c r="S12" s="25"/>
      <c r="T12" s="232"/>
      <c r="U12" s="232"/>
      <c r="V12" s="25"/>
      <c r="W12" s="236"/>
      <c r="X12" s="236"/>
      <c r="Y12" s="25"/>
      <c r="Z12" s="25"/>
      <c r="AA12" s="25"/>
      <c r="AB12" s="232"/>
      <c r="AC12" s="25"/>
      <c r="AD12" s="232"/>
      <c r="AE12" s="25"/>
      <c r="AF12" s="232"/>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32"/>
      <c r="BG12" s="50"/>
      <c r="BH12" s="25"/>
      <c r="BI12" s="50"/>
      <c r="BJ12" s="50"/>
      <c r="BK12" s="50"/>
      <c r="BL12" s="232"/>
      <c r="BM12" s="232"/>
      <c r="BN12" s="232"/>
      <c r="BO12" s="232"/>
      <c r="BP12" s="232"/>
      <c r="BQ12" s="232"/>
      <c r="BR12" s="232"/>
      <c r="BS12" s="232"/>
      <c r="BT12" s="232"/>
      <c r="BU12" s="232"/>
      <c r="BV12" s="232"/>
      <c r="BW12" s="232"/>
      <c r="BX12" s="232"/>
      <c r="BY12" s="232"/>
      <c r="BZ12" s="232"/>
      <c r="CA12" s="50"/>
      <c r="CB12" s="232"/>
      <c r="CC12" s="232"/>
      <c r="CD12" s="25"/>
      <c r="CE12" s="25"/>
      <c r="CF12" s="232"/>
      <c r="CG12" s="25"/>
      <c r="CH12" s="25"/>
      <c r="CI12" s="25"/>
      <c r="CJ12" s="25"/>
      <c r="CK12" s="25"/>
      <c r="CL12" s="232"/>
      <c r="CM12" s="25"/>
      <c r="CN12" s="232"/>
      <c r="CO12" s="25"/>
      <c r="CP12" s="232"/>
      <c r="CQ12" s="232"/>
      <c r="CR12" s="232"/>
      <c r="CS12" s="232"/>
      <c r="CT12" s="232"/>
      <c r="CU12" s="232"/>
      <c r="CV12" s="232"/>
      <c r="CW12" s="232"/>
      <c r="CX12" s="232"/>
      <c r="CY12" s="232"/>
      <c r="CZ12" s="232"/>
      <c r="DA12" s="25"/>
      <c r="DB12" s="232"/>
      <c r="DC12" s="232"/>
      <c r="DD12" s="232"/>
      <c r="DE12" s="25"/>
      <c r="DF12" s="232"/>
      <c r="DG12" s="25"/>
      <c r="DH12" s="232"/>
      <c r="DI12" s="232"/>
      <c r="DJ12" s="25"/>
      <c r="DK12" s="25"/>
      <c r="DM12" s="25"/>
      <c r="DN12" s="25"/>
      <c r="DO12" s="25"/>
      <c r="DP12" s="25"/>
      <c r="DQ12" s="25"/>
      <c r="DR12" s="232"/>
      <c r="DS12" s="25"/>
      <c r="DT12" s="232"/>
      <c r="DU12" s="232"/>
      <c r="DV12" s="25"/>
      <c r="DW12" s="232"/>
      <c r="DX12" s="232"/>
      <c r="DY12" s="232"/>
      <c r="DZ12" s="232"/>
      <c r="EA12" s="232"/>
      <c r="EB12" s="232"/>
      <c r="EC12" s="232"/>
      <c r="ED12" s="232"/>
      <c r="EE12" s="50"/>
      <c r="EF12" s="50"/>
      <c r="EG12" s="25"/>
      <c r="EH12" s="232"/>
      <c r="EI12" s="232"/>
      <c r="EJ12" s="232"/>
      <c r="EK12" s="232"/>
      <c r="EL12" s="25"/>
      <c r="EN12" s="25"/>
      <c r="EW12" s="20"/>
      <c r="EX12" s="26"/>
      <c r="EY12" s="26"/>
      <c r="EZ12" s="26"/>
      <c r="FA12" s="26"/>
      <c r="FB12" s="25"/>
      <c r="FC12" s="232"/>
      <c r="FD12" s="232"/>
      <c r="FE12" s="232"/>
      <c r="FF12" s="232"/>
      <c r="FG12" s="232"/>
      <c r="FH12" s="232"/>
      <c r="FI12" s="25"/>
      <c r="FJ12" s="232"/>
      <c r="FK12" s="25"/>
      <c r="FL12" s="25"/>
      <c r="FM12" s="25"/>
      <c r="FN12" s="25"/>
      <c r="FO12" s="50"/>
      <c r="FP12" s="50"/>
      <c r="FQ12" s="232"/>
      <c r="FR12" s="232"/>
      <c r="FS12" s="232"/>
      <c r="FT12" s="50"/>
      <c r="FU12" s="50"/>
      <c r="FV12" s="232"/>
      <c r="FW12" s="76"/>
      <c r="FX12" s="232"/>
      <c r="FY12" s="232"/>
      <c r="FZ12" s="50"/>
      <c r="GA12" s="50"/>
      <c r="GB12" s="50"/>
      <c r="GC12" s="50"/>
      <c r="GD12" s="50"/>
      <c r="GE12" s="52"/>
      <c r="GF12" s="281" t="s">
        <v>709</v>
      </c>
      <c r="GG12" s="281" t="s">
        <v>711</v>
      </c>
      <c r="GH12" s="291">
        <f>SUMIF($G:$G,"Finite",$DX:$DX)+SUMIF($G:$G,"Finite",$DY:$DY)</f>
        <v>0</v>
      </c>
      <c r="GI12" s="283"/>
      <c r="GK12" s="533"/>
      <c r="GL12" s="238" t="s">
        <v>706</v>
      </c>
      <c r="GM12" s="299">
        <f ca="1">IFERROR((SUM(y5_SCIavDimensionforSSCIxAVF))/(SUM(Str_DimensionforSSCIxAVF)),0)</f>
        <v>0</v>
      </c>
    </row>
    <row r="13" spans="1:195" ht="12.75" customHeight="1" x14ac:dyDescent="0.2">
      <c r="B13" s="25"/>
      <c r="C13" s="25"/>
      <c r="D13" s="232"/>
      <c r="E13" s="232"/>
      <c r="F13" s="232"/>
      <c r="G13" s="25"/>
      <c r="H13" s="25"/>
      <c r="I13" s="234"/>
      <c r="J13" s="25"/>
      <c r="K13" s="25"/>
      <c r="L13" s="25"/>
      <c r="M13" s="25"/>
      <c r="N13" s="25"/>
      <c r="O13" s="232"/>
      <c r="P13" s="25"/>
      <c r="Q13" s="232"/>
      <c r="R13" s="25"/>
      <c r="S13" s="25"/>
      <c r="T13" s="232"/>
      <c r="U13" s="232"/>
      <c r="V13" s="25"/>
      <c r="W13" s="236"/>
      <c r="X13" s="236"/>
      <c r="Y13" s="25"/>
      <c r="Z13" s="25"/>
      <c r="AA13" s="25"/>
      <c r="AB13" s="232"/>
      <c r="AC13" s="25"/>
      <c r="AD13" s="232"/>
      <c r="AE13" s="25"/>
      <c r="AF13" s="232"/>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32"/>
      <c r="BG13" s="50"/>
      <c r="BH13" s="25"/>
      <c r="BI13" s="50"/>
      <c r="BJ13" s="50"/>
      <c r="BK13" s="50"/>
      <c r="BL13" s="232"/>
      <c r="BM13" s="232"/>
      <c r="BN13" s="232"/>
      <c r="BO13" s="232"/>
      <c r="BP13" s="232"/>
      <c r="BQ13" s="232"/>
      <c r="BR13" s="232"/>
      <c r="BS13" s="232"/>
      <c r="BT13" s="232"/>
      <c r="BU13" s="232"/>
      <c r="BV13" s="232"/>
      <c r="BW13" s="232"/>
      <c r="BX13" s="232"/>
      <c r="BY13" s="232"/>
      <c r="BZ13" s="232"/>
      <c r="CA13" s="50"/>
      <c r="CB13" s="232"/>
      <c r="CC13" s="232"/>
      <c r="CD13" s="25"/>
      <c r="CE13" s="25"/>
      <c r="CF13" s="232"/>
      <c r="CG13" s="25"/>
      <c r="CH13" s="25"/>
      <c r="CI13" s="25"/>
      <c r="CJ13" s="25"/>
      <c r="CK13" s="25"/>
      <c r="CL13" s="232"/>
      <c r="CM13" s="25"/>
      <c r="CN13" s="232"/>
      <c r="CO13" s="25"/>
      <c r="CP13" s="232"/>
      <c r="CQ13" s="232"/>
      <c r="CR13" s="232"/>
      <c r="CS13" s="232"/>
      <c r="CT13" s="232"/>
      <c r="CU13" s="232"/>
      <c r="CV13" s="232"/>
      <c r="CW13" s="232"/>
      <c r="CX13" s="232"/>
      <c r="CY13" s="232"/>
      <c r="CZ13" s="232"/>
      <c r="DA13" s="25"/>
      <c r="DB13" s="232"/>
      <c r="DC13" s="232"/>
      <c r="DD13" s="232"/>
      <c r="DE13" s="25"/>
      <c r="DF13" s="232"/>
      <c r="DG13" s="25"/>
      <c r="DH13" s="232"/>
      <c r="DI13" s="232"/>
      <c r="DJ13" s="25"/>
      <c r="DK13" s="25"/>
      <c r="DM13" s="25"/>
      <c r="DN13" s="25"/>
      <c r="DO13" s="25"/>
      <c r="DP13" s="25"/>
      <c r="DQ13" s="25"/>
      <c r="DR13" s="232"/>
      <c r="DS13" s="25"/>
      <c r="DT13" s="232"/>
      <c r="DU13" s="232"/>
      <c r="DV13" s="25"/>
      <c r="DW13" s="232"/>
      <c r="DX13" s="232"/>
      <c r="DY13" s="232"/>
      <c r="DZ13" s="232"/>
      <c r="EA13" s="232"/>
      <c r="EB13" s="232"/>
      <c r="EC13" s="232"/>
      <c r="ED13" s="232"/>
      <c r="EE13" s="50"/>
      <c r="EF13" s="50"/>
      <c r="EG13" s="25"/>
      <c r="EH13" s="232"/>
      <c r="EI13" s="232"/>
      <c r="EJ13" s="232"/>
      <c r="EK13" s="232"/>
      <c r="EL13" s="25"/>
      <c r="EN13" s="25"/>
      <c r="EW13" s="20"/>
      <c r="EX13" s="26"/>
      <c r="EY13" s="26"/>
      <c r="EZ13" s="26"/>
      <c r="FA13" s="26"/>
      <c r="FB13" s="25"/>
      <c r="FC13" s="232"/>
      <c r="FD13" s="232"/>
      <c r="FE13" s="232"/>
      <c r="FF13" s="232"/>
      <c r="FG13" s="232"/>
      <c r="FH13" s="232"/>
      <c r="FI13" s="25"/>
      <c r="FJ13" s="232"/>
      <c r="FK13" s="25"/>
      <c r="FL13" s="25"/>
      <c r="FM13" s="25"/>
      <c r="FN13" s="25"/>
      <c r="FO13" s="50"/>
      <c r="FP13" s="50"/>
      <c r="FQ13" s="232"/>
      <c r="FR13" s="232"/>
      <c r="FS13" s="232"/>
      <c r="FT13" s="50"/>
      <c r="FU13" s="50"/>
      <c r="FV13" s="232"/>
      <c r="FW13" s="76"/>
      <c r="FX13" s="232"/>
      <c r="FY13" s="232"/>
      <c r="FZ13" s="50"/>
      <c r="GA13" s="50"/>
      <c r="GB13" s="50"/>
      <c r="GC13" s="50"/>
      <c r="GD13" s="50"/>
      <c r="GE13" s="52"/>
      <c r="GF13" s="281" t="s">
        <v>931</v>
      </c>
      <c r="GG13" s="281" t="s">
        <v>711</v>
      </c>
      <c r="GH13" s="291">
        <f>SUMIF($G:$G,"Finite",$EA:$EA)-GH$12</f>
        <v>0</v>
      </c>
      <c r="GI13" s="283"/>
      <c r="GK13" s="533" t="s">
        <v>182</v>
      </c>
      <c r="GL13" s="238" t="s">
        <v>181</v>
      </c>
      <c r="GM13" s="299">
        <f t="shared" ref="GM13:GM19" ca="1" si="1">IFERROR(SUMIF(Str_AVFStructureType,$GJ5,y5_SCIcritDimensionforSSCI)/SUMIF(Str_AVFStructureType,$GJ5,Str_DimensionforSSCI),0)</f>
        <v>0</v>
      </c>
    </row>
    <row r="14" spans="1:195" ht="12.75" customHeight="1" x14ac:dyDescent="0.2">
      <c r="B14" s="25"/>
      <c r="C14" s="25"/>
      <c r="D14" s="232"/>
      <c r="E14" s="232"/>
      <c r="F14" s="232"/>
      <c r="G14" s="25"/>
      <c r="H14" s="25"/>
      <c r="I14" s="234"/>
      <c r="J14" s="25"/>
      <c r="K14" s="25"/>
      <c r="L14" s="25"/>
      <c r="M14" s="25"/>
      <c r="N14" s="25"/>
      <c r="O14" s="232"/>
      <c r="P14" s="25"/>
      <c r="Q14" s="232"/>
      <c r="R14" s="25"/>
      <c r="S14" s="25"/>
      <c r="T14" s="232"/>
      <c r="U14" s="232"/>
      <c r="V14" s="25"/>
      <c r="W14" s="236"/>
      <c r="X14" s="236"/>
      <c r="Y14" s="25"/>
      <c r="Z14" s="25"/>
      <c r="AA14" s="25"/>
      <c r="AB14" s="232"/>
      <c r="AC14" s="25"/>
      <c r="AD14" s="232"/>
      <c r="AE14" s="25"/>
      <c r="AF14" s="232"/>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32"/>
      <c r="BG14" s="50"/>
      <c r="BH14" s="25"/>
      <c r="BI14" s="50"/>
      <c r="BJ14" s="50"/>
      <c r="BK14" s="50"/>
      <c r="BL14" s="232"/>
      <c r="BM14" s="232"/>
      <c r="BN14" s="232"/>
      <c r="BO14" s="232"/>
      <c r="BP14" s="232"/>
      <c r="BQ14" s="232"/>
      <c r="BR14" s="232"/>
      <c r="BS14" s="232"/>
      <c r="BT14" s="232"/>
      <c r="BU14" s="232"/>
      <c r="BV14" s="232"/>
      <c r="BW14" s="232"/>
      <c r="BX14" s="232"/>
      <c r="BY14" s="232"/>
      <c r="BZ14" s="232"/>
      <c r="CA14" s="50"/>
      <c r="CB14" s="232"/>
      <c r="CC14" s="232"/>
      <c r="CD14" s="25"/>
      <c r="CE14" s="25"/>
      <c r="CF14" s="232"/>
      <c r="CG14" s="25"/>
      <c r="CH14" s="25"/>
      <c r="CI14" s="25"/>
      <c r="CJ14" s="25"/>
      <c r="CK14" s="25"/>
      <c r="CL14" s="232"/>
      <c r="CM14" s="25"/>
      <c r="CN14" s="232"/>
      <c r="CO14" s="25"/>
      <c r="CP14" s="232"/>
      <c r="CQ14" s="232"/>
      <c r="CR14" s="232"/>
      <c r="CS14" s="232"/>
      <c r="CT14" s="232"/>
      <c r="CU14" s="232"/>
      <c r="CV14" s="232"/>
      <c r="CW14" s="232"/>
      <c r="CX14" s="232"/>
      <c r="CY14" s="232"/>
      <c r="CZ14" s="232"/>
      <c r="DA14" s="25"/>
      <c r="DB14" s="232"/>
      <c r="DC14" s="232"/>
      <c r="DD14" s="232"/>
      <c r="DE14" s="25"/>
      <c r="DF14" s="232"/>
      <c r="DG14" s="25"/>
      <c r="DH14" s="232"/>
      <c r="DI14" s="232"/>
      <c r="DJ14" s="25"/>
      <c r="DK14" s="25"/>
      <c r="DM14" s="25"/>
      <c r="DN14" s="25"/>
      <c r="DO14" s="25"/>
      <c r="DP14" s="25"/>
      <c r="DQ14" s="25"/>
      <c r="DR14" s="232"/>
      <c r="DS14" s="25"/>
      <c r="DT14" s="232"/>
      <c r="DU14" s="232"/>
      <c r="DV14" s="25"/>
      <c r="DW14" s="232"/>
      <c r="DX14" s="232"/>
      <c r="DY14" s="232"/>
      <c r="DZ14" s="232"/>
      <c r="EA14" s="232"/>
      <c r="EB14" s="232"/>
      <c r="EC14" s="232"/>
      <c r="ED14" s="232"/>
      <c r="EE14" s="50"/>
      <c r="EF14" s="50"/>
      <c r="EG14" s="25"/>
      <c r="EH14" s="232"/>
      <c r="EI14" s="232"/>
      <c r="EJ14" s="232"/>
      <c r="EK14" s="232"/>
      <c r="EL14" s="25"/>
      <c r="EN14" s="25"/>
      <c r="EW14" s="20"/>
      <c r="EX14" s="26"/>
      <c r="EY14" s="26"/>
      <c r="EZ14" s="26"/>
      <c r="FA14" s="26"/>
      <c r="FB14" s="25"/>
      <c r="FC14" s="232"/>
      <c r="FD14" s="232"/>
      <c r="FE14" s="232"/>
      <c r="FF14" s="232"/>
      <c r="FG14" s="232"/>
      <c r="FH14" s="232"/>
      <c r="FI14" s="25"/>
      <c r="FJ14" s="232"/>
      <c r="FK14" s="25"/>
      <c r="FL14" s="25"/>
      <c r="FM14" s="25"/>
      <c r="FN14" s="25"/>
      <c r="FO14" s="50"/>
      <c r="FP14" s="50"/>
      <c r="FQ14" s="232"/>
      <c r="FR14" s="232"/>
      <c r="FS14" s="232"/>
      <c r="FT14" s="50"/>
      <c r="FU14" s="50"/>
      <c r="FV14" s="232"/>
      <c r="FW14" s="76"/>
      <c r="FX14" s="232"/>
      <c r="FY14" s="232"/>
      <c r="FZ14" s="50"/>
      <c r="GA14" s="50"/>
      <c r="GB14" s="50"/>
      <c r="GC14" s="50"/>
      <c r="GD14" s="50"/>
      <c r="GE14" s="52"/>
      <c r="GF14" s="281" t="s">
        <v>709</v>
      </c>
      <c r="GG14" s="281" t="s">
        <v>708</v>
      </c>
      <c r="GH14" s="291" t="e">
        <f ca="1">SUMIF($G:$G,"Indefinite",$DX:$DX)+SUMIF($G:$G,"Indefinite",$DY:$DY)</f>
        <v>#REF!</v>
      </c>
      <c r="GI14" s="283"/>
      <c r="GK14" s="533"/>
      <c r="GL14" s="238" t="s">
        <v>180</v>
      </c>
      <c r="GM14" s="299">
        <f t="shared" ca="1" si="1"/>
        <v>0</v>
      </c>
    </row>
    <row r="15" spans="1:195" ht="12.75" customHeight="1" x14ac:dyDescent="0.2">
      <c r="B15" s="25"/>
      <c r="C15" s="25"/>
      <c r="D15" s="232"/>
      <c r="E15" s="232"/>
      <c r="F15" s="232"/>
      <c r="G15" s="25"/>
      <c r="H15" s="25"/>
      <c r="I15" s="234"/>
      <c r="J15" s="25"/>
      <c r="K15" s="25"/>
      <c r="L15" s="25"/>
      <c r="M15" s="25"/>
      <c r="N15" s="25"/>
      <c r="O15" s="232"/>
      <c r="P15" s="25"/>
      <c r="Q15" s="232"/>
      <c r="R15" s="25"/>
      <c r="S15" s="25"/>
      <c r="T15" s="232"/>
      <c r="U15" s="232"/>
      <c r="V15" s="25"/>
      <c r="W15" s="236"/>
      <c r="X15" s="236"/>
      <c r="Y15" s="25"/>
      <c r="Z15" s="25"/>
      <c r="AA15" s="25"/>
      <c r="AB15" s="232"/>
      <c r="AC15" s="25"/>
      <c r="AD15" s="232"/>
      <c r="AE15" s="25"/>
      <c r="AF15" s="232"/>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32"/>
      <c r="BG15" s="50"/>
      <c r="BH15" s="25"/>
      <c r="BI15" s="50"/>
      <c r="BJ15" s="50"/>
      <c r="BK15" s="50"/>
      <c r="BL15" s="232"/>
      <c r="BM15" s="232"/>
      <c r="BN15" s="232"/>
      <c r="BO15" s="232"/>
      <c r="BP15" s="232"/>
      <c r="BQ15" s="232"/>
      <c r="BR15" s="232"/>
      <c r="BS15" s="232"/>
      <c r="BT15" s="232"/>
      <c r="BU15" s="232"/>
      <c r="BV15" s="232"/>
      <c r="BW15" s="232"/>
      <c r="BX15" s="232"/>
      <c r="BY15" s="232"/>
      <c r="BZ15" s="232"/>
      <c r="CA15" s="50"/>
      <c r="CB15" s="232"/>
      <c r="CC15" s="232"/>
      <c r="CD15" s="25"/>
      <c r="CE15" s="25"/>
      <c r="CF15" s="232"/>
      <c r="CG15" s="25"/>
      <c r="CH15" s="25"/>
      <c r="CI15" s="25"/>
      <c r="CJ15" s="25"/>
      <c r="CK15" s="25"/>
      <c r="CL15" s="232"/>
      <c r="CM15" s="25"/>
      <c r="CN15" s="232"/>
      <c r="CO15" s="25"/>
      <c r="CP15" s="232"/>
      <c r="CQ15" s="232"/>
      <c r="CR15" s="232"/>
      <c r="CS15" s="232"/>
      <c r="CT15" s="232"/>
      <c r="CU15" s="232"/>
      <c r="CV15" s="232"/>
      <c r="CW15" s="232"/>
      <c r="CX15" s="232"/>
      <c r="CY15" s="232"/>
      <c r="CZ15" s="232"/>
      <c r="DA15" s="25"/>
      <c r="DB15" s="232"/>
      <c r="DC15" s="232"/>
      <c r="DD15" s="232"/>
      <c r="DE15" s="25"/>
      <c r="DF15" s="232"/>
      <c r="DG15" s="25"/>
      <c r="DH15" s="232"/>
      <c r="DI15" s="232"/>
      <c r="DJ15" s="25"/>
      <c r="DK15" s="25"/>
      <c r="DM15" s="25"/>
      <c r="DN15" s="25"/>
      <c r="DO15" s="25"/>
      <c r="DP15" s="25"/>
      <c r="DQ15" s="25"/>
      <c r="DR15" s="232"/>
      <c r="DS15" s="25"/>
      <c r="DT15" s="232"/>
      <c r="DU15" s="232"/>
      <c r="DV15" s="25"/>
      <c r="DW15" s="232"/>
      <c r="DX15" s="232"/>
      <c r="DY15" s="232"/>
      <c r="DZ15" s="232"/>
      <c r="EA15" s="232"/>
      <c r="EB15" s="232"/>
      <c r="EC15" s="232"/>
      <c r="ED15" s="232"/>
      <c r="EE15" s="50"/>
      <c r="EF15" s="50"/>
      <c r="EG15" s="25"/>
      <c r="EH15" s="232"/>
      <c r="EI15" s="232"/>
      <c r="EJ15" s="232"/>
      <c r="EK15" s="232"/>
      <c r="EL15" s="25"/>
      <c r="EN15" s="25"/>
      <c r="EW15" s="20"/>
      <c r="EX15" s="26"/>
      <c r="EY15" s="26"/>
      <c r="EZ15" s="26"/>
      <c r="FA15" s="26"/>
      <c r="FB15" s="25"/>
      <c r="FC15" s="232"/>
      <c r="FD15" s="232"/>
      <c r="FE15" s="232"/>
      <c r="FF15" s="232"/>
      <c r="FG15" s="232"/>
      <c r="FH15" s="232"/>
      <c r="FI15" s="25"/>
      <c r="FJ15" s="232"/>
      <c r="FK15" s="25"/>
      <c r="FL15" s="25"/>
      <c r="FM15" s="25"/>
      <c r="FN15" s="25"/>
      <c r="FO15" s="50"/>
      <c r="FP15" s="50"/>
      <c r="FQ15" s="232"/>
      <c r="FR15" s="232"/>
      <c r="FS15" s="232"/>
      <c r="FT15" s="50"/>
      <c r="FU15" s="50"/>
      <c r="FV15" s="232"/>
      <c r="FW15" s="76"/>
      <c r="FX15" s="232"/>
      <c r="FY15" s="232"/>
      <c r="FZ15" s="50"/>
      <c r="GA15" s="50"/>
      <c r="GB15" s="50"/>
      <c r="GC15" s="50"/>
      <c r="GD15" s="50"/>
      <c r="GE15" s="52"/>
      <c r="GF15" s="281" t="s">
        <v>931</v>
      </c>
      <c r="GG15" s="281" t="s">
        <v>708</v>
      </c>
      <c r="GH15" s="291" t="e">
        <f ca="1">SUMIF($G:$G,"Indefinite",$EA:$EA)-GH$14</f>
        <v>#REF!</v>
      </c>
      <c r="GI15" s="283"/>
      <c r="GK15" s="533"/>
      <c r="GL15" s="238" t="s">
        <v>179</v>
      </c>
      <c r="GM15" s="299">
        <f t="shared" ca="1" si="1"/>
        <v>0</v>
      </c>
    </row>
    <row r="16" spans="1:195" ht="12.75" customHeight="1" x14ac:dyDescent="0.2">
      <c r="B16" s="25"/>
      <c r="C16" s="25"/>
      <c r="D16" s="232"/>
      <c r="E16" s="232"/>
      <c r="F16" s="232"/>
      <c r="G16" s="25"/>
      <c r="H16" s="25"/>
      <c r="I16" s="234"/>
      <c r="J16" s="25"/>
      <c r="K16" s="25"/>
      <c r="L16" s="25"/>
      <c r="M16" s="25"/>
      <c r="N16" s="25"/>
      <c r="O16" s="232"/>
      <c r="P16" s="25"/>
      <c r="Q16" s="232"/>
      <c r="R16" s="25"/>
      <c r="S16" s="25"/>
      <c r="T16" s="232"/>
      <c r="U16" s="232"/>
      <c r="V16" s="25"/>
      <c r="W16" s="236"/>
      <c r="X16" s="236"/>
      <c r="Y16" s="25"/>
      <c r="Z16" s="25"/>
      <c r="AA16" s="25"/>
      <c r="AB16" s="232"/>
      <c r="AC16" s="25"/>
      <c r="AD16" s="232"/>
      <c r="AE16" s="25"/>
      <c r="AF16" s="232"/>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32"/>
      <c r="BG16" s="50"/>
      <c r="BH16" s="25"/>
      <c r="BI16" s="50"/>
      <c r="BJ16" s="50"/>
      <c r="BK16" s="50"/>
      <c r="BL16" s="232"/>
      <c r="BM16" s="232"/>
      <c r="BN16" s="232"/>
      <c r="BO16" s="232"/>
      <c r="BP16" s="232"/>
      <c r="BQ16" s="232"/>
      <c r="BR16" s="232"/>
      <c r="BS16" s="232"/>
      <c r="BT16" s="232"/>
      <c r="BU16" s="232"/>
      <c r="BV16" s="232"/>
      <c r="BW16" s="232"/>
      <c r="BX16" s="232"/>
      <c r="BY16" s="232"/>
      <c r="BZ16" s="232"/>
      <c r="CA16" s="50"/>
      <c r="CB16" s="232"/>
      <c r="CC16" s="232"/>
      <c r="CD16" s="25"/>
      <c r="CE16" s="25"/>
      <c r="CF16" s="232"/>
      <c r="CG16" s="25"/>
      <c r="CH16" s="25"/>
      <c r="CI16" s="25"/>
      <c r="CJ16" s="25"/>
      <c r="CK16" s="25"/>
      <c r="CL16" s="232"/>
      <c r="CM16" s="25"/>
      <c r="CN16" s="232"/>
      <c r="CO16" s="25"/>
      <c r="CP16" s="232"/>
      <c r="CQ16" s="232"/>
      <c r="CR16" s="232"/>
      <c r="CS16" s="232"/>
      <c r="CT16" s="232"/>
      <c r="CU16" s="232"/>
      <c r="CV16" s="232"/>
      <c r="CW16" s="232"/>
      <c r="CX16" s="232"/>
      <c r="CY16" s="232"/>
      <c r="CZ16" s="232"/>
      <c r="DA16" s="25"/>
      <c r="DB16" s="232"/>
      <c r="DC16" s="232"/>
      <c r="DD16" s="232"/>
      <c r="DE16" s="25"/>
      <c r="DF16" s="232"/>
      <c r="DG16" s="25"/>
      <c r="DH16" s="232"/>
      <c r="DI16" s="232"/>
      <c r="DJ16" s="25"/>
      <c r="DK16" s="25"/>
      <c r="DM16" s="25"/>
      <c r="DN16" s="25"/>
      <c r="DO16" s="25"/>
      <c r="DP16" s="25"/>
      <c r="DQ16" s="25"/>
      <c r="DR16" s="232"/>
      <c r="DS16" s="25"/>
      <c r="DT16" s="232"/>
      <c r="DU16" s="232"/>
      <c r="DV16" s="25"/>
      <c r="DW16" s="232"/>
      <c r="DX16" s="232"/>
      <c r="DY16" s="232"/>
      <c r="DZ16" s="232"/>
      <c r="EA16" s="232"/>
      <c r="EB16" s="232"/>
      <c r="EC16" s="232"/>
      <c r="ED16" s="232"/>
      <c r="EE16" s="50"/>
      <c r="EF16" s="50"/>
      <c r="EG16" s="25"/>
      <c r="EH16" s="232"/>
      <c r="EI16" s="232"/>
      <c r="EJ16" s="232"/>
      <c r="EK16" s="232"/>
      <c r="EL16" s="25"/>
      <c r="EN16" s="25"/>
      <c r="EW16" s="20"/>
      <c r="EX16" s="26"/>
      <c r="EY16" s="26"/>
      <c r="EZ16" s="26"/>
      <c r="FA16" s="26"/>
      <c r="FB16" s="25"/>
      <c r="FC16" s="232"/>
      <c r="FD16" s="232"/>
      <c r="FE16" s="232"/>
      <c r="FF16" s="232"/>
      <c r="FG16" s="232"/>
      <c r="FH16" s="232"/>
      <c r="FI16" s="25"/>
      <c r="FJ16" s="232"/>
      <c r="FK16" s="25"/>
      <c r="FL16" s="25"/>
      <c r="FM16" s="25"/>
      <c r="FN16" s="25"/>
      <c r="FO16" s="50"/>
      <c r="FP16" s="50"/>
      <c r="FQ16" s="232"/>
      <c r="FR16" s="232"/>
      <c r="FS16" s="232"/>
      <c r="FT16" s="50"/>
      <c r="FU16" s="50"/>
      <c r="FV16" s="232"/>
      <c r="FW16" s="76"/>
      <c r="FX16" s="232"/>
      <c r="FY16" s="232"/>
      <c r="FZ16" s="50"/>
      <c r="GA16" s="50"/>
      <c r="GB16" s="50"/>
      <c r="GC16" s="50"/>
      <c r="GD16" s="50"/>
      <c r="GE16" s="52"/>
      <c r="GF16" s="281" t="s">
        <v>184</v>
      </c>
      <c r="GG16" s="281"/>
      <c r="GH16" s="291" t="e">
        <f ca="1">GH12+GH14</f>
        <v>#REF!</v>
      </c>
      <c r="GI16" s="283"/>
      <c r="GK16" s="533"/>
      <c r="GL16" s="238" t="s">
        <v>178</v>
      </c>
      <c r="GM16" s="299">
        <f t="shared" ca="1" si="1"/>
        <v>0</v>
      </c>
    </row>
    <row r="17" spans="2:195" ht="12.75" customHeight="1" x14ac:dyDescent="0.2">
      <c r="B17" s="25"/>
      <c r="C17" s="25"/>
      <c r="D17" s="232"/>
      <c r="E17" s="232"/>
      <c r="F17" s="232"/>
      <c r="G17" s="25"/>
      <c r="H17" s="25"/>
      <c r="I17" s="234"/>
      <c r="J17" s="25"/>
      <c r="K17" s="25"/>
      <c r="L17" s="25"/>
      <c r="M17" s="25"/>
      <c r="N17" s="25"/>
      <c r="O17" s="232"/>
      <c r="P17" s="25"/>
      <c r="Q17" s="232"/>
      <c r="R17" s="25"/>
      <c r="S17" s="25"/>
      <c r="T17" s="232"/>
      <c r="U17" s="232"/>
      <c r="V17" s="25"/>
      <c r="W17" s="236"/>
      <c r="X17" s="236"/>
      <c r="Y17" s="25"/>
      <c r="Z17" s="25"/>
      <c r="AA17" s="25"/>
      <c r="AB17" s="232"/>
      <c r="AC17" s="25"/>
      <c r="AD17" s="232"/>
      <c r="AE17" s="25"/>
      <c r="AF17" s="232"/>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32"/>
      <c r="BG17" s="50"/>
      <c r="BH17" s="25"/>
      <c r="BI17" s="50"/>
      <c r="BJ17" s="50"/>
      <c r="BK17" s="50"/>
      <c r="BL17" s="232"/>
      <c r="BM17" s="232"/>
      <c r="BN17" s="232"/>
      <c r="BO17" s="232"/>
      <c r="BP17" s="232"/>
      <c r="BQ17" s="232"/>
      <c r="BR17" s="232"/>
      <c r="BS17" s="232"/>
      <c r="BT17" s="232"/>
      <c r="BU17" s="232"/>
      <c r="BV17" s="232"/>
      <c r="BW17" s="232"/>
      <c r="BX17" s="232"/>
      <c r="BY17" s="232"/>
      <c r="BZ17" s="232"/>
      <c r="CA17" s="50"/>
      <c r="CB17" s="232"/>
      <c r="CC17" s="232"/>
      <c r="CD17" s="25"/>
      <c r="CE17" s="25"/>
      <c r="CF17" s="232"/>
      <c r="CG17" s="25"/>
      <c r="CH17" s="25"/>
      <c r="CI17" s="25"/>
      <c r="CJ17" s="25"/>
      <c r="CK17" s="25"/>
      <c r="CL17" s="232"/>
      <c r="CM17" s="25"/>
      <c r="CN17" s="232"/>
      <c r="CO17" s="25"/>
      <c r="CP17" s="232"/>
      <c r="CQ17" s="232"/>
      <c r="CR17" s="232"/>
      <c r="CS17" s="232"/>
      <c r="CT17" s="232"/>
      <c r="CU17" s="232"/>
      <c r="CV17" s="232"/>
      <c r="CW17" s="232"/>
      <c r="CX17" s="232"/>
      <c r="CY17" s="232"/>
      <c r="CZ17" s="232"/>
      <c r="DA17" s="25"/>
      <c r="DB17" s="232"/>
      <c r="DC17" s="232"/>
      <c r="DD17" s="232"/>
      <c r="DE17" s="25"/>
      <c r="DF17" s="232"/>
      <c r="DG17" s="25"/>
      <c r="DH17" s="232"/>
      <c r="DI17" s="232"/>
      <c r="DJ17" s="25"/>
      <c r="DK17" s="25"/>
      <c r="DM17" s="25"/>
      <c r="DN17" s="25"/>
      <c r="DO17" s="25"/>
      <c r="DP17" s="25"/>
      <c r="DQ17" s="25"/>
      <c r="DR17" s="232"/>
      <c r="DS17" s="25"/>
      <c r="DT17" s="232"/>
      <c r="DU17" s="232"/>
      <c r="DV17" s="25"/>
      <c r="DW17" s="232"/>
      <c r="DX17" s="232"/>
      <c r="DY17" s="232"/>
      <c r="DZ17" s="232"/>
      <c r="EA17" s="232"/>
      <c r="EB17" s="232"/>
      <c r="EC17" s="232"/>
      <c r="ED17" s="232"/>
      <c r="EE17" s="50"/>
      <c r="EF17" s="50"/>
      <c r="EG17" s="25"/>
      <c r="EH17" s="232"/>
      <c r="EI17" s="232"/>
      <c r="EJ17" s="232"/>
      <c r="EK17" s="232"/>
      <c r="EL17" s="25"/>
      <c r="EN17" s="25"/>
      <c r="EW17" s="20"/>
      <c r="EX17" s="26"/>
      <c r="EY17" s="26"/>
      <c r="EZ17" s="26"/>
      <c r="FA17" s="26"/>
      <c r="FB17" s="25"/>
      <c r="FC17" s="232"/>
      <c r="FD17" s="232"/>
      <c r="FE17" s="232"/>
      <c r="FF17" s="232"/>
      <c r="FG17" s="232"/>
      <c r="FH17" s="232"/>
      <c r="FI17" s="25"/>
      <c r="FJ17" s="232"/>
      <c r="FK17" s="25"/>
      <c r="FL17" s="25"/>
      <c r="FM17" s="25"/>
      <c r="FN17" s="25"/>
      <c r="FO17" s="50"/>
      <c r="FP17" s="50"/>
      <c r="FQ17" s="232"/>
      <c r="FR17" s="232"/>
      <c r="FS17" s="232"/>
      <c r="FT17" s="50"/>
      <c r="FU17" s="50"/>
      <c r="FV17" s="232"/>
      <c r="FW17" s="76"/>
      <c r="FX17" s="232"/>
      <c r="FY17" s="232"/>
      <c r="FZ17" s="50"/>
      <c r="GA17" s="50"/>
      <c r="GB17" s="50"/>
      <c r="GC17" s="50"/>
      <c r="GD17" s="50"/>
      <c r="GE17" s="52"/>
      <c r="GF17" s="281" t="s">
        <v>183</v>
      </c>
      <c r="GG17" s="281" t="s">
        <v>181</v>
      </c>
      <c r="GH17" s="292">
        <f t="shared" ref="GH17:GH22" ca="1" si="2">GM5</f>
        <v>0</v>
      </c>
      <c r="GI17" s="283"/>
      <c r="GK17" s="533"/>
      <c r="GL17" s="238" t="s">
        <v>177</v>
      </c>
      <c r="GM17" s="299">
        <f t="shared" ca="1" si="1"/>
        <v>0</v>
      </c>
    </row>
    <row r="18" spans="2:195" ht="12.75" customHeight="1" x14ac:dyDescent="0.2">
      <c r="B18" s="25"/>
      <c r="C18" s="25"/>
      <c r="D18" s="232"/>
      <c r="E18" s="232"/>
      <c r="F18" s="232"/>
      <c r="G18" s="25"/>
      <c r="H18" s="25"/>
      <c r="I18" s="234"/>
      <c r="J18" s="25"/>
      <c r="K18" s="25"/>
      <c r="L18" s="25"/>
      <c r="M18" s="25"/>
      <c r="N18" s="25"/>
      <c r="O18" s="232"/>
      <c r="P18" s="25"/>
      <c r="Q18" s="232"/>
      <c r="R18" s="25"/>
      <c r="S18" s="25"/>
      <c r="T18" s="232"/>
      <c r="U18" s="232"/>
      <c r="V18" s="25"/>
      <c r="W18" s="236"/>
      <c r="X18" s="236"/>
      <c r="Y18" s="25"/>
      <c r="Z18" s="25"/>
      <c r="AA18" s="25"/>
      <c r="AB18" s="232"/>
      <c r="AC18" s="25"/>
      <c r="AD18" s="232"/>
      <c r="AE18" s="25"/>
      <c r="AF18" s="232"/>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32"/>
      <c r="BG18" s="50"/>
      <c r="BH18" s="25"/>
      <c r="BI18" s="50"/>
      <c r="BJ18" s="50"/>
      <c r="BK18" s="50"/>
      <c r="BL18" s="232"/>
      <c r="BM18" s="232"/>
      <c r="BN18" s="232"/>
      <c r="BO18" s="232"/>
      <c r="BP18" s="232"/>
      <c r="BQ18" s="232"/>
      <c r="BR18" s="232"/>
      <c r="BS18" s="232"/>
      <c r="BT18" s="232"/>
      <c r="BU18" s="232"/>
      <c r="BV18" s="232"/>
      <c r="BW18" s="232"/>
      <c r="BX18" s="232"/>
      <c r="BY18" s="232"/>
      <c r="BZ18" s="232"/>
      <c r="CA18" s="50"/>
      <c r="CB18" s="232"/>
      <c r="CC18" s="232"/>
      <c r="CD18" s="25"/>
      <c r="CE18" s="25"/>
      <c r="CF18" s="232"/>
      <c r="CG18" s="25"/>
      <c r="CH18" s="25"/>
      <c r="CI18" s="25"/>
      <c r="CJ18" s="25"/>
      <c r="CK18" s="25"/>
      <c r="CL18" s="232"/>
      <c r="CM18" s="25"/>
      <c r="CN18" s="232"/>
      <c r="CO18" s="25"/>
      <c r="CP18" s="232"/>
      <c r="CQ18" s="232"/>
      <c r="CR18" s="232"/>
      <c r="CS18" s="232"/>
      <c r="CT18" s="232"/>
      <c r="CU18" s="232"/>
      <c r="CV18" s="232"/>
      <c r="CW18" s="232"/>
      <c r="CX18" s="232"/>
      <c r="CY18" s="232"/>
      <c r="CZ18" s="232"/>
      <c r="DA18" s="25"/>
      <c r="DB18" s="232"/>
      <c r="DC18" s="232"/>
      <c r="DD18" s="232"/>
      <c r="DE18" s="25"/>
      <c r="DF18" s="232"/>
      <c r="DG18" s="25"/>
      <c r="DH18" s="232"/>
      <c r="DI18" s="232"/>
      <c r="DJ18" s="25"/>
      <c r="DK18" s="25"/>
      <c r="DM18" s="25"/>
      <c r="DN18" s="25"/>
      <c r="DO18" s="25"/>
      <c r="DP18" s="25"/>
      <c r="DQ18" s="25"/>
      <c r="DR18" s="232"/>
      <c r="DS18" s="25"/>
      <c r="DT18" s="232"/>
      <c r="DU18" s="232"/>
      <c r="DV18" s="25"/>
      <c r="DW18" s="232"/>
      <c r="DX18" s="232"/>
      <c r="DY18" s="232"/>
      <c r="DZ18" s="232"/>
      <c r="EA18" s="232"/>
      <c r="EB18" s="232"/>
      <c r="EC18" s="232"/>
      <c r="ED18" s="232"/>
      <c r="EE18" s="50"/>
      <c r="EF18" s="50"/>
      <c r="EG18" s="25"/>
      <c r="EH18" s="232"/>
      <c r="EI18" s="232"/>
      <c r="EJ18" s="232"/>
      <c r="EK18" s="232"/>
      <c r="EL18" s="25"/>
      <c r="EN18" s="25"/>
      <c r="EW18" s="20"/>
      <c r="EX18" s="26"/>
      <c r="EY18" s="26"/>
      <c r="EZ18" s="26"/>
      <c r="FA18" s="26"/>
      <c r="FB18" s="25"/>
      <c r="FC18" s="232"/>
      <c r="FD18" s="232"/>
      <c r="FE18" s="232"/>
      <c r="FF18" s="232"/>
      <c r="FG18" s="232"/>
      <c r="FH18" s="232"/>
      <c r="FI18" s="25"/>
      <c r="FJ18" s="232"/>
      <c r="FK18" s="25"/>
      <c r="FL18" s="25"/>
      <c r="FM18" s="25"/>
      <c r="FN18" s="25"/>
      <c r="FO18" s="50"/>
      <c r="FP18" s="50"/>
      <c r="FQ18" s="232"/>
      <c r="FR18" s="232"/>
      <c r="FS18" s="232"/>
      <c r="FT18" s="50"/>
      <c r="FU18" s="50"/>
      <c r="FV18" s="232"/>
      <c r="FW18" s="76"/>
      <c r="FX18" s="232"/>
      <c r="FY18" s="232"/>
      <c r="FZ18" s="50"/>
      <c r="GA18" s="50"/>
      <c r="GB18" s="50"/>
      <c r="GC18" s="50"/>
      <c r="GD18" s="50"/>
      <c r="GE18" s="52"/>
      <c r="GF18" s="281"/>
      <c r="GG18" s="281" t="s">
        <v>180</v>
      </c>
      <c r="GH18" s="292">
        <f t="shared" ca="1" si="2"/>
        <v>0</v>
      </c>
      <c r="GI18" s="283"/>
      <c r="GK18" s="533"/>
      <c r="GL18" s="238" t="s">
        <v>176</v>
      </c>
      <c r="GM18" s="299">
        <f t="shared" ca="1" si="1"/>
        <v>0</v>
      </c>
    </row>
    <row r="19" spans="2:195" ht="12.75" customHeight="1" x14ac:dyDescent="0.2">
      <c r="B19" s="25"/>
      <c r="C19" s="25"/>
      <c r="D19" s="232"/>
      <c r="E19" s="232"/>
      <c r="F19" s="232"/>
      <c r="G19" s="25"/>
      <c r="H19" s="25"/>
      <c r="I19" s="234"/>
      <c r="J19" s="25"/>
      <c r="K19" s="25"/>
      <c r="L19" s="25"/>
      <c r="M19" s="25"/>
      <c r="N19" s="25"/>
      <c r="O19" s="232"/>
      <c r="P19" s="25"/>
      <c r="Q19" s="232"/>
      <c r="R19" s="25"/>
      <c r="S19" s="25"/>
      <c r="T19" s="232"/>
      <c r="U19" s="232"/>
      <c r="V19" s="25"/>
      <c r="W19" s="236"/>
      <c r="X19" s="236"/>
      <c r="Y19" s="25"/>
      <c r="Z19" s="25"/>
      <c r="AA19" s="25"/>
      <c r="AB19" s="232"/>
      <c r="AC19" s="25"/>
      <c r="AD19" s="232"/>
      <c r="AE19" s="25"/>
      <c r="AF19" s="232"/>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32"/>
      <c r="BG19" s="50"/>
      <c r="BH19" s="25"/>
      <c r="BI19" s="50"/>
      <c r="BJ19" s="50"/>
      <c r="BK19" s="50"/>
      <c r="BL19" s="232"/>
      <c r="BM19" s="232"/>
      <c r="BN19" s="232"/>
      <c r="BO19" s="232"/>
      <c r="BP19" s="232"/>
      <c r="BQ19" s="232"/>
      <c r="BR19" s="232"/>
      <c r="BS19" s="232"/>
      <c r="BT19" s="232"/>
      <c r="BU19" s="232"/>
      <c r="BV19" s="232"/>
      <c r="BW19" s="232"/>
      <c r="BX19" s="232"/>
      <c r="BY19" s="232"/>
      <c r="BZ19" s="232"/>
      <c r="CA19" s="50"/>
      <c r="CB19" s="232"/>
      <c r="CC19" s="232"/>
      <c r="CD19" s="25"/>
      <c r="CE19" s="25"/>
      <c r="CF19" s="232"/>
      <c r="CG19" s="25"/>
      <c r="CH19" s="25"/>
      <c r="CI19" s="25"/>
      <c r="CJ19" s="25"/>
      <c r="CK19" s="25"/>
      <c r="CL19" s="232"/>
      <c r="CM19" s="25"/>
      <c r="CN19" s="232"/>
      <c r="CO19" s="25"/>
      <c r="CP19" s="232"/>
      <c r="CQ19" s="232"/>
      <c r="CR19" s="232"/>
      <c r="CS19" s="232"/>
      <c r="CT19" s="232"/>
      <c r="CU19" s="232"/>
      <c r="CV19" s="232"/>
      <c r="CW19" s="232"/>
      <c r="CX19" s="232"/>
      <c r="CY19" s="232"/>
      <c r="CZ19" s="232"/>
      <c r="DA19" s="25"/>
      <c r="DB19" s="232"/>
      <c r="DC19" s="232"/>
      <c r="DD19" s="232"/>
      <c r="DE19" s="25"/>
      <c r="DF19" s="232"/>
      <c r="DG19" s="25"/>
      <c r="DH19" s="232"/>
      <c r="DI19" s="232"/>
      <c r="DJ19" s="25"/>
      <c r="DK19" s="25"/>
      <c r="DM19" s="25"/>
      <c r="DN19" s="25"/>
      <c r="DO19" s="25"/>
      <c r="DP19" s="25"/>
      <c r="DQ19" s="25"/>
      <c r="DR19" s="232"/>
      <c r="DS19" s="25"/>
      <c r="DT19" s="232"/>
      <c r="DU19" s="232"/>
      <c r="DV19" s="25"/>
      <c r="DW19" s="232"/>
      <c r="DX19" s="232"/>
      <c r="DY19" s="232"/>
      <c r="DZ19" s="232"/>
      <c r="EA19" s="232"/>
      <c r="EB19" s="232"/>
      <c r="EC19" s="232"/>
      <c r="ED19" s="232"/>
      <c r="EE19" s="50"/>
      <c r="EF19" s="50"/>
      <c r="EG19" s="25"/>
      <c r="EH19" s="232"/>
      <c r="EI19" s="232"/>
      <c r="EJ19" s="232"/>
      <c r="EK19" s="232"/>
      <c r="EL19" s="25"/>
      <c r="EN19" s="25"/>
      <c r="EW19" s="20"/>
      <c r="EX19" s="26"/>
      <c r="EY19" s="26"/>
      <c r="EZ19" s="26"/>
      <c r="FA19" s="26"/>
      <c r="FB19" s="25"/>
      <c r="FC19" s="232"/>
      <c r="FD19" s="232"/>
      <c r="FE19" s="232"/>
      <c r="FF19" s="232"/>
      <c r="FG19" s="232"/>
      <c r="FH19" s="232"/>
      <c r="FI19" s="25"/>
      <c r="FJ19" s="232"/>
      <c r="FK19" s="25"/>
      <c r="FL19" s="25"/>
      <c r="FM19" s="25"/>
      <c r="FN19" s="25"/>
      <c r="FO19" s="50"/>
      <c r="FP19" s="50"/>
      <c r="FQ19" s="232"/>
      <c r="FR19" s="232"/>
      <c r="FS19" s="232"/>
      <c r="FT19" s="50"/>
      <c r="FU19" s="50"/>
      <c r="FV19" s="232"/>
      <c r="FW19" s="76"/>
      <c r="FX19" s="232"/>
      <c r="FY19" s="232"/>
      <c r="FZ19" s="50"/>
      <c r="GA19" s="50"/>
      <c r="GB19" s="50"/>
      <c r="GC19" s="50"/>
      <c r="GD19" s="50"/>
      <c r="GE19" s="52"/>
      <c r="GF19" s="281"/>
      <c r="GG19" s="281" t="s">
        <v>179</v>
      </c>
      <c r="GH19" s="292">
        <f t="shared" ca="1" si="2"/>
        <v>0</v>
      </c>
      <c r="GI19" s="283"/>
      <c r="GK19" s="533"/>
      <c r="GL19" s="238" t="s">
        <v>25</v>
      </c>
      <c r="GM19" s="299">
        <f t="shared" ca="1" si="1"/>
        <v>0</v>
      </c>
    </row>
    <row r="20" spans="2:195" ht="12.75" customHeight="1" x14ac:dyDescent="0.2">
      <c r="B20" s="25"/>
      <c r="C20" s="25"/>
      <c r="D20" s="232"/>
      <c r="E20" s="232"/>
      <c r="F20" s="232"/>
      <c r="G20" s="25"/>
      <c r="H20" s="25"/>
      <c r="I20" s="234"/>
      <c r="J20" s="25"/>
      <c r="K20" s="25"/>
      <c r="L20" s="25"/>
      <c r="M20" s="25"/>
      <c r="N20" s="25"/>
      <c r="O20" s="232"/>
      <c r="P20" s="25"/>
      <c r="Q20" s="232"/>
      <c r="R20" s="25"/>
      <c r="S20" s="25"/>
      <c r="T20" s="232"/>
      <c r="U20" s="232"/>
      <c r="V20" s="25"/>
      <c r="W20" s="236"/>
      <c r="X20" s="236"/>
      <c r="Y20" s="25"/>
      <c r="Z20" s="25"/>
      <c r="AA20" s="25"/>
      <c r="AB20" s="232"/>
      <c r="AC20" s="25"/>
      <c r="AD20" s="232"/>
      <c r="AE20" s="25"/>
      <c r="AF20" s="232"/>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32"/>
      <c r="BG20" s="50"/>
      <c r="BH20" s="25"/>
      <c r="BI20" s="50"/>
      <c r="BJ20" s="50"/>
      <c r="BK20" s="50"/>
      <c r="BL20" s="232"/>
      <c r="BM20" s="232"/>
      <c r="BN20" s="232"/>
      <c r="BO20" s="232"/>
      <c r="BP20" s="232"/>
      <c r="BQ20" s="232"/>
      <c r="BR20" s="232"/>
      <c r="BS20" s="232"/>
      <c r="BT20" s="232"/>
      <c r="BU20" s="232"/>
      <c r="BV20" s="232"/>
      <c r="BW20" s="232"/>
      <c r="BX20" s="232"/>
      <c r="BY20" s="232"/>
      <c r="BZ20" s="232"/>
      <c r="CA20" s="50"/>
      <c r="CB20" s="232"/>
      <c r="CC20" s="232"/>
      <c r="CD20" s="25"/>
      <c r="CE20" s="25"/>
      <c r="CF20" s="232"/>
      <c r="CG20" s="25"/>
      <c r="CH20" s="25"/>
      <c r="CI20" s="25"/>
      <c r="CJ20" s="25"/>
      <c r="CK20" s="25"/>
      <c r="CL20" s="232"/>
      <c r="CM20" s="25"/>
      <c r="CN20" s="232"/>
      <c r="CO20" s="25"/>
      <c r="CP20" s="232"/>
      <c r="CQ20" s="232"/>
      <c r="CR20" s="232"/>
      <c r="CS20" s="232"/>
      <c r="CT20" s="232"/>
      <c r="CU20" s="232"/>
      <c r="CV20" s="232"/>
      <c r="CW20" s="232"/>
      <c r="CX20" s="232"/>
      <c r="CY20" s="232"/>
      <c r="CZ20" s="232"/>
      <c r="DA20" s="25"/>
      <c r="DB20" s="232"/>
      <c r="DC20" s="232"/>
      <c r="DD20" s="232"/>
      <c r="DE20" s="25"/>
      <c r="DF20" s="232"/>
      <c r="DG20" s="25"/>
      <c r="DH20" s="232"/>
      <c r="DI20" s="232"/>
      <c r="DJ20" s="25"/>
      <c r="DK20" s="25"/>
      <c r="DM20" s="25"/>
      <c r="DN20" s="25"/>
      <c r="DO20" s="25"/>
      <c r="DP20" s="25"/>
      <c r="DQ20" s="25"/>
      <c r="DR20" s="232"/>
      <c r="DS20" s="25"/>
      <c r="DT20" s="232"/>
      <c r="DU20" s="232"/>
      <c r="DV20" s="25"/>
      <c r="DW20" s="232"/>
      <c r="DX20" s="232"/>
      <c r="DY20" s="232"/>
      <c r="DZ20" s="232"/>
      <c r="EA20" s="232"/>
      <c r="EB20" s="232"/>
      <c r="EC20" s="232"/>
      <c r="ED20" s="232"/>
      <c r="EE20" s="50"/>
      <c r="EF20" s="50"/>
      <c r="EG20" s="25"/>
      <c r="EH20" s="232"/>
      <c r="EI20" s="232"/>
      <c r="EJ20" s="232"/>
      <c r="EK20" s="232"/>
      <c r="EL20" s="25"/>
      <c r="EN20" s="25"/>
      <c r="EW20" s="20"/>
      <c r="EX20" s="26"/>
      <c r="EY20" s="26"/>
      <c r="EZ20" s="26"/>
      <c r="FA20" s="26"/>
      <c r="FB20" s="25"/>
      <c r="FC20" s="232"/>
      <c r="FD20" s="232"/>
      <c r="FE20" s="232"/>
      <c r="FF20" s="232"/>
      <c r="FG20" s="232"/>
      <c r="FH20" s="232"/>
      <c r="FI20" s="25"/>
      <c r="FJ20" s="232"/>
      <c r="FK20" s="25"/>
      <c r="FL20" s="25"/>
      <c r="FM20" s="25"/>
      <c r="FN20" s="25"/>
      <c r="FO20" s="50"/>
      <c r="FP20" s="50"/>
      <c r="FQ20" s="232"/>
      <c r="FR20" s="232"/>
      <c r="FS20" s="232"/>
      <c r="FT20" s="50"/>
      <c r="FU20" s="50"/>
      <c r="FV20" s="232"/>
      <c r="FW20" s="76"/>
      <c r="FX20" s="232"/>
      <c r="FY20" s="232"/>
      <c r="FZ20" s="50"/>
      <c r="GA20" s="50"/>
      <c r="GB20" s="50"/>
      <c r="GC20" s="50"/>
      <c r="GD20" s="50"/>
      <c r="GE20" s="52"/>
      <c r="GF20" s="281"/>
      <c r="GG20" s="281" t="s">
        <v>178</v>
      </c>
      <c r="GH20" s="292">
        <f t="shared" ca="1" si="2"/>
        <v>0</v>
      </c>
      <c r="GI20" s="283"/>
      <c r="GK20" s="533"/>
      <c r="GL20" s="238" t="s">
        <v>706</v>
      </c>
      <c r="GM20" s="299">
        <f ca="1">IFERROR((SUM(y5_SCIcritDimensionforSSCIxAVF))/(SUM(Str_DimensionforSSCIxAVF)),0)</f>
        <v>0</v>
      </c>
    </row>
    <row r="21" spans="2:195" ht="12.75" customHeight="1" x14ac:dyDescent="0.2">
      <c r="B21" s="25"/>
      <c r="C21" s="25"/>
      <c r="D21" s="232"/>
      <c r="E21" s="232"/>
      <c r="F21" s="232"/>
      <c r="G21" s="25"/>
      <c r="H21" s="25"/>
      <c r="I21" s="234"/>
      <c r="J21" s="25"/>
      <c r="K21" s="25"/>
      <c r="L21" s="25"/>
      <c r="M21" s="25"/>
      <c r="N21" s="25"/>
      <c r="O21" s="232"/>
      <c r="P21" s="25"/>
      <c r="Q21" s="232"/>
      <c r="R21" s="25"/>
      <c r="S21" s="25"/>
      <c r="T21" s="232"/>
      <c r="U21" s="232"/>
      <c r="V21" s="25"/>
      <c r="W21" s="236"/>
      <c r="X21" s="236"/>
      <c r="Y21" s="25"/>
      <c r="Z21" s="25"/>
      <c r="AA21" s="25"/>
      <c r="AB21" s="232"/>
      <c r="AC21" s="25"/>
      <c r="AD21" s="232"/>
      <c r="AE21" s="25"/>
      <c r="AF21" s="232"/>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32"/>
      <c r="BG21" s="50"/>
      <c r="BH21" s="25"/>
      <c r="BI21" s="50"/>
      <c r="BJ21" s="50"/>
      <c r="BK21" s="50"/>
      <c r="BL21" s="232"/>
      <c r="BM21" s="232"/>
      <c r="BN21" s="232"/>
      <c r="BO21" s="232"/>
      <c r="BP21" s="232"/>
      <c r="BQ21" s="232"/>
      <c r="BR21" s="232"/>
      <c r="BS21" s="232"/>
      <c r="BT21" s="232"/>
      <c r="BU21" s="232"/>
      <c r="BV21" s="232"/>
      <c r="BW21" s="232"/>
      <c r="BX21" s="232"/>
      <c r="BY21" s="232"/>
      <c r="BZ21" s="232"/>
      <c r="CA21" s="50"/>
      <c r="CB21" s="232"/>
      <c r="CC21" s="232"/>
      <c r="CD21" s="25"/>
      <c r="CE21" s="25"/>
      <c r="CF21" s="232"/>
      <c r="CG21" s="25"/>
      <c r="CH21" s="25"/>
      <c r="CI21" s="25"/>
      <c r="CJ21" s="25"/>
      <c r="CK21" s="25"/>
      <c r="CL21" s="232"/>
      <c r="CM21" s="25"/>
      <c r="CN21" s="232"/>
      <c r="CO21" s="25"/>
      <c r="CP21" s="232"/>
      <c r="CQ21" s="232"/>
      <c r="CR21" s="232"/>
      <c r="CS21" s="232"/>
      <c r="CT21" s="232"/>
      <c r="CU21" s="232"/>
      <c r="CV21" s="232"/>
      <c r="CW21" s="232"/>
      <c r="CX21" s="232"/>
      <c r="CY21" s="232"/>
      <c r="CZ21" s="232"/>
      <c r="DA21" s="25"/>
      <c r="DB21" s="232"/>
      <c r="DC21" s="232"/>
      <c r="DD21" s="232"/>
      <c r="DE21" s="25"/>
      <c r="DF21" s="232"/>
      <c r="DG21" s="25"/>
      <c r="DH21" s="232"/>
      <c r="DI21" s="232"/>
      <c r="DJ21" s="25"/>
      <c r="DK21" s="25"/>
      <c r="DM21" s="25"/>
      <c r="DN21" s="25"/>
      <c r="DO21" s="25"/>
      <c r="DP21" s="25"/>
      <c r="DQ21" s="25"/>
      <c r="DR21" s="232"/>
      <c r="DS21" s="25"/>
      <c r="DT21" s="232"/>
      <c r="DU21" s="232"/>
      <c r="DV21" s="25"/>
      <c r="DW21" s="232"/>
      <c r="DX21" s="232"/>
      <c r="DY21" s="232"/>
      <c r="DZ21" s="232"/>
      <c r="EA21" s="232"/>
      <c r="EB21" s="232"/>
      <c r="EC21" s="232"/>
      <c r="ED21" s="232"/>
      <c r="EE21" s="50"/>
      <c r="EF21" s="50"/>
      <c r="EG21" s="25"/>
      <c r="EH21" s="232"/>
      <c r="EI21" s="232"/>
      <c r="EJ21" s="232"/>
      <c r="EK21" s="232"/>
      <c r="EL21" s="25"/>
      <c r="EN21" s="25"/>
      <c r="EW21" s="20"/>
      <c r="EX21" s="26"/>
      <c r="EY21" s="26"/>
      <c r="EZ21" s="26"/>
      <c r="FA21" s="26"/>
      <c r="FB21" s="25"/>
      <c r="FC21" s="232"/>
      <c r="FD21" s="232"/>
      <c r="FE21" s="232"/>
      <c r="FF21" s="232"/>
      <c r="FG21" s="232"/>
      <c r="FH21" s="232"/>
      <c r="FI21" s="25"/>
      <c r="FJ21" s="232"/>
      <c r="FK21" s="25"/>
      <c r="FL21" s="25"/>
      <c r="FM21" s="25"/>
      <c r="FN21" s="25"/>
      <c r="FO21" s="50"/>
      <c r="FP21" s="50"/>
      <c r="FQ21" s="232"/>
      <c r="FR21" s="232"/>
      <c r="FS21" s="232"/>
      <c r="FT21" s="50"/>
      <c r="FU21" s="50"/>
      <c r="FV21" s="232"/>
      <c r="FW21" s="76"/>
      <c r="FX21" s="232"/>
      <c r="FY21" s="232"/>
      <c r="FZ21" s="50"/>
      <c r="GA21" s="50"/>
      <c r="GB21" s="50"/>
      <c r="GC21" s="50"/>
      <c r="GD21" s="50"/>
      <c r="GE21" s="52"/>
      <c r="GF21" s="281"/>
      <c r="GG21" s="281" t="s">
        <v>177</v>
      </c>
      <c r="GH21" s="292">
        <f t="shared" ca="1" si="2"/>
        <v>0</v>
      </c>
      <c r="GI21" s="283"/>
      <c r="GK21" s="533" t="s">
        <v>710</v>
      </c>
      <c r="GL21" s="238" t="s">
        <v>181</v>
      </c>
      <c r="GM21" s="299" t="e">
        <f t="shared" ref="GM21:GM27" ca="1" si="3">SUMIFS(Str_NumOfStructures,y5_SCIAv,"&gt;=90",Str_AVFStructureType,$GJ5)</f>
        <v>#REF!</v>
      </c>
    </row>
    <row r="22" spans="2:195" ht="12.75" customHeight="1" x14ac:dyDescent="0.2">
      <c r="B22" s="25"/>
      <c r="C22" s="25"/>
      <c r="D22" s="232"/>
      <c r="E22" s="232"/>
      <c r="F22" s="232"/>
      <c r="G22" s="25"/>
      <c r="H22" s="25"/>
      <c r="I22" s="234"/>
      <c r="J22" s="25"/>
      <c r="K22" s="25"/>
      <c r="L22" s="25"/>
      <c r="M22" s="25"/>
      <c r="N22" s="25"/>
      <c r="O22" s="232"/>
      <c r="P22" s="25"/>
      <c r="Q22" s="232"/>
      <c r="R22" s="25"/>
      <c r="S22" s="25"/>
      <c r="T22" s="232"/>
      <c r="U22" s="232"/>
      <c r="V22" s="25"/>
      <c r="W22" s="236"/>
      <c r="X22" s="236"/>
      <c r="Y22" s="25"/>
      <c r="Z22" s="25"/>
      <c r="AA22" s="25"/>
      <c r="AB22" s="232"/>
      <c r="AC22" s="25"/>
      <c r="AD22" s="232"/>
      <c r="AE22" s="25"/>
      <c r="AF22" s="232"/>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32"/>
      <c r="BG22" s="50"/>
      <c r="BH22" s="25"/>
      <c r="BI22" s="50"/>
      <c r="BJ22" s="50"/>
      <c r="BK22" s="50"/>
      <c r="BL22" s="232"/>
      <c r="BM22" s="232"/>
      <c r="BN22" s="232"/>
      <c r="BO22" s="232"/>
      <c r="BP22" s="232"/>
      <c r="BQ22" s="232"/>
      <c r="BR22" s="232"/>
      <c r="BS22" s="232"/>
      <c r="BT22" s="232"/>
      <c r="BU22" s="232"/>
      <c r="BV22" s="232"/>
      <c r="BW22" s="232"/>
      <c r="BX22" s="232"/>
      <c r="BY22" s="232"/>
      <c r="BZ22" s="232"/>
      <c r="CA22" s="50"/>
      <c r="CB22" s="232"/>
      <c r="CC22" s="232"/>
      <c r="CD22" s="25"/>
      <c r="CE22" s="25"/>
      <c r="CF22" s="232"/>
      <c r="CG22" s="25"/>
      <c r="CH22" s="25"/>
      <c r="CI22" s="25"/>
      <c r="CJ22" s="25"/>
      <c r="CK22" s="25"/>
      <c r="CL22" s="232"/>
      <c r="CM22" s="25"/>
      <c r="CN22" s="232"/>
      <c r="CO22" s="25"/>
      <c r="CP22" s="232"/>
      <c r="CQ22" s="232"/>
      <c r="CR22" s="232"/>
      <c r="CS22" s="232"/>
      <c r="CT22" s="232"/>
      <c r="CU22" s="232"/>
      <c r="CV22" s="232"/>
      <c r="CW22" s="232"/>
      <c r="CX22" s="232"/>
      <c r="CY22" s="232"/>
      <c r="CZ22" s="232"/>
      <c r="DA22" s="25"/>
      <c r="DB22" s="232"/>
      <c r="DC22" s="232"/>
      <c r="DD22" s="232"/>
      <c r="DE22" s="25"/>
      <c r="DF22" s="232"/>
      <c r="DG22" s="25"/>
      <c r="DH22" s="232"/>
      <c r="DI22" s="232"/>
      <c r="DJ22" s="25"/>
      <c r="DK22" s="25"/>
      <c r="DM22" s="25"/>
      <c r="DN22" s="25"/>
      <c r="DO22" s="25"/>
      <c r="DP22" s="25"/>
      <c r="DQ22" s="25"/>
      <c r="DR22" s="232"/>
      <c r="DS22" s="25"/>
      <c r="DT22" s="232"/>
      <c r="DU22" s="232"/>
      <c r="DV22" s="25"/>
      <c r="DW22" s="232"/>
      <c r="DX22" s="232"/>
      <c r="DY22" s="232"/>
      <c r="DZ22" s="232"/>
      <c r="EA22" s="232"/>
      <c r="EB22" s="232"/>
      <c r="EC22" s="232"/>
      <c r="ED22" s="232"/>
      <c r="EE22" s="50"/>
      <c r="EF22" s="50"/>
      <c r="EG22" s="25"/>
      <c r="EH22" s="232"/>
      <c r="EI22" s="232"/>
      <c r="EJ22" s="232"/>
      <c r="EK22" s="232"/>
      <c r="EL22" s="25"/>
      <c r="EN22" s="25"/>
      <c r="EW22" s="20"/>
      <c r="EX22" s="26"/>
      <c r="EY22" s="26"/>
      <c r="EZ22" s="26"/>
      <c r="FA22" s="26"/>
      <c r="FB22" s="25"/>
      <c r="FC22" s="232"/>
      <c r="FD22" s="232"/>
      <c r="FE22" s="232"/>
      <c r="FF22" s="232"/>
      <c r="FG22" s="232"/>
      <c r="FH22" s="232"/>
      <c r="FI22" s="25"/>
      <c r="FJ22" s="232"/>
      <c r="FK22" s="25"/>
      <c r="FL22" s="25"/>
      <c r="FM22" s="25"/>
      <c r="FN22" s="25"/>
      <c r="FO22" s="50"/>
      <c r="FP22" s="50"/>
      <c r="FQ22" s="232"/>
      <c r="FR22" s="232"/>
      <c r="FS22" s="232"/>
      <c r="FT22" s="50"/>
      <c r="FU22" s="50"/>
      <c r="FV22" s="232"/>
      <c r="FW22" s="76"/>
      <c r="FX22" s="232"/>
      <c r="FY22" s="232"/>
      <c r="FZ22" s="50"/>
      <c r="GA22" s="50"/>
      <c r="GB22" s="50"/>
      <c r="GC22" s="50"/>
      <c r="GD22" s="50"/>
      <c r="GE22" s="52"/>
      <c r="GF22" s="281"/>
      <c r="GG22" s="281" t="s">
        <v>176</v>
      </c>
      <c r="GH22" s="292">
        <f t="shared" ca="1" si="2"/>
        <v>0</v>
      </c>
      <c r="GI22" s="283"/>
      <c r="GK22" s="533"/>
      <c r="GL22" s="238" t="s">
        <v>180</v>
      </c>
      <c r="GM22" s="299" t="e">
        <f t="shared" ca="1" si="3"/>
        <v>#REF!</v>
      </c>
    </row>
    <row r="23" spans="2:195" ht="12.75" customHeight="1" x14ac:dyDescent="0.2">
      <c r="B23" s="25"/>
      <c r="C23" s="25"/>
      <c r="D23" s="232"/>
      <c r="E23" s="232"/>
      <c r="F23" s="232"/>
      <c r="G23" s="25"/>
      <c r="H23" s="25"/>
      <c r="I23" s="234"/>
      <c r="J23" s="25"/>
      <c r="K23" s="25"/>
      <c r="L23" s="25"/>
      <c r="M23" s="25"/>
      <c r="N23" s="25"/>
      <c r="O23" s="232"/>
      <c r="P23" s="25"/>
      <c r="Q23" s="232"/>
      <c r="R23" s="25"/>
      <c r="S23" s="25"/>
      <c r="T23" s="232"/>
      <c r="U23" s="232"/>
      <c r="V23" s="25"/>
      <c r="W23" s="236"/>
      <c r="X23" s="236"/>
      <c r="Y23" s="25"/>
      <c r="Z23" s="25"/>
      <c r="AA23" s="25"/>
      <c r="AB23" s="232"/>
      <c r="AC23" s="25"/>
      <c r="AD23" s="232"/>
      <c r="AE23" s="25"/>
      <c r="AF23" s="232"/>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32"/>
      <c r="BG23" s="50"/>
      <c r="BH23" s="25"/>
      <c r="BI23" s="50"/>
      <c r="BJ23" s="50"/>
      <c r="BK23" s="50"/>
      <c r="BL23" s="232"/>
      <c r="BM23" s="232"/>
      <c r="BN23" s="232"/>
      <c r="BO23" s="232"/>
      <c r="BP23" s="232"/>
      <c r="BQ23" s="232"/>
      <c r="BR23" s="232"/>
      <c r="BS23" s="232"/>
      <c r="BT23" s="232"/>
      <c r="BU23" s="232"/>
      <c r="BV23" s="232"/>
      <c r="BW23" s="232"/>
      <c r="BX23" s="232"/>
      <c r="BY23" s="232"/>
      <c r="BZ23" s="232"/>
      <c r="CA23" s="50"/>
      <c r="CB23" s="232"/>
      <c r="CC23" s="232"/>
      <c r="CD23" s="25"/>
      <c r="CE23" s="25"/>
      <c r="CF23" s="232"/>
      <c r="CG23" s="25"/>
      <c r="CH23" s="25"/>
      <c r="CI23" s="25"/>
      <c r="CJ23" s="25"/>
      <c r="CK23" s="25"/>
      <c r="CL23" s="232"/>
      <c r="CM23" s="25"/>
      <c r="CN23" s="232"/>
      <c r="CO23" s="25"/>
      <c r="CP23" s="232"/>
      <c r="CQ23" s="232"/>
      <c r="CR23" s="232"/>
      <c r="CS23" s="232"/>
      <c r="CT23" s="232"/>
      <c r="CU23" s="232"/>
      <c r="CV23" s="232"/>
      <c r="CW23" s="232"/>
      <c r="CX23" s="232"/>
      <c r="CY23" s="232"/>
      <c r="CZ23" s="232"/>
      <c r="DA23" s="25"/>
      <c r="DB23" s="232"/>
      <c r="DC23" s="232"/>
      <c r="DD23" s="232"/>
      <c r="DE23" s="25"/>
      <c r="DF23" s="232"/>
      <c r="DG23" s="25"/>
      <c r="DH23" s="232"/>
      <c r="DI23" s="232"/>
      <c r="DJ23" s="25"/>
      <c r="DK23" s="25"/>
      <c r="DM23" s="25"/>
      <c r="DN23" s="25"/>
      <c r="DO23" s="25"/>
      <c r="DP23" s="25"/>
      <c r="DQ23" s="25"/>
      <c r="DR23" s="232"/>
      <c r="DS23" s="25"/>
      <c r="DT23" s="232"/>
      <c r="DU23" s="232"/>
      <c r="DV23" s="25"/>
      <c r="DW23" s="232"/>
      <c r="DX23" s="232"/>
      <c r="DY23" s="232"/>
      <c r="DZ23" s="232"/>
      <c r="EA23" s="232"/>
      <c r="EB23" s="232"/>
      <c r="EC23" s="232"/>
      <c r="ED23" s="232"/>
      <c r="EE23" s="50"/>
      <c r="EF23" s="50"/>
      <c r="EG23" s="25"/>
      <c r="EH23" s="232"/>
      <c r="EI23" s="232"/>
      <c r="EJ23" s="232"/>
      <c r="EK23" s="232"/>
      <c r="EL23" s="25"/>
      <c r="EN23" s="25"/>
      <c r="EW23" s="20"/>
      <c r="EX23" s="26"/>
      <c r="EY23" s="26"/>
      <c r="EZ23" s="26"/>
      <c r="FA23" s="26"/>
      <c r="FB23" s="25"/>
      <c r="FC23" s="232"/>
      <c r="FD23" s="232"/>
      <c r="FE23" s="232"/>
      <c r="FF23" s="232"/>
      <c r="FG23" s="232"/>
      <c r="FH23" s="232"/>
      <c r="FI23" s="25"/>
      <c r="FJ23" s="232"/>
      <c r="FK23" s="25"/>
      <c r="FL23" s="25"/>
      <c r="FM23" s="25"/>
      <c r="FN23" s="25"/>
      <c r="FO23" s="50"/>
      <c r="FP23" s="50"/>
      <c r="FQ23" s="232"/>
      <c r="FR23" s="232"/>
      <c r="FS23" s="232"/>
      <c r="FT23" s="50"/>
      <c r="FU23" s="50"/>
      <c r="FV23" s="232"/>
      <c r="FW23" s="76"/>
      <c r="FX23" s="232"/>
      <c r="FY23" s="232"/>
      <c r="FZ23" s="50"/>
      <c r="GA23" s="50"/>
      <c r="GB23" s="50"/>
      <c r="GC23" s="50"/>
      <c r="GD23" s="50"/>
      <c r="GE23" s="52"/>
      <c r="GF23" s="281" t="s">
        <v>1839</v>
      </c>
      <c r="GG23" s="281" t="s">
        <v>706</v>
      </c>
      <c r="GH23" s="292">
        <f t="shared" ref="GH23:GH29" ca="1" si="4">GM12</f>
        <v>0</v>
      </c>
      <c r="GI23" s="283"/>
      <c r="GK23" s="533"/>
      <c r="GL23" s="238" t="s">
        <v>179</v>
      </c>
      <c r="GM23" s="299" t="e">
        <f t="shared" ca="1" si="3"/>
        <v>#REF!</v>
      </c>
    </row>
    <row r="24" spans="2:195" ht="12.75" customHeight="1" x14ac:dyDescent="0.2">
      <c r="B24" s="25"/>
      <c r="C24" s="25"/>
      <c r="D24" s="232"/>
      <c r="E24" s="232"/>
      <c r="F24" s="232"/>
      <c r="G24" s="25"/>
      <c r="H24" s="25"/>
      <c r="I24" s="234"/>
      <c r="J24" s="25"/>
      <c r="K24" s="25"/>
      <c r="L24" s="25"/>
      <c r="M24" s="25"/>
      <c r="N24" s="25"/>
      <c r="O24" s="232"/>
      <c r="P24" s="25"/>
      <c r="Q24" s="232"/>
      <c r="R24" s="25"/>
      <c r="S24" s="25"/>
      <c r="T24" s="232"/>
      <c r="U24" s="232"/>
      <c r="V24" s="25"/>
      <c r="W24" s="236"/>
      <c r="X24" s="236"/>
      <c r="Y24" s="25"/>
      <c r="Z24" s="25"/>
      <c r="AA24" s="25"/>
      <c r="AB24" s="232"/>
      <c r="AC24" s="25"/>
      <c r="AD24" s="232"/>
      <c r="AE24" s="25"/>
      <c r="AF24" s="232"/>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32"/>
      <c r="BG24" s="50"/>
      <c r="BH24" s="25"/>
      <c r="BI24" s="50"/>
      <c r="BJ24" s="50"/>
      <c r="BK24" s="50"/>
      <c r="BL24" s="232"/>
      <c r="BM24" s="232"/>
      <c r="BN24" s="232"/>
      <c r="BO24" s="232"/>
      <c r="BP24" s="232"/>
      <c r="BQ24" s="232"/>
      <c r="BR24" s="232"/>
      <c r="BS24" s="232"/>
      <c r="BT24" s="232"/>
      <c r="BU24" s="232"/>
      <c r="BV24" s="232"/>
      <c r="BW24" s="232"/>
      <c r="BX24" s="232"/>
      <c r="BY24" s="232"/>
      <c r="BZ24" s="232"/>
      <c r="CA24" s="50"/>
      <c r="CB24" s="232"/>
      <c r="CC24" s="232"/>
      <c r="CD24" s="25"/>
      <c r="CE24" s="25"/>
      <c r="CF24" s="232"/>
      <c r="CG24" s="25"/>
      <c r="CH24" s="25"/>
      <c r="CI24" s="25"/>
      <c r="CJ24" s="25"/>
      <c r="CK24" s="25"/>
      <c r="CL24" s="232"/>
      <c r="CM24" s="25"/>
      <c r="CN24" s="232"/>
      <c r="CO24" s="25"/>
      <c r="CP24" s="232"/>
      <c r="CQ24" s="232"/>
      <c r="CR24" s="232"/>
      <c r="CS24" s="232"/>
      <c r="CT24" s="232"/>
      <c r="CU24" s="232"/>
      <c r="CV24" s="232"/>
      <c r="CW24" s="232"/>
      <c r="CX24" s="232"/>
      <c r="CY24" s="232"/>
      <c r="CZ24" s="232"/>
      <c r="DA24" s="25"/>
      <c r="DB24" s="232"/>
      <c r="DC24" s="232"/>
      <c r="DD24" s="232"/>
      <c r="DE24" s="25"/>
      <c r="DF24" s="232"/>
      <c r="DG24" s="25"/>
      <c r="DH24" s="232"/>
      <c r="DI24" s="232"/>
      <c r="DJ24" s="25"/>
      <c r="DK24" s="25"/>
      <c r="DM24" s="25"/>
      <c r="DN24" s="25"/>
      <c r="DO24" s="25"/>
      <c r="DP24" s="25"/>
      <c r="DQ24" s="25"/>
      <c r="DR24" s="232"/>
      <c r="DS24" s="25"/>
      <c r="DT24" s="232"/>
      <c r="DU24" s="232"/>
      <c r="DV24" s="25"/>
      <c r="DW24" s="232"/>
      <c r="DX24" s="232"/>
      <c r="DY24" s="232"/>
      <c r="DZ24" s="232"/>
      <c r="EA24" s="232"/>
      <c r="EB24" s="232"/>
      <c r="EC24" s="232"/>
      <c r="ED24" s="232"/>
      <c r="EE24" s="50"/>
      <c r="EF24" s="50"/>
      <c r="EG24" s="25"/>
      <c r="EH24" s="232"/>
      <c r="EI24" s="232"/>
      <c r="EJ24" s="232"/>
      <c r="EK24" s="232"/>
      <c r="EL24" s="25"/>
      <c r="EN24" s="25"/>
      <c r="EW24" s="20"/>
      <c r="EX24" s="26"/>
      <c r="EY24" s="26"/>
      <c r="EZ24" s="26"/>
      <c r="FA24" s="26"/>
      <c r="FB24" s="25"/>
      <c r="FC24" s="232"/>
      <c r="FD24" s="232"/>
      <c r="FE24" s="232"/>
      <c r="FF24" s="232"/>
      <c r="FG24" s="232"/>
      <c r="FH24" s="232"/>
      <c r="FI24" s="25"/>
      <c r="FJ24" s="232"/>
      <c r="FK24" s="25"/>
      <c r="FL24" s="25"/>
      <c r="FM24" s="25"/>
      <c r="FN24" s="25"/>
      <c r="FO24" s="50"/>
      <c r="FP24" s="50"/>
      <c r="FQ24" s="232"/>
      <c r="FR24" s="232"/>
      <c r="FS24" s="232"/>
      <c r="FT24" s="50"/>
      <c r="FU24" s="50"/>
      <c r="FV24" s="232"/>
      <c r="FW24" s="76"/>
      <c r="FX24" s="232"/>
      <c r="FY24" s="232"/>
      <c r="FZ24" s="50"/>
      <c r="GA24" s="50"/>
      <c r="GB24" s="50"/>
      <c r="GC24" s="50"/>
      <c r="GD24" s="50"/>
      <c r="GE24" s="52"/>
      <c r="GF24" s="281" t="s">
        <v>182</v>
      </c>
      <c r="GG24" s="281" t="s">
        <v>181</v>
      </c>
      <c r="GH24" s="292">
        <f t="shared" ca="1" si="4"/>
        <v>0</v>
      </c>
      <c r="GI24" s="283"/>
      <c r="GK24" s="533"/>
      <c r="GL24" s="238" t="s">
        <v>178</v>
      </c>
      <c r="GM24" s="299" t="e">
        <f t="shared" ca="1" si="3"/>
        <v>#REF!</v>
      </c>
    </row>
    <row r="25" spans="2:195" ht="12.75" customHeight="1" x14ac:dyDescent="0.2">
      <c r="B25" s="25"/>
      <c r="C25" s="25"/>
      <c r="D25" s="232"/>
      <c r="E25" s="232"/>
      <c r="F25" s="232"/>
      <c r="G25" s="25"/>
      <c r="H25" s="25"/>
      <c r="I25" s="234"/>
      <c r="J25" s="25"/>
      <c r="K25" s="25"/>
      <c r="L25" s="25"/>
      <c r="M25" s="25"/>
      <c r="N25" s="25"/>
      <c r="O25" s="232"/>
      <c r="P25" s="25"/>
      <c r="Q25" s="232"/>
      <c r="R25" s="25"/>
      <c r="S25" s="25"/>
      <c r="T25" s="232"/>
      <c r="U25" s="232"/>
      <c r="V25" s="25"/>
      <c r="W25" s="236"/>
      <c r="X25" s="236"/>
      <c r="Y25" s="25"/>
      <c r="Z25" s="25"/>
      <c r="AA25" s="25"/>
      <c r="AB25" s="232"/>
      <c r="AC25" s="25"/>
      <c r="AD25" s="232"/>
      <c r="AE25" s="25"/>
      <c r="AF25" s="232"/>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32"/>
      <c r="BG25" s="50"/>
      <c r="BH25" s="25"/>
      <c r="BI25" s="50"/>
      <c r="BJ25" s="50"/>
      <c r="BK25" s="50"/>
      <c r="BL25" s="232"/>
      <c r="BM25" s="232"/>
      <c r="BN25" s="232"/>
      <c r="BO25" s="232"/>
      <c r="BP25" s="232"/>
      <c r="BQ25" s="232"/>
      <c r="BR25" s="232"/>
      <c r="BS25" s="232"/>
      <c r="BT25" s="232"/>
      <c r="BU25" s="232"/>
      <c r="BV25" s="232"/>
      <c r="BW25" s="232"/>
      <c r="BX25" s="232"/>
      <c r="BY25" s="232"/>
      <c r="BZ25" s="232"/>
      <c r="CA25" s="50"/>
      <c r="CB25" s="232"/>
      <c r="CC25" s="232"/>
      <c r="CD25" s="25"/>
      <c r="CE25" s="25"/>
      <c r="CF25" s="232"/>
      <c r="CG25" s="25"/>
      <c r="CH25" s="25"/>
      <c r="CI25" s="25"/>
      <c r="CJ25" s="25"/>
      <c r="CK25" s="25"/>
      <c r="CL25" s="232"/>
      <c r="CM25" s="25"/>
      <c r="CN25" s="232"/>
      <c r="CO25" s="25"/>
      <c r="CP25" s="232"/>
      <c r="CQ25" s="232"/>
      <c r="CR25" s="232"/>
      <c r="CS25" s="232"/>
      <c r="CT25" s="232"/>
      <c r="CU25" s="232"/>
      <c r="CV25" s="232"/>
      <c r="CW25" s="232"/>
      <c r="CX25" s="232"/>
      <c r="CY25" s="232"/>
      <c r="CZ25" s="232"/>
      <c r="DA25" s="25"/>
      <c r="DB25" s="232"/>
      <c r="DC25" s="232"/>
      <c r="DD25" s="232"/>
      <c r="DE25" s="25"/>
      <c r="DF25" s="232"/>
      <c r="DG25" s="25"/>
      <c r="DH25" s="232"/>
      <c r="DI25" s="232"/>
      <c r="DJ25" s="25"/>
      <c r="DK25" s="25"/>
      <c r="DM25" s="25"/>
      <c r="DN25" s="25"/>
      <c r="DO25" s="25"/>
      <c r="DP25" s="25"/>
      <c r="DQ25" s="25"/>
      <c r="DR25" s="232"/>
      <c r="DS25" s="25"/>
      <c r="DT25" s="232"/>
      <c r="DU25" s="232"/>
      <c r="DV25" s="25"/>
      <c r="DW25" s="232"/>
      <c r="DX25" s="232"/>
      <c r="DY25" s="232"/>
      <c r="DZ25" s="232"/>
      <c r="EA25" s="232"/>
      <c r="EB25" s="232"/>
      <c r="EC25" s="232"/>
      <c r="ED25" s="232"/>
      <c r="EE25" s="50"/>
      <c r="EF25" s="50"/>
      <c r="EG25" s="25"/>
      <c r="EH25" s="232"/>
      <c r="EI25" s="232"/>
      <c r="EJ25" s="232"/>
      <c r="EK25" s="232"/>
      <c r="EL25" s="25"/>
      <c r="EN25" s="25"/>
      <c r="EW25" s="20"/>
      <c r="EX25" s="26"/>
      <c r="EY25" s="26"/>
      <c r="EZ25" s="26"/>
      <c r="FA25" s="26"/>
      <c r="FB25" s="25"/>
      <c r="FC25" s="232"/>
      <c r="FD25" s="232"/>
      <c r="FE25" s="232"/>
      <c r="FF25" s="232"/>
      <c r="FG25" s="232"/>
      <c r="FH25" s="232"/>
      <c r="FI25" s="25"/>
      <c r="FJ25" s="232"/>
      <c r="FK25" s="25"/>
      <c r="FL25" s="25"/>
      <c r="FM25" s="25"/>
      <c r="FN25" s="25"/>
      <c r="FO25" s="50"/>
      <c r="FP25" s="50"/>
      <c r="FQ25" s="232"/>
      <c r="FR25" s="232"/>
      <c r="FS25" s="232"/>
      <c r="FT25" s="50"/>
      <c r="FU25" s="50"/>
      <c r="FV25" s="232"/>
      <c r="FW25" s="76"/>
      <c r="FX25" s="232"/>
      <c r="FY25" s="232"/>
      <c r="FZ25" s="50"/>
      <c r="GA25" s="50"/>
      <c r="GB25" s="50"/>
      <c r="GC25" s="50"/>
      <c r="GD25" s="50"/>
      <c r="GE25" s="52"/>
      <c r="GF25" s="281"/>
      <c r="GG25" s="281" t="s">
        <v>180</v>
      </c>
      <c r="GH25" s="292">
        <f t="shared" ca="1" si="4"/>
        <v>0</v>
      </c>
      <c r="GI25" s="283"/>
      <c r="GK25" s="533"/>
      <c r="GL25" s="238" t="s">
        <v>177</v>
      </c>
      <c r="GM25" s="299" t="e">
        <f t="shared" ca="1" si="3"/>
        <v>#REF!</v>
      </c>
    </row>
    <row r="26" spans="2:195" ht="12.75" customHeight="1" x14ac:dyDescent="0.2">
      <c r="B26" s="25"/>
      <c r="C26" s="25"/>
      <c r="D26" s="232"/>
      <c r="E26" s="232"/>
      <c r="F26" s="232"/>
      <c r="G26" s="25"/>
      <c r="H26" s="25"/>
      <c r="I26" s="234"/>
      <c r="J26" s="25"/>
      <c r="K26" s="25"/>
      <c r="L26" s="25"/>
      <c r="M26" s="25"/>
      <c r="N26" s="25"/>
      <c r="O26" s="232"/>
      <c r="P26" s="25"/>
      <c r="Q26" s="232"/>
      <c r="R26" s="25"/>
      <c r="S26" s="25"/>
      <c r="T26" s="232"/>
      <c r="U26" s="232"/>
      <c r="V26" s="25"/>
      <c r="W26" s="236"/>
      <c r="X26" s="236"/>
      <c r="Y26" s="25"/>
      <c r="Z26" s="25"/>
      <c r="AA26" s="25"/>
      <c r="AB26" s="232"/>
      <c r="AC26" s="25"/>
      <c r="AD26" s="232"/>
      <c r="AE26" s="25"/>
      <c r="AF26" s="232"/>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32"/>
      <c r="BG26" s="50"/>
      <c r="BH26" s="25"/>
      <c r="BI26" s="50"/>
      <c r="BJ26" s="50"/>
      <c r="BK26" s="50"/>
      <c r="BL26" s="232"/>
      <c r="BM26" s="232"/>
      <c r="BN26" s="232"/>
      <c r="BO26" s="232"/>
      <c r="BP26" s="232"/>
      <c r="BQ26" s="232"/>
      <c r="BR26" s="232"/>
      <c r="BS26" s="232"/>
      <c r="BT26" s="232"/>
      <c r="BU26" s="232"/>
      <c r="BV26" s="232"/>
      <c r="BW26" s="232"/>
      <c r="BX26" s="232"/>
      <c r="BY26" s="232"/>
      <c r="BZ26" s="232"/>
      <c r="CA26" s="50"/>
      <c r="CB26" s="232"/>
      <c r="CC26" s="232"/>
      <c r="CD26" s="25"/>
      <c r="CE26" s="25"/>
      <c r="CF26" s="232"/>
      <c r="CG26" s="25"/>
      <c r="CH26" s="25"/>
      <c r="CI26" s="25"/>
      <c r="CJ26" s="25"/>
      <c r="CK26" s="25"/>
      <c r="CL26" s="232"/>
      <c r="CM26" s="25"/>
      <c r="CN26" s="232"/>
      <c r="CO26" s="25"/>
      <c r="CP26" s="232"/>
      <c r="CQ26" s="232"/>
      <c r="CR26" s="232"/>
      <c r="CS26" s="232"/>
      <c r="CT26" s="232"/>
      <c r="CU26" s="232"/>
      <c r="CV26" s="232"/>
      <c r="CW26" s="232"/>
      <c r="CX26" s="232"/>
      <c r="CY26" s="232"/>
      <c r="CZ26" s="232"/>
      <c r="DA26" s="25"/>
      <c r="DB26" s="232"/>
      <c r="DC26" s="232"/>
      <c r="DD26" s="232"/>
      <c r="DE26" s="25"/>
      <c r="DF26" s="232"/>
      <c r="DG26" s="25"/>
      <c r="DH26" s="232"/>
      <c r="DI26" s="232"/>
      <c r="DJ26" s="25"/>
      <c r="DK26" s="25"/>
      <c r="DM26" s="25"/>
      <c r="DN26" s="25"/>
      <c r="DO26" s="25"/>
      <c r="DP26" s="25"/>
      <c r="DQ26" s="25"/>
      <c r="DR26" s="232"/>
      <c r="DS26" s="25"/>
      <c r="DT26" s="232"/>
      <c r="DU26" s="232"/>
      <c r="DV26" s="25"/>
      <c r="DW26" s="232"/>
      <c r="DX26" s="232"/>
      <c r="DY26" s="232"/>
      <c r="DZ26" s="232"/>
      <c r="EA26" s="232"/>
      <c r="EB26" s="232"/>
      <c r="EC26" s="232"/>
      <c r="ED26" s="232"/>
      <c r="EE26" s="50"/>
      <c r="EF26" s="50"/>
      <c r="EG26" s="25"/>
      <c r="EH26" s="232"/>
      <c r="EI26" s="232"/>
      <c r="EJ26" s="232"/>
      <c r="EK26" s="232"/>
      <c r="EL26" s="25"/>
      <c r="EN26" s="25"/>
      <c r="EW26" s="20"/>
      <c r="EX26" s="26"/>
      <c r="EY26" s="26"/>
      <c r="EZ26" s="26"/>
      <c r="FA26" s="26"/>
      <c r="FB26" s="25"/>
      <c r="FC26" s="232"/>
      <c r="FD26" s="232"/>
      <c r="FE26" s="232"/>
      <c r="FF26" s="232"/>
      <c r="FG26" s="232"/>
      <c r="FH26" s="232"/>
      <c r="FI26" s="25"/>
      <c r="FJ26" s="232"/>
      <c r="FK26" s="25"/>
      <c r="FL26" s="25"/>
      <c r="FM26" s="25"/>
      <c r="FN26" s="25"/>
      <c r="FO26" s="50"/>
      <c r="FP26" s="50"/>
      <c r="FQ26" s="232"/>
      <c r="FR26" s="232"/>
      <c r="FS26" s="232"/>
      <c r="FT26" s="50"/>
      <c r="FU26" s="50"/>
      <c r="FV26" s="232"/>
      <c r="FW26" s="76"/>
      <c r="FX26" s="232"/>
      <c r="FY26" s="232"/>
      <c r="FZ26" s="50"/>
      <c r="GA26" s="50"/>
      <c r="GB26" s="50"/>
      <c r="GC26" s="50"/>
      <c r="GD26" s="50"/>
      <c r="GE26" s="52"/>
      <c r="GF26" s="281"/>
      <c r="GG26" s="281" t="s">
        <v>179</v>
      </c>
      <c r="GH26" s="292">
        <f t="shared" ca="1" si="4"/>
        <v>0</v>
      </c>
      <c r="GI26" s="283"/>
      <c r="GK26" s="533"/>
      <c r="GL26" s="238" t="s">
        <v>176</v>
      </c>
      <c r="GM26" s="299" t="e">
        <f t="shared" ca="1" si="3"/>
        <v>#REF!</v>
      </c>
    </row>
    <row r="27" spans="2:195" ht="12.75" customHeight="1" x14ac:dyDescent="0.2">
      <c r="B27" s="25"/>
      <c r="C27" s="25"/>
      <c r="D27" s="232"/>
      <c r="E27" s="232"/>
      <c r="F27" s="232"/>
      <c r="G27" s="25"/>
      <c r="H27" s="25"/>
      <c r="I27" s="234"/>
      <c r="J27" s="25"/>
      <c r="K27" s="25"/>
      <c r="L27" s="25"/>
      <c r="M27" s="25"/>
      <c r="N27" s="25"/>
      <c r="O27" s="232"/>
      <c r="P27" s="25"/>
      <c r="Q27" s="232"/>
      <c r="R27" s="25"/>
      <c r="S27" s="25"/>
      <c r="T27" s="232"/>
      <c r="U27" s="232"/>
      <c r="V27" s="25"/>
      <c r="W27" s="236"/>
      <c r="X27" s="236"/>
      <c r="Y27" s="25"/>
      <c r="Z27" s="25"/>
      <c r="AA27" s="25"/>
      <c r="AB27" s="232"/>
      <c r="AC27" s="25"/>
      <c r="AD27" s="232"/>
      <c r="AE27" s="25"/>
      <c r="AF27" s="232"/>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32"/>
      <c r="BG27" s="50"/>
      <c r="BH27" s="25"/>
      <c r="BI27" s="50"/>
      <c r="BJ27" s="50"/>
      <c r="BK27" s="50"/>
      <c r="BL27" s="232"/>
      <c r="BM27" s="232"/>
      <c r="BN27" s="232"/>
      <c r="BO27" s="232"/>
      <c r="BP27" s="232"/>
      <c r="BQ27" s="232"/>
      <c r="BR27" s="232"/>
      <c r="BS27" s="232"/>
      <c r="BT27" s="232"/>
      <c r="BU27" s="232"/>
      <c r="BV27" s="232"/>
      <c r="BW27" s="232"/>
      <c r="BX27" s="232"/>
      <c r="BY27" s="232"/>
      <c r="BZ27" s="232"/>
      <c r="CA27" s="50"/>
      <c r="CB27" s="232"/>
      <c r="CC27" s="232"/>
      <c r="CD27" s="25"/>
      <c r="CE27" s="25"/>
      <c r="CF27" s="232"/>
      <c r="CG27" s="25"/>
      <c r="CH27" s="25"/>
      <c r="CI27" s="25"/>
      <c r="CJ27" s="25"/>
      <c r="CK27" s="25"/>
      <c r="CL27" s="232"/>
      <c r="CM27" s="25"/>
      <c r="CN27" s="232"/>
      <c r="CO27" s="25"/>
      <c r="CP27" s="232"/>
      <c r="CQ27" s="232"/>
      <c r="CR27" s="232"/>
      <c r="CS27" s="232"/>
      <c r="CT27" s="232"/>
      <c r="CU27" s="232"/>
      <c r="CV27" s="232"/>
      <c r="CW27" s="232"/>
      <c r="CX27" s="232"/>
      <c r="CY27" s="232"/>
      <c r="CZ27" s="232"/>
      <c r="DA27" s="25"/>
      <c r="DB27" s="232"/>
      <c r="DC27" s="232"/>
      <c r="DD27" s="232"/>
      <c r="DE27" s="25"/>
      <c r="DF27" s="232"/>
      <c r="DG27" s="25"/>
      <c r="DH27" s="232"/>
      <c r="DI27" s="232"/>
      <c r="DJ27" s="25"/>
      <c r="DK27" s="25"/>
      <c r="DM27" s="25"/>
      <c r="DN27" s="25"/>
      <c r="DO27" s="25"/>
      <c r="DP27" s="25"/>
      <c r="DQ27" s="25"/>
      <c r="DR27" s="232"/>
      <c r="DS27" s="25"/>
      <c r="DT27" s="232"/>
      <c r="DU27" s="232"/>
      <c r="DV27" s="25"/>
      <c r="DW27" s="232"/>
      <c r="DX27" s="232"/>
      <c r="DY27" s="232"/>
      <c r="DZ27" s="232"/>
      <c r="EA27" s="232"/>
      <c r="EB27" s="232"/>
      <c r="EC27" s="232"/>
      <c r="ED27" s="232"/>
      <c r="EE27" s="50"/>
      <c r="EF27" s="50"/>
      <c r="EG27" s="25"/>
      <c r="EH27" s="232"/>
      <c r="EI27" s="232"/>
      <c r="EJ27" s="232"/>
      <c r="EK27" s="232"/>
      <c r="EL27" s="25"/>
      <c r="EN27" s="25"/>
      <c r="EW27" s="20"/>
      <c r="EX27" s="26"/>
      <c r="EY27" s="26"/>
      <c r="EZ27" s="26"/>
      <c r="FA27" s="26"/>
      <c r="FB27" s="25"/>
      <c r="FC27" s="232"/>
      <c r="FD27" s="232"/>
      <c r="FE27" s="232"/>
      <c r="FF27" s="232"/>
      <c r="FG27" s="232"/>
      <c r="FH27" s="232"/>
      <c r="FI27" s="25"/>
      <c r="FJ27" s="232"/>
      <c r="FK27" s="25"/>
      <c r="FL27" s="25"/>
      <c r="FM27" s="25"/>
      <c r="FN27" s="25"/>
      <c r="FO27" s="50"/>
      <c r="FP27" s="50"/>
      <c r="FQ27" s="232"/>
      <c r="FR27" s="232"/>
      <c r="FS27" s="232"/>
      <c r="FT27" s="50"/>
      <c r="FU27" s="50"/>
      <c r="FV27" s="232"/>
      <c r="FW27" s="76"/>
      <c r="FX27" s="232"/>
      <c r="FY27" s="232"/>
      <c r="FZ27" s="50"/>
      <c r="GA27" s="50"/>
      <c r="GB27" s="50"/>
      <c r="GC27" s="50"/>
      <c r="GD27" s="50"/>
      <c r="GE27" s="52"/>
      <c r="GF27" s="281"/>
      <c r="GG27" s="281" t="s">
        <v>178</v>
      </c>
      <c r="GH27" s="292">
        <f t="shared" ca="1" si="4"/>
        <v>0</v>
      </c>
      <c r="GI27" s="283"/>
      <c r="GK27" s="533"/>
      <c r="GL27" s="238" t="s">
        <v>25</v>
      </c>
      <c r="GM27" s="299" t="e">
        <f t="shared" ca="1" si="3"/>
        <v>#REF!</v>
      </c>
    </row>
    <row r="28" spans="2:195" ht="12.75" customHeight="1" x14ac:dyDescent="0.2">
      <c r="B28" s="25"/>
      <c r="C28" s="25"/>
      <c r="D28" s="232"/>
      <c r="E28" s="232"/>
      <c r="F28" s="232"/>
      <c r="G28" s="25"/>
      <c r="H28" s="25"/>
      <c r="I28" s="234"/>
      <c r="J28" s="25"/>
      <c r="K28" s="25"/>
      <c r="L28" s="25"/>
      <c r="M28" s="25"/>
      <c r="N28" s="25"/>
      <c r="O28" s="232"/>
      <c r="P28" s="25"/>
      <c r="Q28" s="232"/>
      <c r="R28" s="25"/>
      <c r="S28" s="25"/>
      <c r="T28" s="232"/>
      <c r="U28" s="232"/>
      <c r="V28" s="25"/>
      <c r="W28" s="236"/>
      <c r="X28" s="236"/>
      <c r="Y28" s="25"/>
      <c r="Z28" s="25"/>
      <c r="AA28" s="25"/>
      <c r="AB28" s="232"/>
      <c r="AC28" s="25"/>
      <c r="AD28" s="232"/>
      <c r="AE28" s="25"/>
      <c r="AF28" s="232"/>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32"/>
      <c r="BG28" s="50"/>
      <c r="BH28" s="25"/>
      <c r="BI28" s="50"/>
      <c r="BJ28" s="50"/>
      <c r="BK28" s="50"/>
      <c r="BL28" s="232"/>
      <c r="BM28" s="232"/>
      <c r="BN28" s="232"/>
      <c r="BO28" s="232"/>
      <c r="BP28" s="232"/>
      <c r="BQ28" s="232"/>
      <c r="BR28" s="232"/>
      <c r="BS28" s="232"/>
      <c r="BT28" s="232"/>
      <c r="BU28" s="232"/>
      <c r="BV28" s="232"/>
      <c r="BW28" s="232"/>
      <c r="BX28" s="232"/>
      <c r="BY28" s="232"/>
      <c r="BZ28" s="232"/>
      <c r="CA28" s="50"/>
      <c r="CB28" s="232"/>
      <c r="CC28" s="232"/>
      <c r="CD28" s="25"/>
      <c r="CE28" s="25"/>
      <c r="CF28" s="232"/>
      <c r="CG28" s="25"/>
      <c r="CH28" s="25"/>
      <c r="CI28" s="25"/>
      <c r="CJ28" s="25"/>
      <c r="CK28" s="25"/>
      <c r="CL28" s="232"/>
      <c r="CM28" s="25"/>
      <c r="CN28" s="232"/>
      <c r="CO28" s="25"/>
      <c r="CP28" s="232"/>
      <c r="CQ28" s="232"/>
      <c r="CR28" s="232"/>
      <c r="CS28" s="232"/>
      <c r="CT28" s="232"/>
      <c r="CU28" s="232"/>
      <c r="CV28" s="232"/>
      <c r="CW28" s="232"/>
      <c r="CX28" s="232"/>
      <c r="CY28" s="232"/>
      <c r="CZ28" s="232"/>
      <c r="DA28" s="25"/>
      <c r="DB28" s="232"/>
      <c r="DC28" s="232"/>
      <c r="DD28" s="232"/>
      <c r="DE28" s="25"/>
      <c r="DF28" s="232"/>
      <c r="DG28" s="25"/>
      <c r="DH28" s="232"/>
      <c r="DI28" s="232"/>
      <c r="DJ28" s="25"/>
      <c r="DK28" s="25"/>
      <c r="DM28" s="25"/>
      <c r="DN28" s="25"/>
      <c r="DO28" s="25"/>
      <c r="DP28" s="25"/>
      <c r="DQ28" s="25"/>
      <c r="DR28" s="232"/>
      <c r="DS28" s="25"/>
      <c r="DT28" s="232"/>
      <c r="DU28" s="232"/>
      <c r="DV28" s="25"/>
      <c r="DW28" s="232"/>
      <c r="DX28" s="232"/>
      <c r="DY28" s="232"/>
      <c r="DZ28" s="232"/>
      <c r="EA28" s="232"/>
      <c r="EB28" s="232"/>
      <c r="EC28" s="232"/>
      <c r="ED28" s="232"/>
      <c r="EE28" s="50"/>
      <c r="EF28" s="50"/>
      <c r="EG28" s="25"/>
      <c r="EH28" s="232"/>
      <c r="EI28" s="232"/>
      <c r="EJ28" s="232"/>
      <c r="EK28" s="232"/>
      <c r="EL28" s="25"/>
      <c r="EN28" s="25"/>
      <c r="EW28" s="20"/>
      <c r="EX28" s="26"/>
      <c r="EY28" s="26"/>
      <c r="EZ28" s="26"/>
      <c r="FA28" s="26"/>
      <c r="FB28" s="25"/>
      <c r="FC28" s="232"/>
      <c r="FD28" s="232"/>
      <c r="FE28" s="232"/>
      <c r="FF28" s="232"/>
      <c r="FG28" s="232"/>
      <c r="FH28" s="232"/>
      <c r="FI28" s="25"/>
      <c r="FJ28" s="232"/>
      <c r="FK28" s="25"/>
      <c r="FL28" s="25"/>
      <c r="FM28" s="25"/>
      <c r="FN28" s="25"/>
      <c r="FO28" s="50"/>
      <c r="FP28" s="50"/>
      <c r="FQ28" s="232"/>
      <c r="FR28" s="232"/>
      <c r="FS28" s="232"/>
      <c r="FT28" s="50"/>
      <c r="FU28" s="50"/>
      <c r="FV28" s="232"/>
      <c r="FW28" s="76"/>
      <c r="FX28" s="232"/>
      <c r="FY28" s="232"/>
      <c r="FZ28" s="50"/>
      <c r="GA28" s="50"/>
      <c r="GB28" s="50"/>
      <c r="GC28" s="50"/>
      <c r="GD28" s="50"/>
      <c r="GE28" s="52"/>
      <c r="GF28" s="281"/>
      <c r="GG28" s="281" t="s">
        <v>177</v>
      </c>
      <c r="GH28" s="292">
        <f t="shared" ca="1" si="4"/>
        <v>0</v>
      </c>
      <c r="GI28" s="283"/>
      <c r="GK28" s="533"/>
      <c r="GL28" s="238" t="s">
        <v>706</v>
      </c>
      <c r="GM28" s="299" t="e">
        <f ca="1">SUM(GM21:GM27)</f>
        <v>#REF!</v>
      </c>
    </row>
    <row r="29" spans="2:195" ht="12.75" customHeight="1" x14ac:dyDescent="0.2">
      <c r="B29" s="25"/>
      <c r="C29" s="25"/>
      <c r="D29" s="232"/>
      <c r="E29" s="232"/>
      <c r="F29" s="232"/>
      <c r="G29" s="25"/>
      <c r="H29" s="25"/>
      <c r="I29" s="234"/>
      <c r="J29" s="25"/>
      <c r="K29" s="25"/>
      <c r="L29" s="25"/>
      <c r="M29" s="25"/>
      <c r="N29" s="25"/>
      <c r="O29" s="232"/>
      <c r="P29" s="25"/>
      <c r="Q29" s="232"/>
      <c r="R29" s="25"/>
      <c r="S29" s="25"/>
      <c r="T29" s="232"/>
      <c r="U29" s="232"/>
      <c r="V29" s="25"/>
      <c r="W29" s="236"/>
      <c r="X29" s="236"/>
      <c r="Y29" s="25"/>
      <c r="Z29" s="25"/>
      <c r="AA29" s="25"/>
      <c r="AB29" s="232"/>
      <c r="AC29" s="25"/>
      <c r="AD29" s="232"/>
      <c r="AE29" s="25"/>
      <c r="AF29" s="232"/>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32"/>
      <c r="BG29" s="50"/>
      <c r="BH29" s="25"/>
      <c r="BI29" s="50"/>
      <c r="BJ29" s="50"/>
      <c r="BK29" s="50"/>
      <c r="BL29" s="232"/>
      <c r="BM29" s="232"/>
      <c r="BN29" s="232"/>
      <c r="BO29" s="232"/>
      <c r="BP29" s="232"/>
      <c r="BQ29" s="232"/>
      <c r="BR29" s="232"/>
      <c r="BS29" s="232"/>
      <c r="BT29" s="232"/>
      <c r="BU29" s="232"/>
      <c r="BV29" s="232"/>
      <c r="BW29" s="232"/>
      <c r="BX29" s="232"/>
      <c r="BY29" s="232"/>
      <c r="BZ29" s="232"/>
      <c r="CA29" s="50"/>
      <c r="CB29" s="232"/>
      <c r="CC29" s="232"/>
      <c r="CD29" s="25"/>
      <c r="CE29" s="25"/>
      <c r="CF29" s="232"/>
      <c r="CG29" s="25"/>
      <c r="CH29" s="25"/>
      <c r="CI29" s="25"/>
      <c r="CJ29" s="25"/>
      <c r="CK29" s="25"/>
      <c r="CL29" s="232"/>
      <c r="CM29" s="25"/>
      <c r="CN29" s="232"/>
      <c r="CO29" s="25"/>
      <c r="CP29" s="232"/>
      <c r="CQ29" s="232"/>
      <c r="CR29" s="232"/>
      <c r="CS29" s="232"/>
      <c r="CT29" s="232"/>
      <c r="CU29" s="232"/>
      <c r="CV29" s="232"/>
      <c r="CW29" s="232"/>
      <c r="CX29" s="232"/>
      <c r="CY29" s="232"/>
      <c r="CZ29" s="232"/>
      <c r="DA29" s="25"/>
      <c r="DB29" s="232"/>
      <c r="DC29" s="232"/>
      <c r="DD29" s="232"/>
      <c r="DE29" s="25"/>
      <c r="DF29" s="232"/>
      <c r="DG29" s="25"/>
      <c r="DH29" s="232"/>
      <c r="DI29" s="232"/>
      <c r="DJ29" s="25"/>
      <c r="DK29" s="25"/>
      <c r="DM29" s="25"/>
      <c r="DN29" s="25"/>
      <c r="DO29" s="25"/>
      <c r="DP29" s="25"/>
      <c r="DQ29" s="25"/>
      <c r="DR29" s="232"/>
      <c r="DS29" s="25"/>
      <c r="DT29" s="232"/>
      <c r="DU29" s="232"/>
      <c r="DV29" s="25"/>
      <c r="DW29" s="232"/>
      <c r="DX29" s="232"/>
      <c r="DY29" s="232"/>
      <c r="DZ29" s="232"/>
      <c r="EA29" s="232"/>
      <c r="EB29" s="232"/>
      <c r="EC29" s="232"/>
      <c r="ED29" s="232"/>
      <c r="EE29" s="50"/>
      <c r="EF29" s="50"/>
      <c r="EG29" s="25"/>
      <c r="EH29" s="232"/>
      <c r="EI29" s="232"/>
      <c r="EJ29" s="232"/>
      <c r="EK29" s="232"/>
      <c r="EL29" s="25"/>
      <c r="EN29" s="25"/>
      <c r="EW29" s="20"/>
      <c r="EX29" s="26"/>
      <c r="EY29" s="26"/>
      <c r="EZ29" s="26"/>
      <c r="FA29" s="26"/>
      <c r="FB29" s="25"/>
      <c r="FC29" s="232"/>
      <c r="FD29" s="232"/>
      <c r="FE29" s="232"/>
      <c r="FF29" s="232"/>
      <c r="FG29" s="232"/>
      <c r="FH29" s="232"/>
      <c r="FI29" s="25"/>
      <c r="FJ29" s="232"/>
      <c r="FK29" s="25"/>
      <c r="FL29" s="25"/>
      <c r="FM29" s="25"/>
      <c r="FN29" s="25"/>
      <c r="FO29" s="50"/>
      <c r="FP29" s="50"/>
      <c r="FQ29" s="232"/>
      <c r="FR29" s="232"/>
      <c r="FS29" s="232"/>
      <c r="FT29" s="50"/>
      <c r="FU29" s="50"/>
      <c r="FV29" s="232"/>
      <c r="FW29" s="76"/>
      <c r="FX29" s="232"/>
      <c r="FY29" s="232"/>
      <c r="FZ29" s="50"/>
      <c r="GA29" s="50"/>
      <c r="GB29" s="50"/>
      <c r="GC29" s="50"/>
      <c r="GD29" s="50"/>
      <c r="GE29" s="52"/>
      <c r="GF29" s="281"/>
      <c r="GG29" s="281" t="s">
        <v>176</v>
      </c>
      <c r="GH29" s="292">
        <f t="shared" ca="1" si="4"/>
        <v>0</v>
      </c>
      <c r="GI29" s="283"/>
      <c r="GK29" s="533" t="s">
        <v>689</v>
      </c>
      <c r="GL29" s="238" t="s">
        <v>181</v>
      </c>
      <c r="GM29" s="299" t="e">
        <f t="shared" ref="GM29:GM35" ca="1" si="5">SUMIFS(Str_NumOfStructures,y5_SCIAv,"&gt;=80",Str_AVFStructureType,$GJ5)-GM21</f>
        <v>#REF!</v>
      </c>
    </row>
    <row r="30" spans="2:195" ht="12.75" customHeight="1" x14ac:dyDescent="0.2">
      <c r="B30" s="25"/>
      <c r="C30" s="25"/>
      <c r="D30" s="232"/>
      <c r="E30" s="232"/>
      <c r="F30" s="232"/>
      <c r="G30" s="25"/>
      <c r="H30" s="25"/>
      <c r="I30" s="234"/>
      <c r="J30" s="25"/>
      <c r="K30" s="25"/>
      <c r="L30" s="25"/>
      <c r="M30" s="25"/>
      <c r="N30" s="25"/>
      <c r="O30" s="232"/>
      <c r="P30" s="25"/>
      <c r="Q30" s="232"/>
      <c r="R30" s="25"/>
      <c r="S30" s="25"/>
      <c r="T30" s="232"/>
      <c r="U30" s="232"/>
      <c r="V30" s="25"/>
      <c r="W30" s="236"/>
      <c r="X30" s="236"/>
      <c r="Y30" s="25"/>
      <c r="Z30" s="25"/>
      <c r="AA30" s="25"/>
      <c r="AB30" s="232"/>
      <c r="AC30" s="25"/>
      <c r="AD30" s="232"/>
      <c r="AE30" s="25"/>
      <c r="AF30" s="232"/>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32"/>
      <c r="BG30" s="50"/>
      <c r="BH30" s="25"/>
      <c r="BI30" s="50"/>
      <c r="BJ30" s="50"/>
      <c r="BK30" s="50"/>
      <c r="BL30" s="232"/>
      <c r="BM30" s="232"/>
      <c r="BN30" s="232"/>
      <c r="BO30" s="232"/>
      <c r="BP30" s="232"/>
      <c r="BQ30" s="232"/>
      <c r="BR30" s="232"/>
      <c r="BS30" s="232"/>
      <c r="BT30" s="232"/>
      <c r="BU30" s="232"/>
      <c r="BV30" s="232"/>
      <c r="BW30" s="232"/>
      <c r="BX30" s="232"/>
      <c r="BY30" s="232"/>
      <c r="BZ30" s="232"/>
      <c r="CA30" s="50"/>
      <c r="CB30" s="232"/>
      <c r="CC30" s="232"/>
      <c r="CD30" s="25"/>
      <c r="CE30" s="25"/>
      <c r="CF30" s="232"/>
      <c r="CG30" s="25"/>
      <c r="CH30" s="25"/>
      <c r="CI30" s="25"/>
      <c r="CJ30" s="25"/>
      <c r="CK30" s="25"/>
      <c r="CL30" s="232"/>
      <c r="CM30" s="25"/>
      <c r="CN30" s="232"/>
      <c r="CO30" s="25"/>
      <c r="CP30" s="232"/>
      <c r="CQ30" s="232"/>
      <c r="CR30" s="232"/>
      <c r="CS30" s="232"/>
      <c r="CT30" s="232"/>
      <c r="CU30" s="232"/>
      <c r="CV30" s="232"/>
      <c r="CW30" s="232"/>
      <c r="CX30" s="232"/>
      <c r="CY30" s="232"/>
      <c r="CZ30" s="232"/>
      <c r="DA30" s="25"/>
      <c r="DB30" s="232"/>
      <c r="DC30" s="232"/>
      <c r="DD30" s="232"/>
      <c r="DE30" s="25"/>
      <c r="DF30" s="232"/>
      <c r="DG30" s="25"/>
      <c r="DH30" s="232"/>
      <c r="DI30" s="232"/>
      <c r="DJ30" s="25"/>
      <c r="DK30" s="25"/>
      <c r="DM30" s="25"/>
      <c r="DN30" s="25"/>
      <c r="DO30" s="25"/>
      <c r="DP30" s="25"/>
      <c r="DQ30" s="25"/>
      <c r="DR30" s="232"/>
      <c r="DS30" s="25"/>
      <c r="DT30" s="232"/>
      <c r="DU30" s="232"/>
      <c r="DV30" s="25"/>
      <c r="DW30" s="232"/>
      <c r="DX30" s="232"/>
      <c r="DY30" s="232"/>
      <c r="DZ30" s="232"/>
      <c r="EA30" s="232"/>
      <c r="EB30" s="232"/>
      <c r="EC30" s="232"/>
      <c r="ED30" s="232"/>
      <c r="EE30" s="50"/>
      <c r="EF30" s="50"/>
      <c r="EG30" s="25"/>
      <c r="EH30" s="232"/>
      <c r="EI30" s="232"/>
      <c r="EJ30" s="232"/>
      <c r="EK30" s="232"/>
      <c r="EL30" s="25"/>
      <c r="EN30" s="25"/>
      <c r="EW30" s="20"/>
      <c r="EX30" s="26"/>
      <c r="EY30" s="26"/>
      <c r="EZ30" s="26"/>
      <c r="FA30" s="26"/>
      <c r="FB30" s="25"/>
      <c r="FC30" s="232"/>
      <c r="FD30" s="232"/>
      <c r="FE30" s="232"/>
      <c r="FF30" s="232"/>
      <c r="FG30" s="232"/>
      <c r="FH30" s="232"/>
      <c r="FI30" s="25"/>
      <c r="FJ30" s="232"/>
      <c r="FK30" s="25"/>
      <c r="FL30" s="25"/>
      <c r="FM30" s="25"/>
      <c r="FN30" s="25"/>
      <c r="FO30" s="50"/>
      <c r="FP30" s="50"/>
      <c r="FQ30" s="232"/>
      <c r="FR30" s="232"/>
      <c r="FS30" s="232"/>
      <c r="FT30" s="50"/>
      <c r="FU30" s="50"/>
      <c r="FV30" s="232"/>
      <c r="FW30" s="76"/>
      <c r="FX30" s="232"/>
      <c r="FY30" s="232"/>
      <c r="FZ30" s="50"/>
      <c r="GA30" s="50"/>
      <c r="GB30" s="50"/>
      <c r="GC30" s="50"/>
      <c r="GD30" s="50"/>
      <c r="GE30" s="52"/>
      <c r="GF30" s="281"/>
      <c r="GG30" s="281" t="s">
        <v>706</v>
      </c>
      <c r="GH30" s="292">
        <f ca="1">GM20</f>
        <v>0</v>
      </c>
      <c r="GI30" s="283"/>
      <c r="GK30" s="533"/>
      <c r="GL30" s="238" t="s">
        <v>180</v>
      </c>
      <c r="GM30" s="299" t="e">
        <f t="shared" ca="1" si="5"/>
        <v>#REF!</v>
      </c>
    </row>
    <row r="31" spans="2:195" ht="12.75" customHeight="1" x14ac:dyDescent="0.2">
      <c r="B31" s="25"/>
      <c r="C31" s="25"/>
      <c r="D31" s="232"/>
      <c r="E31" s="232"/>
      <c r="F31" s="232"/>
      <c r="G31" s="25"/>
      <c r="H31" s="25"/>
      <c r="I31" s="234"/>
      <c r="J31" s="25"/>
      <c r="K31" s="25"/>
      <c r="L31" s="25"/>
      <c r="M31" s="25"/>
      <c r="N31" s="25"/>
      <c r="O31" s="232"/>
      <c r="P31" s="25"/>
      <c r="Q31" s="232"/>
      <c r="R31" s="25"/>
      <c r="S31" s="25"/>
      <c r="T31" s="232"/>
      <c r="U31" s="232"/>
      <c r="V31" s="25"/>
      <c r="W31" s="236"/>
      <c r="X31" s="236"/>
      <c r="Y31" s="25"/>
      <c r="Z31" s="25"/>
      <c r="AA31" s="25"/>
      <c r="AB31" s="232"/>
      <c r="AC31" s="25"/>
      <c r="AD31" s="232"/>
      <c r="AE31" s="25"/>
      <c r="AF31" s="232"/>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32"/>
      <c r="BG31" s="50"/>
      <c r="BH31" s="25"/>
      <c r="BI31" s="50"/>
      <c r="BJ31" s="50"/>
      <c r="BK31" s="50"/>
      <c r="BL31" s="232"/>
      <c r="BM31" s="232"/>
      <c r="BN31" s="232"/>
      <c r="BO31" s="232"/>
      <c r="BP31" s="232"/>
      <c r="BQ31" s="232"/>
      <c r="BR31" s="232"/>
      <c r="BS31" s="232"/>
      <c r="BT31" s="232"/>
      <c r="BU31" s="232"/>
      <c r="BV31" s="232"/>
      <c r="BW31" s="232"/>
      <c r="BX31" s="232"/>
      <c r="BY31" s="232"/>
      <c r="BZ31" s="232"/>
      <c r="CA31" s="50"/>
      <c r="CB31" s="232"/>
      <c r="CC31" s="232"/>
      <c r="CD31" s="25"/>
      <c r="CE31" s="25"/>
      <c r="CF31" s="232"/>
      <c r="CG31" s="25"/>
      <c r="CH31" s="25"/>
      <c r="CI31" s="25"/>
      <c r="CJ31" s="25"/>
      <c r="CK31" s="25"/>
      <c r="CL31" s="232"/>
      <c r="CM31" s="25"/>
      <c r="CN31" s="232"/>
      <c r="CO31" s="25"/>
      <c r="CP31" s="232"/>
      <c r="CQ31" s="232"/>
      <c r="CR31" s="232"/>
      <c r="CS31" s="232"/>
      <c r="CT31" s="232"/>
      <c r="CU31" s="232"/>
      <c r="CV31" s="232"/>
      <c r="CW31" s="232"/>
      <c r="CX31" s="232"/>
      <c r="CY31" s="232"/>
      <c r="CZ31" s="232"/>
      <c r="DA31" s="25"/>
      <c r="DB31" s="232"/>
      <c r="DC31" s="232"/>
      <c r="DD31" s="232"/>
      <c r="DE31" s="25"/>
      <c r="DF31" s="232"/>
      <c r="DG31" s="25"/>
      <c r="DH31" s="232"/>
      <c r="DI31" s="232"/>
      <c r="DJ31" s="25"/>
      <c r="DK31" s="25"/>
      <c r="DM31" s="25"/>
      <c r="DN31" s="25"/>
      <c r="DO31" s="25"/>
      <c r="DP31" s="25"/>
      <c r="DQ31" s="25"/>
      <c r="DR31" s="232"/>
      <c r="DS31" s="25"/>
      <c r="DT31" s="232"/>
      <c r="DU31" s="232"/>
      <c r="DV31" s="25"/>
      <c r="DW31" s="232"/>
      <c r="DX31" s="232"/>
      <c r="DY31" s="232"/>
      <c r="DZ31" s="232"/>
      <c r="EA31" s="232"/>
      <c r="EB31" s="232"/>
      <c r="EC31" s="232"/>
      <c r="ED31" s="232"/>
      <c r="EE31" s="50"/>
      <c r="EF31" s="50"/>
      <c r="EG31" s="25"/>
      <c r="EH31" s="232"/>
      <c r="EI31" s="232"/>
      <c r="EJ31" s="232"/>
      <c r="EK31" s="232"/>
      <c r="EL31" s="25"/>
      <c r="EN31" s="25"/>
      <c r="EW31" s="20"/>
      <c r="EX31" s="26"/>
      <c r="EY31" s="26"/>
      <c r="EZ31" s="26"/>
      <c r="FA31" s="26"/>
      <c r="FB31" s="25"/>
      <c r="FC31" s="232"/>
      <c r="FD31" s="232"/>
      <c r="FE31" s="232"/>
      <c r="FF31" s="232"/>
      <c r="FG31" s="232"/>
      <c r="FH31" s="232"/>
      <c r="FI31" s="25"/>
      <c r="FJ31" s="232"/>
      <c r="FK31" s="25"/>
      <c r="FL31" s="25"/>
      <c r="FM31" s="25"/>
      <c r="FN31" s="25"/>
      <c r="FO31" s="50"/>
      <c r="FP31" s="50"/>
      <c r="FQ31" s="232"/>
      <c r="FR31" s="232"/>
      <c r="FS31" s="232"/>
      <c r="FT31" s="50"/>
      <c r="FU31" s="50"/>
      <c r="FV31" s="232"/>
      <c r="FW31" s="76"/>
      <c r="FX31" s="232"/>
      <c r="FY31" s="232"/>
      <c r="FZ31" s="50"/>
      <c r="GA31" s="50"/>
      <c r="GB31" s="50"/>
      <c r="GC31" s="50"/>
      <c r="GD31" s="50"/>
      <c r="GE31" s="52"/>
      <c r="GF31" s="281" t="s">
        <v>710</v>
      </c>
      <c r="GG31" s="281"/>
      <c r="GH31" s="293" t="e">
        <f ca="1">GM28</f>
        <v>#REF!</v>
      </c>
      <c r="GI31" s="283"/>
      <c r="GK31" s="533"/>
      <c r="GL31" s="238" t="s">
        <v>179</v>
      </c>
      <c r="GM31" s="299" t="e">
        <f t="shared" ca="1" si="5"/>
        <v>#REF!</v>
      </c>
    </row>
    <row r="32" spans="2:195" ht="12.75" customHeight="1" x14ac:dyDescent="0.2">
      <c r="B32" s="25"/>
      <c r="C32" s="25"/>
      <c r="D32" s="232"/>
      <c r="E32" s="232"/>
      <c r="F32" s="232"/>
      <c r="G32" s="25"/>
      <c r="H32" s="25"/>
      <c r="I32" s="234"/>
      <c r="J32" s="25"/>
      <c r="K32" s="25"/>
      <c r="L32" s="25"/>
      <c r="M32" s="25"/>
      <c r="N32" s="25"/>
      <c r="O32" s="232"/>
      <c r="P32" s="25"/>
      <c r="Q32" s="232"/>
      <c r="R32" s="25"/>
      <c r="S32" s="25"/>
      <c r="T32" s="232"/>
      <c r="U32" s="232"/>
      <c r="V32" s="25"/>
      <c r="W32" s="236"/>
      <c r="X32" s="236"/>
      <c r="Y32" s="25"/>
      <c r="Z32" s="25"/>
      <c r="AA32" s="25"/>
      <c r="AB32" s="232"/>
      <c r="AC32" s="25"/>
      <c r="AD32" s="232"/>
      <c r="AE32" s="25"/>
      <c r="AF32" s="232"/>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32"/>
      <c r="BG32" s="50"/>
      <c r="BH32" s="25"/>
      <c r="BI32" s="50"/>
      <c r="BJ32" s="50"/>
      <c r="BK32" s="50"/>
      <c r="BL32" s="232"/>
      <c r="BM32" s="232"/>
      <c r="BN32" s="232"/>
      <c r="BO32" s="232"/>
      <c r="BP32" s="232"/>
      <c r="BQ32" s="232"/>
      <c r="BR32" s="232"/>
      <c r="BS32" s="232"/>
      <c r="BT32" s="232"/>
      <c r="BU32" s="232"/>
      <c r="BV32" s="232"/>
      <c r="BW32" s="232"/>
      <c r="BX32" s="232"/>
      <c r="BY32" s="232"/>
      <c r="BZ32" s="232"/>
      <c r="CA32" s="50"/>
      <c r="CB32" s="232"/>
      <c r="CC32" s="232"/>
      <c r="CD32" s="25"/>
      <c r="CE32" s="25"/>
      <c r="CF32" s="232"/>
      <c r="CG32" s="25"/>
      <c r="CH32" s="25"/>
      <c r="CI32" s="25"/>
      <c r="CJ32" s="25"/>
      <c r="CK32" s="25"/>
      <c r="CL32" s="232"/>
      <c r="CM32" s="25"/>
      <c r="CN32" s="232"/>
      <c r="CO32" s="25"/>
      <c r="CP32" s="232"/>
      <c r="CQ32" s="232"/>
      <c r="CR32" s="232"/>
      <c r="CS32" s="232"/>
      <c r="CT32" s="232"/>
      <c r="CU32" s="232"/>
      <c r="CV32" s="232"/>
      <c r="CW32" s="232"/>
      <c r="CX32" s="232"/>
      <c r="CY32" s="232"/>
      <c r="CZ32" s="232"/>
      <c r="DA32" s="25"/>
      <c r="DB32" s="232"/>
      <c r="DC32" s="232"/>
      <c r="DD32" s="232"/>
      <c r="DE32" s="25"/>
      <c r="DF32" s="232"/>
      <c r="DG32" s="25"/>
      <c r="DH32" s="232"/>
      <c r="DI32" s="232"/>
      <c r="DJ32" s="25"/>
      <c r="DK32" s="25"/>
      <c r="DM32" s="25"/>
      <c r="DN32" s="25"/>
      <c r="DO32" s="25"/>
      <c r="DP32" s="25"/>
      <c r="DQ32" s="25"/>
      <c r="DR32" s="232"/>
      <c r="DS32" s="25"/>
      <c r="DT32" s="232"/>
      <c r="DU32" s="232"/>
      <c r="DV32" s="25"/>
      <c r="DW32" s="232"/>
      <c r="DX32" s="232"/>
      <c r="DY32" s="232"/>
      <c r="DZ32" s="232"/>
      <c r="EA32" s="232"/>
      <c r="EB32" s="232"/>
      <c r="EC32" s="232"/>
      <c r="ED32" s="232"/>
      <c r="EE32" s="50"/>
      <c r="EF32" s="50"/>
      <c r="EG32" s="25"/>
      <c r="EH32" s="232"/>
      <c r="EI32" s="232"/>
      <c r="EJ32" s="232"/>
      <c r="EK32" s="232"/>
      <c r="EL32" s="25"/>
      <c r="EN32" s="25"/>
      <c r="EW32" s="20"/>
      <c r="EX32" s="26"/>
      <c r="EY32" s="26"/>
      <c r="EZ32" s="26"/>
      <c r="FA32" s="26"/>
      <c r="FB32" s="25"/>
      <c r="FC32" s="232"/>
      <c r="FD32" s="232"/>
      <c r="FE32" s="232"/>
      <c r="FF32" s="232"/>
      <c r="FG32" s="232"/>
      <c r="FH32" s="232"/>
      <c r="FI32" s="25"/>
      <c r="FJ32" s="232"/>
      <c r="FK32" s="25"/>
      <c r="FL32" s="25"/>
      <c r="FM32" s="25"/>
      <c r="FN32" s="25"/>
      <c r="FO32" s="50"/>
      <c r="FP32" s="50"/>
      <c r="FQ32" s="232"/>
      <c r="FR32" s="232"/>
      <c r="FS32" s="232"/>
      <c r="FT32" s="50"/>
      <c r="FU32" s="50"/>
      <c r="FV32" s="232"/>
      <c r="FW32" s="76"/>
      <c r="FX32" s="232"/>
      <c r="FY32" s="232"/>
      <c r="FZ32" s="50"/>
      <c r="GA32" s="50"/>
      <c r="GB32" s="50"/>
      <c r="GC32" s="50"/>
      <c r="GD32" s="50"/>
      <c r="GE32" s="52"/>
      <c r="GF32" s="281" t="s">
        <v>689</v>
      </c>
      <c r="GG32" s="281"/>
      <c r="GH32" s="293" t="e">
        <f ca="1">GM36</f>
        <v>#REF!</v>
      </c>
      <c r="GI32" s="283"/>
      <c r="GK32" s="533"/>
      <c r="GL32" s="238" t="s">
        <v>178</v>
      </c>
      <c r="GM32" s="299" t="e">
        <f t="shared" ca="1" si="5"/>
        <v>#REF!</v>
      </c>
    </row>
    <row r="33" spans="2:195" ht="12.75" customHeight="1" x14ac:dyDescent="0.2">
      <c r="B33" s="25"/>
      <c r="C33" s="25"/>
      <c r="D33" s="232"/>
      <c r="E33" s="232"/>
      <c r="F33" s="232"/>
      <c r="G33" s="25"/>
      <c r="H33" s="25"/>
      <c r="I33" s="234"/>
      <c r="J33" s="25"/>
      <c r="K33" s="25"/>
      <c r="L33" s="25"/>
      <c r="M33" s="25"/>
      <c r="N33" s="25"/>
      <c r="O33" s="232"/>
      <c r="P33" s="25"/>
      <c r="Q33" s="232"/>
      <c r="R33" s="25"/>
      <c r="S33" s="25"/>
      <c r="T33" s="232"/>
      <c r="U33" s="232"/>
      <c r="V33" s="25"/>
      <c r="W33" s="236"/>
      <c r="X33" s="236"/>
      <c r="Y33" s="25"/>
      <c r="Z33" s="25"/>
      <c r="AA33" s="25"/>
      <c r="AB33" s="232"/>
      <c r="AC33" s="25"/>
      <c r="AD33" s="232"/>
      <c r="AE33" s="25"/>
      <c r="AF33" s="232"/>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32"/>
      <c r="BG33" s="50"/>
      <c r="BH33" s="25"/>
      <c r="BI33" s="50"/>
      <c r="BJ33" s="50"/>
      <c r="BK33" s="50"/>
      <c r="BL33" s="232"/>
      <c r="BM33" s="232"/>
      <c r="BN33" s="232"/>
      <c r="BO33" s="232"/>
      <c r="BP33" s="232"/>
      <c r="BQ33" s="232"/>
      <c r="BR33" s="232"/>
      <c r="BS33" s="232"/>
      <c r="BT33" s="232"/>
      <c r="BU33" s="232"/>
      <c r="BV33" s="232"/>
      <c r="BW33" s="232"/>
      <c r="BX33" s="232"/>
      <c r="BY33" s="232"/>
      <c r="BZ33" s="232"/>
      <c r="CA33" s="50"/>
      <c r="CB33" s="232"/>
      <c r="CC33" s="232"/>
      <c r="CD33" s="25"/>
      <c r="CE33" s="25"/>
      <c r="CF33" s="232"/>
      <c r="CG33" s="25"/>
      <c r="CH33" s="25"/>
      <c r="CI33" s="25"/>
      <c r="CJ33" s="25"/>
      <c r="CK33" s="25"/>
      <c r="CL33" s="232"/>
      <c r="CM33" s="25"/>
      <c r="CN33" s="232"/>
      <c r="CO33" s="25"/>
      <c r="CP33" s="232"/>
      <c r="CQ33" s="232"/>
      <c r="CR33" s="232"/>
      <c r="CS33" s="232"/>
      <c r="CT33" s="232"/>
      <c r="CU33" s="232"/>
      <c r="CV33" s="232"/>
      <c r="CW33" s="232"/>
      <c r="CX33" s="232"/>
      <c r="CY33" s="232"/>
      <c r="CZ33" s="232"/>
      <c r="DA33" s="25"/>
      <c r="DB33" s="232"/>
      <c r="DC33" s="232"/>
      <c r="DD33" s="232"/>
      <c r="DE33" s="25"/>
      <c r="DF33" s="232"/>
      <c r="DG33" s="25"/>
      <c r="DH33" s="232"/>
      <c r="DI33" s="232"/>
      <c r="DJ33" s="25"/>
      <c r="DK33" s="25"/>
      <c r="DM33" s="25"/>
      <c r="DN33" s="25"/>
      <c r="DO33" s="25"/>
      <c r="DP33" s="25"/>
      <c r="DQ33" s="25"/>
      <c r="DR33" s="232"/>
      <c r="DS33" s="25"/>
      <c r="DT33" s="232"/>
      <c r="DU33" s="232"/>
      <c r="DV33" s="25"/>
      <c r="DW33" s="232"/>
      <c r="DX33" s="232"/>
      <c r="DY33" s="232"/>
      <c r="DZ33" s="232"/>
      <c r="EA33" s="232"/>
      <c r="EB33" s="232"/>
      <c r="EC33" s="232"/>
      <c r="ED33" s="232"/>
      <c r="EE33" s="50"/>
      <c r="EF33" s="50"/>
      <c r="EG33" s="25"/>
      <c r="EH33" s="232"/>
      <c r="EI33" s="232"/>
      <c r="EJ33" s="232"/>
      <c r="EK33" s="232"/>
      <c r="EL33" s="25"/>
      <c r="EN33" s="25"/>
      <c r="EW33" s="20"/>
      <c r="EX33" s="26"/>
      <c r="EY33" s="26"/>
      <c r="EZ33" s="26"/>
      <c r="FA33" s="26"/>
      <c r="FB33" s="25"/>
      <c r="FC33" s="232"/>
      <c r="FD33" s="232"/>
      <c r="FE33" s="232"/>
      <c r="FF33" s="232"/>
      <c r="FG33" s="232"/>
      <c r="FH33" s="232"/>
      <c r="FI33" s="25"/>
      <c r="FJ33" s="232"/>
      <c r="FK33" s="25"/>
      <c r="FL33" s="25"/>
      <c r="FM33" s="25"/>
      <c r="FN33" s="25"/>
      <c r="FO33" s="50"/>
      <c r="FP33" s="50"/>
      <c r="FQ33" s="232"/>
      <c r="FR33" s="232"/>
      <c r="FS33" s="232"/>
      <c r="FT33" s="50"/>
      <c r="FU33" s="50"/>
      <c r="FV33" s="232"/>
      <c r="FW33" s="76"/>
      <c r="FX33" s="232"/>
      <c r="FY33" s="232"/>
      <c r="FZ33" s="50"/>
      <c r="GA33" s="50"/>
      <c r="GB33" s="50"/>
      <c r="GC33" s="50"/>
      <c r="GD33" s="50"/>
      <c r="GE33" s="52"/>
      <c r="GF33" s="281" t="s">
        <v>688</v>
      </c>
      <c r="GG33" s="281"/>
      <c r="GH33" s="293" t="e">
        <f ca="1">GM44</f>
        <v>#REF!</v>
      </c>
      <c r="GI33" s="283"/>
      <c r="GK33" s="533"/>
      <c r="GL33" s="238" t="s">
        <v>177</v>
      </c>
      <c r="GM33" s="299" t="e">
        <f t="shared" ca="1" si="5"/>
        <v>#REF!</v>
      </c>
    </row>
    <row r="34" spans="2:195" ht="12.75" customHeight="1" x14ac:dyDescent="0.2">
      <c r="B34" s="25"/>
      <c r="C34" s="25"/>
      <c r="D34" s="232"/>
      <c r="E34" s="232"/>
      <c r="F34" s="232"/>
      <c r="G34" s="25"/>
      <c r="H34" s="25"/>
      <c r="I34" s="234"/>
      <c r="J34" s="25"/>
      <c r="K34" s="25"/>
      <c r="L34" s="25"/>
      <c r="M34" s="25"/>
      <c r="N34" s="25"/>
      <c r="O34" s="232"/>
      <c r="P34" s="25"/>
      <c r="Q34" s="232"/>
      <c r="R34" s="25"/>
      <c r="S34" s="25"/>
      <c r="T34" s="232"/>
      <c r="U34" s="232"/>
      <c r="V34" s="25"/>
      <c r="W34" s="236"/>
      <c r="X34" s="236"/>
      <c r="Y34" s="25"/>
      <c r="Z34" s="25"/>
      <c r="AA34" s="25"/>
      <c r="AB34" s="232"/>
      <c r="AC34" s="25"/>
      <c r="AD34" s="232"/>
      <c r="AE34" s="25"/>
      <c r="AF34" s="232"/>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32"/>
      <c r="BG34" s="50"/>
      <c r="BH34" s="25"/>
      <c r="BI34" s="50"/>
      <c r="BJ34" s="50"/>
      <c r="BK34" s="50"/>
      <c r="BL34" s="232"/>
      <c r="BM34" s="232"/>
      <c r="BN34" s="232"/>
      <c r="BO34" s="232"/>
      <c r="BP34" s="232"/>
      <c r="BQ34" s="232"/>
      <c r="BR34" s="232"/>
      <c r="BS34" s="232"/>
      <c r="BT34" s="232"/>
      <c r="BU34" s="232"/>
      <c r="BV34" s="232"/>
      <c r="BW34" s="232"/>
      <c r="BX34" s="232"/>
      <c r="BY34" s="232"/>
      <c r="BZ34" s="232"/>
      <c r="CA34" s="50"/>
      <c r="CB34" s="232"/>
      <c r="CC34" s="232"/>
      <c r="CD34" s="25"/>
      <c r="CE34" s="25"/>
      <c r="CF34" s="232"/>
      <c r="CG34" s="25"/>
      <c r="CH34" s="25"/>
      <c r="CI34" s="25"/>
      <c r="CJ34" s="25"/>
      <c r="CK34" s="25"/>
      <c r="CL34" s="232"/>
      <c r="CM34" s="25"/>
      <c r="CN34" s="232"/>
      <c r="CO34" s="25"/>
      <c r="CP34" s="232"/>
      <c r="CQ34" s="232"/>
      <c r="CR34" s="232"/>
      <c r="CS34" s="232"/>
      <c r="CT34" s="232"/>
      <c r="CU34" s="232"/>
      <c r="CV34" s="232"/>
      <c r="CW34" s="232"/>
      <c r="CX34" s="232"/>
      <c r="CY34" s="232"/>
      <c r="CZ34" s="232"/>
      <c r="DA34" s="25"/>
      <c r="DB34" s="232"/>
      <c r="DC34" s="232"/>
      <c r="DD34" s="232"/>
      <c r="DE34" s="25"/>
      <c r="DF34" s="232"/>
      <c r="DG34" s="25"/>
      <c r="DH34" s="232"/>
      <c r="DI34" s="232"/>
      <c r="DJ34" s="25"/>
      <c r="DK34" s="25"/>
      <c r="DM34" s="25"/>
      <c r="DN34" s="25"/>
      <c r="DO34" s="25"/>
      <c r="DP34" s="25"/>
      <c r="DQ34" s="25"/>
      <c r="DR34" s="232"/>
      <c r="DS34" s="25"/>
      <c r="DT34" s="232"/>
      <c r="DU34" s="232"/>
      <c r="DV34" s="25"/>
      <c r="DW34" s="232"/>
      <c r="DX34" s="232"/>
      <c r="DY34" s="232"/>
      <c r="DZ34" s="232"/>
      <c r="EA34" s="232"/>
      <c r="EB34" s="232"/>
      <c r="EC34" s="232"/>
      <c r="ED34" s="232"/>
      <c r="EE34" s="50"/>
      <c r="EF34" s="50"/>
      <c r="EG34" s="25"/>
      <c r="EH34" s="232"/>
      <c r="EI34" s="232"/>
      <c r="EJ34" s="232"/>
      <c r="EK34" s="232"/>
      <c r="EL34" s="25"/>
      <c r="EN34" s="25"/>
      <c r="EW34" s="20"/>
      <c r="EX34" s="26"/>
      <c r="EY34" s="26"/>
      <c r="EZ34" s="26"/>
      <c r="FA34" s="26"/>
      <c r="FB34" s="25"/>
      <c r="FC34" s="232"/>
      <c r="FD34" s="232"/>
      <c r="FE34" s="232"/>
      <c r="FF34" s="232"/>
      <c r="FG34" s="232"/>
      <c r="FH34" s="232"/>
      <c r="FI34" s="25"/>
      <c r="FJ34" s="232"/>
      <c r="FK34" s="25"/>
      <c r="FL34" s="25"/>
      <c r="FM34" s="25"/>
      <c r="FN34" s="25"/>
      <c r="FO34" s="50"/>
      <c r="FP34" s="50"/>
      <c r="FQ34" s="232"/>
      <c r="FR34" s="232"/>
      <c r="FS34" s="232"/>
      <c r="FT34" s="50"/>
      <c r="FU34" s="50"/>
      <c r="FV34" s="232"/>
      <c r="FW34" s="76"/>
      <c r="FX34" s="232"/>
      <c r="FY34" s="232"/>
      <c r="FZ34" s="50"/>
      <c r="GA34" s="50"/>
      <c r="GB34" s="50"/>
      <c r="GC34" s="50"/>
      <c r="GD34" s="50"/>
      <c r="GE34" s="52"/>
      <c r="GF34" s="281" t="s">
        <v>687</v>
      </c>
      <c r="GG34" s="281"/>
      <c r="GH34" s="293" t="e">
        <f ca="1">GM52</f>
        <v>#REF!</v>
      </c>
      <c r="GI34" s="283"/>
      <c r="GK34" s="533"/>
      <c r="GL34" s="238" t="s">
        <v>176</v>
      </c>
      <c r="GM34" s="299" t="e">
        <f t="shared" ca="1" si="5"/>
        <v>#REF!</v>
      </c>
    </row>
    <row r="35" spans="2:195" ht="12.75" customHeight="1" x14ac:dyDescent="0.2">
      <c r="B35" s="25"/>
      <c r="C35" s="25"/>
      <c r="D35" s="232"/>
      <c r="E35" s="232"/>
      <c r="F35" s="232"/>
      <c r="G35" s="25"/>
      <c r="H35" s="25"/>
      <c r="I35" s="234"/>
      <c r="J35" s="25"/>
      <c r="K35" s="25"/>
      <c r="L35" s="25"/>
      <c r="M35" s="25"/>
      <c r="N35" s="25"/>
      <c r="O35" s="232"/>
      <c r="P35" s="25"/>
      <c r="Q35" s="232"/>
      <c r="R35" s="25"/>
      <c r="S35" s="25"/>
      <c r="T35" s="232"/>
      <c r="U35" s="232"/>
      <c r="V35" s="25"/>
      <c r="W35" s="236"/>
      <c r="X35" s="236"/>
      <c r="Y35" s="25"/>
      <c r="Z35" s="25"/>
      <c r="AA35" s="25"/>
      <c r="AB35" s="232"/>
      <c r="AC35" s="25"/>
      <c r="AD35" s="232"/>
      <c r="AE35" s="25"/>
      <c r="AF35" s="232"/>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32"/>
      <c r="BG35" s="50"/>
      <c r="BH35" s="25"/>
      <c r="BI35" s="50"/>
      <c r="BJ35" s="50"/>
      <c r="BK35" s="50"/>
      <c r="BL35" s="232"/>
      <c r="BM35" s="232"/>
      <c r="BN35" s="232"/>
      <c r="BO35" s="232"/>
      <c r="BP35" s="232"/>
      <c r="BQ35" s="232"/>
      <c r="BR35" s="232"/>
      <c r="BS35" s="232"/>
      <c r="BT35" s="232"/>
      <c r="BU35" s="232"/>
      <c r="BV35" s="232"/>
      <c r="BW35" s="232"/>
      <c r="BX35" s="232"/>
      <c r="BY35" s="232"/>
      <c r="BZ35" s="232"/>
      <c r="CA35" s="50"/>
      <c r="CB35" s="232"/>
      <c r="CC35" s="232"/>
      <c r="CD35" s="25"/>
      <c r="CE35" s="25"/>
      <c r="CF35" s="232"/>
      <c r="CG35" s="25"/>
      <c r="CH35" s="25"/>
      <c r="CI35" s="25"/>
      <c r="CJ35" s="25"/>
      <c r="CK35" s="25"/>
      <c r="CL35" s="232"/>
      <c r="CM35" s="25"/>
      <c r="CN35" s="232"/>
      <c r="CO35" s="25"/>
      <c r="CP35" s="232"/>
      <c r="CQ35" s="232"/>
      <c r="CR35" s="232"/>
      <c r="CS35" s="232"/>
      <c r="CT35" s="232"/>
      <c r="CU35" s="232"/>
      <c r="CV35" s="232"/>
      <c r="CW35" s="232"/>
      <c r="CX35" s="232"/>
      <c r="CY35" s="232"/>
      <c r="CZ35" s="232"/>
      <c r="DA35" s="25"/>
      <c r="DB35" s="232"/>
      <c r="DC35" s="232"/>
      <c r="DD35" s="232"/>
      <c r="DE35" s="25"/>
      <c r="DF35" s="232"/>
      <c r="DG35" s="25"/>
      <c r="DH35" s="232"/>
      <c r="DI35" s="232"/>
      <c r="DJ35" s="25"/>
      <c r="DK35" s="25"/>
      <c r="DM35" s="25"/>
      <c r="DN35" s="25"/>
      <c r="DO35" s="25"/>
      <c r="DP35" s="25"/>
      <c r="DQ35" s="25"/>
      <c r="DR35" s="232"/>
      <c r="DS35" s="25"/>
      <c r="DT35" s="232"/>
      <c r="DU35" s="232"/>
      <c r="DV35" s="25"/>
      <c r="DW35" s="232"/>
      <c r="DX35" s="232"/>
      <c r="DY35" s="232"/>
      <c r="DZ35" s="232"/>
      <c r="EA35" s="232"/>
      <c r="EB35" s="232"/>
      <c r="EC35" s="232"/>
      <c r="ED35" s="232"/>
      <c r="EE35" s="50"/>
      <c r="EF35" s="50"/>
      <c r="EG35" s="25"/>
      <c r="EH35" s="232"/>
      <c r="EI35" s="232"/>
      <c r="EJ35" s="232"/>
      <c r="EK35" s="232"/>
      <c r="EL35" s="25"/>
      <c r="EN35" s="25"/>
      <c r="EW35" s="20"/>
      <c r="EX35" s="26"/>
      <c r="EY35" s="26"/>
      <c r="EZ35" s="26"/>
      <c r="FA35" s="26"/>
      <c r="FB35" s="25"/>
      <c r="FC35" s="232"/>
      <c r="FD35" s="232"/>
      <c r="FE35" s="232"/>
      <c r="FF35" s="232"/>
      <c r="FG35" s="232"/>
      <c r="FH35" s="232"/>
      <c r="FI35" s="25"/>
      <c r="FJ35" s="232"/>
      <c r="FK35" s="25"/>
      <c r="FL35" s="25"/>
      <c r="FM35" s="25"/>
      <c r="FN35" s="25"/>
      <c r="FO35" s="50"/>
      <c r="FP35" s="50"/>
      <c r="FQ35" s="232"/>
      <c r="FR35" s="232"/>
      <c r="FS35" s="232"/>
      <c r="FT35" s="50"/>
      <c r="FU35" s="50"/>
      <c r="FV35" s="232"/>
      <c r="FW35" s="76"/>
      <c r="FX35" s="232"/>
      <c r="FY35" s="232"/>
      <c r="FZ35" s="50"/>
      <c r="GA35" s="50"/>
      <c r="GB35" s="50"/>
      <c r="GC35" s="50"/>
      <c r="GD35" s="50"/>
      <c r="GE35" s="52"/>
      <c r="GF35" s="281" t="s">
        <v>713</v>
      </c>
      <c r="GG35" s="281"/>
      <c r="GH35" s="293" t="e">
        <f ca="1">GM60</f>
        <v>#REF!</v>
      </c>
      <c r="GI35" s="283"/>
      <c r="GK35" s="533"/>
      <c r="GL35" s="238" t="s">
        <v>25</v>
      </c>
      <c r="GM35" s="299" t="e">
        <f t="shared" ca="1" si="5"/>
        <v>#REF!</v>
      </c>
    </row>
    <row r="36" spans="2:195" ht="12.75" customHeight="1" x14ac:dyDescent="0.2">
      <c r="B36" s="25"/>
      <c r="C36" s="25"/>
      <c r="D36" s="232"/>
      <c r="E36" s="232"/>
      <c r="F36" s="232"/>
      <c r="G36" s="25"/>
      <c r="H36" s="25"/>
      <c r="I36" s="234"/>
      <c r="J36" s="25"/>
      <c r="K36" s="25"/>
      <c r="L36" s="25"/>
      <c r="M36" s="25"/>
      <c r="N36" s="25"/>
      <c r="O36" s="232"/>
      <c r="P36" s="25"/>
      <c r="Q36" s="232"/>
      <c r="R36" s="25"/>
      <c r="S36" s="25"/>
      <c r="T36" s="232"/>
      <c r="U36" s="232"/>
      <c r="V36" s="25"/>
      <c r="W36" s="236"/>
      <c r="X36" s="236"/>
      <c r="Y36" s="25"/>
      <c r="Z36" s="25"/>
      <c r="AA36" s="25"/>
      <c r="AB36" s="232"/>
      <c r="AC36" s="25"/>
      <c r="AD36" s="232"/>
      <c r="AE36" s="25"/>
      <c r="AF36" s="232"/>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32"/>
      <c r="BG36" s="50"/>
      <c r="BH36" s="25"/>
      <c r="BI36" s="50"/>
      <c r="BJ36" s="50"/>
      <c r="BK36" s="50"/>
      <c r="BL36" s="232"/>
      <c r="BM36" s="232"/>
      <c r="BN36" s="232"/>
      <c r="BO36" s="232"/>
      <c r="BP36" s="232"/>
      <c r="BQ36" s="232"/>
      <c r="BR36" s="232"/>
      <c r="BS36" s="232"/>
      <c r="BT36" s="232"/>
      <c r="BU36" s="232"/>
      <c r="BV36" s="232"/>
      <c r="BW36" s="232"/>
      <c r="BX36" s="232"/>
      <c r="BY36" s="232"/>
      <c r="BZ36" s="232"/>
      <c r="CA36" s="50"/>
      <c r="CB36" s="232"/>
      <c r="CC36" s="232"/>
      <c r="CD36" s="25"/>
      <c r="CE36" s="25"/>
      <c r="CF36" s="232"/>
      <c r="CG36" s="25"/>
      <c r="CH36" s="25"/>
      <c r="CI36" s="25"/>
      <c r="CJ36" s="25"/>
      <c r="CK36" s="25"/>
      <c r="CL36" s="232"/>
      <c r="CM36" s="25"/>
      <c r="CN36" s="232"/>
      <c r="CO36" s="25"/>
      <c r="CP36" s="232"/>
      <c r="CQ36" s="232"/>
      <c r="CR36" s="232"/>
      <c r="CS36" s="232"/>
      <c r="CT36" s="232"/>
      <c r="CU36" s="232"/>
      <c r="CV36" s="232"/>
      <c r="CW36" s="232"/>
      <c r="CX36" s="232"/>
      <c r="CY36" s="232"/>
      <c r="CZ36" s="232"/>
      <c r="DA36" s="25"/>
      <c r="DB36" s="232"/>
      <c r="DC36" s="232"/>
      <c r="DD36" s="232"/>
      <c r="DE36" s="25"/>
      <c r="DF36" s="232"/>
      <c r="DG36" s="25"/>
      <c r="DH36" s="232"/>
      <c r="DI36" s="232"/>
      <c r="DJ36" s="25"/>
      <c r="DK36" s="25"/>
      <c r="DM36" s="25"/>
      <c r="DN36" s="25"/>
      <c r="DO36" s="25"/>
      <c r="DP36" s="25"/>
      <c r="DQ36" s="25"/>
      <c r="DR36" s="232"/>
      <c r="DS36" s="25"/>
      <c r="DT36" s="232"/>
      <c r="DU36" s="232"/>
      <c r="DV36" s="25"/>
      <c r="DW36" s="232"/>
      <c r="DX36" s="232"/>
      <c r="DY36" s="232"/>
      <c r="DZ36" s="232"/>
      <c r="EA36" s="232"/>
      <c r="EB36" s="232"/>
      <c r="EC36" s="232"/>
      <c r="ED36" s="232"/>
      <c r="EE36" s="50"/>
      <c r="EF36" s="50"/>
      <c r="EG36" s="25"/>
      <c r="EH36" s="232"/>
      <c r="EI36" s="232"/>
      <c r="EJ36" s="232"/>
      <c r="EK36" s="232"/>
      <c r="EL36" s="25"/>
      <c r="EN36" s="25"/>
      <c r="EW36" s="20"/>
      <c r="EX36" s="26"/>
      <c r="EY36" s="26"/>
      <c r="EZ36" s="26"/>
      <c r="FA36" s="26"/>
      <c r="FB36" s="25"/>
      <c r="FC36" s="232"/>
      <c r="FD36" s="232"/>
      <c r="FE36" s="232"/>
      <c r="FF36" s="232"/>
      <c r="FG36" s="232"/>
      <c r="FH36" s="232"/>
      <c r="FI36" s="25"/>
      <c r="FJ36" s="232"/>
      <c r="FK36" s="25"/>
      <c r="FL36" s="25"/>
      <c r="FM36" s="25"/>
      <c r="FN36" s="25"/>
      <c r="FO36" s="50"/>
      <c r="FP36" s="50"/>
      <c r="FQ36" s="232"/>
      <c r="FR36" s="232"/>
      <c r="FS36" s="232"/>
      <c r="FT36" s="50"/>
      <c r="FU36" s="50"/>
      <c r="FV36" s="232"/>
      <c r="FW36" s="76"/>
      <c r="FX36" s="232"/>
      <c r="FY36" s="232"/>
      <c r="FZ36" s="50"/>
      <c r="GA36" s="50"/>
      <c r="GB36" s="50"/>
      <c r="GC36" s="50"/>
      <c r="GD36" s="50"/>
      <c r="GE36" s="52"/>
      <c r="GF36" s="281" t="s">
        <v>786</v>
      </c>
      <c r="GG36" s="281" t="s">
        <v>181</v>
      </c>
      <c r="GH36" s="294">
        <f t="shared" ref="GH36:GH41" ca="1" si="6">GM69</f>
        <v>0</v>
      </c>
      <c r="GI36" s="283"/>
      <c r="GK36" s="533"/>
      <c r="GL36" s="238" t="s">
        <v>706</v>
      </c>
      <c r="GM36" s="299" t="e">
        <f ca="1">SUM(GM29:GM35)</f>
        <v>#REF!</v>
      </c>
    </row>
    <row r="37" spans="2:195" ht="12.75" customHeight="1" x14ac:dyDescent="0.2">
      <c r="B37" s="25"/>
      <c r="C37" s="25"/>
      <c r="D37" s="232"/>
      <c r="E37" s="232"/>
      <c r="F37" s="232"/>
      <c r="G37" s="25"/>
      <c r="H37" s="25"/>
      <c r="I37" s="234"/>
      <c r="J37" s="25"/>
      <c r="K37" s="25"/>
      <c r="L37" s="25"/>
      <c r="M37" s="25"/>
      <c r="N37" s="25"/>
      <c r="O37" s="232"/>
      <c r="P37" s="25"/>
      <c r="Q37" s="232"/>
      <c r="R37" s="25"/>
      <c r="S37" s="25"/>
      <c r="T37" s="232"/>
      <c r="U37" s="232"/>
      <c r="V37" s="25"/>
      <c r="W37" s="236"/>
      <c r="X37" s="236"/>
      <c r="Y37" s="25"/>
      <c r="Z37" s="25"/>
      <c r="AA37" s="25"/>
      <c r="AB37" s="232"/>
      <c r="AC37" s="25"/>
      <c r="AD37" s="232"/>
      <c r="AE37" s="25"/>
      <c r="AF37" s="232"/>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32"/>
      <c r="BG37" s="50"/>
      <c r="BH37" s="25"/>
      <c r="BI37" s="50"/>
      <c r="BJ37" s="50"/>
      <c r="BK37" s="50"/>
      <c r="BL37" s="232"/>
      <c r="BM37" s="232"/>
      <c r="BN37" s="232"/>
      <c r="BO37" s="232"/>
      <c r="BP37" s="232"/>
      <c r="BQ37" s="232"/>
      <c r="BR37" s="232"/>
      <c r="BS37" s="232"/>
      <c r="BT37" s="232"/>
      <c r="BU37" s="232"/>
      <c r="BV37" s="232"/>
      <c r="BW37" s="232"/>
      <c r="BX37" s="232"/>
      <c r="BY37" s="232"/>
      <c r="BZ37" s="232"/>
      <c r="CA37" s="50"/>
      <c r="CB37" s="232"/>
      <c r="CC37" s="232"/>
      <c r="CD37" s="25"/>
      <c r="CE37" s="25"/>
      <c r="CF37" s="232"/>
      <c r="CG37" s="25"/>
      <c r="CH37" s="25"/>
      <c r="CI37" s="25"/>
      <c r="CJ37" s="25"/>
      <c r="CK37" s="25"/>
      <c r="CL37" s="232"/>
      <c r="CM37" s="25"/>
      <c r="CN37" s="232"/>
      <c r="CO37" s="25"/>
      <c r="CP37" s="232"/>
      <c r="CQ37" s="232"/>
      <c r="CR37" s="232"/>
      <c r="CS37" s="232"/>
      <c r="CT37" s="232"/>
      <c r="CU37" s="232"/>
      <c r="CV37" s="232"/>
      <c r="CW37" s="232"/>
      <c r="CX37" s="232"/>
      <c r="CY37" s="232"/>
      <c r="CZ37" s="232"/>
      <c r="DA37" s="25"/>
      <c r="DB37" s="232"/>
      <c r="DC37" s="232"/>
      <c r="DD37" s="232"/>
      <c r="DE37" s="25"/>
      <c r="DF37" s="232"/>
      <c r="DG37" s="25"/>
      <c r="DH37" s="232"/>
      <c r="DI37" s="232"/>
      <c r="DJ37" s="25"/>
      <c r="DK37" s="25"/>
      <c r="DM37" s="25"/>
      <c r="DN37" s="25"/>
      <c r="DO37" s="25"/>
      <c r="DP37" s="25"/>
      <c r="DQ37" s="25"/>
      <c r="DR37" s="232"/>
      <c r="DS37" s="25"/>
      <c r="DT37" s="232"/>
      <c r="DU37" s="232"/>
      <c r="DV37" s="25"/>
      <c r="DW37" s="232"/>
      <c r="DX37" s="232"/>
      <c r="DY37" s="232"/>
      <c r="DZ37" s="232"/>
      <c r="EA37" s="232"/>
      <c r="EB37" s="232"/>
      <c r="EC37" s="232"/>
      <c r="ED37" s="232"/>
      <c r="EE37" s="50"/>
      <c r="EF37" s="50"/>
      <c r="EG37" s="25"/>
      <c r="EH37" s="232"/>
      <c r="EI37" s="232"/>
      <c r="EJ37" s="232"/>
      <c r="EK37" s="232"/>
      <c r="EL37" s="25"/>
      <c r="EN37" s="25"/>
      <c r="EW37" s="20"/>
      <c r="EX37" s="26"/>
      <c r="EY37" s="26"/>
      <c r="EZ37" s="26"/>
      <c r="FA37" s="26"/>
      <c r="FB37" s="25"/>
      <c r="FC37" s="232"/>
      <c r="FD37" s="232"/>
      <c r="FE37" s="232"/>
      <c r="FF37" s="232"/>
      <c r="FG37" s="232"/>
      <c r="FH37" s="232"/>
      <c r="FI37" s="25"/>
      <c r="FJ37" s="232"/>
      <c r="FK37" s="25"/>
      <c r="FL37" s="25"/>
      <c r="FM37" s="25"/>
      <c r="FN37" s="25"/>
      <c r="FO37" s="50"/>
      <c r="FP37" s="50"/>
      <c r="FQ37" s="232"/>
      <c r="FR37" s="232"/>
      <c r="FS37" s="232"/>
      <c r="FT37" s="50"/>
      <c r="FU37" s="50"/>
      <c r="FV37" s="232"/>
      <c r="FW37" s="76"/>
      <c r="FX37" s="232"/>
      <c r="FY37" s="232"/>
      <c r="FZ37" s="50"/>
      <c r="GA37" s="50"/>
      <c r="GB37" s="50"/>
      <c r="GC37" s="50"/>
      <c r="GD37" s="50"/>
      <c r="GE37" s="52"/>
      <c r="GF37" s="281"/>
      <c r="GG37" s="281" t="s">
        <v>180</v>
      </c>
      <c r="GH37" s="294">
        <f t="shared" ca="1" si="6"/>
        <v>0</v>
      </c>
      <c r="GI37" s="283"/>
      <c r="GK37" s="533" t="s">
        <v>688</v>
      </c>
      <c r="GL37" s="238" t="s">
        <v>181</v>
      </c>
      <c r="GM37" s="299" t="e">
        <f t="shared" ref="GM37:GM43" ca="1" si="7">SUMIFS(Str_NumOfStructures,y5_SCIAv,"&gt;=65",Str_AVFStructureType,$GJ5)-GM29-GM21</f>
        <v>#REF!</v>
      </c>
    </row>
    <row r="38" spans="2:195" ht="12.75" customHeight="1" x14ac:dyDescent="0.2">
      <c r="B38" s="25"/>
      <c r="C38" s="25"/>
      <c r="D38" s="232"/>
      <c r="E38" s="232"/>
      <c r="F38" s="232"/>
      <c r="G38" s="25"/>
      <c r="H38" s="25"/>
      <c r="I38" s="234"/>
      <c r="J38" s="25"/>
      <c r="K38" s="25"/>
      <c r="L38" s="25"/>
      <c r="M38" s="25"/>
      <c r="N38" s="25"/>
      <c r="O38" s="232"/>
      <c r="P38" s="25"/>
      <c r="Q38" s="232"/>
      <c r="R38" s="25"/>
      <c r="S38" s="25"/>
      <c r="T38" s="232"/>
      <c r="U38" s="232"/>
      <c r="V38" s="25"/>
      <c r="W38" s="236"/>
      <c r="X38" s="236"/>
      <c r="Y38" s="25"/>
      <c r="Z38" s="25"/>
      <c r="AA38" s="25"/>
      <c r="AB38" s="232"/>
      <c r="AC38" s="25"/>
      <c r="AD38" s="232"/>
      <c r="AE38" s="25"/>
      <c r="AF38" s="232"/>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32"/>
      <c r="BG38" s="50"/>
      <c r="BH38" s="25"/>
      <c r="BI38" s="50"/>
      <c r="BJ38" s="50"/>
      <c r="BK38" s="50"/>
      <c r="BL38" s="232"/>
      <c r="BM38" s="232"/>
      <c r="BN38" s="232"/>
      <c r="BO38" s="232"/>
      <c r="BP38" s="232"/>
      <c r="BQ38" s="232"/>
      <c r="BR38" s="232"/>
      <c r="BS38" s="232"/>
      <c r="BT38" s="232"/>
      <c r="BU38" s="232"/>
      <c r="BV38" s="232"/>
      <c r="BW38" s="232"/>
      <c r="BX38" s="232"/>
      <c r="BY38" s="232"/>
      <c r="BZ38" s="232"/>
      <c r="CA38" s="50"/>
      <c r="CB38" s="232"/>
      <c r="CC38" s="232"/>
      <c r="CD38" s="25"/>
      <c r="CE38" s="25"/>
      <c r="CF38" s="232"/>
      <c r="CG38" s="25"/>
      <c r="CH38" s="25"/>
      <c r="CI38" s="25"/>
      <c r="CJ38" s="25"/>
      <c r="CK38" s="25"/>
      <c r="CL38" s="232"/>
      <c r="CM38" s="25"/>
      <c r="CN38" s="232"/>
      <c r="CO38" s="25"/>
      <c r="CP38" s="232"/>
      <c r="CQ38" s="232"/>
      <c r="CR38" s="232"/>
      <c r="CS38" s="232"/>
      <c r="CT38" s="232"/>
      <c r="CU38" s="232"/>
      <c r="CV38" s="232"/>
      <c r="CW38" s="232"/>
      <c r="CX38" s="232"/>
      <c r="CY38" s="232"/>
      <c r="CZ38" s="232"/>
      <c r="DA38" s="25"/>
      <c r="DB38" s="232"/>
      <c r="DC38" s="232"/>
      <c r="DD38" s="232"/>
      <c r="DE38" s="25"/>
      <c r="DF38" s="232"/>
      <c r="DG38" s="25"/>
      <c r="DH38" s="232"/>
      <c r="DI38" s="232"/>
      <c r="DJ38" s="25"/>
      <c r="DK38" s="25"/>
      <c r="DM38" s="25"/>
      <c r="DN38" s="25"/>
      <c r="DO38" s="25"/>
      <c r="DP38" s="25"/>
      <c r="DQ38" s="25"/>
      <c r="DR38" s="232"/>
      <c r="DS38" s="25"/>
      <c r="DT38" s="232"/>
      <c r="DU38" s="232"/>
      <c r="DV38" s="25"/>
      <c r="DW38" s="232"/>
      <c r="DX38" s="232"/>
      <c r="DY38" s="232"/>
      <c r="DZ38" s="232"/>
      <c r="EA38" s="232"/>
      <c r="EB38" s="232"/>
      <c r="EC38" s="232"/>
      <c r="ED38" s="232"/>
      <c r="EE38" s="50"/>
      <c r="EF38" s="50"/>
      <c r="EG38" s="25"/>
      <c r="EH38" s="232"/>
      <c r="EI38" s="232"/>
      <c r="EJ38" s="232"/>
      <c r="EK38" s="232"/>
      <c r="EL38" s="25"/>
      <c r="EN38" s="25"/>
      <c r="EW38" s="20"/>
      <c r="EX38" s="26"/>
      <c r="EY38" s="26"/>
      <c r="EZ38" s="26"/>
      <c r="FA38" s="26"/>
      <c r="FB38" s="25"/>
      <c r="FC38" s="232"/>
      <c r="FD38" s="232"/>
      <c r="FE38" s="232"/>
      <c r="FF38" s="232"/>
      <c r="FG38" s="232"/>
      <c r="FH38" s="232"/>
      <c r="FI38" s="25"/>
      <c r="FJ38" s="232"/>
      <c r="FK38" s="25"/>
      <c r="FL38" s="25"/>
      <c r="FM38" s="25"/>
      <c r="FN38" s="25"/>
      <c r="FO38" s="50"/>
      <c r="FP38" s="50"/>
      <c r="FQ38" s="232"/>
      <c r="FR38" s="232"/>
      <c r="FS38" s="232"/>
      <c r="FT38" s="50"/>
      <c r="FU38" s="50"/>
      <c r="FV38" s="232"/>
      <c r="FW38" s="76"/>
      <c r="FX38" s="232"/>
      <c r="FY38" s="232"/>
      <c r="FZ38" s="50"/>
      <c r="GA38" s="50"/>
      <c r="GB38" s="50"/>
      <c r="GC38" s="50"/>
      <c r="GD38" s="50"/>
      <c r="GE38" s="52"/>
      <c r="GF38" s="281"/>
      <c r="GG38" s="281" t="s">
        <v>179</v>
      </c>
      <c r="GH38" s="294">
        <f t="shared" ca="1" si="6"/>
        <v>0</v>
      </c>
      <c r="GI38" s="283"/>
      <c r="GK38" s="533"/>
      <c r="GL38" s="238" t="s">
        <v>180</v>
      </c>
      <c r="GM38" s="299" t="e">
        <f t="shared" ca="1" si="7"/>
        <v>#REF!</v>
      </c>
    </row>
    <row r="39" spans="2:195" ht="12.75" customHeight="1" x14ac:dyDescent="0.2">
      <c r="B39" s="25"/>
      <c r="C39" s="25"/>
      <c r="D39" s="232"/>
      <c r="E39" s="232"/>
      <c r="F39" s="232"/>
      <c r="G39" s="25"/>
      <c r="H39" s="25"/>
      <c r="I39" s="234"/>
      <c r="J39" s="25"/>
      <c r="K39" s="25"/>
      <c r="L39" s="25"/>
      <c r="M39" s="25"/>
      <c r="N39" s="25"/>
      <c r="O39" s="232"/>
      <c r="P39" s="25"/>
      <c r="Q39" s="232"/>
      <c r="R39" s="25"/>
      <c r="S39" s="25"/>
      <c r="T39" s="232"/>
      <c r="U39" s="232"/>
      <c r="V39" s="25"/>
      <c r="W39" s="236"/>
      <c r="X39" s="236"/>
      <c r="Y39" s="25"/>
      <c r="Z39" s="25"/>
      <c r="AA39" s="25"/>
      <c r="AB39" s="232"/>
      <c r="AC39" s="25"/>
      <c r="AD39" s="232"/>
      <c r="AE39" s="25"/>
      <c r="AF39" s="232"/>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32"/>
      <c r="BG39" s="50"/>
      <c r="BH39" s="25"/>
      <c r="BI39" s="50"/>
      <c r="BJ39" s="50"/>
      <c r="BK39" s="50"/>
      <c r="BL39" s="232"/>
      <c r="BM39" s="232"/>
      <c r="BN39" s="232"/>
      <c r="BO39" s="232"/>
      <c r="BP39" s="232"/>
      <c r="BQ39" s="232"/>
      <c r="BR39" s="232"/>
      <c r="BS39" s="232"/>
      <c r="BT39" s="232"/>
      <c r="BU39" s="232"/>
      <c r="BV39" s="232"/>
      <c r="BW39" s="232"/>
      <c r="BX39" s="232"/>
      <c r="BY39" s="232"/>
      <c r="BZ39" s="232"/>
      <c r="CA39" s="50"/>
      <c r="CB39" s="232"/>
      <c r="CC39" s="232"/>
      <c r="CD39" s="25"/>
      <c r="CE39" s="25"/>
      <c r="CF39" s="232"/>
      <c r="CG39" s="25"/>
      <c r="CH39" s="25"/>
      <c r="CI39" s="25"/>
      <c r="CJ39" s="25"/>
      <c r="CK39" s="25"/>
      <c r="CL39" s="232"/>
      <c r="CM39" s="25"/>
      <c r="CN39" s="232"/>
      <c r="CO39" s="25"/>
      <c r="CP39" s="232"/>
      <c r="CQ39" s="232"/>
      <c r="CR39" s="232"/>
      <c r="CS39" s="232"/>
      <c r="CT39" s="232"/>
      <c r="CU39" s="232"/>
      <c r="CV39" s="232"/>
      <c r="CW39" s="232"/>
      <c r="CX39" s="232"/>
      <c r="CY39" s="232"/>
      <c r="CZ39" s="232"/>
      <c r="DA39" s="25"/>
      <c r="DB39" s="232"/>
      <c r="DC39" s="232"/>
      <c r="DD39" s="232"/>
      <c r="DE39" s="25"/>
      <c r="DF39" s="232"/>
      <c r="DG39" s="25"/>
      <c r="DH39" s="232"/>
      <c r="DI39" s="232"/>
      <c r="DJ39" s="25"/>
      <c r="DK39" s="25"/>
      <c r="DM39" s="25"/>
      <c r="DN39" s="25"/>
      <c r="DO39" s="25"/>
      <c r="DP39" s="25"/>
      <c r="DQ39" s="25"/>
      <c r="DR39" s="232"/>
      <c r="DS39" s="25"/>
      <c r="DT39" s="232"/>
      <c r="DU39" s="232"/>
      <c r="DV39" s="25"/>
      <c r="DW39" s="232"/>
      <c r="DX39" s="232"/>
      <c r="DY39" s="232"/>
      <c r="DZ39" s="232"/>
      <c r="EA39" s="232"/>
      <c r="EB39" s="232"/>
      <c r="EC39" s="232"/>
      <c r="ED39" s="232"/>
      <c r="EE39" s="50"/>
      <c r="EF39" s="50"/>
      <c r="EG39" s="25"/>
      <c r="EH39" s="232"/>
      <c r="EI39" s="232"/>
      <c r="EJ39" s="232"/>
      <c r="EK39" s="232"/>
      <c r="EL39" s="25"/>
      <c r="EN39" s="25"/>
      <c r="EW39" s="20"/>
      <c r="EX39" s="26"/>
      <c r="EY39" s="26"/>
      <c r="EZ39" s="26"/>
      <c r="FA39" s="26"/>
      <c r="FB39" s="25"/>
      <c r="FC39" s="232"/>
      <c r="FD39" s="232"/>
      <c r="FE39" s="232"/>
      <c r="FF39" s="232"/>
      <c r="FG39" s="232"/>
      <c r="FH39" s="232"/>
      <c r="FI39" s="25"/>
      <c r="FJ39" s="232"/>
      <c r="FK39" s="25"/>
      <c r="FL39" s="25"/>
      <c r="FM39" s="25"/>
      <c r="FN39" s="25"/>
      <c r="FO39" s="50"/>
      <c r="FP39" s="50"/>
      <c r="FQ39" s="232"/>
      <c r="FR39" s="232"/>
      <c r="FS39" s="232"/>
      <c r="FT39" s="50"/>
      <c r="FU39" s="50"/>
      <c r="FV39" s="232"/>
      <c r="FW39" s="76"/>
      <c r="FX39" s="232"/>
      <c r="FY39" s="232"/>
      <c r="FZ39" s="50"/>
      <c r="GA39" s="50"/>
      <c r="GB39" s="50"/>
      <c r="GC39" s="50"/>
      <c r="GD39" s="50"/>
      <c r="GE39" s="52"/>
      <c r="GF39" s="281"/>
      <c r="GG39" s="281" t="s">
        <v>178</v>
      </c>
      <c r="GH39" s="294">
        <f t="shared" ca="1" si="6"/>
        <v>0</v>
      </c>
      <c r="GI39" s="283"/>
      <c r="GK39" s="533"/>
      <c r="GL39" s="238" t="s">
        <v>179</v>
      </c>
      <c r="GM39" s="299" t="e">
        <f t="shared" ca="1" si="7"/>
        <v>#REF!</v>
      </c>
    </row>
    <row r="40" spans="2:195" ht="12.75" customHeight="1" x14ac:dyDescent="0.2">
      <c r="B40" s="25"/>
      <c r="C40" s="25"/>
      <c r="D40" s="232"/>
      <c r="E40" s="232"/>
      <c r="F40" s="232"/>
      <c r="G40" s="25"/>
      <c r="H40" s="25"/>
      <c r="I40" s="234"/>
      <c r="J40" s="25"/>
      <c r="K40" s="25"/>
      <c r="L40" s="25"/>
      <c r="M40" s="25"/>
      <c r="N40" s="25"/>
      <c r="O40" s="232"/>
      <c r="P40" s="25"/>
      <c r="Q40" s="232"/>
      <c r="R40" s="25"/>
      <c r="S40" s="25"/>
      <c r="T40" s="232"/>
      <c r="U40" s="232"/>
      <c r="V40" s="25"/>
      <c r="W40" s="236"/>
      <c r="X40" s="236"/>
      <c r="Y40" s="25"/>
      <c r="Z40" s="25"/>
      <c r="AA40" s="25"/>
      <c r="AB40" s="232"/>
      <c r="AC40" s="25"/>
      <c r="AD40" s="232"/>
      <c r="AE40" s="25"/>
      <c r="AF40" s="232"/>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32"/>
      <c r="BG40" s="50"/>
      <c r="BH40" s="25"/>
      <c r="BI40" s="50"/>
      <c r="BJ40" s="50"/>
      <c r="BK40" s="50"/>
      <c r="BL40" s="232"/>
      <c r="BM40" s="232"/>
      <c r="BN40" s="232"/>
      <c r="BO40" s="232"/>
      <c r="BP40" s="232"/>
      <c r="BQ40" s="232"/>
      <c r="BR40" s="232"/>
      <c r="BS40" s="232"/>
      <c r="BT40" s="232"/>
      <c r="BU40" s="232"/>
      <c r="BV40" s="232"/>
      <c r="BW40" s="232"/>
      <c r="BX40" s="232"/>
      <c r="BY40" s="232"/>
      <c r="BZ40" s="232"/>
      <c r="CA40" s="50"/>
      <c r="CB40" s="232"/>
      <c r="CC40" s="232"/>
      <c r="CD40" s="25"/>
      <c r="CE40" s="25"/>
      <c r="CF40" s="232"/>
      <c r="CG40" s="25"/>
      <c r="CH40" s="25"/>
      <c r="CI40" s="25"/>
      <c r="CJ40" s="25"/>
      <c r="CK40" s="25"/>
      <c r="CL40" s="232"/>
      <c r="CM40" s="25"/>
      <c r="CN40" s="232"/>
      <c r="CO40" s="25"/>
      <c r="CP40" s="232"/>
      <c r="CQ40" s="232"/>
      <c r="CR40" s="232"/>
      <c r="CS40" s="232"/>
      <c r="CT40" s="232"/>
      <c r="CU40" s="232"/>
      <c r="CV40" s="232"/>
      <c r="CW40" s="232"/>
      <c r="CX40" s="232"/>
      <c r="CY40" s="232"/>
      <c r="CZ40" s="232"/>
      <c r="DA40" s="25"/>
      <c r="DB40" s="232"/>
      <c r="DC40" s="232"/>
      <c r="DD40" s="232"/>
      <c r="DE40" s="25"/>
      <c r="DF40" s="232"/>
      <c r="DG40" s="25"/>
      <c r="DH40" s="232"/>
      <c r="DI40" s="232"/>
      <c r="DJ40" s="25"/>
      <c r="DK40" s="25"/>
      <c r="DM40" s="25"/>
      <c r="DN40" s="25"/>
      <c r="DO40" s="25"/>
      <c r="DP40" s="25"/>
      <c r="DQ40" s="25"/>
      <c r="DR40" s="232"/>
      <c r="DS40" s="25"/>
      <c r="DT40" s="232"/>
      <c r="DU40" s="232"/>
      <c r="DV40" s="25"/>
      <c r="DW40" s="232"/>
      <c r="DX40" s="232"/>
      <c r="DY40" s="232"/>
      <c r="DZ40" s="232"/>
      <c r="EA40" s="232"/>
      <c r="EB40" s="232"/>
      <c r="EC40" s="232"/>
      <c r="ED40" s="232"/>
      <c r="EE40" s="50"/>
      <c r="EF40" s="50"/>
      <c r="EG40" s="25"/>
      <c r="EH40" s="232"/>
      <c r="EI40" s="232"/>
      <c r="EJ40" s="232"/>
      <c r="EK40" s="232"/>
      <c r="EL40" s="25"/>
      <c r="EN40" s="25"/>
      <c r="EW40" s="20"/>
      <c r="EX40" s="26"/>
      <c r="EY40" s="26"/>
      <c r="EZ40" s="26"/>
      <c r="FA40" s="26"/>
      <c r="FB40" s="25"/>
      <c r="FC40" s="232"/>
      <c r="FD40" s="232"/>
      <c r="FE40" s="232"/>
      <c r="FF40" s="232"/>
      <c r="FG40" s="232"/>
      <c r="FH40" s="232"/>
      <c r="FI40" s="25"/>
      <c r="FJ40" s="232"/>
      <c r="FK40" s="25"/>
      <c r="FL40" s="25"/>
      <c r="FM40" s="25"/>
      <c r="FN40" s="25"/>
      <c r="FO40" s="50"/>
      <c r="FP40" s="50"/>
      <c r="FQ40" s="232"/>
      <c r="FR40" s="232"/>
      <c r="FS40" s="232"/>
      <c r="FT40" s="50"/>
      <c r="FU40" s="50"/>
      <c r="FV40" s="232"/>
      <c r="FW40" s="76"/>
      <c r="FX40" s="232"/>
      <c r="FY40" s="232"/>
      <c r="FZ40" s="50"/>
      <c r="GA40" s="50"/>
      <c r="GB40" s="50"/>
      <c r="GC40" s="50"/>
      <c r="GD40" s="50"/>
      <c r="GE40" s="52"/>
      <c r="GF40" s="281"/>
      <c r="GG40" s="281" t="s">
        <v>177</v>
      </c>
      <c r="GH40" s="294">
        <f t="shared" ca="1" si="6"/>
        <v>0</v>
      </c>
      <c r="GI40" s="283"/>
      <c r="GK40" s="533"/>
      <c r="GL40" s="238" t="s">
        <v>178</v>
      </c>
      <c r="GM40" s="299" t="e">
        <f t="shared" ca="1" si="7"/>
        <v>#REF!</v>
      </c>
    </row>
    <row r="41" spans="2:195" ht="12.75" customHeight="1" x14ac:dyDescent="0.2">
      <c r="B41" s="25"/>
      <c r="C41" s="25"/>
      <c r="D41" s="232"/>
      <c r="E41" s="232"/>
      <c r="F41" s="232"/>
      <c r="G41" s="25"/>
      <c r="H41" s="25"/>
      <c r="I41" s="234"/>
      <c r="J41" s="25"/>
      <c r="K41" s="25"/>
      <c r="L41" s="25"/>
      <c r="M41" s="25"/>
      <c r="N41" s="25"/>
      <c r="O41" s="232"/>
      <c r="P41" s="25"/>
      <c r="Q41" s="232"/>
      <c r="R41" s="25"/>
      <c r="S41" s="25"/>
      <c r="T41" s="232"/>
      <c r="U41" s="232"/>
      <c r="V41" s="25"/>
      <c r="W41" s="236"/>
      <c r="X41" s="236"/>
      <c r="Y41" s="25"/>
      <c r="Z41" s="25"/>
      <c r="AA41" s="25"/>
      <c r="AB41" s="232"/>
      <c r="AC41" s="25"/>
      <c r="AD41" s="232"/>
      <c r="AE41" s="25"/>
      <c r="AF41" s="232"/>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32"/>
      <c r="BG41" s="50"/>
      <c r="BH41" s="25"/>
      <c r="BI41" s="50"/>
      <c r="BJ41" s="50"/>
      <c r="BK41" s="50"/>
      <c r="BL41" s="232"/>
      <c r="BM41" s="232"/>
      <c r="BN41" s="232"/>
      <c r="BO41" s="232"/>
      <c r="BP41" s="232"/>
      <c r="BQ41" s="232"/>
      <c r="BR41" s="232"/>
      <c r="BS41" s="232"/>
      <c r="BT41" s="232"/>
      <c r="BU41" s="232"/>
      <c r="BV41" s="232"/>
      <c r="BW41" s="232"/>
      <c r="BX41" s="232"/>
      <c r="BY41" s="232"/>
      <c r="BZ41" s="232"/>
      <c r="CA41" s="50"/>
      <c r="CB41" s="232"/>
      <c r="CC41" s="232"/>
      <c r="CD41" s="25"/>
      <c r="CE41" s="25"/>
      <c r="CF41" s="232"/>
      <c r="CG41" s="25"/>
      <c r="CH41" s="25"/>
      <c r="CI41" s="25"/>
      <c r="CJ41" s="25"/>
      <c r="CK41" s="25"/>
      <c r="CL41" s="232"/>
      <c r="CM41" s="25"/>
      <c r="CN41" s="232"/>
      <c r="CO41" s="25"/>
      <c r="CP41" s="232"/>
      <c r="CQ41" s="232"/>
      <c r="CR41" s="232"/>
      <c r="CS41" s="232"/>
      <c r="CT41" s="232"/>
      <c r="CU41" s="232"/>
      <c r="CV41" s="232"/>
      <c r="CW41" s="232"/>
      <c r="CX41" s="232"/>
      <c r="CY41" s="232"/>
      <c r="CZ41" s="232"/>
      <c r="DA41" s="25"/>
      <c r="DB41" s="232"/>
      <c r="DC41" s="232"/>
      <c r="DD41" s="232"/>
      <c r="DE41" s="25"/>
      <c r="DF41" s="232"/>
      <c r="DG41" s="25"/>
      <c r="DH41" s="232"/>
      <c r="DI41" s="232"/>
      <c r="DJ41" s="25"/>
      <c r="DK41" s="25"/>
      <c r="DM41" s="25"/>
      <c r="DN41" s="25"/>
      <c r="DO41" s="25"/>
      <c r="DP41" s="25"/>
      <c r="DQ41" s="25"/>
      <c r="DR41" s="232"/>
      <c r="DS41" s="25"/>
      <c r="DT41" s="232"/>
      <c r="DU41" s="232"/>
      <c r="DV41" s="25"/>
      <c r="DW41" s="232"/>
      <c r="DX41" s="232"/>
      <c r="DY41" s="232"/>
      <c r="DZ41" s="232"/>
      <c r="EA41" s="232"/>
      <c r="EB41" s="232"/>
      <c r="EC41" s="232"/>
      <c r="ED41" s="232"/>
      <c r="EE41" s="50"/>
      <c r="EF41" s="50"/>
      <c r="EG41" s="25"/>
      <c r="EH41" s="232"/>
      <c r="EI41" s="232"/>
      <c r="EJ41" s="232"/>
      <c r="EK41" s="232"/>
      <c r="EL41" s="25"/>
      <c r="EN41" s="25"/>
      <c r="EW41" s="20"/>
      <c r="EX41" s="26"/>
      <c r="EY41" s="26"/>
      <c r="EZ41" s="26"/>
      <c r="FA41" s="26"/>
      <c r="FB41" s="25"/>
      <c r="FC41" s="232"/>
      <c r="FD41" s="232"/>
      <c r="FE41" s="232"/>
      <c r="FF41" s="232"/>
      <c r="FG41" s="232"/>
      <c r="FH41" s="232"/>
      <c r="FI41" s="25"/>
      <c r="FJ41" s="232"/>
      <c r="FK41" s="25"/>
      <c r="FL41" s="25"/>
      <c r="FM41" s="25"/>
      <c r="FN41" s="25"/>
      <c r="FO41" s="50"/>
      <c r="FP41" s="50"/>
      <c r="FQ41" s="232"/>
      <c r="FR41" s="232"/>
      <c r="FS41" s="232"/>
      <c r="FT41" s="50"/>
      <c r="FU41" s="50"/>
      <c r="FV41" s="232"/>
      <c r="FW41" s="76"/>
      <c r="FX41" s="232"/>
      <c r="FY41" s="232"/>
      <c r="FZ41" s="50"/>
      <c r="GA41" s="50"/>
      <c r="GB41" s="50"/>
      <c r="GC41" s="50"/>
      <c r="GD41" s="50"/>
      <c r="GE41" s="52"/>
      <c r="GF41" s="281"/>
      <c r="GG41" s="281" t="s">
        <v>176</v>
      </c>
      <c r="GH41" s="294">
        <f t="shared" ca="1" si="6"/>
        <v>0</v>
      </c>
      <c r="GI41" s="283"/>
      <c r="GK41" s="533"/>
      <c r="GL41" s="238" t="s">
        <v>177</v>
      </c>
      <c r="GM41" s="299" t="e">
        <f t="shared" ca="1" si="7"/>
        <v>#REF!</v>
      </c>
    </row>
    <row r="42" spans="2:195" ht="12.75" customHeight="1" x14ac:dyDescent="0.2">
      <c r="B42" s="25"/>
      <c r="C42" s="25"/>
      <c r="D42" s="232"/>
      <c r="E42" s="232"/>
      <c r="F42" s="232"/>
      <c r="G42" s="25"/>
      <c r="H42" s="25"/>
      <c r="I42" s="234"/>
      <c r="J42" s="25"/>
      <c r="K42" s="25"/>
      <c r="L42" s="25"/>
      <c r="M42" s="25"/>
      <c r="N42" s="25"/>
      <c r="O42" s="232"/>
      <c r="P42" s="25"/>
      <c r="Q42" s="232"/>
      <c r="R42" s="25"/>
      <c r="S42" s="25"/>
      <c r="T42" s="232"/>
      <c r="U42" s="232"/>
      <c r="V42" s="25"/>
      <c r="W42" s="236"/>
      <c r="X42" s="236"/>
      <c r="Y42" s="25"/>
      <c r="Z42" s="25"/>
      <c r="AA42" s="25"/>
      <c r="AB42" s="232"/>
      <c r="AC42" s="25"/>
      <c r="AD42" s="232"/>
      <c r="AE42" s="25"/>
      <c r="AF42" s="232"/>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32"/>
      <c r="BG42" s="50"/>
      <c r="BH42" s="25"/>
      <c r="BI42" s="50"/>
      <c r="BJ42" s="50"/>
      <c r="BK42" s="50"/>
      <c r="BL42" s="232"/>
      <c r="BM42" s="232"/>
      <c r="BN42" s="232"/>
      <c r="BO42" s="232"/>
      <c r="BP42" s="232"/>
      <c r="BQ42" s="232"/>
      <c r="BR42" s="232"/>
      <c r="BS42" s="232"/>
      <c r="BT42" s="232"/>
      <c r="BU42" s="232"/>
      <c r="BV42" s="232"/>
      <c r="BW42" s="232"/>
      <c r="BX42" s="232"/>
      <c r="BY42" s="232"/>
      <c r="BZ42" s="232"/>
      <c r="CA42" s="50"/>
      <c r="CB42" s="232"/>
      <c r="CC42" s="232"/>
      <c r="CD42" s="25"/>
      <c r="CE42" s="25"/>
      <c r="CF42" s="232"/>
      <c r="CG42" s="25"/>
      <c r="CH42" s="25"/>
      <c r="CI42" s="25"/>
      <c r="CJ42" s="25"/>
      <c r="CK42" s="25"/>
      <c r="CL42" s="232"/>
      <c r="CM42" s="25"/>
      <c r="CN42" s="232"/>
      <c r="CO42" s="25"/>
      <c r="CP42" s="232"/>
      <c r="CQ42" s="232"/>
      <c r="CR42" s="232"/>
      <c r="CS42" s="232"/>
      <c r="CT42" s="232"/>
      <c r="CU42" s="232"/>
      <c r="CV42" s="232"/>
      <c r="CW42" s="232"/>
      <c r="CX42" s="232"/>
      <c r="CY42" s="232"/>
      <c r="CZ42" s="232"/>
      <c r="DA42" s="25"/>
      <c r="DB42" s="232"/>
      <c r="DC42" s="232"/>
      <c r="DD42" s="232"/>
      <c r="DE42" s="25"/>
      <c r="DF42" s="232"/>
      <c r="DG42" s="25"/>
      <c r="DH42" s="232"/>
      <c r="DI42" s="232"/>
      <c r="DJ42" s="25"/>
      <c r="DK42" s="25"/>
      <c r="DM42" s="25"/>
      <c r="DN42" s="25"/>
      <c r="DO42" s="25"/>
      <c r="DP42" s="25"/>
      <c r="DQ42" s="25"/>
      <c r="DR42" s="232"/>
      <c r="DS42" s="25"/>
      <c r="DT42" s="232"/>
      <c r="DU42" s="232"/>
      <c r="DV42" s="25"/>
      <c r="DW42" s="232"/>
      <c r="DX42" s="232"/>
      <c r="DY42" s="232"/>
      <c r="DZ42" s="232"/>
      <c r="EA42" s="232"/>
      <c r="EB42" s="232"/>
      <c r="EC42" s="232"/>
      <c r="ED42" s="232"/>
      <c r="EE42" s="50"/>
      <c r="EF42" s="50"/>
      <c r="EG42" s="25"/>
      <c r="EH42" s="232"/>
      <c r="EI42" s="232"/>
      <c r="EJ42" s="232"/>
      <c r="EK42" s="232"/>
      <c r="EL42" s="25"/>
      <c r="EN42" s="25"/>
      <c r="EW42" s="20"/>
      <c r="EX42" s="26"/>
      <c r="EY42" s="26"/>
      <c r="EZ42" s="26"/>
      <c r="FA42" s="26"/>
      <c r="FB42" s="25"/>
      <c r="FC42" s="232"/>
      <c r="FD42" s="232"/>
      <c r="FE42" s="232"/>
      <c r="FF42" s="232"/>
      <c r="FG42" s="232"/>
      <c r="FH42" s="232"/>
      <c r="FI42" s="25"/>
      <c r="FJ42" s="232"/>
      <c r="FK42" s="25"/>
      <c r="FL42" s="25"/>
      <c r="FM42" s="25"/>
      <c r="FN42" s="25"/>
      <c r="FO42" s="50"/>
      <c r="FP42" s="50"/>
      <c r="FQ42" s="232"/>
      <c r="FR42" s="232"/>
      <c r="FS42" s="232"/>
      <c r="FT42" s="50"/>
      <c r="FU42" s="50"/>
      <c r="FV42" s="232"/>
      <c r="FW42" s="76"/>
      <c r="FX42" s="232"/>
      <c r="FY42" s="232"/>
      <c r="FZ42" s="50"/>
      <c r="GA42" s="50"/>
      <c r="GB42" s="50"/>
      <c r="GC42" s="50"/>
      <c r="GD42" s="50"/>
      <c r="GE42" s="52"/>
      <c r="GF42" s="281"/>
      <c r="GG42" s="281" t="s">
        <v>706</v>
      </c>
      <c r="GH42" s="294">
        <f ca="1">GM76</f>
        <v>0</v>
      </c>
      <c r="GI42" s="283"/>
      <c r="GK42" s="533"/>
      <c r="GL42" s="238" t="s">
        <v>176</v>
      </c>
      <c r="GM42" s="299" t="e">
        <f t="shared" ca="1" si="7"/>
        <v>#REF!</v>
      </c>
    </row>
    <row r="43" spans="2:195" ht="12.75" customHeight="1" x14ac:dyDescent="0.2">
      <c r="B43" s="25"/>
      <c r="C43" s="25"/>
      <c r="D43" s="232"/>
      <c r="E43" s="232"/>
      <c r="F43" s="232"/>
      <c r="G43" s="25"/>
      <c r="H43" s="25"/>
      <c r="I43" s="234"/>
      <c r="J43" s="25"/>
      <c r="K43" s="25"/>
      <c r="L43" s="25"/>
      <c r="M43" s="25"/>
      <c r="N43" s="25"/>
      <c r="O43" s="232"/>
      <c r="P43" s="25"/>
      <c r="Q43" s="232"/>
      <c r="R43" s="25"/>
      <c r="S43" s="25"/>
      <c r="T43" s="232"/>
      <c r="U43" s="232"/>
      <c r="V43" s="25"/>
      <c r="W43" s="236"/>
      <c r="X43" s="236"/>
      <c r="Y43" s="25"/>
      <c r="Z43" s="25"/>
      <c r="AA43" s="25"/>
      <c r="AB43" s="232"/>
      <c r="AC43" s="25"/>
      <c r="AD43" s="232"/>
      <c r="AE43" s="25"/>
      <c r="AF43" s="232"/>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32"/>
      <c r="BG43" s="50"/>
      <c r="BH43" s="25"/>
      <c r="BI43" s="50"/>
      <c r="BJ43" s="50"/>
      <c r="BK43" s="50"/>
      <c r="BL43" s="232"/>
      <c r="BM43" s="232"/>
      <c r="BN43" s="232"/>
      <c r="BO43" s="232"/>
      <c r="BP43" s="232"/>
      <c r="BQ43" s="232"/>
      <c r="BR43" s="232"/>
      <c r="BS43" s="232"/>
      <c r="BT43" s="232"/>
      <c r="BU43" s="232"/>
      <c r="BV43" s="232"/>
      <c r="BW43" s="232"/>
      <c r="BX43" s="232"/>
      <c r="BY43" s="232"/>
      <c r="BZ43" s="232"/>
      <c r="CA43" s="50"/>
      <c r="CB43" s="232"/>
      <c r="CC43" s="232"/>
      <c r="CD43" s="25"/>
      <c r="CE43" s="25"/>
      <c r="CF43" s="232"/>
      <c r="CG43" s="25"/>
      <c r="CH43" s="25"/>
      <c r="CI43" s="25"/>
      <c r="CJ43" s="25"/>
      <c r="CK43" s="25"/>
      <c r="CL43" s="232"/>
      <c r="CM43" s="25"/>
      <c r="CN43" s="232"/>
      <c r="CO43" s="25"/>
      <c r="CP43" s="232"/>
      <c r="CQ43" s="232"/>
      <c r="CR43" s="232"/>
      <c r="CS43" s="232"/>
      <c r="CT43" s="232"/>
      <c r="CU43" s="232"/>
      <c r="CV43" s="232"/>
      <c r="CW43" s="232"/>
      <c r="CX43" s="232"/>
      <c r="CY43" s="232"/>
      <c r="CZ43" s="232"/>
      <c r="DA43" s="25"/>
      <c r="DB43" s="232"/>
      <c r="DC43" s="232"/>
      <c r="DD43" s="232"/>
      <c r="DE43" s="25"/>
      <c r="DF43" s="232"/>
      <c r="DG43" s="25"/>
      <c r="DH43" s="232"/>
      <c r="DI43" s="232"/>
      <c r="DJ43" s="25"/>
      <c r="DK43" s="25"/>
      <c r="DM43" s="25"/>
      <c r="DN43" s="25"/>
      <c r="DO43" s="25"/>
      <c r="DP43" s="25"/>
      <c r="DQ43" s="25"/>
      <c r="DR43" s="232"/>
      <c r="DS43" s="25"/>
      <c r="DT43" s="232"/>
      <c r="DU43" s="232"/>
      <c r="DV43" s="25"/>
      <c r="DW43" s="232"/>
      <c r="DX43" s="232"/>
      <c r="DY43" s="232"/>
      <c r="DZ43" s="232"/>
      <c r="EA43" s="232"/>
      <c r="EB43" s="232"/>
      <c r="EC43" s="232"/>
      <c r="ED43" s="232"/>
      <c r="EE43" s="50"/>
      <c r="EF43" s="50"/>
      <c r="EG43" s="25"/>
      <c r="EH43" s="232"/>
      <c r="EI43" s="232"/>
      <c r="EJ43" s="232"/>
      <c r="EK43" s="232"/>
      <c r="EL43" s="25"/>
      <c r="EN43" s="25"/>
      <c r="EW43" s="20"/>
      <c r="EX43" s="26"/>
      <c r="EY43" s="26"/>
      <c r="EZ43" s="26"/>
      <c r="FA43" s="26"/>
      <c r="FB43" s="25"/>
      <c r="FC43" s="232"/>
      <c r="FD43" s="232"/>
      <c r="FE43" s="232"/>
      <c r="FF43" s="232"/>
      <c r="FG43" s="232"/>
      <c r="FH43" s="232"/>
      <c r="FI43" s="25"/>
      <c r="FJ43" s="232"/>
      <c r="FK43" s="25"/>
      <c r="FL43" s="25"/>
      <c r="FM43" s="25"/>
      <c r="FN43" s="25"/>
      <c r="FO43" s="50"/>
      <c r="FP43" s="50"/>
      <c r="FQ43" s="232"/>
      <c r="FR43" s="232"/>
      <c r="FS43" s="232"/>
      <c r="FT43" s="50"/>
      <c r="FU43" s="50"/>
      <c r="FV43" s="232"/>
      <c r="FW43" s="76"/>
      <c r="FX43" s="232"/>
      <c r="FY43" s="232"/>
      <c r="FZ43" s="50"/>
      <c r="GA43" s="50"/>
      <c r="GB43" s="50"/>
      <c r="GC43" s="50"/>
      <c r="GD43" s="50"/>
      <c r="GE43" s="52"/>
      <c r="GF43" s="281" t="s">
        <v>1052</v>
      </c>
      <c r="GG43" s="281" t="s">
        <v>900</v>
      </c>
      <c r="GH43" s="293"/>
      <c r="GI43" s="283"/>
      <c r="GK43" s="533"/>
      <c r="GL43" s="238" t="s">
        <v>25</v>
      </c>
      <c r="GM43" s="299" t="e">
        <f t="shared" ca="1" si="7"/>
        <v>#REF!</v>
      </c>
    </row>
    <row r="44" spans="2:195" ht="12.75" customHeight="1" x14ac:dyDescent="0.2">
      <c r="B44" s="25"/>
      <c r="C44" s="25"/>
      <c r="D44" s="232"/>
      <c r="E44" s="232"/>
      <c r="F44" s="232"/>
      <c r="G44" s="25"/>
      <c r="H44" s="25"/>
      <c r="I44" s="234"/>
      <c r="J44" s="25"/>
      <c r="K44" s="25"/>
      <c r="L44" s="25"/>
      <c r="M44" s="25"/>
      <c r="N44" s="25"/>
      <c r="O44" s="232"/>
      <c r="P44" s="25"/>
      <c r="Q44" s="232"/>
      <c r="R44" s="25"/>
      <c r="S44" s="25"/>
      <c r="T44" s="232"/>
      <c r="U44" s="232"/>
      <c r="V44" s="25"/>
      <c r="W44" s="236"/>
      <c r="X44" s="236"/>
      <c r="Y44" s="25"/>
      <c r="Z44" s="25"/>
      <c r="AA44" s="25"/>
      <c r="AB44" s="232"/>
      <c r="AC44" s="25"/>
      <c r="AD44" s="232"/>
      <c r="AE44" s="25"/>
      <c r="AF44" s="232"/>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32"/>
      <c r="BG44" s="50"/>
      <c r="BH44" s="25"/>
      <c r="BI44" s="50"/>
      <c r="BJ44" s="50"/>
      <c r="BK44" s="50"/>
      <c r="BL44" s="232"/>
      <c r="BM44" s="232"/>
      <c r="BN44" s="232"/>
      <c r="BO44" s="232"/>
      <c r="BP44" s="232"/>
      <c r="BQ44" s="232"/>
      <c r="BR44" s="232"/>
      <c r="BS44" s="232"/>
      <c r="BT44" s="232"/>
      <c r="BU44" s="232"/>
      <c r="BV44" s="232"/>
      <c r="BW44" s="232"/>
      <c r="BX44" s="232"/>
      <c r="BY44" s="232"/>
      <c r="BZ44" s="232"/>
      <c r="CA44" s="50"/>
      <c r="CB44" s="232"/>
      <c r="CC44" s="232"/>
      <c r="CD44" s="25"/>
      <c r="CE44" s="25"/>
      <c r="CF44" s="232"/>
      <c r="CG44" s="25"/>
      <c r="CH44" s="25"/>
      <c r="CI44" s="25"/>
      <c r="CJ44" s="25"/>
      <c r="CK44" s="25"/>
      <c r="CL44" s="232"/>
      <c r="CM44" s="25"/>
      <c r="CN44" s="232"/>
      <c r="CO44" s="25"/>
      <c r="CP44" s="232"/>
      <c r="CQ44" s="232"/>
      <c r="CR44" s="232"/>
      <c r="CS44" s="232"/>
      <c r="CT44" s="232"/>
      <c r="CU44" s="232"/>
      <c r="CV44" s="232"/>
      <c r="CW44" s="232"/>
      <c r="CX44" s="232"/>
      <c r="CY44" s="232"/>
      <c r="CZ44" s="232"/>
      <c r="DA44" s="25"/>
      <c r="DB44" s="232"/>
      <c r="DC44" s="232"/>
      <c r="DD44" s="232"/>
      <c r="DE44" s="25"/>
      <c r="DF44" s="232"/>
      <c r="DG44" s="25"/>
      <c r="DH44" s="232"/>
      <c r="DI44" s="232"/>
      <c r="DJ44" s="25"/>
      <c r="DK44" s="25"/>
      <c r="DM44" s="25"/>
      <c r="DN44" s="25"/>
      <c r="DO44" s="25"/>
      <c r="DP44" s="25"/>
      <c r="DQ44" s="25"/>
      <c r="DR44" s="232"/>
      <c r="DS44" s="25"/>
      <c r="DT44" s="232"/>
      <c r="DU44" s="232"/>
      <c r="DV44" s="25"/>
      <c r="DW44" s="232"/>
      <c r="DX44" s="232"/>
      <c r="DY44" s="232"/>
      <c r="DZ44" s="232"/>
      <c r="EA44" s="232"/>
      <c r="EB44" s="232"/>
      <c r="EC44" s="232"/>
      <c r="ED44" s="232"/>
      <c r="EE44" s="50"/>
      <c r="EF44" s="50"/>
      <c r="EG44" s="25"/>
      <c r="EH44" s="232"/>
      <c r="EI44" s="232"/>
      <c r="EJ44" s="232"/>
      <c r="EK44" s="232"/>
      <c r="EL44" s="25"/>
      <c r="EN44" s="25"/>
      <c r="EW44" s="20"/>
      <c r="EX44" s="26"/>
      <c r="EY44" s="26"/>
      <c r="EZ44" s="26"/>
      <c r="FA44" s="26"/>
      <c r="FB44" s="25"/>
      <c r="FC44" s="232"/>
      <c r="FD44" s="232"/>
      <c r="FE44" s="232"/>
      <c r="FF44" s="232"/>
      <c r="FG44" s="232"/>
      <c r="FH44" s="232"/>
      <c r="FI44" s="25"/>
      <c r="FJ44" s="232"/>
      <c r="FK44" s="25"/>
      <c r="FL44" s="25"/>
      <c r="FM44" s="25"/>
      <c r="FN44" s="25"/>
      <c r="FO44" s="50"/>
      <c r="FP44" s="50"/>
      <c r="FQ44" s="232"/>
      <c r="FR44" s="232"/>
      <c r="FS44" s="232"/>
      <c r="FT44" s="50"/>
      <c r="FU44" s="50"/>
      <c r="FV44" s="232"/>
      <c r="FW44" s="76"/>
      <c r="FX44" s="232"/>
      <c r="FY44" s="232"/>
      <c r="FZ44" s="50"/>
      <c r="GA44" s="50"/>
      <c r="GB44" s="50"/>
      <c r="GC44" s="50"/>
      <c r="GD44" s="50"/>
      <c r="GE44" s="52"/>
      <c r="GF44" s="281"/>
      <c r="GG44" s="281" t="s">
        <v>1025</v>
      </c>
      <c r="GH44" s="293"/>
      <c r="GI44" s="283"/>
      <c r="GK44" s="533"/>
      <c r="GL44" s="238" t="s">
        <v>706</v>
      </c>
      <c r="GM44" s="299" t="e">
        <f ca="1">SUM(GM37:GM43)</f>
        <v>#REF!</v>
      </c>
    </row>
    <row r="45" spans="2:195" ht="12.75" customHeight="1" x14ac:dyDescent="0.2">
      <c r="B45" s="25"/>
      <c r="C45" s="25"/>
      <c r="D45" s="232"/>
      <c r="E45" s="232"/>
      <c r="F45" s="232"/>
      <c r="G45" s="25"/>
      <c r="H45" s="25"/>
      <c r="I45" s="234"/>
      <c r="J45" s="25"/>
      <c r="K45" s="25"/>
      <c r="L45" s="25"/>
      <c r="M45" s="25"/>
      <c r="N45" s="25"/>
      <c r="O45" s="232"/>
      <c r="P45" s="25"/>
      <c r="Q45" s="232"/>
      <c r="R45" s="25"/>
      <c r="S45" s="25"/>
      <c r="T45" s="232"/>
      <c r="U45" s="232"/>
      <c r="V45" s="25"/>
      <c r="W45" s="236"/>
      <c r="X45" s="236"/>
      <c r="Y45" s="25"/>
      <c r="Z45" s="25"/>
      <c r="AA45" s="25"/>
      <c r="AB45" s="232"/>
      <c r="AC45" s="25"/>
      <c r="AD45" s="232"/>
      <c r="AE45" s="25"/>
      <c r="AF45" s="232"/>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32"/>
      <c r="BG45" s="50"/>
      <c r="BH45" s="25"/>
      <c r="BI45" s="50"/>
      <c r="BJ45" s="50"/>
      <c r="BK45" s="50"/>
      <c r="BL45" s="232"/>
      <c r="BM45" s="232"/>
      <c r="BN45" s="232"/>
      <c r="BO45" s="232"/>
      <c r="BP45" s="232"/>
      <c r="BQ45" s="232"/>
      <c r="BR45" s="232"/>
      <c r="BS45" s="232"/>
      <c r="BT45" s="232"/>
      <c r="BU45" s="232"/>
      <c r="BV45" s="232"/>
      <c r="BW45" s="232"/>
      <c r="BX45" s="232"/>
      <c r="BY45" s="232"/>
      <c r="BZ45" s="232"/>
      <c r="CA45" s="50"/>
      <c r="CB45" s="232"/>
      <c r="CC45" s="232"/>
      <c r="CD45" s="25"/>
      <c r="CE45" s="25"/>
      <c r="CF45" s="232"/>
      <c r="CG45" s="25"/>
      <c r="CH45" s="25"/>
      <c r="CI45" s="25"/>
      <c r="CJ45" s="25"/>
      <c r="CK45" s="25"/>
      <c r="CL45" s="232"/>
      <c r="CM45" s="25"/>
      <c r="CN45" s="232"/>
      <c r="CO45" s="25"/>
      <c r="CP45" s="232"/>
      <c r="CQ45" s="232"/>
      <c r="CR45" s="232"/>
      <c r="CS45" s="232"/>
      <c r="CT45" s="232"/>
      <c r="CU45" s="232"/>
      <c r="CV45" s="232"/>
      <c r="CW45" s="232"/>
      <c r="CX45" s="232"/>
      <c r="CY45" s="232"/>
      <c r="CZ45" s="232"/>
      <c r="DA45" s="25"/>
      <c r="DB45" s="232"/>
      <c r="DC45" s="232"/>
      <c r="DD45" s="232"/>
      <c r="DE45" s="25"/>
      <c r="DF45" s="232"/>
      <c r="DG45" s="25"/>
      <c r="DH45" s="232"/>
      <c r="DI45" s="232"/>
      <c r="DJ45" s="25"/>
      <c r="DK45" s="25"/>
      <c r="DM45" s="25"/>
      <c r="DN45" s="25"/>
      <c r="DO45" s="25"/>
      <c r="DP45" s="25"/>
      <c r="DQ45" s="25"/>
      <c r="DR45" s="232"/>
      <c r="DS45" s="25"/>
      <c r="DT45" s="232"/>
      <c r="DU45" s="232"/>
      <c r="DV45" s="25"/>
      <c r="DW45" s="232"/>
      <c r="DX45" s="232"/>
      <c r="DY45" s="232"/>
      <c r="DZ45" s="232"/>
      <c r="EA45" s="232"/>
      <c r="EB45" s="232"/>
      <c r="EC45" s="232"/>
      <c r="ED45" s="232"/>
      <c r="EE45" s="50"/>
      <c r="EF45" s="50"/>
      <c r="EG45" s="25"/>
      <c r="EH45" s="232"/>
      <c r="EI45" s="232"/>
      <c r="EJ45" s="232"/>
      <c r="EK45" s="232"/>
      <c r="EL45" s="25"/>
      <c r="EN45" s="25"/>
      <c r="EW45" s="20"/>
      <c r="EX45" s="26"/>
      <c r="EY45" s="26"/>
      <c r="EZ45" s="26"/>
      <c r="FA45" s="26"/>
      <c r="FB45" s="25"/>
      <c r="FC45" s="232"/>
      <c r="FD45" s="232"/>
      <c r="FE45" s="232"/>
      <c r="FF45" s="232"/>
      <c r="FG45" s="232"/>
      <c r="FH45" s="232"/>
      <c r="FI45" s="25"/>
      <c r="FJ45" s="232"/>
      <c r="FK45" s="25"/>
      <c r="FL45" s="25"/>
      <c r="FM45" s="25"/>
      <c r="FN45" s="25"/>
      <c r="FO45" s="50"/>
      <c r="FP45" s="50"/>
      <c r="FQ45" s="232"/>
      <c r="FR45" s="232"/>
      <c r="FS45" s="232"/>
      <c r="FT45" s="50"/>
      <c r="FU45" s="50"/>
      <c r="FV45" s="232"/>
      <c r="FW45" s="76"/>
      <c r="FX45" s="232"/>
      <c r="FY45" s="232"/>
      <c r="FZ45" s="50"/>
      <c r="GA45" s="50"/>
      <c r="GB45" s="50"/>
      <c r="GC45" s="50"/>
      <c r="GD45" s="50"/>
      <c r="GE45" s="52"/>
      <c r="GF45" s="281" t="s">
        <v>712</v>
      </c>
      <c r="GG45" s="290" t="s">
        <v>181</v>
      </c>
      <c r="GH45" s="293" t="e">
        <f t="shared" ref="GH45:GH50" ca="1" si="8">SUMIF(Str_AVFStructureType,GJ5,y5_StructuresWithTrafficDelays)</f>
        <v>#REF!</v>
      </c>
      <c r="GI45" s="297"/>
      <c r="GK45" s="533" t="s">
        <v>687</v>
      </c>
      <c r="GL45" s="238" t="s">
        <v>181</v>
      </c>
      <c r="GM45" s="299" t="e">
        <f t="shared" ref="GM45:GM51" ca="1" si="9">SUMIFS(Str_NumOfStructures,y5_SCIAv,"&gt;=40",Str_AVFStructureType,$GJ5)-GM37-GM29-GM21</f>
        <v>#REF!</v>
      </c>
    </row>
    <row r="46" spans="2:195" ht="12.75" customHeight="1" x14ac:dyDescent="0.2">
      <c r="B46" s="25"/>
      <c r="C46" s="25"/>
      <c r="D46" s="232"/>
      <c r="E46" s="232"/>
      <c r="F46" s="232"/>
      <c r="G46" s="25"/>
      <c r="H46" s="25"/>
      <c r="I46" s="234"/>
      <c r="J46" s="25"/>
      <c r="K46" s="25"/>
      <c r="L46" s="25"/>
      <c r="M46" s="25"/>
      <c r="N46" s="25"/>
      <c r="O46" s="232"/>
      <c r="P46" s="25"/>
      <c r="Q46" s="232"/>
      <c r="R46" s="25"/>
      <c r="S46" s="25"/>
      <c r="T46" s="232"/>
      <c r="U46" s="232"/>
      <c r="V46" s="25"/>
      <c r="W46" s="236"/>
      <c r="X46" s="236"/>
      <c r="Y46" s="25"/>
      <c r="Z46" s="25"/>
      <c r="AA46" s="25"/>
      <c r="AB46" s="232"/>
      <c r="AC46" s="25"/>
      <c r="AD46" s="232"/>
      <c r="AE46" s="25"/>
      <c r="AF46" s="232"/>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32"/>
      <c r="BG46" s="50"/>
      <c r="BH46" s="25"/>
      <c r="BI46" s="50"/>
      <c r="BJ46" s="50"/>
      <c r="BK46" s="50"/>
      <c r="BL46" s="232"/>
      <c r="BM46" s="232"/>
      <c r="BN46" s="232"/>
      <c r="BO46" s="232"/>
      <c r="BP46" s="232"/>
      <c r="BQ46" s="232"/>
      <c r="BR46" s="232"/>
      <c r="BS46" s="232"/>
      <c r="BT46" s="232"/>
      <c r="BU46" s="232"/>
      <c r="BV46" s="232"/>
      <c r="BW46" s="232"/>
      <c r="BX46" s="232"/>
      <c r="BY46" s="232"/>
      <c r="BZ46" s="232"/>
      <c r="CA46" s="50"/>
      <c r="CB46" s="232"/>
      <c r="CC46" s="232"/>
      <c r="CD46" s="25"/>
      <c r="CE46" s="25"/>
      <c r="CF46" s="232"/>
      <c r="CG46" s="25"/>
      <c r="CH46" s="25"/>
      <c r="CI46" s="25"/>
      <c r="CJ46" s="25"/>
      <c r="CK46" s="25"/>
      <c r="CL46" s="232"/>
      <c r="CM46" s="25"/>
      <c r="CN46" s="232"/>
      <c r="CO46" s="25"/>
      <c r="CP46" s="232"/>
      <c r="CQ46" s="232"/>
      <c r="CR46" s="232"/>
      <c r="CS46" s="232"/>
      <c r="CT46" s="232"/>
      <c r="CU46" s="232"/>
      <c r="CV46" s="232"/>
      <c r="CW46" s="232"/>
      <c r="CX46" s="232"/>
      <c r="CY46" s="232"/>
      <c r="CZ46" s="232"/>
      <c r="DA46" s="25"/>
      <c r="DB46" s="232"/>
      <c r="DC46" s="232"/>
      <c r="DD46" s="232"/>
      <c r="DE46" s="25"/>
      <c r="DF46" s="232"/>
      <c r="DG46" s="25"/>
      <c r="DH46" s="232"/>
      <c r="DI46" s="232"/>
      <c r="DJ46" s="25"/>
      <c r="DK46" s="25"/>
      <c r="DM46" s="25"/>
      <c r="DN46" s="25"/>
      <c r="DO46" s="25"/>
      <c r="DP46" s="25"/>
      <c r="DQ46" s="25"/>
      <c r="DR46" s="232"/>
      <c r="DS46" s="25"/>
      <c r="DT46" s="232"/>
      <c r="DU46" s="232"/>
      <c r="DV46" s="25"/>
      <c r="DW46" s="232"/>
      <c r="DX46" s="232"/>
      <c r="DY46" s="232"/>
      <c r="DZ46" s="232"/>
      <c r="EA46" s="232"/>
      <c r="EB46" s="232"/>
      <c r="EC46" s="232"/>
      <c r="ED46" s="232"/>
      <c r="EE46" s="50"/>
      <c r="EF46" s="50"/>
      <c r="EG46" s="25"/>
      <c r="EH46" s="232"/>
      <c r="EI46" s="232"/>
      <c r="EJ46" s="232"/>
      <c r="EK46" s="232"/>
      <c r="EL46" s="25"/>
      <c r="EN46" s="25"/>
      <c r="EW46" s="20"/>
      <c r="EX46" s="26"/>
      <c r="EY46" s="26"/>
      <c r="EZ46" s="26"/>
      <c r="FA46" s="26"/>
      <c r="FB46" s="25"/>
      <c r="FC46" s="232"/>
      <c r="FD46" s="232"/>
      <c r="FE46" s="232"/>
      <c r="FF46" s="232"/>
      <c r="FG46" s="232"/>
      <c r="FH46" s="232"/>
      <c r="FI46" s="25"/>
      <c r="FJ46" s="232"/>
      <c r="FK46" s="25"/>
      <c r="FL46" s="25"/>
      <c r="FM46" s="25"/>
      <c r="FN46" s="25"/>
      <c r="FO46" s="50"/>
      <c r="FP46" s="50"/>
      <c r="FQ46" s="232"/>
      <c r="FR46" s="232"/>
      <c r="FS46" s="232"/>
      <c r="FT46" s="50"/>
      <c r="FU46" s="50"/>
      <c r="FV46" s="232"/>
      <c r="FW46" s="76"/>
      <c r="FX46" s="232"/>
      <c r="FY46" s="232"/>
      <c r="FZ46" s="50"/>
      <c r="GA46" s="50"/>
      <c r="GB46" s="50"/>
      <c r="GC46" s="50"/>
      <c r="GD46" s="50"/>
      <c r="GE46" s="52"/>
      <c r="GF46" s="281"/>
      <c r="GG46" s="290" t="s">
        <v>180</v>
      </c>
      <c r="GH46" s="293" t="e">
        <f t="shared" ca="1" si="8"/>
        <v>#REF!</v>
      </c>
      <c r="GI46" s="297"/>
      <c r="GK46" s="533"/>
      <c r="GL46" s="238" t="s">
        <v>180</v>
      </c>
      <c r="GM46" s="299" t="e">
        <f t="shared" ca="1" si="9"/>
        <v>#REF!</v>
      </c>
    </row>
    <row r="47" spans="2:195" ht="12.75" customHeight="1" x14ac:dyDescent="0.2">
      <c r="B47" s="25"/>
      <c r="C47" s="25"/>
      <c r="D47" s="232"/>
      <c r="E47" s="232"/>
      <c r="F47" s="232"/>
      <c r="G47" s="25"/>
      <c r="H47" s="25"/>
      <c r="I47" s="234"/>
      <c r="J47" s="25"/>
      <c r="K47" s="25"/>
      <c r="L47" s="25"/>
      <c r="M47" s="25"/>
      <c r="N47" s="25"/>
      <c r="O47" s="232"/>
      <c r="P47" s="25"/>
      <c r="Q47" s="232"/>
      <c r="R47" s="25"/>
      <c r="S47" s="25"/>
      <c r="T47" s="232"/>
      <c r="U47" s="232"/>
      <c r="V47" s="25"/>
      <c r="W47" s="236"/>
      <c r="X47" s="236"/>
      <c r="Y47" s="25"/>
      <c r="Z47" s="25"/>
      <c r="AA47" s="25"/>
      <c r="AB47" s="232"/>
      <c r="AC47" s="25"/>
      <c r="AD47" s="232"/>
      <c r="AE47" s="25"/>
      <c r="AF47" s="232"/>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32"/>
      <c r="BG47" s="50"/>
      <c r="BH47" s="25"/>
      <c r="BI47" s="50"/>
      <c r="BJ47" s="50"/>
      <c r="BK47" s="50"/>
      <c r="BL47" s="232"/>
      <c r="BM47" s="232"/>
      <c r="BN47" s="232"/>
      <c r="BO47" s="232"/>
      <c r="BP47" s="232"/>
      <c r="BQ47" s="232"/>
      <c r="BR47" s="232"/>
      <c r="BS47" s="232"/>
      <c r="BT47" s="232"/>
      <c r="BU47" s="232"/>
      <c r="BV47" s="232"/>
      <c r="BW47" s="232"/>
      <c r="BX47" s="232"/>
      <c r="BY47" s="232"/>
      <c r="BZ47" s="232"/>
      <c r="CA47" s="50"/>
      <c r="CB47" s="232"/>
      <c r="CC47" s="232"/>
      <c r="CD47" s="25"/>
      <c r="CE47" s="25"/>
      <c r="CF47" s="232"/>
      <c r="CG47" s="25"/>
      <c r="CH47" s="25"/>
      <c r="CI47" s="25"/>
      <c r="CJ47" s="25"/>
      <c r="CK47" s="25"/>
      <c r="CL47" s="232"/>
      <c r="CM47" s="25"/>
      <c r="CN47" s="232"/>
      <c r="CO47" s="25"/>
      <c r="CP47" s="232"/>
      <c r="CQ47" s="232"/>
      <c r="CR47" s="232"/>
      <c r="CS47" s="232"/>
      <c r="CT47" s="232"/>
      <c r="CU47" s="232"/>
      <c r="CV47" s="232"/>
      <c r="CW47" s="232"/>
      <c r="CX47" s="232"/>
      <c r="CY47" s="232"/>
      <c r="CZ47" s="232"/>
      <c r="DA47" s="25"/>
      <c r="DB47" s="232"/>
      <c r="DC47" s="232"/>
      <c r="DD47" s="232"/>
      <c r="DE47" s="25"/>
      <c r="DF47" s="232"/>
      <c r="DG47" s="25"/>
      <c r="DH47" s="232"/>
      <c r="DI47" s="232"/>
      <c r="DJ47" s="25"/>
      <c r="DK47" s="25"/>
      <c r="DM47" s="25"/>
      <c r="DN47" s="25"/>
      <c r="DO47" s="25"/>
      <c r="DP47" s="25"/>
      <c r="DQ47" s="25"/>
      <c r="DR47" s="232"/>
      <c r="DS47" s="25"/>
      <c r="DT47" s="232"/>
      <c r="DU47" s="232"/>
      <c r="DV47" s="25"/>
      <c r="DW47" s="232"/>
      <c r="DX47" s="232"/>
      <c r="DY47" s="232"/>
      <c r="DZ47" s="232"/>
      <c r="EA47" s="232"/>
      <c r="EB47" s="232"/>
      <c r="EC47" s="232"/>
      <c r="ED47" s="232"/>
      <c r="EE47" s="50"/>
      <c r="EF47" s="50"/>
      <c r="EG47" s="25"/>
      <c r="EH47" s="232"/>
      <c r="EI47" s="232"/>
      <c r="EJ47" s="232"/>
      <c r="EK47" s="232"/>
      <c r="EL47" s="25"/>
      <c r="EN47" s="25"/>
      <c r="EW47" s="20"/>
      <c r="EX47" s="26"/>
      <c r="EY47" s="26"/>
      <c r="EZ47" s="26"/>
      <c r="FA47" s="26"/>
      <c r="FB47" s="25"/>
      <c r="FC47" s="232"/>
      <c r="FD47" s="232"/>
      <c r="FE47" s="232"/>
      <c r="FF47" s="232"/>
      <c r="FG47" s="232"/>
      <c r="FH47" s="232"/>
      <c r="FI47" s="25"/>
      <c r="FJ47" s="232"/>
      <c r="FK47" s="25"/>
      <c r="FL47" s="25"/>
      <c r="FM47" s="25"/>
      <c r="FN47" s="25"/>
      <c r="FO47" s="50"/>
      <c r="FP47" s="50"/>
      <c r="FQ47" s="232"/>
      <c r="FR47" s="232"/>
      <c r="FS47" s="232"/>
      <c r="FT47" s="50"/>
      <c r="FU47" s="50"/>
      <c r="FV47" s="232"/>
      <c r="FW47" s="76"/>
      <c r="FX47" s="232"/>
      <c r="FY47" s="232"/>
      <c r="FZ47" s="50"/>
      <c r="GA47" s="50"/>
      <c r="GB47" s="50"/>
      <c r="GC47" s="50"/>
      <c r="GD47" s="50"/>
      <c r="GE47" s="52"/>
      <c r="GF47" s="281"/>
      <c r="GG47" s="290" t="s">
        <v>179</v>
      </c>
      <c r="GH47" s="293" t="e">
        <f t="shared" ca="1" si="8"/>
        <v>#REF!</v>
      </c>
      <c r="GI47" s="297"/>
      <c r="GK47" s="533"/>
      <c r="GL47" s="238" t="s">
        <v>179</v>
      </c>
      <c r="GM47" s="299" t="e">
        <f t="shared" ca="1" si="9"/>
        <v>#REF!</v>
      </c>
    </row>
    <row r="48" spans="2:195" ht="12.75" customHeight="1" x14ac:dyDescent="0.2">
      <c r="B48" s="25"/>
      <c r="C48" s="25"/>
      <c r="D48" s="232"/>
      <c r="E48" s="232"/>
      <c r="F48" s="232"/>
      <c r="G48" s="25"/>
      <c r="H48" s="25"/>
      <c r="I48" s="234"/>
      <c r="J48" s="25"/>
      <c r="K48" s="25"/>
      <c r="L48" s="25"/>
      <c r="M48" s="25"/>
      <c r="N48" s="25"/>
      <c r="O48" s="232"/>
      <c r="P48" s="25"/>
      <c r="Q48" s="232"/>
      <c r="R48" s="25"/>
      <c r="S48" s="25"/>
      <c r="T48" s="232"/>
      <c r="U48" s="232"/>
      <c r="V48" s="25"/>
      <c r="W48" s="236"/>
      <c r="X48" s="236"/>
      <c r="Y48" s="25"/>
      <c r="Z48" s="25"/>
      <c r="AA48" s="25"/>
      <c r="AB48" s="232"/>
      <c r="AC48" s="25"/>
      <c r="AD48" s="232"/>
      <c r="AE48" s="25"/>
      <c r="AF48" s="232"/>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32"/>
      <c r="BG48" s="50"/>
      <c r="BH48" s="25"/>
      <c r="BI48" s="50"/>
      <c r="BJ48" s="50"/>
      <c r="BK48" s="50"/>
      <c r="BL48" s="232"/>
      <c r="BM48" s="232"/>
      <c r="BN48" s="232"/>
      <c r="BO48" s="232"/>
      <c r="BP48" s="232"/>
      <c r="BQ48" s="232"/>
      <c r="BR48" s="232"/>
      <c r="BS48" s="232"/>
      <c r="BT48" s="232"/>
      <c r="BU48" s="232"/>
      <c r="BV48" s="232"/>
      <c r="BW48" s="232"/>
      <c r="BX48" s="232"/>
      <c r="BY48" s="232"/>
      <c r="BZ48" s="232"/>
      <c r="CA48" s="50"/>
      <c r="CB48" s="232"/>
      <c r="CC48" s="232"/>
      <c r="CD48" s="25"/>
      <c r="CE48" s="25"/>
      <c r="CF48" s="232"/>
      <c r="CG48" s="25"/>
      <c r="CH48" s="25"/>
      <c r="CI48" s="25"/>
      <c r="CJ48" s="25"/>
      <c r="CK48" s="25"/>
      <c r="CL48" s="232"/>
      <c r="CM48" s="25"/>
      <c r="CN48" s="232"/>
      <c r="CO48" s="25"/>
      <c r="CP48" s="232"/>
      <c r="CQ48" s="232"/>
      <c r="CR48" s="232"/>
      <c r="CS48" s="232"/>
      <c r="CT48" s="232"/>
      <c r="CU48" s="232"/>
      <c r="CV48" s="232"/>
      <c r="CW48" s="232"/>
      <c r="CX48" s="232"/>
      <c r="CY48" s="232"/>
      <c r="CZ48" s="232"/>
      <c r="DA48" s="25"/>
      <c r="DB48" s="232"/>
      <c r="DC48" s="232"/>
      <c r="DD48" s="232"/>
      <c r="DE48" s="25"/>
      <c r="DF48" s="232"/>
      <c r="DG48" s="25"/>
      <c r="DH48" s="232"/>
      <c r="DI48" s="232"/>
      <c r="DJ48" s="25"/>
      <c r="DK48" s="25"/>
      <c r="DM48" s="25"/>
      <c r="DN48" s="25"/>
      <c r="DO48" s="25"/>
      <c r="DP48" s="25"/>
      <c r="DQ48" s="25"/>
      <c r="DR48" s="232"/>
      <c r="DS48" s="25"/>
      <c r="DT48" s="232"/>
      <c r="DU48" s="232"/>
      <c r="DV48" s="25"/>
      <c r="DW48" s="232"/>
      <c r="DX48" s="232"/>
      <c r="DY48" s="232"/>
      <c r="DZ48" s="232"/>
      <c r="EA48" s="232"/>
      <c r="EB48" s="232"/>
      <c r="EC48" s="232"/>
      <c r="ED48" s="232"/>
      <c r="EE48" s="50"/>
      <c r="EF48" s="50"/>
      <c r="EG48" s="25"/>
      <c r="EH48" s="232"/>
      <c r="EI48" s="232"/>
      <c r="EJ48" s="232"/>
      <c r="EK48" s="232"/>
      <c r="EL48" s="25"/>
      <c r="EN48" s="25"/>
      <c r="EW48" s="20"/>
      <c r="EX48" s="26"/>
      <c r="EY48" s="26"/>
      <c r="EZ48" s="26"/>
      <c r="FA48" s="26"/>
      <c r="FB48" s="25"/>
      <c r="FC48" s="232"/>
      <c r="FD48" s="232"/>
      <c r="FE48" s="232"/>
      <c r="FF48" s="232"/>
      <c r="FG48" s="232"/>
      <c r="FH48" s="232"/>
      <c r="FI48" s="25"/>
      <c r="FJ48" s="232"/>
      <c r="FK48" s="25"/>
      <c r="FL48" s="25"/>
      <c r="FM48" s="25"/>
      <c r="FN48" s="25"/>
      <c r="FO48" s="50"/>
      <c r="FP48" s="50"/>
      <c r="FQ48" s="232"/>
      <c r="FR48" s="232"/>
      <c r="FS48" s="232"/>
      <c r="FT48" s="50"/>
      <c r="FU48" s="50"/>
      <c r="FV48" s="232"/>
      <c r="FW48" s="76"/>
      <c r="FX48" s="232"/>
      <c r="FY48" s="232"/>
      <c r="FZ48" s="50"/>
      <c r="GA48" s="50"/>
      <c r="GB48" s="50"/>
      <c r="GC48" s="50"/>
      <c r="GD48" s="50"/>
      <c r="GE48" s="52"/>
      <c r="GF48" s="281"/>
      <c r="GG48" s="290" t="s">
        <v>178</v>
      </c>
      <c r="GH48" s="293" t="e">
        <f t="shared" ca="1" si="8"/>
        <v>#REF!</v>
      </c>
      <c r="GI48" s="297"/>
      <c r="GK48" s="533"/>
      <c r="GL48" s="238" t="s">
        <v>178</v>
      </c>
      <c r="GM48" s="299" t="e">
        <f t="shared" ca="1" si="9"/>
        <v>#REF!</v>
      </c>
    </row>
    <row r="49" spans="2:195" ht="12.75" customHeight="1" x14ac:dyDescent="0.2">
      <c r="B49" s="25"/>
      <c r="C49" s="25"/>
      <c r="D49" s="232"/>
      <c r="E49" s="232"/>
      <c r="F49" s="232"/>
      <c r="G49" s="25"/>
      <c r="H49" s="25"/>
      <c r="I49" s="234"/>
      <c r="J49" s="25"/>
      <c r="K49" s="25"/>
      <c r="L49" s="25"/>
      <c r="M49" s="25"/>
      <c r="N49" s="25"/>
      <c r="O49" s="232"/>
      <c r="P49" s="25"/>
      <c r="Q49" s="232"/>
      <c r="R49" s="25"/>
      <c r="S49" s="25"/>
      <c r="T49" s="232"/>
      <c r="U49" s="232"/>
      <c r="V49" s="25"/>
      <c r="W49" s="236"/>
      <c r="X49" s="236"/>
      <c r="Y49" s="25"/>
      <c r="Z49" s="25"/>
      <c r="AA49" s="25"/>
      <c r="AB49" s="232"/>
      <c r="AC49" s="25"/>
      <c r="AD49" s="232"/>
      <c r="AE49" s="25"/>
      <c r="AF49" s="232"/>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32"/>
      <c r="BG49" s="50"/>
      <c r="BH49" s="25"/>
      <c r="BI49" s="50"/>
      <c r="BJ49" s="50"/>
      <c r="BK49" s="50"/>
      <c r="BL49" s="232"/>
      <c r="BM49" s="232"/>
      <c r="BN49" s="232"/>
      <c r="BO49" s="232"/>
      <c r="BP49" s="232"/>
      <c r="BQ49" s="232"/>
      <c r="BR49" s="232"/>
      <c r="BS49" s="232"/>
      <c r="BT49" s="232"/>
      <c r="BU49" s="232"/>
      <c r="BV49" s="232"/>
      <c r="BW49" s="232"/>
      <c r="BX49" s="232"/>
      <c r="BY49" s="232"/>
      <c r="BZ49" s="232"/>
      <c r="CA49" s="50"/>
      <c r="CB49" s="232"/>
      <c r="CC49" s="232"/>
      <c r="CD49" s="25"/>
      <c r="CE49" s="25"/>
      <c r="CF49" s="232"/>
      <c r="CG49" s="25"/>
      <c r="CH49" s="25"/>
      <c r="CI49" s="25"/>
      <c r="CJ49" s="25"/>
      <c r="CK49" s="25"/>
      <c r="CL49" s="232"/>
      <c r="CM49" s="25"/>
      <c r="CN49" s="232"/>
      <c r="CO49" s="25"/>
      <c r="CP49" s="232"/>
      <c r="CQ49" s="232"/>
      <c r="CR49" s="232"/>
      <c r="CS49" s="232"/>
      <c r="CT49" s="232"/>
      <c r="CU49" s="232"/>
      <c r="CV49" s="232"/>
      <c r="CW49" s="232"/>
      <c r="CX49" s="232"/>
      <c r="CY49" s="232"/>
      <c r="CZ49" s="232"/>
      <c r="DA49" s="25"/>
      <c r="DB49" s="232"/>
      <c r="DC49" s="232"/>
      <c r="DD49" s="232"/>
      <c r="DE49" s="25"/>
      <c r="DF49" s="232"/>
      <c r="DG49" s="25"/>
      <c r="DH49" s="232"/>
      <c r="DI49" s="232"/>
      <c r="DJ49" s="25"/>
      <c r="DK49" s="25"/>
      <c r="DM49" s="25"/>
      <c r="DN49" s="25"/>
      <c r="DO49" s="25"/>
      <c r="DP49" s="25"/>
      <c r="DQ49" s="25"/>
      <c r="DR49" s="232"/>
      <c r="DS49" s="25"/>
      <c r="DT49" s="232"/>
      <c r="DU49" s="232"/>
      <c r="DV49" s="25"/>
      <c r="DW49" s="232"/>
      <c r="DX49" s="232"/>
      <c r="DY49" s="232"/>
      <c r="DZ49" s="232"/>
      <c r="EA49" s="232"/>
      <c r="EB49" s="232"/>
      <c r="EC49" s="232"/>
      <c r="ED49" s="232"/>
      <c r="EE49" s="50"/>
      <c r="EF49" s="50"/>
      <c r="EG49" s="25"/>
      <c r="EH49" s="232"/>
      <c r="EI49" s="232"/>
      <c r="EJ49" s="232"/>
      <c r="EK49" s="232"/>
      <c r="EL49" s="25"/>
      <c r="EN49" s="25"/>
      <c r="EW49" s="20"/>
      <c r="EX49" s="26"/>
      <c r="EY49" s="26"/>
      <c r="EZ49" s="26"/>
      <c r="FA49" s="26"/>
      <c r="FB49" s="25"/>
      <c r="FC49" s="232"/>
      <c r="FD49" s="232"/>
      <c r="FE49" s="232"/>
      <c r="FF49" s="232"/>
      <c r="FG49" s="232"/>
      <c r="FH49" s="232"/>
      <c r="FI49" s="25"/>
      <c r="FJ49" s="232"/>
      <c r="FK49" s="25"/>
      <c r="FL49" s="25"/>
      <c r="FM49" s="25"/>
      <c r="FN49" s="25"/>
      <c r="FO49" s="50"/>
      <c r="FP49" s="50"/>
      <c r="FQ49" s="232"/>
      <c r="FR49" s="232"/>
      <c r="FS49" s="232"/>
      <c r="FT49" s="50"/>
      <c r="FU49" s="50"/>
      <c r="FV49" s="232"/>
      <c r="FW49" s="76"/>
      <c r="FX49" s="232"/>
      <c r="FY49" s="232"/>
      <c r="FZ49" s="50"/>
      <c r="GA49" s="50"/>
      <c r="GB49" s="50"/>
      <c r="GC49" s="50"/>
      <c r="GD49" s="50"/>
      <c r="GE49" s="52"/>
      <c r="GF49" s="281"/>
      <c r="GG49" s="290" t="s">
        <v>177</v>
      </c>
      <c r="GH49" s="293" t="e">
        <f t="shared" ca="1" si="8"/>
        <v>#REF!</v>
      </c>
      <c r="GI49" s="297"/>
      <c r="GK49" s="533"/>
      <c r="GL49" s="238" t="s">
        <v>177</v>
      </c>
      <c r="GM49" s="299" t="e">
        <f t="shared" ca="1" si="9"/>
        <v>#REF!</v>
      </c>
    </row>
    <row r="50" spans="2:195" ht="12.75" customHeight="1" x14ac:dyDescent="0.2">
      <c r="B50" s="25"/>
      <c r="C50" s="25"/>
      <c r="D50" s="232"/>
      <c r="E50" s="232"/>
      <c r="F50" s="232"/>
      <c r="G50" s="25"/>
      <c r="H50" s="25"/>
      <c r="I50" s="234"/>
      <c r="J50" s="25"/>
      <c r="K50" s="25"/>
      <c r="L50" s="25"/>
      <c r="M50" s="25"/>
      <c r="N50" s="25"/>
      <c r="O50" s="232"/>
      <c r="P50" s="25"/>
      <c r="Q50" s="232"/>
      <c r="R50" s="25"/>
      <c r="S50" s="25"/>
      <c r="T50" s="232"/>
      <c r="U50" s="232"/>
      <c r="V50" s="25"/>
      <c r="W50" s="236"/>
      <c r="X50" s="236"/>
      <c r="Y50" s="25"/>
      <c r="Z50" s="25"/>
      <c r="AA50" s="25"/>
      <c r="AB50" s="232"/>
      <c r="AC50" s="25"/>
      <c r="AD50" s="232"/>
      <c r="AE50" s="25"/>
      <c r="AF50" s="232"/>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32"/>
      <c r="BG50" s="50"/>
      <c r="BH50" s="25"/>
      <c r="BI50" s="50"/>
      <c r="BJ50" s="50"/>
      <c r="BK50" s="50"/>
      <c r="BL50" s="232"/>
      <c r="BM50" s="232"/>
      <c r="BN50" s="232"/>
      <c r="BO50" s="232"/>
      <c r="BP50" s="232"/>
      <c r="BQ50" s="232"/>
      <c r="BR50" s="232"/>
      <c r="BS50" s="232"/>
      <c r="BT50" s="232"/>
      <c r="BU50" s="232"/>
      <c r="BV50" s="232"/>
      <c r="BW50" s="232"/>
      <c r="BX50" s="232"/>
      <c r="BY50" s="232"/>
      <c r="BZ50" s="232"/>
      <c r="CA50" s="50"/>
      <c r="CB50" s="232"/>
      <c r="CC50" s="232"/>
      <c r="CD50" s="25"/>
      <c r="CE50" s="25"/>
      <c r="CF50" s="232"/>
      <c r="CG50" s="25"/>
      <c r="CH50" s="25"/>
      <c r="CI50" s="25"/>
      <c r="CJ50" s="25"/>
      <c r="CK50" s="25"/>
      <c r="CL50" s="232"/>
      <c r="CM50" s="25"/>
      <c r="CN50" s="232"/>
      <c r="CO50" s="25"/>
      <c r="CP50" s="232"/>
      <c r="CQ50" s="232"/>
      <c r="CR50" s="232"/>
      <c r="CS50" s="232"/>
      <c r="CT50" s="232"/>
      <c r="CU50" s="232"/>
      <c r="CV50" s="232"/>
      <c r="CW50" s="232"/>
      <c r="CX50" s="232"/>
      <c r="CY50" s="232"/>
      <c r="CZ50" s="232"/>
      <c r="DA50" s="25"/>
      <c r="DB50" s="232"/>
      <c r="DC50" s="232"/>
      <c r="DD50" s="232"/>
      <c r="DE50" s="25"/>
      <c r="DF50" s="232"/>
      <c r="DG50" s="25"/>
      <c r="DH50" s="232"/>
      <c r="DI50" s="232"/>
      <c r="DJ50" s="25"/>
      <c r="DK50" s="25"/>
      <c r="DM50" s="25"/>
      <c r="DN50" s="25"/>
      <c r="DO50" s="25"/>
      <c r="DP50" s="25"/>
      <c r="DQ50" s="25"/>
      <c r="DR50" s="232"/>
      <c r="DS50" s="25"/>
      <c r="DT50" s="232"/>
      <c r="DU50" s="232"/>
      <c r="DV50" s="25"/>
      <c r="DW50" s="232"/>
      <c r="DX50" s="232"/>
      <c r="DY50" s="232"/>
      <c r="DZ50" s="232"/>
      <c r="EA50" s="232"/>
      <c r="EB50" s="232"/>
      <c r="EC50" s="232"/>
      <c r="ED50" s="232"/>
      <c r="EE50" s="50"/>
      <c r="EF50" s="50"/>
      <c r="EG50" s="25"/>
      <c r="EH50" s="232"/>
      <c r="EI50" s="232"/>
      <c r="EJ50" s="232"/>
      <c r="EK50" s="232"/>
      <c r="EL50" s="25"/>
      <c r="EN50" s="25"/>
      <c r="EW50" s="20"/>
      <c r="EX50" s="26"/>
      <c r="EY50" s="26"/>
      <c r="EZ50" s="26"/>
      <c r="FA50" s="26"/>
      <c r="FB50" s="25"/>
      <c r="FC50" s="232"/>
      <c r="FD50" s="232"/>
      <c r="FE50" s="232"/>
      <c r="FF50" s="232"/>
      <c r="FG50" s="232"/>
      <c r="FH50" s="232"/>
      <c r="FI50" s="25"/>
      <c r="FJ50" s="232"/>
      <c r="FK50" s="25"/>
      <c r="FL50" s="25"/>
      <c r="FM50" s="25"/>
      <c r="FN50" s="25"/>
      <c r="FO50" s="50"/>
      <c r="FP50" s="50"/>
      <c r="FQ50" s="232"/>
      <c r="FR50" s="232"/>
      <c r="FS50" s="232"/>
      <c r="FT50" s="50"/>
      <c r="FU50" s="50"/>
      <c r="FV50" s="232"/>
      <c r="FW50" s="76"/>
      <c r="FX50" s="232"/>
      <c r="FY50" s="232"/>
      <c r="FZ50" s="50"/>
      <c r="GA50" s="50"/>
      <c r="GB50" s="50"/>
      <c r="GC50" s="50"/>
      <c r="GD50" s="50"/>
      <c r="GE50" s="52"/>
      <c r="GF50" s="281"/>
      <c r="GG50" s="290" t="s">
        <v>176</v>
      </c>
      <c r="GH50" s="293" t="e">
        <f t="shared" ca="1" si="8"/>
        <v>#REF!</v>
      </c>
      <c r="GI50" s="297"/>
      <c r="GK50" s="533"/>
      <c r="GL50" s="238" t="s">
        <v>176</v>
      </c>
      <c r="GM50" s="299" t="e">
        <f t="shared" ca="1" si="9"/>
        <v>#REF!</v>
      </c>
    </row>
    <row r="51" spans="2:195" ht="12.75" customHeight="1" x14ac:dyDescent="0.2">
      <c r="B51" s="25"/>
      <c r="C51" s="25"/>
      <c r="D51" s="232"/>
      <c r="E51" s="232"/>
      <c r="F51" s="232"/>
      <c r="G51" s="25"/>
      <c r="H51" s="25"/>
      <c r="I51" s="234"/>
      <c r="J51" s="25"/>
      <c r="K51" s="25"/>
      <c r="L51" s="25"/>
      <c r="M51" s="25"/>
      <c r="N51" s="25"/>
      <c r="O51" s="232"/>
      <c r="P51" s="25"/>
      <c r="Q51" s="232"/>
      <c r="R51" s="25"/>
      <c r="S51" s="25"/>
      <c r="T51" s="232"/>
      <c r="U51" s="232"/>
      <c r="V51" s="25"/>
      <c r="W51" s="236"/>
      <c r="X51" s="236"/>
      <c r="Y51" s="25"/>
      <c r="Z51" s="25"/>
      <c r="AA51" s="25"/>
      <c r="AB51" s="232"/>
      <c r="AC51" s="25"/>
      <c r="AD51" s="232"/>
      <c r="AE51" s="25"/>
      <c r="AF51" s="232"/>
      <c r="AG51" s="25"/>
      <c r="AH51" s="25"/>
      <c r="AI51" s="25"/>
      <c r="AJ51" s="25"/>
      <c r="AK51" s="25"/>
      <c r="AL51" s="25"/>
      <c r="AM51" s="25"/>
      <c r="AN51" s="25"/>
      <c r="AO51" s="25"/>
      <c r="AP51" s="25"/>
      <c r="AQ51" s="25"/>
      <c r="AR51" s="25"/>
      <c r="AS51" s="25"/>
      <c r="AT51" s="25"/>
      <c r="AU51" s="25"/>
      <c r="AV51" s="25"/>
      <c r="AW51" s="25"/>
      <c r="AX51" s="25"/>
      <c r="AY51" s="25"/>
      <c r="AZ51" s="25"/>
      <c r="BA51" s="25"/>
      <c r="BB51" s="25"/>
      <c r="BC51" s="25"/>
      <c r="BD51" s="25"/>
      <c r="BE51" s="25"/>
      <c r="BF51" s="232"/>
      <c r="BG51" s="50"/>
      <c r="BH51" s="25"/>
      <c r="BI51" s="50"/>
      <c r="BJ51" s="50"/>
      <c r="BK51" s="50"/>
      <c r="BL51" s="232"/>
      <c r="BM51" s="232"/>
      <c r="BN51" s="232"/>
      <c r="BO51" s="232"/>
      <c r="BP51" s="232"/>
      <c r="BQ51" s="232"/>
      <c r="BR51" s="232"/>
      <c r="BS51" s="232"/>
      <c r="BT51" s="232"/>
      <c r="BU51" s="232"/>
      <c r="BV51" s="232"/>
      <c r="BW51" s="232"/>
      <c r="BX51" s="232"/>
      <c r="BY51" s="232"/>
      <c r="BZ51" s="232"/>
      <c r="CA51" s="50"/>
      <c r="CB51" s="232"/>
      <c r="CC51" s="232"/>
      <c r="CD51" s="25"/>
      <c r="CE51" s="25"/>
      <c r="CF51" s="232"/>
      <c r="CG51" s="25"/>
      <c r="CH51" s="25"/>
      <c r="CI51" s="25"/>
      <c r="CJ51" s="25"/>
      <c r="CK51" s="25"/>
      <c r="CL51" s="232"/>
      <c r="CM51" s="25"/>
      <c r="CN51" s="232"/>
      <c r="CO51" s="25"/>
      <c r="CP51" s="232"/>
      <c r="CQ51" s="232"/>
      <c r="CR51" s="232"/>
      <c r="CS51" s="232"/>
      <c r="CT51" s="232"/>
      <c r="CU51" s="232"/>
      <c r="CV51" s="232"/>
      <c r="CW51" s="232"/>
      <c r="CX51" s="232"/>
      <c r="CY51" s="232"/>
      <c r="CZ51" s="232"/>
      <c r="DA51" s="25"/>
      <c r="DB51" s="232"/>
      <c r="DC51" s="232"/>
      <c r="DD51" s="232"/>
      <c r="DE51" s="25"/>
      <c r="DF51" s="232"/>
      <c r="DG51" s="25"/>
      <c r="DH51" s="232"/>
      <c r="DI51" s="232"/>
      <c r="DJ51" s="25"/>
      <c r="DK51" s="25"/>
      <c r="DM51" s="25"/>
      <c r="DN51" s="25"/>
      <c r="DO51" s="25"/>
      <c r="DP51" s="25"/>
      <c r="DQ51" s="25"/>
      <c r="DR51" s="232"/>
      <c r="DS51" s="25"/>
      <c r="DT51" s="232"/>
      <c r="DU51" s="232"/>
      <c r="DV51" s="25"/>
      <c r="DW51" s="232"/>
      <c r="DX51" s="232"/>
      <c r="DY51" s="232"/>
      <c r="DZ51" s="232"/>
      <c r="EA51" s="232"/>
      <c r="EB51" s="232"/>
      <c r="EC51" s="232"/>
      <c r="ED51" s="232"/>
      <c r="EE51" s="50"/>
      <c r="EF51" s="50"/>
      <c r="EG51" s="25"/>
      <c r="EH51" s="232"/>
      <c r="EI51" s="232"/>
      <c r="EJ51" s="232"/>
      <c r="EK51" s="232"/>
      <c r="EL51" s="25"/>
      <c r="EN51" s="25"/>
      <c r="EW51" s="20"/>
      <c r="EX51" s="26"/>
      <c r="EY51" s="26"/>
      <c r="EZ51" s="26"/>
      <c r="FA51" s="26"/>
      <c r="FB51" s="25"/>
      <c r="FC51" s="232"/>
      <c r="FD51" s="232"/>
      <c r="FE51" s="232"/>
      <c r="FF51" s="232"/>
      <c r="FG51" s="232"/>
      <c r="FH51" s="232"/>
      <c r="FI51" s="25"/>
      <c r="FJ51" s="232"/>
      <c r="FK51" s="25"/>
      <c r="FL51" s="25"/>
      <c r="FM51" s="25"/>
      <c r="FN51" s="25"/>
      <c r="FO51" s="50"/>
      <c r="FP51" s="50"/>
      <c r="FQ51" s="232"/>
      <c r="FR51" s="232"/>
      <c r="FS51" s="232"/>
      <c r="FT51" s="50"/>
      <c r="FU51" s="50"/>
      <c r="FV51" s="232"/>
      <c r="FW51" s="76"/>
      <c r="FX51" s="232"/>
      <c r="FY51" s="232"/>
      <c r="FZ51" s="50"/>
      <c r="GA51" s="50"/>
      <c r="GB51" s="50"/>
      <c r="GC51" s="50"/>
      <c r="GD51" s="50"/>
      <c r="GE51" s="52"/>
      <c r="GF51" s="281"/>
      <c r="GG51" s="290" t="s">
        <v>736</v>
      </c>
      <c r="GH51" s="268" t="e">
        <f ca="1">SUM(y5_StructuresWithTrafficDelays)</f>
        <v>#REF!</v>
      </c>
      <c r="GI51" s="298"/>
      <c r="GK51" s="533"/>
      <c r="GL51" s="238" t="s">
        <v>25</v>
      </c>
      <c r="GM51" s="299" t="e">
        <f t="shared" ca="1" si="9"/>
        <v>#REF!</v>
      </c>
    </row>
    <row r="52" spans="2:195" ht="12.75" customHeight="1" x14ac:dyDescent="0.2">
      <c r="B52" s="25"/>
      <c r="C52" s="25"/>
      <c r="D52" s="232"/>
      <c r="E52" s="232"/>
      <c r="F52" s="232"/>
      <c r="G52" s="25"/>
      <c r="H52" s="25"/>
      <c r="I52" s="234"/>
      <c r="J52" s="25"/>
      <c r="K52" s="25"/>
      <c r="L52" s="25"/>
      <c r="M52" s="25"/>
      <c r="N52" s="25"/>
      <c r="O52" s="232"/>
      <c r="P52" s="25"/>
      <c r="Q52" s="232"/>
      <c r="R52" s="25"/>
      <c r="S52" s="25"/>
      <c r="T52" s="232"/>
      <c r="U52" s="232"/>
      <c r="V52" s="25"/>
      <c r="W52" s="236"/>
      <c r="X52" s="236"/>
      <c r="Y52" s="25"/>
      <c r="Z52" s="25"/>
      <c r="AA52" s="25"/>
      <c r="AB52" s="232"/>
      <c r="AC52" s="25"/>
      <c r="AD52" s="232"/>
      <c r="AE52" s="25"/>
      <c r="AF52" s="232"/>
      <c r="AG52" s="25"/>
      <c r="AH52" s="25"/>
      <c r="AI52" s="25"/>
      <c r="AJ52" s="25"/>
      <c r="AK52" s="25"/>
      <c r="AL52" s="25"/>
      <c r="AM52" s="25"/>
      <c r="AN52" s="25"/>
      <c r="AO52" s="25"/>
      <c r="AP52" s="25"/>
      <c r="AQ52" s="25"/>
      <c r="AR52" s="25"/>
      <c r="AS52" s="25"/>
      <c r="AT52" s="25"/>
      <c r="AU52" s="25"/>
      <c r="AV52" s="25"/>
      <c r="AW52" s="25"/>
      <c r="AX52" s="25"/>
      <c r="AY52" s="25"/>
      <c r="AZ52" s="25"/>
      <c r="BA52" s="25"/>
      <c r="BB52" s="25"/>
      <c r="BC52" s="25"/>
      <c r="BD52" s="25"/>
      <c r="BE52" s="25"/>
      <c r="BF52" s="232"/>
      <c r="BG52" s="50"/>
      <c r="BH52" s="25"/>
      <c r="BI52" s="50"/>
      <c r="BJ52" s="50"/>
      <c r="BK52" s="50"/>
      <c r="BL52" s="232"/>
      <c r="BM52" s="232"/>
      <c r="BN52" s="232"/>
      <c r="BO52" s="232"/>
      <c r="BP52" s="232"/>
      <c r="BQ52" s="232"/>
      <c r="BR52" s="232"/>
      <c r="BS52" s="232"/>
      <c r="BT52" s="232"/>
      <c r="BU52" s="232"/>
      <c r="BV52" s="232"/>
      <c r="BW52" s="232"/>
      <c r="BX52" s="232"/>
      <c r="BY52" s="232"/>
      <c r="BZ52" s="232"/>
      <c r="CA52" s="50"/>
      <c r="CB52" s="232"/>
      <c r="CC52" s="232"/>
      <c r="CD52" s="25"/>
      <c r="CE52" s="25"/>
      <c r="CF52" s="232"/>
      <c r="CG52" s="25"/>
      <c r="CH52" s="25"/>
      <c r="CI52" s="25"/>
      <c r="CJ52" s="25"/>
      <c r="CK52" s="25"/>
      <c r="CL52" s="232"/>
      <c r="CM52" s="25"/>
      <c r="CN52" s="232"/>
      <c r="CO52" s="25"/>
      <c r="CP52" s="232"/>
      <c r="CQ52" s="232"/>
      <c r="CR52" s="232"/>
      <c r="CS52" s="232"/>
      <c r="CT52" s="232"/>
      <c r="CU52" s="232"/>
      <c r="CV52" s="232"/>
      <c r="CW52" s="232"/>
      <c r="CX52" s="232"/>
      <c r="CY52" s="232"/>
      <c r="CZ52" s="232"/>
      <c r="DA52" s="25"/>
      <c r="DB52" s="232"/>
      <c r="DC52" s="232"/>
      <c r="DD52" s="232"/>
      <c r="DE52" s="25"/>
      <c r="DF52" s="232"/>
      <c r="DG52" s="25"/>
      <c r="DH52" s="232"/>
      <c r="DI52" s="232"/>
      <c r="DJ52" s="25"/>
      <c r="DK52" s="25"/>
      <c r="DM52" s="25"/>
      <c r="DN52" s="25"/>
      <c r="DO52" s="25"/>
      <c r="DP52" s="25"/>
      <c r="DQ52" s="25"/>
      <c r="DR52" s="232"/>
      <c r="DS52" s="25"/>
      <c r="DT52" s="232"/>
      <c r="DU52" s="232"/>
      <c r="DV52" s="25"/>
      <c r="DW52" s="232"/>
      <c r="DX52" s="232"/>
      <c r="DY52" s="232"/>
      <c r="DZ52" s="232"/>
      <c r="EA52" s="232"/>
      <c r="EB52" s="232"/>
      <c r="EC52" s="232"/>
      <c r="ED52" s="232"/>
      <c r="EE52" s="50"/>
      <c r="EF52" s="50"/>
      <c r="EG52" s="25"/>
      <c r="EH52" s="232"/>
      <c r="EI52" s="232"/>
      <c r="EJ52" s="232"/>
      <c r="EK52" s="232"/>
      <c r="EL52" s="25"/>
      <c r="EN52" s="25"/>
      <c r="EW52" s="20"/>
      <c r="EX52" s="26"/>
      <c r="EY52" s="26"/>
      <c r="EZ52" s="26"/>
      <c r="FA52" s="26"/>
      <c r="FB52" s="25"/>
      <c r="FC52" s="232"/>
      <c r="FD52" s="232"/>
      <c r="FE52" s="232"/>
      <c r="FF52" s="232"/>
      <c r="FG52" s="232"/>
      <c r="FH52" s="232"/>
      <c r="FI52" s="25"/>
      <c r="FJ52" s="232"/>
      <c r="FK52" s="25"/>
      <c r="FL52" s="25"/>
      <c r="FM52" s="25"/>
      <c r="FN52" s="25"/>
      <c r="FO52" s="50"/>
      <c r="FP52" s="50"/>
      <c r="FQ52" s="232"/>
      <c r="FR52" s="232"/>
      <c r="FS52" s="232"/>
      <c r="FT52" s="50"/>
      <c r="FU52" s="50"/>
      <c r="FV52" s="232"/>
      <c r="FW52" s="76"/>
      <c r="FX52" s="232"/>
      <c r="FY52" s="232"/>
      <c r="FZ52" s="50"/>
      <c r="GA52" s="50"/>
      <c r="GB52" s="50"/>
      <c r="GC52" s="50"/>
      <c r="GD52" s="50"/>
      <c r="GE52" s="52"/>
      <c r="GF52" s="281" t="s">
        <v>712</v>
      </c>
      <c r="GG52" s="290" t="s">
        <v>1132</v>
      </c>
      <c r="GH52" s="268" t="e">
        <f ca="1">SUMIF(y5_LengthGroup,0,y5_StructuresWithTrafficDelays)</f>
        <v>#REF!</v>
      </c>
      <c r="GI52" s="298"/>
      <c r="GK52" s="533"/>
      <c r="GL52" s="238" t="s">
        <v>706</v>
      </c>
      <c r="GM52" s="299" t="e">
        <f ca="1">SUM(GM45:GM51)</f>
        <v>#REF!</v>
      </c>
    </row>
    <row r="53" spans="2:195" ht="12.75" customHeight="1" x14ac:dyDescent="0.2">
      <c r="B53" s="25"/>
      <c r="C53" s="25"/>
      <c r="D53" s="232"/>
      <c r="E53" s="232"/>
      <c r="F53" s="232"/>
      <c r="G53" s="25"/>
      <c r="H53" s="25"/>
      <c r="I53" s="234"/>
      <c r="J53" s="25"/>
      <c r="K53" s="25"/>
      <c r="L53" s="25"/>
      <c r="M53" s="25"/>
      <c r="N53" s="25"/>
      <c r="O53" s="232"/>
      <c r="P53" s="25"/>
      <c r="Q53" s="232"/>
      <c r="R53" s="25"/>
      <c r="S53" s="25"/>
      <c r="T53" s="232"/>
      <c r="U53" s="232"/>
      <c r="V53" s="25"/>
      <c r="W53" s="236"/>
      <c r="X53" s="236"/>
      <c r="Y53" s="25"/>
      <c r="Z53" s="25"/>
      <c r="AA53" s="25"/>
      <c r="AB53" s="232"/>
      <c r="AC53" s="25"/>
      <c r="AD53" s="232"/>
      <c r="AE53" s="25"/>
      <c r="AF53" s="232"/>
      <c r="AG53" s="25"/>
      <c r="AH53" s="25"/>
      <c r="AI53" s="25"/>
      <c r="AJ53" s="25"/>
      <c r="AK53" s="25"/>
      <c r="AL53" s="25"/>
      <c r="AM53" s="25"/>
      <c r="AN53" s="25"/>
      <c r="AO53" s="25"/>
      <c r="AP53" s="25"/>
      <c r="AQ53" s="25"/>
      <c r="AR53" s="25"/>
      <c r="AS53" s="25"/>
      <c r="AT53" s="25"/>
      <c r="AU53" s="25"/>
      <c r="AV53" s="25"/>
      <c r="AW53" s="25"/>
      <c r="AX53" s="25"/>
      <c r="AY53" s="25"/>
      <c r="AZ53" s="25"/>
      <c r="BA53" s="25"/>
      <c r="BB53" s="25"/>
      <c r="BC53" s="25"/>
      <c r="BD53" s="25"/>
      <c r="BE53" s="25"/>
      <c r="BF53" s="232"/>
      <c r="BG53" s="50"/>
      <c r="BH53" s="25"/>
      <c r="BI53" s="50"/>
      <c r="BJ53" s="50"/>
      <c r="BK53" s="50"/>
      <c r="BL53" s="232"/>
      <c r="BM53" s="232"/>
      <c r="BN53" s="232"/>
      <c r="BO53" s="232"/>
      <c r="BP53" s="232"/>
      <c r="BQ53" s="232"/>
      <c r="BR53" s="232"/>
      <c r="BS53" s="232"/>
      <c r="BT53" s="232"/>
      <c r="BU53" s="232"/>
      <c r="BV53" s="232"/>
      <c r="BW53" s="232"/>
      <c r="BX53" s="232"/>
      <c r="BY53" s="232"/>
      <c r="BZ53" s="232"/>
      <c r="CA53" s="50"/>
      <c r="CB53" s="232"/>
      <c r="CC53" s="232"/>
      <c r="CD53" s="25"/>
      <c r="CE53" s="25"/>
      <c r="CF53" s="232"/>
      <c r="CG53" s="25"/>
      <c r="CH53" s="25"/>
      <c r="CI53" s="25"/>
      <c r="CJ53" s="25"/>
      <c r="CK53" s="25"/>
      <c r="CL53" s="232"/>
      <c r="CM53" s="25"/>
      <c r="CN53" s="232"/>
      <c r="CO53" s="25"/>
      <c r="CP53" s="232"/>
      <c r="CQ53" s="232"/>
      <c r="CR53" s="232"/>
      <c r="CS53" s="232"/>
      <c r="CT53" s="232"/>
      <c r="CU53" s="232"/>
      <c r="CV53" s="232"/>
      <c r="CW53" s="232"/>
      <c r="CX53" s="232"/>
      <c r="CY53" s="232"/>
      <c r="CZ53" s="232"/>
      <c r="DA53" s="25"/>
      <c r="DB53" s="232"/>
      <c r="DC53" s="232"/>
      <c r="DD53" s="232"/>
      <c r="DE53" s="25"/>
      <c r="DF53" s="232"/>
      <c r="DG53" s="25"/>
      <c r="DH53" s="232"/>
      <c r="DI53" s="232"/>
      <c r="DJ53" s="25"/>
      <c r="DK53" s="25"/>
      <c r="DM53" s="25"/>
      <c r="DN53" s="25"/>
      <c r="DO53" s="25"/>
      <c r="DP53" s="25"/>
      <c r="DQ53" s="25"/>
      <c r="DR53" s="232"/>
      <c r="DS53" s="25"/>
      <c r="DT53" s="232"/>
      <c r="DU53" s="232"/>
      <c r="DV53" s="25"/>
      <c r="DW53" s="232"/>
      <c r="DX53" s="232"/>
      <c r="DY53" s="232"/>
      <c r="DZ53" s="232"/>
      <c r="EA53" s="232"/>
      <c r="EB53" s="232"/>
      <c r="EC53" s="232"/>
      <c r="ED53" s="232"/>
      <c r="EE53" s="50"/>
      <c r="EF53" s="50"/>
      <c r="EG53" s="25"/>
      <c r="EH53" s="232"/>
      <c r="EI53" s="232"/>
      <c r="EJ53" s="232"/>
      <c r="EK53" s="232"/>
      <c r="EL53" s="25"/>
      <c r="EN53" s="25"/>
      <c r="EW53" s="20"/>
      <c r="EX53" s="26"/>
      <c r="EY53" s="26"/>
      <c r="EZ53" s="26"/>
      <c r="FA53" s="26"/>
      <c r="FB53" s="25"/>
      <c r="FC53" s="232"/>
      <c r="FD53" s="232"/>
      <c r="FE53" s="232"/>
      <c r="FF53" s="232"/>
      <c r="FG53" s="232"/>
      <c r="FH53" s="232"/>
      <c r="FI53" s="25"/>
      <c r="FJ53" s="232"/>
      <c r="FK53" s="25"/>
      <c r="FL53" s="25"/>
      <c r="FM53" s="25"/>
      <c r="FN53" s="25"/>
      <c r="FO53" s="50"/>
      <c r="FP53" s="50"/>
      <c r="FQ53" s="232"/>
      <c r="FR53" s="232"/>
      <c r="FS53" s="232"/>
      <c r="FT53" s="50"/>
      <c r="FU53" s="50"/>
      <c r="FV53" s="232"/>
      <c r="FW53" s="76"/>
      <c r="FX53" s="232"/>
      <c r="FY53" s="232"/>
      <c r="FZ53" s="50"/>
      <c r="GA53" s="50"/>
      <c r="GB53" s="50"/>
      <c r="GC53" s="50"/>
      <c r="GD53" s="50"/>
      <c r="GE53" s="52"/>
      <c r="GF53" s="281"/>
      <c r="GG53" s="290" t="s">
        <v>1133</v>
      </c>
      <c r="GH53" s="268" t="e">
        <f ca="1">SUMIF(y5_LengthGroup,10.0001,y5_StructuresWithTrafficDelays)</f>
        <v>#REF!</v>
      </c>
      <c r="GI53" s="298"/>
      <c r="GK53" s="533" t="s">
        <v>686</v>
      </c>
      <c r="GL53" s="238" t="s">
        <v>181</v>
      </c>
      <c r="GM53" s="299" t="e">
        <f t="shared" ref="GM53:GM59" ca="1" si="10">SUMIFS(Str_NumOfStructures,y5_SCIAv,"&lt;40",Str_AVFStructureType,$GJ5)</f>
        <v>#REF!</v>
      </c>
    </row>
    <row r="54" spans="2:195" ht="12.75" customHeight="1" x14ac:dyDescent="0.2">
      <c r="B54" s="25"/>
      <c r="C54" s="25"/>
      <c r="D54" s="232"/>
      <c r="E54" s="232"/>
      <c r="F54" s="232"/>
      <c r="G54" s="25"/>
      <c r="H54" s="25"/>
      <c r="I54" s="234"/>
      <c r="J54" s="25"/>
      <c r="K54" s="25"/>
      <c r="L54" s="25"/>
      <c r="M54" s="25"/>
      <c r="N54" s="25"/>
      <c r="O54" s="232"/>
      <c r="P54" s="25"/>
      <c r="Q54" s="232"/>
      <c r="R54" s="25"/>
      <c r="S54" s="25"/>
      <c r="T54" s="232"/>
      <c r="U54" s="232"/>
      <c r="V54" s="25"/>
      <c r="W54" s="236"/>
      <c r="X54" s="236"/>
      <c r="Y54" s="25"/>
      <c r="Z54" s="25"/>
      <c r="AA54" s="25"/>
      <c r="AB54" s="232"/>
      <c r="AC54" s="25"/>
      <c r="AD54" s="232"/>
      <c r="AE54" s="25"/>
      <c r="AF54" s="232"/>
      <c r="AG54" s="25"/>
      <c r="AH54" s="25"/>
      <c r="AI54" s="25"/>
      <c r="AJ54" s="25"/>
      <c r="AK54" s="25"/>
      <c r="AL54" s="25"/>
      <c r="AM54" s="25"/>
      <c r="AN54" s="25"/>
      <c r="AO54" s="25"/>
      <c r="AP54" s="25"/>
      <c r="AQ54" s="25"/>
      <c r="AR54" s="25"/>
      <c r="AS54" s="25"/>
      <c r="AT54" s="25"/>
      <c r="AU54" s="25"/>
      <c r="AV54" s="25"/>
      <c r="AW54" s="25"/>
      <c r="AX54" s="25"/>
      <c r="AY54" s="25"/>
      <c r="AZ54" s="25"/>
      <c r="BA54" s="25"/>
      <c r="BB54" s="25"/>
      <c r="BC54" s="25"/>
      <c r="BD54" s="25"/>
      <c r="BE54" s="25"/>
      <c r="BF54" s="232"/>
      <c r="BG54" s="50"/>
      <c r="BH54" s="25"/>
      <c r="BI54" s="50"/>
      <c r="BJ54" s="50"/>
      <c r="BK54" s="50"/>
      <c r="BL54" s="232"/>
      <c r="BM54" s="232"/>
      <c r="BN54" s="232"/>
      <c r="BO54" s="232"/>
      <c r="BP54" s="232"/>
      <c r="BQ54" s="232"/>
      <c r="BR54" s="232"/>
      <c r="BS54" s="232"/>
      <c r="BT54" s="232"/>
      <c r="BU54" s="232"/>
      <c r="BV54" s="232"/>
      <c r="BW54" s="232"/>
      <c r="BX54" s="232"/>
      <c r="BY54" s="232"/>
      <c r="BZ54" s="232"/>
      <c r="CA54" s="50"/>
      <c r="CB54" s="232"/>
      <c r="CC54" s="232"/>
      <c r="CD54" s="25"/>
      <c r="CE54" s="25"/>
      <c r="CF54" s="232"/>
      <c r="CG54" s="25"/>
      <c r="CH54" s="25"/>
      <c r="CI54" s="25"/>
      <c r="CJ54" s="25"/>
      <c r="CK54" s="25"/>
      <c r="CL54" s="232"/>
      <c r="CM54" s="25"/>
      <c r="CN54" s="232"/>
      <c r="CO54" s="25"/>
      <c r="CP54" s="232"/>
      <c r="CQ54" s="232"/>
      <c r="CR54" s="232"/>
      <c r="CS54" s="232"/>
      <c r="CT54" s="232"/>
      <c r="CU54" s="232"/>
      <c r="CV54" s="232"/>
      <c r="CW54" s="232"/>
      <c r="CX54" s="232"/>
      <c r="CY54" s="232"/>
      <c r="CZ54" s="232"/>
      <c r="DA54" s="25"/>
      <c r="DB54" s="232"/>
      <c r="DC54" s="232"/>
      <c r="DD54" s="232"/>
      <c r="DE54" s="25"/>
      <c r="DF54" s="232"/>
      <c r="DG54" s="25"/>
      <c r="DH54" s="232"/>
      <c r="DI54" s="232"/>
      <c r="DJ54" s="25"/>
      <c r="DK54" s="25"/>
      <c r="DM54" s="25"/>
      <c r="DN54" s="25"/>
      <c r="DO54" s="25"/>
      <c r="DP54" s="25"/>
      <c r="DQ54" s="25"/>
      <c r="DR54" s="232"/>
      <c r="DS54" s="25"/>
      <c r="DT54" s="232"/>
      <c r="DU54" s="232"/>
      <c r="DV54" s="25"/>
      <c r="DW54" s="232"/>
      <c r="DX54" s="232"/>
      <c r="DY54" s="232"/>
      <c r="DZ54" s="232"/>
      <c r="EA54" s="232"/>
      <c r="EB54" s="232"/>
      <c r="EC54" s="232"/>
      <c r="ED54" s="232"/>
      <c r="EE54" s="50"/>
      <c r="EF54" s="50"/>
      <c r="EG54" s="25"/>
      <c r="EH54" s="232"/>
      <c r="EI54" s="232"/>
      <c r="EJ54" s="232"/>
      <c r="EK54" s="232"/>
      <c r="EL54" s="25"/>
      <c r="EN54" s="25"/>
      <c r="EW54" s="20"/>
      <c r="EX54" s="26"/>
      <c r="EY54" s="26"/>
      <c r="EZ54" s="26"/>
      <c r="FA54" s="26"/>
      <c r="FB54" s="25"/>
      <c r="FC54" s="232"/>
      <c r="FD54" s="232"/>
      <c r="FE54" s="232"/>
      <c r="FF54" s="232"/>
      <c r="FG54" s="232"/>
      <c r="FH54" s="232"/>
      <c r="FI54" s="25"/>
      <c r="FJ54" s="232"/>
      <c r="FK54" s="25"/>
      <c r="FL54" s="25"/>
      <c r="FM54" s="25"/>
      <c r="FN54" s="25"/>
      <c r="FO54" s="50"/>
      <c r="FP54" s="50"/>
      <c r="FQ54" s="232"/>
      <c r="FR54" s="232"/>
      <c r="FS54" s="232"/>
      <c r="FT54" s="50"/>
      <c r="FU54" s="50"/>
      <c r="FV54" s="232"/>
      <c r="FW54" s="76"/>
      <c r="FX54" s="232"/>
      <c r="FY54" s="232"/>
      <c r="FZ54" s="50"/>
      <c r="GA54" s="50"/>
      <c r="GB54" s="50"/>
      <c r="GC54" s="50"/>
      <c r="GD54" s="50"/>
      <c r="GE54" s="52"/>
      <c r="GF54" s="281"/>
      <c r="GG54" s="290" t="s">
        <v>1134</v>
      </c>
      <c r="GH54" s="268" t="e">
        <f ca="1">SUMIF(y5_LengthGroup,20.0001,y5_StructuresWithTrafficDelays)</f>
        <v>#REF!</v>
      </c>
      <c r="GI54" s="298"/>
      <c r="GK54" s="533"/>
      <c r="GL54" s="238" t="s">
        <v>180</v>
      </c>
      <c r="GM54" s="299" t="e">
        <f t="shared" ca="1" si="10"/>
        <v>#REF!</v>
      </c>
    </row>
    <row r="55" spans="2:195" ht="12.75" customHeight="1" x14ac:dyDescent="0.2">
      <c r="B55" s="25"/>
      <c r="C55" s="25"/>
      <c r="D55" s="232"/>
      <c r="E55" s="232"/>
      <c r="F55" s="232"/>
      <c r="G55" s="25"/>
      <c r="H55" s="25"/>
      <c r="I55" s="234"/>
      <c r="J55" s="25"/>
      <c r="K55" s="25"/>
      <c r="L55" s="25"/>
      <c r="M55" s="25"/>
      <c r="N55" s="25"/>
      <c r="O55" s="232"/>
      <c r="P55" s="25"/>
      <c r="Q55" s="232"/>
      <c r="R55" s="25"/>
      <c r="S55" s="25"/>
      <c r="T55" s="232"/>
      <c r="U55" s="232"/>
      <c r="V55" s="25"/>
      <c r="W55" s="236"/>
      <c r="X55" s="236"/>
      <c r="Y55" s="25"/>
      <c r="Z55" s="25"/>
      <c r="AA55" s="25"/>
      <c r="AB55" s="232"/>
      <c r="AC55" s="25"/>
      <c r="AD55" s="232"/>
      <c r="AE55" s="25"/>
      <c r="AF55" s="232"/>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32"/>
      <c r="BG55" s="50"/>
      <c r="BH55" s="25"/>
      <c r="BI55" s="50"/>
      <c r="BJ55" s="50"/>
      <c r="BK55" s="50"/>
      <c r="BL55" s="232"/>
      <c r="BM55" s="232"/>
      <c r="BN55" s="232"/>
      <c r="BO55" s="232"/>
      <c r="BP55" s="232"/>
      <c r="BQ55" s="232"/>
      <c r="BR55" s="232"/>
      <c r="BS55" s="232"/>
      <c r="BT55" s="232"/>
      <c r="BU55" s="232"/>
      <c r="BV55" s="232"/>
      <c r="BW55" s="232"/>
      <c r="BX55" s="232"/>
      <c r="BY55" s="232"/>
      <c r="BZ55" s="232"/>
      <c r="CA55" s="50"/>
      <c r="CB55" s="232"/>
      <c r="CC55" s="232"/>
      <c r="CD55" s="25"/>
      <c r="CE55" s="25"/>
      <c r="CF55" s="232"/>
      <c r="CG55" s="25"/>
      <c r="CH55" s="25"/>
      <c r="CI55" s="25"/>
      <c r="CJ55" s="25"/>
      <c r="CK55" s="25"/>
      <c r="CL55" s="232"/>
      <c r="CM55" s="25"/>
      <c r="CN55" s="232"/>
      <c r="CO55" s="25"/>
      <c r="CP55" s="232"/>
      <c r="CQ55" s="232"/>
      <c r="CR55" s="232"/>
      <c r="CS55" s="232"/>
      <c r="CT55" s="232"/>
      <c r="CU55" s="232"/>
      <c r="CV55" s="232"/>
      <c r="CW55" s="232"/>
      <c r="CX55" s="232"/>
      <c r="CY55" s="232"/>
      <c r="CZ55" s="232"/>
      <c r="DA55" s="25"/>
      <c r="DB55" s="232"/>
      <c r="DC55" s="232"/>
      <c r="DD55" s="232"/>
      <c r="DE55" s="25"/>
      <c r="DF55" s="232"/>
      <c r="DG55" s="25"/>
      <c r="DH55" s="232"/>
      <c r="DI55" s="232"/>
      <c r="DJ55" s="25"/>
      <c r="DK55" s="25"/>
      <c r="DM55" s="25"/>
      <c r="DN55" s="25"/>
      <c r="DO55" s="25"/>
      <c r="DP55" s="25"/>
      <c r="DQ55" s="25"/>
      <c r="DR55" s="232"/>
      <c r="DS55" s="25"/>
      <c r="DT55" s="232"/>
      <c r="DU55" s="232"/>
      <c r="DV55" s="25"/>
      <c r="DW55" s="232"/>
      <c r="DX55" s="232"/>
      <c r="DY55" s="232"/>
      <c r="DZ55" s="232"/>
      <c r="EA55" s="232"/>
      <c r="EB55" s="232"/>
      <c r="EC55" s="232"/>
      <c r="ED55" s="232"/>
      <c r="EE55" s="50"/>
      <c r="EF55" s="50"/>
      <c r="EG55" s="25"/>
      <c r="EH55" s="232"/>
      <c r="EI55" s="232"/>
      <c r="EJ55" s="232"/>
      <c r="EK55" s="232"/>
      <c r="EL55" s="25"/>
      <c r="EN55" s="25"/>
      <c r="EW55" s="20"/>
      <c r="EX55" s="26"/>
      <c r="EY55" s="26"/>
      <c r="EZ55" s="26"/>
      <c r="FA55" s="26"/>
      <c r="FB55" s="25"/>
      <c r="FC55" s="232"/>
      <c r="FD55" s="232"/>
      <c r="FE55" s="232"/>
      <c r="FF55" s="232"/>
      <c r="FG55" s="232"/>
      <c r="FH55" s="232"/>
      <c r="FI55" s="25"/>
      <c r="FJ55" s="232"/>
      <c r="FK55" s="25"/>
      <c r="FL55" s="25"/>
      <c r="FM55" s="25"/>
      <c r="FN55" s="25"/>
      <c r="FO55" s="50"/>
      <c r="FP55" s="50"/>
      <c r="FQ55" s="232"/>
      <c r="FR55" s="232"/>
      <c r="FS55" s="232"/>
      <c r="FT55" s="50"/>
      <c r="FU55" s="50"/>
      <c r="FV55" s="232"/>
      <c r="FW55" s="76"/>
      <c r="FX55" s="232"/>
      <c r="FY55" s="232"/>
      <c r="FZ55" s="50"/>
      <c r="GA55" s="50"/>
      <c r="GB55" s="50"/>
      <c r="GC55" s="50"/>
      <c r="GD55" s="50"/>
      <c r="GE55" s="52"/>
      <c r="GF55" s="290" t="s">
        <v>185</v>
      </c>
      <c r="GG55" s="290" t="s">
        <v>181</v>
      </c>
      <c r="GH55" s="295" t="e">
        <f t="shared" ref="GH55:GH60" ca="1" si="11">SUMIF(Str_AVFStructureType,GJ5,y5_TrafficDelayCost)</f>
        <v>#REF!</v>
      </c>
      <c r="GI55" s="298"/>
      <c r="GK55" s="533"/>
      <c r="GL55" s="238" t="s">
        <v>179</v>
      </c>
      <c r="GM55" s="299" t="e">
        <f t="shared" ca="1" si="10"/>
        <v>#REF!</v>
      </c>
    </row>
    <row r="56" spans="2:195" ht="12.75" customHeight="1" x14ac:dyDescent="0.2">
      <c r="B56" s="25"/>
      <c r="C56" s="25"/>
      <c r="D56" s="232"/>
      <c r="E56" s="232"/>
      <c r="F56" s="232"/>
      <c r="G56" s="25"/>
      <c r="H56" s="25"/>
      <c r="I56" s="234"/>
      <c r="J56" s="25"/>
      <c r="K56" s="25"/>
      <c r="L56" s="25"/>
      <c r="M56" s="25"/>
      <c r="N56" s="25"/>
      <c r="O56" s="232"/>
      <c r="P56" s="25"/>
      <c r="Q56" s="232"/>
      <c r="R56" s="25"/>
      <c r="S56" s="25"/>
      <c r="T56" s="232"/>
      <c r="U56" s="232"/>
      <c r="V56" s="25"/>
      <c r="W56" s="236"/>
      <c r="X56" s="236"/>
      <c r="Y56" s="25"/>
      <c r="Z56" s="25"/>
      <c r="AA56" s="25"/>
      <c r="AB56" s="232"/>
      <c r="AC56" s="25"/>
      <c r="AD56" s="232"/>
      <c r="AE56" s="25"/>
      <c r="AF56" s="232"/>
      <c r="AG56" s="25"/>
      <c r="AH56" s="25"/>
      <c r="AI56" s="25"/>
      <c r="AJ56" s="25"/>
      <c r="AK56" s="25"/>
      <c r="AL56" s="25"/>
      <c r="AM56" s="25"/>
      <c r="AN56" s="25"/>
      <c r="AO56" s="25"/>
      <c r="AP56" s="25"/>
      <c r="AQ56" s="25"/>
      <c r="AR56" s="25"/>
      <c r="AS56" s="25"/>
      <c r="AT56" s="25"/>
      <c r="AU56" s="25"/>
      <c r="AV56" s="25"/>
      <c r="AW56" s="25"/>
      <c r="AX56" s="25"/>
      <c r="AY56" s="25"/>
      <c r="AZ56" s="25"/>
      <c r="BA56" s="25"/>
      <c r="BB56" s="25"/>
      <c r="BC56" s="25"/>
      <c r="BD56" s="25"/>
      <c r="BE56" s="25"/>
      <c r="BF56" s="232"/>
      <c r="BG56" s="50"/>
      <c r="BH56" s="25"/>
      <c r="BI56" s="50"/>
      <c r="BJ56" s="50"/>
      <c r="BK56" s="50"/>
      <c r="BL56" s="232"/>
      <c r="BM56" s="232"/>
      <c r="BN56" s="232"/>
      <c r="BO56" s="232"/>
      <c r="BP56" s="232"/>
      <c r="BQ56" s="232"/>
      <c r="BR56" s="232"/>
      <c r="BS56" s="232"/>
      <c r="BT56" s="232"/>
      <c r="BU56" s="232"/>
      <c r="BV56" s="232"/>
      <c r="BW56" s="232"/>
      <c r="BX56" s="232"/>
      <c r="BY56" s="232"/>
      <c r="BZ56" s="232"/>
      <c r="CA56" s="50"/>
      <c r="CB56" s="232"/>
      <c r="CC56" s="232"/>
      <c r="CD56" s="25"/>
      <c r="CE56" s="25"/>
      <c r="CF56" s="232"/>
      <c r="CG56" s="25"/>
      <c r="CH56" s="25"/>
      <c r="CI56" s="25"/>
      <c r="CJ56" s="25"/>
      <c r="CK56" s="25"/>
      <c r="CL56" s="232"/>
      <c r="CM56" s="25"/>
      <c r="CN56" s="232"/>
      <c r="CO56" s="25"/>
      <c r="CP56" s="232"/>
      <c r="CQ56" s="232"/>
      <c r="CR56" s="232"/>
      <c r="CS56" s="232"/>
      <c r="CT56" s="232"/>
      <c r="CU56" s="232"/>
      <c r="CV56" s="232"/>
      <c r="CW56" s="232"/>
      <c r="CX56" s="232"/>
      <c r="CY56" s="232"/>
      <c r="CZ56" s="232"/>
      <c r="DA56" s="25"/>
      <c r="DB56" s="232"/>
      <c r="DC56" s="232"/>
      <c r="DD56" s="232"/>
      <c r="DE56" s="25"/>
      <c r="DF56" s="232"/>
      <c r="DG56" s="25"/>
      <c r="DH56" s="232"/>
      <c r="DI56" s="232"/>
      <c r="DJ56" s="25"/>
      <c r="DK56" s="25"/>
      <c r="DM56" s="25"/>
      <c r="DN56" s="25"/>
      <c r="DO56" s="25"/>
      <c r="DP56" s="25"/>
      <c r="DQ56" s="25"/>
      <c r="DR56" s="232"/>
      <c r="DS56" s="25"/>
      <c r="DT56" s="232"/>
      <c r="DU56" s="232"/>
      <c r="DV56" s="25"/>
      <c r="DW56" s="232"/>
      <c r="DX56" s="232"/>
      <c r="DY56" s="232"/>
      <c r="DZ56" s="232"/>
      <c r="EA56" s="232"/>
      <c r="EB56" s="232"/>
      <c r="EC56" s="232"/>
      <c r="ED56" s="232"/>
      <c r="EE56" s="50"/>
      <c r="EF56" s="50"/>
      <c r="EG56" s="25"/>
      <c r="EH56" s="232"/>
      <c r="EI56" s="232"/>
      <c r="EJ56" s="232"/>
      <c r="EK56" s="232"/>
      <c r="EL56" s="25"/>
      <c r="EN56" s="25"/>
      <c r="EW56" s="20"/>
      <c r="EX56" s="26"/>
      <c r="EY56" s="26"/>
      <c r="EZ56" s="26"/>
      <c r="FA56" s="26"/>
      <c r="FB56" s="25"/>
      <c r="FC56" s="232"/>
      <c r="FD56" s="232"/>
      <c r="FE56" s="232"/>
      <c r="FF56" s="232"/>
      <c r="FG56" s="232"/>
      <c r="FH56" s="232"/>
      <c r="FI56" s="25"/>
      <c r="FJ56" s="232"/>
      <c r="FK56" s="25"/>
      <c r="FL56" s="25"/>
      <c r="FM56" s="25"/>
      <c r="FN56" s="25"/>
      <c r="FO56" s="50"/>
      <c r="FP56" s="50"/>
      <c r="FQ56" s="232"/>
      <c r="FR56" s="232"/>
      <c r="FS56" s="232"/>
      <c r="FT56" s="50"/>
      <c r="FU56" s="50"/>
      <c r="FV56" s="232"/>
      <c r="FW56" s="76"/>
      <c r="FX56" s="232"/>
      <c r="FY56" s="232"/>
      <c r="FZ56" s="50"/>
      <c r="GA56" s="50"/>
      <c r="GB56" s="50"/>
      <c r="GC56" s="50"/>
      <c r="GD56" s="50"/>
      <c r="GE56" s="52"/>
      <c r="GF56" s="290"/>
      <c r="GG56" s="290" t="s">
        <v>180</v>
      </c>
      <c r="GH56" s="295" t="e">
        <f t="shared" ca="1" si="11"/>
        <v>#REF!</v>
      </c>
      <c r="GI56" s="298"/>
      <c r="GK56" s="533"/>
      <c r="GL56" s="238" t="s">
        <v>178</v>
      </c>
      <c r="GM56" s="299" t="e">
        <f t="shared" ca="1" si="10"/>
        <v>#REF!</v>
      </c>
    </row>
    <row r="57" spans="2:195" ht="12.75" customHeight="1" x14ac:dyDescent="0.2">
      <c r="B57" s="25"/>
      <c r="C57" s="25"/>
      <c r="D57" s="232"/>
      <c r="E57" s="232"/>
      <c r="F57" s="232"/>
      <c r="G57" s="25"/>
      <c r="H57" s="25"/>
      <c r="I57" s="234"/>
      <c r="J57" s="25"/>
      <c r="K57" s="25"/>
      <c r="L57" s="25"/>
      <c r="M57" s="25"/>
      <c r="N57" s="25"/>
      <c r="O57" s="232"/>
      <c r="P57" s="25"/>
      <c r="Q57" s="232"/>
      <c r="R57" s="25"/>
      <c r="S57" s="25"/>
      <c r="T57" s="232"/>
      <c r="U57" s="232"/>
      <c r="V57" s="25"/>
      <c r="W57" s="236"/>
      <c r="X57" s="236"/>
      <c r="Y57" s="25"/>
      <c r="Z57" s="25"/>
      <c r="AA57" s="25"/>
      <c r="AB57" s="232"/>
      <c r="AC57" s="25"/>
      <c r="AD57" s="232"/>
      <c r="AE57" s="25"/>
      <c r="AF57" s="232"/>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32"/>
      <c r="BG57" s="50"/>
      <c r="BH57" s="25"/>
      <c r="BI57" s="50"/>
      <c r="BJ57" s="50"/>
      <c r="BK57" s="50"/>
      <c r="BL57" s="232"/>
      <c r="BM57" s="232"/>
      <c r="BN57" s="232"/>
      <c r="BO57" s="232"/>
      <c r="BP57" s="232"/>
      <c r="BQ57" s="232"/>
      <c r="BR57" s="232"/>
      <c r="BS57" s="232"/>
      <c r="BT57" s="232"/>
      <c r="BU57" s="232"/>
      <c r="BV57" s="232"/>
      <c r="BW57" s="232"/>
      <c r="BX57" s="232"/>
      <c r="BY57" s="232"/>
      <c r="BZ57" s="232"/>
      <c r="CA57" s="50"/>
      <c r="CB57" s="232"/>
      <c r="CC57" s="232"/>
      <c r="CD57" s="25"/>
      <c r="CE57" s="25"/>
      <c r="CF57" s="232"/>
      <c r="CG57" s="25"/>
      <c r="CH57" s="25"/>
      <c r="CI57" s="25"/>
      <c r="CJ57" s="25"/>
      <c r="CK57" s="25"/>
      <c r="CL57" s="232"/>
      <c r="CM57" s="25"/>
      <c r="CN57" s="232"/>
      <c r="CO57" s="25"/>
      <c r="CP57" s="232"/>
      <c r="CQ57" s="232"/>
      <c r="CR57" s="232"/>
      <c r="CS57" s="232"/>
      <c r="CT57" s="232"/>
      <c r="CU57" s="232"/>
      <c r="CV57" s="232"/>
      <c r="CW57" s="232"/>
      <c r="CX57" s="232"/>
      <c r="CY57" s="232"/>
      <c r="CZ57" s="232"/>
      <c r="DA57" s="25"/>
      <c r="DB57" s="232"/>
      <c r="DC57" s="232"/>
      <c r="DD57" s="232"/>
      <c r="DE57" s="25"/>
      <c r="DF57" s="232"/>
      <c r="DG57" s="25"/>
      <c r="DH57" s="232"/>
      <c r="DI57" s="232"/>
      <c r="DJ57" s="25"/>
      <c r="DK57" s="25"/>
      <c r="DM57" s="25"/>
      <c r="DN57" s="25"/>
      <c r="DO57" s="25"/>
      <c r="DP57" s="25"/>
      <c r="DQ57" s="25"/>
      <c r="DR57" s="232"/>
      <c r="DS57" s="25"/>
      <c r="DT57" s="232"/>
      <c r="DU57" s="232"/>
      <c r="DV57" s="25"/>
      <c r="DW57" s="232"/>
      <c r="DX57" s="232"/>
      <c r="DY57" s="232"/>
      <c r="DZ57" s="232"/>
      <c r="EA57" s="232"/>
      <c r="EB57" s="232"/>
      <c r="EC57" s="232"/>
      <c r="ED57" s="232"/>
      <c r="EE57" s="50"/>
      <c r="EF57" s="50"/>
      <c r="EG57" s="25"/>
      <c r="EH57" s="232"/>
      <c r="EI57" s="232"/>
      <c r="EJ57" s="232"/>
      <c r="EK57" s="232"/>
      <c r="EL57" s="25"/>
      <c r="EN57" s="25"/>
      <c r="EW57" s="20"/>
      <c r="EX57" s="26"/>
      <c r="EY57" s="26"/>
      <c r="EZ57" s="26"/>
      <c r="FA57" s="26"/>
      <c r="FB57" s="25"/>
      <c r="FC57" s="232"/>
      <c r="FD57" s="232"/>
      <c r="FE57" s="232"/>
      <c r="FF57" s="232"/>
      <c r="FG57" s="232"/>
      <c r="FH57" s="232"/>
      <c r="FI57" s="25"/>
      <c r="FJ57" s="232"/>
      <c r="FK57" s="25"/>
      <c r="FL57" s="25"/>
      <c r="FM57" s="25"/>
      <c r="FN57" s="25"/>
      <c r="FO57" s="50"/>
      <c r="FP57" s="50"/>
      <c r="FQ57" s="232"/>
      <c r="FR57" s="232"/>
      <c r="FS57" s="232"/>
      <c r="FT57" s="50"/>
      <c r="FU57" s="50"/>
      <c r="FV57" s="232"/>
      <c r="FW57" s="76"/>
      <c r="FX57" s="232"/>
      <c r="FY57" s="232"/>
      <c r="FZ57" s="50"/>
      <c r="GA57" s="50"/>
      <c r="GB57" s="50"/>
      <c r="GC57" s="50"/>
      <c r="GD57" s="50"/>
      <c r="GE57" s="52"/>
      <c r="GF57" s="290"/>
      <c r="GG57" s="290" t="s">
        <v>179</v>
      </c>
      <c r="GH57" s="295" t="e">
        <f t="shared" ca="1" si="11"/>
        <v>#REF!</v>
      </c>
      <c r="GI57" s="298"/>
      <c r="GK57" s="533"/>
      <c r="GL57" s="238" t="s">
        <v>177</v>
      </c>
      <c r="GM57" s="299" t="e">
        <f t="shared" ca="1" si="10"/>
        <v>#REF!</v>
      </c>
    </row>
    <row r="58" spans="2:195" ht="12.75" customHeight="1" x14ac:dyDescent="0.2">
      <c r="B58" s="25"/>
      <c r="C58" s="25"/>
      <c r="D58" s="232"/>
      <c r="E58" s="232"/>
      <c r="F58" s="232"/>
      <c r="G58" s="25"/>
      <c r="H58" s="25"/>
      <c r="I58" s="234"/>
      <c r="J58" s="25"/>
      <c r="K58" s="25"/>
      <c r="L58" s="25"/>
      <c r="M58" s="25"/>
      <c r="N58" s="25"/>
      <c r="O58" s="232"/>
      <c r="P58" s="25"/>
      <c r="Q58" s="232"/>
      <c r="R58" s="25"/>
      <c r="S58" s="25"/>
      <c r="T58" s="232"/>
      <c r="U58" s="232"/>
      <c r="V58" s="25"/>
      <c r="W58" s="236"/>
      <c r="X58" s="236"/>
      <c r="Y58" s="25"/>
      <c r="Z58" s="25"/>
      <c r="AA58" s="25"/>
      <c r="AB58" s="232"/>
      <c r="AC58" s="25"/>
      <c r="AD58" s="232"/>
      <c r="AE58" s="25"/>
      <c r="AF58" s="232"/>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32"/>
      <c r="BG58" s="50"/>
      <c r="BH58" s="25"/>
      <c r="BI58" s="50"/>
      <c r="BJ58" s="50"/>
      <c r="BK58" s="50"/>
      <c r="BL58" s="232"/>
      <c r="BM58" s="232"/>
      <c r="BN58" s="232"/>
      <c r="BO58" s="232"/>
      <c r="BP58" s="232"/>
      <c r="BQ58" s="232"/>
      <c r="BR58" s="232"/>
      <c r="BS58" s="232"/>
      <c r="BT58" s="232"/>
      <c r="BU58" s="232"/>
      <c r="BV58" s="232"/>
      <c r="BW58" s="232"/>
      <c r="BX58" s="232"/>
      <c r="BY58" s="232"/>
      <c r="BZ58" s="232"/>
      <c r="CA58" s="50"/>
      <c r="CB58" s="232"/>
      <c r="CC58" s="232"/>
      <c r="CD58" s="25"/>
      <c r="CE58" s="25"/>
      <c r="CF58" s="232"/>
      <c r="CG58" s="25"/>
      <c r="CH58" s="25"/>
      <c r="CI58" s="25"/>
      <c r="CJ58" s="25"/>
      <c r="CK58" s="25"/>
      <c r="CL58" s="232"/>
      <c r="CM58" s="25"/>
      <c r="CN58" s="232"/>
      <c r="CO58" s="25"/>
      <c r="CP58" s="232"/>
      <c r="CQ58" s="232"/>
      <c r="CR58" s="232"/>
      <c r="CS58" s="232"/>
      <c r="CT58" s="232"/>
      <c r="CU58" s="232"/>
      <c r="CV58" s="232"/>
      <c r="CW58" s="232"/>
      <c r="CX58" s="232"/>
      <c r="CY58" s="232"/>
      <c r="CZ58" s="232"/>
      <c r="DA58" s="25"/>
      <c r="DB58" s="232"/>
      <c r="DC58" s="232"/>
      <c r="DD58" s="232"/>
      <c r="DE58" s="25"/>
      <c r="DF58" s="232"/>
      <c r="DG58" s="25"/>
      <c r="DH58" s="232"/>
      <c r="DI58" s="232"/>
      <c r="DJ58" s="25"/>
      <c r="DK58" s="25"/>
      <c r="DM58" s="25"/>
      <c r="DN58" s="25"/>
      <c r="DO58" s="25"/>
      <c r="DP58" s="25"/>
      <c r="DQ58" s="25"/>
      <c r="DR58" s="232"/>
      <c r="DS58" s="25"/>
      <c r="DT58" s="232"/>
      <c r="DU58" s="232"/>
      <c r="DV58" s="25"/>
      <c r="DW58" s="232"/>
      <c r="DX58" s="232"/>
      <c r="DY58" s="232"/>
      <c r="DZ58" s="232"/>
      <c r="EA58" s="232"/>
      <c r="EB58" s="232"/>
      <c r="EC58" s="232"/>
      <c r="ED58" s="232"/>
      <c r="EE58" s="50"/>
      <c r="EF58" s="50"/>
      <c r="EG58" s="25"/>
      <c r="EH58" s="232"/>
      <c r="EI58" s="232"/>
      <c r="EJ58" s="232"/>
      <c r="EK58" s="232"/>
      <c r="EL58" s="25"/>
      <c r="EN58" s="25"/>
      <c r="EW58" s="20"/>
      <c r="EX58" s="26"/>
      <c r="EY58" s="26"/>
      <c r="EZ58" s="26"/>
      <c r="FA58" s="26"/>
      <c r="FB58" s="25"/>
      <c r="FC58" s="232"/>
      <c r="FD58" s="232"/>
      <c r="FE58" s="232"/>
      <c r="FF58" s="232"/>
      <c r="FG58" s="232"/>
      <c r="FH58" s="232"/>
      <c r="FI58" s="25"/>
      <c r="FJ58" s="232"/>
      <c r="FK58" s="25"/>
      <c r="FL58" s="25"/>
      <c r="FM58" s="25"/>
      <c r="FN58" s="25"/>
      <c r="FO58" s="50"/>
      <c r="FP58" s="50"/>
      <c r="FQ58" s="232"/>
      <c r="FR58" s="232"/>
      <c r="FS58" s="232"/>
      <c r="FT58" s="50"/>
      <c r="FU58" s="50"/>
      <c r="FV58" s="232"/>
      <c r="FW58" s="76"/>
      <c r="FX58" s="232"/>
      <c r="FY58" s="232"/>
      <c r="FZ58" s="50"/>
      <c r="GA58" s="50"/>
      <c r="GB58" s="50"/>
      <c r="GC58" s="50"/>
      <c r="GD58" s="50"/>
      <c r="GE58" s="52"/>
      <c r="GF58" s="290"/>
      <c r="GG58" s="290" t="s">
        <v>178</v>
      </c>
      <c r="GH58" s="295" t="e">
        <f t="shared" ca="1" si="11"/>
        <v>#REF!</v>
      </c>
      <c r="GI58" s="298"/>
      <c r="GK58" s="533"/>
      <c r="GL58" s="238" t="s">
        <v>176</v>
      </c>
      <c r="GM58" s="299" t="e">
        <f t="shared" ca="1" si="10"/>
        <v>#REF!</v>
      </c>
    </row>
    <row r="59" spans="2:195" ht="12.75" customHeight="1" x14ac:dyDescent="0.2">
      <c r="B59" s="25"/>
      <c r="C59" s="25"/>
      <c r="D59" s="232"/>
      <c r="E59" s="232"/>
      <c r="F59" s="232"/>
      <c r="G59" s="25"/>
      <c r="H59" s="25"/>
      <c r="I59" s="234"/>
      <c r="J59" s="25"/>
      <c r="K59" s="25"/>
      <c r="L59" s="25"/>
      <c r="M59" s="25"/>
      <c r="N59" s="25"/>
      <c r="O59" s="232"/>
      <c r="P59" s="25"/>
      <c r="Q59" s="232"/>
      <c r="R59" s="25"/>
      <c r="S59" s="25"/>
      <c r="T59" s="232"/>
      <c r="U59" s="232"/>
      <c r="V59" s="25"/>
      <c r="W59" s="236"/>
      <c r="X59" s="236"/>
      <c r="Y59" s="25"/>
      <c r="Z59" s="25"/>
      <c r="AA59" s="25"/>
      <c r="AB59" s="232"/>
      <c r="AC59" s="25"/>
      <c r="AD59" s="232"/>
      <c r="AE59" s="25"/>
      <c r="AF59" s="232"/>
      <c r="AG59" s="25"/>
      <c r="AH59" s="25"/>
      <c r="AI59" s="25"/>
      <c r="AJ59" s="25"/>
      <c r="AK59" s="25"/>
      <c r="AL59" s="25"/>
      <c r="AM59" s="25"/>
      <c r="AN59" s="25"/>
      <c r="AO59" s="25"/>
      <c r="AP59" s="25"/>
      <c r="AQ59" s="25"/>
      <c r="AR59" s="25"/>
      <c r="AS59" s="25"/>
      <c r="AT59" s="25"/>
      <c r="AU59" s="25"/>
      <c r="AV59" s="25"/>
      <c r="AW59" s="25"/>
      <c r="AX59" s="25"/>
      <c r="AY59" s="25"/>
      <c r="AZ59" s="25"/>
      <c r="BA59" s="25"/>
      <c r="BB59" s="25"/>
      <c r="BC59" s="25"/>
      <c r="BD59" s="25"/>
      <c r="BE59" s="25"/>
      <c r="BF59" s="232"/>
      <c r="BG59" s="50"/>
      <c r="BH59" s="25"/>
      <c r="BI59" s="50"/>
      <c r="BJ59" s="50"/>
      <c r="BK59" s="50"/>
      <c r="BL59" s="232"/>
      <c r="BM59" s="232"/>
      <c r="BN59" s="232"/>
      <c r="BO59" s="232"/>
      <c r="BP59" s="232"/>
      <c r="BQ59" s="232"/>
      <c r="BR59" s="232"/>
      <c r="BS59" s="232"/>
      <c r="BT59" s="232"/>
      <c r="BU59" s="232"/>
      <c r="BV59" s="232"/>
      <c r="BW59" s="232"/>
      <c r="BX59" s="232"/>
      <c r="BY59" s="232"/>
      <c r="BZ59" s="232"/>
      <c r="CA59" s="50"/>
      <c r="CB59" s="232"/>
      <c r="CC59" s="232"/>
      <c r="CD59" s="25"/>
      <c r="CE59" s="25"/>
      <c r="CF59" s="232"/>
      <c r="CG59" s="25"/>
      <c r="CH59" s="25"/>
      <c r="CI59" s="25"/>
      <c r="CJ59" s="25"/>
      <c r="CK59" s="25"/>
      <c r="CL59" s="232"/>
      <c r="CM59" s="25"/>
      <c r="CN59" s="232"/>
      <c r="CO59" s="25"/>
      <c r="CP59" s="232"/>
      <c r="CQ59" s="232"/>
      <c r="CR59" s="232"/>
      <c r="CS59" s="232"/>
      <c r="CT59" s="232"/>
      <c r="CU59" s="232"/>
      <c r="CV59" s="232"/>
      <c r="CW59" s="232"/>
      <c r="CX59" s="232"/>
      <c r="CY59" s="232"/>
      <c r="CZ59" s="232"/>
      <c r="DA59" s="25"/>
      <c r="DB59" s="232"/>
      <c r="DC59" s="232"/>
      <c r="DD59" s="232"/>
      <c r="DE59" s="25"/>
      <c r="DF59" s="232"/>
      <c r="DG59" s="25"/>
      <c r="DH59" s="232"/>
      <c r="DI59" s="232"/>
      <c r="DJ59" s="25"/>
      <c r="DK59" s="25"/>
      <c r="DM59" s="25"/>
      <c r="DN59" s="25"/>
      <c r="DO59" s="25"/>
      <c r="DP59" s="25"/>
      <c r="DQ59" s="25"/>
      <c r="DR59" s="232"/>
      <c r="DS59" s="25"/>
      <c r="DT59" s="232"/>
      <c r="DU59" s="232"/>
      <c r="DV59" s="25"/>
      <c r="DW59" s="232"/>
      <c r="DX59" s="232"/>
      <c r="DY59" s="232"/>
      <c r="DZ59" s="232"/>
      <c r="EA59" s="232"/>
      <c r="EB59" s="232"/>
      <c r="EC59" s="232"/>
      <c r="ED59" s="232"/>
      <c r="EE59" s="50"/>
      <c r="EF59" s="50"/>
      <c r="EG59" s="25"/>
      <c r="EH59" s="232"/>
      <c r="EI59" s="232"/>
      <c r="EJ59" s="232"/>
      <c r="EK59" s="232"/>
      <c r="EL59" s="25"/>
      <c r="EN59" s="25"/>
      <c r="EW59" s="20"/>
      <c r="EX59" s="26"/>
      <c r="EY59" s="26"/>
      <c r="EZ59" s="26"/>
      <c r="FA59" s="26"/>
      <c r="FB59" s="25"/>
      <c r="FC59" s="232"/>
      <c r="FD59" s="232"/>
      <c r="FE59" s="232"/>
      <c r="FF59" s="232"/>
      <c r="FG59" s="232"/>
      <c r="FH59" s="232"/>
      <c r="FI59" s="25"/>
      <c r="FJ59" s="232"/>
      <c r="FK59" s="25"/>
      <c r="FL59" s="25"/>
      <c r="FM59" s="25"/>
      <c r="FN59" s="25"/>
      <c r="FO59" s="50"/>
      <c r="FP59" s="50"/>
      <c r="FQ59" s="232"/>
      <c r="FR59" s="232"/>
      <c r="FS59" s="232"/>
      <c r="FT59" s="50"/>
      <c r="FU59" s="50"/>
      <c r="FV59" s="232"/>
      <c r="FW59" s="76"/>
      <c r="FX59" s="232"/>
      <c r="FY59" s="232"/>
      <c r="FZ59" s="50"/>
      <c r="GA59" s="50"/>
      <c r="GB59" s="50"/>
      <c r="GC59" s="50"/>
      <c r="GD59" s="50"/>
      <c r="GE59" s="52"/>
      <c r="GF59" s="290"/>
      <c r="GG59" s="290" t="s">
        <v>177</v>
      </c>
      <c r="GH59" s="295" t="e">
        <f t="shared" ca="1" si="11"/>
        <v>#REF!</v>
      </c>
      <c r="GI59" s="298"/>
      <c r="GK59" s="533"/>
      <c r="GL59" s="238" t="s">
        <v>25</v>
      </c>
      <c r="GM59" s="299" t="e">
        <f t="shared" ca="1" si="10"/>
        <v>#REF!</v>
      </c>
    </row>
    <row r="60" spans="2:195" ht="12.75" customHeight="1" x14ac:dyDescent="0.2">
      <c r="B60" s="25"/>
      <c r="C60" s="25"/>
      <c r="D60" s="232"/>
      <c r="E60" s="232"/>
      <c r="F60" s="232"/>
      <c r="G60" s="25"/>
      <c r="H60" s="25"/>
      <c r="I60" s="234"/>
      <c r="J60" s="25"/>
      <c r="K60" s="25"/>
      <c r="L60" s="25"/>
      <c r="M60" s="25"/>
      <c r="N60" s="25"/>
      <c r="O60" s="232"/>
      <c r="P60" s="25"/>
      <c r="Q60" s="232"/>
      <c r="R60" s="25"/>
      <c r="S60" s="25"/>
      <c r="T60" s="232"/>
      <c r="U60" s="232"/>
      <c r="V60" s="25"/>
      <c r="W60" s="236"/>
      <c r="X60" s="236"/>
      <c r="Y60" s="25"/>
      <c r="Z60" s="25"/>
      <c r="AA60" s="25"/>
      <c r="AB60" s="232"/>
      <c r="AC60" s="25"/>
      <c r="AD60" s="232"/>
      <c r="AE60" s="25"/>
      <c r="AF60" s="232"/>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5"/>
      <c r="BE60" s="25"/>
      <c r="BF60" s="232"/>
      <c r="BG60" s="50"/>
      <c r="BH60" s="25"/>
      <c r="BI60" s="50"/>
      <c r="BJ60" s="50"/>
      <c r="BK60" s="50"/>
      <c r="BL60" s="232"/>
      <c r="BM60" s="232"/>
      <c r="BN60" s="232"/>
      <c r="BO60" s="232"/>
      <c r="BP60" s="232"/>
      <c r="BQ60" s="232"/>
      <c r="BR60" s="232"/>
      <c r="BS60" s="232"/>
      <c r="BT60" s="232"/>
      <c r="BU60" s="232"/>
      <c r="BV60" s="232"/>
      <c r="BW60" s="232"/>
      <c r="BX60" s="232"/>
      <c r="BY60" s="232"/>
      <c r="BZ60" s="232"/>
      <c r="CA60" s="50"/>
      <c r="CB60" s="232"/>
      <c r="CC60" s="232"/>
      <c r="CD60" s="25"/>
      <c r="CE60" s="25"/>
      <c r="CF60" s="232"/>
      <c r="CG60" s="25"/>
      <c r="CH60" s="25"/>
      <c r="CI60" s="25"/>
      <c r="CJ60" s="25"/>
      <c r="CK60" s="25"/>
      <c r="CL60" s="232"/>
      <c r="CM60" s="25"/>
      <c r="CN60" s="232"/>
      <c r="CO60" s="25"/>
      <c r="CP60" s="232"/>
      <c r="CQ60" s="232"/>
      <c r="CR60" s="232"/>
      <c r="CS60" s="232"/>
      <c r="CT60" s="232"/>
      <c r="CU60" s="232"/>
      <c r="CV60" s="232"/>
      <c r="CW60" s="232"/>
      <c r="CX60" s="232"/>
      <c r="CY60" s="232"/>
      <c r="CZ60" s="232"/>
      <c r="DA60" s="25"/>
      <c r="DB60" s="232"/>
      <c r="DC60" s="232"/>
      <c r="DD60" s="232"/>
      <c r="DE60" s="25"/>
      <c r="DF60" s="232"/>
      <c r="DG60" s="25"/>
      <c r="DH60" s="232"/>
      <c r="DI60" s="232"/>
      <c r="DJ60" s="25"/>
      <c r="DK60" s="25"/>
      <c r="DM60" s="25"/>
      <c r="DN60" s="25"/>
      <c r="DO60" s="25"/>
      <c r="DP60" s="25"/>
      <c r="DQ60" s="25"/>
      <c r="DR60" s="232"/>
      <c r="DS60" s="25"/>
      <c r="DT60" s="232"/>
      <c r="DU60" s="232"/>
      <c r="DV60" s="25"/>
      <c r="DW60" s="232"/>
      <c r="DX60" s="232"/>
      <c r="DY60" s="232"/>
      <c r="DZ60" s="232"/>
      <c r="EA60" s="232"/>
      <c r="EB60" s="232"/>
      <c r="EC60" s="232"/>
      <c r="ED60" s="232"/>
      <c r="EE60" s="50"/>
      <c r="EF60" s="50"/>
      <c r="EG60" s="25"/>
      <c r="EH60" s="232"/>
      <c r="EI60" s="232"/>
      <c r="EJ60" s="232"/>
      <c r="EK60" s="232"/>
      <c r="EL60" s="25"/>
      <c r="EN60" s="25"/>
      <c r="EW60" s="20"/>
      <c r="EX60" s="26"/>
      <c r="EY60" s="26"/>
      <c r="EZ60" s="26"/>
      <c r="FA60" s="26"/>
      <c r="FB60" s="25"/>
      <c r="FC60" s="232"/>
      <c r="FD60" s="232"/>
      <c r="FE60" s="232"/>
      <c r="FF60" s="232"/>
      <c r="FG60" s="232"/>
      <c r="FH60" s="232"/>
      <c r="FI60" s="25"/>
      <c r="FJ60" s="232"/>
      <c r="FK60" s="25"/>
      <c r="FL60" s="25"/>
      <c r="FM60" s="25"/>
      <c r="FN60" s="25"/>
      <c r="FO60" s="50"/>
      <c r="FP60" s="50"/>
      <c r="FQ60" s="232"/>
      <c r="FR60" s="232"/>
      <c r="FS60" s="232"/>
      <c r="FT60" s="50"/>
      <c r="FU60" s="50"/>
      <c r="FV60" s="232"/>
      <c r="FW60" s="76"/>
      <c r="FX60" s="232"/>
      <c r="FY60" s="232"/>
      <c r="FZ60" s="50"/>
      <c r="GA60" s="50"/>
      <c r="GB60" s="50"/>
      <c r="GC60" s="50"/>
      <c r="GD60" s="50"/>
      <c r="GE60" s="52"/>
      <c r="GF60" s="290"/>
      <c r="GG60" s="290" t="s">
        <v>176</v>
      </c>
      <c r="GH60" s="295" t="e">
        <f t="shared" ca="1" si="11"/>
        <v>#REF!</v>
      </c>
      <c r="GI60" s="298"/>
      <c r="GK60" s="533"/>
      <c r="GL60" s="238" t="s">
        <v>706</v>
      </c>
      <c r="GM60" s="299" t="e">
        <f ca="1">SUM(GM53:GM59)</f>
        <v>#REF!</v>
      </c>
    </row>
    <row r="61" spans="2:195" ht="12.75" customHeight="1" x14ac:dyDescent="0.2">
      <c r="B61" s="25"/>
      <c r="C61" s="25"/>
      <c r="D61" s="232"/>
      <c r="E61" s="232"/>
      <c r="F61" s="232"/>
      <c r="G61" s="25"/>
      <c r="H61" s="25"/>
      <c r="I61" s="234"/>
      <c r="J61" s="25"/>
      <c r="K61" s="25"/>
      <c r="L61" s="25"/>
      <c r="M61" s="25"/>
      <c r="N61" s="25"/>
      <c r="O61" s="232"/>
      <c r="P61" s="25"/>
      <c r="Q61" s="232"/>
      <c r="R61" s="25"/>
      <c r="S61" s="25"/>
      <c r="T61" s="232"/>
      <c r="U61" s="232"/>
      <c r="V61" s="25"/>
      <c r="W61" s="236"/>
      <c r="X61" s="236"/>
      <c r="Y61" s="25"/>
      <c r="Z61" s="25"/>
      <c r="AA61" s="25"/>
      <c r="AB61" s="232"/>
      <c r="AC61" s="25"/>
      <c r="AD61" s="232"/>
      <c r="AE61" s="25"/>
      <c r="AF61" s="232"/>
      <c r="AG61" s="25"/>
      <c r="AH61" s="25"/>
      <c r="AI61" s="25"/>
      <c r="AJ61" s="25"/>
      <c r="AK61" s="25"/>
      <c r="AL61" s="25"/>
      <c r="AM61" s="25"/>
      <c r="AN61" s="25"/>
      <c r="AO61" s="25"/>
      <c r="AP61" s="25"/>
      <c r="AQ61" s="25"/>
      <c r="AR61" s="25"/>
      <c r="AS61" s="25"/>
      <c r="AT61" s="25"/>
      <c r="AU61" s="25"/>
      <c r="AV61" s="25"/>
      <c r="AW61" s="25"/>
      <c r="AX61" s="25"/>
      <c r="AY61" s="25"/>
      <c r="AZ61" s="25"/>
      <c r="BA61" s="25"/>
      <c r="BB61" s="25"/>
      <c r="BC61" s="25"/>
      <c r="BD61" s="25"/>
      <c r="BE61" s="25"/>
      <c r="BF61" s="232"/>
      <c r="BG61" s="50"/>
      <c r="BH61" s="25"/>
      <c r="BI61" s="50"/>
      <c r="BJ61" s="50"/>
      <c r="BK61" s="50"/>
      <c r="BL61" s="232"/>
      <c r="BM61" s="232"/>
      <c r="BN61" s="232"/>
      <c r="BO61" s="232"/>
      <c r="BP61" s="232"/>
      <c r="BQ61" s="232"/>
      <c r="BR61" s="232"/>
      <c r="BS61" s="232"/>
      <c r="BT61" s="232"/>
      <c r="BU61" s="232"/>
      <c r="BV61" s="232"/>
      <c r="BW61" s="232"/>
      <c r="BX61" s="232"/>
      <c r="BY61" s="232"/>
      <c r="BZ61" s="232"/>
      <c r="CA61" s="50"/>
      <c r="CB61" s="232"/>
      <c r="CC61" s="232"/>
      <c r="CD61" s="25"/>
      <c r="CE61" s="25"/>
      <c r="CF61" s="232"/>
      <c r="CG61" s="25"/>
      <c r="CH61" s="25"/>
      <c r="CI61" s="25"/>
      <c r="CJ61" s="25"/>
      <c r="CK61" s="25"/>
      <c r="CL61" s="232"/>
      <c r="CM61" s="25"/>
      <c r="CN61" s="232"/>
      <c r="CO61" s="25"/>
      <c r="CP61" s="232"/>
      <c r="CQ61" s="232"/>
      <c r="CR61" s="232"/>
      <c r="CS61" s="232"/>
      <c r="CT61" s="232"/>
      <c r="CU61" s="232"/>
      <c r="CV61" s="232"/>
      <c r="CW61" s="232"/>
      <c r="CX61" s="232"/>
      <c r="CY61" s="232"/>
      <c r="CZ61" s="232"/>
      <c r="DA61" s="25"/>
      <c r="DB61" s="232"/>
      <c r="DC61" s="232"/>
      <c r="DD61" s="232"/>
      <c r="DE61" s="25"/>
      <c r="DF61" s="232"/>
      <c r="DG61" s="25"/>
      <c r="DH61" s="232"/>
      <c r="DI61" s="232"/>
      <c r="DJ61" s="25"/>
      <c r="DK61" s="25"/>
      <c r="DM61" s="25"/>
      <c r="DN61" s="25"/>
      <c r="DO61" s="25"/>
      <c r="DP61" s="25"/>
      <c r="DQ61" s="25"/>
      <c r="DR61" s="232"/>
      <c r="DS61" s="25"/>
      <c r="DT61" s="232"/>
      <c r="DU61" s="232"/>
      <c r="DV61" s="25"/>
      <c r="DW61" s="232"/>
      <c r="DX61" s="232"/>
      <c r="DY61" s="232"/>
      <c r="DZ61" s="232"/>
      <c r="EA61" s="232"/>
      <c r="EB61" s="232"/>
      <c r="EC61" s="232"/>
      <c r="ED61" s="232"/>
      <c r="EE61" s="50"/>
      <c r="EF61" s="50"/>
      <c r="EG61" s="25"/>
      <c r="EH61" s="232"/>
      <c r="EI61" s="232"/>
      <c r="EJ61" s="232"/>
      <c r="EK61" s="232"/>
      <c r="EL61" s="25"/>
      <c r="EN61" s="25"/>
      <c r="EW61" s="20"/>
      <c r="EX61" s="26"/>
      <c r="EY61" s="26"/>
      <c r="EZ61" s="26"/>
      <c r="FA61" s="26"/>
      <c r="FB61" s="25"/>
      <c r="FC61" s="232"/>
      <c r="FD61" s="232"/>
      <c r="FE61" s="232"/>
      <c r="FF61" s="232"/>
      <c r="FG61" s="232"/>
      <c r="FH61" s="232"/>
      <c r="FI61" s="25"/>
      <c r="FJ61" s="232"/>
      <c r="FK61" s="25"/>
      <c r="FL61" s="25"/>
      <c r="FM61" s="25"/>
      <c r="FN61" s="25"/>
      <c r="FO61" s="50"/>
      <c r="FP61" s="50"/>
      <c r="FQ61" s="232"/>
      <c r="FR61" s="232"/>
      <c r="FS61" s="232"/>
      <c r="FT61" s="50"/>
      <c r="FU61" s="50"/>
      <c r="FV61" s="232"/>
      <c r="FW61" s="76"/>
      <c r="FX61" s="232"/>
      <c r="FY61" s="232"/>
      <c r="FZ61" s="50"/>
      <c r="GA61" s="50"/>
      <c r="GB61" s="50"/>
      <c r="GC61" s="50"/>
      <c r="GD61" s="50"/>
      <c r="GE61" s="52"/>
      <c r="GF61" s="290"/>
      <c r="GG61" s="290" t="s">
        <v>736</v>
      </c>
      <c r="GH61" s="295" t="e">
        <f ca="1">SUM(y5_TrafficDelayCost)</f>
        <v>#REF!</v>
      </c>
      <c r="GI61" s="283"/>
      <c r="GK61" s="533" t="s">
        <v>707</v>
      </c>
      <c r="GL61" s="238" t="s">
        <v>181</v>
      </c>
      <c r="GM61" s="299" t="e">
        <f t="shared" ref="GM61:GM68" ca="1" si="12">SUMIF($GL$21:$GL$60,GL61,$GM$21:$GM$60)</f>
        <v>#REF!</v>
      </c>
    </row>
    <row r="62" spans="2:195" ht="12.75" customHeight="1" x14ac:dyDescent="0.2">
      <c r="B62" s="25"/>
      <c r="C62" s="25"/>
      <c r="D62" s="232"/>
      <c r="E62" s="232"/>
      <c r="F62" s="232"/>
      <c r="G62" s="25"/>
      <c r="H62" s="25"/>
      <c r="I62" s="234"/>
      <c r="J62" s="25"/>
      <c r="K62" s="25"/>
      <c r="L62" s="25"/>
      <c r="M62" s="25"/>
      <c r="N62" s="25"/>
      <c r="O62" s="232"/>
      <c r="P62" s="25"/>
      <c r="Q62" s="232"/>
      <c r="R62" s="25"/>
      <c r="S62" s="25"/>
      <c r="T62" s="232"/>
      <c r="U62" s="232"/>
      <c r="V62" s="25"/>
      <c r="W62" s="236"/>
      <c r="X62" s="236"/>
      <c r="Y62" s="25"/>
      <c r="Z62" s="25"/>
      <c r="AA62" s="25"/>
      <c r="AB62" s="232"/>
      <c r="AC62" s="25"/>
      <c r="AD62" s="232"/>
      <c r="AE62" s="25"/>
      <c r="AF62" s="232"/>
      <c r="AG62" s="25"/>
      <c r="AH62" s="25"/>
      <c r="AI62" s="25"/>
      <c r="AJ62" s="25"/>
      <c r="AK62" s="25"/>
      <c r="AL62" s="25"/>
      <c r="AM62" s="25"/>
      <c r="AN62" s="25"/>
      <c r="AO62" s="25"/>
      <c r="AP62" s="25"/>
      <c r="AQ62" s="25"/>
      <c r="AR62" s="25"/>
      <c r="AS62" s="25"/>
      <c r="AT62" s="25"/>
      <c r="AU62" s="25"/>
      <c r="AV62" s="25"/>
      <c r="AW62" s="25"/>
      <c r="AX62" s="25"/>
      <c r="AY62" s="25"/>
      <c r="AZ62" s="25"/>
      <c r="BA62" s="25"/>
      <c r="BB62" s="25"/>
      <c r="BC62" s="25"/>
      <c r="BD62" s="25"/>
      <c r="BE62" s="25"/>
      <c r="BF62" s="232"/>
      <c r="BG62" s="50"/>
      <c r="BH62" s="25"/>
      <c r="BI62" s="50"/>
      <c r="BJ62" s="50"/>
      <c r="BK62" s="50"/>
      <c r="BL62" s="232"/>
      <c r="BM62" s="232"/>
      <c r="BN62" s="232"/>
      <c r="BO62" s="232"/>
      <c r="BP62" s="232"/>
      <c r="BQ62" s="232"/>
      <c r="BR62" s="232"/>
      <c r="BS62" s="232"/>
      <c r="BT62" s="232"/>
      <c r="BU62" s="232"/>
      <c r="BV62" s="232"/>
      <c r="BW62" s="232"/>
      <c r="BX62" s="232"/>
      <c r="BY62" s="232"/>
      <c r="BZ62" s="232"/>
      <c r="CA62" s="50"/>
      <c r="CB62" s="232"/>
      <c r="CC62" s="232"/>
      <c r="CD62" s="25"/>
      <c r="CE62" s="25"/>
      <c r="CF62" s="232"/>
      <c r="CG62" s="25"/>
      <c r="CH62" s="25"/>
      <c r="CI62" s="25"/>
      <c r="CJ62" s="25"/>
      <c r="CK62" s="25"/>
      <c r="CL62" s="232"/>
      <c r="CM62" s="25"/>
      <c r="CN62" s="232"/>
      <c r="CO62" s="25"/>
      <c r="CP62" s="232"/>
      <c r="CQ62" s="232"/>
      <c r="CR62" s="232"/>
      <c r="CS62" s="232"/>
      <c r="CT62" s="232"/>
      <c r="CU62" s="232"/>
      <c r="CV62" s="232"/>
      <c r="CW62" s="232"/>
      <c r="CX62" s="232"/>
      <c r="CY62" s="232"/>
      <c r="CZ62" s="232"/>
      <c r="DA62" s="25"/>
      <c r="DB62" s="232"/>
      <c r="DC62" s="232"/>
      <c r="DD62" s="232"/>
      <c r="DE62" s="25"/>
      <c r="DF62" s="232"/>
      <c r="DG62" s="25"/>
      <c r="DH62" s="232"/>
      <c r="DI62" s="232"/>
      <c r="DJ62" s="25"/>
      <c r="DK62" s="25"/>
      <c r="DM62" s="25"/>
      <c r="DN62" s="25"/>
      <c r="DO62" s="25"/>
      <c r="DP62" s="25"/>
      <c r="DQ62" s="25"/>
      <c r="DR62" s="232"/>
      <c r="DS62" s="25"/>
      <c r="DT62" s="232"/>
      <c r="DU62" s="232"/>
      <c r="DV62" s="25"/>
      <c r="DW62" s="232"/>
      <c r="DX62" s="232"/>
      <c r="DY62" s="232"/>
      <c r="DZ62" s="232"/>
      <c r="EA62" s="232"/>
      <c r="EB62" s="232"/>
      <c r="EC62" s="232"/>
      <c r="ED62" s="232"/>
      <c r="EE62" s="50"/>
      <c r="EF62" s="50"/>
      <c r="EG62" s="25"/>
      <c r="EH62" s="232"/>
      <c r="EI62" s="232"/>
      <c r="EJ62" s="232"/>
      <c r="EK62" s="232"/>
      <c r="EL62" s="25"/>
      <c r="EN62" s="25"/>
      <c r="EW62" s="20"/>
      <c r="EX62" s="26"/>
      <c r="EY62" s="26"/>
      <c r="EZ62" s="26"/>
      <c r="FA62" s="26"/>
      <c r="FB62" s="25"/>
      <c r="FC62" s="232"/>
      <c r="FD62" s="232"/>
      <c r="FE62" s="232"/>
      <c r="FF62" s="232"/>
      <c r="FG62" s="232"/>
      <c r="FH62" s="232"/>
      <c r="FI62" s="25"/>
      <c r="FJ62" s="232"/>
      <c r="FK62" s="25"/>
      <c r="FL62" s="25"/>
      <c r="FM62" s="25"/>
      <c r="FN62" s="25"/>
      <c r="FO62" s="50"/>
      <c r="FP62" s="50"/>
      <c r="FQ62" s="232"/>
      <c r="FR62" s="232"/>
      <c r="FS62" s="232"/>
      <c r="FT62" s="50"/>
      <c r="FU62" s="50"/>
      <c r="FV62" s="232"/>
      <c r="FW62" s="76"/>
      <c r="FX62" s="232"/>
      <c r="FY62" s="232"/>
      <c r="FZ62" s="50"/>
      <c r="GA62" s="50"/>
      <c r="GB62" s="50"/>
      <c r="GC62" s="50"/>
      <c r="GD62" s="50"/>
      <c r="GE62" s="52"/>
      <c r="GK62" s="533"/>
      <c r="GL62" s="238" t="s">
        <v>180</v>
      </c>
      <c r="GM62" s="299" t="e">
        <f t="shared" ca="1" si="12"/>
        <v>#REF!</v>
      </c>
    </row>
    <row r="63" spans="2:195" ht="12.75" customHeight="1" x14ac:dyDescent="0.2">
      <c r="B63" s="25"/>
      <c r="C63" s="25"/>
      <c r="D63" s="232"/>
      <c r="E63" s="232"/>
      <c r="F63" s="232"/>
      <c r="G63" s="25"/>
      <c r="H63" s="25"/>
      <c r="I63" s="234"/>
      <c r="J63" s="25"/>
      <c r="K63" s="25"/>
      <c r="L63" s="25"/>
      <c r="M63" s="25"/>
      <c r="N63" s="25"/>
      <c r="O63" s="232"/>
      <c r="P63" s="25"/>
      <c r="Q63" s="232"/>
      <c r="R63" s="25"/>
      <c r="S63" s="25"/>
      <c r="T63" s="232"/>
      <c r="U63" s="232"/>
      <c r="V63" s="25"/>
      <c r="W63" s="236"/>
      <c r="X63" s="236"/>
      <c r="Y63" s="25"/>
      <c r="Z63" s="25"/>
      <c r="AA63" s="25"/>
      <c r="AB63" s="232"/>
      <c r="AC63" s="25"/>
      <c r="AD63" s="232"/>
      <c r="AE63" s="25"/>
      <c r="AF63" s="232"/>
      <c r="AG63" s="25"/>
      <c r="AH63" s="25"/>
      <c r="AI63" s="25"/>
      <c r="AJ63" s="25"/>
      <c r="AK63" s="25"/>
      <c r="AL63" s="25"/>
      <c r="AM63" s="25"/>
      <c r="AN63" s="25"/>
      <c r="AO63" s="25"/>
      <c r="AP63" s="25"/>
      <c r="AQ63" s="25"/>
      <c r="AR63" s="25"/>
      <c r="AS63" s="25"/>
      <c r="AT63" s="25"/>
      <c r="AU63" s="25"/>
      <c r="AV63" s="25"/>
      <c r="AW63" s="25"/>
      <c r="AX63" s="25"/>
      <c r="AY63" s="25"/>
      <c r="AZ63" s="25"/>
      <c r="BA63" s="25"/>
      <c r="BB63" s="25"/>
      <c r="BC63" s="25"/>
      <c r="BD63" s="25"/>
      <c r="BE63" s="25"/>
      <c r="BF63" s="232"/>
      <c r="BG63" s="50"/>
      <c r="BH63" s="25"/>
      <c r="BI63" s="50"/>
      <c r="BJ63" s="50"/>
      <c r="BK63" s="50"/>
      <c r="BL63" s="232"/>
      <c r="BM63" s="232"/>
      <c r="BN63" s="232"/>
      <c r="BO63" s="232"/>
      <c r="BP63" s="232"/>
      <c r="BQ63" s="232"/>
      <c r="BR63" s="232"/>
      <c r="BS63" s="232"/>
      <c r="BT63" s="232"/>
      <c r="BU63" s="232"/>
      <c r="BV63" s="232"/>
      <c r="BW63" s="232"/>
      <c r="BX63" s="232"/>
      <c r="BY63" s="232"/>
      <c r="BZ63" s="232"/>
      <c r="CA63" s="50"/>
      <c r="CB63" s="232"/>
      <c r="CC63" s="232"/>
      <c r="CD63" s="25"/>
      <c r="CE63" s="25"/>
      <c r="CF63" s="232"/>
      <c r="CG63" s="25"/>
      <c r="CH63" s="25"/>
      <c r="CI63" s="25"/>
      <c r="CJ63" s="25"/>
      <c r="CK63" s="25"/>
      <c r="CL63" s="232"/>
      <c r="CM63" s="25"/>
      <c r="CN63" s="232"/>
      <c r="CO63" s="25"/>
      <c r="CP63" s="232"/>
      <c r="CQ63" s="232"/>
      <c r="CR63" s="232"/>
      <c r="CS63" s="232"/>
      <c r="CT63" s="232"/>
      <c r="CU63" s="232"/>
      <c r="CV63" s="232"/>
      <c r="CW63" s="232"/>
      <c r="CX63" s="232"/>
      <c r="CY63" s="232"/>
      <c r="CZ63" s="232"/>
      <c r="DA63" s="25"/>
      <c r="DB63" s="232"/>
      <c r="DC63" s="232"/>
      <c r="DD63" s="232"/>
      <c r="DE63" s="25"/>
      <c r="DF63" s="232"/>
      <c r="DG63" s="25"/>
      <c r="DH63" s="232"/>
      <c r="DI63" s="232"/>
      <c r="DJ63" s="25"/>
      <c r="DK63" s="25"/>
      <c r="DM63" s="25"/>
      <c r="DN63" s="25"/>
      <c r="DO63" s="25"/>
      <c r="DP63" s="25"/>
      <c r="DQ63" s="25"/>
      <c r="DR63" s="232"/>
      <c r="DS63" s="25"/>
      <c r="DT63" s="232"/>
      <c r="DU63" s="232"/>
      <c r="DV63" s="25"/>
      <c r="DW63" s="232"/>
      <c r="DX63" s="232"/>
      <c r="DY63" s="232"/>
      <c r="DZ63" s="232"/>
      <c r="EA63" s="232"/>
      <c r="EB63" s="232"/>
      <c r="EC63" s="232"/>
      <c r="ED63" s="232"/>
      <c r="EE63" s="50"/>
      <c r="EF63" s="50"/>
      <c r="EG63" s="25"/>
      <c r="EH63" s="232"/>
      <c r="EI63" s="232"/>
      <c r="EJ63" s="232"/>
      <c r="EK63" s="232"/>
      <c r="EL63" s="25"/>
      <c r="EN63" s="25"/>
      <c r="EW63" s="20"/>
      <c r="EX63" s="26"/>
      <c r="EY63" s="26"/>
      <c r="EZ63" s="26"/>
      <c r="FA63" s="26"/>
      <c r="FB63" s="25"/>
      <c r="FC63" s="232"/>
      <c r="FD63" s="232"/>
      <c r="FE63" s="232"/>
      <c r="FF63" s="232"/>
      <c r="FG63" s="232"/>
      <c r="FH63" s="232"/>
      <c r="FI63" s="25"/>
      <c r="FJ63" s="232"/>
      <c r="FK63" s="25"/>
      <c r="FL63" s="25"/>
      <c r="FM63" s="25"/>
      <c r="FN63" s="25"/>
      <c r="FO63" s="50"/>
      <c r="FP63" s="50"/>
      <c r="FQ63" s="232"/>
      <c r="FR63" s="232"/>
      <c r="FS63" s="232"/>
      <c r="FT63" s="50"/>
      <c r="FU63" s="50"/>
      <c r="FV63" s="232"/>
      <c r="FW63" s="76"/>
      <c r="FX63" s="232"/>
      <c r="FY63" s="232"/>
      <c r="FZ63" s="50"/>
      <c r="GA63" s="50"/>
      <c r="GB63" s="50"/>
      <c r="GC63" s="50"/>
      <c r="GD63" s="50"/>
      <c r="GE63" s="52"/>
      <c r="GK63" s="533"/>
      <c r="GL63" s="238" t="s">
        <v>179</v>
      </c>
      <c r="GM63" s="299" t="e">
        <f t="shared" ca="1" si="12"/>
        <v>#REF!</v>
      </c>
    </row>
    <row r="64" spans="2:195" ht="12.75" customHeight="1" x14ac:dyDescent="0.2">
      <c r="B64" s="25"/>
      <c r="C64" s="25"/>
      <c r="D64" s="232"/>
      <c r="E64" s="232"/>
      <c r="F64" s="232"/>
      <c r="G64" s="25"/>
      <c r="H64" s="25"/>
      <c r="I64" s="234"/>
      <c r="J64" s="25"/>
      <c r="K64" s="25"/>
      <c r="L64" s="25"/>
      <c r="M64" s="25"/>
      <c r="N64" s="25"/>
      <c r="O64" s="232"/>
      <c r="P64" s="25"/>
      <c r="Q64" s="232"/>
      <c r="R64" s="25"/>
      <c r="S64" s="25"/>
      <c r="T64" s="232"/>
      <c r="U64" s="232"/>
      <c r="V64" s="25"/>
      <c r="W64" s="236"/>
      <c r="X64" s="236"/>
      <c r="Y64" s="25"/>
      <c r="Z64" s="25"/>
      <c r="AA64" s="25"/>
      <c r="AB64" s="232"/>
      <c r="AC64" s="25"/>
      <c r="AD64" s="232"/>
      <c r="AE64" s="25"/>
      <c r="AF64" s="232"/>
      <c r="AG64" s="25"/>
      <c r="AH64" s="25"/>
      <c r="AI64" s="25"/>
      <c r="AJ64" s="25"/>
      <c r="AK64" s="25"/>
      <c r="AL64" s="25"/>
      <c r="AM64" s="25"/>
      <c r="AN64" s="25"/>
      <c r="AO64" s="25"/>
      <c r="AP64" s="25"/>
      <c r="AQ64" s="25"/>
      <c r="AR64" s="25"/>
      <c r="AS64" s="25"/>
      <c r="AT64" s="25"/>
      <c r="AU64" s="25"/>
      <c r="AV64" s="25"/>
      <c r="AW64" s="25"/>
      <c r="AX64" s="25"/>
      <c r="AY64" s="25"/>
      <c r="AZ64" s="25"/>
      <c r="BA64" s="25"/>
      <c r="BB64" s="25"/>
      <c r="BC64" s="25"/>
      <c r="BD64" s="25"/>
      <c r="BE64" s="25"/>
      <c r="BF64" s="232"/>
      <c r="BG64" s="50"/>
      <c r="BH64" s="25"/>
      <c r="BI64" s="50"/>
      <c r="BJ64" s="50"/>
      <c r="BK64" s="50"/>
      <c r="BL64" s="232"/>
      <c r="BM64" s="232"/>
      <c r="BN64" s="232"/>
      <c r="BO64" s="232"/>
      <c r="BP64" s="232"/>
      <c r="BQ64" s="232"/>
      <c r="BR64" s="232"/>
      <c r="BS64" s="232"/>
      <c r="BT64" s="232"/>
      <c r="BU64" s="232"/>
      <c r="BV64" s="232"/>
      <c r="BW64" s="232"/>
      <c r="BX64" s="232"/>
      <c r="BY64" s="232"/>
      <c r="BZ64" s="232"/>
      <c r="CA64" s="50"/>
      <c r="CB64" s="232"/>
      <c r="CC64" s="232"/>
      <c r="CE64" s="25"/>
      <c r="CF64" s="232"/>
      <c r="CG64" s="25"/>
      <c r="CH64" s="25"/>
      <c r="CI64" s="25"/>
      <c r="CJ64" s="25"/>
      <c r="CK64" s="25"/>
      <c r="CL64" s="232"/>
      <c r="CM64" s="25"/>
      <c r="CN64" s="232"/>
      <c r="CO64" s="25"/>
      <c r="CP64" s="232"/>
      <c r="CQ64" s="232"/>
      <c r="CR64" s="232"/>
      <c r="CS64" s="232"/>
      <c r="CT64" s="232"/>
      <c r="CU64" s="232"/>
      <c r="CV64" s="232"/>
      <c r="CW64" s="232"/>
      <c r="CX64" s="232"/>
      <c r="CY64" s="232"/>
      <c r="CZ64" s="232"/>
      <c r="DA64" s="25"/>
      <c r="DB64" s="232"/>
      <c r="DC64" s="232"/>
      <c r="DD64" s="232"/>
      <c r="DE64" s="25"/>
      <c r="DF64" s="232"/>
      <c r="DG64" s="25"/>
      <c r="DH64" s="232"/>
      <c r="DI64" s="232"/>
      <c r="DJ64" s="25"/>
      <c r="DK64" s="25"/>
      <c r="DM64" s="25"/>
      <c r="DN64" s="25"/>
      <c r="DO64" s="25"/>
      <c r="DP64" s="25"/>
      <c r="DQ64" s="25"/>
      <c r="DR64" s="232"/>
      <c r="DS64" s="25"/>
      <c r="DT64" s="232"/>
      <c r="DU64" s="232"/>
      <c r="DV64" s="25"/>
      <c r="DW64" s="232"/>
      <c r="DX64" s="232"/>
      <c r="DY64" s="232"/>
      <c r="DZ64" s="232"/>
      <c r="EA64" s="232"/>
      <c r="EB64" s="232"/>
      <c r="EC64" s="232"/>
      <c r="ED64" s="232"/>
      <c r="EE64" s="50"/>
      <c r="EF64" s="50"/>
      <c r="EG64" s="25"/>
      <c r="EH64" s="232"/>
      <c r="EI64" s="232"/>
      <c r="EJ64" s="232"/>
      <c r="EK64" s="232"/>
      <c r="EL64" s="25"/>
      <c r="EM64" s="25"/>
      <c r="EN64" s="25"/>
      <c r="EW64" s="20"/>
      <c r="EX64" s="26"/>
      <c r="EY64" s="26"/>
      <c r="EZ64" s="26"/>
      <c r="FA64" s="26"/>
      <c r="FB64" s="25"/>
      <c r="FC64" s="232"/>
      <c r="FD64" s="232"/>
      <c r="FE64" s="232"/>
      <c r="FF64" s="232"/>
      <c r="FG64" s="232"/>
      <c r="FH64" s="232"/>
      <c r="FI64" s="25"/>
      <c r="FJ64" s="232"/>
      <c r="FK64" s="25"/>
      <c r="FL64" s="25"/>
      <c r="FM64" s="25"/>
      <c r="FN64" s="25"/>
      <c r="FO64" s="50"/>
      <c r="FP64" s="50"/>
      <c r="FQ64" s="232"/>
      <c r="FR64" s="232"/>
      <c r="FS64" s="232"/>
      <c r="FT64" s="50"/>
      <c r="FU64" s="50"/>
      <c r="FV64" s="232"/>
      <c r="FW64" s="76"/>
      <c r="FX64" s="232"/>
      <c r="FY64" s="232"/>
      <c r="FZ64" s="50"/>
      <c r="GA64" s="50"/>
      <c r="GB64" s="50"/>
      <c r="GC64" s="50"/>
      <c r="GD64" s="50"/>
      <c r="GE64" s="52"/>
      <c r="GK64" s="533"/>
      <c r="GL64" s="238" t="s">
        <v>178</v>
      </c>
      <c r="GM64" s="299" t="e">
        <f t="shared" ca="1" si="12"/>
        <v>#REF!</v>
      </c>
    </row>
    <row r="65" spans="2:195" ht="12.75" customHeight="1" x14ac:dyDescent="0.2">
      <c r="B65" s="25"/>
      <c r="C65" s="25"/>
      <c r="D65" s="232"/>
      <c r="E65" s="232"/>
      <c r="F65" s="232"/>
      <c r="G65" s="25"/>
      <c r="H65" s="25"/>
      <c r="I65" s="234"/>
      <c r="J65" s="25"/>
      <c r="K65" s="25"/>
      <c r="L65" s="25"/>
      <c r="M65" s="25"/>
      <c r="N65" s="25"/>
      <c r="O65" s="232"/>
      <c r="P65" s="25"/>
      <c r="Q65" s="232"/>
      <c r="R65" s="25"/>
      <c r="S65" s="25"/>
      <c r="T65" s="232"/>
      <c r="U65" s="232"/>
      <c r="V65" s="25"/>
      <c r="W65" s="236"/>
      <c r="X65" s="236"/>
      <c r="Y65" s="25"/>
      <c r="Z65" s="25"/>
      <c r="AA65" s="25"/>
      <c r="AB65" s="232"/>
      <c r="AC65" s="25"/>
      <c r="AD65" s="232"/>
      <c r="AE65" s="25"/>
      <c r="AF65" s="232"/>
      <c r="AG65" s="25"/>
      <c r="AH65" s="25"/>
      <c r="AI65" s="25"/>
      <c r="AJ65" s="25"/>
      <c r="AK65" s="25"/>
      <c r="AL65" s="25"/>
      <c r="AM65" s="25"/>
      <c r="AN65" s="25"/>
      <c r="AO65" s="25"/>
      <c r="AP65" s="25"/>
      <c r="AQ65" s="25"/>
      <c r="AR65" s="25"/>
      <c r="AS65" s="25"/>
      <c r="AT65" s="25"/>
      <c r="AU65" s="25"/>
      <c r="AV65" s="25"/>
      <c r="AW65" s="25"/>
      <c r="AX65" s="25"/>
      <c r="AY65" s="25"/>
      <c r="AZ65" s="25"/>
      <c r="BA65" s="25"/>
      <c r="BB65" s="25"/>
      <c r="BC65" s="25"/>
      <c r="BD65" s="25"/>
      <c r="BE65" s="25"/>
      <c r="BF65" s="232"/>
      <c r="BG65" s="50"/>
      <c r="BH65" s="25"/>
      <c r="BI65" s="50"/>
      <c r="BJ65" s="50"/>
      <c r="BK65" s="50"/>
      <c r="BL65" s="232"/>
      <c r="BM65" s="232"/>
      <c r="BN65" s="232"/>
      <c r="BO65" s="232"/>
      <c r="BP65" s="232"/>
      <c r="BQ65" s="232"/>
      <c r="BR65" s="232"/>
      <c r="BS65" s="232"/>
      <c r="BT65" s="232"/>
      <c r="BU65" s="232"/>
      <c r="BV65" s="232"/>
      <c r="BW65" s="232"/>
      <c r="BX65" s="232"/>
      <c r="BY65" s="232"/>
      <c r="BZ65" s="232"/>
      <c r="CA65" s="50"/>
      <c r="CB65" s="232"/>
      <c r="CC65" s="232"/>
      <c r="CE65" s="25"/>
      <c r="CF65" s="232"/>
      <c r="CG65" s="25"/>
      <c r="CH65" s="25"/>
      <c r="CI65" s="25"/>
      <c r="CJ65" s="25"/>
      <c r="CK65" s="25"/>
      <c r="CL65" s="232"/>
      <c r="CM65" s="25"/>
      <c r="CN65" s="232"/>
      <c r="CO65" s="25"/>
      <c r="CP65" s="232"/>
      <c r="CQ65" s="232"/>
      <c r="CR65" s="232"/>
      <c r="CS65" s="232"/>
      <c r="CT65" s="232"/>
      <c r="CU65" s="232"/>
      <c r="CV65" s="232"/>
      <c r="CW65" s="232"/>
      <c r="CX65" s="232"/>
      <c r="CY65" s="232"/>
      <c r="CZ65" s="232"/>
      <c r="DA65" s="25"/>
      <c r="DB65" s="232"/>
      <c r="DC65" s="232"/>
      <c r="DD65" s="232"/>
      <c r="DE65" s="25"/>
      <c r="DF65" s="232"/>
      <c r="DG65" s="25"/>
      <c r="DH65" s="232"/>
      <c r="DI65" s="232"/>
      <c r="DJ65" s="25"/>
      <c r="DK65" s="25"/>
      <c r="DM65" s="25"/>
      <c r="DN65" s="25"/>
      <c r="DO65" s="25"/>
      <c r="DP65" s="25"/>
      <c r="DQ65" s="25"/>
      <c r="DR65" s="232"/>
      <c r="DS65" s="25"/>
      <c r="DT65" s="232"/>
      <c r="DU65" s="232"/>
      <c r="DV65" s="25"/>
      <c r="DW65" s="232"/>
      <c r="DX65" s="232"/>
      <c r="DY65" s="232"/>
      <c r="DZ65" s="232"/>
      <c r="EA65" s="232"/>
      <c r="EB65" s="232"/>
      <c r="EC65" s="232"/>
      <c r="ED65" s="232"/>
      <c r="EE65" s="50"/>
      <c r="EF65" s="50"/>
      <c r="EG65" s="25"/>
      <c r="EH65" s="232"/>
      <c r="EI65" s="232"/>
      <c r="EJ65" s="232"/>
      <c r="EK65" s="232"/>
      <c r="EL65" s="25"/>
      <c r="EM65" s="25"/>
      <c r="EN65" s="25"/>
      <c r="EW65" s="20"/>
      <c r="EX65" s="26"/>
      <c r="EY65" s="26"/>
      <c r="EZ65" s="26"/>
      <c r="FA65" s="26"/>
      <c r="FB65" s="25"/>
      <c r="FC65" s="232"/>
      <c r="FD65" s="232"/>
      <c r="FE65" s="232"/>
      <c r="FF65" s="232"/>
      <c r="FG65" s="232"/>
      <c r="FH65" s="232"/>
      <c r="FI65" s="25"/>
      <c r="FJ65" s="232"/>
      <c r="FK65" s="25"/>
      <c r="FL65" s="25"/>
      <c r="FM65" s="25"/>
      <c r="FN65" s="25"/>
      <c r="FO65" s="50"/>
      <c r="FP65" s="50"/>
      <c r="FQ65" s="232"/>
      <c r="FR65" s="232"/>
      <c r="FS65" s="232"/>
      <c r="FT65" s="50"/>
      <c r="FU65" s="50"/>
      <c r="FV65" s="232"/>
      <c r="FW65" s="76"/>
      <c r="FX65" s="232"/>
      <c r="FY65" s="232"/>
      <c r="FZ65" s="50"/>
      <c r="GA65" s="50"/>
      <c r="GB65" s="50"/>
      <c r="GC65" s="50"/>
      <c r="GD65" s="50"/>
      <c r="GE65" s="52"/>
      <c r="GK65" s="533"/>
      <c r="GL65" s="238" t="s">
        <v>177</v>
      </c>
      <c r="GM65" s="299" t="e">
        <f t="shared" ca="1" si="12"/>
        <v>#REF!</v>
      </c>
    </row>
    <row r="66" spans="2:195" ht="12.75" customHeight="1" x14ac:dyDescent="0.2">
      <c r="B66" s="25"/>
      <c r="C66" s="25"/>
      <c r="D66" s="232"/>
      <c r="E66" s="232"/>
      <c r="F66" s="232"/>
      <c r="G66" s="25"/>
      <c r="H66" s="25"/>
      <c r="I66" s="234"/>
      <c r="J66" s="25"/>
      <c r="K66" s="25"/>
      <c r="L66" s="25"/>
      <c r="M66" s="25"/>
      <c r="N66" s="25"/>
      <c r="O66" s="232"/>
      <c r="P66" s="25"/>
      <c r="Q66" s="232"/>
      <c r="R66" s="25"/>
      <c r="S66" s="25"/>
      <c r="T66" s="232"/>
      <c r="U66" s="232"/>
      <c r="V66" s="25"/>
      <c r="W66" s="236"/>
      <c r="X66" s="236"/>
      <c r="Y66" s="25"/>
      <c r="Z66" s="25"/>
      <c r="AA66" s="25"/>
      <c r="AB66" s="232"/>
      <c r="AC66" s="25"/>
      <c r="AD66" s="232"/>
      <c r="AE66" s="25"/>
      <c r="AF66" s="232"/>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32"/>
      <c r="BG66" s="50"/>
      <c r="BH66" s="25"/>
      <c r="BI66" s="50"/>
      <c r="BJ66" s="50"/>
      <c r="BK66" s="50"/>
      <c r="BL66" s="232"/>
      <c r="BM66" s="232"/>
      <c r="BN66" s="232"/>
      <c r="BO66" s="232"/>
      <c r="BP66" s="232"/>
      <c r="BQ66" s="232"/>
      <c r="BR66" s="232"/>
      <c r="BS66" s="232"/>
      <c r="BT66" s="232"/>
      <c r="BU66" s="232"/>
      <c r="BV66" s="232"/>
      <c r="BW66" s="232"/>
      <c r="BX66" s="232"/>
      <c r="BY66" s="232"/>
      <c r="BZ66" s="232"/>
      <c r="CA66" s="50"/>
      <c r="CB66" s="232"/>
      <c r="CC66" s="232"/>
      <c r="CE66" s="25"/>
      <c r="CF66" s="232"/>
      <c r="CG66" s="25"/>
      <c r="CH66" s="25"/>
      <c r="CI66" s="25"/>
      <c r="CJ66" s="25"/>
      <c r="CK66" s="25"/>
      <c r="CL66" s="232"/>
      <c r="CM66" s="25"/>
      <c r="CN66" s="232"/>
      <c r="CO66" s="25"/>
      <c r="CP66" s="232"/>
      <c r="CQ66" s="232"/>
      <c r="CR66" s="232"/>
      <c r="CS66" s="232"/>
      <c r="CT66" s="232"/>
      <c r="CU66" s="232"/>
      <c r="CV66" s="232"/>
      <c r="CW66" s="232"/>
      <c r="CX66" s="232"/>
      <c r="CY66" s="232"/>
      <c r="CZ66" s="232"/>
      <c r="DA66" s="25"/>
      <c r="DB66" s="232"/>
      <c r="DC66" s="232"/>
      <c r="DD66" s="232"/>
      <c r="DE66" s="25"/>
      <c r="DF66" s="232"/>
      <c r="DG66" s="25"/>
      <c r="DH66" s="232"/>
      <c r="DI66" s="232"/>
      <c r="DJ66" s="25"/>
      <c r="DK66" s="25"/>
      <c r="DM66" s="25"/>
      <c r="DN66" s="25"/>
      <c r="DO66" s="25"/>
      <c r="DP66" s="25"/>
      <c r="DQ66" s="25"/>
      <c r="DR66" s="232"/>
      <c r="DS66" s="25"/>
      <c r="DT66" s="232"/>
      <c r="DU66" s="232"/>
      <c r="DV66" s="25"/>
      <c r="DW66" s="232"/>
      <c r="DX66" s="232"/>
      <c r="DY66" s="232"/>
      <c r="DZ66" s="232"/>
      <c r="EA66" s="232"/>
      <c r="EB66" s="232"/>
      <c r="EC66" s="232"/>
      <c r="ED66" s="232"/>
      <c r="EE66" s="50"/>
      <c r="EF66" s="50"/>
      <c r="EG66" s="25"/>
      <c r="EH66" s="232"/>
      <c r="EI66" s="232"/>
      <c r="EJ66" s="232"/>
      <c r="EK66" s="232"/>
      <c r="EL66" s="25"/>
      <c r="EM66" s="25"/>
      <c r="EN66" s="25"/>
      <c r="EW66" s="20"/>
      <c r="EX66" s="26"/>
      <c r="EY66" s="26"/>
      <c r="EZ66" s="26"/>
      <c r="FA66" s="26"/>
      <c r="FB66" s="25"/>
      <c r="FC66" s="232"/>
      <c r="FD66" s="232"/>
      <c r="FE66" s="232"/>
      <c r="FF66" s="232"/>
      <c r="FG66" s="232"/>
      <c r="FH66" s="232"/>
      <c r="FI66" s="25"/>
      <c r="FJ66" s="232"/>
      <c r="FK66" s="25"/>
      <c r="FL66" s="25"/>
      <c r="FM66" s="25"/>
      <c r="FN66" s="25"/>
      <c r="FO66" s="50"/>
      <c r="FP66" s="50"/>
      <c r="FQ66" s="232"/>
      <c r="FR66" s="232"/>
      <c r="FS66" s="232"/>
      <c r="FT66" s="50"/>
      <c r="FU66" s="50"/>
      <c r="FV66" s="232"/>
      <c r="FW66" s="76"/>
      <c r="FX66" s="232"/>
      <c r="FY66" s="232"/>
      <c r="FZ66" s="50"/>
      <c r="GA66" s="50"/>
      <c r="GB66" s="50"/>
      <c r="GC66" s="50"/>
      <c r="GD66" s="50"/>
      <c r="GE66" s="52"/>
      <c r="GK66" s="533"/>
      <c r="GL66" s="238" t="s">
        <v>176</v>
      </c>
      <c r="GM66" s="299" t="e">
        <f t="shared" ca="1" si="12"/>
        <v>#REF!</v>
      </c>
    </row>
    <row r="67" spans="2:195" ht="12.75" customHeight="1" x14ac:dyDescent="0.2">
      <c r="B67" s="25"/>
      <c r="C67" s="25"/>
      <c r="D67" s="232"/>
      <c r="E67" s="232"/>
      <c r="F67" s="232"/>
      <c r="G67" s="25"/>
      <c r="H67" s="25"/>
      <c r="I67" s="234"/>
      <c r="J67" s="25"/>
      <c r="K67" s="25"/>
      <c r="L67" s="25"/>
      <c r="M67" s="25"/>
      <c r="N67" s="25"/>
      <c r="O67" s="232"/>
      <c r="P67" s="25"/>
      <c r="Q67" s="232"/>
      <c r="R67" s="25"/>
      <c r="S67" s="25"/>
      <c r="T67" s="232"/>
      <c r="U67" s="232"/>
      <c r="V67" s="25"/>
      <c r="W67" s="236"/>
      <c r="X67" s="236"/>
      <c r="Y67" s="25"/>
      <c r="Z67" s="25"/>
      <c r="AA67" s="25"/>
      <c r="AB67" s="232"/>
      <c r="AC67" s="25"/>
      <c r="AD67" s="232"/>
      <c r="AE67" s="25"/>
      <c r="AF67" s="232"/>
      <c r="AG67" s="25"/>
      <c r="AH67" s="25"/>
      <c r="AI67" s="25"/>
      <c r="AJ67" s="25"/>
      <c r="AK67" s="25"/>
      <c r="AL67" s="25"/>
      <c r="AM67" s="25"/>
      <c r="AN67" s="25"/>
      <c r="AO67" s="25"/>
      <c r="AP67" s="25"/>
      <c r="AQ67" s="25"/>
      <c r="AR67" s="25"/>
      <c r="AS67" s="25"/>
      <c r="AT67" s="25"/>
      <c r="AU67" s="25"/>
      <c r="AV67" s="25"/>
      <c r="AW67" s="25"/>
      <c r="AX67" s="25"/>
      <c r="AY67" s="25"/>
      <c r="AZ67" s="25"/>
      <c r="BA67" s="25"/>
      <c r="BB67" s="25"/>
      <c r="BC67" s="25"/>
      <c r="BD67" s="25"/>
      <c r="BE67" s="25"/>
      <c r="BF67" s="232"/>
      <c r="BG67" s="50"/>
      <c r="BH67" s="25"/>
      <c r="BI67" s="50"/>
      <c r="BJ67" s="50"/>
      <c r="BK67" s="50"/>
      <c r="BL67" s="232"/>
      <c r="BM67" s="232"/>
      <c r="BN67" s="232"/>
      <c r="BO67" s="232"/>
      <c r="BP67" s="232"/>
      <c r="BQ67" s="232"/>
      <c r="BR67" s="232"/>
      <c r="BS67" s="232"/>
      <c r="BT67" s="232"/>
      <c r="BU67" s="232"/>
      <c r="BV67" s="232"/>
      <c r="BW67" s="232"/>
      <c r="BX67" s="232"/>
      <c r="BY67" s="232"/>
      <c r="BZ67" s="232"/>
      <c r="CA67" s="50"/>
      <c r="CB67" s="232"/>
      <c r="CC67" s="232"/>
      <c r="CE67" s="25"/>
      <c r="CF67" s="232"/>
      <c r="CG67" s="25"/>
      <c r="CH67" s="25"/>
      <c r="CI67" s="25"/>
      <c r="CJ67" s="25"/>
      <c r="CK67" s="25"/>
      <c r="CL67" s="232"/>
      <c r="CM67" s="25"/>
      <c r="CN67" s="232"/>
      <c r="CO67" s="25"/>
      <c r="CP67" s="232"/>
      <c r="CQ67" s="232"/>
      <c r="CR67" s="232"/>
      <c r="CS67" s="232"/>
      <c r="CT67" s="232"/>
      <c r="CU67" s="232"/>
      <c r="CV67" s="232"/>
      <c r="CW67" s="232"/>
      <c r="CX67" s="232"/>
      <c r="CY67" s="232"/>
      <c r="CZ67" s="232"/>
      <c r="DA67" s="25"/>
      <c r="DB67" s="232"/>
      <c r="DC67" s="232"/>
      <c r="DD67" s="232"/>
      <c r="DE67" s="25"/>
      <c r="DF67" s="232"/>
      <c r="DG67" s="25"/>
      <c r="DH67" s="232"/>
      <c r="DI67" s="232"/>
      <c r="DJ67" s="25"/>
      <c r="DK67" s="25"/>
      <c r="DM67" s="25"/>
      <c r="DN67" s="25"/>
      <c r="DO67" s="25"/>
      <c r="DP67" s="25"/>
      <c r="DQ67" s="25"/>
      <c r="DR67" s="232"/>
      <c r="DS67" s="25"/>
      <c r="DT67" s="232"/>
      <c r="DU67" s="232"/>
      <c r="DV67" s="25"/>
      <c r="DW67" s="232"/>
      <c r="DX67" s="232"/>
      <c r="DY67" s="232"/>
      <c r="DZ67" s="232"/>
      <c r="EA67" s="232"/>
      <c r="EB67" s="232"/>
      <c r="EC67" s="232"/>
      <c r="ED67" s="232"/>
      <c r="EE67" s="50"/>
      <c r="EF67" s="50"/>
      <c r="EG67" s="25"/>
      <c r="EH67" s="232"/>
      <c r="EI67" s="232"/>
      <c r="EJ67" s="232"/>
      <c r="EK67" s="232"/>
      <c r="EL67" s="25"/>
      <c r="EM67" s="25"/>
      <c r="EN67" s="25"/>
      <c r="EW67" s="20"/>
      <c r="EX67" s="26"/>
      <c r="EY67" s="26"/>
      <c r="EZ67" s="26"/>
      <c r="FA67" s="26"/>
      <c r="FB67" s="25"/>
      <c r="FC67" s="232"/>
      <c r="FD67" s="232"/>
      <c r="FE67" s="232"/>
      <c r="FF67" s="232"/>
      <c r="FG67" s="232"/>
      <c r="FH67" s="232"/>
      <c r="FI67" s="25"/>
      <c r="FJ67" s="232"/>
      <c r="FK67" s="25"/>
      <c r="FL67" s="25"/>
      <c r="FM67" s="25"/>
      <c r="FN67" s="25"/>
      <c r="FO67" s="50"/>
      <c r="FP67" s="50"/>
      <c r="FQ67" s="232"/>
      <c r="FR67" s="232"/>
      <c r="FS67" s="232"/>
      <c r="FT67" s="50"/>
      <c r="FU67" s="50"/>
      <c r="FV67" s="232"/>
      <c r="FW67" s="76"/>
      <c r="FX67" s="232"/>
      <c r="FY67" s="232"/>
      <c r="FZ67" s="50"/>
      <c r="GA67" s="50"/>
      <c r="GB67" s="50"/>
      <c r="GC67" s="50"/>
      <c r="GD67" s="50"/>
      <c r="GE67" s="52"/>
      <c r="GK67" s="533"/>
      <c r="GL67" s="238" t="s">
        <v>25</v>
      </c>
      <c r="GM67" s="299" t="e">
        <f t="shared" ca="1" si="12"/>
        <v>#REF!</v>
      </c>
    </row>
    <row r="68" spans="2:195" ht="12.75" customHeight="1" x14ac:dyDescent="0.2">
      <c r="B68" s="25"/>
      <c r="C68" s="25"/>
      <c r="D68" s="232"/>
      <c r="E68" s="232"/>
      <c r="F68" s="232"/>
      <c r="G68" s="25"/>
      <c r="H68" s="25"/>
      <c r="I68" s="234"/>
      <c r="J68" s="25"/>
      <c r="K68" s="25"/>
      <c r="L68" s="25"/>
      <c r="M68" s="25"/>
      <c r="N68" s="25"/>
      <c r="O68" s="232"/>
      <c r="P68" s="25"/>
      <c r="Q68" s="232"/>
      <c r="R68" s="25"/>
      <c r="S68" s="25"/>
      <c r="T68" s="232"/>
      <c r="U68" s="232"/>
      <c r="V68" s="25"/>
      <c r="W68" s="236"/>
      <c r="X68" s="236"/>
      <c r="Y68" s="25"/>
      <c r="Z68" s="25"/>
      <c r="AA68" s="25"/>
      <c r="AB68" s="232"/>
      <c r="AC68" s="25"/>
      <c r="AD68" s="232"/>
      <c r="AE68" s="25"/>
      <c r="AF68" s="232"/>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232"/>
      <c r="BG68" s="50"/>
      <c r="BH68" s="25"/>
      <c r="BI68" s="50"/>
      <c r="BJ68" s="50"/>
      <c r="BK68" s="50"/>
      <c r="BL68" s="232"/>
      <c r="BM68" s="232"/>
      <c r="BN68" s="232"/>
      <c r="BO68" s="232"/>
      <c r="BP68" s="232"/>
      <c r="BQ68" s="232"/>
      <c r="BR68" s="232"/>
      <c r="BS68" s="232"/>
      <c r="BT68" s="232"/>
      <c r="BU68" s="232"/>
      <c r="BV68" s="232"/>
      <c r="BW68" s="232"/>
      <c r="BX68" s="232"/>
      <c r="BY68" s="232"/>
      <c r="BZ68" s="232"/>
      <c r="CA68" s="50"/>
      <c r="CB68" s="232"/>
      <c r="CC68" s="232"/>
      <c r="CE68" s="25"/>
      <c r="CF68" s="232"/>
      <c r="CG68" s="25"/>
      <c r="CH68" s="25"/>
      <c r="CI68" s="25"/>
      <c r="CJ68" s="25"/>
      <c r="CK68" s="25"/>
      <c r="CL68" s="232"/>
      <c r="CM68" s="25"/>
      <c r="CN68" s="232"/>
      <c r="CO68" s="25"/>
      <c r="CP68" s="232"/>
      <c r="CQ68" s="232"/>
      <c r="CR68" s="232"/>
      <c r="CS68" s="232"/>
      <c r="CT68" s="232"/>
      <c r="CU68" s="232"/>
      <c r="CV68" s="232"/>
      <c r="CW68" s="232"/>
      <c r="CX68" s="232"/>
      <c r="CY68" s="232"/>
      <c r="CZ68" s="232"/>
      <c r="DA68" s="25"/>
      <c r="DB68" s="232"/>
      <c r="DC68" s="232"/>
      <c r="DD68" s="232"/>
      <c r="DE68" s="25"/>
      <c r="DF68" s="232"/>
      <c r="DG68" s="25"/>
      <c r="DH68" s="232"/>
      <c r="DI68" s="232"/>
      <c r="DJ68" s="25"/>
      <c r="DK68" s="25"/>
      <c r="DM68" s="25"/>
      <c r="DN68" s="25"/>
      <c r="DO68" s="25"/>
      <c r="DP68" s="25"/>
      <c r="DQ68" s="25"/>
      <c r="DR68" s="232"/>
      <c r="DS68" s="25"/>
      <c r="DT68" s="232"/>
      <c r="DU68" s="232"/>
      <c r="DV68" s="25"/>
      <c r="DW68" s="232"/>
      <c r="DX68" s="232"/>
      <c r="DY68" s="232"/>
      <c r="DZ68" s="232"/>
      <c r="EA68" s="232"/>
      <c r="EB68" s="232"/>
      <c r="EC68" s="232"/>
      <c r="ED68" s="232"/>
      <c r="EE68" s="50"/>
      <c r="EF68" s="50"/>
      <c r="EG68" s="25"/>
      <c r="EH68" s="232"/>
      <c r="EI68" s="232"/>
      <c r="EJ68" s="232"/>
      <c r="EK68" s="232"/>
      <c r="EL68" s="25"/>
      <c r="EM68" s="25"/>
      <c r="EN68" s="25"/>
      <c r="EW68" s="20"/>
      <c r="EX68" s="26"/>
      <c r="EY68" s="26"/>
      <c r="EZ68" s="26"/>
      <c r="FA68" s="26"/>
      <c r="FB68" s="25"/>
      <c r="FC68" s="232"/>
      <c r="FD68" s="232"/>
      <c r="FE68" s="232"/>
      <c r="FF68" s="232"/>
      <c r="FG68" s="232"/>
      <c r="FH68" s="232"/>
      <c r="FI68" s="25"/>
      <c r="FJ68" s="232"/>
      <c r="FK68" s="25"/>
      <c r="FL68" s="25"/>
      <c r="FM68" s="25"/>
      <c r="FN68" s="25"/>
      <c r="FO68" s="50"/>
      <c r="FP68" s="50"/>
      <c r="FQ68" s="232"/>
      <c r="FR68" s="232"/>
      <c r="FS68" s="232"/>
      <c r="FT68" s="50"/>
      <c r="FU68" s="50"/>
      <c r="FV68" s="232"/>
      <c r="FW68" s="76"/>
      <c r="FX68" s="232"/>
      <c r="FY68" s="232"/>
      <c r="FZ68" s="50"/>
      <c r="GA68" s="50"/>
      <c r="GB68" s="50"/>
      <c r="GC68" s="50"/>
      <c r="GD68" s="50"/>
      <c r="GE68" s="52"/>
      <c r="GK68" s="533"/>
      <c r="GL68" s="238" t="s">
        <v>706</v>
      </c>
      <c r="GM68" s="299" t="e">
        <f t="shared" ca="1" si="12"/>
        <v>#REF!</v>
      </c>
    </row>
    <row r="69" spans="2:195" ht="12.75" customHeight="1" x14ac:dyDescent="0.2">
      <c r="B69" s="25"/>
      <c r="C69" s="25"/>
      <c r="D69" s="232"/>
      <c r="E69" s="232"/>
      <c r="F69" s="232"/>
      <c r="G69" s="25"/>
      <c r="H69" s="25"/>
      <c r="I69" s="234"/>
      <c r="J69" s="25"/>
      <c r="K69" s="25"/>
      <c r="L69" s="25"/>
      <c r="M69" s="25"/>
      <c r="N69" s="25"/>
      <c r="O69" s="232"/>
      <c r="P69" s="25"/>
      <c r="Q69" s="232"/>
      <c r="R69" s="25"/>
      <c r="S69" s="25"/>
      <c r="T69" s="232"/>
      <c r="U69" s="232"/>
      <c r="V69" s="25"/>
      <c r="W69" s="236"/>
      <c r="X69" s="236"/>
      <c r="Y69" s="25"/>
      <c r="Z69" s="25"/>
      <c r="AA69" s="25"/>
      <c r="AB69" s="232"/>
      <c r="AC69" s="25"/>
      <c r="AD69" s="232"/>
      <c r="AE69" s="25"/>
      <c r="AF69" s="232"/>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232"/>
      <c r="BG69" s="50"/>
      <c r="BH69" s="25"/>
      <c r="BI69" s="50"/>
      <c r="BJ69" s="50"/>
      <c r="BK69" s="50"/>
      <c r="BL69" s="232"/>
      <c r="BM69" s="232"/>
      <c r="BN69" s="232"/>
      <c r="BO69" s="232"/>
      <c r="BP69" s="232"/>
      <c r="BQ69" s="232"/>
      <c r="BR69" s="232"/>
      <c r="BS69" s="232"/>
      <c r="BT69" s="232"/>
      <c r="BU69" s="232"/>
      <c r="BV69" s="232"/>
      <c r="BW69" s="232"/>
      <c r="BX69" s="232"/>
      <c r="BY69" s="232"/>
      <c r="BZ69" s="232"/>
      <c r="CA69" s="50"/>
      <c r="CB69" s="232"/>
      <c r="CC69" s="232"/>
      <c r="CE69" s="25"/>
      <c r="CF69" s="232"/>
      <c r="CG69" s="25"/>
      <c r="CH69" s="25"/>
      <c r="CI69" s="25"/>
      <c r="CJ69" s="25"/>
      <c r="CK69" s="25"/>
      <c r="CL69" s="232"/>
      <c r="CM69" s="25"/>
      <c r="CN69" s="232"/>
      <c r="CO69" s="25"/>
      <c r="CP69" s="232"/>
      <c r="CQ69" s="232"/>
      <c r="CR69" s="232"/>
      <c r="CS69" s="232"/>
      <c r="CT69" s="232"/>
      <c r="CU69" s="232"/>
      <c r="CV69" s="232"/>
      <c r="CW69" s="232"/>
      <c r="CX69" s="232"/>
      <c r="CY69" s="232"/>
      <c r="CZ69" s="232"/>
      <c r="DA69" s="25"/>
      <c r="DB69" s="232"/>
      <c r="DC69" s="232"/>
      <c r="DD69" s="232"/>
      <c r="DE69" s="25"/>
      <c r="DF69" s="232"/>
      <c r="DG69" s="25"/>
      <c r="DH69" s="232"/>
      <c r="DI69" s="232"/>
      <c r="DJ69" s="25"/>
      <c r="DK69" s="25"/>
      <c r="DM69" s="25"/>
      <c r="DN69" s="25"/>
      <c r="DO69" s="25"/>
      <c r="DP69" s="25"/>
      <c r="DQ69" s="25"/>
      <c r="DR69" s="232"/>
      <c r="DS69" s="25"/>
      <c r="DT69" s="232"/>
      <c r="DU69" s="232"/>
      <c r="DV69" s="25"/>
      <c r="DW69" s="232"/>
      <c r="DX69" s="232"/>
      <c r="DY69" s="232"/>
      <c r="DZ69" s="232"/>
      <c r="EA69" s="232"/>
      <c r="EB69" s="232"/>
      <c r="EC69" s="232"/>
      <c r="ED69" s="232"/>
      <c r="EE69" s="50"/>
      <c r="EF69" s="50"/>
      <c r="EG69" s="25"/>
      <c r="EH69" s="232"/>
      <c r="EI69" s="232"/>
      <c r="EJ69" s="232"/>
      <c r="EK69" s="232"/>
      <c r="EL69" s="25"/>
      <c r="EM69" s="25"/>
      <c r="EN69" s="25"/>
      <c r="EW69" s="20"/>
      <c r="EX69" s="26"/>
      <c r="EY69" s="26"/>
      <c r="EZ69" s="26"/>
      <c r="FA69" s="26"/>
      <c r="FB69" s="25"/>
      <c r="FC69" s="232"/>
      <c r="FD69" s="232"/>
      <c r="FE69" s="232"/>
      <c r="FF69" s="232"/>
      <c r="FG69" s="232"/>
      <c r="FH69" s="232"/>
      <c r="FI69" s="25"/>
      <c r="FJ69" s="232"/>
      <c r="FK69" s="25"/>
      <c r="FL69" s="25"/>
      <c r="FM69" s="25"/>
      <c r="FN69" s="25"/>
      <c r="FO69" s="50"/>
      <c r="FP69" s="50"/>
      <c r="FQ69" s="232"/>
      <c r="FR69" s="232"/>
      <c r="FS69" s="232"/>
      <c r="FT69" s="50"/>
      <c r="FU69" s="50"/>
      <c r="FV69" s="232"/>
      <c r="FW69" s="76"/>
      <c r="FX69" s="232"/>
      <c r="FY69" s="232"/>
      <c r="FZ69" s="50"/>
      <c r="GA69" s="50"/>
      <c r="GB69" s="50"/>
      <c r="GC69" s="50"/>
      <c r="GD69" s="50"/>
      <c r="GE69" s="52"/>
      <c r="GK69" s="533" t="s">
        <v>1156</v>
      </c>
      <c r="GL69" s="238" t="s">
        <v>181</v>
      </c>
      <c r="GM69" s="300">
        <f t="shared" ref="GM69:GM75" ca="1" si="13">IFERROR(SUMIF(Str_AVFStructureType,$GJ5,y5_QuantityKeyDimensionSSS)/SUMIF(Str_AVFStructureType,$GJ5,Str_DimensionforSSCI),)</f>
        <v>0</v>
      </c>
    </row>
    <row r="70" spans="2:195" ht="12.75" customHeight="1" x14ac:dyDescent="0.2">
      <c r="B70" s="25"/>
      <c r="C70" s="25"/>
      <c r="D70" s="232"/>
      <c r="E70" s="232"/>
      <c r="F70" s="232"/>
      <c r="G70" s="25"/>
      <c r="H70" s="25"/>
      <c r="I70" s="234"/>
      <c r="J70" s="25"/>
      <c r="K70" s="25"/>
      <c r="L70" s="25"/>
      <c r="M70" s="25"/>
      <c r="N70" s="25"/>
      <c r="O70" s="232"/>
      <c r="P70" s="25"/>
      <c r="Q70" s="232"/>
      <c r="R70" s="25"/>
      <c r="S70" s="25"/>
      <c r="T70" s="232"/>
      <c r="U70" s="232"/>
      <c r="V70" s="25"/>
      <c r="W70" s="236"/>
      <c r="X70" s="236"/>
      <c r="Y70" s="25"/>
      <c r="Z70" s="25"/>
      <c r="AA70" s="25"/>
      <c r="AB70" s="232"/>
      <c r="AC70" s="25"/>
      <c r="AD70" s="232"/>
      <c r="AE70" s="25"/>
      <c r="AF70" s="232"/>
      <c r="AG70" s="25"/>
      <c r="AH70" s="25"/>
      <c r="AI70" s="25"/>
      <c r="AJ70" s="25"/>
      <c r="AK70" s="25"/>
      <c r="AL70" s="25"/>
      <c r="AM70" s="25"/>
      <c r="AN70" s="25"/>
      <c r="AO70" s="25"/>
      <c r="AP70" s="25"/>
      <c r="AQ70" s="25"/>
      <c r="AR70" s="25"/>
      <c r="AS70" s="25"/>
      <c r="AT70" s="25"/>
      <c r="AU70" s="25"/>
      <c r="AV70" s="25"/>
      <c r="AW70" s="25"/>
      <c r="AX70" s="25"/>
      <c r="AY70" s="25"/>
      <c r="AZ70" s="25"/>
      <c r="BA70" s="25"/>
      <c r="BB70" s="25"/>
      <c r="BC70" s="25"/>
      <c r="BD70" s="25"/>
      <c r="BE70" s="25"/>
      <c r="BF70" s="232"/>
      <c r="BG70" s="50"/>
      <c r="BH70" s="25"/>
      <c r="BI70" s="50"/>
      <c r="BJ70" s="50"/>
      <c r="BK70" s="50"/>
      <c r="BL70" s="232"/>
      <c r="BM70" s="232"/>
      <c r="BN70" s="232"/>
      <c r="BO70" s="232"/>
      <c r="BP70" s="232"/>
      <c r="BQ70" s="232"/>
      <c r="BR70" s="232"/>
      <c r="BS70" s="232"/>
      <c r="BT70" s="232"/>
      <c r="BU70" s="232"/>
      <c r="BV70" s="232"/>
      <c r="BW70" s="232"/>
      <c r="BX70" s="232"/>
      <c r="BY70" s="232"/>
      <c r="BZ70" s="232"/>
      <c r="CA70" s="50"/>
      <c r="CB70" s="232"/>
      <c r="CC70" s="232"/>
      <c r="CE70" s="25"/>
      <c r="CF70" s="232"/>
      <c r="CG70" s="25"/>
      <c r="CH70" s="25"/>
      <c r="CI70" s="25"/>
      <c r="CJ70" s="25"/>
      <c r="CK70" s="25"/>
      <c r="CL70" s="232"/>
      <c r="CM70" s="25"/>
      <c r="CN70" s="232"/>
      <c r="CO70" s="25"/>
      <c r="CP70" s="232"/>
      <c r="CQ70" s="232"/>
      <c r="CR70" s="232"/>
      <c r="CS70" s="232"/>
      <c r="CT70" s="232"/>
      <c r="CU70" s="232"/>
      <c r="CV70" s="232"/>
      <c r="CW70" s="232"/>
      <c r="CX70" s="232"/>
      <c r="CY70" s="232"/>
      <c r="CZ70" s="232"/>
      <c r="DA70" s="25"/>
      <c r="DB70" s="232"/>
      <c r="DC70" s="232"/>
      <c r="DD70" s="232"/>
      <c r="DE70" s="25"/>
      <c r="DF70" s="232"/>
      <c r="DG70" s="25"/>
      <c r="DH70" s="232"/>
      <c r="DI70" s="232"/>
      <c r="DJ70" s="25"/>
      <c r="DK70" s="25"/>
      <c r="DM70" s="25"/>
      <c r="DN70" s="25"/>
      <c r="DO70" s="25"/>
      <c r="DP70" s="25"/>
      <c r="DQ70" s="25"/>
      <c r="DR70" s="232"/>
      <c r="DS70" s="25"/>
      <c r="DT70" s="232"/>
      <c r="DU70" s="232"/>
      <c r="DV70" s="25"/>
      <c r="DW70" s="232"/>
      <c r="DX70" s="232"/>
      <c r="DY70" s="232"/>
      <c r="DZ70" s="232"/>
      <c r="EA70" s="232"/>
      <c r="EB70" s="232"/>
      <c r="EC70" s="232"/>
      <c r="ED70" s="232"/>
      <c r="EE70" s="50"/>
      <c r="EF70" s="50"/>
      <c r="EG70" s="25"/>
      <c r="EH70" s="232"/>
      <c r="EI70" s="232"/>
      <c r="EJ70" s="232"/>
      <c r="EK70" s="232"/>
      <c r="EL70" s="25"/>
      <c r="EM70" s="25"/>
      <c r="EN70" s="25"/>
      <c r="EW70" s="20"/>
      <c r="EX70" s="26"/>
      <c r="EY70" s="26"/>
      <c r="EZ70" s="26"/>
      <c r="FA70" s="26"/>
      <c r="FB70" s="25"/>
      <c r="FC70" s="232"/>
      <c r="FD70" s="232"/>
      <c r="FE70" s="232"/>
      <c r="FF70" s="232"/>
      <c r="FG70" s="232"/>
      <c r="FH70" s="232"/>
      <c r="FI70" s="25"/>
      <c r="FJ70" s="232"/>
      <c r="FK70" s="25"/>
      <c r="FL70" s="25"/>
      <c r="FM70" s="25"/>
      <c r="FN70" s="25"/>
      <c r="FO70" s="50"/>
      <c r="FP70" s="50"/>
      <c r="FQ70" s="232"/>
      <c r="FR70" s="232"/>
      <c r="FS70" s="232"/>
      <c r="FT70" s="50"/>
      <c r="FU70" s="50"/>
      <c r="FV70" s="232"/>
      <c r="FW70" s="76"/>
      <c r="FX70" s="232"/>
      <c r="FY70" s="232"/>
      <c r="FZ70" s="50"/>
      <c r="GA70" s="50"/>
      <c r="GB70" s="50"/>
      <c r="GC70" s="50"/>
      <c r="GD70" s="50"/>
      <c r="GE70" s="52"/>
      <c r="GK70" s="533"/>
      <c r="GL70" s="238" t="s">
        <v>180</v>
      </c>
      <c r="GM70" s="300">
        <f t="shared" ca="1" si="13"/>
        <v>0</v>
      </c>
    </row>
    <row r="71" spans="2:195" ht="12.75" customHeight="1" x14ac:dyDescent="0.2">
      <c r="B71" s="25"/>
      <c r="C71" s="25"/>
      <c r="D71" s="232"/>
      <c r="E71" s="232"/>
      <c r="F71" s="232"/>
      <c r="G71" s="25"/>
      <c r="H71" s="25"/>
      <c r="I71" s="234"/>
      <c r="J71" s="25"/>
      <c r="K71" s="25"/>
      <c r="L71" s="25"/>
      <c r="M71" s="25"/>
      <c r="N71" s="25"/>
      <c r="O71" s="232"/>
      <c r="P71" s="25"/>
      <c r="Q71" s="232"/>
      <c r="R71" s="25"/>
      <c r="S71" s="25"/>
      <c r="T71" s="232"/>
      <c r="U71" s="232"/>
      <c r="V71" s="25"/>
      <c r="W71" s="236"/>
      <c r="X71" s="236"/>
      <c r="Y71" s="25"/>
      <c r="Z71" s="25"/>
      <c r="AA71" s="25"/>
      <c r="AB71" s="232"/>
      <c r="AC71" s="25"/>
      <c r="AD71" s="232"/>
      <c r="AE71" s="25"/>
      <c r="AF71" s="232"/>
      <c r="AG71" s="25"/>
      <c r="AH71" s="25"/>
      <c r="AI71" s="25"/>
      <c r="AJ71" s="25"/>
      <c r="AK71" s="25"/>
      <c r="AL71" s="25"/>
      <c r="AM71" s="25"/>
      <c r="AN71" s="25"/>
      <c r="AO71" s="25"/>
      <c r="AP71" s="25"/>
      <c r="AQ71" s="25"/>
      <c r="AR71" s="25"/>
      <c r="AS71" s="25"/>
      <c r="AT71" s="25"/>
      <c r="AU71" s="25"/>
      <c r="AV71" s="25"/>
      <c r="AW71" s="25"/>
      <c r="AX71" s="25"/>
      <c r="AY71" s="25"/>
      <c r="AZ71" s="25"/>
      <c r="BA71" s="25"/>
      <c r="BB71" s="25"/>
      <c r="BC71" s="25"/>
      <c r="BD71" s="25"/>
      <c r="BE71" s="25"/>
      <c r="BF71" s="232"/>
      <c r="BG71" s="50"/>
      <c r="BH71" s="25"/>
      <c r="BI71" s="50"/>
      <c r="BJ71" s="50"/>
      <c r="BK71" s="50"/>
      <c r="BL71" s="232"/>
      <c r="BM71" s="232"/>
      <c r="BN71" s="232"/>
      <c r="BO71" s="232"/>
      <c r="BP71" s="232"/>
      <c r="BQ71" s="232"/>
      <c r="BR71" s="232"/>
      <c r="BS71" s="232"/>
      <c r="BT71" s="232"/>
      <c r="BU71" s="232"/>
      <c r="BV71" s="232"/>
      <c r="BW71" s="232"/>
      <c r="BX71" s="232"/>
      <c r="BY71" s="232"/>
      <c r="BZ71" s="232"/>
      <c r="CA71" s="50"/>
      <c r="CB71" s="232"/>
      <c r="CC71" s="232"/>
      <c r="CE71" s="25"/>
      <c r="CF71" s="232"/>
      <c r="CG71" s="25"/>
      <c r="CH71" s="25"/>
      <c r="CI71" s="25"/>
      <c r="CJ71" s="25"/>
      <c r="CK71" s="25"/>
      <c r="CL71" s="232"/>
      <c r="CM71" s="25"/>
      <c r="CN71" s="232"/>
      <c r="CO71" s="25"/>
      <c r="CP71" s="232"/>
      <c r="CQ71" s="232"/>
      <c r="CR71" s="232"/>
      <c r="CS71" s="232"/>
      <c r="CT71" s="232"/>
      <c r="CU71" s="232"/>
      <c r="CV71" s="232"/>
      <c r="CW71" s="232"/>
      <c r="CX71" s="232"/>
      <c r="CY71" s="232"/>
      <c r="CZ71" s="232"/>
      <c r="DA71" s="25"/>
      <c r="DB71" s="232"/>
      <c r="DC71" s="232"/>
      <c r="DD71" s="232"/>
      <c r="DE71" s="25"/>
      <c r="DF71" s="232"/>
      <c r="DG71" s="25"/>
      <c r="DH71" s="232"/>
      <c r="DI71" s="232"/>
      <c r="DJ71" s="25"/>
      <c r="DK71" s="25"/>
      <c r="DM71" s="25"/>
      <c r="DN71" s="25"/>
      <c r="DO71" s="25"/>
      <c r="DP71" s="25"/>
      <c r="DQ71" s="25"/>
      <c r="DR71" s="232"/>
      <c r="DS71" s="25"/>
      <c r="DT71" s="232"/>
      <c r="DU71" s="232"/>
      <c r="DV71" s="25"/>
      <c r="DW71" s="232"/>
      <c r="DX71" s="232"/>
      <c r="DY71" s="232"/>
      <c r="DZ71" s="232"/>
      <c r="EA71" s="232"/>
      <c r="EB71" s="232"/>
      <c r="EC71" s="232"/>
      <c r="ED71" s="232"/>
      <c r="EE71" s="50"/>
      <c r="EF71" s="50"/>
      <c r="EG71" s="25"/>
      <c r="EH71" s="232"/>
      <c r="EI71" s="232"/>
      <c r="EJ71" s="232"/>
      <c r="EK71" s="232"/>
      <c r="EL71" s="25"/>
      <c r="EM71" s="25"/>
      <c r="EN71" s="25"/>
      <c r="EW71" s="20"/>
      <c r="EX71" s="26"/>
      <c r="EY71" s="26"/>
      <c r="EZ71" s="26"/>
      <c r="FA71" s="26"/>
      <c r="FB71" s="25"/>
      <c r="FC71" s="232"/>
      <c r="FD71" s="232"/>
      <c r="FE71" s="232"/>
      <c r="FF71" s="232"/>
      <c r="FG71" s="232"/>
      <c r="FH71" s="232"/>
      <c r="FI71" s="25"/>
      <c r="FJ71" s="232"/>
      <c r="FK71" s="25"/>
      <c r="FL71" s="25"/>
      <c r="FM71" s="25"/>
      <c r="FN71" s="25"/>
      <c r="FO71" s="50"/>
      <c r="FP71" s="50"/>
      <c r="FQ71" s="232"/>
      <c r="FR71" s="232"/>
      <c r="FS71" s="232"/>
      <c r="FT71" s="50"/>
      <c r="FU71" s="50"/>
      <c r="FV71" s="232"/>
      <c r="FW71" s="76"/>
      <c r="FX71" s="232"/>
      <c r="FY71" s="232"/>
      <c r="FZ71" s="50"/>
      <c r="GA71" s="50"/>
      <c r="GB71" s="50"/>
      <c r="GC71" s="50"/>
      <c r="GD71" s="50"/>
      <c r="GE71" s="52"/>
      <c r="GK71" s="533"/>
      <c r="GL71" s="238" t="s">
        <v>179</v>
      </c>
      <c r="GM71" s="300">
        <f t="shared" ca="1" si="13"/>
        <v>0</v>
      </c>
    </row>
    <row r="72" spans="2:195" ht="12.75" customHeight="1" x14ac:dyDescent="0.2">
      <c r="B72" s="25"/>
      <c r="C72" s="25"/>
      <c r="D72" s="232"/>
      <c r="E72" s="232"/>
      <c r="F72" s="232"/>
      <c r="G72" s="25"/>
      <c r="H72" s="25"/>
      <c r="I72" s="234"/>
      <c r="J72" s="25"/>
      <c r="K72" s="25"/>
      <c r="L72" s="25"/>
      <c r="M72" s="25"/>
      <c r="N72" s="25"/>
      <c r="O72" s="232"/>
      <c r="P72" s="25"/>
      <c r="Q72" s="232"/>
      <c r="R72" s="25"/>
      <c r="S72" s="25"/>
      <c r="T72" s="232"/>
      <c r="U72" s="232"/>
      <c r="V72" s="25"/>
      <c r="W72" s="236"/>
      <c r="X72" s="236"/>
      <c r="Y72" s="25"/>
      <c r="Z72" s="25"/>
      <c r="AA72" s="25"/>
      <c r="AB72" s="232"/>
      <c r="AC72" s="25"/>
      <c r="AD72" s="232"/>
      <c r="AE72" s="25"/>
      <c r="AF72" s="232"/>
      <c r="AG72" s="25"/>
      <c r="AH72" s="25"/>
      <c r="AI72" s="25"/>
      <c r="AJ72" s="25"/>
      <c r="AK72" s="25"/>
      <c r="AL72" s="25"/>
      <c r="AM72" s="25"/>
      <c r="AN72" s="25"/>
      <c r="AO72" s="25"/>
      <c r="AP72" s="25"/>
      <c r="AQ72" s="25"/>
      <c r="AR72" s="25"/>
      <c r="AS72" s="25"/>
      <c r="AT72" s="25"/>
      <c r="AU72" s="25"/>
      <c r="AV72" s="25"/>
      <c r="AW72" s="25"/>
      <c r="AX72" s="25"/>
      <c r="AY72" s="25"/>
      <c r="AZ72" s="25"/>
      <c r="BA72" s="25"/>
      <c r="BB72" s="25"/>
      <c r="BC72" s="25"/>
      <c r="BD72" s="25"/>
      <c r="BE72" s="25"/>
      <c r="BF72" s="232"/>
      <c r="BG72" s="50"/>
      <c r="BH72" s="25"/>
      <c r="BI72" s="50"/>
      <c r="BJ72" s="50"/>
      <c r="BK72" s="50"/>
      <c r="BL72" s="232"/>
      <c r="BM72" s="232"/>
      <c r="BN72" s="232"/>
      <c r="BO72" s="232"/>
      <c r="BP72" s="232"/>
      <c r="BQ72" s="232"/>
      <c r="BR72" s="232"/>
      <c r="BS72" s="232"/>
      <c r="BT72" s="232"/>
      <c r="BU72" s="232"/>
      <c r="BV72" s="232"/>
      <c r="BW72" s="232"/>
      <c r="BX72" s="232"/>
      <c r="BY72" s="232"/>
      <c r="BZ72" s="232"/>
      <c r="CA72" s="50"/>
      <c r="CB72" s="232"/>
      <c r="CC72" s="232"/>
      <c r="CE72" s="25"/>
      <c r="CF72" s="232"/>
      <c r="CG72" s="25"/>
      <c r="CH72" s="25"/>
      <c r="CI72" s="25"/>
      <c r="CJ72" s="25"/>
      <c r="CK72" s="25"/>
      <c r="CL72" s="232"/>
      <c r="CM72" s="25"/>
      <c r="CN72" s="232"/>
      <c r="CO72" s="25"/>
      <c r="CP72" s="232"/>
      <c r="CQ72" s="232"/>
      <c r="CR72" s="232"/>
      <c r="CS72" s="232"/>
      <c r="CT72" s="232"/>
      <c r="CU72" s="232"/>
      <c r="CV72" s="232"/>
      <c r="CW72" s="232"/>
      <c r="CX72" s="232"/>
      <c r="CY72" s="232"/>
      <c r="CZ72" s="232"/>
      <c r="DA72" s="25"/>
      <c r="DB72" s="232"/>
      <c r="DC72" s="232"/>
      <c r="DD72" s="232"/>
      <c r="DE72" s="25"/>
      <c r="DF72" s="232"/>
      <c r="DG72" s="25"/>
      <c r="DH72" s="232"/>
      <c r="DI72" s="232"/>
      <c r="DJ72" s="25"/>
      <c r="DK72" s="25"/>
      <c r="DM72" s="25"/>
      <c r="DN72" s="25"/>
      <c r="DO72" s="25"/>
      <c r="DP72" s="25"/>
      <c r="DQ72" s="25"/>
      <c r="DR72" s="232"/>
      <c r="DS72" s="25"/>
      <c r="DT72" s="232"/>
      <c r="DU72" s="232"/>
      <c r="DV72" s="25"/>
      <c r="DW72" s="232"/>
      <c r="DX72" s="232"/>
      <c r="DY72" s="232"/>
      <c r="DZ72" s="232"/>
      <c r="EA72" s="232"/>
      <c r="EB72" s="232"/>
      <c r="EC72" s="232"/>
      <c r="ED72" s="232"/>
      <c r="EE72" s="50"/>
      <c r="EF72" s="50"/>
      <c r="EG72" s="25"/>
      <c r="EH72" s="232"/>
      <c r="EI72" s="232"/>
      <c r="EJ72" s="232"/>
      <c r="EK72" s="232"/>
      <c r="EL72" s="25"/>
      <c r="EM72" s="25"/>
      <c r="EN72" s="25"/>
      <c r="EW72" s="20"/>
      <c r="EX72" s="26"/>
      <c r="EY72" s="26"/>
      <c r="EZ72" s="26"/>
      <c r="FA72" s="26"/>
      <c r="FB72" s="25"/>
      <c r="FC72" s="232"/>
      <c r="FD72" s="232"/>
      <c r="FE72" s="232"/>
      <c r="FF72" s="232"/>
      <c r="FG72" s="232"/>
      <c r="FH72" s="232"/>
      <c r="FI72" s="25"/>
      <c r="FJ72" s="232"/>
      <c r="FK72" s="25"/>
      <c r="FL72" s="25"/>
      <c r="FM72" s="25"/>
      <c r="FN72" s="25"/>
      <c r="FO72" s="50"/>
      <c r="FP72" s="50"/>
      <c r="FQ72" s="232"/>
      <c r="FR72" s="232"/>
      <c r="FS72" s="232"/>
      <c r="FT72" s="50"/>
      <c r="FU72" s="50"/>
      <c r="FV72" s="232"/>
      <c r="FW72" s="76"/>
      <c r="FX72" s="232"/>
      <c r="FY72" s="232"/>
      <c r="FZ72" s="50"/>
      <c r="GA72" s="50"/>
      <c r="GB72" s="50"/>
      <c r="GC72" s="50"/>
      <c r="GD72" s="50"/>
      <c r="GE72" s="52"/>
      <c r="GK72" s="533"/>
      <c r="GL72" s="238" t="s">
        <v>178</v>
      </c>
      <c r="GM72" s="300">
        <f t="shared" ca="1" si="13"/>
        <v>0</v>
      </c>
    </row>
    <row r="73" spans="2:195" ht="12.75" customHeight="1" x14ac:dyDescent="0.2">
      <c r="B73" s="25"/>
      <c r="C73" s="25"/>
      <c r="D73" s="232"/>
      <c r="E73" s="232"/>
      <c r="F73" s="232"/>
      <c r="G73" s="25"/>
      <c r="H73" s="25"/>
      <c r="I73" s="234"/>
      <c r="J73" s="25"/>
      <c r="K73" s="25"/>
      <c r="L73" s="25"/>
      <c r="M73" s="25"/>
      <c r="N73" s="25"/>
      <c r="O73" s="232"/>
      <c r="P73" s="25"/>
      <c r="Q73" s="232"/>
      <c r="R73" s="25"/>
      <c r="S73" s="25"/>
      <c r="T73" s="232"/>
      <c r="U73" s="232"/>
      <c r="V73" s="25"/>
      <c r="W73" s="236"/>
      <c r="X73" s="236"/>
      <c r="Y73" s="25"/>
      <c r="Z73" s="25"/>
      <c r="AA73" s="25"/>
      <c r="AB73" s="232"/>
      <c r="AC73" s="25"/>
      <c r="AD73" s="232"/>
      <c r="AE73" s="25"/>
      <c r="AF73" s="232"/>
      <c r="AG73" s="25"/>
      <c r="AH73" s="25"/>
      <c r="AI73" s="25"/>
      <c r="AJ73" s="25"/>
      <c r="AK73" s="25"/>
      <c r="AL73" s="25"/>
      <c r="AM73" s="25"/>
      <c r="AN73" s="25"/>
      <c r="AO73" s="25"/>
      <c r="AP73" s="25"/>
      <c r="AQ73" s="25"/>
      <c r="AR73" s="25"/>
      <c r="AS73" s="25"/>
      <c r="AT73" s="25"/>
      <c r="AU73" s="25"/>
      <c r="AV73" s="25"/>
      <c r="AW73" s="25"/>
      <c r="AX73" s="25"/>
      <c r="AY73" s="25"/>
      <c r="AZ73" s="25"/>
      <c r="BA73" s="25"/>
      <c r="BB73" s="25"/>
      <c r="BC73" s="25"/>
      <c r="BD73" s="25"/>
      <c r="BE73" s="25"/>
      <c r="BF73" s="232"/>
      <c r="BG73" s="50"/>
      <c r="BH73" s="25"/>
      <c r="BI73" s="50"/>
      <c r="BJ73" s="50"/>
      <c r="BK73" s="50"/>
      <c r="BL73" s="232"/>
      <c r="BM73" s="232"/>
      <c r="BN73" s="232"/>
      <c r="BO73" s="232"/>
      <c r="BP73" s="232"/>
      <c r="BQ73" s="232"/>
      <c r="BR73" s="232"/>
      <c r="BS73" s="232"/>
      <c r="BT73" s="232"/>
      <c r="BU73" s="232"/>
      <c r="BV73" s="232"/>
      <c r="BW73" s="232"/>
      <c r="BX73" s="232"/>
      <c r="BY73" s="232"/>
      <c r="BZ73" s="232"/>
      <c r="CA73" s="50"/>
      <c r="CB73" s="232"/>
      <c r="CC73" s="232"/>
      <c r="CE73" s="25"/>
      <c r="CF73" s="232"/>
      <c r="CG73" s="25"/>
      <c r="CH73" s="25"/>
      <c r="CI73" s="25"/>
      <c r="CJ73" s="25"/>
      <c r="CK73" s="25"/>
      <c r="CL73" s="232"/>
      <c r="CM73" s="25"/>
      <c r="CN73" s="232"/>
      <c r="CO73" s="25"/>
      <c r="CP73" s="232"/>
      <c r="CQ73" s="232"/>
      <c r="CR73" s="232"/>
      <c r="CS73" s="232"/>
      <c r="CT73" s="232"/>
      <c r="CU73" s="232"/>
      <c r="CV73" s="232"/>
      <c r="CW73" s="232"/>
      <c r="CX73" s="232"/>
      <c r="CY73" s="232"/>
      <c r="CZ73" s="232"/>
      <c r="DA73" s="25"/>
      <c r="DB73" s="232"/>
      <c r="DC73" s="232"/>
      <c r="DD73" s="232"/>
      <c r="DE73" s="25"/>
      <c r="DF73" s="232"/>
      <c r="DG73" s="25"/>
      <c r="DH73" s="232"/>
      <c r="DI73" s="232"/>
      <c r="DJ73" s="25"/>
      <c r="DK73" s="25"/>
      <c r="DM73" s="25"/>
      <c r="DN73" s="25"/>
      <c r="DO73" s="25"/>
      <c r="DP73" s="25"/>
      <c r="DQ73" s="25"/>
      <c r="DR73" s="232"/>
      <c r="DS73" s="25"/>
      <c r="DT73" s="232"/>
      <c r="DU73" s="232"/>
      <c r="DV73" s="25"/>
      <c r="DW73" s="232"/>
      <c r="DX73" s="232"/>
      <c r="DY73" s="232"/>
      <c r="DZ73" s="232"/>
      <c r="EA73" s="232"/>
      <c r="EB73" s="232"/>
      <c r="EC73" s="232"/>
      <c r="ED73" s="232"/>
      <c r="EE73" s="50"/>
      <c r="EF73" s="50"/>
      <c r="EG73" s="25"/>
      <c r="EH73" s="232"/>
      <c r="EI73" s="232"/>
      <c r="EJ73" s="232"/>
      <c r="EK73" s="232"/>
      <c r="EL73" s="25"/>
      <c r="EM73" s="25"/>
      <c r="EN73" s="25"/>
      <c r="EW73" s="20"/>
      <c r="EX73" s="26"/>
      <c r="EY73" s="26"/>
      <c r="EZ73" s="26"/>
      <c r="FA73" s="26"/>
      <c r="FB73" s="25"/>
      <c r="FC73" s="232"/>
      <c r="FD73" s="232"/>
      <c r="FE73" s="232"/>
      <c r="FF73" s="232"/>
      <c r="FG73" s="232"/>
      <c r="FH73" s="232"/>
      <c r="FI73" s="25"/>
      <c r="FJ73" s="232"/>
      <c r="FK73" s="25"/>
      <c r="FL73" s="25"/>
      <c r="FM73" s="25"/>
      <c r="FN73" s="25"/>
      <c r="FO73" s="50"/>
      <c r="FP73" s="50"/>
      <c r="FQ73" s="232"/>
      <c r="FR73" s="232"/>
      <c r="FS73" s="232"/>
      <c r="FT73" s="50"/>
      <c r="FU73" s="50"/>
      <c r="FV73" s="232"/>
      <c r="FW73" s="76"/>
      <c r="FX73" s="232"/>
      <c r="FY73" s="232"/>
      <c r="FZ73" s="50"/>
      <c r="GA73" s="50"/>
      <c r="GB73" s="50"/>
      <c r="GC73" s="50"/>
      <c r="GD73" s="50"/>
      <c r="GE73" s="52"/>
      <c r="GK73" s="533"/>
      <c r="GL73" s="238" t="s">
        <v>177</v>
      </c>
      <c r="GM73" s="300">
        <f t="shared" ca="1" si="13"/>
        <v>0</v>
      </c>
    </row>
    <row r="74" spans="2:195" ht="12.75" customHeight="1" x14ac:dyDescent="0.2">
      <c r="B74" s="25"/>
      <c r="C74" s="25"/>
      <c r="D74" s="232"/>
      <c r="E74" s="232"/>
      <c r="F74" s="232"/>
      <c r="G74" s="25"/>
      <c r="H74" s="25"/>
      <c r="I74" s="234"/>
      <c r="J74" s="25"/>
      <c r="K74" s="25"/>
      <c r="L74" s="25"/>
      <c r="M74" s="25"/>
      <c r="N74" s="25"/>
      <c r="O74" s="232"/>
      <c r="P74" s="25"/>
      <c r="Q74" s="232"/>
      <c r="R74" s="25"/>
      <c r="S74" s="25"/>
      <c r="T74" s="232"/>
      <c r="U74" s="232"/>
      <c r="V74" s="25"/>
      <c r="W74" s="236"/>
      <c r="X74" s="236"/>
      <c r="Y74" s="25"/>
      <c r="Z74" s="25"/>
      <c r="AA74" s="25"/>
      <c r="AB74" s="232"/>
      <c r="AC74" s="25"/>
      <c r="AD74" s="232"/>
      <c r="AE74" s="25"/>
      <c r="AF74" s="232"/>
      <c r="AG74" s="25"/>
      <c r="AH74" s="25"/>
      <c r="AI74" s="25"/>
      <c r="AJ74" s="25"/>
      <c r="AK74" s="25"/>
      <c r="AL74" s="25"/>
      <c r="AM74" s="25"/>
      <c r="AN74" s="25"/>
      <c r="AO74" s="25"/>
      <c r="AP74" s="25"/>
      <c r="AQ74" s="25"/>
      <c r="AR74" s="25"/>
      <c r="AS74" s="25"/>
      <c r="AT74" s="25"/>
      <c r="AU74" s="25"/>
      <c r="AV74" s="25"/>
      <c r="AW74" s="25"/>
      <c r="AX74" s="25"/>
      <c r="AY74" s="25"/>
      <c r="AZ74" s="25"/>
      <c r="BA74" s="25"/>
      <c r="BB74" s="25"/>
      <c r="BC74" s="25"/>
      <c r="BD74" s="25"/>
      <c r="BE74" s="25"/>
      <c r="BF74" s="232"/>
      <c r="BG74" s="50"/>
      <c r="BH74" s="25"/>
      <c r="BI74" s="50"/>
      <c r="BJ74" s="50"/>
      <c r="BK74" s="50"/>
      <c r="BL74" s="232"/>
      <c r="BM74" s="232"/>
      <c r="BN74" s="232"/>
      <c r="BO74" s="232"/>
      <c r="BP74" s="232"/>
      <c r="BQ74" s="232"/>
      <c r="BR74" s="232"/>
      <c r="BS74" s="232"/>
      <c r="BT74" s="232"/>
      <c r="BU74" s="232"/>
      <c r="BV74" s="232"/>
      <c r="BW74" s="232"/>
      <c r="BX74" s="232"/>
      <c r="BY74" s="232"/>
      <c r="BZ74" s="232"/>
      <c r="CA74" s="50"/>
      <c r="CB74" s="232"/>
      <c r="CC74" s="232"/>
      <c r="CE74" s="25"/>
      <c r="CF74" s="232"/>
      <c r="CG74" s="25"/>
      <c r="CH74" s="25"/>
      <c r="CI74" s="25"/>
      <c r="CJ74" s="25"/>
      <c r="CK74" s="25"/>
      <c r="CL74" s="232"/>
      <c r="CM74" s="25"/>
      <c r="CN74" s="232"/>
      <c r="CO74" s="25"/>
      <c r="CP74" s="232"/>
      <c r="CQ74" s="232"/>
      <c r="CR74" s="232"/>
      <c r="CS74" s="232"/>
      <c r="CT74" s="232"/>
      <c r="CU74" s="232"/>
      <c r="CV74" s="232"/>
      <c r="CW74" s="232"/>
      <c r="CX74" s="232"/>
      <c r="CY74" s="232"/>
      <c r="CZ74" s="232"/>
      <c r="DA74" s="25"/>
      <c r="DB74" s="232"/>
      <c r="DC74" s="232"/>
      <c r="DD74" s="232"/>
      <c r="DE74" s="25"/>
      <c r="DF74" s="232"/>
      <c r="DG74" s="25"/>
      <c r="DH74" s="232"/>
      <c r="DI74" s="232"/>
      <c r="DJ74" s="25"/>
      <c r="DK74" s="25"/>
      <c r="DM74" s="25"/>
      <c r="DN74" s="25"/>
      <c r="DO74" s="25"/>
      <c r="DP74" s="25"/>
      <c r="DQ74" s="25"/>
      <c r="DR74" s="232"/>
      <c r="DS74" s="25"/>
      <c r="DT74" s="232"/>
      <c r="DU74" s="232"/>
      <c r="DV74" s="25"/>
      <c r="DW74" s="232"/>
      <c r="DX74" s="232"/>
      <c r="DY74" s="232"/>
      <c r="DZ74" s="232"/>
      <c r="EA74" s="232"/>
      <c r="EB74" s="232"/>
      <c r="EC74" s="232"/>
      <c r="ED74" s="232"/>
      <c r="EE74" s="50"/>
      <c r="EF74" s="50"/>
      <c r="EG74" s="25"/>
      <c r="EH74" s="232"/>
      <c r="EI74" s="232"/>
      <c r="EJ74" s="232"/>
      <c r="EK74" s="232"/>
      <c r="EL74" s="25"/>
      <c r="EM74" s="25"/>
      <c r="EN74" s="25"/>
      <c r="EW74" s="20"/>
      <c r="EX74" s="26"/>
      <c r="EY74" s="26"/>
      <c r="EZ74" s="26"/>
      <c r="FA74" s="26"/>
      <c r="FB74" s="25"/>
      <c r="FC74" s="232"/>
      <c r="FD74" s="232"/>
      <c r="FE74" s="232"/>
      <c r="FF74" s="232"/>
      <c r="FG74" s="232"/>
      <c r="FH74" s="232"/>
      <c r="FI74" s="25"/>
      <c r="FJ74" s="232"/>
      <c r="FK74" s="25"/>
      <c r="FL74" s="25"/>
      <c r="FM74" s="25"/>
      <c r="FN74" s="25"/>
      <c r="FO74" s="50"/>
      <c r="FP74" s="50"/>
      <c r="FQ74" s="232"/>
      <c r="FR74" s="232"/>
      <c r="FS74" s="232"/>
      <c r="FT74" s="50"/>
      <c r="FU74" s="50"/>
      <c r="FV74" s="232"/>
      <c r="FW74" s="76"/>
      <c r="FX74" s="232"/>
      <c r="FY74" s="232"/>
      <c r="FZ74" s="50"/>
      <c r="GA74" s="50"/>
      <c r="GB74" s="50"/>
      <c r="GC74" s="50"/>
      <c r="GD74" s="50"/>
      <c r="GE74" s="52"/>
      <c r="GK74" s="533"/>
      <c r="GL74" s="238" t="s">
        <v>176</v>
      </c>
      <c r="GM74" s="300">
        <f t="shared" ca="1" si="13"/>
        <v>0</v>
      </c>
    </row>
    <row r="75" spans="2:195" ht="12.75" customHeight="1" x14ac:dyDescent="0.2">
      <c r="B75" s="25"/>
      <c r="C75" s="25"/>
      <c r="D75" s="232"/>
      <c r="E75" s="232"/>
      <c r="F75" s="232"/>
      <c r="G75" s="25"/>
      <c r="H75" s="25"/>
      <c r="I75" s="234"/>
      <c r="J75" s="25"/>
      <c r="K75" s="25"/>
      <c r="L75" s="25"/>
      <c r="M75" s="25"/>
      <c r="N75" s="25"/>
      <c r="O75" s="232"/>
      <c r="P75" s="25"/>
      <c r="Q75" s="232"/>
      <c r="R75" s="25"/>
      <c r="S75" s="25"/>
      <c r="T75" s="232"/>
      <c r="U75" s="232"/>
      <c r="V75" s="25"/>
      <c r="W75" s="236"/>
      <c r="X75" s="236"/>
      <c r="Y75" s="25"/>
      <c r="Z75" s="25"/>
      <c r="AA75" s="25"/>
      <c r="AB75" s="232"/>
      <c r="AC75" s="25"/>
      <c r="AD75" s="232"/>
      <c r="AE75" s="25"/>
      <c r="AF75" s="232"/>
      <c r="AG75" s="25"/>
      <c r="AH75" s="25"/>
      <c r="AI75" s="25"/>
      <c r="AJ75" s="25"/>
      <c r="AK75" s="25"/>
      <c r="AL75" s="25"/>
      <c r="AM75" s="25"/>
      <c r="AN75" s="25"/>
      <c r="AO75" s="25"/>
      <c r="AP75" s="25"/>
      <c r="AQ75" s="25"/>
      <c r="AR75" s="25"/>
      <c r="AS75" s="25"/>
      <c r="AT75" s="25"/>
      <c r="AU75" s="25"/>
      <c r="AV75" s="25"/>
      <c r="AW75" s="25"/>
      <c r="AX75" s="25"/>
      <c r="AY75" s="25"/>
      <c r="AZ75" s="25"/>
      <c r="BA75" s="25"/>
      <c r="BB75" s="25"/>
      <c r="BC75" s="25"/>
      <c r="BD75" s="25"/>
      <c r="BE75" s="25"/>
      <c r="BF75" s="232"/>
      <c r="BG75" s="50"/>
      <c r="BH75" s="25"/>
      <c r="BI75" s="50"/>
      <c r="BJ75" s="50"/>
      <c r="BK75" s="50"/>
      <c r="BL75" s="232"/>
      <c r="BM75" s="232"/>
      <c r="BN75" s="232"/>
      <c r="BO75" s="232"/>
      <c r="BP75" s="232"/>
      <c r="BQ75" s="232"/>
      <c r="BR75" s="232"/>
      <c r="BS75" s="232"/>
      <c r="BT75" s="232"/>
      <c r="BU75" s="232"/>
      <c r="BV75" s="232"/>
      <c r="BW75" s="232"/>
      <c r="BX75" s="232"/>
      <c r="BY75" s="232"/>
      <c r="BZ75" s="232"/>
      <c r="CA75" s="50"/>
      <c r="CB75" s="232"/>
      <c r="CC75" s="232"/>
      <c r="CE75" s="25"/>
      <c r="CF75" s="232"/>
      <c r="CG75" s="25"/>
      <c r="CH75" s="25"/>
      <c r="CI75" s="25"/>
      <c r="CJ75" s="25"/>
      <c r="CK75" s="25"/>
      <c r="CL75" s="232"/>
      <c r="CM75" s="25"/>
      <c r="CN75" s="232"/>
      <c r="CO75" s="25"/>
      <c r="CP75" s="232"/>
      <c r="CQ75" s="232"/>
      <c r="CR75" s="232"/>
      <c r="CS75" s="232"/>
      <c r="CT75" s="232"/>
      <c r="CU75" s="232"/>
      <c r="CV75" s="232"/>
      <c r="CW75" s="232"/>
      <c r="CX75" s="232"/>
      <c r="CY75" s="232"/>
      <c r="CZ75" s="232"/>
      <c r="DA75" s="25"/>
      <c r="DB75" s="232"/>
      <c r="DC75" s="232"/>
      <c r="DD75" s="232"/>
      <c r="DE75" s="25"/>
      <c r="DF75" s="232"/>
      <c r="DG75" s="25"/>
      <c r="DH75" s="232"/>
      <c r="DI75" s="232"/>
      <c r="DJ75" s="25"/>
      <c r="DK75" s="25"/>
      <c r="DM75" s="25"/>
      <c r="DN75" s="25"/>
      <c r="DO75" s="25"/>
      <c r="DP75" s="25"/>
      <c r="DQ75" s="25"/>
      <c r="DR75" s="232"/>
      <c r="DS75" s="25"/>
      <c r="DT75" s="232"/>
      <c r="DU75" s="232"/>
      <c r="DV75" s="25"/>
      <c r="DW75" s="232"/>
      <c r="DX75" s="232"/>
      <c r="DY75" s="232"/>
      <c r="DZ75" s="232"/>
      <c r="EA75" s="232"/>
      <c r="EB75" s="232"/>
      <c r="EC75" s="232"/>
      <c r="ED75" s="232"/>
      <c r="EE75" s="50"/>
      <c r="EF75" s="50"/>
      <c r="EG75" s="25"/>
      <c r="EH75" s="232"/>
      <c r="EI75" s="232"/>
      <c r="EJ75" s="232"/>
      <c r="EK75" s="232"/>
      <c r="EL75" s="25"/>
      <c r="EM75" s="25"/>
      <c r="EN75" s="25"/>
      <c r="EW75" s="20"/>
      <c r="EX75" s="26"/>
      <c r="EY75" s="26"/>
      <c r="EZ75" s="26"/>
      <c r="FA75" s="26"/>
      <c r="FB75" s="25"/>
      <c r="FC75" s="232"/>
      <c r="FD75" s="232"/>
      <c r="FE75" s="232"/>
      <c r="FF75" s="232"/>
      <c r="FG75" s="232"/>
      <c r="FH75" s="232"/>
      <c r="FI75" s="25"/>
      <c r="FJ75" s="232"/>
      <c r="FK75" s="25"/>
      <c r="FL75" s="25"/>
      <c r="FM75" s="25"/>
      <c r="FN75" s="25"/>
      <c r="FO75" s="50"/>
      <c r="FP75" s="50"/>
      <c r="FQ75" s="232"/>
      <c r="FR75" s="232"/>
      <c r="FS75" s="232"/>
      <c r="FT75" s="50"/>
      <c r="FU75" s="50"/>
      <c r="FV75" s="232"/>
      <c r="FW75" s="76"/>
      <c r="FX75" s="232"/>
      <c r="FY75" s="232"/>
      <c r="FZ75" s="50"/>
      <c r="GA75" s="50"/>
      <c r="GB75" s="50"/>
      <c r="GC75" s="50"/>
      <c r="GD75" s="50"/>
      <c r="GE75" s="52"/>
      <c r="GK75" s="533"/>
      <c r="GL75" s="238" t="s">
        <v>25</v>
      </c>
      <c r="GM75" s="300">
        <f t="shared" ca="1" si="13"/>
        <v>0</v>
      </c>
    </row>
    <row r="76" spans="2:195" ht="12.75" customHeight="1" x14ac:dyDescent="0.2">
      <c r="B76" s="25"/>
      <c r="C76" s="25"/>
      <c r="D76" s="232"/>
      <c r="E76" s="232"/>
      <c r="F76" s="232"/>
      <c r="G76" s="25"/>
      <c r="H76" s="25"/>
      <c r="I76" s="234"/>
      <c r="J76" s="25"/>
      <c r="K76" s="25"/>
      <c r="L76" s="25"/>
      <c r="M76" s="25"/>
      <c r="N76" s="25"/>
      <c r="O76" s="232"/>
      <c r="P76" s="25"/>
      <c r="Q76" s="232"/>
      <c r="R76" s="25"/>
      <c r="S76" s="25"/>
      <c r="T76" s="232"/>
      <c r="U76" s="232"/>
      <c r="V76" s="25"/>
      <c r="W76" s="236"/>
      <c r="X76" s="236"/>
      <c r="Y76" s="25"/>
      <c r="Z76" s="25"/>
      <c r="AA76" s="25"/>
      <c r="AB76" s="232"/>
      <c r="AC76" s="25"/>
      <c r="AD76" s="232"/>
      <c r="AE76" s="25"/>
      <c r="AF76" s="232"/>
      <c r="AG76" s="25"/>
      <c r="AH76" s="25"/>
      <c r="AI76" s="25"/>
      <c r="AJ76" s="25"/>
      <c r="AK76" s="25"/>
      <c r="AL76" s="25"/>
      <c r="AM76" s="25"/>
      <c r="AN76" s="25"/>
      <c r="AO76" s="25"/>
      <c r="AP76" s="25"/>
      <c r="AQ76" s="25"/>
      <c r="AR76" s="25"/>
      <c r="AS76" s="25"/>
      <c r="AT76" s="25"/>
      <c r="AU76" s="25"/>
      <c r="AV76" s="25"/>
      <c r="AW76" s="25"/>
      <c r="AX76" s="25"/>
      <c r="AY76" s="25"/>
      <c r="AZ76" s="25"/>
      <c r="BA76" s="25"/>
      <c r="BB76" s="25"/>
      <c r="BC76" s="25"/>
      <c r="BD76" s="25"/>
      <c r="BE76" s="25"/>
      <c r="BF76" s="232"/>
      <c r="BG76" s="50"/>
      <c r="BH76" s="25"/>
      <c r="BI76" s="50"/>
      <c r="BJ76" s="50"/>
      <c r="BK76" s="50"/>
      <c r="BL76" s="232"/>
      <c r="BM76" s="232"/>
      <c r="BN76" s="232"/>
      <c r="BO76" s="232"/>
      <c r="BP76" s="232"/>
      <c r="BQ76" s="232"/>
      <c r="BR76" s="232"/>
      <c r="BS76" s="232"/>
      <c r="BT76" s="232"/>
      <c r="BU76" s="232"/>
      <c r="BV76" s="232"/>
      <c r="BW76" s="232"/>
      <c r="BX76" s="232"/>
      <c r="BY76" s="232"/>
      <c r="BZ76" s="232"/>
      <c r="CA76" s="50"/>
      <c r="CB76" s="232"/>
      <c r="CC76" s="232"/>
      <c r="CE76" s="25"/>
      <c r="CF76" s="232"/>
      <c r="CG76" s="25"/>
      <c r="CH76" s="25"/>
      <c r="CI76" s="25"/>
      <c r="CJ76" s="25"/>
      <c r="CK76" s="25"/>
      <c r="CL76" s="232"/>
      <c r="CM76" s="25"/>
      <c r="CN76" s="232"/>
      <c r="CO76" s="25"/>
      <c r="CP76" s="232"/>
      <c r="CQ76" s="232"/>
      <c r="CR76" s="232"/>
      <c r="CS76" s="232"/>
      <c r="CT76" s="232"/>
      <c r="CU76" s="232"/>
      <c r="CV76" s="232"/>
      <c r="CW76" s="232"/>
      <c r="CX76" s="232"/>
      <c r="CY76" s="232"/>
      <c r="CZ76" s="232"/>
      <c r="DA76" s="25"/>
      <c r="DB76" s="232"/>
      <c r="DC76" s="232"/>
      <c r="DD76" s="232"/>
      <c r="DE76" s="25"/>
      <c r="DF76" s="232"/>
      <c r="DG76" s="25"/>
      <c r="DH76" s="232"/>
      <c r="DI76" s="232"/>
      <c r="DJ76" s="25"/>
      <c r="DK76" s="25"/>
      <c r="DM76" s="25"/>
      <c r="DN76" s="25"/>
      <c r="DO76" s="25"/>
      <c r="DP76" s="25"/>
      <c r="DQ76" s="25"/>
      <c r="DR76" s="232"/>
      <c r="DS76" s="25"/>
      <c r="DT76" s="232"/>
      <c r="DU76" s="232"/>
      <c r="DV76" s="25"/>
      <c r="DW76" s="232"/>
      <c r="DX76" s="232"/>
      <c r="DY76" s="232"/>
      <c r="DZ76" s="232"/>
      <c r="EA76" s="232"/>
      <c r="EB76" s="232"/>
      <c r="EC76" s="232"/>
      <c r="ED76" s="232"/>
      <c r="EE76" s="50"/>
      <c r="EF76" s="50"/>
      <c r="EG76" s="25"/>
      <c r="EH76" s="232"/>
      <c r="EI76" s="232"/>
      <c r="EJ76" s="232"/>
      <c r="EK76" s="232"/>
      <c r="EL76" s="25"/>
      <c r="EM76" s="25"/>
      <c r="EN76" s="25"/>
      <c r="EW76" s="20"/>
      <c r="EX76" s="26"/>
      <c r="EY76" s="26"/>
      <c r="EZ76" s="26"/>
      <c r="FA76" s="26"/>
      <c r="FB76" s="25"/>
      <c r="FC76" s="232"/>
      <c r="FD76" s="232"/>
      <c r="FE76" s="232"/>
      <c r="FF76" s="232"/>
      <c r="FG76" s="232"/>
      <c r="FH76" s="232"/>
      <c r="FI76" s="25"/>
      <c r="FJ76" s="232"/>
      <c r="FK76" s="25"/>
      <c r="FL76" s="25"/>
      <c r="FM76" s="25"/>
      <c r="FN76" s="25"/>
      <c r="FO76" s="50"/>
      <c r="FP76" s="50"/>
      <c r="FQ76" s="232"/>
      <c r="FR76" s="232"/>
      <c r="FS76" s="232"/>
      <c r="FT76" s="50"/>
      <c r="FU76" s="50"/>
      <c r="FV76" s="232"/>
      <c r="FW76" s="76"/>
      <c r="FX76" s="232"/>
      <c r="FY76" s="232"/>
      <c r="FZ76" s="50"/>
      <c r="GA76" s="50"/>
      <c r="GB76" s="50"/>
      <c r="GC76" s="50"/>
      <c r="GD76" s="50"/>
      <c r="GE76" s="52"/>
      <c r="GK76" s="533"/>
      <c r="GL76" s="238" t="s">
        <v>706</v>
      </c>
      <c r="GM76" s="300">
        <f ca="1">IFERROR((SUM(y5_QuantityKeyDimensionxAVFSSS))/(SUM(Str_DimensionforSSCIxAVF)),0)</f>
        <v>0</v>
      </c>
    </row>
    <row r="77" spans="2:195" ht="12.75" customHeight="1" x14ac:dyDescent="0.2">
      <c r="B77" s="25"/>
      <c r="C77" s="25"/>
      <c r="D77" s="232"/>
      <c r="E77" s="232"/>
      <c r="F77" s="232"/>
      <c r="G77" s="25"/>
      <c r="H77" s="25"/>
      <c r="I77" s="234"/>
      <c r="J77" s="25"/>
      <c r="K77" s="25"/>
      <c r="L77" s="25"/>
      <c r="M77" s="25"/>
      <c r="N77" s="25"/>
      <c r="O77" s="232"/>
      <c r="P77" s="25"/>
      <c r="Q77" s="232"/>
      <c r="R77" s="25"/>
      <c r="S77" s="25"/>
      <c r="T77" s="232"/>
      <c r="U77" s="232"/>
      <c r="V77" s="25"/>
      <c r="W77" s="236"/>
      <c r="X77" s="236"/>
      <c r="Y77" s="25"/>
      <c r="Z77" s="25"/>
      <c r="AA77" s="25"/>
      <c r="AB77" s="232"/>
      <c r="AC77" s="25"/>
      <c r="AD77" s="232"/>
      <c r="AE77" s="25"/>
      <c r="AF77" s="232"/>
      <c r="AG77" s="25"/>
      <c r="AH77" s="25"/>
      <c r="AI77" s="25"/>
      <c r="AJ77" s="25"/>
      <c r="AK77" s="25"/>
      <c r="AL77" s="25"/>
      <c r="AM77" s="25"/>
      <c r="AN77" s="25"/>
      <c r="AO77" s="25"/>
      <c r="AP77" s="25"/>
      <c r="AQ77" s="25"/>
      <c r="AR77" s="25"/>
      <c r="AS77" s="25"/>
      <c r="AT77" s="25"/>
      <c r="AU77" s="25"/>
      <c r="AV77" s="25"/>
      <c r="AW77" s="25"/>
      <c r="AX77" s="25"/>
      <c r="AY77" s="25"/>
      <c r="AZ77" s="25"/>
      <c r="BA77" s="25"/>
      <c r="BB77" s="25"/>
      <c r="BC77" s="25"/>
      <c r="BD77" s="25"/>
      <c r="BE77" s="25"/>
      <c r="BF77" s="232"/>
      <c r="BG77" s="50"/>
      <c r="BH77" s="25"/>
      <c r="BI77" s="50"/>
      <c r="BJ77" s="50"/>
      <c r="BK77" s="50"/>
      <c r="BL77" s="232"/>
      <c r="BM77" s="232"/>
      <c r="BN77" s="232"/>
      <c r="BO77" s="232"/>
      <c r="BP77" s="232"/>
      <c r="BQ77" s="232"/>
      <c r="BR77" s="232"/>
      <c r="BS77" s="232"/>
      <c r="BT77" s="232"/>
      <c r="BU77" s="232"/>
      <c r="BV77" s="232"/>
      <c r="BW77" s="232"/>
      <c r="BX77" s="232"/>
      <c r="BY77" s="232"/>
      <c r="BZ77" s="232"/>
      <c r="CA77" s="50"/>
      <c r="CB77" s="232"/>
      <c r="CC77" s="232"/>
      <c r="CE77" s="25"/>
      <c r="CF77" s="232"/>
      <c r="CG77" s="25"/>
      <c r="CH77" s="25"/>
      <c r="CI77" s="25"/>
      <c r="CJ77" s="25"/>
      <c r="CK77" s="25"/>
      <c r="CL77" s="232"/>
      <c r="CM77" s="25"/>
      <c r="CN77" s="232"/>
      <c r="CO77" s="25"/>
      <c r="CP77" s="232"/>
      <c r="CQ77" s="232"/>
      <c r="CR77" s="232"/>
      <c r="CS77" s="232"/>
      <c r="CT77" s="232"/>
      <c r="CU77" s="232"/>
      <c r="CV77" s="232"/>
      <c r="CW77" s="232"/>
      <c r="CX77" s="232"/>
      <c r="CY77" s="232"/>
      <c r="CZ77" s="232"/>
      <c r="DA77" s="25"/>
      <c r="DB77" s="232"/>
      <c r="DC77" s="232"/>
      <c r="DD77" s="232"/>
      <c r="DE77" s="25"/>
      <c r="DF77" s="232"/>
      <c r="DG77" s="25"/>
      <c r="DH77" s="232"/>
      <c r="DI77" s="232"/>
      <c r="DJ77" s="25"/>
      <c r="DK77" s="25"/>
      <c r="DM77" s="25"/>
      <c r="DN77" s="25"/>
      <c r="DO77" s="25"/>
      <c r="DP77" s="25"/>
      <c r="DQ77" s="25"/>
      <c r="DR77" s="232"/>
      <c r="DS77" s="25"/>
      <c r="DT77" s="232"/>
      <c r="DU77" s="232"/>
      <c r="DV77" s="25"/>
      <c r="DW77" s="232"/>
      <c r="DX77" s="232"/>
      <c r="DY77" s="232"/>
      <c r="DZ77" s="232"/>
      <c r="EA77" s="232"/>
      <c r="EB77" s="232"/>
      <c r="EC77" s="232"/>
      <c r="ED77" s="232"/>
      <c r="EE77" s="50"/>
      <c r="EF77" s="50"/>
      <c r="EG77" s="25"/>
      <c r="EH77" s="232"/>
      <c r="EI77" s="232"/>
      <c r="EJ77" s="232"/>
      <c r="EK77" s="232"/>
      <c r="EL77" s="25"/>
      <c r="EM77" s="25"/>
      <c r="EN77" s="25"/>
      <c r="EW77" s="20"/>
      <c r="EX77" s="26"/>
      <c r="EY77" s="26"/>
      <c r="EZ77" s="26"/>
      <c r="FA77" s="26"/>
      <c r="FB77" s="25"/>
      <c r="FC77" s="232"/>
      <c r="FD77" s="232"/>
      <c r="FE77" s="232"/>
      <c r="FF77" s="232"/>
      <c r="FG77" s="232"/>
      <c r="FH77" s="232"/>
      <c r="FI77" s="25"/>
      <c r="FJ77" s="232"/>
      <c r="FK77" s="25"/>
      <c r="FL77" s="25"/>
      <c r="FM77" s="25"/>
      <c r="FN77" s="25"/>
      <c r="FO77" s="50"/>
      <c r="FP77" s="50"/>
      <c r="FQ77" s="232"/>
      <c r="FR77" s="232"/>
      <c r="FS77" s="232"/>
      <c r="FT77" s="50"/>
      <c r="FU77" s="50"/>
      <c r="FV77" s="232"/>
      <c r="FW77" s="76"/>
      <c r="FX77" s="232"/>
      <c r="FY77" s="232"/>
      <c r="FZ77" s="50"/>
      <c r="GA77" s="50"/>
      <c r="GB77" s="50"/>
      <c r="GC77" s="50"/>
      <c r="GD77" s="50"/>
      <c r="GE77" s="52"/>
    </row>
    <row r="78" spans="2:195" ht="12.75" customHeight="1" x14ac:dyDescent="0.2">
      <c r="B78" s="25"/>
      <c r="C78" s="25"/>
      <c r="D78" s="232"/>
      <c r="E78" s="232"/>
      <c r="F78" s="232"/>
      <c r="G78" s="25"/>
      <c r="H78" s="25"/>
      <c r="I78" s="234"/>
      <c r="J78" s="25"/>
      <c r="K78" s="25"/>
      <c r="L78" s="25"/>
      <c r="M78" s="25"/>
      <c r="N78" s="25"/>
      <c r="O78" s="232"/>
      <c r="P78" s="25"/>
      <c r="Q78" s="232"/>
      <c r="R78" s="25"/>
      <c r="S78" s="25"/>
      <c r="T78" s="232"/>
      <c r="U78" s="232"/>
      <c r="V78" s="25"/>
      <c r="W78" s="236"/>
      <c r="X78" s="236"/>
      <c r="Y78" s="25"/>
      <c r="Z78" s="25"/>
      <c r="AA78" s="25"/>
      <c r="AB78" s="232"/>
      <c r="AC78" s="25"/>
      <c r="AD78" s="232"/>
      <c r="AE78" s="25"/>
      <c r="AF78" s="232"/>
      <c r="AG78" s="25"/>
      <c r="AH78" s="25"/>
      <c r="AI78" s="25"/>
      <c r="AJ78" s="25"/>
      <c r="AK78" s="25"/>
      <c r="AL78" s="25"/>
      <c r="AM78" s="25"/>
      <c r="AN78" s="25"/>
      <c r="AO78" s="25"/>
      <c r="AP78" s="25"/>
      <c r="AQ78" s="25"/>
      <c r="AR78" s="25"/>
      <c r="AS78" s="25"/>
      <c r="AT78" s="25"/>
      <c r="AU78" s="25"/>
      <c r="AV78" s="25"/>
      <c r="AW78" s="25"/>
      <c r="AX78" s="25"/>
      <c r="AY78" s="25"/>
      <c r="AZ78" s="25"/>
      <c r="BA78" s="25"/>
      <c r="BB78" s="25"/>
      <c r="BC78" s="25"/>
      <c r="BD78" s="25"/>
      <c r="BE78" s="25"/>
      <c r="BF78" s="232"/>
      <c r="BG78" s="50"/>
      <c r="BH78" s="25"/>
      <c r="BI78" s="50"/>
      <c r="BJ78" s="50"/>
      <c r="BK78" s="50"/>
      <c r="BL78" s="232"/>
      <c r="BM78" s="232"/>
      <c r="BN78" s="232"/>
      <c r="BO78" s="232"/>
      <c r="BP78" s="232"/>
      <c r="BQ78" s="232"/>
      <c r="BR78" s="232"/>
      <c r="BS78" s="232"/>
      <c r="BT78" s="232"/>
      <c r="BU78" s="232"/>
      <c r="BV78" s="232"/>
      <c r="BW78" s="232"/>
      <c r="BX78" s="232"/>
      <c r="BY78" s="232"/>
      <c r="BZ78" s="232"/>
      <c r="CA78" s="50"/>
      <c r="CB78" s="232"/>
      <c r="CC78" s="232"/>
      <c r="CE78" s="25"/>
      <c r="CF78" s="232"/>
      <c r="CG78" s="25"/>
      <c r="CH78" s="25"/>
      <c r="CI78" s="25"/>
      <c r="CJ78" s="25"/>
      <c r="CK78" s="25"/>
      <c r="CL78" s="232"/>
      <c r="CM78" s="25"/>
      <c r="CN78" s="232"/>
      <c r="CO78" s="25"/>
      <c r="CP78" s="232"/>
      <c r="CQ78" s="232"/>
      <c r="CR78" s="232"/>
      <c r="CS78" s="232"/>
      <c r="CT78" s="232"/>
      <c r="CU78" s="232"/>
      <c r="CV78" s="232"/>
      <c r="CW78" s="232"/>
      <c r="CX78" s="232"/>
      <c r="CY78" s="232"/>
      <c r="CZ78" s="232"/>
      <c r="DA78" s="25"/>
      <c r="DB78" s="232"/>
      <c r="DC78" s="232"/>
      <c r="DD78" s="232"/>
      <c r="DE78" s="25"/>
      <c r="DF78" s="232"/>
      <c r="DG78" s="25"/>
      <c r="DH78" s="232"/>
      <c r="DI78" s="232"/>
      <c r="DJ78" s="25"/>
      <c r="DK78" s="25"/>
      <c r="DM78" s="25"/>
      <c r="DN78" s="25"/>
      <c r="DO78" s="25"/>
      <c r="DP78" s="25"/>
      <c r="DQ78" s="25"/>
      <c r="DR78" s="232"/>
      <c r="DS78" s="25"/>
      <c r="DT78" s="232"/>
      <c r="DU78" s="232"/>
      <c r="DV78" s="25"/>
      <c r="DW78" s="232"/>
      <c r="DX78" s="232"/>
      <c r="DY78" s="232"/>
      <c r="DZ78" s="232"/>
      <c r="EA78" s="232"/>
      <c r="EB78" s="232"/>
      <c r="EC78" s="232"/>
      <c r="ED78" s="232"/>
      <c r="EE78" s="50"/>
      <c r="EF78" s="50"/>
      <c r="EG78" s="25"/>
      <c r="EH78" s="232"/>
      <c r="EI78" s="232"/>
      <c r="EJ78" s="232"/>
      <c r="EK78" s="232"/>
      <c r="EL78" s="25"/>
      <c r="EM78" s="25"/>
      <c r="EN78" s="25"/>
      <c r="EW78" s="20"/>
      <c r="EX78" s="26"/>
      <c r="EY78" s="26"/>
      <c r="EZ78" s="26"/>
      <c r="FA78" s="26"/>
      <c r="FB78" s="25"/>
      <c r="FC78" s="232"/>
      <c r="FD78" s="232"/>
      <c r="FE78" s="232"/>
      <c r="FF78" s="232"/>
      <c r="FG78" s="232"/>
      <c r="FH78" s="232"/>
      <c r="FI78" s="25"/>
      <c r="FJ78" s="232"/>
      <c r="FK78" s="25"/>
      <c r="FL78" s="25"/>
      <c r="FM78" s="25"/>
      <c r="FN78" s="25"/>
      <c r="FO78" s="50"/>
      <c r="FP78" s="50"/>
      <c r="FQ78" s="232"/>
      <c r="FR78" s="232"/>
      <c r="FS78" s="232"/>
      <c r="FT78" s="50"/>
      <c r="FU78" s="50"/>
      <c r="FV78" s="232"/>
      <c r="FW78" s="76"/>
      <c r="FX78" s="232"/>
      <c r="FY78" s="232"/>
      <c r="FZ78" s="50"/>
      <c r="GA78" s="50"/>
      <c r="GB78" s="50"/>
      <c r="GC78" s="50"/>
      <c r="GD78" s="50"/>
      <c r="GE78" s="52"/>
    </row>
    <row r="79" spans="2:195" ht="12.75" customHeight="1" x14ac:dyDescent="0.2">
      <c r="B79" s="25"/>
      <c r="C79" s="25"/>
      <c r="D79" s="232"/>
      <c r="E79" s="232"/>
      <c r="F79" s="232"/>
      <c r="G79" s="25"/>
      <c r="H79" s="25"/>
      <c r="I79" s="234"/>
      <c r="J79" s="25"/>
      <c r="K79" s="25"/>
      <c r="L79" s="25"/>
      <c r="M79" s="25"/>
      <c r="N79" s="25"/>
      <c r="O79" s="232"/>
      <c r="P79" s="25"/>
      <c r="Q79" s="232"/>
      <c r="R79" s="25"/>
      <c r="S79" s="25"/>
      <c r="T79" s="232"/>
      <c r="U79" s="232"/>
      <c r="V79" s="25"/>
      <c r="W79" s="236"/>
      <c r="X79" s="236"/>
      <c r="Y79" s="25"/>
      <c r="Z79" s="25"/>
      <c r="AA79" s="25"/>
      <c r="AB79" s="232"/>
      <c r="AC79" s="25"/>
      <c r="AD79" s="232"/>
      <c r="AE79" s="25"/>
      <c r="AF79" s="232"/>
      <c r="AG79" s="25"/>
      <c r="AH79" s="25"/>
      <c r="AI79" s="25"/>
      <c r="AJ79" s="25"/>
      <c r="AK79" s="25"/>
      <c r="AL79" s="25"/>
      <c r="AM79" s="25"/>
      <c r="AN79" s="25"/>
      <c r="AO79" s="25"/>
      <c r="AP79" s="25"/>
      <c r="AQ79" s="25"/>
      <c r="AR79" s="25"/>
      <c r="AS79" s="25"/>
      <c r="AT79" s="25"/>
      <c r="AU79" s="25"/>
      <c r="AV79" s="25"/>
      <c r="AW79" s="25"/>
      <c r="AX79" s="25"/>
      <c r="AY79" s="25"/>
      <c r="AZ79" s="25"/>
      <c r="BA79" s="25"/>
      <c r="BB79" s="25"/>
      <c r="BC79" s="25"/>
      <c r="BD79" s="25"/>
      <c r="BE79" s="25"/>
      <c r="BF79" s="232"/>
      <c r="BG79" s="50"/>
      <c r="BH79" s="25"/>
      <c r="BI79" s="50"/>
      <c r="BJ79" s="50"/>
      <c r="BK79" s="50"/>
      <c r="BL79" s="232"/>
      <c r="BM79" s="232"/>
      <c r="BN79" s="232"/>
      <c r="BO79" s="232"/>
      <c r="BP79" s="232"/>
      <c r="BQ79" s="232"/>
      <c r="BR79" s="232"/>
      <c r="BS79" s="232"/>
      <c r="BT79" s="232"/>
      <c r="BU79" s="232"/>
      <c r="BV79" s="232"/>
      <c r="BW79" s="232"/>
      <c r="BX79" s="232"/>
      <c r="BY79" s="232"/>
      <c r="BZ79" s="232"/>
      <c r="CA79" s="50"/>
      <c r="CB79" s="232"/>
      <c r="CC79" s="232"/>
      <c r="CE79" s="25"/>
      <c r="CF79" s="232"/>
      <c r="CG79" s="25"/>
      <c r="CH79" s="25"/>
      <c r="CI79" s="25"/>
      <c r="CJ79" s="25"/>
      <c r="CK79" s="25"/>
      <c r="CL79" s="232"/>
      <c r="CM79" s="25"/>
      <c r="CN79" s="232"/>
      <c r="CO79" s="25"/>
      <c r="CP79" s="232"/>
      <c r="CQ79" s="232"/>
      <c r="CR79" s="232"/>
      <c r="CS79" s="232"/>
      <c r="CT79" s="232"/>
      <c r="CU79" s="232"/>
      <c r="CV79" s="232"/>
      <c r="CW79" s="232"/>
      <c r="CX79" s="232"/>
      <c r="CY79" s="232"/>
      <c r="CZ79" s="232"/>
      <c r="DA79" s="25"/>
      <c r="DB79" s="232"/>
      <c r="DC79" s="232"/>
      <c r="DD79" s="232"/>
      <c r="DE79" s="25"/>
      <c r="DF79" s="232"/>
      <c r="DG79" s="25"/>
      <c r="DH79" s="232"/>
      <c r="DI79" s="232"/>
      <c r="DJ79" s="25"/>
      <c r="DK79" s="25"/>
      <c r="DM79" s="25"/>
      <c r="DN79" s="25"/>
      <c r="DO79" s="25"/>
      <c r="DP79" s="25"/>
      <c r="DQ79" s="25"/>
      <c r="DR79" s="232"/>
      <c r="DS79" s="25"/>
      <c r="DT79" s="232"/>
      <c r="DU79" s="232"/>
      <c r="DV79" s="25"/>
      <c r="DW79" s="232"/>
      <c r="DX79" s="232"/>
      <c r="DY79" s="232"/>
      <c r="DZ79" s="232"/>
      <c r="EA79" s="232"/>
      <c r="EB79" s="232"/>
      <c r="EC79" s="232"/>
      <c r="ED79" s="232"/>
      <c r="EE79" s="50"/>
      <c r="EF79" s="50"/>
      <c r="EG79" s="25"/>
      <c r="EH79" s="232"/>
      <c r="EI79" s="232"/>
      <c r="EJ79" s="232"/>
      <c r="EK79" s="232"/>
      <c r="EL79" s="25"/>
      <c r="EM79" s="25"/>
      <c r="EN79" s="25"/>
      <c r="EW79" s="20"/>
      <c r="EX79" s="26"/>
      <c r="EY79" s="26"/>
      <c r="EZ79" s="26"/>
      <c r="FA79" s="26"/>
      <c r="FB79" s="25"/>
      <c r="FC79" s="232"/>
      <c r="FD79" s="232"/>
      <c r="FE79" s="232"/>
      <c r="FF79" s="232"/>
      <c r="FG79" s="232"/>
      <c r="FH79" s="232"/>
      <c r="FI79" s="25"/>
      <c r="FJ79" s="232"/>
      <c r="FK79" s="25"/>
      <c r="FL79" s="25"/>
      <c r="FM79" s="25"/>
      <c r="FN79" s="25"/>
      <c r="FO79" s="50"/>
      <c r="FP79" s="50"/>
      <c r="FQ79" s="232"/>
      <c r="FR79" s="232"/>
      <c r="FS79" s="232"/>
      <c r="FT79" s="50"/>
      <c r="FU79" s="50"/>
      <c r="FV79" s="232"/>
      <c r="FW79" s="76"/>
      <c r="FX79" s="232"/>
      <c r="FY79" s="232"/>
      <c r="FZ79" s="50"/>
      <c r="GA79" s="50"/>
      <c r="GB79" s="50"/>
      <c r="GC79" s="50"/>
      <c r="GD79" s="50"/>
      <c r="GE79" s="52"/>
    </row>
    <row r="80" spans="2:195" ht="12.75" customHeight="1" x14ac:dyDescent="0.2">
      <c r="B80" s="25"/>
      <c r="C80" s="25"/>
      <c r="D80" s="232"/>
      <c r="E80" s="232"/>
      <c r="F80" s="232"/>
      <c r="G80" s="25"/>
      <c r="H80" s="25"/>
      <c r="I80" s="234"/>
      <c r="J80" s="25"/>
      <c r="K80" s="25"/>
      <c r="L80" s="25"/>
      <c r="M80" s="25"/>
      <c r="N80" s="25"/>
      <c r="O80" s="232"/>
      <c r="P80" s="25"/>
      <c r="Q80" s="232"/>
      <c r="R80" s="25"/>
      <c r="S80" s="25"/>
      <c r="T80" s="232"/>
      <c r="U80" s="232"/>
      <c r="V80" s="25"/>
      <c r="W80" s="236"/>
      <c r="X80" s="236"/>
      <c r="Y80" s="25"/>
      <c r="Z80" s="25"/>
      <c r="AA80" s="25"/>
      <c r="AB80" s="232"/>
      <c r="AC80" s="25"/>
      <c r="AD80" s="232"/>
      <c r="AE80" s="25"/>
      <c r="AF80" s="232"/>
      <c r="AG80" s="25"/>
      <c r="AH80" s="25"/>
      <c r="AI80" s="25"/>
      <c r="AJ80" s="25"/>
      <c r="AK80" s="25"/>
      <c r="AL80" s="25"/>
      <c r="AM80" s="25"/>
      <c r="AN80" s="25"/>
      <c r="AO80" s="25"/>
      <c r="AP80" s="25"/>
      <c r="AQ80" s="25"/>
      <c r="AR80" s="25"/>
      <c r="AS80" s="25"/>
      <c r="AT80" s="25"/>
      <c r="AU80" s="25"/>
      <c r="AV80" s="25"/>
      <c r="AW80" s="25"/>
      <c r="AX80" s="25"/>
      <c r="AY80" s="25"/>
      <c r="AZ80" s="25"/>
      <c r="BA80" s="25"/>
      <c r="BB80" s="25"/>
      <c r="BC80" s="25"/>
      <c r="BD80" s="25"/>
      <c r="BE80" s="25"/>
      <c r="BF80" s="232"/>
      <c r="BG80" s="50"/>
      <c r="BH80" s="25"/>
      <c r="BI80" s="50"/>
      <c r="BJ80" s="50"/>
      <c r="BK80" s="50"/>
      <c r="BL80" s="232"/>
      <c r="BM80" s="232"/>
      <c r="BN80" s="232"/>
      <c r="BO80" s="232"/>
      <c r="BP80" s="232"/>
      <c r="BQ80" s="232"/>
      <c r="BR80" s="232"/>
      <c r="BS80" s="232"/>
      <c r="BT80" s="232"/>
      <c r="BU80" s="232"/>
      <c r="BV80" s="232"/>
      <c r="BW80" s="232"/>
      <c r="BX80" s="232"/>
      <c r="BY80" s="232"/>
      <c r="BZ80" s="232"/>
      <c r="CA80" s="50"/>
      <c r="CB80" s="232"/>
      <c r="CC80" s="232"/>
      <c r="CE80" s="25"/>
      <c r="CF80" s="232"/>
      <c r="CG80" s="25"/>
      <c r="CH80" s="25"/>
      <c r="CI80" s="25"/>
      <c r="CJ80" s="25"/>
      <c r="CK80" s="25"/>
      <c r="CL80" s="232"/>
      <c r="CM80" s="25"/>
      <c r="CN80" s="232"/>
      <c r="CO80" s="25"/>
      <c r="CP80" s="232"/>
      <c r="CQ80" s="232"/>
      <c r="CR80" s="232"/>
      <c r="CS80" s="232"/>
      <c r="CT80" s="232"/>
      <c r="CU80" s="232"/>
      <c r="CV80" s="232"/>
      <c r="CW80" s="232"/>
      <c r="CX80" s="232"/>
      <c r="CY80" s="232"/>
      <c r="CZ80" s="232"/>
      <c r="DA80" s="25"/>
      <c r="DB80" s="232"/>
      <c r="DC80" s="232"/>
      <c r="DD80" s="232"/>
      <c r="DE80" s="25"/>
      <c r="DF80" s="232"/>
      <c r="DG80" s="25"/>
      <c r="DH80" s="232"/>
      <c r="DI80" s="232"/>
      <c r="DJ80" s="25"/>
      <c r="DK80" s="25"/>
      <c r="DM80" s="25"/>
      <c r="DN80" s="25"/>
      <c r="DO80" s="25"/>
      <c r="DP80" s="25"/>
      <c r="DQ80" s="25"/>
      <c r="DR80" s="232"/>
      <c r="DS80" s="25"/>
      <c r="DT80" s="232"/>
      <c r="DU80" s="232"/>
      <c r="DV80" s="25"/>
      <c r="DW80" s="232"/>
      <c r="DX80" s="232"/>
      <c r="DY80" s="232"/>
      <c r="DZ80" s="232"/>
      <c r="EA80" s="232"/>
      <c r="EB80" s="232"/>
      <c r="EC80" s="232"/>
      <c r="ED80" s="232"/>
      <c r="EE80" s="50"/>
      <c r="EF80" s="50"/>
      <c r="EG80" s="25"/>
      <c r="EH80" s="232"/>
      <c r="EI80" s="232"/>
      <c r="EJ80" s="232"/>
      <c r="EK80" s="232"/>
      <c r="EL80" s="25"/>
      <c r="EM80" s="25"/>
      <c r="EN80" s="25"/>
      <c r="EW80" s="20"/>
      <c r="EX80" s="26"/>
      <c r="EY80" s="26"/>
      <c r="EZ80" s="26"/>
      <c r="FA80" s="26"/>
      <c r="FB80" s="25"/>
      <c r="FC80" s="232"/>
      <c r="FD80" s="232"/>
      <c r="FE80" s="232"/>
      <c r="FF80" s="232"/>
      <c r="FG80" s="232"/>
      <c r="FH80" s="232"/>
      <c r="FI80" s="25"/>
      <c r="FJ80" s="232"/>
      <c r="FK80" s="25"/>
      <c r="FL80" s="25"/>
      <c r="FM80" s="25"/>
      <c r="FN80" s="25"/>
      <c r="FO80" s="50"/>
      <c r="FP80" s="50"/>
      <c r="FQ80" s="232"/>
      <c r="FR80" s="232"/>
      <c r="FS80" s="232"/>
      <c r="FT80" s="50"/>
      <c r="FU80" s="50"/>
      <c r="FV80" s="232"/>
      <c r="FW80" s="76"/>
      <c r="FX80" s="232"/>
      <c r="FY80" s="232"/>
      <c r="FZ80" s="50"/>
      <c r="GA80" s="50"/>
      <c r="GB80" s="50"/>
      <c r="GC80" s="50"/>
      <c r="GD80" s="50"/>
      <c r="GE80" s="52"/>
    </row>
    <row r="81" spans="2:187" ht="12.75" customHeight="1" x14ac:dyDescent="0.2">
      <c r="B81" s="25"/>
      <c r="C81" s="25"/>
      <c r="D81" s="232"/>
      <c r="E81" s="232"/>
      <c r="F81" s="232"/>
      <c r="G81" s="25"/>
      <c r="H81" s="25"/>
      <c r="I81" s="234"/>
      <c r="J81" s="25"/>
      <c r="K81" s="25"/>
      <c r="L81" s="25"/>
      <c r="M81" s="25"/>
      <c r="N81" s="25"/>
      <c r="O81" s="232"/>
      <c r="P81" s="25"/>
      <c r="Q81" s="232"/>
      <c r="R81" s="25"/>
      <c r="S81" s="25"/>
      <c r="T81" s="232"/>
      <c r="U81" s="232"/>
      <c r="V81" s="25"/>
      <c r="W81" s="236"/>
      <c r="X81" s="236"/>
      <c r="Y81" s="25"/>
      <c r="Z81" s="25"/>
      <c r="AA81" s="25"/>
      <c r="AB81" s="232"/>
      <c r="AC81" s="25"/>
      <c r="AD81" s="232"/>
      <c r="AE81" s="25"/>
      <c r="AF81" s="232"/>
      <c r="AG81" s="25"/>
      <c r="AH81" s="25"/>
      <c r="AI81" s="25"/>
      <c r="AJ81" s="25"/>
      <c r="AK81" s="25"/>
      <c r="AL81" s="25"/>
      <c r="AM81" s="25"/>
      <c r="AN81" s="25"/>
      <c r="AO81" s="25"/>
      <c r="AP81" s="25"/>
      <c r="AQ81" s="25"/>
      <c r="AR81" s="25"/>
      <c r="AS81" s="25"/>
      <c r="AT81" s="25"/>
      <c r="AU81" s="25"/>
      <c r="AV81" s="25"/>
      <c r="AW81" s="25"/>
      <c r="AX81" s="25"/>
      <c r="AY81" s="25"/>
      <c r="AZ81" s="25"/>
      <c r="BA81" s="25"/>
      <c r="BB81" s="25"/>
      <c r="BC81" s="25"/>
      <c r="BD81" s="25"/>
      <c r="BE81" s="25"/>
      <c r="BF81" s="232"/>
      <c r="BG81" s="50"/>
      <c r="BH81" s="25"/>
      <c r="BI81" s="50"/>
      <c r="BJ81" s="50"/>
      <c r="BK81" s="50"/>
      <c r="BL81" s="232"/>
      <c r="BM81" s="232"/>
      <c r="BN81" s="232"/>
      <c r="BO81" s="232"/>
      <c r="BP81" s="232"/>
      <c r="BQ81" s="232"/>
      <c r="BR81" s="232"/>
      <c r="BS81" s="232"/>
      <c r="BT81" s="232"/>
      <c r="BU81" s="232"/>
      <c r="BV81" s="232"/>
      <c r="BW81" s="232"/>
      <c r="BX81" s="232"/>
      <c r="BY81" s="232"/>
      <c r="BZ81" s="232"/>
      <c r="CA81" s="50"/>
      <c r="CB81" s="232"/>
      <c r="CC81" s="232"/>
      <c r="CE81" s="25"/>
      <c r="CF81" s="232"/>
      <c r="CG81" s="25"/>
      <c r="CH81" s="25"/>
      <c r="CI81" s="25"/>
      <c r="CJ81" s="25"/>
      <c r="CK81" s="25"/>
      <c r="CL81" s="232"/>
      <c r="CM81" s="25"/>
      <c r="CN81" s="232"/>
      <c r="CO81" s="25"/>
      <c r="CP81" s="232"/>
      <c r="CQ81" s="232"/>
      <c r="CR81" s="232"/>
      <c r="CS81" s="232"/>
      <c r="CT81" s="232"/>
      <c r="CU81" s="232"/>
      <c r="CV81" s="232"/>
      <c r="CW81" s="232"/>
      <c r="CX81" s="232"/>
      <c r="CY81" s="232"/>
      <c r="CZ81" s="232"/>
      <c r="DA81" s="25"/>
      <c r="DB81" s="232"/>
      <c r="DC81" s="232"/>
      <c r="DD81" s="232"/>
      <c r="DE81" s="25"/>
      <c r="DF81" s="232"/>
      <c r="DG81" s="25"/>
      <c r="DH81" s="232"/>
      <c r="DI81" s="232"/>
      <c r="DJ81" s="25"/>
      <c r="DK81" s="25"/>
      <c r="DM81" s="25"/>
      <c r="DN81" s="25"/>
      <c r="DO81" s="25"/>
      <c r="DP81" s="25"/>
      <c r="DQ81" s="25"/>
      <c r="DR81" s="232"/>
      <c r="DS81" s="25"/>
      <c r="DT81" s="232"/>
      <c r="DU81" s="232"/>
      <c r="DV81" s="25"/>
      <c r="DW81" s="232"/>
      <c r="DX81" s="232"/>
      <c r="DY81" s="232"/>
      <c r="DZ81" s="232"/>
      <c r="EA81" s="232"/>
      <c r="EB81" s="232"/>
      <c r="EC81" s="232"/>
      <c r="ED81" s="232"/>
      <c r="EE81" s="50"/>
      <c r="EF81" s="50"/>
      <c r="EG81" s="25"/>
      <c r="EH81" s="232"/>
      <c r="EI81" s="232"/>
      <c r="EJ81" s="232"/>
      <c r="EK81" s="232"/>
      <c r="EL81" s="25"/>
      <c r="EM81" s="25"/>
      <c r="EN81" s="25"/>
      <c r="EW81" s="20"/>
      <c r="EX81" s="26"/>
      <c r="EY81" s="26"/>
      <c r="EZ81" s="26"/>
      <c r="FA81" s="26"/>
      <c r="FB81" s="25"/>
      <c r="FC81" s="232"/>
      <c r="FD81" s="232"/>
      <c r="FE81" s="232"/>
      <c r="FF81" s="232"/>
      <c r="FG81" s="232"/>
      <c r="FH81" s="232"/>
      <c r="FI81" s="25"/>
      <c r="FJ81" s="232"/>
      <c r="FK81" s="25"/>
      <c r="FL81" s="25"/>
      <c r="FM81" s="25"/>
      <c r="FN81" s="25"/>
      <c r="FO81" s="50"/>
      <c r="FP81" s="50"/>
      <c r="FQ81" s="232"/>
      <c r="FR81" s="232"/>
      <c r="FS81" s="232"/>
      <c r="FT81" s="50"/>
      <c r="FU81" s="50"/>
      <c r="FV81" s="232"/>
      <c r="FW81" s="76"/>
      <c r="FX81" s="232"/>
      <c r="FY81" s="232"/>
      <c r="FZ81" s="50"/>
      <c r="GA81" s="50"/>
      <c r="GB81" s="50"/>
      <c r="GC81" s="50"/>
      <c r="GD81" s="50"/>
      <c r="GE81" s="52"/>
    </row>
    <row r="82" spans="2:187" ht="12.75" customHeight="1" x14ac:dyDescent="0.2">
      <c r="B82" s="25"/>
      <c r="C82" s="25"/>
      <c r="D82" s="232"/>
      <c r="E82" s="232"/>
      <c r="F82" s="232"/>
      <c r="G82" s="25"/>
      <c r="H82" s="25"/>
      <c r="I82" s="234"/>
      <c r="J82" s="25"/>
      <c r="K82" s="25"/>
      <c r="L82" s="25"/>
      <c r="M82" s="25"/>
      <c r="N82" s="25"/>
      <c r="O82" s="232"/>
      <c r="P82" s="25"/>
      <c r="Q82" s="232"/>
      <c r="R82" s="25"/>
      <c r="S82" s="25"/>
      <c r="T82" s="232"/>
      <c r="U82" s="232"/>
      <c r="V82" s="25"/>
      <c r="W82" s="236"/>
      <c r="X82" s="236"/>
      <c r="Y82" s="25"/>
      <c r="Z82" s="25"/>
      <c r="AA82" s="25"/>
      <c r="AB82" s="232"/>
      <c r="AC82" s="25"/>
      <c r="AD82" s="232"/>
      <c r="AE82" s="25"/>
      <c r="AF82" s="232"/>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232"/>
      <c r="BG82" s="50"/>
      <c r="BH82" s="25"/>
      <c r="BI82" s="50"/>
      <c r="BJ82" s="50"/>
      <c r="BK82" s="50"/>
      <c r="BL82" s="232"/>
      <c r="BM82" s="232"/>
      <c r="BN82" s="232"/>
      <c r="BO82" s="232"/>
      <c r="BP82" s="232"/>
      <c r="BQ82" s="232"/>
      <c r="BR82" s="232"/>
      <c r="BS82" s="232"/>
      <c r="BT82" s="232"/>
      <c r="BU82" s="232"/>
      <c r="BV82" s="232"/>
      <c r="BW82" s="232"/>
      <c r="BX82" s="232"/>
      <c r="BY82" s="232"/>
      <c r="BZ82" s="232"/>
      <c r="CA82" s="50"/>
      <c r="CB82" s="232"/>
      <c r="CC82" s="232"/>
      <c r="CE82" s="25"/>
      <c r="CF82" s="232"/>
      <c r="CG82" s="25"/>
      <c r="CH82" s="25"/>
      <c r="CI82" s="25"/>
      <c r="CJ82" s="25"/>
      <c r="CK82" s="25"/>
      <c r="CL82" s="232"/>
      <c r="CM82" s="25"/>
      <c r="CN82" s="232"/>
      <c r="CO82" s="25"/>
      <c r="CP82" s="232"/>
      <c r="CQ82" s="232"/>
      <c r="CR82" s="232"/>
      <c r="CS82" s="232"/>
      <c r="CT82" s="232"/>
      <c r="CU82" s="232"/>
      <c r="CV82" s="232"/>
      <c r="CW82" s="232"/>
      <c r="CX82" s="232"/>
      <c r="CY82" s="232"/>
      <c r="CZ82" s="232"/>
      <c r="DA82" s="25"/>
      <c r="DB82" s="232"/>
      <c r="DC82" s="232"/>
      <c r="DD82" s="232"/>
      <c r="DE82" s="25"/>
      <c r="DF82" s="232"/>
      <c r="DG82" s="25"/>
      <c r="DH82" s="232"/>
      <c r="DI82" s="232"/>
      <c r="DJ82" s="25"/>
      <c r="DK82" s="25"/>
      <c r="DM82" s="25"/>
      <c r="DN82" s="25"/>
      <c r="DO82" s="25"/>
      <c r="DP82" s="25"/>
      <c r="DQ82" s="25"/>
      <c r="DR82" s="232"/>
      <c r="DS82" s="25"/>
      <c r="DT82" s="232"/>
      <c r="DU82" s="232"/>
      <c r="DV82" s="25"/>
      <c r="DW82" s="232"/>
      <c r="DX82" s="232"/>
      <c r="DY82" s="232"/>
      <c r="DZ82" s="232"/>
      <c r="EA82" s="232"/>
      <c r="EB82" s="232"/>
      <c r="EC82" s="232"/>
      <c r="ED82" s="232"/>
      <c r="EE82" s="50"/>
      <c r="EF82" s="50"/>
      <c r="EG82" s="25"/>
      <c r="EH82" s="232"/>
      <c r="EI82" s="232"/>
      <c r="EJ82" s="232"/>
      <c r="EK82" s="232"/>
      <c r="EL82" s="25"/>
      <c r="EM82" s="25"/>
      <c r="EN82" s="25"/>
      <c r="EW82" s="20"/>
      <c r="EX82" s="26"/>
      <c r="EY82" s="26"/>
      <c r="EZ82" s="26"/>
      <c r="FA82" s="26"/>
      <c r="FB82" s="25"/>
      <c r="FC82" s="232"/>
      <c r="FD82" s="232"/>
      <c r="FE82" s="232"/>
      <c r="FF82" s="232"/>
      <c r="FG82" s="232"/>
      <c r="FH82" s="232"/>
      <c r="FI82" s="25"/>
      <c r="FJ82" s="232"/>
      <c r="FK82" s="25"/>
      <c r="FL82" s="25"/>
      <c r="FM82" s="25"/>
      <c r="FN82" s="25"/>
      <c r="FO82" s="50"/>
      <c r="FP82" s="50"/>
      <c r="FQ82" s="232"/>
      <c r="FR82" s="232"/>
      <c r="FS82" s="232"/>
      <c r="FT82" s="50"/>
      <c r="FU82" s="50"/>
      <c r="FV82" s="232"/>
      <c r="FW82" s="76"/>
      <c r="FX82" s="232"/>
      <c r="FY82" s="232"/>
      <c r="FZ82" s="50"/>
      <c r="GA82" s="50"/>
      <c r="GB82" s="50"/>
      <c r="GC82" s="50"/>
      <c r="GD82" s="50"/>
      <c r="GE82" s="52"/>
    </row>
    <row r="83" spans="2:187" ht="12.75" customHeight="1" x14ac:dyDescent="0.2">
      <c r="B83" s="25"/>
      <c r="C83" s="25"/>
      <c r="D83" s="232"/>
      <c r="E83" s="232"/>
      <c r="F83" s="232"/>
      <c r="G83" s="25"/>
      <c r="H83" s="25"/>
      <c r="I83" s="234"/>
      <c r="J83" s="25"/>
      <c r="K83" s="25"/>
      <c r="L83" s="25"/>
      <c r="M83" s="25"/>
      <c r="N83" s="25"/>
      <c r="O83" s="232"/>
      <c r="P83" s="25"/>
      <c r="Q83" s="232"/>
      <c r="R83" s="25"/>
      <c r="S83" s="25"/>
      <c r="T83" s="232"/>
      <c r="U83" s="232"/>
      <c r="V83" s="25"/>
      <c r="W83" s="236"/>
      <c r="X83" s="236"/>
      <c r="Y83" s="25"/>
      <c r="Z83" s="25"/>
      <c r="AA83" s="25"/>
      <c r="AB83" s="232"/>
      <c r="AC83" s="25"/>
      <c r="AD83" s="232"/>
      <c r="AE83" s="25"/>
      <c r="AF83" s="232"/>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232"/>
      <c r="BG83" s="50"/>
      <c r="BH83" s="25"/>
      <c r="BI83" s="50"/>
      <c r="BJ83" s="50"/>
      <c r="BK83" s="50"/>
      <c r="BL83" s="232"/>
      <c r="BM83" s="232"/>
      <c r="BN83" s="232"/>
      <c r="BO83" s="232"/>
      <c r="BP83" s="232"/>
      <c r="BQ83" s="232"/>
      <c r="BR83" s="232"/>
      <c r="BS83" s="232"/>
      <c r="BT83" s="232"/>
      <c r="BU83" s="232"/>
      <c r="BV83" s="232"/>
      <c r="BW83" s="232"/>
      <c r="BX83" s="232"/>
      <c r="BY83" s="232"/>
      <c r="BZ83" s="232"/>
      <c r="CA83" s="50"/>
      <c r="CB83" s="232"/>
      <c r="CC83" s="232"/>
      <c r="CE83" s="25"/>
      <c r="CF83" s="232"/>
      <c r="CG83" s="25"/>
      <c r="CH83" s="25"/>
      <c r="CI83" s="25"/>
      <c r="CJ83" s="25"/>
      <c r="CK83" s="25"/>
      <c r="CL83" s="232"/>
      <c r="CM83" s="25"/>
      <c r="CN83" s="232"/>
      <c r="CO83" s="25"/>
      <c r="CP83" s="232"/>
      <c r="CQ83" s="232"/>
      <c r="CR83" s="232"/>
      <c r="CS83" s="232"/>
      <c r="CT83" s="232"/>
      <c r="CU83" s="232"/>
      <c r="CV83" s="232"/>
      <c r="CW83" s="232"/>
      <c r="CX83" s="232"/>
      <c r="CY83" s="232"/>
      <c r="CZ83" s="232"/>
      <c r="DA83" s="25"/>
      <c r="DB83" s="232"/>
      <c r="DC83" s="232"/>
      <c r="DD83" s="232"/>
      <c r="DE83" s="25"/>
      <c r="DF83" s="232"/>
      <c r="DG83" s="25"/>
      <c r="DH83" s="232"/>
      <c r="DI83" s="232"/>
      <c r="DJ83" s="25"/>
      <c r="DK83" s="25"/>
      <c r="DM83" s="25"/>
      <c r="DN83" s="25"/>
      <c r="DO83" s="25"/>
      <c r="DP83" s="25"/>
      <c r="DQ83" s="25"/>
      <c r="DR83" s="232"/>
      <c r="DS83" s="25"/>
      <c r="DT83" s="232"/>
      <c r="DU83" s="232"/>
      <c r="DV83" s="25"/>
      <c r="DW83" s="232"/>
      <c r="DX83" s="232"/>
      <c r="DY83" s="232"/>
      <c r="DZ83" s="232"/>
      <c r="EA83" s="232"/>
      <c r="EB83" s="232"/>
      <c r="EC83" s="232"/>
      <c r="ED83" s="232"/>
      <c r="EE83" s="50"/>
      <c r="EF83" s="50"/>
      <c r="EG83" s="25"/>
      <c r="EH83" s="232"/>
      <c r="EI83" s="232"/>
      <c r="EJ83" s="232"/>
      <c r="EK83" s="232"/>
      <c r="EL83" s="25"/>
      <c r="EM83" s="25"/>
      <c r="EN83" s="25"/>
      <c r="EW83" s="20"/>
      <c r="EX83" s="26"/>
      <c r="EY83" s="26"/>
      <c r="EZ83" s="26"/>
      <c r="FA83" s="26"/>
      <c r="FB83" s="25"/>
      <c r="FC83" s="232"/>
      <c r="FD83" s="232"/>
      <c r="FE83" s="232"/>
      <c r="FF83" s="232"/>
      <c r="FG83" s="232"/>
      <c r="FH83" s="232"/>
      <c r="FI83" s="25"/>
      <c r="FJ83" s="232"/>
      <c r="FK83" s="25"/>
      <c r="FL83" s="25"/>
      <c r="FM83" s="25"/>
      <c r="FN83" s="25"/>
      <c r="FO83" s="50"/>
      <c r="FP83" s="50"/>
      <c r="FQ83" s="232"/>
      <c r="FR83" s="232"/>
      <c r="FS83" s="232"/>
      <c r="FT83" s="50"/>
      <c r="FU83" s="50"/>
      <c r="FV83" s="232"/>
      <c r="FW83" s="76"/>
      <c r="FX83" s="232"/>
      <c r="FY83" s="232"/>
      <c r="FZ83" s="50"/>
      <c r="GA83" s="50"/>
      <c r="GB83" s="50"/>
      <c r="GC83" s="50"/>
      <c r="GD83" s="50"/>
      <c r="GE83" s="52"/>
    </row>
    <row r="84" spans="2:187" ht="12.75" customHeight="1" x14ac:dyDescent="0.2">
      <c r="B84" s="25"/>
      <c r="C84" s="25"/>
      <c r="D84" s="232"/>
      <c r="E84" s="232"/>
      <c r="F84" s="232"/>
      <c r="G84" s="25"/>
      <c r="H84" s="25"/>
      <c r="I84" s="234"/>
      <c r="J84" s="25"/>
      <c r="K84" s="25"/>
      <c r="L84" s="25"/>
      <c r="M84" s="25"/>
      <c r="N84" s="25"/>
      <c r="O84" s="232"/>
      <c r="P84" s="25"/>
      <c r="Q84" s="232"/>
      <c r="R84" s="25"/>
      <c r="S84" s="25"/>
      <c r="T84" s="232"/>
      <c r="U84" s="232"/>
      <c r="V84" s="25"/>
      <c r="W84" s="236"/>
      <c r="X84" s="236"/>
      <c r="Y84" s="25"/>
      <c r="Z84" s="25"/>
      <c r="AA84" s="25"/>
      <c r="AB84" s="232"/>
      <c r="AC84" s="25"/>
      <c r="AD84" s="232"/>
      <c r="AE84" s="25"/>
      <c r="AF84" s="232"/>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32"/>
      <c r="BG84" s="50"/>
      <c r="BH84" s="25"/>
      <c r="BI84" s="50"/>
      <c r="BJ84" s="50"/>
      <c r="BK84" s="50"/>
      <c r="BL84" s="232"/>
      <c r="BM84" s="232"/>
      <c r="BN84" s="232"/>
      <c r="BO84" s="232"/>
      <c r="BP84" s="232"/>
      <c r="BQ84" s="232"/>
      <c r="BR84" s="232"/>
      <c r="BS84" s="232"/>
      <c r="BT84" s="232"/>
      <c r="BU84" s="232"/>
      <c r="BV84" s="232"/>
      <c r="BW84" s="232"/>
      <c r="BX84" s="232"/>
      <c r="BY84" s="232"/>
      <c r="BZ84" s="232"/>
      <c r="CA84" s="50"/>
      <c r="CB84" s="232"/>
      <c r="CC84" s="232"/>
      <c r="CE84" s="25"/>
      <c r="CF84" s="232"/>
      <c r="CG84" s="25"/>
      <c r="CH84" s="25"/>
      <c r="CI84" s="25"/>
      <c r="CJ84" s="25"/>
      <c r="CK84" s="25"/>
      <c r="CL84" s="232"/>
      <c r="CM84" s="25"/>
      <c r="CN84" s="232"/>
      <c r="CO84" s="25"/>
      <c r="CP84" s="232"/>
      <c r="CQ84" s="232"/>
      <c r="CR84" s="232"/>
      <c r="CS84" s="232"/>
      <c r="CT84" s="232"/>
      <c r="CU84" s="232"/>
      <c r="CV84" s="232"/>
      <c r="CW84" s="232"/>
      <c r="CX84" s="232"/>
      <c r="CY84" s="232"/>
      <c r="CZ84" s="232"/>
      <c r="DA84" s="25"/>
      <c r="DB84" s="232"/>
      <c r="DC84" s="232"/>
      <c r="DD84" s="232"/>
      <c r="DE84" s="25"/>
      <c r="DF84" s="232"/>
      <c r="DG84" s="25"/>
      <c r="DH84" s="232"/>
      <c r="DI84" s="232"/>
      <c r="DJ84" s="25"/>
      <c r="DK84" s="25"/>
      <c r="DM84" s="25"/>
      <c r="DN84" s="25"/>
      <c r="DO84" s="25"/>
      <c r="DP84" s="25"/>
      <c r="DQ84" s="25"/>
      <c r="DR84" s="232"/>
      <c r="DS84" s="25"/>
      <c r="DT84" s="232"/>
      <c r="DU84" s="232"/>
      <c r="DV84" s="25"/>
      <c r="DW84" s="232"/>
      <c r="DX84" s="232"/>
      <c r="DY84" s="232"/>
      <c r="DZ84" s="232"/>
      <c r="EA84" s="232"/>
      <c r="EB84" s="232"/>
      <c r="EC84" s="232"/>
      <c r="ED84" s="232"/>
      <c r="EE84" s="50"/>
      <c r="EF84" s="50"/>
      <c r="EG84" s="25"/>
      <c r="EH84" s="232"/>
      <c r="EI84" s="232"/>
      <c r="EJ84" s="232"/>
      <c r="EK84" s="232"/>
      <c r="EL84" s="25"/>
      <c r="EM84" s="25"/>
      <c r="EN84" s="25"/>
      <c r="EW84" s="20"/>
      <c r="EX84" s="26"/>
      <c r="EY84" s="26"/>
      <c r="EZ84" s="26"/>
      <c r="FA84" s="26"/>
      <c r="FB84" s="25"/>
      <c r="FC84" s="232"/>
      <c r="FD84" s="232"/>
      <c r="FE84" s="232"/>
      <c r="FF84" s="232"/>
      <c r="FG84" s="232"/>
      <c r="FH84" s="232"/>
      <c r="FI84" s="25"/>
      <c r="FJ84" s="232"/>
      <c r="FK84" s="25"/>
      <c r="FL84" s="25"/>
      <c r="FM84" s="25"/>
      <c r="FN84" s="25"/>
      <c r="FO84" s="50"/>
      <c r="FP84" s="50"/>
      <c r="FQ84" s="232"/>
      <c r="FR84" s="232"/>
      <c r="FS84" s="232"/>
      <c r="FT84" s="50"/>
      <c r="FU84" s="50"/>
      <c r="FV84" s="232"/>
      <c r="FW84" s="76"/>
      <c r="FX84" s="232"/>
      <c r="FY84" s="232"/>
      <c r="FZ84" s="50"/>
      <c r="GA84" s="50"/>
      <c r="GB84" s="50"/>
      <c r="GC84" s="50"/>
      <c r="GD84" s="50"/>
      <c r="GE84" s="52"/>
    </row>
    <row r="85" spans="2:187" ht="12.75" customHeight="1" x14ac:dyDescent="0.2">
      <c r="B85" s="25"/>
      <c r="C85" s="25"/>
      <c r="D85" s="232"/>
      <c r="E85" s="232"/>
      <c r="F85" s="232"/>
      <c r="G85" s="25"/>
      <c r="H85" s="25"/>
      <c r="I85" s="234"/>
      <c r="J85" s="25"/>
      <c r="K85" s="25"/>
      <c r="L85" s="25"/>
      <c r="M85" s="25"/>
      <c r="N85" s="25"/>
      <c r="O85" s="232"/>
      <c r="P85" s="25"/>
      <c r="Q85" s="232"/>
      <c r="R85" s="25"/>
      <c r="S85" s="25"/>
      <c r="T85" s="232"/>
      <c r="U85" s="232"/>
      <c r="V85" s="25"/>
      <c r="W85" s="236"/>
      <c r="X85" s="236"/>
      <c r="Y85" s="25"/>
      <c r="Z85" s="25"/>
      <c r="AA85" s="25"/>
      <c r="AB85" s="232"/>
      <c r="AC85" s="25"/>
      <c r="AD85" s="232"/>
      <c r="AE85" s="25"/>
      <c r="AF85" s="232"/>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32"/>
      <c r="BG85" s="50"/>
      <c r="BH85" s="25"/>
      <c r="BI85" s="50"/>
      <c r="BJ85" s="50"/>
      <c r="BK85" s="50"/>
      <c r="BL85" s="232"/>
      <c r="BM85" s="232"/>
      <c r="BN85" s="232"/>
      <c r="BO85" s="232"/>
      <c r="BP85" s="232"/>
      <c r="BQ85" s="232"/>
      <c r="BR85" s="232"/>
      <c r="BS85" s="232"/>
      <c r="BT85" s="232"/>
      <c r="BU85" s="232"/>
      <c r="BV85" s="232"/>
      <c r="BW85" s="232"/>
      <c r="BX85" s="232"/>
      <c r="BY85" s="232"/>
      <c r="BZ85" s="232"/>
      <c r="CA85" s="50"/>
      <c r="CB85" s="232"/>
      <c r="CC85" s="232"/>
      <c r="CE85" s="25"/>
      <c r="CF85" s="232"/>
      <c r="CG85" s="25"/>
      <c r="CH85" s="25"/>
      <c r="CI85" s="25"/>
      <c r="CJ85" s="25"/>
      <c r="CK85" s="25"/>
      <c r="CL85" s="232"/>
      <c r="CM85" s="25"/>
      <c r="CN85" s="232"/>
      <c r="CO85" s="25"/>
      <c r="CP85" s="232"/>
      <c r="CQ85" s="232"/>
      <c r="CR85" s="232"/>
      <c r="CS85" s="232"/>
      <c r="CT85" s="232"/>
      <c r="CU85" s="232"/>
      <c r="CV85" s="232"/>
      <c r="CW85" s="232"/>
      <c r="CX85" s="232"/>
      <c r="CY85" s="232"/>
      <c r="CZ85" s="232"/>
      <c r="DA85" s="25"/>
      <c r="DB85" s="232"/>
      <c r="DC85" s="232"/>
      <c r="DD85" s="232"/>
      <c r="DE85" s="25"/>
      <c r="DF85" s="232"/>
      <c r="DG85" s="25"/>
      <c r="DH85" s="232"/>
      <c r="DI85" s="232"/>
      <c r="DJ85" s="25"/>
      <c r="DK85" s="25"/>
      <c r="DM85" s="25"/>
      <c r="DN85" s="25"/>
      <c r="DO85" s="25"/>
      <c r="DP85" s="25"/>
      <c r="DQ85" s="25"/>
      <c r="DR85" s="232"/>
      <c r="DS85" s="25"/>
      <c r="DT85" s="232"/>
      <c r="DU85" s="232"/>
      <c r="DV85" s="25"/>
      <c r="DW85" s="232"/>
      <c r="DX85" s="232"/>
      <c r="DY85" s="232"/>
      <c r="DZ85" s="232"/>
      <c r="EA85" s="232"/>
      <c r="EB85" s="232"/>
      <c r="EC85" s="232"/>
      <c r="ED85" s="232"/>
      <c r="EE85" s="50"/>
      <c r="EF85" s="50"/>
      <c r="EG85" s="25"/>
      <c r="EH85" s="232"/>
      <c r="EI85" s="232"/>
      <c r="EJ85" s="232"/>
      <c r="EK85" s="232"/>
      <c r="EL85" s="25"/>
      <c r="EM85" s="25"/>
      <c r="EN85" s="25"/>
      <c r="EW85" s="20"/>
      <c r="EX85" s="26"/>
      <c r="EY85" s="26"/>
      <c r="EZ85" s="26"/>
      <c r="FA85" s="26"/>
      <c r="FB85" s="25"/>
      <c r="FC85" s="232"/>
      <c r="FD85" s="232"/>
      <c r="FE85" s="232"/>
      <c r="FF85" s="232"/>
      <c r="FG85" s="232"/>
      <c r="FH85" s="232"/>
      <c r="FI85" s="25"/>
      <c r="FJ85" s="232"/>
      <c r="FK85" s="25"/>
      <c r="FL85" s="25"/>
      <c r="FM85" s="25"/>
      <c r="FN85" s="25"/>
      <c r="FO85" s="50"/>
      <c r="FP85" s="50"/>
      <c r="FQ85" s="232"/>
      <c r="FR85" s="232"/>
      <c r="FS85" s="232"/>
      <c r="FT85" s="50"/>
      <c r="FU85" s="50"/>
      <c r="FV85" s="232"/>
      <c r="FW85" s="76"/>
      <c r="FX85" s="232"/>
      <c r="FY85" s="232"/>
      <c r="FZ85" s="50"/>
      <c r="GA85" s="50"/>
      <c r="GB85" s="50"/>
      <c r="GC85" s="50"/>
      <c r="GD85" s="50"/>
      <c r="GE85" s="52"/>
    </row>
    <row r="86" spans="2:187" ht="12.75" customHeight="1" x14ac:dyDescent="0.2">
      <c r="B86" s="25"/>
      <c r="C86" s="25"/>
      <c r="D86" s="232"/>
      <c r="E86" s="232"/>
      <c r="F86" s="232"/>
      <c r="G86" s="25"/>
      <c r="H86" s="25"/>
      <c r="I86" s="234"/>
      <c r="J86" s="25"/>
      <c r="K86" s="25"/>
      <c r="L86" s="25"/>
      <c r="M86" s="25"/>
      <c r="N86" s="25"/>
      <c r="O86" s="232"/>
      <c r="P86" s="25"/>
      <c r="Q86" s="232"/>
      <c r="R86" s="25"/>
      <c r="S86" s="25"/>
      <c r="T86" s="232"/>
      <c r="U86" s="232"/>
      <c r="V86" s="25"/>
      <c r="W86" s="236"/>
      <c r="X86" s="236"/>
      <c r="Y86" s="25"/>
      <c r="Z86" s="25"/>
      <c r="AA86" s="25"/>
      <c r="AB86" s="232"/>
      <c r="AC86" s="25"/>
      <c r="AD86" s="232"/>
      <c r="AE86" s="25"/>
      <c r="AF86" s="232"/>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32"/>
      <c r="BG86" s="50"/>
      <c r="BH86" s="25"/>
      <c r="BI86" s="50"/>
      <c r="BJ86" s="50"/>
      <c r="BK86" s="50"/>
      <c r="BL86" s="232"/>
      <c r="BM86" s="232"/>
      <c r="BN86" s="232"/>
      <c r="BO86" s="232"/>
      <c r="BP86" s="232"/>
      <c r="BQ86" s="232"/>
      <c r="BR86" s="232"/>
      <c r="BS86" s="232"/>
      <c r="BT86" s="232"/>
      <c r="BU86" s="232"/>
      <c r="BV86" s="232"/>
      <c r="BW86" s="232"/>
      <c r="BX86" s="232"/>
      <c r="BY86" s="232"/>
      <c r="BZ86" s="232"/>
      <c r="CA86" s="50"/>
      <c r="CB86" s="232"/>
      <c r="CC86" s="232"/>
      <c r="CE86" s="25"/>
      <c r="CF86" s="232"/>
      <c r="CG86" s="25"/>
      <c r="CH86" s="25"/>
      <c r="CI86" s="25"/>
      <c r="CJ86" s="25"/>
      <c r="CK86" s="25"/>
      <c r="CL86" s="232"/>
      <c r="CM86" s="25"/>
      <c r="CN86" s="232"/>
      <c r="CO86" s="25"/>
      <c r="CP86" s="232"/>
      <c r="CQ86" s="232"/>
      <c r="CR86" s="232"/>
      <c r="CS86" s="232"/>
      <c r="CT86" s="232"/>
      <c r="CU86" s="232"/>
      <c r="CV86" s="232"/>
      <c r="CW86" s="232"/>
      <c r="CX86" s="232"/>
      <c r="CY86" s="232"/>
      <c r="CZ86" s="232"/>
      <c r="DA86" s="25"/>
      <c r="DB86" s="232"/>
      <c r="DC86" s="232"/>
      <c r="DD86" s="232"/>
      <c r="DE86" s="25"/>
      <c r="DF86" s="232"/>
      <c r="DG86" s="25"/>
      <c r="DH86" s="232"/>
      <c r="DI86" s="232"/>
      <c r="DJ86" s="25"/>
      <c r="DK86" s="25"/>
      <c r="DM86" s="25"/>
      <c r="DN86" s="25"/>
      <c r="DO86" s="25"/>
      <c r="DP86" s="25"/>
      <c r="DQ86" s="25"/>
      <c r="DR86" s="232"/>
      <c r="DS86" s="25"/>
      <c r="DT86" s="232"/>
      <c r="DU86" s="232"/>
      <c r="DV86" s="25"/>
      <c r="DW86" s="232"/>
      <c r="DX86" s="232"/>
      <c r="DY86" s="232"/>
      <c r="DZ86" s="232"/>
      <c r="EA86" s="232"/>
      <c r="EB86" s="232"/>
      <c r="EC86" s="232"/>
      <c r="ED86" s="232"/>
      <c r="EE86" s="50"/>
      <c r="EF86" s="50"/>
      <c r="EG86" s="25"/>
      <c r="EH86" s="232"/>
      <c r="EI86" s="232"/>
      <c r="EJ86" s="232"/>
      <c r="EK86" s="232"/>
      <c r="EL86" s="25"/>
      <c r="EM86" s="25"/>
      <c r="EN86" s="25"/>
      <c r="EW86" s="20"/>
      <c r="EX86" s="26"/>
      <c r="EY86" s="26"/>
      <c r="EZ86" s="26"/>
      <c r="FA86" s="26"/>
      <c r="FB86" s="25"/>
      <c r="FC86" s="232"/>
      <c r="FD86" s="232"/>
      <c r="FE86" s="232"/>
      <c r="FF86" s="232"/>
      <c r="FG86" s="232"/>
      <c r="FH86" s="232"/>
      <c r="FI86" s="25"/>
      <c r="FJ86" s="232"/>
      <c r="FK86" s="25"/>
      <c r="FL86" s="25"/>
      <c r="FM86" s="25"/>
      <c r="FN86" s="25"/>
      <c r="FO86" s="50"/>
      <c r="FP86" s="50"/>
      <c r="FQ86" s="232"/>
      <c r="FR86" s="232"/>
      <c r="FS86" s="232"/>
      <c r="FT86" s="50"/>
      <c r="FU86" s="50"/>
      <c r="FV86" s="232"/>
      <c r="FW86" s="76"/>
      <c r="FX86" s="232"/>
      <c r="FY86" s="232"/>
      <c r="FZ86" s="50"/>
      <c r="GA86" s="50"/>
      <c r="GB86" s="50"/>
      <c r="GC86" s="50"/>
      <c r="GD86" s="50"/>
      <c r="GE86" s="52"/>
    </row>
    <row r="87" spans="2:187" ht="12.75" customHeight="1" x14ac:dyDescent="0.2">
      <c r="B87" s="25"/>
      <c r="C87" s="25"/>
      <c r="D87" s="232"/>
      <c r="E87" s="232"/>
      <c r="F87" s="232"/>
      <c r="G87" s="25"/>
      <c r="H87" s="25"/>
      <c r="I87" s="234"/>
      <c r="J87" s="25"/>
      <c r="K87" s="25"/>
      <c r="L87" s="25"/>
      <c r="M87" s="25"/>
      <c r="N87" s="25"/>
      <c r="O87" s="232"/>
      <c r="P87" s="25"/>
      <c r="Q87" s="232"/>
      <c r="R87" s="25"/>
      <c r="S87" s="25"/>
      <c r="T87" s="232"/>
      <c r="U87" s="232"/>
      <c r="V87" s="25"/>
      <c r="W87" s="236"/>
      <c r="X87" s="236"/>
      <c r="Y87" s="25"/>
      <c r="Z87" s="25"/>
      <c r="AA87" s="25"/>
      <c r="AB87" s="232"/>
      <c r="AC87" s="25"/>
      <c r="AD87" s="232"/>
      <c r="AE87" s="25"/>
      <c r="AF87" s="232"/>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232"/>
      <c r="BG87" s="50"/>
      <c r="BH87" s="25"/>
      <c r="BI87" s="50"/>
      <c r="BJ87" s="50"/>
      <c r="BK87" s="50"/>
      <c r="BL87" s="232"/>
      <c r="BM87" s="232"/>
      <c r="BN87" s="232"/>
      <c r="BO87" s="232"/>
      <c r="BP87" s="232"/>
      <c r="BQ87" s="232"/>
      <c r="BR87" s="232"/>
      <c r="BS87" s="232"/>
      <c r="BT87" s="232"/>
      <c r="BU87" s="232"/>
      <c r="BV87" s="232"/>
      <c r="BW87" s="232"/>
      <c r="BX87" s="232"/>
      <c r="BY87" s="232"/>
      <c r="BZ87" s="232"/>
      <c r="CA87" s="50"/>
      <c r="CB87" s="232"/>
      <c r="CC87" s="232"/>
      <c r="CE87" s="25"/>
      <c r="CF87" s="232"/>
      <c r="CG87" s="25"/>
      <c r="CH87" s="25"/>
      <c r="CI87" s="25"/>
      <c r="CJ87" s="25"/>
      <c r="CK87" s="25"/>
      <c r="CL87" s="232"/>
      <c r="CM87" s="25"/>
      <c r="CN87" s="232"/>
      <c r="CO87" s="25"/>
      <c r="CP87" s="232"/>
      <c r="CQ87" s="232"/>
      <c r="CR87" s="232"/>
      <c r="CS87" s="232"/>
      <c r="CT87" s="232"/>
      <c r="CU87" s="232"/>
      <c r="CV87" s="232"/>
      <c r="CW87" s="232"/>
      <c r="CX87" s="232"/>
      <c r="CY87" s="232"/>
      <c r="CZ87" s="232"/>
      <c r="DA87" s="25"/>
      <c r="DB87" s="232"/>
      <c r="DC87" s="232"/>
      <c r="DD87" s="232"/>
      <c r="DE87" s="25"/>
      <c r="DF87" s="232"/>
      <c r="DG87" s="25"/>
      <c r="DH87" s="232"/>
      <c r="DI87" s="232"/>
      <c r="DJ87" s="25"/>
      <c r="DK87" s="25"/>
      <c r="DM87" s="25"/>
      <c r="DN87" s="25"/>
      <c r="DO87" s="25"/>
      <c r="DP87" s="25"/>
      <c r="DQ87" s="25"/>
      <c r="DR87" s="232"/>
      <c r="DS87" s="25"/>
      <c r="DT87" s="232"/>
      <c r="DU87" s="232"/>
      <c r="DV87" s="25"/>
      <c r="DW87" s="232"/>
      <c r="DX87" s="232"/>
      <c r="DY87" s="232"/>
      <c r="DZ87" s="232"/>
      <c r="EA87" s="232"/>
      <c r="EB87" s="232"/>
      <c r="EC87" s="232"/>
      <c r="ED87" s="232"/>
      <c r="EE87" s="50"/>
      <c r="EF87" s="50"/>
      <c r="EG87" s="25"/>
      <c r="EH87" s="232"/>
      <c r="EI87" s="232"/>
      <c r="EJ87" s="232"/>
      <c r="EK87" s="232"/>
      <c r="EL87" s="25"/>
      <c r="EM87" s="25"/>
      <c r="EN87" s="25"/>
      <c r="EW87" s="20"/>
      <c r="EX87" s="26"/>
      <c r="EY87" s="26"/>
      <c r="EZ87" s="26"/>
      <c r="FA87" s="26"/>
      <c r="FB87" s="25"/>
      <c r="FC87" s="232"/>
      <c r="FD87" s="232"/>
      <c r="FE87" s="232"/>
      <c r="FF87" s="232"/>
      <c r="FG87" s="232"/>
      <c r="FH87" s="232"/>
      <c r="FI87" s="25"/>
      <c r="FJ87" s="232"/>
      <c r="FK87" s="25"/>
      <c r="FL87" s="25"/>
      <c r="FM87" s="25"/>
      <c r="FN87" s="25"/>
      <c r="FO87" s="50"/>
      <c r="FP87" s="50"/>
      <c r="FQ87" s="232"/>
      <c r="FR87" s="232"/>
      <c r="FS87" s="232"/>
      <c r="FT87" s="50"/>
      <c r="FU87" s="50"/>
      <c r="FV87" s="232"/>
      <c r="FW87" s="76"/>
      <c r="FX87" s="232"/>
      <c r="FY87" s="232"/>
      <c r="FZ87" s="50"/>
      <c r="GA87" s="50"/>
      <c r="GB87" s="50"/>
      <c r="GC87" s="50"/>
      <c r="GD87" s="50"/>
      <c r="GE87" s="52"/>
    </row>
    <row r="88" spans="2:187" ht="12.75" customHeight="1" x14ac:dyDescent="0.2">
      <c r="B88" s="25"/>
      <c r="C88" s="25"/>
      <c r="D88" s="232"/>
      <c r="E88" s="232"/>
      <c r="F88" s="232"/>
      <c r="G88" s="25"/>
      <c r="H88" s="25"/>
      <c r="I88" s="234"/>
      <c r="J88" s="25"/>
      <c r="K88" s="25"/>
      <c r="L88" s="25"/>
      <c r="M88" s="25"/>
      <c r="N88" s="25"/>
      <c r="O88" s="232"/>
      <c r="P88" s="25"/>
      <c r="Q88" s="232"/>
      <c r="R88" s="25"/>
      <c r="S88" s="25"/>
      <c r="T88" s="232"/>
      <c r="U88" s="232"/>
      <c r="V88" s="25"/>
      <c r="W88" s="236"/>
      <c r="X88" s="236"/>
      <c r="Y88" s="25"/>
      <c r="Z88" s="25"/>
      <c r="AA88" s="25"/>
      <c r="AB88" s="232"/>
      <c r="AC88" s="25"/>
      <c r="AD88" s="232"/>
      <c r="AE88" s="25"/>
      <c r="AF88" s="232"/>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232"/>
      <c r="BG88" s="50"/>
      <c r="BH88" s="25"/>
      <c r="BI88" s="50"/>
      <c r="BJ88" s="50"/>
      <c r="BK88" s="50"/>
      <c r="BL88" s="232"/>
      <c r="BM88" s="232"/>
      <c r="BN88" s="232"/>
      <c r="BO88" s="232"/>
      <c r="BP88" s="232"/>
      <c r="BQ88" s="232"/>
      <c r="BR88" s="232"/>
      <c r="BS88" s="232"/>
      <c r="BT88" s="232"/>
      <c r="BU88" s="232"/>
      <c r="BV88" s="232"/>
      <c r="BW88" s="232"/>
      <c r="BX88" s="232"/>
      <c r="BY88" s="232"/>
      <c r="BZ88" s="232"/>
      <c r="CA88" s="50"/>
      <c r="CB88" s="232"/>
      <c r="CC88" s="232"/>
      <c r="CE88" s="25"/>
      <c r="CF88" s="232"/>
      <c r="CG88" s="25"/>
      <c r="CH88" s="25"/>
      <c r="CI88" s="25"/>
      <c r="CJ88" s="25"/>
      <c r="CK88" s="25"/>
      <c r="CL88" s="232"/>
      <c r="CM88" s="25"/>
      <c r="CN88" s="232"/>
      <c r="CO88" s="25"/>
      <c r="CP88" s="232"/>
      <c r="CQ88" s="232"/>
      <c r="CR88" s="232"/>
      <c r="CS88" s="232"/>
      <c r="CT88" s="232"/>
      <c r="CU88" s="232"/>
      <c r="CV88" s="232"/>
      <c r="CW88" s="232"/>
      <c r="CX88" s="232"/>
      <c r="CY88" s="232"/>
      <c r="CZ88" s="232"/>
      <c r="DA88" s="25"/>
      <c r="DB88" s="232"/>
      <c r="DC88" s="232"/>
      <c r="DD88" s="232"/>
      <c r="DE88" s="25"/>
      <c r="DF88" s="232"/>
      <c r="DG88" s="25"/>
      <c r="DH88" s="232"/>
      <c r="DI88" s="232"/>
      <c r="DJ88" s="25"/>
      <c r="DK88" s="25"/>
      <c r="DM88" s="25"/>
      <c r="DN88" s="25"/>
      <c r="DO88" s="25"/>
      <c r="DP88" s="25"/>
      <c r="DQ88" s="25"/>
      <c r="DR88" s="232"/>
      <c r="DS88" s="25"/>
      <c r="DT88" s="232"/>
      <c r="DU88" s="232"/>
      <c r="DV88" s="25"/>
      <c r="DW88" s="232"/>
      <c r="DX88" s="232"/>
      <c r="DY88" s="232"/>
      <c r="DZ88" s="232"/>
      <c r="EA88" s="232"/>
      <c r="EB88" s="232"/>
      <c r="EC88" s="232"/>
      <c r="ED88" s="232"/>
      <c r="EE88" s="50"/>
      <c r="EF88" s="50"/>
      <c r="EG88" s="25"/>
      <c r="EH88" s="232"/>
      <c r="EI88" s="232"/>
      <c r="EJ88" s="232"/>
      <c r="EK88" s="232"/>
      <c r="EL88" s="25"/>
      <c r="EM88" s="25"/>
      <c r="EN88" s="25"/>
      <c r="EW88" s="20"/>
      <c r="EX88" s="26"/>
      <c r="EY88" s="26"/>
      <c r="EZ88" s="26"/>
      <c r="FA88" s="26"/>
      <c r="FB88" s="25"/>
      <c r="FC88" s="232"/>
      <c r="FD88" s="232"/>
      <c r="FE88" s="232"/>
      <c r="FF88" s="232"/>
      <c r="FG88" s="232"/>
      <c r="FH88" s="232"/>
      <c r="FI88" s="25"/>
      <c r="FJ88" s="232"/>
      <c r="FK88" s="25"/>
      <c r="FL88" s="25"/>
      <c r="FM88" s="25"/>
      <c r="FN88" s="25"/>
      <c r="FO88" s="50"/>
      <c r="FP88" s="50"/>
      <c r="FQ88" s="232"/>
      <c r="FR88" s="232"/>
      <c r="FS88" s="232"/>
      <c r="FT88" s="50"/>
      <c r="FU88" s="50"/>
      <c r="FV88" s="232"/>
      <c r="FW88" s="76"/>
      <c r="FX88" s="232"/>
      <c r="FY88" s="232"/>
      <c r="FZ88" s="50"/>
      <c r="GA88" s="50"/>
      <c r="GB88" s="50"/>
      <c r="GC88" s="50"/>
      <c r="GD88" s="50"/>
      <c r="GE88" s="52"/>
    </row>
    <row r="89" spans="2:187" ht="12.75" customHeight="1" x14ac:dyDescent="0.2">
      <c r="B89" s="25"/>
      <c r="C89" s="25"/>
      <c r="D89" s="232"/>
      <c r="E89" s="232"/>
      <c r="F89" s="232"/>
      <c r="G89" s="25"/>
      <c r="H89" s="25"/>
      <c r="I89" s="234"/>
      <c r="J89" s="25"/>
      <c r="K89" s="25"/>
      <c r="L89" s="25"/>
      <c r="M89" s="25"/>
      <c r="N89" s="25"/>
      <c r="O89" s="232"/>
      <c r="P89" s="25"/>
      <c r="Q89" s="232"/>
      <c r="R89" s="25"/>
      <c r="S89" s="25"/>
      <c r="T89" s="232"/>
      <c r="U89" s="232"/>
      <c r="V89" s="25"/>
      <c r="W89" s="236"/>
      <c r="X89" s="236"/>
      <c r="Y89" s="25"/>
      <c r="Z89" s="25"/>
      <c r="AA89" s="25"/>
      <c r="AB89" s="232"/>
      <c r="AC89" s="25"/>
      <c r="AD89" s="232"/>
      <c r="AE89" s="25"/>
      <c r="AF89" s="232"/>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32"/>
      <c r="BG89" s="50"/>
      <c r="BH89" s="25"/>
      <c r="BI89" s="50"/>
      <c r="BJ89" s="50"/>
      <c r="BK89" s="50"/>
      <c r="BL89" s="232"/>
      <c r="BM89" s="232"/>
      <c r="BN89" s="232"/>
      <c r="BO89" s="232"/>
      <c r="BP89" s="232"/>
      <c r="BQ89" s="232"/>
      <c r="BR89" s="232"/>
      <c r="BS89" s="232"/>
      <c r="BT89" s="232"/>
      <c r="BU89" s="232"/>
      <c r="BV89" s="232"/>
      <c r="BW89" s="232"/>
      <c r="BX89" s="232"/>
      <c r="BY89" s="232"/>
      <c r="BZ89" s="232"/>
      <c r="CA89" s="50"/>
      <c r="CB89" s="232"/>
      <c r="CC89" s="232"/>
      <c r="CE89" s="25"/>
      <c r="CF89" s="232"/>
      <c r="CG89" s="25"/>
      <c r="CH89" s="25"/>
      <c r="CI89" s="25"/>
      <c r="CJ89" s="25"/>
      <c r="CK89" s="25"/>
      <c r="CL89" s="232"/>
      <c r="CM89" s="25"/>
      <c r="CN89" s="232"/>
      <c r="CO89" s="25"/>
      <c r="CP89" s="232"/>
      <c r="CQ89" s="232"/>
      <c r="CR89" s="232"/>
      <c r="CS89" s="232"/>
      <c r="CT89" s="232"/>
      <c r="CU89" s="232"/>
      <c r="CV89" s="232"/>
      <c r="CW89" s="232"/>
      <c r="CX89" s="232"/>
      <c r="CY89" s="232"/>
      <c r="CZ89" s="232"/>
      <c r="DA89" s="25"/>
      <c r="DB89" s="232"/>
      <c r="DC89" s="232"/>
      <c r="DD89" s="232"/>
      <c r="DE89" s="25"/>
      <c r="DF89" s="232"/>
      <c r="DG89" s="25"/>
      <c r="DH89" s="232"/>
      <c r="DI89" s="232"/>
      <c r="DJ89" s="25"/>
      <c r="DK89" s="25"/>
      <c r="DM89" s="25"/>
      <c r="DN89" s="25"/>
      <c r="DO89" s="25"/>
      <c r="DP89" s="25"/>
      <c r="DQ89" s="25"/>
      <c r="DR89" s="232"/>
      <c r="DS89" s="25"/>
      <c r="DT89" s="232"/>
      <c r="DU89" s="232"/>
      <c r="DV89" s="25"/>
      <c r="DW89" s="232"/>
      <c r="DX89" s="232"/>
      <c r="DY89" s="232"/>
      <c r="DZ89" s="232"/>
      <c r="EA89" s="232"/>
      <c r="EB89" s="232"/>
      <c r="EC89" s="232"/>
      <c r="ED89" s="232"/>
      <c r="EE89" s="50"/>
      <c r="EF89" s="50"/>
      <c r="EG89" s="25"/>
      <c r="EH89" s="232"/>
      <c r="EI89" s="232"/>
      <c r="EJ89" s="232"/>
      <c r="EK89" s="232"/>
      <c r="EL89" s="25"/>
      <c r="EM89" s="25"/>
      <c r="EN89" s="25"/>
      <c r="EW89" s="20"/>
      <c r="EX89" s="26"/>
      <c r="EY89" s="26"/>
      <c r="EZ89" s="26"/>
      <c r="FA89" s="26"/>
      <c r="FB89" s="25"/>
      <c r="FC89" s="232"/>
      <c r="FD89" s="232"/>
      <c r="FE89" s="232"/>
      <c r="FF89" s="232"/>
      <c r="FG89" s="232"/>
      <c r="FH89" s="232"/>
      <c r="FI89" s="25"/>
      <c r="FJ89" s="232"/>
      <c r="FK89" s="25"/>
      <c r="FL89" s="25"/>
      <c r="FM89" s="25"/>
      <c r="FN89" s="25"/>
      <c r="FO89" s="50"/>
      <c r="FP89" s="50"/>
      <c r="FQ89" s="232"/>
      <c r="FR89" s="232"/>
      <c r="FS89" s="232"/>
      <c r="FT89" s="50"/>
      <c r="FU89" s="50"/>
      <c r="FV89" s="232"/>
      <c r="FW89" s="76"/>
      <c r="FX89" s="232"/>
      <c r="FY89" s="232"/>
      <c r="FZ89" s="50"/>
      <c r="GA89" s="50"/>
      <c r="GB89" s="50"/>
      <c r="GC89" s="50"/>
      <c r="GD89" s="50"/>
      <c r="GE89" s="52"/>
    </row>
    <row r="90" spans="2:187" ht="12.75" customHeight="1" x14ac:dyDescent="0.2">
      <c r="B90" s="25"/>
      <c r="C90" s="25"/>
      <c r="D90" s="232"/>
      <c r="E90" s="232"/>
      <c r="F90" s="232"/>
      <c r="G90" s="25"/>
      <c r="H90" s="25"/>
      <c r="I90" s="234"/>
      <c r="J90" s="25"/>
      <c r="K90" s="25"/>
      <c r="L90" s="25"/>
      <c r="M90" s="25"/>
      <c r="N90" s="25"/>
      <c r="O90" s="232"/>
      <c r="P90" s="25"/>
      <c r="Q90" s="232"/>
      <c r="R90" s="25"/>
      <c r="S90" s="25"/>
      <c r="T90" s="232"/>
      <c r="U90" s="232"/>
      <c r="V90" s="25"/>
      <c r="W90" s="236"/>
      <c r="X90" s="236"/>
      <c r="Y90" s="25"/>
      <c r="Z90" s="25"/>
      <c r="AA90" s="25"/>
      <c r="AB90" s="232"/>
      <c r="AC90" s="25"/>
      <c r="AD90" s="232"/>
      <c r="AE90" s="25"/>
      <c r="AF90" s="232"/>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232"/>
      <c r="BG90" s="50"/>
      <c r="BH90" s="25"/>
      <c r="BI90" s="50"/>
      <c r="BJ90" s="50"/>
      <c r="BK90" s="50"/>
      <c r="BL90" s="232"/>
      <c r="BM90" s="232"/>
      <c r="BN90" s="232"/>
      <c r="BO90" s="232"/>
      <c r="BP90" s="232"/>
      <c r="BQ90" s="232"/>
      <c r="BR90" s="232"/>
      <c r="BS90" s="232"/>
      <c r="BT90" s="232"/>
      <c r="BU90" s="232"/>
      <c r="BV90" s="232"/>
      <c r="BW90" s="232"/>
      <c r="BX90" s="232"/>
      <c r="BY90" s="232"/>
      <c r="BZ90" s="232"/>
      <c r="CA90" s="50"/>
      <c r="CB90" s="232"/>
      <c r="CC90" s="232"/>
      <c r="CE90" s="25"/>
      <c r="CF90" s="232"/>
      <c r="CG90" s="25"/>
      <c r="CH90" s="25"/>
      <c r="CI90" s="25"/>
      <c r="CJ90" s="25"/>
      <c r="CK90" s="25"/>
      <c r="CL90" s="232"/>
      <c r="CM90" s="25"/>
      <c r="CN90" s="232"/>
      <c r="CO90" s="25"/>
      <c r="CP90" s="232"/>
      <c r="CQ90" s="232"/>
      <c r="CR90" s="232"/>
      <c r="CS90" s="232"/>
      <c r="CT90" s="232"/>
      <c r="CU90" s="232"/>
      <c r="CV90" s="232"/>
      <c r="CW90" s="232"/>
      <c r="CX90" s="232"/>
      <c r="CY90" s="232"/>
      <c r="CZ90" s="232"/>
      <c r="DA90" s="25"/>
      <c r="DB90" s="232"/>
      <c r="DC90" s="232"/>
      <c r="DD90" s="232"/>
      <c r="DE90" s="25"/>
      <c r="DF90" s="232"/>
      <c r="DG90" s="25"/>
      <c r="DH90" s="232"/>
      <c r="DI90" s="232"/>
      <c r="DJ90" s="25"/>
      <c r="DK90" s="25"/>
      <c r="DM90" s="25"/>
      <c r="DN90" s="25"/>
      <c r="DO90" s="25"/>
      <c r="DP90" s="25"/>
      <c r="DQ90" s="25"/>
      <c r="DR90" s="232"/>
      <c r="DS90" s="25"/>
      <c r="DT90" s="232"/>
      <c r="DU90" s="232"/>
      <c r="DV90" s="25"/>
      <c r="DW90" s="232"/>
      <c r="DX90" s="232"/>
      <c r="DY90" s="232"/>
      <c r="DZ90" s="232"/>
      <c r="EA90" s="232"/>
      <c r="EB90" s="232"/>
      <c r="EC90" s="232"/>
      <c r="ED90" s="232"/>
      <c r="EE90" s="50"/>
      <c r="EF90" s="50"/>
      <c r="EG90" s="25"/>
      <c r="EH90" s="232"/>
      <c r="EI90" s="232"/>
      <c r="EJ90" s="232"/>
      <c r="EK90" s="232"/>
      <c r="EL90" s="25"/>
      <c r="EM90" s="25"/>
      <c r="EN90" s="25"/>
      <c r="EW90" s="20"/>
      <c r="EX90" s="26"/>
      <c r="EY90" s="26"/>
      <c r="EZ90" s="26"/>
      <c r="FA90" s="26"/>
      <c r="FB90" s="25"/>
      <c r="FC90" s="232"/>
      <c r="FD90" s="232"/>
      <c r="FE90" s="232"/>
      <c r="FF90" s="232"/>
      <c r="FG90" s="232"/>
      <c r="FH90" s="232"/>
      <c r="FI90" s="25"/>
      <c r="FJ90" s="232"/>
      <c r="FK90" s="25"/>
      <c r="FL90" s="25"/>
      <c r="FM90" s="25"/>
      <c r="FN90" s="25"/>
      <c r="FO90" s="50"/>
      <c r="FP90" s="50"/>
      <c r="FQ90" s="232"/>
      <c r="FR90" s="232"/>
      <c r="FS90" s="232"/>
      <c r="FT90" s="50"/>
      <c r="FU90" s="50"/>
      <c r="FV90" s="232"/>
      <c r="FW90" s="76"/>
      <c r="FX90" s="232"/>
      <c r="FY90" s="232"/>
      <c r="FZ90" s="50"/>
      <c r="GA90" s="50"/>
      <c r="GB90" s="50"/>
      <c r="GC90" s="50"/>
      <c r="GD90" s="50"/>
      <c r="GE90" s="52"/>
    </row>
    <row r="91" spans="2:187" ht="12.75" customHeight="1" x14ac:dyDescent="0.2">
      <c r="B91" s="25"/>
      <c r="C91" s="25"/>
      <c r="D91" s="232"/>
      <c r="E91" s="232"/>
      <c r="F91" s="232"/>
      <c r="G91" s="25"/>
      <c r="H91" s="25"/>
      <c r="I91" s="234"/>
      <c r="J91" s="25"/>
      <c r="K91" s="25"/>
      <c r="L91" s="25"/>
      <c r="M91" s="25"/>
      <c r="N91" s="25"/>
      <c r="O91" s="232"/>
      <c r="P91" s="25"/>
      <c r="Q91" s="232"/>
      <c r="R91" s="25"/>
      <c r="S91" s="25"/>
      <c r="T91" s="232"/>
      <c r="U91" s="232"/>
      <c r="V91" s="25"/>
      <c r="W91" s="236"/>
      <c r="X91" s="236"/>
      <c r="Y91" s="25"/>
      <c r="Z91" s="25"/>
      <c r="AA91" s="25"/>
      <c r="AB91" s="232"/>
      <c r="AC91" s="25"/>
      <c r="AD91" s="232"/>
      <c r="AE91" s="25"/>
      <c r="AF91" s="232"/>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32"/>
      <c r="BG91" s="50"/>
      <c r="BH91" s="25"/>
      <c r="BI91" s="50"/>
      <c r="BJ91" s="50"/>
      <c r="BK91" s="50"/>
      <c r="BL91" s="232"/>
      <c r="BM91" s="232"/>
      <c r="BN91" s="232"/>
      <c r="BO91" s="232"/>
      <c r="BP91" s="232"/>
      <c r="BQ91" s="232"/>
      <c r="BR91" s="232"/>
      <c r="BS91" s="232"/>
      <c r="BT91" s="232"/>
      <c r="BU91" s="232"/>
      <c r="BV91" s="232"/>
      <c r="BW91" s="232"/>
      <c r="BX91" s="232"/>
      <c r="BY91" s="232"/>
      <c r="BZ91" s="232"/>
      <c r="CA91" s="50"/>
      <c r="CB91" s="232"/>
      <c r="CC91" s="232"/>
      <c r="CE91" s="25"/>
      <c r="CF91" s="232"/>
      <c r="CG91" s="25"/>
      <c r="CH91" s="25"/>
      <c r="CI91" s="25"/>
      <c r="CJ91" s="25"/>
      <c r="CK91" s="25"/>
      <c r="CL91" s="232"/>
      <c r="CM91" s="25"/>
      <c r="CN91" s="232"/>
      <c r="CO91" s="25"/>
      <c r="CP91" s="232"/>
      <c r="CQ91" s="232"/>
      <c r="CR91" s="232"/>
      <c r="CS91" s="232"/>
      <c r="CT91" s="232"/>
      <c r="CU91" s="232"/>
      <c r="CV91" s="232"/>
      <c r="CW91" s="232"/>
      <c r="CX91" s="232"/>
      <c r="CY91" s="232"/>
      <c r="CZ91" s="232"/>
      <c r="DA91" s="25"/>
      <c r="DB91" s="232"/>
      <c r="DC91" s="232"/>
      <c r="DD91" s="232"/>
      <c r="DE91" s="25"/>
      <c r="DF91" s="232"/>
      <c r="DG91" s="25"/>
      <c r="DH91" s="232"/>
      <c r="DI91" s="232"/>
      <c r="DJ91" s="25"/>
      <c r="DK91" s="25"/>
      <c r="DM91" s="25"/>
      <c r="DN91" s="25"/>
      <c r="DO91" s="25"/>
      <c r="DP91" s="25"/>
      <c r="DQ91" s="25"/>
      <c r="DR91" s="232"/>
      <c r="DS91" s="25"/>
      <c r="DT91" s="232"/>
      <c r="DU91" s="232"/>
      <c r="DV91" s="25"/>
      <c r="DW91" s="232"/>
      <c r="DX91" s="232"/>
      <c r="DY91" s="232"/>
      <c r="DZ91" s="232"/>
      <c r="EA91" s="232"/>
      <c r="EB91" s="232"/>
      <c r="EC91" s="232"/>
      <c r="ED91" s="232"/>
      <c r="EE91" s="50"/>
      <c r="EF91" s="50"/>
      <c r="EG91" s="25"/>
      <c r="EH91" s="232"/>
      <c r="EI91" s="232"/>
      <c r="EJ91" s="232"/>
      <c r="EK91" s="232"/>
      <c r="EL91" s="25"/>
      <c r="EM91" s="25"/>
      <c r="EN91" s="25"/>
      <c r="EW91" s="20"/>
      <c r="EX91" s="26"/>
      <c r="EY91" s="26"/>
      <c r="EZ91" s="26"/>
      <c r="FA91" s="26"/>
      <c r="FB91" s="25"/>
      <c r="FC91" s="232"/>
      <c r="FD91" s="232"/>
      <c r="FE91" s="232"/>
      <c r="FF91" s="232"/>
      <c r="FG91" s="232"/>
      <c r="FH91" s="232"/>
      <c r="FI91" s="25"/>
      <c r="FJ91" s="232"/>
      <c r="FK91" s="25"/>
      <c r="FL91" s="25"/>
      <c r="FM91" s="25"/>
      <c r="FN91" s="25"/>
      <c r="FO91" s="50"/>
      <c r="FP91" s="50"/>
      <c r="FQ91" s="232"/>
      <c r="FR91" s="232"/>
      <c r="FS91" s="232"/>
      <c r="FT91" s="50"/>
      <c r="FU91" s="50"/>
      <c r="FV91" s="232"/>
      <c r="FW91" s="76"/>
      <c r="FX91" s="232"/>
      <c r="FY91" s="232"/>
      <c r="FZ91" s="50"/>
      <c r="GA91" s="50"/>
      <c r="GB91" s="50"/>
      <c r="GC91" s="50"/>
      <c r="GD91" s="50"/>
      <c r="GE91" s="52"/>
    </row>
    <row r="92" spans="2:187" ht="12.75" customHeight="1" x14ac:dyDescent="0.2">
      <c r="B92" s="25"/>
      <c r="C92" s="25"/>
      <c r="D92" s="232"/>
      <c r="E92" s="232"/>
      <c r="F92" s="232"/>
      <c r="G92" s="25"/>
      <c r="H92" s="25"/>
      <c r="I92" s="234"/>
      <c r="J92" s="25"/>
      <c r="K92" s="25"/>
      <c r="L92" s="25"/>
      <c r="M92" s="25"/>
      <c r="N92" s="25"/>
      <c r="O92" s="232"/>
      <c r="P92" s="25"/>
      <c r="Q92" s="232"/>
      <c r="R92" s="25"/>
      <c r="S92" s="25"/>
      <c r="T92" s="232"/>
      <c r="U92" s="232"/>
      <c r="V92" s="25"/>
      <c r="W92" s="236"/>
      <c r="X92" s="236"/>
      <c r="Y92" s="25"/>
      <c r="Z92" s="25"/>
      <c r="AA92" s="25"/>
      <c r="AB92" s="232"/>
      <c r="AC92" s="25"/>
      <c r="AD92" s="232"/>
      <c r="AE92" s="25"/>
      <c r="AF92" s="232"/>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32"/>
      <c r="BG92" s="50"/>
      <c r="BH92" s="25"/>
      <c r="BI92" s="50"/>
      <c r="BJ92" s="50"/>
      <c r="BK92" s="50"/>
      <c r="BL92" s="232"/>
      <c r="BM92" s="232"/>
      <c r="BN92" s="232"/>
      <c r="BO92" s="232"/>
      <c r="BP92" s="232"/>
      <c r="BQ92" s="232"/>
      <c r="BR92" s="232"/>
      <c r="BS92" s="232"/>
      <c r="BT92" s="232"/>
      <c r="BU92" s="232"/>
      <c r="BV92" s="232"/>
      <c r="BW92" s="232"/>
      <c r="BX92" s="232"/>
      <c r="BY92" s="232"/>
      <c r="BZ92" s="232"/>
      <c r="CA92" s="50"/>
      <c r="CB92" s="232"/>
      <c r="CC92" s="232"/>
      <c r="CE92" s="25"/>
      <c r="CF92" s="232"/>
      <c r="CG92" s="25"/>
      <c r="CH92" s="25"/>
      <c r="CI92" s="25"/>
      <c r="CJ92" s="25"/>
      <c r="CK92" s="25"/>
      <c r="CL92" s="232"/>
      <c r="CM92" s="25"/>
      <c r="CN92" s="232"/>
      <c r="CO92" s="25"/>
      <c r="CP92" s="232"/>
      <c r="CQ92" s="232"/>
      <c r="CR92" s="232"/>
      <c r="CS92" s="232"/>
      <c r="CT92" s="232"/>
      <c r="CU92" s="232"/>
      <c r="CV92" s="232"/>
      <c r="CW92" s="232"/>
      <c r="CX92" s="232"/>
      <c r="CY92" s="232"/>
      <c r="CZ92" s="232"/>
      <c r="DA92" s="25"/>
      <c r="DB92" s="232"/>
      <c r="DC92" s="232"/>
      <c r="DD92" s="232"/>
      <c r="DE92" s="25"/>
      <c r="DF92" s="232"/>
      <c r="DG92" s="25"/>
      <c r="DH92" s="232"/>
      <c r="DI92" s="232"/>
      <c r="DJ92" s="25"/>
      <c r="DK92" s="25"/>
      <c r="DM92" s="25"/>
      <c r="DN92" s="25"/>
      <c r="DO92" s="25"/>
      <c r="DP92" s="25"/>
      <c r="DQ92" s="25"/>
      <c r="DR92" s="232"/>
      <c r="DS92" s="25"/>
      <c r="DT92" s="232"/>
      <c r="DU92" s="232"/>
      <c r="DV92" s="25"/>
      <c r="DW92" s="232"/>
      <c r="DX92" s="232"/>
      <c r="DY92" s="232"/>
      <c r="DZ92" s="232"/>
      <c r="EA92" s="232"/>
      <c r="EB92" s="232"/>
      <c r="EC92" s="232"/>
      <c r="ED92" s="232"/>
      <c r="EE92" s="50"/>
      <c r="EF92" s="50"/>
      <c r="EG92" s="25"/>
      <c r="EH92" s="232"/>
      <c r="EI92" s="232"/>
      <c r="EJ92" s="232"/>
      <c r="EK92" s="232"/>
      <c r="EL92" s="25"/>
      <c r="EM92" s="25"/>
      <c r="EN92" s="25"/>
      <c r="EW92" s="20"/>
      <c r="EX92" s="26"/>
      <c r="EY92" s="26"/>
      <c r="EZ92" s="26"/>
      <c r="FA92" s="26"/>
      <c r="FB92" s="25"/>
      <c r="FC92" s="232"/>
      <c r="FD92" s="232"/>
      <c r="FE92" s="232"/>
      <c r="FF92" s="232"/>
      <c r="FG92" s="232"/>
      <c r="FH92" s="232"/>
      <c r="FI92" s="25"/>
      <c r="FJ92" s="232"/>
      <c r="FK92" s="25"/>
      <c r="FL92" s="25"/>
      <c r="FM92" s="25"/>
      <c r="FN92" s="25"/>
      <c r="FO92" s="50"/>
      <c r="FP92" s="50"/>
      <c r="FQ92" s="232"/>
      <c r="FR92" s="232"/>
      <c r="FS92" s="232"/>
      <c r="FT92" s="50"/>
      <c r="FU92" s="50"/>
      <c r="FV92" s="232"/>
      <c r="FW92" s="76"/>
      <c r="FX92" s="232"/>
      <c r="FY92" s="232"/>
      <c r="FZ92" s="50"/>
      <c r="GA92" s="50"/>
      <c r="GB92" s="50"/>
      <c r="GC92" s="50"/>
      <c r="GD92" s="50"/>
      <c r="GE92" s="52"/>
    </row>
    <row r="93" spans="2:187" ht="12.75" customHeight="1" x14ac:dyDescent="0.2">
      <c r="B93" s="25"/>
      <c r="C93" s="25"/>
      <c r="D93" s="232"/>
      <c r="E93" s="232"/>
      <c r="F93" s="232"/>
      <c r="G93" s="25"/>
      <c r="H93" s="25"/>
      <c r="I93" s="234"/>
      <c r="J93" s="25"/>
      <c r="K93" s="25"/>
      <c r="L93" s="25"/>
      <c r="M93" s="25"/>
      <c r="N93" s="25"/>
      <c r="O93" s="232"/>
      <c r="P93" s="25"/>
      <c r="Q93" s="232"/>
      <c r="R93" s="25"/>
      <c r="S93" s="25"/>
      <c r="T93" s="232"/>
      <c r="U93" s="232"/>
      <c r="V93" s="25"/>
      <c r="W93" s="236"/>
      <c r="X93" s="236"/>
      <c r="Y93" s="25"/>
      <c r="Z93" s="25"/>
      <c r="AA93" s="25"/>
      <c r="AB93" s="232"/>
      <c r="AC93" s="25"/>
      <c r="AD93" s="232"/>
      <c r="AE93" s="25"/>
      <c r="AF93" s="232"/>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32"/>
      <c r="BG93" s="50"/>
      <c r="BH93" s="25"/>
      <c r="BI93" s="50"/>
      <c r="BJ93" s="50"/>
      <c r="BK93" s="50"/>
      <c r="BL93" s="232"/>
      <c r="BM93" s="232"/>
      <c r="BN93" s="232"/>
      <c r="BO93" s="232"/>
      <c r="BP93" s="232"/>
      <c r="BQ93" s="232"/>
      <c r="BR93" s="232"/>
      <c r="BS93" s="232"/>
      <c r="BT93" s="232"/>
      <c r="BU93" s="232"/>
      <c r="BV93" s="232"/>
      <c r="BW93" s="232"/>
      <c r="BX93" s="232"/>
      <c r="BY93" s="232"/>
      <c r="BZ93" s="232"/>
      <c r="CA93" s="50"/>
      <c r="CB93" s="232"/>
      <c r="CC93" s="232"/>
      <c r="CE93" s="25"/>
      <c r="CF93" s="232"/>
      <c r="CG93" s="25"/>
      <c r="CH93" s="25"/>
      <c r="CI93" s="25"/>
      <c r="CJ93" s="25"/>
      <c r="CK93" s="25"/>
      <c r="CL93" s="232"/>
      <c r="CM93" s="25"/>
      <c r="CN93" s="232"/>
      <c r="CO93" s="25"/>
      <c r="CP93" s="232"/>
      <c r="CQ93" s="232"/>
      <c r="CR93" s="232"/>
      <c r="CS93" s="232"/>
      <c r="CT93" s="232"/>
      <c r="CU93" s="232"/>
      <c r="CV93" s="232"/>
      <c r="CW93" s="232"/>
      <c r="CX93" s="232"/>
      <c r="CY93" s="232"/>
      <c r="CZ93" s="232"/>
      <c r="DA93" s="25"/>
      <c r="DB93" s="232"/>
      <c r="DC93" s="232"/>
      <c r="DD93" s="232"/>
      <c r="DE93" s="25"/>
      <c r="DF93" s="232"/>
      <c r="DG93" s="25"/>
      <c r="DH93" s="232"/>
      <c r="DI93" s="232"/>
      <c r="DJ93" s="25"/>
      <c r="DK93" s="25"/>
      <c r="DM93" s="25"/>
      <c r="DN93" s="25"/>
      <c r="DO93" s="25"/>
      <c r="DP93" s="25"/>
      <c r="DQ93" s="25"/>
      <c r="DR93" s="232"/>
      <c r="DS93" s="25"/>
      <c r="DT93" s="232"/>
      <c r="DU93" s="232"/>
      <c r="DV93" s="25"/>
      <c r="DW93" s="232"/>
      <c r="DX93" s="232"/>
      <c r="DY93" s="232"/>
      <c r="DZ93" s="232"/>
      <c r="EA93" s="232"/>
      <c r="EB93" s="232"/>
      <c r="EC93" s="232"/>
      <c r="ED93" s="232"/>
      <c r="EE93" s="50"/>
      <c r="EF93" s="50"/>
      <c r="EG93" s="25"/>
      <c r="EH93" s="232"/>
      <c r="EI93" s="232"/>
      <c r="EJ93" s="232"/>
      <c r="EK93" s="232"/>
      <c r="EL93" s="25"/>
      <c r="EM93" s="25"/>
      <c r="EN93" s="25"/>
      <c r="EW93" s="20"/>
      <c r="EX93" s="26"/>
      <c r="EY93" s="26"/>
      <c r="EZ93" s="26"/>
      <c r="FA93" s="26"/>
      <c r="FB93" s="25"/>
      <c r="FC93" s="232"/>
      <c r="FD93" s="232"/>
      <c r="FE93" s="232"/>
      <c r="FF93" s="232"/>
      <c r="FG93" s="232"/>
      <c r="FH93" s="232"/>
      <c r="FI93" s="25"/>
      <c r="FJ93" s="232"/>
      <c r="FK93" s="25"/>
      <c r="FL93" s="25"/>
      <c r="FM93" s="25"/>
      <c r="FN93" s="25"/>
      <c r="FO93" s="50"/>
      <c r="FP93" s="50"/>
      <c r="FQ93" s="232"/>
      <c r="FR93" s="232"/>
      <c r="FS93" s="232"/>
      <c r="FT93" s="50"/>
      <c r="FU93" s="50"/>
      <c r="FV93" s="232"/>
      <c r="FW93" s="76"/>
      <c r="FX93" s="232"/>
      <c r="FY93" s="232"/>
      <c r="FZ93" s="50"/>
      <c r="GA93" s="50"/>
      <c r="GB93" s="50"/>
      <c r="GC93" s="50"/>
      <c r="GD93" s="50"/>
      <c r="GE93" s="52"/>
    </row>
    <row r="94" spans="2:187" ht="12.75" customHeight="1" x14ac:dyDescent="0.2">
      <c r="B94" s="25"/>
      <c r="C94" s="25"/>
      <c r="D94" s="232"/>
      <c r="E94" s="232"/>
      <c r="F94" s="232"/>
      <c r="G94" s="25"/>
      <c r="H94" s="25"/>
      <c r="I94" s="234"/>
      <c r="J94" s="25"/>
      <c r="K94" s="25"/>
      <c r="L94" s="25"/>
      <c r="M94" s="25"/>
      <c r="N94" s="25"/>
      <c r="O94" s="232"/>
      <c r="P94" s="25"/>
      <c r="Q94" s="232"/>
      <c r="R94" s="25"/>
      <c r="S94" s="25"/>
      <c r="T94" s="232"/>
      <c r="U94" s="232"/>
      <c r="V94" s="25"/>
      <c r="W94" s="236"/>
      <c r="X94" s="236"/>
      <c r="Y94" s="25"/>
      <c r="Z94" s="25"/>
      <c r="AA94" s="25"/>
      <c r="AB94" s="232"/>
      <c r="AC94" s="25"/>
      <c r="AD94" s="232"/>
      <c r="AE94" s="25"/>
      <c r="AF94" s="232"/>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32"/>
      <c r="BG94" s="50"/>
      <c r="BH94" s="25"/>
      <c r="BI94" s="50"/>
      <c r="BJ94" s="50"/>
      <c r="BK94" s="50"/>
      <c r="BL94" s="232"/>
      <c r="BM94" s="232"/>
      <c r="BN94" s="232"/>
      <c r="BO94" s="232"/>
      <c r="BP94" s="232"/>
      <c r="BQ94" s="232"/>
      <c r="BR94" s="232"/>
      <c r="BS94" s="232"/>
      <c r="BT94" s="232"/>
      <c r="BU94" s="232"/>
      <c r="BV94" s="232"/>
      <c r="BW94" s="232"/>
      <c r="BX94" s="232"/>
      <c r="BY94" s="232"/>
      <c r="BZ94" s="232"/>
      <c r="CA94" s="50"/>
      <c r="CB94" s="232"/>
      <c r="CC94" s="232"/>
      <c r="CE94" s="25"/>
      <c r="CF94" s="232"/>
      <c r="CG94" s="25"/>
      <c r="CH94" s="25"/>
      <c r="CI94" s="25"/>
      <c r="CJ94" s="25"/>
      <c r="CK94" s="25"/>
      <c r="CL94" s="232"/>
      <c r="CM94" s="25"/>
      <c r="CN94" s="232"/>
      <c r="CO94" s="25"/>
      <c r="CP94" s="232"/>
      <c r="CQ94" s="232"/>
      <c r="CR94" s="232"/>
      <c r="CS94" s="232"/>
      <c r="CT94" s="232"/>
      <c r="CU94" s="232"/>
      <c r="CV94" s="232"/>
      <c r="CW94" s="232"/>
      <c r="CX94" s="232"/>
      <c r="CY94" s="232"/>
      <c r="CZ94" s="232"/>
      <c r="DA94" s="25"/>
      <c r="DB94" s="232"/>
      <c r="DC94" s="232"/>
      <c r="DD94" s="232"/>
      <c r="DE94" s="25"/>
      <c r="DF94" s="232"/>
      <c r="DG94" s="25"/>
      <c r="DH94" s="232"/>
      <c r="DI94" s="232"/>
      <c r="DJ94" s="25"/>
      <c r="DK94" s="25"/>
      <c r="DM94" s="25"/>
      <c r="DN94" s="25"/>
      <c r="DO94" s="25"/>
      <c r="DP94" s="25"/>
      <c r="DQ94" s="25"/>
      <c r="DR94" s="232"/>
      <c r="DS94" s="25"/>
      <c r="DT94" s="232"/>
      <c r="DU94" s="232"/>
      <c r="DV94" s="25"/>
      <c r="DW94" s="232"/>
      <c r="DX94" s="232"/>
      <c r="DY94" s="232"/>
      <c r="DZ94" s="232"/>
      <c r="EA94" s="232"/>
      <c r="EB94" s="232"/>
      <c r="EC94" s="232"/>
      <c r="ED94" s="232"/>
      <c r="EE94" s="50"/>
      <c r="EF94" s="50"/>
      <c r="EG94" s="25"/>
      <c r="EH94" s="232"/>
      <c r="EI94" s="232"/>
      <c r="EJ94" s="232"/>
      <c r="EK94" s="232"/>
      <c r="EL94" s="25"/>
      <c r="EM94" s="25"/>
      <c r="EN94" s="25"/>
      <c r="EW94" s="20"/>
      <c r="EX94" s="26"/>
      <c r="EY94" s="26"/>
      <c r="EZ94" s="26"/>
      <c r="FA94" s="26"/>
      <c r="FB94" s="25"/>
      <c r="FC94" s="232"/>
      <c r="FD94" s="232"/>
      <c r="FE94" s="232"/>
      <c r="FF94" s="232"/>
      <c r="FG94" s="232"/>
      <c r="FH94" s="232"/>
      <c r="FI94" s="25"/>
      <c r="FJ94" s="232"/>
      <c r="FK94" s="25"/>
      <c r="FL94" s="25"/>
      <c r="FM94" s="25"/>
      <c r="FN94" s="25"/>
      <c r="FO94" s="50"/>
      <c r="FP94" s="50"/>
      <c r="FQ94" s="232"/>
      <c r="FR94" s="232"/>
      <c r="FS94" s="232"/>
      <c r="FT94" s="50"/>
      <c r="FU94" s="50"/>
      <c r="FV94" s="232"/>
      <c r="FW94" s="76"/>
      <c r="FX94" s="232"/>
      <c r="FY94" s="232"/>
      <c r="FZ94" s="50"/>
      <c r="GA94" s="50"/>
      <c r="GB94" s="50"/>
      <c r="GC94" s="50"/>
      <c r="GD94" s="50"/>
    </row>
    <row r="95" spans="2:187" ht="12.75" customHeight="1" x14ac:dyDescent="0.2">
      <c r="B95" s="25"/>
      <c r="C95" s="25"/>
      <c r="D95" s="232"/>
      <c r="E95" s="232"/>
      <c r="F95" s="232"/>
      <c r="G95" s="25"/>
      <c r="H95" s="25"/>
      <c r="I95" s="234"/>
      <c r="J95" s="25"/>
      <c r="K95" s="25"/>
      <c r="L95" s="25"/>
      <c r="M95" s="25"/>
      <c r="N95" s="25"/>
      <c r="O95" s="232"/>
      <c r="P95" s="25"/>
      <c r="Q95" s="232"/>
      <c r="R95" s="25"/>
      <c r="S95" s="25"/>
      <c r="T95" s="232"/>
      <c r="U95" s="232"/>
      <c r="V95" s="25"/>
      <c r="W95" s="236"/>
      <c r="X95" s="236"/>
      <c r="Y95" s="25"/>
      <c r="Z95" s="25"/>
      <c r="AA95" s="25"/>
      <c r="AB95" s="232"/>
      <c r="AC95" s="25"/>
      <c r="AD95" s="232"/>
      <c r="AE95" s="25"/>
      <c r="AF95" s="232"/>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32"/>
      <c r="BG95" s="50"/>
      <c r="BH95" s="25"/>
      <c r="BI95" s="50"/>
      <c r="BJ95" s="50"/>
      <c r="BK95" s="50"/>
      <c r="BL95" s="232"/>
      <c r="BM95" s="232"/>
      <c r="BN95" s="232"/>
      <c r="BO95" s="232"/>
      <c r="BP95" s="232"/>
      <c r="BQ95" s="232"/>
      <c r="BR95" s="232"/>
      <c r="BS95" s="232"/>
      <c r="BT95" s="232"/>
      <c r="BU95" s="232"/>
      <c r="BV95" s="232"/>
      <c r="BW95" s="232"/>
      <c r="BX95" s="232"/>
      <c r="BY95" s="232"/>
      <c r="BZ95" s="232"/>
      <c r="CA95" s="50"/>
      <c r="CB95" s="232"/>
      <c r="CC95" s="232"/>
      <c r="CE95" s="25"/>
      <c r="CF95" s="232"/>
      <c r="CG95" s="25"/>
      <c r="CH95" s="25"/>
      <c r="CI95" s="25"/>
      <c r="CJ95" s="25"/>
      <c r="CK95" s="25"/>
      <c r="CL95" s="232"/>
      <c r="CM95" s="25"/>
      <c r="CN95" s="232"/>
      <c r="CO95" s="25"/>
      <c r="CP95" s="232"/>
      <c r="CQ95" s="232"/>
      <c r="CR95" s="232"/>
      <c r="CS95" s="232"/>
      <c r="CT95" s="232"/>
      <c r="CU95" s="232"/>
      <c r="CV95" s="232"/>
      <c r="CW95" s="232"/>
      <c r="CX95" s="232"/>
      <c r="CY95" s="232"/>
      <c r="CZ95" s="232"/>
      <c r="DA95" s="25"/>
      <c r="DB95" s="232"/>
      <c r="DC95" s="232"/>
      <c r="DD95" s="232"/>
      <c r="DE95" s="25"/>
      <c r="DF95" s="232"/>
      <c r="DG95" s="25"/>
      <c r="DH95" s="232"/>
      <c r="DI95" s="232"/>
      <c r="DJ95" s="25"/>
      <c r="DK95" s="25"/>
      <c r="DM95" s="25"/>
      <c r="DN95" s="25"/>
      <c r="DO95" s="25"/>
      <c r="DP95" s="25"/>
      <c r="DQ95" s="25"/>
      <c r="DR95" s="232"/>
      <c r="DS95" s="25"/>
      <c r="DT95" s="232"/>
      <c r="DU95" s="232"/>
      <c r="DV95" s="25"/>
      <c r="DW95" s="232"/>
      <c r="DX95" s="232"/>
      <c r="DY95" s="232"/>
      <c r="DZ95" s="232"/>
      <c r="EA95" s="232"/>
      <c r="EB95" s="232"/>
      <c r="EC95" s="232"/>
      <c r="ED95" s="232"/>
      <c r="EE95" s="50"/>
      <c r="EF95" s="50"/>
      <c r="EG95" s="25"/>
      <c r="EH95" s="232"/>
      <c r="EI95" s="232"/>
      <c r="EJ95" s="232"/>
      <c r="EK95" s="232"/>
      <c r="EL95" s="25"/>
      <c r="EM95" s="25"/>
      <c r="EN95" s="25"/>
      <c r="EW95" s="20"/>
      <c r="EX95" s="26"/>
      <c r="EY95" s="26"/>
      <c r="EZ95" s="26"/>
      <c r="FA95" s="26"/>
      <c r="FB95" s="25"/>
      <c r="FC95" s="232"/>
      <c r="FD95" s="232"/>
      <c r="FE95" s="232"/>
      <c r="FF95" s="232"/>
      <c r="FG95" s="232"/>
      <c r="FH95" s="232"/>
      <c r="FI95" s="25"/>
      <c r="FJ95" s="232"/>
      <c r="FK95" s="25"/>
      <c r="FL95" s="25"/>
      <c r="FM95" s="25"/>
      <c r="FN95" s="25"/>
      <c r="FO95" s="50"/>
      <c r="FP95" s="50"/>
      <c r="FQ95" s="232"/>
      <c r="FR95" s="232"/>
      <c r="FS95" s="232"/>
      <c r="FT95" s="50"/>
      <c r="FU95" s="50"/>
      <c r="FV95" s="232"/>
      <c r="FW95" s="76"/>
      <c r="FX95" s="232"/>
      <c r="FY95" s="232"/>
      <c r="FZ95" s="50"/>
      <c r="GA95" s="50"/>
      <c r="GB95" s="50"/>
      <c r="GC95" s="50"/>
      <c r="GD95" s="50"/>
    </row>
    <row r="96" spans="2:187" ht="12.75" customHeight="1" x14ac:dyDescent="0.2">
      <c r="B96" s="25"/>
      <c r="C96" s="25"/>
      <c r="D96" s="232"/>
      <c r="E96" s="232"/>
      <c r="F96" s="232"/>
      <c r="G96" s="25"/>
      <c r="H96" s="25"/>
      <c r="I96" s="234"/>
      <c r="J96" s="25"/>
      <c r="K96" s="25"/>
      <c r="L96" s="25"/>
      <c r="M96" s="25"/>
      <c r="N96" s="25"/>
      <c r="O96" s="232"/>
      <c r="P96" s="25"/>
      <c r="Q96" s="232"/>
      <c r="R96" s="25"/>
      <c r="S96" s="25"/>
      <c r="T96" s="232"/>
      <c r="U96" s="232"/>
      <c r="V96" s="25"/>
      <c r="W96" s="236"/>
      <c r="X96" s="236"/>
      <c r="Y96" s="25"/>
      <c r="Z96" s="25"/>
      <c r="AA96" s="25"/>
      <c r="AB96" s="232"/>
      <c r="AC96" s="25"/>
      <c r="AD96" s="232"/>
      <c r="AE96" s="25"/>
      <c r="AF96" s="232"/>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32"/>
      <c r="BG96" s="50"/>
      <c r="BH96" s="25"/>
      <c r="BI96" s="50"/>
      <c r="BJ96" s="50"/>
      <c r="BK96" s="50"/>
      <c r="BL96" s="232"/>
      <c r="BM96" s="232"/>
      <c r="BN96" s="232"/>
      <c r="BO96" s="232"/>
      <c r="BP96" s="232"/>
      <c r="BQ96" s="232"/>
      <c r="BR96" s="232"/>
      <c r="BS96" s="232"/>
      <c r="BT96" s="232"/>
      <c r="BU96" s="232"/>
      <c r="BV96" s="232"/>
      <c r="BW96" s="232"/>
      <c r="BX96" s="232"/>
      <c r="BY96" s="232"/>
      <c r="BZ96" s="232"/>
      <c r="CA96" s="50"/>
      <c r="CB96" s="232"/>
      <c r="CC96" s="232"/>
      <c r="CE96" s="25"/>
      <c r="CF96" s="232"/>
      <c r="CG96" s="25"/>
      <c r="CH96" s="25"/>
      <c r="CI96" s="25"/>
      <c r="CJ96" s="25"/>
      <c r="CK96" s="25"/>
      <c r="CL96" s="232"/>
      <c r="CM96" s="25"/>
      <c r="CN96" s="232"/>
      <c r="CO96" s="25"/>
      <c r="CP96" s="232"/>
      <c r="CQ96" s="232"/>
      <c r="CR96" s="232"/>
      <c r="CS96" s="232"/>
      <c r="CT96" s="232"/>
      <c r="CU96" s="232"/>
      <c r="CV96" s="232"/>
      <c r="CW96" s="232"/>
      <c r="CX96" s="232"/>
      <c r="CY96" s="232"/>
      <c r="CZ96" s="232"/>
      <c r="DA96" s="25"/>
      <c r="DB96" s="232"/>
      <c r="DC96" s="232"/>
      <c r="DD96" s="232"/>
      <c r="DE96" s="25"/>
      <c r="DF96" s="232"/>
      <c r="DG96" s="25"/>
      <c r="DH96" s="232"/>
      <c r="DI96" s="232"/>
      <c r="DJ96" s="25"/>
      <c r="DK96" s="25"/>
      <c r="DM96" s="25"/>
      <c r="DN96" s="25"/>
      <c r="DO96" s="25"/>
      <c r="DP96" s="25"/>
      <c r="DQ96" s="25"/>
      <c r="DR96" s="232"/>
      <c r="DS96" s="25"/>
      <c r="DT96" s="232"/>
      <c r="DU96" s="232"/>
      <c r="DV96" s="25"/>
      <c r="DW96" s="232"/>
      <c r="DX96" s="232"/>
      <c r="DY96" s="232"/>
      <c r="DZ96" s="232"/>
      <c r="EA96" s="232"/>
      <c r="EB96" s="232"/>
      <c r="EC96" s="232"/>
      <c r="ED96" s="232"/>
      <c r="EE96" s="50"/>
      <c r="EF96" s="50"/>
      <c r="EG96" s="25"/>
      <c r="EH96" s="232"/>
      <c r="EI96" s="232"/>
      <c r="EJ96" s="232"/>
      <c r="EK96" s="232"/>
      <c r="EL96" s="25"/>
      <c r="EM96" s="25"/>
      <c r="EN96" s="25"/>
      <c r="EW96" s="20"/>
      <c r="EX96" s="26"/>
      <c r="EY96" s="26"/>
      <c r="EZ96" s="26"/>
      <c r="FA96" s="26"/>
      <c r="FB96" s="25"/>
      <c r="FC96" s="232"/>
      <c r="FD96" s="232"/>
      <c r="FE96" s="232"/>
      <c r="FF96" s="232"/>
      <c r="FG96" s="232"/>
      <c r="FH96" s="232"/>
      <c r="FI96" s="25"/>
      <c r="FJ96" s="232"/>
      <c r="FK96" s="25"/>
      <c r="FL96" s="25"/>
      <c r="FM96" s="25"/>
      <c r="FN96" s="25"/>
      <c r="FO96" s="50"/>
      <c r="FP96" s="50"/>
      <c r="FQ96" s="232"/>
      <c r="FR96" s="232"/>
      <c r="FS96" s="232"/>
      <c r="FT96" s="50"/>
      <c r="FU96" s="50"/>
      <c r="FV96" s="232"/>
      <c r="FW96" s="76"/>
      <c r="FX96" s="232"/>
      <c r="FY96" s="232"/>
      <c r="FZ96" s="50"/>
      <c r="GA96" s="50"/>
      <c r="GB96" s="50"/>
      <c r="GC96" s="50"/>
      <c r="GD96" s="50"/>
    </row>
    <row r="97" spans="2:186" ht="12.75" customHeight="1" x14ac:dyDescent="0.2">
      <c r="B97" s="25"/>
      <c r="C97" s="25"/>
      <c r="D97" s="232"/>
      <c r="E97" s="232"/>
      <c r="F97" s="232"/>
      <c r="G97" s="25"/>
      <c r="H97" s="25"/>
      <c r="I97" s="234"/>
      <c r="J97" s="25"/>
      <c r="K97" s="25"/>
      <c r="L97" s="25"/>
      <c r="M97" s="25"/>
      <c r="N97" s="25"/>
      <c r="O97" s="232"/>
      <c r="P97" s="25"/>
      <c r="Q97" s="232"/>
      <c r="R97" s="25"/>
      <c r="S97" s="25"/>
      <c r="T97" s="232"/>
      <c r="U97" s="232"/>
      <c r="V97" s="25"/>
      <c r="W97" s="236"/>
      <c r="X97" s="236"/>
      <c r="Y97" s="25"/>
      <c r="Z97" s="25"/>
      <c r="AA97" s="25"/>
      <c r="AB97" s="232"/>
      <c r="AC97" s="25"/>
      <c r="AD97" s="232"/>
      <c r="AE97" s="25"/>
      <c r="AF97" s="232"/>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32"/>
      <c r="BG97" s="50"/>
      <c r="BH97" s="25"/>
      <c r="BI97" s="50"/>
      <c r="BJ97" s="50"/>
      <c r="BK97" s="50"/>
      <c r="BL97" s="232"/>
      <c r="BM97" s="232"/>
      <c r="BN97" s="232"/>
      <c r="BO97" s="232"/>
      <c r="BP97" s="232"/>
      <c r="BQ97" s="232"/>
      <c r="BR97" s="232"/>
      <c r="BS97" s="232"/>
      <c r="BT97" s="232"/>
      <c r="BU97" s="232"/>
      <c r="BV97" s="232"/>
      <c r="BW97" s="232"/>
      <c r="BX97" s="232"/>
      <c r="BY97" s="232"/>
      <c r="BZ97" s="232"/>
      <c r="CA97" s="50"/>
      <c r="CB97" s="232"/>
      <c r="CC97" s="232"/>
      <c r="CE97" s="25"/>
      <c r="CF97" s="232"/>
      <c r="CG97" s="25"/>
      <c r="CH97" s="25"/>
      <c r="CI97" s="25"/>
      <c r="CJ97" s="25"/>
      <c r="CK97" s="25"/>
      <c r="CL97" s="232"/>
      <c r="CM97" s="25"/>
      <c r="CN97" s="232"/>
      <c r="CO97" s="25"/>
      <c r="CP97" s="232"/>
      <c r="CQ97" s="232"/>
      <c r="CR97" s="232"/>
      <c r="CS97" s="232"/>
      <c r="CT97" s="232"/>
      <c r="CU97" s="232"/>
      <c r="CV97" s="232"/>
      <c r="CW97" s="232"/>
      <c r="CX97" s="232"/>
      <c r="CY97" s="232"/>
      <c r="CZ97" s="232"/>
      <c r="DA97" s="25"/>
      <c r="DB97" s="232"/>
      <c r="DC97" s="232"/>
      <c r="DD97" s="232"/>
      <c r="DE97" s="25"/>
      <c r="DF97" s="232"/>
      <c r="DG97" s="25"/>
      <c r="DH97" s="232"/>
      <c r="DI97" s="232"/>
      <c r="DJ97" s="25"/>
      <c r="DK97" s="25"/>
      <c r="DM97" s="25"/>
      <c r="DN97" s="25"/>
      <c r="DO97" s="25"/>
      <c r="DP97" s="25"/>
      <c r="DQ97" s="25"/>
      <c r="DR97" s="232"/>
      <c r="DS97" s="25"/>
      <c r="DT97" s="232"/>
      <c r="DU97" s="232"/>
      <c r="DV97" s="25"/>
      <c r="DW97" s="232"/>
      <c r="DX97" s="232"/>
      <c r="DY97" s="232"/>
      <c r="DZ97" s="232"/>
      <c r="EA97" s="232"/>
      <c r="EB97" s="232"/>
      <c r="EC97" s="232"/>
      <c r="ED97" s="232"/>
      <c r="EE97" s="50"/>
      <c r="EF97" s="50"/>
      <c r="EG97" s="25"/>
      <c r="EH97" s="232"/>
      <c r="EI97" s="232"/>
      <c r="EJ97" s="232"/>
      <c r="EK97" s="232"/>
      <c r="EL97" s="25"/>
      <c r="EM97" s="25"/>
      <c r="EN97" s="25"/>
      <c r="EW97" s="20"/>
      <c r="EX97" s="26"/>
      <c r="EY97" s="26"/>
      <c r="EZ97" s="26"/>
      <c r="FA97" s="26"/>
      <c r="FB97" s="25"/>
      <c r="FC97" s="232"/>
      <c r="FD97" s="232"/>
      <c r="FE97" s="232"/>
      <c r="FF97" s="232"/>
      <c r="FG97" s="232"/>
      <c r="FH97" s="232"/>
      <c r="FI97" s="25"/>
      <c r="FJ97" s="232"/>
      <c r="FK97" s="25"/>
      <c r="FL97" s="25"/>
      <c r="FM97" s="25"/>
      <c r="FN97" s="25"/>
      <c r="FO97" s="50"/>
      <c r="FP97" s="50"/>
      <c r="FQ97" s="232"/>
      <c r="FR97" s="232"/>
      <c r="FS97" s="232"/>
      <c r="FT97" s="50"/>
      <c r="FU97" s="50"/>
      <c r="FV97" s="232"/>
      <c r="FW97" s="76"/>
      <c r="FX97" s="232"/>
      <c r="FY97" s="232"/>
      <c r="FZ97" s="50"/>
      <c r="GA97" s="50"/>
      <c r="GB97" s="50"/>
      <c r="GC97" s="50"/>
      <c r="GD97" s="50"/>
    </row>
    <row r="98" spans="2:186" ht="12.75" customHeight="1" x14ac:dyDescent="0.2">
      <c r="B98" s="25"/>
      <c r="C98" s="25"/>
      <c r="D98" s="232"/>
      <c r="E98" s="232"/>
      <c r="F98" s="232"/>
      <c r="G98" s="25"/>
      <c r="H98" s="25"/>
      <c r="I98" s="234"/>
      <c r="J98" s="25"/>
      <c r="K98" s="25"/>
      <c r="L98" s="25"/>
      <c r="M98" s="25"/>
      <c r="N98" s="25"/>
      <c r="O98" s="232"/>
      <c r="P98" s="25"/>
      <c r="Q98" s="232"/>
      <c r="R98" s="25"/>
      <c r="S98" s="25"/>
      <c r="T98" s="232"/>
      <c r="U98" s="232"/>
      <c r="V98" s="25"/>
      <c r="W98" s="236"/>
      <c r="X98" s="236"/>
      <c r="Y98" s="25"/>
      <c r="Z98" s="25"/>
      <c r="AA98" s="25"/>
      <c r="AB98" s="232"/>
      <c r="AC98" s="25"/>
      <c r="AD98" s="232"/>
      <c r="AE98" s="25"/>
      <c r="AF98" s="232"/>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D98" s="25"/>
      <c r="BE98" s="25"/>
      <c r="BF98" s="232"/>
      <c r="BG98" s="50"/>
      <c r="BH98" s="25"/>
      <c r="BI98" s="50"/>
      <c r="BJ98" s="50"/>
      <c r="BK98" s="50"/>
      <c r="BL98" s="232"/>
      <c r="BM98" s="232"/>
      <c r="BN98" s="232"/>
      <c r="BO98" s="232"/>
      <c r="BP98" s="232"/>
      <c r="BQ98" s="232"/>
      <c r="BR98" s="232"/>
      <c r="BS98" s="232"/>
      <c r="BT98" s="232"/>
      <c r="BU98" s="232"/>
      <c r="BV98" s="232"/>
      <c r="BW98" s="232"/>
      <c r="BX98" s="232"/>
      <c r="BY98" s="232"/>
      <c r="BZ98" s="232"/>
      <c r="CA98" s="50"/>
      <c r="CB98" s="232"/>
      <c r="CC98" s="232"/>
      <c r="CE98" s="25"/>
      <c r="CF98" s="232"/>
      <c r="CG98" s="25"/>
      <c r="CH98" s="25"/>
      <c r="CI98" s="25"/>
      <c r="CJ98" s="25"/>
      <c r="CK98" s="25"/>
      <c r="CL98" s="232"/>
      <c r="CM98" s="25"/>
      <c r="CN98" s="232"/>
      <c r="CO98" s="25"/>
      <c r="CP98" s="232"/>
      <c r="CQ98" s="232"/>
      <c r="CR98" s="232"/>
      <c r="CS98" s="232"/>
      <c r="CT98" s="232"/>
      <c r="CU98" s="232"/>
      <c r="CV98" s="232"/>
      <c r="CW98" s="232"/>
      <c r="CX98" s="232"/>
      <c r="CY98" s="232"/>
      <c r="CZ98" s="232"/>
      <c r="DA98" s="25"/>
      <c r="DB98" s="232"/>
      <c r="DC98" s="232"/>
      <c r="DD98" s="232"/>
      <c r="DE98" s="25"/>
      <c r="DF98" s="232"/>
      <c r="DG98" s="25"/>
      <c r="DH98" s="232"/>
      <c r="DI98" s="232"/>
      <c r="DJ98" s="25"/>
      <c r="DK98" s="25"/>
      <c r="DM98" s="25"/>
      <c r="DN98" s="25"/>
      <c r="DO98" s="25"/>
      <c r="DP98" s="25"/>
      <c r="DQ98" s="25"/>
      <c r="DR98" s="232"/>
      <c r="DS98" s="25"/>
      <c r="DT98" s="232"/>
      <c r="DU98" s="232"/>
      <c r="DV98" s="25"/>
      <c r="DW98" s="232"/>
      <c r="DX98" s="232"/>
      <c r="DY98" s="232"/>
      <c r="DZ98" s="232"/>
      <c r="EA98" s="232"/>
      <c r="EB98" s="232"/>
      <c r="EC98" s="232"/>
      <c r="ED98" s="232"/>
      <c r="EE98" s="50"/>
      <c r="EF98" s="50"/>
      <c r="EG98" s="25"/>
      <c r="EH98" s="232"/>
      <c r="EI98" s="232"/>
      <c r="EJ98" s="232"/>
      <c r="EK98" s="232"/>
      <c r="EL98" s="25"/>
      <c r="EM98" s="25"/>
      <c r="EN98" s="25"/>
      <c r="EW98" s="20"/>
      <c r="EX98" s="26"/>
      <c r="EY98" s="26"/>
      <c r="EZ98" s="26"/>
      <c r="FA98" s="26"/>
      <c r="FB98" s="25"/>
      <c r="FC98" s="232"/>
      <c r="FD98" s="232"/>
      <c r="FE98" s="232"/>
      <c r="FF98" s="232"/>
      <c r="FG98" s="232"/>
      <c r="FH98" s="232"/>
      <c r="FI98" s="25"/>
      <c r="FJ98" s="232"/>
      <c r="FK98" s="25"/>
      <c r="FL98" s="25"/>
      <c r="FM98" s="25"/>
      <c r="FN98" s="25"/>
      <c r="FO98" s="50"/>
      <c r="FP98" s="50"/>
      <c r="FQ98" s="232"/>
      <c r="FR98" s="232"/>
      <c r="FS98" s="232"/>
      <c r="FT98" s="50"/>
      <c r="FU98" s="50"/>
      <c r="FV98" s="232"/>
      <c r="FW98" s="76"/>
      <c r="FX98" s="232"/>
      <c r="FY98" s="232"/>
      <c r="FZ98" s="50"/>
      <c r="GA98" s="50"/>
      <c r="GB98" s="50"/>
      <c r="GC98" s="50"/>
      <c r="GD98" s="50"/>
    </row>
    <row r="99" spans="2:186" ht="12.75" customHeight="1" x14ac:dyDescent="0.2">
      <c r="B99" s="25"/>
      <c r="C99" s="25"/>
      <c r="D99" s="232"/>
      <c r="E99" s="232"/>
      <c r="F99" s="232"/>
      <c r="G99" s="25"/>
      <c r="H99" s="25"/>
      <c r="I99" s="234"/>
      <c r="J99" s="25"/>
      <c r="K99" s="25"/>
      <c r="L99" s="25"/>
      <c r="M99" s="25"/>
      <c r="N99" s="25"/>
      <c r="O99" s="232"/>
      <c r="P99" s="25"/>
      <c r="Q99" s="232"/>
      <c r="R99" s="25"/>
      <c r="S99" s="25"/>
      <c r="T99" s="232"/>
      <c r="U99" s="232"/>
      <c r="V99" s="25"/>
      <c r="W99" s="236"/>
      <c r="X99" s="236"/>
      <c r="Y99" s="25"/>
      <c r="Z99" s="25"/>
      <c r="AA99" s="25"/>
      <c r="AB99" s="232"/>
      <c r="AC99" s="25"/>
      <c r="AD99" s="232"/>
      <c r="AE99" s="25"/>
      <c r="AF99" s="232"/>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D99" s="25"/>
      <c r="BE99" s="25"/>
      <c r="BF99" s="232"/>
      <c r="BG99" s="50"/>
      <c r="BH99" s="25"/>
      <c r="BI99" s="50"/>
      <c r="BJ99" s="50"/>
      <c r="BK99" s="50"/>
      <c r="BL99" s="232"/>
      <c r="BM99" s="232"/>
      <c r="BN99" s="232"/>
      <c r="BO99" s="232"/>
      <c r="BP99" s="232"/>
      <c r="BQ99" s="232"/>
      <c r="BR99" s="232"/>
      <c r="BS99" s="232"/>
      <c r="BT99" s="232"/>
      <c r="BU99" s="232"/>
      <c r="BV99" s="232"/>
      <c r="BW99" s="232"/>
      <c r="BX99" s="232"/>
      <c r="BY99" s="232"/>
      <c r="BZ99" s="232"/>
      <c r="CA99" s="50"/>
      <c r="CB99" s="232"/>
      <c r="CC99" s="232"/>
      <c r="CE99" s="25"/>
      <c r="CF99" s="232"/>
      <c r="CG99" s="25"/>
      <c r="CH99" s="25"/>
      <c r="CI99" s="25"/>
      <c r="CJ99" s="25"/>
      <c r="CK99" s="25"/>
      <c r="CL99" s="232"/>
      <c r="CM99" s="25"/>
      <c r="CN99" s="232"/>
      <c r="CO99" s="25"/>
      <c r="CP99" s="232"/>
      <c r="CQ99" s="232"/>
      <c r="CR99" s="232"/>
      <c r="CS99" s="232"/>
      <c r="CT99" s="232"/>
      <c r="CU99" s="232"/>
      <c r="CV99" s="232"/>
      <c r="CW99" s="232"/>
      <c r="CX99" s="232"/>
      <c r="CY99" s="232"/>
      <c r="CZ99" s="232"/>
      <c r="DA99" s="25"/>
      <c r="DB99" s="232"/>
      <c r="DC99" s="232"/>
      <c r="DD99" s="232"/>
      <c r="DE99" s="25"/>
      <c r="DF99" s="232"/>
      <c r="DG99" s="25"/>
      <c r="DH99" s="232"/>
      <c r="DI99" s="232"/>
      <c r="DJ99" s="25"/>
      <c r="DK99" s="25"/>
      <c r="DM99" s="25"/>
      <c r="DN99" s="25"/>
      <c r="DO99" s="25"/>
      <c r="DP99" s="25"/>
      <c r="DQ99" s="25"/>
      <c r="DR99" s="232"/>
      <c r="DS99" s="25"/>
      <c r="DT99" s="232"/>
      <c r="DU99" s="232"/>
      <c r="DV99" s="25"/>
      <c r="DW99" s="232"/>
      <c r="DX99" s="232"/>
      <c r="DY99" s="232"/>
      <c r="DZ99" s="232"/>
      <c r="EA99" s="232"/>
      <c r="EB99" s="232"/>
      <c r="EC99" s="232"/>
      <c r="ED99" s="232"/>
      <c r="EE99" s="50"/>
      <c r="EF99" s="50"/>
      <c r="EG99" s="25"/>
      <c r="EH99" s="232"/>
      <c r="EI99" s="232"/>
      <c r="EJ99" s="232"/>
      <c r="EK99" s="232"/>
      <c r="EL99" s="25"/>
      <c r="EM99" s="25"/>
      <c r="EN99" s="25"/>
      <c r="EW99" s="20"/>
      <c r="EX99" s="26"/>
      <c r="EY99" s="26"/>
      <c r="EZ99" s="26"/>
      <c r="FA99" s="26"/>
      <c r="FB99" s="25"/>
      <c r="FC99" s="232"/>
      <c r="FD99" s="232"/>
      <c r="FE99" s="232"/>
      <c r="FF99" s="232"/>
      <c r="FG99" s="232"/>
      <c r="FH99" s="232"/>
      <c r="FI99" s="25"/>
      <c r="FJ99" s="232"/>
      <c r="FK99" s="25"/>
      <c r="FL99" s="25"/>
      <c r="FM99" s="25"/>
      <c r="FN99" s="25"/>
      <c r="FO99" s="50"/>
      <c r="FP99" s="50"/>
      <c r="FQ99" s="232"/>
      <c r="FR99" s="232"/>
      <c r="FS99" s="232"/>
      <c r="FT99" s="50"/>
      <c r="FU99" s="50"/>
      <c r="FV99" s="232"/>
      <c r="FW99" s="76"/>
      <c r="FX99" s="232"/>
      <c r="FY99" s="232"/>
      <c r="FZ99" s="50"/>
      <c r="GA99" s="50"/>
      <c r="GB99" s="50"/>
      <c r="GC99" s="50"/>
      <c r="GD99" s="50"/>
    </row>
    <row r="100" spans="2:186" ht="12.75" customHeight="1" x14ac:dyDescent="0.2">
      <c r="B100" s="25"/>
      <c r="C100" s="25"/>
      <c r="D100" s="232"/>
      <c r="E100" s="232"/>
      <c r="F100" s="232"/>
      <c r="G100" s="25"/>
      <c r="H100" s="25"/>
      <c r="I100" s="234"/>
      <c r="J100" s="25"/>
      <c r="K100" s="25"/>
      <c r="L100" s="25"/>
      <c r="M100" s="25"/>
      <c r="N100" s="25"/>
      <c r="O100" s="232"/>
      <c r="P100" s="25"/>
      <c r="Q100" s="232"/>
      <c r="R100" s="25"/>
      <c r="S100" s="25"/>
      <c r="T100" s="232"/>
      <c r="U100" s="232"/>
      <c r="V100" s="25"/>
      <c r="W100" s="236"/>
      <c r="X100" s="236"/>
      <c r="Y100" s="25"/>
      <c r="Z100" s="25"/>
      <c r="AA100" s="25"/>
      <c r="AB100" s="232"/>
      <c r="AC100" s="25"/>
      <c r="AD100" s="232"/>
      <c r="AE100" s="25"/>
      <c r="AF100" s="232"/>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5"/>
      <c r="BF100" s="232"/>
      <c r="BG100" s="50"/>
      <c r="BH100" s="25"/>
      <c r="BI100" s="50"/>
      <c r="BJ100" s="50"/>
      <c r="BK100" s="50"/>
      <c r="BL100" s="232"/>
      <c r="BM100" s="232"/>
      <c r="BN100" s="232"/>
      <c r="BO100" s="232"/>
      <c r="BP100" s="232"/>
      <c r="BQ100" s="232"/>
      <c r="BR100" s="232"/>
      <c r="BS100" s="232"/>
      <c r="BT100" s="232"/>
      <c r="BU100" s="232"/>
      <c r="BV100" s="232"/>
      <c r="BW100" s="232"/>
      <c r="BX100" s="232"/>
      <c r="BY100" s="232"/>
      <c r="BZ100" s="232"/>
      <c r="CA100" s="50"/>
      <c r="CB100" s="232"/>
      <c r="CC100" s="232"/>
      <c r="CE100" s="25"/>
      <c r="CF100" s="232"/>
      <c r="CG100" s="25"/>
      <c r="CH100" s="25"/>
      <c r="CI100" s="25"/>
      <c r="CJ100" s="25"/>
      <c r="CK100" s="25"/>
      <c r="CL100" s="232"/>
      <c r="CM100" s="25"/>
      <c r="CN100" s="232"/>
      <c r="CO100" s="25"/>
      <c r="CP100" s="232"/>
      <c r="CQ100" s="232"/>
      <c r="CR100" s="232"/>
      <c r="CS100" s="232"/>
      <c r="CT100" s="232"/>
      <c r="CU100" s="232"/>
      <c r="CV100" s="232"/>
      <c r="CW100" s="232"/>
      <c r="CX100" s="232"/>
      <c r="CY100" s="232"/>
      <c r="CZ100" s="232"/>
      <c r="DA100" s="25"/>
      <c r="DB100" s="232"/>
      <c r="DC100" s="232"/>
      <c r="DD100" s="232"/>
      <c r="DE100" s="25"/>
      <c r="DF100" s="232"/>
      <c r="DG100" s="25"/>
      <c r="DH100" s="232"/>
      <c r="DI100" s="232"/>
      <c r="DJ100" s="25"/>
      <c r="DK100" s="25"/>
      <c r="DM100" s="25"/>
      <c r="DN100" s="25"/>
      <c r="DO100" s="25"/>
      <c r="DP100" s="25"/>
      <c r="DQ100" s="25"/>
      <c r="DR100" s="232"/>
      <c r="DS100" s="25"/>
      <c r="DT100" s="232"/>
      <c r="DU100" s="232"/>
      <c r="DV100" s="25"/>
      <c r="DW100" s="232"/>
      <c r="DX100" s="232"/>
      <c r="DY100" s="232"/>
      <c r="DZ100" s="232"/>
      <c r="EA100" s="232"/>
      <c r="EB100" s="232"/>
      <c r="EC100" s="232"/>
      <c r="ED100" s="232"/>
      <c r="EE100" s="50"/>
      <c r="EF100" s="50"/>
      <c r="EG100" s="25"/>
      <c r="EH100" s="232"/>
      <c r="EI100" s="232"/>
      <c r="EJ100" s="232"/>
      <c r="EK100" s="232"/>
      <c r="EL100" s="25"/>
      <c r="EM100" s="25"/>
      <c r="EN100" s="25"/>
      <c r="EW100" s="20"/>
      <c r="EX100" s="26"/>
      <c r="EY100" s="26"/>
      <c r="EZ100" s="26"/>
      <c r="FA100" s="26"/>
      <c r="FB100" s="25"/>
      <c r="FC100" s="232"/>
      <c r="FD100" s="232"/>
      <c r="FE100" s="232"/>
      <c r="FF100" s="232"/>
      <c r="FG100" s="232"/>
      <c r="FH100" s="232"/>
      <c r="FI100" s="25"/>
      <c r="FJ100" s="232"/>
      <c r="FK100" s="25"/>
      <c r="FL100" s="25"/>
      <c r="FM100" s="25"/>
      <c r="FN100" s="25"/>
      <c r="FO100" s="50"/>
      <c r="FP100" s="50"/>
      <c r="FQ100" s="232"/>
      <c r="FR100" s="232"/>
      <c r="FS100" s="232"/>
      <c r="FT100" s="50"/>
      <c r="FU100" s="50"/>
      <c r="FV100" s="232"/>
      <c r="FW100" s="76"/>
      <c r="FX100" s="232"/>
      <c r="FY100" s="232"/>
      <c r="FZ100" s="50"/>
      <c r="GA100" s="50"/>
      <c r="GB100" s="50"/>
      <c r="GC100" s="50"/>
      <c r="GD100" s="50"/>
    </row>
  </sheetData>
  <autoFilter ref="A4:GD100" xr:uid="{06503873-54DE-42C2-A434-8841636AA3F9}"/>
  <mergeCells count="22">
    <mergeCell ref="A2:AF2"/>
    <mergeCell ref="BZ2:CC2"/>
    <mergeCell ref="AH2:BC2"/>
    <mergeCell ref="EN2:EY2"/>
    <mergeCell ref="BE2:BP2"/>
    <mergeCell ref="CE2:CP2"/>
    <mergeCell ref="DM2:EL2"/>
    <mergeCell ref="CZ2:DK2"/>
    <mergeCell ref="GF1:GG1"/>
    <mergeCell ref="GK69:GK76"/>
    <mergeCell ref="AK3:AX3"/>
    <mergeCell ref="GK5:GK12"/>
    <mergeCell ref="GK13:GK20"/>
    <mergeCell ref="GK21:GK28"/>
    <mergeCell ref="GK29:GK36"/>
    <mergeCell ref="GK37:GK44"/>
    <mergeCell ref="GK45:GK52"/>
    <mergeCell ref="GK53:GK60"/>
    <mergeCell ref="GK61:GK68"/>
    <mergeCell ref="GF2:GM2"/>
    <mergeCell ref="FM2:GD2"/>
    <mergeCell ref="FA2:FJ2"/>
  </mergeCells>
  <pageMargins left="0.74803149606299213" right="0.74803149606299213" top="0.98425196850393704" bottom="0.98425196850393704" header="0.51181102362204722" footer="0.51181102362204722"/>
  <pageSetup paperSize="8" orientation="landscape" r:id="rId1"/>
  <headerFooter alignWithMargins="0">
    <oddHeader>&amp;LStructures Asset Management Planning Toolkit</oddHeader>
    <oddFooter>&amp;L&amp;A&amp;R&amp;P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_Yn">
    <tabColor theme="9" tint="0.59999389629810485"/>
  </sheetPr>
  <dimension ref="A1:FZ100"/>
  <sheetViews>
    <sheetView showGridLines="0" zoomScale="70" zoomScaleNormal="70" workbookViewId="0">
      <pane ySplit="4" topLeftCell="A5" activePane="bottomLeft" state="frozen"/>
      <selection activeCell="D3" sqref="D3"/>
      <selection pane="bottomLeft" activeCell="B5" sqref="B5"/>
    </sheetView>
  </sheetViews>
  <sheetFormatPr defaultColWidth="2" defaultRowHeight="12.75" customHeight="1" x14ac:dyDescent="0.2"/>
  <cols>
    <col min="1" max="1" width="12.7109375" style="19" customWidth="1"/>
    <col min="2" max="6" width="12.7109375" style="65" customWidth="1"/>
    <col min="7" max="8" width="12.7109375" style="19" customWidth="1"/>
    <col min="9" max="9" width="19.42578125" style="19" customWidth="1"/>
    <col min="10" max="20" width="12.7109375" style="19" customWidth="1"/>
    <col min="21" max="21" width="14.5703125" style="19" customWidth="1"/>
    <col min="22" max="22" width="36.7109375" style="19" customWidth="1"/>
    <col min="23" max="32" width="12.7109375" style="19" customWidth="1"/>
    <col min="33" max="33" width="3.7109375" style="19" customWidth="1"/>
    <col min="34" max="55" width="12.7109375" style="19" customWidth="1"/>
    <col min="56" max="56" width="3.7109375" style="19" customWidth="1"/>
    <col min="57" max="68" width="12.7109375" style="19" customWidth="1"/>
    <col min="69" max="69" width="11.85546875" style="19" customWidth="1"/>
    <col min="70" max="70" width="13.5703125" style="19" customWidth="1"/>
    <col min="71" max="71" width="13.42578125" style="19" customWidth="1"/>
    <col min="72" max="72" width="9.85546875" style="19" customWidth="1"/>
    <col min="73" max="73" width="11.85546875" style="19" customWidth="1"/>
    <col min="74" max="75" width="13.42578125" style="19" customWidth="1"/>
    <col min="76" max="76" width="12.28515625" style="19" customWidth="1"/>
    <col min="77" max="81" width="12.7109375" style="19" customWidth="1"/>
    <col min="82" max="82" width="3.7109375" style="19" customWidth="1"/>
    <col min="83" max="107" width="12.7109375" style="19" customWidth="1"/>
    <col min="108" max="110" width="12.7109375" style="39" customWidth="1"/>
    <col min="111" max="113" width="12.7109375" style="19" customWidth="1"/>
    <col min="114" max="114" width="3.7109375" style="19" customWidth="1"/>
    <col min="115" max="127" width="12.7109375" style="19" customWidth="1"/>
    <col min="128" max="129" width="12.7109375" style="39" customWidth="1"/>
    <col min="130" max="136" width="12.7109375" style="19" customWidth="1"/>
    <col min="137" max="138" width="12.7109375" style="65" customWidth="1"/>
    <col min="139" max="139" width="12.7109375" style="19" customWidth="1"/>
    <col min="140" max="141" width="12.7109375" style="65" customWidth="1"/>
    <col min="142" max="143" width="12.7109375" style="19" customWidth="1"/>
    <col min="144" max="144" width="12.7109375" style="65" customWidth="1"/>
    <col min="145" max="147" width="12.7109375" style="19" customWidth="1"/>
    <col min="148" max="148" width="3.7109375" style="19" customWidth="1"/>
    <col min="149" max="160" width="12.7109375" style="19" customWidth="1"/>
    <col min="161" max="161" width="3.7109375" style="19" customWidth="1"/>
    <col min="162" max="172" width="12.7109375" style="19" customWidth="1"/>
    <col min="173" max="173" width="3.7109375" style="19" customWidth="1"/>
    <col min="174" max="174" width="40" style="51" bestFit="1" customWidth="1"/>
    <col min="175" max="175" width="33.140625" style="51" bestFit="1" customWidth="1"/>
    <col min="176" max="176" width="20" style="22" customWidth="1"/>
    <col min="177" max="177" width="7.28515625" style="22" customWidth="1"/>
    <col min="178" max="178" width="17.7109375" style="22" hidden="1" customWidth="1"/>
    <col min="179" max="179" width="12.7109375" style="22" customWidth="1"/>
    <col min="180" max="180" width="31.28515625" style="22" bestFit="1" customWidth="1"/>
    <col min="181" max="181" width="12.7109375" style="22" customWidth="1"/>
    <col min="182" max="182" width="3.7109375" style="19" customWidth="1"/>
    <col min="183" max="16384" width="2" style="19"/>
  </cols>
  <sheetData>
    <row r="1" spans="1:181" ht="12.75" hidden="1" customHeight="1" x14ac:dyDescent="0.2">
      <c r="A1" s="25">
        <f>Elements!A1</f>
        <v>0</v>
      </c>
      <c r="B1" s="25">
        <f>Y0!B1</f>
        <v>0</v>
      </c>
      <c r="C1" s="25">
        <f>Y0!C1</f>
        <v>0</v>
      </c>
      <c r="D1" s="232">
        <f>Y0!F1</f>
        <v>0</v>
      </c>
      <c r="E1" s="231">
        <f>IF(Y0!G1="Very High",0,IF(Y0!G1="High",(0.3-((D1-1)*(0.3/4))),IF(Y0!G1="Medium",(0.6-((D1-1)*(0.6/4))),IF(Y0!G1="Low",(1.2-((D1-1)*(1.2/4))),0))))</f>
        <v>0</v>
      </c>
      <c r="F1" s="232">
        <f>IF(D1=0,0,IF(Y0!H1=0,0,MAX(D1-E1,1)))</f>
        <v>0</v>
      </c>
      <c r="G1" s="25" t="str">
        <f>IFERROR(INDEX('Ref14'!$B$3:$B$76,Elements!Q1,1),"")</f>
        <v>Indefinite</v>
      </c>
      <c r="H1" s="25">
        <f>IFERROR(MATCH(INDEX('Ref14'!$C$3:$C$76,Elements!Q1,1),Ref00_ElementImportanceTypes,),0)</f>
        <v>4</v>
      </c>
      <c r="I1" s="234" t="str">
        <f>IF(OR(Elements!N1="",Elements!C1="",Elements!D1=""),"",ROUND(INDEX(Ref02i!$B$3:$B$76,Elements!Q1,1)*Ref02i!$B$77+SUMPRODUCT(Ref02i!$C$77:$U$77,INDEX(Ref02i!$C$3:$U$76,Elements!Q1,0),INDEX(yn_ExposureParameters,Elements!N1,0))+SUMPRODUCT(Ref02i!$V$77,INDEX(Ref02i!$V$3:$V$76,Elements!Q1,1),SUMIF(Ref00_SprayZoneProximity,Elements!F1,Ref00!$C$8:$C$9))+SUMPRODUCT(Ref02i!$W$77,INDEX(Ref02i!$W$3:$W$76,Elements!Q1,1),SUMIF('Ref03&amp;04i'!$B$3:$B$105,Elements!D1,'Ref03&amp;04i'!$BY$3:$BY$105)),2))</f>
        <v/>
      </c>
      <c r="J1" s="25" t="str">
        <f>IF(I1="","",INDEX(Ref02ii!$B$4:$B$29283,MATCH(I1,Ref02ii!$A$4:$A$29283,),1))</f>
        <v/>
      </c>
      <c r="K1" s="25">
        <f>ROUND(SUMIF('Ref03&amp;04ii'!$Z$4:$Z$427,CONCATENATE(Elements!D1,J1),'Ref03&amp;04ii'!$W$4:$W$427),0)</f>
        <v>0</v>
      </c>
      <c r="L1" s="25" t="str">
        <f ca="1">IFERROR(IF(MATCH(CONCATENATE(A1,"_",$FT$5),Pln_ynPlannedCode,0)&gt;0,"Yes","No"),"No")</f>
        <v>No</v>
      </c>
      <c r="M1" s="25">
        <f ca="1">IF(L1="Yes",-10,IFERROR(MATCH(CONCATENATE(B1,Elements!D1,J1),INDEX('Ref06'!$M$4:$P$3380,0,MATCH(INDEX(Ele_Scenario,A1,1),'Ref06'!$M$3:$P$3,0)),0),-10))</f>
        <v>-10</v>
      </c>
      <c r="N1" s="25">
        <f ca="1">IFERROR(MATCH(INDEX('Ref06'!$H$4:$H$3380,M1,1),'Ref05&amp;07'!$B$4:$B$96,0),-10)</f>
        <v>-10</v>
      </c>
      <c r="O1" s="25">
        <f ca="1">IFERROR(ROUND(IF(N1=-10,0,Ref11i!$C$4*F1+INDEX(Str_PriorityScore,Elements!N1,1)),2),0)</f>
        <v>0</v>
      </c>
      <c r="P1" s="25">
        <f ca="1">IFERROR(IF(J1="Protected",0,5000*(C1&gt;=5)*OR((H1&gt;2)*'Ref98'!$P$3,(H1&lt;3)*'Ref98'!$P$4)+400*(AND(C1&gt;=4,C1&lt;5))*OR((H1&gt;2)*'Ref98'!$P$5,(H1&lt;3)*'Ref98'!$P$6)+Elements!AD1),0)</f>
        <v>0</v>
      </c>
      <c r="Q1" s="25">
        <f ca="1">O1+P1</f>
        <v>0</v>
      </c>
      <c r="R1" s="25" t="str">
        <f ca="1">IFERROR(INDEX('Ref05&amp;07'!$D$4:$D$96,N1,1),"")</f>
        <v/>
      </c>
      <c r="S1" s="50" t="e">
        <f>IF(B1="",2,MATCH(B1,Ref00_Condition,0))</f>
        <v>#N/A</v>
      </c>
      <c r="T1" s="232" t="e">
        <f ca="1">IF(R1="Fixed",1,Elements!$Y1*IF(R1="Constant",1,IF(R1="Variable",INDEX(Ref00!$H$13:$H$29,S1,0),0)))</f>
        <v>#REF!</v>
      </c>
      <c r="U1" s="232" t="e">
        <f ca="1">IF(R1="Fixed",INDEX('Ref05&amp;07'!$E$4:$E$96,N1,1),IF(R1="Constant",INDEX('Ref05&amp;07'!$F$4:$F$96,N1,1),IF(R1="Variable",SUMPRODUCT(INDEX('Ref05&amp;07'!$G$4:$J$96,N1,0),INDEX(Ref00!$D$13:$G$29,S1,0))/INDEX(Ref00!$H$13:$H$29,S1,0),0)))*T1</f>
        <v>#REF!</v>
      </c>
      <c r="V1" s="25">
        <f>IF(OR(Elements!AC1="",Elements!AC1=0),0,CONCATENATE(Elements!AB1,LOOKUP(Elements!AC1,'Ref09'!$D$109:$I$109,TrafficManagement_Types)))</f>
        <v>0</v>
      </c>
      <c r="W1" s="232">
        <f ca="1">IF(OR(N1=-10,V1=0),0,T1/INDEX('Ref05&amp;07'!$K$4:$K$96,N1,1))</f>
        <v>0</v>
      </c>
      <c r="X1" s="232">
        <f ca="1">IF(OR(N1=-10,V1=0),0,W1*INDEX('Ref09'!$D$108:$I$108,MATCH(INDEX($CQ$3:$CY$3,1,MATCH(V1,$CQ$4:$CY$4,0)),TrafficManagement_Types,0)))</f>
        <v>0</v>
      </c>
      <c r="Y1" s="25" t="e">
        <f ca="1">INDEX('Ref09'!$C$13:$C$16,MATCH(U1,'Ref09'!$B$13:$B$16,1))</f>
        <v>#REF!</v>
      </c>
      <c r="Z1" s="25" t="e">
        <f ca="1">INDEX('Ref09'!$C$20:$C$23,MATCH(U1,'Ref09'!$B$20:$B$23,1))</f>
        <v>#REF!</v>
      </c>
      <c r="AA1" s="25" t="e">
        <f ca="1">INDEX('Ref09'!$C$27:$C$30,MATCH(U1*(1+Y1+Z1)+X1,'Ref09'!$B$27:$B$30,1))</f>
        <v>#REF!</v>
      </c>
      <c r="AB1" s="232" t="e">
        <f ca="1">ROUND(U1*(1+Y1+Z1+AA1+Y1*AA1+Z1*AA1)+X1*(1+AA1),2)</f>
        <v>#REF!</v>
      </c>
      <c r="AC1" s="232">
        <f ca="1">IF(N1=-10,,RANK(Q1,yn_ALLElementPriorityScore)+COUNTIF($Q1:Q$5,Q1)-1)</f>
        <v>0</v>
      </c>
      <c r="AD1" s="232">
        <f ca="1">IF(N1=-10,,SUMIF(yn_ElementPriorityRank,"&lt;="&amp;AC1,yn_ElementTotalCost))</f>
        <v>0</v>
      </c>
      <c r="AE1" s="25">
        <f ca="1">IF(AND(N1&lt;&gt;-10,AD1&lt;=$FT$9*($FT$8-($FT$13+$FT$14))),1,0)</f>
        <v>0</v>
      </c>
      <c r="AF1" s="232">
        <f ca="1">Q1*AE1</f>
        <v>0</v>
      </c>
      <c r="AG1" s="25"/>
      <c r="AH1" s="25">
        <f>Structures!A1</f>
        <v>0</v>
      </c>
      <c r="AI1" s="25" t="e">
        <f ca="1">Structures!BE1</f>
        <v>#REF!</v>
      </c>
      <c r="AJ1" s="25" t="e">
        <f ca="1">Structures!BF1</f>
        <v>#REF!</v>
      </c>
      <c r="AK1" s="25" t="e">
        <f ca="1">COUNTIFS(INDEX(Ele_ElementOnStructureNum,$AI1):INDEX(Ele_ElementOnStructureNum,$AJ1),$AH1,INDEX(Ele_NameofElement,$AI1):INDEX(Ele_NameofElement,$AJ1),AK$4)+COUNTIFS(INDEX(Ele_ElementOnStructureNum,$AI1):INDEX(Ele_ElementOnStructureNum,$AJ1),$AH1,INDEX(Ele_NameofElement,$AI1):INDEX(Ele_NameofElement,$AJ1),AK$4,INDEX(yn_OriginalECS,$AI1):INDEX(yn_OriginalECS,$AJ1),"&lt;4")</f>
        <v>#REF!</v>
      </c>
      <c r="AL1" s="25" t="e">
        <f ca="1">COUNTIFS(INDEX(Ele_ElementOnStructureNum,$AI1):INDEX(Ele_ElementOnStructureNum,$AJ1),$AH1,INDEX(Ele_NameofElement,$AI1):INDEX(Ele_NameofElement,$AJ1),AL$4)+COUNTIFS(INDEX(Ele_ElementOnStructureNum,$AI1):INDEX(Ele_ElementOnStructureNum,$AJ1),$AH1,INDEX(Ele_NameofElement,$AI1):INDEX(Ele_NameofElement,$AJ1),AL$4,INDEX(yn_OriginalECS,$AI1):INDEX(yn_OriginalECS,$AJ1),"&lt;4")</f>
        <v>#REF!</v>
      </c>
      <c r="AM1" s="25" t="e">
        <f ca="1">COUNTIFS(INDEX(Ele_ElementOnStructureNum,$AI1):INDEX(Ele_ElementOnStructureNum,$AJ1),$AH1,INDEX(Ele_NameofElement,$AI1):INDEX(Ele_NameofElement,$AJ1),AM$4)+COUNTIFS(INDEX(Ele_ElementOnStructureNum,$AI1):INDEX(Ele_ElementOnStructureNum,$AJ1),$AH1,INDEX(Ele_NameofElement,$AI1):INDEX(Ele_NameofElement,$AJ1),AM$4,INDEX(yn_OriginalECS,$AI1):INDEX(yn_OriginalECS,$AJ1),"&lt;4")</f>
        <v>#REF!</v>
      </c>
      <c r="AN1" s="25" t="e">
        <f ca="1">COUNTIFS(INDEX(Ele_ElementOnStructureNum,$AI1):INDEX(Ele_ElementOnStructureNum,$AJ1),$AH1,INDEX(Ele_NameofElement,$AI1):INDEX(Ele_NameofElement,$AJ1),AN$4)+COUNTIFS(INDEX(Ele_ElementOnStructureNum,$AI1):INDEX(Ele_ElementOnStructureNum,$AJ1),$AH1,INDEX(Ele_NameofElement,$AI1):INDEX(Ele_NameofElement,$AJ1),AN$4,INDEX(yn_OriginalECS,$AI1):INDEX(yn_OriginalECS,$AJ1),"&lt;4")</f>
        <v>#REF!</v>
      </c>
      <c r="AO1" s="25" t="e">
        <f ca="1">COUNTIFS(INDEX(Ele_ElementOnStructureNum,$AI1):INDEX(Ele_ElementOnStructureNum,$AJ1),$AH1,INDEX(Ele_NameofElement,$AI1):INDEX(Ele_NameofElement,$AJ1),AO$4)+COUNTIFS(INDEX(Ele_ElementOnStructureNum,$AI1):INDEX(Ele_ElementOnStructureNum,$AJ1),$AH1,INDEX(Ele_NameofElement,$AI1):INDEX(Ele_NameofElement,$AJ1),AO$4,INDEX(yn_OriginalECS,$AI1):INDEX(yn_OriginalECS,$AJ1),"&lt;4")</f>
        <v>#REF!</v>
      </c>
      <c r="AP1" s="25" t="e">
        <f ca="1">COUNTIFS(INDEX(Ele_ElementOnStructureNum,$AI1):INDEX(Ele_ElementOnStructureNum,$AJ1),$AH1,INDEX(Ele_NameofElement,$AI1):INDEX(Ele_NameofElement,$AJ1),AP$4)+COUNTIFS(INDEX(Ele_ElementOnStructureNum,$AI1):INDEX(Ele_ElementOnStructureNum,$AJ1),$AH1,INDEX(Ele_NameofElement,$AI1):INDEX(Ele_NameofElement,$AJ1),AP$4,INDEX(yn_OriginalECS,$AI1):INDEX(yn_OriginalECS,$AJ1),"&lt;4")</f>
        <v>#REF!</v>
      </c>
      <c r="AQ1" s="25" t="e">
        <f ca="1">COUNTIFS(INDEX(Ele_ElementOnStructureNum,$AI1):INDEX(Ele_ElementOnStructureNum,$AJ1),$AH1,INDEX(Ele_NameofElement,$AI1):INDEX(Ele_NameofElement,$AJ1),AQ$4)+COUNTIFS(INDEX(Ele_ElementOnStructureNum,$AI1):INDEX(Ele_ElementOnStructureNum,$AJ1),$AH1,INDEX(Ele_NameofElement,$AI1):INDEX(Ele_NameofElement,$AJ1),AQ$4,INDEX(yn_OriginalECS,$AI1):INDEX(yn_OriginalECS,$AJ1),"&lt;4")</f>
        <v>#REF!</v>
      </c>
      <c r="AR1" s="25" t="e">
        <f ca="1">COUNTIFS(INDEX(Ele_ElementOnStructureNum,$AI1):INDEX(Ele_ElementOnStructureNum,$AJ1),$AH1,INDEX(Ele_NameofElement,$AI1):INDEX(Ele_NameofElement,$AJ1),AR$4)+COUNTIFS(INDEX(Ele_ElementOnStructureNum,$AI1):INDEX(Ele_ElementOnStructureNum,$AJ1),$AH1,INDEX(Ele_NameofElement,$AI1):INDEX(Ele_NameofElement,$AJ1),AR$4,INDEX(yn_OriginalECS,$AI1):INDEX(yn_OriginalECS,$AJ1),"&lt;4")</f>
        <v>#REF!</v>
      </c>
      <c r="AS1" s="25" t="e">
        <f ca="1">COUNTIFS(INDEX(Ele_ElementOnStructureNum,$AI1):INDEX(Ele_ElementOnStructureNum,$AJ1),$AH1,INDEX(Ele_NameofElement,$AI1):INDEX(Ele_NameofElement,$AJ1),AS$4)+COUNTIFS(INDEX(Ele_ElementOnStructureNum,$AI1):INDEX(Ele_ElementOnStructureNum,$AJ1),$AH1,INDEX(Ele_NameofElement,$AI1):INDEX(Ele_NameofElement,$AJ1),AS$4,INDEX(yn_OriginalECS,$AI1):INDEX(yn_OriginalECS,$AJ1),"&lt;4")</f>
        <v>#REF!</v>
      </c>
      <c r="AT1" s="25" t="e">
        <f ca="1">COUNTIFS(INDEX(Ele_ElementOnStructureNum,$AI1):INDEX(Ele_ElementOnStructureNum,$AJ1),$AH1,INDEX(Ele_NameofElement,$AI1):INDEX(Ele_NameofElement,$AJ1),AT$4)+COUNTIFS(INDEX(Ele_ElementOnStructureNum,$AI1):INDEX(Ele_ElementOnStructureNum,$AJ1),$AH1,INDEX(Ele_NameofElement,$AI1):INDEX(Ele_NameofElement,$AJ1),AT$4,INDEX(yn_OriginalECS,$AI1):INDEX(yn_OriginalECS,$AJ1),"&lt;4")</f>
        <v>#REF!</v>
      </c>
      <c r="AU1" s="25" t="e">
        <f ca="1">COUNTIFS(INDEX(Ele_ElementOnStructureNum,$AI1):INDEX(Ele_ElementOnStructureNum,$AJ1),$AH1,INDEX(Ele_NameofElement,$AI1):INDEX(Ele_NameofElement,$AJ1),AU$4)+COUNTIFS(INDEX(Ele_ElementOnStructureNum,$AI1):INDEX(Ele_ElementOnStructureNum,$AJ1),$AH1,INDEX(Ele_NameofElement,$AI1):INDEX(Ele_NameofElement,$AJ1),AU$4,INDEX(yn_OriginalECS,$AI1):INDEX(yn_OriginalECS,$AJ1),"&lt;4")</f>
        <v>#REF!</v>
      </c>
      <c r="AV1" s="25" t="e">
        <f ca="1">COUNTIFS(INDEX(Ele_ElementOnStructureNum,$AI1):INDEX(Ele_ElementOnStructureNum,$AJ1),$AH1,INDEX(Ele_NameofElement,$AI1):INDEX(Ele_NameofElement,$AJ1),AV$4)+COUNTIFS(INDEX(Ele_ElementOnStructureNum,$AI1):INDEX(Ele_ElementOnStructureNum,$AJ1),$AH1,INDEX(Ele_NameofElement,$AI1):INDEX(Ele_NameofElement,$AJ1),AV$4,INDEX(yn_OriginalECS,$AI1):INDEX(yn_OriginalECS,$AJ1),"&lt;4")</f>
        <v>#REF!</v>
      </c>
      <c r="AW1" s="25" t="e">
        <f ca="1">COUNTIFS(INDEX(Ele_ElementOnStructureNum,$AI1):INDEX(Ele_ElementOnStructureNum,$AJ1),$AH1,INDEX(Ele_NameofElement,$AI1):INDEX(Ele_NameofElement,$AJ1),AW$4)+COUNTIFS(INDEX(Ele_ElementOnStructureNum,$AI1):INDEX(Ele_ElementOnStructureNum,$AJ1),$AH1,INDEX(Ele_NameofElement,$AI1):INDEX(Ele_NameofElement,$AJ1),AW$4,INDEX(yn_OriginalECS,$AI1):INDEX(yn_OriginalECS,$AJ1),"&lt;4")</f>
        <v>#REF!</v>
      </c>
      <c r="AX1" s="25" t="e">
        <f ca="1">COUNTIFS(INDEX(Ele_ElementOnStructureNum,$AI1):INDEX(Ele_ElementOnStructureNum,$AJ1),$AH1,INDEX(Ele_NameofElement,$AI1):INDEX(Ele_NameofElement,$AJ1),AX$4)+COUNTIFS(INDEX(Ele_ElementOnStructureNum,$AI1):INDEX(Ele_ElementOnStructureNum,$AJ1),$AH1,INDEX(Ele_NameofElement,$AI1):INDEX(Ele_NameofElement,$AJ1),AX$4,INDEX(yn_OriginalECS,$AI1):INDEX(yn_OriginalECS,$AJ1),"&lt;4")</f>
        <v>#REF!</v>
      </c>
      <c r="AY1" s="25">
        <f>SUMIF(Ref00_StructureLocation,Structures!K1,Ref00!$C$3:$C$5)</f>
        <v>0</v>
      </c>
      <c r="AZ1" s="25">
        <f>Structures!M1</f>
        <v>0</v>
      </c>
      <c r="BA1" s="25">
        <f>SUMIF(Ref11i_Traffic,Structures!N1,Ref11i!$D$10:$D$12)</f>
        <v>0</v>
      </c>
      <c r="BB1" s="25">
        <f>IF(OR(Structures!O1="Watercourse - navigable",Structures!O1="Watercourse - non-navigable"),1,0)</f>
        <v>0</v>
      </c>
      <c r="BC1" s="25">
        <f>Structures!P1</f>
        <v>0</v>
      </c>
      <c r="BD1" s="21"/>
      <c r="BE1" s="25">
        <f>AH1</f>
        <v>0</v>
      </c>
      <c r="BF1" s="50" t="e">
        <f ca="1">IF(AI1=0,0,ROUND(SUMIF(INDEX(Ele_ElementOnStructureNum,AI1):INDEX(Ele_ElementOnStructureNum,AJ1),BE1,INDEX(yn_ALLElementPriorityScore,AI1):INDEX(yn_ALLElementPriorityScore,AJ1)),2))</f>
        <v>#REF!</v>
      </c>
      <c r="BG1" s="50" t="e">
        <f ca="1">IF(BF1=0,0,_xlfn.RANK.EQ(BF1,yn_SumofALLElementPriorityScores)+COUNTIF($BF1:BF$5,BF1)-1)</f>
        <v>#REF!</v>
      </c>
      <c r="BH1" s="25">
        <f>BE1</f>
        <v>0</v>
      </c>
      <c r="BI1" s="50">
        <f ca="1">IFERROR(MATCH(BH1,yn_StructureRankALLElements,0),0)</f>
        <v>0</v>
      </c>
      <c r="BJ1" s="50" t="e">
        <f ca="1">INDEX(Str_FirstElementID,BI1)</f>
        <v>#REF!</v>
      </c>
      <c r="BK1" s="50" t="e">
        <f ca="1">INDEX(Str_LastElementID,BI1)</f>
        <v>#REF!</v>
      </c>
      <c r="BL1" s="232">
        <f ca="1">IF(BI1=0,0,(SUMIFS(yn_ElementWorksCost,Ele_ElementOnStructureNum,BI1)))</f>
        <v>0</v>
      </c>
      <c r="BM1" s="50">
        <f ca="1">INDEX('Ref09'!$C$13:$C$16,MATCH(BL1,'Ref09'!$B$13:$B$16,1))</f>
        <v>0.2</v>
      </c>
      <c r="BN1" s="232">
        <f ca="1">BM1*BL1</f>
        <v>0</v>
      </c>
      <c r="BO1" s="50">
        <f ca="1">INDEX('Ref09'!$C$20:$C$23,MATCH(BL1,'Ref09'!$B$20:$B$23,1))</f>
        <v>0.2</v>
      </c>
      <c r="BP1" s="232">
        <f ca="1">BO1*BL1</f>
        <v>0</v>
      </c>
      <c r="BQ1" s="232">
        <f ca="1">IF(BI1=0,0,SUMPRODUCT(MAX((INDEX(Ele_ElementOnStructureNum,BJ1):INDEX(Ele_ElementOnStructureNum,BK1)=$BI1)*(INDEX(yn_TMCode,BJ1):INDEX(yn_TMCode,BK1)=BQ$4)*(INDEX(yn_TMDuration,BJ1):INDEX(yn_TMDuration,BK1)))))</f>
        <v>0</v>
      </c>
      <c r="BR1" s="232">
        <f ca="1">IF(BI1=0,0,MAX(SUMPRODUCT(MAX((INDEX(Ele_ElementOnStructureNum,BJ1):INDEX(Ele_ElementOnStructureNum,BK1)=$BI1)*(INDEX(yn_TMCode,BJ1):INDEX(yn_TMCode,BK1)=BR$4)*(INDEX(yn_TMDuration,BJ1):INDEX(yn_TMDuration,BK1))))-BQ1,0))</f>
        <v>0</v>
      </c>
      <c r="BS1" s="232">
        <f ca="1">IF(BI1=0,0,MAX(SUMPRODUCT(MAX((INDEX(Ele_ElementOnStructureNum,BJ1):INDEX(Ele_ElementOnStructureNum,BK1)=$BI1)*(INDEX(yn_TMCode,BJ1):INDEX(yn_TMCode,BK1)=BS$4)*(INDEX(yn_TMDuration,BJ1):INDEX(yn_TMDuration,BK1))))-BQ1-BR1,0))</f>
        <v>0</v>
      </c>
      <c r="BT1" s="232">
        <f ca="1">IF(BI1=0,0,MAX(SUMPRODUCT(MAX((INDEX(Ele_ElementOnStructureNum,BJ1):INDEX(Ele_ElementOnStructureNum,BK1)=$BI1)*(INDEX(yn_TMCode,BJ1):INDEX(yn_TMCode,BK1)=BT$4)*(INDEX(yn_TMDuration,BJ1):INDEX(yn_TMDuration,BK1))))-BS1,0))</f>
        <v>0</v>
      </c>
      <c r="BU1" s="232">
        <f ca="1">IF(BI1=0,0,MAX(SUMPRODUCT(MAX((INDEX(Ele_ElementOnStructureNum,BJ1):INDEX(Ele_ElementOnStructureNum,BK1)=$BI1)*(INDEX(yn_TMCode,BJ1):INDEX(yn_TMCode,BK1)=BU$4)*(INDEX(yn_TMDuration,BJ1):INDEX(yn_TMDuration,BK1)))),0))</f>
        <v>0</v>
      </c>
      <c r="BV1" s="232">
        <f ca="1">IF(BI1=0,0,MAX(SUMPRODUCT(MAX((INDEX(Ele_ElementOnStructureNum,BJ1):INDEX(Ele_ElementOnStructureNum,BK1)=$BI1)*(INDEX(yn_TMCode,BJ1):INDEX(yn_TMCode,BK1)=BV$4)*(INDEX(yn_TMDuration,BJ1):INDEX(yn_TMDuration,BK1))))-BU1,0))</f>
        <v>0</v>
      </c>
      <c r="BW1" s="232">
        <f ca="1">IF(BI1=0,0,MAX(SUMPRODUCT(MAX((INDEX(Ele_ElementOnStructureNum,BJ1):INDEX(Ele_ElementOnStructureNum,BK1)=$BI1)*(INDEX(yn_TMCode,BJ1):INDEX(yn_TMCode,BK1)=BW$4)*(INDEX(yn_TMDuration,BJ1):INDEX(yn_TMDuration,BK1))))-BV1-BU1,0))</f>
        <v>0</v>
      </c>
      <c r="BX1" s="232">
        <f ca="1">IF(BI1=0,0,MAX(SUMPRODUCT(MAX((INDEX(Ele_ElementOnStructureNum,BJ1):INDEX(Ele_ElementOnStructureNum,BK1)=$BI1)*(INDEX(yn_TMCode,BJ1):INDEX(yn_TMCode,BK1)=BX$4)*(INDEX(yn_TMDuration,BJ1):INDEX(yn_TMDuration,BK1)))),0))</f>
        <v>0</v>
      </c>
      <c r="BY1" s="232">
        <f ca="1">IF(BI1=0,0,MAX(SUMPRODUCT(MAX((INDEX(Ele_ElementOnStructureNum,BJ1):INDEX(Ele_ElementOnStructureNum,BK1)=$BI1)*(INDEX(yn_TMCode,BJ1):INDEX(yn_TMCode,BK1)=BY$4)*(INDEX(yn_TMDuration,BJ1):INDEX(yn_TMDuration,BK1)))),0))</f>
        <v>0</v>
      </c>
      <c r="BZ1" s="232">
        <f ca="1">SUM(BQ1*(INDEX('Ref09'!$D$108:$I$108,MATCH(BQ$3,TrafficManagement_Types,0))),BR1*(INDEX('Ref09'!$D$108:$I$108,MATCH(BR$3,TrafficManagement_Types,0))),BS1*(INDEX('Ref09'!$D$108:$I$108,MATCH(BS$3,TrafficManagement_Types,0))),BT1*(INDEX('Ref09'!$D$108:$I$108,MATCH(BT$3,TrafficManagement_Types,0))),BU1*(INDEX('Ref09'!$D$108:$I$108,MATCH(BU$3,TrafficManagement_Types,0))),BV1*(INDEX('Ref09'!$D$108:$I$108,MATCH(BV$3,TrafficManagement_Types,0))),BW1*(INDEX('Ref09'!$D$108:$I$108,MATCH(BW$3,TrafficManagement_Types,0))),BX1*(INDEX('Ref09'!$D$108:$I$108,MATCH(BX$3,TrafficManagement_Types,0))),BY1*(INDEX('Ref09'!$D$108:$I$108,MATCH(BY$3,TrafficManagement_Types,0))))</f>
        <v>0</v>
      </c>
      <c r="CA1" s="50">
        <f ca="1">INDEX('Ref09'!$C$27:$C$30,MATCH(BL1+BN1+BP1+BZ1,'Ref09'!$B$27:$B$30,1))</f>
        <v>0.4</v>
      </c>
      <c r="CB1" s="232">
        <f ca="1">CA1*(BL1+BN1+BP1+BZ1)</f>
        <v>0</v>
      </c>
      <c r="CC1" s="232">
        <f ca="1">BL1+BN1+BP1+BZ1+CB1</f>
        <v>0</v>
      </c>
      <c r="CE1" s="25">
        <f>AH1</f>
        <v>0</v>
      </c>
      <c r="CF1" s="232" t="e">
        <f ca="1">IF(AI1=0,0,ROUND(SUMIF(INDEX(Ele_ElementOnStructureNum,AI1):INDEX(Ele_ElementOnStructureNum,AJ1),CE1,INDEX(yn_DESIREDElementPriorityScore,AI1):INDEX(yn_DESIREDElementPriorityScore,AJ1)),2))</f>
        <v>#REF!</v>
      </c>
      <c r="CG1" s="25" t="e">
        <f ca="1">IF(CF1=0,0,_xlfn.RANK.EQ(CF1,yn_SumofDESIREDElementPriorityScores)+COUNTIF($CF1:CF$5,CF1)-1)</f>
        <v>#REF!</v>
      </c>
      <c r="CH1" s="25">
        <f>CE1</f>
        <v>0</v>
      </c>
      <c r="CI1" s="25">
        <f ca="1">IFERROR(MATCH(CH1,yn_StructureRankDESIREDElements,0),0)</f>
        <v>0</v>
      </c>
      <c r="CJ1" s="25" t="e">
        <f ca="1">INDEX(Str_FirstElementID,CI1)</f>
        <v>#REF!</v>
      </c>
      <c r="CK1" s="25" t="e">
        <f ca="1">INDEX(Str_LastElementID,CI1)</f>
        <v>#REF!</v>
      </c>
      <c r="CL1" s="232">
        <f ca="1">IF(CI1=0,0,SUMIFS(yn_ElementWorksCost,Ele_ElementOnStructureNum,CI1,yn_ConsiderElementforScheme,1))</f>
        <v>0</v>
      </c>
      <c r="CM1" s="25">
        <f ca="1">INDEX('Ref09'!$C$13:$C$16,MATCH(CL1,'Ref09'!$B$13:$B$16,1))</f>
        <v>0.2</v>
      </c>
      <c r="CN1" s="232">
        <f ca="1">CM1*CL1</f>
        <v>0</v>
      </c>
      <c r="CO1" s="25">
        <f ca="1">INDEX('Ref09'!$C$20:$C$23,MATCH(CL1,'Ref09'!$B$20:$B$23,1))</f>
        <v>0.2</v>
      </c>
      <c r="CP1" s="232">
        <f ca="1">CO1*CL1</f>
        <v>0</v>
      </c>
      <c r="CQ1" s="232">
        <f ca="1">IF(CI1=0,0,SUMPRODUCT(MAX((INDEX(Ele_ElementOnStructureNum,CJ1):INDEX(Ele_ElementOnStructureNum,CK1)=$CI1)*(INDEX(yn_TMCode,CJ1):INDEX(yn_TMCode,CK1)=CQ$4)*(INDEX(yn_TMDuration,CJ1):INDEX(yn_TMDuration,CK1))*(INDEX(yn_ConsiderElementforScheme,CJ1):INDEX(yn_ConsiderElementforScheme,CK1)))))</f>
        <v>0</v>
      </c>
      <c r="CR1" s="232">
        <f ca="1">IF(CI1=0,0,MAX(SUMPRODUCT(MAX((INDEX(Ele_ElementOnStructureNum,CJ1):INDEX(Ele_ElementOnStructureNum,CK1)=$CI1)*(INDEX(yn_TMCode,CJ1):INDEX(yn_TMCode,CK1)=CR$4)*(INDEX(yn_TMDuration,CJ1):INDEX(yn_TMDuration,CK1))*(INDEX(yn_ConsiderElementforScheme,CJ1):INDEX(yn_ConsiderElementforScheme,CK1))))-CQ1,0))</f>
        <v>0</v>
      </c>
      <c r="CS1" s="232">
        <f ca="1">IF(CI1=0,0,MAX(SUMPRODUCT(MAX((INDEX(Ele_ElementOnStructureNum,CJ1):INDEX(Ele_ElementOnStructureNum,CK1)=$CI1)*(INDEX(yn_TMCode,CJ1):INDEX(yn_TMCode,CK1)=CS$4)*(INDEX(yn_TMDuration,CJ1):INDEX(yn_TMDuration,CK1))*(INDEX(yn_ConsiderElementforScheme,CJ1):INDEX(yn_ConsiderElementforScheme,CK1))))-CQ1-CR1,0))</f>
        <v>0</v>
      </c>
      <c r="CT1" s="232">
        <f ca="1">IF(CI1=0,0,MAX(SUMPRODUCT(MAX((INDEX(Ele_ElementOnStructureNum,CJ1):INDEX(Ele_ElementOnStructureNum,CK1)=$CI1)*(INDEX(yn_TMCode,CJ1):INDEX(yn_TMCode,CK1)=CT$4)*(INDEX(yn_TMDuration,CJ1):INDEX(yn_TMDuration,CK1))*(INDEX(yn_ConsiderElementforScheme,CJ1):INDEX(yn_ConsiderElementforScheme,CK1))))-CS1,0))</f>
        <v>0</v>
      </c>
      <c r="CU1" s="232">
        <f ca="1">IF(CI1=0,0,MAX(SUMPRODUCT(MAX((INDEX(Ele_ElementOnStructureNum,CJ1):INDEX(Ele_ElementOnStructureNum,CK1)=$CI1)*(INDEX(yn_TMCode,CJ1):INDEX(yn_TMCode,CK1)=CU$4)*(INDEX(yn_TMDuration,CJ1):INDEX(yn_TMDuration,CK1))*(INDEX(yn_ConsiderElementforScheme,CJ1):INDEX(yn_ConsiderElementforScheme,CK1)))),0))</f>
        <v>0</v>
      </c>
      <c r="CV1" s="232">
        <f ca="1">IF(CI1=0,0,MAX(SUMPRODUCT(MAX((INDEX(Ele_ElementOnStructureNum,CJ1):INDEX(Ele_ElementOnStructureNum,CK1)=$CI1)*(INDEX(yn_TMCode,CJ1):INDEX(yn_TMCode,CK1)=CV$4)*(INDEX(yn_TMDuration,CJ1):INDEX(yn_TMDuration,CK1))*(INDEX(yn_ConsiderElementforScheme,CJ1):INDEX(yn_ConsiderElementforScheme,CK1))))-CU1,0))</f>
        <v>0</v>
      </c>
      <c r="CW1" s="232">
        <f ca="1">IF(CI1=0,0,MAX(SUMPRODUCT(MAX((INDEX(Ele_ElementOnStructureNum,CJ1):INDEX(Ele_ElementOnStructureNum,CK1)=$CI1)*(INDEX(yn_TMCode,CJ1):INDEX(yn_TMCode,CK1)=CW$4)*(INDEX(yn_TMDuration,CJ1):INDEX(yn_TMDuration,CK1))*(INDEX(yn_ConsiderElementforScheme,CJ1):INDEX(yn_ConsiderElementforScheme,CK1))))-CV1-CU1,0))</f>
        <v>0</v>
      </c>
      <c r="CX1" s="232">
        <f ca="1">IF(CI1=0,0,MAX(SUMPRODUCT(MAX((INDEX(Ele_ElementOnStructureNum,CJ1):INDEX(Ele_ElementOnStructureNum,CK1)=$CI1)*(INDEX(yn_TMCode,CJ1):INDEX(yn_TMCode,CK1)=CX$4)*(INDEX(yn_TMDuration,CJ1):INDEX(yn_TMDuration,CK1))*(INDEX(yn_ConsiderElementforScheme,CJ1):INDEX(yn_ConsiderElementforScheme,CK1)))),0))</f>
        <v>0</v>
      </c>
      <c r="CY1" s="232">
        <f ca="1">IF(CI1=0,0,MAX(SUMPRODUCT(MAX((INDEX(Ele_ElementOnStructureNum,CJ1):INDEX(Ele_ElementOnStructureNum,CK1)=$CI1)*(INDEX(yn_TMCode,CJ1):INDEX(yn_TMCode,CK1)=CY$4)*(INDEX(yn_TMDuration,CJ1):INDEX(yn_TMDuration,CK1))*(INDEX(yn_ConsiderElementforScheme,CJ1):INDEX(yn_ConsiderElementforScheme,CK1)))),0))</f>
        <v>0</v>
      </c>
      <c r="CZ1" s="232">
        <f ca="1">SUM(CQ1*(INDEX('Ref09'!$D$108:$I$108,MATCH(CQ$3,TrafficManagement_Types,0))),CR1*(INDEX('Ref09'!$D$108:$I$108,MATCH(CR$3,TrafficManagement_Types,0))),CS1*(INDEX('Ref09'!$D$108:$I$108,MATCH(CS$3,TrafficManagement_Types,0))),CT1*(INDEX('Ref09'!$D$108:$I$108,MATCH(CT$3,TrafficManagement_Types,0))),CU1*(INDEX('Ref09'!$D$108:$I$108,MATCH(CU$3,TrafficManagement_Types,0))),CV1*(INDEX('Ref09'!$D$108:$I$108,MATCH(CV$3,TrafficManagement_Types,0))),CW1*(INDEX('Ref09'!$D$108:$I$108,MATCH(CW$3,TrafficManagement_Types,0))),CX1*(INDEX('Ref09'!$D$108:$I$108,MATCH(CX$3,TrafficManagement_Types,0))),CY1*(INDEX('Ref09'!$D$108:$I$108,MATCH(CY$3,TrafficManagement_Types,0))))</f>
        <v>0</v>
      </c>
      <c r="DA1" s="25">
        <f ca="1">INDEX('Ref09'!$C$27:$C$30,MATCH(CL1+CN1+CP1+CZ1,'Ref09'!$B$27:$B$30,1))</f>
        <v>0.4</v>
      </c>
      <c r="DB1" s="232">
        <f ca="1">DA1*(CL1+CN1+CP1+CZ1)</f>
        <v>0</v>
      </c>
      <c r="DC1" s="232">
        <f ca="1">CL1+CN1+CP1+CZ1+DB1</f>
        <v>0</v>
      </c>
      <c r="DD1" s="232" t="e">
        <f ca="1">INDEX(Str_TotalGRC,CI1)*'Ref15'!$D$28</f>
        <v>#REF!</v>
      </c>
      <c r="DE1" s="25" t="str">
        <f ca="1">IF(DC1=0,"No action",IF(DD1&lt;DC1,"Replace","Maintain"))</f>
        <v>No action</v>
      </c>
      <c r="DF1" s="232">
        <f ca="1">IF(DE1="No action",0,IF(DE1="Replace",DD1,DC1))</f>
        <v>0</v>
      </c>
      <c r="DG1" s="25">
        <f ca="1">IF($FT$8-($FT$13+$FT$14)-SUM($DF1:DF$5)&gt;=0,IF(DE1="Maintain",1,IF(DE1="Replace",2,0)),0)</f>
        <v>0</v>
      </c>
      <c r="DH1" s="232">
        <f ca="1">IF(OR(DG1=1,DG1=2),DF1,0)</f>
        <v>0</v>
      </c>
      <c r="DI1" s="232">
        <f ca="1">IF(DE1="Replace",DD1,INDEX($CC:$CC,MATCH($CI1,$BI:$BI,0)))</f>
        <v>0</v>
      </c>
      <c r="DJ1" s="53"/>
      <c r="DK1" s="26">
        <f>A1</f>
        <v>0</v>
      </c>
      <c r="DL1" s="26" t="str">
        <f ca="1">L1</f>
        <v>No</v>
      </c>
      <c r="DM1" s="26" t="e">
        <f ca="1">IF(SUMIF(yn_StructureIDPrioritisedWorks,Elements!N1,yn_StructurestobeMaintained)=2,"Yes","No")</f>
        <v>#REF!</v>
      </c>
      <c r="DN1" s="25" t="e">
        <f ca="1">IF(DL1="Yes",3,IF(DM1="Yes",2,IF(Elements!N1=0,0,IF(AE1=0,0,SUMIF(yn_StructureIDPrioritisedWorks,Elements!N1,yn_StructurestobeMaintained)))))</f>
        <v>#REF!</v>
      </c>
      <c r="DO1" s="25" t="e">
        <f ca="1">IF(DN1=1,SUMIF(yn_StructureIDPrioritisedWorks,Elements!N1,yn_fPPrioritisedWorks),"")</f>
        <v>#REF!</v>
      </c>
      <c r="DP1" s="232" t="e">
        <f ca="1">IF(DN1=1,U1*DO1,"")</f>
        <v>#REF!</v>
      </c>
      <c r="DQ1" s="25" t="e">
        <f ca="1">IF(DN1=1,SUMIF(yn_StructureIDPrioritisedWorks,Elements!N1,yn_fOPrioritisedWorks),"")</f>
        <v>#REF!</v>
      </c>
      <c r="DR1" s="232" t="e">
        <f ca="1">IF(DN1=1,U1*DQ1,"")</f>
        <v>#REF!</v>
      </c>
      <c r="DS1" s="232" t="e">
        <f ca="1">IF(DN1=1,IF(W1=0,0,W1/SUMIFS(yn_TMDuration,Ele_ElementOnStructureNum,Elements!N1,yn_TMCode,V1)*INDEX(yn_TMTypes,MATCH(Elements!N1,yn_StructureIDPrioritisedWorks,0),MATCH(V1,$CQ$4:$CY$4,0))*INDEX('Ref09'!$D$108:$I$108,MATCH(INDEX($CQ$3:$CY$3,1,MATCH(V1,$CQ$4:$CY$4,0)),TrafficManagement_Types,0))),"")</f>
        <v>#REF!</v>
      </c>
      <c r="DT1" s="25" t="e">
        <f ca="1">IF(DN1=1,SUMIF(yn_StructureIDPrioritisedWorks,Elements!N1,yn_fDPrioritisedWorks),"")</f>
        <v>#REF!</v>
      </c>
      <c r="DU1" s="232" t="e">
        <f ca="1">IF(DN1=1,DT1*(U1+DS1+DP1+DR1),"")</f>
        <v>#REF!</v>
      </c>
      <c r="DV1" s="232" t="e">
        <f ca="1">IF(DN1=1,U1+DP1+DR1+DS1+DU1,0)</f>
        <v>#REF!</v>
      </c>
      <c r="DW1" s="232" t="e">
        <f ca="1">IF(DN1=2,(U1/SUMIF(Ele_ElementOnStructureNum,Elements!N1,yn_ElementWorksCost))*SUMIF(yn_StructureIDPrioritisedWorks,Elements!N1,yn_PrioritisedWorksCost),0)</f>
        <v>#REF!</v>
      </c>
      <c r="DX1" s="232" t="e">
        <f ca="1">IF(DN1=3,SUMIF(Pln_ynPlannedCode,CONCATENATE(DK1,"_",$FT$5),Pln_PlannedWorksCost),0)</f>
        <v>#REF!</v>
      </c>
      <c r="DY1" s="232" t="e">
        <f ca="1">SUM(DV1:DX1)</f>
        <v>#REF!</v>
      </c>
      <c r="DZ1" s="232" t="e">
        <f>IF(B1="5E",0,INDEX(Ref00_ECS,S1+1,1)-D1)</f>
        <v>#N/A</v>
      </c>
      <c r="EA1" s="232" t="e">
        <f>IF(B1="5E",0,INDEX('Ref03&amp;04ii'!$C$4:$S$427,MATCH(CONCATENATE(Elements!D1,J1),'Ref03&amp;04ii'!$Z$4:$Z$427,0),S1))</f>
        <v>#N/A</v>
      </c>
      <c r="EB1" s="232" t="e">
        <f>IF(B1="5E",0,INDEX('Ref03&amp;04ii'!$C$4:$S$427,MATCH(CONCATENATE(Elements!D1,J1),'Ref03&amp;04ii'!$Z$4:$Z$427,0),S1+1))</f>
        <v>#N/A</v>
      </c>
      <c r="EC1" s="232" t="e">
        <f>IF(B1="5E",0,INDEX('Ref03&amp;04ii'!$C$4:$S$427,MATCH(CONCATENATE(Elements!D1,J1),'Ref03&amp;04ii'!$Z$4:$Z$427,0),S1+2))</f>
        <v>#N/A</v>
      </c>
      <c r="ED1" s="232" t="e">
        <f>(INDEX(Ref00_ECS,S1+1,1)-C1)/(EB1-EA1)/K1</f>
        <v>#N/A</v>
      </c>
      <c r="EE1" s="232" t="e">
        <f>(INDEX(Ref00_ECS,S1+2,1)-INDEX(Ref00_ECS,S1+1,1))/(EC1-EB1)/K1</f>
        <v>#N/A</v>
      </c>
      <c r="EF1" s="232">
        <f>IFERROR(MIN(IF(DZ1/ED1&gt;=1,D1+ED1,D1+ED1*(DZ1/ED1)+EE1*(1-DZ1/ED1)),5),MIN(D1,5))</f>
        <v>0</v>
      </c>
      <c r="EG1" s="232">
        <f>IF(D1=0,0,IF(DN1=3,SUMIF(Pln_ynPlannedCode,CONCATENATE(DK1,"_",$FT$5),Pln_ECSPlannedWorks),IF(DN1=2,1,IF(DN1=1,INDEX(Ref00_ECS,MATCH(INDEX('Ref06'!$I$4:$I$3380,M1,1),Ref00_Condition,0)),EF1))))</f>
        <v>0</v>
      </c>
      <c r="EH1" s="26" t="e">
        <f>IF(AND(EG1&gt;5,EG1&lt;=5.000000000001),5.000000000001,IF(AND(EG1&gt;5.000000000001,EG1&lt;=5.000000000002),5.000000000002,IF(EG1&gt;5.000000000002,5.000000000003,INDEX(Ref00_ECS,MATCH(ROUNDDOWN(EG1,1),Ref00_ECS,1)))))</f>
        <v>#N/A</v>
      </c>
      <c r="EI1" s="26" t="e">
        <f>IF(EH1="",2,MATCH(EH1,Ref00_ECS,0))</f>
        <v>#N/A</v>
      </c>
      <c r="EJ1" s="26" t="e">
        <f>INDEX(Ref00_Condition,EI1,1)</f>
        <v>#N/A</v>
      </c>
      <c r="EK1" s="50">
        <f>IF(DK1=0,0,INDEX(Ref14_ElementImportance,Elements!AA1,1))</f>
        <v>0</v>
      </c>
      <c r="EL1" s="25">
        <f>IF(DK1=0,0,INDEX(Ref14_EIF,Elements!AA1,1))</f>
        <v>0</v>
      </c>
      <c r="EM1" s="232">
        <f>IF(EK1="Very High",0,IF(EK1="High",(0.3-((EH1-1)*(0.3/4))),IF(EK1="Medium",(0.6-((EH1-1)*(0.6/4))),IF(EK1="Low",(1.2-((EH1-1)*(1.2/4))),0))))</f>
        <v>0</v>
      </c>
      <c r="EN1" s="232">
        <f>IF(DK1=0,0,IF(EL1=0,0,MAX(EH1-EM1,1)))</f>
        <v>0</v>
      </c>
      <c r="EO1" s="232">
        <f>EL1*EN1</f>
        <v>0</v>
      </c>
      <c r="EP1" s="232">
        <f>IF(OR(EL1=2,EL1=1.5),EG1,0)</f>
        <v>0</v>
      </c>
      <c r="EQ1" s="25">
        <f>IF(EL1=2,EN1,0)</f>
        <v>0</v>
      </c>
      <c r="ES1" s="25">
        <f>AH1</f>
        <v>0</v>
      </c>
      <c r="ET1" s="19" t="e">
        <f ca="1">IF(SUMPRODUCT(MAX((INDEX(Ele_ElementOnStructureNum,AI1):INDEX(Ele_ElementOnStructureNum,AJ1)=ES1)*INDEX(yn_ECSwhereElementImportVHandH,AI1):INDEX(yn_ECSwhereElementImportVHandH,AJ1)))&gt;=5,5,IF(SUMPRODUCT(MAX((INDEX(Ele_ElementOnStructureNum,AI1):INDEX(Ele_ElementOnStructureNum,AJ1)=ES1)*INDEX(yn_ECSwhereElementImportVHandH,AI1):INDEX(yn_ECSwhereElementImportVHandH,AJ1)))&gt;=4,4,0))</f>
        <v>#REF!</v>
      </c>
      <c r="EU1" s="19" t="e">
        <f ca="1">IF(ET1=4,INDEX(Ref10_TrafficRestrictionCode,MATCH(Structures!BA1,'Ref10'!$B$5:$B$11,0),2),IF(ET1=5,INDEX(Ref10_TrafficRestrictionCode,MATCH(Structures!BA1,'Ref10'!$B$5:$B$11,0),3),0))</f>
        <v>#REF!</v>
      </c>
      <c r="EV1" s="19" t="e">
        <f ca="1">IF(ET1=0,0,INDEX(Str_LengthofStructure,ES1,1))</f>
        <v>#REF!</v>
      </c>
      <c r="EW1" s="19" t="e">
        <f ca="1">IF(EV1=0,0,IF(EV1&lt;=10,0,IF(EV1&lt;=20,10.0001,20.0001)))</f>
        <v>#REF!</v>
      </c>
      <c r="EX1" s="19" t="e">
        <f ca="1">MATCH(EW1,Ref10_LengthGroupTrafficDelay,0)</f>
        <v>#REF!</v>
      </c>
      <c r="EY1" s="19" t="e">
        <f ca="1">IF(ET1=0,0,INDEX(Ref10_TrafficDelayDays,EX1,EU1))</f>
        <v>#REF!</v>
      </c>
      <c r="EZ1" s="19" t="e">
        <f ca="1">IF(ET1=0,0,INDEX(Str_TrafficOfStructure,ES1,1))</f>
        <v>#REF!</v>
      </c>
      <c r="FA1" s="19" t="e">
        <f ca="1">IF(EZ1=0,0,MATCH(EZ1,Ref10_TrafficVolume,0))</f>
        <v>#REF!</v>
      </c>
      <c r="FB1" s="20" t="e">
        <f ca="1">IF(FA1=0,0,INDEX(Ref10_DailyTrafficDelayRate,FA1,2))</f>
        <v>#REF!</v>
      </c>
      <c r="FC1" s="26" t="e">
        <f ca="1">FB1*EY1*'Ref10'!$D$25</f>
        <v>#REF!</v>
      </c>
      <c r="FD1" s="26" t="e">
        <f ca="1">IF(FC1&gt;0,Structures!$F1,0)</f>
        <v>#REF!</v>
      </c>
      <c r="FE1" s="26"/>
      <c r="FF1" s="25">
        <f>AH1</f>
        <v>0</v>
      </c>
      <c r="FG1" s="25" t="e">
        <f ca="1">SUMPRODUCT(MAX((INDEX(Ele_ElementOnStructureNum,AI1):INDEX(Ele_ElementOnStructureNum,AJ1)=AH1)*INDEX(yn_ECIwhereElementImportVH,AI1):INDEX(yn_ECIwhereElementImportVH,AJ1)))</f>
        <v>#REF!</v>
      </c>
      <c r="FH1" s="232" t="str">
        <f>IF(Structures!B1="","",IF(SUMIF(INDEX(Ele_ElementOnStructureNum,AI1):INDEX(Ele_ElementOnStructureNum,AJ1),AH1,INDEX(yn_EIF,AI1):INDEX(yn_EIF,AJ1))=0,0,MIN(115-2*SUMIF(INDEX(Ele_ElementOnStructureNum,AI1):INDEX(Ele_ElementOnStructureNum,AJ1),AH1,INDEX(yn_ECIxEIF,AI1):INDEX(yn_ECIxEIF,AJ1))/SUMIF(INDEX(Ele_ElementOnStructureNum,AI1):INDEX(Ele_ElementOnStructureNum,AJ1),AH1,INDEX(yn_EIF,AI1):INDEX(yn_EIF,AJ1))*(SUMIF(INDEX(Ele_ElementOnStructureNum,AI1):INDEX(Ele_ElementOnStructureNum,AJ1),AH1,INDEX(yn_ECIxEIF,AI1):INDEX(yn_ECIxEIF,AJ1))/SUMIF(INDEX(Ele_ElementOnStructureNum,AI1):INDEX(Ele_ElementOnStructureNum,AJ1),AH1,INDEX(yn_EIF,AI1):INDEX(yn_EIF,AJ1))+6.5),100)))</f>
        <v/>
      </c>
      <c r="FI1" s="232" t="str">
        <f>IF(Structures!B1="","",MAX(MIN(115-2*FG1*(FG1+6.5),100),0))</f>
        <v/>
      </c>
      <c r="FJ1" s="232" t="e">
        <f>FH1*Structures!AU1</f>
        <v>#VALUE!</v>
      </c>
      <c r="FK1" s="232" t="e">
        <f>FI1*Structures!AU1</f>
        <v>#VALUE!</v>
      </c>
      <c r="FL1" s="232" t="e">
        <f>FH1*Structures!BC1</f>
        <v>#VALUE!</v>
      </c>
      <c r="FM1" s="232" t="e">
        <f>FI1*Structures!BC1</f>
        <v>#VALUE!</v>
      </c>
      <c r="FN1" s="25">
        <f>IF(AND(FH1&gt;'Ref15'!$D$33,FI1&gt;'Ref15'!$D$34),1,0)</f>
        <v>1</v>
      </c>
      <c r="FO1" s="232" t="e">
        <f>IF(FN1=1,Structures!AU1,0)</f>
        <v>#VALUE!</v>
      </c>
      <c r="FP1" s="232" t="e">
        <f>FO1*Structures!BB1</f>
        <v>#VALUE!</v>
      </c>
      <c r="FR1" s="306" t="s">
        <v>922</v>
      </c>
      <c r="FS1" s="306"/>
      <c r="FT1" s="297"/>
      <c r="FU1" s="283"/>
      <c r="FV1" s="47"/>
      <c r="FW1" s="284"/>
      <c r="FX1" s="289"/>
      <c r="FY1" s="35"/>
    </row>
    <row r="2" spans="1:181" ht="31.15" customHeight="1" x14ac:dyDescent="0.2">
      <c r="A2" s="538" t="s">
        <v>996</v>
      </c>
      <c r="B2" s="539"/>
      <c r="C2" s="539"/>
      <c r="D2" s="539"/>
      <c r="E2" s="539"/>
      <c r="F2" s="539"/>
      <c r="G2" s="539"/>
      <c r="H2" s="539"/>
      <c r="I2" s="539"/>
      <c r="J2" s="539"/>
      <c r="K2" s="539"/>
      <c r="L2" s="539"/>
      <c r="M2" s="539"/>
      <c r="N2" s="539"/>
      <c r="O2" s="539"/>
      <c r="P2" s="539"/>
      <c r="Q2" s="539"/>
      <c r="R2" s="539"/>
      <c r="S2" s="539"/>
      <c r="T2" s="539"/>
      <c r="U2" s="539"/>
      <c r="V2" s="539"/>
      <c r="W2" s="538"/>
      <c r="X2" s="539"/>
      <c r="Y2" s="539"/>
      <c r="Z2" s="539"/>
      <c r="AA2" s="539"/>
      <c r="AB2" s="539"/>
      <c r="AC2" s="539"/>
      <c r="AD2" s="539"/>
      <c r="AE2" s="539"/>
      <c r="AF2" s="539"/>
      <c r="AG2" s="39"/>
      <c r="AH2" s="538" t="s">
        <v>964</v>
      </c>
      <c r="AI2" s="539"/>
      <c r="AJ2" s="539"/>
      <c r="AK2" s="539"/>
      <c r="AL2" s="539"/>
      <c r="AM2" s="539"/>
      <c r="AN2" s="539"/>
      <c r="AO2" s="539"/>
      <c r="AP2" s="539"/>
      <c r="AQ2" s="539"/>
      <c r="AR2" s="539"/>
      <c r="AS2" s="539"/>
      <c r="AT2" s="539"/>
      <c r="AU2" s="539"/>
      <c r="AV2" s="539"/>
      <c r="AW2" s="539"/>
      <c r="AX2" s="539"/>
      <c r="AY2" s="539"/>
      <c r="AZ2" s="539"/>
      <c r="BA2" s="539"/>
      <c r="BB2" s="539"/>
      <c r="BC2" s="539"/>
      <c r="BD2" s="21"/>
      <c r="BE2" s="242" t="s">
        <v>997</v>
      </c>
      <c r="BF2" s="243"/>
      <c r="BG2" s="243"/>
      <c r="BH2" s="243"/>
      <c r="BI2" s="242"/>
      <c r="BJ2" s="243"/>
      <c r="BK2" s="243"/>
      <c r="BL2" s="243"/>
      <c r="BM2" s="242"/>
      <c r="BN2" s="243"/>
      <c r="BO2" s="243"/>
      <c r="BP2" s="243"/>
      <c r="BQ2" s="239" t="s">
        <v>193</v>
      </c>
      <c r="BR2" s="239" t="s">
        <v>193</v>
      </c>
      <c r="BS2" s="239" t="s">
        <v>193</v>
      </c>
      <c r="BT2" s="239" t="s">
        <v>194</v>
      </c>
      <c r="BU2" s="239" t="s">
        <v>192</v>
      </c>
      <c r="BV2" s="239" t="s">
        <v>192</v>
      </c>
      <c r="BW2" s="239" t="s">
        <v>192</v>
      </c>
      <c r="BX2" s="239" t="s">
        <v>192</v>
      </c>
      <c r="BY2" s="239" t="s">
        <v>192</v>
      </c>
      <c r="BZ2" s="538" t="s">
        <v>933</v>
      </c>
      <c r="CA2" s="539"/>
      <c r="CB2" s="539"/>
      <c r="CC2" s="539"/>
      <c r="CE2" s="538" t="s">
        <v>1873</v>
      </c>
      <c r="CF2" s="539"/>
      <c r="CG2" s="539"/>
      <c r="CH2" s="539"/>
      <c r="CI2" s="539"/>
      <c r="CJ2" s="539"/>
      <c r="CK2" s="539"/>
      <c r="CL2" s="539"/>
      <c r="CM2" s="539"/>
      <c r="CN2" s="539"/>
      <c r="CO2" s="539"/>
      <c r="CP2" s="540"/>
      <c r="CQ2" s="239" t="s">
        <v>193</v>
      </c>
      <c r="CR2" s="239" t="s">
        <v>193</v>
      </c>
      <c r="CS2" s="239" t="s">
        <v>193</v>
      </c>
      <c r="CT2" s="239" t="s">
        <v>194</v>
      </c>
      <c r="CU2" s="239" t="s">
        <v>192</v>
      </c>
      <c r="CV2" s="239" t="s">
        <v>192</v>
      </c>
      <c r="CW2" s="239" t="s">
        <v>192</v>
      </c>
      <c r="CX2" s="239" t="s">
        <v>192</v>
      </c>
      <c r="CY2" s="239" t="s">
        <v>192</v>
      </c>
      <c r="CZ2" s="538" t="s">
        <v>934</v>
      </c>
      <c r="DA2" s="539"/>
      <c r="DB2" s="539"/>
      <c r="DC2" s="539"/>
      <c r="DD2" s="539"/>
      <c r="DE2" s="539"/>
      <c r="DF2" s="539"/>
      <c r="DG2" s="539"/>
      <c r="DH2" s="539"/>
      <c r="DI2" s="539"/>
      <c r="DJ2" s="53"/>
      <c r="DK2" s="538" t="s">
        <v>1011</v>
      </c>
      <c r="DL2" s="539"/>
      <c r="DM2" s="539"/>
      <c r="DN2" s="539"/>
      <c r="DO2" s="539"/>
      <c r="DP2" s="539"/>
      <c r="DQ2" s="539"/>
      <c r="DR2" s="539"/>
      <c r="DS2" s="539"/>
      <c r="DT2" s="539"/>
      <c r="DU2" s="539"/>
      <c r="DV2" s="240"/>
      <c r="DW2" s="538"/>
      <c r="DX2" s="539"/>
      <c r="DY2" s="539"/>
      <c r="DZ2" s="539"/>
      <c r="EA2" s="539"/>
      <c r="EB2" s="539"/>
      <c r="EC2" s="539"/>
      <c r="ED2" s="539"/>
      <c r="EE2" s="539"/>
      <c r="EF2" s="539"/>
      <c r="EG2" s="539"/>
      <c r="EH2" s="240"/>
      <c r="EI2" s="538"/>
      <c r="EJ2" s="539"/>
      <c r="EK2" s="539"/>
      <c r="EL2" s="539"/>
      <c r="EM2" s="539"/>
      <c r="EN2" s="539"/>
      <c r="EO2" s="539"/>
      <c r="EP2" s="539"/>
      <c r="EQ2" s="539"/>
      <c r="ES2" s="538" t="s">
        <v>1012</v>
      </c>
      <c r="ET2" s="539"/>
      <c r="EU2" s="539"/>
      <c r="EV2" s="539"/>
      <c r="EW2" s="539"/>
      <c r="EX2" s="539"/>
      <c r="EY2" s="539"/>
      <c r="EZ2" s="539"/>
      <c r="FA2" s="539"/>
      <c r="FB2" s="539"/>
      <c r="FC2" s="539"/>
      <c r="FD2" s="240"/>
      <c r="FE2" s="26"/>
      <c r="FF2" s="538" t="s">
        <v>1013</v>
      </c>
      <c r="FG2" s="539"/>
      <c r="FH2" s="539"/>
      <c r="FI2" s="539"/>
      <c r="FJ2" s="539"/>
      <c r="FK2" s="539"/>
      <c r="FL2" s="539"/>
      <c r="FM2" s="539"/>
      <c r="FN2" s="539"/>
      <c r="FO2" s="539"/>
      <c r="FP2" s="539"/>
      <c r="FR2" s="530" t="s">
        <v>1014</v>
      </c>
      <c r="FS2" s="531"/>
      <c r="FT2" s="531"/>
      <c r="FU2" s="531"/>
      <c r="FV2" s="531"/>
      <c r="FW2" s="531"/>
      <c r="FX2" s="531"/>
      <c r="FY2" s="532"/>
    </row>
    <row r="3" spans="1:181" ht="40.15" customHeight="1" x14ac:dyDescent="0.2">
      <c r="E3" s="39"/>
      <c r="F3" s="157"/>
      <c r="G3" s="39"/>
      <c r="H3" s="39"/>
      <c r="I3" s="39"/>
      <c r="J3" s="39"/>
      <c r="K3" s="39"/>
      <c r="L3" s="39"/>
      <c r="M3" s="39"/>
      <c r="N3" s="39"/>
      <c r="P3" s="39"/>
      <c r="Q3" s="39"/>
      <c r="R3" s="39"/>
      <c r="T3" s="39"/>
      <c r="U3" s="39"/>
      <c r="V3" s="39"/>
      <c r="W3" s="39"/>
      <c r="X3" s="39"/>
      <c r="Y3" s="39"/>
      <c r="Z3" s="39"/>
      <c r="AA3" s="39"/>
      <c r="AB3" s="39"/>
      <c r="AC3" s="39"/>
      <c r="AK3" s="549" t="s">
        <v>1807</v>
      </c>
      <c r="AL3" s="549"/>
      <c r="AM3" s="549"/>
      <c r="AN3" s="549"/>
      <c r="AO3" s="549"/>
      <c r="AP3" s="549"/>
      <c r="AQ3" s="549"/>
      <c r="AR3" s="549"/>
      <c r="AS3" s="549"/>
      <c r="AT3" s="549"/>
      <c r="AU3" s="549"/>
      <c r="AV3" s="549"/>
      <c r="AW3" s="549"/>
      <c r="AX3" s="549"/>
      <c r="AY3" s="239" t="s">
        <v>950</v>
      </c>
      <c r="AZ3" s="239" t="s">
        <v>951</v>
      </c>
      <c r="BA3" s="239" t="s">
        <v>952</v>
      </c>
      <c r="BB3" s="239" t="s">
        <v>951</v>
      </c>
      <c r="BC3" s="239" t="s">
        <v>951</v>
      </c>
      <c r="BD3" s="21"/>
      <c r="BE3" s="39"/>
      <c r="BF3" s="39"/>
      <c r="BG3" s="39"/>
      <c r="BI3" s="22"/>
      <c r="BJ3" s="22"/>
      <c r="BK3" s="22"/>
      <c r="BL3" s="22"/>
      <c r="BM3" s="22"/>
      <c r="BN3" s="22"/>
      <c r="BO3" s="22"/>
      <c r="BP3" s="22"/>
      <c r="BQ3" s="239" t="s">
        <v>549</v>
      </c>
      <c r="BR3" s="239" t="s">
        <v>545</v>
      </c>
      <c r="BS3" s="239" t="s">
        <v>548</v>
      </c>
      <c r="BT3" s="239" t="s">
        <v>546</v>
      </c>
      <c r="BU3" s="239" t="s">
        <v>549</v>
      </c>
      <c r="BV3" s="239" t="s">
        <v>545</v>
      </c>
      <c r="BW3" s="239" t="s">
        <v>548</v>
      </c>
      <c r="BX3" s="239" t="s">
        <v>544</v>
      </c>
      <c r="BY3" s="239" t="s">
        <v>547</v>
      </c>
      <c r="BZ3" s="39"/>
      <c r="CC3" s="42"/>
      <c r="CG3" s="39"/>
      <c r="CI3" s="39"/>
      <c r="CJ3" s="39"/>
      <c r="CK3" s="39"/>
      <c r="CL3" s="39"/>
      <c r="CM3" s="39"/>
      <c r="CP3" s="43"/>
      <c r="CQ3" s="239" t="s">
        <v>549</v>
      </c>
      <c r="CR3" s="239" t="s">
        <v>545</v>
      </c>
      <c r="CS3" s="239" t="s">
        <v>548</v>
      </c>
      <c r="CT3" s="239" t="s">
        <v>546</v>
      </c>
      <c r="CU3" s="239" t="s">
        <v>549</v>
      </c>
      <c r="CV3" s="239" t="s">
        <v>545</v>
      </c>
      <c r="CW3" s="239" t="s">
        <v>548</v>
      </c>
      <c r="CX3" s="239" t="s">
        <v>544</v>
      </c>
      <c r="CY3" s="239" t="s">
        <v>547</v>
      </c>
      <c r="CZ3" s="39"/>
      <c r="DJ3" s="53"/>
      <c r="DK3" s="53"/>
      <c r="DL3" s="53"/>
      <c r="DM3" s="53"/>
      <c r="EL3" s="62"/>
      <c r="EM3" s="62"/>
      <c r="EN3" s="157"/>
      <c r="EO3" s="62"/>
      <c r="EP3" s="62"/>
      <c r="EQ3" s="62"/>
      <c r="ES3" s="21"/>
      <c r="ET3" s="42"/>
      <c r="EU3" s="42"/>
      <c r="EV3" s="42"/>
      <c r="EW3" s="42"/>
      <c r="EX3" s="42"/>
      <c r="EY3" s="42"/>
      <c r="EZ3" s="42"/>
      <c r="FA3" s="42"/>
      <c r="FB3" s="42"/>
      <c r="FD3" s="23"/>
      <c r="FE3" s="26"/>
      <c r="FF3" s="26"/>
      <c r="FQ3" s="44"/>
      <c r="FS3" s="63"/>
      <c r="FT3" s="51"/>
      <c r="FU3" s="64"/>
    </row>
    <row r="4" spans="1:181" ht="109.9" customHeight="1" x14ac:dyDescent="0.2">
      <c r="A4" s="238" t="s">
        <v>903</v>
      </c>
      <c r="B4" s="238" t="s">
        <v>1808</v>
      </c>
      <c r="C4" s="238" t="s">
        <v>1809</v>
      </c>
      <c r="D4" s="238" t="s">
        <v>1810</v>
      </c>
      <c r="E4" s="238" t="s">
        <v>1811</v>
      </c>
      <c r="F4" s="238" t="s">
        <v>1812</v>
      </c>
      <c r="G4" s="238" t="s">
        <v>641</v>
      </c>
      <c r="H4" s="238" t="s">
        <v>945</v>
      </c>
      <c r="I4" s="238" t="s">
        <v>924</v>
      </c>
      <c r="J4" s="238" t="s">
        <v>238</v>
      </c>
      <c r="K4" s="238" t="s">
        <v>679</v>
      </c>
      <c r="L4" s="238" t="s">
        <v>1117</v>
      </c>
      <c r="M4" s="238" t="s">
        <v>946</v>
      </c>
      <c r="N4" s="238" t="s">
        <v>947</v>
      </c>
      <c r="O4" s="238" t="s">
        <v>957</v>
      </c>
      <c r="P4" s="238" t="s">
        <v>958</v>
      </c>
      <c r="Q4" s="238" t="s">
        <v>959</v>
      </c>
      <c r="R4" s="238" t="s">
        <v>678</v>
      </c>
      <c r="S4" s="238" t="s">
        <v>948</v>
      </c>
      <c r="T4" s="238" t="s">
        <v>704</v>
      </c>
      <c r="U4" s="238" t="s">
        <v>677</v>
      </c>
      <c r="V4" s="238" t="s">
        <v>676</v>
      </c>
      <c r="W4" s="238" t="s">
        <v>671</v>
      </c>
      <c r="X4" s="238" t="s">
        <v>675</v>
      </c>
      <c r="Y4" s="238" t="s">
        <v>558</v>
      </c>
      <c r="Z4" s="238" t="s">
        <v>555</v>
      </c>
      <c r="AA4" s="238" t="s">
        <v>552</v>
      </c>
      <c r="AB4" s="238" t="s">
        <v>960</v>
      </c>
      <c r="AC4" s="238" t="s">
        <v>961</v>
      </c>
      <c r="AD4" s="238" t="s">
        <v>962</v>
      </c>
      <c r="AE4" s="238" t="s">
        <v>963</v>
      </c>
      <c r="AF4" s="238" t="s">
        <v>672</v>
      </c>
      <c r="AH4" s="238" t="s">
        <v>940</v>
      </c>
      <c r="AI4" s="238" t="s">
        <v>47</v>
      </c>
      <c r="AJ4" s="238" t="s">
        <v>46</v>
      </c>
      <c r="AK4" s="238" t="s">
        <v>116</v>
      </c>
      <c r="AL4" s="238" t="s">
        <v>92</v>
      </c>
      <c r="AM4" s="238" t="s">
        <v>115</v>
      </c>
      <c r="AN4" s="238" t="s">
        <v>90</v>
      </c>
      <c r="AO4" s="238" t="s">
        <v>120</v>
      </c>
      <c r="AP4" s="238" t="s">
        <v>71</v>
      </c>
      <c r="AQ4" s="238" t="s">
        <v>158</v>
      </c>
      <c r="AR4" s="238" t="s">
        <v>89</v>
      </c>
      <c r="AS4" s="238" t="s">
        <v>128</v>
      </c>
      <c r="AT4" s="238" t="s">
        <v>126</v>
      </c>
      <c r="AU4" s="238" t="s">
        <v>102</v>
      </c>
      <c r="AV4" s="238" t="s">
        <v>147</v>
      </c>
      <c r="AW4" s="238" t="s">
        <v>146</v>
      </c>
      <c r="AX4" s="238" t="s">
        <v>156</v>
      </c>
      <c r="AY4" s="238" t="s">
        <v>654</v>
      </c>
      <c r="AZ4" s="238" t="s">
        <v>653</v>
      </c>
      <c r="BA4" s="238" t="s">
        <v>652</v>
      </c>
      <c r="BB4" s="238" t="s">
        <v>651</v>
      </c>
      <c r="BC4" s="238" t="s">
        <v>650</v>
      </c>
      <c r="BD4" s="21"/>
      <c r="BE4" s="238" t="s">
        <v>940</v>
      </c>
      <c r="BF4" s="238" t="s">
        <v>858</v>
      </c>
      <c r="BG4" s="238" t="s">
        <v>927</v>
      </c>
      <c r="BH4" s="238" t="s">
        <v>925</v>
      </c>
      <c r="BI4" s="238" t="s">
        <v>54</v>
      </c>
      <c r="BJ4" s="238" t="s">
        <v>764</v>
      </c>
      <c r="BK4" s="238" t="s">
        <v>765</v>
      </c>
      <c r="BL4" s="238" t="s">
        <v>967</v>
      </c>
      <c r="BM4" s="238" t="s">
        <v>558</v>
      </c>
      <c r="BN4" s="238" t="s">
        <v>669</v>
      </c>
      <c r="BO4" s="238" t="s">
        <v>555</v>
      </c>
      <c r="BP4" s="238" t="s">
        <v>668</v>
      </c>
      <c r="BQ4" s="238" t="s">
        <v>667</v>
      </c>
      <c r="BR4" s="238" t="s">
        <v>666</v>
      </c>
      <c r="BS4" s="238" t="s">
        <v>665</v>
      </c>
      <c r="BT4" s="238" t="s">
        <v>664</v>
      </c>
      <c r="BU4" s="238" t="s">
        <v>663</v>
      </c>
      <c r="BV4" s="238" t="s">
        <v>662</v>
      </c>
      <c r="BW4" s="238" t="s">
        <v>661</v>
      </c>
      <c r="BX4" s="238" t="s">
        <v>660</v>
      </c>
      <c r="BY4" s="238" t="s">
        <v>659</v>
      </c>
      <c r="BZ4" s="238" t="s">
        <v>658</v>
      </c>
      <c r="CA4" s="238" t="s">
        <v>552</v>
      </c>
      <c r="CB4" s="238" t="s">
        <v>657</v>
      </c>
      <c r="CC4" s="238" t="s">
        <v>1874</v>
      </c>
      <c r="CD4" s="45"/>
      <c r="CE4" s="238" t="s">
        <v>940</v>
      </c>
      <c r="CF4" s="238" t="s">
        <v>670</v>
      </c>
      <c r="CG4" s="238" t="s">
        <v>927</v>
      </c>
      <c r="CH4" s="238" t="s">
        <v>928</v>
      </c>
      <c r="CI4" s="238" t="s">
        <v>54</v>
      </c>
      <c r="CJ4" s="238" t="s">
        <v>764</v>
      </c>
      <c r="CK4" s="238" t="s">
        <v>765</v>
      </c>
      <c r="CL4" s="238" t="s">
        <v>967</v>
      </c>
      <c r="CM4" s="238" t="s">
        <v>558</v>
      </c>
      <c r="CN4" s="238" t="s">
        <v>669</v>
      </c>
      <c r="CO4" s="238" t="s">
        <v>555</v>
      </c>
      <c r="CP4" s="238" t="s">
        <v>668</v>
      </c>
      <c r="CQ4" s="238" t="s">
        <v>667</v>
      </c>
      <c r="CR4" s="238" t="s">
        <v>666</v>
      </c>
      <c r="CS4" s="238" t="s">
        <v>665</v>
      </c>
      <c r="CT4" s="238" t="s">
        <v>664</v>
      </c>
      <c r="CU4" s="238" t="s">
        <v>663</v>
      </c>
      <c r="CV4" s="238" t="s">
        <v>662</v>
      </c>
      <c r="CW4" s="238" t="s">
        <v>661</v>
      </c>
      <c r="CX4" s="238" t="s">
        <v>660</v>
      </c>
      <c r="CY4" s="238" t="s">
        <v>659</v>
      </c>
      <c r="CZ4" s="238" t="s">
        <v>658</v>
      </c>
      <c r="DA4" s="238" t="s">
        <v>552</v>
      </c>
      <c r="DB4" s="238" t="s">
        <v>657</v>
      </c>
      <c r="DC4" s="238" t="s">
        <v>656</v>
      </c>
      <c r="DD4" s="238" t="s">
        <v>1195</v>
      </c>
      <c r="DE4" s="238" t="s">
        <v>971</v>
      </c>
      <c r="DF4" s="238" t="s">
        <v>972</v>
      </c>
      <c r="DG4" s="238" t="s">
        <v>975</v>
      </c>
      <c r="DH4" s="238" t="s">
        <v>976</v>
      </c>
      <c r="DI4" s="238" t="s">
        <v>1148</v>
      </c>
      <c r="DJ4" s="53"/>
      <c r="DK4" s="238" t="s">
        <v>903</v>
      </c>
      <c r="DL4" s="238" t="s">
        <v>1007</v>
      </c>
      <c r="DM4" s="238" t="s">
        <v>995</v>
      </c>
      <c r="DN4" s="238" t="s">
        <v>991</v>
      </c>
      <c r="DO4" s="238" t="s">
        <v>558</v>
      </c>
      <c r="DP4" s="238" t="s">
        <v>1000</v>
      </c>
      <c r="DQ4" s="238" t="s">
        <v>555</v>
      </c>
      <c r="DR4" s="238" t="s">
        <v>1001</v>
      </c>
      <c r="DS4" s="238" t="s">
        <v>1003</v>
      </c>
      <c r="DT4" s="238" t="s">
        <v>552</v>
      </c>
      <c r="DU4" s="238" t="s">
        <v>1002</v>
      </c>
      <c r="DV4" s="238" t="s">
        <v>979</v>
      </c>
      <c r="DW4" s="238" t="s">
        <v>982</v>
      </c>
      <c r="DX4" s="238" t="s">
        <v>987</v>
      </c>
      <c r="DY4" s="238" t="s">
        <v>993</v>
      </c>
      <c r="DZ4" s="238" t="s">
        <v>968</v>
      </c>
      <c r="EA4" s="238" t="s">
        <v>1182</v>
      </c>
      <c r="EB4" s="238" t="s">
        <v>1183</v>
      </c>
      <c r="EC4" s="238" t="s">
        <v>1184</v>
      </c>
      <c r="ED4" s="238" t="s">
        <v>1185</v>
      </c>
      <c r="EE4" s="238" t="s">
        <v>1186</v>
      </c>
      <c r="EF4" s="238" t="s">
        <v>969</v>
      </c>
      <c r="EG4" s="238" t="s">
        <v>1813</v>
      </c>
      <c r="EH4" s="238" t="s">
        <v>1814</v>
      </c>
      <c r="EI4" s="238" t="s">
        <v>948</v>
      </c>
      <c r="EJ4" s="238" t="s">
        <v>1815</v>
      </c>
      <c r="EK4" s="238" t="s">
        <v>202</v>
      </c>
      <c r="EL4" s="238" t="s">
        <v>921</v>
      </c>
      <c r="EM4" s="238" t="s">
        <v>919</v>
      </c>
      <c r="EN4" s="238" t="s">
        <v>920</v>
      </c>
      <c r="EO4" s="238" t="s">
        <v>647</v>
      </c>
      <c r="EP4" s="238" t="s">
        <v>1170</v>
      </c>
      <c r="EQ4" s="238" t="s">
        <v>646</v>
      </c>
      <c r="ES4" s="238" t="s">
        <v>940</v>
      </c>
      <c r="ET4" s="238" t="s">
        <v>1161</v>
      </c>
      <c r="EU4" s="238" t="s">
        <v>1162</v>
      </c>
      <c r="EV4" s="238" t="s">
        <v>944</v>
      </c>
      <c r="EW4" s="238" t="s">
        <v>918</v>
      </c>
      <c r="EX4" s="238" t="s">
        <v>943</v>
      </c>
      <c r="EY4" s="238" t="s">
        <v>916</v>
      </c>
      <c r="EZ4" s="238" t="s">
        <v>567</v>
      </c>
      <c r="FA4" s="238" t="s">
        <v>942</v>
      </c>
      <c r="FB4" s="238" t="s">
        <v>917</v>
      </c>
      <c r="FC4" s="238" t="s">
        <v>655</v>
      </c>
      <c r="FD4" s="238" t="s">
        <v>923</v>
      </c>
      <c r="FE4" s="26"/>
      <c r="FF4" s="238" t="s">
        <v>940</v>
      </c>
      <c r="FG4" s="238" t="s">
        <v>698</v>
      </c>
      <c r="FH4" s="238" t="s">
        <v>645</v>
      </c>
      <c r="FI4" s="238" t="s">
        <v>644</v>
      </c>
      <c r="FJ4" s="238" t="s">
        <v>1157</v>
      </c>
      <c r="FK4" s="238" t="s">
        <v>1158</v>
      </c>
      <c r="FL4" s="238" t="s">
        <v>643</v>
      </c>
      <c r="FM4" s="238" t="s">
        <v>642</v>
      </c>
      <c r="FN4" s="238" t="s">
        <v>784</v>
      </c>
      <c r="FO4" s="238" t="s">
        <v>1783</v>
      </c>
      <c r="FP4" s="238" t="s">
        <v>785</v>
      </c>
      <c r="FQ4" s="46"/>
      <c r="FT4" s="296" t="s">
        <v>1794</v>
      </c>
      <c r="FU4" s="305"/>
      <c r="FY4" s="238" t="s">
        <v>1794</v>
      </c>
    </row>
    <row r="5" spans="1:181" ht="12.75" customHeight="1" x14ac:dyDescent="0.2">
      <c r="A5" s="25"/>
      <c r="B5" s="25"/>
      <c r="C5" s="25"/>
      <c r="D5" s="232"/>
      <c r="E5" s="231"/>
      <c r="F5" s="232"/>
      <c r="G5" s="25"/>
      <c r="H5" s="25"/>
      <c r="I5" s="234"/>
      <c r="J5" s="25"/>
      <c r="K5" s="25"/>
      <c r="L5" s="25"/>
      <c r="M5" s="25"/>
      <c r="N5" s="25"/>
      <c r="O5" s="25"/>
      <c r="P5" s="25"/>
      <c r="Q5" s="25"/>
      <c r="R5" s="25"/>
      <c r="S5" s="50"/>
      <c r="T5" s="232"/>
      <c r="U5" s="232"/>
      <c r="V5" s="25"/>
      <c r="W5" s="232"/>
      <c r="X5" s="232"/>
      <c r="Y5" s="25"/>
      <c r="Z5" s="25"/>
      <c r="AA5" s="25"/>
      <c r="AB5" s="232"/>
      <c r="AC5" s="232"/>
      <c r="AD5" s="232"/>
      <c r="AE5" s="25"/>
      <c r="AF5" s="232"/>
      <c r="AG5" s="25"/>
      <c r="AH5" s="25"/>
      <c r="AI5" s="25"/>
      <c r="AJ5" s="25"/>
      <c r="AK5" s="25"/>
      <c r="AL5" s="25"/>
      <c r="AM5" s="25"/>
      <c r="AN5" s="25"/>
      <c r="AO5" s="25"/>
      <c r="AP5" s="25"/>
      <c r="AQ5" s="25"/>
      <c r="AR5" s="25"/>
      <c r="AS5" s="25"/>
      <c r="AT5" s="25"/>
      <c r="AU5" s="25"/>
      <c r="AV5" s="25"/>
      <c r="AW5" s="25"/>
      <c r="AX5" s="25"/>
      <c r="AY5" s="25"/>
      <c r="AZ5" s="25"/>
      <c r="BA5" s="25"/>
      <c r="BB5" s="25"/>
      <c r="BC5" s="25"/>
      <c r="BD5" s="21"/>
      <c r="BE5" s="25"/>
      <c r="BF5" s="50"/>
      <c r="BG5" s="50"/>
      <c r="BH5" s="25"/>
      <c r="BI5" s="50"/>
      <c r="BJ5" s="50"/>
      <c r="BK5" s="50"/>
      <c r="BL5" s="232"/>
      <c r="BM5" s="50"/>
      <c r="BN5" s="232"/>
      <c r="BO5" s="50"/>
      <c r="BP5" s="232"/>
      <c r="BQ5" s="232"/>
      <c r="BR5" s="232"/>
      <c r="BS5" s="232"/>
      <c r="BT5" s="232"/>
      <c r="BU5" s="232"/>
      <c r="BV5" s="232"/>
      <c r="BW5" s="232"/>
      <c r="BX5" s="232"/>
      <c r="BY5" s="232"/>
      <c r="BZ5" s="232"/>
      <c r="CA5" s="50"/>
      <c r="CB5" s="232"/>
      <c r="CC5" s="232"/>
      <c r="CE5" s="25"/>
      <c r="CF5" s="232"/>
      <c r="CG5" s="25"/>
      <c r="CH5" s="25"/>
      <c r="CI5" s="25"/>
      <c r="CJ5" s="25"/>
      <c r="CK5" s="25"/>
      <c r="CL5" s="232"/>
      <c r="CM5" s="25"/>
      <c r="CN5" s="232"/>
      <c r="CO5" s="25"/>
      <c r="CP5" s="232"/>
      <c r="CQ5" s="232"/>
      <c r="CR5" s="232"/>
      <c r="CS5" s="232"/>
      <c r="CT5" s="232"/>
      <c r="CU5" s="232"/>
      <c r="CV5" s="232"/>
      <c r="CW5" s="232"/>
      <c r="CX5" s="232"/>
      <c r="CY5" s="232"/>
      <c r="CZ5" s="232"/>
      <c r="DA5" s="25"/>
      <c r="DB5" s="232"/>
      <c r="DC5" s="232"/>
      <c r="DD5" s="232"/>
      <c r="DE5" s="25"/>
      <c r="DF5" s="232"/>
      <c r="DG5" s="25"/>
      <c r="DH5" s="232"/>
      <c r="DI5" s="232"/>
      <c r="DJ5" s="53"/>
      <c r="DK5" s="26"/>
      <c r="DL5" s="26"/>
      <c r="DM5" s="26"/>
      <c r="DN5" s="25"/>
      <c r="DO5" s="25"/>
      <c r="DP5" s="232"/>
      <c r="DQ5" s="25"/>
      <c r="DR5" s="232"/>
      <c r="DS5" s="232"/>
      <c r="DT5" s="25"/>
      <c r="DU5" s="232"/>
      <c r="DV5" s="232"/>
      <c r="DW5" s="232"/>
      <c r="DX5" s="232"/>
      <c r="DY5" s="232"/>
      <c r="DZ5" s="232"/>
      <c r="EA5" s="232"/>
      <c r="EB5" s="232"/>
      <c r="EC5" s="232"/>
      <c r="ED5" s="232"/>
      <c r="EE5" s="232"/>
      <c r="EF5" s="232"/>
      <c r="EG5" s="232"/>
      <c r="EH5" s="26"/>
      <c r="EI5" s="26"/>
      <c r="EJ5" s="26"/>
      <c r="EK5" s="50"/>
      <c r="EL5" s="25"/>
      <c r="EM5" s="232"/>
      <c r="EN5" s="232"/>
      <c r="EO5" s="232"/>
      <c r="EP5" s="232"/>
      <c r="EQ5" s="25"/>
      <c r="ES5" s="25"/>
      <c r="FB5" s="20"/>
      <c r="FC5" s="26"/>
      <c r="FD5" s="26"/>
      <c r="FE5" s="26"/>
      <c r="FF5" s="25"/>
      <c r="FG5" s="25"/>
      <c r="FH5" s="232"/>
      <c r="FI5" s="232"/>
      <c r="FJ5" s="232"/>
      <c r="FK5" s="232"/>
      <c r="FL5" s="232"/>
      <c r="FM5" s="232"/>
      <c r="FN5" s="25"/>
      <c r="FO5" s="232"/>
      <c r="FP5" s="232"/>
      <c r="FR5" s="281" t="s">
        <v>1008</v>
      </c>
      <c r="FS5" s="281" t="s">
        <v>1009</v>
      </c>
      <c r="FT5" s="293">
        <v>31</v>
      </c>
      <c r="FU5" s="283"/>
      <c r="FV5" s="47" t="s">
        <v>573</v>
      </c>
      <c r="FW5" s="533" t="s">
        <v>183</v>
      </c>
      <c r="FX5" s="238" t="s">
        <v>181</v>
      </c>
      <c r="FY5" s="299">
        <f t="shared" ref="FY5:FY11" ca="1" si="0">IFERROR(SUMIF(Str_AVFStructureType,$FV5,yn_SCIavDimensionforSSCI)/SUMIF(Str_AVFStructureType,$FV5,Str_DimensionforSSCI),0)</f>
        <v>0</v>
      </c>
    </row>
    <row r="6" spans="1:181" ht="12.75" customHeight="1" x14ac:dyDescent="0.2">
      <c r="A6" s="25"/>
      <c r="B6" s="25"/>
      <c r="C6" s="25"/>
      <c r="D6" s="232"/>
      <c r="E6" s="231"/>
      <c r="F6" s="232"/>
      <c r="G6" s="25"/>
      <c r="H6" s="25"/>
      <c r="I6" s="234"/>
      <c r="J6" s="25"/>
      <c r="K6" s="25"/>
      <c r="L6" s="25"/>
      <c r="M6" s="25"/>
      <c r="N6" s="25"/>
      <c r="O6" s="25"/>
      <c r="P6" s="25"/>
      <c r="Q6" s="25"/>
      <c r="R6" s="25"/>
      <c r="S6" s="50"/>
      <c r="T6" s="232"/>
      <c r="U6" s="232"/>
      <c r="V6" s="25"/>
      <c r="W6" s="232"/>
      <c r="X6" s="232"/>
      <c r="Y6" s="25"/>
      <c r="Z6" s="25"/>
      <c r="AA6" s="25"/>
      <c r="AB6" s="232"/>
      <c r="AC6" s="232"/>
      <c r="AD6" s="232"/>
      <c r="AE6" s="25"/>
      <c r="AF6" s="232"/>
      <c r="AG6" s="25"/>
      <c r="AH6" s="25"/>
      <c r="AI6" s="25"/>
      <c r="AJ6" s="25"/>
      <c r="AK6" s="25"/>
      <c r="AL6" s="25"/>
      <c r="AM6" s="25"/>
      <c r="AN6" s="25"/>
      <c r="AO6" s="25"/>
      <c r="AP6" s="25"/>
      <c r="AQ6" s="25"/>
      <c r="AR6" s="25"/>
      <c r="AS6" s="25"/>
      <c r="AT6" s="25"/>
      <c r="AU6" s="25"/>
      <c r="AV6" s="25"/>
      <c r="AW6" s="25"/>
      <c r="AX6" s="25"/>
      <c r="AY6" s="25"/>
      <c r="AZ6" s="25"/>
      <c r="BA6" s="25"/>
      <c r="BB6" s="25"/>
      <c r="BC6" s="25"/>
      <c r="BD6" s="21"/>
      <c r="BE6" s="25"/>
      <c r="BF6" s="50"/>
      <c r="BG6" s="50"/>
      <c r="BH6" s="25"/>
      <c r="BI6" s="50"/>
      <c r="BJ6" s="50"/>
      <c r="BK6" s="50"/>
      <c r="BL6" s="232"/>
      <c r="BM6" s="50"/>
      <c r="BN6" s="232"/>
      <c r="BO6" s="50"/>
      <c r="BP6" s="232"/>
      <c r="BQ6" s="232"/>
      <c r="BR6" s="232"/>
      <c r="BS6" s="232"/>
      <c r="BT6" s="232"/>
      <c r="BU6" s="232"/>
      <c r="BV6" s="232"/>
      <c r="BW6" s="232"/>
      <c r="BX6" s="232"/>
      <c r="BY6" s="232"/>
      <c r="BZ6" s="232"/>
      <c r="CA6" s="50"/>
      <c r="CB6" s="232"/>
      <c r="CC6" s="232"/>
      <c r="CE6" s="25"/>
      <c r="CF6" s="232"/>
      <c r="CG6" s="25"/>
      <c r="CH6" s="25"/>
      <c r="CI6" s="25"/>
      <c r="CJ6" s="25"/>
      <c r="CK6" s="25"/>
      <c r="CL6" s="232"/>
      <c r="CM6" s="25"/>
      <c r="CN6" s="232"/>
      <c r="CO6" s="25"/>
      <c r="CP6" s="232"/>
      <c r="CQ6" s="232"/>
      <c r="CR6" s="232"/>
      <c r="CS6" s="232"/>
      <c r="CT6" s="232"/>
      <c r="CU6" s="232"/>
      <c r="CV6" s="232"/>
      <c r="CW6" s="232"/>
      <c r="CX6" s="232"/>
      <c r="CY6" s="232"/>
      <c r="CZ6" s="232"/>
      <c r="DA6" s="25"/>
      <c r="DB6" s="232"/>
      <c r="DC6" s="232"/>
      <c r="DD6" s="232"/>
      <c r="DE6" s="25"/>
      <c r="DF6" s="232"/>
      <c r="DG6" s="25"/>
      <c r="DH6" s="232"/>
      <c r="DI6" s="232"/>
      <c r="DJ6" s="53"/>
      <c r="DK6" s="26"/>
      <c r="DL6" s="26"/>
      <c r="DM6" s="26"/>
      <c r="DN6" s="25"/>
      <c r="DO6" s="25"/>
      <c r="DP6" s="232"/>
      <c r="DQ6" s="25"/>
      <c r="DR6" s="232"/>
      <c r="DS6" s="232"/>
      <c r="DT6" s="25"/>
      <c r="DU6" s="232"/>
      <c r="DV6" s="232"/>
      <c r="DW6" s="232"/>
      <c r="DX6" s="232"/>
      <c r="DY6" s="232"/>
      <c r="DZ6" s="232"/>
      <c r="EA6" s="232"/>
      <c r="EB6" s="232"/>
      <c r="EC6" s="232"/>
      <c r="ED6" s="232"/>
      <c r="EE6" s="232"/>
      <c r="EF6" s="232"/>
      <c r="EG6" s="232"/>
      <c r="EH6" s="26"/>
      <c r="EI6" s="26"/>
      <c r="EJ6" s="26"/>
      <c r="EK6" s="50"/>
      <c r="EL6" s="25"/>
      <c r="EM6" s="232"/>
      <c r="EN6" s="232"/>
      <c r="EO6" s="232"/>
      <c r="EP6" s="232"/>
      <c r="EQ6" s="25"/>
      <c r="ES6" s="25"/>
      <c r="FB6" s="20"/>
      <c r="FC6" s="26"/>
      <c r="FD6" s="26"/>
      <c r="FE6" s="26"/>
      <c r="FF6" s="25"/>
      <c r="FG6" s="25"/>
      <c r="FH6" s="232"/>
      <c r="FI6" s="232"/>
      <c r="FJ6" s="232"/>
      <c r="FK6" s="232"/>
      <c r="FL6" s="232"/>
      <c r="FM6" s="232"/>
      <c r="FN6" s="25"/>
      <c r="FO6" s="232"/>
      <c r="FP6" s="232"/>
      <c r="FR6" s="281" t="s">
        <v>956</v>
      </c>
      <c r="FS6" s="281"/>
      <c r="FT6" s="293">
        <f>Main_ynNumberofYears</f>
        <v>0</v>
      </c>
      <c r="FU6" s="283"/>
      <c r="FV6" s="48" t="s">
        <v>572</v>
      </c>
      <c r="FW6" s="533"/>
      <c r="FX6" s="238" t="s">
        <v>180</v>
      </c>
      <c r="FY6" s="299">
        <f t="shared" ca="1" si="0"/>
        <v>0</v>
      </c>
    </row>
    <row r="7" spans="1:181" ht="12.75" customHeight="1" x14ac:dyDescent="0.2">
      <c r="A7" s="25"/>
      <c r="B7" s="25"/>
      <c r="C7" s="25"/>
      <c r="D7" s="232"/>
      <c r="E7" s="231"/>
      <c r="F7" s="232"/>
      <c r="G7" s="25"/>
      <c r="H7" s="25"/>
      <c r="I7" s="234"/>
      <c r="J7" s="25"/>
      <c r="K7" s="25"/>
      <c r="L7" s="25"/>
      <c r="M7" s="25"/>
      <c r="N7" s="25"/>
      <c r="O7" s="25"/>
      <c r="P7" s="25"/>
      <c r="Q7" s="25"/>
      <c r="R7" s="25"/>
      <c r="S7" s="50"/>
      <c r="T7" s="232"/>
      <c r="U7" s="232"/>
      <c r="V7" s="25"/>
      <c r="W7" s="232"/>
      <c r="X7" s="232"/>
      <c r="Y7" s="25"/>
      <c r="Z7" s="25"/>
      <c r="AA7" s="25"/>
      <c r="AB7" s="232"/>
      <c r="AC7" s="232"/>
      <c r="AD7" s="232"/>
      <c r="AE7" s="25"/>
      <c r="AF7" s="232"/>
      <c r="AG7" s="25"/>
      <c r="AH7" s="25"/>
      <c r="AI7" s="25"/>
      <c r="AJ7" s="25"/>
      <c r="AK7" s="25"/>
      <c r="AL7" s="25"/>
      <c r="AM7" s="25"/>
      <c r="AN7" s="25"/>
      <c r="AO7" s="25"/>
      <c r="AP7" s="25"/>
      <c r="AQ7" s="25"/>
      <c r="AR7" s="25"/>
      <c r="AS7" s="25"/>
      <c r="AT7" s="25"/>
      <c r="AU7" s="25"/>
      <c r="AV7" s="25"/>
      <c r="AW7" s="25"/>
      <c r="AX7" s="25"/>
      <c r="AY7" s="25"/>
      <c r="AZ7" s="25"/>
      <c r="BA7" s="25"/>
      <c r="BB7" s="25"/>
      <c r="BC7" s="25"/>
      <c r="BD7" s="21"/>
      <c r="BE7" s="25"/>
      <c r="BF7" s="50"/>
      <c r="BG7" s="50"/>
      <c r="BH7" s="25"/>
      <c r="BI7" s="50"/>
      <c r="BJ7" s="50"/>
      <c r="BK7" s="50"/>
      <c r="BL7" s="232"/>
      <c r="BM7" s="50"/>
      <c r="BN7" s="232"/>
      <c r="BO7" s="50"/>
      <c r="BP7" s="232"/>
      <c r="BQ7" s="232"/>
      <c r="BR7" s="232"/>
      <c r="BS7" s="232"/>
      <c r="BT7" s="232"/>
      <c r="BU7" s="232"/>
      <c r="BV7" s="232"/>
      <c r="BW7" s="232"/>
      <c r="BX7" s="232"/>
      <c r="BY7" s="232"/>
      <c r="BZ7" s="232"/>
      <c r="CA7" s="50"/>
      <c r="CB7" s="232"/>
      <c r="CC7" s="232"/>
      <c r="CE7" s="25"/>
      <c r="CF7" s="232"/>
      <c r="CG7" s="25"/>
      <c r="CH7" s="25"/>
      <c r="CI7" s="25"/>
      <c r="CJ7" s="25"/>
      <c r="CK7" s="25"/>
      <c r="CL7" s="232"/>
      <c r="CM7" s="25"/>
      <c r="CN7" s="232"/>
      <c r="CO7" s="25"/>
      <c r="CP7" s="232"/>
      <c r="CQ7" s="232"/>
      <c r="CR7" s="232"/>
      <c r="CS7" s="232"/>
      <c r="CT7" s="232"/>
      <c r="CU7" s="232"/>
      <c r="CV7" s="232"/>
      <c r="CW7" s="232"/>
      <c r="CX7" s="232"/>
      <c r="CY7" s="232"/>
      <c r="CZ7" s="232"/>
      <c r="DA7" s="25"/>
      <c r="DB7" s="232"/>
      <c r="DC7" s="232"/>
      <c r="DD7" s="232"/>
      <c r="DE7" s="25"/>
      <c r="DF7" s="232"/>
      <c r="DG7" s="25"/>
      <c r="DH7" s="232"/>
      <c r="DI7" s="232"/>
      <c r="DJ7" s="53"/>
      <c r="DK7" s="26"/>
      <c r="DL7" s="26"/>
      <c r="DM7" s="26"/>
      <c r="DN7" s="25"/>
      <c r="DO7" s="25"/>
      <c r="DP7" s="232"/>
      <c r="DQ7" s="25"/>
      <c r="DR7" s="232"/>
      <c r="DS7" s="232"/>
      <c r="DT7" s="25"/>
      <c r="DU7" s="232"/>
      <c r="DV7" s="232"/>
      <c r="DW7" s="232"/>
      <c r="DX7" s="232"/>
      <c r="DY7" s="232"/>
      <c r="DZ7" s="232"/>
      <c r="EA7" s="232"/>
      <c r="EB7" s="232"/>
      <c r="EC7" s="232"/>
      <c r="ED7" s="232"/>
      <c r="EE7" s="232"/>
      <c r="EF7" s="232"/>
      <c r="EG7" s="232"/>
      <c r="EH7" s="26"/>
      <c r="EI7" s="26"/>
      <c r="EJ7" s="26"/>
      <c r="EK7" s="50"/>
      <c r="EL7" s="25"/>
      <c r="EM7" s="232"/>
      <c r="EN7" s="232"/>
      <c r="EO7" s="232"/>
      <c r="EP7" s="232"/>
      <c r="EQ7" s="25"/>
      <c r="ES7" s="25"/>
      <c r="FB7" s="20"/>
      <c r="FC7" s="26"/>
      <c r="FD7" s="26"/>
      <c r="FE7" s="26"/>
      <c r="FF7" s="25"/>
      <c r="FG7" s="25"/>
      <c r="FH7" s="232"/>
      <c r="FI7" s="232"/>
      <c r="FJ7" s="232"/>
      <c r="FK7" s="232"/>
      <c r="FL7" s="232"/>
      <c r="FM7" s="232"/>
      <c r="FN7" s="25"/>
      <c r="FO7" s="232"/>
      <c r="FP7" s="232"/>
      <c r="FR7" s="281" t="s">
        <v>891</v>
      </c>
      <c r="FS7" s="281"/>
      <c r="FT7" s="291">
        <f>INDEX('Ref98'!O12:O132,$FT$5)</f>
        <v>1E-10</v>
      </c>
      <c r="FU7" s="283"/>
      <c r="FV7" s="47" t="s">
        <v>571</v>
      </c>
      <c r="FW7" s="533"/>
      <c r="FX7" s="238" t="s">
        <v>179</v>
      </c>
      <c r="FY7" s="299">
        <f t="shared" ca="1" si="0"/>
        <v>0</v>
      </c>
    </row>
    <row r="8" spans="1:181" ht="12.75" customHeight="1" x14ac:dyDescent="0.2">
      <c r="A8" s="25"/>
      <c r="B8" s="25"/>
      <c r="C8" s="25"/>
      <c r="D8" s="232"/>
      <c r="E8" s="231"/>
      <c r="F8" s="232"/>
      <c r="G8" s="25"/>
      <c r="H8" s="25"/>
      <c r="I8" s="234"/>
      <c r="J8" s="25"/>
      <c r="K8" s="25"/>
      <c r="L8" s="25"/>
      <c r="M8" s="25"/>
      <c r="N8" s="25"/>
      <c r="O8" s="25"/>
      <c r="P8" s="25"/>
      <c r="Q8" s="25"/>
      <c r="R8" s="25"/>
      <c r="S8" s="50"/>
      <c r="T8" s="232"/>
      <c r="U8" s="232"/>
      <c r="V8" s="25"/>
      <c r="W8" s="232"/>
      <c r="X8" s="232"/>
      <c r="Y8" s="25"/>
      <c r="Z8" s="25"/>
      <c r="AA8" s="25"/>
      <c r="AB8" s="232"/>
      <c r="AC8" s="232"/>
      <c r="AD8" s="232"/>
      <c r="AE8" s="25"/>
      <c r="AF8" s="232"/>
      <c r="AG8" s="25"/>
      <c r="AH8" s="25"/>
      <c r="AI8" s="25"/>
      <c r="AJ8" s="25"/>
      <c r="AK8" s="25"/>
      <c r="AL8" s="25"/>
      <c r="AM8" s="25"/>
      <c r="AN8" s="25"/>
      <c r="AO8" s="25"/>
      <c r="AP8" s="25"/>
      <c r="AQ8" s="25"/>
      <c r="AR8" s="25"/>
      <c r="AS8" s="25"/>
      <c r="AT8" s="25"/>
      <c r="AU8" s="25"/>
      <c r="AV8" s="25"/>
      <c r="AW8" s="25"/>
      <c r="AX8" s="25"/>
      <c r="AY8" s="25"/>
      <c r="AZ8" s="25"/>
      <c r="BA8" s="25"/>
      <c r="BB8" s="25"/>
      <c r="BC8" s="25"/>
      <c r="BD8" s="21"/>
      <c r="BE8" s="25"/>
      <c r="BF8" s="50"/>
      <c r="BG8" s="50"/>
      <c r="BH8" s="25"/>
      <c r="BI8" s="50"/>
      <c r="BJ8" s="50"/>
      <c r="BK8" s="50"/>
      <c r="BL8" s="232"/>
      <c r="BM8" s="50"/>
      <c r="BN8" s="232"/>
      <c r="BO8" s="50"/>
      <c r="BP8" s="232"/>
      <c r="BQ8" s="232"/>
      <c r="BR8" s="232"/>
      <c r="BS8" s="232"/>
      <c r="BT8" s="232"/>
      <c r="BU8" s="232"/>
      <c r="BV8" s="232"/>
      <c r="BW8" s="232"/>
      <c r="BX8" s="232"/>
      <c r="BY8" s="232"/>
      <c r="BZ8" s="232"/>
      <c r="CA8" s="50"/>
      <c r="CB8" s="232"/>
      <c r="CC8" s="232"/>
      <c r="CE8" s="25"/>
      <c r="CF8" s="232"/>
      <c r="CG8" s="25"/>
      <c r="CH8" s="25"/>
      <c r="CI8" s="25"/>
      <c r="CJ8" s="25"/>
      <c r="CK8" s="25"/>
      <c r="CL8" s="232"/>
      <c r="CM8" s="25"/>
      <c r="CN8" s="232"/>
      <c r="CO8" s="25"/>
      <c r="CP8" s="232"/>
      <c r="CQ8" s="232"/>
      <c r="CR8" s="232"/>
      <c r="CS8" s="232"/>
      <c r="CT8" s="232"/>
      <c r="CU8" s="232"/>
      <c r="CV8" s="232"/>
      <c r="CW8" s="232"/>
      <c r="CX8" s="232"/>
      <c r="CY8" s="232"/>
      <c r="CZ8" s="232"/>
      <c r="DA8" s="25"/>
      <c r="DB8" s="232"/>
      <c r="DC8" s="232"/>
      <c r="DD8" s="232"/>
      <c r="DE8" s="25"/>
      <c r="DF8" s="232"/>
      <c r="DG8" s="25"/>
      <c r="DH8" s="232"/>
      <c r="DI8" s="232"/>
      <c r="DJ8" s="53"/>
      <c r="DK8" s="26"/>
      <c r="DL8" s="26"/>
      <c r="DM8" s="26"/>
      <c r="DN8" s="25"/>
      <c r="DO8" s="25"/>
      <c r="DP8" s="232"/>
      <c r="DQ8" s="25"/>
      <c r="DR8" s="232"/>
      <c r="DS8" s="232"/>
      <c r="DT8" s="25"/>
      <c r="DU8" s="232"/>
      <c r="DV8" s="232"/>
      <c r="DW8" s="232"/>
      <c r="DX8" s="232"/>
      <c r="DY8" s="232"/>
      <c r="DZ8" s="232"/>
      <c r="EA8" s="232"/>
      <c r="EB8" s="232"/>
      <c r="EC8" s="232"/>
      <c r="ED8" s="232"/>
      <c r="EE8" s="232"/>
      <c r="EF8" s="232"/>
      <c r="EG8" s="232"/>
      <c r="EH8" s="26"/>
      <c r="EI8" s="26"/>
      <c r="EJ8" s="26"/>
      <c r="EK8" s="50"/>
      <c r="EL8" s="25"/>
      <c r="EM8" s="232"/>
      <c r="EN8" s="232"/>
      <c r="EO8" s="232"/>
      <c r="EP8" s="232"/>
      <c r="EQ8" s="25"/>
      <c r="ES8" s="25"/>
      <c r="FB8" s="20"/>
      <c r="FC8" s="26"/>
      <c r="FD8" s="26"/>
      <c r="FE8" s="26"/>
      <c r="FF8" s="25"/>
      <c r="FG8" s="25"/>
      <c r="FH8" s="232"/>
      <c r="FI8" s="232"/>
      <c r="FJ8" s="232"/>
      <c r="FK8" s="232"/>
      <c r="FL8" s="232"/>
      <c r="FM8" s="232"/>
      <c r="FN8" s="25"/>
      <c r="FO8" s="232"/>
      <c r="FP8" s="232"/>
      <c r="FR8" s="302" t="s">
        <v>892</v>
      </c>
      <c r="FS8" s="302"/>
      <c r="FT8" s="291">
        <f>FT7+$FT$15</f>
        <v>1000000000</v>
      </c>
      <c r="FU8" s="283"/>
      <c r="FV8" s="47" t="s">
        <v>570</v>
      </c>
      <c r="FW8" s="533"/>
      <c r="FX8" s="238" t="s">
        <v>178</v>
      </c>
      <c r="FY8" s="299">
        <f t="shared" ca="1" si="0"/>
        <v>0</v>
      </c>
    </row>
    <row r="9" spans="1:181" ht="12.75" customHeight="1" x14ac:dyDescent="0.2">
      <c r="A9" s="25"/>
      <c r="B9" s="25"/>
      <c r="C9" s="25"/>
      <c r="D9" s="232"/>
      <c r="E9" s="231"/>
      <c r="F9" s="232"/>
      <c r="G9" s="25"/>
      <c r="H9" s="25"/>
      <c r="I9" s="234"/>
      <c r="J9" s="25"/>
      <c r="K9" s="25"/>
      <c r="L9" s="25"/>
      <c r="M9" s="25"/>
      <c r="N9" s="25"/>
      <c r="O9" s="25"/>
      <c r="P9" s="25"/>
      <c r="Q9" s="25"/>
      <c r="R9" s="25"/>
      <c r="S9" s="50"/>
      <c r="T9" s="232"/>
      <c r="U9" s="232"/>
      <c r="V9" s="25"/>
      <c r="W9" s="232"/>
      <c r="X9" s="232"/>
      <c r="Y9" s="25"/>
      <c r="Z9" s="25"/>
      <c r="AA9" s="25"/>
      <c r="AB9" s="232"/>
      <c r="AC9" s="232"/>
      <c r="AD9" s="232"/>
      <c r="AE9" s="25"/>
      <c r="AF9" s="232"/>
      <c r="AG9" s="25"/>
      <c r="AH9" s="25"/>
      <c r="AI9" s="25"/>
      <c r="AJ9" s="25"/>
      <c r="AK9" s="25"/>
      <c r="AL9" s="25"/>
      <c r="AM9" s="25"/>
      <c r="AN9" s="25"/>
      <c r="AO9" s="25"/>
      <c r="AP9" s="25"/>
      <c r="AQ9" s="25"/>
      <c r="AR9" s="25"/>
      <c r="AS9" s="25"/>
      <c r="AT9" s="25"/>
      <c r="AU9" s="25"/>
      <c r="AV9" s="25"/>
      <c r="AW9" s="25"/>
      <c r="AX9" s="25"/>
      <c r="AY9" s="25"/>
      <c r="AZ9" s="25"/>
      <c r="BA9" s="25"/>
      <c r="BB9" s="25"/>
      <c r="BC9" s="25"/>
      <c r="BD9" s="21"/>
      <c r="BE9" s="25"/>
      <c r="BF9" s="50"/>
      <c r="BG9" s="50"/>
      <c r="BH9" s="25"/>
      <c r="BI9" s="50"/>
      <c r="BJ9" s="50"/>
      <c r="BK9" s="50"/>
      <c r="BL9" s="232"/>
      <c r="BM9" s="50"/>
      <c r="BN9" s="232"/>
      <c r="BO9" s="50"/>
      <c r="BP9" s="232"/>
      <c r="BQ9" s="232"/>
      <c r="BR9" s="232"/>
      <c r="BS9" s="232"/>
      <c r="BT9" s="232"/>
      <c r="BU9" s="232"/>
      <c r="BV9" s="232"/>
      <c r="BW9" s="232"/>
      <c r="BX9" s="232"/>
      <c r="BY9" s="232"/>
      <c r="BZ9" s="232"/>
      <c r="CA9" s="50"/>
      <c r="CB9" s="232"/>
      <c r="CC9" s="232"/>
      <c r="CE9" s="25"/>
      <c r="CF9" s="232"/>
      <c r="CG9" s="25"/>
      <c r="CH9" s="25"/>
      <c r="CI9" s="25"/>
      <c r="CJ9" s="25"/>
      <c r="CK9" s="25"/>
      <c r="CL9" s="232"/>
      <c r="CM9" s="25"/>
      <c r="CN9" s="232"/>
      <c r="CO9" s="25"/>
      <c r="CP9" s="232"/>
      <c r="CQ9" s="232"/>
      <c r="CR9" s="232"/>
      <c r="CS9" s="232"/>
      <c r="CT9" s="232"/>
      <c r="CU9" s="232"/>
      <c r="CV9" s="232"/>
      <c r="CW9" s="232"/>
      <c r="CX9" s="232"/>
      <c r="CY9" s="232"/>
      <c r="CZ9" s="232"/>
      <c r="DA9" s="25"/>
      <c r="DB9" s="232"/>
      <c r="DC9" s="232"/>
      <c r="DD9" s="232"/>
      <c r="DE9" s="25"/>
      <c r="DF9" s="232"/>
      <c r="DG9" s="25"/>
      <c r="DH9" s="232"/>
      <c r="DI9" s="232"/>
      <c r="DJ9" s="53"/>
      <c r="DK9" s="26"/>
      <c r="DL9" s="26"/>
      <c r="DM9" s="26"/>
      <c r="DN9" s="25"/>
      <c r="DO9" s="25"/>
      <c r="DP9" s="232"/>
      <c r="DQ9" s="25"/>
      <c r="DR9" s="232"/>
      <c r="DS9" s="232"/>
      <c r="DT9" s="25"/>
      <c r="DU9" s="232"/>
      <c r="DV9" s="232"/>
      <c r="DW9" s="232"/>
      <c r="DX9" s="232"/>
      <c r="DY9" s="232"/>
      <c r="DZ9" s="232"/>
      <c r="EA9" s="232"/>
      <c r="EB9" s="232"/>
      <c r="EC9" s="232"/>
      <c r="ED9" s="232"/>
      <c r="EE9" s="232"/>
      <c r="EF9" s="232"/>
      <c r="EG9" s="232"/>
      <c r="EH9" s="26"/>
      <c r="EI9" s="26"/>
      <c r="EJ9" s="26"/>
      <c r="EK9" s="50"/>
      <c r="EL9" s="25"/>
      <c r="EM9" s="232"/>
      <c r="EN9" s="232"/>
      <c r="EO9" s="232"/>
      <c r="EP9" s="232"/>
      <c r="EQ9" s="25"/>
      <c r="ES9" s="25"/>
      <c r="FB9" s="20"/>
      <c r="FC9" s="26"/>
      <c r="FD9" s="26"/>
      <c r="FE9" s="26"/>
      <c r="FF9" s="25"/>
      <c r="FG9" s="25"/>
      <c r="FH9" s="232"/>
      <c r="FI9" s="232"/>
      <c r="FJ9" s="232"/>
      <c r="FK9" s="232"/>
      <c r="FL9" s="232"/>
      <c r="FM9" s="232"/>
      <c r="FN9" s="25"/>
      <c r="FO9" s="232"/>
      <c r="FP9" s="232"/>
      <c r="FR9" s="281" t="s">
        <v>1215</v>
      </c>
      <c r="FS9" s="281" t="s">
        <v>938</v>
      </c>
      <c r="FT9" s="291">
        <f>IF((FT8/FT7)+0.5&lt;(5*1.2),5*1.2,(FT8/FT7)+0.5)</f>
        <v>1E+19</v>
      </c>
      <c r="FU9" s="283"/>
      <c r="FV9" s="47" t="s">
        <v>569</v>
      </c>
      <c r="FW9" s="533"/>
      <c r="FX9" s="238" t="s">
        <v>177</v>
      </c>
      <c r="FY9" s="299">
        <f t="shared" ca="1" si="0"/>
        <v>0</v>
      </c>
    </row>
    <row r="10" spans="1:181" ht="12.75" customHeight="1" x14ac:dyDescent="0.2">
      <c r="A10" s="25"/>
      <c r="B10" s="25"/>
      <c r="C10" s="25"/>
      <c r="D10" s="232"/>
      <c r="E10" s="231"/>
      <c r="F10" s="232"/>
      <c r="G10" s="25"/>
      <c r="H10" s="25"/>
      <c r="I10" s="234"/>
      <c r="J10" s="25"/>
      <c r="K10" s="25"/>
      <c r="L10" s="25"/>
      <c r="M10" s="25"/>
      <c r="N10" s="25"/>
      <c r="O10" s="25"/>
      <c r="P10" s="25"/>
      <c r="Q10" s="25"/>
      <c r="R10" s="25"/>
      <c r="S10" s="50"/>
      <c r="T10" s="232"/>
      <c r="U10" s="232"/>
      <c r="V10" s="25"/>
      <c r="W10" s="232"/>
      <c r="X10" s="232"/>
      <c r="Y10" s="25"/>
      <c r="Z10" s="25"/>
      <c r="AA10" s="25"/>
      <c r="AB10" s="232"/>
      <c r="AC10" s="232"/>
      <c r="AD10" s="232"/>
      <c r="AE10" s="25"/>
      <c r="AF10" s="232"/>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1"/>
      <c r="BE10" s="25"/>
      <c r="BF10" s="50"/>
      <c r="BG10" s="50"/>
      <c r="BH10" s="25"/>
      <c r="BI10" s="50"/>
      <c r="BJ10" s="50"/>
      <c r="BK10" s="50"/>
      <c r="BL10" s="232"/>
      <c r="BM10" s="50"/>
      <c r="BN10" s="232"/>
      <c r="BO10" s="50"/>
      <c r="BP10" s="232"/>
      <c r="BQ10" s="232"/>
      <c r="BR10" s="232"/>
      <c r="BS10" s="232"/>
      <c r="BT10" s="232"/>
      <c r="BU10" s="232"/>
      <c r="BV10" s="232"/>
      <c r="BW10" s="232"/>
      <c r="BX10" s="232"/>
      <c r="BY10" s="232"/>
      <c r="BZ10" s="232"/>
      <c r="CA10" s="50"/>
      <c r="CB10" s="232"/>
      <c r="CC10" s="232"/>
      <c r="CE10" s="25"/>
      <c r="CF10" s="232"/>
      <c r="CG10" s="25"/>
      <c r="CH10" s="25"/>
      <c r="CI10" s="25"/>
      <c r="CJ10" s="25"/>
      <c r="CK10" s="25"/>
      <c r="CL10" s="232"/>
      <c r="CM10" s="25"/>
      <c r="CN10" s="232"/>
      <c r="CO10" s="25"/>
      <c r="CP10" s="232"/>
      <c r="CQ10" s="232"/>
      <c r="CR10" s="232"/>
      <c r="CS10" s="232"/>
      <c r="CT10" s="232"/>
      <c r="CU10" s="232"/>
      <c r="CV10" s="232"/>
      <c r="CW10" s="232"/>
      <c r="CX10" s="232"/>
      <c r="CY10" s="232"/>
      <c r="CZ10" s="232"/>
      <c r="DA10" s="25"/>
      <c r="DB10" s="232"/>
      <c r="DC10" s="232"/>
      <c r="DD10" s="232"/>
      <c r="DE10" s="25"/>
      <c r="DF10" s="232"/>
      <c r="DG10" s="25"/>
      <c r="DH10" s="232"/>
      <c r="DI10" s="232"/>
      <c r="DJ10" s="53"/>
      <c r="DK10" s="26"/>
      <c r="DL10" s="26"/>
      <c r="DM10" s="26"/>
      <c r="DN10" s="25"/>
      <c r="DO10" s="25"/>
      <c r="DP10" s="232"/>
      <c r="DQ10" s="25"/>
      <c r="DR10" s="232"/>
      <c r="DS10" s="232"/>
      <c r="DT10" s="25"/>
      <c r="DU10" s="232"/>
      <c r="DV10" s="232"/>
      <c r="DW10" s="232"/>
      <c r="DX10" s="232"/>
      <c r="DY10" s="232"/>
      <c r="DZ10" s="232"/>
      <c r="EA10" s="232"/>
      <c r="EB10" s="232"/>
      <c r="EC10" s="232"/>
      <c r="ED10" s="232"/>
      <c r="EE10" s="232"/>
      <c r="EF10" s="232"/>
      <c r="EG10" s="232"/>
      <c r="EH10" s="26"/>
      <c r="EI10" s="26"/>
      <c r="EJ10" s="26"/>
      <c r="EK10" s="50"/>
      <c r="EL10" s="25"/>
      <c r="EM10" s="232"/>
      <c r="EN10" s="232"/>
      <c r="EO10" s="232"/>
      <c r="EP10" s="232"/>
      <c r="EQ10" s="25"/>
      <c r="ES10" s="25"/>
      <c r="FB10" s="20"/>
      <c r="FC10" s="26"/>
      <c r="FD10" s="26"/>
      <c r="FE10" s="26"/>
      <c r="FF10" s="25"/>
      <c r="FG10" s="25"/>
      <c r="FH10" s="232"/>
      <c r="FI10" s="232"/>
      <c r="FJ10" s="232"/>
      <c r="FK10" s="232"/>
      <c r="FL10" s="232"/>
      <c r="FM10" s="232"/>
      <c r="FN10" s="25"/>
      <c r="FO10" s="232"/>
      <c r="FP10" s="232"/>
      <c r="FR10" s="281" t="s">
        <v>1149</v>
      </c>
      <c r="FS10" s="281" t="s">
        <v>1147</v>
      </c>
      <c r="FT10" s="303" t="e">
        <f ca="1">SUM(yn_TotalSchemeCostALLElements)</f>
        <v>#REF!</v>
      </c>
      <c r="FU10" s="283"/>
      <c r="FV10" s="47" t="s">
        <v>568</v>
      </c>
      <c r="FW10" s="533"/>
      <c r="FX10" s="238" t="s">
        <v>176</v>
      </c>
      <c r="FY10" s="299">
        <f t="shared" ca="1" si="0"/>
        <v>0</v>
      </c>
    </row>
    <row r="11" spans="1:181" ht="12.75" customHeight="1" x14ac:dyDescent="0.2">
      <c r="A11" s="25"/>
      <c r="B11" s="25"/>
      <c r="C11" s="25"/>
      <c r="D11" s="232"/>
      <c r="E11" s="231"/>
      <c r="F11" s="232"/>
      <c r="G11" s="25"/>
      <c r="H11" s="25"/>
      <c r="I11" s="234"/>
      <c r="J11" s="25"/>
      <c r="K11" s="25"/>
      <c r="L11" s="25"/>
      <c r="M11" s="25"/>
      <c r="N11" s="25"/>
      <c r="O11" s="25"/>
      <c r="P11" s="25"/>
      <c r="Q11" s="25"/>
      <c r="R11" s="25"/>
      <c r="S11" s="50"/>
      <c r="T11" s="232"/>
      <c r="U11" s="232"/>
      <c r="V11" s="25"/>
      <c r="W11" s="232"/>
      <c r="X11" s="232"/>
      <c r="Y11" s="25"/>
      <c r="Z11" s="25"/>
      <c r="AA11" s="25"/>
      <c r="AB11" s="232"/>
      <c r="AC11" s="232"/>
      <c r="AD11" s="232"/>
      <c r="AE11" s="25"/>
      <c r="AF11" s="232"/>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1"/>
      <c r="BE11" s="25"/>
      <c r="BF11" s="50"/>
      <c r="BG11" s="50"/>
      <c r="BH11" s="25"/>
      <c r="BI11" s="50"/>
      <c r="BJ11" s="50"/>
      <c r="BK11" s="50"/>
      <c r="BL11" s="232"/>
      <c r="BM11" s="50"/>
      <c r="BN11" s="232"/>
      <c r="BO11" s="50"/>
      <c r="BP11" s="232"/>
      <c r="BQ11" s="232"/>
      <c r="BR11" s="232"/>
      <c r="BS11" s="232"/>
      <c r="BT11" s="232"/>
      <c r="BU11" s="232"/>
      <c r="BV11" s="232"/>
      <c r="BW11" s="232"/>
      <c r="BX11" s="232"/>
      <c r="BY11" s="232"/>
      <c r="BZ11" s="232"/>
      <c r="CA11" s="50"/>
      <c r="CB11" s="232"/>
      <c r="CC11" s="232"/>
      <c r="CE11" s="25"/>
      <c r="CF11" s="232"/>
      <c r="CG11" s="25"/>
      <c r="CH11" s="25"/>
      <c r="CI11" s="25"/>
      <c r="CJ11" s="25"/>
      <c r="CK11" s="25"/>
      <c r="CL11" s="232"/>
      <c r="CM11" s="25"/>
      <c r="CN11" s="232"/>
      <c r="CO11" s="25"/>
      <c r="CP11" s="232"/>
      <c r="CQ11" s="232"/>
      <c r="CR11" s="232"/>
      <c r="CS11" s="232"/>
      <c r="CT11" s="232"/>
      <c r="CU11" s="232"/>
      <c r="CV11" s="232"/>
      <c r="CW11" s="232"/>
      <c r="CX11" s="232"/>
      <c r="CY11" s="232"/>
      <c r="CZ11" s="232"/>
      <c r="DA11" s="25"/>
      <c r="DB11" s="232"/>
      <c r="DC11" s="232"/>
      <c r="DD11" s="232"/>
      <c r="DE11" s="25"/>
      <c r="DF11" s="232"/>
      <c r="DG11" s="25"/>
      <c r="DH11" s="232"/>
      <c r="DI11" s="232"/>
      <c r="DJ11" s="53"/>
      <c r="DK11" s="26"/>
      <c r="DL11" s="26"/>
      <c r="DM11" s="26"/>
      <c r="DN11" s="25"/>
      <c r="DO11" s="25"/>
      <c r="DP11" s="232"/>
      <c r="DQ11" s="25"/>
      <c r="DR11" s="232"/>
      <c r="DS11" s="232"/>
      <c r="DT11" s="25"/>
      <c r="DU11" s="232"/>
      <c r="DV11" s="232"/>
      <c r="DW11" s="232"/>
      <c r="DX11" s="232"/>
      <c r="DY11" s="232"/>
      <c r="DZ11" s="232"/>
      <c r="EA11" s="232"/>
      <c r="EB11" s="232"/>
      <c r="EC11" s="232"/>
      <c r="ED11" s="232"/>
      <c r="EE11" s="232"/>
      <c r="EF11" s="232"/>
      <c r="EG11" s="232"/>
      <c r="EH11" s="26"/>
      <c r="EI11" s="26"/>
      <c r="EJ11" s="26"/>
      <c r="EK11" s="50"/>
      <c r="EL11" s="25"/>
      <c r="EM11" s="232"/>
      <c r="EN11" s="232"/>
      <c r="EO11" s="232"/>
      <c r="EP11" s="232"/>
      <c r="EQ11" s="25"/>
      <c r="ES11" s="25"/>
      <c r="FB11" s="20"/>
      <c r="FC11" s="26"/>
      <c r="FD11" s="26"/>
      <c r="FE11" s="26"/>
      <c r="FF11" s="25"/>
      <c r="FG11" s="25"/>
      <c r="FH11" s="232"/>
      <c r="FI11" s="232"/>
      <c r="FJ11" s="232"/>
      <c r="FK11" s="232"/>
      <c r="FL11" s="232"/>
      <c r="FM11" s="232"/>
      <c r="FN11" s="25"/>
      <c r="FO11" s="232"/>
      <c r="FP11" s="232"/>
      <c r="FR11" s="281" t="s">
        <v>186</v>
      </c>
      <c r="FS11" s="281"/>
      <c r="FT11" s="303" t="e">
        <f ca="1">SUM(yn_PrioritisedWorksCost)</f>
        <v>#REF!</v>
      </c>
      <c r="FU11" s="283"/>
      <c r="FV11" s="49" t="s">
        <v>681</v>
      </c>
      <c r="FW11" s="533"/>
      <c r="FX11" s="238" t="s">
        <v>25</v>
      </c>
      <c r="FY11" s="299">
        <f t="shared" ca="1" si="0"/>
        <v>0</v>
      </c>
    </row>
    <row r="12" spans="1:181" ht="12.75" customHeight="1" x14ac:dyDescent="0.2">
      <c r="A12" s="25"/>
      <c r="B12" s="25"/>
      <c r="C12" s="25"/>
      <c r="D12" s="232"/>
      <c r="E12" s="231"/>
      <c r="F12" s="232"/>
      <c r="G12" s="25"/>
      <c r="H12" s="25"/>
      <c r="I12" s="234"/>
      <c r="J12" s="25"/>
      <c r="K12" s="25"/>
      <c r="L12" s="25"/>
      <c r="M12" s="25"/>
      <c r="N12" s="25"/>
      <c r="O12" s="25"/>
      <c r="P12" s="25"/>
      <c r="Q12" s="25"/>
      <c r="R12" s="25"/>
      <c r="S12" s="50"/>
      <c r="T12" s="232"/>
      <c r="U12" s="232"/>
      <c r="V12" s="25"/>
      <c r="W12" s="232"/>
      <c r="X12" s="232"/>
      <c r="Y12" s="25"/>
      <c r="Z12" s="25"/>
      <c r="AA12" s="25"/>
      <c r="AB12" s="232"/>
      <c r="AC12" s="232"/>
      <c r="AD12" s="232"/>
      <c r="AE12" s="25"/>
      <c r="AF12" s="232"/>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1"/>
      <c r="BE12" s="25"/>
      <c r="BF12" s="50"/>
      <c r="BG12" s="50"/>
      <c r="BH12" s="25"/>
      <c r="BI12" s="50"/>
      <c r="BJ12" s="50"/>
      <c r="BK12" s="50"/>
      <c r="BL12" s="232"/>
      <c r="BM12" s="50"/>
      <c r="BN12" s="232"/>
      <c r="BO12" s="50"/>
      <c r="BP12" s="232"/>
      <c r="BQ12" s="232"/>
      <c r="BR12" s="232"/>
      <c r="BS12" s="232"/>
      <c r="BT12" s="232"/>
      <c r="BU12" s="232"/>
      <c r="BV12" s="232"/>
      <c r="BW12" s="232"/>
      <c r="BX12" s="232"/>
      <c r="BY12" s="232"/>
      <c r="BZ12" s="232"/>
      <c r="CA12" s="50"/>
      <c r="CB12" s="232"/>
      <c r="CC12" s="232"/>
      <c r="CE12" s="25"/>
      <c r="CF12" s="232"/>
      <c r="CG12" s="25"/>
      <c r="CH12" s="25"/>
      <c r="CI12" s="25"/>
      <c r="CJ12" s="25"/>
      <c r="CK12" s="25"/>
      <c r="CL12" s="232"/>
      <c r="CM12" s="25"/>
      <c r="CN12" s="232"/>
      <c r="CO12" s="25"/>
      <c r="CP12" s="232"/>
      <c r="CQ12" s="232"/>
      <c r="CR12" s="232"/>
      <c r="CS12" s="232"/>
      <c r="CT12" s="232"/>
      <c r="CU12" s="232"/>
      <c r="CV12" s="232"/>
      <c r="CW12" s="232"/>
      <c r="CX12" s="232"/>
      <c r="CY12" s="232"/>
      <c r="CZ12" s="232"/>
      <c r="DA12" s="25"/>
      <c r="DB12" s="232"/>
      <c r="DC12" s="232"/>
      <c r="DD12" s="232"/>
      <c r="DE12" s="25"/>
      <c r="DF12" s="232"/>
      <c r="DG12" s="25"/>
      <c r="DH12" s="232"/>
      <c r="DI12" s="232"/>
      <c r="DJ12" s="53"/>
      <c r="DK12" s="26"/>
      <c r="DL12" s="26"/>
      <c r="DM12" s="26"/>
      <c r="DN12" s="25"/>
      <c r="DO12" s="25"/>
      <c r="DP12" s="232"/>
      <c r="DQ12" s="25"/>
      <c r="DR12" s="232"/>
      <c r="DS12" s="232"/>
      <c r="DT12" s="25"/>
      <c r="DU12" s="232"/>
      <c r="DV12" s="232"/>
      <c r="DW12" s="232"/>
      <c r="DX12" s="232"/>
      <c r="DY12" s="232"/>
      <c r="DZ12" s="232"/>
      <c r="EA12" s="232"/>
      <c r="EB12" s="232"/>
      <c r="EC12" s="232"/>
      <c r="ED12" s="232"/>
      <c r="EE12" s="232"/>
      <c r="EF12" s="232"/>
      <c r="EG12" s="232"/>
      <c r="EH12" s="26"/>
      <c r="EI12" s="26"/>
      <c r="EJ12" s="26"/>
      <c r="EK12" s="50"/>
      <c r="EL12" s="25"/>
      <c r="EM12" s="232"/>
      <c r="EN12" s="232"/>
      <c r="EO12" s="232"/>
      <c r="EP12" s="232"/>
      <c r="EQ12" s="25"/>
      <c r="ES12" s="25"/>
      <c r="FB12" s="20"/>
      <c r="FC12" s="26"/>
      <c r="FD12" s="26"/>
      <c r="FE12" s="26"/>
      <c r="FF12" s="25"/>
      <c r="FG12" s="25"/>
      <c r="FH12" s="232"/>
      <c r="FI12" s="232"/>
      <c r="FJ12" s="232"/>
      <c r="FK12" s="232"/>
      <c r="FL12" s="232"/>
      <c r="FM12" s="232"/>
      <c r="FN12" s="25"/>
      <c r="FO12" s="232"/>
      <c r="FP12" s="232"/>
      <c r="FR12" s="281" t="s">
        <v>1194</v>
      </c>
      <c r="FS12" s="281"/>
      <c r="FT12" s="303" t="e">
        <f ca="1">FT11*INDEX('Ref98'!$L$12:$Q$132,yn_YearofAnalysis,6)</f>
        <v>#REF!</v>
      </c>
      <c r="FU12" s="283"/>
      <c r="FW12" s="533"/>
      <c r="FX12" s="238" t="s">
        <v>706</v>
      </c>
      <c r="FY12" s="299">
        <f ca="1">IFERROR((SUM(yn_SCIavDimensionforSSCIxAVF))/(SUM(Str_DimensionforSSCIxAVF)),0)</f>
        <v>0</v>
      </c>
    </row>
    <row r="13" spans="1:181" ht="12.75" customHeight="1" x14ac:dyDescent="0.2">
      <c r="A13" s="25"/>
      <c r="B13" s="25"/>
      <c r="C13" s="25"/>
      <c r="D13" s="232"/>
      <c r="E13" s="231"/>
      <c r="F13" s="232"/>
      <c r="G13" s="25"/>
      <c r="H13" s="25"/>
      <c r="I13" s="234"/>
      <c r="J13" s="25"/>
      <c r="K13" s="25"/>
      <c r="L13" s="25"/>
      <c r="M13" s="25"/>
      <c r="N13" s="25"/>
      <c r="O13" s="25"/>
      <c r="P13" s="25"/>
      <c r="Q13" s="25"/>
      <c r="R13" s="25"/>
      <c r="S13" s="50"/>
      <c r="T13" s="232"/>
      <c r="U13" s="232"/>
      <c r="V13" s="25"/>
      <c r="W13" s="232"/>
      <c r="X13" s="232"/>
      <c r="Y13" s="25"/>
      <c r="Z13" s="25"/>
      <c r="AA13" s="25"/>
      <c r="AB13" s="232"/>
      <c r="AC13" s="232"/>
      <c r="AD13" s="232"/>
      <c r="AE13" s="25"/>
      <c r="AF13" s="232"/>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1"/>
      <c r="BE13" s="25"/>
      <c r="BF13" s="50"/>
      <c r="BG13" s="50"/>
      <c r="BH13" s="25"/>
      <c r="BI13" s="50"/>
      <c r="BJ13" s="50"/>
      <c r="BK13" s="50"/>
      <c r="BL13" s="232"/>
      <c r="BM13" s="50"/>
      <c r="BN13" s="232"/>
      <c r="BO13" s="50"/>
      <c r="BP13" s="232"/>
      <c r="BQ13" s="232"/>
      <c r="BR13" s="232"/>
      <c r="BS13" s="232"/>
      <c r="BT13" s="232"/>
      <c r="BU13" s="232"/>
      <c r="BV13" s="232"/>
      <c r="BW13" s="232"/>
      <c r="BX13" s="232"/>
      <c r="BY13" s="232"/>
      <c r="BZ13" s="232"/>
      <c r="CA13" s="50"/>
      <c r="CB13" s="232"/>
      <c r="CC13" s="232"/>
      <c r="CE13" s="25"/>
      <c r="CF13" s="232"/>
      <c r="CG13" s="25"/>
      <c r="CH13" s="25"/>
      <c r="CI13" s="25"/>
      <c r="CJ13" s="25"/>
      <c r="CK13" s="25"/>
      <c r="CL13" s="232"/>
      <c r="CM13" s="25"/>
      <c r="CN13" s="232"/>
      <c r="CO13" s="25"/>
      <c r="CP13" s="232"/>
      <c r="CQ13" s="232"/>
      <c r="CR13" s="232"/>
      <c r="CS13" s="232"/>
      <c r="CT13" s="232"/>
      <c r="CU13" s="232"/>
      <c r="CV13" s="232"/>
      <c r="CW13" s="232"/>
      <c r="CX13" s="232"/>
      <c r="CY13" s="232"/>
      <c r="CZ13" s="232"/>
      <c r="DA13" s="25"/>
      <c r="DB13" s="232"/>
      <c r="DC13" s="232"/>
      <c r="DD13" s="232"/>
      <c r="DE13" s="25"/>
      <c r="DF13" s="232"/>
      <c r="DG13" s="25"/>
      <c r="DH13" s="232"/>
      <c r="DI13" s="232"/>
      <c r="DJ13" s="53"/>
      <c r="DK13" s="26"/>
      <c r="DL13" s="26"/>
      <c r="DM13" s="26"/>
      <c r="DN13" s="25"/>
      <c r="DO13" s="25"/>
      <c r="DP13" s="232"/>
      <c r="DQ13" s="25"/>
      <c r="DR13" s="232"/>
      <c r="DS13" s="232"/>
      <c r="DT13" s="25"/>
      <c r="DU13" s="232"/>
      <c r="DV13" s="232"/>
      <c r="DW13" s="232"/>
      <c r="DX13" s="232"/>
      <c r="DY13" s="232"/>
      <c r="DZ13" s="232"/>
      <c r="EA13" s="232"/>
      <c r="EB13" s="232"/>
      <c r="EC13" s="232"/>
      <c r="ED13" s="232"/>
      <c r="EE13" s="232"/>
      <c r="EF13" s="232"/>
      <c r="EG13" s="232"/>
      <c r="EH13" s="26"/>
      <c r="EI13" s="26"/>
      <c r="EJ13" s="26"/>
      <c r="EK13" s="50"/>
      <c r="EL13" s="25"/>
      <c r="EM13" s="232"/>
      <c r="EN13" s="232"/>
      <c r="EO13" s="232"/>
      <c r="EP13" s="232"/>
      <c r="EQ13" s="25"/>
      <c r="ES13" s="25"/>
      <c r="FB13" s="20"/>
      <c r="FC13" s="26"/>
      <c r="FD13" s="26"/>
      <c r="FE13" s="26"/>
      <c r="FF13" s="25"/>
      <c r="FG13" s="25"/>
      <c r="FH13" s="232"/>
      <c r="FI13" s="232"/>
      <c r="FJ13" s="232"/>
      <c r="FK13" s="232"/>
      <c r="FL13" s="232"/>
      <c r="FM13" s="232"/>
      <c r="FN13" s="25"/>
      <c r="FO13" s="232"/>
      <c r="FP13" s="232"/>
      <c r="FR13" s="281" t="s">
        <v>986</v>
      </c>
      <c r="FS13" s="281" t="s">
        <v>1006</v>
      </c>
      <c r="FT13" s="291">
        <f ca="1">IF(PLROWCOUNT=5,0,SUMIF(Pln_YearofWork,$FT$5,Pln_PlannedWorksCost))</f>
        <v>0</v>
      </c>
      <c r="FU13" s="283"/>
      <c r="FW13" s="533" t="s">
        <v>182</v>
      </c>
      <c r="FX13" s="238" t="s">
        <v>181</v>
      </c>
      <c r="FY13" s="299">
        <f t="shared" ref="FY13:FY19" ca="1" si="1">IFERROR(SUMIF(Str_AVFStructureType,$FV5,yn_SCIcritDimensionforSSCI)/SUMIF(Str_AVFStructureType,$FV5,Str_DimensionforSSCI),0)</f>
        <v>0</v>
      </c>
    </row>
    <row r="14" spans="1:181" ht="12.75" customHeight="1" x14ac:dyDescent="0.2">
      <c r="A14" s="25"/>
      <c r="B14" s="25"/>
      <c r="C14" s="25"/>
      <c r="D14" s="232"/>
      <c r="E14" s="231"/>
      <c r="F14" s="232"/>
      <c r="G14" s="25"/>
      <c r="H14" s="25"/>
      <c r="I14" s="234"/>
      <c r="J14" s="25"/>
      <c r="K14" s="25"/>
      <c r="L14" s="25"/>
      <c r="M14" s="25"/>
      <c r="N14" s="25"/>
      <c r="O14" s="25"/>
      <c r="P14" s="25"/>
      <c r="Q14" s="25"/>
      <c r="R14" s="25"/>
      <c r="S14" s="50"/>
      <c r="T14" s="232"/>
      <c r="U14" s="232"/>
      <c r="V14" s="25"/>
      <c r="W14" s="232"/>
      <c r="X14" s="232"/>
      <c r="Y14" s="25"/>
      <c r="Z14" s="25"/>
      <c r="AA14" s="25"/>
      <c r="AB14" s="232"/>
      <c r="AC14" s="232"/>
      <c r="AD14" s="232"/>
      <c r="AE14" s="25"/>
      <c r="AF14" s="232"/>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1"/>
      <c r="BE14" s="25"/>
      <c r="BF14" s="50"/>
      <c r="BG14" s="50"/>
      <c r="BH14" s="25"/>
      <c r="BI14" s="50"/>
      <c r="BJ14" s="50"/>
      <c r="BK14" s="50"/>
      <c r="BL14" s="232"/>
      <c r="BM14" s="50"/>
      <c r="BN14" s="232"/>
      <c r="BO14" s="50"/>
      <c r="BP14" s="232"/>
      <c r="BQ14" s="232"/>
      <c r="BR14" s="232"/>
      <c r="BS14" s="232"/>
      <c r="BT14" s="232"/>
      <c r="BU14" s="232"/>
      <c r="BV14" s="232"/>
      <c r="BW14" s="232"/>
      <c r="BX14" s="232"/>
      <c r="BY14" s="232"/>
      <c r="BZ14" s="232"/>
      <c r="CA14" s="50"/>
      <c r="CB14" s="232"/>
      <c r="CC14" s="232"/>
      <c r="CE14" s="25"/>
      <c r="CF14" s="232"/>
      <c r="CG14" s="25"/>
      <c r="CH14" s="25"/>
      <c r="CI14" s="25"/>
      <c r="CJ14" s="25"/>
      <c r="CK14" s="25"/>
      <c r="CL14" s="232"/>
      <c r="CM14" s="25"/>
      <c r="CN14" s="232"/>
      <c r="CO14" s="25"/>
      <c r="CP14" s="232"/>
      <c r="CQ14" s="232"/>
      <c r="CR14" s="232"/>
      <c r="CS14" s="232"/>
      <c r="CT14" s="232"/>
      <c r="CU14" s="232"/>
      <c r="CV14" s="232"/>
      <c r="CW14" s="232"/>
      <c r="CX14" s="232"/>
      <c r="CY14" s="232"/>
      <c r="CZ14" s="232"/>
      <c r="DA14" s="25"/>
      <c r="DB14" s="232"/>
      <c r="DC14" s="232"/>
      <c r="DD14" s="232"/>
      <c r="DE14" s="25"/>
      <c r="DF14" s="232"/>
      <c r="DG14" s="25"/>
      <c r="DH14" s="232"/>
      <c r="DI14" s="232"/>
      <c r="DJ14" s="53"/>
      <c r="DK14" s="26"/>
      <c r="DL14" s="26"/>
      <c r="DM14" s="26"/>
      <c r="DN14" s="25"/>
      <c r="DO14" s="25"/>
      <c r="DP14" s="232"/>
      <c r="DQ14" s="25"/>
      <c r="DR14" s="232"/>
      <c r="DS14" s="232"/>
      <c r="DT14" s="25"/>
      <c r="DU14" s="232"/>
      <c r="DV14" s="232"/>
      <c r="DW14" s="232"/>
      <c r="DX14" s="232"/>
      <c r="DY14" s="232"/>
      <c r="DZ14" s="232"/>
      <c r="EA14" s="232"/>
      <c r="EB14" s="232"/>
      <c r="EC14" s="232"/>
      <c r="ED14" s="232"/>
      <c r="EE14" s="232"/>
      <c r="EF14" s="232"/>
      <c r="EG14" s="232"/>
      <c r="EH14" s="26"/>
      <c r="EI14" s="26"/>
      <c r="EJ14" s="26"/>
      <c r="EK14" s="50"/>
      <c r="EL14" s="25"/>
      <c r="EM14" s="232"/>
      <c r="EN14" s="232"/>
      <c r="EO14" s="232"/>
      <c r="EP14" s="232"/>
      <c r="EQ14" s="25"/>
      <c r="ES14" s="25"/>
      <c r="FB14" s="20"/>
      <c r="FC14" s="26"/>
      <c r="FD14" s="26"/>
      <c r="FE14" s="26"/>
      <c r="FF14" s="25"/>
      <c r="FG14" s="25"/>
      <c r="FH14" s="232"/>
      <c r="FI14" s="232"/>
      <c r="FJ14" s="232"/>
      <c r="FK14" s="232"/>
      <c r="FL14" s="232"/>
      <c r="FM14" s="232"/>
      <c r="FN14" s="25"/>
      <c r="FO14" s="232"/>
      <c r="FP14" s="232"/>
      <c r="FR14" s="281" t="s">
        <v>932</v>
      </c>
      <c r="FS14" s="281" t="s">
        <v>1006</v>
      </c>
      <c r="FT14" s="291">
        <f>IFERROR(INDEX(Routine!$A$5:$G$124,FT5,7),0)</f>
        <v>0</v>
      </c>
      <c r="FU14" s="283"/>
      <c r="FW14" s="533"/>
      <c r="FX14" s="238" t="s">
        <v>180</v>
      </c>
      <c r="FY14" s="299">
        <f t="shared" ca="1" si="1"/>
        <v>0</v>
      </c>
    </row>
    <row r="15" spans="1:181" ht="12.75" customHeight="1" x14ac:dyDescent="0.2">
      <c r="A15" s="25"/>
      <c r="B15" s="25"/>
      <c r="C15" s="25"/>
      <c r="D15" s="232"/>
      <c r="E15" s="231"/>
      <c r="F15" s="232"/>
      <c r="G15" s="25"/>
      <c r="H15" s="25"/>
      <c r="I15" s="234"/>
      <c r="J15" s="25"/>
      <c r="K15" s="25"/>
      <c r="L15" s="25"/>
      <c r="M15" s="25"/>
      <c r="N15" s="25"/>
      <c r="O15" s="25"/>
      <c r="P15" s="25"/>
      <c r="Q15" s="25"/>
      <c r="R15" s="25"/>
      <c r="S15" s="50"/>
      <c r="T15" s="232"/>
      <c r="U15" s="232"/>
      <c r="V15" s="25"/>
      <c r="W15" s="232"/>
      <c r="X15" s="232"/>
      <c r="Y15" s="25"/>
      <c r="Z15" s="25"/>
      <c r="AA15" s="25"/>
      <c r="AB15" s="232"/>
      <c r="AC15" s="232"/>
      <c r="AD15" s="232"/>
      <c r="AE15" s="25"/>
      <c r="AF15" s="232"/>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1"/>
      <c r="BE15" s="25"/>
      <c r="BF15" s="50"/>
      <c r="BG15" s="50"/>
      <c r="BH15" s="25"/>
      <c r="BI15" s="50"/>
      <c r="BJ15" s="50"/>
      <c r="BK15" s="50"/>
      <c r="BL15" s="232"/>
      <c r="BM15" s="50"/>
      <c r="BN15" s="232"/>
      <c r="BO15" s="50"/>
      <c r="BP15" s="232"/>
      <c r="BQ15" s="232"/>
      <c r="BR15" s="232"/>
      <c r="BS15" s="232"/>
      <c r="BT15" s="232"/>
      <c r="BU15" s="232"/>
      <c r="BV15" s="232"/>
      <c r="BW15" s="232"/>
      <c r="BX15" s="232"/>
      <c r="BY15" s="232"/>
      <c r="BZ15" s="232"/>
      <c r="CA15" s="50"/>
      <c r="CB15" s="232"/>
      <c r="CC15" s="232"/>
      <c r="CE15" s="25"/>
      <c r="CF15" s="232"/>
      <c r="CG15" s="25"/>
      <c r="CH15" s="25"/>
      <c r="CI15" s="25"/>
      <c r="CJ15" s="25"/>
      <c r="CK15" s="25"/>
      <c r="CL15" s="232"/>
      <c r="CM15" s="25"/>
      <c r="CN15" s="232"/>
      <c r="CO15" s="25"/>
      <c r="CP15" s="232"/>
      <c r="CQ15" s="232"/>
      <c r="CR15" s="232"/>
      <c r="CS15" s="232"/>
      <c r="CT15" s="232"/>
      <c r="CU15" s="232"/>
      <c r="CV15" s="232"/>
      <c r="CW15" s="232"/>
      <c r="CX15" s="232"/>
      <c r="CY15" s="232"/>
      <c r="CZ15" s="232"/>
      <c r="DA15" s="25"/>
      <c r="DB15" s="232"/>
      <c r="DC15" s="232"/>
      <c r="DD15" s="232"/>
      <c r="DE15" s="25"/>
      <c r="DF15" s="232"/>
      <c r="DG15" s="25"/>
      <c r="DH15" s="232"/>
      <c r="DI15" s="232"/>
      <c r="DJ15" s="53"/>
      <c r="DK15" s="26"/>
      <c r="DL15" s="26"/>
      <c r="DM15" s="26"/>
      <c r="DN15" s="25"/>
      <c r="DO15" s="25"/>
      <c r="DP15" s="232"/>
      <c r="DQ15" s="25"/>
      <c r="DR15" s="232"/>
      <c r="DS15" s="232"/>
      <c r="DT15" s="25"/>
      <c r="DU15" s="232"/>
      <c r="DV15" s="232"/>
      <c r="DW15" s="232"/>
      <c r="DX15" s="232"/>
      <c r="DY15" s="232"/>
      <c r="DZ15" s="232"/>
      <c r="EA15" s="232"/>
      <c r="EB15" s="232"/>
      <c r="EC15" s="232"/>
      <c r="ED15" s="232"/>
      <c r="EE15" s="232"/>
      <c r="EF15" s="232"/>
      <c r="EG15" s="232"/>
      <c r="EH15" s="26"/>
      <c r="EI15" s="26"/>
      <c r="EJ15" s="26"/>
      <c r="EK15" s="50"/>
      <c r="EL15" s="25"/>
      <c r="EM15" s="232"/>
      <c r="EN15" s="232"/>
      <c r="EO15" s="232"/>
      <c r="EP15" s="232"/>
      <c r="EQ15" s="25"/>
      <c r="ES15" s="25"/>
      <c r="FB15" s="20"/>
      <c r="FC15" s="26"/>
      <c r="FD15" s="26"/>
      <c r="FE15" s="26"/>
      <c r="FF15" s="25"/>
      <c r="FG15" s="25"/>
      <c r="FH15" s="232"/>
      <c r="FI15" s="232"/>
      <c r="FJ15" s="232"/>
      <c r="FK15" s="232"/>
      <c r="FL15" s="232"/>
      <c r="FM15" s="232"/>
      <c r="FN15" s="25"/>
      <c r="FO15" s="232"/>
      <c r="FP15" s="232"/>
      <c r="FR15" s="281" t="s">
        <v>715</v>
      </c>
      <c r="FS15" s="281"/>
      <c r="FT15" s="291">
        <v>1000000000</v>
      </c>
      <c r="FU15" s="283"/>
      <c r="FW15" s="533"/>
      <c r="FX15" s="238" t="s">
        <v>179</v>
      </c>
      <c r="FY15" s="299">
        <f t="shared" ca="1" si="1"/>
        <v>0</v>
      </c>
    </row>
    <row r="16" spans="1:181" ht="12.75" customHeight="1" x14ac:dyDescent="0.2">
      <c r="A16" s="25"/>
      <c r="B16" s="25"/>
      <c r="C16" s="25"/>
      <c r="D16" s="232"/>
      <c r="E16" s="231"/>
      <c r="F16" s="232"/>
      <c r="G16" s="25"/>
      <c r="H16" s="25"/>
      <c r="I16" s="234"/>
      <c r="J16" s="25"/>
      <c r="K16" s="25"/>
      <c r="L16" s="25"/>
      <c r="M16" s="25"/>
      <c r="N16" s="25"/>
      <c r="O16" s="25"/>
      <c r="P16" s="25"/>
      <c r="Q16" s="25"/>
      <c r="R16" s="25"/>
      <c r="S16" s="50"/>
      <c r="T16" s="232"/>
      <c r="U16" s="232"/>
      <c r="V16" s="25"/>
      <c r="W16" s="232"/>
      <c r="X16" s="232"/>
      <c r="Y16" s="25"/>
      <c r="Z16" s="25"/>
      <c r="AA16" s="25"/>
      <c r="AB16" s="232"/>
      <c r="AC16" s="232"/>
      <c r="AD16" s="232"/>
      <c r="AE16" s="25"/>
      <c r="AF16" s="232"/>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1"/>
      <c r="BE16" s="25"/>
      <c r="BF16" s="50"/>
      <c r="BG16" s="50"/>
      <c r="BH16" s="25"/>
      <c r="BI16" s="50"/>
      <c r="BJ16" s="50"/>
      <c r="BK16" s="50"/>
      <c r="BL16" s="232"/>
      <c r="BM16" s="50"/>
      <c r="BN16" s="232"/>
      <c r="BO16" s="50"/>
      <c r="BP16" s="232"/>
      <c r="BQ16" s="232"/>
      <c r="BR16" s="232"/>
      <c r="BS16" s="232"/>
      <c r="BT16" s="232"/>
      <c r="BU16" s="232"/>
      <c r="BV16" s="232"/>
      <c r="BW16" s="232"/>
      <c r="BX16" s="232"/>
      <c r="BY16" s="232"/>
      <c r="BZ16" s="232"/>
      <c r="CA16" s="50"/>
      <c r="CB16" s="232"/>
      <c r="CC16" s="232"/>
      <c r="CE16" s="25"/>
      <c r="CF16" s="232"/>
      <c r="CG16" s="25"/>
      <c r="CH16" s="25"/>
      <c r="CI16" s="25"/>
      <c r="CJ16" s="25"/>
      <c r="CK16" s="25"/>
      <c r="CL16" s="232"/>
      <c r="CM16" s="25"/>
      <c r="CN16" s="232"/>
      <c r="CO16" s="25"/>
      <c r="CP16" s="232"/>
      <c r="CQ16" s="232"/>
      <c r="CR16" s="232"/>
      <c r="CS16" s="232"/>
      <c r="CT16" s="232"/>
      <c r="CU16" s="232"/>
      <c r="CV16" s="232"/>
      <c r="CW16" s="232"/>
      <c r="CX16" s="232"/>
      <c r="CY16" s="232"/>
      <c r="CZ16" s="232"/>
      <c r="DA16" s="25"/>
      <c r="DB16" s="232"/>
      <c r="DC16" s="232"/>
      <c r="DD16" s="232"/>
      <c r="DE16" s="25"/>
      <c r="DF16" s="232"/>
      <c r="DG16" s="25"/>
      <c r="DH16" s="232"/>
      <c r="DI16" s="232"/>
      <c r="DJ16" s="53"/>
      <c r="DK16" s="26"/>
      <c r="DL16" s="26"/>
      <c r="DM16" s="26"/>
      <c r="DN16" s="25"/>
      <c r="DO16" s="25"/>
      <c r="DP16" s="232"/>
      <c r="DQ16" s="25"/>
      <c r="DR16" s="232"/>
      <c r="DS16" s="232"/>
      <c r="DT16" s="25"/>
      <c r="DU16" s="232"/>
      <c r="DV16" s="232"/>
      <c r="DW16" s="232"/>
      <c r="DX16" s="232"/>
      <c r="DY16" s="232"/>
      <c r="DZ16" s="232"/>
      <c r="EA16" s="232"/>
      <c r="EB16" s="232"/>
      <c r="EC16" s="232"/>
      <c r="ED16" s="232"/>
      <c r="EE16" s="232"/>
      <c r="EF16" s="232"/>
      <c r="EG16" s="232"/>
      <c r="EH16" s="26"/>
      <c r="EI16" s="26"/>
      <c r="EJ16" s="26"/>
      <c r="EK16" s="50"/>
      <c r="EL16" s="25"/>
      <c r="EM16" s="232"/>
      <c r="EN16" s="232"/>
      <c r="EO16" s="232"/>
      <c r="EP16" s="232"/>
      <c r="EQ16" s="25"/>
      <c r="ES16" s="25"/>
      <c r="FB16" s="20"/>
      <c r="FC16" s="26"/>
      <c r="FD16" s="26"/>
      <c r="FE16" s="26"/>
      <c r="FF16" s="25"/>
      <c r="FG16" s="25"/>
      <c r="FH16" s="232"/>
      <c r="FI16" s="232"/>
      <c r="FJ16" s="232"/>
      <c r="FK16" s="232"/>
      <c r="FL16" s="232"/>
      <c r="FM16" s="232"/>
      <c r="FN16" s="25"/>
      <c r="FO16" s="232"/>
      <c r="FP16" s="232"/>
      <c r="FR16" s="281" t="s">
        <v>1059</v>
      </c>
      <c r="FS16" s="281"/>
      <c r="FT16" s="291" t="e">
        <f ca="1">FT8-(FT11+FT13+FT14)</f>
        <v>#REF!</v>
      </c>
      <c r="FU16" s="283"/>
      <c r="FW16" s="533"/>
      <c r="FX16" s="238" t="s">
        <v>178</v>
      </c>
      <c r="FY16" s="299">
        <f t="shared" ca="1" si="1"/>
        <v>0</v>
      </c>
    </row>
    <row r="17" spans="1:181" ht="12.75" customHeight="1" x14ac:dyDescent="0.2">
      <c r="A17" s="25"/>
      <c r="B17" s="25"/>
      <c r="C17" s="25"/>
      <c r="D17" s="232"/>
      <c r="E17" s="231"/>
      <c r="F17" s="232"/>
      <c r="G17" s="25"/>
      <c r="H17" s="25"/>
      <c r="I17" s="234"/>
      <c r="J17" s="25"/>
      <c r="K17" s="25"/>
      <c r="L17" s="25"/>
      <c r="M17" s="25"/>
      <c r="N17" s="25"/>
      <c r="O17" s="25"/>
      <c r="P17" s="25"/>
      <c r="Q17" s="25"/>
      <c r="R17" s="25"/>
      <c r="S17" s="50"/>
      <c r="T17" s="232"/>
      <c r="U17" s="232"/>
      <c r="V17" s="25"/>
      <c r="W17" s="232"/>
      <c r="X17" s="232"/>
      <c r="Y17" s="25"/>
      <c r="Z17" s="25"/>
      <c r="AA17" s="25"/>
      <c r="AB17" s="232"/>
      <c r="AC17" s="232"/>
      <c r="AD17" s="232"/>
      <c r="AE17" s="25"/>
      <c r="AF17" s="232"/>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1"/>
      <c r="BE17" s="25"/>
      <c r="BF17" s="50"/>
      <c r="BG17" s="50"/>
      <c r="BH17" s="25"/>
      <c r="BI17" s="50"/>
      <c r="BJ17" s="50"/>
      <c r="BK17" s="50"/>
      <c r="BL17" s="232"/>
      <c r="BM17" s="50"/>
      <c r="BN17" s="232"/>
      <c r="BO17" s="50"/>
      <c r="BP17" s="232"/>
      <c r="BQ17" s="232"/>
      <c r="BR17" s="232"/>
      <c r="BS17" s="232"/>
      <c r="BT17" s="232"/>
      <c r="BU17" s="232"/>
      <c r="BV17" s="232"/>
      <c r="BW17" s="232"/>
      <c r="BX17" s="232"/>
      <c r="BY17" s="232"/>
      <c r="BZ17" s="232"/>
      <c r="CA17" s="50"/>
      <c r="CB17" s="232"/>
      <c r="CC17" s="232"/>
      <c r="CE17" s="25"/>
      <c r="CF17" s="232"/>
      <c r="CG17" s="25"/>
      <c r="CH17" s="25"/>
      <c r="CI17" s="25"/>
      <c r="CJ17" s="25"/>
      <c r="CK17" s="25"/>
      <c r="CL17" s="232"/>
      <c r="CM17" s="25"/>
      <c r="CN17" s="232"/>
      <c r="CO17" s="25"/>
      <c r="CP17" s="232"/>
      <c r="CQ17" s="232"/>
      <c r="CR17" s="232"/>
      <c r="CS17" s="232"/>
      <c r="CT17" s="232"/>
      <c r="CU17" s="232"/>
      <c r="CV17" s="232"/>
      <c r="CW17" s="232"/>
      <c r="CX17" s="232"/>
      <c r="CY17" s="232"/>
      <c r="CZ17" s="232"/>
      <c r="DA17" s="25"/>
      <c r="DB17" s="232"/>
      <c r="DC17" s="232"/>
      <c r="DD17" s="232"/>
      <c r="DE17" s="25"/>
      <c r="DF17" s="232"/>
      <c r="DG17" s="25"/>
      <c r="DH17" s="232"/>
      <c r="DI17" s="232"/>
      <c r="DJ17" s="53"/>
      <c r="DK17" s="26"/>
      <c r="DL17" s="26"/>
      <c r="DM17" s="26"/>
      <c r="DN17" s="25"/>
      <c r="DO17" s="25"/>
      <c r="DP17" s="232"/>
      <c r="DQ17" s="25"/>
      <c r="DR17" s="232"/>
      <c r="DS17" s="232"/>
      <c r="DT17" s="25"/>
      <c r="DU17" s="232"/>
      <c r="DV17" s="232"/>
      <c r="DW17" s="232"/>
      <c r="DX17" s="232"/>
      <c r="DY17" s="232"/>
      <c r="DZ17" s="232"/>
      <c r="EA17" s="232"/>
      <c r="EB17" s="232"/>
      <c r="EC17" s="232"/>
      <c r="ED17" s="232"/>
      <c r="EE17" s="232"/>
      <c r="EF17" s="232"/>
      <c r="EG17" s="232"/>
      <c r="EH17" s="26"/>
      <c r="EI17" s="26"/>
      <c r="EJ17" s="26"/>
      <c r="EK17" s="50"/>
      <c r="EL17" s="25"/>
      <c r="EM17" s="232"/>
      <c r="EN17" s="232"/>
      <c r="EO17" s="232"/>
      <c r="EP17" s="232"/>
      <c r="EQ17" s="25"/>
      <c r="ES17" s="25"/>
      <c r="FB17" s="20"/>
      <c r="FC17" s="26"/>
      <c r="FD17" s="26"/>
      <c r="FE17" s="26"/>
      <c r="FF17" s="25"/>
      <c r="FG17" s="25"/>
      <c r="FH17" s="232"/>
      <c r="FI17" s="232"/>
      <c r="FJ17" s="232"/>
      <c r="FK17" s="232"/>
      <c r="FL17" s="232"/>
      <c r="FM17" s="232"/>
      <c r="FN17" s="25"/>
      <c r="FO17" s="232"/>
      <c r="FP17" s="232"/>
      <c r="FR17" s="281" t="s">
        <v>709</v>
      </c>
      <c r="FS17" s="281" t="s">
        <v>711</v>
      </c>
      <c r="FT17" s="291" t="e">
        <f ca="1">SUMIF(yn_FiniteorIndefinite,"Finite",yn_MaintenanceWorkCosts)+SUMIF(yn_FiniteorIndefinite,"Finite",yn_ReplacementCosts)</f>
        <v>#REF!</v>
      </c>
      <c r="FU17" s="283"/>
      <c r="FW17" s="533"/>
      <c r="FX17" s="238" t="s">
        <v>177</v>
      </c>
      <c r="FY17" s="299">
        <f t="shared" ca="1" si="1"/>
        <v>0</v>
      </c>
    </row>
    <row r="18" spans="1:181" ht="12.75" customHeight="1" x14ac:dyDescent="0.2">
      <c r="A18" s="25"/>
      <c r="B18" s="25"/>
      <c r="C18" s="25"/>
      <c r="D18" s="232"/>
      <c r="E18" s="231"/>
      <c r="F18" s="232"/>
      <c r="G18" s="25"/>
      <c r="H18" s="25"/>
      <c r="I18" s="234"/>
      <c r="J18" s="25"/>
      <c r="K18" s="25"/>
      <c r="L18" s="25"/>
      <c r="M18" s="25"/>
      <c r="N18" s="25"/>
      <c r="O18" s="25"/>
      <c r="P18" s="25"/>
      <c r="Q18" s="25"/>
      <c r="R18" s="25"/>
      <c r="S18" s="50"/>
      <c r="T18" s="232"/>
      <c r="U18" s="232"/>
      <c r="V18" s="25"/>
      <c r="W18" s="232"/>
      <c r="X18" s="232"/>
      <c r="Y18" s="25"/>
      <c r="Z18" s="25"/>
      <c r="AA18" s="25"/>
      <c r="AB18" s="232"/>
      <c r="AC18" s="232"/>
      <c r="AD18" s="232"/>
      <c r="AE18" s="25"/>
      <c r="AF18" s="232"/>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1"/>
      <c r="BE18" s="25"/>
      <c r="BF18" s="50"/>
      <c r="BG18" s="50"/>
      <c r="BH18" s="25"/>
      <c r="BI18" s="50"/>
      <c r="BJ18" s="50"/>
      <c r="BK18" s="50"/>
      <c r="BL18" s="232"/>
      <c r="BM18" s="50"/>
      <c r="BN18" s="232"/>
      <c r="BO18" s="50"/>
      <c r="BP18" s="232"/>
      <c r="BQ18" s="232"/>
      <c r="BR18" s="232"/>
      <c r="BS18" s="232"/>
      <c r="BT18" s="232"/>
      <c r="BU18" s="232"/>
      <c r="BV18" s="232"/>
      <c r="BW18" s="232"/>
      <c r="BX18" s="232"/>
      <c r="BY18" s="232"/>
      <c r="BZ18" s="232"/>
      <c r="CA18" s="50"/>
      <c r="CB18" s="232"/>
      <c r="CC18" s="232"/>
      <c r="CE18" s="25"/>
      <c r="CF18" s="232"/>
      <c r="CG18" s="25"/>
      <c r="CH18" s="25"/>
      <c r="CI18" s="25"/>
      <c r="CJ18" s="25"/>
      <c r="CK18" s="25"/>
      <c r="CL18" s="232"/>
      <c r="CM18" s="25"/>
      <c r="CN18" s="232"/>
      <c r="CO18" s="25"/>
      <c r="CP18" s="232"/>
      <c r="CQ18" s="232"/>
      <c r="CR18" s="232"/>
      <c r="CS18" s="232"/>
      <c r="CT18" s="232"/>
      <c r="CU18" s="232"/>
      <c r="CV18" s="232"/>
      <c r="CW18" s="232"/>
      <c r="CX18" s="232"/>
      <c r="CY18" s="232"/>
      <c r="CZ18" s="232"/>
      <c r="DA18" s="25"/>
      <c r="DB18" s="232"/>
      <c r="DC18" s="232"/>
      <c r="DD18" s="232"/>
      <c r="DE18" s="25"/>
      <c r="DF18" s="232"/>
      <c r="DG18" s="25"/>
      <c r="DH18" s="232"/>
      <c r="DI18" s="232"/>
      <c r="DJ18" s="53"/>
      <c r="DK18" s="26"/>
      <c r="DL18" s="26"/>
      <c r="DM18" s="26"/>
      <c r="DN18" s="25"/>
      <c r="DO18" s="25"/>
      <c r="DP18" s="232"/>
      <c r="DQ18" s="25"/>
      <c r="DR18" s="232"/>
      <c r="DS18" s="232"/>
      <c r="DT18" s="25"/>
      <c r="DU18" s="232"/>
      <c r="DV18" s="232"/>
      <c r="DW18" s="232"/>
      <c r="DX18" s="232"/>
      <c r="DY18" s="232"/>
      <c r="DZ18" s="232"/>
      <c r="EA18" s="232"/>
      <c r="EB18" s="232"/>
      <c r="EC18" s="232"/>
      <c r="ED18" s="232"/>
      <c r="EE18" s="232"/>
      <c r="EF18" s="232"/>
      <c r="EG18" s="232"/>
      <c r="EH18" s="26"/>
      <c r="EI18" s="26"/>
      <c r="EJ18" s="26"/>
      <c r="EK18" s="50"/>
      <c r="EL18" s="25"/>
      <c r="EM18" s="232"/>
      <c r="EN18" s="232"/>
      <c r="EO18" s="232"/>
      <c r="EP18" s="232"/>
      <c r="EQ18" s="25"/>
      <c r="ES18" s="25"/>
      <c r="FB18" s="20"/>
      <c r="FC18" s="26"/>
      <c r="FD18" s="26"/>
      <c r="FE18" s="26"/>
      <c r="FF18" s="25"/>
      <c r="FG18" s="25"/>
      <c r="FH18" s="232"/>
      <c r="FI18" s="232"/>
      <c r="FJ18" s="232"/>
      <c r="FK18" s="232"/>
      <c r="FL18" s="232"/>
      <c r="FM18" s="232"/>
      <c r="FN18" s="25"/>
      <c r="FO18" s="232"/>
      <c r="FP18" s="232"/>
      <c r="FR18" s="281" t="s">
        <v>931</v>
      </c>
      <c r="FS18" s="281" t="s">
        <v>711</v>
      </c>
      <c r="FT18" s="291" t="e">
        <f ca="1">SUMIF(yn_FiniteorIndefinite,"Finite",yn_ResultantWorksCost)-$FT$17</f>
        <v>#REF!</v>
      </c>
      <c r="FU18" s="283"/>
      <c r="FW18" s="533"/>
      <c r="FX18" s="238" t="s">
        <v>176</v>
      </c>
      <c r="FY18" s="299">
        <f t="shared" ca="1" si="1"/>
        <v>0</v>
      </c>
    </row>
    <row r="19" spans="1:181" ht="12.75" customHeight="1" x14ac:dyDescent="0.2">
      <c r="A19" s="25"/>
      <c r="B19" s="25"/>
      <c r="C19" s="25"/>
      <c r="D19" s="232"/>
      <c r="E19" s="231"/>
      <c r="F19" s="232"/>
      <c r="G19" s="25"/>
      <c r="H19" s="25"/>
      <c r="I19" s="234"/>
      <c r="J19" s="25"/>
      <c r="K19" s="25"/>
      <c r="L19" s="25"/>
      <c r="M19" s="25"/>
      <c r="N19" s="25"/>
      <c r="O19" s="25"/>
      <c r="P19" s="25"/>
      <c r="Q19" s="25"/>
      <c r="R19" s="25"/>
      <c r="S19" s="50"/>
      <c r="T19" s="232"/>
      <c r="U19" s="232"/>
      <c r="V19" s="25"/>
      <c r="W19" s="232"/>
      <c r="X19" s="232"/>
      <c r="Y19" s="25"/>
      <c r="Z19" s="25"/>
      <c r="AA19" s="25"/>
      <c r="AB19" s="232"/>
      <c r="AC19" s="232"/>
      <c r="AD19" s="232"/>
      <c r="AE19" s="25"/>
      <c r="AF19" s="232"/>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1"/>
      <c r="BE19" s="25"/>
      <c r="BF19" s="50"/>
      <c r="BG19" s="50"/>
      <c r="BH19" s="25"/>
      <c r="BI19" s="50"/>
      <c r="BJ19" s="50"/>
      <c r="BK19" s="50"/>
      <c r="BL19" s="232"/>
      <c r="BM19" s="50"/>
      <c r="BN19" s="232"/>
      <c r="BO19" s="50"/>
      <c r="BP19" s="232"/>
      <c r="BQ19" s="232"/>
      <c r="BR19" s="232"/>
      <c r="BS19" s="232"/>
      <c r="BT19" s="232"/>
      <c r="BU19" s="232"/>
      <c r="BV19" s="232"/>
      <c r="BW19" s="232"/>
      <c r="BX19" s="232"/>
      <c r="BY19" s="232"/>
      <c r="BZ19" s="232"/>
      <c r="CA19" s="50"/>
      <c r="CB19" s="232"/>
      <c r="CC19" s="232"/>
      <c r="CE19" s="25"/>
      <c r="CF19" s="232"/>
      <c r="CG19" s="25"/>
      <c r="CH19" s="25"/>
      <c r="CI19" s="25"/>
      <c r="CJ19" s="25"/>
      <c r="CK19" s="25"/>
      <c r="CL19" s="232"/>
      <c r="CM19" s="25"/>
      <c r="CN19" s="232"/>
      <c r="CO19" s="25"/>
      <c r="CP19" s="232"/>
      <c r="CQ19" s="232"/>
      <c r="CR19" s="232"/>
      <c r="CS19" s="232"/>
      <c r="CT19" s="232"/>
      <c r="CU19" s="232"/>
      <c r="CV19" s="232"/>
      <c r="CW19" s="232"/>
      <c r="CX19" s="232"/>
      <c r="CY19" s="232"/>
      <c r="CZ19" s="232"/>
      <c r="DA19" s="25"/>
      <c r="DB19" s="232"/>
      <c r="DC19" s="232"/>
      <c r="DD19" s="232"/>
      <c r="DE19" s="25"/>
      <c r="DF19" s="232"/>
      <c r="DG19" s="25"/>
      <c r="DH19" s="232"/>
      <c r="DI19" s="232"/>
      <c r="DJ19" s="53"/>
      <c r="DK19" s="26"/>
      <c r="DL19" s="26"/>
      <c r="DM19" s="26"/>
      <c r="DN19" s="25"/>
      <c r="DO19" s="25"/>
      <c r="DP19" s="232"/>
      <c r="DQ19" s="25"/>
      <c r="DR19" s="232"/>
      <c r="DS19" s="232"/>
      <c r="DT19" s="25"/>
      <c r="DU19" s="232"/>
      <c r="DV19" s="232"/>
      <c r="DW19" s="232"/>
      <c r="DX19" s="232"/>
      <c r="DY19" s="232"/>
      <c r="DZ19" s="232"/>
      <c r="EA19" s="232"/>
      <c r="EB19" s="232"/>
      <c r="EC19" s="232"/>
      <c r="ED19" s="232"/>
      <c r="EE19" s="232"/>
      <c r="EF19" s="232"/>
      <c r="EG19" s="232"/>
      <c r="EH19" s="26"/>
      <c r="EI19" s="26"/>
      <c r="EJ19" s="26"/>
      <c r="EK19" s="50"/>
      <c r="EL19" s="25"/>
      <c r="EM19" s="232"/>
      <c r="EN19" s="232"/>
      <c r="EO19" s="232"/>
      <c r="EP19" s="232"/>
      <c r="EQ19" s="25"/>
      <c r="ES19" s="25"/>
      <c r="FB19" s="20"/>
      <c r="FC19" s="26"/>
      <c r="FD19" s="26"/>
      <c r="FE19" s="26"/>
      <c r="FF19" s="25"/>
      <c r="FG19" s="25"/>
      <c r="FH19" s="232"/>
      <c r="FI19" s="232"/>
      <c r="FJ19" s="232"/>
      <c r="FK19" s="232"/>
      <c r="FL19" s="232"/>
      <c r="FM19" s="232"/>
      <c r="FN19" s="25"/>
      <c r="FO19" s="232"/>
      <c r="FP19" s="232"/>
      <c r="FR19" s="281" t="s">
        <v>709</v>
      </c>
      <c r="FS19" s="281" t="s">
        <v>708</v>
      </c>
      <c r="FT19" s="291" t="e">
        <f ca="1">SUMIF(yn_FiniteorIndefinite,"Indefinite",yn_MaintenanceWorkCosts)+SUMIF(yn_FiniteorIndefinite,"Indefinite",yn_ReplacementCosts)</f>
        <v>#REF!</v>
      </c>
      <c r="FU19" s="283"/>
      <c r="FW19" s="533"/>
      <c r="FX19" s="238" t="s">
        <v>25</v>
      </c>
      <c r="FY19" s="299">
        <f t="shared" ca="1" si="1"/>
        <v>0</v>
      </c>
    </row>
    <row r="20" spans="1:181" ht="12.75" customHeight="1" x14ac:dyDescent="0.2">
      <c r="A20" s="25"/>
      <c r="B20" s="25"/>
      <c r="C20" s="25"/>
      <c r="D20" s="232"/>
      <c r="E20" s="231"/>
      <c r="F20" s="232"/>
      <c r="G20" s="25"/>
      <c r="H20" s="25"/>
      <c r="I20" s="234"/>
      <c r="J20" s="25"/>
      <c r="K20" s="25"/>
      <c r="L20" s="25"/>
      <c r="M20" s="25"/>
      <c r="N20" s="25"/>
      <c r="O20" s="25"/>
      <c r="P20" s="25"/>
      <c r="Q20" s="25"/>
      <c r="R20" s="25"/>
      <c r="S20" s="50"/>
      <c r="T20" s="232"/>
      <c r="U20" s="232"/>
      <c r="V20" s="25"/>
      <c r="W20" s="232"/>
      <c r="X20" s="232"/>
      <c r="Y20" s="25"/>
      <c r="Z20" s="25"/>
      <c r="AA20" s="25"/>
      <c r="AB20" s="232"/>
      <c r="AC20" s="232"/>
      <c r="AD20" s="232"/>
      <c r="AE20" s="25"/>
      <c r="AF20" s="232"/>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1"/>
      <c r="BE20" s="25"/>
      <c r="BF20" s="50"/>
      <c r="BG20" s="50"/>
      <c r="BH20" s="25"/>
      <c r="BI20" s="50"/>
      <c r="BJ20" s="50"/>
      <c r="BK20" s="50"/>
      <c r="BL20" s="232"/>
      <c r="BM20" s="50"/>
      <c r="BN20" s="232"/>
      <c r="BO20" s="50"/>
      <c r="BP20" s="232"/>
      <c r="BQ20" s="232"/>
      <c r="BR20" s="232"/>
      <c r="BS20" s="232"/>
      <c r="BT20" s="232"/>
      <c r="BU20" s="232"/>
      <c r="BV20" s="232"/>
      <c r="BW20" s="232"/>
      <c r="BX20" s="232"/>
      <c r="BY20" s="232"/>
      <c r="BZ20" s="232"/>
      <c r="CA20" s="50"/>
      <c r="CB20" s="232"/>
      <c r="CC20" s="232"/>
      <c r="CE20" s="25"/>
      <c r="CF20" s="232"/>
      <c r="CG20" s="25"/>
      <c r="CH20" s="25"/>
      <c r="CI20" s="25"/>
      <c r="CJ20" s="25"/>
      <c r="CK20" s="25"/>
      <c r="CL20" s="232"/>
      <c r="CM20" s="25"/>
      <c r="CN20" s="232"/>
      <c r="CO20" s="25"/>
      <c r="CP20" s="232"/>
      <c r="CQ20" s="232"/>
      <c r="CR20" s="232"/>
      <c r="CS20" s="232"/>
      <c r="CT20" s="232"/>
      <c r="CU20" s="232"/>
      <c r="CV20" s="232"/>
      <c r="CW20" s="232"/>
      <c r="CX20" s="232"/>
      <c r="CY20" s="232"/>
      <c r="CZ20" s="232"/>
      <c r="DA20" s="25"/>
      <c r="DB20" s="232"/>
      <c r="DC20" s="232"/>
      <c r="DD20" s="232"/>
      <c r="DE20" s="25"/>
      <c r="DF20" s="232"/>
      <c r="DG20" s="25"/>
      <c r="DH20" s="232"/>
      <c r="DI20" s="232"/>
      <c r="DJ20" s="53"/>
      <c r="DK20" s="26"/>
      <c r="DL20" s="26"/>
      <c r="DM20" s="26"/>
      <c r="DN20" s="25"/>
      <c r="DO20" s="25"/>
      <c r="DP20" s="232"/>
      <c r="DQ20" s="25"/>
      <c r="DR20" s="232"/>
      <c r="DS20" s="232"/>
      <c r="DT20" s="25"/>
      <c r="DU20" s="232"/>
      <c r="DV20" s="232"/>
      <c r="DW20" s="232"/>
      <c r="DX20" s="232"/>
      <c r="DY20" s="232"/>
      <c r="DZ20" s="232"/>
      <c r="EA20" s="232"/>
      <c r="EB20" s="232"/>
      <c r="EC20" s="232"/>
      <c r="ED20" s="232"/>
      <c r="EE20" s="232"/>
      <c r="EF20" s="232"/>
      <c r="EG20" s="232"/>
      <c r="EH20" s="26"/>
      <c r="EI20" s="26"/>
      <c r="EJ20" s="26"/>
      <c r="EK20" s="50"/>
      <c r="EL20" s="25"/>
      <c r="EM20" s="232"/>
      <c r="EN20" s="232"/>
      <c r="EO20" s="232"/>
      <c r="EP20" s="232"/>
      <c r="EQ20" s="25"/>
      <c r="ES20" s="25"/>
      <c r="FB20" s="20"/>
      <c r="FC20" s="26"/>
      <c r="FD20" s="26"/>
      <c r="FE20" s="26"/>
      <c r="FF20" s="25"/>
      <c r="FG20" s="25"/>
      <c r="FH20" s="232"/>
      <c r="FI20" s="232"/>
      <c r="FJ20" s="232"/>
      <c r="FK20" s="232"/>
      <c r="FL20" s="232"/>
      <c r="FM20" s="232"/>
      <c r="FN20" s="25"/>
      <c r="FO20" s="232"/>
      <c r="FP20" s="232"/>
      <c r="FR20" s="281" t="s">
        <v>931</v>
      </c>
      <c r="FS20" s="281" t="s">
        <v>708</v>
      </c>
      <c r="FT20" s="291" t="e">
        <f ca="1">SUMIF(yn_FiniteorIndefinite,"Indefinite",yn_ResultantWorksCost)-FT$19</f>
        <v>#REF!</v>
      </c>
      <c r="FU20" s="283"/>
      <c r="FW20" s="533"/>
      <c r="FX20" s="238" t="s">
        <v>706</v>
      </c>
      <c r="FY20" s="299">
        <f ca="1">IFERROR((SUM(yn_SCIcritDimensionforSSCIxAVF))/(SUM(Str_DimensionforSSCIxAVF)),0)</f>
        <v>0</v>
      </c>
    </row>
    <row r="21" spans="1:181" ht="12.75" customHeight="1" x14ac:dyDescent="0.2">
      <c r="A21" s="25"/>
      <c r="B21" s="25"/>
      <c r="C21" s="25"/>
      <c r="D21" s="232"/>
      <c r="E21" s="231"/>
      <c r="F21" s="232"/>
      <c r="G21" s="25"/>
      <c r="H21" s="25"/>
      <c r="I21" s="234"/>
      <c r="J21" s="25"/>
      <c r="K21" s="25"/>
      <c r="L21" s="25"/>
      <c r="M21" s="25"/>
      <c r="N21" s="25"/>
      <c r="O21" s="25"/>
      <c r="P21" s="25"/>
      <c r="Q21" s="25"/>
      <c r="R21" s="25"/>
      <c r="S21" s="50"/>
      <c r="T21" s="232"/>
      <c r="U21" s="232"/>
      <c r="V21" s="25"/>
      <c r="W21" s="232"/>
      <c r="X21" s="232"/>
      <c r="Y21" s="25"/>
      <c r="Z21" s="25"/>
      <c r="AA21" s="25"/>
      <c r="AB21" s="232"/>
      <c r="AC21" s="232"/>
      <c r="AD21" s="232"/>
      <c r="AE21" s="25"/>
      <c r="AF21" s="232"/>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1"/>
      <c r="BE21" s="25"/>
      <c r="BF21" s="50"/>
      <c r="BG21" s="50"/>
      <c r="BH21" s="25"/>
      <c r="BI21" s="50"/>
      <c r="BJ21" s="50"/>
      <c r="BK21" s="50"/>
      <c r="BL21" s="232"/>
      <c r="BM21" s="50"/>
      <c r="BN21" s="232"/>
      <c r="BO21" s="50"/>
      <c r="BP21" s="232"/>
      <c r="BQ21" s="232"/>
      <c r="BR21" s="232"/>
      <c r="BS21" s="232"/>
      <c r="BT21" s="232"/>
      <c r="BU21" s="232"/>
      <c r="BV21" s="232"/>
      <c r="BW21" s="232"/>
      <c r="BX21" s="232"/>
      <c r="BY21" s="232"/>
      <c r="BZ21" s="232"/>
      <c r="CA21" s="50"/>
      <c r="CB21" s="232"/>
      <c r="CC21" s="232"/>
      <c r="CE21" s="25"/>
      <c r="CF21" s="232"/>
      <c r="CG21" s="25"/>
      <c r="CH21" s="25"/>
      <c r="CI21" s="25"/>
      <c r="CJ21" s="25"/>
      <c r="CK21" s="25"/>
      <c r="CL21" s="232"/>
      <c r="CM21" s="25"/>
      <c r="CN21" s="232"/>
      <c r="CO21" s="25"/>
      <c r="CP21" s="232"/>
      <c r="CQ21" s="232"/>
      <c r="CR21" s="232"/>
      <c r="CS21" s="232"/>
      <c r="CT21" s="232"/>
      <c r="CU21" s="232"/>
      <c r="CV21" s="232"/>
      <c r="CW21" s="232"/>
      <c r="CX21" s="232"/>
      <c r="CY21" s="232"/>
      <c r="CZ21" s="232"/>
      <c r="DA21" s="25"/>
      <c r="DB21" s="232"/>
      <c r="DC21" s="232"/>
      <c r="DD21" s="232"/>
      <c r="DE21" s="25"/>
      <c r="DF21" s="232"/>
      <c r="DG21" s="25"/>
      <c r="DH21" s="232"/>
      <c r="DI21" s="232"/>
      <c r="DJ21" s="53"/>
      <c r="DK21" s="26"/>
      <c r="DL21" s="26"/>
      <c r="DM21" s="26"/>
      <c r="DN21" s="25"/>
      <c r="DO21" s="25"/>
      <c r="DP21" s="232"/>
      <c r="DQ21" s="25"/>
      <c r="DR21" s="232"/>
      <c r="DS21" s="232"/>
      <c r="DT21" s="25"/>
      <c r="DU21" s="232"/>
      <c r="DV21" s="232"/>
      <c r="DW21" s="232"/>
      <c r="DX21" s="232"/>
      <c r="DY21" s="232"/>
      <c r="DZ21" s="232"/>
      <c r="EA21" s="232"/>
      <c r="EB21" s="232"/>
      <c r="EC21" s="232"/>
      <c r="ED21" s="232"/>
      <c r="EE21" s="232"/>
      <c r="EF21" s="232"/>
      <c r="EG21" s="232"/>
      <c r="EH21" s="26"/>
      <c r="EI21" s="26"/>
      <c r="EJ21" s="26"/>
      <c r="EK21" s="50"/>
      <c r="EL21" s="25"/>
      <c r="EM21" s="232"/>
      <c r="EN21" s="232"/>
      <c r="EO21" s="232"/>
      <c r="EP21" s="232"/>
      <c r="EQ21" s="25"/>
      <c r="ES21" s="25"/>
      <c r="FB21" s="20"/>
      <c r="FC21" s="26"/>
      <c r="FD21" s="26"/>
      <c r="FE21" s="26"/>
      <c r="FF21" s="25"/>
      <c r="FG21" s="25"/>
      <c r="FH21" s="232"/>
      <c r="FI21" s="232"/>
      <c r="FJ21" s="232"/>
      <c r="FK21" s="232"/>
      <c r="FL21" s="232"/>
      <c r="FM21" s="232"/>
      <c r="FN21" s="25"/>
      <c r="FO21" s="232"/>
      <c r="FP21" s="232"/>
      <c r="FR21" s="281" t="s">
        <v>184</v>
      </c>
      <c r="FS21" s="281"/>
      <c r="FT21" s="291" t="e">
        <f ca="1">SUM(yn_PrioritisedWorksCost)</f>
        <v>#REF!</v>
      </c>
      <c r="FU21" s="283"/>
      <c r="FW21" s="533" t="s">
        <v>710</v>
      </c>
      <c r="FX21" s="238" t="s">
        <v>181</v>
      </c>
      <c r="FY21" s="299" t="e">
        <f t="shared" ref="FY21:FY27" ca="1" si="2">SUMIFS(Str_NumOfStructures,yn_SCIAv,"&gt;=90",Str_AVFStructureType,$FV5)</f>
        <v>#REF!</v>
      </c>
    </row>
    <row r="22" spans="1:181" ht="12.75" customHeight="1" x14ac:dyDescent="0.2">
      <c r="A22" s="25"/>
      <c r="B22" s="25"/>
      <c r="C22" s="25"/>
      <c r="D22" s="232"/>
      <c r="E22" s="231"/>
      <c r="F22" s="232"/>
      <c r="G22" s="25"/>
      <c r="H22" s="25"/>
      <c r="I22" s="234"/>
      <c r="J22" s="25"/>
      <c r="K22" s="25"/>
      <c r="L22" s="25"/>
      <c r="M22" s="25"/>
      <c r="N22" s="25"/>
      <c r="O22" s="25"/>
      <c r="P22" s="25"/>
      <c r="Q22" s="25"/>
      <c r="R22" s="25"/>
      <c r="S22" s="50"/>
      <c r="T22" s="232"/>
      <c r="U22" s="232"/>
      <c r="V22" s="25"/>
      <c r="W22" s="232"/>
      <c r="X22" s="232"/>
      <c r="Y22" s="25"/>
      <c r="Z22" s="25"/>
      <c r="AA22" s="25"/>
      <c r="AB22" s="232"/>
      <c r="AC22" s="232"/>
      <c r="AD22" s="232"/>
      <c r="AE22" s="25"/>
      <c r="AF22" s="232"/>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1"/>
      <c r="BE22" s="25"/>
      <c r="BF22" s="50"/>
      <c r="BG22" s="50"/>
      <c r="BH22" s="25"/>
      <c r="BI22" s="50"/>
      <c r="BJ22" s="50"/>
      <c r="BK22" s="50"/>
      <c r="BL22" s="232"/>
      <c r="BM22" s="50"/>
      <c r="BN22" s="232"/>
      <c r="BO22" s="50"/>
      <c r="BP22" s="232"/>
      <c r="BQ22" s="232"/>
      <c r="BR22" s="232"/>
      <c r="BS22" s="232"/>
      <c r="BT22" s="232"/>
      <c r="BU22" s="232"/>
      <c r="BV22" s="232"/>
      <c r="BW22" s="232"/>
      <c r="BX22" s="232"/>
      <c r="BY22" s="232"/>
      <c r="BZ22" s="232"/>
      <c r="CA22" s="50"/>
      <c r="CB22" s="232"/>
      <c r="CC22" s="232"/>
      <c r="CE22" s="25"/>
      <c r="CF22" s="232"/>
      <c r="CG22" s="25"/>
      <c r="CH22" s="25"/>
      <c r="CI22" s="25"/>
      <c r="CJ22" s="25"/>
      <c r="CK22" s="25"/>
      <c r="CL22" s="232"/>
      <c r="CM22" s="25"/>
      <c r="CN22" s="232"/>
      <c r="CO22" s="25"/>
      <c r="CP22" s="232"/>
      <c r="CQ22" s="232"/>
      <c r="CR22" s="232"/>
      <c r="CS22" s="232"/>
      <c r="CT22" s="232"/>
      <c r="CU22" s="232"/>
      <c r="CV22" s="232"/>
      <c r="CW22" s="232"/>
      <c r="CX22" s="232"/>
      <c r="CY22" s="232"/>
      <c r="CZ22" s="232"/>
      <c r="DA22" s="25"/>
      <c r="DB22" s="232"/>
      <c r="DC22" s="232"/>
      <c r="DD22" s="232"/>
      <c r="DE22" s="25"/>
      <c r="DF22" s="232"/>
      <c r="DG22" s="25"/>
      <c r="DH22" s="232"/>
      <c r="DI22" s="232"/>
      <c r="DJ22" s="26"/>
      <c r="DK22" s="26"/>
      <c r="DL22" s="26"/>
      <c r="DM22" s="26"/>
      <c r="DN22" s="25"/>
      <c r="DO22" s="25"/>
      <c r="DP22" s="232"/>
      <c r="DQ22" s="25"/>
      <c r="DR22" s="232"/>
      <c r="DS22" s="232"/>
      <c r="DT22" s="25"/>
      <c r="DU22" s="232"/>
      <c r="DV22" s="232"/>
      <c r="DW22" s="232"/>
      <c r="DX22" s="232"/>
      <c r="DY22" s="232"/>
      <c r="DZ22" s="232"/>
      <c r="EA22" s="232"/>
      <c r="EB22" s="232"/>
      <c r="EC22" s="232"/>
      <c r="ED22" s="232"/>
      <c r="EE22" s="232"/>
      <c r="EF22" s="232"/>
      <c r="EG22" s="232"/>
      <c r="EH22" s="26"/>
      <c r="EI22" s="26"/>
      <c r="EJ22" s="26"/>
      <c r="EK22" s="50"/>
      <c r="EL22" s="25"/>
      <c r="EM22" s="232"/>
      <c r="EN22" s="232"/>
      <c r="EO22" s="232"/>
      <c r="EP22" s="232"/>
      <c r="EQ22" s="25"/>
      <c r="ES22" s="25"/>
      <c r="FB22" s="20"/>
      <c r="FC22" s="26"/>
      <c r="FD22" s="26"/>
      <c r="FE22" s="26"/>
      <c r="FF22" s="25"/>
      <c r="FG22" s="25"/>
      <c r="FH22" s="232"/>
      <c r="FI22" s="232"/>
      <c r="FJ22" s="232"/>
      <c r="FK22" s="232"/>
      <c r="FL22" s="232"/>
      <c r="FM22" s="232"/>
      <c r="FN22" s="25"/>
      <c r="FO22" s="232"/>
      <c r="FP22" s="232"/>
      <c r="FR22" s="281" t="s">
        <v>183</v>
      </c>
      <c r="FS22" s="281" t="s">
        <v>181</v>
      </c>
      <c r="FT22" s="292" t="str">
        <f t="shared" ref="FT22:FT27" ca="1" si="3">IF(FY5&gt;0,FY5,"")</f>
        <v/>
      </c>
      <c r="FU22" s="283"/>
      <c r="FW22" s="533"/>
      <c r="FX22" s="238" t="s">
        <v>180</v>
      </c>
      <c r="FY22" s="299" t="e">
        <f t="shared" ca="1" si="2"/>
        <v>#REF!</v>
      </c>
    </row>
    <row r="23" spans="1:181" ht="12.75" customHeight="1" x14ac:dyDescent="0.2">
      <c r="A23" s="25"/>
      <c r="B23" s="25"/>
      <c r="C23" s="25"/>
      <c r="D23" s="232"/>
      <c r="E23" s="231"/>
      <c r="F23" s="232"/>
      <c r="G23" s="25"/>
      <c r="H23" s="25"/>
      <c r="I23" s="234"/>
      <c r="J23" s="25"/>
      <c r="K23" s="25"/>
      <c r="L23" s="25"/>
      <c r="M23" s="25"/>
      <c r="N23" s="25"/>
      <c r="O23" s="25"/>
      <c r="P23" s="25"/>
      <c r="Q23" s="25"/>
      <c r="R23" s="25"/>
      <c r="S23" s="50"/>
      <c r="T23" s="232"/>
      <c r="U23" s="232"/>
      <c r="V23" s="25"/>
      <c r="W23" s="232"/>
      <c r="X23" s="232"/>
      <c r="Y23" s="25"/>
      <c r="Z23" s="25"/>
      <c r="AA23" s="25"/>
      <c r="AB23" s="232"/>
      <c r="AC23" s="232"/>
      <c r="AD23" s="232"/>
      <c r="AE23" s="25"/>
      <c r="AF23" s="232"/>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1"/>
      <c r="BE23" s="25"/>
      <c r="BF23" s="50"/>
      <c r="BG23" s="50"/>
      <c r="BH23" s="25"/>
      <c r="BI23" s="50"/>
      <c r="BJ23" s="50"/>
      <c r="BK23" s="50"/>
      <c r="BL23" s="232"/>
      <c r="BM23" s="50"/>
      <c r="BN23" s="232"/>
      <c r="BO23" s="50"/>
      <c r="BP23" s="232"/>
      <c r="BQ23" s="232"/>
      <c r="BR23" s="232"/>
      <c r="BS23" s="232"/>
      <c r="BT23" s="232"/>
      <c r="BU23" s="232"/>
      <c r="BV23" s="232"/>
      <c r="BW23" s="232"/>
      <c r="BX23" s="232"/>
      <c r="BY23" s="232"/>
      <c r="BZ23" s="232"/>
      <c r="CA23" s="50"/>
      <c r="CB23" s="232"/>
      <c r="CC23" s="232"/>
      <c r="CE23" s="25"/>
      <c r="CF23" s="232"/>
      <c r="CG23" s="25"/>
      <c r="CH23" s="25"/>
      <c r="CI23" s="25"/>
      <c r="CJ23" s="25"/>
      <c r="CK23" s="25"/>
      <c r="CL23" s="232"/>
      <c r="CM23" s="25"/>
      <c r="CN23" s="232"/>
      <c r="CO23" s="25"/>
      <c r="CP23" s="232"/>
      <c r="CQ23" s="232"/>
      <c r="CR23" s="232"/>
      <c r="CS23" s="232"/>
      <c r="CT23" s="232"/>
      <c r="CU23" s="232"/>
      <c r="CV23" s="232"/>
      <c r="CW23" s="232"/>
      <c r="CX23" s="232"/>
      <c r="CY23" s="232"/>
      <c r="CZ23" s="232"/>
      <c r="DA23" s="25"/>
      <c r="DB23" s="232"/>
      <c r="DC23" s="232"/>
      <c r="DD23" s="232"/>
      <c r="DE23" s="25"/>
      <c r="DF23" s="232"/>
      <c r="DG23" s="25"/>
      <c r="DH23" s="232"/>
      <c r="DI23" s="232"/>
      <c r="DJ23" s="26"/>
      <c r="DK23" s="26"/>
      <c r="DL23" s="26"/>
      <c r="DM23" s="26"/>
      <c r="DN23" s="25"/>
      <c r="DO23" s="25"/>
      <c r="DP23" s="232"/>
      <c r="DQ23" s="25"/>
      <c r="DR23" s="232"/>
      <c r="DS23" s="232"/>
      <c r="DT23" s="25"/>
      <c r="DU23" s="232"/>
      <c r="DV23" s="232"/>
      <c r="DW23" s="232"/>
      <c r="DX23" s="232"/>
      <c r="DY23" s="232"/>
      <c r="DZ23" s="232"/>
      <c r="EA23" s="232"/>
      <c r="EB23" s="232"/>
      <c r="EC23" s="232"/>
      <c r="ED23" s="232"/>
      <c r="EE23" s="232"/>
      <c r="EF23" s="232"/>
      <c r="EG23" s="232"/>
      <c r="EH23" s="26"/>
      <c r="EI23" s="26"/>
      <c r="EJ23" s="26"/>
      <c r="EK23" s="50"/>
      <c r="EL23" s="25"/>
      <c r="EM23" s="232"/>
      <c r="EN23" s="232"/>
      <c r="EO23" s="232"/>
      <c r="EP23" s="232"/>
      <c r="EQ23" s="25"/>
      <c r="ES23" s="25"/>
      <c r="FB23" s="20"/>
      <c r="FC23" s="26"/>
      <c r="FD23" s="26"/>
      <c r="FE23" s="26"/>
      <c r="FF23" s="25"/>
      <c r="FG23" s="25"/>
      <c r="FH23" s="232"/>
      <c r="FI23" s="232"/>
      <c r="FJ23" s="232"/>
      <c r="FK23" s="232"/>
      <c r="FL23" s="232"/>
      <c r="FM23" s="232"/>
      <c r="FN23" s="25"/>
      <c r="FO23" s="232"/>
      <c r="FP23" s="232"/>
      <c r="FR23" s="281"/>
      <c r="FS23" s="281" t="s">
        <v>180</v>
      </c>
      <c r="FT23" s="292" t="str">
        <f t="shared" ca="1" si="3"/>
        <v/>
      </c>
      <c r="FU23" s="283"/>
      <c r="FW23" s="533"/>
      <c r="FX23" s="238" t="s">
        <v>179</v>
      </c>
      <c r="FY23" s="299" t="e">
        <f t="shared" ca="1" si="2"/>
        <v>#REF!</v>
      </c>
    </row>
    <row r="24" spans="1:181" ht="12.75" customHeight="1" x14ac:dyDescent="0.2">
      <c r="A24" s="25"/>
      <c r="B24" s="25"/>
      <c r="C24" s="25"/>
      <c r="D24" s="232"/>
      <c r="E24" s="231"/>
      <c r="F24" s="232"/>
      <c r="G24" s="25"/>
      <c r="H24" s="25"/>
      <c r="I24" s="234"/>
      <c r="J24" s="25"/>
      <c r="K24" s="25"/>
      <c r="L24" s="25"/>
      <c r="M24" s="25"/>
      <c r="N24" s="25"/>
      <c r="O24" s="25"/>
      <c r="P24" s="25"/>
      <c r="Q24" s="25"/>
      <c r="R24" s="25"/>
      <c r="S24" s="50"/>
      <c r="T24" s="232"/>
      <c r="U24" s="232"/>
      <c r="V24" s="25"/>
      <c r="W24" s="232"/>
      <c r="X24" s="232"/>
      <c r="Y24" s="25"/>
      <c r="Z24" s="25"/>
      <c r="AA24" s="25"/>
      <c r="AB24" s="232"/>
      <c r="AC24" s="232"/>
      <c r="AD24" s="232"/>
      <c r="AE24" s="25"/>
      <c r="AF24" s="232"/>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1"/>
      <c r="BE24" s="25"/>
      <c r="BF24" s="50"/>
      <c r="BG24" s="50"/>
      <c r="BH24" s="25"/>
      <c r="BI24" s="50"/>
      <c r="BJ24" s="50"/>
      <c r="BK24" s="50"/>
      <c r="BL24" s="232"/>
      <c r="BM24" s="50"/>
      <c r="BN24" s="232"/>
      <c r="BO24" s="50"/>
      <c r="BP24" s="232"/>
      <c r="BQ24" s="232"/>
      <c r="BR24" s="232"/>
      <c r="BS24" s="232"/>
      <c r="BT24" s="232"/>
      <c r="BU24" s="232"/>
      <c r="BV24" s="232"/>
      <c r="BW24" s="232"/>
      <c r="BX24" s="232"/>
      <c r="BY24" s="232"/>
      <c r="BZ24" s="232"/>
      <c r="CA24" s="50"/>
      <c r="CB24" s="232"/>
      <c r="CC24" s="232"/>
      <c r="CE24" s="25"/>
      <c r="CF24" s="232"/>
      <c r="CG24" s="25"/>
      <c r="CH24" s="25"/>
      <c r="CI24" s="25"/>
      <c r="CJ24" s="25"/>
      <c r="CK24" s="25"/>
      <c r="CL24" s="232"/>
      <c r="CM24" s="25"/>
      <c r="CN24" s="232"/>
      <c r="CO24" s="25"/>
      <c r="CP24" s="232"/>
      <c r="CQ24" s="232"/>
      <c r="CR24" s="232"/>
      <c r="CS24" s="232"/>
      <c r="CT24" s="232"/>
      <c r="CU24" s="232"/>
      <c r="CV24" s="232"/>
      <c r="CW24" s="232"/>
      <c r="CX24" s="232"/>
      <c r="CY24" s="232"/>
      <c r="CZ24" s="232"/>
      <c r="DA24" s="25"/>
      <c r="DB24" s="232"/>
      <c r="DC24" s="232"/>
      <c r="DD24" s="232"/>
      <c r="DE24" s="25"/>
      <c r="DF24" s="232"/>
      <c r="DG24" s="25"/>
      <c r="DH24" s="232"/>
      <c r="DI24" s="232"/>
      <c r="DJ24" s="26"/>
      <c r="DK24" s="26"/>
      <c r="DL24" s="26"/>
      <c r="DM24" s="26"/>
      <c r="DN24" s="25"/>
      <c r="DO24" s="25"/>
      <c r="DP24" s="232"/>
      <c r="DQ24" s="25"/>
      <c r="DR24" s="232"/>
      <c r="DS24" s="232"/>
      <c r="DT24" s="25"/>
      <c r="DU24" s="232"/>
      <c r="DV24" s="232"/>
      <c r="DW24" s="232"/>
      <c r="DX24" s="232"/>
      <c r="DY24" s="232"/>
      <c r="DZ24" s="232"/>
      <c r="EA24" s="232"/>
      <c r="EB24" s="232"/>
      <c r="EC24" s="232"/>
      <c r="ED24" s="232"/>
      <c r="EE24" s="232"/>
      <c r="EF24" s="232"/>
      <c r="EG24" s="232"/>
      <c r="EH24" s="26"/>
      <c r="EI24" s="26"/>
      <c r="EJ24" s="26"/>
      <c r="EK24" s="50"/>
      <c r="EL24" s="25"/>
      <c r="EM24" s="232"/>
      <c r="EN24" s="232"/>
      <c r="EO24" s="232"/>
      <c r="EP24" s="232"/>
      <c r="EQ24" s="25"/>
      <c r="ES24" s="25"/>
      <c r="FB24" s="20"/>
      <c r="FC24" s="26"/>
      <c r="FD24" s="26"/>
      <c r="FE24" s="26"/>
      <c r="FF24" s="25"/>
      <c r="FG24" s="25"/>
      <c r="FH24" s="232"/>
      <c r="FI24" s="232"/>
      <c r="FJ24" s="232"/>
      <c r="FK24" s="232"/>
      <c r="FL24" s="232"/>
      <c r="FM24" s="232"/>
      <c r="FN24" s="25"/>
      <c r="FO24" s="232"/>
      <c r="FP24" s="232"/>
      <c r="FR24" s="281"/>
      <c r="FS24" s="281" t="s">
        <v>179</v>
      </c>
      <c r="FT24" s="292" t="str">
        <f t="shared" ca="1" si="3"/>
        <v/>
      </c>
      <c r="FU24" s="283"/>
      <c r="FW24" s="533"/>
      <c r="FX24" s="238" t="s">
        <v>178</v>
      </c>
      <c r="FY24" s="299" t="e">
        <f t="shared" ca="1" si="2"/>
        <v>#REF!</v>
      </c>
    </row>
    <row r="25" spans="1:181" ht="12.75" customHeight="1" x14ac:dyDescent="0.2">
      <c r="A25" s="25"/>
      <c r="B25" s="25"/>
      <c r="C25" s="25"/>
      <c r="D25" s="232"/>
      <c r="E25" s="231"/>
      <c r="F25" s="232"/>
      <c r="G25" s="25"/>
      <c r="H25" s="25"/>
      <c r="I25" s="234"/>
      <c r="J25" s="25"/>
      <c r="K25" s="25"/>
      <c r="L25" s="25"/>
      <c r="M25" s="25"/>
      <c r="N25" s="25"/>
      <c r="O25" s="25"/>
      <c r="P25" s="25"/>
      <c r="Q25" s="25"/>
      <c r="R25" s="25"/>
      <c r="S25" s="50"/>
      <c r="T25" s="232"/>
      <c r="U25" s="232"/>
      <c r="V25" s="25"/>
      <c r="W25" s="232"/>
      <c r="X25" s="232"/>
      <c r="Y25" s="25"/>
      <c r="Z25" s="25"/>
      <c r="AA25" s="25"/>
      <c r="AB25" s="232"/>
      <c r="AC25" s="232"/>
      <c r="AD25" s="232"/>
      <c r="AE25" s="25"/>
      <c r="AF25" s="232"/>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1"/>
      <c r="BE25" s="25"/>
      <c r="BF25" s="50"/>
      <c r="BG25" s="50"/>
      <c r="BH25" s="25"/>
      <c r="BI25" s="50"/>
      <c r="BJ25" s="50"/>
      <c r="BK25" s="50"/>
      <c r="BL25" s="232"/>
      <c r="BM25" s="50"/>
      <c r="BN25" s="232"/>
      <c r="BO25" s="50"/>
      <c r="BP25" s="232"/>
      <c r="BQ25" s="232"/>
      <c r="BR25" s="232"/>
      <c r="BS25" s="232"/>
      <c r="BT25" s="232"/>
      <c r="BU25" s="232"/>
      <c r="BV25" s="232"/>
      <c r="BW25" s="232"/>
      <c r="BX25" s="232"/>
      <c r="BY25" s="232"/>
      <c r="BZ25" s="232"/>
      <c r="CA25" s="50"/>
      <c r="CB25" s="232"/>
      <c r="CC25" s="232"/>
      <c r="CE25" s="25"/>
      <c r="CF25" s="232"/>
      <c r="CG25" s="25"/>
      <c r="CH25" s="25"/>
      <c r="CI25" s="25"/>
      <c r="CJ25" s="25"/>
      <c r="CK25" s="25"/>
      <c r="CL25" s="232"/>
      <c r="CM25" s="25"/>
      <c r="CN25" s="232"/>
      <c r="CO25" s="25"/>
      <c r="CP25" s="232"/>
      <c r="CQ25" s="232"/>
      <c r="CR25" s="232"/>
      <c r="CS25" s="232"/>
      <c r="CT25" s="232"/>
      <c r="CU25" s="232"/>
      <c r="CV25" s="232"/>
      <c r="CW25" s="232"/>
      <c r="CX25" s="232"/>
      <c r="CY25" s="232"/>
      <c r="CZ25" s="232"/>
      <c r="DA25" s="25"/>
      <c r="DB25" s="232"/>
      <c r="DC25" s="232"/>
      <c r="DD25" s="232"/>
      <c r="DE25" s="25"/>
      <c r="DF25" s="232"/>
      <c r="DG25" s="25"/>
      <c r="DH25" s="232"/>
      <c r="DI25" s="232"/>
      <c r="DJ25" s="26"/>
      <c r="DK25" s="26"/>
      <c r="DL25" s="26"/>
      <c r="DM25" s="26"/>
      <c r="DN25" s="25"/>
      <c r="DO25" s="25"/>
      <c r="DP25" s="232"/>
      <c r="DQ25" s="25"/>
      <c r="DR25" s="232"/>
      <c r="DS25" s="232"/>
      <c r="DT25" s="25"/>
      <c r="DU25" s="232"/>
      <c r="DV25" s="232"/>
      <c r="DW25" s="232"/>
      <c r="DX25" s="232"/>
      <c r="DY25" s="232"/>
      <c r="DZ25" s="232"/>
      <c r="EA25" s="232"/>
      <c r="EB25" s="232"/>
      <c r="EC25" s="232"/>
      <c r="ED25" s="232"/>
      <c r="EE25" s="232"/>
      <c r="EF25" s="232"/>
      <c r="EG25" s="232"/>
      <c r="EH25" s="26"/>
      <c r="EI25" s="26"/>
      <c r="EJ25" s="26"/>
      <c r="EK25" s="50"/>
      <c r="EL25" s="25"/>
      <c r="EM25" s="232"/>
      <c r="EN25" s="232"/>
      <c r="EO25" s="232"/>
      <c r="EP25" s="232"/>
      <c r="EQ25" s="25"/>
      <c r="ES25" s="25"/>
      <c r="FB25" s="20"/>
      <c r="FC25" s="26"/>
      <c r="FD25" s="26"/>
      <c r="FE25" s="26"/>
      <c r="FF25" s="25"/>
      <c r="FG25" s="25"/>
      <c r="FH25" s="232"/>
      <c r="FI25" s="232"/>
      <c r="FJ25" s="232"/>
      <c r="FK25" s="232"/>
      <c r="FL25" s="232"/>
      <c r="FM25" s="232"/>
      <c r="FN25" s="25"/>
      <c r="FO25" s="232"/>
      <c r="FP25" s="232"/>
      <c r="FR25" s="281"/>
      <c r="FS25" s="281" t="s">
        <v>178</v>
      </c>
      <c r="FT25" s="292" t="str">
        <f t="shared" ca="1" si="3"/>
        <v/>
      </c>
      <c r="FU25" s="283"/>
      <c r="FW25" s="533"/>
      <c r="FX25" s="238" t="s">
        <v>177</v>
      </c>
      <c r="FY25" s="299" t="e">
        <f t="shared" ca="1" si="2"/>
        <v>#REF!</v>
      </c>
    </row>
    <row r="26" spans="1:181" ht="12.75" customHeight="1" x14ac:dyDescent="0.2">
      <c r="A26" s="25"/>
      <c r="B26" s="25"/>
      <c r="C26" s="25"/>
      <c r="D26" s="232"/>
      <c r="E26" s="231"/>
      <c r="F26" s="232"/>
      <c r="G26" s="25"/>
      <c r="H26" s="25"/>
      <c r="I26" s="234"/>
      <c r="J26" s="25"/>
      <c r="K26" s="25"/>
      <c r="L26" s="25"/>
      <c r="M26" s="25"/>
      <c r="N26" s="25"/>
      <c r="O26" s="25"/>
      <c r="P26" s="25"/>
      <c r="Q26" s="25"/>
      <c r="R26" s="25"/>
      <c r="S26" s="50"/>
      <c r="T26" s="232"/>
      <c r="U26" s="232"/>
      <c r="V26" s="25"/>
      <c r="W26" s="232"/>
      <c r="X26" s="232"/>
      <c r="Y26" s="25"/>
      <c r="Z26" s="25"/>
      <c r="AA26" s="25"/>
      <c r="AB26" s="232"/>
      <c r="AC26" s="232"/>
      <c r="AD26" s="232"/>
      <c r="AE26" s="25"/>
      <c r="AF26" s="232"/>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1"/>
      <c r="BE26" s="25"/>
      <c r="BF26" s="50"/>
      <c r="BG26" s="50"/>
      <c r="BH26" s="25"/>
      <c r="BI26" s="50"/>
      <c r="BJ26" s="50"/>
      <c r="BK26" s="50"/>
      <c r="BL26" s="232"/>
      <c r="BM26" s="50"/>
      <c r="BN26" s="232"/>
      <c r="BO26" s="50"/>
      <c r="BP26" s="232"/>
      <c r="BQ26" s="232"/>
      <c r="BR26" s="232"/>
      <c r="BS26" s="232"/>
      <c r="BT26" s="232"/>
      <c r="BU26" s="232"/>
      <c r="BV26" s="232"/>
      <c r="BW26" s="232"/>
      <c r="BX26" s="232"/>
      <c r="BY26" s="232"/>
      <c r="BZ26" s="232"/>
      <c r="CA26" s="50"/>
      <c r="CB26" s="232"/>
      <c r="CC26" s="232"/>
      <c r="CE26" s="25"/>
      <c r="CF26" s="232"/>
      <c r="CG26" s="25"/>
      <c r="CH26" s="25"/>
      <c r="CI26" s="25"/>
      <c r="CJ26" s="25"/>
      <c r="CK26" s="25"/>
      <c r="CL26" s="232"/>
      <c r="CM26" s="25"/>
      <c r="CN26" s="232"/>
      <c r="CO26" s="25"/>
      <c r="CP26" s="232"/>
      <c r="CQ26" s="232"/>
      <c r="CR26" s="232"/>
      <c r="CS26" s="232"/>
      <c r="CT26" s="232"/>
      <c r="CU26" s="232"/>
      <c r="CV26" s="232"/>
      <c r="CW26" s="232"/>
      <c r="CX26" s="232"/>
      <c r="CY26" s="232"/>
      <c r="CZ26" s="232"/>
      <c r="DA26" s="25"/>
      <c r="DB26" s="232"/>
      <c r="DC26" s="232"/>
      <c r="DD26" s="232"/>
      <c r="DE26" s="25"/>
      <c r="DF26" s="232"/>
      <c r="DG26" s="25"/>
      <c r="DH26" s="232"/>
      <c r="DI26" s="232"/>
      <c r="DJ26" s="26"/>
      <c r="DK26" s="26"/>
      <c r="DL26" s="26"/>
      <c r="DM26" s="26"/>
      <c r="DN26" s="25"/>
      <c r="DO26" s="25"/>
      <c r="DP26" s="232"/>
      <c r="DQ26" s="25"/>
      <c r="DR26" s="232"/>
      <c r="DS26" s="232"/>
      <c r="DT26" s="25"/>
      <c r="DU26" s="232"/>
      <c r="DV26" s="232"/>
      <c r="DW26" s="232"/>
      <c r="DX26" s="232"/>
      <c r="DY26" s="232"/>
      <c r="DZ26" s="232"/>
      <c r="EA26" s="232"/>
      <c r="EB26" s="232"/>
      <c r="EC26" s="232"/>
      <c r="ED26" s="232"/>
      <c r="EE26" s="232"/>
      <c r="EF26" s="232"/>
      <c r="EG26" s="232"/>
      <c r="EH26" s="26"/>
      <c r="EI26" s="26"/>
      <c r="EJ26" s="26"/>
      <c r="EK26" s="50"/>
      <c r="EL26" s="25"/>
      <c r="EM26" s="232"/>
      <c r="EN26" s="232"/>
      <c r="EO26" s="232"/>
      <c r="EP26" s="232"/>
      <c r="EQ26" s="25"/>
      <c r="ES26" s="25"/>
      <c r="FB26" s="20"/>
      <c r="FC26" s="26"/>
      <c r="FD26" s="26"/>
      <c r="FE26" s="26"/>
      <c r="FF26" s="25"/>
      <c r="FG26" s="25"/>
      <c r="FH26" s="232"/>
      <c r="FI26" s="232"/>
      <c r="FJ26" s="232"/>
      <c r="FK26" s="232"/>
      <c r="FL26" s="232"/>
      <c r="FM26" s="232"/>
      <c r="FN26" s="25"/>
      <c r="FO26" s="232"/>
      <c r="FP26" s="232"/>
      <c r="FR26" s="281"/>
      <c r="FS26" s="281" t="s">
        <v>177</v>
      </c>
      <c r="FT26" s="292" t="str">
        <f t="shared" ca="1" si="3"/>
        <v/>
      </c>
      <c r="FU26" s="283"/>
      <c r="FW26" s="533"/>
      <c r="FX26" s="238" t="s">
        <v>176</v>
      </c>
      <c r="FY26" s="299" t="e">
        <f t="shared" ca="1" si="2"/>
        <v>#REF!</v>
      </c>
    </row>
    <row r="27" spans="1:181" ht="12.75" customHeight="1" x14ac:dyDescent="0.2">
      <c r="A27" s="25"/>
      <c r="B27" s="25"/>
      <c r="C27" s="25"/>
      <c r="D27" s="232"/>
      <c r="E27" s="231"/>
      <c r="F27" s="232"/>
      <c r="G27" s="25"/>
      <c r="H27" s="25"/>
      <c r="I27" s="234"/>
      <c r="J27" s="25"/>
      <c r="K27" s="25"/>
      <c r="L27" s="25"/>
      <c r="M27" s="25"/>
      <c r="N27" s="25"/>
      <c r="O27" s="25"/>
      <c r="P27" s="25"/>
      <c r="Q27" s="25"/>
      <c r="R27" s="25"/>
      <c r="S27" s="50"/>
      <c r="T27" s="232"/>
      <c r="U27" s="232"/>
      <c r="V27" s="25"/>
      <c r="W27" s="232"/>
      <c r="X27" s="232"/>
      <c r="Y27" s="25"/>
      <c r="Z27" s="25"/>
      <c r="AA27" s="25"/>
      <c r="AB27" s="232"/>
      <c r="AC27" s="232"/>
      <c r="AD27" s="232"/>
      <c r="AE27" s="25"/>
      <c r="AF27" s="232"/>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1"/>
      <c r="BE27" s="25"/>
      <c r="BF27" s="50"/>
      <c r="BG27" s="50"/>
      <c r="BH27" s="25"/>
      <c r="BI27" s="50"/>
      <c r="BJ27" s="50"/>
      <c r="BK27" s="50"/>
      <c r="BL27" s="232"/>
      <c r="BM27" s="50"/>
      <c r="BN27" s="232"/>
      <c r="BO27" s="50"/>
      <c r="BP27" s="232"/>
      <c r="BQ27" s="232"/>
      <c r="BR27" s="232"/>
      <c r="BS27" s="232"/>
      <c r="BT27" s="232"/>
      <c r="BU27" s="232"/>
      <c r="BV27" s="232"/>
      <c r="BW27" s="232"/>
      <c r="BX27" s="232"/>
      <c r="BY27" s="232"/>
      <c r="BZ27" s="232"/>
      <c r="CA27" s="50"/>
      <c r="CB27" s="232"/>
      <c r="CC27" s="232"/>
      <c r="CE27" s="25"/>
      <c r="CF27" s="232"/>
      <c r="CG27" s="25"/>
      <c r="CH27" s="25"/>
      <c r="CI27" s="25"/>
      <c r="CJ27" s="25"/>
      <c r="CK27" s="25"/>
      <c r="CL27" s="232"/>
      <c r="CM27" s="25"/>
      <c r="CN27" s="232"/>
      <c r="CO27" s="25"/>
      <c r="CP27" s="232"/>
      <c r="CQ27" s="232"/>
      <c r="CR27" s="232"/>
      <c r="CS27" s="232"/>
      <c r="CT27" s="232"/>
      <c r="CU27" s="232"/>
      <c r="CV27" s="232"/>
      <c r="CW27" s="232"/>
      <c r="CX27" s="232"/>
      <c r="CY27" s="232"/>
      <c r="CZ27" s="232"/>
      <c r="DA27" s="25"/>
      <c r="DB27" s="232"/>
      <c r="DC27" s="232"/>
      <c r="DD27" s="232"/>
      <c r="DE27" s="25"/>
      <c r="DF27" s="232"/>
      <c r="DG27" s="25"/>
      <c r="DH27" s="232"/>
      <c r="DI27" s="232"/>
      <c r="DJ27" s="26"/>
      <c r="DK27" s="26"/>
      <c r="DL27" s="26"/>
      <c r="DM27" s="26"/>
      <c r="DN27" s="25"/>
      <c r="DO27" s="25"/>
      <c r="DP27" s="232"/>
      <c r="DQ27" s="25"/>
      <c r="DR27" s="232"/>
      <c r="DS27" s="232"/>
      <c r="DT27" s="25"/>
      <c r="DU27" s="232"/>
      <c r="DV27" s="232"/>
      <c r="DW27" s="232"/>
      <c r="DX27" s="232"/>
      <c r="DY27" s="232"/>
      <c r="DZ27" s="232"/>
      <c r="EA27" s="232"/>
      <c r="EB27" s="232"/>
      <c r="EC27" s="232"/>
      <c r="ED27" s="232"/>
      <c r="EE27" s="232"/>
      <c r="EF27" s="232"/>
      <c r="EG27" s="232"/>
      <c r="EH27" s="26"/>
      <c r="EI27" s="26"/>
      <c r="EJ27" s="26"/>
      <c r="EK27" s="50"/>
      <c r="EL27" s="25"/>
      <c r="EM27" s="232"/>
      <c r="EN27" s="232"/>
      <c r="EO27" s="232"/>
      <c r="EP27" s="232"/>
      <c r="EQ27" s="25"/>
      <c r="ES27" s="25"/>
      <c r="FB27" s="20"/>
      <c r="FC27" s="26"/>
      <c r="FD27" s="26"/>
      <c r="FE27" s="26"/>
      <c r="FF27" s="25"/>
      <c r="FG27" s="25"/>
      <c r="FH27" s="232"/>
      <c r="FI27" s="232"/>
      <c r="FJ27" s="232"/>
      <c r="FK27" s="232"/>
      <c r="FL27" s="232"/>
      <c r="FM27" s="232"/>
      <c r="FN27" s="25"/>
      <c r="FO27" s="232"/>
      <c r="FP27" s="232"/>
      <c r="FR27" s="281"/>
      <c r="FS27" s="281" t="s">
        <v>176</v>
      </c>
      <c r="FT27" s="292" t="str">
        <f t="shared" ca="1" si="3"/>
        <v/>
      </c>
      <c r="FU27" s="283"/>
      <c r="FW27" s="533"/>
      <c r="FX27" s="238" t="s">
        <v>25</v>
      </c>
      <c r="FY27" s="299" t="e">
        <f t="shared" ca="1" si="2"/>
        <v>#REF!</v>
      </c>
    </row>
    <row r="28" spans="1:181" ht="12.75" customHeight="1" x14ac:dyDescent="0.2">
      <c r="A28" s="25"/>
      <c r="B28" s="25"/>
      <c r="C28" s="25"/>
      <c r="D28" s="232"/>
      <c r="E28" s="231"/>
      <c r="F28" s="232"/>
      <c r="G28" s="25"/>
      <c r="H28" s="25"/>
      <c r="I28" s="234"/>
      <c r="J28" s="25"/>
      <c r="K28" s="25"/>
      <c r="L28" s="25"/>
      <c r="M28" s="25"/>
      <c r="N28" s="25"/>
      <c r="O28" s="25"/>
      <c r="P28" s="25"/>
      <c r="Q28" s="25"/>
      <c r="R28" s="25"/>
      <c r="S28" s="50"/>
      <c r="T28" s="232"/>
      <c r="U28" s="232"/>
      <c r="V28" s="25"/>
      <c r="W28" s="232"/>
      <c r="X28" s="232"/>
      <c r="Y28" s="25"/>
      <c r="Z28" s="25"/>
      <c r="AA28" s="25"/>
      <c r="AB28" s="232"/>
      <c r="AC28" s="232"/>
      <c r="AD28" s="232"/>
      <c r="AE28" s="25"/>
      <c r="AF28" s="232"/>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1"/>
      <c r="BE28" s="25"/>
      <c r="BF28" s="50"/>
      <c r="BG28" s="50"/>
      <c r="BH28" s="25"/>
      <c r="BI28" s="50"/>
      <c r="BJ28" s="50"/>
      <c r="BK28" s="50"/>
      <c r="BL28" s="232"/>
      <c r="BM28" s="50"/>
      <c r="BN28" s="232"/>
      <c r="BO28" s="50"/>
      <c r="BP28" s="232"/>
      <c r="BQ28" s="232"/>
      <c r="BR28" s="232"/>
      <c r="BS28" s="232"/>
      <c r="BT28" s="232"/>
      <c r="BU28" s="232"/>
      <c r="BV28" s="232"/>
      <c r="BW28" s="232"/>
      <c r="BX28" s="232"/>
      <c r="BY28" s="232"/>
      <c r="BZ28" s="232"/>
      <c r="CA28" s="50"/>
      <c r="CB28" s="232"/>
      <c r="CC28" s="232"/>
      <c r="CE28" s="25"/>
      <c r="CF28" s="232"/>
      <c r="CG28" s="25"/>
      <c r="CH28" s="25"/>
      <c r="CI28" s="25"/>
      <c r="CJ28" s="25"/>
      <c r="CK28" s="25"/>
      <c r="CL28" s="232"/>
      <c r="CM28" s="25"/>
      <c r="CN28" s="232"/>
      <c r="CO28" s="25"/>
      <c r="CP28" s="232"/>
      <c r="CQ28" s="232"/>
      <c r="CR28" s="232"/>
      <c r="CS28" s="232"/>
      <c r="CT28" s="232"/>
      <c r="CU28" s="232"/>
      <c r="CV28" s="232"/>
      <c r="CW28" s="232"/>
      <c r="CX28" s="232"/>
      <c r="CY28" s="232"/>
      <c r="CZ28" s="232"/>
      <c r="DA28" s="25"/>
      <c r="DB28" s="232"/>
      <c r="DC28" s="232"/>
      <c r="DD28" s="232"/>
      <c r="DE28" s="25"/>
      <c r="DF28" s="232"/>
      <c r="DG28" s="25"/>
      <c r="DH28" s="232"/>
      <c r="DI28" s="232"/>
      <c r="DJ28" s="26"/>
      <c r="DK28" s="26"/>
      <c r="DL28" s="26"/>
      <c r="DM28" s="26"/>
      <c r="DN28" s="25"/>
      <c r="DO28" s="25"/>
      <c r="DP28" s="232"/>
      <c r="DQ28" s="25"/>
      <c r="DR28" s="232"/>
      <c r="DS28" s="232"/>
      <c r="DT28" s="25"/>
      <c r="DU28" s="232"/>
      <c r="DV28" s="232"/>
      <c r="DW28" s="232"/>
      <c r="DX28" s="232"/>
      <c r="DY28" s="232"/>
      <c r="DZ28" s="232"/>
      <c r="EA28" s="232"/>
      <c r="EB28" s="232"/>
      <c r="EC28" s="232"/>
      <c r="ED28" s="232"/>
      <c r="EE28" s="232"/>
      <c r="EF28" s="232"/>
      <c r="EG28" s="232"/>
      <c r="EH28" s="26"/>
      <c r="EI28" s="26"/>
      <c r="EJ28" s="26"/>
      <c r="EK28" s="50"/>
      <c r="EL28" s="25"/>
      <c r="EM28" s="232"/>
      <c r="EN28" s="232"/>
      <c r="EO28" s="232"/>
      <c r="EP28" s="232"/>
      <c r="EQ28" s="25"/>
      <c r="ES28" s="25"/>
      <c r="FB28" s="20"/>
      <c r="FC28" s="26"/>
      <c r="FD28" s="26"/>
      <c r="FE28" s="26"/>
      <c r="FF28" s="25"/>
      <c r="FG28" s="25"/>
      <c r="FH28" s="232"/>
      <c r="FI28" s="232"/>
      <c r="FJ28" s="232"/>
      <c r="FK28" s="232"/>
      <c r="FL28" s="232"/>
      <c r="FM28" s="232"/>
      <c r="FN28" s="25"/>
      <c r="FO28" s="232"/>
      <c r="FP28" s="232"/>
      <c r="FR28" s="281"/>
      <c r="FS28" s="281" t="s">
        <v>706</v>
      </c>
      <c r="FT28" s="292" t="str">
        <f t="shared" ref="FT28:FT34" ca="1" si="4">IF(FY12&gt;0,FY12,"")</f>
        <v/>
      </c>
      <c r="FU28" s="283"/>
      <c r="FW28" s="533"/>
      <c r="FX28" s="238" t="s">
        <v>706</v>
      </c>
      <c r="FY28" s="299" t="e">
        <f ca="1">SUM(FY21:FY27)</f>
        <v>#REF!</v>
      </c>
    </row>
    <row r="29" spans="1:181" ht="12.75" customHeight="1" x14ac:dyDescent="0.2">
      <c r="A29" s="25"/>
      <c r="B29" s="25"/>
      <c r="C29" s="25"/>
      <c r="D29" s="232"/>
      <c r="E29" s="231"/>
      <c r="F29" s="232"/>
      <c r="G29" s="25"/>
      <c r="H29" s="25"/>
      <c r="I29" s="234"/>
      <c r="J29" s="25"/>
      <c r="K29" s="25"/>
      <c r="L29" s="25"/>
      <c r="M29" s="25"/>
      <c r="N29" s="25"/>
      <c r="O29" s="25"/>
      <c r="P29" s="25"/>
      <c r="Q29" s="25"/>
      <c r="R29" s="25"/>
      <c r="S29" s="50"/>
      <c r="T29" s="232"/>
      <c r="U29" s="232"/>
      <c r="V29" s="25"/>
      <c r="W29" s="232"/>
      <c r="X29" s="232"/>
      <c r="Y29" s="25"/>
      <c r="Z29" s="25"/>
      <c r="AA29" s="25"/>
      <c r="AB29" s="232"/>
      <c r="AC29" s="232"/>
      <c r="AD29" s="232"/>
      <c r="AE29" s="25"/>
      <c r="AF29" s="232"/>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1"/>
      <c r="BE29" s="25"/>
      <c r="BF29" s="50"/>
      <c r="BG29" s="50"/>
      <c r="BH29" s="25"/>
      <c r="BI29" s="50"/>
      <c r="BJ29" s="50"/>
      <c r="BK29" s="50"/>
      <c r="BL29" s="232"/>
      <c r="BM29" s="50"/>
      <c r="BN29" s="232"/>
      <c r="BO29" s="50"/>
      <c r="BP29" s="232"/>
      <c r="BQ29" s="232"/>
      <c r="BR29" s="232"/>
      <c r="BS29" s="232"/>
      <c r="BT29" s="232"/>
      <c r="BU29" s="232"/>
      <c r="BV29" s="232"/>
      <c r="BW29" s="232"/>
      <c r="BX29" s="232"/>
      <c r="BY29" s="232"/>
      <c r="BZ29" s="232"/>
      <c r="CA29" s="50"/>
      <c r="CB29" s="232"/>
      <c r="CC29" s="232"/>
      <c r="CE29" s="25"/>
      <c r="CF29" s="232"/>
      <c r="CG29" s="25"/>
      <c r="CH29" s="25"/>
      <c r="CI29" s="25"/>
      <c r="CJ29" s="25"/>
      <c r="CK29" s="25"/>
      <c r="CL29" s="232"/>
      <c r="CM29" s="25"/>
      <c r="CN29" s="232"/>
      <c r="CO29" s="25"/>
      <c r="CP29" s="232"/>
      <c r="CQ29" s="232"/>
      <c r="CR29" s="232"/>
      <c r="CS29" s="232"/>
      <c r="CT29" s="232"/>
      <c r="CU29" s="232"/>
      <c r="CV29" s="232"/>
      <c r="CW29" s="232"/>
      <c r="CX29" s="232"/>
      <c r="CY29" s="232"/>
      <c r="CZ29" s="232"/>
      <c r="DA29" s="25"/>
      <c r="DB29" s="232"/>
      <c r="DC29" s="232"/>
      <c r="DD29" s="232"/>
      <c r="DE29" s="25"/>
      <c r="DF29" s="232"/>
      <c r="DG29" s="25"/>
      <c r="DH29" s="232"/>
      <c r="DI29" s="232"/>
      <c r="DJ29" s="26"/>
      <c r="DK29" s="26"/>
      <c r="DL29" s="26"/>
      <c r="DM29" s="26"/>
      <c r="DN29" s="25"/>
      <c r="DO29" s="25"/>
      <c r="DP29" s="232"/>
      <c r="DQ29" s="25"/>
      <c r="DR29" s="232"/>
      <c r="DS29" s="232"/>
      <c r="DT29" s="25"/>
      <c r="DU29" s="232"/>
      <c r="DV29" s="232"/>
      <c r="DW29" s="232"/>
      <c r="DX29" s="232"/>
      <c r="DY29" s="232"/>
      <c r="DZ29" s="232"/>
      <c r="EA29" s="232"/>
      <c r="EB29" s="232"/>
      <c r="EC29" s="232"/>
      <c r="ED29" s="232"/>
      <c r="EE29" s="232"/>
      <c r="EF29" s="232"/>
      <c r="EG29" s="232"/>
      <c r="EH29" s="26"/>
      <c r="EI29" s="26"/>
      <c r="EJ29" s="26"/>
      <c r="EK29" s="50"/>
      <c r="EL29" s="25"/>
      <c r="EM29" s="232"/>
      <c r="EN29" s="232"/>
      <c r="EO29" s="232"/>
      <c r="EP29" s="232"/>
      <c r="EQ29" s="25"/>
      <c r="ES29" s="25"/>
      <c r="FB29" s="20"/>
      <c r="FC29" s="26"/>
      <c r="FD29" s="26"/>
      <c r="FE29" s="26"/>
      <c r="FF29" s="25"/>
      <c r="FG29" s="25"/>
      <c r="FH29" s="232"/>
      <c r="FI29" s="232"/>
      <c r="FJ29" s="232"/>
      <c r="FK29" s="232"/>
      <c r="FL29" s="232"/>
      <c r="FM29" s="232"/>
      <c r="FN29" s="25"/>
      <c r="FO29" s="232"/>
      <c r="FP29" s="232"/>
      <c r="FR29" s="281" t="s">
        <v>182</v>
      </c>
      <c r="FS29" s="281" t="s">
        <v>181</v>
      </c>
      <c r="FT29" s="292" t="str">
        <f t="shared" ca="1" si="4"/>
        <v/>
      </c>
      <c r="FU29" s="283"/>
      <c r="FW29" s="533" t="s">
        <v>689</v>
      </c>
      <c r="FX29" s="238" t="s">
        <v>181</v>
      </c>
      <c r="FY29" s="299" t="e">
        <f t="shared" ref="FY29:FY35" ca="1" si="5">SUMIFS(Str_NumOfStructures,yn_SCIAv,"&gt;=80",Str_AVFStructureType,$FV5)-FY21</f>
        <v>#REF!</v>
      </c>
    </row>
    <row r="30" spans="1:181" ht="12.75" customHeight="1" x14ac:dyDescent="0.2">
      <c r="A30" s="25"/>
      <c r="B30" s="25"/>
      <c r="C30" s="25"/>
      <c r="D30" s="232"/>
      <c r="E30" s="231"/>
      <c r="F30" s="232"/>
      <c r="G30" s="25"/>
      <c r="H30" s="25"/>
      <c r="I30" s="234"/>
      <c r="J30" s="25"/>
      <c r="K30" s="25"/>
      <c r="L30" s="25"/>
      <c r="M30" s="25"/>
      <c r="N30" s="25"/>
      <c r="O30" s="25"/>
      <c r="P30" s="25"/>
      <c r="Q30" s="25"/>
      <c r="R30" s="25"/>
      <c r="S30" s="50"/>
      <c r="T30" s="232"/>
      <c r="U30" s="232"/>
      <c r="V30" s="25"/>
      <c r="W30" s="232"/>
      <c r="X30" s="232"/>
      <c r="Y30" s="25"/>
      <c r="Z30" s="25"/>
      <c r="AA30" s="25"/>
      <c r="AB30" s="232"/>
      <c r="AC30" s="232"/>
      <c r="AD30" s="232"/>
      <c r="AE30" s="25"/>
      <c r="AF30" s="232"/>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1"/>
      <c r="BE30" s="25"/>
      <c r="BF30" s="50"/>
      <c r="BG30" s="50"/>
      <c r="BH30" s="25"/>
      <c r="BI30" s="50"/>
      <c r="BJ30" s="50"/>
      <c r="BK30" s="50"/>
      <c r="BL30" s="232"/>
      <c r="BM30" s="50"/>
      <c r="BN30" s="232"/>
      <c r="BO30" s="50"/>
      <c r="BP30" s="232"/>
      <c r="BQ30" s="232"/>
      <c r="BR30" s="232"/>
      <c r="BS30" s="232"/>
      <c r="BT30" s="232"/>
      <c r="BU30" s="232"/>
      <c r="BV30" s="232"/>
      <c r="BW30" s="232"/>
      <c r="BX30" s="232"/>
      <c r="BY30" s="232"/>
      <c r="BZ30" s="232"/>
      <c r="CA30" s="50"/>
      <c r="CB30" s="232"/>
      <c r="CC30" s="232"/>
      <c r="CE30" s="25"/>
      <c r="CF30" s="232"/>
      <c r="CG30" s="25"/>
      <c r="CH30" s="25"/>
      <c r="CI30" s="25"/>
      <c r="CJ30" s="25"/>
      <c r="CK30" s="25"/>
      <c r="CL30" s="232"/>
      <c r="CM30" s="25"/>
      <c r="CN30" s="232"/>
      <c r="CO30" s="25"/>
      <c r="CP30" s="232"/>
      <c r="CQ30" s="232"/>
      <c r="CR30" s="232"/>
      <c r="CS30" s="232"/>
      <c r="CT30" s="232"/>
      <c r="CU30" s="232"/>
      <c r="CV30" s="232"/>
      <c r="CW30" s="232"/>
      <c r="CX30" s="232"/>
      <c r="CY30" s="232"/>
      <c r="CZ30" s="232"/>
      <c r="DA30" s="25"/>
      <c r="DB30" s="232"/>
      <c r="DC30" s="232"/>
      <c r="DD30" s="232"/>
      <c r="DE30" s="25"/>
      <c r="DF30" s="232"/>
      <c r="DG30" s="25"/>
      <c r="DH30" s="232"/>
      <c r="DI30" s="232"/>
      <c r="DJ30" s="26"/>
      <c r="DK30" s="26"/>
      <c r="DL30" s="26"/>
      <c r="DM30" s="26"/>
      <c r="DN30" s="25"/>
      <c r="DO30" s="25"/>
      <c r="DP30" s="232"/>
      <c r="DQ30" s="25"/>
      <c r="DR30" s="232"/>
      <c r="DS30" s="232"/>
      <c r="DT30" s="25"/>
      <c r="DU30" s="232"/>
      <c r="DV30" s="232"/>
      <c r="DW30" s="232"/>
      <c r="DX30" s="232"/>
      <c r="DY30" s="232"/>
      <c r="DZ30" s="232"/>
      <c r="EA30" s="232"/>
      <c r="EB30" s="232"/>
      <c r="EC30" s="232"/>
      <c r="ED30" s="232"/>
      <c r="EE30" s="232"/>
      <c r="EF30" s="232"/>
      <c r="EG30" s="232"/>
      <c r="EH30" s="26"/>
      <c r="EI30" s="26"/>
      <c r="EJ30" s="26"/>
      <c r="EK30" s="50"/>
      <c r="EL30" s="25"/>
      <c r="EM30" s="232"/>
      <c r="EN30" s="232"/>
      <c r="EO30" s="232"/>
      <c r="EP30" s="232"/>
      <c r="EQ30" s="25"/>
      <c r="ES30" s="25"/>
      <c r="FB30" s="20"/>
      <c r="FC30" s="26"/>
      <c r="FD30" s="26"/>
      <c r="FE30" s="26"/>
      <c r="FF30" s="25"/>
      <c r="FG30" s="25"/>
      <c r="FH30" s="232"/>
      <c r="FI30" s="232"/>
      <c r="FJ30" s="232"/>
      <c r="FK30" s="232"/>
      <c r="FL30" s="232"/>
      <c r="FM30" s="232"/>
      <c r="FN30" s="25"/>
      <c r="FO30" s="232"/>
      <c r="FP30" s="232"/>
      <c r="FR30" s="281"/>
      <c r="FS30" s="281" t="s">
        <v>180</v>
      </c>
      <c r="FT30" s="292" t="str">
        <f t="shared" ca="1" si="4"/>
        <v/>
      </c>
      <c r="FU30" s="283"/>
      <c r="FW30" s="533"/>
      <c r="FX30" s="238" t="s">
        <v>180</v>
      </c>
      <c r="FY30" s="299" t="e">
        <f t="shared" ca="1" si="5"/>
        <v>#REF!</v>
      </c>
    </row>
    <row r="31" spans="1:181" ht="12.75" customHeight="1" x14ac:dyDescent="0.2">
      <c r="A31" s="25"/>
      <c r="B31" s="25"/>
      <c r="C31" s="25"/>
      <c r="D31" s="232"/>
      <c r="E31" s="231"/>
      <c r="F31" s="232"/>
      <c r="G31" s="25"/>
      <c r="H31" s="25"/>
      <c r="I31" s="234"/>
      <c r="J31" s="25"/>
      <c r="K31" s="25"/>
      <c r="L31" s="25"/>
      <c r="M31" s="25"/>
      <c r="N31" s="25"/>
      <c r="O31" s="25"/>
      <c r="P31" s="25"/>
      <c r="Q31" s="25"/>
      <c r="R31" s="25"/>
      <c r="S31" s="50"/>
      <c r="T31" s="232"/>
      <c r="U31" s="232"/>
      <c r="V31" s="25"/>
      <c r="W31" s="232"/>
      <c r="X31" s="232"/>
      <c r="Y31" s="25"/>
      <c r="Z31" s="25"/>
      <c r="AA31" s="25"/>
      <c r="AB31" s="232"/>
      <c r="AC31" s="232"/>
      <c r="AD31" s="232"/>
      <c r="AE31" s="25"/>
      <c r="AF31" s="232"/>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1"/>
      <c r="BE31" s="25"/>
      <c r="BF31" s="50"/>
      <c r="BG31" s="50"/>
      <c r="BH31" s="25"/>
      <c r="BI31" s="50"/>
      <c r="BJ31" s="50"/>
      <c r="BK31" s="50"/>
      <c r="BL31" s="232"/>
      <c r="BM31" s="50"/>
      <c r="BN31" s="232"/>
      <c r="BO31" s="50"/>
      <c r="BP31" s="232"/>
      <c r="BQ31" s="232"/>
      <c r="BR31" s="232"/>
      <c r="BS31" s="232"/>
      <c r="BT31" s="232"/>
      <c r="BU31" s="232"/>
      <c r="BV31" s="232"/>
      <c r="BW31" s="232"/>
      <c r="BX31" s="232"/>
      <c r="BY31" s="232"/>
      <c r="BZ31" s="232"/>
      <c r="CA31" s="50"/>
      <c r="CB31" s="232"/>
      <c r="CC31" s="232"/>
      <c r="CE31" s="25"/>
      <c r="CF31" s="232"/>
      <c r="CG31" s="25"/>
      <c r="CH31" s="25"/>
      <c r="CI31" s="25"/>
      <c r="CJ31" s="25"/>
      <c r="CK31" s="25"/>
      <c r="CL31" s="232"/>
      <c r="CM31" s="25"/>
      <c r="CN31" s="232"/>
      <c r="CO31" s="25"/>
      <c r="CP31" s="232"/>
      <c r="CQ31" s="232"/>
      <c r="CR31" s="232"/>
      <c r="CS31" s="232"/>
      <c r="CT31" s="232"/>
      <c r="CU31" s="232"/>
      <c r="CV31" s="232"/>
      <c r="CW31" s="232"/>
      <c r="CX31" s="232"/>
      <c r="CY31" s="232"/>
      <c r="CZ31" s="232"/>
      <c r="DA31" s="25"/>
      <c r="DB31" s="232"/>
      <c r="DC31" s="232"/>
      <c r="DD31" s="232"/>
      <c r="DE31" s="25"/>
      <c r="DF31" s="232"/>
      <c r="DG31" s="25"/>
      <c r="DH31" s="232"/>
      <c r="DI31" s="232"/>
      <c r="DJ31" s="26"/>
      <c r="DK31" s="26"/>
      <c r="DL31" s="26"/>
      <c r="DM31" s="26"/>
      <c r="DN31" s="25"/>
      <c r="DO31" s="25"/>
      <c r="DP31" s="232"/>
      <c r="DQ31" s="25"/>
      <c r="DR31" s="232"/>
      <c r="DS31" s="232"/>
      <c r="DT31" s="25"/>
      <c r="DU31" s="232"/>
      <c r="DV31" s="232"/>
      <c r="DW31" s="232"/>
      <c r="DX31" s="232"/>
      <c r="DY31" s="232"/>
      <c r="DZ31" s="232"/>
      <c r="EA31" s="232"/>
      <c r="EB31" s="232"/>
      <c r="EC31" s="232"/>
      <c r="ED31" s="232"/>
      <c r="EE31" s="232"/>
      <c r="EF31" s="232"/>
      <c r="EG31" s="232"/>
      <c r="EH31" s="26"/>
      <c r="EI31" s="26"/>
      <c r="EJ31" s="26"/>
      <c r="EK31" s="50"/>
      <c r="EL31" s="25"/>
      <c r="EM31" s="232"/>
      <c r="EN31" s="232"/>
      <c r="EO31" s="232"/>
      <c r="EP31" s="232"/>
      <c r="EQ31" s="25"/>
      <c r="ES31" s="25"/>
      <c r="FB31" s="20"/>
      <c r="FC31" s="26"/>
      <c r="FD31" s="26"/>
      <c r="FE31" s="26"/>
      <c r="FF31" s="25"/>
      <c r="FG31" s="25"/>
      <c r="FH31" s="232"/>
      <c r="FI31" s="232"/>
      <c r="FJ31" s="232"/>
      <c r="FK31" s="232"/>
      <c r="FL31" s="232"/>
      <c r="FM31" s="232"/>
      <c r="FN31" s="25"/>
      <c r="FO31" s="232"/>
      <c r="FP31" s="232"/>
      <c r="FR31" s="281"/>
      <c r="FS31" s="281" t="s">
        <v>179</v>
      </c>
      <c r="FT31" s="292" t="str">
        <f t="shared" ca="1" si="4"/>
        <v/>
      </c>
      <c r="FU31" s="283"/>
      <c r="FW31" s="533"/>
      <c r="FX31" s="238" t="s">
        <v>179</v>
      </c>
      <c r="FY31" s="299" t="e">
        <f t="shared" ca="1" si="5"/>
        <v>#REF!</v>
      </c>
    </row>
    <row r="32" spans="1:181" ht="12.75" customHeight="1" x14ac:dyDescent="0.2">
      <c r="A32" s="25"/>
      <c r="B32" s="25"/>
      <c r="C32" s="25"/>
      <c r="D32" s="232"/>
      <c r="E32" s="231"/>
      <c r="F32" s="232"/>
      <c r="G32" s="25"/>
      <c r="H32" s="25"/>
      <c r="I32" s="234"/>
      <c r="J32" s="25"/>
      <c r="K32" s="25"/>
      <c r="L32" s="25"/>
      <c r="M32" s="25"/>
      <c r="N32" s="25"/>
      <c r="O32" s="25"/>
      <c r="P32" s="25"/>
      <c r="Q32" s="25"/>
      <c r="R32" s="25"/>
      <c r="S32" s="50"/>
      <c r="T32" s="232"/>
      <c r="U32" s="232"/>
      <c r="V32" s="25"/>
      <c r="W32" s="232"/>
      <c r="X32" s="232"/>
      <c r="Y32" s="25"/>
      <c r="Z32" s="25"/>
      <c r="AA32" s="25"/>
      <c r="AB32" s="232"/>
      <c r="AC32" s="232"/>
      <c r="AD32" s="232"/>
      <c r="AE32" s="25"/>
      <c r="AF32" s="232"/>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1"/>
      <c r="BE32" s="25"/>
      <c r="BF32" s="50"/>
      <c r="BG32" s="50"/>
      <c r="BH32" s="25"/>
      <c r="BI32" s="50"/>
      <c r="BJ32" s="50"/>
      <c r="BK32" s="50"/>
      <c r="BL32" s="232"/>
      <c r="BM32" s="50"/>
      <c r="BN32" s="232"/>
      <c r="BO32" s="50"/>
      <c r="BP32" s="232"/>
      <c r="BQ32" s="232"/>
      <c r="BR32" s="232"/>
      <c r="BS32" s="232"/>
      <c r="BT32" s="232"/>
      <c r="BU32" s="232"/>
      <c r="BV32" s="232"/>
      <c r="BW32" s="232"/>
      <c r="BX32" s="232"/>
      <c r="BY32" s="232"/>
      <c r="BZ32" s="232"/>
      <c r="CA32" s="50"/>
      <c r="CB32" s="232"/>
      <c r="CC32" s="232"/>
      <c r="CE32" s="25"/>
      <c r="CF32" s="232"/>
      <c r="CG32" s="25"/>
      <c r="CH32" s="25"/>
      <c r="CI32" s="25"/>
      <c r="CJ32" s="25"/>
      <c r="CK32" s="25"/>
      <c r="CL32" s="232"/>
      <c r="CM32" s="25"/>
      <c r="CN32" s="232"/>
      <c r="CO32" s="25"/>
      <c r="CP32" s="232"/>
      <c r="CQ32" s="232"/>
      <c r="CR32" s="232"/>
      <c r="CS32" s="232"/>
      <c r="CT32" s="232"/>
      <c r="CU32" s="232"/>
      <c r="CV32" s="232"/>
      <c r="CW32" s="232"/>
      <c r="CX32" s="232"/>
      <c r="CY32" s="232"/>
      <c r="CZ32" s="232"/>
      <c r="DA32" s="25"/>
      <c r="DB32" s="232"/>
      <c r="DC32" s="232"/>
      <c r="DD32" s="232"/>
      <c r="DE32" s="25"/>
      <c r="DF32" s="232"/>
      <c r="DG32" s="25"/>
      <c r="DH32" s="232"/>
      <c r="DI32" s="232"/>
      <c r="DJ32" s="26"/>
      <c r="DK32" s="26"/>
      <c r="DL32" s="26"/>
      <c r="DM32" s="26"/>
      <c r="DN32" s="25"/>
      <c r="DO32" s="25"/>
      <c r="DP32" s="232"/>
      <c r="DQ32" s="25"/>
      <c r="DR32" s="232"/>
      <c r="DS32" s="232"/>
      <c r="DT32" s="25"/>
      <c r="DU32" s="232"/>
      <c r="DV32" s="232"/>
      <c r="DW32" s="232"/>
      <c r="DX32" s="232"/>
      <c r="DY32" s="232"/>
      <c r="DZ32" s="232"/>
      <c r="EA32" s="232"/>
      <c r="EB32" s="232"/>
      <c r="EC32" s="232"/>
      <c r="ED32" s="232"/>
      <c r="EE32" s="232"/>
      <c r="EF32" s="232"/>
      <c r="EG32" s="232"/>
      <c r="EH32" s="26"/>
      <c r="EI32" s="26"/>
      <c r="EJ32" s="26"/>
      <c r="EK32" s="50"/>
      <c r="EL32" s="25"/>
      <c r="EM32" s="232"/>
      <c r="EN32" s="232"/>
      <c r="EO32" s="232"/>
      <c r="EP32" s="232"/>
      <c r="EQ32" s="25"/>
      <c r="ES32" s="25"/>
      <c r="FB32" s="20"/>
      <c r="FC32" s="26"/>
      <c r="FD32" s="26"/>
      <c r="FE32" s="26"/>
      <c r="FF32" s="25"/>
      <c r="FG32" s="25"/>
      <c r="FH32" s="232"/>
      <c r="FI32" s="232"/>
      <c r="FJ32" s="232"/>
      <c r="FK32" s="232"/>
      <c r="FL32" s="232"/>
      <c r="FM32" s="232"/>
      <c r="FN32" s="25"/>
      <c r="FO32" s="232"/>
      <c r="FP32" s="232"/>
      <c r="FR32" s="281"/>
      <c r="FS32" s="281" t="s">
        <v>178</v>
      </c>
      <c r="FT32" s="292" t="str">
        <f t="shared" ca="1" si="4"/>
        <v/>
      </c>
      <c r="FU32" s="283"/>
      <c r="FW32" s="533"/>
      <c r="FX32" s="238" t="s">
        <v>178</v>
      </c>
      <c r="FY32" s="299" t="e">
        <f t="shared" ca="1" si="5"/>
        <v>#REF!</v>
      </c>
    </row>
    <row r="33" spans="1:181" ht="12.75" customHeight="1" x14ac:dyDescent="0.2">
      <c r="A33" s="25"/>
      <c r="B33" s="25"/>
      <c r="C33" s="25"/>
      <c r="D33" s="232"/>
      <c r="E33" s="231"/>
      <c r="F33" s="232"/>
      <c r="G33" s="25"/>
      <c r="H33" s="25"/>
      <c r="I33" s="234"/>
      <c r="J33" s="25"/>
      <c r="K33" s="25"/>
      <c r="L33" s="25"/>
      <c r="M33" s="25"/>
      <c r="N33" s="25"/>
      <c r="O33" s="25"/>
      <c r="P33" s="25"/>
      <c r="Q33" s="25"/>
      <c r="R33" s="25"/>
      <c r="S33" s="50"/>
      <c r="T33" s="232"/>
      <c r="U33" s="232"/>
      <c r="V33" s="25"/>
      <c r="W33" s="232"/>
      <c r="X33" s="232"/>
      <c r="Y33" s="25"/>
      <c r="Z33" s="25"/>
      <c r="AA33" s="25"/>
      <c r="AB33" s="232"/>
      <c r="AC33" s="232"/>
      <c r="AD33" s="232"/>
      <c r="AE33" s="25"/>
      <c r="AF33" s="232"/>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1"/>
      <c r="BE33" s="25"/>
      <c r="BF33" s="50"/>
      <c r="BG33" s="50"/>
      <c r="BH33" s="25"/>
      <c r="BI33" s="50"/>
      <c r="BJ33" s="50"/>
      <c r="BK33" s="50"/>
      <c r="BL33" s="232"/>
      <c r="BM33" s="50"/>
      <c r="BN33" s="232"/>
      <c r="BO33" s="50"/>
      <c r="BP33" s="232"/>
      <c r="BQ33" s="232"/>
      <c r="BR33" s="232"/>
      <c r="BS33" s="232"/>
      <c r="BT33" s="232"/>
      <c r="BU33" s="232"/>
      <c r="BV33" s="232"/>
      <c r="BW33" s="232"/>
      <c r="BX33" s="232"/>
      <c r="BY33" s="232"/>
      <c r="BZ33" s="232"/>
      <c r="CA33" s="50"/>
      <c r="CB33" s="232"/>
      <c r="CC33" s="232"/>
      <c r="CE33" s="25"/>
      <c r="CF33" s="232"/>
      <c r="CG33" s="25"/>
      <c r="CH33" s="25"/>
      <c r="CI33" s="25"/>
      <c r="CJ33" s="25"/>
      <c r="CK33" s="25"/>
      <c r="CL33" s="232"/>
      <c r="CM33" s="25"/>
      <c r="CN33" s="232"/>
      <c r="CO33" s="25"/>
      <c r="CP33" s="232"/>
      <c r="CQ33" s="232"/>
      <c r="CR33" s="232"/>
      <c r="CS33" s="232"/>
      <c r="CT33" s="232"/>
      <c r="CU33" s="232"/>
      <c r="CV33" s="232"/>
      <c r="CW33" s="232"/>
      <c r="CX33" s="232"/>
      <c r="CY33" s="232"/>
      <c r="CZ33" s="232"/>
      <c r="DA33" s="25"/>
      <c r="DB33" s="232"/>
      <c r="DC33" s="232"/>
      <c r="DD33" s="232"/>
      <c r="DE33" s="25"/>
      <c r="DF33" s="232"/>
      <c r="DG33" s="25"/>
      <c r="DH33" s="232"/>
      <c r="DI33" s="232"/>
      <c r="DJ33" s="26"/>
      <c r="DK33" s="26"/>
      <c r="DL33" s="26"/>
      <c r="DM33" s="26"/>
      <c r="DN33" s="25"/>
      <c r="DO33" s="25"/>
      <c r="DP33" s="232"/>
      <c r="DQ33" s="25"/>
      <c r="DR33" s="232"/>
      <c r="DS33" s="232"/>
      <c r="DT33" s="25"/>
      <c r="DU33" s="232"/>
      <c r="DV33" s="232"/>
      <c r="DW33" s="232"/>
      <c r="DX33" s="232"/>
      <c r="DY33" s="232"/>
      <c r="DZ33" s="232"/>
      <c r="EA33" s="232"/>
      <c r="EB33" s="232"/>
      <c r="EC33" s="232"/>
      <c r="ED33" s="232"/>
      <c r="EE33" s="232"/>
      <c r="EF33" s="232"/>
      <c r="EG33" s="232"/>
      <c r="EH33" s="26"/>
      <c r="EI33" s="26"/>
      <c r="EJ33" s="26"/>
      <c r="EK33" s="50"/>
      <c r="EL33" s="25"/>
      <c r="EM33" s="232"/>
      <c r="EN33" s="232"/>
      <c r="EO33" s="232"/>
      <c r="EP33" s="232"/>
      <c r="EQ33" s="25"/>
      <c r="ES33" s="25"/>
      <c r="FB33" s="20"/>
      <c r="FC33" s="26"/>
      <c r="FD33" s="26"/>
      <c r="FE33" s="26"/>
      <c r="FF33" s="25"/>
      <c r="FG33" s="25"/>
      <c r="FH33" s="232"/>
      <c r="FI33" s="232"/>
      <c r="FJ33" s="232"/>
      <c r="FK33" s="232"/>
      <c r="FL33" s="232"/>
      <c r="FM33" s="232"/>
      <c r="FN33" s="25"/>
      <c r="FO33" s="232"/>
      <c r="FP33" s="232"/>
      <c r="FR33" s="281"/>
      <c r="FS33" s="281" t="s">
        <v>177</v>
      </c>
      <c r="FT33" s="292" t="str">
        <f t="shared" ca="1" si="4"/>
        <v/>
      </c>
      <c r="FU33" s="283"/>
      <c r="FW33" s="533"/>
      <c r="FX33" s="238" t="s">
        <v>177</v>
      </c>
      <c r="FY33" s="299" t="e">
        <f t="shared" ca="1" si="5"/>
        <v>#REF!</v>
      </c>
    </row>
    <row r="34" spans="1:181" ht="12.75" customHeight="1" x14ac:dyDescent="0.2">
      <c r="A34" s="25"/>
      <c r="B34" s="25"/>
      <c r="C34" s="25"/>
      <c r="D34" s="232"/>
      <c r="E34" s="231"/>
      <c r="F34" s="232"/>
      <c r="G34" s="25"/>
      <c r="H34" s="25"/>
      <c r="I34" s="234"/>
      <c r="J34" s="25"/>
      <c r="K34" s="25"/>
      <c r="L34" s="25"/>
      <c r="M34" s="25"/>
      <c r="N34" s="25"/>
      <c r="O34" s="25"/>
      <c r="P34" s="25"/>
      <c r="Q34" s="25"/>
      <c r="R34" s="25"/>
      <c r="S34" s="50"/>
      <c r="T34" s="232"/>
      <c r="U34" s="232"/>
      <c r="V34" s="25"/>
      <c r="W34" s="232"/>
      <c r="X34" s="232"/>
      <c r="Y34" s="25"/>
      <c r="Z34" s="25"/>
      <c r="AA34" s="25"/>
      <c r="AB34" s="232"/>
      <c r="AC34" s="232"/>
      <c r="AD34" s="232"/>
      <c r="AE34" s="25"/>
      <c r="AF34" s="232"/>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1"/>
      <c r="BE34" s="25"/>
      <c r="BF34" s="50"/>
      <c r="BG34" s="50"/>
      <c r="BH34" s="25"/>
      <c r="BI34" s="50"/>
      <c r="BJ34" s="50"/>
      <c r="BK34" s="50"/>
      <c r="BL34" s="232"/>
      <c r="BM34" s="50"/>
      <c r="BN34" s="232"/>
      <c r="BO34" s="50"/>
      <c r="BP34" s="232"/>
      <c r="BQ34" s="232"/>
      <c r="BR34" s="232"/>
      <c r="BS34" s="232"/>
      <c r="BT34" s="232"/>
      <c r="BU34" s="232"/>
      <c r="BV34" s="232"/>
      <c r="BW34" s="232"/>
      <c r="BX34" s="232"/>
      <c r="BY34" s="232"/>
      <c r="BZ34" s="232"/>
      <c r="CA34" s="50"/>
      <c r="CB34" s="232"/>
      <c r="CC34" s="232"/>
      <c r="CE34" s="25"/>
      <c r="CF34" s="232"/>
      <c r="CG34" s="25"/>
      <c r="CH34" s="25"/>
      <c r="CI34" s="25"/>
      <c r="CJ34" s="25"/>
      <c r="CK34" s="25"/>
      <c r="CL34" s="232"/>
      <c r="CM34" s="25"/>
      <c r="CN34" s="232"/>
      <c r="CO34" s="25"/>
      <c r="CP34" s="232"/>
      <c r="CQ34" s="232"/>
      <c r="CR34" s="232"/>
      <c r="CS34" s="232"/>
      <c r="CT34" s="232"/>
      <c r="CU34" s="232"/>
      <c r="CV34" s="232"/>
      <c r="CW34" s="232"/>
      <c r="CX34" s="232"/>
      <c r="CY34" s="232"/>
      <c r="CZ34" s="232"/>
      <c r="DA34" s="25"/>
      <c r="DB34" s="232"/>
      <c r="DC34" s="232"/>
      <c r="DD34" s="232"/>
      <c r="DE34" s="25"/>
      <c r="DF34" s="232"/>
      <c r="DG34" s="25"/>
      <c r="DH34" s="232"/>
      <c r="DI34" s="232"/>
      <c r="DJ34" s="26"/>
      <c r="DK34" s="26"/>
      <c r="DL34" s="26"/>
      <c r="DM34" s="26"/>
      <c r="DN34" s="25"/>
      <c r="DO34" s="25"/>
      <c r="DP34" s="232"/>
      <c r="DQ34" s="25"/>
      <c r="DR34" s="232"/>
      <c r="DS34" s="232"/>
      <c r="DT34" s="25"/>
      <c r="DU34" s="232"/>
      <c r="DV34" s="232"/>
      <c r="DW34" s="232"/>
      <c r="DX34" s="232"/>
      <c r="DY34" s="232"/>
      <c r="DZ34" s="232"/>
      <c r="EA34" s="232"/>
      <c r="EB34" s="232"/>
      <c r="EC34" s="232"/>
      <c r="ED34" s="232"/>
      <c r="EE34" s="232"/>
      <c r="EF34" s="232"/>
      <c r="EG34" s="232"/>
      <c r="EH34" s="26"/>
      <c r="EI34" s="26"/>
      <c r="EJ34" s="26"/>
      <c r="EK34" s="50"/>
      <c r="EL34" s="25"/>
      <c r="EM34" s="232"/>
      <c r="EN34" s="232"/>
      <c r="EO34" s="232"/>
      <c r="EP34" s="232"/>
      <c r="EQ34" s="25"/>
      <c r="ES34" s="25"/>
      <c r="FB34" s="20"/>
      <c r="FC34" s="26"/>
      <c r="FD34" s="26"/>
      <c r="FE34" s="26"/>
      <c r="FF34" s="25"/>
      <c r="FG34" s="25"/>
      <c r="FH34" s="232"/>
      <c r="FI34" s="232"/>
      <c r="FJ34" s="232"/>
      <c r="FK34" s="232"/>
      <c r="FL34" s="232"/>
      <c r="FM34" s="232"/>
      <c r="FN34" s="25"/>
      <c r="FO34" s="232"/>
      <c r="FP34" s="232"/>
      <c r="FR34" s="281"/>
      <c r="FS34" s="281" t="s">
        <v>176</v>
      </c>
      <c r="FT34" s="292" t="str">
        <f t="shared" ca="1" si="4"/>
        <v/>
      </c>
      <c r="FU34" s="283"/>
      <c r="FW34" s="533"/>
      <c r="FX34" s="238" t="s">
        <v>176</v>
      </c>
      <c r="FY34" s="299" t="e">
        <f t="shared" ca="1" si="5"/>
        <v>#REF!</v>
      </c>
    </row>
    <row r="35" spans="1:181" ht="12.75" customHeight="1" x14ac:dyDescent="0.2">
      <c r="A35" s="25"/>
      <c r="B35" s="25"/>
      <c r="C35" s="25"/>
      <c r="D35" s="232"/>
      <c r="E35" s="231"/>
      <c r="F35" s="232"/>
      <c r="G35" s="25"/>
      <c r="H35" s="25"/>
      <c r="I35" s="234"/>
      <c r="J35" s="25"/>
      <c r="K35" s="25"/>
      <c r="L35" s="25"/>
      <c r="M35" s="25"/>
      <c r="N35" s="25"/>
      <c r="O35" s="25"/>
      <c r="P35" s="25"/>
      <c r="Q35" s="25"/>
      <c r="R35" s="25"/>
      <c r="S35" s="50"/>
      <c r="T35" s="232"/>
      <c r="U35" s="232"/>
      <c r="V35" s="25"/>
      <c r="W35" s="232"/>
      <c r="X35" s="232"/>
      <c r="Y35" s="25"/>
      <c r="Z35" s="25"/>
      <c r="AA35" s="25"/>
      <c r="AB35" s="232"/>
      <c r="AC35" s="232"/>
      <c r="AD35" s="232"/>
      <c r="AE35" s="25"/>
      <c r="AF35" s="232"/>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1"/>
      <c r="BE35" s="25"/>
      <c r="BF35" s="50"/>
      <c r="BG35" s="50"/>
      <c r="BH35" s="25"/>
      <c r="BI35" s="50"/>
      <c r="BJ35" s="50"/>
      <c r="BK35" s="50"/>
      <c r="BL35" s="232"/>
      <c r="BM35" s="50"/>
      <c r="BN35" s="232"/>
      <c r="BO35" s="50"/>
      <c r="BP35" s="232"/>
      <c r="BQ35" s="232"/>
      <c r="BR35" s="232"/>
      <c r="BS35" s="232"/>
      <c r="BT35" s="232"/>
      <c r="BU35" s="232"/>
      <c r="BV35" s="232"/>
      <c r="BW35" s="232"/>
      <c r="BX35" s="232"/>
      <c r="BY35" s="232"/>
      <c r="BZ35" s="232"/>
      <c r="CA35" s="50"/>
      <c r="CB35" s="232"/>
      <c r="CC35" s="232"/>
      <c r="CE35" s="25"/>
      <c r="CF35" s="232"/>
      <c r="CG35" s="25"/>
      <c r="CH35" s="25"/>
      <c r="CI35" s="25"/>
      <c r="CJ35" s="25"/>
      <c r="CK35" s="25"/>
      <c r="CL35" s="232"/>
      <c r="CM35" s="25"/>
      <c r="CN35" s="232"/>
      <c r="CO35" s="25"/>
      <c r="CP35" s="232"/>
      <c r="CQ35" s="232"/>
      <c r="CR35" s="232"/>
      <c r="CS35" s="232"/>
      <c r="CT35" s="232"/>
      <c r="CU35" s="232"/>
      <c r="CV35" s="232"/>
      <c r="CW35" s="232"/>
      <c r="CX35" s="232"/>
      <c r="CY35" s="232"/>
      <c r="CZ35" s="232"/>
      <c r="DA35" s="25"/>
      <c r="DB35" s="232"/>
      <c r="DC35" s="232"/>
      <c r="DD35" s="232"/>
      <c r="DE35" s="25"/>
      <c r="DF35" s="232"/>
      <c r="DG35" s="25"/>
      <c r="DH35" s="232"/>
      <c r="DI35" s="232"/>
      <c r="DJ35" s="26"/>
      <c r="DK35" s="26"/>
      <c r="DL35" s="26"/>
      <c r="DM35" s="26"/>
      <c r="DN35" s="25"/>
      <c r="DO35" s="25"/>
      <c r="DP35" s="232"/>
      <c r="DQ35" s="25"/>
      <c r="DR35" s="232"/>
      <c r="DS35" s="232"/>
      <c r="DT35" s="25"/>
      <c r="DU35" s="232"/>
      <c r="DV35" s="232"/>
      <c r="DW35" s="232"/>
      <c r="DX35" s="232"/>
      <c r="DY35" s="232"/>
      <c r="DZ35" s="232"/>
      <c r="EA35" s="232"/>
      <c r="EB35" s="232"/>
      <c r="EC35" s="232"/>
      <c r="ED35" s="232"/>
      <c r="EE35" s="232"/>
      <c r="EF35" s="232"/>
      <c r="EG35" s="232"/>
      <c r="EH35" s="26"/>
      <c r="EI35" s="26"/>
      <c r="EJ35" s="26"/>
      <c r="EK35" s="50"/>
      <c r="EL35" s="25"/>
      <c r="EM35" s="232"/>
      <c r="EN35" s="232"/>
      <c r="EO35" s="232"/>
      <c r="EP35" s="232"/>
      <c r="EQ35" s="25"/>
      <c r="ES35" s="25"/>
      <c r="FB35" s="20"/>
      <c r="FC35" s="26"/>
      <c r="FD35" s="26"/>
      <c r="FE35" s="26"/>
      <c r="FF35" s="25"/>
      <c r="FG35" s="25"/>
      <c r="FH35" s="232"/>
      <c r="FI35" s="232"/>
      <c r="FJ35" s="232"/>
      <c r="FK35" s="232"/>
      <c r="FL35" s="232"/>
      <c r="FM35" s="232"/>
      <c r="FN35" s="25"/>
      <c r="FO35" s="232"/>
      <c r="FP35" s="232"/>
      <c r="FR35" s="281"/>
      <c r="FS35" s="281" t="s">
        <v>706</v>
      </c>
      <c r="FT35" s="292" t="str">
        <f ca="1">IF(FY20&gt;0,FY20,"")</f>
        <v/>
      </c>
      <c r="FU35" s="283"/>
      <c r="FW35" s="533"/>
      <c r="FX35" s="238" t="s">
        <v>25</v>
      </c>
      <c r="FY35" s="299" t="e">
        <f t="shared" ca="1" si="5"/>
        <v>#REF!</v>
      </c>
    </row>
    <row r="36" spans="1:181" ht="12.75" customHeight="1" x14ac:dyDescent="0.2">
      <c r="A36" s="25"/>
      <c r="B36" s="25"/>
      <c r="C36" s="25"/>
      <c r="D36" s="232"/>
      <c r="E36" s="231"/>
      <c r="F36" s="232"/>
      <c r="G36" s="25"/>
      <c r="H36" s="25"/>
      <c r="I36" s="234"/>
      <c r="J36" s="25"/>
      <c r="K36" s="25"/>
      <c r="L36" s="25"/>
      <c r="M36" s="25"/>
      <c r="N36" s="25"/>
      <c r="O36" s="25"/>
      <c r="P36" s="25"/>
      <c r="Q36" s="25"/>
      <c r="R36" s="25"/>
      <c r="S36" s="50"/>
      <c r="T36" s="232"/>
      <c r="U36" s="232"/>
      <c r="V36" s="25"/>
      <c r="W36" s="232"/>
      <c r="X36" s="232"/>
      <c r="Y36" s="25"/>
      <c r="Z36" s="25"/>
      <c r="AA36" s="25"/>
      <c r="AB36" s="232"/>
      <c r="AC36" s="232"/>
      <c r="AD36" s="232"/>
      <c r="AE36" s="25"/>
      <c r="AF36" s="232"/>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1"/>
      <c r="BE36" s="25"/>
      <c r="BF36" s="50"/>
      <c r="BG36" s="50"/>
      <c r="BH36" s="25"/>
      <c r="BI36" s="50"/>
      <c r="BJ36" s="50"/>
      <c r="BK36" s="50"/>
      <c r="BL36" s="232"/>
      <c r="BM36" s="50"/>
      <c r="BN36" s="232"/>
      <c r="BO36" s="50"/>
      <c r="BP36" s="232"/>
      <c r="BQ36" s="232"/>
      <c r="BR36" s="232"/>
      <c r="BS36" s="232"/>
      <c r="BT36" s="232"/>
      <c r="BU36" s="232"/>
      <c r="BV36" s="232"/>
      <c r="BW36" s="232"/>
      <c r="BX36" s="232"/>
      <c r="BY36" s="232"/>
      <c r="BZ36" s="232"/>
      <c r="CA36" s="50"/>
      <c r="CB36" s="232"/>
      <c r="CC36" s="232"/>
      <c r="CE36" s="25"/>
      <c r="CF36" s="232"/>
      <c r="CG36" s="25"/>
      <c r="CH36" s="25"/>
      <c r="CI36" s="25"/>
      <c r="CJ36" s="25"/>
      <c r="CK36" s="25"/>
      <c r="CL36" s="232"/>
      <c r="CM36" s="25"/>
      <c r="CN36" s="232"/>
      <c r="CO36" s="25"/>
      <c r="CP36" s="232"/>
      <c r="CQ36" s="232"/>
      <c r="CR36" s="232"/>
      <c r="CS36" s="232"/>
      <c r="CT36" s="232"/>
      <c r="CU36" s="232"/>
      <c r="CV36" s="232"/>
      <c r="CW36" s="232"/>
      <c r="CX36" s="232"/>
      <c r="CY36" s="232"/>
      <c r="CZ36" s="232"/>
      <c r="DA36" s="25"/>
      <c r="DB36" s="232"/>
      <c r="DC36" s="232"/>
      <c r="DD36" s="232"/>
      <c r="DE36" s="25"/>
      <c r="DF36" s="232"/>
      <c r="DG36" s="25"/>
      <c r="DH36" s="232"/>
      <c r="DI36" s="232"/>
      <c r="DJ36" s="26"/>
      <c r="DK36" s="26"/>
      <c r="DL36" s="26"/>
      <c r="DM36" s="26"/>
      <c r="DN36" s="25"/>
      <c r="DO36" s="25"/>
      <c r="DP36" s="232"/>
      <c r="DQ36" s="25"/>
      <c r="DR36" s="232"/>
      <c r="DS36" s="232"/>
      <c r="DT36" s="25"/>
      <c r="DU36" s="232"/>
      <c r="DV36" s="232"/>
      <c r="DW36" s="232"/>
      <c r="DX36" s="232"/>
      <c r="DY36" s="232"/>
      <c r="DZ36" s="232"/>
      <c r="EA36" s="232"/>
      <c r="EB36" s="232"/>
      <c r="EC36" s="232"/>
      <c r="ED36" s="232"/>
      <c r="EE36" s="232"/>
      <c r="EF36" s="232"/>
      <c r="EG36" s="232"/>
      <c r="EH36" s="26"/>
      <c r="EI36" s="26"/>
      <c r="EJ36" s="26"/>
      <c r="EK36" s="50"/>
      <c r="EL36" s="25"/>
      <c r="EM36" s="232"/>
      <c r="EN36" s="232"/>
      <c r="EO36" s="232"/>
      <c r="EP36" s="232"/>
      <c r="EQ36" s="25"/>
      <c r="ES36" s="25"/>
      <c r="FB36" s="20"/>
      <c r="FC36" s="26"/>
      <c r="FD36" s="26"/>
      <c r="FE36" s="26"/>
      <c r="FF36" s="25"/>
      <c r="FG36" s="25"/>
      <c r="FH36" s="232"/>
      <c r="FI36" s="232"/>
      <c r="FJ36" s="232"/>
      <c r="FK36" s="232"/>
      <c r="FL36" s="232"/>
      <c r="FM36" s="232"/>
      <c r="FN36" s="25"/>
      <c r="FO36" s="232"/>
      <c r="FP36" s="232"/>
      <c r="FR36" s="281" t="s">
        <v>710</v>
      </c>
      <c r="FS36" s="281"/>
      <c r="FT36" s="291" t="e">
        <f ca="1">FY28</f>
        <v>#REF!</v>
      </c>
      <c r="FU36" s="283"/>
      <c r="FW36" s="533"/>
      <c r="FX36" s="238" t="s">
        <v>706</v>
      </c>
      <c r="FY36" s="299" t="e">
        <f ca="1">SUM(FY29:FY35)</f>
        <v>#REF!</v>
      </c>
    </row>
    <row r="37" spans="1:181" ht="12.75" customHeight="1" x14ac:dyDescent="0.2">
      <c r="A37" s="25"/>
      <c r="B37" s="25"/>
      <c r="C37" s="25"/>
      <c r="D37" s="232"/>
      <c r="E37" s="231"/>
      <c r="F37" s="232"/>
      <c r="G37" s="25"/>
      <c r="H37" s="25"/>
      <c r="I37" s="234"/>
      <c r="J37" s="25"/>
      <c r="K37" s="25"/>
      <c r="L37" s="25"/>
      <c r="M37" s="25"/>
      <c r="N37" s="25"/>
      <c r="O37" s="25"/>
      <c r="P37" s="25"/>
      <c r="Q37" s="25"/>
      <c r="R37" s="25"/>
      <c r="S37" s="50"/>
      <c r="T37" s="232"/>
      <c r="U37" s="232"/>
      <c r="V37" s="25"/>
      <c r="W37" s="232"/>
      <c r="X37" s="232"/>
      <c r="Y37" s="25"/>
      <c r="Z37" s="25"/>
      <c r="AA37" s="25"/>
      <c r="AB37" s="232"/>
      <c r="AC37" s="232"/>
      <c r="AD37" s="232"/>
      <c r="AE37" s="25"/>
      <c r="AF37" s="232"/>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1"/>
      <c r="BE37" s="25"/>
      <c r="BF37" s="50"/>
      <c r="BG37" s="50"/>
      <c r="BH37" s="25"/>
      <c r="BI37" s="50"/>
      <c r="BJ37" s="50"/>
      <c r="BK37" s="50"/>
      <c r="BL37" s="232"/>
      <c r="BM37" s="50"/>
      <c r="BN37" s="232"/>
      <c r="BO37" s="50"/>
      <c r="BP37" s="232"/>
      <c r="BQ37" s="232"/>
      <c r="BR37" s="232"/>
      <c r="BS37" s="232"/>
      <c r="BT37" s="232"/>
      <c r="BU37" s="232"/>
      <c r="BV37" s="232"/>
      <c r="BW37" s="232"/>
      <c r="BX37" s="232"/>
      <c r="BY37" s="232"/>
      <c r="BZ37" s="232"/>
      <c r="CA37" s="50"/>
      <c r="CB37" s="232"/>
      <c r="CC37" s="232"/>
      <c r="CE37" s="25"/>
      <c r="CF37" s="232"/>
      <c r="CG37" s="25"/>
      <c r="CH37" s="25"/>
      <c r="CI37" s="25"/>
      <c r="CJ37" s="25"/>
      <c r="CK37" s="25"/>
      <c r="CL37" s="232"/>
      <c r="CM37" s="25"/>
      <c r="CN37" s="232"/>
      <c r="CO37" s="25"/>
      <c r="CP37" s="232"/>
      <c r="CQ37" s="232"/>
      <c r="CR37" s="232"/>
      <c r="CS37" s="232"/>
      <c r="CT37" s="232"/>
      <c r="CU37" s="232"/>
      <c r="CV37" s="232"/>
      <c r="CW37" s="232"/>
      <c r="CX37" s="232"/>
      <c r="CY37" s="232"/>
      <c r="CZ37" s="232"/>
      <c r="DA37" s="25"/>
      <c r="DB37" s="232"/>
      <c r="DC37" s="232"/>
      <c r="DD37" s="232"/>
      <c r="DE37" s="25"/>
      <c r="DF37" s="232"/>
      <c r="DG37" s="25"/>
      <c r="DH37" s="232"/>
      <c r="DI37" s="232"/>
      <c r="DJ37" s="26"/>
      <c r="DK37" s="26"/>
      <c r="DL37" s="26"/>
      <c r="DM37" s="26"/>
      <c r="DN37" s="25"/>
      <c r="DO37" s="25"/>
      <c r="DP37" s="232"/>
      <c r="DQ37" s="25"/>
      <c r="DR37" s="232"/>
      <c r="DS37" s="232"/>
      <c r="DT37" s="25"/>
      <c r="DU37" s="232"/>
      <c r="DV37" s="232"/>
      <c r="DW37" s="232"/>
      <c r="DX37" s="232"/>
      <c r="DY37" s="232"/>
      <c r="DZ37" s="232"/>
      <c r="EA37" s="232"/>
      <c r="EB37" s="232"/>
      <c r="EC37" s="232"/>
      <c r="ED37" s="232"/>
      <c r="EE37" s="232"/>
      <c r="EF37" s="232"/>
      <c r="EG37" s="232"/>
      <c r="EH37" s="26"/>
      <c r="EI37" s="26"/>
      <c r="EJ37" s="26"/>
      <c r="EK37" s="50"/>
      <c r="EL37" s="25"/>
      <c r="EM37" s="232"/>
      <c r="EN37" s="232"/>
      <c r="EO37" s="232"/>
      <c r="EP37" s="232"/>
      <c r="EQ37" s="25"/>
      <c r="ES37" s="25"/>
      <c r="FB37" s="20"/>
      <c r="FC37" s="26"/>
      <c r="FD37" s="26"/>
      <c r="FE37" s="26"/>
      <c r="FF37" s="25"/>
      <c r="FG37" s="25"/>
      <c r="FH37" s="232"/>
      <c r="FI37" s="232"/>
      <c r="FJ37" s="232"/>
      <c r="FK37" s="232"/>
      <c r="FL37" s="232"/>
      <c r="FM37" s="232"/>
      <c r="FN37" s="25"/>
      <c r="FO37" s="232"/>
      <c r="FP37" s="232"/>
      <c r="FR37" s="281" t="s">
        <v>689</v>
      </c>
      <c r="FS37" s="281"/>
      <c r="FT37" s="291" t="e">
        <f ca="1">FY36</f>
        <v>#REF!</v>
      </c>
      <c r="FU37" s="283"/>
      <c r="FW37" s="533" t="s">
        <v>688</v>
      </c>
      <c r="FX37" s="238" t="s">
        <v>181</v>
      </c>
      <c r="FY37" s="299" t="e">
        <f t="shared" ref="FY37:FY43" ca="1" si="6">SUMIFS(Str_NumOfStructures,yn_SCIAv,"&gt;=65",Str_AVFStructureType,$FV5)-FY29-FY21</f>
        <v>#REF!</v>
      </c>
    </row>
    <row r="38" spans="1:181" ht="12.75" customHeight="1" x14ac:dyDescent="0.2">
      <c r="A38" s="25"/>
      <c r="B38" s="25"/>
      <c r="C38" s="25"/>
      <c r="D38" s="232"/>
      <c r="E38" s="231"/>
      <c r="F38" s="232"/>
      <c r="G38" s="25"/>
      <c r="H38" s="25"/>
      <c r="I38" s="234"/>
      <c r="J38" s="25"/>
      <c r="K38" s="25"/>
      <c r="L38" s="25"/>
      <c r="M38" s="25"/>
      <c r="N38" s="25"/>
      <c r="O38" s="25"/>
      <c r="P38" s="25"/>
      <c r="Q38" s="25"/>
      <c r="R38" s="25"/>
      <c r="S38" s="50"/>
      <c r="T38" s="232"/>
      <c r="U38" s="232"/>
      <c r="V38" s="25"/>
      <c r="W38" s="232"/>
      <c r="X38" s="232"/>
      <c r="Y38" s="25"/>
      <c r="Z38" s="25"/>
      <c r="AA38" s="25"/>
      <c r="AB38" s="232"/>
      <c r="AC38" s="232"/>
      <c r="AD38" s="232"/>
      <c r="AE38" s="25"/>
      <c r="AF38" s="232"/>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1"/>
      <c r="BE38" s="25"/>
      <c r="BF38" s="50"/>
      <c r="BG38" s="50"/>
      <c r="BH38" s="25"/>
      <c r="BI38" s="50"/>
      <c r="BJ38" s="50"/>
      <c r="BK38" s="50"/>
      <c r="BL38" s="232"/>
      <c r="BM38" s="50"/>
      <c r="BN38" s="232"/>
      <c r="BO38" s="50"/>
      <c r="BP38" s="232"/>
      <c r="BQ38" s="232"/>
      <c r="BR38" s="232"/>
      <c r="BS38" s="232"/>
      <c r="BT38" s="232"/>
      <c r="BU38" s="232"/>
      <c r="BV38" s="232"/>
      <c r="BW38" s="232"/>
      <c r="BX38" s="232"/>
      <c r="BY38" s="232"/>
      <c r="BZ38" s="232"/>
      <c r="CA38" s="50"/>
      <c r="CB38" s="232"/>
      <c r="CC38" s="232"/>
      <c r="CE38" s="25"/>
      <c r="CF38" s="232"/>
      <c r="CG38" s="25"/>
      <c r="CH38" s="25"/>
      <c r="CI38" s="25"/>
      <c r="CJ38" s="25"/>
      <c r="CK38" s="25"/>
      <c r="CL38" s="232"/>
      <c r="CM38" s="25"/>
      <c r="CN38" s="232"/>
      <c r="CO38" s="25"/>
      <c r="CP38" s="232"/>
      <c r="CQ38" s="232"/>
      <c r="CR38" s="232"/>
      <c r="CS38" s="232"/>
      <c r="CT38" s="232"/>
      <c r="CU38" s="232"/>
      <c r="CV38" s="232"/>
      <c r="CW38" s="232"/>
      <c r="CX38" s="232"/>
      <c r="CY38" s="232"/>
      <c r="CZ38" s="232"/>
      <c r="DA38" s="25"/>
      <c r="DB38" s="232"/>
      <c r="DC38" s="232"/>
      <c r="DD38" s="232"/>
      <c r="DE38" s="25"/>
      <c r="DF38" s="232"/>
      <c r="DG38" s="25"/>
      <c r="DH38" s="232"/>
      <c r="DI38" s="232"/>
      <c r="DJ38" s="26"/>
      <c r="DK38" s="26"/>
      <c r="DL38" s="26"/>
      <c r="DM38" s="26"/>
      <c r="DN38" s="25"/>
      <c r="DO38" s="25"/>
      <c r="DP38" s="232"/>
      <c r="DQ38" s="25"/>
      <c r="DR38" s="232"/>
      <c r="DS38" s="232"/>
      <c r="DT38" s="25"/>
      <c r="DU38" s="232"/>
      <c r="DV38" s="232"/>
      <c r="DW38" s="232"/>
      <c r="DX38" s="232"/>
      <c r="DY38" s="232"/>
      <c r="DZ38" s="232"/>
      <c r="EA38" s="232"/>
      <c r="EB38" s="232"/>
      <c r="EC38" s="232"/>
      <c r="ED38" s="232"/>
      <c r="EE38" s="232"/>
      <c r="EF38" s="232"/>
      <c r="EG38" s="232"/>
      <c r="EH38" s="26"/>
      <c r="EI38" s="26"/>
      <c r="EJ38" s="26"/>
      <c r="EK38" s="50"/>
      <c r="EL38" s="25"/>
      <c r="EM38" s="232"/>
      <c r="EN38" s="232"/>
      <c r="EO38" s="232"/>
      <c r="EP38" s="232"/>
      <c r="EQ38" s="25"/>
      <c r="ES38" s="25"/>
      <c r="FB38" s="20"/>
      <c r="FC38" s="26"/>
      <c r="FD38" s="26"/>
      <c r="FE38" s="26"/>
      <c r="FF38" s="25"/>
      <c r="FG38" s="25"/>
      <c r="FH38" s="232"/>
      <c r="FI38" s="232"/>
      <c r="FJ38" s="232"/>
      <c r="FK38" s="232"/>
      <c r="FL38" s="232"/>
      <c r="FM38" s="232"/>
      <c r="FN38" s="25"/>
      <c r="FO38" s="232"/>
      <c r="FP38" s="232"/>
      <c r="FR38" s="281" t="s">
        <v>688</v>
      </c>
      <c r="FS38" s="281"/>
      <c r="FT38" s="291" t="e">
        <f ca="1">FY44</f>
        <v>#REF!</v>
      </c>
      <c r="FU38" s="283"/>
      <c r="FW38" s="533"/>
      <c r="FX38" s="238" t="s">
        <v>180</v>
      </c>
      <c r="FY38" s="299" t="e">
        <f t="shared" ca="1" si="6"/>
        <v>#REF!</v>
      </c>
    </row>
    <row r="39" spans="1:181" ht="12.75" customHeight="1" x14ac:dyDescent="0.2">
      <c r="A39" s="25"/>
      <c r="B39" s="25"/>
      <c r="C39" s="25"/>
      <c r="D39" s="232"/>
      <c r="E39" s="231"/>
      <c r="F39" s="232"/>
      <c r="G39" s="25"/>
      <c r="H39" s="25"/>
      <c r="I39" s="234"/>
      <c r="J39" s="25"/>
      <c r="K39" s="25"/>
      <c r="L39" s="25"/>
      <c r="M39" s="25"/>
      <c r="N39" s="25"/>
      <c r="O39" s="25"/>
      <c r="P39" s="25"/>
      <c r="Q39" s="25"/>
      <c r="R39" s="25"/>
      <c r="S39" s="50"/>
      <c r="T39" s="232"/>
      <c r="U39" s="232"/>
      <c r="V39" s="25"/>
      <c r="W39" s="232"/>
      <c r="X39" s="232"/>
      <c r="Y39" s="25"/>
      <c r="Z39" s="25"/>
      <c r="AA39" s="25"/>
      <c r="AB39" s="232"/>
      <c r="AC39" s="232"/>
      <c r="AD39" s="232"/>
      <c r="AE39" s="25"/>
      <c r="AF39" s="232"/>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1"/>
      <c r="BE39" s="25"/>
      <c r="BF39" s="50"/>
      <c r="BG39" s="50"/>
      <c r="BH39" s="25"/>
      <c r="BI39" s="50"/>
      <c r="BJ39" s="50"/>
      <c r="BK39" s="50"/>
      <c r="BL39" s="232"/>
      <c r="BM39" s="50"/>
      <c r="BN39" s="232"/>
      <c r="BO39" s="50"/>
      <c r="BP39" s="232"/>
      <c r="BQ39" s="232"/>
      <c r="BR39" s="232"/>
      <c r="BS39" s="232"/>
      <c r="BT39" s="232"/>
      <c r="BU39" s="232"/>
      <c r="BV39" s="232"/>
      <c r="BW39" s="232"/>
      <c r="BX39" s="232"/>
      <c r="BY39" s="232"/>
      <c r="BZ39" s="232"/>
      <c r="CA39" s="50"/>
      <c r="CB39" s="232"/>
      <c r="CC39" s="232"/>
      <c r="CE39" s="25"/>
      <c r="CF39" s="232"/>
      <c r="CG39" s="25"/>
      <c r="CH39" s="25"/>
      <c r="CI39" s="25"/>
      <c r="CJ39" s="25"/>
      <c r="CK39" s="25"/>
      <c r="CL39" s="232"/>
      <c r="CM39" s="25"/>
      <c r="CN39" s="232"/>
      <c r="CO39" s="25"/>
      <c r="CP39" s="232"/>
      <c r="CQ39" s="232"/>
      <c r="CR39" s="232"/>
      <c r="CS39" s="232"/>
      <c r="CT39" s="232"/>
      <c r="CU39" s="232"/>
      <c r="CV39" s="232"/>
      <c r="CW39" s="232"/>
      <c r="CX39" s="232"/>
      <c r="CY39" s="232"/>
      <c r="CZ39" s="232"/>
      <c r="DA39" s="25"/>
      <c r="DB39" s="232"/>
      <c r="DC39" s="232"/>
      <c r="DD39" s="232"/>
      <c r="DE39" s="25"/>
      <c r="DF39" s="232"/>
      <c r="DG39" s="25"/>
      <c r="DH39" s="232"/>
      <c r="DI39" s="232"/>
      <c r="DJ39" s="26"/>
      <c r="DK39" s="26"/>
      <c r="DL39" s="26"/>
      <c r="DM39" s="26"/>
      <c r="DN39" s="25"/>
      <c r="DO39" s="25"/>
      <c r="DP39" s="232"/>
      <c r="DQ39" s="25"/>
      <c r="DR39" s="232"/>
      <c r="DS39" s="232"/>
      <c r="DT39" s="25"/>
      <c r="DU39" s="232"/>
      <c r="DV39" s="232"/>
      <c r="DW39" s="232"/>
      <c r="DX39" s="232"/>
      <c r="DY39" s="232"/>
      <c r="DZ39" s="232"/>
      <c r="EA39" s="232"/>
      <c r="EB39" s="232"/>
      <c r="EC39" s="232"/>
      <c r="ED39" s="232"/>
      <c r="EE39" s="232"/>
      <c r="EF39" s="232"/>
      <c r="EG39" s="232"/>
      <c r="EH39" s="26"/>
      <c r="EI39" s="26"/>
      <c r="EJ39" s="26"/>
      <c r="EK39" s="50"/>
      <c r="EL39" s="25"/>
      <c r="EM39" s="232"/>
      <c r="EN39" s="232"/>
      <c r="EO39" s="232"/>
      <c r="EP39" s="232"/>
      <c r="EQ39" s="25"/>
      <c r="ES39" s="25"/>
      <c r="FB39" s="20"/>
      <c r="FC39" s="26"/>
      <c r="FD39" s="26"/>
      <c r="FE39" s="26"/>
      <c r="FF39" s="25"/>
      <c r="FG39" s="25"/>
      <c r="FH39" s="232"/>
      <c r="FI39" s="232"/>
      <c r="FJ39" s="232"/>
      <c r="FK39" s="232"/>
      <c r="FL39" s="232"/>
      <c r="FM39" s="232"/>
      <c r="FN39" s="25"/>
      <c r="FO39" s="232"/>
      <c r="FP39" s="232"/>
      <c r="FR39" s="281" t="s">
        <v>687</v>
      </c>
      <c r="FS39" s="281"/>
      <c r="FT39" s="291" t="e">
        <f ca="1">FY52</f>
        <v>#REF!</v>
      </c>
      <c r="FU39" s="283"/>
      <c r="FW39" s="533"/>
      <c r="FX39" s="238" t="s">
        <v>179</v>
      </c>
      <c r="FY39" s="299" t="e">
        <f t="shared" ca="1" si="6"/>
        <v>#REF!</v>
      </c>
    </row>
    <row r="40" spans="1:181" ht="12.75" customHeight="1" x14ac:dyDescent="0.2">
      <c r="A40" s="25"/>
      <c r="B40" s="25"/>
      <c r="C40" s="25"/>
      <c r="D40" s="232"/>
      <c r="E40" s="231"/>
      <c r="F40" s="232"/>
      <c r="G40" s="25"/>
      <c r="H40" s="25"/>
      <c r="I40" s="234"/>
      <c r="J40" s="25"/>
      <c r="K40" s="25"/>
      <c r="L40" s="25"/>
      <c r="M40" s="25"/>
      <c r="N40" s="25"/>
      <c r="O40" s="25"/>
      <c r="P40" s="25"/>
      <c r="Q40" s="25"/>
      <c r="R40" s="25"/>
      <c r="S40" s="50"/>
      <c r="T40" s="232"/>
      <c r="U40" s="232"/>
      <c r="V40" s="25"/>
      <c r="W40" s="232"/>
      <c r="X40" s="232"/>
      <c r="Y40" s="25"/>
      <c r="Z40" s="25"/>
      <c r="AA40" s="25"/>
      <c r="AB40" s="232"/>
      <c r="AC40" s="232"/>
      <c r="AD40" s="232"/>
      <c r="AE40" s="25"/>
      <c r="AF40" s="232"/>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1"/>
      <c r="BE40" s="25"/>
      <c r="BF40" s="50"/>
      <c r="BG40" s="50"/>
      <c r="BH40" s="25"/>
      <c r="BI40" s="50"/>
      <c r="BJ40" s="50"/>
      <c r="BK40" s="50"/>
      <c r="BL40" s="232"/>
      <c r="BM40" s="50"/>
      <c r="BN40" s="232"/>
      <c r="BO40" s="50"/>
      <c r="BP40" s="232"/>
      <c r="BQ40" s="232"/>
      <c r="BR40" s="232"/>
      <c r="BS40" s="232"/>
      <c r="BT40" s="232"/>
      <c r="BU40" s="232"/>
      <c r="BV40" s="232"/>
      <c r="BW40" s="232"/>
      <c r="BX40" s="232"/>
      <c r="BY40" s="232"/>
      <c r="BZ40" s="232"/>
      <c r="CA40" s="50"/>
      <c r="CB40" s="232"/>
      <c r="CC40" s="232"/>
      <c r="CE40" s="25"/>
      <c r="CF40" s="232"/>
      <c r="CG40" s="25"/>
      <c r="CH40" s="25"/>
      <c r="CI40" s="25"/>
      <c r="CJ40" s="25"/>
      <c r="CK40" s="25"/>
      <c r="CL40" s="232"/>
      <c r="CM40" s="25"/>
      <c r="CN40" s="232"/>
      <c r="CO40" s="25"/>
      <c r="CP40" s="232"/>
      <c r="CQ40" s="232"/>
      <c r="CR40" s="232"/>
      <c r="CS40" s="232"/>
      <c r="CT40" s="232"/>
      <c r="CU40" s="232"/>
      <c r="CV40" s="232"/>
      <c r="CW40" s="232"/>
      <c r="CX40" s="232"/>
      <c r="CY40" s="232"/>
      <c r="CZ40" s="232"/>
      <c r="DA40" s="25"/>
      <c r="DB40" s="232"/>
      <c r="DC40" s="232"/>
      <c r="DD40" s="232"/>
      <c r="DE40" s="25"/>
      <c r="DF40" s="232"/>
      <c r="DG40" s="25"/>
      <c r="DH40" s="232"/>
      <c r="DI40" s="232"/>
      <c r="DJ40" s="26"/>
      <c r="DK40" s="26"/>
      <c r="DL40" s="26"/>
      <c r="DM40" s="26"/>
      <c r="DN40" s="25"/>
      <c r="DO40" s="25"/>
      <c r="DP40" s="232"/>
      <c r="DQ40" s="25"/>
      <c r="DR40" s="232"/>
      <c r="DS40" s="232"/>
      <c r="DT40" s="25"/>
      <c r="DU40" s="232"/>
      <c r="DV40" s="232"/>
      <c r="DW40" s="232"/>
      <c r="DX40" s="232"/>
      <c r="DY40" s="232"/>
      <c r="DZ40" s="232"/>
      <c r="EA40" s="232"/>
      <c r="EB40" s="232"/>
      <c r="EC40" s="232"/>
      <c r="ED40" s="232"/>
      <c r="EE40" s="232"/>
      <c r="EF40" s="232"/>
      <c r="EG40" s="232"/>
      <c r="EH40" s="26"/>
      <c r="EI40" s="26"/>
      <c r="EJ40" s="26"/>
      <c r="EK40" s="50"/>
      <c r="EL40" s="25"/>
      <c r="EM40" s="232"/>
      <c r="EN40" s="232"/>
      <c r="EO40" s="232"/>
      <c r="EP40" s="232"/>
      <c r="EQ40" s="25"/>
      <c r="ES40" s="25"/>
      <c r="FB40" s="20"/>
      <c r="FC40" s="26"/>
      <c r="FD40" s="26"/>
      <c r="FE40" s="26"/>
      <c r="FF40" s="25"/>
      <c r="FG40" s="25"/>
      <c r="FH40" s="232"/>
      <c r="FI40" s="232"/>
      <c r="FJ40" s="232"/>
      <c r="FK40" s="232"/>
      <c r="FL40" s="232"/>
      <c r="FM40" s="232"/>
      <c r="FN40" s="25"/>
      <c r="FO40" s="232"/>
      <c r="FP40" s="232"/>
      <c r="FR40" s="281" t="s">
        <v>713</v>
      </c>
      <c r="FS40" s="281"/>
      <c r="FT40" s="291" t="e">
        <f ca="1">FY60</f>
        <v>#REF!</v>
      </c>
      <c r="FU40" s="283"/>
      <c r="FW40" s="533"/>
      <c r="FX40" s="238" t="s">
        <v>178</v>
      </c>
      <c r="FY40" s="299" t="e">
        <f t="shared" ca="1" si="6"/>
        <v>#REF!</v>
      </c>
    </row>
    <row r="41" spans="1:181" ht="12.75" customHeight="1" x14ac:dyDescent="0.2">
      <c r="A41" s="25"/>
      <c r="B41" s="25"/>
      <c r="C41" s="25"/>
      <c r="D41" s="232"/>
      <c r="E41" s="231"/>
      <c r="F41" s="232"/>
      <c r="G41" s="25"/>
      <c r="H41" s="25"/>
      <c r="I41" s="234"/>
      <c r="J41" s="25"/>
      <c r="K41" s="25"/>
      <c r="L41" s="25"/>
      <c r="M41" s="25"/>
      <c r="N41" s="25"/>
      <c r="O41" s="25"/>
      <c r="P41" s="25"/>
      <c r="Q41" s="25"/>
      <c r="R41" s="25"/>
      <c r="S41" s="50"/>
      <c r="T41" s="232"/>
      <c r="U41" s="232"/>
      <c r="V41" s="25"/>
      <c r="W41" s="232"/>
      <c r="X41" s="232"/>
      <c r="Y41" s="25"/>
      <c r="Z41" s="25"/>
      <c r="AA41" s="25"/>
      <c r="AB41" s="232"/>
      <c r="AC41" s="232"/>
      <c r="AD41" s="232"/>
      <c r="AE41" s="25"/>
      <c r="AF41" s="232"/>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1"/>
      <c r="BE41" s="25"/>
      <c r="BF41" s="50"/>
      <c r="BG41" s="50"/>
      <c r="BH41" s="25"/>
      <c r="BI41" s="50"/>
      <c r="BJ41" s="50"/>
      <c r="BK41" s="50"/>
      <c r="BL41" s="232"/>
      <c r="BM41" s="50"/>
      <c r="BN41" s="232"/>
      <c r="BO41" s="50"/>
      <c r="BP41" s="232"/>
      <c r="BQ41" s="232"/>
      <c r="BR41" s="232"/>
      <c r="BS41" s="232"/>
      <c r="BT41" s="232"/>
      <c r="BU41" s="232"/>
      <c r="BV41" s="232"/>
      <c r="BW41" s="232"/>
      <c r="BX41" s="232"/>
      <c r="BY41" s="232"/>
      <c r="BZ41" s="232"/>
      <c r="CA41" s="50"/>
      <c r="CB41" s="232"/>
      <c r="CC41" s="232"/>
      <c r="CE41" s="25"/>
      <c r="CF41" s="232"/>
      <c r="CG41" s="25"/>
      <c r="CH41" s="25"/>
      <c r="CI41" s="25"/>
      <c r="CJ41" s="25"/>
      <c r="CK41" s="25"/>
      <c r="CL41" s="232"/>
      <c r="CM41" s="25"/>
      <c r="CN41" s="232"/>
      <c r="CO41" s="25"/>
      <c r="CP41" s="232"/>
      <c r="CQ41" s="232"/>
      <c r="CR41" s="232"/>
      <c r="CS41" s="232"/>
      <c r="CT41" s="232"/>
      <c r="CU41" s="232"/>
      <c r="CV41" s="232"/>
      <c r="CW41" s="232"/>
      <c r="CX41" s="232"/>
      <c r="CY41" s="232"/>
      <c r="CZ41" s="232"/>
      <c r="DA41" s="25"/>
      <c r="DB41" s="232"/>
      <c r="DC41" s="232"/>
      <c r="DD41" s="232"/>
      <c r="DE41" s="25"/>
      <c r="DF41" s="232"/>
      <c r="DG41" s="25"/>
      <c r="DH41" s="232"/>
      <c r="DI41" s="232"/>
      <c r="DJ41" s="26"/>
      <c r="DK41" s="26"/>
      <c r="DL41" s="26"/>
      <c r="DM41" s="26"/>
      <c r="DN41" s="25"/>
      <c r="DO41" s="25"/>
      <c r="DP41" s="232"/>
      <c r="DQ41" s="25"/>
      <c r="DR41" s="232"/>
      <c r="DS41" s="232"/>
      <c r="DT41" s="25"/>
      <c r="DU41" s="232"/>
      <c r="DV41" s="232"/>
      <c r="DW41" s="232"/>
      <c r="DX41" s="232"/>
      <c r="DY41" s="232"/>
      <c r="DZ41" s="232"/>
      <c r="EA41" s="232"/>
      <c r="EB41" s="232"/>
      <c r="EC41" s="232"/>
      <c r="ED41" s="232"/>
      <c r="EE41" s="232"/>
      <c r="EF41" s="232"/>
      <c r="EG41" s="232"/>
      <c r="EH41" s="26"/>
      <c r="EI41" s="26"/>
      <c r="EJ41" s="26"/>
      <c r="EK41" s="50"/>
      <c r="EL41" s="25"/>
      <c r="EM41" s="232"/>
      <c r="EN41" s="232"/>
      <c r="EO41" s="232"/>
      <c r="EP41" s="232"/>
      <c r="EQ41" s="25"/>
      <c r="ES41" s="25"/>
      <c r="FB41" s="20"/>
      <c r="FC41" s="26"/>
      <c r="FD41" s="26"/>
      <c r="FE41" s="26"/>
      <c r="FF41" s="25"/>
      <c r="FG41" s="25"/>
      <c r="FH41" s="232"/>
      <c r="FI41" s="232"/>
      <c r="FJ41" s="232"/>
      <c r="FK41" s="232"/>
      <c r="FL41" s="232"/>
      <c r="FM41" s="232"/>
      <c r="FN41" s="25"/>
      <c r="FO41" s="232"/>
      <c r="FP41" s="232"/>
      <c r="FR41" s="281" t="s">
        <v>786</v>
      </c>
      <c r="FS41" s="281" t="s">
        <v>181</v>
      </c>
      <c r="FT41" s="304">
        <f t="shared" ref="FT41:FT46" ca="1" si="7">FY69</f>
        <v>0</v>
      </c>
      <c r="FU41" s="283"/>
      <c r="FW41" s="533"/>
      <c r="FX41" s="238" t="s">
        <v>177</v>
      </c>
      <c r="FY41" s="299" t="e">
        <f t="shared" ca="1" si="6"/>
        <v>#REF!</v>
      </c>
    </row>
    <row r="42" spans="1:181" ht="12.75" customHeight="1" x14ac:dyDescent="0.2">
      <c r="A42" s="25"/>
      <c r="B42" s="25"/>
      <c r="C42" s="25"/>
      <c r="D42" s="232"/>
      <c r="E42" s="231"/>
      <c r="F42" s="232"/>
      <c r="G42" s="25"/>
      <c r="H42" s="25"/>
      <c r="I42" s="234"/>
      <c r="J42" s="25"/>
      <c r="K42" s="25"/>
      <c r="L42" s="25"/>
      <c r="M42" s="25"/>
      <c r="N42" s="25"/>
      <c r="O42" s="25"/>
      <c r="P42" s="25"/>
      <c r="Q42" s="25"/>
      <c r="R42" s="25"/>
      <c r="S42" s="50"/>
      <c r="T42" s="232"/>
      <c r="U42" s="232"/>
      <c r="V42" s="25"/>
      <c r="W42" s="232"/>
      <c r="X42" s="232"/>
      <c r="Y42" s="25"/>
      <c r="Z42" s="25"/>
      <c r="AA42" s="25"/>
      <c r="AB42" s="232"/>
      <c r="AC42" s="232"/>
      <c r="AD42" s="232"/>
      <c r="AE42" s="25"/>
      <c r="AF42" s="232"/>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1"/>
      <c r="BE42" s="25"/>
      <c r="BF42" s="50"/>
      <c r="BG42" s="50"/>
      <c r="BH42" s="25"/>
      <c r="BI42" s="50"/>
      <c r="BJ42" s="50"/>
      <c r="BK42" s="50"/>
      <c r="BL42" s="232"/>
      <c r="BM42" s="50"/>
      <c r="BN42" s="232"/>
      <c r="BO42" s="50"/>
      <c r="BP42" s="232"/>
      <c r="BQ42" s="232"/>
      <c r="BR42" s="232"/>
      <c r="BS42" s="232"/>
      <c r="BT42" s="232"/>
      <c r="BU42" s="232"/>
      <c r="BV42" s="232"/>
      <c r="BW42" s="232"/>
      <c r="BX42" s="232"/>
      <c r="BY42" s="232"/>
      <c r="BZ42" s="232"/>
      <c r="CA42" s="50"/>
      <c r="CB42" s="232"/>
      <c r="CC42" s="232"/>
      <c r="CE42" s="25"/>
      <c r="CF42" s="232"/>
      <c r="CG42" s="25"/>
      <c r="CH42" s="25"/>
      <c r="CI42" s="25"/>
      <c r="CJ42" s="25"/>
      <c r="CK42" s="25"/>
      <c r="CL42" s="232"/>
      <c r="CM42" s="25"/>
      <c r="CN42" s="232"/>
      <c r="CO42" s="25"/>
      <c r="CP42" s="232"/>
      <c r="CQ42" s="232"/>
      <c r="CR42" s="232"/>
      <c r="CS42" s="232"/>
      <c r="CT42" s="232"/>
      <c r="CU42" s="232"/>
      <c r="CV42" s="232"/>
      <c r="CW42" s="232"/>
      <c r="CX42" s="232"/>
      <c r="CY42" s="232"/>
      <c r="CZ42" s="232"/>
      <c r="DA42" s="25"/>
      <c r="DB42" s="232"/>
      <c r="DC42" s="232"/>
      <c r="DD42" s="232"/>
      <c r="DE42" s="25"/>
      <c r="DF42" s="232"/>
      <c r="DG42" s="25"/>
      <c r="DH42" s="232"/>
      <c r="DI42" s="232"/>
      <c r="DJ42" s="26"/>
      <c r="DK42" s="26"/>
      <c r="DL42" s="26"/>
      <c r="DM42" s="26"/>
      <c r="DN42" s="25"/>
      <c r="DO42" s="25"/>
      <c r="DP42" s="232"/>
      <c r="DQ42" s="25"/>
      <c r="DR42" s="232"/>
      <c r="DS42" s="232"/>
      <c r="DT42" s="25"/>
      <c r="DU42" s="232"/>
      <c r="DV42" s="232"/>
      <c r="DW42" s="232"/>
      <c r="DX42" s="232"/>
      <c r="DY42" s="232"/>
      <c r="DZ42" s="232"/>
      <c r="EA42" s="232"/>
      <c r="EB42" s="232"/>
      <c r="EC42" s="232"/>
      <c r="ED42" s="232"/>
      <c r="EE42" s="232"/>
      <c r="EF42" s="232"/>
      <c r="EG42" s="232"/>
      <c r="EH42" s="26"/>
      <c r="EI42" s="26"/>
      <c r="EJ42" s="26"/>
      <c r="EK42" s="50"/>
      <c r="EL42" s="25"/>
      <c r="EM42" s="232"/>
      <c r="EN42" s="232"/>
      <c r="EO42" s="232"/>
      <c r="EP42" s="232"/>
      <c r="EQ42" s="25"/>
      <c r="ES42" s="25"/>
      <c r="FB42" s="20"/>
      <c r="FC42" s="26"/>
      <c r="FD42" s="26"/>
      <c r="FE42" s="26"/>
      <c r="FF42" s="25"/>
      <c r="FG42" s="25"/>
      <c r="FH42" s="232"/>
      <c r="FI42" s="232"/>
      <c r="FJ42" s="232"/>
      <c r="FK42" s="232"/>
      <c r="FL42" s="232"/>
      <c r="FM42" s="232"/>
      <c r="FN42" s="25"/>
      <c r="FO42" s="232"/>
      <c r="FP42" s="232"/>
      <c r="FR42" s="281"/>
      <c r="FS42" s="281" t="s">
        <v>180</v>
      </c>
      <c r="FT42" s="304">
        <f t="shared" ca="1" si="7"/>
        <v>0</v>
      </c>
      <c r="FU42" s="283"/>
      <c r="FW42" s="533"/>
      <c r="FX42" s="238" t="s">
        <v>176</v>
      </c>
      <c r="FY42" s="299" t="e">
        <f t="shared" ca="1" si="6"/>
        <v>#REF!</v>
      </c>
    </row>
    <row r="43" spans="1:181" ht="12.75" customHeight="1" x14ac:dyDescent="0.2">
      <c r="A43" s="25"/>
      <c r="B43" s="25"/>
      <c r="C43" s="25"/>
      <c r="D43" s="232"/>
      <c r="E43" s="231"/>
      <c r="F43" s="232"/>
      <c r="G43" s="25"/>
      <c r="H43" s="25"/>
      <c r="I43" s="234"/>
      <c r="J43" s="25"/>
      <c r="K43" s="25"/>
      <c r="L43" s="25"/>
      <c r="M43" s="25"/>
      <c r="N43" s="25"/>
      <c r="O43" s="25"/>
      <c r="P43" s="25"/>
      <c r="Q43" s="25"/>
      <c r="R43" s="25"/>
      <c r="S43" s="50"/>
      <c r="T43" s="232"/>
      <c r="U43" s="232"/>
      <c r="V43" s="25"/>
      <c r="W43" s="232"/>
      <c r="X43" s="232"/>
      <c r="Y43" s="25"/>
      <c r="Z43" s="25"/>
      <c r="AA43" s="25"/>
      <c r="AB43" s="232"/>
      <c r="AC43" s="232"/>
      <c r="AD43" s="232"/>
      <c r="AE43" s="25"/>
      <c r="AF43" s="232"/>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1"/>
      <c r="BE43" s="25"/>
      <c r="BF43" s="50"/>
      <c r="BG43" s="50"/>
      <c r="BH43" s="25"/>
      <c r="BI43" s="50"/>
      <c r="BJ43" s="50"/>
      <c r="BK43" s="50"/>
      <c r="BL43" s="232"/>
      <c r="BM43" s="50"/>
      <c r="BN43" s="232"/>
      <c r="BO43" s="50"/>
      <c r="BP43" s="232"/>
      <c r="BQ43" s="232"/>
      <c r="BR43" s="232"/>
      <c r="BS43" s="232"/>
      <c r="BT43" s="232"/>
      <c r="BU43" s="232"/>
      <c r="BV43" s="232"/>
      <c r="BW43" s="232"/>
      <c r="BX43" s="232"/>
      <c r="BY43" s="232"/>
      <c r="BZ43" s="232"/>
      <c r="CA43" s="50"/>
      <c r="CB43" s="232"/>
      <c r="CC43" s="232"/>
      <c r="CE43" s="25"/>
      <c r="CF43" s="232"/>
      <c r="CG43" s="25"/>
      <c r="CH43" s="25"/>
      <c r="CI43" s="25"/>
      <c r="CJ43" s="25"/>
      <c r="CK43" s="25"/>
      <c r="CL43" s="232"/>
      <c r="CM43" s="25"/>
      <c r="CN43" s="232"/>
      <c r="CO43" s="25"/>
      <c r="CP43" s="232"/>
      <c r="CQ43" s="232"/>
      <c r="CR43" s="232"/>
      <c r="CS43" s="232"/>
      <c r="CT43" s="232"/>
      <c r="CU43" s="232"/>
      <c r="CV43" s="232"/>
      <c r="CW43" s="232"/>
      <c r="CX43" s="232"/>
      <c r="CY43" s="232"/>
      <c r="CZ43" s="232"/>
      <c r="DA43" s="25"/>
      <c r="DB43" s="232"/>
      <c r="DC43" s="232"/>
      <c r="DD43" s="232"/>
      <c r="DE43" s="25"/>
      <c r="DF43" s="232"/>
      <c r="DG43" s="25"/>
      <c r="DH43" s="232"/>
      <c r="DI43" s="232"/>
      <c r="DJ43" s="26"/>
      <c r="DK43" s="26"/>
      <c r="DL43" s="26"/>
      <c r="DM43" s="26"/>
      <c r="DN43" s="25"/>
      <c r="DO43" s="25"/>
      <c r="DP43" s="232"/>
      <c r="DQ43" s="25"/>
      <c r="DR43" s="232"/>
      <c r="DS43" s="232"/>
      <c r="DT43" s="25"/>
      <c r="DU43" s="232"/>
      <c r="DV43" s="232"/>
      <c r="DW43" s="232"/>
      <c r="DX43" s="232"/>
      <c r="DY43" s="232"/>
      <c r="DZ43" s="232"/>
      <c r="EA43" s="232"/>
      <c r="EB43" s="232"/>
      <c r="EC43" s="232"/>
      <c r="ED43" s="232"/>
      <c r="EE43" s="232"/>
      <c r="EF43" s="232"/>
      <c r="EG43" s="232"/>
      <c r="EH43" s="26"/>
      <c r="EI43" s="26"/>
      <c r="EJ43" s="26"/>
      <c r="EK43" s="50"/>
      <c r="EL43" s="25"/>
      <c r="EM43" s="232"/>
      <c r="EN43" s="232"/>
      <c r="EO43" s="232"/>
      <c r="EP43" s="232"/>
      <c r="EQ43" s="25"/>
      <c r="ES43" s="25"/>
      <c r="FB43" s="20"/>
      <c r="FC43" s="26"/>
      <c r="FD43" s="26"/>
      <c r="FE43" s="26"/>
      <c r="FF43" s="25"/>
      <c r="FG43" s="25"/>
      <c r="FH43" s="232"/>
      <c r="FI43" s="232"/>
      <c r="FJ43" s="232"/>
      <c r="FK43" s="232"/>
      <c r="FL43" s="232"/>
      <c r="FM43" s="232"/>
      <c r="FN43" s="25"/>
      <c r="FO43" s="232"/>
      <c r="FP43" s="232"/>
      <c r="FR43" s="281"/>
      <c r="FS43" s="281" t="s">
        <v>179</v>
      </c>
      <c r="FT43" s="304">
        <f t="shared" ca="1" si="7"/>
        <v>0</v>
      </c>
      <c r="FU43" s="283"/>
      <c r="FW43" s="533"/>
      <c r="FX43" s="238" t="s">
        <v>25</v>
      </c>
      <c r="FY43" s="299" t="e">
        <f t="shared" ca="1" si="6"/>
        <v>#REF!</v>
      </c>
    </row>
    <row r="44" spans="1:181" ht="12.75" customHeight="1" x14ac:dyDescent="0.2">
      <c r="A44" s="25"/>
      <c r="B44" s="25"/>
      <c r="C44" s="25"/>
      <c r="D44" s="232"/>
      <c r="E44" s="231"/>
      <c r="F44" s="232"/>
      <c r="G44" s="25"/>
      <c r="H44" s="25"/>
      <c r="I44" s="234"/>
      <c r="J44" s="25"/>
      <c r="K44" s="25"/>
      <c r="L44" s="25"/>
      <c r="M44" s="25"/>
      <c r="N44" s="25"/>
      <c r="O44" s="25"/>
      <c r="P44" s="25"/>
      <c r="Q44" s="25"/>
      <c r="R44" s="25"/>
      <c r="S44" s="50"/>
      <c r="T44" s="232"/>
      <c r="U44" s="232"/>
      <c r="V44" s="25"/>
      <c r="W44" s="232"/>
      <c r="X44" s="232"/>
      <c r="Y44" s="25"/>
      <c r="Z44" s="25"/>
      <c r="AA44" s="25"/>
      <c r="AB44" s="232"/>
      <c r="AC44" s="232"/>
      <c r="AD44" s="232"/>
      <c r="AE44" s="25"/>
      <c r="AF44" s="232"/>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1"/>
      <c r="BE44" s="25"/>
      <c r="BF44" s="50"/>
      <c r="BG44" s="50"/>
      <c r="BH44" s="25"/>
      <c r="BI44" s="50"/>
      <c r="BJ44" s="50"/>
      <c r="BK44" s="50"/>
      <c r="BL44" s="232"/>
      <c r="BM44" s="50"/>
      <c r="BN44" s="232"/>
      <c r="BO44" s="50"/>
      <c r="BP44" s="232"/>
      <c r="BQ44" s="232"/>
      <c r="BR44" s="232"/>
      <c r="BS44" s="232"/>
      <c r="BT44" s="232"/>
      <c r="BU44" s="232"/>
      <c r="BV44" s="232"/>
      <c r="BW44" s="232"/>
      <c r="BX44" s="232"/>
      <c r="BY44" s="232"/>
      <c r="BZ44" s="232"/>
      <c r="CA44" s="50"/>
      <c r="CB44" s="232"/>
      <c r="CC44" s="232"/>
      <c r="CE44" s="25"/>
      <c r="CF44" s="232"/>
      <c r="CG44" s="25"/>
      <c r="CH44" s="25"/>
      <c r="CI44" s="25"/>
      <c r="CJ44" s="25"/>
      <c r="CK44" s="25"/>
      <c r="CL44" s="232"/>
      <c r="CM44" s="25"/>
      <c r="CN44" s="232"/>
      <c r="CO44" s="25"/>
      <c r="CP44" s="232"/>
      <c r="CQ44" s="232"/>
      <c r="CR44" s="232"/>
      <c r="CS44" s="232"/>
      <c r="CT44" s="232"/>
      <c r="CU44" s="232"/>
      <c r="CV44" s="232"/>
      <c r="CW44" s="232"/>
      <c r="CX44" s="232"/>
      <c r="CY44" s="232"/>
      <c r="CZ44" s="232"/>
      <c r="DA44" s="25"/>
      <c r="DB44" s="232"/>
      <c r="DC44" s="232"/>
      <c r="DD44" s="232"/>
      <c r="DE44" s="25"/>
      <c r="DF44" s="232"/>
      <c r="DG44" s="25"/>
      <c r="DH44" s="232"/>
      <c r="DI44" s="232"/>
      <c r="DJ44" s="26"/>
      <c r="DK44" s="26"/>
      <c r="DL44" s="26"/>
      <c r="DM44" s="26"/>
      <c r="DN44" s="25"/>
      <c r="DO44" s="25"/>
      <c r="DP44" s="232"/>
      <c r="DQ44" s="25"/>
      <c r="DR44" s="232"/>
      <c r="DS44" s="232"/>
      <c r="DT44" s="25"/>
      <c r="DU44" s="232"/>
      <c r="DV44" s="232"/>
      <c r="DW44" s="232"/>
      <c r="DX44" s="232"/>
      <c r="DY44" s="232"/>
      <c r="DZ44" s="232"/>
      <c r="EA44" s="232"/>
      <c r="EB44" s="232"/>
      <c r="EC44" s="232"/>
      <c r="ED44" s="232"/>
      <c r="EE44" s="232"/>
      <c r="EF44" s="232"/>
      <c r="EG44" s="232"/>
      <c r="EH44" s="26"/>
      <c r="EI44" s="26"/>
      <c r="EJ44" s="26"/>
      <c r="EK44" s="50"/>
      <c r="EL44" s="25"/>
      <c r="EM44" s="232"/>
      <c r="EN44" s="232"/>
      <c r="EO44" s="232"/>
      <c r="EP44" s="232"/>
      <c r="EQ44" s="25"/>
      <c r="ES44" s="25"/>
      <c r="FB44" s="20"/>
      <c r="FC44" s="26"/>
      <c r="FD44" s="26"/>
      <c r="FE44" s="26"/>
      <c r="FF44" s="25"/>
      <c r="FG44" s="25"/>
      <c r="FH44" s="232"/>
      <c r="FI44" s="232"/>
      <c r="FJ44" s="232"/>
      <c r="FK44" s="232"/>
      <c r="FL44" s="232"/>
      <c r="FM44" s="232"/>
      <c r="FN44" s="25"/>
      <c r="FO44" s="232"/>
      <c r="FP44" s="232"/>
      <c r="FR44" s="281"/>
      <c r="FS44" s="281" t="s">
        <v>178</v>
      </c>
      <c r="FT44" s="304">
        <f t="shared" ca="1" si="7"/>
        <v>0</v>
      </c>
      <c r="FU44" s="283"/>
      <c r="FW44" s="533"/>
      <c r="FX44" s="238" t="s">
        <v>706</v>
      </c>
      <c r="FY44" s="299" t="e">
        <f ca="1">SUM(FY37:FY43)</f>
        <v>#REF!</v>
      </c>
    </row>
    <row r="45" spans="1:181" ht="12.75" customHeight="1" x14ac:dyDescent="0.2">
      <c r="A45" s="25"/>
      <c r="B45" s="25"/>
      <c r="C45" s="25"/>
      <c r="D45" s="232"/>
      <c r="E45" s="231"/>
      <c r="F45" s="232"/>
      <c r="G45" s="25"/>
      <c r="H45" s="25"/>
      <c r="I45" s="234"/>
      <c r="J45" s="25"/>
      <c r="K45" s="25"/>
      <c r="L45" s="25"/>
      <c r="M45" s="25"/>
      <c r="N45" s="25"/>
      <c r="O45" s="25"/>
      <c r="P45" s="25"/>
      <c r="Q45" s="25"/>
      <c r="R45" s="25"/>
      <c r="S45" s="50"/>
      <c r="T45" s="232"/>
      <c r="U45" s="232"/>
      <c r="V45" s="25"/>
      <c r="W45" s="232"/>
      <c r="X45" s="232"/>
      <c r="Y45" s="25"/>
      <c r="Z45" s="25"/>
      <c r="AA45" s="25"/>
      <c r="AB45" s="232"/>
      <c r="AC45" s="232"/>
      <c r="AD45" s="232"/>
      <c r="AE45" s="25"/>
      <c r="AF45" s="232"/>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1"/>
      <c r="BE45" s="25"/>
      <c r="BF45" s="50"/>
      <c r="BG45" s="50"/>
      <c r="BH45" s="25"/>
      <c r="BI45" s="50"/>
      <c r="BJ45" s="50"/>
      <c r="BK45" s="50"/>
      <c r="BL45" s="232"/>
      <c r="BM45" s="50"/>
      <c r="BN45" s="232"/>
      <c r="BO45" s="50"/>
      <c r="BP45" s="232"/>
      <c r="BQ45" s="232"/>
      <c r="BR45" s="232"/>
      <c r="BS45" s="232"/>
      <c r="BT45" s="232"/>
      <c r="BU45" s="232"/>
      <c r="BV45" s="232"/>
      <c r="BW45" s="232"/>
      <c r="BX45" s="232"/>
      <c r="BY45" s="232"/>
      <c r="BZ45" s="232"/>
      <c r="CA45" s="50"/>
      <c r="CB45" s="232"/>
      <c r="CC45" s="232"/>
      <c r="CE45" s="25"/>
      <c r="CF45" s="232"/>
      <c r="CG45" s="25"/>
      <c r="CH45" s="25"/>
      <c r="CI45" s="25"/>
      <c r="CJ45" s="25"/>
      <c r="CK45" s="25"/>
      <c r="CL45" s="232"/>
      <c r="CM45" s="25"/>
      <c r="CN45" s="232"/>
      <c r="CO45" s="25"/>
      <c r="CP45" s="232"/>
      <c r="CQ45" s="232"/>
      <c r="CR45" s="232"/>
      <c r="CS45" s="232"/>
      <c r="CT45" s="232"/>
      <c r="CU45" s="232"/>
      <c r="CV45" s="232"/>
      <c r="CW45" s="232"/>
      <c r="CX45" s="232"/>
      <c r="CY45" s="232"/>
      <c r="CZ45" s="232"/>
      <c r="DA45" s="25"/>
      <c r="DB45" s="232"/>
      <c r="DC45" s="232"/>
      <c r="DD45" s="232"/>
      <c r="DE45" s="25"/>
      <c r="DF45" s="232"/>
      <c r="DG45" s="25"/>
      <c r="DH45" s="232"/>
      <c r="DI45" s="232"/>
      <c r="DJ45" s="26"/>
      <c r="DK45" s="26"/>
      <c r="DL45" s="26"/>
      <c r="DM45" s="26"/>
      <c r="DN45" s="25"/>
      <c r="DO45" s="25"/>
      <c r="DP45" s="232"/>
      <c r="DQ45" s="25"/>
      <c r="DR45" s="232"/>
      <c r="DS45" s="232"/>
      <c r="DT45" s="25"/>
      <c r="DU45" s="232"/>
      <c r="DV45" s="232"/>
      <c r="DW45" s="232"/>
      <c r="DX45" s="232"/>
      <c r="DY45" s="232"/>
      <c r="DZ45" s="232"/>
      <c r="EA45" s="232"/>
      <c r="EB45" s="232"/>
      <c r="EC45" s="232"/>
      <c r="ED45" s="232"/>
      <c r="EE45" s="232"/>
      <c r="EF45" s="232"/>
      <c r="EG45" s="232"/>
      <c r="EH45" s="26"/>
      <c r="EI45" s="26"/>
      <c r="EJ45" s="26"/>
      <c r="EK45" s="50"/>
      <c r="EL45" s="25"/>
      <c r="EM45" s="232"/>
      <c r="EN45" s="232"/>
      <c r="EO45" s="232"/>
      <c r="EP45" s="232"/>
      <c r="EQ45" s="25"/>
      <c r="ES45" s="25"/>
      <c r="FB45" s="20"/>
      <c r="FC45" s="26"/>
      <c r="FD45" s="26"/>
      <c r="FE45" s="26"/>
      <c r="FF45" s="25"/>
      <c r="FG45" s="25"/>
      <c r="FH45" s="232"/>
      <c r="FI45" s="232"/>
      <c r="FJ45" s="232"/>
      <c r="FK45" s="232"/>
      <c r="FL45" s="232"/>
      <c r="FM45" s="232"/>
      <c r="FN45" s="25"/>
      <c r="FO45" s="232"/>
      <c r="FP45" s="232"/>
      <c r="FR45" s="281"/>
      <c r="FS45" s="281" t="s">
        <v>177</v>
      </c>
      <c r="FT45" s="304">
        <f t="shared" ca="1" si="7"/>
        <v>0</v>
      </c>
      <c r="FU45" s="283"/>
      <c r="FW45" s="533" t="s">
        <v>687</v>
      </c>
      <c r="FX45" s="238" t="s">
        <v>181</v>
      </c>
      <c r="FY45" s="299" t="e">
        <f t="shared" ref="FY45:FY51" ca="1" si="8">SUMIFS(Str_NumOfStructures,yn_SCIAv,"&gt;=40",Str_AVFStructureType,$FV5)-FY37-FY29-FY21</f>
        <v>#REF!</v>
      </c>
    </row>
    <row r="46" spans="1:181" ht="12.75" customHeight="1" x14ac:dyDescent="0.2">
      <c r="A46" s="25"/>
      <c r="B46" s="25"/>
      <c r="C46" s="25"/>
      <c r="D46" s="232"/>
      <c r="E46" s="231"/>
      <c r="F46" s="232"/>
      <c r="G46" s="25"/>
      <c r="H46" s="25"/>
      <c r="I46" s="234"/>
      <c r="J46" s="25"/>
      <c r="K46" s="25"/>
      <c r="L46" s="25"/>
      <c r="M46" s="25"/>
      <c r="N46" s="25"/>
      <c r="O46" s="25"/>
      <c r="P46" s="25"/>
      <c r="Q46" s="25"/>
      <c r="R46" s="25"/>
      <c r="S46" s="50"/>
      <c r="T46" s="232"/>
      <c r="U46" s="232"/>
      <c r="V46" s="25"/>
      <c r="W46" s="232"/>
      <c r="X46" s="232"/>
      <c r="Y46" s="25"/>
      <c r="Z46" s="25"/>
      <c r="AA46" s="25"/>
      <c r="AB46" s="232"/>
      <c r="AC46" s="232"/>
      <c r="AD46" s="232"/>
      <c r="AE46" s="25"/>
      <c r="AF46" s="232"/>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1"/>
      <c r="BE46" s="25"/>
      <c r="BF46" s="50"/>
      <c r="BG46" s="50"/>
      <c r="BH46" s="25"/>
      <c r="BI46" s="50"/>
      <c r="BJ46" s="50"/>
      <c r="BK46" s="50"/>
      <c r="BL46" s="232"/>
      <c r="BM46" s="50"/>
      <c r="BN46" s="232"/>
      <c r="BO46" s="50"/>
      <c r="BP46" s="232"/>
      <c r="BQ46" s="232"/>
      <c r="BR46" s="232"/>
      <c r="BS46" s="232"/>
      <c r="BT46" s="232"/>
      <c r="BU46" s="232"/>
      <c r="BV46" s="232"/>
      <c r="BW46" s="232"/>
      <c r="BX46" s="232"/>
      <c r="BY46" s="232"/>
      <c r="BZ46" s="232"/>
      <c r="CA46" s="50"/>
      <c r="CB46" s="232"/>
      <c r="CC46" s="232"/>
      <c r="CE46" s="25"/>
      <c r="CF46" s="232"/>
      <c r="CG46" s="25"/>
      <c r="CH46" s="25"/>
      <c r="CI46" s="25"/>
      <c r="CJ46" s="25"/>
      <c r="CK46" s="25"/>
      <c r="CL46" s="232"/>
      <c r="CM46" s="25"/>
      <c r="CN46" s="232"/>
      <c r="CO46" s="25"/>
      <c r="CP46" s="232"/>
      <c r="CQ46" s="232"/>
      <c r="CR46" s="232"/>
      <c r="CS46" s="232"/>
      <c r="CT46" s="232"/>
      <c r="CU46" s="232"/>
      <c r="CV46" s="232"/>
      <c r="CW46" s="232"/>
      <c r="CX46" s="232"/>
      <c r="CY46" s="232"/>
      <c r="CZ46" s="232"/>
      <c r="DA46" s="25"/>
      <c r="DB46" s="232"/>
      <c r="DC46" s="232"/>
      <c r="DD46" s="232"/>
      <c r="DE46" s="25"/>
      <c r="DF46" s="232"/>
      <c r="DG46" s="25"/>
      <c r="DH46" s="232"/>
      <c r="DI46" s="232"/>
      <c r="DJ46" s="26"/>
      <c r="DK46" s="26"/>
      <c r="DL46" s="26"/>
      <c r="DM46" s="26"/>
      <c r="DN46" s="25"/>
      <c r="DO46" s="25"/>
      <c r="DP46" s="232"/>
      <c r="DQ46" s="25"/>
      <c r="DR46" s="232"/>
      <c r="DS46" s="232"/>
      <c r="DT46" s="25"/>
      <c r="DU46" s="232"/>
      <c r="DV46" s="232"/>
      <c r="DW46" s="232"/>
      <c r="DX46" s="232"/>
      <c r="DY46" s="232"/>
      <c r="DZ46" s="232"/>
      <c r="EA46" s="232"/>
      <c r="EB46" s="232"/>
      <c r="EC46" s="232"/>
      <c r="ED46" s="232"/>
      <c r="EE46" s="232"/>
      <c r="EF46" s="232"/>
      <c r="EG46" s="232"/>
      <c r="EH46" s="26"/>
      <c r="EI46" s="26"/>
      <c r="EJ46" s="26"/>
      <c r="EK46" s="50"/>
      <c r="EL46" s="25"/>
      <c r="EM46" s="232"/>
      <c r="EN46" s="232"/>
      <c r="EO46" s="232"/>
      <c r="EP46" s="232"/>
      <c r="EQ46" s="25"/>
      <c r="ES46" s="25"/>
      <c r="FB46" s="20"/>
      <c r="FC46" s="26"/>
      <c r="FD46" s="26"/>
      <c r="FE46" s="26"/>
      <c r="FF46" s="25"/>
      <c r="FG46" s="25"/>
      <c r="FH46" s="232"/>
      <c r="FI46" s="232"/>
      <c r="FJ46" s="232"/>
      <c r="FK46" s="232"/>
      <c r="FL46" s="232"/>
      <c r="FM46" s="232"/>
      <c r="FN46" s="25"/>
      <c r="FO46" s="232"/>
      <c r="FP46" s="232"/>
      <c r="FR46" s="281"/>
      <c r="FS46" s="281" t="s">
        <v>176</v>
      </c>
      <c r="FT46" s="304">
        <f t="shared" ca="1" si="7"/>
        <v>0</v>
      </c>
      <c r="FU46" s="283"/>
      <c r="FW46" s="533"/>
      <c r="FX46" s="238" t="s">
        <v>180</v>
      </c>
      <c r="FY46" s="299" t="e">
        <f t="shared" ca="1" si="8"/>
        <v>#REF!</v>
      </c>
    </row>
    <row r="47" spans="1:181" ht="12.75" customHeight="1" x14ac:dyDescent="0.2">
      <c r="A47" s="25"/>
      <c r="B47" s="25"/>
      <c r="C47" s="25"/>
      <c r="D47" s="232"/>
      <c r="E47" s="231"/>
      <c r="F47" s="232"/>
      <c r="G47" s="25"/>
      <c r="H47" s="25"/>
      <c r="I47" s="234"/>
      <c r="J47" s="25"/>
      <c r="K47" s="25"/>
      <c r="L47" s="25"/>
      <c r="M47" s="25"/>
      <c r="N47" s="25"/>
      <c r="O47" s="25"/>
      <c r="P47" s="25"/>
      <c r="Q47" s="25"/>
      <c r="R47" s="25"/>
      <c r="S47" s="50"/>
      <c r="T47" s="232"/>
      <c r="U47" s="232"/>
      <c r="V47" s="25"/>
      <c r="W47" s="232"/>
      <c r="X47" s="232"/>
      <c r="Y47" s="25"/>
      <c r="Z47" s="25"/>
      <c r="AA47" s="25"/>
      <c r="AB47" s="232"/>
      <c r="AC47" s="232"/>
      <c r="AD47" s="232"/>
      <c r="AE47" s="25"/>
      <c r="AF47" s="232"/>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1"/>
      <c r="BE47" s="25"/>
      <c r="BF47" s="50"/>
      <c r="BG47" s="50"/>
      <c r="BH47" s="25"/>
      <c r="BI47" s="50"/>
      <c r="BJ47" s="50"/>
      <c r="BK47" s="50"/>
      <c r="BL47" s="232"/>
      <c r="BM47" s="50"/>
      <c r="BN47" s="232"/>
      <c r="BO47" s="50"/>
      <c r="BP47" s="232"/>
      <c r="BQ47" s="232"/>
      <c r="BR47" s="232"/>
      <c r="BS47" s="232"/>
      <c r="BT47" s="232"/>
      <c r="BU47" s="232"/>
      <c r="BV47" s="232"/>
      <c r="BW47" s="232"/>
      <c r="BX47" s="232"/>
      <c r="BY47" s="232"/>
      <c r="BZ47" s="232"/>
      <c r="CA47" s="50"/>
      <c r="CB47" s="232"/>
      <c r="CC47" s="232"/>
      <c r="CE47" s="25"/>
      <c r="CF47" s="232"/>
      <c r="CG47" s="25"/>
      <c r="CH47" s="25"/>
      <c r="CI47" s="25"/>
      <c r="CJ47" s="25"/>
      <c r="CK47" s="25"/>
      <c r="CL47" s="232"/>
      <c r="CM47" s="25"/>
      <c r="CN47" s="232"/>
      <c r="CO47" s="25"/>
      <c r="CP47" s="232"/>
      <c r="CQ47" s="232"/>
      <c r="CR47" s="232"/>
      <c r="CS47" s="232"/>
      <c r="CT47" s="232"/>
      <c r="CU47" s="232"/>
      <c r="CV47" s="232"/>
      <c r="CW47" s="232"/>
      <c r="CX47" s="232"/>
      <c r="CY47" s="232"/>
      <c r="CZ47" s="232"/>
      <c r="DA47" s="25"/>
      <c r="DB47" s="232"/>
      <c r="DC47" s="232"/>
      <c r="DD47" s="232"/>
      <c r="DE47" s="25"/>
      <c r="DF47" s="232"/>
      <c r="DG47" s="25"/>
      <c r="DH47" s="232"/>
      <c r="DI47" s="232"/>
      <c r="DJ47" s="26"/>
      <c r="DK47" s="26"/>
      <c r="DL47" s="26"/>
      <c r="DM47" s="26"/>
      <c r="DN47" s="25"/>
      <c r="DO47" s="25"/>
      <c r="DP47" s="232"/>
      <c r="DQ47" s="25"/>
      <c r="DR47" s="232"/>
      <c r="DS47" s="232"/>
      <c r="DT47" s="25"/>
      <c r="DU47" s="232"/>
      <c r="DV47" s="232"/>
      <c r="DW47" s="232"/>
      <c r="DX47" s="232"/>
      <c r="DY47" s="232"/>
      <c r="DZ47" s="232"/>
      <c r="EA47" s="232"/>
      <c r="EB47" s="232"/>
      <c r="EC47" s="232"/>
      <c r="ED47" s="232"/>
      <c r="EE47" s="232"/>
      <c r="EF47" s="232"/>
      <c r="EG47" s="232"/>
      <c r="EH47" s="26"/>
      <c r="EI47" s="26"/>
      <c r="EJ47" s="26"/>
      <c r="EK47" s="50"/>
      <c r="EL47" s="25"/>
      <c r="EM47" s="232"/>
      <c r="EN47" s="232"/>
      <c r="EO47" s="232"/>
      <c r="EP47" s="232"/>
      <c r="EQ47" s="25"/>
      <c r="ES47" s="25"/>
      <c r="FB47" s="20"/>
      <c r="FC47" s="26"/>
      <c r="FD47" s="26"/>
      <c r="FE47" s="26"/>
      <c r="FF47" s="25"/>
      <c r="FG47" s="25"/>
      <c r="FH47" s="232"/>
      <c r="FI47" s="232"/>
      <c r="FJ47" s="232"/>
      <c r="FK47" s="232"/>
      <c r="FL47" s="232"/>
      <c r="FM47" s="232"/>
      <c r="FN47" s="25"/>
      <c r="FO47" s="232"/>
      <c r="FP47" s="232"/>
      <c r="FR47" s="281"/>
      <c r="FS47" s="281" t="s">
        <v>706</v>
      </c>
      <c r="FT47" s="304">
        <f ca="1">FY76</f>
        <v>0</v>
      </c>
      <c r="FU47" s="283"/>
      <c r="FW47" s="533"/>
      <c r="FX47" s="238" t="s">
        <v>179</v>
      </c>
      <c r="FY47" s="299" t="e">
        <f t="shared" ca="1" si="8"/>
        <v>#REF!</v>
      </c>
    </row>
    <row r="48" spans="1:181" ht="12.75" customHeight="1" x14ac:dyDescent="0.2">
      <c r="A48" s="25"/>
      <c r="B48" s="25"/>
      <c r="C48" s="25"/>
      <c r="D48" s="232"/>
      <c r="E48" s="231"/>
      <c r="F48" s="232"/>
      <c r="G48" s="25"/>
      <c r="H48" s="25"/>
      <c r="I48" s="234"/>
      <c r="J48" s="25"/>
      <c r="K48" s="25"/>
      <c r="L48" s="25"/>
      <c r="M48" s="25"/>
      <c r="N48" s="25"/>
      <c r="O48" s="25"/>
      <c r="P48" s="25"/>
      <c r="Q48" s="25"/>
      <c r="R48" s="25"/>
      <c r="S48" s="50"/>
      <c r="T48" s="232"/>
      <c r="U48" s="232"/>
      <c r="V48" s="25"/>
      <c r="W48" s="232"/>
      <c r="X48" s="232"/>
      <c r="Y48" s="25"/>
      <c r="Z48" s="25"/>
      <c r="AA48" s="25"/>
      <c r="AB48" s="232"/>
      <c r="AC48" s="232"/>
      <c r="AD48" s="232"/>
      <c r="AE48" s="25"/>
      <c r="AF48" s="232"/>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1"/>
      <c r="BE48" s="25"/>
      <c r="BF48" s="50"/>
      <c r="BG48" s="50"/>
      <c r="BH48" s="25"/>
      <c r="BI48" s="50"/>
      <c r="BJ48" s="50"/>
      <c r="BK48" s="50"/>
      <c r="BL48" s="232"/>
      <c r="BM48" s="50"/>
      <c r="BN48" s="232"/>
      <c r="BO48" s="50"/>
      <c r="BP48" s="232"/>
      <c r="BQ48" s="232"/>
      <c r="BR48" s="232"/>
      <c r="BS48" s="232"/>
      <c r="BT48" s="232"/>
      <c r="BU48" s="232"/>
      <c r="BV48" s="232"/>
      <c r="BW48" s="232"/>
      <c r="BX48" s="232"/>
      <c r="BY48" s="232"/>
      <c r="BZ48" s="232"/>
      <c r="CA48" s="50"/>
      <c r="CB48" s="232"/>
      <c r="CC48" s="232"/>
      <c r="CE48" s="25"/>
      <c r="CF48" s="232"/>
      <c r="CG48" s="25"/>
      <c r="CH48" s="25"/>
      <c r="CI48" s="25"/>
      <c r="CJ48" s="25"/>
      <c r="CK48" s="25"/>
      <c r="CL48" s="232"/>
      <c r="CM48" s="25"/>
      <c r="CN48" s="232"/>
      <c r="CO48" s="25"/>
      <c r="CP48" s="232"/>
      <c r="CQ48" s="232"/>
      <c r="CR48" s="232"/>
      <c r="CS48" s="232"/>
      <c r="CT48" s="232"/>
      <c r="CU48" s="232"/>
      <c r="CV48" s="232"/>
      <c r="CW48" s="232"/>
      <c r="CX48" s="232"/>
      <c r="CY48" s="232"/>
      <c r="CZ48" s="232"/>
      <c r="DA48" s="25"/>
      <c r="DB48" s="232"/>
      <c r="DC48" s="232"/>
      <c r="DD48" s="232"/>
      <c r="DE48" s="25"/>
      <c r="DF48" s="232"/>
      <c r="DG48" s="25"/>
      <c r="DH48" s="232"/>
      <c r="DI48" s="232"/>
      <c r="DJ48" s="26"/>
      <c r="DK48" s="26"/>
      <c r="DL48" s="26"/>
      <c r="DM48" s="26"/>
      <c r="DN48" s="25"/>
      <c r="DO48" s="25"/>
      <c r="DP48" s="232"/>
      <c r="DQ48" s="25"/>
      <c r="DR48" s="232"/>
      <c r="DS48" s="232"/>
      <c r="DT48" s="25"/>
      <c r="DU48" s="232"/>
      <c r="DV48" s="232"/>
      <c r="DW48" s="232"/>
      <c r="DX48" s="232"/>
      <c r="DY48" s="232"/>
      <c r="DZ48" s="232"/>
      <c r="EA48" s="232"/>
      <c r="EB48" s="232"/>
      <c r="EC48" s="232"/>
      <c r="ED48" s="232"/>
      <c r="EE48" s="232"/>
      <c r="EF48" s="232"/>
      <c r="EG48" s="232"/>
      <c r="EH48" s="26"/>
      <c r="EI48" s="26"/>
      <c r="EJ48" s="26"/>
      <c r="EK48" s="50"/>
      <c r="EL48" s="25"/>
      <c r="EM48" s="232"/>
      <c r="EN48" s="232"/>
      <c r="EO48" s="232"/>
      <c r="EP48" s="232"/>
      <c r="EQ48" s="25"/>
      <c r="ES48" s="25"/>
      <c r="FB48" s="20"/>
      <c r="FC48" s="26"/>
      <c r="FD48" s="26"/>
      <c r="FE48" s="26"/>
      <c r="FF48" s="25"/>
      <c r="FG48" s="25"/>
      <c r="FH48" s="232"/>
      <c r="FI48" s="232"/>
      <c r="FJ48" s="232"/>
      <c r="FK48" s="232"/>
      <c r="FL48" s="232"/>
      <c r="FM48" s="232"/>
      <c r="FN48" s="25"/>
      <c r="FO48" s="232"/>
      <c r="FP48" s="232"/>
      <c r="FR48" s="281" t="s">
        <v>712</v>
      </c>
      <c r="FS48" s="290" t="s">
        <v>181</v>
      </c>
      <c r="FT48" s="293" t="e">
        <f t="shared" ref="FT48:FT53" ca="1" si="9">SUMIF(Str_AVFStructureType,FV5,yn_StructuresWithTrafficDelays)</f>
        <v>#REF!</v>
      </c>
      <c r="FU48" s="297"/>
      <c r="FW48" s="533"/>
      <c r="FX48" s="238" t="s">
        <v>178</v>
      </c>
      <c r="FY48" s="299" t="e">
        <f t="shared" ca="1" si="8"/>
        <v>#REF!</v>
      </c>
    </row>
    <row r="49" spans="1:181" ht="12.75" customHeight="1" x14ac:dyDescent="0.2">
      <c r="A49" s="25"/>
      <c r="B49" s="25"/>
      <c r="C49" s="25"/>
      <c r="D49" s="232"/>
      <c r="E49" s="231"/>
      <c r="F49" s="232"/>
      <c r="G49" s="25"/>
      <c r="H49" s="25"/>
      <c r="I49" s="234"/>
      <c r="J49" s="25"/>
      <c r="K49" s="25"/>
      <c r="L49" s="25"/>
      <c r="M49" s="25"/>
      <c r="N49" s="25"/>
      <c r="O49" s="25"/>
      <c r="P49" s="25"/>
      <c r="Q49" s="25"/>
      <c r="R49" s="25"/>
      <c r="S49" s="50"/>
      <c r="T49" s="232"/>
      <c r="U49" s="232"/>
      <c r="V49" s="25"/>
      <c r="W49" s="232"/>
      <c r="X49" s="232"/>
      <c r="Y49" s="25"/>
      <c r="Z49" s="25"/>
      <c r="AA49" s="25"/>
      <c r="AB49" s="232"/>
      <c r="AC49" s="232"/>
      <c r="AD49" s="232"/>
      <c r="AE49" s="25"/>
      <c r="AF49" s="232"/>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1"/>
      <c r="BE49" s="25"/>
      <c r="BF49" s="50"/>
      <c r="BG49" s="50"/>
      <c r="BH49" s="25"/>
      <c r="BI49" s="50"/>
      <c r="BJ49" s="50"/>
      <c r="BK49" s="50"/>
      <c r="BL49" s="232"/>
      <c r="BM49" s="50"/>
      <c r="BN49" s="232"/>
      <c r="BO49" s="50"/>
      <c r="BP49" s="232"/>
      <c r="BQ49" s="232"/>
      <c r="BR49" s="232"/>
      <c r="BS49" s="232"/>
      <c r="BT49" s="232"/>
      <c r="BU49" s="232"/>
      <c r="BV49" s="232"/>
      <c r="BW49" s="232"/>
      <c r="BX49" s="232"/>
      <c r="BY49" s="232"/>
      <c r="BZ49" s="232"/>
      <c r="CA49" s="50"/>
      <c r="CB49" s="232"/>
      <c r="CC49" s="232"/>
      <c r="CE49" s="25"/>
      <c r="CF49" s="232"/>
      <c r="CG49" s="25"/>
      <c r="CH49" s="25"/>
      <c r="CI49" s="25"/>
      <c r="CJ49" s="25"/>
      <c r="CK49" s="25"/>
      <c r="CL49" s="232"/>
      <c r="CM49" s="25"/>
      <c r="CN49" s="232"/>
      <c r="CO49" s="25"/>
      <c r="CP49" s="232"/>
      <c r="CQ49" s="232"/>
      <c r="CR49" s="232"/>
      <c r="CS49" s="232"/>
      <c r="CT49" s="232"/>
      <c r="CU49" s="232"/>
      <c r="CV49" s="232"/>
      <c r="CW49" s="232"/>
      <c r="CX49" s="232"/>
      <c r="CY49" s="232"/>
      <c r="CZ49" s="232"/>
      <c r="DA49" s="25"/>
      <c r="DB49" s="232"/>
      <c r="DC49" s="232"/>
      <c r="DD49" s="232"/>
      <c r="DE49" s="25"/>
      <c r="DF49" s="232"/>
      <c r="DG49" s="25"/>
      <c r="DH49" s="232"/>
      <c r="DI49" s="232"/>
      <c r="DJ49" s="26"/>
      <c r="DK49" s="26"/>
      <c r="DL49" s="26"/>
      <c r="DM49" s="26"/>
      <c r="DN49" s="25"/>
      <c r="DO49" s="25"/>
      <c r="DP49" s="232"/>
      <c r="DQ49" s="25"/>
      <c r="DR49" s="232"/>
      <c r="DS49" s="232"/>
      <c r="DT49" s="25"/>
      <c r="DU49" s="232"/>
      <c r="DV49" s="232"/>
      <c r="DW49" s="232"/>
      <c r="DX49" s="232"/>
      <c r="DY49" s="232"/>
      <c r="DZ49" s="232"/>
      <c r="EA49" s="232"/>
      <c r="EB49" s="232"/>
      <c r="EC49" s="232"/>
      <c r="ED49" s="232"/>
      <c r="EE49" s="232"/>
      <c r="EF49" s="232"/>
      <c r="EG49" s="232"/>
      <c r="EH49" s="26"/>
      <c r="EI49" s="26"/>
      <c r="EJ49" s="26"/>
      <c r="EK49" s="50"/>
      <c r="EL49" s="25"/>
      <c r="EM49" s="232"/>
      <c r="EN49" s="232"/>
      <c r="EO49" s="232"/>
      <c r="EP49" s="232"/>
      <c r="EQ49" s="25"/>
      <c r="ES49" s="25"/>
      <c r="FB49" s="20"/>
      <c r="FC49" s="26"/>
      <c r="FD49" s="26"/>
      <c r="FE49" s="26"/>
      <c r="FF49" s="25"/>
      <c r="FG49" s="25"/>
      <c r="FH49" s="232"/>
      <c r="FI49" s="232"/>
      <c r="FJ49" s="232"/>
      <c r="FK49" s="232"/>
      <c r="FL49" s="232"/>
      <c r="FM49" s="232"/>
      <c r="FN49" s="25"/>
      <c r="FO49" s="232"/>
      <c r="FP49" s="232"/>
      <c r="FR49" s="281"/>
      <c r="FS49" s="290" t="s">
        <v>180</v>
      </c>
      <c r="FT49" s="293" t="e">
        <f t="shared" ca="1" si="9"/>
        <v>#REF!</v>
      </c>
      <c r="FU49" s="297"/>
      <c r="FW49" s="533"/>
      <c r="FX49" s="238" t="s">
        <v>177</v>
      </c>
      <c r="FY49" s="299" t="e">
        <f t="shared" ca="1" si="8"/>
        <v>#REF!</v>
      </c>
    </row>
    <row r="50" spans="1:181" ht="12.75" customHeight="1" x14ac:dyDescent="0.2">
      <c r="A50" s="25"/>
      <c r="B50" s="25"/>
      <c r="C50" s="25"/>
      <c r="D50" s="232"/>
      <c r="E50" s="231"/>
      <c r="F50" s="232"/>
      <c r="G50" s="25"/>
      <c r="H50" s="25"/>
      <c r="I50" s="234"/>
      <c r="J50" s="25"/>
      <c r="K50" s="25"/>
      <c r="L50" s="25"/>
      <c r="M50" s="25"/>
      <c r="N50" s="25"/>
      <c r="O50" s="25"/>
      <c r="P50" s="25"/>
      <c r="Q50" s="25"/>
      <c r="R50" s="25"/>
      <c r="S50" s="50"/>
      <c r="T50" s="232"/>
      <c r="U50" s="232"/>
      <c r="V50" s="25"/>
      <c r="W50" s="232"/>
      <c r="X50" s="232"/>
      <c r="Y50" s="25"/>
      <c r="Z50" s="25"/>
      <c r="AA50" s="25"/>
      <c r="AB50" s="232"/>
      <c r="AC50" s="232"/>
      <c r="AD50" s="232"/>
      <c r="AE50" s="25"/>
      <c r="AF50" s="232"/>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1"/>
      <c r="BE50" s="25"/>
      <c r="BF50" s="50"/>
      <c r="BG50" s="50"/>
      <c r="BH50" s="25"/>
      <c r="BI50" s="50"/>
      <c r="BJ50" s="50"/>
      <c r="BK50" s="50"/>
      <c r="BL50" s="232"/>
      <c r="BM50" s="50"/>
      <c r="BN50" s="232"/>
      <c r="BO50" s="50"/>
      <c r="BP50" s="232"/>
      <c r="BQ50" s="232"/>
      <c r="BR50" s="232"/>
      <c r="BS50" s="232"/>
      <c r="BT50" s="232"/>
      <c r="BU50" s="232"/>
      <c r="BV50" s="232"/>
      <c r="BW50" s="232"/>
      <c r="BX50" s="232"/>
      <c r="BY50" s="232"/>
      <c r="BZ50" s="232"/>
      <c r="CA50" s="50"/>
      <c r="CB50" s="232"/>
      <c r="CC50" s="232"/>
      <c r="CE50" s="25"/>
      <c r="CF50" s="232"/>
      <c r="CG50" s="25"/>
      <c r="CH50" s="25"/>
      <c r="CI50" s="25"/>
      <c r="CJ50" s="25"/>
      <c r="CK50" s="25"/>
      <c r="CL50" s="232"/>
      <c r="CM50" s="25"/>
      <c r="CN50" s="232"/>
      <c r="CO50" s="25"/>
      <c r="CP50" s="232"/>
      <c r="CQ50" s="232"/>
      <c r="CR50" s="232"/>
      <c r="CS50" s="232"/>
      <c r="CT50" s="232"/>
      <c r="CU50" s="232"/>
      <c r="CV50" s="232"/>
      <c r="CW50" s="232"/>
      <c r="CX50" s="232"/>
      <c r="CY50" s="232"/>
      <c r="CZ50" s="232"/>
      <c r="DA50" s="25"/>
      <c r="DB50" s="232"/>
      <c r="DC50" s="232"/>
      <c r="DD50" s="232"/>
      <c r="DE50" s="25"/>
      <c r="DF50" s="232"/>
      <c r="DG50" s="25"/>
      <c r="DH50" s="232"/>
      <c r="DI50" s="232"/>
      <c r="DJ50" s="26"/>
      <c r="DK50" s="26"/>
      <c r="DL50" s="26"/>
      <c r="DM50" s="26"/>
      <c r="DN50" s="25"/>
      <c r="DO50" s="25"/>
      <c r="DP50" s="232"/>
      <c r="DQ50" s="25"/>
      <c r="DR50" s="232"/>
      <c r="DS50" s="232"/>
      <c r="DT50" s="25"/>
      <c r="DU50" s="232"/>
      <c r="DV50" s="232"/>
      <c r="DW50" s="232"/>
      <c r="DX50" s="232"/>
      <c r="DY50" s="232"/>
      <c r="DZ50" s="232"/>
      <c r="EA50" s="232"/>
      <c r="EB50" s="232"/>
      <c r="EC50" s="232"/>
      <c r="ED50" s="232"/>
      <c r="EE50" s="232"/>
      <c r="EF50" s="232"/>
      <c r="EG50" s="232"/>
      <c r="EH50" s="26"/>
      <c r="EI50" s="26"/>
      <c r="EJ50" s="26"/>
      <c r="EK50" s="50"/>
      <c r="EL50" s="25"/>
      <c r="EM50" s="232"/>
      <c r="EN50" s="232"/>
      <c r="EO50" s="232"/>
      <c r="EP50" s="232"/>
      <c r="EQ50" s="25"/>
      <c r="ES50" s="25"/>
      <c r="FB50" s="20"/>
      <c r="FC50" s="26"/>
      <c r="FD50" s="26"/>
      <c r="FE50" s="26"/>
      <c r="FF50" s="25"/>
      <c r="FG50" s="25"/>
      <c r="FH50" s="232"/>
      <c r="FI50" s="232"/>
      <c r="FJ50" s="232"/>
      <c r="FK50" s="232"/>
      <c r="FL50" s="232"/>
      <c r="FM50" s="232"/>
      <c r="FN50" s="25"/>
      <c r="FO50" s="232"/>
      <c r="FP50" s="232"/>
      <c r="FR50" s="281"/>
      <c r="FS50" s="290" t="s">
        <v>179</v>
      </c>
      <c r="FT50" s="293" t="e">
        <f t="shared" ca="1" si="9"/>
        <v>#REF!</v>
      </c>
      <c r="FU50" s="297"/>
      <c r="FW50" s="533"/>
      <c r="FX50" s="238" t="s">
        <v>176</v>
      </c>
      <c r="FY50" s="299" t="e">
        <f t="shared" ca="1" si="8"/>
        <v>#REF!</v>
      </c>
    </row>
    <row r="51" spans="1:181" ht="12.75" customHeight="1" x14ac:dyDescent="0.2">
      <c r="A51" s="25"/>
      <c r="B51" s="25"/>
      <c r="C51" s="25"/>
      <c r="D51" s="232"/>
      <c r="E51" s="231"/>
      <c r="F51" s="232"/>
      <c r="G51" s="25"/>
      <c r="H51" s="25"/>
      <c r="I51" s="234"/>
      <c r="J51" s="25"/>
      <c r="K51" s="25"/>
      <c r="L51" s="25"/>
      <c r="M51" s="25"/>
      <c r="N51" s="25"/>
      <c r="O51" s="25"/>
      <c r="P51" s="25"/>
      <c r="Q51" s="25"/>
      <c r="R51" s="25"/>
      <c r="S51" s="50"/>
      <c r="T51" s="232"/>
      <c r="U51" s="232"/>
      <c r="V51" s="25"/>
      <c r="W51" s="232"/>
      <c r="X51" s="232"/>
      <c r="Y51" s="25"/>
      <c r="Z51" s="25"/>
      <c r="AA51" s="25"/>
      <c r="AB51" s="232"/>
      <c r="AC51" s="232"/>
      <c r="AD51" s="232"/>
      <c r="AE51" s="25"/>
      <c r="AF51" s="232"/>
      <c r="AG51" s="25"/>
      <c r="AH51" s="25"/>
      <c r="AI51" s="25"/>
      <c r="AJ51" s="25"/>
      <c r="AK51" s="25"/>
      <c r="AL51" s="25"/>
      <c r="AM51" s="25"/>
      <c r="AN51" s="25"/>
      <c r="AO51" s="25"/>
      <c r="AP51" s="25"/>
      <c r="AQ51" s="25"/>
      <c r="AR51" s="25"/>
      <c r="AS51" s="25"/>
      <c r="AT51" s="25"/>
      <c r="AU51" s="25"/>
      <c r="AV51" s="25"/>
      <c r="AW51" s="25"/>
      <c r="AX51" s="25"/>
      <c r="AY51" s="25"/>
      <c r="AZ51" s="25"/>
      <c r="BA51" s="25"/>
      <c r="BB51" s="25"/>
      <c r="BC51" s="25"/>
      <c r="BD51" s="21"/>
      <c r="BE51" s="25"/>
      <c r="BF51" s="50"/>
      <c r="BG51" s="50"/>
      <c r="BH51" s="25"/>
      <c r="BI51" s="50"/>
      <c r="BJ51" s="50"/>
      <c r="BK51" s="50"/>
      <c r="BL51" s="232"/>
      <c r="BM51" s="50"/>
      <c r="BN51" s="232"/>
      <c r="BO51" s="50"/>
      <c r="BP51" s="232"/>
      <c r="BQ51" s="232"/>
      <c r="BR51" s="232"/>
      <c r="BS51" s="232"/>
      <c r="BT51" s="232"/>
      <c r="BU51" s="232"/>
      <c r="BV51" s="232"/>
      <c r="BW51" s="232"/>
      <c r="BX51" s="232"/>
      <c r="BY51" s="232"/>
      <c r="BZ51" s="232"/>
      <c r="CA51" s="50"/>
      <c r="CB51" s="232"/>
      <c r="CC51" s="232"/>
      <c r="CE51" s="25"/>
      <c r="CF51" s="232"/>
      <c r="CG51" s="25"/>
      <c r="CH51" s="25"/>
      <c r="CI51" s="25"/>
      <c r="CJ51" s="25"/>
      <c r="CK51" s="25"/>
      <c r="CL51" s="232"/>
      <c r="CM51" s="25"/>
      <c r="CN51" s="232"/>
      <c r="CO51" s="25"/>
      <c r="CP51" s="232"/>
      <c r="CQ51" s="232"/>
      <c r="CR51" s="232"/>
      <c r="CS51" s="232"/>
      <c r="CT51" s="232"/>
      <c r="CU51" s="232"/>
      <c r="CV51" s="232"/>
      <c r="CW51" s="232"/>
      <c r="CX51" s="232"/>
      <c r="CY51" s="232"/>
      <c r="CZ51" s="232"/>
      <c r="DA51" s="25"/>
      <c r="DB51" s="232"/>
      <c r="DC51" s="232"/>
      <c r="DD51" s="232"/>
      <c r="DE51" s="25"/>
      <c r="DF51" s="232"/>
      <c r="DG51" s="25"/>
      <c r="DH51" s="232"/>
      <c r="DI51" s="232"/>
      <c r="DJ51" s="26"/>
      <c r="DK51" s="26"/>
      <c r="DL51" s="26"/>
      <c r="DM51" s="26"/>
      <c r="DN51" s="25"/>
      <c r="DO51" s="25"/>
      <c r="DP51" s="232"/>
      <c r="DQ51" s="25"/>
      <c r="DR51" s="232"/>
      <c r="DS51" s="232"/>
      <c r="DT51" s="25"/>
      <c r="DU51" s="232"/>
      <c r="DV51" s="232"/>
      <c r="DW51" s="232"/>
      <c r="DX51" s="232"/>
      <c r="DY51" s="232"/>
      <c r="DZ51" s="232"/>
      <c r="EA51" s="232"/>
      <c r="EB51" s="232"/>
      <c r="EC51" s="232"/>
      <c r="ED51" s="232"/>
      <c r="EE51" s="232"/>
      <c r="EF51" s="232"/>
      <c r="EG51" s="232"/>
      <c r="EH51" s="26"/>
      <c r="EI51" s="26"/>
      <c r="EJ51" s="26"/>
      <c r="EK51" s="50"/>
      <c r="EL51" s="25"/>
      <c r="EM51" s="232"/>
      <c r="EN51" s="232"/>
      <c r="EO51" s="232"/>
      <c r="EP51" s="232"/>
      <c r="EQ51" s="25"/>
      <c r="ES51" s="25"/>
      <c r="FB51" s="20"/>
      <c r="FC51" s="26"/>
      <c r="FD51" s="26"/>
      <c r="FE51" s="26"/>
      <c r="FF51" s="25"/>
      <c r="FG51" s="25"/>
      <c r="FH51" s="232"/>
      <c r="FI51" s="232"/>
      <c r="FJ51" s="232"/>
      <c r="FK51" s="232"/>
      <c r="FL51" s="232"/>
      <c r="FM51" s="232"/>
      <c r="FN51" s="25"/>
      <c r="FO51" s="232"/>
      <c r="FP51" s="232"/>
      <c r="FR51" s="281"/>
      <c r="FS51" s="290" t="s">
        <v>178</v>
      </c>
      <c r="FT51" s="293" t="e">
        <f t="shared" ca="1" si="9"/>
        <v>#REF!</v>
      </c>
      <c r="FU51" s="297"/>
      <c r="FW51" s="533"/>
      <c r="FX51" s="238" t="s">
        <v>25</v>
      </c>
      <c r="FY51" s="299" t="e">
        <f t="shared" ca="1" si="8"/>
        <v>#REF!</v>
      </c>
    </row>
    <row r="52" spans="1:181" ht="12.75" customHeight="1" x14ac:dyDescent="0.2">
      <c r="A52" s="25"/>
      <c r="B52" s="25"/>
      <c r="C52" s="25"/>
      <c r="D52" s="232"/>
      <c r="E52" s="231"/>
      <c r="F52" s="232"/>
      <c r="G52" s="25"/>
      <c r="H52" s="25"/>
      <c r="I52" s="234"/>
      <c r="J52" s="25"/>
      <c r="K52" s="25"/>
      <c r="L52" s="25"/>
      <c r="M52" s="25"/>
      <c r="N52" s="25"/>
      <c r="O52" s="25"/>
      <c r="P52" s="25"/>
      <c r="Q52" s="25"/>
      <c r="R52" s="25"/>
      <c r="S52" s="50"/>
      <c r="T52" s="232"/>
      <c r="U52" s="232"/>
      <c r="V52" s="25"/>
      <c r="W52" s="232"/>
      <c r="X52" s="232"/>
      <c r="Y52" s="25"/>
      <c r="Z52" s="25"/>
      <c r="AA52" s="25"/>
      <c r="AB52" s="232"/>
      <c r="AC52" s="232"/>
      <c r="AD52" s="232"/>
      <c r="AE52" s="25"/>
      <c r="AF52" s="232"/>
      <c r="AG52" s="25"/>
      <c r="AH52" s="25"/>
      <c r="AI52" s="25"/>
      <c r="AJ52" s="25"/>
      <c r="AK52" s="25"/>
      <c r="AL52" s="25"/>
      <c r="AM52" s="25"/>
      <c r="AN52" s="25"/>
      <c r="AO52" s="25"/>
      <c r="AP52" s="25"/>
      <c r="AQ52" s="25"/>
      <c r="AR52" s="25"/>
      <c r="AS52" s="25"/>
      <c r="AT52" s="25"/>
      <c r="AU52" s="25"/>
      <c r="AV52" s="25"/>
      <c r="AW52" s="25"/>
      <c r="AX52" s="25"/>
      <c r="AY52" s="25"/>
      <c r="AZ52" s="25"/>
      <c r="BA52" s="25"/>
      <c r="BB52" s="25"/>
      <c r="BC52" s="25"/>
      <c r="BD52" s="21"/>
      <c r="BE52" s="25"/>
      <c r="BF52" s="50"/>
      <c r="BG52" s="50"/>
      <c r="BH52" s="25"/>
      <c r="BI52" s="50"/>
      <c r="BJ52" s="50"/>
      <c r="BK52" s="50"/>
      <c r="BL52" s="232"/>
      <c r="BM52" s="50"/>
      <c r="BN52" s="232"/>
      <c r="BO52" s="50"/>
      <c r="BP52" s="232"/>
      <c r="BQ52" s="232"/>
      <c r="BR52" s="232"/>
      <c r="BS52" s="232"/>
      <c r="BT52" s="232"/>
      <c r="BU52" s="232"/>
      <c r="BV52" s="232"/>
      <c r="BW52" s="232"/>
      <c r="BX52" s="232"/>
      <c r="BY52" s="232"/>
      <c r="BZ52" s="232"/>
      <c r="CA52" s="50"/>
      <c r="CB52" s="232"/>
      <c r="CC52" s="232"/>
      <c r="CE52" s="25"/>
      <c r="CF52" s="232"/>
      <c r="CG52" s="25"/>
      <c r="CH52" s="25"/>
      <c r="CI52" s="25"/>
      <c r="CJ52" s="25"/>
      <c r="CK52" s="25"/>
      <c r="CL52" s="232"/>
      <c r="CM52" s="25"/>
      <c r="CN52" s="232"/>
      <c r="CO52" s="25"/>
      <c r="CP52" s="232"/>
      <c r="CQ52" s="232"/>
      <c r="CR52" s="232"/>
      <c r="CS52" s="232"/>
      <c r="CT52" s="232"/>
      <c r="CU52" s="232"/>
      <c r="CV52" s="232"/>
      <c r="CW52" s="232"/>
      <c r="CX52" s="232"/>
      <c r="CY52" s="232"/>
      <c r="CZ52" s="232"/>
      <c r="DA52" s="25"/>
      <c r="DB52" s="232"/>
      <c r="DC52" s="232"/>
      <c r="DD52" s="232"/>
      <c r="DE52" s="25"/>
      <c r="DF52" s="232"/>
      <c r="DG52" s="25"/>
      <c r="DH52" s="232"/>
      <c r="DI52" s="232"/>
      <c r="DJ52" s="26"/>
      <c r="DK52" s="26"/>
      <c r="DL52" s="26"/>
      <c r="DM52" s="26"/>
      <c r="DN52" s="25"/>
      <c r="DO52" s="25"/>
      <c r="DP52" s="232"/>
      <c r="DQ52" s="25"/>
      <c r="DR52" s="232"/>
      <c r="DS52" s="232"/>
      <c r="DT52" s="25"/>
      <c r="DU52" s="232"/>
      <c r="DV52" s="232"/>
      <c r="DW52" s="232"/>
      <c r="DX52" s="232"/>
      <c r="DY52" s="232"/>
      <c r="DZ52" s="232"/>
      <c r="EA52" s="232"/>
      <c r="EB52" s="232"/>
      <c r="EC52" s="232"/>
      <c r="ED52" s="232"/>
      <c r="EE52" s="232"/>
      <c r="EF52" s="232"/>
      <c r="EG52" s="232"/>
      <c r="EH52" s="26"/>
      <c r="EI52" s="26"/>
      <c r="EJ52" s="26"/>
      <c r="EK52" s="50"/>
      <c r="EL52" s="25"/>
      <c r="EM52" s="232"/>
      <c r="EN52" s="232"/>
      <c r="EO52" s="232"/>
      <c r="EP52" s="232"/>
      <c r="EQ52" s="25"/>
      <c r="ES52" s="25"/>
      <c r="FB52" s="20"/>
      <c r="FC52" s="26"/>
      <c r="FD52" s="26"/>
      <c r="FE52" s="26"/>
      <c r="FF52" s="25"/>
      <c r="FG52" s="25"/>
      <c r="FH52" s="232"/>
      <c r="FI52" s="232"/>
      <c r="FJ52" s="232"/>
      <c r="FK52" s="232"/>
      <c r="FL52" s="232"/>
      <c r="FM52" s="232"/>
      <c r="FN52" s="25"/>
      <c r="FO52" s="232"/>
      <c r="FP52" s="232"/>
      <c r="FR52" s="281"/>
      <c r="FS52" s="290" t="s">
        <v>177</v>
      </c>
      <c r="FT52" s="293" t="e">
        <f t="shared" ca="1" si="9"/>
        <v>#REF!</v>
      </c>
      <c r="FU52" s="297"/>
      <c r="FW52" s="533"/>
      <c r="FX52" s="238" t="s">
        <v>706</v>
      </c>
      <c r="FY52" s="299" t="e">
        <f ca="1">SUM(FY45:FY51)</f>
        <v>#REF!</v>
      </c>
    </row>
    <row r="53" spans="1:181" ht="12.75" customHeight="1" x14ac:dyDescent="0.2">
      <c r="A53" s="25"/>
      <c r="B53" s="25"/>
      <c r="C53" s="25"/>
      <c r="D53" s="232"/>
      <c r="E53" s="231"/>
      <c r="F53" s="232"/>
      <c r="G53" s="25"/>
      <c r="H53" s="25"/>
      <c r="I53" s="234"/>
      <c r="J53" s="25"/>
      <c r="K53" s="25"/>
      <c r="L53" s="25"/>
      <c r="M53" s="25"/>
      <c r="N53" s="25"/>
      <c r="O53" s="25"/>
      <c r="P53" s="25"/>
      <c r="Q53" s="25"/>
      <c r="R53" s="25"/>
      <c r="S53" s="50"/>
      <c r="T53" s="232"/>
      <c r="U53" s="232"/>
      <c r="V53" s="25"/>
      <c r="W53" s="232"/>
      <c r="X53" s="232"/>
      <c r="Y53" s="25"/>
      <c r="Z53" s="25"/>
      <c r="AA53" s="25"/>
      <c r="AB53" s="232"/>
      <c r="AC53" s="232"/>
      <c r="AD53" s="232"/>
      <c r="AE53" s="25"/>
      <c r="AF53" s="232"/>
      <c r="AG53" s="25"/>
      <c r="AH53" s="25"/>
      <c r="AI53" s="25"/>
      <c r="AJ53" s="25"/>
      <c r="AK53" s="25"/>
      <c r="AL53" s="25"/>
      <c r="AM53" s="25"/>
      <c r="AN53" s="25"/>
      <c r="AO53" s="25"/>
      <c r="AP53" s="25"/>
      <c r="AQ53" s="25"/>
      <c r="AR53" s="25"/>
      <c r="AS53" s="25"/>
      <c r="AT53" s="25"/>
      <c r="AU53" s="25"/>
      <c r="AV53" s="25"/>
      <c r="AW53" s="25"/>
      <c r="AX53" s="25"/>
      <c r="AY53" s="25"/>
      <c r="AZ53" s="25"/>
      <c r="BA53" s="25"/>
      <c r="BB53" s="25"/>
      <c r="BC53" s="25"/>
      <c r="BD53" s="21"/>
      <c r="BE53" s="25"/>
      <c r="BF53" s="50"/>
      <c r="BG53" s="50"/>
      <c r="BH53" s="25"/>
      <c r="BI53" s="50"/>
      <c r="BJ53" s="50"/>
      <c r="BK53" s="50"/>
      <c r="BL53" s="232"/>
      <c r="BM53" s="50"/>
      <c r="BN53" s="232"/>
      <c r="BO53" s="50"/>
      <c r="BP53" s="232"/>
      <c r="BQ53" s="232"/>
      <c r="BR53" s="232"/>
      <c r="BS53" s="232"/>
      <c r="BT53" s="232"/>
      <c r="BU53" s="232"/>
      <c r="BV53" s="232"/>
      <c r="BW53" s="232"/>
      <c r="BX53" s="232"/>
      <c r="BY53" s="232"/>
      <c r="BZ53" s="232"/>
      <c r="CA53" s="50"/>
      <c r="CB53" s="232"/>
      <c r="CC53" s="232"/>
      <c r="CE53" s="25"/>
      <c r="CF53" s="232"/>
      <c r="CG53" s="25"/>
      <c r="CH53" s="25"/>
      <c r="CI53" s="25"/>
      <c r="CJ53" s="25"/>
      <c r="CK53" s="25"/>
      <c r="CL53" s="232"/>
      <c r="CM53" s="25"/>
      <c r="CN53" s="232"/>
      <c r="CO53" s="25"/>
      <c r="CP53" s="232"/>
      <c r="CQ53" s="232"/>
      <c r="CR53" s="232"/>
      <c r="CS53" s="232"/>
      <c r="CT53" s="232"/>
      <c r="CU53" s="232"/>
      <c r="CV53" s="232"/>
      <c r="CW53" s="232"/>
      <c r="CX53" s="232"/>
      <c r="CY53" s="232"/>
      <c r="CZ53" s="232"/>
      <c r="DA53" s="25"/>
      <c r="DB53" s="232"/>
      <c r="DC53" s="232"/>
      <c r="DD53" s="232"/>
      <c r="DE53" s="25"/>
      <c r="DF53" s="232"/>
      <c r="DG53" s="25"/>
      <c r="DH53" s="232"/>
      <c r="DI53" s="232"/>
      <c r="DJ53" s="26"/>
      <c r="DK53" s="26"/>
      <c r="DL53" s="26"/>
      <c r="DM53" s="26"/>
      <c r="DN53" s="25"/>
      <c r="DO53" s="25"/>
      <c r="DP53" s="232"/>
      <c r="DQ53" s="25"/>
      <c r="DR53" s="232"/>
      <c r="DS53" s="232"/>
      <c r="DT53" s="25"/>
      <c r="DU53" s="232"/>
      <c r="DV53" s="232"/>
      <c r="DW53" s="232"/>
      <c r="DX53" s="232"/>
      <c r="DY53" s="232"/>
      <c r="DZ53" s="232"/>
      <c r="EA53" s="232"/>
      <c r="EB53" s="232"/>
      <c r="EC53" s="232"/>
      <c r="ED53" s="232"/>
      <c r="EE53" s="232"/>
      <c r="EF53" s="232"/>
      <c r="EG53" s="232"/>
      <c r="EH53" s="26"/>
      <c r="EI53" s="26"/>
      <c r="EJ53" s="26"/>
      <c r="EK53" s="50"/>
      <c r="EL53" s="25"/>
      <c r="EM53" s="232"/>
      <c r="EN53" s="232"/>
      <c r="EO53" s="232"/>
      <c r="EP53" s="232"/>
      <c r="EQ53" s="25"/>
      <c r="ES53" s="25"/>
      <c r="FB53" s="20"/>
      <c r="FC53" s="26"/>
      <c r="FD53" s="26"/>
      <c r="FE53" s="26"/>
      <c r="FF53" s="25"/>
      <c r="FG53" s="25"/>
      <c r="FH53" s="232"/>
      <c r="FI53" s="232"/>
      <c r="FJ53" s="232"/>
      <c r="FK53" s="232"/>
      <c r="FL53" s="232"/>
      <c r="FM53" s="232"/>
      <c r="FN53" s="25"/>
      <c r="FO53" s="232"/>
      <c r="FP53" s="232"/>
      <c r="FR53" s="281"/>
      <c r="FS53" s="290" t="s">
        <v>176</v>
      </c>
      <c r="FT53" s="293" t="e">
        <f t="shared" ca="1" si="9"/>
        <v>#REF!</v>
      </c>
      <c r="FU53" s="297"/>
      <c r="FW53" s="533" t="s">
        <v>686</v>
      </c>
      <c r="FX53" s="238" t="s">
        <v>181</v>
      </c>
      <c r="FY53" s="299" t="e">
        <f t="shared" ref="FY53:FY59" ca="1" si="10">SUMIFS(Str_NumOfStructures,yn_SCIAv,"&lt;40",Str_AVFStructureType,$FV5)</f>
        <v>#REF!</v>
      </c>
    </row>
    <row r="54" spans="1:181" ht="12.75" customHeight="1" x14ac:dyDescent="0.2">
      <c r="A54" s="25"/>
      <c r="B54" s="25"/>
      <c r="C54" s="25"/>
      <c r="D54" s="232"/>
      <c r="E54" s="231"/>
      <c r="F54" s="232"/>
      <c r="G54" s="25"/>
      <c r="H54" s="25"/>
      <c r="I54" s="234"/>
      <c r="J54" s="25"/>
      <c r="K54" s="25"/>
      <c r="L54" s="25"/>
      <c r="M54" s="25"/>
      <c r="N54" s="25"/>
      <c r="O54" s="25"/>
      <c r="P54" s="25"/>
      <c r="Q54" s="25"/>
      <c r="R54" s="25"/>
      <c r="S54" s="50"/>
      <c r="T54" s="232"/>
      <c r="U54" s="232"/>
      <c r="V54" s="25"/>
      <c r="W54" s="232"/>
      <c r="X54" s="232"/>
      <c r="Y54" s="25"/>
      <c r="Z54" s="25"/>
      <c r="AA54" s="25"/>
      <c r="AB54" s="232"/>
      <c r="AC54" s="232"/>
      <c r="AD54" s="232"/>
      <c r="AE54" s="25"/>
      <c r="AF54" s="232"/>
      <c r="AG54" s="25"/>
      <c r="AH54" s="25"/>
      <c r="AI54" s="25"/>
      <c r="AJ54" s="25"/>
      <c r="AK54" s="25"/>
      <c r="AL54" s="25"/>
      <c r="AM54" s="25"/>
      <c r="AN54" s="25"/>
      <c r="AO54" s="25"/>
      <c r="AP54" s="25"/>
      <c r="AQ54" s="25"/>
      <c r="AR54" s="25"/>
      <c r="AS54" s="25"/>
      <c r="AT54" s="25"/>
      <c r="AU54" s="25"/>
      <c r="AV54" s="25"/>
      <c r="AW54" s="25"/>
      <c r="AX54" s="25"/>
      <c r="AY54" s="25"/>
      <c r="AZ54" s="25"/>
      <c r="BA54" s="25"/>
      <c r="BB54" s="25"/>
      <c r="BC54" s="25"/>
      <c r="BD54" s="21"/>
      <c r="BE54" s="25"/>
      <c r="BF54" s="50"/>
      <c r="BG54" s="50"/>
      <c r="BH54" s="25"/>
      <c r="BI54" s="50"/>
      <c r="BJ54" s="50"/>
      <c r="BK54" s="50"/>
      <c r="BL54" s="232"/>
      <c r="BM54" s="50"/>
      <c r="BN54" s="232"/>
      <c r="BO54" s="50"/>
      <c r="BP54" s="232"/>
      <c r="BQ54" s="232"/>
      <c r="BR54" s="232"/>
      <c r="BS54" s="232"/>
      <c r="BT54" s="232"/>
      <c r="BU54" s="232"/>
      <c r="BV54" s="232"/>
      <c r="BW54" s="232"/>
      <c r="BX54" s="232"/>
      <c r="BY54" s="232"/>
      <c r="BZ54" s="232"/>
      <c r="CA54" s="50"/>
      <c r="CB54" s="232"/>
      <c r="CC54" s="232"/>
      <c r="CE54" s="25"/>
      <c r="CF54" s="232"/>
      <c r="CG54" s="25"/>
      <c r="CH54" s="25"/>
      <c r="CI54" s="25"/>
      <c r="CJ54" s="25"/>
      <c r="CK54" s="25"/>
      <c r="CL54" s="232"/>
      <c r="CM54" s="25"/>
      <c r="CN54" s="232"/>
      <c r="CO54" s="25"/>
      <c r="CP54" s="232"/>
      <c r="CQ54" s="232"/>
      <c r="CR54" s="232"/>
      <c r="CS54" s="232"/>
      <c r="CT54" s="232"/>
      <c r="CU54" s="232"/>
      <c r="CV54" s="232"/>
      <c r="CW54" s="232"/>
      <c r="CX54" s="232"/>
      <c r="CY54" s="232"/>
      <c r="CZ54" s="232"/>
      <c r="DA54" s="25"/>
      <c r="DB54" s="232"/>
      <c r="DC54" s="232"/>
      <c r="DD54" s="232"/>
      <c r="DE54" s="25"/>
      <c r="DF54" s="232"/>
      <c r="DG54" s="25"/>
      <c r="DH54" s="232"/>
      <c r="DI54" s="232"/>
      <c r="DJ54" s="26"/>
      <c r="DK54" s="26"/>
      <c r="DL54" s="26"/>
      <c r="DM54" s="26"/>
      <c r="DN54" s="25"/>
      <c r="DO54" s="25"/>
      <c r="DP54" s="232"/>
      <c r="DQ54" s="25"/>
      <c r="DR54" s="232"/>
      <c r="DS54" s="232"/>
      <c r="DT54" s="25"/>
      <c r="DU54" s="232"/>
      <c r="DV54" s="232"/>
      <c r="DW54" s="232"/>
      <c r="DX54" s="232"/>
      <c r="DY54" s="232"/>
      <c r="DZ54" s="232"/>
      <c r="EA54" s="232"/>
      <c r="EB54" s="232"/>
      <c r="EC54" s="232"/>
      <c r="ED54" s="232"/>
      <c r="EE54" s="232"/>
      <c r="EF54" s="232"/>
      <c r="EG54" s="232"/>
      <c r="EH54" s="26"/>
      <c r="EI54" s="26"/>
      <c r="EJ54" s="26"/>
      <c r="EK54" s="50"/>
      <c r="EL54" s="25"/>
      <c r="EM54" s="232"/>
      <c r="EN54" s="232"/>
      <c r="EO54" s="232"/>
      <c r="EP54" s="232"/>
      <c r="EQ54" s="25"/>
      <c r="ES54" s="25"/>
      <c r="FB54" s="20"/>
      <c r="FC54" s="26"/>
      <c r="FD54" s="26"/>
      <c r="FE54" s="26"/>
      <c r="FF54" s="25"/>
      <c r="FG54" s="25"/>
      <c r="FH54" s="232"/>
      <c r="FI54" s="232"/>
      <c r="FJ54" s="232"/>
      <c r="FK54" s="232"/>
      <c r="FL54" s="232"/>
      <c r="FM54" s="232"/>
      <c r="FN54" s="25"/>
      <c r="FO54" s="232"/>
      <c r="FP54" s="232"/>
      <c r="FR54" s="281"/>
      <c r="FS54" s="290" t="s">
        <v>736</v>
      </c>
      <c r="FT54" s="268" t="e">
        <f ca="1">SUM(yn_StructuresWithTrafficDelays)</f>
        <v>#REF!</v>
      </c>
      <c r="FU54" s="298"/>
      <c r="FW54" s="533"/>
      <c r="FX54" s="238" t="s">
        <v>180</v>
      </c>
      <c r="FY54" s="299" t="e">
        <f t="shared" ca="1" si="10"/>
        <v>#REF!</v>
      </c>
    </row>
    <row r="55" spans="1:181" ht="12.75" customHeight="1" x14ac:dyDescent="0.2">
      <c r="A55" s="25"/>
      <c r="B55" s="25"/>
      <c r="C55" s="25"/>
      <c r="D55" s="232"/>
      <c r="E55" s="231"/>
      <c r="F55" s="232"/>
      <c r="G55" s="25"/>
      <c r="H55" s="25"/>
      <c r="I55" s="234"/>
      <c r="J55" s="25"/>
      <c r="K55" s="25"/>
      <c r="L55" s="25"/>
      <c r="M55" s="25"/>
      <c r="N55" s="25"/>
      <c r="O55" s="25"/>
      <c r="P55" s="25"/>
      <c r="Q55" s="25"/>
      <c r="R55" s="25"/>
      <c r="S55" s="50"/>
      <c r="T55" s="232"/>
      <c r="U55" s="232"/>
      <c r="V55" s="25"/>
      <c r="W55" s="232"/>
      <c r="X55" s="232"/>
      <c r="Y55" s="25"/>
      <c r="Z55" s="25"/>
      <c r="AA55" s="25"/>
      <c r="AB55" s="232"/>
      <c r="AC55" s="232"/>
      <c r="AD55" s="232"/>
      <c r="AE55" s="25"/>
      <c r="AF55" s="232"/>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1"/>
      <c r="BE55" s="25"/>
      <c r="BF55" s="50"/>
      <c r="BG55" s="50"/>
      <c r="BH55" s="25"/>
      <c r="BI55" s="50"/>
      <c r="BJ55" s="50"/>
      <c r="BK55" s="50"/>
      <c r="BL55" s="232"/>
      <c r="BM55" s="50"/>
      <c r="BN55" s="232"/>
      <c r="BO55" s="50"/>
      <c r="BP55" s="232"/>
      <c r="BQ55" s="232"/>
      <c r="BR55" s="232"/>
      <c r="BS55" s="232"/>
      <c r="BT55" s="232"/>
      <c r="BU55" s="232"/>
      <c r="BV55" s="232"/>
      <c r="BW55" s="232"/>
      <c r="BX55" s="232"/>
      <c r="BY55" s="232"/>
      <c r="BZ55" s="232"/>
      <c r="CA55" s="50"/>
      <c r="CB55" s="232"/>
      <c r="CC55" s="232"/>
      <c r="CE55" s="25"/>
      <c r="CF55" s="232"/>
      <c r="CG55" s="25"/>
      <c r="CH55" s="25"/>
      <c r="CI55" s="25"/>
      <c r="CJ55" s="25"/>
      <c r="CK55" s="25"/>
      <c r="CL55" s="232"/>
      <c r="CM55" s="25"/>
      <c r="CN55" s="232"/>
      <c r="CO55" s="25"/>
      <c r="CP55" s="232"/>
      <c r="CQ55" s="232"/>
      <c r="CR55" s="232"/>
      <c r="CS55" s="232"/>
      <c r="CT55" s="232"/>
      <c r="CU55" s="232"/>
      <c r="CV55" s="232"/>
      <c r="CW55" s="232"/>
      <c r="CX55" s="232"/>
      <c r="CY55" s="232"/>
      <c r="CZ55" s="232"/>
      <c r="DA55" s="25"/>
      <c r="DB55" s="232"/>
      <c r="DC55" s="232"/>
      <c r="DD55" s="232"/>
      <c r="DE55" s="25"/>
      <c r="DF55" s="232"/>
      <c r="DG55" s="25"/>
      <c r="DH55" s="232"/>
      <c r="DI55" s="232"/>
      <c r="DJ55" s="26"/>
      <c r="DK55" s="26"/>
      <c r="DL55" s="26"/>
      <c r="DM55" s="26"/>
      <c r="DN55" s="25"/>
      <c r="DO55" s="25"/>
      <c r="DP55" s="232"/>
      <c r="DQ55" s="25"/>
      <c r="DR55" s="232"/>
      <c r="DS55" s="232"/>
      <c r="DT55" s="25"/>
      <c r="DU55" s="232"/>
      <c r="DV55" s="232"/>
      <c r="DW55" s="232"/>
      <c r="DX55" s="232"/>
      <c r="DY55" s="232"/>
      <c r="DZ55" s="232"/>
      <c r="EA55" s="232"/>
      <c r="EB55" s="232"/>
      <c r="EC55" s="232"/>
      <c r="ED55" s="232"/>
      <c r="EE55" s="232"/>
      <c r="EF55" s="232"/>
      <c r="EG55" s="232"/>
      <c r="EH55" s="26"/>
      <c r="EI55" s="26"/>
      <c r="EJ55" s="26"/>
      <c r="EK55" s="50"/>
      <c r="EL55" s="25"/>
      <c r="EM55" s="232"/>
      <c r="EN55" s="232"/>
      <c r="EO55" s="232"/>
      <c r="EP55" s="232"/>
      <c r="EQ55" s="25"/>
      <c r="ES55" s="25"/>
      <c r="FB55" s="20"/>
      <c r="FC55" s="26"/>
      <c r="FD55" s="26"/>
      <c r="FE55" s="26"/>
      <c r="FF55" s="25"/>
      <c r="FG55" s="25"/>
      <c r="FH55" s="232"/>
      <c r="FI55" s="232"/>
      <c r="FJ55" s="232"/>
      <c r="FK55" s="232"/>
      <c r="FL55" s="232"/>
      <c r="FM55" s="232"/>
      <c r="FN55" s="25"/>
      <c r="FO55" s="232"/>
      <c r="FP55" s="232"/>
      <c r="FR55" s="281" t="s">
        <v>712</v>
      </c>
      <c r="FS55" s="290" t="s">
        <v>1132</v>
      </c>
      <c r="FT55" s="268" t="e">
        <f ca="1">SUMIF(yn_LengthGroup,0,yn_StructuresWithTrafficDelays)</f>
        <v>#REF!</v>
      </c>
      <c r="FU55" s="298"/>
      <c r="FW55" s="533"/>
      <c r="FX55" s="238" t="s">
        <v>179</v>
      </c>
      <c r="FY55" s="299" t="e">
        <f t="shared" ca="1" si="10"/>
        <v>#REF!</v>
      </c>
    </row>
    <row r="56" spans="1:181" ht="12.75" customHeight="1" x14ac:dyDescent="0.2">
      <c r="A56" s="25"/>
      <c r="B56" s="25"/>
      <c r="C56" s="25"/>
      <c r="D56" s="232"/>
      <c r="E56" s="231"/>
      <c r="F56" s="232"/>
      <c r="G56" s="25"/>
      <c r="H56" s="25"/>
      <c r="I56" s="234"/>
      <c r="J56" s="25"/>
      <c r="K56" s="25"/>
      <c r="L56" s="25"/>
      <c r="M56" s="25"/>
      <c r="N56" s="25"/>
      <c r="O56" s="25"/>
      <c r="P56" s="25"/>
      <c r="Q56" s="25"/>
      <c r="R56" s="25"/>
      <c r="S56" s="50"/>
      <c r="T56" s="232"/>
      <c r="U56" s="232"/>
      <c r="V56" s="25"/>
      <c r="W56" s="232"/>
      <c r="X56" s="232"/>
      <c r="Y56" s="25"/>
      <c r="Z56" s="25"/>
      <c r="AA56" s="25"/>
      <c r="AB56" s="232"/>
      <c r="AC56" s="232"/>
      <c r="AD56" s="232"/>
      <c r="AE56" s="25"/>
      <c r="AF56" s="232"/>
      <c r="AG56" s="25"/>
      <c r="AH56" s="25"/>
      <c r="AI56" s="25"/>
      <c r="AJ56" s="25"/>
      <c r="AK56" s="25"/>
      <c r="AL56" s="25"/>
      <c r="AM56" s="25"/>
      <c r="AN56" s="25"/>
      <c r="AO56" s="25"/>
      <c r="AP56" s="25"/>
      <c r="AQ56" s="25"/>
      <c r="AR56" s="25"/>
      <c r="AS56" s="25"/>
      <c r="AT56" s="25"/>
      <c r="AU56" s="25"/>
      <c r="AV56" s="25"/>
      <c r="AW56" s="25"/>
      <c r="AX56" s="25"/>
      <c r="AY56" s="25"/>
      <c r="AZ56" s="25"/>
      <c r="BA56" s="25"/>
      <c r="BB56" s="25"/>
      <c r="BC56" s="25"/>
      <c r="BD56" s="21"/>
      <c r="BE56" s="25"/>
      <c r="BF56" s="50"/>
      <c r="BG56" s="50"/>
      <c r="BH56" s="25"/>
      <c r="BI56" s="50"/>
      <c r="BJ56" s="50"/>
      <c r="BK56" s="50"/>
      <c r="BL56" s="232"/>
      <c r="BM56" s="50"/>
      <c r="BN56" s="232"/>
      <c r="BO56" s="50"/>
      <c r="BP56" s="232"/>
      <c r="BQ56" s="232"/>
      <c r="BR56" s="232"/>
      <c r="BS56" s="232"/>
      <c r="BT56" s="232"/>
      <c r="BU56" s="232"/>
      <c r="BV56" s="232"/>
      <c r="BW56" s="232"/>
      <c r="BX56" s="232"/>
      <c r="BY56" s="232"/>
      <c r="BZ56" s="232"/>
      <c r="CA56" s="50"/>
      <c r="CB56" s="232"/>
      <c r="CC56" s="232"/>
      <c r="CE56" s="25"/>
      <c r="CF56" s="232"/>
      <c r="CG56" s="25"/>
      <c r="CH56" s="25"/>
      <c r="CI56" s="25"/>
      <c r="CJ56" s="25"/>
      <c r="CK56" s="25"/>
      <c r="CL56" s="232"/>
      <c r="CM56" s="25"/>
      <c r="CN56" s="232"/>
      <c r="CO56" s="25"/>
      <c r="CP56" s="232"/>
      <c r="CQ56" s="232"/>
      <c r="CR56" s="232"/>
      <c r="CS56" s="232"/>
      <c r="CT56" s="232"/>
      <c r="CU56" s="232"/>
      <c r="CV56" s="232"/>
      <c r="CW56" s="232"/>
      <c r="CX56" s="232"/>
      <c r="CY56" s="232"/>
      <c r="CZ56" s="232"/>
      <c r="DA56" s="25"/>
      <c r="DB56" s="232"/>
      <c r="DC56" s="232"/>
      <c r="DD56" s="232"/>
      <c r="DE56" s="25"/>
      <c r="DF56" s="232"/>
      <c r="DG56" s="25"/>
      <c r="DH56" s="232"/>
      <c r="DI56" s="232"/>
      <c r="DJ56" s="26"/>
      <c r="DK56" s="26"/>
      <c r="DL56" s="26"/>
      <c r="DM56" s="26"/>
      <c r="DN56" s="25"/>
      <c r="DO56" s="25"/>
      <c r="DP56" s="232"/>
      <c r="DQ56" s="25"/>
      <c r="DR56" s="232"/>
      <c r="DS56" s="232"/>
      <c r="DT56" s="25"/>
      <c r="DU56" s="232"/>
      <c r="DV56" s="232"/>
      <c r="DW56" s="232"/>
      <c r="DX56" s="232"/>
      <c r="DY56" s="232"/>
      <c r="DZ56" s="232"/>
      <c r="EA56" s="232"/>
      <c r="EB56" s="232"/>
      <c r="EC56" s="232"/>
      <c r="ED56" s="232"/>
      <c r="EE56" s="232"/>
      <c r="EF56" s="232"/>
      <c r="EG56" s="232"/>
      <c r="EH56" s="26"/>
      <c r="EI56" s="26"/>
      <c r="EJ56" s="26"/>
      <c r="EK56" s="50"/>
      <c r="EL56" s="25"/>
      <c r="EM56" s="232"/>
      <c r="EN56" s="232"/>
      <c r="EO56" s="232"/>
      <c r="EP56" s="232"/>
      <c r="EQ56" s="25"/>
      <c r="ES56" s="25"/>
      <c r="FB56" s="20"/>
      <c r="FC56" s="26"/>
      <c r="FD56" s="26"/>
      <c r="FE56" s="26"/>
      <c r="FF56" s="25"/>
      <c r="FG56" s="25"/>
      <c r="FH56" s="232"/>
      <c r="FI56" s="232"/>
      <c r="FJ56" s="232"/>
      <c r="FK56" s="232"/>
      <c r="FL56" s="232"/>
      <c r="FM56" s="232"/>
      <c r="FN56" s="25"/>
      <c r="FO56" s="232"/>
      <c r="FP56" s="232"/>
      <c r="FR56" s="281"/>
      <c r="FS56" s="290" t="s">
        <v>1133</v>
      </c>
      <c r="FT56" s="268" t="e">
        <f ca="1">SUMIF(yn_LengthGroup,10.0001,yn_StructuresWithTrafficDelays)</f>
        <v>#REF!</v>
      </c>
      <c r="FU56" s="298"/>
      <c r="FW56" s="533"/>
      <c r="FX56" s="238" t="s">
        <v>178</v>
      </c>
      <c r="FY56" s="299" t="e">
        <f t="shared" ca="1" si="10"/>
        <v>#REF!</v>
      </c>
    </row>
    <row r="57" spans="1:181" ht="12.75" customHeight="1" x14ac:dyDescent="0.2">
      <c r="A57" s="25"/>
      <c r="B57" s="25"/>
      <c r="C57" s="25"/>
      <c r="D57" s="232"/>
      <c r="E57" s="231"/>
      <c r="F57" s="232"/>
      <c r="G57" s="25"/>
      <c r="H57" s="25"/>
      <c r="I57" s="234"/>
      <c r="J57" s="25"/>
      <c r="K57" s="25"/>
      <c r="L57" s="25"/>
      <c r="M57" s="25"/>
      <c r="N57" s="25"/>
      <c r="O57" s="25"/>
      <c r="P57" s="25"/>
      <c r="Q57" s="25"/>
      <c r="R57" s="25"/>
      <c r="S57" s="50"/>
      <c r="T57" s="232"/>
      <c r="U57" s="232"/>
      <c r="V57" s="25"/>
      <c r="W57" s="232"/>
      <c r="X57" s="232"/>
      <c r="Y57" s="25"/>
      <c r="Z57" s="25"/>
      <c r="AA57" s="25"/>
      <c r="AB57" s="232"/>
      <c r="AC57" s="232"/>
      <c r="AD57" s="232"/>
      <c r="AE57" s="25"/>
      <c r="AF57" s="232"/>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1"/>
      <c r="BE57" s="25"/>
      <c r="BF57" s="50"/>
      <c r="BG57" s="50"/>
      <c r="BH57" s="25"/>
      <c r="BI57" s="50"/>
      <c r="BJ57" s="50"/>
      <c r="BK57" s="50"/>
      <c r="BL57" s="232"/>
      <c r="BM57" s="50"/>
      <c r="BN57" s="232"/>
      <c r="BO57" s="50"/>
      <c r="BP57" s="232"/>
      <c r="BQ57" s="232"/>
      <c r="BR57" s="232"/>
      <c r="BS57" s="232"/>
      <c r="BT57" s="232"/>
      <c r="BU57" s="232"/>
      <c r="BV57" s="232"/>
      <c r="BW57" s="232"/>
      <c r="BX57" s="232"/>
      <c r="BY57" s="232"/>
      <c r="BZ57" s="232"/>
      <c r="CA57" s="50"/>
      <c r="CB57" s="232"/>
      <c r="CC57" s="232"/>
      <c r="CE57" s="25"/>
      <c r="CF57" s="232"/>
      <c r="CG57" s="25"/>
      <c r="CH57" s="25"/>
      <c r="CI57" s="25"/>
      <c r="CJ57" s="25"/>
      <c r="CK57" s="25"/>
      <c r="CL57" s="232"/>
      <c r="CM57" s="25"/>
      <c r="CN57" s="232"/>
      <c r="CO57" s="25"/>
      <c r="CP57" s="232"/>
      <c r="CQ57" s="232"/>
      <c r="CR57" s="232"/>
      <c r="CS57" s="232"/>
      <c r="CT57" s="232"/>
      <c r="CU57" s="232"/>
      <c r="CV57" s="232"/>
      <c r="CW57" s="232"/>
      <c r="CX57" s="232"/>
      <c r="CY57" s="232"/>
      <c r="CZ57" s="232"/>
      <c r="DA57" s="25"/>
      <c r="DB57" s="232"/>
      <c r="DC57" s="232"/>
      <c r="DD57" s="232"/>
      <c r="DE57" s="25"/>
      <c r="DF57" s="232"/>
      <c r="DG57" s="25"/>
      <c r="DH57" s="232"/>
      <c r="DI57" s="232"/>
      <c r="DJ57" s="26"/>
      <c r="DK57" s="26"/>
      <c r="DL57" s="26"/>
      <c r="DM57" s="26"/>
      <c r="DN57" s="25"/>
      <c r="DO57" s="25"/>
      <c r="DP57" s="232"/>
      <c r="DQ57" s="25"/>
      <c r="DR57" s="232"/>
      <c r="DS57" s="232"/>
      <c r="DT57" s="25"/>
      <c r="DU57" s="232"/>
      <c r="DV57" s="232"/>
      <c r="DW57" s="232"/>
      <c r="DX57" s="232"/>
      <c r="DY57" s="232"/>
      <c r="DZ57" s="232"/>
      <c r="EA57" s="232"/>
      <c r="EB57" s="232"/>
      <c r="EC57" s="232"/>
      <c r="ED57" s="232"/>
      <c r="EE57" s="232"/>
      <c r="EF57" s="232"/>
      <c r="EG57" s="232"/>
      <c r="EH57" s="26"/>
      <c r="EI57" s="26"/>
      <c r="EJ57" s="26"/>
      <c r="EK57" s="50"/>
      <c r="EL57" s="25"/>
      <c r="EM57" s="232"/>
      <c r="EN57" s="232"/>
      <c r="EO57" s="232"/>
      <c r="EP57" s="232"/>
      <c r="EQ57" s="25"/>
      <c r="ES57" s="25"/>
      <c r="FB57" s="20"/>
      <c r="FC57" s="26"/>
      <c r="FD57" s="26"/>
      <c r="FE57" s="26"/>
      <c r="FF57" s="25"/>
      <c r="FG57" s="25"/>
      <c r="FH57" s="232"/>
      <c r="FI57" s="232"/>
      <c r="FJ57" s="232"/>
      <c r="FK57" s="232"/>
      <c r="FL57" s="232"/>
      <c r="FM57" s="232"/>
      <c r="FN57" s="25"/>
      <c r="FO57" s="232"/>
      <c r="FP57" s="232"/>
      <c r="FR57" s="281"/>
      <c r="FS57" s="290" t="s">
        <v>1134</v>
      </c>
      <c r="FT57" s="268" t="e">
        <f ca="1">SUMIF(yn_LengthGroup,20.0001,yn_StructuresWithTrafficDelays)</f>
        <v>#REF!</v>
      </c>
      <c r="FU57" s="298"/>
      <c r="FW57" s="533"/>
      <c r="FX57" s="238" t="s">
        <v>177</v>
      </c>
      <c r="FY57" s="299" t="e">
        <f t="shared" ca="1" si="10"/>
        <v>#REF!</v>
      </c>
    </row>
    <row r="58" spans="1:181" ht="12.75" customHeight="1" x14ac:dyDescent="0.2">
      <c r="A58" s="25"/>
      <c r="B58" s="25"/>
      <c r="C58" s="25"/>
      <c r="D58" s="232"/>
      <c r="E58" s="231"/>
      <c r="F58" s="232"/>
      <c r="G58" s="25"/>
      <c r="H58" s="25"/>
      <c r="I58" s="234"/>
      <c r="J58" s="25"/>
      <c r="K58" s="25"/>
      <c r="L58" s="25"/>
      <c r="M58" s="25"/>
      <c r="N58" s="25"/>
      <c r="O58" s="25"/>
      <c r="P58" s="25"/>
      <c r="Q58" s="25"/>
      <c r="R58" s="25"/>
      <c r="S58" s="50"/>
      <c r="T58" s="232"/>
      <c r="U58" s="232"/>
      <c r="V58" s="25"/>
      <c r="W58" s="232"/>
      <c r="X58" s="232"/>
      <c r="Y58" s="25"/>
      <c r="Z58" s="25"/>
      <c r="AA58" s="25"/>
      <c r="AB58" s="232"/>
      <c r="AC58" s="232"/>
      <c r="AD58" s="232"/>
      <c r="AE58" s="25"/>
      <c r="AF58" s="232"/>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1"/>
      <c r="BE58" s="25"/>
      <c r="BF58" s="50"/>
      <c r="BG58" s="50"/>
      <c r="BH58" s="25"/>
      <c r="BI58" s="50"/>
      <c r="BJ58" s="50"/>
      <c r="BK58" s="50"/>
      <c r="BL58" s="232"/>
      <c r="BM58" s="50"/>
      <c r="BN58" s="232"/>
      <c r="BO58" s="50"/>
      <c r="BP58" s="232"/>
      <c r="BQ58" s="232"/>
      <c r="BR58" s="232"/>
      <c r="BS58" s="232"/>
      <c r="BT58" s="232"/>
      <c r="BU58" s="232"/>
      <c r="BV58" s="232"/>
      <c r="BW58" s="232"/>
      <c r="BX58" s="232"/>
      <c r="BY58" s="232"/>
      <c r="BZ58" s="232"/>
      <c r="CA58" s="50"/>
      <c r="CB58" s="232"/>
      <c r="CC58" s="232"/>
      <c r="CE58" s="25"/>
      <c r="CF58" s="232"/>
      <c r="CG58" s="25"/>
      <c r="CH58" s="25"/>
      <c r="CI58" s="25"/>
      <c r="CJ58" s="25"/>
      <c r="CK58" s="25"/>
      <c r="CL58" s="232"/>
      <c r="CM58" s="25"/>
      <c r="CN58" s="232"/>
      <c r="CO58" s="25"/>
      <c r="CP58" s="232"/>
      <c r="CQ58" s="232"/>
      <c r="CR58" s="232"/>
      <c r="CS58" s="232"/>
      <c r="CT58" s="232"/>
      <c r="CU58" s="232"/>
      <c r="CV58" s="232"/>
      <c r="CW58" s="232"/>
      <c r="CX58" s="232"/>
      <c r="CY58" s="232"/>
      <c r="CZ58" s="232"/>
      <c r="DA58" s="25"/>
      <c r="DB58" s="232"/>
      <c r="DC58" s="232"/>
      <c r="DD58" s="232"/>
      <c r="DE58" s="25"/>
      <c r="DF58" s="232"/>
      <c r="DG58" s="25"/>
      <c r="DH58" s="232"/>
      <c r="DI58" s="232"/>
      <c r="DJ58" s="26"/>
      <c r="DK58" s="26"/>
      <c r="DL58" s="26"/>
      <c r="DM58" s="26"/>
      <c r="DN58" s="25"/>
      <c r="DO58" s="25"/>
      <c r="DP58" s="232"/>
      <c r="DQ58" s="25"/>
      <c r="DR58" s="232"/>
      <c r="DS58" s="232"/>
      <c r="DT58" s="25"/>
      <c r="DU58" s="232"/>
      <c r="DV58" s="232"/>
      <c r="DW58" s="232"/>
      <c r="DX58" s="232"/>
      <c r="DY58" s="232"/>
      <c r="DZ58" s="232"/>
      <c r="EA58" s="232"/>
      <c r="EB58" s="232"/>
      <c r="EC58" s="232"/>
      <c r="ED58" s="232"/>
      <c r="EE58" s="232"/>
      <c r="EF58" s="232"/>
      <c r="EG58" s="232"/>
      <c r="EH58" s="26"/>
      <c r="EI58" s="26"/>
      <c r="EJ58" s="26"/>
      <c r="EK58" s="50"/>
      <c r="EL58" s="25"/>
      <c r="EM58" s="232"/>
      <c r="EN58" s="232"/>
      <c r="EO58" s="232"/>
      <c r="EP58" s="232"/>
      <c r="EQ58" s="25"/>
      <c r="ES58" s="25"/>
      <c r="FB58" s="20"/>
      <c r="FC58" s="26"/>
      <c r="FD58" s="26"/>
      <c r="FE58" s="26"/>
      <c r="FF58" s="25"/>
      <c r="FG58" s="25"/>
      <c r="FH58" s="232"/>
      <c r="FI58" s="232"/>
      <c r="FJ58" s="232"/>
      <c r="FK58" s="232"/>
      <c r="FL58" s="232"/>
      <c r="FM58" s="232"/>
      <c r="FN58" s="25"/>
      <c r="FO58" s="232"/>
      <c r="FP58" s="232"/>
      <c r="FR58" s="290" t="s">
        <v>185</v>
      </c>
      <c r="FS58" s="290" t="s">
        <v>181</v>
      </c>
      <c r="FT58" s="295" t="e">
        <f t="shared" ref="FT58:FT63" ca="1" si="11">SUMIF(Str_AVFStructureType,FV5,yn_TrafficDelayCost)</f>
        <v>#REF!</v>
      </c>
      <c r="FU58" s="298"/>
      <c r="FW58" s="533"/>
      <c r="FX58" s="238" t="s">
        <v>176</v>
      </c>
      <c r="FY58" s="299" t="e">
        <f t="shared" ca="1" si="10"/>
        <v>#REF!</v>
      </c>
    </row>
    <row r="59" spans="1:181" ht="12.75" customHeight="1" x14ac:dyDescent="0.2">
      <c r="A59" s="25"/>
      <c r="B59" s="25"/>
      <c r="C59" s="25"/>
      <c r="D59" s="232"/>
      <c r="E59" s="231"/>
      <c r="F59" s="232"/>
      <c r="G59" s="25"/>
      <c r="H59" s="25"/>
      <c r="I59" s="234"/>
      <c r="J59" s="25"/>
      <c r="K59" s="25"/>
      <c r="L59" s="25"/>
      <c r="M59" s="25"/>
      <c r="N59" s="25"/>
      <c r="O59" s="25"/>
      <c r="P59" s="25"/>
      <c r="Q59" s="25"/>
      <c r="R59" s="25"/>
      <c r="S59" s="50"/>
      <c r="T59" s="232"/>
      <c r="U59" s="232"/>
      <c r="V59" s="25"/>
      <c r="W59" s="232"/>
      <c r="X59" s="232"/>
      <c r="Y59" s="25"/>
      <c r="Z59" s="25"/>
      <c r="AA59" s="25"/>
      <c r="AB59" s="232"/>
      <c r="AC59" s="232"/>
      <c r="AD59" s="232"/>
      <c r="AE59" s="25"/>
      <c r="AF59" s="232"/>
      <c r="AG59" s="25"/>
      <c r="AH59" s="25"/>
      <c r="AI59" s="25"/>
      <c r="AJ59" s="25"/>
      <c r="AK59" s="25"/>
      <c r="AL59" s="25"/>
      <c r="AM59" s="25"/>
      <c r="AN59" s="25"/>
      <c r="AO59" s="25"/>
      <c r="AP59" s="25"/>
      <c r="AQ59" s="25"/>
      <c r="AR59" s="25"/>
      <c r="AS59" s="25"/>
      <c r="AT59" s="25"/>
      <c r="AU59" s="25"/>
      <c r="AV59" s="25"/>
      <c r="AW59" s="25"/>
      <c r="AX59" s="25"/>
      <c r="AY59" s="25"/>
      <c r="AZ59" s="25"/>
      <c r="BA59" s="25"/>
      <c r="BB59" s="25"/>
      <c r="BC59" s="25"/>
      <c r="BD59" s="21"/>
      <c r="BE59" s="25"/>
      <c r="BF59" s="50"/>
      <c r="BG59" s="50"/>
      <c r="BH59" s="25"/>
      <c r="BI59" s="50"/>
      <c r="BJ59" s="50"/>
      <c r="BK59" s="50"/>
      <c r="BL59" s="232"/>
      <c r="BM59" s="50"/>
      <c r="BN59" s="232"/>
      <c r="BO59" s="50"/>
      <c r="BP59" s="232"/>
      <c r="BQ59" s="232"/>
      <c r="BR59" s="232"/>
      <c r="BS59" s="232"/>
      <c r="BT59" s="232"/>
      <c r="BU59" s="232"/>
      <c r="BV59" s="232"/>
      <c r="BW59" s="232"/>
      <c r="BX59" s="232"/>
      <c r="BY59" s="232"/>
      <c r="BZ59" s="232"/>
      <c r="CA59" s="50"/>
      <c r="CB59" s="232"/>
      <c r="CC59" s="232"/>
      <c r="CE59" s="25"/>
      <c r="CF59" s="232"/>
      <c r="CG59" s="25"/>
      <c r="CH59" s="25"/>
      <c r="CI59" s="25"/>
      <c r="CJ59" s="25"/>
      <c r="CK59" s="25"/>
      <c r="CL59" s="232"/>
      <c r="CM59" s="25"/>
      <c r="CN59" s="232"/>
      <c r="CO59" s="25"/>
      <c r="CP59" s="232"/>
      <c r="CQ59" s="232"/>
      <c r="CR59" s="232"/>
      <c r="CS59" s="232"/>
      <c r="CT59" s="232"/>
      <c r="CU59" s="232"/>
      <c r="CV59" s="232"/>
      <c r="CW59" s="232"/>
      <c r="CX59" s="232"/>
      <c r="CY59" s="232"/>
      <c r="CZ59" s="232"/>
      <c r="DA59" s="25"/>
      <c r="DB59" s="232"/>
      <c r="DC59" s="232"/>
      <c r="DD59" s="232"/>
      <c r="DE59" s="25"/>
      <c r="DF59" s="232"/>
      <c r="DG59" s="25"/>
      <c r="DH59" s="232"/>
      <c r="DI59" s="232"/>
      <c r="DJ59" s="26"/>
      <c r="DK59" s="26"/>
      <c r="DL59" s="26"/>
      <c r="DM59" s="26"/>
      <c r="DN59" s="25"/>
      <c r="DO59" s="25"/>
      <c r="DP59" s="232"/>
      <c r="DQ59" s="25"/>
      <c r="DR59" s="232"/>
      <c r="DS59" s="232"/>
      <c r="DT59" s="25"/>
      <c r="DU59" s="232"/>
      <c r="DV59" s="232"/>
      <c r="DW59" s="232"/>
      <c r="DX59" s="232"/>
      <c r="DY59" s="232"/>
      <c r="DZ59" s="232"/>
      <c r="EA59" s="232"/>
      <c r="EB59" s="232"/>
      <c r="EC59" s="232"/>
      <c r="ED59" s="232"/>
      <c r="EE59" s="232"/>
      <c r="EF59" s="232"/>
      <c r="EG59" s="232"/>
      <c r="EH59" s="26"/>
      <c r="EI59" s="26"/>
      <c r="EJ59" s="26"/>
      <c r="EK59" s="50"/>
      <c r="EL59" s="25"/>
      <c r="EM59" s="232"/>
      <c r="EN59" s="232"/>
      <c r="EO59" s="232"/>
      <c r="EP59" s="232"/>
      <c r="EQ59" s="25"/>
      <c r="ES59" s="25"/>
      <c r="FB59" s="20"/>
      <c r="FC59" s="26"/>
      <c r="FD59" s="26"/>
      <c r="FE59" s="26"/>
      <c r="FF59" s="25"/>
      <c r="FG59" s="25"/>
      <c r="FH59" s="232"/>
      <c r="FI59" s="232"/>
      <c r="FJ59" s="232"/>
      <c r="FK59" s="232"/>
      <c r="FL59" s="232"/>
      <c r="FM59" s="232"/>
      <c r="FN59" s="25"/>
      <c r="FO59" s="232"/>
      <c r="FP59" s="232"/>
      <c r="FR59" s="290"/>
      <c r="FS59" s="290" t="s">
        <v>180</v>
      </c>
      <c r="FT59" s="295" t="e">
        <f t="shared" ca="1" si="11"/>
        <v>#REF!</v>
      </c>
      <c r="FU59" s="298"/>
      <c r="FW59" s="533"/>
      <c r="FX59" s="238" t="s">
        <v>25</v>
      </c>
      <c r="FY59" s="299" t="e">
        <f t="shared" ca="1" si="10"/>
        <v>#REF!</v>
      </c>
    </row>
    <row r="60" spans="1:181" ht="12.75" customHeight="1" x14ac:dyDescent="0.2">
      <c r="A60" s="25"/>
      <c r="B60" s="25"/>
      <c r="C60" s="25"/>
      <c r="D60" s="232"/>
      <c r="E60" s="231"/>
      <c r="F60" s="232"/>
      <c r="G60" s="25"/>
      <c r="H60" s="25"/>
      <c r="I60" s="234"/>
      <c r="J60" s="25"/>
      <c r="K60" s="25"/>
      <c r="L60" s="25"/>
      <c r="M60" s="25"/>
      <c r="N60" s="25"/>
      <c r="O60" s="25"/>
      <c r="P60" s="25"/>
      <c r="Q60" s="25"/>
      <c r="R60" s="25"/>
      <c r="S60" s="50"/>
      <c r="T60" s="232"/>
      <c r="U60" s="232"/>
      <c r="V60" s="25"/>
      <c r="W60" s="232"/>
      <c r="X60" s="232"/>
      <c r="Y60" s="25"/>
      <c r="Z60" s="25"/>
      <c r="AA60" s="25"/>
      <c r="AB60" s="232"/>
      <c r="AC60" s="232"/>
      <c r="AD60" s="232"/>
      <c r="AE60" s="25"/>
      <c r="AF60" s="232"/>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1"/>
      <c r="BE60" s="25"/>
      <c r="BF60" s="50"/>
      <c r="BG60" s="50"/>
      <c r="BH60" s="25"/>
      <c r="BI60" s="50"/>
      <c r="BJ60" s="50"/>
      <c r="BK60" s="50"/>
      <c r="BL60" s="232"/>
      <c r="BM60" s="50"/>
      <c r="BN60" s="232"/>
      <c r="BO60" s="50"/>
      <c r="BP60" s="232"/>
      <c r="BQ60" s="232"/>
      <c r="BR60" s="232"/>
      <c r="BS60" s="232"/>
      <c r="BT60" s="232"/>
      <c r="BU60" s="232"/>
      <c r="BV60" s="232"/>
      <c r="BW60" s="232"/>
      <c r="BX60" s="232"/>
      <c r="BY60" s="232"/>
      <c r="BZ60" s="232"/>
      <c r="CA60" s="50"/>
      <c r="CB60" s="232"/>
      <c r="CC60" s="232"/>
      <c r="CE60" s="25"/>
      <c r="CF60" s="232"/>
      <c r="CG60" s="25"/>
      <c r="CH60" s="25"/>
      <c r="CI60" s="25"/>
      <c r="CJ60" s="25"/>
      <c r="CK60" s="25"/>
      <c r="CL60" s="232"/>
      <c r="CM60" s="25"/>
      <c r="CN60" s="232"/>
      <c r="CO60" s="25"/>
      <c r="CP60" s="232"/>
      <c r="CQ60" s="232"/>
      <c r="CR60" s="232"/>
      <c r="CS60" s="232"/>
      <c r="CT60" s="232"/>
      <c r="CU60" s="232"/>
      <c r="CV60" s="232"/>
      <c r="CW60" s="232"/>
      <c r="CX60" s="232"/>
      <c r="CY60" s="232"/>
      <c r="CZ60" s="232"/>
      <c r="DA60" s="25"/>
      <c r="DB60" s="232"/>
      <c r="DC60" s="232"/>
      <c r="DD60" s="232"/>
      <c r="DE60" s="25"/>
      <c r="DF60" s="232"/>
      <c r="DG60" s="25"/>
      <c r="DH60" s="232"/>
      <c r="DI60" s="232"/>
      <c r="DJ60" s="26"/>
      <c r="DK60" s="26"/>
      <c r="DL60" s="26"/>
      <c r="DM60" s="26"/>
      <c r="DN60" s="25"/>
      <c r="DO60" s="25"/>
      <c r="DP60" s="232"/>
      <c r="DQ60" s="25"/>
      <c r="DR60" s="232"/>
      <c r="DS60" s="232"/>
      <c r="DT60" s="25"/>
      <c r="DU60" s="232"/>
      <c r="DV60" s="232"/>
      <c r="DW60" s="232"/>
      <c r="DX60" s="232"/>
      <c r="DY60" s="232"/>
      <c r="DZ60" s="232"/>
      <c r="EA60" s="232"/>
      <c r="EB60" s="232"/>
      <c r="EC60" s="232"/>
      <c r="ED60" s="232"/>
      <c r="EE60" s="232"/>
      <c r="EF60" s="232"/>
      <c r="EG60" s="232"/>
      <c r="EH60" s="26"/>
      <c r="EI60" s="26"/>
      <c r="EJ60" s="26"/>
      <c r="EK60" s="50"/>
      <c r="EL60" s="25"/>
      <c r="EM60" s="232"/>
      <c r="EN60" s="232"/>
      <c r="EO60" s="232"/>
      <c r="EP60" s="232"/>
      <c r="EQ60" s="25"/>
      <c r="ES60" s="25"/>
      <c r="FB60" s="20"/>
      <c r="FC60" s="26"/>
      <c r="FD60" s="26"/>
      <c r="FE60" s="26"/>
      <c r="FF60" s="25"/>
      <c r="FG60" s="25"/>
      <c r="FH60" s="232"/>
      <c r="FI60" s="232"/>
      <c r="FJ60" s="232"/>
      <c r="FK60" s="232"/>
      <c r="FL60" s="232"/>
      <c r="FM60" s="232"/>
      <c r="FN60" s="25"/>
      <c r="FO60" s="232"/>
      <c r="FP60" s="232"/>
      <c r="FR60" s="290"/>
      <c r="FS60" s="290" t="s">
        <v>179</v>
      </c>
      <c r="FT60" s="295" t="e">
        <f t="shared" ca="1" si="11"/>
        <v>#REF!</v>
      </c>
      <c r="FU60" s="298"/>
      <c r="FW60" s="533"/>
      <c r="FX60" s="238" t="s">
        <v>706</v>
      </c>
      <c r="FY60" s="299" t="e">
        <f ca="1">SUM(FY53:FY59)</f>
        <v>#REF!</v>
      </c>
    </row>
    <row r="61" spans="1:181" ht="12.75" customHeight="1" x14ac:dyDescent="0.2">
      <c r="A61" s="25"/>
      <c r="B61" s="25"/>
      <c r="C61" s="25"/>
      <c r="D61" s="232"/>
      <c r="E61" s="231"/>
      <c r="F61" s="232"/>
      <c r="G61" s="25"/>
      <c r="H61" s="25"/>
      <c r="I61" s="234"/>
      <c r="J61" s="25"/>
      <c r="K61" s="25"/>
      <c r="L61" s="25"/>
      <c r="M61" s="25"/>
      <c r="N61" s="25"/>
      <c r="O61" s="25"/>
      <c r="P61" s="25"/>
      <c r="Q61" s="25"/>
      <c r="R61" s="25"/>
      <c r="S61" s="50"/>
      <c r="T61" s="232"/>
      <c r="U61" s="232"/>
      <c r="V61" s="25"/>
      <c r="W61" s="232"/>
      <c r="X61" s="232"/>
      <c r="Y61" s="25"/>
      <c r="Z61" s="25"/>
      <c r="AA61" s="25"/>
      <c r="AB61" s="232"/>
      <c r="AC61" s="232"/>
      <c r="AD61" s="232"/>
      <c r="AE61" s="25"/>
      <c r="AF61" s="232"/>
      <c r="AG61" s="25"/>
      <c r="AH61" s="25"/>
      <c r="AI61" s="25"/>
      <c r="AJ61" s="25"/>
      <c r="AK61" s="25"/>
      <c r="AL61" s="25"/>
      <c r="AM61" s="25"/>
      <c r="AN61" s="25"/>
      <c r="AO61" s="25"/>
      <c r="AP61" s="25"/>
      <c r="AQ61" s="25"/>
      <c r="AR61" s="25"/>
      <c r="AS61" s="25"/>
      <c r="AT61" s="25"/>
      <c r="AU61" s="25"/>
      <c r="AV61" s="25"/>
      <c r="AW61" s="25"/>
      <c r="AX61" s="25"/>
      <c r="AY61" s="25"/>
      <c r="AZ61" s="25"/>
      <c r="BA61" s="25"/>
      <c r="BB61" s="25"/>
      <c r="BC61" s="25"/>
      <c r="BD61" s="21"/>
      <c r="BE61" s="25"/>
      <c r="BF61" s="50"/>
      <c r="BG61" s="50"/>
      <c r="BH61" s="25"/>
      <c r="BI61" s="50"/>
      <c r="BJ61" s="50"/>
      <c r="BK61" s="50"/>
      <c r="BL61" s="232"/>
      <c r="BM61" s="50"/>
      <c r="BN61" s="232"/>
      <c r="BO61" s="50"/>
      <c r="BP61" s="232"/>
      <c r="BQ61" s="232"/>
      <c r="BR61" s="232"/>
      <c r="BS61" s="232"/>
      <c r="BT61" s="232"/>
      <c r="BU61" s="232"/>
      <c r="BV61" s="232"/>
      <c r="BW61" s="232"/>
      <c r="BX61" s="232"/>
      <c r="BY61" s="232"/>
      <c r="BZ61" s="232"/>
      <c r="CA61" s="50"/>
      <c r="CB61" s="232"/>
      <c r="CC61" s="232"/>
      <c r="CE61" s="25"/>
      <c r="CF61" s="232"/>
      <c r="CG61" s="25"/>
      <c r="CH61" s="25"/>
      <c r="CI61" s="25"/>
      <c r="CJ61" s="25"/>
      <c r="CK61" s="25"/>
      <c r="CL61" s="232"/>
      <c r="CM61" s="25"/>
      <c r="CN61" s="232"/>
      <c r="CO61" s="25"/>
      <c r="CP61" s="232"/>
      <c r="CQ61" s="232"/>
      <c r="CR61" s="232"/>
      <c r="CS61" s="232"/>
      <c r="CT61" s="232"/>
      <c r="CU61" s="232"/>
      <c r="CV61" s="232"/>
      <c r="CW61" s="232"/>
      <c r="CX61" s="232"/>
      <c r="CY61" s="232"/>
      <c r="CZ61" s="232"/>
      <c r="DA61" s="25"/>
      <c r="DB61" s="232"/>
      <c r="DC61" s="232"/>
      <c r="DD61" s="232"/>
      <c r="DE61" s="25"/>
      <c r="DF61" s="232"/>
      <c r="DG61" s="25"/>
      <c r="DH61" s="232"/>
      <c r="DI61" s="232"/>
      <c r="DJ61" s="26"/>
      <c r="DK61" s="26"/>
      <c r="DL61" s="26"/>
      <c r="DM61" s="26"/>
      <c r="DN61" s="25"/>
      <c r="DO61" s="25"/>
      <c r="DP61" s="232"/>
      <c r="DQ61" s="25"/>
      <c r="DR61" s="232"/>
      <c r="DS61" s="232"/>
      <c r="DT61" s="25"/>
      <c r="DU61" s="232"/>
      <c r="DV61" s="232"/>
      <c r="DW61" s="232"/>
      <c r="DX61" s="232"/>
      <c r="DY61" s="232"/>
      <c r="DZ61" s="232"/>
      <c r="EA61" s="232"/>
      <c r="EB61" s="232"/>
      <c r="EC61" s="232"/>
      <c r="ED61" s="232"/>
      <c r="EE61" s="232"/>
      <c r="EF61" s="232"/>
      <c r="EG61" s="232"/>
      <c r="EH61" s="26"/>
      <c r="EI61" s="26"/>
      <c r="EJ61" s="26"/>
      <c r="EK61" s="50"/>
      <c r="EL61" s="25"/>
      <c r="EM61" s="232"/>
      <c r="EN61" s="232"/>
      <c r="EO61" s="232"/>
      <c r="EP61" s="232"/>
      <c r="EQ61" s="25"/>
      <c r="ES61" s="25"/>
      <c r="FB61" s="20"/>
      <c r="FC61" s="26"/>
      <c r="FD61" s="26"/>
      <c r="FE61" s="26"/>
      <c r="FF61" s="25"/>
      <c r="FG61" s="25"/>
      <c r="FH61" s="232"/>
      <c r="FI61" s="232"/>
      <c r="FJ61" s="232"/>
      <c r="FK61" s="232"/>
      <c r="FL61" s="232"/>
      <c r="FM61" s="232"/>
      <c r="FN61" s="25"/>
      <c r="FO61" s="232"/>
      <c r="FP61" s="232"/>
      <c r="FR61" s="290"/>
      <c r="FS61" s="290" t="s">
        <v>178</v>
      </c>
      <c r="FT61" s="295" t="e">
        <f t="shared" ca="1" si="11"/>
        <v>#REF!</v>
      </c>
      <c r="FU61" s="298"/>
      <c r="FW61" s="533" t="s">
        <v>707</v>
      </c>
      <c r="FX61" s="238" t="s">
        <v>181</v>
      </c>
      <c r="FY61" s="299" t="e">
        <f t="shared" ref="FY61:FY68" ca="1" si="12">SUMIF($FX$21:$FX$60,FX61,$FY$21:$FY$60)</f>
        <v>#REF!</v>
      </c>
    </row>
    <row r="62" spans="1:181" ht="12.75" customHeight="1" x14ac:dyDescent="0.2">
      <c r="A62" s="25"/>
      <c r="B62" s="25"/>
      <c r="C62" s="25"/>
      <c r="D62" s="232"/>
      <c r="E62" s="231"/>
      <c r="F62" s="232"/>
      <c r="G62" s="25"/>
      <c r="H62" s="25"/>
      <c r="I62" s="234"/>
      <c r="J62" s="25"/>
      <c r="K62" s="25"/>
      <c r="L62" s="25"/>
      <c r="M62" s="25"/>
      <c r="N62" s="25"/>
      <c r="O62" s="25"/>
      <c r="P62" s="25"/>
      <c r="Q62" s="25"/>
      <c r="R62" s="25"/>
      <c r="S62" s="50"/>
      <c r="T62" s="232"/>
      <c r="U62" s="232"/>
      <c r="V62" s="25"/>
      <c r="W62" s="232"/>
      <c r="X62" s="232"/>
      <c r="Y62" s="25"/>
      <c r="Z62" s="25"/>
      <c r="AA62" s="25"/>
      <c r="AB62" s="232"/>
      <c r="AC62" s="232"/>
      <c r="AD62" s="232"/>
      <c r="AE62" s="25"/>
      <c r="AF62" s="232"/>
      <c r="AG62" s="25"/>
      <c r="AH62" s="25"/>
      <c r="AI62" s="25"/>
      <c r="AJ62" s="25"/>
      <c r="AK62" s="25"/>
      <c r="AL62" s="25"/>
      <c r="AM62" s="25"/>
      <c r="AN62" s="25"/>
      <c r="AO62" s="25"/>
      <c r="AP62" s="25"/>
      <c r="AQ62" s="25"/>
      <c r="AR62" s="25"/>
      <c r="AS62" s="25"/>
      <c r="AT62" s="25"/>
      <c r="AU62" s="25"/>
      <c r="AV62" s="25"/>
      <c r="AW62" s="25"/>
      <c r="AX62" s="25"/>
      <c r="AY62" s="25"/>
      <c r="AZ62" s="25"/>
      <c r="BA62" s="25"/>
      <c r="BB62" s="25"/>
      <c r="BC62" s="25"/>
      <c r="BD62" s="21"/>
      <c r="BE62" s="25"/>
      <c r="BF62" s="50"/>
      <c r="BG62" s="50"/>
      <c r="BH62" s="25"/>
      <c r="BI62" s="50"/>
      <c r="BJ62" s="50"/>
      <c r="BK62" s="50"/>
      <c r="BL62" s="232"/>
      <c r="BM62" s="50"/>
      <c r="BN62" s="232"/>
      <c r="BO62" s="50"/>
      <c r="BP62" s="232"/>
      <c r="BQ62" s="232"/>
      <c r="BR62" s="232"/>
      <c r="BS62" s="232"/>
      <c r="BT62" s="232"/>
      <c r="BU62" s="232"/>
      <c r="BV62" s="232"/>
      <c r="BW62" s="232"/>
      <c r="BX62" s="232"/>
      <c r="BY62" s="232"/>
      <c r="BZ62" s="232"/>
      <c r="CA62" s="50"/>
      <c r="CB62" s="232"/>
      <c r="CC62" s="232"/>
      <c r="CE62" s="25"/>
      <c r="CF62" s="232"/>
      <c r="CG62" s="25"/>
      <c r="CH62" s="25"/>
      <c r="CI62" s="25"/>
      <c r="CJ62" s="25"/>
      <c r="CK62" s="25"/>
      <c r="CL62" s="232"/>
      <c r="CM62" s="25"/>
      <c r="CN62" s="232"/>
      <c r="CO62" s="25"/>
      <c r="CP62" s="232"/>
      <c r="CQ62" s="232"/>
      <c r="CR62" s="232"/>
      <c r="CS62" s="232"/>
      <c r="CT62" s="232"/>
      <c r="CU62" s="232"/>
      <c r="CV62" s="232"/>
      <c r="CW62" s="232"/>
      <c r="CX62" s="232"/>
      <c r="CY62" s="232"/>
      <c r="CZ62" s="232"/>
      <c r="DA62" s="25"/>
      <c r="DB62" s="232"/>
      <c r="DC62" s="232"/>
      <c r="DD62" s="232"/>
      <c r="DE62" s="25"/>
      <c r="DF62" s="232"/>
      <c r="DG62" s="25"/>
      <c r="DH62" s="232"/>
      <c r="DI62" s="232"/>
      <c r="DJ62" s="26"/>
      <c r="DK62" s="26"/>
      <c r="DL62" s="26"/>
      <c r="DM62" s="26"/>
      <c r="DN62" s="25"/>
      <c r="DO62" s="25"/>
      <c r="DP62" s="232"/>
      <c r="DQ62" s="25"/>
      <c r="DR62" s="232"/>
      <c r="DS62" s="232"/>
      <c r="DT62" s="25"/>
      <c r="DU62" s="232"/>
      <c r="DV62" s="232"/>
      <c r="DW62" s="232"/>
      <c r="DX62" s="232"/>
      <c r="DY62" s="232"/>
      <c r="DZ62" s="232"/>
      <c r="EA62" s="232"/>
      <c r="EB62" s="232"/>
      <c r="EC62" s="232"/>
      <c r="ED62" s="232"/>
      <c r="EE62" s="232"/>
      <c r="EF62" s="232"/>
      <c r="EG62" s="232"/>
      <c r="EH62" s="26"/>
      <c r="EI62" s="26"/>
      <c r="EJ62" s="26"/>
      <c r="EK62" s="50"/>
      <c r="EL62" s="25"/>
      <c r="EM62" s="232"/>
      <c r="EN62" s="232"/>
      <c r="EO62" s="232"/>
      <c r="EP62" s="232"/>
      <c r="EQ62" s="25"/>
      <c r="ES62" s="25"/>
      <c r="FB62" s="20"/>
      <c r="FC62" s="26"/>
      <c r="FD62" s="26"/>
      <c r="FE62" s="26"/>
      <c r="FF62" s="25"/>
      <c r="FG62" s="25"/>
      <c r="FH62" s="232"/>
      <c r="FI62" s="232"/>
      <c r="FJ62" s="232"/>
      <c r="FK62" s="232"/>
      <c r="FL62" s="232"/>
      <c r="FM62" s="232"/>
      <c r="FN62" s="25"/>
      <c r="FO62" s="232"/>
      <c r="FP62" s="232"/>
      <c r="FR62" s="290"/>
      <c r="FS62" s="290" t="s">
        <v>177</v>
      </c>
      <c r="FT62" s="295" t="e">
        <f t="shared" ca="1" si="11"/>
        <v>#REF!</v>
      </c>
      <c r="FU62" s="298"/>
      <c r="FW62" s="533"/>
      <c r="FX62" s="238" t="s">
        <v>180</v>
      </c>
      <c r="FY62" s="299" t="e">
        <f t="shared" ca="1" si="12"/>
        <v>#REF!</v>
      </c>
    </row>
    <row r="63" spans="1:181" ht="12.75" customHeight="1" x14ac:dyDescent="0.2">
      <c r="A63" s="25"/>
      <c r="B63" s="25"/>
      <c r="C63" s="25"/>
      <c r="D63" s="232"/>
      <c r="E63" s="231"/>
      <c r="F63" s="232"/>
      <c r="G63" s="25"/>
      <c r="H63" s="25"/>
      <c r="I63" s="234"/>
      <c r="J63" s="25"/>
      <c r="K63" s="25"/>
      <c r="L63" s="25"/>
      <c r="M63" s="25"/>
      <c r="N63" s="25"/>
      <c r="O63" s="25"/>
      <c r="P63" s="25"/>
      <c r="Q63" s="25"/>
      <c r="R63" s="25"/>
      <c r="S63" s="50"/>
      <c r="T63" s="232"/>
      <c r="U63" s="232"/>
      <c r="V63" s="25"/>
      <c r="W63" s="232"/>
      <c r="X63" s="232"/>
      <c r="Y63" s="25"/>
      <c r="Z63" s="25"/>
      <c r="AA63" s="25"/>
      <c r="AB63" s="232"/>
      <c r="AC63" s="232"/>
      <c r="AD63" s="232"/>
      <c r="AE63" s="25"/>
      <c r="AF63" s="232"/>
      <c r="AG63" s="25"/>
      <c r="AH63" s="25"/>
      <c r="AI63" s="25"/>
      <c r="AJ63" s="25"/>
      <c r="AK63" s="25"/>
      <c r="AL63" s="25"/>
      <c r="AM63" s="25"/>
      <c r="AN63" s="25"/>
      <c r="AO63" s="25"/>
      <c r="AP63" s="25"/>
      <c r="AQ63" s="25"/>
      <c r="AR63" s="25"/>
      <c r="AS63" s="25"/>
      <c r="AT63" s="25"/>
      <c r="AU63" s="25"/>
      <c r="AV63" s="25"/>
      <c r="AW63" s="25"/>
      <c r="AX63" s="25"/>
      <c r="AY63" s="25"/>
      <c r="AZ63" s="25"/>
      <c r="BA63" s="25"/>
      <c r="BB63" s="25"/>
      <c r="BC63" s="25"/>
      <c r="BD63" s="21"/>
      <c r="BE63" s="25"/>
      <c r="BF63" s="50"/>
      <c r="BG63" s="50"/>
      <c r="BH63" s="25"/>
      <c r="BI63" s="50"/>
      <c r="BJ63" s="50"/>
      <c r="BK63" s="50"/>
      <c r="BL63" s="232"/>
      <c r="BM63" s="50"/>
      <c r="BN63" s="232"/>
      <c r="BO63" s="50"/>
      <c r="BP63" s="232"/>
      <c r="BQ63" s="232"/>
      <c r="BR63" s="232"/>
      <c r="BS63" s="232"/>
      <c r="BT63" s="232"/>
      <c r="BU63" s="232"/>
      <c r="BV63" s="232"/>
      <c r="BW63" s="232"/>
      <c r="BX63" s="232"/>
      <c r="BY63" s="232"/>
      <c r="BZ63" s="232"/>
      <c r="CA63" s="50"/>
      <c r="CB63" s="232"/>
      <c r="CC63" s="232"/>
      <c r="CE63" s="25"/>
      <c r="CF63" s="232"/>
      <c r="CG63" s="25"/>
      <c r="CH63" s="25"/>
      <c r="CI63" s="25"/>
      <c r="CJ63" s="25"/>
      <c r="CK63" s="25"/>
      <c r="CL63" s="232"/>
      <c r="CM63" s="25"/>
      <c r="CN63" s="232"/>
      <c r="CO63" s="25"/>
      <c r="CP63" s="232"/>
      <c r="CQ63" s="232"/>
      <c r="CR63" s="232"/>
      <c r="CS63" s="232"/>
      <c r="CT63" s="232"/>
      <c r="CU63" s="232"/>
      <c r="CV63" s="232"/>
      <c r="CW63" s="232"/>
      <c r="CX63" s="232"/>
      <c r="CY63" s="232"/>
      <c r="CZ63" s="232"/>
      <c r="DA63" s="25"/>
      <c r="DB63" s="232"/>
      <c r="DC63" s="232"/>
      <c r="DD63" s="232"/>
      <c r="DE63" s="25"/>
      <c r="DF63" s="232"/>
      <c r="DG63" s="25"/>
      <c r="DH63" s="232"/>
      <c r="DI63" s="232"/>
      <c r="DJ63" s="26"/>
      <c r="DK63" s="26"/>
      <c r="DL63" s="26"/>
      <c r="DM63" s="26"/>
      <c r="DN63" s="25"/>
      <c r="DO63" s="25"/>
      <c r="DP63" s="232"/>
      <c r="DQ63" s="25"/>
      <c r="DR63" s="232"/>
      <c r="DS63" s="232"/>
      <c r="DT63" s="25"/>
      <c r="DU63" s="232"/>
      <c r="DV63" s="232"/>
      <c r="DW63" s="232"/>
      <c r="DX63" s="232"/>
      <c r="DY63" s="232"/>
      <c r="DZ63" s="232"/>
      <c r="EA63" s="232"/>
      <c r="EB63" s="232"/>
      <c r="EC63" s="232"/>
      <c r="ED63" s="232"/>
      <c r="EE63" s="232"/>
      <c r="EF63" s="232"/>
      <c r="EG63" s="232"/>
      <c r="EH63" s="26"/>
      <c r="EI63" s="26"/>
      <c r="EJ63" s="26"/>
      <c r="EK63" s="50"/>
      <c r="EL63" s="25"/>
      <c r="EM63" s="232"/>
      <c r="EN63" s="232"/>
      <c r="EO63" s="232"/>
      <c r="EP63" s="232"/>
      <c r="EQ63" s="25"/>
      <c r="ES63" s="25"/>
      <c r="FB63" s="20"/>
      <c r="FC63" s="26"/>
      <c r="FD63" s="26"/>
      <c r="FE63" s="26"/>
      <c r="FF63" s="25"/>
      <c r="FG63" s="25"/>
      <c r="FH63" s="232"/>
      <c r="FI63" s="232"/>
      <c r="FJ63" s="232"/>
      <c r="FK63" s="232"/>
      <c r="FL63" s="232"/>
      <c r="FM63" s="232"/>
      <c r="FN63" s="25"/>
      <c r="FO63" s="232"/>
      <c r="FP63" s="232"/>
      <c r="FR63" s="290"/>
      <c r="FS63" s="290" t="s">
        <v>176</v>
      </c>
      <c r="FT63" s="295" t="e">
        <f t="shared" ca="1" si="11"/>
        <v>#REF!</v>
      </c>
      <c r="FU63" s="298"/>
      <c r="FW63" s="533"/>
      <c r="FX63" s="238" t="s">
        <v>179</v>
      </c>
      <c r="FY63" s="299" t="e">
        <f t="shared" ca="1" si="12"/>
        <v>#REF!</v>
      </c>
    </row>
    <row r="64" spans="1:181" ht="12.75" customHeight="1" x14ac:dyDescent="0.2">
      <c r="A64" s="25"/>
      <c r="B64" s="25"/>
      <c r="C64" s="25"/>
      <c r="D64" s="232"/>
      <c r="E64" s="231"/>
      <c r="F64" s="232"/>
      <c r="G64" s="25"/>
      <c r="H64" s="25"/>
      <c r="I64" s="234"/>
      <c r="J64" s="25"/>
      <c r="K64" s="25"/>
      <c r="L64" s="25"/>
      <c r="M64" s="25"/>
      <c r="N64" s="25"/>
      <c r="O64" s="25"/>
      <c r="P64" s="25"/>
      <c r="Q64" s="25"/>
      <c r="R64" s="25"/>
      <c r="S64" s="50"/>
      <c r="T64" s="232"/>
      <c r="U64" s="232"/>
      <c r="V64" s="25"/>
      <c r="W64" s="232"/>
      <c r="X64" s="232"/>
      <c r="Y64" s="25"/>
      <c r="Z64" s="25"/>
      <c r="AA64" s="25"/>
      <c r="AB64" s="232"/>
      <c r="AC64" s="232"/>
      <c r="AD64" s="232"/>
      <c r="AE64" s="25"/>
      <c r="AF64" s="232"/>
      <c r="AG64" s="25"/>
      <c r="AH64" s="25"/>
      <c r="AI64" s="25"/>
      <c r="AJ64" s="25"/>
      <c r="AK64" s="25"/>
      <c r="AL64" s="25"/>
      <c r="AM64" s="25"/>
      <c r="AN64" s="25"/>
      <c r="AO64" s="25"/>
      <c r="AP64" s="25"/>
      <c r="AQ64" s="25"/>
      <c r="AR64" s="25"/>
      <c r="AS64" s="25"/>
      <c r="AT64" s="25"/>
      <c r="AU64" s="25"/>
      <c r="AV64" s="25"/>
      <c r="AW64" s="25"/>
      <c r="AX64" s="25"/>
      <c r="AY64" s="25"/>
      <c r="AZ64" s="25"/>
      <c r="BA64" s="25"/>
      <c r="BB64" s="25"/>
      <c r="BC64" s="25"/>
      <c r="BD64" s="25"/>
      <c r="BE64" s="25"/>
      <c r="BF64" s="50"/>
      <c r="BG64" s="50"/>
      <c r="BH64" s="25"/>
      <c r="BI64" s="50"/>
      <c r="BJ64" s="50"/>
      <c r="BK64" s="50"/>
      <c r="BL64" s="232"/>
      <c r="BM64" s="50"/>
      <c r="BN64" s="232"/>
      <c r="BO64" s="50"/>
      <c r="BP64" s="232"/>
      <c r="BQ64" s="232"/>
      <c r="BR64" s="232"/>
      <c r="BS64" s="232"/>
      <c r="BT64" s="232"/>
      <c r="BU64" s="232"/>
      <c r="BV64" s="232"/>
      <c r="BW64" s="232"/>
      <c r="BX64" s="232"/>
      <c r="BY64" s="232"/>
      <c r="BZ64" s="232"/>
      <c r="CA64" s="50"/>
      <c r="CB64" s="232"/>
      <c r="CC64" s="232"/>
      <c r="CE64" s="25"/>
      <c r="CF64" s="232"/>
      <c r="CG64" s="25"/>
      <c r="CH64" s="25"/>
      <c r="CI64" s="25"/>
      <c r="CJ64" s="25"/>
      <c r="CK64" s="25"/>
      <c r="CL64" s="232"/>
      <c r="CM64" s="25"/>
      <c r="CN64" s="232"/>
      <c r="CO64" s="25"/>
      <c r="CP64" s="232"/>
      <c r="CQ64" s="232"/>
      <c r="CR64" s="232"/>
      <c r="CS64" s="232"/>
      <c r="CT64" s="232"/>
      <c r="CU64" s="232"/>
      <c r="CV64" s="232"/>
      <c r="CW64" s="232"/>
      <c r="CX64" s="232"/>
      <c r="CY64" s="232"/>
      <c r="CZ64" s="232"/>
      <c r="DA64" s="25"/>
      <c r="DB64" s="232"/>
      <c r="DC64" s="232"/>
      <c r="DD64" s="232"/>
      <c r="DE64" s="25"/>
      <c r="DF64" s="232"/>
      <c r="DG64" s="25"/>
      <c r="DH64" s="232"/>
      <c r="DI64" s="232"/>
      <c r="DJ64" s="26"/>
      <c r="DK64" s="26"/>
      <c r="DL64" s="26"/>
      <c r="DM64" s="26"/>
      <c r="DN64" s="25"/>
      <c r="DO64" s="25"/>
      <c r="DP64" s="232"/>
      <c r="DQ64" s="25"/>
      <c r="DR64" s="232"/>
      <c r="DS64" s="232"/>
      <c r="DT64" s="25"/>
      <c r="DU64" s="232"/>
      <c r="DV64" s="232"/>
      <c r="DW64" s="232"/>
      <c r="DX64" s="232"/>
      <c r="DY64" s="232"/>
      <c r="DZ64" s="232"/>
      <c r="EA64" s="232"/>
      <c r="EB64" s="232"/>
      <c r="EC64" s="232"/>
      <c r="ED64" s="232"/>
      <c r="EE64" s="232"/>
      <c r="EF64" s="232"/>
      <c r="EG64" s="232"/>
      <c r="EH64" s="26"/>
      <c r="EI64" s="26"/>
      <c r="EJ64" s="26"/>
      <c r="EK64" s="50"/>
      <c r="EL64" s="25"/>
      <c r="EM64" s="232"/>
      <c r="EN64" s="232"/>
      <c r="EO64" s="232"/>
      <c r="EP64" s="232"/>
      <c r="EQ64" s="25"/>
      <c r="ES64" s="25"/>
      <c r="FB64" s="20"/>
      <c r="FC64" s="26"/>
      <c r="FD64" s="26"/>
      <c r="FE64" s="26"/>
      <c r="FF64" s="25"/>
      <c r="FG64" s="25"/>
      <c r="FH64" s="232"/>
      <c r="FI64" s="232"/>
      <c r="FJ64" s="232"/>
      <c r="FK64" s="232"/>
      <c r="FL64" s="232"/>
      <c r="FM64" s="232"/>
      <c r="FN64" s="25"/>
      <c r="FO64" s="232"/>
      <c r="FP64" s="232"/>
      <c r="FR64" s="290"/>
      <c r="FS64" s="290" t="s">
        <v>736</v>
      </c>
      <c r="FT64" s="295" t="e">
        <f ca="1">SUM(yn_TrafficDelayCost)</f>
        <v>#REF!</v>
      </c>
      <c r="FU64" s="283"/>
      <c r="FW64" s="533"/>
      <c r="FX64" s="238" t="s">
        <v>178</v>
      </c>
      <c r="FY64" s="299" t="e">
        <f t="shared" ca="1" si="12"/>
        <v>#REF!</v>
      </c>
    </row>
    <row r="65" spans="1:182" ht="12.75" customHeight="1" x14ac:dyDescent="0.2">
      <c r="A65" s="25"/>
      <c r="B65" s="25"/>
      <c r="C65" s="25"/>
      <c r="D65" s="232"/>
      <c r="E65" s="231"/>
      <c r="F65" s="232"/>
      <c r="G65" s="25"/>
      <c r="H65" s="25"/>
      <c r="I65" s="234"/>
      <c r="J65" s="25"/>
      <c r="K65" s="25"/>
      <c r="L65" s="25"/>
      <c r="M65" s="25"/>
      <c r="N65" s="25"/>
      <c r="O65" s="25"/>
      <c r="P65" s="25"/>
      <c r="Q65" s="25"/>
      <c r="R65" s="25"/>
      <c r="S65" s="50"/>
      <c r="T65" s="232"/>
      <c r="U65" s="232"/>
      <c r="V65" s="25"/>
      <c r="W65" s="232"/>
      <c r="X65" s="232"/>
      <c r="Y65" s="25"/>
      <c r="Z65" s="25"/>
      <c r="AA65" s="25"/>
      <c r="AB65" s="232"/>
      <c r="AC65" s="232"/>
      <c r="AD65" s="232"/>
      <c r="AE65" s="25"/>
      <c r="AF65" s="232"/>
      <c r="AG65" s="25"/>
      <c r="AH65" s="25"/>
      <c r="AI65" s="25"/>
      <c r="AJ65" s="25"/>
      <c r="AK65" s="25"/>
      <c r="AL65" s="25"/>
      <c r="AM65" s="25"/>
      <c r="AN65" s="25"/>
      <c r="AO65" s="25"/>
      <c r="AP65" s="25"/>
      <c r="AQ65" s="25"/>
      <c r="AR65" s="25"/>
      <c r="AS65" s="25"/>
      <c r="AT65" s="25"/>
      <c r="AU65" s="25"/>
      <c r="AV65" s="25"/>
      <c r="AW65" s="25"/>
      <c r="AX65" s="25"/>
      <c r="AY65" s="25"/>
      <c r="AZ65" s="25"/>
      <c r="BA65" s="25"/>
      <c r="BB65" s="25"/>
      <c r="BC65" s="25"/>
      <c r="BD65" s="25"/>
      <c r="BE65" s="25"/>
      <c r="BF65" s="50"/>
      <c r="BG65" s="50"/>
      <c r="BH65" s="25"/>
      <c r="BI65" s="50"/>
      <c r="BJ65" s="50"/>
      <c r="BK65" s="50"/>
      <c r="BL65" s="232"/>
      <c r="BM65" s="50"/>
      <c r="BN65" s="232"/>
      <c r="BO65" s="50"/>
      <c r="BP65" s="232"/>
      <c r="BQ65" s="232"/>
      <c r="BR65" s="232"/>
      <c r="BS65" s="232"/>
      <c r="BT65" s="232"/>
      <c r="BU65" s="232"/>
      <c r="BV65" s="232"/>
      <c r="BW65" s="232"/>
      <c r="BX65" s="232"/>
      <c r="BY65" s="232"/>
      <c r="BZ65" s="232"/>
      <c r="CA65" s="50"/>
      <c r="CB65" s="232"/>
      <c r="CC65" s="232"/>
      <c r="CE65" s="25"/>
      <c r="CF65" s="232"/>
      <c r="CG65" s="25"/>
      <c r="CH65" s="25"/>
      <c r="CI65" s="25"/>
      <c r="CJ65" s="25"/>
      <c r="CK65" s="25"/>
      <c r="CL65" s="232"/>
      <c r="CM65" s="25"/>
      <c r="CN65" s="232"/>
      <c r="CO65" s="25"/>
      <c r="CP65" s="232"/>
      <c r="CQ65" s="232"/>
      <c r="CR65" s="232"/>
      <c r="CS65" s="232"/>
      <c r="CT65" s="232"/>
      <c r="CU65" s="232"/>
      <c r="CV65" s="232"/>
      <c r="CW65" s="232"/>
      <c r="CX65" s="232"/>
      <c r="CY65" s="232"/>
      <c r="CZ65" s="232"/>
      <c r="DA65" s="25"/>
      <c r="DB65" s="232"/>
      <c r="DC65" s="232"/>
      <c r="DD65" s="232"/>
      <c r="DE65" s="25"/>
      <c r="DF65" s="232"/>
      <c r="DG65" s="25"/>
      <c r="DH65" s="232"/>
      <c r="DI65" s="232"/>
      <c r="DJ65" s="26"/>
      <c r="DK65" s="26"/>
      <c r="DL65" s="26"/>
      <c r="DM65" s="26"/>
      <c r="DN65" s="25"/>
      <c r="DO65" s="25"/>
      <c r="DP65" s="232"/>
      <c r="DQ65" s="25"/>
      <c r="DR65" s="232"/>
      <c r="DS65" s="232"/>
      <c r="DT65" s="25"/>
      <c r="DU65" s="232"/>
      <c r="DV65" s="232"/>
      <c r="DW65" s="232"/>
      <c r="DX65" s="232"/>
      <c r="DY65" s="232"/>
      <c r="DZ65" s="232"/>
      <c r="EA65" s="232"/>
      <c r="EB65" s="232"/>
      <c r="EC65" s="232"/>
      <c r="ED65" s="232"/>
      <c r="EE65" s="232"/>
      <c r="EF65" s="232"/>
      <c r="EG65" s="232"/>
      <c r="EH65" s="26"/>
      <c r="EI65" s="26"/>
      <c r="EJ65" s="26"/>
      <c r="EK65" s="50"/>
      <c r="EL65" s="25"/>
      <c r="EM65" s="232"/>
      <c r="EN65" s="232"/>
      <c r="EO65" s="232"/>
      <c r="EP65" s="232"/>
      <c r="EQ65" s="25"/>
      <c r="ES65" s="25"/>
      <c r="FB65" s="20"/>
      <c r="FC65" s="26"/>
      <c r="FD65" s="26"/>
      <c r="FE65" s="26"/>
      <c r="FF65" s="25"/>
      <c r="FG65" s="25"/>
      <c r="FH65" s="232"/>
      <c r="FI65" s="232"/>
      <c r="FJ65" s="232"/>
      <c r="FK65" s="232"/>
      <c r="FL65" s="232"/>
      <c r="FM65" s="232"/>
      <c r="FN65" s="25"/>
      <c r="FO65" s="232"/>
      <c r="FP65" s="232"/>
      <c r="FW65" s="533"/>
      <c r="FX65" s="238" t="s">
        <v>177</v>
      </c>
      <c r="FY65" s="299" t="e">
        <f t="shared" ca="1" si="12"/>
        <v>#REF!</v>
      </c>
    </row>
    <row r="66" spans="1:182" ht="12.75" customHeight="1" x14ac:dyDescent="0.2">
      <c r="A66" s="25"/>
      <c r="B66" s="25"/>
      <c r="C66" s="25"/>
      <c r="D66" s="232"/>
      <c r="E66" s="231"/>
      <c r="F66" s="232"/>
      <c r="G66" s="25"/>
      <c r="H66" s="25"/>
      <c r="I66" s="234"/>
      <c r="J66" s="25"/>
      <c r="K66" s="25"/>
      <c r="L66" s="25"/>
      <c r="M66" s="25"/>
      <c r="N66" s="25"/>
      <c r="O66" s="25"/>
      <c r="P66" s="25"/>
      <c r="Q66" s="25"/>
      <c r="R66" s="25"/>
      <c r="S66" s="50"/>
      <c r="T66" s="232"/>
      <c r="U66" s="232"/>
      <c r="V66" s="25"/>
      <c r="W66" s="232"/>
      <c r="X66" s="232"/>
      <c r="Y66" s="25"/>
      <c r="Z66" s="25"/>
      <c r="AA66" s="25"/>
      <c r="AB66" s="232"/>
      <c r="AC66" s="232"/>
      <c r="AD66" s="232"/>
      <c r="AE66" s="25"/>
      <c r="AF66" s="232"/>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50"/>
      <c r="BG66" s="50"/>
      <c r="BH66" s="25"/>
      <c r="BI66" s="50"/>
      <c r="BJ66" s="50"/>
      <c r="BK66" s="50"/>
      <c r="BL66" s="232"/>
      <c r="BM66" s="50"/>
      <c r="BN66" s="232"/>
      <c r="BO66" s="50"/>
      <c r="BP66" s="232"/>
      <c r="BQ66" s="232"/>
      <c r="BR66" s="232"/>
      <c r="BS66" s="232"/>
      <c r="BT66" s="232"/>
      <c r="BU66" s="232"/>
      <c r="BV66" s="232"/>
      <c r="BW66" s="232"/>
      <c r="BX66" s="232"/>
      <c r="BY66" s="232"/>
      <c r="BZ66" s="232"/>
      <c r="CA66" s="50"/>
      <c r="CB66" s="232"/>
      <c r="CC66" s="232"/>
      <c r="CE66" s="25"/>
      <c r="CF66" s="232"/>
      <c r="CG66" s="25"/>
      <c r="CH66" s="25"/>
      <c r="CI66" s="25"/>
      <c r="CJ66" s="25"/>
      <c r="CK66" s="25"/>
      <c r="CL66" s="232"/>
      <c r="CM66" s="25"/>
      <c r="CN66" s="232"/>
      <c r="CO66" s="25"/>
      <c r="CP66" s="232"/>
      <c r="CQ66" s="232"/>
      <c r="CR66" s="232"/>
      <c r="CS66" s="232"/>
      <c r="CT66" s="232"/>
      <c r="CU66" s="232"/>
      <c r="CV66" s="232"/>
      <c r="CW66" s="232"/>
      <c r="CX66" s="232"/>
      <c r="CY66" s="232"/>
      <c r="CZ66" s="232"/>
      <c r="DA66" s="25"/>
      <c r="DB66" s="232"/>
      <c r="DC66" s="232"/>
      <c r="DD66" s="232"/>
      <c r="DE66" s="25"/>
      <c r="DF66" s="232"/>
      <c r="DG66" s="25"/>
      <c r="DH66" s="232"/>
      <c r="DI66" s="232"/>
      <c r="DJ66" s="26"/>
      <c r="DK66" s="26"/>
      <c r="DL66" s="26"/>
      <c r="DM66" s="26"/>
      <c r="DN66" s="25"/>
      <c r="DO66" s="25"/>
      <c r="DP66" s="232"/>
      <c r="DQ66" s="25"/>
      <c r="DR66" s="232"/>
      <c r="DS66" s="232"/>
      <c r="DT66" s="25"/>
      <c r="DU66" s="232"/>
      <c r="DV66" s="232"/>
      <c r="DW66" s="232"/>
      <c r="DX66" s="232"/>
      <c r="DY66" s="232"/>
      <c r="DZ66" s="232"/>
      <c r="EA66" s="232"/>
      <c r="EB66" s="232"/>
      <c r="EC66" s="232"/>
      <c r="ED66" s="232"/>
      <c r="EE66" s="232"/>
      <c r="EF66" s="232"/>
      <c r="EG66" s="232"/>
      <c r="EH66" s="26"/>
      <c r="EI66" s="26"/>
      <c r="EJ66" s="26"/>
      <c r="EK66" s="50"/>
      <c r="EL66" s="25"/>
      <c r="EM66" s="232"/>
      <c r="EN66" s="232"/>
      <c r="EO66" s="232"/>
      <c r="EP66" s="232"/>
      <c r="EQ66" s="25"/>
      <c r="ES66" s="25"/>
      <c r="FB66" s="20"/>
      <c r="FC66" s="26"/>
      <c r="FD66" s="26"/>
      <c r="FE66" s="26"/>
      <c r="FF66" s="25"/>
      <c r="FG66" s="25"/>
      <c r="FH66" s="232"/>
      <c r="FI66" s="232"/>
      <c r="FJ66" s="232"/>
      <c r="FK66" s="232"/>
      <c r="FL66" s="232"/>
      <c r="FM66" s="232"/>
      <c r="FN66" s="25"/>
      <c r="FO66" s="232"/>
      <c r="FP66" s="232"/>
      <c r="FW66" s="533"/>
      <c r="FX66" s="238" t="s">
        <v>176</v>
      </c>
      <c r="FY66" s="299" t="e">
        <f t="shared" ca="1" si="12"/>
        <v>#REF!</v>
      </c>
    </row>
    <row r="67" spans="1:182" ht="12.75" customHeight="1" x14ac:dyDescent="0.2">
      <c r="A67" s="25"/>
      <c r="B67" s="25"/>
      <c r="C67" s="25"/>
      <c r="D67" s="232"/>
      <c r="E67" s="231"/>
      <c r="F67" s="232"/>
      <c r="G67" s="25"/>
      <c r="H67" s="25"/>
      <c r="I67" s="234"/>
      <c r="J67" s="25"/>
      <c r="K67" s="25"/>
      <c r="L67" s="25"/>
      <c r="M67" s="25"/>
      <c r="N67" s="25"/>
      <c r="O67" s="25"/>
      <c r="P67" s="25"/>
      <c r="Q67" s="25"/>
      <c r="R67" s="25"/>
      <c r="S67" s="50"/>
      <c r="T67" s="232"/>
      <c r="U67" s="232"/>
      <c r="V67" s="25"/>
      <c r="W67" s="232"/>
      <c r="X67" s="232"/>
      <c r="Y67" s="25"/>
      <c r="Z67" s="25"/>
      <c r="AA67" s="25"/>
      <c r="AB67" s="232"/>
      <c r="AC67" s="232"/>
      <c r="AD67" s="232"/>
      <c r="AE67" s="25"/>
      <c r="AF67" s="232"/>
      <c r="AG67" s="25"/>
      <c r="AH67" s="25"/>
      <c r="AI67" s="25"/>
      <c r="AJ67" s="25"/>
      <c r="AK67" s="25"/>
      <c r="AL67" s="25"/>
      <c r="AM67" s="25"/>
      <c r="AN67" s="25"/>
      <c r="AO67" s="25"/>
      <c r="AP67" s="25"/>
      <c r="AQ67" s="25"/>
      <c r="AR67" s="25"/>
      <c r="AS67" s="25"/>
      <c r="AT67" s="25"/>
      <c r="AU67" s="25"/>
      <c r="AV67" s="25"/>
      <c r="AW67" s="25"/>
      <c r="AX67" s="25"/>
      <c r="AY67" s="25"/>
      <c r="AZ67" s="25"/>
      <c r="BA67" s="25"/>
      <c r="BB67" s="25"/>
      <c r="BC67" s="25"/>
      <c r="BD67" s="25"/>
      <c r="BE67" s="25"/>
      <c r="BF67" s="50"/>
      <c r="BG67" s="50"/>
      <c r="BH67" s="25"/>
      <c r="BI67" s="50"/>
      <c r="BJ67" s="50"/>
      <c r="BK67" s="50"/>
      <c r="BL67" s="232"/>
      <c r="BM67" s="50"/>
      <c r="BN67" s="232"/>
      <c r="BO67" s="50"/>
      <c r="BP67" s="232"/>
      <c r="BQ67" s="232"/>
      <c r="BR67" s="232"/>
      <c r="BS67" s="232"/>
      <c r="BT67" s="232"/>
      <c r="BU67" s="232"/>
      <c r="BV67" s="232"/>
      <c r="BW67" s="232"/>
      <c r="BX67" s="232"/>
      <c r="BY67" s="232"/>
      <c r="BZ67" s="232"/>
      <c r="CA67" s="50"/>
      <c r="CB67" s="232"/>
      <c r="CC67" s="232"/>
      <c r="CE67" s="25"/>
      <c r="CF67" s="232"/>
      <c r="CG67" s="25"/>
      <c r="CH67" s="25"/>
      <c r="CI67" s="25"/>
      <c r="CJ67" s="25"/>
      <c r="CK67" s="25"/>
      <c r="CL67" s="232"/>
      <c r="CM67" s="25"/>
      <c r="CN67" s="232"/>
      <c r="CO67" s="25"/>
      <c r="CP67" s="232"/>
      <c r="CQ67" s="232"/>
      <c r="CR67" s="232"/>
      <c r="CS67" s="232"/>
      <c r="CT67" s="232"/>
      <c r="CU67" s="232"/>
      <c r="CV67" s="232"/>
      <c r="CW67" s="232"/>
      <c r="CX67" s="232"/>
      <c r="CY67" s="232"/>
      <c r="CZ67" s="232"/>
      <c r="DA67" s="25"/>
      <c r="DB67" s="232"/>
      <c r="DC67" s="232"/>
      <c r="DD67" s="232"/>
      <c r="DE67" s="25"/>
      <c r="DF67" s="232"/>
      <c r="DG67" s="25"/>
      <c r="DH67" s="232"/>
      <c r="DI67" s="232"/>
      <c r="DJ67" s="26"/>
      <c r="DK67" s="26"/>
      <c r="DL67" s="26"/>
      <c r="DM67" s="26"/>
      <c r="DN67" s="25"/>
      <c r="DO67" s="25"/>
      <c r="DP67" s="232"/>
      <c r="DQ67" s="25"/>
      <c r="DR67" s="232"/>
      <c r="DS67" s="232"/>
      <c r="DT67" s="25"/>
      <c r="DU67" s="232"/>
      <c r="DV67" s="232"/>
      <c r="DW67" s="232"/>
      <c r="DX67" s="232"/>
      <c r="DY67" s="232"/>
      <c r="DZ67" s="232"/>
      <c r="EA67" s="232"/>
      <c r="EB67" s="232"/>
      <c r="EC67" s="232"/>
      <c r="ED67" s="232"/>
      <c r="EE67" s="232"/>
      <c r="EF67" s="232"/>
      <c r="EG67" s="232"/>
      <c r="EH67" s="26"/>
      <c r="EI67" s="26"/>
      <c r="EJ67" s="26"/>
      <c r="EK67" s="50"/>
      <c r="EL67" s="25"/>
      <c r="EM67" s="232"/>
      <c r="EN67" s="232"/>
      <c r="EO67" s="232"/>
      <c r="EP67" s="232"/>
      <c r="EQ67" s="25"/>
      <c r="ES67" s="25"/>
      <c r="FB67" s="20"/>
      <c r="FC67" s="26"/>
      <c r="FD67" s="26"/>
      <c r="FE67" s="26"/>
      <c r="FF67" s="25"/>
      <c r="FG67" s="25"/>
      <c r="FH67" s="232"/>
      <c r="FI67" s="232"/>
      <c r="FJ67" s="232"/>
      <c r="FK67" s="232"/>
      <c r="FL67" s="232"/>
      <c r="FM67" s="232"/>
      <c r="FN67" s="25"/>
      <c r="FO67" s="232"/>
      <c r="FP67" s="232"/>
      <c r="FW67" s="533"/>
      <c r="FX67" s="238" t="s">
        <v>25</v>
      </c>
      <c r="FY67" s="299" t="e">
        <f t="shared" ca="1" si="12"/>
        <v>#REF!</v>
      </c>
    </row>
    <row r="68" spans="1:182" ht="12.75" customHeight="1" x14ac:dyDescent="0.2">
      <c r="A68" s="25"/>
      <c r="B68" s="25"/>
      <c r="C68" s="25"/>
      <c r="D68" s="232"/>
      <c r="E68" s="231"/>
      <c r="F68" s="232"/>
      <c r="G68" s="25"/>
      <c r="H68" s="25"/>
      <c r="I68" s="234"/>
      <c r="J68" s="25"/>
      <c r="K68" s="25"/>
      <c r="L68" s="25"/>
      <c r="M68" s="25"/>
      <c r="N68" s="25"/>
      <c r="O68" s="25"/>
      <c r="P68" s="25"/>
      <c r="Q68" s="25"/>
      <c r="R68" s="25"/>
      <c r="S68" s="50"/>
      <c r="T68" s="232"/>
      <c r="U68" s="232"/>
      <c r="V68" s="25"/>
      <c r="W68" s="232"/>
      <c r="X68" s="232"/>
      <c r="Y68" s="25"/>
      <c r="Z68" s="25"/>
      <c r="AA68" s="25"/>
      <c r="AB68" s="232"/>
      <c r="AC68" s="232"/>
      <c r="AD68" s="232"/>
      <c r="AE68" s="25"/>
      <c r="AF68" s="232"/>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50"/>
      <c r="BG68" s="50"/>
      <c r="BH68" s="25"/>
      <c r="BI68" s="50"/>
      <c r="BJ68" s="50"/>
      <c r="BK68" s="50"/>
      <c r="BL68" s="232"/>
      <c r="BM68" s="50"/>
      <c r="BN68" s="232"/>
      <c r="BO68" s="50"/>
      <c r="BP68" s="232"/>
      <c r="BQ68" s="232"/>
      <c r="BR68" s="232"/>
      <c r="BS68" s="232"/>
      <c r="BT68" s="232"/>
      <c r="BU68" s="232"/>
      <c r="BV68" s="232"/>
      <c r="BW68" s="232"/>
      <c r="BX68" s="232"/>
      <c r="BY68" s="232"/>
      <c r="BZ68" s="232"/>
      <c r="CA68" s="50"/>
      <c r="CB68" s="232"/>
      <c r="CC68" s="232"/>
      <c r="CE68" s="25"/>
      <c r="CF68" s="232"/>
      <c r="CG68" s="25"/>
      <c r="CH68" s="25"/>
      <c r="CI68" s="25"/>
      <c r="CJ68" s="25"/>
      <c r="CK68" s="25"/>
      <c r="CL68" s="232"/>
      <c r="CM68" s="25"/>
      <c r="CN68" s="232"/>
      <c r="CO68" s="25"/>
      <c r="CP68" s="232"/>
      <c r="CQ68" s="232"/>
      <c r="CR68" s="232"/>
      <c r="CS68" s="232"/>
      <c r="CT68" s="232"/>
      <c r="CU68" s="232"/>
      <c r="CV68" s="232"/>
      <c r="CW68" s="232"/>
      <c r="CX68" s="232"/>
      <c r="CY68" s="232"/>
      <c r="CZ68" s="232"/>
      <c r="DA68" s="25"/>
      <c r="DB68" s="232"/>
      <c r="DC68" s="232"/>
      <c r="DD68" s="232"/>
      <c r="DE68" s="25"/>
      <c r="DF68" s="232"/>
      <c r="DG68" s="25"/>
      <c r="DH68" s="232"/>
      <c r="DI68" s="232"/>
      <c r="DJ68" s="26"/>
      <c r="DK68" s="26"/>
      <c r="DL68" s="26"/>
      <c r="DM68" s="26"/>
      <c r="DN68" s="25"/>
      <c r="DO68" s="25"/>
      <c r="DP68" s="232"/>
      <c r="DQ68" s="25"/>
      <c r="DR68" s="232"/>
      <c r="DS68" s="232"/>
      <c r="DT68" s="25"/>
      <c r="DU68" s="232"/>
      <c r="DV68" s="232"/>
      <c r="DW68" s="232"/>
      <c r="DX68" s="232"/>
      <c r="DY68" s="232"/>
      <c r="DZ68" s="232"/>
      <c r="EA68" s="232"/>
      <c r="EB68" s="232"/>
      <c r="EC68" s="232"/>
      <c r="ED68" s="232"/>
      <c r="EE68" s="232"/>
      <c r="EF68" s="232"/>
      <c r="EG68" s="232"/>
      <c r="EH68" s="26"/>
      <c r="EI68" s="26"/>
      <c r="EJ68" s="26"/>
      <c r="EK68" s="50"/>
      <c r="EL68" s="25"/>
      <c r="EM68" s="232"/>
      <c r="EN68" s="232"/>
      <c r="EO68" s="232"/>
      <c r="EP68" s="232"/>
      <c r="EQ68" s="25"/>
      <c r="ES68" s="25"/>
      <c r="FB68" s="20"/>
      <c r="FC68" s="26"/>
      <c r="FD68" s="26"/>
      <c r="FE68" s="26"/>
      <c r="FF68" s="25"/>
      <c r="FG68" s="25"/>
      <c r="FH68" s="232"/>
      <c r="FI68" s="232"/>
      <c r="FJ68" s="232"/>
      <c r="FK68" s="232"/>
      <c r="FL68" s="232"/>
      <c r="FM68" s="232"/>
      <c r="FN68" s="25"/>
      <c r="FO68" s="232"/>
      <c r="FP68" s="232"/>
      <c r="FW68" s="533"/>
      <c r="FX68" s="238" t="s">
        <v>706</v>
      </c>
      <c r="FY68" s="299" t="e">
        <f t="shared" ca="1" si="12"/>
        <v>#REF!</v>
      </c>
    </row>
    <row r="69" spans="1:182" ht="12.75" customHeight="1" x14ac:dyDescent="0.2">
      <c r="A69" s="25"/>
      <c r="B69" s="25"/>
      <c r="C69" s="25"/>
      <c r="D69" s="232"/>
      <c r="E69" s="231"/>
      <c r="F69" s="232"/>
      <c r="G69" s="25"/>
      <c r="H69" s="25"/>
      <c r="I69" s="234"/>
      <c r="J69" s="25"/>
      <c r="K69" s="25"/>
      <c r="L69" s="25"/>
      <c r="M69" s="25"/>
      <c r="N69" s="25"/>
      <c r="O69" s="25"/>
      <c r="P69" s="25"/>
      <c r="Q69" s="25"/>
      <c r="R69" s="25"/>
      <c r="S69" s="50"/>
      <c r="T69" s="232"/>
      <c r="U69" s="232"/>
      <c r="V69" s="25"/>
      <c r="W69" s="232"/>
      <c r="X69" s="232"/>
      <c r="Y69" s="25"/>
      <c r="Z69" s="25"/>
      <c r="AA69" s="25"/>
      <c r="AB69" s="232"/>
      <c r="AC69" s="232"/>
      <c r="AD69" s="232"/>
      <c r="AE69" s="25"/>
      <c r="AF69" s="232"/>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50"/>
      <c r="BG69" s="50"/>
      <c r="BH69" s="25"/>
      <c r="BI69" s="50"/>
      <c r="BJ69" s="50"/>
      <c r="BK69" s="50"/>
      <c r="BL69" s="232"/>
      <c r="BM69" s="50"/>
      <c r="BN69" s="232"/>
      <c r="BO69" s="50"/>
      <c r="BP69" s="232"/>
      <c r="BQ69" s="232"/>
      <c r="BR69" s="232"/>
      <c r="BS69" s="232"/>
      <c r="BT69" s="232"/>
      <c r="BU69" s="232"/>
      <c r="BV69" s="232"/>
      <c r="BW69" s="232"/>
      <c r="BX69" s="232"/>
      <c r="BY69" s="232"/>
      <c r="BZ69" s="232"/>
      <c r="CA69" s="50"/>
      <c r="CB69" s="232"/>
      <c r="CC69" s="232"/>
      <c r="CE69" s="25"/>
      <c r="CF69" s="232"/>
      <c r="CG69" s="25"/>
      <c r="CH69" s="25"/>
      <c r="CI69" s="25"/>
      <c r="CJ69" s="25"/>
      <c r="CK69" s="25"/>
      <c r="CL69" s="232"/>
      <c r="CM69" s="25"/>
      <c r="CN69" s="232"/>
      <c r="CO69" s="25"/>
      <c r="CP69" s="232"/>
      <c r="CQ69" s="232"/>
      <c r="CR69" s="232"/>
      <c r="CS69" s="232"/>
      <c r="CT69" s="232"/>
      <c r="CU69" s="232"/>
      <c r="CV69" s="232"/>
      <c r="CW69" s="232"/>
      <c r="CX69" s="232"/>
      <c r="CY69" s="232"/>
      <c r="CZ69" s="232"/>
      <c r="DA69" s="25"/>
      <c r="DB69" s="232"/>
      <c r="DC69" s="232"/>
      <c r="DD69" s="232"/>
      <c r="DE69" s="25"/>
      <c r="DF69" s="232"/>
      <c r="DG69" s="25"/>
      <c r="DH69" s="232"/>
      <c r="DI69" s="232"/>
      <c r="DJ69" s="26"/>
      <c r="DK69" s="26"/>
      <c r="DL69" s="26"/>
      <c r="DM69" s="26"/>
      <c r="DN69" s="25"/>
      <c r="DO69" s="25"/>
      <c r="DP69" s="232"/>
      <c r="DQ69" s="25"/>
      <c r="DR69" s="232"/>
      <c r="DS69" s="232"/>
      <c r="DT69" s="25"/>
      <c r="DU69" s="232"/>
      <c r="DV69" s="232"/>
      <c r="DW69" s="232"/>
      <c r="DX69" s="232"/>
      <c r="DY69" s="232"/>
      <c r="DZ69" s="232"/>
      <c r="EA69" s="232"/>
      <c r="EB69" s="232"/>
      <c r="EC69" s="232"/>
      <c r="ED69" s="232"/>
      <c r="EE69" s="232"/>
      <c r="EF69" s="232"/>
      <c r="EG69" s="232"/>
      <c r="EH69" s="26"/>
      <c r="EI69" s="26"/>
      <c r="EJ69" s="26"/>
      <c r="EK69" s="50"/>
      <c r="EL69" s="25"/>
      <c r="EM69" s="232"/>
      <c r="EN69" s="232"/>
      <c r="EO69" s="232"/>
      <c r="EP69" s="232"/>
      <c r="EQ69" s="25"/>
      <c r="ES69" s="25"/>
      <c r="FB69" s="20"/>
      <c r="FC69" s="26"/>
      <c r="FD69" s="26"/>
      <c r="FE69" s="26"/>
      <c r="FF69" s="25"/>
      <c r="FG69" s="25"/>
      <c r="FH69" s="232"/>
      <c r="FI69" s="232"/>
      <c r="FJ69" s="232"/>
      <c r="FK69" s="232"/>
      <c r="FL69" s="232"/>
      <c r="FM69" s="232"/>
      <c r="FN69" s="25"/>
      <c r="FO69" s="232"/>
      <c r="FP69" s="232"/>
      <c r="FW69" s="533" t="s">
        <v>1156</v>
      </c>
      <c r="FX69" s="238" t="s">
        <v>181</v>
      </c>
      <c r="FY69" s="300">
        <f t="shared" ref="FY69:FY75" ca="1" si="13">IFERROR(SUMIF(Str_AVFStructureType,$FV5,yn_QuantityKeyDimensionSSS)/SUMIF(Str_AVFStructureType,$FV5,Str_DimensionforSSCI),)</f>
        <v>0</v>
      </c>
    </row>
    <row r="70" spans="1:182" ht="12.75" customHeight="1" x14ac:dyDescent="0.2">
      <c r="A70" s="25"/>
      <c r="B70" s="25"/>
      <c r="C70" s="25"/>
      <c r="D70" s="232"/>
      <c r="E70" s="231"/>
      <c r="F70" s="232"/>
      <c r="G70" s="25"/>
      <c r="H70" s="25"/>
      <c r="I70" s="234"/>
      <c r="J70" s="25"/>
      <c r="K70" s="25"/>
      <c r="L70" s="25"/>
      <c r="M70" s="25"/>
      <c r="N70" s="25"/>
      <c r="O70" s="25"/>
      <c r="P70" s="25"/>
      <c r="Q70" s="25"/>
      <c r="R70" s="25"/>
      <c r="S70" s="50"/>
      <c r="T70" s="232"/>
      <c r="U70" s="232"/>
      <c r="V70" s="25"/>
      <c r="W70" s="232"/>
      <c r="X70" s="232"/>
      <c r="Y70" s="25"/>
      <c r="Z70" s="25"/>
      <c r="AA70" s="25"/>
      <c r="AB70" s="232"/>
      <c r="AC70" s="232"/>
      <c r="AD70" s="232"/>
      <c r="AE70" s="25"/>
      <c r="AF70" s="232"/>
      <c r="AG70" s="25"/>
      <c r="AH70" s="25"/>
      <c r="AI70" s="25"/>
      <c r="AJ70" s="25"/>
      <c r="AK70" s="25"/>
      <c r="AL70" s="25"/>
      <c r="AM70" s="25"/>
      <c r="AN70" s="25"/>
      <c r="AO70" s="25"/>
      <c r="AP70" s="25"/>
      <c r="AQ70" s="25"/>
      <c r="AR70" s="25"/>
      <c r="AS70" s="25"/>
      <c r="AT70" s="25"/>
      <c r="AU70" s="25"/>
      <c r="AV70" s="25"/>
      <c r="AW70" s="25"/>
      <c r="AX70" s="25"/>
      <c r="AY70" s="25"/>
      <c r="AZ70" s="25"/>
      <c r="BA70" s="25"/>
      <c r="BB70" s="25"/>
      <c r="BC70" s="25"/>
      <c r="BD70" s="25"/>
      <c r="BE70" s="25"/>
      <c r="BF70" s="50"/>
      <c r="BG70" s="50"/>
      <c r="BH70" s="25"/>
      <c r="BI70" s="50"/>
      <c r="BJ70" s="50"/>
      <c r="BK70" s="50"/>
      <c r="BL70" s="232"/>
      <c r="BM70" s="50"/>
      <c r="BN70" s="232"/>
      <c r="BO70" s="50"/>
      <c r="BP70" s="232"/>
      <c r="BQ70" s="232"/>
      <c r="BR70" s="232"/>
      <c r="BS70" s="232"/>
      <c r="BT70" s="232"/>
      <c r="BU70" s="232"/>
      <c r="BV70" s="232"/>
      <c r="BW70" s="232"/>
      <c r="BX70" s="232"/>
      <c r="BY70" s="232"/>
      <c r="BZ70" s="232"/>
      <c r="CA70" s="50"/>
      <c r="CB70" s="232"/>
      <c r="CC70" s="232"/>
      <c r="CE70" s="25"/>
      <c r="CF70" s="232"/>
      <c r="CG70" s="25"/>
      <c r="CH70" s="25"/>
      <c r="CI70" s="25"/>
      <c r="CJ70" s="25"/>
      <c r="CK70" s="25"/>
      <c r="CL70" s="232"/>
      <c r="CM70" s="25"/>
      <c r="CN70" s="232"/>
      <c r="CO70" s="25"/>
      <c r="CP70" s="232"/>
      <c r="CQ70" s="232"/>
      <c r="CR70" s="232"/>
      <c r="CS70" s="232"/>
      <c r="CT70" s="232"/>
      <c r="CU70" s="232"/>
      <c r="CV70" s="232"/>
      <c r="CW70" s="232"/>
      <c r="CX70" s="232"/>
      <c r="CY70" s="232"/>
      <c r="CZ70" s="232"/>
      <c r="DA70" s="25"/>
      <c r="DB70" s="232"/>
      <c r="DC70" s="232"/>
      <c r="DD70" s="232"/>
      <c r="DE70" s="25"/>
      <c r="DF70" s="232"/>
      <c r="DG70" s="25"/>
      <c r="DH70" s="232"/>
      <c r="DI70" s="232"/>
      <c r="DJ70" s="26"/>
      <c r="DK70" s="26"/>
      <c r="DL70" s="26"/>
      <c r="DM70" s="26"/>
      <c r="DN70" s="25"/>
      <c r="DO70" s="25"/>
      <c r="DP70" s="232"/>
      <c r="DQ70" s="25"/>
      <c r="DR70" s="232"/>
      <c r="DS70" s="232"/>
      <c r="DT70" s="25"/>
      <c r="DU70" s="232"/>
      <c r="DV70" s="232"/>
      <c r="DW70" s="232"/>
      <c r="DX70" s="232"/>
      <c r="DY70" s="232"/>
      <c r="DZ70" s="232"/>
      <c r="EA70" s="232"/>
      <c r="EB70" s="232"/>
      <c r="EC70" s="232"/>
      <c r="ED70" s="232"/>
      <c r="EE70" s="232"/>
      <c r="EF70" s="232"/>
      <c r="EG70" s="232"/>
      <c r="EH70" s="26"/>
      <c r="EI70" s="26"/>
      <c r="EJ70" s="26"/>
      <c r="EK70" s="50"/>
      <c r="EL70" s="25"/>
      <c r="EM70" s="232"/>
      <c r="EN70" s="232"/>
      <c r="EO70" s="232"/>
      <c r="EP70" s="232"/>
      <c r="EQ70" s="25"/>
      <c r="ES70" s="25"/>
      <c r="FB70" s="20"/>
      <c r="FC70" s="26"/>
      <c r="FD70" s="26"/>
      <c r="FE70" s="26"/>
      <c r="FF70" s="25"/>
      <c r="FG70" s="25"/>
      <c r="FH70" s="232"/>
      <c r="FI70" s="232"/>
      <c r="FJ70" s="232"/>
      <c r="FK70" s="232"/>
      <c r="FL70" s="232"/>
      <c r="FM70" s="232"/>
      <c r="FN70" s="25"/>
      <c r="FO70" s="232"/>
      <c r="FP70" s="232"/>
      <c r="FW70" s="533"/>
      <c r="FX70" s="238" t="s">
        <v>180</v>
      </c>
      <c r="FY70" s="300">
        <f t="shared" ca="1" si="13"/>
        <v>0</v>
      </c>
    </row>
    <row r="71" spans="1:182" ht="12.75" customHeight="1" x14ac:dyDescent="0.2">
      <c r="A71" s="25"/>
      <c r="B71" s="25"/>
      <c r="C71" s="25"/>
      <c r="D71" s="232"/>
      <c r="E71" s="231"/>
      <c r="F71" s="232"/>
      <c r="G71" s="25"/>
      <c r="H71" s="25"/>
      <c r="I71" s="234"/>
      <c r="J71" s="25"/>
      <c r="K71" s="25"/>
      <c r="L71" s="25"/>
      <c r="M71" s="25"/>
      <c r="N71" s="25"/>
      <c r="O71" s="25"/>
      <c r="P71" s="25"/>
      <c r="Q71" s="25"/>
      <c r="R71" s="25"/>
      <c r="S71" s="50"/>
      <c r="T71" s="232"/>
      <c r="U71" s="232"/>
      <c r="V71" s="25"/>
      <c r="W71" s="232"/>
      <c r="X71" s="232"/>
      <c r="Y71" s="25"/>
      <c r="Z71" s="25"/>
      <c r="AA71" s="25"/>
      <c r="AB71" s="232"/>
      <c r="AC71" s="232"/>
      <c r="AD71" s="232"/>
      <c r="AE71" s="25"/>
      <c r="AF71" s="232"/>
      <c r="AG71" s="25"/>
      <c r="AH71" s="25"/>
      <c r="AI71" s="25"/>
      <c r="AJ71" s="25"/>
      <c r="AK71" s="25"/>
      <c r="AL71" s="25"/>
      <c r="AM71" s="25"/>
      <c r="AN71" s="25"/>
      <c r="AO71" s="25"/>
      <c r="AP71" s="25"/>
      <c r="AQ71" s="25"/>
      <c r="AR71" s="25"/>
      <c r="AS71" s="25"/>
      <c r="AT71" s="25"/>
      <c r="AU71" s="25"/>
      <c r="AV71" s="25"/>
      <c r="AW71" s="25"/>
      <c r="AX71" s="25"/>
      <c r="AY71" s="25"/>
      <c r="AZ71" s="25"/>
      <c r="BA71" s="25"/>
      <c r="BB71" s="25"/>
      <c r="BC71" s="25"/>
      <c r="BD71" s="25"/>
      <c r="BE71" s="25"/>
      <c r="BF71" s="50"/>
      <c r="BG71" s="50"/>
      <c r="BH71" s="25"/>
      <c r="BI71" s="50"/>
      <c r="BJ71" s="50"/>
      <c r="BK71" s="50"/>
      <c r="BL71" s="232"/>
      <c r="BM71" s="50"/>
      <c r="BN71" s="232"/>
      <c r="BO71" s="50"/>
      <c r="BP71" s="232"/>
      <c r="BQ71" s="232"/>
      <c r="BR71" s="232"/>
      <c r="BS71" s="232"/>
      <c r="BT71" s="232"/>
      <c r="BU71" s="232"/>
      <c r="BV71" s="232"/>
      <c r="BW71" s="232"/>
      <c r="BX71" s="232"/>
      <c r="BY71" s="232"/>
      <c r="BZ71" s="232"/>
      <c r="CA71" s="50"/>
      <c r="CB71" s="232"/>
      <c r="CC71" s="232"/>
      <c r="CE71" s="25"/>
      <c r="CF71" s="232"/>
      <c r="CG71" s="25"/>
      <c r="CH71" s="25"/>
      <c r="CI71" s="25"/>
      <c r="CJ71" s="25"/>
      <c r="CK71" s="25"/>
      <c r="CL71" s="232"/>
      <c r="CM71" s="25"/>
      <c r="CN71" s="232"/>
      <c r="CO71" s="25"/>
      <c r="CP71" s="232"/>
      <c r="CQ71" s="232"/>
      <c r="CR71" s="232"/>
      <c r="CS71" s="232"/>
      <c r="CT71" s="232"/>
      <c r="CU71" s="232"/>
      <c r="CV71" s="232"/>
      <c r="CW71" s="232"/>
      <c r="CX71" s="232"/>
      <c r="CY71" s="232"/>
      <c r="CZ71" s="232"/>
      <c r="DA71" s="25"/>
      <c r="DB71" s="232"/>
      <c r="DC71" s="232"/>
      <c r="DD71" s="232"/>
      <c r="DE71" s="25"/>
      <c r="DF71" s="232"/>
      <c r="DG71" s="25"/>
      <c r="DH71" s="232"/>
      <c r="DI71" s="232"/>
      <c r="DJ71" s="26"/>
      <c r="DK71" s="26"/>
      <c r="DL71" s="26"/>
      <c r="DM71" s="26"/>
      <c r="DN71" s="25"/>
      <c r="DO71" s="25"/>
      <c r="DP71" s="232"/>
      <c r="DQ71" s="25"/>
      <c r="DR71" s="232"/>
      <c r="DS71" s="232"/>
      <c r="DT71" s="25"/>
      <c r="DU71" s="232"/>
      <c r="DV71" s="232"/>
      <c r="DW71" s="232"/>
      <c r="DX71" s="232"/>
      <c r="DY71" s="232"/>
      <c r="DZ71" s="232"/>
      <c r="EA71" s="232"/>
      <c r="EB71" s="232"/>
      <c r="EC71" s="232"/>
      <c r="ED71" s="232"/>
      <c r="EE71" s="232"/>
      <c r="EF71" s="232"/>
      <c r="EG71" s="232"/>
      <c r="EH71" s="26"/>
      <c r="EI71" s="26"/>
      <c r="EJ71" s="26"/>
      <c r="EK71" s="50"/>
      <c r="EL71" s="25"/>
      <c r="EM71" s="232"/>
      <c r="EN71" s="232"/>
      <c r="EO71" s="232"/>
      <c r="EP71" s="232"/>
      <c r="EQ71" s="25"/>
      <c r="ES71" s="25"/>
      <c r="FB71" s="20"/>
      <c r="FC71" s="26"/>
      <c r="FD71" s="26"/>
      <c r="FE71" s="26"/>
      <c r="FF71" s="25"/>
      <c r="FG71" s="25"/>
      <c r="FH71" s="232"/>
      <c r="FI71" s="232"/>
      <c r="FJ71" s="232"/>
      <c r="FK71" s="232"/>
      <c r="FL71" s="232"/>
      <c r="FM71" s="232"/>
      <c r="FN71" s="25"/>
      <c r="FO71" s="232"/>
      <c r="FP71" s="232"/>
      <c r="FW71" s="533"/>
      <c r="FX71" s="238" t="s">
        <v>179</v>
      </c>
      <c r="FY71" s="300">
        <f t="shared" ca="1" si="13"/>
        <v>0</v>
      </c>
    </row>
    <row r="72" spans="1:182" ht="12.75" customHeight="1" x14ac:dyDescent="0.2">
      <c r="A72" s="25"/>
      <c r="B72" s="25"/>
      <c r="C72" s="25"/>
      <c r="D72" s="232"/>
      <c r="E72" s="231"/>
      <c r="F72" s="232"/>
      <c r="G72" s="25"/>
      <c r="H72" s="25"/>
      <c r="I72" s="234"/>
      <c r="J72" s="25"/>
      <c r="K72" s="25"/>
      <c r="L72" s="25"/>
      <c r="M72" s="25"/>
      <c r="N72" s="25"/>
      <c r="O72" s="25"/>
      <c r="P72" s="25"/>
      <c r="Q72" s="25"/>
      <c r="R72" s="25"/>
      <c r="S72" s="50"/>
      <c r="T72" s="232"/>
      <c r="U72" s="232"/>
      <c r="V72" s="25"/>
      <c r="W72" s="232"/>
      <c r="X72" s="232"/>
      <c r="Y72" s="25"/>
      <c r="Z72" s="25"/>
      <c r="AA72" s="25"/>
      <c r="AB72" s="232"/>
      <c r="AC72" s="232"/>
      <c r="AD72" s="232"/>
      <c r="AE72" s="25"/>
      <c r="AF72" s="232"/>
      <c r="AG72" s="25"/>
      <c r="AH72" s="25"/>
      <c r="AI72" s="25"/>
      <c r="AJ72" s="25"/>
      <c r="AK72" s="25"/>
      <c r="AL72" s="25"/>
      <c r="AM72" s="25"/>
      <c r="AN72" s="25"/>
      <c r="AO72" s="25"/>
      <c r="AP72" s="25"/>
      <c r="AQ72" s="25"/>
      <c r="AR72" s="25"/>
      <c r="AS72" s="25"/>
      <c r="AT72" s="25"/>
      <c r="AU72" s="25"/>
      <c r="AV72" s="25"/>
      <c r="AW72" s="25"/>
      <c r="AX72" s="25"/>
      <c r="AY72" s="25"/>
      <c r="AZ72" s="25"/>
      <c r="BA72" s="25"/>
      <c r="BB72" s="25"/>
      <c r="BC72" s="25"/>
      <c r="BD72" s="25"/>
      <c r="BE72" s="25"/>
      <c r="BF72" s="50"/>
      <c r="BG72" s="50"/>
      <c r="BH72" s="25"/>
      <c r="BI72" s="50"/>
      <c r="BJ72" s="50"/>
      <c r="BK72" s="50"/>
      <c r="BL72" s="232"/>
      <c r="BM72" s="50"/>
      <c r="BN72" s="232"/>
      <c r="BO72" s="50"/>
      <c r="BP72" s="232"/>
      <c r="BQ72" s="232"/>
      <c r="BR72" s="232"/>
      <c r="BS72" s="232"/>
      <c r="BT72" s="232"/>
      <c r="BU72" s="232"/>
      <c r="BV72" s="232"/>
      <c r="BW72" s="232"/>
      <c r="BX72" s="232"/>
      <c r="BY72" s="232"/>
      <c r="BZ72" s="232"/>
      <c r="CA72" s="50"/>
      <c r="CB72" s="232"/>
      <c r="CC72" s="232"/>
      <c r="CE72" s="25"/>
      <c r="CF72" s="232"/>
      <c r="CG72" s="25"/>
      <c r="CH72" s="25"/>
      <c r="CI72" s="25"/>
      <c r="CJ72" s="25"/>
      <c r="CK72" s="25"/>
      <c r="CL72" s="232"/>
      <c r="CM72" s="25"/>
      <c r="CN72" s="232"/>
      <c r="CO72" s="25"/>
      <c r="CP72" s="232"/>
      <c r="CQ72" s="232"/>
      <c r="CR72" s="232"/>
      <c r="CS72" s="232"/>
      <c r="CT72" s="232"/>
      <c r="CU72" s="232"/>
      <c r="CV72" s="232"/>
      <c r="CW72" s="232"/>
      <c r="CX72" s="232"/>
      <c r="CY72" s="232"/>
      <c r="CZ72" s="232"/>
      <c r="DA72" s="25"/>
      <c r="DB72" s="232"/>
      <c r="DC72" s="232"/>
      <c r="DD72" s="232"/>
      <c r="DE72" s="25"/>
      <c r="DF72" s="232"/>
      <c r="DG72" s="25"/>
      <c r="DH72" s="232"/>
      <c r="DI72" s="232"/>
      <c r="DJ72" s="26"/>
      <c r="DK72" s="26"/>
      <c r="DL72" s="26"/>
      <c r="DM72" s="26"/>
      <c r="DN72" s="25"/>
      <c r="DO72" s="25"/>
      <c r="DP72" s="232"/>
      <c r="DQ72" s="25"/>
      <c r="DR72" s="232"/>
      <c r="DS72" s="232"/>
      <c r="DT72" s="25"/>
      <c r="DU72" s="232"/>
      <c r="DV72" s="232"/>
      <c r="DW72" s="232"/>
      <c r="DX72" s="232"/>
      <c r="DY72" s="232"/>
      <c r="DZ72" s="232"/>
      <c r="EA72" s="232"/>
      <c r="EB72" s="232"/>
      <c r="EC72" s="232"/>
      <c r="ED72" s="232"/>
      <c r="EE72" s="232"/>
      <c r="EF72" s="232"/>
      <c r="EG72" s="232"/>
      <c r="EH72" s="26"/>
      <c r="EI72" s="26"/>
      <c r="EJ72" s="26"/>
      <c r="EK72" s="50"/>
      <c r="EL72" s="25"/>
      <c r="EM72" s="232"/>
      <c r="EN72" s="232"/>
      <c r="EO72" s="232"/>
      <c r="EP72" s="232"/>
      <c r="EQ72" s="25"/>
      <c r="ES72" s="25"/>
      <c r="FB72" s="20"/>
      <c r="FC72" s="26"/>
      <c r="FD72" s="26"/>
      <c r="FE72" s="26"/>
      <c r="FF72" s="25"/>
      <c r="FG72" s="25"/>
      <c r="FH72" s="232"/>
      <c r="FI72" s="232"/>
      <c r="FJ72" s="232"/>
      <c r="FK72" s="232"/>
      <c r="FL72" s="232"/>
      <c r="FM72" s="232"/>
      <c r="FN72" s="25"/>
      <c r="FO72" s="232"/>
      <c r="FP72" s="232"/>
      <c r="FW72" s="533"/>
      <c r="FX72" s="238" t="s">
        <v>178</v>
      </c>
      <c r="FY72" s="300">
        <f t="shared" ca="1" si="13"/>
        <v>0</v>
      </c>
    </row>
    <row r="73" spans="1:182" ht="12.75" customHeight="1" x14ac:dyDescent="0.2">
      <c r="A73" s="25"/>
      <c r="B73" s="25"/>
      <c r="C73" s="25"/>
      <c r="D73" s="232"/>
      <c r="E73" s="231"/>
      <c r="F73" s="232"/>
      <c r="G73" s="25"/>
      <c r="H73" s="25"/>
      <c r="I73" s="234"/>
      <c r="J73" s="25"/>
      <c r="K73" s="25"/>
      <c r="L73" s="25"/>
      <c r="M73" s="25"/>
      <c r="N73" s="25"/>
      <c r="O73" s="25"/>
      <c r="P73" s="25"/>
      <c r="Q73" s="25"/>
      <c r="R73" s="25"/>
      <c r="S73" s="50"/>
      <c r="T73" s="232"/>
      <c r="U73" s="232"/>
      <c r="V73" s="25"/>
      <c r="W73" s="232"/>
      <c r="X73" s="232"/>
      <c r="Y73" s="25"/>
      <c r="Z73" s="25"/>
      <c r="AA73" s="25"/>
      <c r="AB73" s="232"/>
      <c r="AC73" s="232"/>
      <c r="AD73" s="232"/>
      <c r="AE73" s="25"/>
      <c r="AF73" s="232"/>
      <c r="AG73" s="25"/>
      <c r="AH73" s="25"/>
      <c r="AI73" s="25"/>
      <c r="AJ73" s="25"/>
      <c r="AK73" s="25"/>
      <c r="AL73" s="25"/>
      <c r="AM73" s="25"/>
      <c r="AN73" s="25"/>
      <c r="AO73" s="25"/>
      <c r="AP73" s="25"/>
      <c r="AQ73" s="25"/>
      <c r="AR73" s="25"/>
      <c r="AS73" s="25"/>
      <c r="AT73" s="25"/>
      <c r="AU73" s="25"/>
      <c r="AV73" s="25"/>
      <c r="AW73" s="25"/>
      <c r="AX73" s="25"/>
      <c r="AY73" s="25"/>
      <c r="AZ73" s="25"/>
      <c r="BA73" s="25"/>
      <c r="BB73" s="25"/>
      <c r="BC73" s="25"/>
      <c r="BD73" s="25"/>
      <c r="BE73" s="25"/>
      <c r="BF73" s="50"/>
      <c r="BG73" s="50"/>
      <c r="BH73" s="25"/>
      <c r="BI73" s="50"/>
      <c r="BJ73" s="50"/>
      <c r="BK73" s="50"/>
      <c r="BL73" s="232"/>
      <c r="BM73" s="50"/>
      <c r="BN73" s="232"/>
      <c r="BO73" s="50"/>
      <c r="BP73" s="232"/>
      <c r="BQ73" s="232"/>
      <c r="BR73" s="232"/>
      <c r="BS73" s="232"/>
      <c r="BT73" s="232"/>
      <c r="BU73" s="232"/>
      <c r="BV73" s="232"/>
      <c r="BW73" s="232"/>
      <c r="BX73" s="232"/>
      <c r="BY73" s="232"/>
      <c r="BZ73" s="232"/>
      <c r="CA73" s="50"/>
      <c r="CB73" s="232"/>
      <c r="CC73" s="232"/>
      <c r="CE73" s="25"/>
      <c r="CF73" s="232"/>
      <c r="CG73" s="25"/>
      <c r="CH73" s="25"/>
      <c r="CI73" s="25"/>
      <c r="CJ73" s="25"/>
      <c r="CK73" s="25"/>
      <c r="CL73" s="232"/>
      <c r="CM73" s="25"/>
      <c r="CN73" s="232"/>
      <c r="CO73" s="25"/>
      <c r="CP73" s="232"/>
      <c r="CQ73" s="232"/>
      <c r="CR73" s="232"/>
      <c r="CS73" s="232"/>
      <c r="CT73" s="232"/>
      <c r="CU73" s="232"/>
      <c r="CV73" s="232"/>
      <c r="CW73" s="232"/>
      <c r="CX73" s="232"/>
      <c r="CY73" s="232"/>
      <c r="CZ73" s="232"/>
      <c r="DA73" s="25"/>
      <c r="DB73" s="232"/>
      <c r="DC73" s="232"/>
      <c r="DD73" s="232"/>
      <c r="DE73" s="25"/>
      <c r="DF73" s="232"/>
      <c r="DG73" s="25"/>
      <c r="DH73" s="232"/>
      <c r="DI73" s="232"/>
      <c r="DJ73" s="26"/>
      <c r="DK73" s="26"/>
      <c r="DL73" s="26"/>
      <c r="DM73" s="26"/>
      <c r="DN73" s="25"/>
      <c r="DO73" s="25"/>
      <c r="DP73" s="232"/>
      <c r="DQ73" s="25"/>
      <c r="DR73" s="232"/>
      <c r="DS73" s="232"/>
      <c r="DT73" s="25"/>
      <c r="DU73" s="232"/>
      <c r="DV73" s="232"/>
      <c r="DW73" s="232"/>
      <c r="DX73" s="232"/>
      <c r="DY73" s="232"/>
      <c r="DZ73" s="232"/>
      <c r="EA73" s="232"/>
      <c r="EB73" s="232"/>
      <c r="EC73" s="232"/>
      <c r="ED73" s="232"/>
      <c r="EE73" s="232"/>
      <c r="EF73" s="232"/>
      <c r="EG73" s="232"/>
      <c r="EH73" s="26"/>
      <c r="EI73" s="26"/>
      <c r="EJ73" s="26"/>
      <c r="EK73" s="50"/>
      <c r="EL73" s="25"/>
      <c r="EM73" s="232"/>
      <c r="EN73" s="232"/>
      <c r="EO73" s="232"/>
      <c r="EP73" s="232"/>
      <c r="EQ73" s="25"/>
      <c r="ES73" s="25"/>
      <c r="FB73" s="20"/>
      <c r="FC73" s="26"/>
      <c r="FD73" s="26"/>
      <c r="FE73" s="26"/>
      <c r="FF73" s="25"/>
      <c r="FG73" s="25"/>
      <c r="FH73" s="232"/>
      <c r="FI73" s="232"/>
      <c r="FJ73" s="232"/>
      <c r="FK73" s="232"/>
      <c r="FL73" s="232"/>
      <c r="FM73" s="232"/>
      <c r="FN73" s="25"/>
      <c r="FO73" s="232"/>
      <c r="FP73" s="232"/>
      <c r="FW73" s="533"/>
      <c r="FX73" s="238" t="s">
        <v>177</v>
      </c>
      <c r="FY73" s="300">
        <f t="shared" ca="1" si="13"/>
        <v>0</v>
      </c>
    </row>
    <row r="74" spans="1:182" ht="12.75" customHeight="1" x14ac:dyDescent="0.2">
      <c r="A74" s="25"/>
      <c r="B74" s="25"/>
      <c r="C74" s="25"/>
      <c r="D74" s="232"/>
      <c r="E74" s="231"/>
      <c r="F74" s="232"/>
      <c r="G74" s="25"/>
      <c r="H74" s="25"/>
      <c r="I74" s="234"/>
      <c r="J74" s="25"/>
      <c r="K74" s="25"/>
      <c r="L74" s="25"/>
      <c r="M74" s="25"/>
      <c r="N74" s="25"/>
      <c r="O74" s="25"/>
      <c r="P74" s="25"/>
      <c r="Q74" s="25"/>
      <c r="R74" s="25"/>
      <c r="S74" s="50"/>
      <c r="T74" s="232"/>
      <c r="U74" s="232"/>
      <c r="V74" s="25"/>
      <c r="W74" s="232"/>
      <c r="X74" s="232"/>
      <c r="Y74" s="25"/>
      <c r="Z74" s="25"/>
      <c r="AA74" s="25"/>
      <c r="AB74" s="232"/>
      <c r="AC74" s="232"/>
      <c r="AD74" s="232"/>
      <c r="AE74" s="25"/>
      <c r="AF74" s="232"/>
      <c r="AG74" s="25"/>
      <c r="AH74" s="25"/>
      <c r="AI74" s="25"/>
      <c r="AJ74" s="25"/>
      <c r="AK74" s="25"/>
      <c r="AL74" s="25"/>
      <c r="AM74" s="25"/>
      <c r="AN74" s="25"/>
      <c r="AO74" s="25"/>
      <c r="AP74" s="25"/>
      <c r="AQ74" s="25"/>
      <c r="AR74" s="25"/>
      <c r="AS74" s="25"/>
      <c r="AT74" s="25"/>
      <c r="AU74" s="25"/>
      <c r="AV74" s="25"/>
      <c r="AW74" s="25"/>
      <c r="AX74" s="25"/>
      <c r="AY74" s="25"/>
      <c r="AZ74" s="25"/>
      <c r="BA74" s="25"/>
      <c r="BB74" s="25"/>
      <c r="BC74" s="25"/>
      <c r="BD74" s="25"/>
      <c r="BE74" s="25"/>
      <c r="BF74" s="50"/>
      <c r="BG74" s="50"/>
      <c r="BH74" s="25"/>
      <c r="BI74" s="50"/>
      <c r="BJ74" s="50"/>
      <c r="BK74" s="50"/>
      <c r="BL74" s="232"/>
      <c r="BM74" s="50"/>
      <c r="BN74" s="232"/>
      <c r="BO74" s="50"/>
      <c r="BP74" s="232"/>
      <c r="BQ74" s="232"/>
      <c r="BR74" s="232"/>
      <c r="BS74" s="232"/>
      <c r="BT74" s="232"/>
      <c r="BU74" s="232"/>
      <c r="BV74" s="232"/>
      <c r="BW74" s="232"/>
      <c r="BX74" s="232"/>
      <c r="BY74" s="232"/>
      <c r="BZ74" s="232"/>
      <c r="CA74" s="50"/>
      <c r="CB74" s="232"/>
      <c r="CC74" s="232"/>
      <c r="CE74" s="25"/>
      <c r="CF74" s="232"/>
      <c r="CG74" s="25"/>
      <c r="CH74" s="25"/>
      <c r="CI74" s="25"/>
      <c r="CJ74" s="25"/>
      <c r="CK74" s="25"/>
      <c r="CL74" s="232"/>
      <c r="CM74" s="25"/>
      <c r="CN74" s="232"/>
      <c r="CO74" s="25"/>
      <c r="CP74" s="232"/>
      <c r="CQ74" s="232"/>
      <c r="CR74" s="232"/>
      <c r="CS74" s="232"/>
      <c r="CT74" s="232"/>
      <c r="CU74" s="232"/>
      <c r="CV74" s="232"/>
      <c r="CW74" s="232"/>
      <c r="CX74" s="232"/>
      <c r="CY74" s="232"/>
      <c r="CZ74" s="232"/>
      <c r="DA74" s="25"/>
      <c r="DB74" s="232"/>
      <c r="DC74" s="232"/>
      <c r="DD74" s="232"/>
      <c r="DE74" s="25"/>
      <c r="DF74" s="232"/>
      <c r="DG74" s="25"/>
      <c r="DH74" s="232"/>
      <c r="DI74" s="232"/>
      <c r="DJ74" s="26"/>
      <c r="DK74" s="26"/>
      <c r="DL74" s="26"/>
      <c r="DM74" s="26"/>
      <c r="DN74" s="25"/>
      <c r="DO74" s="25"/>
      <c r="DP74" s="232"/>
      <c r="DQ74" s="25"/>
      <c r="DR74" s="232"/>
      <c r="DS74" s="232"/>
      <c r="DT74" s="25"/>
      <c r="DU74" s="232"/>
      <c r="DV74" s="232"/>
      <c r="DW74" s="232"/>
      <c r="DX74" s="232"/>
      <c r="DY74" s="232"/>
      <c r="DZ74" s="232"/>
      <c r="EA74" s="232"/>
      <c r="EB74" s="232"/>
      <c r="EC74" s="232"/>
      <c r="ED74" s="232"/>
      <c r="EE74" s="232"/>
      <c r="EF74" s="232"/>
      <c r="EG74" s="232"/>
      <c r="EH74" s="26"/>
      <c r="EI74" s="26"/>
      <c r="EJ74" s="26"/>
      <c r="EK74" s="50"/>
      <c r="EL74" s="25"/>
      <c r="EM74" s="232"/>
      <c r="EN74" s="232"/>
      <c r="EO74" s="232"/>
      <c r="EP74" s="232"/>
      <c r="EQ74" s="25"/>
      <c r="ES74" s="25"/>
      <c r="FB74" s="20"/>
      <c r="FC74" s="26"/>
      <c r="FD74" s="26"/>
      <c r="FE74" s="26"/>
      <c r="FF74" s="25"/>
      <c r="FG74" s="25"/>
      <c r="FH74" s="232"/>
      <c r="FI74" s="232"/>
      <c r="FJ74" s="232"/>
      <c r="FK74" s="232"/>
      <c r="FL74" s="232"/>
      <c r="FM74" s="232"/>
      <c r="FN74" s="25"/>
      <c r="FO74" s="232"/>
      <c r="FP74" s="232"/>
      <c r="FW74" s="533"/>
      <c r="FX74" s="238" t="s">
        <v>176</v>
      </c>
      <c r="FY74" s="300">
        <f t="shared" ca="1" si="13"/>
        <v>0</v>
      </c>
    </row>
    <row r="75" spans="1:182" ht="12.75" customHeight="1" x14ac:dyDescent="0.2">
      <c r="A75" s="25"/>
      <c r="B75" s="25"/>
      <c r="C75" s="25"/>
      <c r="D75" s="232"/>
      <c r="E75" s="231"/>
      <c r="F75" s="232"/>
      <c r="G75" s="25"/>
      <c r="H75" s="25"/>
      <c r="I75" s="234"/>
      <c r="J75" s="25"/>
      <c r="K75" s="25"/>
      <c r="L75" s="25"/>
      <c r="M75" s="25"/>
      <c r="N75" s="25"/>
      <c r="O75" s="25"/>
      <c r="P75" s="25"/>
      <c r="Q75" s="25"/>
      <c r="R75" s="25"/>
      <c r="S75" s="50"/>
      <c r="T75" s="232"/>
      <c r="U75" s="232"/>
      <c r="V75" s="25"/>
      <c r="W75" s="232"/>
      <c r="X75" s="232"/>
      <c r="Y75" s="25"/>
      <c r="Z75" s="25"/>
      <c r="AA75" s="25"/>
      <c r="AB75" s="232"/>
      <c r="AC75" s="232"/>
      <c r="AD75" s="232"/>
      <c r="AE75" s="25"/>
      <c r="AF75" s="232"/>
      <c r="AG75" s="25"/>
      <c r="AH75" s="25"/>
      <c r="AI75" s="25"/>
      <c r="AJ75" s="25"/>
      <c r="AK75" s="25"/>
      <c r="AL75" s="25"/>
      <c r="AM75" s="25"/>
      <c r="AN75" s="25"/>
      <c r="AO75" s="25"/>
      <c r="AP75" s="25"/>
      <c r="AQ75" s="25"/>
      <c r="AR75" s="25"/>
      <c r="AS75" s="25"/>
      <c r="AT75" s="25"/>
      <c r="AU75" s="25"/>
      <c r="AV75" s="25"/>
      <c r="AW75" s="25"/>
      <c r="AX75" s="25"/>
      <c r="AY75" s="25"/>
      <c r="AZ75" s="25"/>
      <c r="BA75" s="25"/>
      <c r="BB75" s="25"/>
      <c r="BC75" s="25"/>
      <c r="BD75" s="25"/>
      <c r="BE75" s="25"/>
      <c r="BF75" s="50"/>
      <c r="BG75" s="50"/>
      <c r="BH75" s="25"/>
      <c r="BI75" s="50"/>
      <c r="BJ75" s="50"/>
      <c r="BK75" s="50"/>
      <c r="BL75" s="232"/>
      <c r="BM75" s="50"/>
      <c r="BN75" s="232"/>
      <c r="BO75" s="50"/>
      <c r="BP75" s="232"/>
      <c r="BQ75" s="232"/>
      <c r="BR75" s="232"/>
      <c r="BS75" s="232"/>
      <c r="BT75" s="232"/>
      <c r="BU75" s="232"/>
      <c r="BV75" s="232"/>
      <c r="BW75" s="232"/>
      <c r="BX75" s="232"/>
      <c r="BY75" s="232"/>
      <c r="BZ75" s="232"/>
      <c r="CA75" s="50"/>
      <c r="CB75" s="232"/>
      <c r="CC75" s="232"/>
      <c r="CE75" s="25"/>
      <c r="CF75" s="232"/>
      <c r="CG75" s="25"/>
      <c r="CH75" s="25"/>
      <c r="CI75" s="25"/>
      <c r="CJ75" s="25"/>
      <c r="CK75" s="25"/>
      <c r="CL75" s="232"/>
      <c r="CM75" s="25"/>
      <c r="CN75" s="232"/>
      <c r="CO75" s="25"/>
      <c r="CP75" s="232"/>
      <c r="CQ75" s="232"/>
      <c r="CR75" s="232"/>
      <c r="CS75" s="232"/>
      <c r="CT75" s="232"/>
      <c r="CU75" s="232"/>
      <c r="CV75" s="232"/>
      <c r="CW75" s="232"/>
      <c r="CX75" s="232"/>
      <c r="CY75" s="232"/>
      <c r="CZ75" s="232"/>
      <c r="DA75" s="25"/>
      <c r="DB75" s="232"/>
      <c r="DC75" s="232"/>
      <c r="DD75" s="232"/>
      <c r="DE75" s="25"/>
      <c r="DF75" s="232"/>
      <c r="DG75" s="25"/>
      <c r="DH75" s="232"/>
      <c r="DI75" s="232"/>
      <c r="DJ75" s="26"/>
      <c r="DK75" s="26"/>
      <c r="DL75" s="26"/>
      <c r="DM75" s="26"/>
      <c r="DN75" s="25"/>
      <c r="DO75" s="25"/>
      <c r="DP75" s="232"/>
      <c r="DQ75" s="25"/>
      <c r="DR75" s="232"/>
      <c r="DS75" s="232"/>
      <c r="DT75" s="25"/>
      <c r="DU75" s="232"/>
      <c r="DV75" s="232"/>
      <c r="DW75" s="232"/>
      <c r="DX75" s="232"/>
      <c r="DY75" s="232"/>
      <c r="DZ75" s="232"/>
      <c r="EA75" s="232"/>
      <c r="EB75" s="232"/>
      <c r="EC75" s="232"/>
      <c r="ED75" s="232"/>
      <c r="EE75" s="232"/>
      <c r="EF75" s="232"/>
      <c r="EG75" s="232"/>
      <c r="EH75" s="26"/>
      <c r="EI75" s="26"/>
      <c r="EJ75" s="26"/>
      <c r="EK75" s="50"/>
      <c r="EL75" s="25"/>
      <c r="EM75" s="232"/>
      <c r="EN75" s="232"/>
      <c r="EO75" s="232"/>
      <c r="EP75" s="232"/>
      <c r="EQ75" s="25"/>
      <c r="ES75" s="25"/>
      <c r="FB75" s="20"/>
      <c r="FC75" s="26"/>
      <c r="FD75" s="26"/>
      <c r="FE75" s="26"/>
      <c r="FF75" s="25"/>
      <c r="FG75" s="25"/>
      <c r="FH75" s="232"/>
      <c r="FI75" s="232"/>
      <c r="FJ75" s="232"/>
      <c r="FK75" s="232"/>
      <c r="FL75" s="232"/>
      <c r="FM75" s="232"/>
      <c r="FN75" s="25"/>
      <c r="FO75" s="232"/>
      <c r="FP75" s="232"/>
      <c r="FW75" s="533"/>
      <c r="FX75" s="238" t="s">
        <v>25</v>
      </c>
      <c r="FY75" s="300">
        <f t="shared" ca="1" si="13"/>
        <v>0</v>
      </c>
    </row>
    <row r="76" spans="1:182" ht="12.75" customHeight="1" x14ac:dyDescent="0.2">
      <c r="A76" s="25"/>
      <c r="B76" s="25"/>
      <c r="C76" s="25"/>
      <c r="D76" s="232"/>
      <c r="E76" s="231"/>
      <c r="F76" s="232"/>
      <c r="G76" s="25"/>
      <c r="H76" s="25"/>
      <c r="I76" s="234"/>
      <c r="J76" s="25"/>
      <c r="K76" s="25"/>
      <c r="L76" s="25"/>
      <c r="M76" s="25"/>
      <c r="N76" s="25"/>
      <c r="O76" s="25"/>
      <c r="P76" s="25"/>
      <c r="Q76" s="25"/>
      <c r="R76" s="25"/>
      <c r="S76" s="50"/>
      <c r="T76" s="232"/>
      <c r="U76" s="232"/>
      <c r="V76" s="25"/>
      <c r="W76" s="232"/>
      <c r="X76" s="232"/>
      <c r="Y76" s="25"/>
      <c r="Z76" s="25"/>
      <c r="AA76" s="25"/>
      <c r="AB76" s="232"/>
      <c r="AC76" s="232"/>
      <c r="AD76" s="232"/>
      <c r="AE76" s="25"/>
      <c r="AF76" s="232"/>
      <c r="AG76" s="25"/>
      <c r="AH76" s="25"/>
      <c r="AI76" s="25"/>
      <c r="AJ76" s="25"/>
      <c r="AK76" s="25"/>
      <c r="AL76" s="25"/>
      <c r="AM76" s="25"/>
      <c r="AN76" s="25"/>
      <c r="AO76" s="25"/>
      <c r="AP76" s="25"/>
      <c r="AQ76" s="25"/>
      <c r="AR76" s="25"/>
      <c r="AS76" s="25"/>
      <c r="AT76" s="25"/>
      <c r="AU76" s="25"/>
      <c r="AV76" s="25"/>
      <c r="AW76" s="25"/>
      <c r="AX76" s="25"/>
      <c r="AY76" s="25"/>
      <c r="AZ76" s="25"/>
      <c r="BA76" s="25"/>
      <c r="BB76" s="25"/>
      <c r="BC76" s="25"/>
      <c r="BD76" s="25"/>
      <c r="BE76" s="25"/>
      <c r="BF76" s="50"/>
      <c r="BG76" s="50"/>
      <c r="BH76" s="25"/>
      <c r="BI76" s="50"/>
      <c r="BJ76" s="50"/>
      <c r="BK76" s="50"/>
      <c r="BL76" s="232"/>
      <c r="BM76" s="50"/>
      <c r="BN76" s="232"/>
      <c r="BO76" s="50"/>
      <c r="BP76" s="232"/>
      <c r="BQ76" s="232"/>
      <c r="BR76" s="232"/>
      <c r="BS76" s="232"/>
      <c r="BT76" s="232"/>
      <c r="BU76" s="232"/>
      <c r="BV76" s="232"/>
      <c r="BW76" s="232"/>
      <c r="BX76" s="232"/>
      <c r="BY76" s="232"/>
      <c r="BZ76" s="232"/>
      <c r="CA76" s="50"/>
      <c r="CB76" s="232"/>
      <c r="CC76" s="232"/>
      <c r="CE76" s="25"/>
      <c r="CF76" s="232"/>
      <c r="CG76" s="25"/>
      <c r="CH76" s="25"/>
      <c r="CI76" s="25"/>
      <c r="CJ76" s="25"/>
      <c r="CK76" s="25"/>
      <c r="CL76" s="232"/>
      <c r="CM76" s="25"/>
      <c r="CN76" s="232"/>
      <c r="CO76" s="25"/>
      <c r="CP76" s="232"/>
      <c r="CQ76" s="232"/>
      <c r="CR76" s="232"/>
      <c r="CS76" s="232"/>
      <c r="CT76" s="232"/>
      <c r="CU76" s="232"/>
      <c r="CV76" s="232"/>
      <c r="CW76" s="232"/>
      <c r="CX76" s="232"/>
      <c r="CY76" s="232"/>
      <c r="CZ76" s="232"/>
      <c r="DA76" s="25"/>
      <c r="DB76" s="232"/>
      <c r="DC76" s="232"/>
      <c r="DD76" s="232"/>
      <c r="DE76" s="25"/>
      <c r="DF76" s="232"/>
      <c r="DG76" s="25"/>
      <c r="DH76" s="232"/>
      <c r="DI76" s="232"/>
      <c r="DJ76" s="26"/>
      <c r="DK76" s="26"/>
      <c r="DL76" s="26"/>
      <c r="DM76" s="26"/>
      <c r="DN76" s="25"/>
      <c r="DO76" s="25"/>
      <c r="DP76" s="232"/>
      <c r="DQ76" s="25"/>
      <c r="DR76" s="232"/>
      <c r="DS76" s="232"/>
      <c r="DT76" s="25"/>
      <c r="DU76" s="232"/>
      <c r="DV76" s="232"/>
      <c r="DW76" s="232"/>
      <c r="DX76" s="232"/>
      <c r="DY76" s="232"/>
      <c r="DZ76" s="232"/>
      <c r="EA76" s="232"/>
      <c r="EB76" s="232"/>
      <c r="EC76" s="232"/>
      <c r="ED76" s="232"/>
      <c r="EE76" s="232"/>
      <c r="EF76" s="232"/>
      <c r="EG76" s="232"/>
      <c r="EH76" s="26"/>
      <c r="EI76" s="26"/>
      <c r="EJ76" s="26"/>
      <c r="EK76" s="50"/>
      <c r="EL76" s="25"/>
      <c r="EM76" s="232"/>
      <c r="EN76" s="232"/>
      <c r="EO76" s="232"/>
      <c r="EP76" s="232"/>
      <c r="EQ76" s="25"/>
      <c r="ES76" s="25"/>
      <c r="FB76" s="20"/>
      <c r="FC76" s="26"/>
      <c r="FD76" s="26"/>
      <c r="FE76" s="26"/>
      <c r="FF76" s="25"/>
      <c r="FG76" s="25"/>
      <c r="FH76" s="232"/>
      <c r="FI76" s="232"/>
      <c r="FJ76" s="232"/>
      <c r="FK76" s="232"/>
      <c r="FL76" s="232"/>
      <c r="FM76" s="232"/>
      <c r="FN76" s="25"/>
      <c r="FO76" s="232"/>
      <c r="FP76" s="232"/>
      <c r="FW76" s="533"/>
      <c r="FX76" s="238" t="s">
        <v>706</v>
      </c>
      <c r="FY76" s="300">
        <f ca="1">IFERROR((SUM(yn_QuantityKeyDimensionxAVFSSS))/(SUM(Str_DimensionforSSCIxAVF)),0)</f>
        <v>0</v>
      </c>
    </row>
    <row r="77" spans="1:182" ht="12.75" customHeight="1" x14ac:dyDescent="0.2">
      <c r="A77" s="25"/>
      <c r="B77" s="25"/>
      <c r="C77" s="25"/>
      <c r="D77" s="232"/>
      <c r="E77" s="231"/>
      <c r="F77" s="232"/>
      <c r="G77" s="25"/>
      <c r="H77" s="25"/>
      <c r="I77" s="234"/>
      <c r="J77" s="25"/>
      <c r="K77" s="25"/>
      <c r="L77" s="25"/>
      <c r="M77" s="25"/>
      <c r="N77" s="25"/>
      <c r="O77" s="25"/>
      <c r="P77" s="25"/>
      <c r="Q77" s="25"/>
      <c r="R77" s="25"/>
      <c r="S77" s="50"/>
      <c r="T77" s="232"/>
      <c r="U77" s="232"/>
      <c r="V77" s="25"/>
      <c r="W77" s="232"/>
      <c r="X77" s="232"/>
      <c r="Y77" s="25"/>
      <c r="Z77" s="25"/>
      <c r="AA77" s="25"/>
      <c r="AB77" s="232"/>
      <c r="AC77" s="232"/>
      <c r="AD77" s="232"/>
      <c r="AE77" s="25"/>
      <c r="AF77" s="232"/>
      <c r="AG77" s="25"/>
      <c r="AH77" s="25"/>
      <c r="AI77" s="25"/>
      <c r="AJ77" s="25"/>
      <c r="AK77" s="25"/>
      <c r="AL77" s="25"/>
      <c r="AM77" s="25"/>
      <c r="AN77" s="25"/>
      <c r="AO77" s="25"/>
      <c r="AP77" s="25"/>
      <c r="AQ77" s="25"/>
      <c r="AR77" s="25"/>
      <c r="AS77" s="25"/>
      <c r="AT77" s="25"/>
      <c r="AU77" s="25"/>
      <c r="AV77" s="25"/>
      <c r="AW77" s="25"/>
      <c r="AX77" s="25"/>
      <c r="AY77" s="25"/>
      <c r="AZ77" s="25"/>
      <c r="BA77" s="25"/>
      <c r="BB77" s="25"/>
      <c r="BC77" s="25"/>
      <c r="BD77" s="25"/>
      <c r="BE77" s="25"/>
      <c r="BF77" s="50"/>
      <c r="BG77" s="50"/>
      <c r="BH77" s="25"/>
      <c r="BI77" s="50"/>
      <c r="BJ77" s="50"/>
      <c r="BK77" s="50"/>
      <c r="BL77" s="232"/>
      <c r="BM77" s="50"/>
      <c r="BN77" s="232"/>
      <c r="BO77" s="50"/>
      <c r="BP77" s="232"/>
      <c r="BQ77" s="232"/>
      <c r="BR77" s="232"/>
      <c r="BS77" s="232"/>
      <c r="BT77" s="232"/>
      <c r="BU77" s="232"/>
      <c r="BV77" s="232"/>
      <c r="BW77" s="232"/>
      <c r="BX77" s="232"/>
      <c r="BY77" s="232"/>
      <c r="BZ77" s="232"/>
      <c r="CA77" s="50"/>
      <c r="CB77" s="232"/>
      <c r="CC77" s="232"/>
      <c r="CE77" s="25"/>
      <c r="CF77" s="232"/>
      <c r="CG77" s="25"/>
      <c r="CH77" s="25"/>
      <c r="CI77" s="25"/>
      <c r="CJ77" s="25"/>
      <c r="CK77" s="25"/>
      <c r="CL77" s="232"/>
      <c r="CM77" s="25"/>
      <c r="CN77" s="232"/>
      <c r="CO77" s="25"/>
      <c r="CP77" s="232"/>
      <c r="CQ77" s="232"/>
      <c r="CR77" s="232"/>
      <c r="CS77" s="232"/>
      <c r="CT77" s="232"/>
      <c r="CU77" s="232"/>
      <c r="CV77" s="232"/>
      <c r="CW77" s="232"/>
      <c r="CX77" s="232"/>
      <c r="CY77" s="232"/>
      <c r="CZ77" s="232"/>
      <c r="DA77" s="25"/>
      <c r="DB77" s="232"/>
      <c r="DC77" s="232"/>
      <c r="DD77" s="232"/>
      <c r="DE77" s="25"/>
      <c r="DF77" s="232"/>
      <c r="DG77" s="25"/>
      <c r="DH77" s="232"/>
      <c r="DI77" s="232"/>
      <c r="DJ77" s="26"/>
      <c r="DK77" s="26"/>
      <c r="DL77" s="26"/>
      <c r="DM77" s="26"/>
      <c r="DN77" s="25"/>
      <c r="DO77" s="25"/>
      <c r="DP77" s="232"/>
      <c r="DQ77" s="25"/>
      <c r="DR77" s="232"/>
      <c r="DS77" s="232"/>
      <c r="DT77" s="25"/>
      <c r="DU77" s="232"/>
      <c r="DV77" s="232"/>
      <c r="DW77" s="232"/>
      <c r="DX77" s="232"/>
      <c r="DY77" s="232"/>
      <c r="DZ77" s="232"/>
      <c r="EA77" s="232"/>
      <c r="EB77" s="232"/>
      <c r="EC77" s="232"/>
      <c r="ED77" s="232"/>
      <c r="EE77" s="232"/>
      <c r="EF77" s="232"/>
      <c r="EG77" s="232"/>
      <c r="EH77" s="26"/>
      <c r="EI77" s="26"/>
      <c r="EJ77" s="26"/>
      <c r="EK77" s="50"/>
      <c r="EL77" s="25"/>
      <c r="EM77" s="232"/>
      <c r="EN77" s="232"/>
      <c r="EO77" s="232"/>
      <c r="EP77" s="232"/>
      <c r="EQ77" s="25"/>
      <c r="ES77" s="25"/>
      <c r="FB77" s="20"/>
      <c r="FC77" s="26"/>
      <c r="FD77" s="26"/>
      <c r="FE77" s="26"/>
      <c r="FF77" s="25"/>
      <c r="FG77" s="25"/>
      <c r="FH77" s="232"/>
      <c r="FI77" s="232"/>
      <c r="FJ77" s="232"/>
      <c r="FK77" s="232"/>
      <c r="FL77" s="232"/>
      <c r="FM77" s="232"/>
      <c r="FN77" s="25"/>
      <c r="FO77" s="232"/>
      <c r="FP77" s="232"/>
      <c r="FZ77" s="22"/>
    </row>
    <row r="78" spans="1:182" ht="12.75" customHeight="1" x14ac:dyDescent="0.2">
      <c r="A78" s="25"/>
      <c r="B78" s="25"/>
      <c r="C78" s="25"/>
      <c r="D78" s="232"/>
      <c r="E78" s="231"/>
      <c r="F78" s="232"/>
      <c r="G78" s="25"/>
      <c r="H78" s="25"/>
      <c r="I78" s="234"/>
      <c r="J78" s="25"/>
      <c r="K78" s="25"/>
      <c r="L78" s="25"/>
      <c r="M78" s="25"/>
      <c r="N78" s="25"/>
      <c r="O78" s="25"/>
      <c r="P78" s="25"/>
      <c r="Q78" s="25"/>
      <c r="R78" s="25"/>
      <c r="S78" s="50"/>
      <c r="T78" s="232"/>
      <c r="U78" s="232"/>
      <c r="V78" s="25"/>
      <c r="W78" s="232"/>
      <c r="X78" s="232"/>
      <c r="Y78" s="25"/>
      <c r="Z78" s="25"/>
      <c r="AA78" s="25"/>
      <c r="AB78" s="232"/>
      <c r="AC78" s="232"/>
      <c r="AD78" s="232"/>
      <c r="AE78" s="25"/>
      <c r="AF78" s="232"/>
      <c r="AG78" s="25"/>
      <c r="AH78" s="25"/>
      <c r="AI78" s="25"/>
      <c r="AJ78" s="25"/>
      <c r="AK78" s="25"/>
      <c r="AL78" s="25"/>
      <c r="AM78" s="25"/>
      <c r="AN78" s="25"/>
      <c r="AO78" s="25"/>
      <c r="AP78" s="25"/>
      <c r="AQ78" s="25"/>
      <c r="AR78" s="25"/>
      <c r="AS78" s="25"/>
      <c r="AT78" s="25"/>
      <c r="AU78" s="25"/>
      <c r="AV78" s="25"/>
      <c r="AW78" s="25"/>
      <c r="AX78" s="25"/>
      <c r="AY78" s="25"/>
      <c r="AZ78" s="25"/>
      <c r="BA78" s="25"/>
      <c r="BB78" s="25"/>
      <c r="BC78" s="25"/>
      <c r="BD78" s="25"/>
      <c r="BE78" s="25"/>
      <c r="BF78" s="50"/>
      <c r="BG78" s="50"/>
      <c r="BH78" s="25"/>
      <c r="BI78" s="50"/>
      <c r="BJ78" s="50"/>
      <c r="BK78" s="50"/>
      <c r="BL78" s="232"/>
      <c r="BM78" s="50"/>
      <c r="BN78" s="232"/>
      <c r="BO78" s="50"/>
      <c r="BP78" s="232"/>
      <c r="BQ78" s="232"/>
      <c r="BR78" s="232"/>
      <c r="BS78" s="232"/>
      <c r="BT78" s="232"/>
      <c r="BU78" s="232"/>
      <c r="BV78" s="232"/>
      <c r="BW78" s="232"/>
      <c r="BX78" s="232"/>
      <c r="BY78" s="232"/>
      <c r="BZ78" s="232"/>
      <c r="CA78" s="50"/>
      <c r="CB78" s="232"/>
      <c r="CC78" s="232"/>
      <c r="CE78" s="25"/>
      <c r="CF78" s="232"/>
      <c r="CG78" s="25"/>
      <c r="CH78" s="25"/>
      <c r="CI78" s="25"/>
      <c r="CJ78" s="25"/>
      <c r="CK78" s="25"/>
      <c r="CL78" s="232"/>
      <c r="CM78" s="25"/>
      <c r="CN78" s="232"/>
      <c r="CO78" s="25"/>
      <c r="CP78" s="232"/>
      <c r="CQ78" s="232"/>
      <c r="CR78" s="232"/>
      <c r="CS78" s="232"/>
      <c r="CT78" s="232"/>
      <c r="CU78" s="232"/>
      <c r="CV78" s="232"/>
      <c r="CW78" s="232"/>
      <c r="CX78" s="232"/>
      <c r="CY78" s="232"/>
      <c r="CZ78" s="232"/>
      <c r="DA78" s="25"/>
      <c r="DB78" s="232"/>
      <c r="DC78" s="232"/>
      <c r="DD78" s="232"/>
      <c r="DE78" s="25"/>
      <c r="DF78" s="232"/>
      <c r="DG78" s="25"/>
      <c r="DH78" s="232"/>
      <c r="DI78" s="232"/>
      <c r="DJ78" s="26"/>
      <c r="DK78" s="26"/>
      <c r="DL78" s="26"/>
      <c r="DM78" s="26"/>
      <c r="DN78" s="25"/>
      <c r="DO78" s="25"/>
      <c r="DP78" s="232"/>
      <c r="DQ78" s="25"/>
      <c r="DR78" s="232"/>
      <c r="DS78" s="232"/>
      <c r="DT78" s="25"/>
      <c r="DU78" s="232"/>
      <c r="DV78" s="232"/>
      <c r="DW78" s="232"/>
      <c r="DX78" s="232"/>
      <c r="DY78" s="232"/>
      <c r="DZ78" s="232"/>
      <c r="EA78" s="232"/>
      <c r="EB78" s="232"/>
      <c r="EC78" s="232"/>
      <c r="ED78" s="232"/>
      <c r="EE78" s="232"/>
      <c r="EF78" s="232"/>
      <c r="EG78" s="232"/>
      <c r="EH78" s="26"/>
      <c r="EI78" s="26"/>
      <c r="EJ78" s="26"/>
      <c r="EK78" s="50"/>
      <c r="EL78" s="25"/>
      <c r="EM78" s="232"/>
      <c r="EN78" s="232"/>
      <c r="EO78" s="232"/>
      <c r="EP78" s="232"/>
      <c r="EQ78" s="25"/>
      <c r="ES78" s="25"/>
      <c r="FB78" s="20"/>
      <c r="FC78" s="26"/>
      <c r="FD78" s="26"/>
      <c r="FE78" s="26"/>
      <c r="FF78" s="25"/>
      <c r="FG78" s="25"/>
      <c r="FH78" s="232"/>
      <c r="FI78" s="232"/>
      <c r="FJ78" s="232"/>
      <c r="FK78" s="232"/>
      <c r="FL78" s="232"/>
      <c r="FM78" s="232"/>
      <c r="FN78" s="25"/>
      <c r="FO78" s="232"/>
      <c r="FP78" s="232"/>
      <c r="FZ78" s="22"/>
    </row>
    <row r="79" spans="1:182" ht="12.75" customHeight="1" x14ac:dyDescent="0.2">
      <c r="A79" s="25"/>
      <c r="B79" s="25"/>
      <c r="C79" s="25"/>
      <c r="D79" s="232"/>
      <c r="E79" s="231"/>
      <c r="F79" s="232"/>
      <c r="G79" s="25"/>
      <c r="H79" s="25"/>
      <c r="I79" s="234"/>
      <c r="J79" s="25"/>
      <c r="K79" s="25"/>
      <c r="L79" s="25"/>
      <c r="M79" s="25"/>
      <c r="N79" s="25"/>
      <c r="O79" s="25"/>
      <c r="P79" s="25"/>
      <c r="Q79" s="25"/>
      <c r="R79" s="25"/>
      <c r="S79" s="50"/>
      <c r="T79" s="232"/>
      <c r="U79" s="232"/>
      <c r="V79" s="25"/>
      <c r="W79" s="232"/>
      <c r="X79" s="232"/>
      <c r="Y79" s="25"/>
      <c r="Z79" s="25"/>
      <c r="AA79" s="25"/>
      <c r="AB79" s="232"/>
      <c r="AC79" s="232"/>
      <c r="AD79" s="232"/>
      <c r="AE79" s="25"/>
      <c r="AF79" s="232"/>
      <c r="AG79" s="25"/>
      <c r="AH79" s="25"/>
      <c r="AI79" s="25"/>
      <c r="AJ79" s="25"/>
      <c r="AK79" s="25"/>
      <c r="AL79" s="25"/>
      <c r="AM79" s="25"/>
      <c r="AN79" s="25"/>
      <c r="AO79" s="25"/>
      <c r="AP79" s="25"/>
      <c r="AQ79" s="25"/>
      <c r="AR79" s="25"/>
      <c r="AS79" s="25"/>
      <c r="AT79" s="25"/>
      <c r="AU79" s="25"/>
      <c r="AV79" s="25"/>
      <c r="AW79" s="25"/>
      <c r="AX79" s="25"/>
      <c r="AY79" s="25"/>
      <c r="AZ79" s="25"/>
      <c r="BA79" s="25"/>
      <c r="BB79" s="25"/>
      <c r="BC79" s="25"/>
      <c r="BD79" s="25"/>
      <c r="BE79" s="25"/>
      <c r="BF79" s="50"/>
      <c r="BG79" s="50"/>
      <c r="BH79" s="25"/>
      <c r="BI79" s="50"/>
      <c r="BJ79" s="50"/>
      <c r="BK79" s="50"/>
      <c r="BL79" s="232"/>
      <c r="BM79" s="50"/>
      <c r="BN79" s="232"/>
      <c r="BO79" s="50"/>
      <c r="BP79" s="232"/>
      <c r="BQ79" s="232"/>
      <c r="BR79" s="232"/>
      <c r="BS79" s="232"/>
      <c r="BT79" s="232"/>
      <c r="BU79" s="232"/>
      <c r="BV79" s="232"/>
      <c r="BW79" s="232"/>
      <c r="BX79" s="232"/>
      <c r="BY79" s="232"/>
      <c r="BZ79" s="232"/>
      <c r="CA79" s="50"/>
      <c r="CB79" s="232"/>
      <c r="CC79" s="232"/>
      <c r="CE79" s="25"/>
      <c r="CF79" s="232"/>
      <c r="CG79" s="25"/>
      <c r="CH79" s="25"/>
      <c r="CI79" s="25"/>
      <c r="CJ79" s="25"/>
      <c r="CK79" s="25"/>
      <c r="CL79" s="232"/>
      <c r="CM79" s="25"/>
      <c r="CN79" s="232"/>
      <c r="CO79" s="25"/>
      <c r="CP79" s="232"/>
      <c r="CQ79" s="232"/>
      <c r="CR79" s="232"/>
      <c r="CS79" s="232"/>
      <c r="CT79" s="232"/>
      <c r="CU79" s="232"/>
      <c r="CV79" s="232"/>
      <c r="CW79" s="232"/>
      <c r="CX79" s="232"/>
      <c r="CY79" s="232"/>
      <c r="CZ79" s="232"/>
      <c r="DA79" s="25"/>
      <c r="DB79" s="232"/>
      <c r="DC79" s="232"/>
      <c r="DD79" s="232"/>
      <c r="DE79" s="25"/>
      <c r="DF79" s="232"/>
      <c r="DG79" s="25"/>
      <c r="DH79" s="232"/>
      <c r="DI79" s="232"/>
      <c r="DJ79" s="26"/>
      <c r="DK79" s="26"/>
      <c r="DL79" s="26"/>
      <c r="DM79" s="26"/>
      <c r="DN79" s="25"/>
      <c r="DO79" s="25"/>
      <c r="DP79" s="232"/>
      <c r="DQ79" s="25"/>
      <c r="DR79" s="232"/>
      <c r="DS79" s="232"/>
      <c r="DT79" s="25"/>
      <c r="DU79" s="232"/>
      <c r="DV79" s="232"/>
      <c r="DW79" s="232"/>
      <c r="DX79" s="232"/>
      <c r="DY79" s="232"/>
      <c r="DZ79" s="232"/>
      <c r="EA79" s="232"/>
      <c r="EB79" s="232"/>
      <c r="EC79" s="232"/>
      <c r="ED79" s="232"/>
      <c r="EE79" s="232"/>
      <c r="EF79" s="232"/>
      <c r="EG79" s="232"/>
      <c r="EH79" s="26"/>
      <c r="EI79" s="26"/>
      <c r="EJ79" s="26"/>
      <c r="EK79" s="50"/>
      <c r="EL79" s="25"/>
      <c r="EM79" s="232"/>
      <c r="EN79" s="232"/>
      <c r="EO79" s="232"/>
      <c r="EP79" s="232"/>
      <c r="EQ79" s="25"/>
      <c r="ES79" s="25"/>
      <c r="FB79" s="20"/>
      <c r="FC79" s="26"/>
      <c r="FD79" s="26"/>
      <c r="FE79" s="26"/>
      <c r="FF79" s="25"/>
      <c r="FG79" s="25"/>
      <c r="FH79" s="232"/>
      <c r="FI79" s="232"/>
      <c r="FJ79" s="232"/>
      <c r="FK79" s="232"/>
      <c r="FL79" s="232"/>
      <c r="FM79" s="232"/>
      <c r="FN79" s="25"/>
      <c r="FO79" s="232"/>
      <c r="FP79" s="232"/>
      <c r="FZ79" s="22"/>
    </row>
    <row r="80" spans="1:182" ht="12.75" customHeight="1" x14ac:dyDescent="0.2">
      <c r="A80" s="25"/>
      <c r="B80" s="25"/>
      <c r="C80" s="25"/>
      <c r="D80" s="232"/>
      <c r="E80" s="231"/>
      <c r="F80" s="232"/>
      <c r="G80" s="25"/>
      <c r="H80" s="25"/>
      <c r="I80" s="234"/>
      <c r="J80" s="25"/>
      <c r="K80" s="25"/>
      <c r="L80" s="25"/>
      <c r="M80" s="25"/>
      <c r="N80" s="25"/>
      <c r="O80" s="25"/>
      <c r="P80" s="25"/>
      <c r="Q80" s="25"/>
      <c r="R80" s="25"/>
      <c r="S80" s="50"/>
      <c r="T80" s="232"/>
      <c r="U80" s="232"/>
      <c r="V80" s="25"/>
      <c r="W80" s="232"/>
      <c r="X80" s="232"/>
      <c r="Y80" s="25"/>
      <c r="Z80" s="25"/>
      <c r="AA80" s="25"/>
      <c r="AB80" s="232"/>
      <c r="AC80" s="232"/>
      <c r="AD80" s="232"/>
      <c r="AE80" s="25"/>
      <c r="AF80" s="232"/>
      <c r="AG80" s="25"/>
      <c r="AH80" s="25"/>
      <c r="AI80" s="25"/>
      <c r="AJ80" s="25"/>
      <c r="AK80" s="25"/>
      <c r="AL80" s="25"/>
      <c r="AM80" s="25"/>
      <c r="AN80" s="25"/>
      <c r="AO80" s="25"/>
      <c r="AP80" s="25"/>
      <c r="AQ80" s="25"/>
      <c r="AR80" s="25"/>
      <c r="AS80" s="25"/>
      <c r="AT80" s="25"/>
      <c r="AU80" s="25"/>
      <c r="AV80" s="25"/>
      <c r="AW80" s="25"/>
      <c r="AX80" s="25"/>
      <c r="AY80" s="25"/>
      <c r="AZ80" s="25"/>
      <c r="BA80" s="25"/>
      <c r="BB80" s="25"/>
      <c r="BC80" s="25"/>
      <c r="BD80" s="25"/>
      <c r="BE80" s="25"/>
      <c r="BF80" s="50"/>
      <c r="BG80" s="50"/>
      <c r="BH80" s="25"/>
      <c r="BI80" s="50"/>
      <c r="BJ80" s="50"/>
      <c r="BK80" s="50"/>
      <c r="BL80" s="232"/>
      <c r="BM80" s="50"/>
      <c r="BN80" s="232"/>
      <c r="BO80" s="50"/>
      <c r="BP80" s="232"/>
      <c r="BQ80" s="232"/>
      <c r="BR80" s="232"/>
      <c r="BS80" s="232"/>
      <c r="BT80" s="232"/>
      <c r="BU80" s="232"/>
      <c r="BV80" s="232"/>
      <c r="BW80" s="232"/>
      <c r="BX80" s="232"/>
      <c r="BY80" s="232"/>
      <c r="BZ80" s="232"/>
      <c r="CA80" s="50"/>
      <c r="CB80" s="232"/>
      <c r="CC80" s="232"/>
      <c r="CE80" s="25"/>
      <c r="CF80" s="232"/>
      <c r="CG80" s="25"/>
      <c r="CH80" s="25"/>
      <c r="CI80" s="25"/>
      <c r="CJ80" s="25"/>
      <c r="CK80" s="25"/>
      <c r="CL80" s="232"/>
      <c r="CM80" s="25"/>
      <c r="CN80" s="232"/>
      <c r="CO80" s="25"/>
      <c r="CP80" s="232"/>
      <c r="CQ80" s="232"/>
      <c r="CR80" s="232"/>
      <c r="CS80" s="232"/>
      <c r="CT80" s="232"/>
      <c r="CU80" s="232"/>
      <c r="CV80" s="232"/>
      <c r="CW80" s="232"/>
      <c r="CX80" s="232"/>
      <c r="CY80" s="232"/>
      <c r="CZ80" s="232"/>
      <c r="DA80" s="25"/>
      <c r="DB80" s="232"/>
      <c r="DC80" s="232"/>
      <c r="DD80" s="232"/>
      <c r="DE80" s="25"/>
      <c r="DF80" s="232"/>
      <c r="DG80" s="25"/>
      <c r="DH80" s="232"/>
      <c r="DI80" s="232"/>
      <c r="DJ80" s="26"/>
      <c r="DK80" s="26"/>
      <c r="DL80" s="26"/>
      <c r="DM80" s="26"/>
      <c r="DN80" s="25"/>
      <c r="DO80" s="25"/>
      <c r="DP80" s="232"/>
      <c r="DQ80" s="25"/>
      <c r="DR80" s="232"/>
      <c r="DS80" s="232"/>
      <c r="DT80" s="25"/>
      <c r="DU80" s="232"/>
      <c r="DV80" s="232"/>
      <c r="DW80" s="232"/>
      <c r="DX80" s="232"/>
      <c r="DY80" s="232"/>
      <c r="DZ80" s="232"/>
      <c r="EA80" s="232"/>
      <c r="EB80" s="232"/>
      <c r="EC80" s="232"/>
      <c r="ED80" s="232"/>
      <c r="EE80" s="232"/>
      <c r="EF80" s="232"/>
      <c r="EG80" s="232"/>
      <c r="EH80" s="26"/>
      <c r="EI80" s="26"/>
      <c r="EJ80" s="26"/>
      <c r="EK80" s="50"/>
      <c r="EL80" s="25"/>
      <c r="EM80" s="232"/>
      <c r="EN80" s="232"/>
      <c r="EO80" s="232"/>
      <c r="EP80" s="232"/>
      <c r="EQ80" s="25"/>
      <c r="ES80" s="25"/>
      <c r="FB80" s="20"/>
      <c r="FC80" s="26"/>
      <c r="FD80" s="26"/>
      <c r="FE80" s="26"/>
      <c r="FF80" s="25"/>
      <c r="FG80" s="25"/>
      <c r="FH80" s="232"/>
      <c r="FI80" s="232"/>
      <c r="FJ80" s="232"/>
      <c r="FK80" s="232"/>
      <c r="FL80" s="232"/>
      <c r="FM80" s="232"/>
      <c r="FN80" s="25"/>
      <c r="FO80" s="232"/>
      <c r="FP80" s="232"/>
      <c r="FZ80" s="22"/>
    </row>
    <row r="81" spans="1:182" ht="12.75" customHeight="1" x14ac:dyDescent="0.2">
      <c r="A81" s="25"/>
      <c r="B81" s="25"/>
      <c r="C81" s="25"/>
      <c r="D81" s="232"/>
      <c r="E81" s="231"/>
      <c r="F81" s="232"/>
      <c r="G81" s="25"/>
      <c r="H81" s="25"/>
      <c r="I81" s="234"/>
      <c r="J81" s="25"/>
      <c r="K81" s="25"/>
      <c r="L81" s="25"/>
      <c r="M81" s="25"/>
      <c r="N81" s="25"/>
      <c r="O81" s="25"/>
      <c r="P81" s="25"/>
      <c r="Q81" s="25"/>
      <c r="R81" s="25"/>
      <c r="S81" s="50"/>
      <c r="T81" s="232"/>
      <c r="U81" s="232"/>
      <c r="V81" s="25"/>
      <c r="W81" s="232"/>
      <c r="X81" s="232"/>
      <c r="Y81" s="25"/>
      <c r="Z81" s="25"/>
      <c r="AA81" s="25"/>
      <c r="AB81" s="232"/>
      <c r="AC81" s="232"/>
      <c r="AD81" s="232"/>
      <c r="AE81" s="25"/>
      <c r="AF81" s="232"/>
      <c r="AG81" s="25"/>
      <c r="AH81" s="25"/>
      <c r="AI81" s="25"/>
      <c r="AJ81" s="25"/>
      <c r="AK81" s="25"/>
      <c r="AL81" s="25"/>
      <c r="AM81" s="25"/>
      <c r="AN81" s="25"/>
      <c r="AO81" s="25"/>
      <c r="AP81" s="25"/>
      <c r="AQ81" s="25"/>
      <c r="AR81" s="25"/>
      <c r="AS81" s="25"/>
      <c r="AT81" s="25"/>
      <c r="AU81" s="25"/>
      <c r="AV81" s="25"/>
      <c r="AW81" s="25"/>
      <c r="AX81" s="25"/>
      <c r="AY81" s="25"/>
      <c r="AZ81" s="25"/>
      <c r="BA81" s="25"/>
      <c r="BB81" s="25"/>
      <c r="BC81" s="25"/>
      <c r="BD81" s="25"/>
      <c r="BE81" s="25"/>
      <c r="BF81" s="50"/>
      <c r="BG81" s="50"/>
      <c r="BH81" s="25"/>
      <c r="BI81" s="50"/>
      <c r="BJ81" s="50"/>
      <c r="BK81" s="50"/>
      <c r="BL81" s="232"/>
      <c r="BM81" s="50"/>
      <c r="BN81" s="232"/>
      <c r="BO81" s="50"/>
      <c r="BP81" s="232"/>
      <c r="BQ81" s="232"/>
      <c r="BR81" s="232"/>
      <c r="BS81" s="232"/>
      <c r="BT81" s="232"/>
      <c r="BU81" s="232"/>
      <c r="BV81" s="232"/>
      <c r="BW81" s="232"/>
      <c r="BX81" s="232"/>
      <c r="BY81" s="232"/>
      <c r="BZ81" s="232"/>
      <c r="CA81" s="50"/>
      <c r="CB81" s="232"/>
      <c r="CC81" s="232"/>
      <c r="CE81" s="25"/>
      <c r="CF81" s="232"/>
      <c r="CG81" s="25"/>
      <c r="CH81" s="25"/>
      <c r="CI81" s="25"/>
      <c r="CJ81" s="25"/>
      <c r="CK81" s="25"/>
      <c r="CL81" s="232"/>
      <c r="CM81" s="25"/>
      <c r="CN81" s="232"/>
      <c r="CO81" s="25"/>
      <c r="CP81" s="232"/>
      <c r="CQ81" s="232"/>
      <c r="CR81" s="232"/>
      <c r="CS81" s="232"/>
      <c r="CT81" s="232"/>
      <c r="CU81" s="232"/>
      <c r="CV81" s="232"/>
      <c r="CW81" s="232"/>
      <c r="CX81" s="232"/>
      <c r="CY81" s="232"/>
      <c r="CZ81" s="232"/>
      <c r="DA81" s="25"/>
      <c r="DB81" s="232"/>
      <c r="DC81" s="232"/>
      <c r="DD81" s="232"/>
      <c r="DE81" s="25"/>
      <c r="DF81" s="232"/>
      <c r="DG81" s="25"/>
      <c r="DH81" s="232"/>
      <c r="DI81" s="232"/>
      <c r="DJ81" s="26"/>
      <c r="DK81" s="26"/>
      <c r="DL81" s="26"/>
      <c r="DM81" s="26"/>
      <c r="DN81" s="25"/>
      <c r="DO81" s="25"/>
      <c r="DP81" s="232"/>
      <c r="DQ81" s="25"/>
      <c r="DR81" s="232"/>
      <c r="DS81" s="232"/>
      <c r="DT81" s="25"/>
      <c r="DU81" s="232"/>
      <c r="DV81" s="232"/>
      <c r="DW81" s="232"/>
      <c r="DX81" s="232"/>
      <c r="DY81" s="232"/>
      <c r="DZ81" s="232"/>
      <c r="EA81" s="232"/>
      <c r="EB81" s="232"/>
      <c r="EC81" s="232"/>
      <c r="ED81" s="232"/>
      <c r="EE81" s="232"/>
      <c r="EF81" s="232"/>
      <c r="EG81" s="232"/>
      <c r="EH81" s="26"/>
      <c r="EI81" s="26"/>
      <c r="EJ81" s="26"/>
      <c r="EK81" s="50"/>
      <c r="EL81" s="25"/>
      <c r="EM81" s="232"/>
      <c r="EN81" s="232"/>
      <c r="EO81" s="232"/>
      <c r="EP81" s="232"/>
      <c r="EQ81" s="25"/>
      <c r="ES81" s="25"/>
      <c r="FB81" s="20"/>
      <c r="FC81" s="26"/>
      <c r="FD81" s="26"/>
      <c r="FE81" s="26"/>
      <c r="FF81" s="25"/>
      <c r="FG81" s="25"/>
      <c r="FH81" s="232"/>
      <c r="FI81" s="232"/>
      <c r="FJ81" s="232"/>
      <c r="FK81" s="232"/>
      <c r="FL81" s="232"/>
      <c r="FM81" s="232"/>
      <c r="FN81" s="25"/>
      <c r="FO81" s="232"/>
      <c r="FP81" s="232"/>
      <c r="FZ81" s="22"/>
    </row>
    <row r="82" spans="1:182" ht="12.75" customHeight="1" x14ac:dyDescent="0.2">
      <c r="A82" s="25"/>
      <c r="B82" s="25"/>
      <c r="C82" s="25"/>
      <c r="D82" s="232"/>
      <c r="E82" s="231"/>
      <c r="F82" s="232"/>
      <c r="G82" s="25"/>
      <c r="H82" s="25"/>
      <c r="I82" s="234"/>
      <c r="J82" s="25"/>
      <c r="K82" s="25"/>
      <c r="L82" s="25"/>
      <c r="M82" s="25"/>
      <c r="N82" s="25"/>
      <c r="O82" s="25"/>
      <c r="P82" s="25"/>
      <c r="Q82" s="25"/>
      <c r="R82" s="25"/>
      <c r="S82" s="50"/>
      <c r="T82" s="232"/>
      <c r="U82" s="232"/>
      <c r="V82" s="25"/>
      <c r="W82" s="232"/>
      <c r="X82" s="232"/>
      <c r="Y82" s="25"/>
      <c r="Z82" s="25"/>
      <c r="AA82" s="25"/>
      <c r="AB82" s="232"/>
      <c r="AC82" s="232"/>
      <c r="AD82" s="232"/>
      <c r="AE82" s="25"/>
      <c r="AF82" s="232"/>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50"/>
      <c r="BG82" s="50"/>
      <c r="BH82" s="25"/>
      <c r="BI82" s="50"/>
      <c r="BJ82" s="50"/>
      <c r="BK82" s="50"/>
      <c r="BL82" s="232"/>
      <c r="BM82" s="50"/>
      <c r="BN82" s="232"/>
      <c r="BO82" s="50"/>
      <c r="BP82" s="232"/>
      <c r="BQ82" s="232"/>
      <c r="BR82" s="232"/>
      <c r="BS82" s="232"/>
      <c r="BT82" s="232"/>
      <c r="BU82" s="232"/>
      <c r="BV82" s="232"/>
      <c r="BW82" s="232"/>
      <c r="BX82" s="232"/>
      <c r="BY82" s="232"/>
      <c r="BZ82" s="232"/>
      <c r="CA82" s="50"/>
      <c r="CB82" s="232"/>
      <c r="CC82" s="232"/>
      <c r="CE82" s="25"/>
      <c r="CF82" s="232"/>
      <c r="CG82" s="25"/>
      <c r="CH82" s="25"/>
      <c r="CI82" s="25"/>
      <c r="CJ82" s="25"/>
      <c r="CK82" s="25"/>
      <c r="CL82" s="232"/>
      <c r="CM82" s="25"/>
      <c r="CN82" s="232"/>
      <c r="CO82" s="25"/>
      <c r="CP82" s="232"/>
      <c r="CQ82" s="232"/>
      <c r="CR82" s="232"/>
      <c r="CS82" s="232"/>
      <c r="CT82" s="232"/>
      <c r="CU82" s="232"/>
      <c r="CV82" s="232"/>
      <c r="CW82" s="232"/>
      <c r="CX82" s="232"/>
      <c r="CY82" s="232"/>
      <c r="CZ82" s="232"/>
      <c r="DA82" s="25"/>
      <c r="DB82" s="232"/>
      <c r="DC82" s="232"/>
      <c r="DD82" s="232"/>
      <c r="DE82" s="25"/>
      <c r="DF82" s="232"/>
      <c r="DG82" s="25"/>
      <c r="DH82" s="232"/>
      <c r="DI82" s="232"/>
      <c r="DJ82" s="26"/>
      <c r="DK82" s="26"/>
      <c r="DL82" s="26"/>
      <c r="DM82" s="26"/>
      <c r="DN82" s="25"/>
      <c r="DO82" s="25"/>
      <c r="DP82" s="232"/>
      <c r="DQ82" s="25"/>
      <c r="DR82" s="232"/>
      <c r="DS82" s="232"/>
      <c r="DT82" s="25"/>
      <c r="DU82" s="232"/>
      <c r="DV82" s="232"/>
      <c r="DW82" s="232"/>
      <c r="DX82" s="232"/>
      <c r="DY82" s="232"/>
      <c r="DZ82" s="232"/>
      <c r="EA82" s="232"/>
      <c r="EB82" s="232"/>
      <c r="EC82" s="232"/>
      <c r="ED82" s="232"/>
      <c r="EE82" s="232"/>
      <c r="EF82" s="232"/>
      <c r="EG82" s="232"/>
      <c r="EH82" s="26"/>
      <c r="EI82" s="26"/>
      <c r="EJ82" s="26"/>
      <c r="EK82" s="50"/>
      <c r="EL82" s="25"/>
      <c r="EM82" s="232"/>
      <c r="EN82" s="232"/>
      <c r="EO82" s="232"/>
      <c r="EP82" s="232"/>
      <c r="EQ82" s="25"/>
      <c r="ES82" s="25"/>
      <c r="FB82" s="20"/>
      <c r="FC82" s="26"/>
      <c r="FD82" s="26"/>
      <c r="FE82" s="26"/>
      <c r="FF82" s="25"/>
      <c r="FG82" s="25"/>
      <c r="FH82" s="232"/>
      <c r="FI82" s="232"/>
      <c r="FJ82" s="232"/>
      <c r="FK82" s="232"/>
      <c r="FL82" s="232"/>
      <c r="FM82" s="232"/>
      <c r="FN82" s="25"/>
      <c r="FO82" s="232"/>
      <c r="FP82" s="232"/>
      <c r="FZ82" s="22"/>
    </row>
    <row r="83" spans="1:182" ht="12.75" customHeight="1" x14ac:dyDescent="0.2">
      <c r="A83" s="25"/>
      <c r="B83" s="25"/>
      <c r="C83" s="25"/>
      <c r="D83" s="232"/>
      <c r="E83" s="231"/>
      <c r="F83" s="232"/>
      <c r="G83" s="25"/>
      <c r="H83" s="25"/>
      <c r="I83" s="234"/>
      <c r="J83" s="25"/>
      <c r="K83" s="25"/>
      <c r="L83" s="25"/>
      <c r="M83" s="25"/>
      <c r="N83" s="25"/>
      <c r="O83" s="25"/>
      <c r="P83" s="25"/>
      <c r="Q83" s="25"/>
      <c r="R83" s="25"/>
      <c r="S83" s="50"/>
      <c r="T83" s="232"/>
      <c r="U83" s="232"/>
      <c r="V83" s="25"/>
      <c r="W83" s="232"/>
      <c r="X83" s="232"/>
      <c r="Y83" s="25"/>
      <c r="Z83" s="25"/>
      <c r="AA83" s="25"/>
      <c r="AB83" s="232"/>
      <c r="AC83" s="232"/>
      <c r="AD83" s="232"/>
      <c r="AE83" s="25"/>
      <c r="AF83" s="232"/>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50"/>
      <c r="BG83" s="50"/>
      <c r="BH83" s="25"/>
      <c r="BI83" s="50"/>
      <c r="BJ83" s="50"/>
      <c r="BK83" s="50"/>
      <c r="BL83" s="232"/>
      <c r="BM83" s="50"/>
      <c r="BN83" s="232"/>
      <c r="BO83" s="50"/>
      <c r="BP83" s="232"/>
      <c r="BQ83" s="232"/>
      <c r="BR83" s="232"/>
      <c r="BS83" s="232"/>
      <c r="BT83" s="232"/>
      <c r="BU83" s="232"/>
      <c r="BV83" s="232"/>
      <c r="BW83" s="232"/>
      <c r="BX83" s="232"/>
      <c r="BY83" s="232"/>
      <c r="BZ83" s="232"/>
      <c r="CA83" s="50"/>
      <c r="CB83" s="232"/>
      <c r="CC83" s="232"/>
      <c r="CE83" s="25"/>
      <c r="CF83" s="232"/>
      <c r="CG83" s="25"/>
      <c r="CH83" s="25"/>
      <c r="CI83" s="25"/>
      <c r="CJ83" s="25"/>
      <c r="CK83" s="25"/>
      <c r="CL83" s="232"/>
      <c r="CM83" s="25"/>
      <c r="CN83" s="232"/>
      <c r="CO83" s="25"/>
      <c r="CP83" s="232"/>
      <c r="CQ83" s="232"/>
      <c r="CR83" s="232"/>
      <c r="CS83" s="232"/>
      <c r="CT83" s="232"/>
      <c r="CU83" s="232"/>
      <c r="CV83" s="232"/>
      <c r="CW83" s="232"/>
      <c r="CX83" s="232"/>
      <c r="CY83" s="232"/>
      <c r="CZ83" s="232"/>
      <c r="DA83" s="25"/>
      <c r="DB83" s="232"/>
      <c r="DC83" s="232"/>
      <c r="DD83" s="232"/>
      <c r="DE83" s="25"/>
      <c r="DF83" s="232"/>
      <c r="DG83" s="25"/>
      <c r="DH83" s="232"/>
      <c r="DI83" s="232"/>
      <c r="DJ83" s="26"/>
      <c r="DK83" s="26"/>
      <c r="DL83" s="26"/>
      <c r="DM83" s="26"/>
      <c r="DN83" s="25"/>
      <c r="DO83" s="25"/>
      <c r="DP83" s="232"/>
      <c r="DQ83" s="25"/>
      <c r="DR83" s="232"/>
      <c r="DS83" s="232"/>
      <c r="DT83" s="25"/>
      <c r="DU83" s="232"/>
      <c r="DV83" s="232"/>
      <c r="DW83" s="232"/>
      <c r="DX83" s="232"/>
      <c r="DY83" s="232"/>
      <c r="DZ83" s="232"/>
      <c r="EA83" s="232"/>
      <c r="EB83" s="232"/>
      <c r="EC83" s="232"/>
      <c r="ED83" s="232"/>
      <c r="EE83" s="232"/>
      <c r="EF83" s="232"/>
      <c r="EG83" s="232"/>
      <c r="EH83" s="26"/>
      <c r="EI83" s="26"/>
      <c r="EJ83" s="26"/>
      <c r="EK83" s="50"/>
      <c r="EL83" s="25"/>
      <c r="EM83" s="232"/>
      <c r="EN83" s="232"/>
      <c r="EO83" s="232"/>
      <c r="EP83" s="232"/>
      <c r="EQ83" s="25"/>
      <c r="ES83" s="25"/>
      <c r="FB83" s="20"/>
      <c r="FC83" s="26"/>
      <c r="FD83" s="26"/>
      <c r="FE83" s="26"/>
      <c r="FF83" s="25"/>
      <c r="FG83" s="25"/>
      <c r="FH83" s="232"/>
      <c r="FI83" s="232"/>
      <c r="FJ83" s="232"/>
      <c r="FK83" s="232"/>
      <c r="FL83" s="232"/>
      <c r="FM83" s="232"/>
      <c r="FN83" s="25"/>
      <c r="FO83" s="232"/>
      <c r="FP83" s="232"/>
      <c r="FZ83" s="22"/>
    </row>
    <row r="84" spans="1:182" ht="12.75" customHeight="1" x14ac:dyDescent="0.2">
      <c r="A84" s="25"/>
      <c r="B84" s="25"/>
      <c r="C84" s="25"/>
      <c r="D84" s="232"/>
      <c r="E84" s="231"/>
      <c r="F84" s="232"/>
      <c r="G84" s="25"/>
      <c r="H84" s="25"/>
      <c r="I84" s="234"/>
      <c r="J84" s="25"/>
      <c r="K84" s="25"/>
      <c r="L84" s="25"/>
      <c r="M84" s="25"/>
      <c r="N84" s="25"/>
      <c r="O84" s="25"/>
      <c r="P84" s="25"/>
      <c r="Q84" s="25"/>
      <c r="R84" s="25"/>
      <c r="S84" s="50"/>
      <c r="T84" s="232"/>
      <c r="U84" s="232"/>
      <c r="V84" s="25"/>
      <c r="W84" s="232"/>
      <c r="X84" s="232"/>
      <c r="Y84" s="25"/>
      <c r="Z84" s="25"/>
      <c r="AA84" s="25"/>
      <c r="AB84" s="232"/>
      <c r="AC84" s="232"/>
      <c r="AD84" s="232"/>
      <c r="AE84" s="25"/>
      <c r="AF84" s="232"/>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50"/>
      <c r="BG84" s="50"/>
      <c r="BH84" s="25"/>
      <c r="BI84" s="50"/>
      <c r="BJ84" s="50"/>
      <c r="BK84" s="50"/>
      <c r="BL84" s="232"/>
      <c r="BM84" s="50"/>
      <c r="BN84" s="232"/>
      <c r="BO84" s="50"/>
      <c r="BP84" s="232"/>
      <c r="BQ84" s="232"/>
      <c r="BR84" s="232"/>
      <c r="BS84" s="232"/>
      <c r="BT84" s="232"/>
      <c r="BU84" s="232"/>
      <c r="BV84" s="232"/>
      <c r="BW84" s="232"/>
      <c r="BX84" s="232"/>
      <c r="BY84" s="232"/>
      <c r="BZ84" s="232"/>
      <c r="CA84" s="50"/>
      <c r="CB84" s="232"/>
      <c r="CC84" s="232"/>
      <c r="CE84" s="25"/>
      <c r="CF84" s="232"/>
      <c r="CG84" s="25"/>
      <c r="CH84" s="25"/>
      <c r="CI84" s="25"/>
      <c r="CJ84" s="25"/>
      <c r="CK84" s="25"/>
      <c r="CL84" s="232"/>
      <c r="CM84" s="25"/>
      <c r="CN84" s="232"/>
      <c r="CO84" s="25"/>
      <c r="CP84" s="232"/>
      <c r="CQ84" s="232"/>
      <c r="CR84" s="232"/>
      <c r="CS84" s="232"/>
      <c r="CT84" s="232"/>
      <c r="CU84" s="232"/>
      <c r="CV84" s="232"/>
      <c r="CW84" s="232"/>
      <c r="CX84" s="232"/>
      <c r="CY84" s="232"/>
      <c r="CZ84" s="232"/>
      <c r="DA84" s="25"/>
      <c r="DB84" s="232"/>
      <c r="DC84" s="232"/>
      <c r="DD84" s="232"/>
      <c r="DE84" s="25"/>
      <c r="DF84" s="232"/>
      <c r="DG84" s="25"/>
      <c r="DH84" s="232"/>
      <c r="DI84" s="232"/>
      <c r="DJ84" s="26"/>
      <c r="DK84" s="26"/>
      <c r="DL84" s="26"/>
      <c r="DM84" s="26"/>
      <c r="DN84" s="25"/>
      <c r="DO84" s="25"/>
      <c r="DP84" s="232"/>
      <c r="DQ84" s="25"/>
      <c r="DR84" s="232"/>
      <c r="DS84" s="232"/>
      <c r="DT84" s="25"/>
      <c r="DU84" s="232"/>
      <c r="DV84" s="232"/>
      <c r="DW84" s="232"/>
      <c r="DX84" s="232"/>
      <c r="DY84" s="232"/>
      <c r="DZ84" s="232"/>
      <c r="EA84" s="232"/>
      <c r="EB84" s="232"/>
      <c r="EC84" s="232"/>
      <c r="ED84" s="232"/>
      <c r="EE84" s="232"/>
      <c r="EF84" s="232"/>
      <c r="EG84" s="232"/>
      <c r="EH84" s="26"/>
      <c r="EI84" s="26"/>
      <c r="EJ84" s="26"/>
      <c r="EK84" s="50"/>
      <c r="EL84" s="25"/>
      <c r="EM84" s="232"/>
      <c r="EN84" s="232"/>
      <c r="EO84" s="232"/>
      <c r="EP84" s="232"/>
      <c r="EQ84" s="25"/>
      <c r="ES84" s="25"/>
      <c r="FB84" s="20"/>
      <c r="FC84" s="26"/>
      <c r="FD84" s="26"/>
      <c r="FE84" s="26"/>
      <c r="FF84" s="25"/>
      <c r="FG84" s="25"/>
      <c r="FH84" s="232"/>
      <c r="FI84" s="232"/>
      <c r="FJ84" s="232"/>
      <c r="FK84" s="232"/>
      <c r="FL84" s="232"/>
      <c r="FM84" s="232"/>
      <c r="FN84" s="25"/>
      <c r="FO84" s="232"/>
      <c r="FP84" s="232"/>
      <c r="FZ84" s="22"/>
    </row>
    <row r="85" spans="1:182" ht="12.75" customHeight="1" x14ac:dyDescent="0.2">
      <c r="A85" s="25"/>
      <c r="B85" s="25"/>
      <c r="C85" s="25"/>
      <c r="D85" s="232"/>
      <c r="E85" s="231"/>
      <c r="F85" s="232"/>
      <c r="G85" s="25"/>
      <c r="H85" s="25"/>
      <c r="I85" s="234"/>
      <c r="J85" s="25"/>
      <c r="K85" s="25"/>
      <c r="L85" s="25"/>
      <c r="M85" s="25"/>
      <c r="N85" s="25"/>
      <c r="O85" s="25"/>
      <c r="P85" s="25"/>
      <c r="Q85" s="25"/>
      <c r="R85" s="25"/>
      <c r="S85" s="50"/>
      <c r="T85" s="232"/>
      <c r="U85" s="232"/>
      <c r="V85" s="25"/>
      <c r="W85" s="232"/>
      <c r="X85" s="232"/>
      <c r="Y85" s="25"/>
      <c r="Z85" s="25"/>
      <c r="AA85" s="25"/>
      <c r="AB85" s="232"/>
      <c r="AC85" s="232"/>
      <c r="AD85" s="232"/>
      <c r="AE85" s="25"/>
      <c r="AF85" s="232"/>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50"/>
      <c r="BG85" s="50"/>
      <c r="BH85" s="25"/>
      <c r="BI85" s="50"/>
      <c r="BJ85" s="50"/>
      <c r="BK85" s="50"/>
      <c r="BL85" s="232"/>
      <c r="BM85" s="50"/>
      <c r="BN85" s="232"/>
      <c r="BO85" s="50"/>
      <c r="BP85" s="232"/>
      <c r="BQ85" s="232"/>
      <c r="BR85" s="232"/>
      <c r="BS85" s="232"/>
      <c r="BT85" s="232"/>
      <c r="BU85" s="232"/>
      <c r="BV85" s="232"/>
      <c r="BW85" s="232"/>
      <c r="BX85" s="232"/>
      <c r="BY85" s="232"/>
      <c r="BZ85" s="232"/>
      <c r="CA85" s="50"/>
      <c r="CB85" s="232"/>
      <c r="CC85" s="232"/>
      <c r="CE85" s="25"/>
      <c r="CF85" s="232"/>
      <c r="CG85" s="25"/>
      <c r="CH85" s="25"/>
      <c r="CI85" s="25"/>
      <c r="CJ85" s="25"/>
      <c r="CK85" s="25"/>
      <c r="CL85" s="232"/>
      <c r="CM85" s="25"/>
      <c r="CN85" s="232"/>
      <c r="CO85" s="25"/>
      <c r="CP85" s="232"/>
      <c r="CQ85" s="232"/>
      <c r="CR85" s="232"/>
      <c r="CS85" s="232"/>
      <c r="CT85" s="232"/>
      <c r="CU85" s="232"/>
      <c r="CV85" s="232"/>
      <c r="CW85" s="232"/>
      <c r="CX85" s="232"/>
      <c r="CY85" s="232"/>
      <c r="CZ85" s="232"/>
      <c r="DA85" s="25"/>
      <c r="DB85" s="232"/>
      <c r="DC85" s="232"/>
      <c r="DD85" s="232"/>
      <c r="DE85" s="25"/>
      <c r="DF85" s="232"/>
      <c r="DG85" s="25"/>
      <c r="DH85" s="232"/>
      <c r="DI85" s="232"/>
      <c r="DJ85" s="26"/>
      <c r="DK85" s="26"/>
      <c r="DL85" s="26"/>
      <c r="DM85" s="26"/>
      <c r="DN85" s="25"/>
      <c r="DO85" s="25"/>
      <c r="DP85" s="232"/>
      <c r="DQ85" s="25"/>
      <c r="DR85" s="232"/>
      <c r="DS85" s="232"/>
      <c r="DT85" s="25"/>
      <c r="DU85" s="232"/>
      <c r="DV85" s="232"/>
      <c r="DW85" s="232"/>
      <c r="DX85" s="232"/>
      <c r="DY85" s="232"/>
      <c r="DZ85" s="232"/>
      <c r="EA85" s="232"/>
      <c r="EB85" s="232"/>
      <c r="EC85" s="232"/>
      <c r="ED85" s="232"/>
      <c r="EE85" s="232"/>
      <c r="EF85" s="232"/>
      <c r="EG85" s="232"/>
      <c r="EH85" s="26"/>
      <c r="EI85" s="26"/>
      <c r="EJ85" s="26"/>
      <c r="EK85" s="50"/>
      <c r="EL85" s="25"/>
      <c r="EM85" s="232"/>
      <c r="EN85" s="232"/>
      <c r="EO85" s="232"/>
      <c r="EP85" s="232"/>
      <c r="EQ85" s="25"/>
      <c r="ES85" s="25"/>
      <c r="FB85" s="20"/>
      <c r="FC85" s="26"/>
      <c r="FD85" s="26"/>
      <c r="FE85" s="26"/>
      <c r="FF85" s="25"/>
      <c r="FG85" s="25"/>
      <c r="FH85" s="232"/>
      <c r="FI85" s="232"/>
      <c r="FJ85" s="232"/>
      <c r="FK85" s="232"/>
      <c r="FL85" s="232"/>
      <c r="FM85" s="232"/>
      <c r="FN85" s="25"/>
      <c r="FO85" s="232"/>
      <c r="FP85" s="232"/>
    </row>
    <row r="86" spans="1:182" ht="12.75" customHeight="1" x14ac:dyDescent="0.2">
      <c r="A86" s="25"/>
      <c r="B86" s="25"/>
      <c r="C86" s="25"/>
      <c r="D86" s="232"/>
      <c r="E86" s="231"/>
      <c r="F86" s="232"/>
      <c r="G86" s="25"/>
      <c r="H86" s="25"/>
      <c r="I86" s="234"/>
      <c r="J86" s="25"/>
      <c r="K86" s="25"/>
      <c r="L86" s="25"/>
      <c r="M86" s="25"/>
      <c r="N86" s="25"/>
      <c r="O86" s="25"/>
      <c r="P86" s="25"/>
      <c r="Q86" s="25"/>
      <c r="R86" s="25"/>
      <c r="S86" s="50"/>
      <c r="T86" s="232"/>
      <c r="U86" s="232"/>
      <c r="V86" s="25"/>
      <c r="W86" s="232"/>
      <c r="X86" s="232"/>
      <c r="Y86" s="25"/>
      <c r="Z86" s="25"/>
      <c r="AA86" s="25"/>
      <c r="AB86" s="232"/>
      <c r="AC86" s="232"/>
      <c r="AD86" s="232"/>
      <c r="AE86" s="25"/>
      <c r="AF86" s="232"/>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50"/>
      <c r="BG86" s="50"/>
      <c r="BH86" s="25"/>
      <c r="BI86" s="50"/>
      <c r="BJ86" s="50"/>
      <c r="BK86" s="50"/>
      <c r="BL86" s="232"/>
      <c r="BM86" s="50"/>
      <c r="BN86" s="232"/>
      <c r="BO86" s="50"/>
      <c r="BP86" s="232"/>
      <c r="BQ86" s="232"/>
      <c r="BR86" s="232"/>
      <c r="BS86" s="232"/>
      <c r="BT86" s="232"/>
      <c r="BU86" s="232"/>
      <c r="BV86" s="232"/>
      <c r="BW86" s="232"/>
      <c r="BX86" s="232"/>
      <c r="BY86" s="232"/>
      <c r="BZ86" s="232"/>
      <c r="CA86" s="50"/>
      <c r="CB86" s="232"/>
      <c r="CC86" s="232"/>
      <c r="CE86" s="25"/>
      <c r="CF86" s="232"/>
      <c r="CG86" s="25"/>
      <c r="CH86" s="25"/>
      <c r="CI86" s="25"/>
      <c r="CJ86" s="25"/>
      <c r="CK86" s="25"/>
      <c r="CL86" s="232"/>
      <c r="CM86" s="25"/>
      <c r="CN86" s="232"/>
      <c r="CO86" s="25"/>
      <c r="CP86" s="232"/>
      <c r="CQ86" s="232"/>
      <c r="CR86" s="232"/>
      <c r="CS86" s="232"/>
      <c r="CT86" s="232"/>
      <c r="CU86" s="232"/>
      <c r="CV86" s="232"/>
      <c r="CW86" s="232"/>
      <c r="CX86" s="232"/>
      <c r="CY86" s="232"/>
      <c r="CZ86" s="232"/>
      <c r="DA86" s="25"/>
      <c r="DB86" s="232"/>
      <c r="DC86" s="232"/>
      <c r="DD86" s="232"/>
      <c r="DE86" s="25"/>
      <c r="DF86" s="232"/>
      <c r="DG86" s="25"/>
      <c r="DH86" s="232"/>
      <c r="DI86" s="232"/>
      <c r="DJ86" s="26"/>
      <c r="DK86" s="26"/>
      <c r="DL86" s="26"/>
      <c r="DM86" s="26"/>
      <c r="DN86" s="25"/>
      <c r="DO86" s="25"/>
      <c r="DP86" s="232"/>
      <c r="DQ86" s="25"/>
      <c r="DR86" s="232"/>
      <c r="DS86" s="232"/>
      <c r="DT86" s="25"/>
      <c r="DU86" s="232"/>
      <c r="DV86" s="232"/>
      <c r="DW86" s="232"/>
      <c r="DX86" s="232"/>
      <c r="DY86" s="232"/>
      <c r="DZ86" s="232"/>
      <c r="EA86" s="232"/>
      <c r="EB86" s="232"/>
      <c r="EC86" s="232"/>
      <c r="ED86" s="232"/>
      <c r="EE86" s="232"/>
      <c r="EF86" s="232"/>
      <c r="EG86" s="232"/>
      <c r="EH86" s="26"/>
      <c r="EI86" s="26"/>
      <c r="EJ86" s="26"/>
      <c r="EK86" s="50"/>
      <c r="EL86" s="25"/>
      <c r="EM86" s="232"/>
      <c r="EN86" s="232"/>
      <c r="EO86" s="232"/>
      <c r="EP86" s="232"/>
      <c r="EQ86" s="25"/>
      <c r="ES86" s="25"/>
      <c r="FB86" s="20"/>
      <c r="FC86" s="26"/>
      <c r="FD86" s="26"/>
      <c r="FE86" s="26"/>
      <c r="FF86" s="25"/>
      <c r="FG86" s="25"/>
      <c r="FH86" s="232"/>
      <c r="FI86" s="232"/>
      <c r="FJ86" s="232"/>
      <c r="FK86" s="232"/>
      <c r="FL86" s="232"/>
      <c r="FM86" s="232"/>
      <c r="FN86" s="25"/>
      <c r="FO86" s="232"/>
      <c r="FP86" s="232"/>
    </row>
    <row r="87" spans="1:182" ht="12.75" customHeight="1" x14ac:dyDescent="0.2">
      <c r="A87" s="25"/>
      <c r="B87" s="25"/>
      <c r="C87" s="25"/>
      <c r="D87" s="232"/>
      <c r="E87" s="231"/>
      <c r="F87" s="232"/>
      <c r="G87" s="25"/>
      <c r="H87" s="25"/>
      <c r="I87" s="234"/>
      <c r="J87" s="25"/>
      <c r="K87" s="25"/>
      <c r="L87" s="25"/>
      <c r="M87" s="25"/>
      <c r="N87" s="25"/>
      <c r="O87" s="25"/>
      <c r="P87" s="25"/>
      <c r="Q87" s="25"/>
      <c r="R87" s="25"/>
      <c r="S87" s="50"/>
      <c r="T87" s="232"/>
      <c r="U87" s="232"/>
      <c r="V87" s="25"/>
      <c r="W87" s="232"/>
      <c r="X87" s="232"/>
      <c r="Y87" s="25"/>
      <c r="Z87" s="25"/>
      <c r="AA87" s="25"/>
      <c r="AB87" s="232"/>
      <c r="AC87" s="232"/>
      <c r="AD87" s="232"/>
      <c r="AE87" s="25"/>
      <c r="AF87" s="232"/>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50"/>
      <c r="BG87" s="50"/>
      <c r="BH87" s="25"/>
      <c r="BI87" s="50"/>
      <c r="BJ87" s="50"/>
      <c r="BK87" s="50"/>
      <c r="BL87" s="232"/>
      <c r="BM87" s="50"/>
      <c r="BN87" s="232"/>
      <c r="BO87" s="50"/>
      <c r="BP87" s="232"/>
      <c r="BQ87" s="232"/>
      <c r="BR87" s="232"/>
      <c r="BS87" s="232"/>
      <c r="BT87" s="232"/>
      <c r="BU87" s="232"/>
      <c r="BV87" s="232"/>
      <c r="BW87" s="232"/>
      <c r="BX87" s="232"/>
      <c r="BY87" s="232"/>
      <c r="BZ87" s="232"/>
      <c r="CA87" s="50"/>
      <c r="CB87" s="232"/>
      <c r="CC87" s="232"/>
      <c r="CE87" s="25"/>
      <c r="CF87" s="232"/>
      <c r="CG87" s="25"/>
      <c r="CH87" s="25"/>
      <c r="CI87" s="25"/>
      <c r="CJ87" s="25"/>
      <c r="CK87" s="25"/>
      <c r="CL87" s="232"/>
      <c r="CM87" s="25"/>
      <c r="CN87" s="232"/>
      <c r="CO87" s="25"/>
      <c r="CP87" s="232"/>
      <c r="CQ87" s="232"/>
      <c r="CR87" s="232"/>
      <c r="CS87" s="232"/>
      <c r="CT87" s="232"/>
      <c r="CU87" s="232"/>
      <c r="CV87" s="232"/>
      <c r="CW87" s="232"/>
      <c r="CX87" s="232"/>
      <c r="CY87" s="232"/>
      <c r="CZ87" s="232"/>
      <c r="DA87" s="25"/>
      <c r="DB87" s="232"/>
      <c r="DC87" s="232"/>
      <c r="DD87" s="232"/>
      <c r="DE87" s="25"/>
      <c r="DF87" s="232"/>
      <c r="DG87" s="25"/>
      <c r="DH87" s="232"/>
      <c r="DI87" s="232"/>
      <c r="DJ87" s="26"/>
      <c r="DK87" s="26"/>
      <c r="DL87" s="26"/>
      <c r="DM87" s="26"/>
      <c r="DN87" s="25"/>
      <c r="DO87" s="25"/>
      <c r="DP87" s="232"/>
      <c r="DQ87" s="25"/>
      <c r="DR87" s="232"/>
      <c r="DS87" s="232"/>
      <c r="DT87" s="25"/>
      <c r="DU87" s="232"/>
      <c r="DV87" s="232"/>
      <c r="DW87" s="232"/>
      <c r="DX87" s="232"/>
      <c r="DY87" s="232"/>
      <c r="DZ87" s="232"/>
      <c r="EA87" s="232"/>
      <c r="EB87" s="232"/>
      <c r="EC87" s="232"/>
      <c r="ED87" s="232"/>
      <c r="EE87" s="232"/>
      <c r="EF87" s="232"/>
      <c r="EG87" s="232"/>
      <c r="EH87" s="26"/>
      <c r="EI87" s="26"/>
      <c r="EJ87" s="26"/>
      <c r="EK87" s="50"/>
      <c r="EL87" s="25"/>
      <c r="EM87" s="232"/>
      <c r="EN87" s="232"/>
      <c r="EO87" s="232"/>
      <c r="EP87" s="232"/>
      <c r="EQ87" s="25"/>
      <c r="ES87" s="25"/>
      <c r="FB87" s="20"/>
      <c r="FC87" s="26"/>
      <c r="FD87" s="26"/>
      <c r="FE87" s="26"/>
      <c r="FF87" s="25"/>
      <c r="FG87" s="25"/>
      <c r="FH87" s="232"/>
      <c r="FI87" s="232"/>
      <c r="FJ87" s="232"/>
      <c r="FK87" s="232"/>
      <c r="FL87" s="232"/>
      <c r="FM87" s="232"/>
      <c r="FN87" s="25"/>
      <c r="FO87" s="232"/>
      <c r="FP87" s="232"/>
    </row>
    <row r="88" spans="1:182" ht="12.75" customHeight="1" x14ac:dyDescent="0.2">
      <c r="A88" s="25"/>
      <c r="B88" s="25"/>
      <c r="C88" s="25"/>
      <c r="D88" s="232"/>
      <c r="E88" s="231"/>
      <c r="F88" s="232"/>
      <c r="G88" s="25"/>
      <c r="H88" s="25"/>
      <c r="I88" s="234"/>
      <c r="J88" s="25"/>
      <c r="K88" s="25"/>
      <c r="L88" s="25"/>
      <c r="M88" s="25"/>
      <c r="N88" s="25"/>
      <c r="O88" s="25"/>
      <c r="P88" s="25"/>
      <c r="Q88" s="25"/>
      <c r="R88" s="25"/>
      <c r="S88" s="50"/>
      <c r="T88" s="232"/>
      <c r="U88" s="232"/>
      <c r="V88" s="25"/>
      <c r="W88" s="232"/>
      <c r="X88" s="232"/>
      <c r="Y88" s="25"/>
      <c r="Z88" s="25"/>
      <c r="AA88" s="25"/>
      <c r="AB88" s="232"/>
      <c r="AC88" s="232"/>
      <c r="AD88" s="232"/>
      <c r="AE88" s="25"/>
      <c r="AF88" s="232"/>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50"/>
      <c r="BG88" s="50"/>
      <c r="BH88" s="25"/>
      <c r="BI88" s="50"/>
      <c r="BJ88" s="50"/>
      <c r="BK88" s="50"/>
      <c r="BL88" s="232"/>
      <c r="BM88" s="50"/>
      <c r="BN88" s="232"/>
      <c r="BO88" s="50"/>
      <c r="BP88" s="232"/>
      <c r="BQ88" s="232"/>
      <c r="BR88" s="232"/>
      <c r="BS88" s="232"/>
      <c r="BT88" s="232"/>
      <c r="BU88" s="232"/>
      <c r="BV88" s="232"/>
      <c r="BW88" s="232"/>
      <c r="BX88" s="232"/>
      <c r="BY88" s="232"/>
      <c r="BZ88" s="232"/>
      <c r="CA88" s="50"/>
      <c r="CB88" s="232"/>
      <c r="CC88" s="232"/>
      <c r="CE88" s="25"/>
      <c r="CF88" s="232"/>
      <c r="CG88" s="25"/>
      <c r="CH88" s="25"/>
      <c r="CI88" s="25"/>
      <c r="CJ88" s="25"/>
      <c r="CK88" s="25"/>
      <c r="CL88" s="232"/>
      <c r="CM88" s="25"/>
      <c r="CN88" s="232"/>
      <c r="CO88" s="25"/>
      <c r="CP88" s="232"/>
      <c r="CQ88" s="232"/>
      <c r="CR88" s="232"/>
      <c r="CS88" s="232"/>
      <c r="CT88" s="232"/>
      <c r="CU88" s="232"/>
      <c r="CV88" s="232"/>
      <c r="CW88" s="232"/>
      <c r="CX88" s="232"/>
      <c r="CY88" s="232"/>
      <c r="CZ88" s="232"/>
      <c r="DA88" s="25"/>
      <c r="DB88" s="232"/>
      <c r="DC88" s="232"/>
      <c r="DD88" s="232"/>
      <c r="DE88" s="25"/>
      <c r="DF88" s="232"/>
      <c r="DG88" s="25"/>
      <c r="DH88" s="232"/>
      <c r="DI88" s="232"/>
      <c r="DJ88" s="26"/>
      <c r="DK88" s="26"/>
      <c r="DL88" s="26"/>
      <c r="DM88" s="26"/>
      <c r="DN88" s="25"/>
      <c r="DO88" s="25"/>
      <c r="DP88" s="232"/>
      <c r="DQ88" s="25"/>
      <c r="DR88" s="232"/>
      <c r="DS88" s="232"/>
      <c r="DT88" s="25"/>
      <c r="DU88" s="232"/>
      <c r="DV88" s="232"/>
      <c r="DW88" s="232"/>
      <c r="DX88" s="232"/>
      <c r="DY88" s="232"/>
      <c r="DZ88" s="232"/>
      <c r="EA88" s="232"/>
      <c r="EB88" s="232"/>
      <c r="EC88" s="232"/>
      <c r="ED88" s="232"/>
      <c r="EE88" s="232"/>
      <c r="EF88" s="232"/>
      <c r="EG88" s="232"/>
      <c r="EH88" s="26"/>
      <c r="EI88" s="26"/>
      <c r="EJ88" s="26"/>
      <c r="EK88" s="50"/>
      <c r="EL88" s="25"/>
      <c r="EM88" s="232"/>
      <c r="EN88" s="232"/>
      <c r="EO88" s="232"/>
      <c r="EP88" s="232"/>
      <c r="EQ88" s="25"/>
      <c r="ES88" s="25"/>
      <c r="FB88" s="20"/>
      <c r="FC88" s="26"/>
      <c r="FD88" s="26"/>
      <c r="FE88" s="26"/>
      <c r="FF88" s="25"/>
      <c r="FG88" s="25"/>
      <c r="FH88" s="232"/>
      <c r="FI88" s="232"/>
      <c r="FJ88" s="232"/>
      <c r="FK88" s="232"/>
      <c r="FL88" s="232"/>
      <c r="FM88" s="232"/>
      <c r="FN88" s="25"/>
      <c r="FO88" s="232"/>
      <c r="FP88" s="232"/>
    </row>
    <row r="89" spans="1:182" ht="12.75" customHeight="1" x14ac:dyDescent="0.2">
      <c r="A89" s="25"/>
      <c r="B89" s="25"/>
      <c r="C89" s="25"/>
      <c r="D89" s="232"/>
      <c r="E89" s="231"/>
      <c r="F89" s="232"/>
      <c r="G89" s="25"/>
      <c r="H89" s="25"/>
      <c r="I89" s="234"/>
      <c r="J89" s="25"/>
      <c r="K89" s="25"/>
      <c r="L89" s="25"/>
      <c r="M89" s="25"/>
      <c r="N89" s="25"/>
      <c r="O89" s="25"/>
      <c r="P89" s="25"/>
      <c r="Q89" s="25"/>
      <c r="R89" s="25"/>
      <c r="S89" s="50"/>
      <c r="T89" s="232"/>
      <c r="U89" s="232"/>
      <c r="V89" s="25"/>
      <c r="W89" s="232"/>
      <c r="X89" s="232"/>
      <c r="Y89" s="25"/>
      <c r="Z89" s="25"/>
      <c r="AA89" s="25"/>
      <c r="AB89" s="232"/>
      <c r="AC89" s="232"/>
      <c r="AD89" s="232"/>
      <c r="AE89" s="25"/>
      <c r="AF89" s="232"/>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50"/>
      <c r="BG89" s="50"/>
      <c r="BH89" s="25"/>
      <c r="BI89" s="50"/>
      <c r="BJ89" s="50"/>
      <c r="BK89" s="50"/>
      <c r="BL89" s="232"/>
      <c r="BM89" s="50"/>
      <c r="BN89" s="232"/>
      <c r="BO89" s="50"/>
      <c r="BP89" s="232"/>
      <c r="BQ89" s="232"/>
      <c r="BR89" s="232"/>
      <c r="BS89" s="232"/>
      <c r="BT89" s="232"/>
      <c r="BU89" s="232"/>
      <c r="BV89" s="232"/>
      <c r="BW89" s="232"/>
      <c r="BX89" s="232"/>
      <c r="BY89" s="232"/>
      <c r="BZ89" s="232"/>
      <c r="CA89" s="50"/>
      <c r="CB89" s="232"/>
      <c r="CC89" s="232"/>
      <c r="CE89" s="25"/>
      <c r="CF89" s="232"/>
      <c r="CG89" s="25"/>
      <c r="CH89" s="25"/>
      <c r="CI89" s="25"/>
      <c r="CJ89" s="25"/>
      <c r="CK89" s="25"/>
      <c r="CL89" s="232"/>
      <c r="CM89" s="25"/>
      <c r="CN89" s="232"/>
      <c r="CO89" s="25"/>
      <c r="CP89" s="232"/>
      <c r="CQ89" s="232"/>
      <c r="CR89" s="232"/>
      <c r="CS89" s="232"/>
      <c r="CT89" s="232"/>
      <c r="CU89" s="232"/>
      <c r="CV89" s="232"/>
      <c r="CW89" s="232"/>
      <c r="CX89" s="232"/>
      <c r="CY89" s="232"/>
      <c r="CZ89" s="232"/>
      <c r="DA89" s="25"/>
      <c r="DB89" s="232"/>
      <c r="DC89" s="232"/>
      <c r="DD89" s="232"/>
      <c r="DE89" s="25"/>
      <c r="DF89" s="232"/>
      <c r="DG89" s="25"/>
      <c r="DH89" s="232"/>
      <c r="DI89" s="232"/>
      <c r="DJ89" s="26"/>
      <c r="DK89" s="26"/>
      <c r="DL89" s="26"/>
      <c r="DM89" s="26"/>
      <c r="DN89" s="25"/>
      <c r="DO89" s="25"/>
      <c r="DP89" s="232"/>
      <c r="DQ89" s="25"/>
      <c r="DR89" s="232"/>
      <c r="DS89" s="232"/>
      <c r="DT89" s="25"/>
      <c r="DU89" s="232"/>
      <c r="DV89" s="232"/>
      <c r="DW89" s="232"/>
      <c r="DX89" s="232"/>
      <c r="DY89" s="232"/>
      <c r="DZ89" s="232"/>
      <c r="EA89" s="232"/>
      <c r="EB89" s="232"/>
      <c r="EC89" s="232"/>
      <c r="ED89" s="232"/>
      <c r="EE89" s="232"/>
      <c r="EF89" s="232"/>
      <c r="EG89" s="232"/>
      <c r="EH89" s="26"/>
      <c r="EI89" s="26"/>
      <c r="EJ89" s="26"/>
      <c r="EK89" s="50"/>
      <c r="EL89" s="25"/>
      <c r="EM89" s="232"/>
      <c r="EN89" s="232"/>
      <c r="EO89" s="232"/>
      <c r="EP89" s="232"/>
      <c r="EQ89" s="25"/>
      <c r="ES89" s="25"/>
      <c r="FB89" s="20"/>
      <c r="FC89" s="26"/>
      <c r="FD89" s="26"/>
      <c r="FE89" s="26"/>
      <c r="FF89" s="25"/>
      <c r="FG89" s="25"/>
      <c r="FH89" s="232"/>
      <c r="FI89" s="232"/>
      <c r="FJ89" s="232"/>
      <c r="FK89" s="232"/>
      <c r="FL89" s="232"/>
      <c r="FM89" s="232"/>
      <c r="FN89" s="25"/>
      <c r="FO89" s="232"/>
      <c r="FP89" s="232"/>
    </row>
    <row r="90" spans="1:182" ht="12.75" customHeight="1" x14ac:dyDescent="0.2">
      <c r="A90" s="25"/>
      <c r="B90" s="25"/>
      <c r="C90" s="25"/>
      <c r="D90" s="232"/>
      <c r="E90" s="231"/>
      <c r="F90" s="232"/>
      <c r="G90" s="25"/>
      <c r="H90" s="25"/>
      <c r="I90" s="234"/>
      <c r="J90" s="25"/>
      <c r="K90" s="25"/>
      <c r="L90" s="25"/>
      <c r="M90" s="25"/>
      <c r="N90" s="25"/>
      <c r="O90" s="25"/>
      <c r="P90" s="25"/>
      <c r="Q90" s="25"/>
      <c r="R90" s="25"/>
      <c r="S90" s="50"/>
      <c r="T90" s="232"/>
      <c r="U90" s="232"/>
      <c r="V90" s="25"/>
      <c r="W90" s="232"/>
      <c r="X90" s="232"/>
      <c r="Y90" s="25"/>
      <c r="Z90" s="25"/>
      <c r="AA90" s="25"/>
      <c r="AB90" s="232"/>
      <c r="AC90" s="232"/>
      <c r="AD90" s="232"/>
      <c r="AE90" s="25"/>
      <c r="AF90" s="232"/>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50"/>
      <c r="BG90" s="50"/>
      <c r="BH90" s="25"/>
      <c r="BI90" s="50"/>
      <c r="BJ90" s="50"/>
      <c r="BK90" s="50"/>
      <c r="BL90" s="232"/>
      <c r="BM90" s="50"/>
      <c r="BN90" s="232"/>
      <c r="BO90" s="50"/>
      <c r="BP90" s="232"/>
      <c r="BQ90" s="232"/>
      <c r="BR90" s="232"/>
      <c r="BS90" s="232"/>
      <c r="BT90" s="232"/>
      <c r="BU90" s="232"/>
      <c r="BV90" s="232"/>
      <c r="BW90" s="232"/>
      <c r="BX90" s="232"/>
      <c r="BY90" s="232"/>
      <c r="BZ90" s="232"/>
      <c r="CA90" s="50"/>
      <c r="CB90" s="232"/>
      <c r="CC90" s="232"/>
      <c r="CE90" s="25"/>
      <c r="CF90" s="232"/>
      <c r="CG90" s="25"/>
      <c r="CH90" s="25"/>
      <c r="CI90" s="25"/>
      <c r="CJ90" s="25"/>
      <c r="CK90" s="25"/>
      <c r="CL90" s="232"/>
      <c r="CM90" s="25"/>
      <c r="CN90" s="232"/>
      <c r="CO90" s="25"/>
      <c r="CP90" s="232"/>
      <c r="CQ90" s="232"/>
      <c r="CR90" s="232"/>
      <c r="CS90" s="232"/>
      <c r="CT90" s="232"/>
      <c r="CU90" s="232"/>
      <c r="CV90" s="232"/>
      <c r="CW90" s="232"/>
      <c r="CX90" s="232"/>
      <c r="CY90" s="232"/>
      <c r="CZ90" s="232"/>
      <c r="DA90" s="25"/>
      <c r="DB90" s="232"/>
      <c r="DC90" s="232"/>
      <c r="DD90" s="232"/>
      <c r="DE90" s="25"/>
      <c r="DF90" s="232"/>
      <c r="DG90" s="25"/>
      <c r="DH90" s="232"/>
      <c r="DI90" s="232"/>
      <c r="DJ90" s="26"/>
      <c r="DK90" s="26"/>
      <c r="DL90" s="26"/>
      <c r="DM90" s="26"/>
      <c r="DN90" s="25"/>
      <c r="DO90" s="25"/>
      <c r="DP90" s="232"/>
      <c r="DQ90" s="25"/>
      <c r="DR90" s="232"/>
      <c r="DS90" s="232"/>
      <c r="DT90" s="25"/>
      <c r="DU90" s="232"/>
      <c r="DV90" s="232"/>
      <c r="DW90" s="232"/>
      <c r="DX90" s="232"/>
      <c r="DY90" s="232"/>
      <c r="DZ90" s="232"/>
      <c r="EA90" s="232"/>
      <c r="EB90" s="232"/>
      <c r="EC90" s="232"/>
      <c r="ED90" s="232"/>
      <c r="EE90" s="232"/>
      <c r="EF90" s="232"/>
      <c r="EG90" s="232"/>
      <c r="EH90" s="26"/>
      <c r="EI90" s="26"/>
      <c r="EJ90" s="26"/>
      <c r="EK90" s="50"/>
      <c r="EL90" s="25"/>
      <c r="EM90" s="232"/>
      <c r="EN90" s="232"/>
      <c r="EO90" s="232"/>
      <c r="EP90" s="232"/>
      <c r="EQ90" s="25"/>
      <c r="ES90" s="25"/>
      <c r="FB90" s="20"/>
      <c r="FC90" s="26"/>
      <c r="FD90" s="26"/>
      <c r="FE90" s="26"/>
      <c r="FF90" s="25"/>
      <c r="FG90" s="25"/>
      <c r="FH90" s="232"/>
      <c r="FI90" s="232"/>
      <c r="FJ90" s="232"/>
      <c r="FK90" s="232"/>
      <c r="FL90" s="232"/>
      <c r="FM90" s="232"/>
      <c r="FN90" s="25"/>
      <c r="FO90" s="232"/>
      <c r="FP90" s="232"/>
    </row>
    <row r="91" spans="1:182" ht="12.75" customHeight="1" x14ac:dyDescent="0.2">
      <c r="A91" s="25"/>
      <c r="B91" s="25"/>
      <c r="C91" s="25"/>
      <c r="D91" s="232"/>
      <c r="E91" s="231"/>
      <c r="F91" s="232"/>
      <c r="G91" s="25"/>
      <c r="H91" s="25"/>
      <c r="I91" s="234"/>
      <c r="J91" s="25"/>
      <c r="K91" s="25"/>
      <c r="L91" s="25"/>
      <c r="M91" s="25"/>
      <c r="N91" s="25"/>
      <c r="O91" s="25"/>
      <c r="P91" s="25"/>
      <c r="Q91" s="25"/>
      <c r="R91" s="25"/>
      <c r="S91" s="50"/>
      <c r="T91" s="232"/>
      <c r="U91" s="232"/>
      <c r="V91" s="25"/>
      <c r="W91" s="232"/>
      <c r="X91" s="232"/>
      <c r="Y91" s="25"/>
      <c r="Z91" s="25"/>
      <c r="AA91" s="25"/>
      <c r="AB91" s="232"/>
      <c r="AC91" s="232"/>
      <c r="AD91" s="232"/>
      <c r="AE91" s="25"/>
      <c r="AF91" s="232"/>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50"/>
      <c r="BG91" s="50"/>
      <c r="BH91" s="25"/>
      <c r="BI91" s="50"/>
      <c r="BJ91" s="50"/>
      <c r="BK91" s="50"/>
      <c r="BL91" s="232"/>
      <c r="BM91" s="50"/>
      <c r="BN91" s="232"/>
      <c r="BO91" s="50"/>
      <c r="BP91" s="232"/>
      <c r="BQ91" s="232"/>
      <c r="BR91" s="232"/>
      <c r="BS91" s="232"/>
      <c r="BT91" s="232"/>
      <c r="BU91" s="232"/>
      <c r="BV91" s="232"/>
      <c r="BW91" s="232"/>
      <c r="BX91" s="232"/>
      <c r="BY91" s="232"/>
      <c r="BZ91" s="232"/>
      <c r="CA91" s="50"/>
      <c r="CB91" s="232"/>
      <c r="CC91" s="232"/>
      <c r="CE91" s="25"/>
      <c r="CF91" s="232"/>
      <c r="CG91" s="25"/>
      <c r="CH91" s="25"/>
      <c r="CI91" s="25"/>
      <c r="CJ91" s="25"/>
      <c r="CK91" s="25"/>
      <c r="CL91" s="232"/>
      <c r="CM91" s="25"/>
      <c r="CN91" s="232"/>
      <c r="CO91" s="25"/>
      <c r="CP91" s="232"/>
      <c r="CQ91" s="232"/>
      <c r="CR91" s="232"/>
      <c r="CS91" s="232"/>
      <c r="CT91" s="232"/>
      <c r="CU91" s="232"/>
      <c r="CV91" s="232"/>
      <c r="CW91" s="232"/>
      <c r="CX91" s="232"/>
      <c r="CY91" s="232"/>
      <c r="CZ91" s="232"/>
      <c r="DA91" s="25"/>
      <c r="DB91" s="232"/>
      <c r="DC91" s="232"/>
      <c r="DD91" s="232"/>
      <c r="DE91" s="25"/>
      <c r="DF91" s="232"/>
      <c r="DG91" s="25"/>
      <c r="DH91" s="232"/>
      <c r="DI91" s="232"/>
      <c r="DJ91" s="26"/>
      <c r="DK91" s="26"/>
      <c r="DL91" s="26"/>
      <c r="DM91" s="26"/>
      <c r="DN91" s="25"/>
      <c r="DO91" s="25"/>
      <c r="DP91" s="232"/>
      <c r="DQ91" s="25"/>
      <c r="DR91" s="232"/>
      <c r="DS91" s="232"/>
      <c r="DT91" s="25"/>
      <c r="DU91" s="232"/>
      <c r="DV91" s="232"/>
      <c r="DW91" s="232"/>
      <c r="DX91" s="232"/>
      <c r="DY91" s="232"/>
      <c r="DZ91" s="232"/>
      <c r="EA91" s="232"/>
      <c r="EB91" s="232"/>
      <c r="EC91" s="232"/>
      <c r="ED91" s="232"/>
      <c r="EE91" s="232"/>
      <c r="EF91" s="232"/>
      <c r="EG91" s="232"/>
      <c r="EH91" s="26"/>
      <c r="EI91" s="26"/>
      <c r="EJ91" s="26"/>
      <c r="EK91" s="50"/>
      <c r="EL91" s="25"/>
      <c r="EM91" s="232"/>
      <c r="EN91" s="232"/>
      <c r="EO91" s="232"/>
      <c r="EP91" s="232"/>
      <c r="EQ91" s="25"/>
      <c r="ES91" s="25"/>
      <c r="FB91" s="20"/>
      <c r="FC91" s="26"/>
      <c r="FD91" s="26"/>
      <c r="FE91" s="26"/>
      <c r="FF91" s="25"/>
      <c r="FG91" s="25"/>
      <c r="FH91" s="232"/>
      <c r="FI91" s="232"/>
      <c r="FJ91" s="232"/>
      <c r="FK91" s="232"/>
      <c r="FL91" s="232"/>
      <c r="FM91" s="232"/>
      <c r="FN91" s="25"/>
      <c r="FO91" s="232"/>
      <c r="FP91" s="232"/>
    </row>
    <row r="92" spans="1:182" ht="12.75" customHeight="1" x14ac:dyDescent="0.2">
      <c r="A92" s="25"/>
      <c r="B92" s="25"/>
      <c r="C92" s="25"/>
      <c r="D92" s="232"/>
      <c r="E92" s="231"/>
      <c r="F92" s="232"/>
      <c r="G92" s="25"/>
      <c r="H92" s="25"/>
      <c r="I92" s="234"/>
      <c r="J92" s="25"/>
      <c r="K92" s="25"/>
      <c r="L92" s="25"/>
      <c r="M92" s="25"/>
      <c r="N92" s="25"/>
      <c r="O92" s="25"/>
      <c r="P92" s="25"/>
      <c r="Q92" s="25"/>
      <c r="R92" s="25"/>
      <c r="S92" s="50"/>
      <c r="T92" s="232"/>
      <c r="U92" s="232"/>
      <c r="V92" s="25"/>
      <c r="W92" s="232"/>
      <c r="X92" s="232"/>
      <c r="Y92" s="25"/>
      <c r="Z92" s="25"/>
      <c r="AA92" s="25"/>
      <c r="AB92" s="232"/>
      <c r="AC92" s="232"/>
      <c r="AD92" s="232"/>
      <c r="AE92" s="25"/>
      <c r="AF92" s="232"/>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50"/>
      <c r="BG92" s="50"/>
      <c r="BH92" s="25"/>
      <c r="BI92" s="50"/>
      <c r="BJ92" s="50"/>
      <c r="BK92" s="50"/>
      <c r="BL92" s="232"/>
      <c r="BM92" s="50"/>
      <c r="BN92" s="232"/>
      <c r="BO92" s="50"/>
      <c r="BP92" s="232"/>
      <c r="BQ92" s="232"/>
      <c r="BR92" s="232"/>
      <c r="BS92" s="232"/>
      <c r="BT92" s="232"/>
      <c r="BU92" s="232"/>
      <c r="BV92" s="232"/>
      <c r="BW92" s="232"/>
      <c r="BX92" s="232"/>
      <c r="BY92" s="232"/>
      <c r="BZ92" s="232"/>
      <c r="CA92" s="50"/>
      <c r="CB92" s="232"/>
      <c r="CC92" s="232"/>
      <c r="CE92" s="25"/>
      <c r="CF92" s="232"/>
      <c r="CG92" s="25"/>
      <c r="CH92" s="25"/>
      <c r="CI92" s="25"/>
      <c r="CJ92" s="25"/>
      <c r="CK92" s="25"/>
      <c r="CL92" s="232"/>
      <c r="CM92" s="25"/>
      <c r="CN92" s="232"/>
      <c r="CO92" s="25"/>
      <c r="CP92" s="232"/>
      <c r="CQ92" s="232"/>
      <c r="CR92" s="232"/>
      <c r="CS92" s="232"/>
      <c r="CT92" s="232"/>
      <c r="CU92" s="232"/>
      <c r="CV92" s="232"/>
      <c r="CW92" s="232"/>
      <c r="CX92" s="232"/>
      <c r="CY92" s="232"/>
      <c r="CZ92" s="232"/>
      <c r="DA92" s="25"/>
      <c r="DB92" s="232"/>
      <c r="DC92" s="232"/>
      <c r="DD92" s="232"/>
      <c r="DE92" s="25"/>
      <c r="DF92" s="232"/>
      <c r="DG92" s="25"/>
      <c r="DH92" s="232"/>
      <c r="DI92" s="232"/>
      <c r="DJ92" s="26"/>
      <c r="DK92" s="26"/>
      <c r="DL92" s="26"/>
      <c r="DM92" s="26"/>
      <c r="DN92" s="25"/>
      <c r="DO92" s="25"/>
      <c r="DP92" s="232"/>
      <c r="DQ92" s="25"/>
      <c r="DR92" s="232"/>
      <c r="DS92" s="232"/>
      <c r="DT92" s="25"/>
      <c r="DU92" s="232"/>
      <c r="DV92" s="232"/>
      <c r="DW92" s="232"/>
      <c r="DX92" s="232"/>
      <c r="DY92" s="232"/>
      <c r="DZ92" s="232"/>
      <c r="EA92" s="232"/>
      <c r="EB92" s="232"/>
      <c r="EC92" s="232"/>
      <c r="ED92" s="232"/>
      <c r="EE92" s="232"/>
      <c r="EF92" s="232"/>
      <c r="EG92" s="232"/>
      <c r="EH92" s="26"/>
      <c r="EI92" s="26"/>
      <c r="EJ92" s="26"/>
      <c r="EK92" s="50"/>
      <c r="EL92" s="25"/>
      <c r="EM92" s="232"/>
      <c r="EN92" s="232"/>
      <c r="EO92" s="232"/>
      <c r="EP92" s="232"/>
      <c r="EQ92" s="25"/>
      <c r="ES92" s="25"/>
      <c r="FB92" s="20"/>
      <c r="FC92" s="26"/>
      <c r="FD92" s="26"/>
      <c r="FE92" s="26"/>
      <c r="FF92" s="25"/>
      <c r="FG92" s="25"/>
      <c r="FH92" s="232"/>
      <c r="FI92" s="232"/>
      <c r="FJ92" s="232"/>
      <c r="FK92" s="232"/>
      <c r="FL92" s="232"/>
      <c r="FM92" s="232"/>
      <c r="FN92" s="25"/>
      <c r="FO92" s="232"/>
      <c r="FP92" s="232"/>
    </row>
    <row r="93" spans="1:182" ht="12.75" customHeight="1" x14ac:dyDescent="0.2">
      <c r="A93" s="25"/>
      <c r="B93" s="25"/>
      <c r="C93" s="25"/>
      <c r="D93" s="232"/>
      <c r="E93" s="231"/>
      <c r="F93" s="232"/>
      <c r="G93" s="25"/>
      <c r="H93" s="25"/>
      <c r="I93" s="234"/>
      <c r="J93" s="25"/>
      <c r="K93" s="25"/>
      <c r="L93" s="25"/>
      <c r="M93" s="25"/>
      <c r="N93" s="25"/>
      <c r="O93" s="25"/>
      <c r="P93" s="25"/>
      <c r="Q93" s="25"/>
      <c r="R93" s="25"/>
      <c r="S93" s="50"/>
      <c r="T93" s="232"/>
      <c r="U93" s="232"/>
      <c r="V93" s="25"/>
      <c r="W93" s="232"/>
      <c r="X93" s="232"/>
      <c r="Y93" s="25"/>
      <c r="Z93" s="25"/>
      <c r="AA93" s="25"/>
      <c r="AB93" s="232"/>
      <c r="AC93" s="232"/>
      <c r="AD93" s="232"/>
      <c r="AE93" s="25"/>
      <c r="AF93" s="232"/>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2"/>
      <c r="BE93" s="25"/>
      <c r="BF93" s="50"/>
      <c r="BG93" s="50"/>
      <c r="BH93" s="25"/>
      <c r="BI93" s="50"/>
      <c r="BJ93" s="50"/>
      <c r="BK93" s="50"/>
      <c r="BL93" s="232"/>
      <c r="BM93" s="50"/>
      <c r="BN93" s="232"/>
      <c r="BO93" s="50"/>
      <c r="BP93" s="232"/>
      <c r="BQ93" s="232"/>
      <c r="BR93" s="232"/>
      <c r="BS93" s="232"/>
      <c r="BT93" s="232"/>
      <c r="BU93" s="232"/>
      <c r="BV93" s="232"/>
      <c r="BW93" s="232"/>
      <c r="BX93" s="232"/>
      <c r="BY93" s="232"/>
      <c r="BZ93" s="232"/>
      <c r="CA93" s="50"/>
      <c r="CB93" s="232"/>
      <c r="CC93" s="232"/>
      <c r="CE93" s="25"/>
      <c r="CF93" s="232"/>
      <c r="CG93" s="25"/>
      <c r="CH93" s="25"/>
      <c r="CI93" s="25"/>
      <c r="CJ93" s="25"/>
      <c r="CK93" s="25"/>
      <c r="CL93" s="232"/>
      <c r="CM93" s="25"/>
      <c r="CN93" s="232"/>
      <c r="CO93" s="25"/>
      <c r="CP93" s="232"/>
      <c r="CQ93" s="232"/>
      <c r="CR93" s="232"/>
      <c r="CS93" s="232"/>
      <c r="CT93" s="232"/>
      <c r="CU93" s="232"/>
      <c r="CV93" s="232"/>
      <c r="CW93" s="232"/>
      <c r="CX93" s="232"/>
      <c r="CY93" s="232"/>
      <c r="CZ93" s="232"/>
      <c r="DA93" s="25"/>
      <c r="DB93" s="232"/>
      <c r="DC93" s="232"/>
      <c r="DD93" s="232"/>
      <c r="DE93" s="25"/>
      <c r="DF93" s="232"/>
      <c r="DG93" s="25"/>
      <c r="DH93" s="232"/>
      <c r="DI93" s="232"/>
      <c r="DJ93" s="26"/>
      <c r="DK93" s="26"/>
      <c r="DL93" s="26"/>
      <c r="DM93" s="26"/>
      <c r="DN93" s="25"/>
      <c r="DO93" s="25"/>
      <c r="DP93" s="232"/>
      <c r="DQ93" s="25"/>
      <c r="DR93" s="232"/>
      <c r="DS93" s="232"/>
      <c r="DT93" s="25"/>
      <c r="DU93" s="232"/>
      <c r="DV93" s="232"/>
      <c r="DW93" s="232"/>
      <c r="DX93" s="232"/>
      <c r="DY93" s="232"/>
      <c r="DZ93" s="232"/>
      <c r="EA93" s="232"/>
      <c r="EB93" s="232"/>
      <c r="EC93" s="232"/>
      <c r="ED93" s="232"/>
      <c r="EE93" s="232"/>
      <c r="EF93" s="232"/>
      <c r="EG93" s="232"/>
      <c r="EH93" s="26"/>
      <c r="EI93" s="26"/>
      <c r="EJ93" s="26"/>
      <c r="EK93" s="50"/>
      <c r="EL93" s="25"/>
      <c r="EM93" s="232"/>
      <c r="EN93" s="232"/>
      <c r="EO93" s="232"/>
      <c r="EP93" s="232"/>
      <c r="EQ93" s="25"/>
      <c r="ES93" s="25"/>
      <c r="FB93" s="20"/>
      <c r="FC93" s="26"/>
      <c r="FD93" s="26"/>
      <c r="FE93" s="26"/>
      <c r="FF93" s="25"/>
      <c r="FG93" s="25"/>
      <c r="FH93" s="232"/>
      <c r="FI93" s="232"/>
      <c r="FJ93" s="232"/>
      <c r="FK93" s="232"/>
      <c r="FL93" s="232"/>
      <c r="FM93" s="232"/>
      <c r="FN93" s="25"/>
      <c r="FO93" s="232"/>
      <c r="FP93" s="232"/>
    </row>
    <row r="94" spans="1:182" ht="12.75" customHeight="1" x14ac:dyDescent="0.2">
      <c r="A94" s="25"/>
      <c r="B94" s="25"/>
      <c r="C94" s="25"/>
      <c r="D94" s="232"/>
      <c r="E94" s="231"/>
      <c r="F94" s="232"/>
      <c r="G94" s="25"/>
      <c r="H94" s="25"/>
      <c r="I94" s="234"/>
      <c r="J94" s="25"/>
      <c r="K94" s="25"/>
      <c r="L94" s="25"/>
      <c r="M94" s="25"/>
      <c r="N94" s="25"/>
      <c r="O94" s="25"/>
      <c r="P94" s="25"/>
      <c r="Q94" s="25"/>
      <c r="R94" s="25"/>
      <c r="S94" s="50"/>
      <c r="T94" s="232"/>
      <c r="U94" s="232"/>
      <c r="V94" s="25"/>
      <c r="W94" s="232"/>
      <c r="X94" s="232"/>
      <c r="Y94" s="25"/>
      <c r="Z94" s="25"/>
      <c r="AA94" s="25"/>
      <c r="AB94" s="232"/>
      <c r="AC94" s="232"/>
      <c r="AD94" s="232"/>
      <c r="AE94" s="25"/>
      <c r="AF94" s="232"/>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E94" s="25"/>
      <c r="BF94" s="50"/>
      <c r="BG94" s="50"/>
      <c r="BH94" s="25"/>
      <c r="BI94" s="50"/>
      <c r="BJ94" s="50"/>
      <c r="BK94" s="50"/>
      <c r="BL94" s="232"/>
      <c r="BM94" s="50"/>
      <c r="BN94" s="232"/>
      <c r="BO94" s="50"/>
      <c r="BP94" s="232"/>
      <c r="BQ94" s="232"/>
      <c r="BR94" s="232"/>
      <c r="BS94" s="232"/>
      <c r="BT94" s="232"/>
      <c r="BU94" s="232"/>
      <c r="BV94" s="232"/>
      <c r="BW94" s="232"/>
      <c r="BX94" s="232"/>
      <c r="BY94" s="232"/>
      <c r="BZ94" s="232"/>
      <c r="CA94" s="50"/>
      <c r="CB94" s="232"/>
      <c r="CC94" s="232"/>
      <c r="CE94" s="25"/>
      <c r="CF94" s="232"/>
      <c r="CG94" s="25"/>
      <c r="CH94" s="25"/>
      <c r="CI94" s="25"/>
      <c r="CJ94" s="25"/>
      <c r="CK94" s="25"/>
      <c r="CL94" s="232"/>
      <c r="CM94" s="25"/>
      <c r="CN94" s="232"/>
      <c r="CO94" s="25"/>
      <c r="CP94" s="232"/>
      <c r="CQ94" s="232"/>
      <c r="CR94" s="232"/>
      <c r="CS94" s="232"/>
      <c r="CT94" s="232"/>
      <c r="CU94" s="232"/>
      <c r="CV94" s="232"/>
      <c r="CW94" s="232"/>
      <c r="CX94" s="232"/>
      <c r="CY94" s="232"/>
      <c r="CZ94" s="232"/>
      <c r="DA94" s="25"/>
      <c r="DB94" s="232"/>
      <c r="DC94" s="232"/>
      <c r="DD94" s="232"/>
      <c r="DE94" s="25"/>
      <c r="DF94" s="232"/>
      <c r="DG94" s="25"/>
      <c r="DH94" s="232"/>
      <c r="DI94" s="232"/>
      <c r="DJ94" s="26"/>
      <c r="DK94" s="26"/>
      <c r="DL94" s="26"/>
      <c r="DM94" s="26"/>
      <c r="DN94" s="25"/>
      <c r="DO94" s="25"/>
      <c r="DP94" s="232"/>
      <c r="DQ94" s="25"/>
      <c r="DR94" s="232"/>
      <c r="DS94" s="232"/>
      <c r="DT94" s="25"/>
      <c r="DU94" s="232"/>
      <c r="DV94" s="232"/>
      <c r="DW94" s="232"/>
      <c r="DX94" s="232"/>
      <c r="DY94" s="232"/>
      <c r="DZ94" s="232"/>
      <c r="EA94" s="232"/>
      <c r="EB94" s="232"/>
      <c r="EC94" s="232"/>
      <c r="ED94" s="232"/>
      <c r="EE94" s="232"/>
      <c r="EF94" s="232"/>
      <c r="EG94" s="232"/>
      <c r="EH94" s="26"/>
      <c r="EI94" s="26"/>
      <c r="EJ94" s="26"/>
      <c r="EK94" s="50"/>
      <c r="EL94" s="25"/>
      <c r="EM94" s="232"/>
      <c r="EN94" s="232"/>
      <c r="EO94" s="232"/>
      <c r="EP94" s="232"/>
      <c r="EQ94" s="25"/>
      <c r="ES94" s="25"/>
      <c r="FB94" s="20"/>
      <c r="FC94" s="26"/>
      <c r="FD94" s="26"/>
      <c r="FE94" s="26"/>
      <c r="FF94" s="25"/>
      <c r="FG94" s="25"/>
      <c r="FH94" s="232"/>
      <c r="FI94" s="232"/>
      <c r="FJ94" s="232"/>
      <c r="FK94" s="232"/>
      <c r="FL94" s="232"/>
      <c r="FM94" s="232"/>
      <c r="FN94" s="25"/>
      <c r="FO94" s="232"/>
      <c r="FP94" s="232"/>
    </row>
    <row r="95" spans="1:182" ht="12.75" customHeight="1" x14ac:dyDescent="0.2">
      <c r="A95" s="25"/>
      <c r="B95" s="25"/>
      <c r="C95" s="25"/>
      <c r="D95" s="232"/>
      <c r="E95" s="231"/>
      <c r="F95" s="232"/>
      <c r="G95" s="25"/>
      <c r="H95" s="25"/>
      <c r="I95" s="234"/>
      <c r="J95" s="25"/>
      <c r="K95" s="25"/>
      <c r="L95" s="25"/>
      <c r="M95" s="25"/>
      <c r="N95" s="25"/>
      <c r="O95" s="25"/>
      <c r="P95" s="25"/>
      <c r="Q95" s="25"/>
      <c r="R95" s="25"/>
      <c r="S95" s="50"/>
      <c r="T95" s="232"/>
      <c r="U95" s="232"/>
      <c r="V95" s="25"/>
      <c r="W95" s="232"/>
      <c r="X95" s="232"/>
      <c r="Y95" s="25"/>
      <c r="Z95" s="25"/>
      <c r="AA95" s="25"/>
      <c r="AB95" s="232"/>
      <c r="AC95" s="232"/>
      <c r="AD95" s="232"/>
      <c r="AE95" s="25"/>
      <c r="AF95" s="232"/>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E95" s="25"/>
      <c r="BF95" s="50"/>
      <c r="BG95" s="50"/>
      <c r="BH95" s="25"/>
      <c r="BI95" s="50"/>
      <c r="BJ95" s="50"/>
      <c r="BK95" s="50"/>
      <c r="BL95" s="232"/>
      <c r="BM95" s="50"/>
      <c r="BN95" s="232"/>
      <c r="BO95" s="50"/>
      <c r="BP95" s="232"/>
      <c r="BQ95" s="232"/>
      <c r="BR95" s="232"/>
      <c r="BS95" s="232"/>
      <c r="BT95" s="232"/>
      <c r="BU95" s="232"/>
      <c r="BV95" s="232"/>
      <c r="BW95" s="232"/>
      <c r="BX95" s="232"/>
      <c r="BY95" s="232"/>
      <c r="BZ95" s="232"/>
      <c r="CA95" s="50"/>
      <c r="CB95" s="232"/>
      <c r="CC95" s="232"/>
      <c r="CE95" s="25"/>
      <c r="CF95" s="232"/>
      <c r="CG95" s="25"/>
      <c r="CH95" s="25"/>
      <c r="CI95" s="25"/>
      <c r="CJ95" s="25"/>
      <c r="CK95" s="25"/>
      <c r="CL95" s="232"/>
      <c r="CM95" s="25"/>
      <c r="CN95" s="232"/>
      <c r="CO95" s="25"/>
      <c r="CP95" s="232"/>
      <c r="CQ95" s="232"/>
      <c r="CR95" s="232"/>
      <c r="CS95" s="232"/>
      <c r="CT95" s="232"/>
      <c r="CU95" s="232"/>
      <c r="CV95" s="232"/>
      <c r="CW95" s="232"/>
      <c r="CX95" s="232"/>
      <c r="CY95" s="232"/>
      <c r="CZ95" s="232"/>
      <c r="DA95" s="25"/>
      <c r="DB95" s="232"/>
      <c r="DC95" s="232"/>
      <c r="DD95" s="232"/>
      <c r="DE95" s="25"/>
      <c r="DF95" s="232"/>
      <c r="DG95" s="25"/>
      <c r="DH95" s="232"/>
      <c r="DI95" s="232"/>
      <c r="DJ95" s="26"/>
      <c r="DK95" s="26"/>
      <c r="DL95" s="26"/>
      <c r="DM95" s="26"/>
      <c r="DN95" s="25"/>
      <c r="DO95" s="25"/>
      <c r="DP95" s="232"/>
      <c r="DQ95" s="25"/>
      <c r="DR95" s="232"/>
      <c r="DS95" s="232"/>
      <c r="DT95" s="25"/>
      <c r="DU95" s="232"/>
      <c r="DV95" s="232"/>
      <c r="DW95" s="232"/>
      <c r="DX95" s="232"/>
      <c r="DY95" s="232"/>
      <c r="DZ95" s="232"/>
      <c r="EA95" s="232"/>
      <c r="EB95" s="232"/>
      <c r="EC95" s="232"/>
      <c r="ED95" s="232"/>
      <c r="EE95" s="232"/>
      <c r="EF95" s="232"/>
      <c r="EG95" s="232"/>
      <c r="EH95" s="26"/>
      <c r="EI95" s="26"/>
      <c r="EJ95" s="26"/>
      <c r="EK95" s="50"/>
      <c r="EL95" s="25"/>
      <c r="EM95" s="232"/>
      <c r="EN95" s="232"/>
      <c r="EO95" s="232"/>
      <c r="EP95" s="232"/>
      <c r="EQ95" s="25"/>
      <c r="ES95" s="25"/>
      <c r="FB95" s="20"/>
      <c r="FC95" s="26"/>
      <c r="FD95" s="26"/>
      <c r="FE95" s="26"/>
      <c r="FF95" s="25"/>
      <c r="FG95" s="25"/>
      <c r="FH95" s="232"/>
      <c r="FI95" s="232"/>
      <c r="FJ95" s="232"/>
      <c r="FK95" s="232"/>
      <c r="FL95" s="232"/>
      <c r="FM95" s="232"/>
      <c r="FN95" s="25"/>
      <c r="FO95" s="232"/>
      <c r="FP95" s="232"/>
    </row>
    <row r="96" spans="1:182" ht="12.75" customHeight="1" x14ac:dyDescent="0.2">
      <c r="A96" s="25"/>
      <c r="B96" s="25"/>
      <c r="C96" s="25"/>
      <c r="D96" s="232"/>
      <c r="E96" s="231"/>
      <c r="F96" s="232"/>
      <c r="G96" s="25"/>
      <c r="H96" s="25"/>
      <c r="I96" s="234"/>
      <c r="J96" s="25"/>
      <c r="K96" s="25"/>
      <c r="L96" s="25"/>
      <c r="M96" s="25"/>
      <c r="N96" s="25"/>
      <c r="O96" s="25"/>
      <c r="P96" s="25"/>
      <c r="Q96" s="25"/>
      <c r="R96" s="25"/>
      <c r="S96" s="50"/>
      <c r="T96" s="232"/>
      <c r="U96" s="232"/>
      <c r="V96" s="25"/>
      <c r="W96" s="232"/>
      <c r="X96" s="232"/>
      <c r="Y96" s="25"/>
      <c r="Z96" s="25"/>
      <c r="AA96" s="25"/>
      <c r="AB96" s="232"/>
      <c r="AC96" s="232"/>
      <c r="AD96" s="232"/>
      <c r="AE96" s="25"/>
      <c r="AF96" s="232"/>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E96" s="25"/>
      <c r="BF96" s="50"/>
      <c r="BG96" s="50"/>
      <c r="BH96" s="25"/>
      <c r="BI96" s="50"/>
      <c r="BJ96" s="50"/>
      <c r="BK96" s="50"/>
      <c r="BL96" s="232"/>
      <c r="BM96" s="50"/>
      <c r="BN96" s="232"/>
      <c r="BO96" s="50"/>
      <c r="BP96" s="232"/>
      <c r="BQ96" s="232"/>
      <c r="BR96" s="232"/>
      <c r="BS96" s="232"/>
      <c r="BT96" s="232"/>
      <c r="BU96" s="232"/>
      <c r="BV96" s="232"/>
      <c r="BW96" s="232"/>
      <c r="BX96" s="232"/>
      <c r="BY96" s="232"/>
      <c r="BZ96" s="232"/>
      <c r="CA96" s="50"/>
      <c r="CB96" s="232"/>
      <c r="CC96" s="232"/>
      <c r="CE96" s="25"/>
      <c r="CF96" s="232"/>
      <c r="CG96" s="25"/>
      <c r="CH96" s="25"/>
      <c r="CI96" s="25"/>
      <c r="CJ96" s="25"/>
      <c r="CK96" s="25"/>
      <c r="CL96" s="232"/>
      <c r="CM96" s="25"/>
      <c r="CN96" s="232"/>
      <c r="CO96" s="25"/>
      <c r="CP96" s="232"/>
      <c r="CQ96" s="232"/>
      <c r="CR96" s="232"/>
      <c r="CS96" s="232"/>
      <c r="CT96" s="232"/>
      <c r="CU96" s="232"/>
      <c r="CV96" s="232"/>
      <c r="CW96" s="232"/>
      <c r="CX96" s="232"/>
      <c r="CY96" s="232"/>
      <c r="CZ96" s="232"/>
      <c r="DA96" s="25"/>
      <c r="DB96" s="232"/>
      <c r="DC96" s="232"/>
      <c r="DD96" s="232"/>
      <c r="DE96" s="25"/>
      <c r="DF96" s="232"/>
      <c r="DG96" s="25"/>
      <c r="DH96" s="232"/>
      <c r="DI96" s="232"/>
      <c r="DJ96" s="26"/>
      <c r="DK96" s="26"/>
      <c r="DL96" s="26"/>
      <c r="DM96" s="26"/>
      <c r="DN96" s="25"/>
      <c r="DO96" s="25"/>
      <c r="DP96" s="232"/>
      <c r="DQ96" s="25"/>
      <c r="DR96" s="232"/>
      <c r="DS96" s="232"/>
      <c r="DT96" s="25"/>
      <c r="DU96" s="232"/>
      <c r="DV96" s="232"/>
      <c r="DW96" s="232"/>
      <c r="DX96" s="232"/>
      <c r="DY96" s="232"/>
      <c r="DZ96" s="232"/>
      <c r="EA96" s="232"/>
      <c r="EB96" s="232"/>
      <c r="EC96" s="232"/>
      <c r="ED96" s="232"/>
      <c r="EE96" s="232"/>
      <c r="EF96" s="232"/>
      <c r="EG96" s="232"/>
      <c r="EH96" s="26"/>
      <c r="EI96" s="26"/>
      <c r="EJ96" s="26"/>
      <c r="EK96" s="50"/>
      <c r="EL96" s="25"/>
      <c r="EM96" s="232"/>
      <c r="EN96" s="232"/>
      <c r="EO96" s="232"/>
      <c r="EP96" s="232"/>
      <c r="EQ96" s="25"/>
      <c r="ES96" s="25"/>
      <c r="FB96" s="20"/>
      <c r="FC96" s="26"/>
      <c r="FD96" s="26"/>
      <c r="FE96" s="26"/>
      <c r="FF96" s="25"/>
      <c r="FG96" s="25"/>
      <c r="FH96" s="232"/>
      <c r="FI96" s="232"/>
      <c r="FJ96" s="232"/>
      <c r="FK96" s="232"/>
      <c r="FL96" s="232"/>
      <c r="FM96" s="232"/>
      <c r="FN96" s="25"/>
      <c r="FO96" s="232"/>
      <c r="FP96" s="232"/>
    </row>
    <row r="97" spans="1:172" ht="12.75" customHeight="1" x14ac:dyDescent="0.2">
      <c r="A97" s="25"/>
      <c r="B97" s="25"/>
      <c r="C97" s="25"/>
      <c r="D97" s="232"/>
      <c r="E97" s="231"/>
      <c r="F97" s="232"/>
      <c r="G97" s="25"/>
      <c r="H97" s="25"/>
      <c r="I97" s="234"/>
      <c r="J97" s="25"/>
      <c r="K97" s="25"/>
      <c r="L97" s="25"/>
      <c r="M97" s="25"/>
      <c r="N97" s="25"/>
      <c r="O97" s="25"/>
      <c r="P97" s="25"/>
      <c r="Q97" s="25"/>
      <c r="R97" s="25"/>
      <c r="S97" s="50"/>
      <c r="T97" s="232"/>
      <c r="U97" s="232"/>
      <c r="V97" s="25"/>
      <c r="W97" s="232"/>
      <c r="X97" s="232"/>
      <c r="Y97" s="25"/>
      <c r="Z97" s="25"/>
      <c r="AA97" s="25"/>
      <c r="AB97" s="232"/>
      <c r="AC97" s="232"/>
      <c r="AD97" s="232"/>
      <c r="AE97" s="25"/>
      <c r="AF97" s="232"/>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E97" s="25"/>
      <c r="BF97" s="50"/>
      <c r="BG97" s="50"/>
      <c r="BH97" s="25"/>
      <c r="BI97" s="50"/>
      <c r="BJ97" s="50"/>
      <c r="BK97" s="50"/>
      <c r="BL97" s="232"/>
      <c r="BM97" s="50"/>
      <c r="BN97" s="232"/>
      <c r="BO97" s="50"/>
      <c r="BP97" s="232"/>
      <c r="BQ97" s="232"/>
      <c r="BR97" s="232"/>
      <c r="BS97" s="232"/>
      <c r="BT97" s="232"/>
      <c r="BU97" s="232"/>
      <c r="BV97" s="232"/>
      <c r="BW97" s="232"/>
      <c r="BX97" s="232"/>
      <c r="BY97" s="232"/>
      <c r="BZ97" s="232"/>
      <c r="CA97" s="50"/>
      <c r="CB97" s="232"/>
      <c r="CC97" s="232"/>
      <c r="CE97" s="25"/>
      <c r="CF97" s="232"/>
      <c r="CG97" s="25"/>
      <c r="CH97" s="25"/>
      <c r="CI97" s="25"/>
      <c r="CJ97" s="25"/>
      <c r="CK97" s="25"/>
      <c r="CL97" s="232"/>
      <c r="CM97" s="25"/>
      <c r="CN97" s="232"/>
      <c r="CO97" s="25"/>
      <c r="CP97" s="232"/>
      <c r="CQ97" s="232"/>
      <c r="CR97" s="232"/>
      <c r="CS97" s="232"/>
      <c r="CT97" s="232"/>
      <c r="CU97" s="232"/>
      <c r="CV97" s="232"/>
      <c r="CW97" s="232"/>
      <c r="CX97" s="232"/>
      <c r="CY97" s="232"/>
      <c r="CZ97" s="232"/>
      <c r="DA97" s="25"/>
      <c r="DB97" s="232"/>
      <c r="DC97" s="232"/>
      <c r="DD97" s="232"/>
      <c r="DE97" s="25"/>
      <c r="DF97" s="232"/>
      <c r="DG97" s="25"/>
      <c r="DH97" s="232"/>
      <c r="DI97" s="232"/>
      <c r="DJ97" s="26"/>
      <c r="DK97" s="26"/>
      <c r="DL97" s="26"/>
      <c r="DM97" s="26"/>
      <c r="DN97" s="25"/>
      <c r="DO97" s="25"/>
      <c r="DP97" s="232"/>
      <c r="DQ97" s="25"/>
      <c r="DR97" s="232"/>
      <c r="DS97" s="232"/>
      <c r="DT97" s="25"/>
      <c r="DU97" s="232"/>
      <c r="DV97" s="232"/>
      <c r="DW97" s="232"/>
      <c r="DX97" s="232"/>
      <c r="DY97" s="232"/>
      <c r="DZ97" s="232"/>
      <c r="EA97" s="232"/>
      <c r="EB97" s="232"/>
      <c r="EC97" s="232"/>
      <c r="ED97" s="232"/>
      <c r="EE97" s="232"/>
      <c r="EF97" s="232"/>
      <c r="EG97" s="232"/>
      <c r="EH97" s="26"/>
      <c r="EI97" s="26"/>
      <c r="EJ97" s="26"/>
      <c r="EK97" s="50"/>
      <c r="EL97" s="25"/>
      <c r="EM97" s="232"/>
      <c r="EN97" s="232"/>
      <c r="EO97" s="232"/>
      <c r="EP97" s="232"/>
      <c r="EQ97" s="25"/>
      <c r="ES97" s="25"/>
      <c r="FB97" s="20"/>
      <c r="FC97" s="26"/>
      <c r="FD97" s="26"/>
      <c r="FE97" s="26"/>
      <c r="FF97" s="25"/>
      <c r="FG97" s="25"/>
      <c r="FH97" s="232"/>
      <c r="FI97" s="232"/>
      <c r="FJ97" s="232"/>
      <c r="FK97" s="232"/>
      <c r="FL97" s="232"/>
      <c r="FM97" s="232"/>
      <c r="FN97" s="25"/>
      <c r="FO97" s="232"/>
      <c r="FP97" s="232"/>
    </row>
    <row r="98" spans="1:172" ht="12.75" customHeight="1" x14ac:dyDescent="0.2">
      <c r="A98" s="25"/>
      <c r="B98" s="25"/>
      <c r="C98" s="25"/>
      <c r="D98" s="232"/>
      <c r="E98" s="231"/>
      <c r="F98" s="232"/>
      <c r="G98" s="25"/>
      <c r="H98" s="25"/>
      <c r="I98" s="234"/>
      <c r="J98" s="25"/>
      <c r="K98" s="25"/>
      <c r="L98" s="25"/>
      <c r="M98" s="25"/>
      <c r="N98" s="25"/>
      <c r="O98" s="25"/>
      <c r="P98" s="25"/>
      <c r="Q98" s="25"/>
      <c r="R98" s="25"/>
      <c r="S98" s="50"/>
      <c r="T98" s="232"/>
      <c r="U98" s="232"/>
      <c r="V98" s="25"/>
      <c r="W98" s="232"/>
      <c r="X98" s="232"/>
      <c r="Y98" s="25"/>
      <c r="Z98" s="25"/>
      <c r="AA98" s="25"/>
      <c r="AB98" s="232"/>
      <c r="AC98" s="232"/>
      <c r="AD98" s="232"/>
      <c r="AE98" s="25"/>
      <c r="AF98" s="232"/>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E98" s="25"/>
      <c r="BF98" s="50"/>
      <c r="BG98" s="50"/>
      <c r="BH98" s="25"/>
      <c r="BI98" s="50"/>
      <c r="BJ98" s="50"/>
      <c r="BK98" s="50"/>
      <c r="BL98" s="232"/>
      <c r="BM98" s="50"/>
      <c r="BN98" s="232"/>
      <c r="BO98" s="50"/>
      <c r="BP98" s="232"/>
      <c r="BQ98" s="232"/>
      <c r="BR98" s="232"/>
      <c r="BS98" s="232"/>
      <c r="BT98" s="232"/>
      <c r="BU98" s="232"/>
      <c r="BV98" s="232"/>
      <c r="BW98" s="232"/>
      <c r="BX98" s="232"/>
      <c r="BY98" s="232"/>
      <c r="BZ98" s="232"/>
      <c r="CA98" s="50"/>
      <c r="CB98" s="232"/>
      <c r="CC98" s="232"/>
      <c r="CE98" s="25"/>
      <c r="CF98" s="232"/>
      <c r="CG98" s="25"/>
      <c r="CH98" s="25"/>
      <c r="CI98" s="25"/>
      <c r="CJ98" s="25"/>
      <c r="CK98" s="25"/>
      <c r="CL98" s="232"/>
      <c r="CM98" s="25"/>
      <c r="CN98" s="232"/>
      <c r="CO98" s="25"/>
      <c r="CP98" s="232"/>
      <c r="CQ98" s="232"/>
      <c r="CR98" s="232"/>
      <c r="CS98" s="232"/>
      <c r="CT98" s="232"/>
      <c r="CU98" s="232"/>
      <c r="CV98" s="232"/>
      <c r="CW98" s="232"/>
      <c r="CX98" s="232"/>
      <c r="CY98" s="232"/>
      <c r="CZ98" s="232"/>
      <c r="DA98" s="25"/>
      <c r="DB98" s="232"/>
      <c r="DC98" s="232"/>
      <c r="DD98" s="232"/>
      <c r="DE98" s="25"/>
      <c r="DF98" s="232"/>
      <c r="DG98" s="25"/>
      <c r="DH98" s="232"/>
      <c r="DI98" s="232"/>
      <c r="DJ98" s="26"/>
      <c r="DK98" s="26"/>
      <c r="DL98" s="26"/>
      <c r="DM98" s="26"/>
      <c r="DN98" s="25"/>
      <c r="DO98" s="25"/>
      <c r="DP98" s="232"/>
      <c r="DQ98" s="25"/>
      <c r="DR98" s="232"/>
      <c r="DS98" s="232"/>
      <c r="DT98" s="25"/>
      <c r="DU98" s="232"/>
      <c r="DV98" s="232"/>
      <c r="DW98" s="232"/>
      <c r="DX98" s="232"/>
      <c r="DY98" s="232"/>
      <c r="DZ98" s="232"/>
      <c r="EA98" s="232"/>
      <c r="EB98" s="232"/>
      <c r="EC98" s="232"/>
      <c r="ED98" s="232"/>
      <c r="EE98" s="232"/>
      <c r="EF98" s="232"/>
      <c r="EG98" s="232"/>
      <c r="EH98" s="26"/>
      <c r="EI98" s="26"/>
      <c r="EJ98" s="26"/>
      <c r="EK98" s="50"/>
      <c r="EL98" s="25"/>
      <c r="EM98" s="232"/>
      <c r="EN98" s="232"/>
      <c r="EO98" s="232"/>
      <c r="EP98" s="232"/>
      <c r="EQ98" s="25"/>
      <c r="ES98" s="25"/>
      <c r="FB98" s="20"/>
      <c r="FC98" s="26"/>
      <c r="FD98" s="26"/>
      <c r="FE98" s="26"/>
      <c r="FF98" s="25"/>
      <c r="FG98" s="25"/>
      <c r="FH98" s="232"/>
      <c r="FI98" s="232"/>
      <c r="FJ98" s="232"/>
      <c r="FK98" s="232"/>
      <c r="FL98" s="232"/>
      <c r="FM98" s="232"/>
      <c r="FN98" s="25"/>
      <c r="FO98" s="232"/>
      <c r="FP98" s="232"/>
    </row>
    <row r="99" spans="1:172" ht="12.75" customHeight="1" x14ac:dyDescent="0.2">
      <c r="A99" s="25"/>
      <c r="B99" s="25"/>
      <c r="C99" s="25"/>
      <c r="D99" s="232"/>
      <c r="E99" s="231"/>
      <c r="F99" s="232"/>
      <c r="G99" s="25"/>
      <c r="H99" s="25"/>
      <c r="I99" s="234"/>
      <c r="J99" s="25"/>
      <c r="K99" s="25"/>
      <c r="L99" s="25"/>
      <c r="M99" s="25"/>
      <c r="N99" s="25"/>
      <c r="O99" s="25"/>
      <c r="P99" s="25"/>
      <c r="Q99" s="25"/>
      <c r="R99" s="25"/>
      <c r="S99" s="50"/>
      <c r="T99" s="232"/>
      <c r="U99" s="232"/>
      <c r="V99" s="25"/>
      <c r="W99" s="232"/>
      <c r="X99" s="232"/>
      <c r="Y99" s="25"/>
      <c r="Z99" s="25"/>
      <c r="AA99" s="25"/>
      <c r="AB99" s="232"/>
      <c r="AC99" s="232"/>
      <c r="AD99" s="232"/>
      <c r="AE99" s="25"/>
      <c r="AF99" s="232"/>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E99" s="25"/>
      <c r="BF99" s="50"/>
      <c r="BG99" s="50"/>
      <c r="BH99" s="25"/>
      <c r="BI99" s="50"/>
      <c r="BJ99" s="50"/>
      <c r="BK99" s="50"/>
      <c r="BL99" s="232"/>
      <c r="BM99" s="50"/>
      <c r="BN99" s="232"/>
      <c r="BO99" s="50"/>
      <c r="BP99" s="232"/>
      <c r="BQ99" s="232"/>
      <c r="BR99" s="232"/>
      <c r="BS99" s="232"/>
      <c r="BT99" s="232"/>
      <c r="BU99" s="232"/>
      <c r="BV99" s="232"/>
      <c r="BW99" s="232"/>
      <c r="BX99" s="232"/>
      <c r="BY99" s="232"/>
      <c r="BZ99" s="232"/>
      <c r="CA99" s="50"/>
      <c r="CB99" s="232"/>
      <c r="CC99" s="232"/>
      <c r="CE99" s="25"/>
      <c r="CF99" s="232"/>
      <c r="CG99" s="25"/>
      <c r="CH99" s="25"/>
      <c r="CI99" s="25"/>
      <c r="CJ99" s="25"/>
      <c r="CK99" s="25"/>
      <c r="CL99" s="232"/>
      <c r="CM99" s="25"/>
      <c r="CN99" s="232"/>
      <c r="CO99" s="25"/>
      <c r="CP99" s="232"/>
      <c r="CQ99" s="232"/>
      <c r="CR99" s="232"/>
      <c r="CS99" s="232"/>
      <c r="CT99" s="232"/>
      <c r="CU99" s="232"/>
      <c r="CV99" s="232"/>
      <c r="CW99" s="232"/>
      <c r="CX99" s="232"/>
      <c r="CY99" s="232"/>
      <c r="CZ99" s="232"/>
      <c r="DA99" s="25"/>
      <c r="DB99" s="232"/>
      <c r="DC99" s="232"/>
      <c r="DD99" s="232"/>
      <c r="DE99" s="25"/>
      <c r="DF99" s="232"/>
      <c r="DG99" s="25"/>
      <c r="DH99" s="232"/>
      <c r="DI99" s="232"/>
      <c r="DJ99" s="26"/>
      <c r="DK99" s="26"/>
      <c r="DL99" s="26"/>
      <c r="DM99" s="26"/>
      <c r="DN99" s="25"/>
      <c r="DO99" s="25"/>
      <c r="DP99" s="232"/>
      <c r="DQ99" s="25"/>
      <c r="DR99" s="232"/>
      <c r="DS99" s="232"/>
      <c r="DT99" s="25"/>
      <c r="DU99" s="232"/>
      <c r="DV99" s="232"/>
      <c r="DW99" s="232"/>
      <c r="DX99" s="232"/>
      <c r="DY99" s="232"/>
      <c r="DZ99" s="232"/>
      <c r="EA99" s="232"/>
      <c r="EB99" s="232"/>
      <c r="EC99" s="232"/>
      <c r="ED99" s="232"/>
      <c r="EE99" s="232"/>
      <c r="EF99" s="232"/>
      <c r="EG99" s="232"/>
      <c r="EH99" s="26"/>
      <c r="EI99" s="26"/>
      <c r="EJ99" s="26"/>
      <c r="EK99" s="50"/>
      <c r="EL99" s="25"/>
      <c r="EM99" s="232"/>
      <c r="EN99" s="232"/>
      <c r="EO99" s="232"/>
      <c r="EP99" s="232"/>
      <c r="EQ99" s="25"/>
      <c r="ES99" s="25"/>
      <c r="FB99" s="20"/>
      <c r="FC99" s="26"/>
      <c r="FD99" s="26"/>
      <c r="FE99" s="26"/>
      <c r="FF99" s="25"/>
      <c r="FG99" s="25"/>
      <c r="FH99" s="232"/>
      <c r="FI99" s="232"/>
      <c r="FJ99" s="232"/>
      <c r="FK99" s="232"/>
      <c r="FL99" s="232"/>
      <c r="FM99" s="232"/>
      <c r="FN99" s="25"/>
      <c r="FO99" s="232"/>
      <c r="FP99" s="232"/>
    </row>
    <row r="100" spans="1:172" ht="12.75" customHeight="1" x14ac:dyDescent="0.2">
      <c r="A100" s="25"/>
      <c r="B100" s="25"/>
      <c r="C100" s="25"/>
      <c r="D100" s="232"/>
      <c r="E100" s="231"/>
      <c r="F100" s="232"/>
      <c r="G100" s="25"/>
      <c r="H100" s="25"/>
      <c r="I100" s="234"/>
      <c r="J100" s="25"/>
      <c r="K100" s="25"/>
      <c r="L100" s="25"/>
      <c r="M100" s="25"/>
      <c r="N100" s="25"/>
      <c r="O100" s="25"/>
      <c r="P100" s="25"/>
      <c r="Q100" s="25"/>
      <c r="R100" s="25"/>
      <c r="S100" s="50"/>
      <c r="T100" s="232"/>
      <c r="U100" s="232"/>
      <c r="V100" s="25"/>
      <c r="W100" s="232"/>
      <c r="X100" s="232"/>
      <c r="Y100" s="25"/>
      <c r="Z100" s="25"/>
      <c r="AA100" s="25"/>
      <c r="AB100" s="232"/>
      <c r="AC100" s="232"/>
      <c r="AD100" s="232"/>
      <c r="AE100" s="25"/>
      <c r="AF100" s="232"/>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E100" s="25"/>
      <c r="BF100" s="50"/>
      <c r="BG100" s="50"/>
      <c r="BH100" s="25"/>
      <c r="BI100" s="50"/>
      <c r="BJ100" s="50"/>
      <c r="BK100" s="50"/>
      <c r="BL100" s="232"/>
      <c r="BM100" s="50"/>
      <c r="BN100" s="232"/>
      <c r="BO100" s="50"/>
      <c r="BP100" s="232"/>
      <c r="BQ100" s="232"/>
      <c r="BR100" s="232"/>
      <c r="BS100" s="232"/>
      <c r="BT100" s="232"/>
      <c r="BU100" s="232"/>
      <c r="BV100" s="232"/>
      <c r="BW100" s="232"/>
      <c r="BX100" s="232"/>
      <c r="BY100" s="232"/>
      <c r="BZ100" s="232"/>
      <c r="CA100" s="50"/>
      <c r="CB100" s="232"/>
      <c r="CC100" s="232"/>
      <c r="CE100" s="25"/>
      <c r="CF100" s="232"/>
      <c r="CG100" s="25"/>
      <c r="CH100" s="25"/>
      <c r="CI100" s="25"/>
      <c r="CJ100" s="25"/>
      <c r="CK100" s="25"/>
      <c r="CL100" s="232"/>
      <c r="CM100" s="25"/>
      <c r="CN100" s="232"/>
      <c r="CO100" s="25"/>
      <c r="CP100" s="232"/>
      <c r="CQ100" s="232"/>
      <c r="CR100" s="232"/>
      <c r="CS100" s="232"/>
      <c r="CT100" s="232"/>
      <c r="CU100" s="232"/>
      <c r="CV100" s="232"/>
      <c r="CW100" s="232"/>
      <c r="CX100" s="232"/>
      <c r="CY100" s="232"/>
      <c r="CZ100" s="232"/>
      <c r="DA100" s="25"/>
      <c r="DB100" s="232"/>
      <c r="DC100" s="232"/>
      <c r="DD100" s="232"/>
      <c r="DE100" s="25"/>
      <c r="DF100" s="232"/>
      <c r="DG100" s="25"/>
      <c r="DH100" s="232"/>
      <c r="DI100" s="232"/>
      <c r="DJ100" s="26"/>
      <c r="DK100" s="26"/>
      <c r="DL100" s="26"/>
      <c r="DM100" s="26"/>
      <c r="DN100" s="25"/>
      <c r="DO100" s="25"/>
      <c r="DP100" s="232"/>
      <c r="DQ100" s="25"/>
      <c r="DR100" s="232"/>
      <c r="DS100" s="232"/>
      <c r="DT100" s="25"/>
      <c r="DU100" s="232"/>
      <c r="DV100" s="232"/>
      <c r="DW100" s="232"/>
      <c r="DX100" s="232"/>
      <c r="DY100" s="232"/>
      <c r="DZ100" s="232"/>
      <c r="EA100" s="232"/>
      <c r="EB100" s="232"/>
      <c r="EC100" s="232"/>
      <c r="ED100" s="232"/>
      <c r="EE100" s="232"/>
      <c r="EF100" s="232"/>
      <c r="EG100" s="232"/>
      <c r="EH100" s="26"/>
      <c r="EI100" s="26"/>
      <c r="EJ100" s="26"/>
      <c r="EK100" s="50"/>
      <c r="EL100" s="25"/>
      <c r="EM100" s="232"/>
      <c r="EN100" s="232"/>
      <c r="EO100" s="232"/>
      <c r="EP100" s="232"/>
      <c r="EQ100" s="25"/>
      <c r="ES100" s="25"/>
      <c r="FB100" s="20"/>
      <c r="FC100" s="26"/>
      <c r="FD100" s="26"/>
      <c r="FE100" s="26"/>
      <c r="FF100" s="25"/>
      <c r="FG100" s="25"/>
      <c r="FH100" s="232"/>
      <c r="FI100" s="232"/>
      <c r="FJ100" s="232"/>
      <c r="FK100" s="232"/>
      <c r="FL100" s="232"/>
      <c r="FM100" s="232"/>
      <c r="FN100" s="25"/>
      <c r="FO100" s="232"/>
      <c r="FP100" s="232"/>
    </row>
  </sheetData>
  <autoFilter ref="A4:FP4" xr:uid="{60F9E89C-3B3C-480B-862A-77221EAB9E6B}"/>
  <mergeCells count="22">
    <mergeCell ref="A2:V2"/>
    <mergeCell ref="W2:AF2"/>
    <mergeCell ref="FW69:FW76"/>
    <mergeCell ref="AK3:AX3"/>
    <mergeCell ref="FW61:FW68"/>
    <mergeCell ref="FW29:FW36"/>
    <mergeCell ref="FW37:FW44"/>
    <mergeCell ref="FW45:FW52"/>
    <mergeCell ref="FW53:FW60"/>
    <mergeCell ref="FW5:FW12"/>
    <mergeCell ref="FW13:FW20"/>
    <mergeCell ref="FW21:FW28"/>
    <mergeCell ref="BZ2:CC2"/>
    <mergeCell ref="FR2:FY2"/>
    <mergeCell ref="AH2:BC2"/>
    <mergeCell ref="CE2:CP2"/>
    <mergeCell ref="CZ2:DI2"/>
    <mergeCell ref="FF2:FP2"/>
    <mergeCell ref="ES2:FC2"/>
    <mergeCell ref="DK2:DU2"/>
    <mergeCell ref="DW2:EG2"/>
    <mergeCell ref="EI2:EQ2"/>
  </mergeCells>
  <pageMargins left="0.74803149606299213" right="0.74803149606299213" top="0.98425196850393704" bottom="0.98425196850393704" header="0.51181102362204722" footer="0.51181102362204722"/>
  <pageSetup paperSize="8" orientation="landscape" r:id="rId1"/>
  <headerFooter alignWithMargins="0">
    <oddHeader>&amp;LStructures Asset Management Planning Toolkit</oddHeader>
    <oddFooter>&amp;L&amp;A&amp;R&amp;P of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_ValueDashboard">
    <tabColor rgb="FFE0C1FF"/>
  </sheetPr>
  <dimension ref="A1:V1774"/>
  <sheetViews>
    <sheetView showGridLines="0" zoomScale="70" zoomScaleNormal="70" workbookViewId="0">
      <selection activeCell="B5" sqref="B5"/>
    </sheetView>
  </sheetViews>
  <sheetFormatPr defaultColWidth="9.140625" defaultRowHeight="14.25" x14ac:dyDescent="0.2"/>
  <cols>
    <col min="1" max="6" width="3.140625" style="96" customWidth="1"/>
    <col min="7" max="7" width="37.140625" style="96" bestFit="1" customWidth="1"/>
    <col min="8" max="8" width="15.7109375" style="96" bestFit="1" customWidth="1"/>
    <col min="9" max="9" width="17.85546875" style="96" bestFit="1" customWidth="1"/>
    <col min="10" max="10" width="8.5703125" style="96" bestFit="1" customWidth="1"/>
    <col min="11" max="11" width="8.28515625" style="96" bestFit="1" customWidth="1"/>
    <col min="12" max="12" width="39.7109375" style="96" bestFit="1" customWidth="1"/>
    <col min="13" max="13" width="22.140625" style="96" bestFit="1" customWidth="1"/>
    <col min="14" max="14" width="18.28515625" style="96" bestFit="1" customWidth="1"/>
    <col min="15" max="15" width="15.85546875" style="96" bestFit="1" customWidth="1"/>
    <col min="16" max="16" width="14.85546875" style="96" bestFit="1" customWidth="1"/>
    <col min="17" max="17" width="17" style="96" customWidth="1"/>
    <col min="18" max="18" width="16.7109375" style="96" bestFit="1" customWidth="1"/>
    <col min="19" max="20" width="17" style="96" customWidth="1"/>
    <col min="21" max="21" width="9.140625" style="96" hidden="1" customWidth="1"/>
    <col min="22" max="22" width="31.7109375" style="96" customWidth="1"/>
    <col min="23" max="39" width="31.7109375" style="96" bestFit="1" customWidth="1"/>
    <col min="40" max="40" width="31.7109375" style="96" customWidth="1"/>
    <col min="41" max="130" width="31.7109375" style="96" bestFit="1" customWidth="1"/>
    <col min="131" max="16384" width="9.140625" style="96"/>
  </cols>
  <sheetData>
    <row r="1" spans="1:22" s="1" customFormat="1" ht="12.75" customHeight="1" x14ac:dyDescent="0.2">
      <c r="A1" s="553" t="s">
        <v>1869</v>
      </c>
      <c r="B1" s="553"/>
      <c r="C1" s="553"/>
      <c r="D1" s="553"/>
      <c r="E1" s="553"/>
      <c r="F1" s="553"/>
      <c r="G1" s="553"/>
      <c r="H1" s="553"/>
      <c r="I1" s="553"/>
      <c r="J1" s="553"/>
      <c r="K1" s="553"/>
      <c r="L1" s="553"/>
      <c r="M1" s="553"/>
      <c r="N1" s="553"/>
      <c r="O1" s="553"/>
      <c r="P1" s="553"/>
      <c r="Q1" s="553"/>
      <c r="R1" s="553"/>
      <c r="S1" s="553"/>
      <c r="T1" s="553"/>
    </row>
    <row r="2" spans="1:22" s="1" customFormat="1" ht="12.75" customHeight="1" x14ac:dyDescent="0.2">
      <c r="A2" s="553"/>
      <c r="B2" s="553"/>
      <c r="C2" s="553"/>
      <c r="D2" s="553"/>
      <c r="E2" s="553"/>
      <c r="F2" s="553"/>
      <c r="G2" s="553"/>
      <c r="H2" s="553"/>
      <c r="I2" s="553"/>
      <c r="J2" s="553"/>
      <c r="K2" s="553"/>
      <c r="L2" s="553"/>
      <c r="M2" s="553"/>
      <c r="N2" s="553"/>
      <c r="O2" s="553"/>
      <c r="P2" s="553"/>
      <c r="Q2" s="553"/>
      <c r="R2" s="553"/>
      <c r="S2" s="553"/>
      <c r="T2" s="553"/>
    </row>
    <row r="3" spans="1:22" s="1" customFormat="1" ht="12.75" customHeight="1" x14ac:dyDescent="0.2">
      <c r="A3" s="553"/>
      <c r="B3" s="553"/>
      <c r="C3" s="553"/>
      <c r="D3" s="553"/>
      <c r="E3" s="553"/>
      <c r="F3" s="553"/>
      <c r="G3" s="553"/>
      <c r="H3" s="553"/>
      <c r="I3" s="553"/>
      <c r="J3" s="553"/>
      <c r="K3" s="553"/>
      <c r="L3" s="553"/>
      <c r="M3" s="553"/>
      <c r="N3" s="553"/>
      <c r="O3" s="553"/>
      <c r="P3" s="553"/>
      <c r="Q3" s="553"/>
      <c r="R3" s="553"/>
      <c r="S3" s="553"/>
      <c r="T3" s="553"/>
    </row>
    <row r="4" spans="1:22" s="1" customFormat="1" ht="12.75" customHeight="1" x14ac:dyDescent="0.2">
      <c r="A4" s="553"/>
      <c r="B4" s="553"/>
      <c r="C4" s="553"/>
      <c r="D4" s="553"/>
      <c r="E4" s="553"/>
      <c r="F4" s="553"/>
      <c r="G4" s="553"/>
      <c r="H4" s="553"/>
      <c r="I4" s="553"/>
      <c r="J4" s="553"/>
      <c r="K4" s="553"/>
      <c r="L4" s="553"/>
      <c r="M4" s="553"/>
      <c r="N4" s="553"/>
      <c r="O4" s="553"/>
      <c r="P4" s="553"/>
      <c r="Q4" s="553"/>
      <c r="R4" s="553"/>
      <c r="S4" s="553"/>
      <c r="T4" s="553"/>
    </row>
    <row r="5" spans="1:22" ht="12.75" customHeight="1" x14ac:dyDescent="0.2">
      <c r="A5" s="7"/>
      <c r="B5" s="7"/>
      <c r="C5" s="7"/>
      <c r="D5" s="7"/>
      <c r="E5" s="7"/>
      <c r="F5" s="7"/>
      <c r="G5" s="7"/>
      <c r="H5" s="7"/>
      <c r="I5" s="7"/>
      <c r="J5" s="7"/>
      <c r="K5" s="7"/>
      <c r="L5" s="7"/>
      <c r="M5" s="7"/>
      <c r="N5" s="7"/>
      <c r="O5" s="7"/>
      <c r="P5" s="7"/>
      <c r="Q5" s="7"/>
      <c r="R5" s="7"/>
      <c r="S5" s="7"/>
      <c r="T5" s="7"/>
    </row>
    <row r="6" spans="1:22" x14ac:dyDescent="0.2">
      <c r="A6" s="7"/>
      <c r="B6" s="6" t="s">
        <v>820</v>
      </c>
      <c r="C6" s="7"/>
      <c r="D6" s="7"/>
      <c r="E6" s="7"/>
      <c r="F6" s="7"/>
      <c r="G6" s="7">
        <f>Main_OrgName</f>
        <v>0</v>
      </c>
      <c r="H6" s="7"/>
      <c r="I6" s="7"/>
      <c r="J6" s="7"/>
      <c r="K6" s="6" t="s">
        <v>896</v>
      </c>
      <c r="L6" s="7"/>
      <c r="M6" s="7"/>
      <c r="N6" s="6" t="s">
        <v>831</v>
      </c>
      <c r="O6" s="7"/>
      <c r="P6" s="382" t="str">
        <f>Main_InflationYear</f>
        <v>2025/26</v>
      </c>
      <c r="Q6" s="7"/>
      <c r="R6" s="9" t="s">
        <v>834</v>
      </c>
      <c r="S6" s="7"/>
      <c r="T6" s="7"/>
    </row>
    <row r="7" spans="1:22" ht="13.9" customHeight="1" x14ac:dyDescent="0.2">
      <c r="A7" s="7"/>
      <c r="B7" s="6" t="s">
        <v>826</v>
      </c>
      <c r="C7" s="7"/>
      <c r="D7" s="7"/>
      <c r="E7" s="7"/>
      <c r="F7" s="7"/>
      <c r="G7" s="7" t="str">
        <f>Main_AuthorityType</f>
        <v>Local Authority</v>
      </c>
      <c r="H7" s="7"/>
      <c r="I7" s="7"/>
      <c r="J7" s="7"/>
      <c r="K7" s="551" t="e">
        <f ca="1">$N$55</f>
        <v>#REF!</v>
      </c>
      <c r="L7" s="551"/>
      <c r="M7" s="7"/>
      <c r="N7" s="7"/>
      <c r="O7" s="7"/>
      <c r="P7" s="382"/>
      <c r="Q7" s="7"/>
      <c r="R7" s="7"/>
      <c r="S7" s="7"/>
      <c r="T7" s="7"/>
    </row>
    <row r="8" spans="1:22" ht="13.9" customHeight="1" x14ac:dyDescent="0.2">
      <c r="A8" s="7"/>
      <c r="B8" s="7"/>
      <c r="C8" s="7"/>
      <c r="D8" s="7"/>
      <c r="E8" s="7"/>
      <c r="F8" s="7"/>
      <c r="G8" s="7"/>
      <c r="H8" s="7"/>
      <c r="I8" s="7"/>
      <c r="J8" s="7"/>
      <c r="K8" s="551"/>
      <c r="L8" s="551"/>
      <c r="M8" s="7"/>
      <c r="N8" s="6" t="s">
        <v>835</v>
      </c>
      <c r="O8" s="7"/>
      <c r="P8" s="383">
        <f>VALUE_RUN_DATE</f>
        <v>0</v>
      </c>
      <c r="Q8" s="95"/>
      <c r="R8" s="7"/>
      <c r="S8" s="7"/>
      <c r="T8" s="7"/>
    </row>
    <row r="9" spans="1:22" x14ac:dyDescent="0.2">
      <c r="A9" s="7"/>
      <c r="B9" s="6" t="s">
        <v>1050</v>
      </c>
      <c r="C9" s="7"/>
      <c r="D9" s="7"/>
      <c r="E9" s="7"/>
      <c r="F9" s="7"/>
      <c r="G9" s="95">
        <f>Main_DataInputDate</f>
        <v>0</v>
      </c>
      <c r="H9" s="7"/>
      <c r="I9" s="7"/>
      <c r="J9" s="7"/>
      <c r="K9" s="7"/>
      <c r="L9" s="7"/>
      <c r="M9" s="7"/>
      <c r="N9" s="7"/>
      <c r="O9" s="7"/>
      <c r="P9" s="7"/>
      <c r="Q9" s="7"/>
      <c r="R9" s="7"/>
      <c r="S9" s="7"/>
      <c r="T9" s="7"/>
    </row>
    <row r="10" spans="1:22" x14ac:dyDescent="0.2">
      <c r="A10" s="7"/>
      <c r="B10" s="7"/>
      <c r="C10" s="7"/>
      <c r="D10" s="7"/>
      <c r="E10" s="7"/>
      <c r="F10" s="7"/>
      <c r="G10" s="7"/>
      <c r="H10" s="7"/>
      <c r="I10" s="7"/>
      <c r="J10" s="7"/>
      <c r="K10" s="6" t="s">
        <v>897</v>
      </c>
      <c r="L10" s="7"/>
      <c r="M10" s="7"/>
      <c r="N10" s="6" t="s">
        <v>1216</v>
      </c>
      <c r="O10" s="6"/>
      <c r="P10" s="384" t="e">
        <f ca="1">SUM(Value!BM:BM)</f>
        <v>#REF!</v>
      </c>
      <c r="Q10" s="7"/>
      <c r="R10" s="7"/>
      <c r="S10" s="7"/>
      <c r="T10" s="7"/>
      <c r="V10" s="177"/>
    </row>
    <row r="11" spans="1:22" ht="13.9" customHeight="1" x14ac:dyDescent="0.2">
      <c r="A11" s="7"/>
      <c r="B11" s="6" t="s">
        <v>818</v>
      </c>
      <c r="C11" s="7"/>
      <c r="D11" s="7"/>
      <c r="E11" s="7"/>
      <c r="F11" s="7"/>
      <c r="G11" s="94">
        <f ca="1">Main_NumberOfStructures</f>
        <v>0</v>
      </c>
      <c r="H11" s="7"/>
      <c r="I11" s="7"/>
      <c r="J11" s="7"/>
      <c r="K11" s="551" t="e">
        <f ca="1">$O$55</f>
        <v>#REF!</v>
      </c>
      <c r="L11" s="551"/>
      <c r="M11" s="7"/>
      <c r="N11" s="7"/>
      <c r="O11" s="7"/>
      <c r="P11" s="7"/>
      <c r="Q11" s="7"/>
      <c r="R11" s="7"/>
      <c r="S11" s="7"/>
      <c r="T11" s="7"/>
    </row>
    <row r="12" spans="1:22" ht="13.9" customHeight="1" x14ac:dyDescent="0.2">
      <c r="A12" s="7"/>
      <c r="B12" s="6" t="s">
        <v>1027</v>
      </c>
      <c r="C12" s="7"/>
      <c r="D12" s="7"/>
      <c r="E12" s="7"/>
      <c r="F12" s="7"/>
      <c r="G12" s="94">
        <f>Main_NumberOfElements</f>
        <v>0</v>
      </c>
      <c r="H12" s="7"/>
      <c r="I12" s="7"/>
      <c r="J12" s="7"/>
      <c r="K12" s="551"/>
      <c r="L12" s="551"/>
      <c r="M12" s="7"/>
      <c r="N12" s="7"/>
      <c r="O12" s="7"/>
      <c r="P12" s="7"/>
      <c r="Q12" s="7"/>
      <c r="R12" s="7"/>
      <c r="S12" s="7"/>
      <c r="T12" s="7"/>
    </row>
    <row r="13" spans="1:22" x14ac:dyDescent="0.2">
      <c r="A13" s="7"/>
      <c r="B13" s="7"/>
      <c r="C13" s="7"/>
      <c r="D13" s="7"/>
      <c r="E13" s="7"/>
      <c r="F13" s="7"/>
      <c r="G13" s="7"/>
      <c r="H13" s="7"/>
      <c r="I13" s="7"/>
      <c r="J13" s="7"/>
      <c r="K13" s="7"/>
      <c r="L13" s="7"/>
      <c r="M13" s="7"/>
      <c r="N13" s="7"/>
      <c r="O13" s="7"/>
      <c r="P13" s="7"/>
      <c r="Q13" s="7"/>
      <c r="R13" s="7"/>
      <c r="S13" s="7"/>
      <c r="T13" s="7"/>
    </row>
    <row r="15" spans="1:22" ht="14.45" customHeight="1" x14ac:dyDescent="0.2">
      <c r="A15" s="552" t="s">
        <v>759</v>
      </c>
      <c r="B15" s="552"/>
      <c r="C15" s="552"/>
      <c r="D15" s="552"/>
      <c r="E15" s="552"/>
      <c r="F15" s="552"/>
      <c r="G15" s="552"/>
      <c r="H15" s="552"/>
      <c r="I15" s="552"/>
      <c r="J15" s="552"/>
      <c r="K15" s="552"/>
      <c r="L15" s="552"/>
      <c r="M15" s="552"/>
      <c r="N15" s="552"/>
      <c r="O15" s="552"/>
      <c r="P15" s="552"/>
      <c r="Q15" s="552"/>
      <c r="R15" s="552"/>
      <c r="S15" s="552"/>
      <c r="T15" s="552"/>
    </row>
    <row r="16" spans="1:22" ht="14.45" customHeight="1" x14ac:dyDescent="0.2">
      <c r="A16" s="552"/>
      <c r="B16" s="552"/>
      <c r="C16" s="552"/>
      <c r="D16" s="552"/>
      <c r="E16" s="552"/>
      <c r="F16" s="552"/>
      <c r="G16" s="552"/>
      <c r="H16" s="552"/>
      <c r="I16" s="552"/>
      <c r="J16" s="552"/>
      <c r="K16" s="552"/>
      <c r="L16" s="552"/>
      <c r="M16" s="552"/>
      <c r="N16" s="552"/>
      <c r="O16" s="552"/>
      <c r="P16" s="552"/>
      <c r="Q16" s="552"/>
      <c r="R16" s="552"/>
      <c r="S16" s="552"/>
      <c r="T16" s="552"/>
    </row>
    <row r="17" spans="1:21" x14ac:dyDescent="0.2">
      <c r="A17" s="7"/>
      <c r="B17" s="7"/>
      <c r="C17" s="7"/>
      <c r="D17" s="7"/>
      <c r="E17" s="7"/>
      <c r="F17" s="7"/>
      <c r="G17" s="7"/>
      <c r="H17" s="7"/>
      <c r="I17" s="7"/>
      <c r="J17" s="7"/>
      <c r="K17" s="7"/>
      <c r="L17" s="7"/>
      <c r="M17" s="7"/>
      <c r="N17" s="7"/>
      <c r="O17" s="7"/>
      <c r="P17" s="7"/>
      <c r="Q17" s="7"/>
      <c r="R17" s="7"/>
      <c r="S17" s="7"/>
      <c r="T17" s="7"/>
    </row>
    <row r="18" spans="1:21" x14ac:dyDescent="0.2">
      <c r="A18" s="7"/>
      <c r="B18" s="7" t="s">
        <v>837</v>
      </c>
      <c r="C18" s="7"/>
      <c r="D18" s="7"/>
      <c r="E18" s="7"/>
      <c r="F18" s="7"/>
      <c r="G18" s="7"/>
      <c r="H18" s="7"/>
      <c r="I18" s="7"/>
      <c r="J18" s="7"/>
      <c r="K18" s="7"/>
      <c r="L18" s="7" t="s">
        <v>839</v>
      </c>
      <c r="M18" s="7"/>
      <c r="N18" s="7"/>
      <c r="O18" s="7"/>
      <c r="P18" s="7"/>
      <c r="Q18" s="7"/>
      <c r="R18" s="7"/>
      <c r="S18" s="7"/>
      <c r="T18" s="7"/>
    </row>
    <row r="19" spans="1:21" x14ac:dyDescent="0.2">
      <c r="A19" s="7"/>
      <c r="B19" s="7"/>
      <c r="C19" s="7"/>
      <c r="D19" s="7"/>
      <c r="E19" s="7"/>
      <c r="F19" s="7"/>
      <c r="G19" s="7"/>
      <c r="H19" s="7"/>
      <c r="I19" s="7"/>
      <c r="J19" s="7"/>
      <c r="K19" s="7"/>
      <c r="L19" s="7"/>
      <c r="M19" s="7"/>
      <c r="N19" s="7"/>
      <c r="O19" s="7"/>
      <c r="P19" s="7"/>
      <c r="Q19" s="7"/>
      <c r="R19" s="7"/>
      <c r="S19" s="6"/>
      <c r="T19" s="6"/>
    </row>
    <row r="20" spans="1:21" x14ac:dyDescent="0.2">
      <c r="A20" s="7"/>
      <c r="B20" s="7"/>
      <c r="C20" s="7"/>
      <c r="D20" s="7"/>
      <c r="E20" s="7"/>
      <c r="F20" s="7"/>
      <c r="G20" s="7"/>
      <c r="H20" s="7"/>
      <c r="I20" s="178" t="s">
        <v>691</v>
      </c>
      <c r="J20" s="178" t="s">
        <v>743</v>
      </c>
      <c r="K20" s="7"/>
      <c r="L20" s="178" t="s">
        <v>585</v>
      </c>
      <c r="M20" s="178" t="s">
        <v>890</v>
      </c>
      <c r="N20" s="178" t="s">
        <v>685</v>
      </c>
      <c r="O20" s="178" t="s">
        <v>684</v>
      </c>
      <c r="P20" s="179" t="s">
        <v>683</v>
      </c>
      <c r="Q20" s="178" t="s">
        <v>694</v>
      </c>
      <c r="R20" s="7"/>
      <c r="S20" s="6"/>
      <c r="T20" s="6"/>
    </row>
    <row r="21" spans="1:21" x14ac:dyDescent="0.2">
      <c r="A21" s="7"/>
      <c r="B21" s="7"/>
      <c r="C21" s="7"/>
      <c r="D21" s="7"/>
      <c r="E21" s="7"/>
      <c r="F21" s="7"/>
      <c r="G21" s="7"/>
      <c r="H21" s="7"/>
      <c r="I21" s="180" t="s">
        <v>690</v>
      </c>
      <c r="J21" s="181" t="e">
        <f ca="1">Value!$CE$15</f>
        <v>#REF!</v>
      </c>
      <c r="K21" s="7"/>
      <c r="L21" s="180" t="s">
        <v>181</v>
      </c>
      <c r="M21" s="180" t="e">
        <f t="shared" ref="M21:M27" ca="1" si="0">SUMIFS(Val_NumStructures,Str_AVFStructureType,U21)</f>
        <v>#REF!</v>
      </c>
      <c r="N21" s="182" t="e">
        <f t="shared" ref="N21:N27" ca="1" si="1">SUMIFS(Val_GRC,Str_AVFStructureType,U21)</f>
        <v>#REF!</v>
      </c>
      <c r="O21" s="182" t="e">
        <f t="shared" ref="O21:O27" ca="1" si="2">SUMIFS(Val_DRC,Str_AVFStructureType,U21)</f>
        <v>#REF!</v>
      </c>
      <c r="P21" s="182" t="e">
        <f t="shared" ref="P21:P28" ca="1" si="3">$N21-$O21</f>
        <v>#REF!</v>
      </c>
      <c r="Q21" s="183">
        <f ca="1">IFERROR(O21/N21,0)</f>
        <v>0</v>
      </c>
      <c r="R21" s="7"/>
      <c r="S21" s="6"/>
      <c r="T21" s="6"/>
      <c r="U21" s="1" t="s">
        <v>573</v>
      </c>
    </row>
    <row r="22" spans="1:21" x14ac:dyDescent="0.2">
      <c r="A22" s="7"/>
      <c r="B22" s="7"/>
      <c r="C22" s="7"/>
      <c r="D22" s="7"/>
      <c r="E22" s="7"/>
      <c r="F22" s="7"/>
      <c r="G22" s="7"/>
      <c r="H22" s="7"/>
      <c r="I22" s="184" t="s">
        <v>742</v>
      </c>
      <c r="J22" s="185" t="e">
        <f ca="1">Value!$CF$15</f>
        <v>#REF!</v>
      </c>
      <c r="K22" s="7"/>
      <c r="L22" s="184" t="s">
        <v>180</v>
      </c>
      <c r="M22" s="184" t="e">
        <f t="shared" ca="1" si="0"/>
        <v>#REF!</v>
      </c>
      <c r="N22" s="186" t="e">
        <f t="shared" ca="1" si="1"/>
        <v>#REF!</v>
      </c>
      <c r="O22" s="186" t="e">
        <f t="shared" ca="1" si="2"/>
        <v>#REF!</v>
      </c>
      <c r="P22" s="186" t="e">
        <f t="shared" ca="1" si="3"/>
        <v>#REF!</v>
      </c>
      <c r="Q22" s="187">
        <f t="shared" ref="Q22:Q28" ca="1" si="4">IFERROR(O22/N22,0)</f>
        <v>0</v>
      </c>
      <c r="R22" s="7"/>
      <c r="S22" s="6"/>
      <c r="T22" s="6"/>
      <c r="U22" s="163" t="s">
        <v>572</v>
      </c>
    </row>
    <row r="23" spans="1:21" x14ac:dyDescent="0.2">
      <c r="A23" s="7"/>
      <c r="B23" s="7"/>
      <c r="C23" s="7"/>
      <c r="D23" s="7"/>
      <c r="E23" s="7"/>
      <c r="F23" s="7"/>
      <c r="G23" s="7"/>
      <c r="H23" s="7"/>
      <c r="I23" s="184" t="s">
        <v>688</v>
      </c>
      <c r="J23" s="185" t="e">
        <f ca="1">Value!$CG$15</f>
        <v>#REF!</v>
      </c>
      <c r="K23" s="7"/>
      <c r="L23" s="184" t="s">
        <v>179</v>
      </c>
      <c r="M23" s="184" t="e">
        <f t="shared" ca="1" si="0"/>
        <v>#REF!</v>
      </c>
      <c r="N23" s="186" t="e">
        <f t="shared" ca="1" si="1"/>
        <v>#REF!</v>
      </c>
      <c r="O23" s="186" t="e">
        <f t="shared" ca="1" si="2"/>
        <v>#REF!</v>
      </c>
      <c r="P23" s="186" t="e">
        <f t="shared" ca="1" si="3"/>
        <v>#REF!</v>
      </c>
      <c r="Q23" s="187">
        <f t="shared" ca="1" si="4"/>
        <v>0</v>
      </c>
      <c r="R23" s="7"/>
      <c r="S23" s="6"/>
      <c r="T23" s="6"/>
      <c r="U23" s="1" t="s">
        <v>571</v>
      </c>
    </row>
    <row r="24" spans="1:21" x14ac:dyDescent="0.2">
      <c r="A24" s="7"/>
      <c r="B24" s="7"/>
      <c r="C24" s="7"/>
      <c r="D24" s="7"/>
      <c r="E24" s="7"/>
      <c r="F24" s="7"/>
      <c r="G24" s="7"/>
      <c r="H24" s="7"/>
      <c r="I24" s="184" t="s">
        <v>687</v>
      </c>
      <c r="J24" s="185" t="e">
        <f ca="1">Value!$CH$15</f>
        <v>#REF!</v>
      </c>
      <c r="K24" s="7"/>
      <c r="L24" s="184" t="s">
        <v>178</v>
      </c>
      <c r="M24" s="184" t="e">
        <f t="shared" ca="1" si="0"/>
        <v>#REF!</v>
      </c>
      <c r="N24" s="186" t="e">
        <f t="shared" ca="1" si="1"/>
        <v>#REF!</v>
      </c>
      <c r="O24" s="186" t="e">
        <f t="shared" ca="1" si="2"/>
        <v>#REF!</v>
      </c>
      <c r="P24" s="186" t="e">
        <f t="shared" ca="1" si="3"/>
        <v>#REF!</v>
      </c>
      <c r="Q24" s="187">
        <f t="shared" ca="1" si="4"/>
        <v>0</v>
      </c>
      <c r="R24" s="7"/>
      <c r="S24" s="6"/>
      <c r="T24" s="6"/>
      <c r="U24" s="1" t="s">
        <v>570</v>
      </c>
    </row>
    <row r="25" spans="1:21" x14ac:dyDescent="0.2">
      <c r="A25" s="7"/>
      <c r="B25" s="7"/>
      <c r="C25" s="7"/>
      <c r="D25" s="7"/>
      <c r="E25" s="7"/>
      <c r="F25" s="7"/>
      <c r="G25" s="7"/>
      <c r="H25" s="7"/>
      <c r="I25" s="188" t="s">
        <v>686</v>
      </c>
      <c r="J25" s="189" t="e">
        <f ca="1">Value!$CI$15</f>
        <v>#REF!</v>
      </c>
      <c r="K25" s="7"/>
      <c r="L25" s="184" t="s">
        <v>177</v>
      </c>
      <c r="M25" s="184" t="e">
        <f t="shared" ca="1" si="0"/>
        <v>#REF!</v>
      </c>
      <c r="N25" s="186" t="e">
        <f t="shared" ca="1" si="1"/>
        <v>#REF!</v>
      </c>
      <c r="O25" s="186" t="e">
        <f t="shared" ca="1" si="2"/>
        <v>#REF!</v>
      </c>
      <c r="P25" s="186" t="e">
        <f t="shared" ca="1" si="3"/>
        <v>#REF!</v>
      </c>
      <c r="Q25" s="187">
        <f t="shared" ca="1" si="4"/>
        <v>0</v>
      </c>
      <c r="R25" s="7"/>
      <c r="S25" s="6"/>
      <c r="T25" s="6"/>
      <c r="U25" s="1" t="s">
        <v>569</v>
      </c>
    </row>
    <row r="26" spans="1:21" x14ac:dyDescent="0.2">
      <c r="A26" s="7"/>
      <c r="B26" s="7"/>
      <c r="C26" s="7"/>
      <c r="D26" s="7"/>
      <c r="E26" s="7"/>
      <c r="F26" s="7"/>
      <c r="G26" s="7"/>
      <c r="H26" s="7"/>
      <c r="I26" s="190" t="s">
        <v>735</v>
      </c>
      <c r="J26" s="191" t="e">
        <f ca="1">SUM($J$21:$J$25)</f>
        <v>#REF!</v>
      </c>
      <c r="K26" s="7"/>
      <c r="L26" s="184" t="s">
        <v>682</v>
      </c>
      <c r="M26" s="184" t="e">
        <f t="shared" ca="1" si="0"/>
        <v>#REF!</v>
      </c>
      <c r="N26" s="186" t="e">
        <f t="shared" ca="1" si="1"/>
        <v>#REF!</v>
      </c>
      <c r="O26" s="186" t="e">
        <f t="shared" ca="1" si="2"/>
        <v>#REF!</v>
      </c>
      <c r="P26" s="186" t="e">
        <f t="shared" ca="1" si="3"/>
        <v>#REF!</v>
      </c>
      <c r="Q26" s="187">
        <f t="shared" ca="1" si="4"/>
        <v>0</v>
      </c>
      <c r="R26" s="7"/>
      <c r="S26" s="6"/>
      <c r="T26" s="6"/>
      <c r="U26" s="1" t="s">
        <v>568</v>
      </c>
    </row>
    <row r="27" spans="1:21" x14ac:dyDescent="0.2">
      <c r="A27" s="7"/>
      <c r="B27" s="7"/>
      <c r="C27" s="7"/>
      <c r="D27" s="7"/>
      <c r="E27" s="7"/>
      <c r="F27" s="7"/>
      <c r="G27" s="7"/>
      <c r="H27" s="7"/>
      <c r="I27" s="7"/>
      <c r="J27" s="7"/>
      <c r="K27" s="7"/>
      <c r="L27" s="184" t="s">
        <v>25</v>
      </c>
      <c r="M27" s="184" t="e">
        <f t="shared" ca="1" si="0"/>
        <v>#REF!</v>
      </c>
      <c r="N27" s="186" t="e">
        <f t="shared" ca="1" si="1"/>
        <v>#REF!</v>
      </c>
      <c r="O27" s="186" t="e">
        <f t="shared" ca="1" si="2"/>
        <v>#REF!</v>
      </c>
      <c r="P27" s="186" t="e">
        <f t="shared" ca="1" si="3"/>
        <v>#REF!</v>
      </c>
      <c r="Q27" s="187">
        <f t="shared" ca="1" si="4"/>
        <v>0</v>
      </c>
      <c r="R27" s="7"/>
      <c r="S27" s="6"/>
      <c r="T27" s="6"/>
      <c r="U27" s="174" t="s">
        <v>681</v>
      </c>
    </row>
    <row r="28" spans="1:21" x14ac:dyDescent="0.2">
      <c r="A28" s="7"/>
      <c r="B28" s="7"/>
      <c r="C28" s="7" t="s">
        <v>840</v>
      </c>
      <c r="D28" s="7"/>
      <c r="E28" s="7"/>
      <c r="F28" s="7"/>
      <c r="G28" s="7"/>
      <c r="H28" s="7"/>
      <c r="I28" s="7"/>
      <c r="J28" s="7"/>
      <c r="K28" s="7"/>
      <c r="L28" s="190" t="s">
        <v>680</v>
      </c>
      <c r="M28" s="192" t="e">
        <f ca="1">SUM(M21:M27)</f>
        <v>#REF!</v>
      </c>
      <c r="N28" s="193" t="e">
        <f ca="1">SUM($N$21:$N$27)</f>
        <v>#REF!</v>
      </c>
      <c r="O28" s="193" t="e">
        <f ca="1">SUM($O$21:$O$27)</f>
        <v>#REF!</v>
      </c>
      <c r="P28" s="193" t="e">
        <f t="shared" ca="1" si="3"/>
        <v>#REF!</v>
      </c>
      <c r="Q28" s="194">
        <f t="shared" ca="1" si="4"/>
        <v>0</v>
      </c>
      <c r="R28" s="7"/>
      <c r="S28" s="6"/>
      <c r="T28" s="6"/>
    </row>
    <row r="29" spans="1:21" x14ac:dyDescent="0.2">
      <c r="A29" s="7"/>
      <c r="B29" s="7"/>
      <c r="C29" s="7"/>
      <c r="D29" s="7"/>
      <c r="E29" s="7"/>
      <c r="F29" s="7"/>
      <c r="G29" s="7"/>
      <c r="H29" s="7"/>
      <c r="I29" s="7"/>
      <c r="J29" s="7"/>
      <c r="K29" s="7"/>
      <c r="L29" s="7"/>
      <c r="M29" s="7"/>
      <c r="N29" s="7"/>
      <c r="O29" s="7"/>
      <c r="P29" s="7"/>
      <c r="Q29" s="7"/>
      <c r="R29" s="7"/>
      <c r="S29" s="6"/>
      <c r="T29" s="6"/>
    </row>
    <row r="30" spans="1:21" x14ac:dyDescent="0.2">
      <c r="A30" s="7"/>
      <c r="B30" s="7"/>
      <c r="C30" s="7"/>
      <c r="D30" s="7"/>
      <c r="E30" s="7"/>
      <c r="F30" s="7"/>
      <c r="G30" s="7"/>
      <c r="H30" s="7"/>
      <c r="I30" s="7"/>
      <c r="J30" s="7"/>
      <c r="K30" s="7"/>
      <c r="L30" s="7"/>
      <c r="M30" s="7"/>
      <c r="N30" s="7"/>
      <c r="O30" s="7"/>
      <c r="P30" s="7"/>
      <c r="Q30" s="7"/>
      <c r="R30" s="7"/>
      <c r="S30" s="6"/>
      <c r="T30" s="6"/>
    </row>
    <row r="31" spans="1:21" x14ac:dyDescent="0.2">
      <c r="A31" s="7"/>
      <c r="B31" s="7"/>
      <c r="C31" s="7"/>
      <c r="D31" s="7"/>
      <c r="E31" s="7"/>
      <c r="F31" s="7"/>
      <c r="G31" s="7"/>
      <c r="H31" s="7"/>
      <c r="I31" s="7"/>
      <c r="J31" s="7"/>
      <c r="K31" s="7"/>
      <c r="L31" s="7" t="s">
        <v>838</v>
      </c>
      <c r="M31" s="7"/>
      <c r="N31" s="7"/>
      <c r="O31" s="7"/>
      <c r="P31" s="7"/>
      <c r="Q31" s="7"/>
      <c r="R31" s="7"/>
      <c r="S31" s="6"/>
      <c r="T31" s="6"/>
    </row>
    <row r="32" spans="1:21" x14ac:dyDescent="0.2">
      <c r="A32" s="7"/>
      <c r="B32" s="7"/>
      <c r="C32" s="7"/>
      <c r="D32" s="7"/>
      <c r="E32" s="7"/>
      <c r="F32" s="7"/>
      <c r="G32" s="7"/>
      <c r="H32" s="7"/>
      <c r="I32" s="7"/>
      <c r="J32" s="7"/>
      <c r="K32" s="7"/>
      <c r="L32" s="7"/>
      <c r="M32" s="7"/>
      <c r="N32" s="7"/>
      <c r="O32" s="7"/>
      <c r="P32" s="6"/>
      <c r="Q32" s="6"/>
      <c r="R32" s="7"/>
      <c r="S32" s="6"/>
      <c r="T32" s="6"/>
    </row>
    <row r="33" spans="1:20" x14ac:dyDescent="0.2">
      <c r="A33" s="7"/>
      <c r="B33" s="7"/>
      <c r="C33" s="7"/>
      <c r="D33" s="7"/>
      <c r="E33" s="7"/>
      <c r="F33" s="7"/>
      <c r="G33" s="7"/>
      <c r="H33" s="7"/>
      <c r="I33" s="7"/>
      <c r="J33" s="7"/>
      <c r="K33" s="7"/>
      <c r="L33" s="178" t="s">
        <v>739</v>
      </c>
      <c r="M33" s="178" t="s">
        <v>890</v>
      </c>
      <c r="N33" s="178" t="s">
        <v>685</v>
      </c>
      <c r="O33" s="178" t="s">
        <v>684</v>
      </c>
      <c r="P33" s="179" t="s">
        <v>683</v>
      </c>
      <c r="Q33" s="178" t="s">
        <v>694</v>
      </c>
      <c r="R33" s="7"/>
      <c r="S33" s="6"/>
      <c r="T33" s="6"/>
    </row>
    <row r="34" spans="1:20" x14ac:dyDescent="0.2">
      <c r="A34" s="7"/>
      <c r="B34" s="7"/>
      <c r="C34" s="7"/>
      <c r="D34" s="7"/>
      <c r="E34" s="7"/>
      <c r="F34" s="7"/>
      <c r="G34" s="7"/>
      <c r="H34" s="7"/>
      <c r="I34" s="7"/>
      <c r="J34" s="7"/>
      <c r="K34" s="7"/>
      <c r="L34" s="180" t="s">
        <v>24</v>
      </c>
      <c r="M34" s="180" t="e">
        <f t="shared" ref="M34:M54" ca="1" si="5">SUMIF(Val_StructureType,$L34,Val_NumStructures)</f>
        <v>#REF!</v>
      </c>
      <c r="N34" s="182" t="e">
        <f t="shared" ref="N34:N54" ca="1" si="6">SUMIF(Val_StructureType,$L34,Val_GRC)</f>
        <v>#REF!</v>
      </c>
      <c r="O34" s="182" t="e">
        <f t="shared" ref="O34:O54" ca="1" si="7">SUMIF(Val_StructureType,$L34,Val_DRC)</f>
        <v>#REF!</v>
      </c>
      <c r="P34" s="182" t="e">
        <f ca="1">N34-O34</f>
        <v>#REF!</v>
      </c>
      <c r="Q34" s="187" t="str">
        <f ca="1">IFERROR(O34/N34,"")</f>
        <v/>
      </c>
      <c r="R34" s="7"/>
      <c r="S34" s="6"/>
      <c r="T34" s="6"/>
    </row>
    <row r="35" spans="1:20" x14ac:dyDescent="0.2">
      <c r="A35" s="7"/>
      <c r="B35" s="7"/>
      <c r="C35" s="7"/>
      <c r="D35" s="7"/>
      <c r="E35" s="7"/>
      <c r="F35" s="7"/>
      <c r="G35" s="7"/>
      <c r="H35" s="7"/>
      <c r="I35" s="7"/>
      <c r="J35" s="7"/>
      <c r="K35" s="7"/>
      <c r="L35" s="184" t="s">
        <v>32</v>
      </c>
      <c r="M35" s="184" t="e">
        <f t="shared" ca="1" si="5"/>
        <v>#REF!</v>
      </c>
      <c r="N35" s="186" t="e">
        <f t="shared" ca="1" si="6"/>
        <v>#REF!</v>
      </c>
      <c r="O35" s="186" t="e">
        <f t="shared" ca="1" si="7"/>
        <v>#REF!</v>
      </c>
      <c r="P35" s="186" t="e">
        <f t="shared" ref="P35:P55" ca="1" si="8">N35-O35</f>
        <v>#REF!</v>
      </c>
      <c r="Q35" s="187" t="str">
        <f t="shared" ref="Q35:Q54" ca="1" si="9">IFERROR(O35/N35,"")</f>
        <v/>
      </c>
      <c r="R35" s="7"/>
      <c r="S35" s="6"/>
      <c r="T35" s="6"/>
    </row>
    <row r="36" spans="1:20" x14ac:dyDescent="0.2">
      <c r="A36" s="7"/>
      <c r="B36" s="7"/>
      <c r="C36" s="7"/>
      <c r="D36" s="7"/>
      <c r="E36" s="7"/>
      <c r="F36" s="7"/>
      <c r="G36" s="7"/>
      <c r="H36" s="7"/>
      <c r="I36" s="7"/>
      <c r="J36" s="7"/>
      <c r="K36" s="7"/>
      <c r="L36" s="184" t="s">
        <v>41</v>
      </c>
      <c r="M36" s="184" t="e">
        <f t="shared" ca="1" si="5"/>
        <v>#REF!</v>
      </c>
      <c r="N36" s="186" t="e">
        <f t="shared" ca="1" si="6"/>
        <v>#REF!</v>
      </c>
      <c r="O36" s="186" t="e">
        <f t="shared" ca="1" si="7"/>
        <v>#REF!</v>
      </c>
      <c r="P36" s="186" t="e">
        <f t="shared" ca="1" si="8"/>
        <v>#REF!</v>
      </c>
      <c r="Q36" s="187" t="str">
        <f ca="1">IFERROR(O36/N36,"")</f>
        <v/>
      </c>
      <c r="R36" s="7"/>
      <c r="S36" s="6"/>
      <c r="T36" s="6"/>
    </row>
    <row r="37" spans="1:20" x14ac:dyDescent="0.2">
      <c r="A37" s="7"/>
      <c r="B37" s="7"/>
      <c r="C37" s="7"/>
      <c r="D37" s="7"/>
      <c r="E37" s="7"/>
      <c r="F37" s="7"/>
      <c r="G37" s="7"/>
      <c r="H37" s="7"/>
      <c r="I37" s="7"/>
      <c r="J37" s="7"/>
      <c r="K37" s="7"/>
      <c r="L37" s="184" t="s">
        <v>16</v>
      </c>
      <c r="M37" s="184" t="e">
        <f t="shared" ca="1" si="5"/>
        <v>#REF!</v>
      </c>
      <c r="N37" s="186" t="e">
        <f t="shared" ca="1" si="6"/>
        <v>#REF!</v>
      </c>
      <c r="O37" s="186" t="e">
        <f t="shared" ca="1" si="7"/>
        <v>#REF!</v>
      </c>
      <c r="P37" s="186" t="e">
        <f t="shared" ca="1" si="8"/>
        <v>#REF!</v>
      </c>
      <c r="Q37" s="187" t="str">
        <f t="shared" ca="1" si="9"/>
        <v/>
      </c>
      <c r="R37" s="7"/>
      <c r="S37" s="6"/>
      <c r="T37" s="6"/>
    </row>
    <row r="38" spans="1:20" x14ac:dyDescent="0.2">
      <c r="A38" s="7"/>
      <c r="B38" s="7"/>
      <c r="C38" s="7"/>
      <c r="D38" s="7"/>
      <c r="E38" s="7"/>
      <c r="F38" s="7"/>
      <c r="G38" s="7"/>
      <c r="H38" s="7"/>
      <c r="I38" s="7"/>
      <c r="J38" s="7"/>
      <c r="K38" s="7"/>
      <c r="L38" s="184" t="s">
        <v>31</v>
      </c>
      <c r="M38" s="184" t="e">
        <f t="shared" ca="1" si="5"/>
        <v>#REF!</v>
      </c>
      <c r="N38" s="186" t="e">
        <f t="shared" ca="1" si="6"/>
        <v>#REF!</v>
      </c>
      <c r="O38" s="186" t="e">
        <f t="shared" ca="1" si="7"/>
        <v>#REF!</v>
      </c>
      <c r="P38" s="186" t="e">
        <f t="shared" ca="1" si="8"/>
        <v>#REF!</v>
      </c>
      <c r="Q38" s="187" t="str">
        <f t="shared" ca="1" si="9"/>
        <v/>
      </c>
      <c r="R38" s="7"/>
      <c r="S38" s="6"/>
      <c r="T38" s="6"/>
    </row>
    <row r="39" spans="1:20" x14ac:dyDescent="0.2">
      <c r="A39" s="97"/>
      <c r="B39" s="97"/>
      <c r="C39" s="97"/>
      <c r="D39" s="97"/>
      <c r="E39" s="97"/>
      <c r="F39" s="97"/>
      <c r="G39" s="7"/>
      <c r="H39" s="7"/>
      <c r="I39" s="7"/>
      <c r="J39" s="7"/>
      <c r="K39" s="7"/>
      <c r="L39" s="184" t="s">
        <v>304</v>
      </c>
      <c r="M39" s="184" t="e">
        <f t="shared" ca="1" si="5"/>
        <v>#REF!</v>
      </c>
      <c r="N39" s="186" t="e">
        <f t="shared" ca="1" si="6"/>
        <v>#REF!</v>
      </c>
      <c r="O39" s="186" t="e">
        <f t="shared" ca="1" si="7"/>
        <v>#REF!</v>
      </c>
      <c r="P39" s="186" t="e">
        <f t="shared" ca="1" si="8"/>
        <v>#REF!</v>
      </c>
      <c r="Q39" s="187" t="str">
        <f t="shared" ca="1" si="9"/>
        <v/>
      </c>
      <c r="R39" s="7"/>
      <c r="S39" s="6"/>
      <c r="T39" s="6"/>
    </row>
    <row r="40" spans="1:20" x14ac:dyDescent="0.2">
      <c r="A40" s="97"/>
      <c r="B40" s="97"/>
      <c r="C40" s="97"/>
      <c r="D40" s="97"/>
      <c r="E40" s="97"/>
      <c r="F40" s="97"/>
      <c r="G40" s="7"/>
      <c r="H40" s="7"/>
      <c r="I40" s="7"/>
      <c r="J40" s="7"/>
      <c r="K40" s="7"/>
      <c r="L40" s="184" t="s">
        <v>21</v>
      </c>
      <c r="M40" s="184" t="e">
        <f t="shared" ca="1" si="5"/>
        <v>#REF!</v>
      </c>
      <c r="N40" s="186" t="e">
        <f t="shared" ca="1" si="6"/>
        <v>#REF!</v>
      </c>
      <c r="O40" s="186" t="e">
        <f t="shared" ca="1" si="7"/>
        <v>#REF!</v>
      </c>
      <c r="P40" s="186" t="e">
        <f t="shared" ca="1" si="8"/>
        <v>#REF!</v>
      </c>
      <c r="Q40" s="187" t="str">
        <f t="shared" ca="1" si="9"/>
        <v/>
      </c>
      <c r="R40" s="7"/>
      <c r="S40" s="6"/>
      <c r="T40" s="6"/>
    </row>
    <row r="41" spans="1:20" x14ac:dyDescent="0.2">
      <c r="A41" s="97"/>
      <c r="B41" s="97"/>
      <c r="C41" s="97"/>
      <c r="D41" s="97"/>
      <c r="E41" s="97"/>
      <c r="F41" s="97"/>
      <c r="G41" s="7"/>
      <c r="H41" s="7"/>
      <c r="I41" s="7"/>
      <c r="J41" s="7"/>
      <c r="K41" s="7"/>
      <c r="L41" s="184" t="s">
        <v>17</v>
      </c>
      <c r="M41" s="184" t="e">
        <f t="shared" ca="1" si="5"/>
        <v>#REF!</v>
      </c>
      <c r="N41" s="186" t="e">
        <f t="shared" ca="1" si="6"/>
        <v>#REF!</v>
      </c>
      <c r="O41" s="186" t="e">
        <f t="shared" ca="1" si="7"/>
        <v>#REF!</v>
      </c>
      <c r="P41" s="186" t="e">
        <f t="shared" ca="1" si="8"/>
        <v>#REF!</v>
      </c>
      <c r="Q41" s="187" t="str">
        <f t="shared" ca="1" si="9"/>
        <v/>
      </c>
      <c r="R41" s="7"/>
      <c r="S41" s="6"/>
      <c r="T41" s="6"/>
    </row>
    <row r="42" spans="1:20" x14ac:dyDescent="0.2">
      <c r="A42" s="97"/>
      <c r="B42" s="97"/>
      <c r="C42" s="97"/>
      <c r="D42" s="97"/>
      <c r="E42" s="97"/>
      <c r="F42" s="97"/>
      <c r="G42" s="7"/>
      <c r="H42" s="7"/>
      <c r="I42" s="7"/>
      <c r="J42" s="7"/>
      <c r="K42" s="7"/>
      <c r="L42" s="184" t="s">
        <v>39</v>
      </c>
      <c r="M42" s="184" t="e">
        <f t="shared" ca="1" si="5"/>
        <v>#REF!</v>
      </c>
      <c r="N42" s="186" t="e">
        <f t="shared" ca="1" si="6"/>
        <v>#REF!</v>
      </c>
      <c r="O42" s="186" t="e">
        <f t="shared" ca="1" si="7"/>
        <v>#REF!</v>
      </c>
      <c r="P42" s="186" t="e">
        <f t="shared" ca="1" si="8"/>
        <v>#REF!</v>
      </c>
      <c r="Q42" s="187" t="str">
        <f t="shared" ca="1" si="9"/>
        <v/>
      </c>
      <c r="R42" s="7"/>
      <c r="S42" s="6"/>
      <c r="T42" s="6"/>
    </row>
    <row r="43" spans="1:20" x14ac:dyDescent="0.2">
      <c r="A43" s="97"/>
      <c r="B43" s="97"/>
      <c r="C43" s="97"/>
      <c r="D43" s="97"/>
      <c r="E43" s="97"/>
      <c r="F43" s="97"/>
      <c r="G43" s="7"/>
      <c r="H43" s="7"/>
      <c r="I43" s="7"/>
      <c r="J43" s="7"/>
      <c r="K43" s="7"/>
      <c r="L43" s="184" t="s">
        <v>177</v>
      </c>
      <c r="M43" s="184" t="e">
        <f t="shared" ca="1" si="5"/>
        <v>#REF!</v>
      </c>
      <c r="N43" s="186" t="e">
        <f t="shared" ca="1" si="6"/>
        <v>#REF!</v>
      </c>
      <c r="O43" s="186" t="e">
        <f t="shared" ca="1" si="7"/>
        <v>#REF!</v>
      </c>
      <c r="P43" s="186" t="e">
        <f t="shared" ca="1" si="8"/>
        <v>#REF!</v>
      </c>
      <c r="Q43" s="187" t="str">
        <f t="shared" ca="1" si="9"/>
        <v/>
      </c>
      <c r="R43" s="7"/>
      <c r="S43" s="97"/>
      <c r="T43" s="97"/>
    </row>
    <row r="44" spans="1:20" x14ac:dyDescent="0.2">
      <c r="A44" s="97"/>
      <c r="B44" s="97"/>
      <c r="C44" s="97"/>
      <c r="D44" s="97"/>
      <c r="E44" s="97"/>
      <c r="F44" s="97"/>
      <c r="G44" s="7"/>
      <c r="H44" s="7"/>
      <c r="I44" s="7"/>
      <c r="J44" s="7"/>
      <c r="K44" s="7"/>
      <c r="L44" s="184" t="s">
        <v>26</v>
      </c>
      <c r="M44" s="184" t="e">
        <f t="shared" ca="1" si="5"/>
        <v>#REF!</v>
      </c>
      <c r="N44" s="186" t="e">
        <f t="shared" ca="1" si="6"/>
        <v>#REF!</v>
      </c>
      <c r="O44" s="186" t="e">
        <f t="shared" ca="1" si="7"/>
        <v>#REF!</v>
      </c>
      <c r="P44" s="186" t="e">
        <f t="shared" ca="1" si="8"/>
        <v>#REF!</v>
      </c>
      <c r="Q44" s="187" t="str">
        <f t="shared" ca="1" si="9"/>
        <v/>
      </c>
      <c r="R44" s="7"/>
      <c r="S44" s="97"/>
      <c r="T44" s="97"/>
    </row>
    <row r="45" spans="1:20" ht="14.45" customHeight="1" x14ac:dyDescent="0.2">
      <c r="A45" s="97"/>
      <c r="B45" s="7" t="s">
        <v>741</v>
      </c>
      <c r="C45" s="7"/>
      <c r="D45" s="7"/>
      <c r="E45" s="7"/>
      <c r="F45" s="7"/>
      <c r="G45" s="7"/>
      <c r="H45" s="7"/>
      <c r="I45" s="7"/>
      <c r="J45" s="7"/>
      <c r="K45" s="7"/>
      <c r="L45" s="184" t="s">
        <v>740</v>
      </c>
      <c r="M45" s="184" t="e">
        <f t="shared" ca="1" si="5"/>
        <v>#REF!</v>
      </c>
      <c r="N45" s="186" t="e">
        <f t="shared" ca="1" si="6"/>
        <v>#REF!</v>
      </c>
      <c r="O45" s="186" t="e">
        <f t="shared" ca="1" si="7"/>
        <v>#REF!</v>
      </c>
      <c r="P45" s="186" t="e">
        <f t="shared" ca="1" si="8"/>
        <v>#REF!</v>
      </c>
      <c r="Q45" s="187" t="str">
        <f t="shared" ca="1" si="9"/>
        <v/>
      </c>
      <c r="R45" s="7"/>
      <c r="S45" s="97"/>
      <c r="T45" s="97"/>
    </row>
    <row r="46" spans="1:20" ht="14.45" customHeight="1" x14ac:dyDescent="0.2">
      <c r="A46" s="97"/>
      <c r="B46" s="7"/>
      <c r="C46" s="7"/>
      <c r="D46" s="7"/>
      <c r="E46" s="7"/>
      <c r="F46" s="7"/>
      <c r="G46" s="7"/>
      <c r="H46" s="7"/>
      <c r="I46" s="7"/>
      <c r="J46" s="7"/>
      <c r="K46" s="7"/>
      <c r="L46" s="184" t="s">
        <v>1143</v>
      </c>
      <c r="M46" s="184" t="e">
        <f t="shared" ca="1" si="5"/>
        <v>#REF!</v>
      </c>
      <c r="N46" s="186" t="e">
        <f t="shared" ca="1" si="6"/>
        <v>#REF!</v>
      </c>
      <c r="O46" s="186" t="e">
        <f t="shared" ca="1" si="7"/>
        <v>#REF!</v>
      </c>
      <c r="P46" s="186" t="e">
        <f t="shared" ca="1" si="8"/>
        <v>#REF!</v>
      </c>
      <c r="Q46" s="187" t="str">
        <f t="shared" ca="1" si="9"/>
        <v/>
      </c>
      <c r="R46" s="7"/>
      <c r="S46" s="97"/>
      <c r="T46" s="97"/>
    </row>
    <row r="47" spans="1:20" ht="14.45" customHeight="1" x14ac:dyDescent="0.2">
      <c r="A47" s="97"/>
      <c r="B47" s="7"/>
      <c r="C47" s="7"/>
      <c r="D47" s="7"/>
      <c r="E47" s="7"/>
      <c r="F47" s="7"/>
      <c r="G47" s="178" t="s">
        <v>739</v>
      </c>
      <c r="H47" s="178" t="s">
        <v>738</v>
      </c>
      <c r="I47" s="178" t="s">
        <v>737</v>
      </c>
      <c r="J47" s="178" t="s">
        <v>786</v>
      </c>
      <c r="K47" s="7"/>
      <c r="L47" s="184" t="s">
        <v>1144</v>
      </c>
      <c r="M47" s="184" t="e">
        <f t="shared" ca="1" si="5"/>
        <v>#REF!</v>
      </c>
      <c r="N47" s="186" t="e">
        <f t="shared" ca="1" si="6"/>
        <v>#REF!</v>
      </c>
      <c r="O47" s="186" t="e">
        <f t="shared" ca="1" si="7"/>
        <v>#REF!</v>
      </c>
      <c r="P47" s="186" t="e">
        <f t="shared" ca="1" si="8"/>
        <v>#REF!</v>
      </c>
      <c r="Q47" s="187" t="str">
        <f t="shared" ca="1" si="9"/>
        <v/>
      </c>
      <c r="R47" s="7"/>
      <c r="S47" s="97"/>
      <c r="T47" s="97"/>
    </row>
    <row r="48" spans="1:20" ht="14.45" customHeight="1" x14ac:dyDescent="0.2">
      <c r="A48" s="97"/>
      <c r="B48" s="7"/>
      <c r="C48" s="7"/>
      <c r="D48" s="7"/>
      <c r="E48" s="7"/>
      <c r="F48" s="7"/>
      <c r="G48" s="180" t="s">
        <v>181</v>
      </c>
      <c r="H48" s="195">
        <f ca="1">Value!$CC$8</f>
        <v>0</v>
      </c>
      <c r="I48" s="195">
        <f ca="1">Value!$CD$8</f>
        <v>0</v>
      </c>
      <c r="J48" s="183">
        <f ca="1">Value!CJ8</f>
        <v>0</v>
      </c>
      <c r="K48" s="7"/>
      <c r="L48" s="184" t="s">
        <v>1141</v>
      </c>
      <c r="M48" s="184" t="e">
        <f t="shared" ca="1" si="5"/>
        <v>#REF!</v>
      </c>
      <c r="N48" s="186" t="e">
        <f t="shared" ca="1" si="6"/>
        <v>#REF!</v>
      </c>
      <c r="O48" s="186" t="e">
        <f t="shared" ca="1" si="7"/>
        <v>#REF!</v>
      </c>
      <c r="P48" s="186" t="e">
        <f t="shared" ca="1" si="8"/>
        <v>#REF!</v>
      </c>
      <c r="Q48" s="187" t="str">
        <f t="shared" ca="1" si="9"/>
        <v/>
      </c>
      <c r="R48" s="7"/>
      <c r="S48" s="97"/>
      <c r="T48" s="97"/>
    </row>
    <row r="49" spans="1:20" ht="14.45" customHeight="1" x14ac:dyDescent="0.2">
      <c r="A49" s="97"/>
      <c r="B49" s="7"/>
      <c r="C49" s="7"/>
      <c r="D49" s="7"/>
      <c r="E49" s="7"/>
      <c r="F49" s="7"/>
      <c r="G49" s="184" t="s">
        <v>180</v>
      </c>
      <c r="H49" s="196">
        <f ca="1">Value!$CC$9</f>
        <v>0</v>
      </c>
      <c r="I49" s="196">
        <f ca="1">Value!$CD$9</f>
        <v>0</v>
      </c>
      <c r="J49" s="187">
        <f ca="1">Value!CJ9</f>
        <v>0</v>
      </c>
      <c r="K49" s="7"/>
      <c r="L49" s="184" t="s">
        <v>1142</v>
      </c>
      <c r="M49" s="184" t="e">
        <f t="shared" ca="1" si="5"/>
        <v>#REF!</v>
      </c>
      <c r="N49" s="186" t="e">
        <f t="shared" ca="1" si="6"/>
        <v>#REF!</v>
      </c>
      <c r="O49" s="186" t="e">
        <f t="shared" ca="1" si="7"/>
        <v>#REF!</v>
      </c>
      <c r="P49" s="186" t="e">
        <f t="shared" ca="1" si="8"/>
        <v>#REF!</v>
      </c>
      <c r="Q49" s="187" t="str">
        <f t="shared" ca="1" si="9"/>
        <v/>
      </c>
      <c r="R49" s="7"/>
      <c r="S49" s="97"/>
      <c r="T49" s="97"/>
    </row>
    <row r="50" spans="1:20" ht="14.45" customHeight="1" x14ac:dyDescent="0.2">
      <c r="A50" s="97"/>
      <c r="B50" s="7"/>
      <c r="C50" s="7"/>
      <c r="D50" s="7"/>
      <c r="E50" s="7"/>
      <c r="F50" s="7"/>
      <c r="G50" s="184" t="s">
        <v>179</v>
      </c>
      <c r="H50" s="196">
        <f ca="1">Value!$CC$10</f>
        <v>0</v>
      </c>
      <c r="I50" s="196">
        <f ca="1">Value!$CD$10</f>
        <v>0</v>
      </c>
      <c r="J50" s="187">
        <f ca="1">Value!CJ10</f>
        <v>0</v>
      </c>
      <c r="K50" s="7"/>
      <c r="L50" s="184" t="s">
        <v>36</v>
      </c>
      <c r="M50" s="184" t="e">
        <f t="shared" ca="1" si="5"/>
        <v>#REF!</v>
      </c>
      <c r="N50" s="186" t="e">
        <f t="shared" ca="1" si="6"/>
        <v>#REF!</v>
      </c>
      <c r="O50" s="186" t="e">
        <f t="shared" ca="1" si="7"/>
        <v>#REF!</v>
      </c>
      <c r="P50" s="186" t="e">
        <f t="shared" ca="1" si="8"/>
        <v>#REF!</v>
      </c>
      <c r="Q50" s="187" t="str">
        <f t="shared" ca="1" si="9"/>
        <v/>
      </c>
      <c r="R50" s="7"/>
      <c r="S50" s="97"/>
      <c r="T50" s="97"/>
    </row>
    <row r="51" spans="1:20" ht="14.45" customHeight="1" x14ac:dyDescent="0.2">
      <c r="A51" s="97"/>
      <c r="B51" s="7"/>
      <c r="C51" s="7"/>
      <c r="D51" s="7"/>
      <c r="E51" s="7"/>
      <c r="F51" s="7"/>
      <c r="G51" s="184" t="s">
        <v>178</v>
      </c>
      <c r="H51" s="196">
        <f ca="1">Value!$CC$11</f>
        <v>0</v>
      </c>
      <c r="I51" s="196">
        <f ca="1">Value!$CD$11</f>
        <v>0</v>
      </c>
      <c r="J51" s="187">
        <f ca="1">Value!CJ11</f>
        <v>0</v>
      </c>
      <c r="K51" s="7"/>
      <c r="L51" s="184" t="s">
        <v>29</v>
      </c>
      <c r="M51" s="184" t="e">
        <f t="shared" ca="1" si="5"/>
        <v>#REF!</v>
      </c>
      <c r="N51" s="186" t="e">
        <f t="shared" ca="1" si="6"/>
        <v>#REF!</v>
      </c>
      <c r="O51" s="186" t="e">
        <f t="shared" ca="1" si="7"/>
        <v>#REF!</v>
      </c>
      <c r="P51" s="186" t="e">
        <f t="shared" ca="1" si="8"/>
        <v>#REF!</v>
      </c>
      <c r="Q51" s="187" t="str">
        <f t="shared" ca="1" si="9"/>
        <v/>
      </c>
      <c r="R51" s="7"/>
      <c r="S51" s="97"/>
      <c r="T51" s="97"/>
    </row>
    <row r="52" spans="1:20" ht="14.45" customHeight="1" x14ac:dyDescent="0.2">
      <c r="A52" s="97"/>
      <c r="B52" s="7"/>
      <c r="C52" s="7"/>
      <c r="D52" s="7"/>
      <c r="E52" s="7"/>
      <c r="F52" s="7"/>
      <c r="G52" s="184" t="s">
        <v>177</v>
      </c>
      <c r="H52" s="196">
        <f ca="1">Value!$CC$12</f>
        <v>0</v>
      </c>
      <c r="I52" s="196">
        <f ca="1">Value!$CD$12</f>
        <v>0</v>
      </c>
      <c r="J52" s="187">
        <f ca="1">Value!CJ12</f>
        <v>0</v>
      </c>
      <c r="K52" s="7"/>
      <c r="L52" s="184" t="s">
        <v>578</v>
      </c>
      <c r="M52" s="184" t="e">
        <f t="shared" ca="1" si="5"/>
        <v>#REF!</v>
      </c>
      <c r="N52" s="186" t="e">
        <f t="shared" ca="1" si="6"/>
        <v>#REF!</v>
      </c>
      <c r="O52" s="186" t="e">
        <f t="shared" ca="1" si="7"/>
        <v>#REF!</v>
      </c>
      <c r="P52" s="186" t="e">
        <f t="shared" ca="1" si="8"/>
        <v>#REF!</v>
      </c>
      <c r="Q52" s="187" t="str">
        <f t="shared" ca="1" si="9"/>
        <v/>
      </c>
      <c r="R52" s="7"/>
      <c r="S52" s="97"/>
      <c r="T52" s="97"/>
    </row>
    <row r="53" spans="1:20" ht="14.45" customHeight="1" x14ac:dyDescent="0.2">
      <c r="A53" s="97"/>
      <c r="B53" s="7"/>
      <c r="C53" s="7"/>
      <c r="D53" s="7"/>
      <c r="E53" s="7"/>
      <c r="F53" s="7"/>
      <c r="G53" s="184" t="s">
        <v>176</v>
      </c>
      <c r="H53" s="196">
        <f ca="1">Value!$CC$13</f>
        <v>0</v>
      </c>
      <c r="I53" s="196">
        <f ca="1">Value!$CD$13</f>
        <v>0</v>
      </c>
      <c r="J53" s="187">
        <f ca="1">Value!CJ13</f>
        <v>0</v>
      </c>
      <c r="K53" s="7"/>
      <c r="L53" s="184" t="s">
        <v>577</v>
      </c>
      <c r="M53" s="184" t="e">
        <f t="shared" ca="1" si="5"/>
        <v>#REF!</v>
      </c>
      <c r="N53" s="186" t="e">
        <f t="shared" ca="1" si="6"/>
        <v>#REF!</v>
      </c>
      <c r="O53" s="186" t="e">
        <f t="shared" ca="1" si="7"/>
        <v>#REF!</v>
      </c>
      <c r="P53" s="186" t="e">
        <f t="shared" ca="1" si="8"/>
        <v>#REF!</v>
      </c>
      <c r="Q53" s="187" t="str">
        <f t="shared" ca="1" si="9"/>
        <v/>
      </c>
      <c r="R53" s="7"/>
      <c r="S53" s="97"/>
      <c r="T53" s="97"/>
    </row>
    <row r="54" spans="1:20" ht="14.45" customHeight="1" x14ac:dyDescent="0.2">
      <c r="A54" s="97"/>
      <c r="B54" s="7"/>
      <c r="C54" s="7"/>
      <c r="D54" s="7"/>
      <c r="E54" s="7"/>
      <c r="F54" s="7"/>
      <c r="G54" s="188" t="s">
        <v>25</v>
      </c>
      <c r="H54" s="197">
        <f ca="1">Value!$CC$14</f>
        <v>0</v>
      </c>
      <c r="I54" s="197">
        <f ca="1">Value!$CD$14</f>
        <v>0</v>
      </c>
      <c r="J54" s="198">
        <f ca="1">Value!CJ14</f>
        <v>0</v>
      </c>
      <c r="K54" s="7"/>
      <c r="L54" s="184" t="s">
        <v>37</v>
      </c>
      <c r="M54" s="184" t="e">
        <f t="shared" ca="1" si="5"/>
        <v>#REF!</v>
      </c>
      <c r="N54" s="186" t="e">
        <f t="shared" ca="1" si="6"/>
        <v>#REF!</v>
      </c>
      <c r="O54" s="186" t="e">
        <f t="shared" ca="1" si="7"/>
        <v>#REF!</v>
      </c>
      <c r="P54" s="186" t="e">
        <f t="shared" ca="1" si="8"/>
        <v>#REF!</v>
      </c>
      <c r="Q54" s="187" t="str">
        <f t="shared" ca="1" si="9"/>
        <v/>
      </c>
      <c r="R54" s="7"/>
      <c r="S54" s="97"/>
      <c r="T54" s="97"/>
    </row>
    <row r="55" spans="1:20" ht="14.45" customHeight="1" x14ac:dyDescent="0.2">
      <c r="A55" s="97"/>
      <c r="B55" s="7"/>
      <c r="C55" s="7"/>
      <c r="D55" s="7"/>
      <c r="E55" s="7"/>
      <c r="F55" s="7"/>
      <c r="G55" s="190" t="s">
        <v>736</v>
      </c>
      <c r="H55" s="199">
        <f ca="1">Value!$CC$15</f>
        <v>0</v>
      </c>
      <c r="I55" s="199">
        <f ca="1">Value!$CD$15</f>
        <v>0</v>
      </c>
      <c r="J55" s="194">
        <f ca="1">Value!CJ15</f>
        <v>0</v>
      </c>
      <c r="K55" s="7"/>
      <c r="L55" s="190" t="s">
        <v>735</v>
      </c>
      <c r="M55" s="190" t="e">
        <f ca="1">SUM(M34:M54)</f>
        <v>#REF!</v>
      </c>
      <c r="N55" s="193" t="e">
        <f ca="1">SUM(N34:N54)</f>
        <v>#REF!</v>
      </c>
      <c r="O55" s="193" t="e">
        <f ca="1">SUM(O34:O54)</f>
        <v>#REF!</v>
      </c>
      <c r="P55" s="193" t="e">
        <f t="shared" ca="1" si="8"/>
        <v>#REF!</v>
      </c>
      <c r="Q55" s="194" t="str">
        <f ca="1">IFERROR(O55/N55,"")</f>
        <v/>
      </c>
      <c r="R55" s="7"/>
      <c r="S55" s="97"/>
      <c r="T55" s="97"/>
    </row>
    <row r="56" spans="1:20" ht="14.45" customHeight="1" x14ac:dyDescent="0.2">
      <c r="A56" s="97"/>
      <c r="B56" s="97"/>
      <c r="C56" s="97"/>
      <c r="D56" s="97"/>
      <c r="E56" s="97"/>
      <c r="F56" s="97"/>
      <c r="G56" s="97"/>
      <c r="H56" s="97"/>
      <c r="I56" s="97"/>
      <c r="J56" s="97"/>
      <c r="K56" s="97"/>
      <c r="L56" s="97"/>
      <c r="M56" s="97"/>
      <c r="N56" s="97"/>
      <c r="O56" s="97"/>
      <c r="P56" s="97"/>
      <c r="Q56" s="97"/>
      <c r="R56" s="97"/>
      <c r="S56" s="97"/>
      <c r="T56" s="97"/>
    </row>
    <row r="57" spans="1:20" ht="14.45" customHeight="1" x14ac:dyDescent="0.2"/>
    <row r="58" spans="1:20" ht="14.45" customHeight="1" x14ac:dyDescent="0.2">
      <c r="A58" s="552" t="s">
        <v>836</v>
      </c>
      <c r="B58" s="552"/>
      <c r="C58" s="552"/>
      <c r="D58" s="552"/>
      <c r="E58" s="552"/>
      <c r="F58" s="552"/>
      <c r="G58" s="552"/>
      <c r="H58" s="552"/>
      <c r="I58" s="552"/>
      <c r="J58" s="552"/>
      <c r="K58" s="552"/>
      <c r="L58" s="552"/>
      <c r="M58" s="552"/>
      <c r="N58" s="552"/>
      <c r="O58" s="552"/>
      <c r="P58" s="552"/>
      <c r="Q58" s="552"/>
      <c r="R58" s="552"/>
      <c r="S58" s="552"/>
      <c r="T58" s="552"/>
    </row>
    <row r="59" spans="1:20" ht="14.45" customHeight="1" x14ac:dyDescent="0.2">
      <c r="A59" s="552"/>
      <c r="B59" s="552"/>
      <c r="C59" s="552"/>
      <c r="D59" s="552"/>
      <c r="E59" s="552"/>
      <c r="F59" s="552"/>
      <c r="G59" s="552"/>
      <c r="H59" s="552"/>
      <c r="I59" s="552"/>
      <c r="J59" s="552"/>
      <c r="K59" s="552"/>
      <c r="L59" s="552"/>
      <c r="M59" s="552"/>
      <c r="N59" s="552"/>
      <c r="O59" s="552"/>
      <c r="P59" s="552"/>
      <c r="Q59" s="552"/>
      <c r="R59" s="552"/>
      <c r="S59" s="552"/>
      <c r="T59" s="552"/>
    </row>
    <row r="60" spans="1:20" ht="15" x14ac:dyDescent="0.25">
      <c r="A60" s="10" t="s">
        <v>1145</v>
      </c>
      <c r="G60"/>
      <c r="H60"/>
      <c r="I60" s="200"/>
      <c r="J60" s="200"/>
      <c r="K60" s="200"/>
      <c r="L60" s="200"/>
      <c r="M60" s="200"/>
    </row>
    <row r="61" spans="1:20" x14ac:dyDescent="0.2">
      <c r="G61" s="200"/>
      <c r="H61" s="200"/>
      <c r="I61" s="200"/>
      <c r="J61" s="200"/>
      <c r="K61" s="200"/>
      <c r="L61" s="200"/>
      <c r="M61" s="200"/>
    </row>
    <row r="62" spans="1:20" ht="15" x14ac:dyDescent="0.25">
      <c r="G62" s="473" t="s">
        <v>585</v>
      </c>
      <c r="H62" s="474" t="s">
        <v>1891</v>
      </c>
      <c r="I62" s="465" t="s">
        <v>1188</v>
      </c>
      <c r="J62" s="475" t="s">
        <v>685</v>
      </c>
      <c r="K62" s="475" t="s">
        <v>684</v>
      </c>
      <c r="L62" s="475" t="s">
        <v>1189</v>
      </c>
      <c r="M62" s="465" t="s">
        <v>1784</v>
      </c>
      <c r="N62" s="465" t="s">
        <v>1084</v>
      </c>
      <c r="O62" s="465" t="s">
        <v>1083</v>
      </c>
      <c r="P62"/>
      <c r="Q62"/>
      <c r="R62"/>
    </row>
    <row r="63" spans="1:20" ht="15" x14ac:dyDescent="0.25">
      <c r="G63" s="465" t="s">
        <v>5947</v>
      </c>
      <c r="H63" s="465"/>
      <c r="I63" s="465"/>
      <c r="J63" s="476"/>
      <c r="K63" s="476"/>
      <c r="L63" s="476"/>
      <c r="M63" s="477" t="e">
        <v>#DIV/0!</v>
      </c>
      <c r="N63" s="478"/>
      <c r="O63" s="478"/>
      <c r="P63"/>
      <c r="Q63"/>
      <c r="R63"/>
    </row>
    <row r="64" spans="1:20" ht="15" x14ac:dyDescent="0.25">
      <c r="G64" s="465"/>
      <c r="H64" s="465" t="s">
        <v>5947</v>
      </c>
      <c r="I64" s="465"/>
      <c r="J64" s="476"/>
      <c r="K64" s="476"/>
      <c r="L64" s="476"/>
      <c r="M64" s="477" t="e">
        <v>#DIV/0!</v>
      </c>
      <c r="N64" s="478"/>
      <c r="O64" s="478"/>
      <c r="P64"/>
      <c r="Q64"/>
      <c r="R64"/>
    </row>
    <row r="65" spans="7:18" ht="15" x14ac:dyDescent="0.25">
      <c r="G65"/>
      <c r="H65"/>
      <c r="I65"/>
      <c r="J65"/>
      <c r="K65"/>
      <c r="L65"/>
      <c r="M65"/>
      <c r="N65"/>
      <c r="O65"/>
      <c r="P65"/>
      <c r="Q65"/>
      <c r="R65"/>
    </row>
    <row r="66" spans="7:18" ht="15" x14ac:dyDescent="0.25">
      <c r="G66"/>
      <c r="H66"/>
      <c r="I66"/>
      <c r="J66"/>
      <c r="K66"/>
      <c r="L66"/>
      <c r="M66"/>
      <c r="N66"/>
      <c r="O66"/>
      <c r="P66"/>
      <c r="Q66"/>
      <c r="R66"/>
    </row>
    <row r="67" spans="7:18" ht="15" x14ac:dyDescent="0.25">
      <c r="G67"/>
      <c r="H67"/>
      <c r="I67"/>
      <c r="J67"/>
      <c r="K67"/>
      <c r="L67"/>
      <c r="M67"/>
      <c r="N67"/>
      <c r="O67"/>
      <c r="P67"/>
      <c r="Q67"/>
      <c r="R67"/>
    </row>
    <row r="68" spans="7:18" ht="15" x14ac:dyDescent="0.25">
      <c r="G68"/>
      <c r="H68"/>
      <c r="I68"/>
      <c r="J68"/>
      <c r="K68"/>
      <c r="L68"/>
      <c r="M68"/>
      <c r="N68"/>
      <c r="O68"/>
      <c r="P68"/>
      <c r="Q68"/>
      <c r="R68"/>
    </row>
    <row r="69" spans="7:18" ht="15" x14ac:dyDescent="0.25">
      <c r="G69"/>
      <c r="H69"/>
      <c r="I69"/>
      <c r="J69"/>
      <c r="K69"/>
      <c r="L69"/>
      <c r="M69"/>
      <c r="N69"/>
      <c r="O69"/>
      <c r="P69"/>
      <c r="Q69"/>
      <c r="R69"/>
    </row>
    <row r="70" spans="7:18" ht="15" x14ac:dyDescent="0.25">
      <c r="G70"/>
      <c r="H70"/>
      <c r="I70"/>
      <c r="J70"/>
      <c r="K70"/>
      <c r="L70"/>
      <c r="M70"/>
      <c r="N70"/>
      <c r="O70"/>
      <c r="P70"/>
      <c r="Q70"/>
      <c r="R70"/>
    </row>
    <row r="71" spans="7:18" ht="15" x14ac:dyDescent="0.25">
      <c r="G71"/>
      <c r="H71"/>
      <c r="I71"/>
      <c r="J71"/>
      <c r="K71"/>
      <c r="L71"/>
      <c r="M71"/>
      <c r="N71"/>
      <c r="O71"/>
      <c r="P71"/>
      <c r="Q71"/>
      <c r="R71"/>
    </row>
    <row r="72" spans="7:18" ht="15" x14ac:dyDescent="0.25">
      <c r="G72"/>
      <c r="H72"/>
      <c r="I72"/>
      <c r="J72"/>
      <c r="K72"/>
      <c r="L72"/>
      <c r="M72"/>
      <c r="N72"/>
      <c r="O72"/>
      <c r="P72"/>
      <c r="Q72"/>
      <c r="R72"/>
    </row>
    <row r="73" spans="7:18" ht="15" x14ac:dyDescent="0.25">
      <c r="G73"/>
      <c r="H73"/>
      <c r="I73"/>
      <c r="J73"/>
      <c r="K73"/>
      <c r="L73"/>
      <c r="M73"/>
      <c r="N73"/>
      <c r="O73"/>
      <c r="P73"/>
      <c r="Q73"/>
      <c r="R73"/>
    </row>
    <row r="74" spans="7:18" ht="15" x14ac:dyDescent="0.25">
      <c r="G74"/>
      <c r="H74"/>
      <c r="I74"/>
      <c r="J74"/>
      <c r="K74"/>
      <c r="L74"/>
      <c r="M74"/>
      <c r="N74"/>
      <c r="O74"/>
      <c r="P74"/>
      <c r="Q74"/>
      <c r="R74"/>
    </row>
    <row r="75" spans="7:18" ht="15" x14ac:dyDescent="0.25">
      <c r="G75"/>
      <c r="H75"/>
      <c r="I75"/>
      <c r="J75"/>
      <c r="K75"/>
      <c r="L75"/>
      <c r="M75"/>
      <c r="N75"/>
      <c r="O75"/>
      <c r="P75"/>
      <c r="Q75"/>
      <c r="R75"/>
    </row>
    <row r="76" spans="7:18" ht="15" x14ac:dyDescent="0.25">
      <c r="G76"/>
      <c r="H76"/>
      <c r="I76"/>
      <c r="J76"/>
      <c r="K76"/>
      <c r="L76"/>
      <c r="M76"/>
      <c r="N76"/>
      <c r="O76"/>
      <c r="P76"/>
      <c r="Q76"/>
      <c r="R76"/>
    </row>
    <row r="77" spans="7:18" ht="15" x14ac:dyDescent="0.25">
      <c r="G77"/>
      <c r="H77"/>
      <c r="I77"/>
      <c r="J77"/>
      <c r="K77"/>
      <c r="L77"/>
      <c r="M77"/>
      <c r="N77"/>
      <c r="O77"/>
      <c r="P77"/>
      <c r="Q77"/>
      <c r="R77"/>
    </row>
    <row r="78" spans="7:18" ht="15" x14ac:dyDescent="0.25">
      <c r="G78"/>
      <c r="H78"/>
      <c r="I78"/>
      <c r="J78"/>
      <c r="K78"/>
      <c r="L78"/>
      <c r="M78"/>
      <c r="N78"/>
      <c r="O78"/>
      <c r="P78"/>
      <c r="Q78"/>
      <c r="R78"/>
    </row>
    <row r="79" spans="7:18" ht="15" x14ac:dyDescent="0.25">
      <c r="G79"/>
      <c r="H79"/>
      <c r="I79"/>
      <c r="J79"/>
      <c r="K79"/>
      <c r="L79"/>
      <c r="M79"/>
      <c r="N79"/>
      <c r="O79"/>
      <c r="P79"/>
      <c r="Q79"/>
      <c r="R79"/>
    </row>
    <row r="80" spans="7:18" ht="15" x14ac:dyDescent="0.25">
      <c r="G80"/>
      <c r="H80"/>
      <c r="I80"/>
      <c r="J80"/>
      <c r="K80"/>
      <c r="L80"/>
      <c r="M80"/>
      <c r="N80"/>
      <c r="O80"/>
      <c r="P80"/>
      <c r="Q80"/>
      <c r="R80"/>
    </row>
    <row r="81" spans="7:17" ht="15" x14ac:dyDescent="0.25">
      <c r="G81"/>
      <c r="H81"/>
      <c r="I81"/>
      <c r="J81"/>
      <c r="K81"/>
      <c r="L81"/>
      <c r="M81"/>
      <c r="N81"/>
      <c r="O81"/>
      <c r="P81"/>
      <c r="Q81"/>
    </row>
    <row r="82" spans="7:17" ht="15" x14ac:dyDescent="0.25">
      <c r="G82"/>
      <c r="H82"/>
      <c r="I82"/>
      <c r="J82"/>
      <c r="K82"/>
      <c r="L82"/>
      <c r="M82"/>
      <c r="N82"/>
      <c r="O82"/>
      <c r="P82"/>
      <c r="Q82"/>
    </row>
    <row r="83" spans="7:17" ht="15" x14ac:dyDescent="0.25">
      <c r="G83"/>
      <c r="H83"/>
      <c r="I83"/>
      <c r="J83"/>
      <c r="K83"/>
      <c r="L83"/>
      <c r="M83"/>
      <c r="N83"/>
      <c r="O83"/>
      <c r="P83"/>
      <c r="Q83"/>
    </row>
    <row r="84" spans="7:17" ht="15" x14ac:dyDescent="0.25">
      <c r="G84"/>
      <c r="H84"/>
      <c r="I84"/>
      <c r="J84"/>
      <c r="K84"/>
      <c r="L84"/>
      <c r="M84"/>
      <c r="N84"/>
      <c r="O84"/>
      <c r="P84"/>
      <c r="Q84"/>
    </row>
    <row r="85" spans="7:17" ht="15" x14ac:dyDescent="0.25">
      <c r="G85"/>
      <c r="H85"/>
      <c r="I85"/>
      <c r="J85"/>
      <c r="K85"/>
      <c r="L85"/>
      <c r="M85"/>
      <c r="N85"/>
      <c r="O85"/>
      <c r="P85"/>
      <c r="Q85"/>
    </row>
    <row r="86" spans="7:17" ht="15" x14ac:dyDescent="0.25">
      <c r="G86"/>
      <c r="H86"/>
      <c r="I86"/>
      <c r="J86"/>
      <c r="K86"/>
      <c r="L86"/>
      <c r="M86"/>
      <c r="N86"/>
      <c r="O86"/>
      <c r="P86"/>
      <c r="Q86"/>
    </row>
    <row r="87" spans="7:17" ht="15" x14ac:dyDescent="0.25">
      <c r="G87"/>
      <c r="H87"/>
      <c r="I87"/>
      <c r="J87"/>
      <c r="K87"/>
      <c r="L87"/>
      <c r="M87"/>
      <c r="N87"/>
      <c r="O87"/>
      <c r="P87"/>
    </row>
    <row r="88" spans="7:17" ht="15" x14ac:dyDescent="0.25">
      <c r="G88"/>
      <c r="H88"/>
      <c r="I88"/>
      <c r="J88"/>
      <c r="K88"/>
      <c r="L88"/>
      <c r="M88"/>
      <c r="N88"/>
      <c r="O88"/>
      <c r="P88"/>
    </row>
    <row r="89" spans="7:17" ht="15" x14ac:dyDescent="0.25">
      <c r="G89"/>
      <c r="H89"/>
      <c r="I89"/>
      <c r="J89"/>
      <c r="K89"/>
      <c r="L89"/>
      <c r="M89"/>
      <c r="N89"/>
      <c r="O89"/>
      <c r="P89"/>
    </row>
    <row r="90" spans="7:17" ht="15" x14ac:dyDescent="0.25">
      <c r="G90"/>
      <c r="H90"/>
      <c r="I90"/>
      <c r="J90"/>
      <c r="K90"/>
      <c r="L90"/>
      <c r="M90"/>
      <c r="N90"/>
      <c r="O90"/>
      <c r="P90"/>
    </row>
    <row r="91" spans="7:17" ht="15" x14ac:dyDescent="0.25">
      <c r="G91"/>
      <c r="H91"/>
      <c r="I91"/>
      <c r="J91"/>
      <c r="K91"/>
      <c r="L91"/>
      <c r="M91"/>
      <c r="N91"/>
      <c r="O91"/>
      <c r="P91"/>
    </row>
    <row r="92" spans="7:17" ht="15" x14ac:dyDescent="0.25">
      <c r="G92"/>
      <c r="H92"/>
      <c r="I92"/>
      <c r="J92"/>
      <c r="K92"/>
      <c r="L92"/>
      <c r="M92"/>
      <c r="N92"/>
      <c r="O92"/>
      <c r="P92"/>
    </row>
    <row r="93" spans="7:17" ht="15" x14ac:dyDescent="0.25">
      <c r="G93"/>
      <c r="H93"/>
      <c r="I93"/>
      <c r="J93"/>
      <c r="K93"/>
      <c r="L93"/>
      <c r="M93"/>
      <c r="N93"/>
      <c r="O93"/>
      <c r="P93"/>
    </row>
    <row r="94" spans="7:17" ht="15" x14ac:dyDescent="0.25">
      <c r="G94"/>
      <c r="H94"/>
      <c r="I94"/>
      <c r="J94"/>
      <c r="K94"/>
      <c r="L94"/>
      <c r="M94"/>
      <c r="N94"/>
      <c r="O94"/>
      <c r="P94"/>
    </row>
    <row r="95" spans="7:17" ht="15" x14ac:dyDescent="0.25">
      <c r="G95"/>
      <c r="H95"/>
      <c r="I95"/>
      <c r="J95"/>
      <c r="K95"/>
      <c r="L95"/>
      <c r="M95"/>
      <c r="N95"/>
      <c r="O95"/>
      <c r="P95"/>
    </row>
    <row r="96" spans="7:17" ht="15" x14ac:dyDescent="0.25">
      <c r="G96"/>
      <c r="H96"/>
      <c r="I96"/>
      <c r="J96"/>
      <c r="K96"/>
      <c r="L96"/>
      <c r="M96"/>
      <c r="N96"/>
      <c r="O96"/>
      <c r="P96"/>
    </row>
    <row r="97" spans="7:16" ht="15" x14ac:dyDescent="0.25">
      <c r="G97"/>
      <c r="H97"/>
      <c r="I97"/>
      <c r="J97"/>
      <c r="K97"/>
      <c r="L97"/>
      <c r="M97"/>
      <c r="N97"/>
      <c r="O97"/>
      <c r="P97"/>
    </row>
    <row r="98" spans="7:16" ht="15" x14ac:dyDescent="0.25">
      <c r="G98"/>
      <c r="H98"/>
      <c r="I98"/>
      <c r="J98"/>
      <c r="K98"/>
      <c r="L98"/>
      <c r="M98"/>
      <c r="N98"/>
      <c r="O98"/>
      <c r="P98"/>
    </row>
    <row r="99" spans="7:16" ht="15" x14ac:dyDescent="0.25">
      <c r="G99"/>
      <c r="H99"/>
      <c r="I99"/>
      <c r="J99"/>
      <c r="K99"/>
      <c r="L99"/>
      <c r="M99"/>
      <c r="N99"/>
      <c r="O99"/>
      <c r="P99"/>
    </row>
    <row r="100" spans="7:16" ht="15" x14ac:dyDescent="0.25">
      <c r="G100"/>
      <c r="H100"/>
      <c r="I100"/>
      <c r="J100"/>
      <c r="K100"/>
      <c r="L100"/>
      <c r="M100"/>
      <c r="N100"/>
      <c r="O100"/>
      <c r="P100"/>
    </row>
    <row r="101" spans="7:16" ht="15" x14ac:dyDescent="0.25">
      <c r="G101"/>
      <c r="H101"/>
      <c r="I101"/>
      <c r="J101"/>
      <c r="K101"/>
      <c r="L101"/>
      <c r="M101"/>
      <c r="N101"/>
      <c r="O101"/>
      <c r="P101"/>
    </row>
    <row r="102" spans="7:16" ht="15" x14ac:dyDescent="0.25">
      <c r="G102"/>
      <c r="H102"/>
      <c r="I102"/>
      <c r="J102"/>
      <c r="K102"/>
      <c r="L102"/>
      <c r="M102"/>
      <c r="N102"/>
      <c r="O102"/>
      <c r="P102"/>
    </row>
    <row r="103" spans="7:16" ht="15" x14ac:dyDescent="0.25">
      <c r="G103"/>
      <c r="H103"/>
      <c r="I103"/>
      <c r="J103"/>
      <c r="K103"/>
      <c r="L103"/>
      <c r="M103"/>
      <c r="N103"/>
      <c r="O103"/>
      <c r="P103"/>
    </row>
    <row r="104" spans="7:16" ht="15" x14ac:dyDescent="0.25">
      <c r="G104"/>
      <c r="H104"/>
      <c r="I104"/>
      <c r="J104"/>
      <c r="K104"/>
      <c r="L104"/>
      <c r="M104"/>
      <c r="N104"/>
      <c r="O104"/>
      <c r="P104"/>
    </row>
    <row r="105" spans="7:16" ht="15" x14ac:dyDescent="0.25">
      <c r="G105"/>
      <c r="H105"/>
      <c r="I105"/>
      <c r="J105"/>
      <c r="K105"/>
      <c r="L105"/>
      <c r="M105"/>
      <c r="N105"/>
      <c r="O105"/>
      <c r="P105"/>
    </row>
    <row r="106" spans="7:16" ht="15" x14ac:dyDescent="0.25">
      <c r="G106"/>
      <c r="H106"/>
      <c r="I106"/>
      <c r="J106"/>
      <c r="K106"/>
      <c r="L106"/>
      <c r="M106"/>
      <c r="N106"/>
      <c r="O106"/>
      <c r="P106"/>
    </row>
    <row r="107" spans="7:16" ht="15" x14ac:dyDescent="0.25">
      <c r="G107"/>
      <c r="H107"/>
      <c r="I107"/>
      <c r="J107"/>
      <c r="K107"/>
      <c r="L107"/>
      <c r="M107"/>
      <c r="N107"/>
      <c r="O107"/>
      <c r="P107"/>
    </row>
    <row r="108" spans="7:16" ht="15" x14ac:dyDescent="0.25">
      <c r="G108"/>
      <c r="H108"/>
      <c r="I108"/>
      <c r="J108"/>
      <c r="K108"/>
      <c r="L108"/>
      <c r="M108"/>
      <c r="N108"/>
      <c r="O108"/>
      <c r="P108"/>
    </row>
    <row r="109" spans="7:16" ht="15" x14ac:dyDescent="0.25">
      <c r="G109"/>
      <c r="H109"/>
      <c r="I109"/>
      <c r="J109"/>
      <c r="K109"/>
      <c r="L109"/>
      <c r="M109"/>
      <c r="N109"/>
      <c r="O109"/>
      <c r="P109"/>
    </row>
    <row r="110" spans="7:16" ht="15" x14ac:dyDescent="0.25">
      <c r="G110"/>
      <c r="H110"/>
      <c r="I110"/>
      <c r="J110"/>
      <c r="K110"/>
      <c r="L110"/>
      <c r="M110"/>
      <c r="N110"/>
      <c r="O110"/>
      <c r="P110"/>
    </row>
    <row r="111" spans="7:16" ht="15" x14ac:dyDescent="0.25">
      <c r="G111"/>
      <c r="H111"/>
      <c r="I111"/>
      <c r="J111"/>
      <c r="K111"/>
      <c r="L111"/>
      <c r="M111"/>
      <c r="N111"/>
      <c r="O111"/>
      <c r="P111"/>
    </row>
    <row r="112" spans="7:16" ht="15" x14ac:dyDescent="0.25">
      <c r="G112"/>
      <c r="H112"/>
      <c r="I112"/>
      <c r="J112"/>
      <c r="K112"/>
      <c r="L112"/>
      <c r="M112"/>
      <c r="N112"/>
      <c r="O112"/>
      <c r="P112"/>
    </row>
    <row r="113" spans="7:16" ht="15" x14ac:dyDescent="0.25">
      <c r="G113"/>
      <c r="H113"/>
      <c r="I113"/>
      <c r="J113"/>
      <c r="K113"/>
      <c r="L113"/>
      <c r="M113"/>
      <c r="N113"/>
      <c r="O113"/>
      <c r="P113"/>
    </row>
    <row r="114" spans="7:16" ht="15" x14ac:dyDescent="0.25">
      <c r="G114"/>
      <c r="H114"/>
      <c r="I114"/>
      <c r="J114"/>
      <c r="K114"/>
      <c r="L114"/>
      <c r="M114"/>
      <c r="N114"/>
      <c r="O114"/>
      <c r="P114"/>
    </row>
    <row r="115" spans="7:16" ht="15" x14ac:dyDescent="0.25">
      <c r="G115"/>
      <c r="H115"/>
      <c r="I115"/>
      <c r="J115"/>
      <c r="K115"/>
      <c r="L115"/>
      <c r="M115"/>
      <c r="N115"/>
      <c r="O115"/>
      <c r="P115"/>
    </row>
    <row r="116" spans="7:16" ht="15" x14ac:dyDescent="0.25">
      <c r="G116"/>
      <c r="H116"/>
      <c r="I116"/>
      <c r="J116"/>
      <c r="K116"/>
      <c r="L116"/>
      <c r="M116"/>
      <c r="N116"/>
      <c r="O116"/>
      <c r="P116"/>
    </row>
    <row r="117" spans="7:16" ht="15" x14ac:dyDescent="0.25">
      <c r="G117"/>
      <c r="H117"/>
      <c r="I117"/>
      <c r="J117"/>
      <c r="K117"/>
      <c r="L117"/>
      <c r="M117"/>
      <c r="N117"/>
      <c r="O117"/>
      <c r="P117"/>
    </row>
    <row r="118" spans="7:16" ht="15" x14ac:dyDescent="0.25">
      <c r="G118"/>
      <c r="H118"/>
      <c r="I118"/>
      <c r="J118"/>
      <c r="K118"/>
      <c r="L118"/>
      <c r="M118"/>
      <c r="N118"/>
      <c r="O118"/>
      <c r="P118"/>
    </row>
    <row r="119" spans="7:16" ht="15" x14ac:dyDescent="0.25">
      <c r="G119"/>
      <c r="H119"/>
      <c r="I119"/>
      <c r="J119"/>
      <c r="K119"/>
      <c r="L119"/>
      <c r="M119"/>
      <c r="N119"/>
      <c r="O119"/>
      <c r="P119"/>
    </row>
    <row r="120" spans="7:16" ht="15" x14ac:dyDescent="0.25">
      <c r="G120"/>
      <c r="H120"/>
      <c r="I120"/>
      <c r="J120"/>
      <c r="K120"/>
      <c r="L120"/>
      <c r="M120"/>
      <c r="N120"/>
      <c r="O120"/>
      <c r="P120"/>
    </row>
    <row r="121" spans="7:16" ht="15" x14ac:dyDescent="0.25">
      <c r="G121"/>
      <c r="H121"/>
      <c r="I121"/>
      <c r="J121"/>
      <c r="K121"/>
      <c r="L121"/>
      <c r="M121"/>
      <c r="N121"/>
      <c r="O121"/>
      <c r="P121"/>
    </row>
    <row r="122" spans="7:16" ht="15" x14ac:dyDescent="0.25">
      <c r="G122"/>
      <c r="H122"/>
      <c r="I122"/>
      <c r="J122"/>
      <c r="K122"/>
      <c r="L122"/>
      <c r="M122"/>
      <c r="N122"/>
      <c r="O122"/>
      <c r="P122"/>
    </row>
    <row r="123" spans="7:16" ht="15" x14ac:dyDescent="0.25">
      <c r="G123"/>
      <c r="H123"/>
      <c r="I123"/>
      <c r="J123"/>
      <c r="K123"/>
      <c r="L123"/>
      <c r="M123"/>
      <c r="N123"/>
      <c r="O123"/>
      <c r="P123"/>
    </row>
    <row r="124" spans="7:16" ht="15" x14ac:dyDescent="0.25">
      <c r="G124"/>
      <c r="H124"/>
      <c r="I124"/>
      <c r="J124"/>
      <c r="K124"/>
      <c r="L124"/>
      <c r="M124"/>
      <c r="N124"/>
      <c r="O124"/>
      <c r="P124"/>
    </row>
    <row r="125" spans="7:16" ht="15" x14ac:dyDescent="0.25">
      <c r="G125"/>
      <c r="H125"/>
      <c r="I125"/>
      <c r="J125"/>
      <c r="K125"/>
      <c r="L125"/>
      <c r="M125"/>
      <c r="N125"/>
      <c r="O125"/>
      <c r="P125"/>
    </row>
    <row r="126" spans="7:16" ht="15" x14ac:dyDescent="0.25">
      <c r="G126"/>
      <c r="H126"/>
      <c r="I126"/>
      <c r="J126"/>
      <c r="K126"/>
      <c r="L126"/>
      <c r="M126"/>
      <c r="N126"/>
      <c r="O126"/>
      <c r="P126"/>
    </row>
    <row r="127" spans="7:16" ht="15" x14ac:dyDescent="0.25">
      <c r="G127"/>
      <c r="H127"/>
      <c r="I127"/>
      <c r="J127"/>
      <c r="K127"/>
      <c r="L127"/>
      <c r="M127"/>
      <c r="N127"/>
      <c r="O127"/>
      <c r="P127"/>
    </row>
    <row r="128" spans="7:16" ht="15" x14ac:dyDescent="0.25">
      <c r="G128"/>
      <c r="H128"/>
      <c r="I128"/>
      <c r="J128"/>
      <c r="K128"/>
      <c r="L128"/>
      <c r="M128"/>
      <c r="N128"/>
      <c r="O128"/>
      <c r="P128"/>
    </row>
    <row r="129" spans="7:16" ht="15" x14ac:dyDescent="0.25">
      <c r="G129"/>
      <c r="H129"/>
      <c r="I129"/>
      <c r="J129"/>
      <c r="K129"/>
      <c r="L129"/>
      <c r="M129"/>
      <c r="N129"/>
      <c r="O129"/>
      <c r="P129"/>
    </row>
    <row r="130" spans="7:16" ht="15" x14ac:dyDescent="0.25">
      <c r="G130"/>
      <c r="H130"/>
      <c r="I130"/>
      <c r="J130"/>
      <c r="K130"/>
      <c r="L130"/>
      <c r="M130"/>
      <c r="N130"/>
      <c r="O130"/>
      <c r="P130"/>
    </row>
    <row r="131" spans="7:16" ht="15" x14ac:dyDescent="0.25">
      <c r="G131"/>
      <c r="H131"/>
      <c r="I131"/>
      <c r="J131"/>
      <c r="K131"/>
      <c r="L131"/>
      <c r="M131"/>
      <c r="N131"/>
      <c r="O131"/>
      <c r="P131"/>
    </row>
    <row r="132" spans="7:16" ht="15" x14ac:dyDescent="0.25">
      <c r="G132"/>
      <c r="H132"/>
      <c r="I132"/>
      <c r="J132"/>
      <c r="K132"/>
      <c r="L132"/>
      <c r="M132"/>
      <c r="N132"/>
      <c r="O132"/>
      <c r="P132"/>
    </row>
    <row r="133" spans="7:16" ht="15" x14ac:dyDescent="0.25">
      <c r="G133"/>
      <c r="H133"/>
      <c r="I133"/>
      <c r="J133"/>
      <c r="K133"/>
      <c r="L133"/>
      <c r="M133"/>
      <c r="N133"/>
      <c r="O133"/>
      <c r="P133"/>
    </row>
    <row r="134" spans="7:16" ht="15" x14ac:dyDescent="0.25">
      <c r="G134"/>
      <c r="H134"/>
      <c r="I134"/>
      <c r="J134"/>
      <c r="K134"/>
      <c r="L134"/>
      <c r="M134"/>
      <c r="N134"/>
      <c r="O134"/>
      <c r="P134"/>
    </row>
    <row r="135" spans="7:16" ht="15" x14ac:dyDescent="0.25">
      <c r="G135"/>
      <c r="H135"/>
      <c r="I135"/>
      <c r="J135"/>
      <c r="K135"/>
      <c r="L135"/>
      <c r="M135"/>
      <c r="N135"/>
      <c r="O135"/>
      <c r="P135"/>
    </row>
    <row r="136" spans="7:16" ht="15" x14ac:dyDescent="0.25">
      <c r="G136"/>
      <c r="H136"/>
      <c r="I136"/>
      <c r="J136"/>
      <c r="K136"/>
      <c r="L136"/>
      <c r="M136"/>
      <c r="N136"/>
      <c r="O136"/>
      <c r="P136"/>
    </row>
    <row r="137" spans="7:16" ht="15" x14ac:dyDescent="0.25">
      <c r="G137"/>
      <c r="H137"/>
      <c r="I137"/>
      <c r="J137"/>
      <c r="K137"/>
      <c r="L137"/>
      <c r="M137"/>
      <c r="N137"/>
      <c r="O137"/>
      <c r="P137"/>
    </row>
    <row r="138" spans="7:16" ht="15" x14ac:dyDescent="0.25">
      <c r="G138"/>
      <c r="H138"/>
      <c r="I138"/>
      <c r="J138"/>
      <c r="K138"/>
      <c r="L138"/>
      <c r="M138"/>
      <c r="N138"/>
      <c r="O138"/>
      <c r="P138"/>
    </row>
    <row r="139" spans="7:16" ht="15" x14ac:dyDescent="0.25">
      <c r="G139"/>
      <c r="H139"/>
      <c r="I139"/>
      <c r="J139"/>
      <c r="K139"/>
      <c r="L139"/>
      <c r="M139"/>
      <c r="N139"/>
      <c r="O139"/>
      <c r="P139"/>
    </row>
    <row r="140" spans="7:16" ht="15" x14ac:dyDescent="0.25">
      <c r="G140"/>
      <c r="H140"/>
      <c r="I140"/>
      <c r="J140"/>
      <c r="K140"/>
      <c r="L140"/>
      <c r="M140"/>
      <c r="N140"/>
      <c r="O140"/>
      <c r="P140"/>
    </row>
    <row r="141" spans="7:16" ht="15" x14ac:dyDescent="0.25">
      <c r="G141"/>
      <c r="H141"/>
      <c r="I141"/>
      <c r="J141"/>
      <c r="K141"/>
      <c r="L141"/>
      <c r="M141"/>
      <c r="N141"/>
      <c r="O141"/>
      <c r="P141"/>
    </row>
    <row r="142" spans="7:16" ht="15" x14ac:dyDescent="0.25">
      <c r="G142"/>
      <c r="H142"/>
      <c r="I142"/>
      <c r="J142"/>
      <c r="K142"/>
      <c r="L142"/>
      <c r="M142"/>
      <c r="N142"/>
      <c r="O142"/>
      <c r="P142"/>
    </row>
    <row r="143" spans="7:16" ht="15" x14ac:dyDescent="0.25">
      <c r="G143"/>
      <c r="H143"/>
      <c r="I143"/>
      <c r="J143"/>
      <c r="K143"/>
      <c r="L143"/>
      <c r="M143"/>
      <c r="N143"/>
      <c r="O143"/>
      <c r="P143"/>
    </row>
    <row r="144" spans="7:16" ht="15" x14ac:dyDescent="0.25">
      <c r="G144"/>
      <c r="H144"/>
      <c r="I144"/>
      <c r="J144"/>
      <c r="K144"/>
      <c r="L144"/>
      <c r="M144"/>
      <c r="N144"/>
      <c r="O144"/>
      <c r="P144"/>
    </row>
    <row r="145" spans="7:16" ht="15" x14ac:dyDescent="0.25">
      <c r="G145"/>
      <c r="H145"/>
      <c r="I145"/>
      <c r="J145"/>
      <c r="K145"/>
      <c r="L145"/>
      <c r="M145"/>
      <c r="N145"/>
      <c r="O145"/>
      <c r="P145"/>
    </row>
    <row r="146" spans="7:16" ht="15" x14ac:dyDescent="0.25">
      <c r="G146"/>
      <c r="H146"/>
      <c r="I146"/>
      <c r="J146"/>
      <c r="K146"/>
      <c r="L146"/>
      <c r="M146"/>
      <c r="N146"/>
      <c r="O146"/>
      <c r="P146"/>
    </row>
    <row r="147" spans="7:16" ht="15" x14ac:dyDescent="0.25">
      <c r="G147"/>
      <c r="H147"/>
      <c r="I147"/>
      <c r="J147"/>
      <c r="K147"/>
      <c r="L147"/>
      <c r="M147"/>
      <c r="N147"/>
      <c r="O147"/>
      <c r="P147"/>
    </row>
    <row r="148" spans="7:16" ht="15" x14ac:dyDescent="0.25">
      <c r="G148"/>
      <c r="H148"/>
      <c r="I148"/>
      <c r="J148"/>
      <c r="K148"/>
      <c r="L148"/>
      <c r="M148"/>
      <c r="N148"/>
      <c r="O148"/>
      <c r="P148"/>
    </row>
    <row r="149" spans="7:16" ht="15" x14ac:dyDescent="0.25">
      <c r="G149"/>
      <c r="H149"/>
      <c r="I149"/>
      <c r="J149"/>
      <c r="K149"/>
      <c r="L149"/>
      <c r="M149"/>
      <c r="N149"/>
      <c r="O149"/>
      <c r="P149"/>
    </row>
    <row r="150" spans="7:16" ht="15" x14ac:dyDescent="0.25">
      <c r="G150"/>
      <c r="H150"/>
      <c r="I150"/>
      <c r="J150"/>
      <c r="K150"/>
      <c r="L150"/>
      <c r="M150"/>
      <c r="N150"/>
      <c r="O150"/>
      <c r="P150"/>
    </row>
    <row r="151" spans="7:16" ht="15" x14ac:dyDescent="0.25">
      <c r="G151"/>
      <c r="H151"/>
      <c r="I151"/>
      <c r="J151"/>
      <c r="K151"/>
      <c r="L151"/>
      <c r="M151"/>
      <c r="N151"/>
      <c r="O151"/>
      <c r="P151"/>
    </row>
    <row r="152" spans="7:16" ht="15" x14ac:dyDescent="0.25">
      <c r="G152"/>
      <c r="H152"/>
      <c r="I152"/>
      <c r="J152"/>
      <c r="K152"/>
      <c r="L152"/>
      <c r="M152"/>
      <c r="N152"/>
      <c r="O152"/>
      <c r="P152"/>
    </row>
    <row r="153" spans="7:16" ht="15" x14ac:dyDescent="0.25">
      <c r="G153"/>
      <c r="H153"/>
      <c r="I153"/>
      <c r="J153"/>
      <c r="K153"/>
      <c r="L153"/>
      <c r="M153"/>
      <c r="N153"/>
      <c r="O153"/>
      <c r="P153"/>
    </row>
    <row r="154" spans="7:16" ht="15" x14ac:dyDescent="0.25">
      <c r="G154"/>
      <c r="H154"/>
      <c r="I154"/>
      <c r="J154"/>
      <c r="K154"/>
      <c r="L154"/>
      <c r="M154"/>
      <c r="N154"/>
      <c r="O154"/>
      <c r="P154"/>
    </row>
    <row r="155" spans="7:16" ht="15" x14ac:dyDescent="0.25">
      <c r="G155"/>
      <c r="H155"/>
      <c r="I155"/>
      <c r="J155"/>
      <c r="K155"/>
      <c r="L155"/>
      <c r="M155"/>
      <c r="N155"/>
      <c r="O155"/>
      <c r="P155"/>
    </row>
    <row r="156" spans="7:16" ht="15" x14ac:dyDescent="0.25">
      <c r="G156"/>
      <c r="H156"/>
      <c r="I156"/>
      <c r="J156"/>
      <c r="K156"/>
      <c r="L156"/>
      <c r="M156"/>
      <c r="N156"/>
      <c r="O156"/>
      <c r="P156"/>
    </row>
    <row r="157" spans="7:16" ht="15" x14ac:dyDescent="0.25">
      <c r="G157"/>
      <c r="H157"/>
      <c r="I157"/>
      <c r="J157"/>
      <c r="K157"/>
      <c r="L157"/>
      <c r="M157"/>
      <c r="N157"/>
      <c r="O157"/>
      <c r="P157"/>
    </row>
    <row r="158" spans="7:16" ht="15" x14ac:dyDescent="0.25">
      <c r="G158"/>
      <c r="H158"/>
      <c r="I158"/>
      <c r="J158"/>
      <c r="K158"/>
      <c r="L158"/>
      <c r="M158"/>
      <c r="N158"/>
      <c r="O158"/>
      <c r="P158"/>
    </row>
    <row r="159" spans="7:16" ht="15" x14ac:dyDescent="0.25">
      <c r="G159"/>
      <c r="H159"/>
      <c r="I159"/>
      <c r="J159"/>
      <c r="K159"/>
      <c r="L159"/>
      <c r="M159"/>
      <c r="N159"/>
      <c r="O159"/>
      <c r="P159"/>
    </row>
    <row r="160" spans="7:16" ht="15" x14ac:dyDescent="0.25">
      <c r="G160"/>
      <c r="H160"/>
      <c r="I160"/>
      <c r="J160"/>
      <c r="K160"/>
      <c r="L160"/>
      <c r="M160"/>
      <c r="N160"/>
      <c r="O160"/>
      <c r="P160"/>
    </row>
    <row r="161" spans="7:16" ht="15" x14ac:dyDescent="0.25">
      <c r="G161"/>
      <c r="H161"/>
      <c r="I161"/>
      <c r="J161"/>
      <c r="K161"/>
      <c r="L161"/>
      <c r="M161"/>
      <c r="N161"/>
      <c r="O161"/>
      <c r="P161"/>
    </row>
    <row r="162" spans="7:16" ht="15" x14ac:dyDescent="0.25">
      <c r="G162"/>
      <c r="H162"/>
      <c r="I162"/>
      <c r="J162"/>
      <c r="K162"/>
      <c r="L162"/>
      <c r="M162"/>
      <c r="N162"/>
      <c r="O162"/>
      <c r="P162"/>
    </row>
    <row r="163" spans="7:16" ht="15" x14ac:dyDescent="0.25">
      <c r="G163"/>
      <c r="H163"/>
      <c r="I163"/>
      <c r="J163"/>
      <c r="K163"/>
      <c r="L163"/>
      <c r="M163"/>
      <c r="N163"/>
      <c r="O163"/>
      <c r="P163"/>
    </row>
    <row r="164" spans="7:16" ht="15" x14ac:dyDescent="0.25">
      <c r="G164"/>
      <c r="H164"/>
      <c r="I164"/>
      <c r="J164"/>
      <c r="K164"/>
      <c r="L164"/>
      <c r="M164"/>
      <c r="N164"/>
      <c r="O164"/>
      <c r="P164"/>
    </row>
    <row r="165" spans="7:16" ht="15" x14ac:dyDescent="0.25">
      <c r="G165"/>
      <c r="H165"/>
      <c r="I165"/>
      <c r="J165"/>
      <c r="K165"/>
      <c r="L165"/>
      <c r="M165"/>
      <c r="N165"/>
      <c r="O165"/>
      <c r="P165"/>
    </row>
    <row r="166" spans="7:16" ht="15" x14ac:dyDescent="0.25">
      <c r="G166"/>
      <c r="H166"/>
      <c r="I166"/>
      <c r="J166"/>
      <c r="K166"/>
      <c r="L166"/>
      <c r="M166"/>
      <c r="N166"/>
      <c r="O166"/>
      <c r="P166"/>
    </row>
    <row r="167" spans="7:16" ht="15" x14ac:dyDescent="0.25">
      <c r="G167"/>
      <c r="H167"/>
      <c r="I167"/>
      <c r="J167"/>
      <c r="K167"/>
      <c r="L167"/>
      <c r="M167"/>
      <c r="N167"/>
      <c r="O167"/>
      <c r="P167"/>
    </row>
    <row r="168" spans="7:16" ht="15" x14ac:dyDescent="0.25">
      <c r="G168"/>
      <c r="H168"/>
      <c r="I168"/>
      <c r="J168"/>
      <c r="K168"/>
      <c r="L168"/>
      <c r="M168"/>
      <c r="N168"/>
      <c r="O168"/>
      <c r="P168"/>
    </row>
    <row r="169" spans="7:16" ht="15" x14ac:dyDescent="0.25">
      <c r="G169"/>
      <c r="H169"/>
      <c r="I169"/>
      <c r="J169"/>
      <c r="K169"/>
      <c r="L169"/>
      <c r="M169"/>
      <c r="N169"/>
      <c r="O169"/>
      <c r="P169"/>
    </row>
    <row r="170" spans="7:16" ht="15" x14ac:dyDescent="0.25">
      <c r="G170"/>
      <c r="H170"/>
      <c r="I170"/>
      <c r="J170"/>
      <c r="K170"/>
      <c r="L170"/>
      <c r="M170"/>
      <c r="N170"/>
      <c r="O170"/>
      <c r="P170"/>
    </row>
    <row r="171" spans="7:16" ht="15" x14ac:dyDescent="0.25">
      <c r="G171"/>
      <c r="H171"/>
      <c r="I171"/>
      <c r="J171"/>
      <c r="K171"/>
      <c r="L171"/>
      <c r="M171"/>
      <c r="N171"/>
      <c r="O171"/>
      <c r="P171"/>
    </row>
    <row r="172" spans="7:16" ht="15" x14ac:dyDescent="0.25">
      <c r="G172"/>
      <c r="H172"/>
      <c r="I172"/>
      <c r="J172"/>
      <c r="K172"/>
      <c r="L172"/>
      <c r="M172"/>
      <c r="N172"/>
      <c r="O172"/>
      <c r="P172"/>
    </row>
    <row r="173" spans="7:16" ht="15" x14ac:dyDescent="0.25">
      <c r="G173"/>
      <c r="H173"/>
      <c r="I173"/>
      <c r="J173"/>
      <c r="K173"/>
      <c r="L173"/>
      <c r="M173"/>
      <c r="N173"/>
      <c r="O173"/>
      <c r="P173"/>
    </row>
    <row r="174" spans="7:16" ht="15" x14ac:dyDescent="0.25">
      <c r="G174"/>
      <c r="H174"/>
      <c r="I174"/>
      <c r="J174"/>
      <c r="K174"/>
      <c r="L174"/>
      <c r="M174"/>
      <c r="N174"/>
      <c r="O174"/>
      <c r="P174"/>
    </row>
    <row r="175" spans="7:16" ht="15" x14ac:dyDescent="0.25">
      <c r="G175"/>
      <c r="H175"/>
      <c r="I175"/>
      <c r="J175"/>
      <c r="K175"/>
      <c r="L175"/>
      <c r="M175"/>
      <c r="N175"/>
      <c r="O175"/>
      <c r="P175"/>
    </row>
    <row r="176" spans="7:16" ht="15" x14ac:dyDescent="0.25">
      <c r="G176"/>
      <c r="H176"/>
      <c r="I176"/>
      <c r="J176"/>
      <c r="K176"/>
      <c r="L176"/>
      <c r="M176"/>
      <c r="N176"/>
      <c r="O176"/>
      <c r="P176"/>
    </row>
    <row r="177" spans="7:16" ht="15" x14ac:dyDescent="0.25">
      <c r="G177"/>
      <c r="H177"/>
      <c r="I177"/>
      <c r="J177"/>
      <c r="K177"/>
      <c r="L177"/>
      <c r="M177"/>
      <c r="N177"/>
      <c r="O177"/>
      <c r="P177"/>
    </row>
    <row r="178" spans="7:16" ht="15" x14ac:dyDescent="0.25">
      <c r="G178"/>
      <c r="H178"/>
      <c r="I178"/>
      <c r="J178"/>
      <c r="K178"/>
      <c r="L178"/>
      <c r="M178"/>
      <c r="N178"/>
      <c r="O178"/>
      <c r="P178"/>
    </row>
    <row r="179" spans="7:16" ht="15" x14ac:dyDescent="0.25">
      <c r="G179"/>
      <c r="H179"/>
      <c r="I179"/>
      <c r="J179"/>
      <c r="K179"/>
      <c r="L179"/>
      <c r="M179"/>
      <c r="N179"/>
      <c r="O179"/>
      <c r="P179"/>
    </row>
    <row r="180" spans="7:16" ht="15" x14ac:dyDescent="0.25">
      <c r="G180"/>
      <c r="H180"/>
      <c r="I180"/>
      <c r="J180"/>
      <c r="K180"/>
      <c r="L180"/>
      <c r="M180"/>
      <c r="N180"/>
      <c r="O180"/>
      <c r="P180"/>
    </row>
    <row r="181" spans="7:16" ht="15" x14ac:dyDescent="0.25">
      <c r="G181"/>
      <c r="H181"/>
      <c r="I181"/>
      <c r="J181"/>
      <c r="K181"/>
      <c r="L181"/>
      <c r="M181"/>
      <c r="N181"/>
      <c r="O181"/>
      <c r="P181"/>
    </row>
    <row r="182" spans="7:16" ht="15" x14ac:dyDescent="0.25">
      <c r="G182"/>
      <c r="H182"/>
      <c r="I182"/>
      <c r="J182"/>
      <c r="K182"/>
      <c r="L182"/>
      <c r="M182"/>
      <c r="N182"/>
      <c r="O182"/>
      <c r="P182"/>
    </row>
    <row r="183" spans="7:16" ht="15" x14ac:dyDescent="0.25">
      <c r="G183"/>
      <c r="H183"/>
      <c r="I183"/>
      <c r="J183"/>
      <c r="K183"/>
      <c r="L183"/>
      <c r="M183"/>
      <c r="N183"/>
      <c r="O183"/>
      <c r="P183"/>
    </row>
    <row r="184" spans="7:16" ht="15" x14ac:dyDescent="0.25">
      <c r="G184"/>
      <c r="H184"/>
      <c r="I184"/>
      <c r="J184"/>
      <c r="K184"/>
      <c r="L184"/>
      <c r="M184"/>
      <c r="N184"/>
      <c r="O184"/>
      <c r="P184"/>
    </row>
    <row r="185" spans="7:16" ht="15" x14ac:dyDescent="0.25">
      <c r="G185"/>
      <c r="H185"/>
      <c r="I185"/>
      <c r="J185"/>
      <c r="K185"/>
      <c r="L185"/>
      <c r="M185"/>
      <c r="N185"/>
      <c r="O185"/>
      <c r="P185"/>
    </row>
    <row r="186" spans="7:16" ht="15" x14ac:dyDescent="0.25">
      <c r="G186"/>
      <c r="H186"/>
      <c r="I186"/>
      <c r="J186"/>
      <c r="K186"/>
      <c r="L186"/>
      <c r="M186"/>
      <c r="N186"/>
      <c r="O186"/>
    </row>
    <row r="187" spans="7:16" ht="15" x14ac:dyDescent="0.25">
      <c r="G187"/>
      <c r="H187"/>
      <c r="I187"/>
      <c r="J187"/>
      <c r="K187"/>
      <c r="L187"/>
      <c r="M187"/>
      <c r="N187"/>
      <c r="O187"/>
    </row>
    <row r="188" spans="7:16" ht="15" x14ac:dyDescent="0.25">
      <c r="G188"/>
      <c r="H188"/>
      <c r="I188"/>
      <c r="J188"/>
      <c r="K188"/>
      <c r="L188"/>
      <c r="M188"/>
      <c r="N188"/>
      <c r="O188"/>
    </row>
    <row r="189" spans="7:16" ht="15" x14ac:dyDescent="0.25">
      <c r="G189"/>
      <c r="H189"/>
      <c r="I189"/>
      <c r="J189"/>
      <c r="K189"/>
      <c r="L189"/>
      <c r="M189"/>
      <c r="N189"/>
      <c r="O189"/>
    </row>
    <row r="190" spans="7:16" ht="15" x14ac:dyDescent="0.25">
      <c r="G190"/>
      <c r="H190"/>
      <c r="I190"/>
      <c r="J190"/>
      <c r="K190"/>
      <c r="L190"/>
      <c r="M190"/>
      <c r="N190"/>
      <c r="O190"/>
    </row>
    <row r="191" spans="7:16" ht="15" x14ac:dyDescent="0.25">
      <c r="G191"/>
      <c r="H191"/>
      <c r="I191"/>
      <c r="J191"/>
      <c r="K191"/>
      <c r="L191"/>
      <c r="M191"/>
      <c r="N191"/>
      <c r="O191"/>
    </row>
    <row r="192" spans="7:16" ht="15" x14ac:dyDescent="0.25">
      <c r="G192"/>
      <c r="H192"/>
      <c r="I192"/>
      <c r="J192"/>
      <c r="K192"/>
      <c r="L192"/>
      <c r="M192"/>
      <c r="N192"/>
      <c r="O192"/>
    </row>
    <row r="193" spans="7:15" ht="15" x14ac:dyDescent="0.25">
      <c r="G193"/>
      <c r="H193"/>
      <c r="I193"/>
      <c r="J193"/>
      <c r="K193"/>
      <c r="L193"/>
      <c r="M193"/>
      <c r="N193"/>
      <c r="O193"/>
    </row>
    <row r="194" spans="7:15" ht="15" x14ac:dyDescent="0.25">
      <c r="G194"/>
      <c r="H194"/>
      <c r="I194"/>
      <c r="J194"/>
      <c r="K194"/>
      <c r="L194"/>
      <c r="M194"/>
      <c r="N194"/>
      <c r="O194"/>
    </row>
    <row r="195" spans="7:15" ht="15" x14ac:dyDescent="0.25">
      <c r="G195"/>
      <c r="H195"/>
      <c r="I195"/>
      <c r="J195"/>
      <c r="K195"/>
      <c r="L195"/>
      <c r="M195"/>
      <c r="N195"/>
      <c r="O195"/>
    </row>
    <row r="196" spans="7:15" ht="15" x14ac:dyDescent="0.25">
      <c r="G196"/>
      <c r="H196"/>
      <c r="I196"/>
      <c r="J196"/>
      <c r="K196"/>
      <c r="L196"/>
      <c r="M196"/>
      <c r="N196"/>
      <c r="O196"/>
    </row>
    <row r="197" spans="7:15" ht="15" x14ac:dyDescent="0.25">
      <c r="G197"/>
      <c r="H197"/>
      <c r="I197"/>
      <c r="J197"/>
      <c r="K197"/>
      <c r="L197"/>
      <c r="M197"/>
      <c r="N197"/>
      <c r="O197"/>
    </row>
    <row r="198" spans="7:15" ht="15" x14ac:dyDescent="0.25">
      <c r="G198"/>
      <c r="H198"/>
      <c r="I198"/>
      <c r="J198"/>
      <c r="K198"/>
      <c r="L198"/>
      <c r="M198"/>
      <c r="N198"/>
      <c r="O198"/>
    </row>
    <row r="199" spans="7:15" ht="15" x14ac:dyDescent="0.25">
      <c r="G199"/>
      <c r="H199"/>
      <c r="I199"/>
      <c r="J199"/>
      <c r="K199"/>
      <c r="L199"/>
      <c r="M199"/>
      <c r="N199"/>
      <c r="O199"/>
    </row>
    <row r="200" spans="7:15" ht="15" x14ac:dyDescent="0.25">
      <c r="G200"/>
      <c r="H200"/>
      <c r="I200"/>
      <c r="J200"/>
      <c r="K200"/>
      <c r="L200"/>
      <c r="M200"/>
      <c r="N200"/>
      <c r="O200"/>
    </row>
    <row r="201" spans="7:15" ht="15" x14ac:dyDescent="0.25">
      <c r="G201"/>
      <c r="H201"/>
      <c r="I201"/>
      <c r="J201"/>
      <c r="K201"/>
      <c r="L201"/>
      <c r="M201"/>
      <c r="N201"/>
      <c r="O201"/>
    </row>
    <row r="202" spans="7:15" ht="15" x14ac:dyDescent="0.25">
      <c r="G202"/>
      <c r="H202"/>
      <c r="I202"/>
      <c r="J202"/>
      <c r="K202"/>
      <c r="L202"/>
      <c r="M202"/>
      <c r="N202"/>
      <c r="O202"/>
    </row>
    <row r="203" spans="7:15" ht="15" x14ac:dyDescent="0.25">
      <c r="G203"/>
      <c r="H203"/>
      <c r="I203"/>
      <c r="J203"/>
      <c r="K203"/>
      <c r="L203"/>
      <c r="M203"/>
      <c r="N203"/>
      <c r="O203"/>
    </row>
    <row r="204" spans="7:15" ht="15" x14ac:dyDescent="0.25">
      <c r="G204"/>
      <c r="H204"/>
      <c r="I204"/>
      <c r="J204"/>
      <c r="K204"/>
      <c r="L204"/>
      <c r="M204"/>
      <c r="N204"/>
      <c r="O204"/>
    </row>
    <row r="205" spans="7:15" ht="15" x14ac:dyDescent="0.25">
      <c r="G205"/>
      <c r="H205"/>
      <c r="I205"/>
      <c r="J205"/>
      <c r="K205"/>
      <c r="L205"/>
      <c r="M205"/>
      <c r="N205"/>
      <c r="O205"/>
    </row>
    <row r="206" spans="7:15" ht="15" x14ac:dyDescent="0.25">
      <c r="G206"/>
      <c r="H206"/>
      <c r="I206"/>
      <c r="J206"/>
      <c r="K206"/>
      <c r="L206"/>
      <c r="M206"/>
      <c r="N206"/>
      <c r="O206"/>
    </row>
    <row r="207" spans="7:15" ht="15" x14ac:dyDescent="0.25">
      <c r="G207"/>
      <c r="H207"/>
      <c r="I207"/>
      <c r="J207"/>
      <c r="K207"/>
      <c r="L207"/>
      <c r="M207"/>
      <c r="N207"/>
      <c r="O207"/>
    </row>
    <row r="208" spans="7:15" ht="15" x14ac:dyDescent="0.25">
      <c r="G208"/>
      <c r="H208"/>
      <c r="I208"/>
      <c r="J208"/>
      <c r="K208"/>
      <c r="L208"/>
      <c r="M208"/>
      <c r="N208"/>
      <c r="O208"/>
    </row>
    <row r="209" spans="7:15" ht="15" x14ac:dyDescent="0.25">
      <c r="G209"/>
      <c r="H209"/>
      <c r="I209"/>
      <c r="J209"/>
      <c r="K209"/>
      <c r="L209"/>
      <c r="M209"/>
      <c r="N209"/>
      <c r="O209"/>
    </row>
    <row r="210" spans="7:15" ht="15" x14ac:dyDescent="0.25">
      <c r="G210"/>
      <c r="H210"/>
      <c r="I210"/>
      <c r="J210"/>
      <c r="K210"/>
      <c r="L210"/>
      <c r="M210"/>
      <c r="N210"/>
      <c r="O210"/>
    </row>
    <row r="211" spans="7:15" ht="15" x14ac:dyDescent="0.25">
      <c r="G211"/>
      <c r="H211"/>
      <c r="I211"/>
      <c r="J211"/>
      <c r="K211"/>
      <c r="L211"/>
      <c r="M211"/>
      <c r="N211"/>
      <c r="O211"/>
    </row>
    <row r="212" spans="7:15" ht="15" x14ac:dyDescent="0.25">
      <c r="G212"/>
      <c r="H212"/>
      <c r="I212"/>
      <c r="J212"/>
      <c r="K212"/>
      <c r="L212"/>
      <c r="M212"/>
      <c r="N212"/>
      <c r="O212"/>
    </row>
    <row r="213" spans="7:15" ht="15" x14ac:dyDescent="0.25">
      <c r="G213"/>
      <c r="H213"/>
      <c r="I213"/>
      <c r="J213"/>
      <c r="K213"/>
      <c r="L213"/>
      <c r="M213"/>
      <c r="N213"/>
      <c r="O213"/>
    </row>
    <row r="214" spans="7:15" ht="15" x14ac:dyDescent="0.25">
      <c r="G214"/>
      <c r="H214"/>
      <c r="I214"/>
      <c r="J214"/>
      <c r="K214"/>
      <c r="L214"/>
      <c r="M214"/>
      <c r="N214"/>
      <c r="O214"/>
    </row>
    <row r="215" spans="7:15" ht="15" x14ac:dyDescent="0.25">
      <c r="G215"/>
      <c r="H215"/>
      <c r="I215"/>
      <c r="J215"/>
      <c r="K215"/>
      <c r="L215"/>
      <c r="M215"/>
      <c r="N215"/>
      <c r="O215"/>
    </row>
    <row r="216" spans="7:15" ht="15" x14ac:dyDescent="0.25">
      <c r="G216"/>
      <c r="H216"/>
      <c r="I216"/>
      <c r="J216"/>
      <c r="K216"/>
      <c r="L216"/>
      <c r="M216"/>
      <c r="N216"/>
      <c r="O216"/>
    </row>
    <row r="217" spans="7:15" ht="15" x14ac:dyDescent="0.25">
      <c r="G217"/>
      <c r="H217"/>
      <c r="I217"/>
      <c r="J217"/>
      <c r="K217"/>
      <c r="L217"/>
      <c r="M217"/>
      <c r="N217"/>
      <c r="O217"/>
    </row>
    <row r="218" spans="7:15" ht="15" x14ac:dyDescent="0.25">
      <c r="G218"/>
      <c r="H218"/>
      <c r="I218"/>
      <c r="J218"/>
      <c r="K218"/>
      <c r="L218"/>
      <c r="M218"/>
      <c r="N218"/>
      <c r="O218"/>
    </row>
    <row r="219" spans="7:15" ht="15" x14ac:dyDescent="0.25">
      <c r="G219"/>
      <c r="H219"/>
      <c r="I219"/>
      <c r="J219"/>
      <c r="K219"/>
      <c r="L219"/>
      <c r="M219"/>
      <c r="N219"/>
      <c r="O219"/>
    </row>
    <row r="220" spans="7:15" ht="15" x14ac:dyDescent="0.25">
      <c r="G220"/>
      <c r="H220"/>
      <c r="I220"/>
      <c r="J220"/>
      <c r="K220"/>
      <c r="L220"/>
      <c r="M220"/>
      <c r="N220"/>
      <c r="O220"/>
    </row>
    <row r="221" spans="7:15" ht="15" x14ac:dyDescent="0.25">
      <c r="G221"/>
      <c r="H221"/>
      <c r="I221"/>
      <c r="J221"/>
      <c r="K221"/>
      <c r="L221"/>
      <c r="M221"/>
      <c r="N221"/>
      <c r="O221"/>
    </row>
    <row r="222" spans="7:15" ht="15" x14ac:dyDescent="0.25">
      <c r="G222"/>
      <c r="H222"/>
      <c r="I222"/>
      <c r="J222"/>
      <c r="K222"/>
      <c r="L222"/>
      <c r="M222"/>
      <c r="N222"/>
      <c r="O222"/>
    </row>
    <row r="223" spans="7:15" ht="15" x14ac:dyDescent="0.25">
      <c r="G223"/>
      <c r="H223"/>
      <c r="I223"/>
      <c r="J223"/>
      <c r="K223"/>
      <c r="L223"/>
      <c r="M223"/>
      <c r="N223"/>
      <c r="O223"/>
    </row>
    <row r="224" spans="7:15" ht="15" x14ac:dyDescent="0.25">
      <c r="G224"/>
      <c r="H224"/>
      <c r="I224"/>
      <c r="J224"/>
      <c r="K224"/>
      <c r="L224"/>
      <c r="M224"/>
      <c r="N224"/>
      <c r="O224"/>
    </row>
    <row r="225" spans="7:15" ht="15" x14ac:dyDescent="0.25">
      <c r="G225"/>
      <c r="H225"/>
      <c r="I225"/>
      <c r="J225"/>
      <c r="K225"/>
      <c r="L225"/>
      <c r="M225"/>
      <c r="N225"/>
      <c r="O225"/>
    </row>
    <row r="226" spans="7:15" ht="15" x14ac:dyDescent="0.25">
      <c r="G226"/>
      <c r="H226"/>
      <c r="I226"/>
      <c r="J226"/>
      <c r="K226"/>
      <c r="L226"/>
      <c r="M226"/>
      <c r="N226"/>
      <c r="O226"/>
    </row>
    <row r="227" spans="7:15" ht="15" x14ac:dyDescent="0.25">
      <c r="G227"/>
      <c r="H227"/>
      <c r="I227"/>
      <c r="J227"/>
      <c r="K227"/>
      <c r="L227"/>
      <c r="M227"/>
      <c r="N227"/>
      <c r="O227"/>
    </row>
    <row r="228" spans="7:15" ht="15" x14ac:dyDescent="0.25">
      <c r="G228"/>
      <c r="H228"/>
      <c r="I228"/>
      <c r="J228"/>
      <c r="K228"/>
      <c r="L228"/>
      <c r="M228"/>
      <c r="N228"/>
      <c r="O228"/>
    </row>
    <row r="229" spans="7:15" ht="15" x14ac:dyDescent="0.25">
      <c r="G229"/>
      <c r="H229"/>
      <c r="I229"/>
      <c r="J229"/>
      <c r="K229"/>
      <c r="L229"/>
      <c r="M229"/>
      <c r="N229"/>
      <c r="O229"/>
    </row>
    <row r="230" spans="7:15" ht="15" x14ac:dyDescent="0.25">
      <c r="G230"/>
      <c r="H230"/>
      <c r="I230"/>
      <c r="J230"/>
      <c r="K230"/>
      <c r="L230"/>
      <c r="M230"/>
      <c r="N230"/>
      <c r="O230"/>
    </row>
    <row r="231" spans="7:15" ht="15" x14ac:dyDescent="0.25">
      <c r="G231"/>
      <c r="H231"/>
      <c r="I231"/>
      <c r="J231"/>
      <c r="K231"/>
      <c r="L231"/>
      <c r="M231"/>
      <c r="N231"/>
      <c r="O231"/>
    </row>
    <row r="232" spans="7:15" ht="15" x14ac:dyDescent="0.25">
      <c r="G232"/>
      <c r="H232"/>
      <c r="I232"/>
      <c r="J232"/>
      <c r="K232"/>
      <c r="L232"/>
      <c r="M232"/>
      <c r="N232"/>
      <c r="O232"/>
    </row>
    <row r="233" spans="7:15" ht="15" x14ac:dyDescent="0.25">
      <c r="G233"/>
      <c r="H233"/>
      <c r="I233"/>
      <c r="J233"/>
      <c r="K233"/>
      <c r="L233"/>
      <c r="M233"/>
      <c r="N233"/>
      <c r="O233"/>
    </row>
    <row r="234" spans="7:15" ht="15" x14ac:dyDescent="0.25">
      <c r="G234"/>
      <c r="H234"/>
      <c r="I234"/>
      <c r="J234"/>
      <c r="K234"/>
      <c r="L234"/>
      <c r="M234"/>
      <c r="N234"/>
      <c r="O234"/>
    </row>
    <row r="235" spans="7:15" ht="15" x14ac:dyDescent="0.25">
      <c r="G235"/>
      <c r="H235"/>
      <c r="I235"/>
      <c r="J235"/>
      <c r="K235"/>
      <c r="L235"/>
      <c r="M235"/>
      <c r="N235"/>
      <c r="O235"/>
    </row>
    <row r="236" spans="7:15" ht="15" x14ac:dyDescent="0.25">
      <c r="G236"/>
      <c r="H236"/>
      <c r="I236"/>
      <c r="J236"/>
      <c r="K236"/>
      <c r="L236"/>
      <c r="M236"/>
      <c r="N236"/>
      <c r="O236"/>
    </row>
    <row r="237" spans="7:15" ht="15" x14ac:dyDescent="0.25">
      <c r="G237"/>
      <c r="H237"/>
      <c r="I237"/>
      <c r="J237"/>
      <c r="K237"/>
      <c r="L237"/>
      <c r="M237"/>
      <c r="N237"/>
      <c r="O237"/>
    </row>
    <row r="238" spans="7:15" ht="15" x14ac:dyDescent="0.25">
      <c r="G238"/>
      <c r="H238"/>
      <c r="I238"/>
      <c r="J238"/>
      <c r="K238"/>
      <c r="L238"/>
      <c r="M238"/>
      <c r="N238"/>
      <c r="O238"/>
    </row>
    <row r="239" spans="7:15" ht="15" x14ac:dyDescent="0.25">
      <c r="G239"/>
      <c r="H239"/>
      <c r="I239"/>
      <c r="J239"/>
      <c r="K239"/>
      <c r="L239"/>
      <c r="M239"/>
      <c r="N239"/>
      <c r="O239"/>
    </row>
    <row r="240" spans="7:15" ht="15" x14ac:dyDescent="0.25">
      <c r="G240"/>
      <c r="H240"/>
      <c r="I240"/>
      <c r="J240"/>
      <c r="K240"/>
      <c r="L240"/>
      <c r="M240"/>
      <c r="N240"/>
      <c r="O240"/>
    </row>
    <row r="241" spans="7:15" ht="15" x14ac:dyDescent="0.25">
      <c r="G241"/>
      <c r="H241"/>
      <c r="I241"/>
      <c r="J241"/>
      <c r="K241"/>
      <c r="L241"/>
      <c r="M241"/>
      <c r="N241"/>
      <c r="O241"/>
    </row>
    <row r="242" spans="7:15" ht="15" x14ac:dyDescent="0.25">
      <c r="G242"/>
      <c r="H242"/>
      <c r="I242"/>
      <c r="J242"/>
      <c r="K242"/>
      <c r="L242"/>
      <c r="M242"/>
      <c r="N242"/>
      <c r="O242"/>
    </row>
    <row r="243" spans="7:15" ht="15" x14ac:dyDescent="0.25">
      <c r="G243"/>
      <c r="H243"/>
      <c r="I243"/>
      <c r="J243"/>
      <c r="K243"/>
      <c r="L243"/>
      <c r="M243"/>
      <c r="N243"/>
      <c r="O243"/>
    </row>
    <row r="244" spans="7:15" ht="15" x14ac:dyDescent="0.25">
      <c r="G244"/>
      <c r="H244"/>
      <c r="I244"/>
      <c r="J244"/>
      <c r="K244"/>
      <c r="L244"/>
      <c r="M244"/>
      <c r="N244"/>
      <c r="O244"/>
    </row>
    <row r="245" spans="7:15" ht="15" x14ac:dyDescent="0.25">
      <c r="G245"/>
      <c r="H245"/>
      <c r="I245"/>
      <c r="J245"/>
      <c r="K245"/>
      <c r="L245"/>
      <c r="M245"/>
      <c r="N245"/>
      <c r="O245"/>
    </row>
    <row r="246" spans="7:15" ht="15" x14ac:dyDescent="0.25">
      <c r="G246"/>
      <c r="H246"/>
      <c r="I246"/>
      <c r="J246"/>
      <c r="K246"/>
      <c r="L246"/>
      <c r="M246"/>
      <c r="N246"/>
      <c r="O246"/>
    </row>
    <row r="247" spans="7:15" ht="15" x14ac:dyDescent="0.25">
      <c r="G247"/>
      <c r="H247"/>
      <c r="I247"/>
      <c r="J247"/>
      <c r="K247"/>
      <c r="L247"/>
      <c r="M247"/>
      <c r="N247"/>
      <c r="O247"/>
    </row>
    <row r="248" spans="7:15" ht="15" x14ac:dyDescent="0.25">
      <c r="G248"/>
      <c r="H248"/>
      <c r="I248"/>
      <c r="J248"/>
      <c r="K248"/>
      <c r="L248"/>
      <c r="M248"/>
      <c r="N248"/>
      <c r="O248"/>
    </row>
    <row r="249" spans="7:15" ht="15" x14ac:dyDescent="0.25">
      <c r="G249"/>
      <c r="H249"/>
      <c r="I249"/>
      <c r="J249"/>
      <c r="K249"/>
      <c r="L249"/>
      <c r="M249"/>
      <c r="N249"/>
      <c r="O249"/>
    </row>
    <row r="250" spans="7:15" ht="15" x14ac:dyDescent="0.25">
      <c r="G250"/>
      <c r="H250"/>
      <c r="I250"/>
      <c r="J250"/>
      <c r="K250"/>
      <c r="L250"/>
      <c r="M250"/>
      <c r="N250"/>
      <c r="O250"/>
    </row>
    <row r="251" spans="7:15" ht="15" x14ac:dyDescent="0.25">
      <c r="G251"/>
      <c r="H251"/>
      <c r="I251"/>
      <c r="J251"/>
      <c r="K251"/>
      <c r="L251"/>
      <c r="M251"/>
      <c r="N251"/>
      <c r="O251"/>
    </row>
    <row r="252" spans="7:15" ht="15" x14ac:dyDescent="0.25">
      <c r="G252"/>
      <c r="H252"/>
      <c r="I252"/>
      <c r="J252"/>
      <c r="K252"/>
      <c r="L252"/>
      <c r="M252"/>
      <c r="N252"/>
      <c r="O252"/>
    </row>
    <row r="253" spans="7:15" ht="15" x14ac:dyDescent="0.25">
      <c r="G253"/>
      <c r="H253"/>
      <c r="I253"/>
      <c r="J253"/>
      <c r="K253"/>
      <c r="L253"/>
      <c r="M253"/>
      <c r="N253"/>
      <c r="O253"/>
    </row>
    <row r="254" spans="7:15" ht="15" x14ac:dyDescent="0.25">
      <c r="G254"/>
      <c r="H254"/>
      <c r="I254"/>
      <c r="J254"/>
      <c r="K254"/>
      <c r="L254"/>
      <c r="M254"/>
      <c r="N254"/>
      <c r="O254"/>
    </row>
    <row r="255" spans="7:15" ht="15" x14ac:dyDescent="0.25">
      <c r="G255"/>
      <c r="H255"/>
      <c r="I255"/>
      <c r="J255"/>
      <c r="K255"/>
      <c r="L255"/>
      <c r="M255"/>
      <c r="N255"/>
      <c r="O255"/>
    </row>
    <row r="256" spans="7:15" ht="15" x14ac:dyDescent="0.25">
      <c r="G256"/>
      <c r="H256"/>
      <c r="I256"/>
      <c r="J256"/>
      <c r="K256"/>
      <c r="L256"/>
      <c r="M256"/>
      <c r="N256"/>
      <c r="O256"/>
    </row>
    <row r="257" spans="7:15" ht="15" x14ac:dyDescent="0.25">
      <c r="G257"/>
      <c r="H257"/>
      <c r="I257"/>
      <c r="J257"/>
      <c r="K257"/>
      <c r="L257"/>
      <c r="M257"/>
      <c r="N257"/>
      <c r="O257"/>
    </row>
    <row r="258" spans="7:15" ht="15" x14ac:dyDescent="0.25">
      <c r="G258"/>
      <c r="H258"/>
      <c r="I258"/>
      <c r="J258"/>
      <c r="K258"/>
      <c r="L258"/>
      <c r="M258"/>
      <c r="N258"/>
      <c r="O258"/>
    </row>
    <row r="259" spans="7:15" ht="15" x14ac:dyDescent="0.25">
      <c r="G259"/>
      <c r="H259"/>
      <c r="I259"/>
      <c r="J259"/>
      <c r="K259"/>
      <c r="L259"/>
      <c r="M259"/>
      <c r="N259"/>
      <c r="O259"/>
    </row>
    <row r="260" spans="7:15" ht="15" x14ac:dyDescent="0.25">
      <c r="G260"/>
      <c r="H260"/>
      <c r="I260"/>
      <c r="J260"/>
      <c r="K260"/>
      <c r="L260"/>
      <c r="M260"/>
      <c r="N260"/>
      <c r="O260"/>
    </row>
    <row r="261" spans="7:15" ht="15" x14ac:dyDescent="0.25">
      <c r="G261"/>
      <c r="H261"/>
      <c r="I261"/>
      <c r="J261"/>
      <c r="K261"/>
      <c r="L261"/>
      <c r="M261"/>
      <c r="N261"/>
      <c r="O261"/>
    </row>
    <row r="262" spans="7:15" ht="15" x14ac:dyDescent="0.25">
      <c r="G262"/>
      <c r="H262"/>
      <c r="I262"/>
      <c r="J262"/>
      <c r="K262"/>
      <c r="L262"/>
      <c r="M262"/>
      <c r="N262"/>
      <c r="O262"/>
    </row>
    <row r="263" spans="7:15" ht="15" x14ac:dyDescent="0.25">
      <c r="G263"/>
      <c r="H263"/>
      <c r="I263"/>
      <c r="J263"/>
      <c r="K263"/>
      <c r="L263"/>
      <c r="M263"/>
      <c r="N263"/>
      <c r="O263"/>
    </row>
    <row r="264" spans="7:15" ht="15" x14ac:dyDescent="0.25">
      <c r="G264"/>
      <c r="H264"/>
      <c r="I264"/>
      <c r="J264"/>
      <c r="K264"/>
      <c r="L264"/>
      <c r="M264"/>
      <c r="N264"/>
      <c r="O264"/>
    </row>
    <row r="265" spans="7:15" ht="15" x14ac:dyDescent="0.25">
      <c r="G265"/>
      <c r="H265"/>
      <c r="I265"/>
      <c r="J265"/>
      <c r="K265"/>
      <c r="L265"/>
      <c r="M265"/>
      <c r="N265"/>
      <c r="O265"/>
    </row>
    <row r="266" spans="7:15" ht="15" x14ac:dyDescent="0.25">
      <c r="G266"/>
      <c r="H266"/>
      <c r="I266"/>
      <c r="J266"/>
      <c r="K266"/>
      <c r="L266"/>
      <c r="M266"/>
      <c r="N266"/>
      <c r="O266"/>
    </row>
    <row r="267" spans="7:15" ht="15" x14ac:dyDescent="0.25">
      <c r="G267"/>
      <c r="H267"/>
      <c r="I267"/>
      <c r="J267"/>
      <c r="K267"/>
      <c r="L267"/>
      <c r="M267"/>
      <c r="N267"/>
      <c r="O267"/>
    </row>
    <row r="268" spans="7:15" ht="15" x14ac:dyDescent="0.25">
      <c r="G268"/>
      <c r="H268"/>
      <c r="I268"/>
      <c r="J268"/>
      <c r="K268"/>
      <c r="L268"/>
      <c r="M268"/>
      <c r="N268"/>
      <c r="O268"/>
    </row>
    <row r="269" spans="7:15" ht="15" x14ac:dyDescent="0.25">
      <c r="G269"/>
      <c r="H269"/>
      <c r="I269"/>
      <c r="J269"/>
      <c r="K269"/>
      <c r="L269"/>
      <c r="M269"/>
      <c r="N269"/>
      <c r="O269"/>
    </row>
    <row r="270" spans="7:15" ht="15" x14ac:dyDescent="0.25">
      <c r="G270"/>
      <c r="H270"/>
      <c r="I270"/>
      <c r="J270"/>
      <c r="K270"/>
      <c r="L270"/>
      <c r="M270"/>
      <c r="N270"/>
      <c r="O270"/>
    </row>
    <row r="271" spans="7:15" ht="15" x14ac:dyDescent="0.25">
      <c r="G271"/>
      <c r="H271"/>
      <c r="I271"/>
      <c r="J271"/>
      <c r="K271"/>
      <c r="L271"/>
      <c r="M271"/>
      <c r="N271"/>
      <c r="O271"/>
    </row>
    <row r="272" spans="7:15" ht="15" x14ac:dyDescent="0.25">
      <c r="G272"/>
      <c r="H272"/>
      <c r="I272"/>
      <c r="J272"/>
      <c r="K272"/>
      <c r="L272"/>
      <c r="M272"/>
      <c r="N272"/>
      <c r="O272"/>
    </row>
    <row r="273" spans="7:15" ht="15" x14ac:dyDescent="0.25">
      <c r="G273"/>
      <c r="H273"/>
      <c r="I273"/>
      <c r="J273"/>
      <c r="K273"/>
      <c r="L273"/>
      <c r="M273"/>
      <c r="N273"/>
      <c r="O273"/>
    </row>
    <row r="274" spans="7:15" ht="15" x14ac:dyDescent="0.25">
      <c r="G274"/>
      <c r="H274"/>
      <c r="I274"/>
      <c r="J274"/>
      <c r="K274"/>
      <c r="L274"/>
      <c r="M274"/>
      <c r="N274"/>
      <c r="O274"/>
    </row>
    <row r="275" spans="7:15" ht="15" x14ac:dyDescent="0.25">
      <c r="G275"/>
      <c r="H275"/>
      <c r="I275"/>
      <c r="J275"/>
      <c r="K275"/>
      <c r="L275"/>
      <c r="M275"/>
      <c r="N275"/>
      <c r="O275"/>
    </row>
    <row r="276" spans="7:15" ht="15" x14ac:dyDescent="0.25">
      <c r="G276"/>
      <c r="H276"/>
      <c r="I276"/>
      <c r="J276"/>
      <c r="K276"/>
      <c r="L276"/>
      <c r="M276"/>
      <c r="N276"/>
      <c r="O276"/>
    </row>
    <row r="277" spans="7:15" ht="15" x14ac:dyDescent="0.25">
      <c r="G277"/>
      <c r="H277"/>
      <c r="I277"/>
      <c r="J277"/>
      <c r="K277"/>
      <c r="L277"/>
      <c r="M277"/>
      <c r="N277"/>
      <c r="O277"/>
    </row>
    <row r="278" spans="7:15" ht="15" x14ac:dyDescent="0.25">
      <c r="G278"/>
      <c r="H278"/>
      <c r="I278"/>
      <c r="J278"/>
      <c r="K278"/>
      <c r="L278"/>
      <c r="M278"/>
      <c r="N278"/>
      <c r="O278"/>
    </row>
    <row r="279" spans="7:15" ht="15" x14ac:dyDescent="0.25">
      <c r="G279"/>
      <c r="H279"/>
      <c r="I279"/>
      <c r="J279"/>
      <c r="K279"/>
      <c r="L279"/>
      <c r="M279"/>
      <c r="N279"/>
      <c r="O279"/>
    </row>
    <row r="280" spans="7:15" ht="15" x14ac:dyDescent="0.25">
      <c r="G280"/>
      <c r="H280"/>
      <c r="I280"/>
      <c r="J280"/>
      <c r="K280"/>
      <c r="L280"/>
      <c r="M280"/>
      <c r="N280"/>
      <c r="O280"/>
    </row>
    <row r="281" spans="7:15" ht="15" x14ac:dyDescent="0.25">
      <c r="G281"/>
      <c r="H281"/>
      <c r="I281"/>
      <c r="J281"/>
      <c r="K281"/>
      <c r="L281"/>
      <c r="M281"/>
      <c r="N281"/>
      <c r="O281"/>
    </row>
    <row r="282" spans="7:15" ht="15" x14ac:dyDescent="0.25">
      <c r="G282"/>
      <c r="H282"/>
      <c r="I282"/>
      <c r="J282"/>
      <c r="K282"/>
      <c r="L282"/>
      <c r="M282"/>
      <c r="N282"/>
      <c r="O282"/>
    </row>
    <row r="283" spans="7:15" ht="15" x14ac:dyDescent="0.25">
      <c r="G283"/>
      <c r="H283"/>
      <c r="I283"/>
      <c r="J283"/>
      <c r="K283"/>
      <c r="L283"/>
      <c r="M283"/>
      <c r="N283"/>
      <c r="O283"/>
    </row>
    <row r="284" spans="7:15" ht="15" x14ac:dyDescent="0.25">
      <c r="G284"/>
      <c r="H284"/>
      <c r="I284"/>
      <c r="J284"/>
      <c r="K284"/>
      <c r="L284"/>
      <c r="M284"/>
      <c r="N284"/>
      <c r="O284"/>
    </row>
    <row r="285" spans="7:15" ht="15" x14ac:dyDescent="0.25">
      <c r="G285"/>
      <c r="H285"/>
      <c r="I285"/>
      <c r="J285"/>
      <c r="K285"/>
      <c r="L285"/>
      <c r="M285"/>
      <c r="N285"/>
      <c r="O285"/>
    </row>
    <row r="286" spans="7:15" ht="15" x14ac:dyDescent="0.25">
      <c r="G286"/>
      <c r="H286"/>
      <c r="I286"/>
      <c r="J286"/>
      <c r="K286"/>
      <c r="L286"/>
      <c r="M286"/>
      <c r="N286"/>
      <c r="O286"/>
    </row>
    <row r="287" spans="7:15" ht="15" x14ac:dyDescent="0.25">
      <c r="G287"/>
      <c r="H287"/>
      <c r="I287"/>
      <c r="J287"/>
      <c r="K287"/>
      <c r="L287"/>
      <c r="M287"/>
      <c r="N287"/>
      <c r="O287"/>
    </row>
    <row r="288" spans="7:15" ht="15" x14ac:dyDescent="0.25">
      <c r="G288"/>
      <c r="H288"/>
      <c r="I288"/>
      <c r="J288"/>
      <c r="K288"/>
      <c r="L288"/>
      <c r="M288"/>
      <c r="N288"/>
      <c r="O288"/>
    </row>
    <row r="289" spans="7:15" ht="15" x14ac:dyDescent="0.25">
      <c r="G289"/>
      <c r="H289"/>
      <c r="I289"/>
      <c r="J289"/>
      <c r="K289"/>
      <c r="L289"/>
      <c r="M289"/>
      <c r="N289"/>
      <c r="O289"/>
    </row>
    <row r="290" spans="7:15" ht="15" x14ac:dyDescent="0.25">
      <c r="G290"/>
      <c r="H290"/>
      <c r="I290"/>
      <c r="J290"/>
      <c r="K290"/>
      <c r="L290"/>
      <c r="M290"/>
      <c r="N290"/>
      <c r="O290"/>
    </row>
    <row r="291" spans="7:15" ht="15" x14ac:dyDescent="0.25">
      <c r="G291"/>
      <c r="H291"/>
      <c r="I291"/>
      <c r="J291"/>
      <c r="K291"/>
      <c r="L291"/>
      <c r="M291"/>
      <c r="N291"/>
      <c r="O291"/>
    </row>
    <row r="292" spans="7:15" ht="15" x14ac:dyDescent="0.25">
      <c r="G292"/>
      <c r="H292"/>
      <c r="I292"/>
      <c r="J292"/>
      <c r="K292"/>
      <c r="L292"/>
      <c r="M292"/>
      <c r="N292"/>
      <c r="O292"/>
    </row>
    <row r="293" spans="7:15" ht="15" x14ac:dyDescent="0.25">
      <c r="G293"/>
      <c r="H293"/>
      <c r="I293"/>
      <c r="J293"/>
      <c r="K293"/>
      <c r="L293"/>
      <c r="M293"/>
      <c r="N293"/>
      <c r="O293"/>
    </row>
    <row r="294" spans="7:15" ht="15" x14ac:dyDescent="0.25">
      <c r="G294"/>
      <c r="H294"/>
      <c r="I294"/>
      <c r="J294"/>
      <c r="K294"/>
      <c r="L294"/>
      <c r="M294"/>
      <c r="N294"/>
      <c r="O294"/>
    </row>
    <row r="295" spans="7:15" ht="15" x14ac:dyDescent="0.25">
      <c r="G295"/>
      <c r="H295"/>
      <c r="I295"/>
      <c r="J295"/>
      <c r="K295"/>
      <c r="L295"/>
      <c r="M295"/>
      <c r="N295"/>
      <c r="O295"/>
    </row>
    <row r="296" spans="7:15" ht="15" x14ac:dyDescent="0.25">
      <c r="G296"/>
      <c r="H296"/>
      <c r="I296"/>
      <c r="J296"/>
      <c r="K296"/>
      <c r="L296"/>
      <c r="M296"/>
      <c r="N296"/>
      <c r="O296"/>
    </row>
    <row r="297" spans="7:15" ht="15" x14ac:dyDescent="0.25">
      <c r="G297"/>
      <c r="H297"/>
      <c r="I297"/>
      <c r="J297"/>
      <c r="K297"/>
      <c r="L297"/>
      <c r="M297"/>
      <c r="N297"/>
      <c r="O297"/>
    </row>
    <row r="298" spans="7:15" ht="15" x14ac:dyDescent="0.25">
      <c r="G298"/>
      <c r="H298"/>
      <c r="I298"/>
      <c r="J298"/>
      <c r="K298"/>
      <c r="L298"/>
      <c r="M298"/>
      <c r="N298"/>
      <c r="O298"/>
    </row>
    <row r="299" spans="7:15" ht="15" x14ac:dyDescent="0.25">
      <c r="G299"/>
      <c r="H299"/>
      <c r="I299"/>
      <c r="J299"/>
      <c r="K299"/>
      <c r="L299"/>
      <c r="M299"/>
      <c r="N299"/>
      <c r="O299"/>
    </row>
    <row r="300" spans="7:15" ht="15" x14ac:dyDescent="0.25">
      <c r="G300"/>
      <c r="H300"/>
      <c r="I300"/>
      <c r="J300"/>
      <c r="K300"/>
      <c r="L300"/>
      <c r="M300"/>
      <c r="N300"/>
      <c r="O300"/>
    </row>
    <row r="301" spans="7:15" ht="15" x14ac:dyDescent="0.25">
      <c r="G301"/>
      <c r="H301"/>
      <c r="I301"/>
      <c r="J301"/>
      <c r="K301"/>
      <c r="L301"/>
      <c r="M301"/>
      <c r="N301"/>
      <c r="O301"/>
    </row>
    <row r="302" spans="7:15" ht="15" x14ac:dyDescent="0.25">
      <c r="G302"/>
      <c r="H302"/>
      <c r="I302"/>
      <c r="J302"/>
      <c r="K302"/>
      <c r="L302"/>
      <c r="M302"/>
      <c r="N302"/>
      <c r="O302"/>
    </row>
    <row r="303" spans="7:15" ht="15" x14ac:dyDescent="0.25">
      <c r="G303"/>
      <c r="H303"/>
      <c r="I303"/>
      <c r="J303"/>
      <c r="K303"/>
      <c r="L303"/>
      <c r="M303"/>
      <c r="N303"/>
      <c r="O303"/>
    </row>
    <row r="304" spans="7:15" ht="15" x14ac:dyDescent="0.25">
      <c r="G304"/>
      <c r="H304"/>
      <c r="I304"/>
      <c r="J304"/>
      <c r="K304"/>
      <c r="L304"/>
      <c r="M304"/>
      <c r="N304"/>
      <c r="O304"/>
    </row>
    <row r="305" spans="7:15" ht="15" x14ac:dyDescent="0.25">
      <c r="G305"/>
      <c r="H305"/>
      <c r="I305"/>
      <c r="J305"/>
      <c r="K305"/>
      <c r="L305"/>
      <c r="M305"/>
      <c r="N305"/>
      <c r="O305"/>
    </row>
    <row r="306" spans="7:15" ht="15" x14ac:dyDescent="0.25">
      <c r="G306"/>
      <c r="H306"/>
      <c r="I306"/>
      <c r="J306"/>
      <c r="K306"/>
      <c r="L306"/>
      <c r="M306"/>
      <c r="N306"/>
      <c r="O306"/>
    </row>
    <row r="307" spans="7:15" ht="15" x14ac:dyDescent="0.25">
      <c r="G307"/>
      <c r="H307"/>
      <c r="I307"/>
      <c r="J307"/>
      <c r="K307"/>
      <c r="L307"/>
      <c r="M307"/>
      <c r="N307"/>
      <c r="O307"/>
    </row>
    <row r="308" spans="7:15" ht="15" x14ac:dyDescent="0.25">
      <c r="G308"/>
      <c r="H308"/>
      <c r="I308"/>
      <c r="J308"/>
      <c r="K308"/>
      <c r="L308"/>
      <c r="M308"/>
      <c r="N308"/>
      <c r="O308"/>
    </row>
    <row r="309" spans="7:15" ht="15" x14ac:dyDescent="0.25">
      <c r="G309"/>
      <c r="H309"/>
      <c r="I309"/>
      <c r="J309"/>
      <c r="K309"/>
      <c r="L309"/>
      <c r="M309"/>
      <c r="N309"/>
      <c r="O309"/>
    </row>
    <row r="310" spans="7:15" ht="15" x14ac:dyDescent="0.25">
      <c r="G310"/>
      <c r="H310"/>
      <c r="I310"/>
      <c r="J310"/>
      <c r="K310"/>
      <c r="L310"/>
      <c r="M310"/>
      <c r="N310"/>
      <c r="O310"/>
    </row>
    <row r="311" spans="7:15" ht="15" x14ac:dyDescent="0.25">
      <c r="G311"/>
      <c r="H311"/>
      <c r="I311"/>
      <c r="J311"/>
      <c r="K311"/>
      <c r="L311"/>
      <c r="M311"/>
      <c r="N311"/>
      <c r="O311"/>
    </row>
    <row r="312" spans="7:15" ht="15" x14ac:dyDescent="0.25">
      <c r="G312"/>
      <c r="H312"/>
      <c r="I312"/>
      <c r="J312"/>
      <c r="K312"/>
      <c r="L312"/>
      <c r="M312"/>
      <c r="N312"/>
      <c r="O312"/>
    </row>
    <row r="313" spans="7:15" ht="15" x14ac:dyDescent="0.25">
      <c r="G313"/>
      <c r="H313"/>
      <c r="I313"/>
      <c r="J313"/>
      <c r="K313"/>
      <c r="L313"/>
      <c r="M313"/>
      <c r="N313"/>
      <c r="O313"/>
    </row>
    <row r="314" spans="7:15" ht="15" x14ac:dyDescent="0.25">
      <c r="G314"/>
      <c r="H314"/>
      <c r="I314"/>
      <c r="J314"/>
      <c r="K314"/>
      <c r="L314"/>
      <c r="M314"/>
      <c r="N314"/>
      <c r="O314"/>
    </row>
    <row r="315" spans="7:15" ht="15" x14ac:dyDescent="0.25">
      <c r="G315"/>
      <c r="H315"/>
      <c r="I315"/>
      <c r="J315"/>
      <c r="K315"/>
      <c r="L315"/>
      <c r="M315"/>
      <c r="N315"/>
      <c r="O315"/>
    </row>
    <row r="316" spans="7:15" ht="15" x14ac:dyDescent="0.25">
      <c r="G316"/>
      <c r="H316"/>
      <c r="I316"/>
      <c r="J316"/>
      <c r="K316"/>
      <c r="L316"/>
      <c r="M316"/>
      <c r="N316"/>
      <c r="O316"/>
    </row>
    <row r="317" spans="7:15" ht="15" x14ac:dyDescent="0.25">
      <c r="G317"/>
      <c r="H317"/>
      <c r="I317"/>
      <c r="J317"/>
      <c r="K317"/>
      <c r="L317"/>
      <c r="M317"/>
      <c r="N317"/>
      <c r="O317"/>
    </row>
    <row r="318" spans="7:15" ht="15" x14ac:dyDescent="0.25">
      <c r="G318"/>
      <c r="H318"/>
      <c r="I318"/>
      <c r="J318"/>
      <c r="K318"/>
      <c r="L318"/>
      <c r="M318"/>
      <c r="N318"/>
      <c r="O318"/>
    </row>
    <row r="319" spans="7:15" ht="15" x14ac:dyDescent="0.25">
      <c r="G319"/>
      <c r="H319"/>
      <c r="I319"/>
      <c r="J319"/>
      <c r="K319"/>
      <c r="L319"/>
      <c r="M319"/>
      <c r="N319"/>
      <c r="O319"/>
    </row>
    <row r="320" spans="7:15" ht="15" x14ac:dyDescent="0.25">
      <c r="G320"/>
      <c r="H320"/>
      <c r="I320"/>
      <c r="J320"/>
      <c r="K320"/>
      <c r="L320"/>
      <c r="M320"/>
      <c r="N320"/>
      <c r="O320"/>
    </row>
    <row r="321" spans="7:15" ht="15" x14ac:dyDescent="0.25">
      <c r="G321"/>
      <c r="H321"/>
      <c r="I321"/>
      <c r="J321"/>
      <c r="K321"/>
      <c r="L321"/>
      <c r="M321"/>
      <c r="N321"/>
      <c r="O321"/>
    </row>
    <row r="322" spans="7:15" ht="15" x14ac:dyDescent="0.25">
      <c r="G322"/>
      <c r="H322"/>
      <c r="I322"/>
      <c r="J322"/>
      <c r="K322"/>
      <c r="L322"/>
      <c r="M322"/>
      <c r="N322"/>
      <c r="O322"/>
    </row>
    <row r="323" spans="7:15" ht="15" x14ac:dyDescent="0.25">
      <c r="G323"/>
      <c r="H323"/>
      <c r="I323"/>
      <c r="J323"/>
      <c r="K323"/>
      <c r="L323"/>
      <c r="M323"/>
      <c r="N323"/>
      <c r="O323"/>
    </row>
    <row r="324" spans="7:15" ht="15" x14ac:dyDescent="0.25">
      <c r="G324"/>
      <c r="H324"/>
      <c r="I324"/>
      <c r="J324"/>
      <c r="K324"/>
      <c r="L324"/>
      <c r="M324"/>
      <c r="N324"/>
      <c r="O324"/>
    </row>
    <row r="325" spans="7:15" ht="15" x14ac:dyDescent="0.25">
      <c r="G325"/>
      <c r="H325"/>
      <c r="I325"/>
      <c r="J325"/>
      <c r="K325"/>
      <c r="L325"/>
      <c r="M325"/>
      <c r="N325"/>
      <c r="O325"/>
    </row>
    <row r="326" spans="7:15" ht="15" x14ac:dyDescent="0.25">
      <c r="G326"/>
      <c r="H326"/>
      <c r="I326"/>
      <c r="J326"/>
      <c r="K326"/>
      <c r="L326"/>
      <c r="M326"/>
      <c r="N326"/>
      <c r="O326"/>
    </row>
    <row r="327" spans="7:15" ht="15" x14ac:dyDescent="0.25">
      <c r="G327"/>
      <c r="H327"/>
      <c r="I327"/>
      <c r="J327"/>
      <c r="K327"/>
      <c r="L327"/>
      <c r="M327"/>
      <c r="N327"/>
      <c r="O327"/>
    </row>
    <row r="328" spans="7:15" ht="15" x14ac:dyDescent="0.25">
      <c r="G328"/>
      <c r="H328"/>
      <c r="I328"/>
      <c r="J328"/>
      <c r="K328"/>
      <c r="L328"/>
      <c r="M328"/>
      <c r="N328"/>
      <c r="O328"/>
    </row>
    <row r="329" spans="7:15" ht="15" x14ac:dyDescent="0.25">
      <c r="G329"/>
      <c r="H329"/>
      <c r="I329"/>
      <c r="J329"/>
      <c r="K329"/>
      <c r="L329"/>
      <c r="M329"/>
      <c r="N329"/>
      <c r="O329"/>
    </row>
    <row r="330" spans="7:15" ht="15" x14ac:dyDescent="0.25">
      <c r="G330"/>
      <c r="H330"/>
      <c r="I330"/>
      <c r="J330"/>
      <c r="K330"/>
      <c r="L330"/>
      <c r="M330"/>
      <c r="N330"/>
      <c r="O330"/>
    </row>
    <row r="331" spans="7:15" ht="15" x14ac:dyDescent="0.25">
      <c r="G331"/>
      <c r="H331"/>
      <c r="I331"/>
      <c r="J331"/>
      <c r="K331"/>
      <c r="L331"/>
      <c r="M331"/>
      <c r="N331"/>
      <c r="O331"/>
    </row>
    <row r="332" spans="7:15" ht="15" x14ac:dyDescent="0.25">
      <c r="G332"/>
      <c r="H332"/>
      <c r="I332"/>
      <c r="J332"/>
      <c r="K332"/>
      <c r="L332"/>
      <c r="M332"/>
      <c r="N332"/>
      <c r="O332"/>
    </row>
    <row r="333" spans="7:15" ht="15" x14ac:dyDescent="0.25">
      <c r="G333"/>
      <c r="H333"/>
      <c r="I333"/>
      <c r="J333"/>
      <c r="K333"/>
      <c r="L333"/>
      <c r="M333"/>
      <c r="N333"/>
      <c r="O333"/>
    </row>
    <row r="334" spans="7:15" ht="15" x14ac:dyDescent="0.25">
      <c r="G334"/>
      <c r="H334"/>
      <c r="I334"/>
      <c r="J334"/>
      <c r="K334"/>
      <c r="L334"/>
      <c r="M334"/>
      <c r="N334"/>
      <c r="O334"/>
    </row>
    <row r="335" spans="7:15" ht="15" x14ac:dyDescent="0.25">
      <c r="G335"/>
      <c r="H335"/>
      <c r="I335"/>
      <c r="J335"/>
      <c r="K335"/>
      <c r="L335"/>
      <c r="M335"/>
      <c r="N335"/>
      <c r="O335"/>
    </row>
    <row r="336" spans="7:15" ht="15" x14ac:dyDescent="0.25">
      <c r="G336"/>
      <c r="H336"/>
      <c r="I336"/>
      <c r="J336"/>
      <c r="K336"/>
      <c r="L336"/>
      <c r="M336"/>
      <c r="N336"/>
      <c r="O336"/>
    </row>
    <row r="337" spans="7:15" ht="15" x14ac:dyDescent="0.25">
      <c r="G337"/>
      <c r="H337"/>
      <c r="I337"/>
      <c r="J337"/>
      <c r="K337"/>
      <c r="L337"/>
      <c r="M337"/>
      <c r="N337"/>
      <c r="O337"/>
    </row>
    <row r="338" spans="7:15" ht="15" x14ac:dyDescent="0.25">
      <c r="G338"/>
      <c r="H338"/>
      <c r="I338"/>
      <c r="J338"/>
      <c r="K338"/>
      <c r="L338"/>
      <c r="M338"/>
      <c r="N338"/>
      <c r="O338"/>
    </row>
    <row r="339" spans="7:15" ht="15" x14ac:dyDescent="0.25">
      <c r="G339"/>
      <c r="H339"/>
      <c r="I339"/>
      <c r="J339"/>
      <c r="K339"/>
      <c r="L339"/>
      <c r="M339"/>
      <c r="N339"/>
      <c r="O339"/>
    </row>
    <row r="340" spans="7:15" ht="15" x14ac:dyDescent="0.25">
      <c r="G340"/>
      <c r="H340"/>
      <c r="I340"/>
      <c r="J340"/>
      <c r="K340"/>
      <c r="L340"/>
      <c r="M340"/>
      <c r="N340"/>
      <c r="O340"/>
    </row>
    <row r="341" spans="7:15" ht="15" x14ac:dyDescent="0.25">
      <c r="G341"/>
      <c r="H341"/>
      <c r="I341"/>
      <c r="J341"/>
      <c r="K341"/>
      <c r="L341"/>
      <c r="M341"/>
      <c r="N341"/>
      <c r="O341"/>
    </row>
    <row r="342" spans="7:15" ht="15" x14ac:dyDescent="0.25">
      <c r="G342"/>
      <c r="H342"/>
      <c r="I342"/>
      <c r="J342"/>
      <c r="K342"/>
      <c r="L342"/>
      <c r="M342"/>
      <c r="N342"/>
      <c r="O342"/>
    </row>
    <row r="343" spans="7:15" ht="15" x14ac:dyDescent="0.25">
      <c r="G343"/>
      <c r="H343"/>
      <c r="I343"/>
      <c r="J343"/>
      <c r="K343"/>
      <c r="L343"/>
      <c r="M343"/>
      <c r="N343"/>
      <c r="O343"/>
    </row>
    <row r="344" spans="7:15" ht="15" x14ac:dyDescent="0.25">
      <c r="G344"/>
      <c r="H344"/>
      <c r="I344"/>
      <c r="J344"/>
      <c r="K344"/>
      <c r="L344"/>
      <c r="M344"/>
      <c r="N344"/>
      <c r="O344"/>
    </row>
    <row r="345" spans="7:15" ht="15" x14ac:dyDescent="0.25">
      <c r="G345"/>
      <c r="H345"/>
      <c r="I345"/>
      <c r="J345"/>
      <c r="K345"/>
      <c r="L345"/>
      <c r="M345"/>
      <c r="N345"/>
      <c r="O345"/>
    </row>
    <row r="346" spans="7:15" ht="15" x14ac:dyDescent="0.25">
      <c r="G346"/>
      <c r="H346"/>
      <c r="I346"/>
      <c r="J346"/>
      <c r="K346"/>
      <c r="L346"/>
      <c r="M346"/>
      <c r="N346"/>
      <c r="O346"/>
    </row>
    <row r="347" spans="7:15" ht="15" x14ac:dyDescent="0.25">
      <c r="G347"/>
      <c r="H347"/>
      <c r="I347"/>
      <c r="J347"/>
      <c r="K347"/>
      <c r="L347"/>
      <c r="M347"/>
      <c r="N347"/>
      <c r="O347"/>
    </row>
    <row r="348" spans="7:15" ht="15" x14ac:dyDescent="0.25">
      <c r="G348"/>
      <c r="H348"/>
      <c r="I348"/>
      <c r="J348"/>
      <c r="K348"/>
      <c r="L348"/>
      <c r="M348"/>
      <c r="N348"/>
      <c r="O348"/>
    </row>
    <row r="349" spans="7:15" ht="15" x14ac:dyDescent="0.25">
      <c r="G349"/>
      <c r="H349"/>
      <c r="I349"/>
      <c r="J349"/>
      <c r="K349"/>
      <c r="L349"/>
      <c r="M349"/>
      <c r="N349"/>
      <c r="O349"/>
    </row>
    <row r="350" spans="7:15" ht="15" x14ac:dyDescent="0.25">
      <c r="G350"/>
      <c r="H350"/>
      <c r="I350"/>
      <c r="J350"/>
      <c r="K350"/>
      <c r="L350"/>
      <c r="M350"/>
      <c r="N350"/>
      <c r="O350"/>
    </row>
    <row r="351" spans="7:15" ht="15" x14ac:dyDescent="0.25">
      <c r="G351"/>
      <c r="H351"/>
      <c r="I351"/>
      <c r="J351"/>
      <c r="K351"/>
      <c r="L351"/>
      <c r="M351"/>
      <c r="N351"/>
      <c r="O351"/>
    </row>
    <row r="352" spans="7:15" ht="15" x14ac:dyDescent="0.25">
      <c r="G352"/>
      <c r="H352"/>
      <c r="I352"/>
      <c r="J352"/>
      <c r="K352"/>
      <c r="L352"/>
      <c r="M352"/>
      <c r="N352"/>
      <c r="O352"/>
    </row>
    <row r="353" spans="7:15" ht="15" x14ac:dyDescent="0.25">
      <c r="G353"/>
      <c r="H353"/>
      <c r="I353"/>
      <c r="J353"/>
      <c r="K353"/>
      <c r="L353"/>
      <c r="M353"/>
      <c r="N353"/>
      <c r="O353"/>
    </row>
    <row r="354" spans="7:15" ht="15" x14ac:dyDescent="0.25">
      <c r="G354"/>
      <c r="H354"/>
      <c r="I354"/>
      <c r="J354"/>
      <c r="K354"/>
      <c r="L354"/>
      <c r="M354"/>
      <c r="N354"/>
      <c r="O354"/>
    </row>
    <row r="355" spans="7:15" ht="15" x14ac:dyDescent="0.25">
      <c r="G355"/>
      <c r="H355"/>
      <c r="I355"/>
      <c r="J355"/>
      <c r="K355"/>
      <c r="L355"/>
      <c r="M355"/>
      <c r="N355"/>
      <c r="O355"/>
    </row>
    <row r="356" spans="7:15" ht="15" x14ac:dyDescent="0.25">
      <c r="G356"/>
      <c r="H356"/>
      <c r="I356"/>
      <c r="J356"/>
      <c r="K356"/>
      <c r="L356"/>
      <c r="M356"/>
      <c r="N356"/>
      <c r="O356"/>
    </row>
    <row r="357" spans="7:15" ht="15" x14ac:dyDescent="0.25">
      <c r="G357"/>
      <c r="H357"/>
      <c r="I357"/>
      <c r="J357"/>
      <c r="K357"/>
      <c r="L357"/>
      <c r="M357"/>
      <c r="N357"/>
      <c r="O357"/>
    </row>
    <row r="358" spans="7:15" ht="15" x14ac:dyDescent="0.25">
      <c r="G358"/>
      <c r="H358"/>
      <c r="I358"/>
      <c r="J358"/>
      <c r="K358"/>
      <c r="L358"/>
      <c r="M358"/>
      <c r="N358"/>
      <c r="O358"/>
    </row>
    <row r="359" spans="7:15" ht="15" x14ac:dyDescent="0.25">
      <c r="G359"/>
      <c r="H359"/>
      <c r="I359"/>
      <c r="J359"/>
      <c r="K359"/>
      <c r="L359"/>
      <c r="M359"/>
      <c r="N359"/>
      <c r="O359"/>
    </row>
    <row r="360" spans="7:15" ht="15" x14ac:dyDescent="0.25">
      <c r="G360"/>
      <c r="H360"/>
      <c r="I360"/>
      <c r="J360"/>
      <c r="K360"/>
      <c r="L360"/>
      <c r="M360"/>
      <c r="N360"/>
      <c r="O360"/>
    </row>
    <row r="361" spans="7:15" ht="15" x14ac:dyDescent="0.25">
      <c r="G361"/>
      <c r="H361"/>
      <c r="I361"/>
      <c r="J361"/>
      <c r="K361"/>
      <c r="L361"/>
      <c r="M361"/>
      <c r="N361"/>
      <c r="O361"/>
    </row>
    <row r="362" spans="7:15" ht="15" x14ac:dyDescent="0.25">
      <c r="G362"/>
      <c r="H362"/>
      <c r="I362"/>
      <c r="J362"/>
      <c r="K362"/>
      <c r="L362"/>
      <c r="M362"/>
      <c r="N362"/>
      <c r="O362"/>
    </row>
    <row r="363" spans="7:15" ht="15" x14ac:dyDescent="0.25">
      <c r="G363"/>
      <c r="H363"/>
      <c r="I363"/>
      <c r="J363"/>
      <c r="K363"/>
      <c r="L363"/>
      <c r="M363"/>
      <c r="N363"/>
      <c r="O363"/>
    </row>
    <row r="364" spans="7:15" ht="15" x14ac:dyDescent="0.25">
      <c r="G364"/>
      <c r="H364"/>
      <c r="I364"/>
      <c r="J364"/>
      <c r="K364"/>
      <c r="L364"/>
      <c r="M364"/>
      <c r="N364"/>
      <c r="O364"/>
    </row>
    <row r="365" spans="7:15" ht="15" x14ac:dyDescent="0.25">
      <c r="G365"/>
      <c r="H365"/>
      <c r="I365"/>
      <c r="J365"/>
      <c r="K365"/>
      <c r="L365"/>
      <c r="M365"/>
      <c r="N365"/>
      <c r="O365"/>
    </row>
    <row r="366" spans="7:15" ht="15" x14ac:dyDescent="0.25">
      <c r="G366"/>
      <c r="H366"/>
      <c r="I366"/>
      <c r="J366"/>
      <c r="K366"/>
      <c r="L366"/>
      <c r="M366"/>
      <c r="N366"/>
      <c r="O366"/>
    </row>
    <row r="367" spans="7:15" ht="15" x14ac:dyDescent="0.25">
      <c r="G367"/>
      <c r="H367"/>
      <c r="I367"/>
      <c r="J367"/>
      <c r="K367"/>
      <c r="L367"/>
      <c r="M367"/>
      <c r="N367"/>
      <c r="O367"/>
    </row>
    <row r="368" spans="7:15" ht="15" x14ac:dyDescent="0.25">
      <c r="G368"/>
      <c r="H368"/>
      <c r="I368"/>
      <c r="J368"/>
      <c r="K368"/>
      <c r="L368"/>
      <c r="M368"/>
      <c r="N368"/>
      <c r="O368"/>
    </row>
    <row r="369" spans="7:15" ht="15" x14ac:dyDescent="0.25">
      <c r="G369"/>
      <c r="H369"/>
      <c r="I369"/>
      <c r="J369"/>
      <c r="K369"/>
      <c r="L369"/>
      <c r="M369"/>
      <c r="N369"/>
      <c r="O369"/>
    </row>
    <row r="370" spans="7:15" ht="15" x14ac:dyDescent="0.25">
      <c r="G370"/>
      <c r="H370"/>
      <c r="I370"/>
      <c r="J370"/>
      <c r="K370"/>
      <c r="L370"/>
      <c r="M370"/>
      <c r="N370"/>
      <c r="O370"/>
    </row>
    <row r="371" spans="7:15" ht="15" x14ac:dyDescent="0.25">
      <c r="G371"/>
      <c r="H371"/>
      <c r="I371"/>
      <c r="J371"/>
      <c r="K371"/>
      <c r="L371"/>
      <c r="M371"/>
      <c r="N371"/>
      <c r="O371"/>
    </row>
    <row r="372" spans="7:15" ht="15" x14ac:dyDescent="0.25">
      <c r="G372"/>
      <c r="H372"/>
      <c r="I372"/>
      <c r="J372"/>
      <c r="K372"/>
      <c r="L372"/>
      <c r="M372"/>
      <c r="N372"/>
      <c r="O372"/>
    </row>
    <row r="373" spans="7:15" ht="15" x14ac:dyDescent="0.25">
      <c r="G373"/>
      <c r="H373"/>
      <c r="I373"/>
      <c r="J373"/>
      <c r="K373"/>
      <c r="L373"/>
      <c r="M373"/>
      <c r="N373"/>
      <c r="O373"/>
    </row>
    <row r="374" spans="7:15" ht="15" x14ac:dyDescent="0.25">
      <c r="G374"/>
      <c r="H374"/>
      <c r="I374"/>
      <c r="J374"/>
      <c r="K374"/>
      <c r="L374"/>
      <c r="M374"/>
      <c r="N374"/>
      <c r="O374"/>
    </row>
    <row r="375" spans="7:15" ht="15" x14ac:dyDescent="0.25">
      <c r="G375"/>
      <c r="H375"/>
      <c r="I375"/>
      <c r="J375"/>
      <c r="K375"/>
      <c r="L375"/>
      <c r="M375"/>
      <c r="N375"/>
      <c r="O375"/>
    </row>
    <row r="376" spans="7:15" ht="15" x14ac:dyDescent="0.25">
      <c r="G376"/>
      <c r="H376"/>
      <c r="I376"/>
      <c r="J376"/>
      <c r="K376"/>
      <c r="L376"/>
      <c r="M376"/>
      <c r="N376"/>
      <c r="O376"/>
    </row>
    <row r="377" spans="7:15" ht="15" x14ac:dyDescent="0.25">
      <c r="G377"/>
      <c r="H377"/>
      <c r="I377"/>
      <c r="J377"/>
      <c r="K377"/>
      <c r="L377"/>
      <c r="M377"/>
      <c r="N377"/>
      <c r="O377"/>
    </row>
    <row r="378" spans="7:15" ht="15" x14ac:dyDescent="0.25">
      <c r="G378"/>
      <c r="H378"/>
      <c r="I378"/>
      <c r="J378"/>
      <c r="K378"/>
      <c r="L378"/>
      <c r="M378"/>
      <c r="N378"/>
      <c r="O378"/>
    </row>
    <row r="379" spans="7:15" ht="15" x14ac:dyDescent="0.25">
      <c r="G379"/>
      <c r="H379"/>
      <c r="I379"/>
      <c r="J379"/>
      <c r="K379"/>
      <c r="L379"/>
      <c r="M379"/>
      <c r="N379"/>
      <c r="O379"/>
    </row>
    <row r="380" spans="7:15" ht="15" x14ac:dyDescent="0.25">
      <c r="G380"/>
      <c r="H380"/>
      <c r="I380"/>
      <c r="J380"/>
      <c r="K380"/>
      <c r="L380"/>
      <c r="M380"/>
      <c r="N380"/>
      <c r="O380"/>
    </row>
    <row r="381" spans="7:15" ht="15" x14ac:dyDescent="0.25">
      <c r="G381"/>
      <c r="H381"/>
      <c r="I381"/>
      <c r="J381"/>
      <c r="K381"/>
      <c r="L381"/>
      <c r="M381"/>
      <c r="N381"/>
      <c r="O381"/>
    </row>
    <row r="382" spans="7:15" ht="15" x14ac:dyDescent="0.25">
      <c r="G382"/>
      <c r="H382"/>
      <c r="I382"/>
      <c r="J382"/>
      <c r="K382"/>
      <c r="L382"/>
      <c r="M382"/>
      <c r="N382"/>
      <c r="O382"/>
    </row>
    <row r="383" spans="7:15" ht="15" x14ac:dyDescent="0.25">
      <c r="G383"/>
      <c r="H383"/>
      <c r="I383"/>
      <c r="J383"/>
      <c r="K383"/>
      <c r="L383"/>
      <c r="M383"/>
      <c r="N383"/>
      <c r="O383"/>
    </row>
    <row r="384" spans="7:15" ht="15" x14ac:dyDescent="0.25">
      <c r="G384"/>
      <c r="H384"/>
      <c r="I384"/>
      <c r="J384"/>
      <c r="K384"/>
      <c r="L384"/>
      <c r="M384"/>
      <c r="N384"/>
      <c r="O384"/>
    </row>
    <row r="385" spans="7:15" ht="15" x14ac:dyDescent="0.25">
      <c r="G385"/>
      <c r="H385"/>
      <c r="I385"/>
      <c r="J385"/>
      <c r="K385"/>
      <c r="L385"/>
      <c r="M385"/>
      <c r="N385"/>
      <c r="O385"/>
    </row>
    <row r="386" spans="7:15" ht="15" x14ac:dyDescent="0.25">
      <c r="G386"/>
      <c r="H386"/>
      <c r="I386"/>
      <c r="J386"/>
      <c r="K386"/>
      <c r="L386"/>
      <c r="M386"/>
      <c r="N386"/>
      <c r="O386"/>
    </row>
    <row r="387" spans="7:15" ht="15" x14ac:dyDescent="0.25">
      <c r="G387"/>
      <c r="H387"/>
      <c r="I387"/>
      <c r="J387"/>
      <c r="K387"/>
      <c r="L387"/>
      <c r="M387"/>
      <c r="N387"/>
      <c r="O387"/>
    </row>
    <row r="388" spans="7:15" ht="15" x14ac:dyDescent="0.25">
      <c r="G388"/>
      <c r="H388"/>
      <c r="I388"/>
      <c r="J388"/>
      <c r="K388"/>
      <c r="L388"/>
      <c r="M388"/>
      <c r="N388"/>
      <c r="O388"/>
    </row>
    <row r="389" spans="7:15" ht="15" x14ac:dyDescent="0.25">
      <c r="G389"/>
      <c r="H389"/>
      <c r="I389"/>
      <c r="J389"/>
      <c r="K389"/>
      <c r="L389"/>
      <c r="M389"/>
      <c r="N389"/>
      <c r="O389"/>
    </row>
    <row r="390" spans="7:15" ht="15" x14ac:dyDescent="0.25">
      <c r="G390"/>
      <c r="H390"/>
      <c r="I390"/>
      <c r="J390"/>
      <c r="K390"/>
      <c r="L390"/>
      <c r="M390"/>
      <c r="N390"/>
      <c r="O390"/>
    </row>
    <row r="391" spans="7:15" ht="15" x14ac:dyDescent="0.25">
      <c r="G391"/>
      <c r="H391"/>
      <c r="I391"/>
      <c r="J391"/>
      <c r="K391"/>
      <c r="L391"/>
      <c r="M391"/>
      <c r="N391"/>
      <c r="O391"/>
    </row>
    <row r="392" spans="7:15" ht="15" x14ac:dyDescent="0.25">
      <c r="G392"/>
      <c r="H392"/>
      <c r="I392"/>
      <c r="J392"/>
      <c r="K392"/>
      <c r="L392"/>
      <c r="M392"/>
      <c r="N392"/>
      <c r="O392"/>
    </row>
    <row r="393" spans="7:15" ht="15" x14ac:dyDescent="0.25">
      <c r="G393"/>
      <c r="H393"/>
      <c r="I393"/>
      <c r="J393"/>
      <c r="K393"/>
      <c r="L393"/>
      <c r="M393"/>
      <c r="N393"/>
      <c r="O393"/>
    </row>
    <row r="394" spans="7:15" ht="15" x14ac:dyDescent="0.25">
      <c r="G394"/>
      <c r="H394"/>
      <c r="I394"/>
      <c r="J394"/>
      <c r="K394"/>
      <c r="L394"/>
      <c r="M394"/>
      <c r="N394"/>
      <c r="O394"/>
    </row>
    <row r="395" spans="7:15" ht="15" x14ac:dyDescent="0.25">
      <c r="G395"/>
      <c r="H395"/>
      <c r="I395"/>
      <c r="J395"/>
      <c r="K395"/>
      <c r="L395"/>
      <c r="M395"/>
      <c r="N395"/>
      <c r="O395"/>
    </row>
    <row r="396" spans="7:15" ht="15" x14ac:dyDescent="0.25">
      <c r="G396"/>
      <c r="H396"/>
      <c r="I396"/>
      <c r="J396"/>
      <c r="K396"/>
      <c r="L396"/>
      <c r="M396"/>
      <c r="N396"/>
      <c r="O396"/>
    </row>
    <row r="397" spans="7:15" ht="15" x14ac:dyDescent="0.25">
      <c r="G397"/>
      <c r="H397"/>
      <c r="I397"/>
      <c r="J397"/>
      <c r="K397"/>
      <c r="L397"/>
      <c r="M397"/>
      <c r="N397"/>
      <c r="O397"/>
    </row>
    <row r="398" spans="7:15" ht="15" x14ac:dyDescent="0.25">
      <c r="G398"/>
      <c r="H398"/>
      <c r="I398"/>
      <c r="J398"/>
      <c r="K398"/>
      <c r="L398"/>
      <c r="M398"/>
      <c r="N398"/>
      <c r="O398"/>
    </row>
    <row r="399" spans="7:15" ht="15" x14ac:dyDescent="0.25">
      <c r="G399"/>
      <c r="H399"/>
      <c r="I399"/>
      <c r="J399"/>
      <c r="K399"/>
      <c r="L399"/>
      <c r="M399"/>
      <c r="N399"/>
      <c r="O399"/>
    </row>
    <row r="400" spans="7:15" ht="15" x14ac:dyDescent="0.25">
      <c r="G400"/>
      <c r="H400"/>
      <c r="I400"/>
      <c r="J400"/>
      <c r="K400"/>
      <c r="L400"/>
      <c r="M400"/>
      <c r="N400"/>
      <c r="O400"/>
    </row>
    <row r="401" spans="7:15" ht="15" x14ac:dyDescent="0.25">
      <c r="G401"/>
      <c r="H401"/>
      <c r="I401"/>
      <c r="J401"/>
      <c r="K401"/>
      <c r="L401"/>
      <c r="M401"/>
      <c r="N401"/>
      <c r="O401"/>
    </row>
    <row r="402" spans="7:15" ht="15" x14ac:dyDescent="0.25">
      <c r="G402"/>
      <c r="H402"/>
      <c r="I402"/>
      <c r="J402"/>
      <c r="K402"/>
      <c r="L402"/>
      <c r="M402"/>
      <c r="N402"/>
      <c r="O402"/>
    </row>
    <row r="403" spans="7:15" ht="15" x14ac:dyDescent="0.25">
      <c r="G403"/>
      <c r="H403"/>
      <c r="I403"/>
      <c r="J403"/>
      <c r="K403"/>
      <c r="L403"/>
      <c r="M403"/>
      <c r="N403"/>
      <c r="O403"/>
    </row>
    <row r="404" spans="7:15" ht="15" x14ac:dyDescent="0.25">
      <c r="G404"/>
      <c r="H404"/>
      <c r="I404"/>
      <c r="J404"/>
      <c r="K404"/>
      <c r="L404"/>
      <c r="M404"/>
      <c r="N404"/>
      <c r="O404"/>
    </row>
    <row r="405" spans="7:15" ht="15" x14ac:dyDescent="0.25">
      <c r="G405"/>
      <c r="H405"/>
      <c r="I405"/>
      <c r="J405"/>
      <c r="K405"/>
      <c r="L405"/>
      <c r="M405"/>
      <c r="N405"/>
      <c r="O405"/>
    </row>
    <row r="406" spans="7:15" ht="15" x14ac:dyDescent="0.25">
      <c r="G406"/>
      <c r="H406"/>
      <c r="I406"/>
      <c r="J406"/>
      <c r="K406"/>
      <c r="L406"/>
      <c r="M406"/>
      <c r="N406"/>
      <c r="O406"/>
    </row>
    <row r="407" spans="7:15" ht="15" x14ac:dyDescent="0.25">
      <c r="G407"/>
      <c r="H407"/>
      <c r="I407"/>
      <c r="J407"/>
      <c r="K407"/>
      <c r="L407"/>
      <c r="M407"/>
      <c r="N407"/>
      <c r="O407"/>
    </row>
    <row r="408" spans="7:15" ht="15" x14ac:dyDescent="0.25">
      <c r="G408"/>
      <c r="H408"/>
      <c r="I408"/>
      <c r="J408"/>
      <c r="K408"/>
      <c r="L408"/>
      <c r="M408"/>
      <c r="N408"/>
      <c r="O408"/>
    </row>
    <row r="409" spans="7:15" ht="15" x14ac:dyDescent="0.25">
      <c r="G409"/>
      <c r="H409"/>
      <c r="I409"/>
      <c r="J409"/>
      <c r="K409"/>
      <c r="L409"/>
      <c r="M409"/>
      <c r="N409"/>
      <c r="O409"/>
    </row>
    <row r="410" spans="7:15" ht="15" x14ac:dyDescent="0.25">
      <c r="G410"/>
      <c r="H410"/>
      <c r="I410"/>
      <c r="J410"/>
      <c r="K410"/>
      <c r="L410"/>
      <c r="M410"/>
      <c r="N410"/>
      <c r="O410"/>
    </row>
    <row r="411" spans="7:15" ht="15" x14ac:dyDescent="0.25">
      <c r="G411"/>
      <c r="H411"/>
      <c r="I411"/>
      <c r="J411"/>
      <c r="K411"/>
      <c r="L411"/>
      <c r="M411"/>
      <c r="N411"/>
      <c r="O411"/>
    </row>
    <row r="412" spans="7:15" ht="15" x14ac:dyDescent="0.25">
      <c r="G412"/>
      <c r="H412"/>
      <c r="I412"/>
      <c r="J412"/>
      <c r="K412"/>
      <c r="L412"/>
      <c r="M412"/>
      <c r="N412"/>
      <c r="O412"/>
    </row>
    <row r="413" spans="7:15" ht="15" x14ac:dyDescent="0.25">
      <c r="G413"/>
      <c r="H413"/>
      <c r="I413"/>
      <c r="J413"/>
      <c r="K413"/>
      <c r="L413"/>
      <c r="M413"/>
      <c r="N413"/>
      <c r="O413"/>
    </row>
    <row r="414" spans="7:15" ht="15" x14ac:dyDescent="0.25">
      <c r="G414"/>
      <c r="H414"/>
      <c r="I414"/>
      <c r="J414"/>
      <c r="K414"/>
      <c r="L414"/>
      <c r="M414"/>
      <c r="N414"/>
      <c r="O414"/>
    </row>
    <row r="415" spans="7:15" ht="15" x14ac:dyDescent="0.25">
      <c r="G415"/>
      <c r="H415"/>
      <c r="I415"/>
      <c r="J415"/>
      <c r="K415"/>
      <c r="L415"/>
      <c r="M415"/>
      <c r="N415"/>
      <c r="O415"/>
    </row>
    <row r="416" spans="7:15" ht="15" x14ac:dyDescent="0.25">
      <c r="G416"/>
      <c r="H416"/>
      <c r="I416"/>
      <c r="J416"/>
      <c r="K416"/>
      <c r="L416"/>
      <c r="M416"/>
      <c r="N416"/>
      <c r="O416"/>
    </row>
    <row r="417" spans="7:15" ht="15" x14ac:dyDescent="0.25">
      <c r="G417"/>
      <c r="H417"/>
      <c r="I417"/>
      <c r="J417"/>
      <c r="K417"/>
      <c r="L417"/>
      <c r="M417"/>
      <c r="N417"/>
      <c r="O417"/>
    </row>
    <row r="418" spans="7:15" ht="15" x14ac:dyDescent="0.25">
      <c r="G418"/>
      <c r="H418"/>
      <c r="I418"/>
      <c r="J418"/>
      <c r="K418"/>
      <c r="L418"/>
      <c r="M418"/>
      <c r="N418"/>
      <c r="O418"/>
    </row>
    <row r="419" spans="7:15" ht="15" x14ac:dyDescent="0.25">
      <c r="G419"/>
      <c r="H419"/>
      <c r="I419"/>
      <c r="J419"/>
      <c r="K419"/>
      <c r="L419"/>
      <c r="M419"/>
      <c r="N419"/>
      <c r="O419"/>
    </row>
    <row r="420" spans="7:15" ht="15" x14ac:dyDescent="0.25">
      <c r="G420"/>
      <c r="H420"/>
      <c r="I420"/>
      <c r="J420"/>
      <c r="K420"/>
      <c r="L420"/>
      <c r="M420"/>
      <c r="N420"/>
      <c r="O420"/>
    </row>
    <row r="421" spans="7:15" ht="15" x14ac:dyDescent="0.25">
      <c r="G421"/>
      <c r="H421"/>
      <c r="I421"/>
      <c r="J421"/>
      <c r="K421"/>
      <c r="L421"/>
      <c r="M421"/>
      <c r="N421"/>
      <c r="O421"/>
    </row>
    <row r="422" spans="7:15" ht="15" x14ac:dyDescent="0.25">
      <c r="G422"/>
      <c r="H422"/>
      <c r="I422"/>
      <c r="J422"/>
      <c r="K422"/>
      <c r="L422"/>
      <c r="M422"/>
      <c r="N422"/>
      <c r="O422"/>
    </row>
    <row r="423" spans="7:15" ht="15" x14ac:dyDescent="0.25">
      <c r="G423"/>
      <c r="H423"/>
      <c r="I423"/>
      <c r="J423"/>
      <c r="K423"/>
      <c r="L423"/>
      <c r="M423"/>
      <c r="N423"/>
      <c r="O423"/>
    </row>
    <row r="424" spans="7:15" ht="15" x14ac:dyDescent="0.25">
      <c r="G424"/>
      <c r="H424"/>
      <c r="I424"/>
      <c r="J424"/>
      <c r="K424"/>
      <c r="L424"/>
      <c r="M424"/>
      <c r="N424"/>
      <c r="O424"/>
    </row>
    <row r="425" spans="7:15" ht="15" x14ac:dyDescent="0.25">
      <c r="G425"/>
      <c r="H425"/>
      <c r="I425"/>
      <c r="J425"/>
      <c r="K425"/>
      <c r="L425"/>
      <c r="M425"/>
      <c r="N425"/>
      <c r="O425"/>
    </row>
    <row r="426" spans="7:15" ht="15" x14ac:dyDescent="0.25">
      <c r="G426"/>
      <c r="H426"/>
      <c r="I426"/>
      <c r="J426"/>
      <c r="K426"/>
      <c r="L426"/>
      <c r="M426"/>
      <c r="N426"/>
      <c r="O426"/>
    </row>
    <row r="427" spans="7:15" ht="15" x14ac:dyDescent="0.25">
      <c r="G427"/>
      <c r="H427"/>
      <c r="I427"/>
      <c r="J427"/>
      <c r="K427"/>
      <c r="L427"/>
      <c r="M427"/>
      <c r="N427"/>
      <c r="O427"/>
    </row>
    <row r="428" spans="7:15" ht="15" x14ac:dyDescent="0.25">
      <c r="G428"/>
      <c r="H428"/>
      <c r="I428"/>
      <c r="J428"/>
      <c r="K428"/>
      <c r="L428"/>
      <c r="M428"/>
      <c r="N428"/>
      <c r="O428"/>
    </row>
    <row r="429" spans="7:15" ht="15" x14ac:dyDescent="0.25">
      <c r="G429"/>
      <c r="H429"/>
      <c r="I429"/>
      <c r="J429"/>
      <c r="K429"/>
      <c r="L429"/>
      <c r="M429"/>
      <c r="N429"/>
      <c r="O429"/>
    </row>
    <row r="430" spans="7:15" ht="15" x14ac:dyDescent="0.25">
      <c r="G430"/>
      <c r="H430"/>
      <c r="I430"/>
      <c r="J430"/>
      <c r="K430"/>
      <c r="L430"/>
      <c r="M430"/>
      <c r="N430"/>
      <c r="O430"/>
    </row>
    <row r="431" spans="7:15" ht="15" x14ac:dyDescent="0.25">
      <c r="G431"/>
      <c r="H431"/>
      <c r="I431"/>
      <c r="J431"/>
      <c r="K431"/>
      <c r="L431"/>
      <c r="M431"/>
      <c r="N431"/>
      <c r="O431"/>
    </row>
    <row r="432" spans="7:15" ht="15" x14ac:dyDescent="0.25">
      <c r="G432"/>
      <c r="H432"/>
      <c r="I432"/>
      <c r="J432"/>
      <c r="K432"/>
      <c r="L432"/>
      <c r="M432"/>
      <c r="N432"/>
      <c r="O432"/>
    </row>
    <row r="433" spans="7:15" ht="15" x14ac:dyDescent="0.25">
      <c r="G433"/>
      <c r="H433"/>
      <c r="I433"/>
      <c r="J433"/>
      <c r="K433"/>
      <c r="L433"/>
      <c r="M433"/>
      <c r="N433"/>
      <c r="O433"/>
    </row>
    <row r="434" spans="7:15" ht="15" x14ac:dyDescent="0.25">
      <c r="G434"/>
      <c r="H434"/>
      <c r="I434"/>
      <c r="J434"/>
      <c r="K434"/>
      <c r="L434"/>
      <c r="M434"/>
      <c r="N434"/>
      <c r="O434"/>
    </row>
    <row r="435" spans="7:15" ht="15" x14ac:dyDescent="0.25">
      <c r="G435"/>
      <c r="H435"/>
      <c r="I435"/>
      <c r="J435"/>
      <c r="K435"/>
      <c r="L435"/>
      <c r="M435"/>
      <c r="N435"/>
      <c r="O435"/>
    </row>
    <row r="436" spans="7:15" ht="15" x14ac:dyDescent="0.25">
      <c r="G436"/>
      <c r="H436"/>
      <c r="I436"/>
      <c r="J436"/>
      <c r="K436"/>
      <c r="L436"/>
      <c r="M436"/>
      <c r="N436"/>
      <c r="O436"/>
    </row>
    <row r="437" spans="7:15" ht="15" x14ac:dyDescent="0.25">
      <c r="G437"/>
      <c r="H437"/>
      <c r="I437"/>
      <c r="J437"/>
      <c r="K437"/>
      <c r="L437"/>
      <c r="M437"/>
      <c r="N437"/>
      <c r="O437"/>
    </row>
    <row r="438" spans="7:15" ht="15" x14ac:dyDescent="0.25">
      <c r="G438"/>
      <c r="H438"/>
      <c r="I438"/>
      <c r="J438"/>
      <c r="K438"/>
      <c r="L438"/>
      <c r="M438"/>
      <c r="N438"/>
      <c r="O438"/>
    </row>
    <row r="439" spans="7:15" ht="15" x14ac:dyDescent="0.25">
      <c r="G439"/>
      <c r="H439"/>
      <c r="I439"/>
      <c r="J439"/>
      <c r="K439"/>
      <c r="L439"/>
      <c r="M439"/>
      <c r="N439"/>
      <c r="O439"/>
    </row>
    <row r="440" spans="7:15" ht="15" x14ac:dyDescent="0.25">
      <c r="G440"/>
      <c r="H440"/>
      <c r="I440"/>
      <c r="J440"/>
      <c r="K440"/>
      <c r="L440"/>
      <c r="M440"/>
      <c r="N440"/>
      <c r="O440"/>
    </row>
    <row r="441" spans="7:15" ht="15" x14ac:dyDescent="0.25">
      <c r="G441"/>
      <c r="H441"/>
      <c r="I441"/>
      <c r="J441"/>
      <c r="K441"/>
      <c r="L441"/>
      <c r="M441"/>
      <c r="N441"/>
      <c r="O441"/>
    </row>
    <row r="442" spans="7:15" ht="15" x14ac:dyDescent="0.25">
      <c r="G442"/>
      <c r="H442"/>
      <c r="I442"/>
      <c r="J442"/>
      <c r="K442"/>
      <c r="L442"/>
      <c r="M442"/>
      <c r="N442"/>
      <c r="O442"/>
    </row>
    <row r="443" spans="7:15" ht="15" x14ac:dyDescent="0.25">
      <c r="G443"/>
      <c r="H443"/>
      <c r="I443"/>
      <c r="J443"/>
      <c r="K443"/>
      <c r="L443"/>
      <c r="M443"/>
      <c r="N443"/>
      <c r="O443"/>
    </row>
    <row r="444" spans="7:15" ht="15" x14ac:dyDescent="0.25">
      <c r="G444"/>
      <c r="H444"/>
      <c r="I444"/>
      <c r="J444"/>
      <c r="K444"/>
      <c r="L444"/>
      <c r="M444"/>
      <c r="N444"/>
      <c r="O444"/>
    </row>
    <row r="445" spans="7:15" ht="15" x14ac:dyDescent="0.25">
      <c r="G445"/>
      <c r="H445"/>
      <c r="I445"/>
      <c r="J445"/>
      <c r="K445"/>
      <c r="L445"/>
      <c r="M445"/>
      <c r="N445"/>
      <c r="O445"/>
    </row>
    <row r="446" spans="7:15" ht="15" x14ac:dyDescent="0.25">
      <c r="G446"/>
      <c r="H446"/>
      <c r="I446"/>
      <c r="J446"/>
      <c r="K446"/>
      <c r="L446"/>
      <c r="M446"/>
      <c r="N446"/>
      <c r="O446"/>
    </row>
    <row r="447" spans="7:15" ht="15" x14ac:dyDescent="0.25">
      <c r="G447"/>
      <c r="H447"/>
      <c r="I447"/>
      <c r="J447"/>
      <c r="K447"/>
      <c r="L447"/>
      <c r="M447"/>
      <c r="N447"/>
      <c r="O447"/>
    </row>
    <row r="448" spans="7:15" ht="15" x14ac:dyDescent="0.25">
      <c r="G448"/>
      <c r="H448"/>
      <c r="I448"/>
      <c r="J448"/>
      <c r="K448"/>
      <c r="L448"/>
      <c r="M448"/>
      <c r="N448"/>
      <c r="O448"/>
    </row>
    <row r="449" spans="7:15" ht="15" x14ac:dyDescent="0.25">
      <c r="G449"/>
      <c r="H449"/>
      <c r="I449"/>
      <c r="J449"/>
      <c r="K449"/>
      <c r="L449"/>
      <c r="M449"/>
      <c r="N449"/>
      <c r="O449"/>
    </row>
    <row r="450" spans="7:15" ht="15" x14ac:dyDescent="0.25">
      <c r="G450"/>
      <c r="H450"/>
      <c r="I450"/>
      <c r="J450"/>
      <c r="K450"/>
      <c r="L450"/>
      <c r="M450"/>
      <c r="N450"/>
      <c r="O450"/>
    </row>
    <row r="451" spans="7:15" ht="15" x14ac:dyDescent="0.25">
      <c r="G451"/>
      <c r="H451"/>
      <c r="I451"/>
      <c r="J451"/>
      <c r="K451"/>
      <c r="L451"/>
      <c r="M451"/>
      <c r="N451"/>
      <c r="O451"/>
    </row>
    <row r="452" spans="7:15" ht="15" x14ac:dyDescent="0.25">
      <c r="G452"/>
      <c r="H452"/>
      <c r="I452"/>
      <c r="J452"/>
      <c r="K452"/>
      <c r="L452"/>
      <c r="M452"/>
      <c r="N452"/>
      <c r="O452"/>
    </row>
    <row r="453" spans="7:15" ht="15" x14ac:dyDescent="0.25">
      <c r="G453"/>
      <c r="H453"/>
      <c r="I453"/>
      <c r="J453"/>
      <c r="K453"/>
      <c r="L453"/>
      <c r="M453"/>
      <c r="N453"/>
      <c r="O453"/>
    </row>
    <row r="454" spans="7:15" ht="15" x14ac:dyDescent="0.25">
      <c r="G454"/>
      <c r="H454"/>
      <c r="I454"/>
      <c r="J454"/>
      <c r="K454"/>
      <c r="L454"/>
      <c r="M454"/>
      <c r="N454"/>
      <c r="O454"/>
    </row>
    <row r="455" spans="7:15" ht="15" x14ac:dyDescent="0.25">
      <c r="G455"/>
      <c r="H455"/>
      <c r="I455"/>
      <c r="J455"/>
      <c r="K455"/>
      <c r="L455"/>
      <c r="M455"/>
      <c r="N455"/>
      <c r="O455"/>
    </row>
    <row r="456" spans="7:15" ht="15" x14ac:dyDescent="0.25">
      <c r="G456"/>
      <c r="H456"/>
      <c r="I456"/>
      <c r="J456"/>
      <c r="K456"/>
      <c r="L456"/>
      <c r="M456"/>
      <c r="N456"/>
      <c r="O456"/>
    </row>
    <row r="457" spans="7:15" ht="15" x14ac:dyDescent="0.25">
      <c r="G457"/>
      <c r="H457"/>
      <c r="I457"/>
      <c r="J457"/>
      <c r="K457"/>
      <c r="L457"/>
      <c r="M457"/>
      <c r="N457"/>
      <c r="O457"/>
    </row>
    <row r="458" spans="7:15" ht="15" x14ac:dyDescent="0.25">
      <c r="G458"/>
      <c r="H458"/>
      <c r="I458"/>
      <c r="J458"/>
      <c r="K458"/>
      <c r="L458"/>
      <c r="M458"/>
      <c r="N458"/>
      <c r="O458"/>
    </row>
    <row r="459" spans="7:15" ht="15" x14ac:dyDescent="0.25">
      <c r="G459"/>
      <c r="H459"/>
      <c r="I459"/>
      <c r="J459"/>
      <c r="K459"/>
      <c r="L459"/>
      <c r="M459"/>
      <c r="N459"/>
      <c r="O459"/>
    </row>
    <row r="460" spans="7:15" ht="15" x14ac:dyDescent="0.25">
      <c r="G460"/>
      <c r="H460"/>
      <c r="I460"/>
      <c r="J460"/>
      <c r="K460"/>
      <c r="L460"/>
      <c r="M460"/>
      <c r="N460"/>
      <c r="O460"/>
    </row>
    <row r="461" spans="7:15" ht="15" x14ac:dyDescent="0.25">
      <c r="G461"/>
      <c r="H461"/>
      <c r="I461"/>
      <c r="J461"/>
      <c r="K461"/>
      <c r="L461"/>
      <c r="M461"/>
      <c r="N461"/>
      <c r="O461"/>
    </row>
    <row r="462" spans="7:15" ht="15" x14ac:dyDescent="0.25">
      <c r="G462"/>
      <c r="H462"/>
      <c r="I462"/>
      <c r="J462"/>
      <c r="K462"/>
      <c r="L462"/>
      <c r="M462"/>
      <c r="N462"/>
      <c r="O462"/>
    </row>
    <row r="463" spans="7:15" ht="15" x14ac:dyDescent="0.25">
      <c r="G463"/>
      <c r="H463"/>
      <c r="I463"/>
      <c r="J463"/>
      <c r="K463"/>
      <c r="L463"/>
      <c r="M463"/>
      <c r="N463"/>
      <c r="O463"/>
    </row>
    <row r="464" spans="7:15" ht="15" x14ac:dyDescent="0.25">
      <c r="G464"/>
      <c r="H464"/>
      <c r="I464"/>
      <c r="J464"/>
      <c r="K464"/>
      <c r="L464"/>
      <c r="M464"/>
      <c r="N464"/>
      <c r="O464"/>
    </row>
    <row r="465" spans="7:15" ht="15" x14ac:dyDescent="0.25">
      <c r="G465"/>
      <c r="H465"/>
      <c r="I465"/>
      <c r="J465"/>
      <c r="K465"/>
      <c r="L465"/>
      <c r="M465"/>
      <c r="N465"/>
      <c r="O465"/>
    </row>
    <row r="466" spans="7:15" ht="15" x14ac:dyDescent="0.25">
      <c r="G466"/>
      <c r="H466"/>
      <c r="I466"/>
      <c r="J466"/>
      <c r="K466"/>
      <c r="L466"/>
      <c r="M466"/>
      <c r="N466"/>
      <c r="O466"/>
    </row>
    <row r="467" spans="7:15" ht="15" x14ac:dyDescent="0.25">
      <c r="G467"/>
      <c r="H467"/>
      <c r="I467"/>
      <c r="J467"/>
      <c r="K467"/>
      <c r="L467"/>
      <c r="M467"/>
      <c r="N467"/>
      <c r="O467"/>
    </row>
    <row r="468" spans="7:15" ht="15" x14ac:dyDescent="0.25">
      <c r="G468"/>
      <c r="H468"/>
      <c r="I468"/>
      <c r="J468"/>
      <c r="K468"/>
      <c r="L468"/>
      <c r="M468"/>
      <c r="N468"/>
      <c r="O468"/>
    </row>
    <row r="469" spans="7:15" ht="15" x14ac:dyDescent="0.25">
      <c r="G469"/>
      <c r="H469"/>
      <c r="I469"/>
      <c r="J469"/>
      <c r="K469"/>
      <c r="L469"/>
      <c r="M469"/>
      <c r="N469"/>
      <c r="O469"/>
    </row>
    <row r="470" spans="7:15" ht="15" x14ac:dyDescent="0.25">
      <c r="G470"/>
      <c r="H470"/>
      <c r="I470"/>
      <c r="J470"/>
      <c r="K470"/>
      <c r="L470"/>
      <c r="M470"/>
      <c r="N470"/>
      <c r="O470"/>
    </row>
    <row r="471" spans="7:15" ht="15" x14ac:dyDescent="0.25">
      <c r="G471"/>
      <c r="H471"/>
      <c r="I471"/>
      <c r="J471"/>
      <c r="K471"/>
      <c r="L471"/>
      <c r="M471"/>
      <c r="N471"/>
      <c r="O471"/>
    </row>
    <row r="472" spans="7:15" ht="15" x14ac:dyDescent="0.25">
      <c r="G472"/>
      <c r="H472"/>
      <c r="I472"/>
      <c r="J472"/>
      <c r="K472"/>
      <c r="L472"/>
      <c r="M472"/>
      <c r="N472"/>
      <c r="O472"/>
    </row>
    <row r="473" spans="7:15" ht="15" x14ac:dyDescent="0.25">
      <c r="G473"/>
      <c r="H473"/>
      <c r="I473"/>
      <c r="J473"/>
      <c r="K473"/>
      <c r="L473"/>
      <c r="M473"/>
      <c r="N473"/>
      <c r="O473"/>
    </row>
    <row r="474" spans="7:15" ht="15" x14ac:dyDescent="0.25">
      <c r="G474"/>
      <c r="H474"/>
      <c r="I474"/>
      <c r="J474"/>
      <c r="K474"/>
      <c r="L474"/>
      <c r="M474"/>
      <c r="N474"/>
      <c r="O474"/>
    </row>
    <row r="475" spans="7:15" ht="15" x14ac:dyDescent="0.25">
      <c r="G475"/>
      <c r="H475"/>
      <c r="I475"/>
      <c r="J475"/>
      <c r="K475"/>
      <c r="L475"/>
      <c r="M475"/>
      <c r="N475"/>
      <c r="O475"/>
    </row>
    <row r="476" spans="7:15" ht="15" x14ac:dyDescent="0.25">
      <c r="G476"/>
      <c r="H476"/>
      <c r="I476"/>
      <c r="J476"/>
      <c r="K476"/>
      <c r="L476"/>
      <c r="M476"/>
      <c r="N476"/>
      <c r="O476"/>
    </row>
    <row r="477" spans="7:15" ht="15" x14ac:dyDescent="0.25">
      <c r="G477"/>
      <c r="H477"/>
      <c r="I477"/>
      <c r="J477"/>
      <c r="K477"/>
      <c r="L477"/>
      <c r="M477"/>
      <c r="N477"/>
      <c r="O477"/>
    </row>
    <row r="478" spans="7:15" ht="15" x14ac:dyDescent="0.25">
      <c r="G478"/>
      <c r="H478"/>
      <c r="I478"/>
      <c r="J478"/>
      <c r="K478"/>
      <c r="L478"/>
      <c r="M478"/>
      <c r="N478"/>
      <c r="O478"/>
    </row>
    <row r="479" spans="7:15" ht="15" x14ac:dyDescent="0.25">
      <c r="G479"/>
      <c r="H479"/>
      <c r="I479"/>
      <c r="J479"/>
      <c r="K479"/>
      <c r="L479"/>
      <c r="M479"/>
      <c r="N479"/>
      <c r="O479"/>
    </row>
    <row r="480" spans="7:15" ht="15" x14ac:dyDescent="0.25">
      <c r="G480"/>
      <c r="H480"/>
      <c r="I480"/>
      <c r="J480"/>
      <c r="K480"/>
      <c r="L480"/>
      <c r="M480"/>
      <c r="N480"/>
      <c r="O480"/>
    </row>
    <row r="481" spans="7:15" ht="15" x14ac:dyDescent="0.25">
      <c r="G481"/>
      <c r="H481"/>
      <c r="I481"/>
      <c r="J481"/>
      <c r="K481"/>
      <c r="L481"/>
      <c r="M481"/>
      <c r="N481"/>
      <c r="O481"/>
    </row>
    <row r="482" spans="7:15" ht="15" x14ac:dyDescent="0.25">
      <c r="G482"/>
      <c r="H482"/>
      <c r="I482"/>
      <c r="J482"/>
      <c r="K482"/>
      <c r="L482"/>
      <c r="M482"/>
      <c r="N482"/>
      <c r="O482"/>
    </row>
    <row r="483" spans="7:15" ht="15" x14ac:dyDescent="0.25">
      <c r="G483"/>
      <c r="H483"/>
      <c r="I483"/>
      <c r="J483"/>
      <c r="K483"/>
      <c r="L483"/>
      <c r="M483"/>
      <c r="N483"/>
      <c r="O483"/>
    </row>
    <row r="484" spans="7:15" ht="15" x14ac:dyDescent="0.25">
      <c r="G484"/>
      <c r="H484"/>
      <c r="I484"/>
      <c r="J484"/>
      <c r="K484"/>
      <c r="L484"/>
      <c r="M484"/>
      <c r="N484"/>
      <c r="O484"/>
    </row>
    <row r="485" spans="7:15" ht="15" x14ac:dyDescent="0.25">
      <c r="G485"/>
      <c r="H485"/>
      <c r="I485"/>
      <c r="J485"/>
      <c r="K485"/>
      <c r="L485"/>
      <c r="M485"/>
      <c r="N485"/>
      <c r="O485"/>
    </row>
    <row r="486" spans="7:15" ht="15" x14ac:dyDescent="0.25">
      <c r="G486"/>
      <c r="H486"/>
      <c r="I486"/>
      <c r="J486"/>
      <c r="K486"/>
      <c r="L486"/>
      <c r="M486"/>
      <c r="N486"/>
      <c r="O486"/>
    </row>
    <row r="487" spans="7:15" ht="15" x14ac:dyDescent="0.25">
      <c r="G487"/>
      <c r="H487"/>
      <c r="I487"/>
      <c r="J487"/>
      <c r="K487"/>
      <c r="L487"/>
      <c r="M487"/>
      <c r="N487"/>
      <c r="O487"/>
    </row>
    <row r="488" spans="7:15" ht="15" x14ac:dyDescent="0.25">
      <c r="G488"/>
      <c r="H488"/>
      <c r="I488"/>
      <c r="J488"/>
      <c r="K488"/>
      <c r="L488"/>
      <c r="M488"/>
      <c r="N488"/>
      <c r="O488"/>
    </row>
    <row r="489" spans="7:15" ht="15" x14ac:dyDescent="0.25">
      <c r="G489"/>
      <c r="H489"/>
      <c r="I489"/>
      <c r="J489"/>
      <c r="K489"/>
      <c r="L489"/>
      <c r="M489"/>
      <c r="N489"/>
      <c r="O489"/>
    </row>
    <row r="490" spans="7:15" ht="15" x14ac:dyDescent="0.25">
      <c r="G490"/>
      <c r="H490"/>
      <c r="I490"/>
      <c r="J490"/>
      <c r="K490"/>
      <c r="L490"/>
      <c r="M490"/>
      <c r="N490"/>
      <c r="O490"/>
    </row>
    <row r="491" spans="7:15" ht="15" x14ac:dyDescent="0.25">
      <c r="G491"/>
      <c r="H491"/>
      <c r="I491"/>
      <c r="J491"/>
      <c r="K491"/>
      <c r="L491"/>
      <c r="M491"/>
      <c r="N491"/>
      <c r="O491"/>
    </row>
    <row r="492" spans="7:15" ht="15" x14ac:dyDescent="0.25">
      <c r="G492"/>
      <c r="H492"/>
      <c r="I492"/>
      <c r="J492"/>
      <c r="K492"/>
      <c r="L492"/>
      <c r="M492"/>
      <c r="N492"/>
      <c r="O492"/>
    </row>
    <row r="493" spans="7:15" ht="15" x14ac:dyDescent="0.25">
      <c r="G493"/>
      <c r="H493"/>
      <c r="I493"/>
      <c r="J493"/>
      <c r="K493"/>
      <c r="L493"/>
      <c r="M493"/>
      <c r="N493"/>
      <c r="O493"/>
    </row>
    <row r="494" spans="7:15" ht="15" x14ac:dyDescent="0.25">
      <c r="G494"/>
      <c r="H494"/>
      <c r="I494"/>
      <c r="J494"/>
      <c r="K494"/>
      <c r="L494"/>
      <c r="M494"/>
      <c r="N494"/>
      <c r="O494"/>
    </row>
    <row r="495" spans="7:15" ht="15" x14ac:dyDescent="0.25">
      <c r="G495"/>
      <c r="H495"/>
      <c r="I495"/>
      <c r="J495"/>
      <c r="K495"/>
      <c r="L495"/>
      <c r="M495"/>
      <c r="N495"/>
      <c r="O495"/>
    </row>
    <row r="496" spans="7:15" ht="15" x14ac:dyDescent="0.25">
      <c r="G496"/>
      <c r="H496"/>
      <c r="I496"/>
      <c r="J496"/>
      <c r="K496"/>
      <c r="L496"/>
      <c r="M496"/>
      <c r="N496"/>
      <c r="O496"/>
    </row>
    <row r="497" spans="7:15" ht="15" x14ac:dyDescent="0.25">
      <c r="G497"/>
      <c r="H497"/>
      <c r="I497"/>
      <c r="J497"/>
      <c r="K497"/>
      <c r="L497"/>
      <c r="M497"/>
      <c r="N497"/>
      <c r="O497"/>
    </row>
    <row r="498" spans="7:15" ht="15" x14ac:dyDescent="0.25">
      <c r="G498"/>
      <c r="H498"/>
      <c r="I498"/>
      <c r="J498"/>
      <c r="K498"/>
      <c r="L498"/>
      <c r="M498"/>
      <c r="N498"/>
      <c r="O498"/>
    </row>
    <row r="499" spans="7:15" ht="15" x14ac:dyDescent="0.25">
      <c r="G499"/>
      <c r="H499"/>
      <c r="I499"/>
      <c r="J499"/>
      <c r="K499"/>
      <c r="L499"/>
      <c r="M499"/>
      <c r="N499"/>
      <c r="O499"/>
    </row>
    <row r="500" spans="7:15" ht="15" x14ac:dyDescent="0.25">
      <c r="G500"/>
      <c r="H500"/>
      <c r="I500"/>
      <c r="J500"/>
      <c r="K500"/>
      <c r="L500"/>
      <c r="M500"/>
      <c r="N500"/>
      <c r="O500"/>
    </row>
    <row r="501" spans="7:15" ht="15" x14ac:dyDescent="0.25">
      <c r="G501"/>
      <c r="H501"/>
      <c r="I501"/>
      <c r="J501"/>
      <c r="K501"/>
      <c r="L501"/>
      <c r="M501"/>
      <c r="N501"/>
      <c r="O501"/>
    </row>
    <row r="502" spans="7:15" ht="15" x14ac:dyDescent="0.25">
      <c r="G502"/>
      <c r="H502"/>
      <c r="I502"/>
      <c r="J502"/>
      <c r="K502"/>
      <c r="L502"/>
      <c r="M502"/>
      <c r="N502"/>
      <c r="O502"/>
    </row>
    <row r="503" spans="7:15" ht="15" x14ac:dyDescent="0.25">
      <c r="G503"/>
      <c r="H503"/>
      <c r="I503"/>
      <c r="J503"/>
      <c r="K503"/>
      <c r="L503"/>
      <c r="M503"/>
      <c r="N503"/>
      <c r="O503"/>
    </row>
    <row r="504" spans="7:15" ht="15" x14ac:dyDescent="0.25">
      <c r="G504"/>
      <c r="H504"/>
      <c r="I504"/>
      <c r="J504"/>
      <c r="K504"/>
      <c r="L504"/>
      <c r="M504"/>
      <c r="N504"/>
      <c r="O504"/>
    </row>
    <row r="505" spans="7:15" ht="15" x14ac:dyDescent="0.25">
      <c r="G505"/>
      <c r="H505"/>
      <c r="I505"/>
      <c r="J505"/>
      <c r="K505"/>
      <c r="L505"/>
      <c r="M505"/>
      <c r="N505"/>
      <c r="O505"/>
    </row>
    <row r="506" spans="7:15" ht="15" x14ac:dyDescent="0.25">
      <c r="G506"/>
      <c r="H506"/>
      <c r="I506"/>
      <c r="J506"/>
      <c r="K506"/>
      <c r="L506"/>
      <c r="M506"/>
      <c r="N506"/>
      <c r="O506"/>
    </row>
    <row r="507" spans="7:15" ht="15" x14ac:dyDescent="0.25">
      <c r="G507"/>
      <c r="H507"/>
      <c r="I507"/>
      <c r="J507"/>
      <c r="K507"/>
      <c r="L507"/>
      <c r="M507"/>
      <c r="N507"/>
      <c r="O507"/>
    </row>
    <row r="508" spans="7:15" ht="15" x14ac:dyDescent="0.25">
      <c r="G508"/>
      <c r="H508"/>
      <c r="I508"/>
      <c r="J508"/>
      <c r="K508"/>
      <c r="L508"/>
      <c r="M508"/>
      <c r="N508"/>
      <c r="O508"/>
    </row>
    <row r="509" spans="7:15" ht="15" x14ac:dyDescent="0.25">
      <c r="G509"/>
      <c r="H509"/>
      <c r="I509"/>
      <c r="J509"/>
      <c r="K509"/>
      <c r="L509"/>
      <c r="M509"/>
      <c r="N509"/>
      <c r="O509"/>
    </row>
    <row r="510" spans="7:15" ht="15" x14ac:dyDescent="0.25">
      <c r="G510"/>
      <c r="H510"/>
      <c r="I510"/>
      <c r="J510"/>
      <c r="K510"/>
      <c r="L510"/>
      <c r="M510"/>
      <c r="N510"/>
      <c r="O510"/>
    </row>
    <row r="511" spans="7:15" ht="15" x14ac:dyDescent="0.25">
      <c r="G511"/>
      <c r="H511"/>
      <c r="I511"/>
      <c r="J511"/>
      <c r="K511"/>
      <c r="L511"/>
      <c r="M511"/>
      <c r="N511"/>
      <c r="O511"/>
    </row>
    <row r="512" spans="7:15" ht="15" x14ac:dyDescent="0.25">
      <c r="G512"/>
      <c r="H512"/>
      <c r="I512"/>
      <c r="J512"/>
      <c r="K512"/>
      <c r="L512"/>
      <c r="M512"/>
      <c r="N512"/>
      <c r="O512"/>
    </row>
    <row r="513" spans="7:15" ht="15" x14ac:dyDescent="0.25">
      <c r="G513"/>
      <c r="H513"/>
      <c r="I513"/>
      <c r="J513"/>
      <c r="K513"/>
      <c r="L513"/>
      <c r="M513"/>
      <c r="N513"/>
      <c r="O513"/>
    </row>
    <row r="514" spans="7:15" ht="15" x14ac:dyDescent="0.25">
      <c r="G514"/>
      <c r="H514"/>
      <c r="I514"/>
      <c r="J514"/>
      <c r="K514"/>
      <c r="L514"/>
      <c r="M514"/>
      <c r="N514"/>
      <c r="O514"/>
    </row>
    <row r="515" spans="7:15" ht="15" x14ac:dyDescent="0.25">
      <c r="G515"/>
      <c r="H515"/>
      <c r="I515"/>
      <c r="J515"/>
      <c r="K515"/>
      <c r="L515"/>
      <c r="M515"/>
      <c r="N515"/>
      <c r="O515"/>
    </row>
    <row r="516" spans="7:15" ht="15" x14ac:dyDescent="0.25">
      <c r="G516"/>
      <c r="H516"/>
      <c r="I516"/>
      <c r="J516"/>
      <c r="K516"/>
      <c r="L516"/>
      <c r="M516"/>
      <c r="N516"/>
      <c r="O516"/>
    </row>
    <row r="517" spans="7:15" ht="15" x14ac:dyDescent="0.25">
      <c r="G517"/>
      <c r="H517"/>
      <c r="I517"/>
      <c r="J517"/>
      <c r="K517"/>
      <c r="L517"/>
      <c r="M517"/>
      <c r="N517"/>
      <c r="O517"/>
    </row>
    <row r="518" spans="7:15" ht="15" x14ac:dyDescent="0.25">
      <c r="G518"/>
      <c r="H518"/>
      <c r="I518"/>
      <c r="J518"/>
      <c r="K518"/>
      <c r="L518"/>
      <c r="M518"/>
      <c r="N518"/>
      <c r="O518"/>
    </row>
    <row r="519" spans="7:15" ht="15" x14ac:dyDescent="0.25">
      <c r="G519"/>
      <c r="H519"/>
      <c r="I519"/>
      <c r="J519"/>
      <c r="K519"/>
      <c r="L519"/>
      <c r="M519"/>
      <c r="N519"/>
      <c r="O519"/>
    </row>
    <row r="520" spans="7:15" ht="15" x14ac:dyDescent="0.25">
      <c r="G520"/>
      <c r="H520"/>
      <c r="I520"/>
      <c r="J520"/>
      <c r="K520"/>
      <c r="L520"/>
      <c r="M520"/>
      <c r="N520"/>
      <c r="O520"/>
    </row>
    <row r="521" spans="7:15" ht="15" x14ac:dyDescent="0.25">
      <c r="G521"/>
      <c r="H521"/>
      <c r="I521"/>
      <c r="J521"/>
      <c r="K521"/>
      <c r="L521"/>
      <c r="M521"/>
      <c r="N521"/>
      <c r="O521"/>
    </row>
    <row r="522" spans="7:15" ht="15" x14ac:dyDescent="0.25">
      <c r="G522"/>
      <c r="H522"/>
      <c r="I522"/>
      <c r="J522"/>
      <c r="K522"/>
      <c r="L522"/>
      <c r="M522"/>
      <c r="N522"/>
      <c r="O522"/>
    </row>
    <row r="523" spans="7:15" ht="15" x14ac:dyDescent="0.25">
      <c r="G523"/>
      <c r="H523"/>
      <c r="I523"/>
      <c r="J523"/>
      <c r="K523"/>
      <c r="L523"/>
      <c r="M523"/>
      <c r="N523"/>
      <c r="O523"/>
    </row>
    <row r="524" spans="7:15" ht="15" x14ac:dyDescent="0.25">
      <c r="G524"/>
      <c r="H524"/>
      <c r="I524"/>
      <c r="J524"/>
      <c r="K524"/>
      <c r="L524"/>
      <c r="M524"/>
      <c r="N524"/>
      <c r="O524"/>
    </row>
    <row r="525" spans="7:15" ht="15" x14ac:dyDescent="0.25">
      <c r="G525"/>
      <c r="H525"/>
      <c r="I525"/>
      <c r="J525"/>
      <c r="K525"/>
      <c r="L525"/>
      <c r="M525"/>
      <c r="N525"/>
      <c r="O525"/>
    </row>
    <row r="526" spans="7:15" ht="15" x14ac:dyDescent="0.25">
      <c r="G526"/>
      <c r="H526"/>
      <c r="I526"/>
      <c r="J526"/>
      <c r="K526"/>
      <c r="L526"/>
      <c r="M526"/>
      <c r="N526"/>
      <c r="O526"/>
    </row>
    <row r="527" spans="7:15" ht="15" x14ac:dyDescent="0.25">
      <c r="G527"/>
      <c r="H527"/>
      <c r="I527"/>
      <c r="J527"/>
      <c r="K527"/>
      <c r="L527"/>
      <c r="M527"/>
      <c r="N527"/>
      <c r="O527"/>
    </row>
    <row r="528" spans="7:15" ht="15" x14ac:dyDescent="0.25">
      <c r="G528"/>
      <c r="H528"/>
      <c r="I528"/>
      <c r="J528"/>
      <c r="K528"/>
      <c r="L528"/>
      <c r="M528"/>
      <c r="N528"/>
      <c r="O528"/>
    </row>
    <row r="529" spans="7:15" ht="15" x14ac:dyDescent="0.25">
      <c r="G529"/>
      <c r="H529"/>
      <c r="I529"/>
      <c r="J529"/>
      <c r="K529"/>
      <c r="L529"/>
      <c r="M529"/>
      <c r="N529"/>
      <c r="O529"/>
    </row>
    <row r="530" spans="7:15" ht="15" x14ac:dyDescent="0.25">
      <c r="G530"/>
      <c r="H530"/>
      <c r="I530"/>
      <c r="J530"/>
      <c r="K530"/>
      <c r="L530"/>
      <c r="M530"/>
      <c r="N530"/>
      <c r="O530"/>
    </row>
    <row r="531" spans="7:15" ht="15" x14ac:dyDescent="0.25">
      <c r="G531"/>
      <c r="H531"/>
      <c r="I531"/>
      <c r="J531"/>
      <c r="K531"/>
      <c r="L531"/>
      <c r="M531"/>
      <c r="N531"/>
      <c r="O531"/>
    </row>
    <row r="532" spans="7:15" ht="15" x14ac:dyDescent="0.25">
      <c r="G532"/>
      <c r="H532"/>
      <c r="I532"/>
      <c r="J532"/>
      <c r="K532"/>
      <c r="L532"/>
      <c r="M532"/>
      <c r="N532"/>
      <c r="O532"/>
    </row>
    <row r="533" spans="7:15" ht="15" x14ac:dyDescent="0.25">
      <c r="G533"/>
      <c r="H533"/>
      <c r="I533"/>
      <c r="J533"/>
      <c r="K533"/>
      <c r="L533"/>
      <c r="M533"/>
      <c r="N533"/>
      <c r="O533"/>
    </row>
    <row r="534" spans="7:15" ht="15" x14ac:dyDescent="0.25">
      <c r="G534"/>
      <c r="H534"/>
      <c r="I534"/>
      <c r="J534"/>
      <c r="K534"/>
      <c r="L534"/>
      <c r="M534"/>
      <c r="N534"/>
      <c r="O534"/>
    </row>
    <row r="535" spans="7:15" ht="15" x14ac:dyDescent="0.25">
      <c r="G535"/>
      <c r="H535"/>
      <c r="I535"/>
      <c r="J535"/>
      <c r="K535"/>
      <c r="L535"/>
      <c r="M535"/>
      <c r="N535"/>
      <c r="O535"/>
    </row>
    <row r="536" spans="7:15" ht="15" x14ac:dyDescent="0.25">
      <c r="G536"/>
      <c r="H536"/>
      <c r="I536"/>
      <c r="J536"/>
      <c r="K536"/>
      <c r="L536"/>
      <c r="M536"/>
      <c r="N536"/>
      <c r="O536"/>
    </row>
    <row r="537" spans="7:15" ht="15" x14ac:dyDescent="0.25">
      <c r="G537"/>
      <c r="H537"/>
      <c r="I537"/>
      <c r="J537"/>
      <c r="K537"/>
      <c r="L537"/>
      <c r="M537"/>
      <c r="N537"/>
      <c r="O537"/>
    </row>
    <row r="538" spans="7:15" ht="15" x14ac:dyDescent="0.25">
      <c r="G538"/>
      <c r="H538"/>
      <c r="I538"/>
      <c r="J538"/>
      <c r="K538"/>
      <c r="L538"/>
      <c r="M538"/>
      <c r="N538"/>
      <c r="O538"/>
    </row>
    <row r="539" spans="7:15" ht="15" x14ac:dyDescent="0.25">
      <c r="G539"/>
      <c r="H539"/>
      <c r="I539"/>
      <c r="J539"/>
      <c r="K539"/>
      <c r="L539"/>
      <c r="M539"/>
      <c r="N539"/>
      <c r="O539"/>
    </row>
    <row r="540" spans="7:15" ht="15" x14ac:dyDescent="0.25">
      <c r="G540"/>
      <c r="H540"/>
      <c r="I540"/>
      <c r="J540"/>
      <c r="K540"/>
      <c r="L540"/>
      <c r="M540"/>
      <c r="N540"/>
      <c r="O540"/>
    </row>
    <row r="541" spans="7:15" ht="15" x14ac:dyDescent="0.25">
      <c r="G541"/>
      <c r="H541"/>
      <c r="I541"/>
      <c r="J541"/>
      <c r="K541"/>
      <c r="L541"/>
      <c r="M541"/>
      <c r="N541"/>
      <c r="O541"/>
    </row>
    <row r="542" spans="7:15" ht="15" x14ac:dyDescent="0.25">
      <c r="G542"/>
      <c r="H542"/>
      <c r="I542"/>
      <c r="J542"/>
      <c r="K542"/>
      <c r="L542"/>
      <c r="M542"/>
      <c r="N542"/>
      <c r="O542"/>
    </row>
    <row r="543" spans="7:15" ht="15" x14ac:dyDescent="0.25">
      <c r="G543"/>
      <c r="H543"/>
      <c r="I543"/>
      <c r="J543"/>
      <c r="K543"/>
      <c r="L543"/>
      <c r="M543"/>
      <c r="N543"/>
      <c r="O543"/>
    </row>
    <row r="544" spans="7:15" ht="15" x14ac:dyDescent="0.25">
      <c r="G544"/>
      <c r="H544"/>
      <c r="I544"/>
      <c r="J544"/>
      <c r="K544"/>
      <c r="L544"/>
      <c r="M544"/>
      <c r="N544"/>
      <c r="O544"/>
    </row>
    <row r="545" spans="7:15" ht="15" x14ac:dyDescent="0.25">
      <c r="G545"/>
      <c r="H545"/>
      <c r="I545"/>
      <c r="J545"/>
      <c r="K545"/>
      <c r="L545"/>
      <c r="M545"/>
      <c r="N545"/>
      <c r="O545"/>
    </row>
    <row r="546" spans="7:15" ht="15" x14ac:dyDescent="0.25">
      <c r="G546"/>
      <c r="H546"/>
      <c r="I546"/>
      <c r="J546"/>
      <c r="K546"/>
      <c r="L546"/>
      <c r="M546"/>
      <c r="N546"/>
      <c r="O546"/>
    </row>
    <row r="547" spans="7:15" ht="15" x14ac:dyDescent="0.25">
      <c r="G547"/>
      <c r="H547"/>
      <c r="I547"/>
      <c r="J547"/>
      <c r="K547"/>
      <c r="L547"/>
      <c r="M547"/>
      <c r="N547"/>
      <c r="O547"/>
    </row>
    <row r="548" spans="7:15" ht="15" x14ac:dyDescent="0.25">
      <c r="G548"/>
      <c r="H548"/>
      <c r="I548"/>
      <c r="J548"/>
      <c r="K548"/>
      <c r="L548"/>
      <c r="M548"/>
      <c r="N548"/>
      <c r="O548"/>
    </row>
    <row r="549" spans="7:15" ht="15" x14ac:dyDescent="0.25">
      <c r="G549"/>
      <c r="H549"/>
      <c r="I549"/>
      <c r="J549"/>
      <c r="K549"/>
      <c r="L549"/>
      <c r="M549"/>
      <c r="N549"/>
      <c r="O549"/>
    </row>
    <row r="550" spans="7:15" ht="15" x14ac:dyDescent="0.25">
      <c r="G550"/>
      <c r="H550"/>
      <c r="I550"/>
      <c r="J550"/>
      <c r="K550"/>
      <c r="L550"/>
      <c r="M550"/>
      <c r="N550"/>
      <c r="O550"/>
    </row>
    <row r="551" spans="7:15" ht="15" x14ac:dyDescent="0.25">
      <c r="G551"/>
      <c r="H551"/>
      <c r="I551"/>
      <c r="J551"/>
      <c r="K551"/>
      <c r="L551"/>
      <c r="M551"/>
      <c r="N551"/>
      <c r="O551"/>
    </row>
    <row r="552" spans="7:15" ht="15" x14ac:dyDescent="0.25">
      <c r="G552"/>
      <c r="H552"/>
      <c r="I552"/>
      <c r="J552"/>
      <c r="K552"/>
      <c r="L552"/>
      <c r="M552"/>
      <c r="N552"/>
      <c r="O552"/>
    </row>
    <row r="553" spans="7:15" ht="15" x14ac:dyDescent="0.25">
      <c r="G553"/>
      <c r="H553"/>
      <c r="I553"/>
      <c r="J553"/>
      <c r="K553"/>
      <c r="L553"/>
      <c r="M553"/>
      <c r="N553"/>
      <c r="O553"/>
    </row>
    <row r="554" spans="7:15" ht="15" x14ac:dyDescent="0.25">
      <c r="G554"/>
      <c r="H554"/>
      <c r="I554"/>
      <c r="J554"/>
      <c r="K554"/>
      <c r="L554"/>
      <c r="M554"/>
      <c r="N554"/>
      <c r="O554"/>
    </row>
    <row r="555" spans="7:15" ht="15" x14ac:dyDescent="0.25">
      <c r="G555"/>
      <c r="H555"/>
      <c r="I555"/>
      <c r="J555"/>
      <c r="K555"/>
      <c r="L555"/>
      <c r="M555"/>
      <c r="N555"/>
      <c r="O555"/>
    </row>
    <row r="556" spans="7:15" ht="15" x14ac:dyDescent="0.25">
      <c r="G556"/>
      <c r="H556"/>
      <c r="I556"/>
      <c r="J556"/>
      <c r="K556"/>
      <c r="L556"/>
      <c r="M556"/>
      <c r="N556"/>
      <c r="O556"/>
    </row>
    <row r="557" spans="7:15" ht="15" x14ac:dyDescent="0.25">
      <c r="G557"/>
      <c r="H557"/>
      <c r="I557"/>
      <c r="J557"/>
      <c r="K557"/>
      <c r="L557"/>
      <c r="M557"/>
      <c r="N557"/>
      <c r="O557"/>
    </row>
    <row r="558" spans="7:15" ht="15" x14ac:dyDescent="0.25">
      <c r="G558"/>
      <c r="H558"/>
      <c r="I558"/>
      <c r="J558"/>
      <c r="K558"/>
      <c r="L558"/>
      <c r="M558"/>
      <c r="N558"/>
      <c r="O558"/>
    </row>
    <row r="559" spans="7:15" ht="15" x14ac:dyDescent="0.25">
      <c r="G559"/>
      <c r="H559"/>
      <c r="I559"/>
      <c r="J559"/>
      <c r="K559"/>
      <c r="L559"/>
      <c r="M559"/>
      <c r="N559"/>
      <c r="O559"/>
    </row>
    <row r="560" spans="7:15" ht="15" x14ac:dyDescent="0.25">
      <c r="G560"/>
      <c r="H560"/>
      <c r="I560"/>
      <c r="J560"/>
      <c r="K560"/>
      <c r="L560"/>
      <c r="M560"/>
      <c r="N560"/>
      <c r="O560"/>
    </row>
    <row r="561" spans="7:15" ht="15" x14ac:dyDescent="0.25">
      <c r="G561"/>
      <c r="H561"/>
      <c r="I561"/>
      <c r="J561"/>
      <c r="K561"/>
      <c r="L561"/>
      <c r="M561"/>
      <c r="N561"/>
      <c r="O561"/>
    </row>
    <row r="562" spans="7:15" ht="15" x14ac:dyDescent="0.25">
      <c r="G562"/>
      <c r="H562"/>
      <c r="I562"/>
      <c r="J562"/>
      <c r="K562"/>
      <c r="L562"/>
      <c r="M562"/>
      <c r="N562"/>
      <c r="O562"/>
    </row>
    <row r="563" spans="7:15" ht="15" x14ac:dyDescent="0.25">
      <c r="G563"/>
      <c r="H563"/>
      <c r="I563"/>
      <c r="J563"/>
      <c r="K563"/>
      <c r="L563"/>
      <c r="M563"/>
      <c r="N563"/>
      <c r="O563"/>
    </row>
    <row r="564" spans="7:15" ht="15" x14ac:dyDescent="0.25">
      <c r="G564"/>
      <c r="H564"/>
      <c r="I564"/>
      <c r="J564"/>
      <c r="K564"/>
      <c r="L564"/>
      <c r="M564"/>
      <c r="N564"/>
      <c r="O564"/>
    </row>
    <row r="565" spans="7:15" ht="15" x14ac:dyDescent="0.25">
      <c r="G565"/>
      <c r="H565"/>
      <c r="I565"/>
      <c r="J565"/>
      <c r="K565"/>
      <c r="L565"/>
      <c r="M565"/>
      <c r="N565"/>
      <c r="O565"/>
    </row>
    <row r="566" spans="7:15" ht="15" x14ac:dyDescent="0.25">
      <c r="G566"/>
      <c r="H566"/>
      <c r="I566"/>
      <c r="J566"/>
      <c r="K566"/>
      <c r="L566"/>
      <c r="M566"/>
      <c r="N566"/>
      <c r="O566"/>
    </row>
    <row r="567" spans="7:15" ht="15" x14ac:dyDescent="0.25">
      <c r="G567"/>
      <c r="H567"/>
      <c r="I567"/>
      <c r="J567"/>
      <c r="K567"/>
      <c r="L567"/>
      <c r="M567"/>
      <c r="N567"/>
      <c r="O567"/>
    </row>
    <row r="568" spans="7:15" ht="15" x14ac:dyDescent="0.25">
      <c r="G568"/>
      <c r="H568"/>
      <c r="I568"/>
      <c r="J568"/>
      <c r="K568"/>
      <c r="L568"/>
      <c r="M568"/>
      <c r="N568"/>
      <c r="O568"/>
    </row>
    <row r="569" spans="7:15" ht="15" x14ac:dyDescent="0.25">
      <c r="G569"/>
      <c r="H569"/>
      <c r="I569"/>
      <c r="J569"/>
      <c r="K569"/>
      <c r="L569"/>
      <c r="M569"/>
      <c r="N569"/>
      <c r="O569"/>
    </row>
    <row r="570" spans="7:15" ht="15" x14ac:dyDescent="0.25">
      <c r="G570"/>
      <c r="H570"/>
      <c r="I570"/>
      <c r="J570"/>
      <c r="K570"/>
      <c r="L570"/>
      <c r="M570"/>
      <c r="N570"/>
      <c r="O570"/>
    </row>
    <row r="571" spans="7:15" ht="15" x14ac:dyDescent="0.25">
      <c r="G571"/>
      <c r="H571"/>
      <c r="I571"/>
      <c r="J571"/>
      <c r="K571"/>
      <c r="L571"/>
      <c r="M571"/>
      <c r="N571"/>
      <c r="O571"/>
    </row>
    <row r="572" spans="7:15" ht="15" x14ac:dyDescent="0.25">
      <c r="G572"/>
      <c r="H572"/>
      <c r="I572"/>
      <c r="J572"/>
      <c r="K572"/>
      <c r="L572"/>
      <c r="M572"/>
      <c r="N572"/>
      <c r="O572"/>
    </row>
    <row r="573" spans="7:15" ht="15" x14ac:dyDescent="0.25">
      <c r="G573"/>
      <c r="H573"/>
      <c r="I573"/>
      <c r="J573"/>
      <c r="K573"/>
      <c r="L573"/>
      <c r="M573"/>
      <c r="N573"/>
      <c r="O573"/>
    </row>
    <row r="574" spans="7:15" ht="15" x14ac:dyDescent="0.25">
      <c r="G574"/>
      <c r="H574"/>
      <c r="I574"/>
      <c r="J574"/>
      <c r="K574"/>
      <c r="L574"/>
      <c r="M574"/>
      <c r="N574"/>
      <c r="O574"/>
    </row>
    <row r="575" spans="7:15" ht="15" x14ac:dyDescent="0.25">
      <c r="G575"/>
      <c r="H575"/>
      <c r="I575"/>
      <c r="J575"/>
      <c r="K575"/>
      <c r="L575"/>
      <c r="M575"/>
      <c r="N575"/>
      <c r="O575"/>
    </row>
    <row r="576" spans="7:15" ht="15" x14ac:dyDescent="0.25">
      <c r="G576"/>
      <c r="H576"/>
      <c r="I576"/>
      <c r="J576"/>
      <c r="K576"/>
      <c r="L576"/>
      <c r="M576"/>
      <c r="N576"/>
      <c r="O576"/>
    </row>
    <row r="577" spans="7:15" ht="15" x14ac:dyDescent="0.25">
      <c r="G577"/>
      <c r="H577"/>
      <c r="I577"/>
      <c r="J577"/>
      <c r="K577"/>
      <c r="L577"/>
      <c r="M577"/>
      <c r="N577"/>
      <c r="O577"/>
    </row>
    <row r="578" spans="7:15" ht="15" x14ac:dyDescent="0.25">
      <c r="G578"/>
      <c r="H578"/>
      <c r="I578"/>
      <c r="J578"/>
      <c r="K578"/>
      <c r="L578"/>
      <c r="M578"/>
      <c r="N578"/>
      <c r="O578"/>
    </row>
    <row r="579" spans="7:15" ht="15" x14ac:dyDescent="0.25">
      <c r="G579"/>
      <c r="H579"/>
      <c r="I579"/>
      <c r="J579"/>
      <c r="K579"/>
      <c r="L579"/>
      <c r="M579"/>
      <c r="N579"/>
      <c r="O579"/>
    </row>
    <row r="580" spans="7:15" ht="15" x14ac:dyDescent="0.25">
      <c r="G580"/>
      <c r="H580"/>
      <c r="I580"/>
      <c r="J580"/>
      <c r="K580"/>
      <c r="L580"/>
      <c r="M580"/>
      <c r="N580"/>
      <c r="O580"/>
    </row>
    <row r="581" spans="7:15" ht="15" x14ac:dyDescent="0.25">
      <c r="G581"/>
      <c r="H581"/>
      <c r="I581"/>
      <c r="J581"/>
      <c r="K581"/>
      <c r="L581"/>
      <c r="M581"/>
      <c r="N581"/>
      <c r="O581"/>
    </row>
    <row r="582" spans="7:15" ht="15" x14ac:dyDescent="0.25">
      <c r="G582"/>
      <c r="H582"/>
      <c r="I582"/>
      <c r="J582"/>
      <c r="K582"/>
      <c r="L582"/>
      <c r="M582"/>
      <c r="N582"/>
      <c r="O582"/>
    </row>
    <row r="583" spans="7:15" ht="15" x14ac:dyDescent="0.25">
      <c r="G583"/>
      <c r="H583"/>
      <c r="I583"/>
      <c r="J583"/>
      <c r="K583"/>
      <c r="L583"/>
      <c r="M583"/>
      <c r="N583"/>
      <c r="O583"/>
    </row>
    <row r="584" spans="7:15" ht="15" x14ac:dyDescent="0.25">
      <c r="G584"/>
      <c r="H584"/>
      <c r="I584"/>
      <c r="J584"/>
      <c r="K584"/>
      <c r="L584"/>
      <c r="M584"/>
      <c r="N584"/>
      <c r="O584"/>
    </row>
    <row r="585" spans="7:15" ht="15" x14ac:dyDescent="0.25">
      <c r="G585"/>
      <c r="H585"/>
      <c r="I585"/>
      <c r="J585"/>
      <c r="K585"/>
      <c r="L585"/>
      <c r="M585"/>
      <c r="N585"/>
      <c r="O585"/>
    </row>
    <row r="586" spans="7:15" ht="15" x14ac:dyDescent="0.25">
      <c r="G586"/>
      <c r="H586"/>
      <c r="I586"/>
      <c r="J586"/>
      <c r="K586"/>
      <c r="L586"/>
      <c r="M586"/>
      <c r="N586"/>
      <c r="O586"/>
    </row>
    <row r="587" spans="7:15" ht="15" x14ac:dyDescent="0.25">
      <c r="G587"/>
      <c r="H587"/>
      <c r="I587"/>
      <c r="J587"/>
      <c r="K587"/>
      <c r="L587"/>
      <c r="M587"/>
      <c r="N587"/>
      <c r="O587"/>
    </row>
    <row r="588" spans="7:15" ht="15" x14ac:dyDescent="0.25">
      <c r="G588"/>
      <c r="H588"/>
      <c r="I588"/>
      <c r="J588"/>
      <c r="K588"/>
      <c r="L588"/>
      <c r="M588"/>
      <c r="N588"/>
      <c r="O588"/>
    </row>
    <row r="589" spans="7:15" ht="15" x14ac:dyDescent="0.25">
      <c r="G589"/>
      <c r="H589"/>
      <c r="I589"/>
      <c r="J589"/>
      <c r="K589"/>
      <c r="L589"/>
      <c r="M589"/>
      <c r="N589"/>
      <c r="O589"/>
    </row>
    <row r="590" spans="7:15" ht="15" x14ac:dyDescent="0.25">
      <c r="G590"/>
      <c r="H590"/>
      <c r="I590"/>
      <c r="J590"/>
      <c r="K590"/>
      <c r="L590"/>
      <c r="M590"/>
      <c r="N590"/>
      <c r="O590"/>
    </row>
    <row r="591" spans="7:15" ht="15" x14ac:dyDescent="0.25">
      <c r="G591"/>
      <c r="H591"/>
      <c r="I591"/>
      <c r="J591"/>
      <c r="K591"/>
      <c r="L591"/>
      <c r="M591"/>
      <c r="N591"/>
      <c r="O591"/>
    </row>
    <row r="592" spans="7:15" ht="15" x14ac:dyDescent="0.25">
      <c r="G592"/>
      <c r="H592"/>
      <c r="I592"/>
      <c r="J592"/>
      <c r="K592"/>
      <c r="L592"/>
      <c r="M592"/>
      <c r="N592"/>
      <c r="O592"/>
    </row>
    <row r="593" spans="7:15" ht="15" x14ac:dyDescent="0.25">
      <c r="G593"/>
      <c r="H593"/>
      <c r="I593"/>
      <c r="J593"/>
      <c r="K593"/>
      <c r="L593"/>
      <c r="M593"/>
      <c r="N593"/>
      <c r="O593"/>
    </row>
    <row r="594" spans="7:15" ht="15" x14ac:dyDescent="0.25">
      <c r="G594"/>
      <c r="H594"/>
      <c r="I594"/>
      <c r="J594"/>
      <c r="K594"/>
      <c r="L594"/>
      <c r="M594"/>
      <c r="N594"/>
      <c r="O594"/>
    </row>
    <row r="595" spans="7:15" ht="15" x14ac:dyDescent="0.25">
      <c r="G595"/>
      <c r="H595"/>
      <c r="I595"/>
      <c r="J595"/>
      <c r="K595"/>
      <c r="L595"/>
      <c r="M595"/>
      <c r="N595"/>
      <c r="O595"/>
    </row>
    <row r="596" spans="7:15" ht="15" x14ac:dyDescent="0.25">
      <c r="G596"/>
      <c r="H596"/>
      <c r="I596"/>
      <c r="J596"/>
      <c r="K596"/>
      <c r="L596"/>
      <c r="M596"/>
      <c r="N596"/>
      <c r="O596"/>
    </row>
    <row r="597" spans="7:15" ht="15" x14ac:dyDescent="0.25">
      <c r="G597"/>
      <c r="H597"/>
      <c r="I597"/>
      <c r="J597"/>
      <c r="K597"/>
      <c r="L597"/>
      <c r="M597"/>
      <c r="N597"/>
      <c r="O597"/>
    </row>
    <row r="598" spans="7:15" ht="15" x14ac:dyDescent="0.25">
      <c r="G598"/>
      <c r="H598"/>
      <c r="I598"/>
      <c r="J598"/>
      <c r="K598"/>
      <c r="L598"/>
      <c r="M598"/>
      <c r="N598"/>
      <c r="O598"/>
    </row>
    <row r="599" spans="7:15" ht="15" x14ac:dyDescent="0.25">
      <c r="G599"/>
      <c r="H599"/>
      <c r="I599"/>
      <c r="J599"/>
      <c r="K599"/>
      <c r="L599"/>
      <c r="M599"/>
      <c r="N599"/>
      <c r="O599"/>
    </row>
    <row r="600" spans="7:15" ht="15" x14ac:dyDescent="0.25">
      <c r="G600"/>
      <c r="H600"/>
      <c r="I600"/>
      <c r="J600"/>
      <c r="K600"/>
      <c r="L600"/>
      <c r="M600"/>
      <c r="N600"/>
      <c r="O600"/>
    </row>
    <row r="601" spans="7:15" ht="15" x14ac:dyDescent="0.25">
      <c r="G601"/>
      <c r="H601"/>
      <c r="I601"/>
      <c r="J601"/>
      <c r="K601"/>
      <c r="L601"/>
      <c r="M601"/>
      <c r="N601"/>
      <c r="O601"/>
    </row>
    <row r="602" spans="7:15" ht="15" x14ac:dyDescent="0.25">
      <c r="G602"/>
      <c r="H602"/>
      <c r="I602"/>
      <c r="J602"/>
      <c r="K602"/>
      <c r="L602"/>
      <c r="M602"/>
      <c r="N602"/>
      <c r="O602"/>
    </row>
    <row r="603" spans="7:15" ht="15" x14ac:dyDescent="0.25">
      <c r="G603"/>
      <c r="H603"/>
      <c r="I603"/>
      <c r="J603"/>
      <c r="K603"/>
      <c r="L603"/>
      <c r="M603"/>
      <c r="N603"/>
      <c r="O603"/>
    </row>
    <row r="604" spans="7:15" ht="15" x14ac:dyDescent="0.25">
      <c r="G604"/>
      <c r="H604"/>
      <c r="I604"/>
      <c r="J604"/>
      <c r="K604"/>
      <c r="L604"/>
      <c r="M604"/>
      <c r="N604"/>
      <c r="O604"/>
    </row>
    <row r="605" spans="7:15" ht="15" x14ac:dyDescent="0.25">
      <c r="G605"/>
      <c r="H605"/>
      <c r="I605"/>
      <c r="J605"/>
      <c r="K605"/>
      <c r="L605"/>
      <c r="M605"/>
      <c r="N605"/>
      <c r="O605"/>
    </row>
    <row r="606" spans="7:15" ht="15" x14ac:dyDescent="0.25">
      <c r="G606"/>
      <c r="H606"/>
      <c r="I606"/>
      <c r="J606"/>
      <c r="K606"/>
      <c r="L606"/>
      <c r="M606"/>
      <c r="N606"/>
      <c r="O606"/>
    </row>
    <row r="607" spans="7:15" ht="15" x14ac:dyDescent="0.25">
      <c r="G607"/>
      <c r="H607"/>
      <c r="I607"/>
      <c r="J607"/>
      <c r="K607"/>
      <c r="L607"/>
      <c r="M607"/>
      <c r="N607"/>
      <c r="O607"/>
    </row>
    <row r="608" spans="7:15" ht="15" x14ac:dyDescent="0.25">
      <c r="G608"/>
      <c r="H608"/>
      <c r="I608"/>
      <c r="J608"/>
      <c r="K608"/>
      <c r="L608"/>
      <c r="M608"/>
      <c r="N608"/>
      <c r="O608"/>
    </row>
    <row r="609" spans="7:15" ht="15" x14ac:dyDescent="0.25">
      <c r="G609"/>
      <c r="H609"/>
      <c r="I609"/>
      <c r="J609"/>
      <c r="K609"/>
      <c r="L609"/>
      <c r="M609"/>
      <c r="N609"/>
      <c r="O609"/>
    </row>
    <row r="610" spans="7:15" ht="15" x14ac:dyDescent="0.25">
      <c r="G610"/>
      <c r="H610"/>
      <c r="I610"/>
      <c r="J610"/>
      <c r="K610"/>
      <c r="L610"/>
      <c r="M610"/>
      <c r="N610"/>
      <c r="O610"/>
    </row>
    <row r="611" spans="7:15" ht="15" x14ac:dyDescent="0.25">
      <c r="G611"/>
      <c r="H611"/>
      <c r="I611"/>
      <c r="J611"/>
      <c r="K611"/>
      <c r="L611"/>
      <c r="M611"/>
      <c r="N611"/>
      <c r="O611"/>
    </row>
    <row r="612" spans="7:15" ht="15" x14ac:dyDescent="0.25">
      <c r="G612"/>
      <c r="H612"/>
      <c r="I612"/>
      <c r="J612"/>
      <c r="K612"/>
      <c r="L612"/>
      <c r="M612"/>
      <c r="N612"/>
      <c r="O612"/>
    </row>
    <row r="613" spans="7:15" ht="15" x14ac:dyDescent="0.25">
      <c r="G613"/>
      <c r="H613"/>
      <c r="I613"/>
      <c r="J613"/>
      <c r="K613"/>
      <c r="L613"/>
      <c r="M613"/>
      <c r="N613"/>
      <c r="O613"/>
    </row>
    <row r="614" spans="7:15" ht="15" x14ac:dyDescent="0.25">
      <c r="G614"/>
      <c r="H614"/>
      <c r="I614"/>
      <c r="J614"/>
      <c r="K614"/>
      <c r="L614"/>
      <c r="M614"/>
      <c r="N614"/>
      <c r="O614"/>
    </row>
    <row r="615" spans="7:15" ht="15" x14ac:dyDescent="0.25">
      <c r="G615"/>
      <c r="H615"/>
      <c r="I615"/>
      <c r="J615"/>
      <c r="K615"/>
      <c r="L615"/>
      <c r="M615"/>
      <c r="N615"/>
      <c r="O615"/>
    </row>
    <row r="616" spans="7:15" ht="15" x14ac:dyDescent="0.25">
      <c r="G616"/>
      <c r="H616"/>
      <c r="I616"/>
      <c r="J616"/>
      <c r="K616"/>
      <c r="L616"/>
      <c r="M616"/>
      <c r="N616"/>
      <c r="O616"/>
    </row>
    <row r="617" spans="7:15" ht="15" x14ac:dyDescent="0.25">
      <c r="G617"/>
      <c r="H617"/>
      <c r="I617"/>
      <c r="J617"/>
      <c r="K617"/>
      <c r="L617"/>
      <c r="M617"/>
      <c r="N617"/>
      <c r="O617"/>
    </row>
    <row r="618" spans="7:15" ht="15" x14ac:dyDescent="0.25">
      <c r="G618"/>
      <c r="H618"/>
      <c r="I618"/>
      <c r="J618"/>
      <c r="K618"/>
      <c r="L618"/>
      <c r="M618"/>
      <c r="N618"/>
      <c r="O618"/>
    </row>
    <row r="619" spans="7:15" ht="15" x14ac:dyDescent="0.25">
      <c r="G619"/>
      <c r="H619"/>
      <c r="I619"/>
      <c r="J619"/>
      <c r="K619"/>
      <c r="L619"/>
      <c r="M619"/>
      <c r="N619"/>
      <c r="O619"/>
    </row>
    <row r="620" spans="7:15" ht="15" x14ac:dyDescent="0.25">
      <c r="G620"/>
      <c r="H620"/>
      <c r="I620"/>
      <c r="J620"/>
      <c r="K620"/>
      <c r="L620"/>
      <c r="M620"/>
      <c r="N620"/>
      <c r="O620"/>
    </row>
    <row r="621" spans="7:15" ht="15" x14ac:dyDescent="0.25">
      <c r="G621"/>
      <c r="H621"/>
      <c r="I621"/>
      <c r="J621"/>
      <c r="K621"/>
      <c r="L621"/>
      <c r="M621"/>
      <c r="N621"/>
      <c r="O621"/>
    </row>
    <row r="622" spans="7:15" ht="15" x14ac:dyDescent="0.25">
      <c r="G622"/>
      <c r="H622"/>
      <c r="I622"/>
      <c r="J622"/>
      <c r="K622"/>
      <c r="L622"/>
      <c r="M622"/>
      <c r="N622"/>
      <c r="O622"/>
    </row>
    <row r="623" spans="7:15" ht="15" x14ac:dyDescent="0.25">
      <c r="G623"/>
      <c r="H623"/>
      <c r="I623"/>
      <c r="J623"/>
      <c r="K623"/>
      <c r="L623"/>
      <c r="M623"/>
      <c r="N623"/>
      <c r="O623"/>
    </row>
    <row r="624" spans="7:15" ht="15" x14ac:dyDescent="0.25">
      <c r="G624"/>
      <c r="H624"/>
      <c r="I624"/>
      <c r="J624"/>
      <c r="K624"/>
      <c r="L624"/>
      <c r="M624"/>
      <c r="N624"/>
      <c r="O624"/>
    </row>
    <row r="625" spans="7:15" ht="15" x14ac:dyDescent="0.25">
      <c r="G625"/>
      <c r="H625"/>
      <c r="I625"/>
      <c r="J625"/>
      <c r="K625"/>
      <c r="L625"/>
      <c r="M625"/>
      <c r="N625"/>
      <c r="O625"/>
    </row>
    <row r="626" spans="7:15" ht="15" x14ac:dyDescent="0.25">
      <c r="G626"/>
      <c r="H626"/>
      <c r="I626"/>
      <c r="J626"/>
      <c r="K626"/>
      <c r="L626"/>
      <c r="M626"/>
      <c r="N626"/>
      <c r="O626"/>
    </row>
    <row r="627" spans="7:15" ht="15" x14ac:dyDescent="0.25">
      <c r="G627"/>
      <c r="H627"/>
      <c r="I627"/>
      <c r="J627"/>
      <c r="K627"/>
      <c r="L627"/>
      <c r="M627"/>
      <c r="N627"/>
      <c r="O627"/>
    </row>
    <row r="628" spans="7:15" ht="15" x14ac:dyDescent="0.25">
      <c r="G628"/>
      <c r="H628"/>
      <c r="I628"/>
      <c r="J628"/>
      <c r="K628"/>
      <c r="L628"/>
      <c r="M628"/>
      <c r="N628"/>
      <c r="O628"/>
    </row>
    <row r="629" spans="7:15" ht="15" x14ac:dyDescent="0.25">
      <c r="G629"/>
      <c r="H629"/>
      <c r="I629"/>
      <c r="J629"/>
      <c r="K629"/>
      <c r="L629"/>
      <c r="M629"/>
      <c r="N629"/>
      <c r="O629"/>
    </row>
    <row r="630" spans="7:15" ht="15" x14ac:dyDescent="0.25">
      <c r="G630"/>
      <c r="H630"/>
      <c r="I630"/>
      <c r="J630"/>
      <c r="K630"/>
      <c r="L630"/>
      <c r="M630"/>
      <c r="N630"/>
      <c r="O630"/>
    </row>
    <row r="631" spans="7:15" ht="15" x14ac:dyDescent="0.25">
      <c r="G631"/>
      <c r="H631"/>
      <c r="I631"/>
      <c r="J631"/>
      <c r="K631"/>
      <c r="L631"/>
      <c r="M631"/>
      <c r="N631"/>
      <c r="O631"/>
    </row>
    <row r="632" spans="7:15" ht="15" x14ac:dyDescent="0.25">
      <c r="G632"/>
      <c r="H632"/>
      <c r="I632"/>
      <c r="J632"/>
      <c r="K632"/>
      <c r="L632"/>
      <c r="M632"/>
      <c r="N632"/>
      <c r="O632"/>
    </row>
    <row r="633" spans="7:15" ht="15" x14ac:dyDescent="0.25">
      <c r="G633"/>
      <c r="H633"/>
      <c r="I633"/>
      <c r="J633"/>
      <c r="K633"/>
      <c r="L633"/>
      <c r="M633"/>
      <c r="N633"/>
      <c r="O633"/>
    </row>
    <row r="634" spans="7:15" ht="15" x14ac:dyDescent="0.25">
      <c r="G634"/>
      <c r="H634"/>
      <c r="I634"/>
      <c r="J634"/>
      <c r="K634"/>
      <c r="L634"/>
      <c r="M634"/>
      <c r="N634"/>
      <c r="O634"/>
    </row>
    <row r="635" spans="7:15" ht="15" x14ac:dyDescent="0.25">
      <c r="G635"/>
      <c r="H635"/>
      <c r="I635"/>
      <c r="J635"/>
      <c r="K635"/>
      <c r="L635"/>
      <c r="M635"/>
      <c r="N635"/>
      <c r="O635"/>
    </row>
    <row r="636" spans="7:15" ht="15" x14ac:dyDescent="0.25">
      <c r="G636"/>
      <c r="H636"/>
      <c r="I636"/>
      <c r="J636"/>
      <c r="K636"/>
      <c r="L636"/>
      <c r="M636"/>
      <c r="N636"/>
      <c r="O636"/>
    </row>
    <row r="637" spans="7:15" ht="15" x14ac:dyDescent="0.25">
      <c r="G637"/>
      <c r="H637"/>
      <c r="I637"/>
      <c r="J637"/>
      <c r="K637"/>
      <c r="L637"/>
      <c r="M637"/>
      <c r="N637"/>
      <c r="O637"/>
    </row>
    <row r="638" spans="7:15" ht="15" x14ac:dyDescent="0.25">
      <c r="G638"/>
      <c r="H638"/>
      <c r="I638"/>
      <c r="J638"/>
      <c r="K638"/>
      <c r="L638"/>
      <c r="M638"/>
      <c r="N638"/>
      <c r="O638"/>
    </row>
    <row r="639" spans="7:15" ht="15" x14ac:dyDescent="0.25">
      <c r="G639"/>
      <c r="H639"/>
      <c r="I639"/>
      <c r="J639"/>
      <c r="K639"/>
      <c r="L639"/>
      <c r="M639"/>
      <c r="N639"/>
      <c r="O639"/>
    </row>
    <row r="640" spans="7:15" ht="15" x14ac:dyDescent="0.25">
      <c r="G640"/>
      <c r="H640"/>
      <c r="I640"/>
      <c r="J640"/>
      <c r="K640"/>
      <c r="L640"/>
      <c r="M640"/>
      <c r="N640"/>
      <c r="O640"/>
    </row>
    <row r="641" spans="7:15" ht="15" x14ac:dyDescent="0.25">
      <c r="G641"/>
      <c r="H641"/>
      <c r="I641"/>
      <c r="J641"/>
      <c r="K641"/>
      <c r="L641"/>
      <c r="M641"/>
      <c r="N641"/>
      <c r="O641"/>
    </row>
    <row r="642" spans="7:15" ht="15" x14ac:dyDescent="0.25">
      <c r="G642"/>
      <c r="H642"/>
      <c r="I642"/>
      <c r="J642"/>
      <c r="K642"/>
      <c r="L642"/>
      <c r="M642"/>
      <c r="N642"/>
      <c r="O642"/>
    </row>
    <row r="643" spans="7:15" ht="15" x14ac:dyDescent="0.25">
      <c r="G643"/>
      <c r="H643"/>
      <c r="I643"/>
      <c r="J643"/>
      <c r="K643"/>
      <c r="L643"/>
      <c r="M643"/>
      <c r="N643"/>
      <c r="O643"/>
    </row>
    <row r="644" spans="7:15" ht="15" x14ac:dyDescent="0.25">
      <c r="G644"/>
      <c r="H644"/>
      <c r="I644"/>
      <c r="J644"/>
      <c r="K644"/>
      <c r="L644"/>
      <c r="M644"/>
      <c r="N644"/>
      <c r="O644"/>
    </row>
    <row r="645" spans="7:15" ht="15" x14ac:dyDescent="0.25">
      <c r="G645"/>
      <c r="H645"/>
      <c r="I645"/>
      <c r="J645"/>
      <c r="K645"/>
      <c r="L645"/>
      <c r="M645"/>
      <c r="N645"/>
      <c r="O645"/>
    </row>
    <row r="646" spans="7:15" ht="15" x14ac:dyDescent="0.25">
      <c r="G646"/>
      <c r="H646"/>
      <c r="I646"/>
      <c r="J646"/>
      <c r="K646"/>
      <c r="L646"/>
      <c r="M646"/>
      <c r="N646"/>
      <c r="O646"/>
    </row>
    <row r="647" spans="7:15" ht="15" x14ac:dyDescent="0.25">
      <c r="G647"/>
      <c r="H647"/>
      <c r="I647"/>
      <c r="J647"/>
      <c r="K647"/>
      <c r="L647"/>
      <c r="M647"/>
      <c r="N647"/>
      <c r="O647"/>
    </row>
    <row r="648" spans="7:15" ht="15" x14ac:dyDescent="0.25">
      <c r="G648"/>
      <c r="H648"/>
      <c r="I648"/>
      <c r="J648"/>
      <c r="K648"/>
      <c r="L648"/>
      <c r="M648"/>
      <c r="N648"/>
      <c r="O648"/>
    </row>
    <row r="649" spans="7:15" ht="15" x14ac:dyDescent="0.25">
      <c r="G649"/>
      <c r="H649"/>
      <c r="I649"/>
      <c r="J649"/>
      <c r="K649"/>
      <c r="L649"/>
      <c r="M649"/>
      <c r="N649"/>
      <c r="O649"/>
    </row>
    <row r="650" spans="7:15" ht="15" x14ac:dyDescent="0.25">
      <c r="G650"/>
      <c r="H650"/>
      <c r="I650"/>
      <c r="J650"/>
      <c r="K650"/>
      <c r="L650"/>
      <c r="M650"/>
      <c r="N650"/>
      <c r="O650"/>
    </row>
    <row r="651" spans="7:15" ht="15" x14ac:dyDescent="0.25">
      <c r="G651"/>
      <c r="H651"/>
      <c r="I651"/>
      <c r="J651"/>
      <c r="K651"/>
      <c r="L651"/>
      <c r="M651"/>
      <c r="N651"/>
      <c r="O651"/>
    </row>
    <row r="652" spans="7:15" ht="15" x14ac:dyDescent="0.25">
      <c r="G652"/>
      <c r="H652"/>
      <c r="I652"/>
      <c r="J652"/>
      <c r="K652"/>
      <c r="L652"/>
      <c r="M652"/>
      <c r="N652"/>
      <c r="O652"/>
    </row>
    <row r="653" spans="7:15" ht="15" x14ac:dyDescent="0.25">
      <c r="G653"/>
      <c r="H653"/>
      <c r="I653"/>
      <c r="J653"/>
      <c r="K653"/>
      <c r="L653"/>
      <c r="M653"/>
      <c r="N653"/>
      <c r="O653"/>
    </row>
    <row r="654" spans="7:15" ht="15" x14ac:dyDescent="0.25">
      <c r="G654"/>
      <c r="H654"/>
      <c r="I654"/>
      <c r="J654"/>
      <c r="K654"/>
      <c r="L654"/>
      <c r="M654"/>
      <c r="N654"/>
      <c r="O654"/>
    </row>
    <row r="655" spans="7:15" ht="15" x14ac:dyDescent="0.25">
      <c r="G655"/>
      <c r="H655"/>
      <c r="I655"/>
      <c r="J655"/>
      <c r="K655"/>
      <c r="L655"/>
      <c r="M655"/>
      <c r="N655"/>
      <c r="O655"/>
    </row>
    <row r="656" spans="7:15" ht="15" x14ac:dyDescent="0.25">
      <c r="G656"/>
      <c r="H656"/>
      <c r="I656"/>
      <c r="J656"/>
      <c r="K656"/>
      <c r="L656"/>
      <c r="M656"/>
      <c r="N656"/>
      <c r="O656"/>
    </row>
    <row r="657" spans="7:15" ht="15" x14ac:dyDescent="0.25">
      <c r="G657"/>
      <c r="H657"/>
      <c r="I657"/>
      <c r="J657"/>
      <c r="K657"/>
      <c r="L657"/>
      <c r="M657"/>
      <c r="N657"/>
      <c r="O657"/>
    </row>
    <row r="658" spans="7:15" ht="15" x14ac:dyDescent="0.25">
      <c r="G658"/>
      <c r="H658"/>
      <c r="I658"/>
      <c r="J658"/>
      <c r="K658"/>
      <c r="L658"/>
      <c r="M658"/>
      <c r="N658"/>
      <c r="O658"/>
    </row>
    <row r="659" spans="7:15" ht="15" x14ac:dyDescent="0.25">
      <c r="G659"/>
      <c r="H659"/>
      <c r="I659"/>
      <c r="J659"/>
      <c r="K659"/>
      <c r="L659"/>
      <c r="M659"/>
      <c r="N659"/>
      <c r="O659"/>
    </row>
    <row r="660" spans="7:15" ht="15" x14ac:dyDescent="0.25">
      <c r="G660"/>
      <c r="H660"/>
      <c r="I660"/>
      <c r="J660"/>
      <c r="K660"/>
      <c r="L660"/>
      <c r="M660"/>
      <c r="N660"/>
      <c r="O660"/>
    </row>
    <row r="661" spans="7:15" ht="15" x14ac:dyDescent="0.25">
      <c r="G661"/>
      <c r="H661"/>
      <c r="I661"/>
      <c r="J661"/>
      <c r="K661"/>
      <c r="L661"/>
      <c r="M661"/>
      <c r="N661"/>
      <c r="O661"/>
    </row>
    <row r="662" spans="7:15" ht="15" x14ac:dyDescent="0.25">
      <c r="G662"/>
      <c r="H662"/>
      <c r="I662"/>
      <c r="J662"/>
      <c r="K662"/>
      <c r="L662"/>
      <c r="M662"/>
      <c r="N662"/>
      <c r="O662"/>
    </row>
    <row r="663" spans="7:15" ht="15" x14ac:dyDescent="0.25">
      <c r="G663"/>
      <c r="H663"/>
      <c r="I663"/>
      <c r="J663"/>
      <c r="K663"/>
      <c r="L663"/>
      <c r="M663"/>
      <c r="N663"/>
      <c r="O663"/>
    </row>
    <row r="664" spans="7:15" ht="15" x14ac:dyDescent="0.25">
      <c r="G664"/>
      <c r="H664"/>
      <c r="I664"/>
      <c r="J664"/>
      <c r="K664"/>
      <c r="L664"/>
      <c r="M664"/>
      <c r="N664"/>
      <c r="O664"/>
    </row>
    <row r="665" spans="7:15" ht="15" x14ac:dyDescent="0.25">
      <c r="G665"/>
      <c r="H665"/>
      <c r="I665"/>
      <c r="J665"/>
      <c r="K665"/>
      <c r="L665"/>
      <c r="M665"/>
      <c r="N665"/>
      <c r="O665"/>
    </row>
    <row r="666" spans="7:15" ht="15" x14ac:dyDescent="0.25">
      <c r="G666"/>
      <c r="H666"/>
      <c r="I666"/>
      <c r="J666"/>
      <c r="K666"/>
      <c r="L666"/>
      <c r="M666"/>
      <c r="N666"/>
      <c r="O666"/>
    </row>
    <row r="667" spans="7:15" ht="15" x14ac:dyDescent="0.25">
      <c r="G667"/>
      <c r="H667"/>
      <c r="I667"/>
      <c r="J667"/>
      <c r="K667"/>
      <c r="L667"/>
      <c r="M667"/>
      <c r="N667"/>
      <c r="O667"/>
    </row>
    <row r="668" spans="7:15" ht="15" x14ac:dyDescent="0.25">
      <c r="G668"/>
      <c r="H668"/>
      <c r="I668"/>
      <c r="J668"/>
      <c r="K668"/>
      <c r="L668"/>
      <c r="M668"/>
      <c r="N668"/>
      <c r="O668"/>
    </row>
    <row r="669" spans="7:15" ht="15" x14ac:dyDescent="0.25">
      <c r="G669"/>
      <c r="H669"/>
      <c r="I669"/>
      <c r="J669"/>
      <c r="K669"/>
      <c r="L669"/>
      <c r="M669"/>
      <c r="N669"/>
      <c r="O669"/>
    </row>
    <row r="670" spans="7:15" ht="15" x14ac:dyDescent="0.25">
      <c r="G670"/>
      <c r="H670"/>
      <c r="I670"/>
      <c r="J670"/>
      <c r="K670"/>
      <c r="L670"/>
      <c r="M670"/>
      <c r="N670"/>
      <c r="O670"/>
    </row>
    <row r="671" spans="7:15" ht="15" x14ac:dyDescent="0.25">
      <c r="G671"/>
      <c r="H671"/>
      <c r="I671"/>
      <c r="J671"/>
      <c r="K671"/>
      <c r="L671"/>
      <c r="M671"/>
      <c r="N671"/>
      <c r="O671"/>
    </row>
    <row r="672" spans="7:15" ht="15" x14ac:dyDescent="0.25">
      <c r="G672"/>
      <c r="H672"/>
      <c r="I672"/>
      <c r="J672"/>
      <c r="K672"/>
      <c r="L672"/>
      <c r="M672"/>
      <c r="N672"/>
      <c r="O672"/>
    </row>
    <row r="673" spans="7:15" ht="15" x14ac:dyDescent="0.25">
      <c r="G673"/>
      <c r="H673"/>
      <c r="I673"/>
      <c r="J673"/>
      <c r="K673"/>
      <c r="L673"/>
      <c r="M673"/>
      <c r="N673"/>
      <c r="O673"/>
    </row>
    <row r="674" spans="7:15" ht="15" x14ac:dyDescent="0.25">
      <c r="G674"/>
      <c r="H674"/>
      <c r="I674"/>
      <c r="J674"/>
      <c r="K674"/>
      <c r="L674"/>
      <c r="M674"/>
      <c r="N674"/>
      <c r="O674"/>
    </row>
    <row r="675" spans="7:15" ht="15" x14ac:dyDescent="0.25">
      <c r="G675"/>
      <c r="H675"/>
      <c r="I675"/>
      <c r="J675"/>
      <c r="K675"/>
      <c r="L675"/>
      <c r="M675"/>
      <c r="N675"/>
      <c r="O675"/>
    </row>
    <row r="676" spans="7:15" ht="15" x14ac:dyDescent="0.25">
      <c r="G676"/>
      <c r="H676"/>
      <c r="I676"/>
      <c r="J676"/>
      <c r="K676"/>
      <c r="L676"/>
      <c r="M676"/>
      <c r="N676"/>
      <c r="O676"/>
    </row>
    <row r="677" spans="7:15" ht="15" x14ac:dyDescent="0.25">
      <c r="G677"/>
      <c r="H677"/>
      <c r="I677"/>
      <c r="J677"/>
      <c r="K677"/>
      <c r="L677"/>
      <c r="M677"/>
      <c r="N677"/>
      <c r="O677"/>
    </row>
    <row r="678" spans="7:15" ht="15" x14ac:dyDescent="0.25">
      <c r="G678"/>
      <c r="H678"/>
      <c r="I678"/>
      <c r="J678"/>
      <c r="K678"/>
      <c r="L678"/>
      <c r="M678"/>
      <c r="N678"/>
      <c r="O678"/>
    </row>
    <row r="679" spans="7:15" ht="15" x14ac:dyDescent="0.25">
      <c r="G679"/>
      <c r="H679"/>
      <c r="I679"/>
      <c r="J679"/>
      <c r="K679"/>
      <c r="L679"/>
      <c r="M679"/>
      <c r="N679"/>
      <c r="O679"/>
    </row>
    <row r="680" spans="7:15" ht="15" x14ac:dyDescent="0.25">
      <c r="G680"/>
      <c r="H680"/>
      <c r="I680"/>
      <c r="J680"/>
      <c r="K680"/>
      <c r="L680"/>
      <c r="M680"/>
      <c r="N680"/>
      <c r="O680"/>
    </row>
    <row r="681" spans="7:15" ht="15" x14ac:dyDescent="0.25">
      <c r="G681"/>
      <c r="H681"/>
      <c r="I681"/>
      <c r="J681"/>
      <c r="K681"/>
      <c r="L681"/>
      <c r="M681"/>
      <c r="N681"/>
      <c r="O681"/>
    </row>
    <row r="682" spans="7:15" ht="15" x14ac:dyDescent="0.25">
      <c r="G682"/>
      <c r="H682"/>
      <c r="I682"/>
      <c r="J682"/>
      <c r="K682"/>
      <c r="L682"/>
      <c r="M682"/>
      <c r="N682"/>
      <c r="O682"/>
    </row>
    <row r="683" spans="7:15" ht="15" x14ac:dyDescent="0.25">
      <c r="G683"/>
      <c r="H683"/>
      <c r="I683"/>
      <c r="J683"/>
      <c r="K683"/>
      <c r="L683"/>
      <c r="M683"/>
      <c r="N683"/>
      <c r="O683"/>
    </row>
    <row r="684" spans="7:15" ht="15" x14ac:dyDescent="0.25">
      <c r="G684"/>
      <c r="H684"/>
      <c r="I684"/>
      <c r="J684"/>
      <c r="K684"/>
      <c r="L684"/>
      <c r="M684"/>
      <c r="N684"/>
      <c r="O684"/>
    </row>
    <row r="685" spans="7:15" ht="15" x14ac:dyDescent="0.25">
      <c r="G685"/>
      <c r="H685"/>
      <c r="I685"/>
      <c r="J685"/>
      <c r="K685"/>
      <c r="L685"/>
      <c r="M685"/>
      <c r="N685"/>
      <c r="O685"/>
    </row>
    <row r="686" spans="7:15" ht="15" x14ac:dyDescent="0.25">
      <c r="G686"/>
      <c r="H686"/>
      <c r="I686"/>
      <c r="J686"/>
      <c r="K686"/>
      <c r="L686"/>
      <c r="M686"/>
      <c r="N686"/>
      <c r="O686"/>
    </row>
    <row r="687" spans="7:15" ht="15" x14ac:dyDescent="0.25">
      <c r="G687"/>
      <c r="H687"/>
      <c r="I687"/>
      <c r="J687"/>
      <c r="K687"/>
      <c r="L687"/>
      <c r="M687"/>
      <c r="N687"/>
      <c r="O687"/>
    </row>
    <row r="688" spans="7:15" ht="15" x14ac:dyDescent="0.25">
      <c r="G688"/>
      <c r="H688"/>
      <c r="I688"/>
      <c r="J688"/>
      <c r="K688"/>
      <c r="L688"/>
      <c r="M688"/>
      <c r="N688"/>
      <c r="O688"/>
    </row>
    <row r="689" spans="7:15" ht="15" x14ac:dyDescent="0.25">
      <c r="G689"/>
      <c r="H689"/>
      <c r="I689"/>
      <c r="J689"/>
      <c r="K689"/>
      <c r="L689"/>
      <c r="M689"/>
      <c r="N689"/>
      <c r="O689"/>
    </row>
    <row r="690" spans="7:15" ht="15" x14ac:dyDescent="0.25">
      <c r="G690"/>
      <c r="H690"/>
      <c r="I690"/>
      <c r="J690"/>
      <c r="K690"/>
      <c r="L690"/>
      <c r="M690"/>
      <c r="N690"/>
      <c r="O690"/>
    </row>
    <row r="691" spans="7:15" ht="15" x14ac:dyDescent="0.25">
      <c r="G691"/>
      <c r="H691"/>
      <c r="I691"/>
      <c r="J691"/>
      <c r="K691"/>
      <c r="L691"/>
      <c r="M691"/>
      <c r="N691"/>
      <c r="O691"/>
    </row>
    <row r="692" spans="7:15" ht="15" x14ac:dyDescent="0.25">
      <c r="G692"/>
      <c r="H692"/>
      <c r="I692"/>
      <c r="J692"/>
      <c r="K692"/>
      <c r="L692"/>
      <c r="M692"/>
      <c r="N692"/>
      <c r="O692"/>
    </row>
    <row r="693" spans="7:15" ht="15" x14ac:dyDescent="0.25">
      <c r="G693"/>
      <c r="H693"/>
      <c r="I693"/>
      <c r="J693"/>
      <c r="K693"/>
      <c r="L693"/>
      <c r="M693"/>
      <c r="N693"/>
      <c r="O693"/>
    </row>
    <row r="694" spans="7:15" ht="15" x14ac:dyDescent="0.25">
      <c r="G694"/>
      <c r="H694"/>
      <c r="I694"/>
      <c r="J694"/>
      <c r="K694"/>
      <c r="L694"/>
      <c r="M694"/>
      <c r="N694"/>
      <c r="O694"/>
    </row>
    <row r="695" spans="7:15" ht="15" x14ac:dyDescent="0.25">
      <c r="G695"/>
      <c r="H695"/>
      <c r="I695"/>
      <c r="J695"/>
      <c r="K695"/>
      <c r="L695"/>
      <c r="M695"/>
      <c r="N695"/>
      <c r="O695"/>
    </row>
    <row r="696" spans="7:15" ht="15" x14ac:dyDescent="0.25">
      <c r="G696"/>
      <c r="H696"/>
      <c r="I696"/>
      <c r="J696"/>
      <c r="K696"/>
      <c r="L696"/>
      <c r="M696"/>
      <c r="N696"/>
      <c r="O696"/>
    </row>
    <row r="697" spans="7:15" ht="15" x14ac:dyDescent="0.25">
      <c r="G697"/>
      <c r="H697"/>
      <c r="I697"/>
      <c r="J697"/>
      <c r="K697"/>
      <c r="L697"/>
      <c r="M697"/>
      <c r="N697"/>
      <c r="O697"/>
    </row>
    <row r="698" spans="7:15" ht="15" x14ac:dyDescent="0.25">
      <c r="G698"/>
      <c r="H698"/>
      <c r="I698"/>
      <c r="J698"/>
      <c r="K698"/>
      <c r="L698"/>
      <c r="M698"/>
      <c r="N698"/>
      <c r="O698"/>
    </row>
    <row r="699" spans="7:15" ht="15" x14ac:dyDescent="0.25">
      <c r="G699"/>
      <c r="H699"/>
      <c r="I699"/>
      <c r="J699"/>
      <c r="K699"/>
      <c r="L699"/>
      <c r="M699"/>
      <c r="N699"/>
      <c r="O699"/>
    </row>
    <row r="700" spans="7:15" ht="15" x14ac:dyDescent="0.25">
      <c r="G700"/>
      <c r="H700"/>
      <c r="I700"/>
      <c r="J700"/>
      <c r="K700"/>
      <c r="L700"/>
      <c r="M700"/>
      <c r="N700"/>
      <c r="O700"/>
    </row>
    <row r="701" spans="7:15" ht="15" x14ac:dyDescent="0.25">
      <c r="G701"/>
      <c r="H701"/>
      <c r="I701"/>
      <c r="J701"/>
      <c r="K701"/>
      <c r="L701"/>
      <c r="M701"/>
      <c r="N701"/>
      <c r="O701"/>
    </row>
    <row r="702" spans="7:15" ht="15" x14ac:dyDescent="0.25">
      <c r="G702"/>
      <c r="H702"/>
      <c r="I702"/>
      <c r="J702"/>
      <c r="K702"/>
      <c r="L702"/>
      <c r="M702"/>
      <c r="N702"/>
      <c r="O702"/>
    </row>
    <row r="703" spans="7:15" ht="15" x14ac:dyDescent="0.25">
      <c r="G703"/>
      <c r="H703"/>
      <c r="I703"/>
      <c r="J703"/>
      <c r="K703"/>
      <c r="L703"/>
      <c r="M703"/>
      <c r="N703"/>
      <c r="O703"/>
    </row>
    <row r="704" spans="7:15" ht="15" x14ac:dyDescent="0.25">
      <c r="G704"/>
      <c r="H704"/>
      <c r="I704"/>
      <c r="J704"/>
      <c r="K704"/>
      <c r="L704"/>
      <c r="M704"/>
      <c r="N704"/>
      <c r="O704"/>
    </row>
    <row r="705" spans="7:15" ht="15" x14ac:dyDescent="0.25">
      <c r="G705"/>
      <c r="H705"/>
      <c r="I705"/>
      <c r="J705"/>
      <c r="K705"/>
      <c r="L705"/>
      <c r="M705"/>
      <c r="N705"/>
      <c r="O705"/>
    </row>
    <row r="706" spans="7:15" ht="15" x14ac:dyDescent="0.25">
      <c r="G706"/>
      <c r="H706"/>
      <c r="I706"/>
      <c r="J706"/>
      <c r="K706"/>
      <c r="L706"/>
      <c r="M706"/>
      <c r="N706"/>
      <c r="O706"/>
    </row>
    <row r="707" spans="7:15" ht="15" x14ac:dyDescent="0.25">
      <c r="G707"/>
      <c r="H707"/>
      <c r="I707"/>
      <c r="J707"/>
      <c r="K707"/>
      <c r="L707"/>
      <c r="M707"/>
      <c r="N707"/>
      <c r="O707"/>
    </row>
    <row r="708" spans="7:15" ht="15" x14ac:dyDescent="0.25">
      <c r="G708"/>
      <c r="H708"/>
      <c r="I708"/>
      <c r="J708"/>
      <c r="K708"/>
      <c r="L708"/>
      <c r="M708"/>
      <c r="N708"/>
      <c r="O708"/>
    </row>
    <row r="709" spans="7:15" ht="15" x14ac:dyDescent="0.25">
      <c r="G709"/>
      <c r="H709"/>
      <c r="I709"/>
      <c r="J709"/>
      <c r="K709"/>
      <c r="L709"/>
      <c r="M709"/>
      <c r="N709"/>
      <c r="O709"/>
    </row>
    <row r="710" spans="7:15" ht="15" x14ac:dyDescent="0.25">
      <c r="G710"/>
      <c r="H710"/>
      <c r="I710"/>
      <c r="J710"/>
      <c r="K710"/>
      <c r="L710"/>
      <c r="M710"/>
      <c r="N710"/>
      <c r="O710"/>
    </row>
    <row r="711" spans="7:15" ht="15" x14ac:dyDescent="0.25">
      <c r="G711"/>
      <c r="H711"/>
      <c r="I711"/>
      <c r="J711"/>
      <c r="K711"/>
      <c r="L711"/>
      <c r="M711"/>
      <c r="N711"/>
      <c r="O711"/>
    </row>
    <row r="712" spans="7:15" ht="15" x14ac:dyDescent="0.25">
      <c r="G712"/>
      <c r="H712"/>
      <c r="I712"/>
      <c r="J712"/>
      <c r="K712"/>
      <c r="L712"/>
      <c r="M712"/>
      <c r="N712"/>
      <c r="O712"/>
    </row>
    <row r="713" spans="7:15" ht="15" x14ac:dyDescent="0.25">
      <c r="G713"/>
      <c r="H713"/>
      <c r="I713"/>
      <c r="J713"/>
      <c r="K713"/>
      <c r="L713"/>
      <c r="M713"/>
      <c r="N713"/>
      <c r="O713"/>
    </row>
    <row r="714" spans="7:15" ht="15" x14ac:dyDescent="0.25">
      <c r="G714"/>
      <c r="H714"/>
      <c r="I714"/>
      <c r="J714"/>
      <c r="K714"/>
      <c r="L714"/>
      <c r="M714"/>
      <c r="N714"/>
      <c r="O714"/>
    </row>
    <row r="715" spans="7:15" ht="15" x14ac:dyDescent="0.25">
      <c r="G715"/>
      <c r="H715"/>
      <c r="I715"/>
      <c r="J715"/>
      <c r="K715"/>
      <c r="L715"/>
      <c r="M715"/>
      <c r="N715"/>
      <c r="O715"/>
    </row>
    <row r="716" spans="7:15" ht="15" x14ac:dyDescent="0.25">
      <c r="G716"/>
      <c r="H716"/>
      <c r="I716"/>
      <c r="J716"/>
      <c r="K716"/>
      <c r="L716"/>
      <c r="M716"/>
      <c r="N716"/>
      <c r="O716"/>
    </row>
    <row r="717" spans="7:15" ht="15" x14ac:dyDescent="0.25">
      <c r="G717"/>
      <c r="H717"/>
      <c r="I717"/>
      <c r="J717"/>
      <c r="K717"/>
      <c r="L717"/>
      <c r="M717"/>
      <c r="N717"/>
      <c r="O717"/>
    </row>
    <row r="718" spans="7:15" ht="15" x14ac:dyDescent="0.25">
      <c r="G718"/>
      <c r="H718"/>
      <c r="I718"/>
      <c r="J718"/>
      <c r="K718"/>
      <c r="L718"/>
      <c r="M718"/>
      <c r="N718"/>
      <c r="O718"/>
    </row>
    <row r="719" spans="7:15" ht="15" x14ac:dyDescent="0.25">
      <c r="G719"/>
      <c r="H719"/>
      <c r="I719"/>
      <c r="J719"/>
      <c r="K719"/>
      <c r="L719"/>
      <c r="M719"/>
      <c r="N719"/>
      <c r="O719"/>
    </row>
    <row r="720" spans="7:15" ht="15" x14ac:dyDescent="0.25">
      <c r="G720"/>
      <c r="H720"/>
      <c r="I720"/>
      <c r="J720"/>
      <c r="K720"/>
      <c r="L720"/>
      <c r="M720"/>
      <c r="N720"/>
      <c r="O720"/>
    </row>
    <row r="721" spans="7:15" ht="15" x14ac:dyDescent="0.25">
      <c r="G721"/>
      <c r="H721"/>
      <c r="I721"/>
      <c r="J721"/>
      <c r="K721"/>
      <c r="L721"/>
      <c r="M721"/>
      <c r="N721"/>
      <c r="O721"/>
    </row>
    <row r="722" spans="7:15" ht="15" x14ac:dyDescent="0.25">
      <c r="G722"/>
      <c r="H722"/>
      <c r="I722"/>
      <c r="J722"/>
      <c r="K722"/>
      <c r="L722"/>
      <c r="M722"/>
      <c r="N722"/>
      <c r="O722"/>
    </row>
    <row r="723" spans="7:15" ht="15" x14ac:dyDescent="0.25">
      <c r="G723"/>
      <c r="H723"/>
      <c r="I723"/>
      <c r="J723"/>
      <c r="K723"/>
      <c r="L723"/>
      <c r="M723"/>
      <c r="N723"/>
      <c r="O723"/>
    </row>
    <row r="724" spans="7:15" ht="15" x14ac:dyDescent="0.25">
      <c r="G724"/>
      <c r="H724"/>
      <c r="I724"/>
      <c r="J724"/>
      <c r="K724"/>
      <c r="L724"/>
      <c r="M724"/>
      <c r="N724"/>
      <c r="O724"/>
    </row>
    <row r="725" spans="7:15" ht="15" x14ac:dyDescent="0.25">
      <c r="G725"/>
      <c r="H725"/>
      <c r="I725"/>
      <c r="J725"/>
      <c r="K725"/>
      <c r="L725"/>
      <c r="M725"/>
      <c r="N725"/>
      <c r="O725"/>
    </row>
    <row r="726" spans="7:15" ht="15" x14ac:dyDescent="0.25">
      <c r="G726"/>
      <c r="H726"/>
      <c r="I726"/>
      <c r="J726"/>
      <c r="K726"/>
      <c r="L726"/>
      <c r="M726"/>
      <c r="N726"/>
      <c r="O726"/>
    </row>
    <row r="727" spans="7:15" ht="15" x14ac:dyDescent="0.25">
      <c r="G727"/>
      <c r="H727"/>
      <c r="I727"/>
      <c r="J727"/>
      <c r="K727"/>
      <c r="L727"/>
      <c r="M727"/>
      <c r="N727"/>
      <c r="O727"/>
    </row>
    <row r="728" spans="7:15" ht="15" x14ac:dyDescent="0.25">
      <c r="G728"/>
      <c r="H728"/>
      <c r="I728"/>
      <c r="J728"/>
      <c r="K728"/>
      <c r="L728"/>
      <c r="M728"/>
      <c r="N728"/>
      <c r="O728"/>
    </row>
    <row r="729" spans="7:15" ht="15" x14ac:dyDescent="0.25">
      <c r="G729"/>
      <c r="H729"/>
      <c r="I729"/>
      <c r="J729"/>
      <c r="K729"/>
      <c r="L729"/>
      <c r="M729"/>
      <c r="N729"/>
      <c r="O729"/>
    </row>
    <row r="730" spans="7:15" ht="15" x14ac:dyDescent="0.25">
      <c r="G730"/>
      <c r="H730"/>
      <c r="I730"/>
      <c r="J730"/>
      <c r="K730"/>
      <c r="L730"/>
      <c r="M730"/>
      <c r="N730"/>
      <c r="O730"/>
    </row>
    <row r="731" spans="7:15" ht="15" x14ac:dyDescent="0.25">
      <c r="G731"/>
      <c r="H731"/>
      <c r="I731"/>
      <c r="J731"/>
      <c r="K731"/>
      <c r="L731"/>
      <c r="M731"/>
      <c r="N731"/>
      <c r="O731"/>
    </row>
    <row r="732" spans="7:15" ht="15" x14ac:dyDescent="0.25">
      <c r="G732"/>
      <c r="H732"/>
      <c r="I732"/>
      <c r="J732"/>
      <c r="K732"/>
      <c r="L732"/>
      <c r="M732"/>
      <c r="N732"/>
      <c r="O732"/>
    </row>
    <row r="733" spans="7:15" ht="15" x14ac:dyDescent="0.25">
      <c r="G733"/>
      <c r="H733"/>
      <c r="I733"/>
      <c r="J733"/>
      <c r="K733"/>
      <c r="L733"/>
      <c r="M733"/>
      <c r="N733"/>
      <c r="O733"/>
    </row>
    <row r="734" spans="7:15" ht="15" x14ac:dyDescent="0.25">
      <c r="G734"/>
      <c r="H734"/>
      <c r="I734"/>
      <c r="J734"/>
      <c r="K734"/>
      <c r="L734"/>
      <c r="M734"/>
      <c r="N734"/>
      <c r="O734"/>
    </row>
    <row r="735" spans="7:15" ht="15" x14ac:dyDescent="0.25">
      <c r="G735"/>
      <c r="H735"/>
      <c r="I735"/>
      <c r="J735"/>
      <c r="K735"/>
      <c r="L735"/>
      <c r="M735"/>
      <c r="N735"/>
      <c r="O735"/>
    </row>
    <row r="736" spans="7:15" ht="15" x14ac:dyDescent="0.25">
      <c r="G736"/>
      <c r="H736"/>
      <c r="I736"/>
      <c r="J736"/>
      <c r="K736"/>
      <c r="L736"/>
      <c r="M736"/>
      <c r="N736"/>
      <c r="O736"/>
    </row>
    <row r="737" spans="7:15" ht="15" x14ac:dyDescent="0.25">
      <c r="G737"/>
      <c r="H737"/>
      <c r="I737"/>
      <c r="J737"/>
      <c r="K737"/>
      <c r="L737"/>
      <c r="M737"/>
      <c r="N737"/>
      <c r="O737"/>
    </row>
    <row r="738" spans="7:15" ht="15" x14ac:dyDescent="0.25">
      <c r="G738"/>
      <c r="H738"/>
      <c r="I738"/>
      <c r="J738"/>
      <c r="K738"/>
      <c r="L738"/>
      <c r="M738"/>
      <c r="N738"/>
      <c r="O738"/>
    </row>
    <row r="739" spans="7:15" ht="15" x14ac:dyDescent="0.25">
      <c r="G739"/>
      <c r="H739"/>
      <c r="I739"/>
      <c r="J739"/>
      <c r="K739"/>
      <c r="L739"/>
      <c r="M739"/>
      <c r="N739"/>
      <c r="O739"/>
    </row>
    <row r="740" spans="7:15" ht="15" x14ac:dyDescent="0.25">
      <c r="G740"/>
      <c r="H740"/>
      <c r="I740"/>
      <c r="J740"/>
      <c r="K740"/>
      <c r="L740"/>
      <c r="M740"/>
      <c r="N740"/>
      <c r="O740"/>
    </row>
    <row r="741" spans="7:15" ht="15" x14ac:dyDescent="0.25">
      <c r="G741"/>
      <c r="H741"/>
      <c r="I741"/>
      <c r="J741"/>
      <c r="K741"/>
      <c r="L741"/>
      <c r="M741"/>
      <c r="N741"/>
      <c r="O741"/>
    </row>
    <row r="742" spans="7:15" ht="15" x14ac:dyDescent="0.25">
      <c r="G742"/>
      <c r="H742"/>
      <c r="I742"/>
      <c r="J742"/>
      <c r="K742"/>
      <c r="L742"/>
      <c r="M742"/>
      <c r="N742"/>
      <c r="O742"/>
    </row>
    <row r="743" spans="7:15" ht="15" x14ac:dyDescent="0.25">
      <c r="G743"/>
      <c r="H743"/>
      <c r="I743"/>
      <c r="J743"/>
      <c r="K743"/>
      <c r="L743"/>
      <c r="M743"/>
      <c r="N743"/>
      <c r="O743"/>
    </row>
    <row r="744" spans="7:15" ht="15" x14ac:dyDescent="0.25">
      <c r="G744"/>
      <c r="H744"/>
      <c r="I744"/>
      <c r="J744"/>
      <c r="K744"/>
      <c r="L744"/>
      <c r="M744"/>
      <c r="N744"/>
      <c r="O744"/>
    </row>
    <row r="745" spans="7:15" ht="15" x14ac:dyDescent="0.25">
      <c r="G745"/>
      <c r="H745"/>
      <c r="I745"/>
      <c r="J745"/>
      <c r="K745"/>
      <c r="L745"/>
      <c r="M745"/>
      <c r="N745"/>
      <c r="O745"/>
    </row>
    <row r="746" spans="7:15" ht="15" x14ac:dyDescent="0.25">
      <c r="G746"/>
      <c r="H746"/>
      <c r="I746"/>
      <c r="J746"/>
      <c r="K746"/>
      <c r="L746"/>
      <c r="M746"/>
      <c r="N746"/>
      <c r="O746"/>
    </row>
    <row r="747" spans="7:15" ht="15" x14ac:dyDescent="0.25">
      <c r="G747"/>
      <c r="H747"/>
      <c r="I747"/>
      <c r="J747"/>
      <c r="K747"/>
      <c r="L747"/>
      <c r="M747"/>
      <c r="N747"/>
      <c r="O747"/>
    </row>
    <row r="748" spans="7:15" ht="15" x14ac:dyDescent="0.25">
      <c r="G748"/>
      <c r="H748"/>
      <c r="I748"/>
      <c r="J748"/>
      <c r="K748"/>
      <c r="L748"/>
      <c r="M748"/>
      <c r="N748"/>
      <c r="O748"/>
    </row>
    <row r="749" spans="7:15" ht="15" x14ac:dyDescent="0.25">
      <c r="G749"/>
      <c r="H749"/>
      <c r="I749"/>
      <c r="J749"/>
      <c r="K749"/>
      <c r="L749"/>
      <c r="M749"/>
      <c r="N749"/>
      <c r="O749"/>
    </row>
    <row r="750" spans="7:15" ht="15" x14ac:dyDescent="0.25">
      <c r="G750"/>
      <c r="H750"/>
      <c r="I750"/>
      <c r="J750"/>
      <c r="K750"/>
      <c r="L750"/>
      <c r="M750"/>
      <c r="N750"/>
      <c r="O750"/>
    </row>
    <row r="751" spans="7:15" ht="15" x14ac:dyDescent="0.25">
      <c r="G751"/>
      <c r="H751"/>
      <c r="I751"/>
      <c r="J751"/>
      <c r="K751"/>
      <c r="L751"/>
      <c r="M751"/>
      <c r="N751"/>
      <c r="O751"/>
    </row>
    <row r="752" spans="7:15" ht="15" x14ac:dyDescent="0.25">
      <c r="G752"/>
      <c r="H752"/>
      <c r="I752"/>
      <c r="J752"/>
      <c r="K752"/>
      <c r="L752"/>
      <c r="M752"/>
      <c r="N752"/>
      <c r="O752"/>
    </row>
    <row r="753" spans="7:15" ht="15" x14ac:dyDescent="0.25">
      <c r="G753"/>
      <c r="H753"/>
      <c r="I753"/>
      <c r="J753"/>
      <c r="K753"/>
      <c r="L753"/>
      <c r="M753"/>
      <c r="N753"/>
      <c r="O753"/>
    </row>
    <row r="754" spans="7:15" ht="15" x14ac:dyDescent="0.25">
      <c r="G754"/>
      <c r="H754"/>
      <c r="I754"/>
      <c r="J754"/>
      <c r="K754"/>
      <c r="L754"/>
      <c r="M754"/>
      <c r="N754"/>
      <c r="O754"/>
    </row>
    <row r="755" spans="7:15" ht="15" x14ac:dyDescent="0.25">
      <c r="G755"/>
      <c r="H755"/>
      <c r="I755"/>
      <c r="J755"/>
      <c r="K755"/>
      <c r="L755"/>
      <c r="M755"/>
      <c r="N755"/>
      <c r="O755"/>
    </row>
    <row r="756" spans="7:15" ht="15" x14ac:dyDescent="0.25">
      <c r="G756"/>
      <c r="H756"/>
      <c r="I756"/>
      <c r="J756"/>
      <c r="K756"/>
      <c r="L756"/>
      <c r="M756"/>
      <c r="N756"/>
      <c r="O756"/>
    </row>
    <row r="757" spans="7:15" ht="15" x14ac:dyDescent="0.25">
      <c r="G757"/>
      <c r="H757"/>
      <c r="I757"/>
      <c r="J757"/>
      <c r="K757"/>
      <c r="L757"/>
      <c r="M757"/>
      <c r="N757"/>
      <c r="O757"/>
    </row>
    <row r="758" spans="7:15" ht="15" x14ac:dyDescent="0.25">
      <c r="G758"/>
      <c r="H758"/>
      <c r="I758"/>
      <c r="J758"/>
      <c r="K758"/>
      <c r="L758"/>
      <c r="M758"/>
      <c r="N758"/>
      <c r="O758"/>
    </row>
    <row r="759" spans="7:15" ht="15" x14ac:dyDescent="0.25">
      <c r="G759"/>
      <c r="H759"/>
      <c r="I759"/>
      <c r="J759"/>
      <c r="K759"/>
      <c r="L759"/>
      <c r="M759"/>
      <c r="N759"/>
      <c r="O759"/>
    </row>
    <row r="760" spans="7:15" ht="15" x14ac:dyDescent="0.25">
      <c r="G760"/>
      <c r="H760"/>
      <c r="I760"/>
      <c r="J760"/>
      <c r="K760"/>
      <c r="L760"/>
      <c r="M760"/>
      <c r="N760"/>
      <c r="O760"/>
    </row>
    <row r="761" spans="7:15" ht="15" x14ac:dyDescent="0.25">
      <c r="G761"/>
      <c r="H761"/>
      <c r="I761"/>
      <c r="J761"/>
      <c r="K761"/>
      <c r="L761"/>
      <c r="M761"/>
      <c r="N761"/>
      <c r="O761"/>
    </row>
    <row r="762" spans="7:15" ht="15" x14ac:dyDescent="0.25">
      <c r="G762"/>
      <c r="H762"/>
      <c r="I762"/>
      <c r="J762"/>
      <c r="K762"/>
      <c r="L762"/>
      <c r="M762"/>
      <c r="N762"/>
      <c r="O762"/>
    </row>
    <row r="763" spans="7:15" ht="15" x14ac:dyDescent="0.25">
      <c r="G763"/>
      <c r="H763"/>
      <c r="I763"/>
      <c r="J763"/>
      <c r="K763"/>
      <c r="L763"/>
      <c r="M763"/>
      <c r="N763"/>
      <c r="O763"/>
    </row>
    <row r="764" spans="7:15" ht="15" x14ac:dyDescent="0.25">
      <c r="G764"/>
      <c r="H764"/>
      <c r="I764"/>
      <c r="J764"/>
      <c r="K764"/>
      <c r="L764"/>
      <c r="M764"/>
      <c r="N764"/>
      <c r="O764"/>
    </row>
    <row r="765" spans="7:15" ht="15" x14ac:dyDescent="0.25">
      <c r="G765"/>
      <c r="H765"/>
      <c r="I765"/>
      <c r="J765"/>
      <c r="K765"/>
      <c r="L765"/>
      <c r="M765"/>
      <c r="N765"/>
      <c r="O765"/>
    </row>
    <row r="766" spans="7:15" ht="15" x14ac:dyDescent="0.25">
      <c r="G766"/>
      <c r="H766"/>
      <c r="I766"/>
      <c r="J766"/>
      <c r="K766"/>
      <c r="L766"/>
      <c r="M766"/>
      <c r="N766"/>
      <c r="O766"/>
    </row>
    <row r="767" spans="7:15" ht="15" x14ac:dyDescent="0.25">
      <c r="G767"/>
      <c r="H767"/>
      <c r="I767"/>
      <c r="J767"/>
      <c r="K767"/>
      <c r="L767"/>
      <c r="M767"/>
      <c r="N767"/>
      <c r="O767"/>
    </row>
    <row r="768" spans="7:15" ht="15" x14ac:dyDescent="0.25">
      <c r="G768"/>
      <c r="H768"/>
      <c r="I768"/>
      <c r="J768"/>
      <c r="K768"/>
      <c r="L768"/>
      <c r="M768"/>
      <c r="N768"/>
      <c r="O768"/>
    </row>
    <row r="769" spans="7:15" ht="15" x14ac:dyDescent="0.25">
      <c r="G769"/>
      <c r="H769"/>
      <c r="I769"/>
      <c r="J769"/>
      <c r="K769"/>
      <c r="L769"/>
      <c r="M769"/>
      <c r="N769"/>
      <c r="O769"/>
    </row>
    <row r="770" spans="7:15" ht="15" x14ac:dyDescent="0.25">
      <c r="G770"/>
      <c r="H770"/>
      <c r="I770"/>
      <c r="J770"/>
      <c r="K770"/>
      <c r="L770"/>
      <c r="M770"/>
      <c r="N770"/>
      <c r="O770"/>
    </row>
    <row r="771" spans="7:15" ht="15" x14ac:dyDescent="0.25">
      <c r="G771"/>
      <c r="H771"/>
      <c r="I771"/>
      <c r="J771"/>
      <c r="K771"/>
      <c r="L771"/>
      <c r="M771"/>
      <c r="N771"/>
      <c r="O771"/>
    </row>
    <row r="772" spans="7:15" ht="15" x14ac:dyDescent="0.25">
      <c r="G772"/>
      <c r="H772"/>
      <c r="I772"/>
      <c r="J772"/>
      <c r="K772"/>
      <c r="L772"/>
      <c r="M772"/>
      <c r="N772"/>
      <c r="O772"/>
    </row>
    <row r="773" spans="7:15" ht="15" x14ac:dyDescent="0.25">
      <c r="G773"/>
      <c r="H773"/>
      <c r="I773"/>
      <c r="J773"/>
      <c r="K773"/>
      <c r="L773"/>
      <c r="M773"/>
      <c r="N773"/>
      <c r="O773"/>
    </row>
    <row r="774" spans="7:15" ht="15" x14ac:dyDescent="0.25">
      <c r="G774"/>
      <c r="H774"/>
      <c r="I774"/>
      <c r="J774"/>
      <c r="K774"/>
      <c r="L774"/>
      <c r="M774"/>
      <c r="N774"/>
      <c r="O774"/>
    </row>
    <row r="775" spans="7:15" ht="15" x14ac:dyDescent="0.25">
      <c r="G775"/>
      <c r="H775"/>
      <c r="I775"/>
      <c r="J775"/>
      <c r="K775"/>
      <c r="L775"/>
      <c r="M775"/>
      <c r="N775"/>
      <c r="O775"/>
    </row>
    <row r="776" spans="7:15" ht="15" x14ac:dyDescent="0.25">
      <c r="G776"/>
      <c r="H776"/>
      <c r="I776"/>
      <c r="J776"/>
      <c r="K776"/>
      <c r="L776"/>
      <c r="M776"/>
      <c r="N776"/>
      <c r="O776"/>
    </row>
    <row r="777" spans="7:15" ht="15" x14ac:dyDescent="0.25">
      <c r="G777"/>
      <c r="H777"/>
      <c r="I777"/>
      <c r="J777"/>
      <c r="K777"/>
      <c r="L777"/>
      <c r="M777"/>
      <c r="N777"/>
      <c r="O777"/>
    </row>
    <row r="778" spans="7:15" ht="15" x14ac:dyDescent="0.25">
      <c r="G778"/>
      <c r="H778"/>
      <c r="I778"/>
      <c r="J778"/>
      <c r="K778"/>
      <c r="L778"/>
      <c r="M778"/>
      <c r="N778"/>
      <c r="O778"/>
    </row>
    <row r="779" spans="7:15" ht="15" x14ac:dyDescent="0.25">
      <c r="G779"/>
      <c r="H779"/>
      <c r="I779"/>
      <c r="J779"/>
      <c r="K779"/>
      <c r="L779"/>
      <c r="M779"/>
      <c r="N779"/>
      <c r="O779"/>
    </row>
    <row r="780" spans="7:15" ht="15" x14ac:dyDescent="0.25">
      <c r="G780"/>
      <c r="H780"/>
      <c r="I780"/>
      <c r="J780"/>
      <c r="K780"/>
      <c r="L780"/>
      <c r="M780"/>
      <c r="N780"/>
      <c r="O780"/>
    </row>
    <row r="781" spans="7:15" ht="15" x14ac:dyDescent="0.25">
      <c r="G781"/>
      <c r="H781"/>
      <c r="I781"/>
      <c r="J781"/>
      <c r="K781"/>
      <c r="L781"/>
      <c r="M781"/>
      <c r="N781"/>
      <c r="O781"/>
    </row>
    <row r="782" spans="7:15" ht="15" x14ac:dyDescent="0.25">
      <c r="G782"/>
      <c r="H782"/>
      <c r="I782"/>
      <c r="J782"/>
      <c r="K782"/>
      <c r="L782"/>
      <c r="M782"/>
      <c r="N782"/>
      <c r="O782"/>
    </row>
    <row r="783" spans="7:15" ht="15" x14ac:dyDescent="0.25">
      <c r="G783"/>
      <c r="H783"/>
      <c r="I783"/>
      <c r="J783"/>
      <c r="K783"/>
      <c r="L783"/>
      <c r="M783"/>
      <c r="N783"/>
      <c r="O783"/>
    </row>
    <row r="784" spans="7:15" ht="15" x14ac:dyDescent="0.25">
      <c r="G784"/>
      <c r="H784"/>
      <c r="I784"/>
      <c r="J784"/>
      <c r="K784"/>
      <c r="L784"/>
      <c r="M784"/>
      <c r="N784"/>
      <c r="O784"/>
    </row>
    <row r="785" spans="7:15" ht="15" x14ac:dyDescent="0.25">
      <c r="G785"/>
      <c r="H785"/>
      <c r="I785"/>
      <c r="J785"/>
      <c r="K785"/>
      <c r="L785"/>
      <c r="M785"/>
      <c r="N785"/>
      <c r="O785"/>
    </row>
    <row r="786" spans="7:15" ht="15" x14ac:dyDescent="0.25">
      <c r="G786"/>
      <c r="H786"/>
      <c r="I786"/>
      <c r="J786"/>
      <c r="K786"/>
      <c r="L786"/>
      <c r="M786"/>
      <c r="N786"/>
      <c r="O786"/>
    </row>
    <row r="787" spans="7:15" ht="15" x14ac:dyDescent="0.25">
      <c r="G787"/>
      <c r="H787"/>
      <c r="I787"/>
      <c r="J787"/>
      <c r="K787"/>
      <c r="L787"/>
      <c r="M787"/>
      <c r="N787"/>
      <c r="O787"/>
    </row>
    <row r="788" spans="7:15" ht="15" x14ac:dyDescent="0.25">
      <c r="G788"/>
      <c r="H788"/>
      <c r="I788"/>
      <c r="J788"/>
      <c r="K788"/>
      <c r="L788"/>
      <c r="M788"/>
      <c r="N788"/>
      <c r="O788"/>
    </row>
    <row r="789" spans="7:15" ht="15" x14ac:dyDescent="0.25">
      <c r="G789"/>
      <c r="H789"/>
      <c r="I789"/>
      <c r="J789"/>
      <c r="K789"/>
      <c r="L789"/>
      <c r="M789"/>
      <c r="N789"/>
      <c r="O789"/>
    </row>
    <row r="790" spans="7:15" ht="15" x14ac:dyDescent="0.25">
      <c r="G790"/>
      <c r="H790"/>
      <c r="I790"/>
      <c r="J790"/>
      <c r="K790"/>
      <c r="L790"/>
      <c r="M790"/>
      <c r="N790"/>
      <c r="O790"/>
    </row>
    <row r="791" spans="7:15" ht="15" x14ac:dyDescent="0.25">
      <c r="G791"/>
      <c r="H791"/>
      <c r="I791"/>
      <c r="J791"/>
      <c r="K791"/>
      <c r="L791"/>
      <c r="M791"/>
      <c r="N791"/>
      <c r="O791"/>
    </row>
    <row r="792" spans="7:15" ht="15" x14ac:dyDescent="0.25">
      <c r="G792"/>
      <c r="H792"/>
      <c r="I792"/>
      <c r="J792"/>
      <c r="K792"/>
      <c r="L792"/>
      <c r="M792"/>
      <c r="N792"/>
      <c r="O792"/>
    </row>
    <row r="793" spans="7:15" ht="15" x14ac:dyDescent="0.25">
      <c r="G793"/>
      <c r="H793"/>
      <c r="I793"/>
      <c r="J793"/>
      <c r="K793"/>
      <c r="L793"/>
      <c r="M793"/>
      <c r="N793"/>
      <c r="O793"/>
    </row>
    <row r="794" spans="7:15" ht="15" x14ac:dyDescent="0.25">
      <c r="G794"/>
      <c r="H794"/>
      <c r="I794"/>
      <c r="J794"/>
      <c r="K794"/>
      <c r="L794"/>
      <c r="M794"/>
      <c r="N794"/>
      <c r="O794"/>
    </row>
    <row r="795" spans="7:15" ht="15" x14ac:dyDescent="0.25">
      <c r="G795"/>
      <c r="H795"/>
      <c r="I795"/>
      <c r="J795"/>
      <c r="K795"/>
      <c r="L795"/>
      <c r="M795"/>
      <c r="N795"/>
      <c r="O795"/>
    </row>
    <row r="796" spans="7:15" ht="15" x14ac:dyDescent="0.25">
      <c r="G796"/>
      <c r="H796"/>
      <c r="I796"/>
      <c r="J796"/>
      <c r="K796"/>
      <c r="L796"/>
      <c r="M796"/>
      <c r="N796"/>
      <c r="O796"/>
    </row>
    <row r="797" spans="7:15" ht="15" x14ac:dyDescent="0.25">
      <c r="G797"/>
      <c r="H797"/>
      <c r="I797"/>
      <c r="J797"/>
      <c r="K797"/>
      <c r="L797"/>
      <c r="M797"/>
      <c r="N797"/>
      <c r="O797"/>
    </row>
    <row r="798" spans="7:15" ht="15" x14ac:dyDescent="0.25">
      <c r="G798"/>
      <c r="H798"/>
      <c r="I798"/>
      <c r="J798"/>
      <c r="K798"/>
      <c r="L798"/>
      <c r="M798"/>
      <c r="N798"/>
      <c r="O798"/>
    </row>
    <row r="799" spans="7:15" ht="15" x14ac:dyDescent="0.25">
      <c r="G799"/>
      <c r="H799"/>
      <c r="I799"/>
      <c r="J799"/>
      <c r="K799"/>
      <c r="L799"/>
      <c r="M799"/>
      <c r="N799"/>
      <c r="O799"/>
    </row>
    <row r="800" spans="7:15" ht="15" x14ac:dyDescent="0.25">
      <c r="G800"/>
      <c r="H800"/>
      <c r="I800"/>
      <c r="J800"/>
      <c r="K800"/>
      <c r="L800"/>
      <c r="M800"/>
      <c r="N800"/>
      <c r="O800"/>
    </row>
    <row r="801" spans="7:15" ht="15" x14ac:dyDescent="0.25">
      <c r="G801"/>
      <c r="H801"/>
      <c r="I801"/>
      <c r="J801"/>
      <c r="K801"/>
      <c r="L801"/>
      <c r="M801"/>
      <c r="N801"/>
      <c r="O801"/>
    </row>
    <row r="802" spans="7:15" ht="15" x14ac:dyDescent="0.25">
      <c r="G802"/>
      <c r="H802"/>
      <c r="I802"/>
      <c r="J802"/>
      <c r="K802"/>
      <c r="L802"/>
      <c r="M802"/>
      <c r="N802"/>
      <c r="O802"/>
    </row>
    <row r="803" spans="7:15" ht="15" x14ac:dyDescent="0.25">
      <c r="G803"/>
      <c r="H803"/>
      <c r="I803"/>
      <c r="J803"/>
      <c r="K803"/>
      <c r="L803"/>
      <c r="M803"/>
      <c r="N803"/>
      <c r="O803"/>
    </row>
    <row r="804" spans="7:15" ht="15" x14ac:dyDescent="0.25">
      <c r="G804"/>
      <c r="H804"/>
      <c r="I804"/>
      <c r="J804"/>
      <c r="K804"/>
      <c r="L804"/>
      <c r="M804"/>
      <c r="N804"/>
      <c r="O804"/>
    </row>
    <row r="805" spans="7:15" ht="15" x14ac:dyDescent="0.25">
      <c r="G805"/>
      <c r="H805"/>
      <c r="I805"/>
      <c r="J805"/>
      <c r="K805"/>
      <c r="L805"/>
      <c r="M805"/>
      <c r="N805"/>
      <c r="O805"/>
    </row>
    <row r="806" spans="7:15" ht="15" x14ac:dyDescent="0.25">
      <c r="G806"/>
      <c r="H806"/>
      <c r="I806"/>
      <c r="J806"/>
      <c r="K806"/>
      <c r="L806"/>
      <c r="M806"/>
      <c r="N806"/>
      <c r="O806"/>
    </row>
    <row r="807" spans="7:15" ht="15" x14ac:dyDescent="0.25">
      <c r="G807"/>
      <c r="H807"/>
      <c r="I807"/>
      <c r="J807"/>
      <c r="K807"/>
      <c r="L807"/>
      <c r="M807"/>
      <c r="N807"/>
      <c r="O807"/>
    </row>
    <row r="808" spans="7:15" ht="15" x14ac:dyDescent="0.25">
      <c r="G808"/>
      <c r="H808"/>
      <c r="I808"/>
      <c r="J808"/>
      <c r="K808"/>
      <c r="L808"/>
      <c r="M808"/>
      <c r="N808"/>
      <c r="O808"/>
    </row>
    <row r="809" spans="7:15" ht="15" x14ac:dyDescent="0.25">
      <c r="G809"/>
      <c r="H809"/>
      <c r="I809"/>
      <c r="J809"/>
      <c r="K809"/>
      <c r="L809"/>
      <c r="M809"/>
      <c r="N809"/>
      <c r="O809"/>
    </row>
    <row r="810" spans="7:15" ht="15" x14ac:dyDescent="0.25">
      <c r="G810"/>
      <c r="H810"/>
      <c r="I810"/>
      <c r="J810"/>
      <c r="K810"/>
      <c r="L810"/>
      <c r="M810"/>
      <c r="N810"/>
      <c r="O810"/>
    </row>
    <row r="811" spans="7:15" ht="15" x14ac:dyDescent="0.25">
      <c r="G811"/>
      <c r="H811"/>
      <c r="I811"/>
      <c r="J811"/>
      <c r="K811"/>
      <c r="L811"/>
      <c r="M811"/>
      <c r="N811"/>
      <c r="O811"/>
    </row>
    <row r="812" spans="7:15" ht="15" x14ac:dyDescent="0.25">
      <c r="G812"/>
      <c r="H812"/>
      <c r="I812"/>
      <c r="J812"/>
      <c r="K812"/>
      <c r="L812"/>
      <c r="M812"/>
      <c r="N812"/>
      <c r="O812"/>
    </row>
    <row r="813" spans="7:15" ht="15" x14ac:dyDescent="0.25">
      <c r="G813"/>
      <c r="H813"/>
      <c r="I813"/>
      <c r="J813"/>
      <c r="K813"/>
      <c r="L813"/>
      <c r="M813"/>
      <c r="N813"/>
      <c r="O813"/>
    </row>
    <row r="814" spans="7:15" ht="15" x14ac:dyDescent="0.25">
      <c r="G814"/>
      <c r="H814"/>
      <c r="I814"/>
      <c r="J814"/>
      <c r="K814"/>
      <c r="L814"/>
      <c r="M814"/>
      <c r="N814"/>
      <c r="O814"/>
    </row>
    <row r="815" spans="7:15" ht="15" x14ac:dyDescent="0.25">
      <c r="G815"/>
      <c r="H815"/>
      <c r="I815"/>
      <c r="J815"/>
      <c r="K815"/>
      <c r="L815"/>
      <c r="M815"/>
      <c r="N815"/>
      <c r="O815"/>
    </row>
    <row r="816" spans="7:15" ht="15" x14ac:dyDescent="0.25">
      <c r="G816"/>
      <c r="H816"/>
      <c r="I816"/>
      <c r="J816"/>
      <c r="K816"/>
      <c r="L816"/>
      <c r="M816"/>
      <c r="N816"/>
      <c r="O816"/>
    </row>
    <row r="817" spans="7:15" ht="15" x14ac:dyDescent="0.25">
      <c r="G817"/>
      <c r="H817"/>
      <c r="I817"/>
      <c r="J817"/>
      <c r="K817"/>
      <c r="L817"/>
      <c r="M817"/>
      <c r="N817"/>
      <c r="O817"/>
    </row>
    <row r="818" spans="7:15" ht="15" x14ac:dyDescent="0.25">
      <c r="G818"/>
      <c r="H818"/>
      <c r="I818"/>
      <c r="J818"/>
      <c r="K818"/>
      <c r="L818"/>
      <c r="M818"/>
      <c r="N818"/>
      <c r="O818"/>
    </row>
    <row r="819" spans="7:15" ht="15" x14ac:dyDescent="0.25">
      <c r="G819"/>
      <c r="H819"/>
      <c r="I819"/>
      <c r="J819"/>
      <c r="K819"/>
      <c r="L819"/>
      <c r="M819"/>
      <c r="N819"/>
      <c r="O819"/>
    </row>
    <row r="820" spans="7:15" ht="15" x14ac:dyDescent="0.25">
      <c r="G820"/>
      <c r="H820"/>
      <c r="I820"/>
      <c r="J820"/>
      <c r="K820"/>
      <c r="L820"/>
      <c r="M820"/>
      <c r="N820"/>
      <c r="O820"/>
    </row>
    <row r="821" spans="7:15" ht="15" x14ac:dyDescent="0.25">
      <c r="G821"/>
      <c r="H821"/>
      <c r="I821"/>
      <c r="J821"/>
      <c r="K821"/>
      <c r="L821"/>
      <c r="M821"/>
      <c r="N821"/>
      <c r="O821"/>
    </row>
    <row r="822" spans="7:15" ht="15" x14ac:dyDescent="0.25">
      <c r="G822"/>
      <c r="H822"/>
      <c r="I822"/>
      <c r="J822"/>
      <c r="K822"/>
      <c r="L822"/>
      <c r="M822"/>
      <c r="N822"/>
      <c r="O822"/>
    </row>
    <row r="823" spans="7:15" ht="15" x14ac:dyDescent="0.25">
      <c r="G823"/>
      <c r="H823"/>
      <c r="I823"/>
      <c r="J823"/>
      <c r="K823"/>
      <c r="L823"/>
      <c r="M823"/>
      <c r="N823"/>
      <c r="O823"/>
    </row>
    <row r="824" spans="7:15" ht="15" x14ac:dyDescent="0.25">
      <c r="G824"/>
      <c r="H824"/>
      <c r="I824"/>
      <c r="J824"/>
      <c r="K824"/>
      <c r="L824"/>
      <c r="M824"/>
      <c r="N824"/>
      <c r="O824"/>
    </row>
    <row r="825" spans="7:15" ht="15" x14ac:dyDescent="0.25">
      <c r="G825"/>
      <c r="H825"/>
      <c r="I825"/>
      <c r="J825"/>
      <c r="K825"/>
      <c r="L825"/>
      <c r="M825"/>
      <c r="N825"/>
      <c r="O825"/>
    </row>
    <row r="826" spans="7:15" ht="15" x14ac:dyDescent="0.25">
      <c r="G826"/>
      <c r="H826"/>
      <c r="I826"/>
      <c r="J826"/>
      <c r="K826"/>
      <c r="L826"/>
      <c r="M826"/>
      <c r="N826"/>
      <c r="O826"/>
    </row>
    <row r="827" spans="7:15" ht="15" x14ac:dyDescent="0.25">
      <c r="G827"/>
      <c r="H827"/>
      <c r="I827"/>
      <c r="J827"/>
      <c r="K827"/>
      <c r="L827"/>
      <c r="M827"/>
      <c r="N827"/>
      <c r="O827"/>
    </row>
    <row r="828" spans="7:15" ht="15" x14ac:dyDescent="0.25">
      <c r="G828"/>
      <c r="H828"/>
      <c r="I828"/>
      <c r="J828"/>
      <c r="K828"/>
      <c r="L828"/>
      <c r="M828"/>
      <c r="N828"/>
      <c r="O828"/>
    </row>
    <row r="829" spans="7:15" ht="15" x14ac:dyDescent="0.25">
      <c r="G829"/>
      <c r="H829"/>
      <c r="I829"/>
      <c r="J829"/>
      <c r="K829"/>
      <c r="L829"/>
      <c r="M829"/>
      <c r="N829"/>
      <c r="O829"/>
    </row>
    <row r="830" spans="7:15" ht="15" x14ac:dyDescent="0.25">
      <c r="G830"/>
      <c r="H830"/>
      <c r="I830"/>
      <c r="J830"/>
      <c r="K830"/>
      <c r="L830"/>
      <c r="M830"/>
      <c r="N830"/>
      <c r="O830"/>
    </row>
    <row r="831" spans="7:15" ht="15" x14ac:dyDescent="0.25">
      <c r="G831"/>
      <c r="H831"/>
      <c r="I831"/>
      <c r="J831"/>
      <c r="K831"/>
      <c r="L831"/>
      <c r="M831"/>
      <c r="N831"/>
      <c r="O831"/>
    </row>
    <row r="832" spans="7:15" ht="15" x14ac:dyDescent="0.25">
      <c r="G832"/>
      <c r="H832"/>
      <c r="I832"/>
      <c r="J832"/>
      <c r="K832"/>
      <c r="L832"/>
      <c r="M832"/>
      <c r="N832"/>
      <c r="O832"/>
    </row>
    <row r="833" spans="7:15" ht="15" x14ac:dyDescent="0.25">
      <c r="G833"/>
      <c r="H833"/>
      <c r="I833"/>
      <c r="J833"/>
      <c r="K833"/>
      <c r="L833"/>
      <c r="M833"/>
      <c r="N833"/>
      <c r="O833"/>
    </row>
    <row r="834" spans="7:15" ht="15" x14ac:dyDescent="0.25">
      <c r="G834"/>
      <c r="H834"/>
      <c r="I834"/>
      <c r="J834"/>
      <c r="K834"/>
      <c r="L834"/>
      <c r="M834"/>
      <c r="N834"/>
      <c r="O834"/>
    </row>
    <row r="835" spans="7:15" ht="15" x14ac:dyDescent="0.25">
      <c r="G835"/>
      <c r="H835"/>
      <c r="I835"/>
      <c r="J835"/>
      <c r="K835"/>
      <c r="L835"/>
      <c r="M835"/>
      <c r="N835"/>
      <c r="O835"/>
    </row>
    <row r="836" spans="7:15" ht="15" x14ac:dyDescent="0.25">
      <c r="G836"/>
      <c r="H836"/>
      <c r="I836"/>
      <c r="J836"/>
      <c r="K836"/>
      <c r="L836"/>
      <c r="M836"/>
      <c r="N836"/>
      <c r="O836"/>
    </row>
    <row r="837" spans="7:15" ht="15" x14ac:dyDescent="0.25">
      <c r="G837"/>
      <c r="H837"/>
      <c r="I837"/>
      <c r="J837"/>
      <c r="K837"/>
      <c r="L837"/>
      <c r="M837"/>
      <c r="N837"/>
      <c r="O837"/>
    </row>
    <row r="838" spans="7:15" ht="15" x14ac:dyDescent="0.25">
      <c r="G838"/>
      <c r="H838"/>
      <c r="I838"/>
      <c r="J838"/>
      <c r="K838"/>
      <c r="L838"/>
      <c r="M838"/>
      <c r="N838"/>
      <c r="O838"/>
    </row>
    <row r="839" spans="7:15" ht="15" x14ac:dyDescent="0.25">
      <c r="G839"/>
      <c r="H839"/>
      <c r="I839"/>
      <c r="J839"/>
      <c r="K839"/>
      <c r="L839"/>
      <c r="M839"/>
      <c r="N839"/>
      <c r="O839"/>
    </row>
    <row r="840" spans="7:15" ht="15" x14ac:dyDescent="0.25">
      <c r="G840"/>
      <c r="H840"/>
      <c r="I840"/>
      <c r="J840"/>
      <c r="K840"/>
      <c r="L840"/>
      <c r="M840"/>
      <c r="N840"/>
      <c r="O840"/>
    </row>
    <row r="841" spans="7:15" ht="15" x14ac:dyDescent="0.25">
      <c r="G841"/>
      <c r="H841"/>
      <c r="I841"/>
      <c r="J841"/>
      <c r="K841"/>
      <c r="L841"/>
      <c r="M841"/>
      <c r="N841"/>
      <c r="O841"/>
    </row>
    <row r="842" spans="7:15" ht="15" x14ac:dyDescent="0.25">
      <c r="G842"/>
      <c r="H842"/>
      <c r="I842"/>
      <c r="J842"/>
      <c r="K842"/>
      <c r="L842"/>
      <c r="M842"/>
      <c r="N842"/>
      <c r="O842"/>
    </row>
    <row r="843" spans="7:15" ht="15" x14ac:dyDescent="0.25">
      <c r="G843"/>
      <c r="H843"/>
      <c r="I843"/>
      <c r="J843"/>
      <c r="K843"/>
      <c r="L843"/>
      <c r="M843"/>
      <c r="N843"/>
      <c r="O843"/>
    </row>
    <row r="844" spans="7:15" ht="15" x14ac:dyDescent="0.25">
      <c r="G844"/>
      <c r="H844"/>
      <c r="I844"/>
      <c r="J844"/>
      <c r="K844"/>
      <c r="L844"/>
      <c r="M844"/>
      <c r="N844"/>
      <c r="O844"/>
    </row>
    <row r="845" spans="7:15" ht="15" x14ac:dyDescent="0.25">
      <c r="G845"/>
      <c r="H845"/>
      <c r="I845"/>
      <c r="J845"/>
      <c r="K845"/>
      <c r="L845"/>
      <c r="M845"/>
      <c r="N845"/>
      <c r="O845"/>
    </row>
    <row r="846" spans="7:15" ht="15" x14ac:dyDescent="0.25">
      <c r="G846"/>
      <c r="H846"/>
      <c r="I846"/>
      <c r="J846"/>
      <c r="K846"/>
      <c r="L846"/>
      <c r="M846"/>
      <c r="N846"/>
      <c r="O846"/>
    </row>
    <row r="847" spans="7:15" ht="15" x14ac:dyDescent="0.25">
      <c r="G847"/>
      <c r="H847"/>
      <c r="I847"/>
      <c r="J847"/>
      <c r="K847"/>
      <c r="L847"/>
      <c r="M847"/>
      <c r="N847"/>
      <c r="O847"/>
    </row>
    <row r="848" spans="7:15" ht="15" x14ac:dyDescent="0.25">
      <c r="G848"/>
      <c r="H848"/>
      <c r="I848"/>
      <c r="J848"/>
      <c r="K848"/>
      <c r="L848"/>
      <c r="M848"/>
      <c r="N848"/>
      <c r="O848"/>
    </row>
    <row r="849" spans="7:15" ht="15" x14ac:dyDescent="0.25">
      <c r="G849"/>
      <c r="H849"/>
      <c r="I849"/>
      <c r="J849"/>
      <c r="K849"/>
      <c r="L849"/>
      <c r="M849"/>
      <c r="N849"/>
      <c r="O849"/>
    </row>
    <row r="850" spans="7:15" ht="15" x14ac:dyDescent="0.25">
      <c r="G850"/>
      <c r="H850"/>
      <c r="I850"/>
      <c r="J850"/>
      <c r="K850"/>
      <c r="L850"/>
      <c r="M850"/>
      <c r="N850"/>
      <c r="O850"/>
    </row>
    <row r="851" spans="7:15" ht="15" x14ac:dyDescent="0.25">
      <c r="G851"/>
      <c r="H851"/>
      <c r="I851"/>
      <c r="J851"/>
      <c r="K851"/>
      <c r="L851"/>
      <c r="M851"/>
      <c r="N851"/>
      <c r="O851"/>
    </row>
    <row r="852" spans="7:15" ht="15" x14ac:dyDescent="0.25">
      <c r="G852"/>
      <c r="H852"/>
      <c r="I852"/>
      <c r="J852"/>
      <c r="K852"/>
      <c r="L852"/>
      <c r="M852"/>
      <c r="N852"/>
      <c r="O852"/>
    </row>
    <row r="853" spans="7:15" ht="15" x14ac:dyDescent="0.25">
      <c r="G853"/>
      <c r="H853"/>
      <c r="I853"/>
      <c r="J853"/>
      <c r="K853"/>
      <c r="L853"/>
      <c r="M853"/>
      <c r="N853"/>
      <c r="O853"/>
    </row>
    <row r="854" spans="7:15" ht="15" x14ac:dyDescent="0.25">
      <c r="G854"/>
      <c r="H854"/>
      <c r="I854"/>
      <c r="J854"/>
      <c r="K854"/>
      <c r="L854"/>
      <c r="M854"/>
      <c r="N854"/>
      <c r="O854"/>
    </row>
    <row r="855" spans="7:15" ht="15" x14ac:dyDescent="0.25">
      <c r="G855"/>
      <c r="H855"/>
      <c r="I855"/>
      <c r="J855"/>
      <c r="K855"/>
      <c r="L855"/>
      <c r="M855"/>
      <c r="N855"/>
      <c r="O855"/>
    </row>
    <row r="856" spans="7:15" ht="15" x14ac:dyDescent="0.25">
      <c r="G856"/>
      <c r="H856"/>
      <c r="I856"/>
      <c r="J856"/>
      <c r="K856"/>
      <c r="L856"/>
      <c r="M856"/>
      <c r="N856"/>
      <c r="O856"/>
    </row>
    <row r="857" spans="7:15" ht="15" x14ac:dyDescent="0.25">
      <c r="G857"/>
      <c r="H857"/>
      <c r="I857"/>
      <c r="J857"/>
      <c r="K857"/>
      <c r="L857"/>
      <c r="M857"/>
      <c r="N857"/>
      <c r="O857"/>
    </row>
    <row r="858" spans="7:15" ht="15" x14ac:dyDescent="0.25">
      <c r="G858"/>
      <c r="H858"/>
      <c r="I858"/>
      <c r="J858"/>
      <c r="K858"/>
      <c r="L858"/>
      <c r="M858"/>
      <c r="N858"/>
      <c r="O858"/>
    </row>
    <row r="859" spans="7:15" ht="15" x14ac:dyDescent="0.25">
      <c r="G859"/>
      <c r="H859"/>
      <c r="I859"/>
      <c r="J859"/>
      <c r="K859"/>
      <c r="L859"/>
      <c r="M859"/>
      <c r="N859"/>
      <c r="O859"/>
    </row>
    <row r="860" spans="7:15" ht="15" x14ac:dyDescent="0.25">
      <c r="G860"/>
      <c r="H860"/>
      <c r="I860"/>
      <c r="J860"/>
      <c r="K860"/>
      <c r="L860"/>
      <c r="M860"/>
      <c r="N860"/>
      <c r="O860"/>
    </row>
    <row r="861" spans="7:15" ht="15" x14ac:dyDescent="0.25">
      <c r="G861"/>
      <c r="H861"/>
      <c r="I861"/>
      <c r="J861"/>
      <c r="K861"/>
      <c r="L861"/>
      <c r="M861"/>
      <c r="N861"/>
      <c r="O861"/>
    </row>
    <row r="862" spans="7:15" ht="15" x14ac:dyDescent="0.25">
      <c r="G862"/>
      <c r="H862"/>
      <c r="I862"/>
      <c r="J862"/>
      <c r="K862"/>
      <c r="L862"/>
      <c r="M862"/>
      <c r="N862"/>
      <c r="O862"/>
    </row>
    <row r="863" spans="7:15" ht="15" x14ac:dyDescent="0.25">
      <c r="G863"/>
      <c r="H863"/>
      <c r="I863"/>
      <c r="J863"/>
      <c r="K863"/>
      <c r="L863"/>
      <c r="M863"/>
      <c r="N863"/>
      <c r="O863"/>
    </row>
    <row r="864" spans="7:15" ht="15" x14ac:dyDescent="0.25">
      <c r="G864"/>
      <c r="H864"/>
      <c r="I864"/>
      <c r="J864"/>
      <c r="K864"/>
      <c r="L864"/>
      <c r="M864"/>
      <c r="N864"/>
      <c r="O864"/>
    </row>
    <row r="865" spans="7:15" ht="15" x14ac:dyDescent="0.25">
      <c r="G865"/>
      <c r="H865"/>
      <c r="I865"/>
      <c r="J865"/>
      <c r="K865"/>
      <c r="L865"/>
      <c r="M865"/>
      <c r="N865"/>
      <c r="O865"/>
    </row>
    <row r="866" spans="7:15" ht="15" x14ac:dyDescent="0.25">
      <c r="G866"/>
      <c r="H866"/>
      <c r="I866"/>
      <c r="J866"/>
      <c r="K866"/>
      <c r="L866"/>
      <c r="M866"/>
      <c r="N866"/>
      <c r="O866"/>
    </row>
    <row r="867" spans="7:15" ht="15" x14ac:dyDescent="0.25">
      <c r="G867"/>
      <c r="H867"/>
      <c r="I867"/>
      <c r="J867"/>
      <c r="K867"/>
      <c r="L867"/>
      <c r="M867"/>
      <c r="N867"/>
      <c r="O867"/>
    </row>
    <row r="868" spans="7:15" ht="15" x14ac:dyDescent="0.25">
      <c r="G868"/>
      <c r="H868"/>
      <c r="I868"/>
      <c r="J868"/>
      <c r="K868"/>
      <c r="L868"/>
      <c r="M868"/>
      <c r="N868"/>
      <c r="O868"/>
    </row>
    <row r="869" spans="7:15" ht="15" x14ac:dyDescent="0.25">
      <c r="G869"/>
      <c r="H869"/>
      <c r="I869"/>
      <c r="J869"/>
      <c r="K869"/>
      <c r="L869"/>
      <c r="M869"/>
      <c r="N869"/>
      <c r="O869"/>
    </row>
    <row r="870" spans="7:15" ht="15" x14ac:dyDescent="0.25">
      <c r="G870"/>
      <c r="H870"/>
      <c r="I870"/>
      <c r="J870"/>
      <c r="K870"/>
      <c r="L870"/>
      <c r="M870"/>
      <c r="N870"/>
      <c r="O870"/>
    </row>
    <row r="871" spans="7:15" ht="15" x14ac:dyDescent="0.25">
      <c r="G871"/>
      <c r="H871"/>
      <c r="I871"/>
      <c r="J871"/>
      <c r="K871"/>
      <c r="L871"/>
      <c r="M871"/>
      <c r="N871"/>
      <c r="O871"/>
    </row>
    <row r="872" spans="7:15" ht="15" x14ac:dyDescent="0.25">
      <c r="G872"/>
      <c r="H872"/>
      <c r="I872"/>
      <c r="J872"/>
      <c r="K872"/>
      <c r="L872"/>
      <c r="M872"/>
      <c r="N872"/>
      <c r="O872"/>
    </row>
    <row r="873" spans="7:15" ht="15" x14ac:dyDescent="0.25">
      <c r="G873"/>
      <c r="H873"/>
      <c r="I873"/>
      <c r="J873"/>
      <c r="K873"/>
      <c r="L873"/>
      <c r="M873"/>
      <c r="N873"/>
      <c r="O873"/>
    </row>
    <row r="874" spans="7:15" ht="15" x14ac:dyDescent="0.25">
      <c r="G874"/>
      <c r="H874"/>
      <c r="I874"/>
      <c r="J874"/>
      <c r="K874"/>
      <c r="L874"/>
      <c r="M874"/>
      <c r="N874"/>
      <c r="O874"/>
    </row>
    <row r="875" spans="7:15" ht="15" x14ac:dyDescent="0.25">
      <c r="G875"/>
      <c r="H875"/>
      <c r="I875"/>
      <c r="J875"/>
      <c r="K875"/>
      <c r="L875"/>
      <c r="M875"/>
      <c r="N875"/>
      <c r="O875"/>
    </row>
    <row r="876" spans="7:15" ht="15" x14ac:dyDescent="0.25">
      <c r="G876"/>
      <c r="H876"/>
      <c r="I876"/>
      <c r="J876"/>
      <c r="K876"/>
      <c r="L876"/>
      <c r="M876"/>
      <c r="N876"/>
      <c r="O876"/>
    </row>
    <row r="877" spans="7:15" ht="15" x14ac:dyDescent="0.25">
      <c r="G877"/>
      <c r="H877"/>
      <c r="I877"/>
      <c r="J877"/>
      <c r="K877"/>
      <c r="L877"/>
      <c r="M877"/>
      <c r="N877"/>
      <c r="O877"/>
    </row>
    <row r="878" spans="7:15" ht="15" x14ac:dyDescent="0.25">
      <c r="G878"/>
      <c r="H878"/>
      <c r="I878"/>
      <c r="J878"/>
      <c r="K878"/>
      <c r="L878"/>
      <c r="M878"/>
      <c r="N878"/>
      <c r="O878"/>
    </row>
    <row r="879" spans="7:15" ht="15" x14ac:dyDescent="0.25">
      <c r="G879"/>
      <c r="H879"/>
      <c r="I879"/>
      <c r="J879"/>
      <c r="K879"/>
      <c r="L879"/>
      <c r="M879"/>
      <c r="N879"/>
      <c r="O879"/>
    </row>
    <row r="880" spans="7:15" ht="15" x14ac:dyDescent="0.25">
      <c r="G880"/>
      <c r="H880"/>
      <c r="I880"/>
      <c r="J880"/>
      <c r="K880"/>
      <c r="L880"/>
      <c r="M880"/>
      <c r="N880"/>
      <c r="O880"/>
    </row>
    <row r="881" spans="7:15" ht="15" x14ac:dyDescent="0.25">
      <c r="G881"/>
      <c r="H881"/>
      <c r="I881"/>
      <c r="J881"/>
      <c r="K881"/>
      <c r="L881"/>
      <c r="M881"/>
      <c r="N881"/>
      <c r="O881"/>
    </row>
    <row r="882" spans="7:15" ht="15" x14ac:dyDescent="0.25">
      <c r="G882"/>
      <c r="H882"/>
      <c r="I882"/>
      <c r="J882"/>
      <c r="K882"/>
      <c r="L882"/>
      <c r="M882"/>
      <c r="N882"/>
      <c r="O882"/>
    </row>
    <row r="883" spans="7:15" ht="15" x14ac:dyDescent="0.25">
      <c r="G883"/>
      <c r="H883"/>
      <c r="I883"/>
      <c r="J883"/>
      <c r="K883"/>
      <c r="L883"/>
      <c r="M883"/>
      <c r="N883"/>
      <c r="O883"/>
    </row>
    <row r="884" spans="7:15" ht="15" x14ac:dyDescent="0.25">
      <c r="G884"/>
      <c r="H884"/>
      <c r="I884"/>
      <c r="J884"/>
      <c r="K884"/>
      <c r="L884"/>
      <c r="M884"/>
      <c r="N884"/>
      <c r="O884"/>
    </row>
    <row r="885" spans="7:15" ht="15" x14ac:dyDescent="0.25">
      <c r="G885"/>
      <c r="H885"/>
      <c r="I885"/>
      <c r="J885"/>
      <c r="K885"/>
      <c r="L885"/>
      <c r="M885"/>
      <c r="N885"/>
      <c r="O885"/>
    </row>
    <row r="886" spans="7:15" ht="15" x14ac:dyDescent="0.25">
      <c r="G886"/>
      <c r="H886"/>
      <c r="I886"/>
      <c r="J886"/>
      <c r="K886"/>
      <c r="L886"/>
      <c r="M886"/>
      <c r="N886"/>
      <c r="O886"/>
    </row>
    <row r="887" spans="7:15" ht="15" x14ac:dyDescent="0.25">
      <c r="G887"/>
      <c r="H887"/>
      <c r="I887"/>
      <c r="J887"/>
      <c r="K887"/>
      <c r="L887"/>
      <c r="M887"/>
      <c r="N887"/>
      <c r="O887"/>
    </row>
    <row r="888" spans="7:15" ht="15" x14ac:dyDescent="0.25">
      <c r="G888"/>
      <c r="H888"/>
      <c r="I888"/>
      <c r="J888"/>
      <c r="K888"/>
      <c r="L888"/>
      <c r="M888"/>
      <c r="N888"/>
      <c r="O888"/>
    </row>
    <row r="889" spans="7:15" ht="15" x14ac:dyDescent="0.25">
      <c r="G889"/>
      <c r="H889"/>
      <c r="I889"/>
      <c r="J889"/>
      <c r="K889"/>
      <c r="L889"/>
      <c r="M889"/>
      <c r="N889"/>
      <c r="O889"/>
    </row>
    <row r="890" spans="7:15" ht="15" x14ac:dyDescent="0.25">
      <c r="G890"/>
      <c r="H890"/>
      <c r="I890"/>
      <c r="J890"/>
      <c r="K890"/>
      <c r="L890"/>
      <c r="M890"/>
      <c r="N890"/>
      <c r="O890"/>
    </row>
    <row r="891" spans="7:15" ht="15" x14ac:dyDescent="0.25">
      <c r="G891"/>
      <c r="H891"/>
      <c r="I891"/>
      <c r="J891"/>
      <c r="K891"/>
      <c r="L891"/>
      <c r="M891"/>
      <c r="N891"/>
      <c r="O891"/>
    </row>
    <row r="892" spans="7:15" ht="15" x14ac:dyDescent="0.25">
      <c r="G892"/>
      <c r="H892"/>
      <c r="I892"/>
      <c r="J892"/>
      <c r="K892"/>
      <c r="L892"/>
      <c r="M892"/>
      <c r="N892"/>
      <c r="O892"/>
    </row>
    <row r="893" spans="7:15" ht="15" x14ac:dyDescent="0.25">
      <c r="G893"/>
      <c r="H893"/>
      <c r="I893"/>
      <c r="J893"/>
      <c r="K893"/>
      <c r="L893"/>
      <c r="M893"/>
      <c r="N893"/>
      <c r="O893"/>
    </row>
    <row r="894" spans="7:15" ht="15" x14ac:dyDescent="0.25">
      <c r="G894"/>
      <c r="H894"/>
      <c r="I894"/>
      <c r="J894"/>
      <c r="K894"/>
      <c r="L894"/>
      <c r="M894"/>
      <c r="N894"/>
      <c r="O894"/>
    </row>
    <row r="895" spans="7:15" ht="15" x14ac:dyDescent="0.25">
      <c r="G895"/>
      <c r="H895"/>
      <c r="I895"/>
      <c r="J895"/>
      <c r="K895"/>
      <c r="L895"/>
      <c r="M895"/>
      <c r="N895"/>
      <c r="O895"/>
    </row>
    <row r="896" spans="7:15" ht="15" x14ac:dyDescent="0.25">
      <c r="G896"/>
      <c r="H896"/>
      <c r="I896"/>
      <c r="J896"/>
      <c r="K896"/>
      <c r="L896"/>
      <c r="M896"/>
      <c r="N896"/>
      <c r="O896"/>
    </row>
    <row r="897" spans="7:15" ht="15" x14ac:dyDescent="0.25">
      <c r="G897"/>
      <c r="H897"/>
      <c r="I897"/>
      <c r="J897"/>
      <c r="K897"/>
      <c r="L897"/>
      <c r="M897"/>
      <c r="N897"/>
      <c r="O897"/>
    </row>
    <row r="898" spans="7:15" ht="15" x14ac:dyDescent="0.25">
      <c r="G898"/>
      <c r="H898"/>
      <c r="I898"/>
      <c r="J898"/>
      <c r="K898"/>
      <c r="L898"/>
      <c r="M898"/>
      <c r="N898"/>
      <c r="O898"/>
    </row>
    <row r="899" spans="7:15" ht="15" x14ac:dyDescent="0.25">
      <c r="G899"/>
      <c r="H899"/>
      <c r="I899"/>
      <c r="J899"/>
      <c r="K899"/>
      <c r="L899"/>
      <c r="M899"/>
      <c r="N899"/>
      <c r="O899"/>
    </row>
    <row r="900" spans="7:15" ht="15" x14ac:dyDescent="0.25">
      <c r="G900"/>
      <c r="H900"/>
      <c r="I900"/>
      <c r="J900"/>
      <c r="K900"/>
      <c r="L900"/>
      <c r="M900"/>
      <c r="N900"/>
      <c r="O900"/>
    </row>
    <row r="901" spans="7:15" ht="15" x14ac:dyDescent="0.25">
      <c r="G901"/>
      <c r="H901"/>
      <c r="I901"/>
      <c r="J901"/>
      <c r="K901"/>
      <c r="L901"/>
      <c r="M901"/>
      <c r="N901"/>
      <c r="O901"/>
    </row>
    <row r="902" spans="7:15" ht="15" x14ac:dyDescent="0.25">
      <c r="G902"/>
      <c r="H902"/>
      <c r="I902"/>
      <c r="J902"/>
      <c r="K902"/>
      <c r="L902"/>
      <c r="M902"/>
      <c r="N902"/>
      <c r="O902"/>
    </row>
    <row r="903" spans="7:15" ht="15" x14ac:dyDescent="0.25">
      <c r="G903"/>
      <c r="H903"/>
      <c r="I903"/>
      <c r="J903"/>
      <c r="K903"/>
      <c r="L903"/>
      <c r="M903"/>
      <c r="N903"/>
      <c r="O903"/>
    </row>
    <row r="904" spans="7:15" ht="15" x14ac:dyDescent="0.25">
      <c r="G904"/>
      <c r="H904"/>
      <c r="I904"/>
      <c r="J904"/>
      <c r="K904"/>
      <c r="L904"/>
      <c r="M904"/>
      <c r="N904"/>
      <c r="O904"/>
    </row>
    <row r="905" spans="7:15" ht="15" x14ac:dyDescent="0.25">
      <c r="G905"/>
      <c r="H905"/>
      <c r="I905"/>
      <c r="J905"/>
      <c r="K905"/>
      <c r="L905"/>
      <c r="M905"/>
      <c r="N905"/>
      <c r="O905"/>
    </row>
    <row r="906" spans="7:15" ht="15" x14ac:dyDescent="0.25">
      <c r="G906"/>
      <c r="H906"/>
      <c r="I906"/>
      <c r="J906"/>
      <c r="K906"/>
      <c r="L906"/>
      <c r="M906"/>
      <c r="N906"/>
      <c r="O906"/>
    </row>
    <row r="907" spans="7:15" ht="15" x14ac:dyDescent="0.25">
      <c r="G907"/>
      <c r="H907"/>
      <c r="I907"/>
      <c r="J907"/>
      <c r="K907"/>
      <c r="L907"/>
      <c r="M907"/>
      <c r="N907"/>
      <c r="O907"/>
    </row>
    <row r="908" spans="7:15" ht="15" x14ac:dyDescent="0.25">
      <c r="G908"/>
      <c r="H908"/>
      <c r="I908"/>
      <c r="J908"/>
      <c r="K908"/>
      <c r="L908"/>
      <c r="M908"/>
      <c r="N908"/>
      <c r="O908"/>
    </row>
    <row r="909" spans="7:15" ht="15" x14ac:dyDescent="0.25">
      <c r="G909"/>
      <c r="H909"/>
      <c r="I909"/>
      <c r="J909"/>
      <c r="K909"/>
      <c r="L909"/>
      <c r="M909"/>
      <c r="N909"/>
      <c r="O909"/>
    </row>
    <row r="910" spans="7:15" ht="15" x14ac:dyDescent="0.25">
      <c r="G910"/>
      <c r="H910"/>
      <c r="I910"/>
      <c r="J910"/>
      <c r="K910"/>
      <c r="L910"/>
      <c r="M910"/>
      <c r="N910"/>
      <c r="O910"/>
    </row>
    <row r="911" spans="7:15" ht="15" x14ac:dyDescent="0.25">
      <c r="G911"/>
      <c r="H911"/>
      <c r="I911"/>
      <c r="J911"/>
      <c r="K911"/>
      <c r="L911"/>
      <c r="M911"/>
      <c r="N911"/>
      <c r="O911"/>
    </row>
    <row r="912" spans="7:15" ht="15" x14ac:dyDescent="0.25">
      <c r="G912"/>
      <c r="H912"/>
      <c r="I912"/>
      <c r="J912"/>
      <c r="K912"/>
      <c r="L912"/>
      <c r="M912"/>
      <c r="N912"/>
      <c r="O912"/>
    </row>
    <row r="913" spans="7:15" ht="15" x14ac:dyDescent="0.25">
      <c r="G913"/>
      <c r="H913"/>
      <c r="I913"/>
      <c r="J913"/>
      <c r="K913"/>
      <c r="L913"/>
      <c r="M913"/>
      <c r="N913"/>
      <c r="O913"/>
    </row>
    <row r="914" spans="7:15" ht="15" x14ac:dyDescent="0.25">
      <c r="G914"/>
      <c r="H914"/>
      <c r="I914"/>
      <c r="J914"/>
      <c r="K914"/>
      <c r="L914"/>
      <c r="M914"/>
      <c r="N914"/>
      <c r="O914"/>
    </row>
    <row r="915" spans="7:15" ht="15" x14ac:dyDescent="0.25">
      <c r="G915"/>
      <c r="H915"/>
      <c r="I915"/>
      <c r="J915"/>
      <c r="K915"/>
      <c r="L915"/>
      <c r="M915"/>
      <c r="N915"/>
      <c r="O915"/>
    </row>
    <row r="916" spans="7:15" ht="15" x14ac:dyDescent="0.25">
      <c r="G916"/>
      <c r="H916"/>
      <c r="I916"/>
      <c r="J916"/>
      <c r="K916"/>
      <c r="L916"/>
      <c r="M916"/>
      <c r="N916"/>
      <c r="O916"/>
    </row>
    <row r="917" spans="7:15" ht="15" x14ac:dyDescent="0.25">
      <c r="G917"/>
      <c r="H917"/>
      <c r="I917"/>
      <c r="J917"/>
      <c r="K917"/>
      <c r="L917"/>
      <c r="M917"/>
      <c r="N917"/>
      <c r="O917"/>
    </row>
    <row r="918" spans="7:15" ht="15" x14ac:dyDescent="0.25">
      <c r="G918"/>
      <c r="H918"/>
      <c r="I918"/>
      <c r="J918"/>
      <c r="K918"/>
      <c r="L918"/>
      <c r="M918"/>
      <c r="N918"/>
      <c r="O918"/>
    </row>
    <row r="919" spans="7:15" ht="15" x14ac:dyDescent="0.25">
      <c r="G919"/>
      <c r="H919"/>
      <c r="I919"/>
      <c r="J919"/>
      <c r="K919"/>
      <c r="L919"/>
      <c r="M919"/>
      <c r="N919"/>
      <c r="O919"/>
    </row>
    <row r="920" spans="7:15" ht="15" x14ac:dyDescent="0.25">
      <c r="G920"/>
      <c r="H920"/>
      <c r="I920"/>
      <c r="J920"/>
      <c r="K920"/>
      <c r="L920"/>
      <c r="M920"/>
      <c r="N920"/>
      <c r="O920"/>
    </row>
    <row r="921" spans="7:15" ht="15" x14ac:dyDescent="0.25">
      <c r="G921"/>
      <c r="H921"/>
      <c r="I921"/>
      <c r="J921"/>
      <c r="K921"/>
      <c r="L921"/>
      <c r="M921"/>
      <c r="N921"/>
      <c r="O921"/>
    </row>
    <row r="922" spans="7:15" ht="15" x14ac:dyDescent="0.25">
      <c r="G922"/>
      <c r="H922"/>
      <c r="I922"/>
      <c r="J922"/>
      <c r="K922"/>
      <c r="L922"/>
      <c r="M922"/>
      <c r="N922"/>
      <c r="O922"/>
    </row>
    <row r="923" spans="7:15" ht="15" x14ac:dyDescent="0.25">
      <c r="G923"/>
      <c r="H923"/>
      <c r="I923"/>
      <c r="J923"/>
      <c r="K923"/>
      <c r="L923"/>
      <c r="M923"/>
      <c r="N923"/>
      <c r="O923"/>
    </row>
    <row r="924" spans="7:15" ht="15" x14ac:dyDescent="0.25">
      <c r="G924"/>
      <c r="H924"/>
      <c r="I924"/>
      <c r="J924"/>
      <c r="K924"/>
      <c r="L924"/>
      <c r="M924"/>
      <c r="N924"/>
      <c r="O924"/>
    </row>
    <row r="925" spans="7:15" ht="15" x14ac:dyDescent="0.25">
      <c r="G925"/>
      <c r="H925"/>
      <c r="I925"/>
      <c r="J925"/>
      <c r="K925"/>
      <c r="L925"/>
      <c r="M925"/>
      <c r="N925"/>
      <c r="O925"/>
    </row>
    <row r="926" spans="7:15" ht="15" x14ac:dyDescent="0.25">
      <c r="G926"/>
      <c r="H926"/>
      <c r="I926"/>
      <c r="J926"/>
      <c r="K926"/>
      <c r="L926"/>
      <c r="M926"/>
      <c r="N926"/>
      <c r="O926"/>
    </row>
    <row r="927" spans="7:15" ht="15" x14ac:dyDescent="0.25">
      <c r="G927"/>
      <c r="H927"/>
      <c r="I927"/>
      <c r="J927"/>
      <c r="K927"/>
      <c r="L927"/>
      <c r="M927"/>
      <c r="N927"/>
      <c r="O927"/>
    </row>
    <row r="928" spans="7:15" ht="15" x14ac:dyDescent="0.25">
      <c r="G928"/>
      <c r="H928"/>
      <c r="I928"/>
      <c r="J928"/>
      <c r="K928"/>
      <c r="L928"/>
      <c r="M928"/>
      <c r="N928"/>
      <c r="O928"/>
    </row>
    <row r="929" spans="7:15" ht="15" x14ac:dyDescent="0.25">
      <c r="G929"/>
      <c r="H929"/>
      <c r="I929"/>
      <c r="J929"/>
      <c r="K929"/>
      <c r="L929"/>
      <c r="M929"/>
      <c r="N929"/>
      <c r="O929"/>
    </row>
    <row r="930" spans="7:15" ht="15" x14ac:dyDescent="0.25">
      <c r="G930"/>
      <c r="H930"/>
      <c r="I930"/>
      <c r="J930"/>
      <c r="K930"/>
      <c r="L930"/>
      <c r="M930"/>
      <c r="N930"/>
      <c r="O930"/>
    </row>
    <row r="931" spans="7:15" ht="15" x14ac:dyDescent="0.25">
      <c r="G931"/>
      <c r="H931"/>
      <c r="I931"/>
      <c r="J931"/>
      <c r="K931"/>
      <c r="L931"/>
      <c r="M931"/>
      <c r="N931"/>
      <c r="O931"/>
    </row>
    <row r="932" spans="7:15" ht="15" x14ac:dyDescent="0.25">
      <c r="G932"/>
      <c r="H932"/>
      <c r="I932"/>
      <c r="J932"/>
      <c r="K932"/>
      <c r="L932"/>
      <c r="M932"/>
      <c r="N932"/>
      <c r="O932"/>
    </row>
    <row r="933" spans="7:15" ht="15" x14ac:dyDescent="0.25">
      <c r="G933"/>
      <c r="H933"/>
      <c r="I933"/>
      <c r="J933"/>
      <c r="K933"/>
      <c r="L933"/>
      <c r="M933"/>
      <c r="N933"/>
      <c r="O933"/>
    </row>
    <row r="934" spans="7:15" ht="15" x14ac:dyDescent="0.25">
      <c r="G934"/>
      <c r="H934"/>
      <c r="I934"/>
      <c r="J934"/>
      <c r="K934"/>
      <c r="L934"/>
      <c r="M934"/>
      <c r="N934"/>
      <c r="O934"/>
    </row>
    <row r="935" spans="7:15" ht="15" x14ac:dyDescent="0.25">
      <c r="G935"/>
      <c r="H935"/>
      <c r="I935"/>
      <c r="J935"/>
      <c r="K935"/>
      <c r="L935"/>
      <c r="M935"/>
      <c r="N935"/>
      <c r="O935"/>
    </row>
    <row r="936" spans="7:15" ht="15" x14ac:dyDescent="0.25">
      <c r="G936"/>
      <c r="H936"/>
      <c r="I936"/>
      <c r="J936"/>
      <c r="K936"/>
      <c r="L936"/>
      <c r="M936"/>
      <c r="N936"/>
      <c r="O936"/>
    </row>
    <row r="937" spans="7:15" ht="15" x14ac:dyDescent="0.25">
      <c r="G937"/>
      <c r="H937"/>
      <c r="I937"/>
      <c r="J937"/>
      <c r="K937"/>
      <c r="L937"/>
      <c r="M937"/>
      <c r="N937"/>
      <c r="O937"/>
    </row>
    <row r="938" spans="7:15" ht="15" x14ac:dyDescent="0.25">
      <c r="G938"/>
      <c r="H938"/>
      <c r="I938"/>
      <c r="J938"/>
      <c r="K938"/>
      <c r="L938"/>
      <c r="M938"/>
      <c r="N938"/>
      <c r="O938"/>
    </row>
    <row r="939" spans="7:15" ht="15" x14ac:dyDescent="0.25">
      <c r="G939"/>
      <c r="H939"/>
      <c r="I939"/>
      <c r="J939"/>
      <c r="K939"/>
      <c r="L939"/>
      <c r="M939"/>
      <c r="N939"/>
      <c r="O939"/>
    </row>
    <row r="940" spans="7:15" ht="15" x14ac:dyDescent="0.25">
      <c r="G940"/>
      <c r="H940"/>
      <c r="I940"/>
      <c r="J940"/>
      <c r="K940"/>
      <c r="L940"/>
      <c r="M940"/>
      <c r="N940"/>
      <c r="O940"/>
    </row>
    <row r="941" spans="7:15" ht="15" x14ac:dyDescent="0.25">
      <c r="G941"/>
      <c r="H941"/>
      <c r="I941"/>
      <c r="J941"/>
      <c r="K941"/>
      <c r="L941"/>
      <c r="M941"/>
      <c r="N941"/>
      <c r="O941"/>
    </row>
    <row r="942" spans="7:15" ht="15" x14ac:dyDescent="0.25">
      <c r="G942"/>
      <c r="H942"/>
      <c r="I942"/>
      <c r="J942"/>
      <c r="K942"/>
      <c r="L942"/>
      <c r="M942"/>
      <c r="N942"/>
      <c r="O942"/>
    </row>
    <row r="943" spans="7:15" ht="15" x14ac:dyDescent="0.25">
      <c r="G943"/>
      <c r="H943"/>
      <c r="I943"/>
      <c r="J943"/>
      <c r="K943"/>
      <c r="L943"/>
      <c r="M943"/>
      <c r="N943"/>
      <c r="O943"/>
    </row>
    <row r="944" spans="7:15" ht="15" x14ac:dyDescent="0.25">
      <c r="G944"/>
      <c r="H944"/>
      <c r="I944"/>
      <c r="J944"/>
      <c r="K944"/>
      <c r="L944"/>
      <c r="M944"/>
      <c r="N944"/>
      <c r="O944"/>
    </row>
    <row r="945" spans="7:15" ht="15" x14ac:dyDescent="0.25">
      <c r="G945"/>
      <c r="H945"/>
      <c r="I945"/>
      <c r="J945"/>
      <c r="K945"/>
      <c r="L945"/>
      <c r="M945"/>
      <c r="N945"/>
      <c r="O945"/>
    </row>
    <row r="946" spans="7:15" ht="15" x14ac:dyDescent="0.25">
      <c r="G946"/>
      <c r="H946"/>
      <c r="I946"/>
      <c r="J946"/>
      <c r="K946"/>
      <c r="L946"/>
      <c r="M946"/>
      <c r="N946"/>
      <c r="O946"/>
    </row>
    <row r="947" spans="7:15" ht="15" x14ac:dyDescent="0.25">
      <c r="G947"/>
      <c r="H947"/>
      <c r="I947"/>
      <c r="J947"/>
      <c r="K947"/>
      <c r="L947"/>
      <c r="M947"/>
      <c r="N947"/>
      <c r="O947"/>
    </row>
    <row r="948" spans="7:15" ht="15" x14ac:dyDescent="0.25">
      <c r="G948"/>
      <c r="H948"/>
      <c r="I948"/>
      <c r="J948"/>
      <c r="K948"/>
      <c r="L948"/>
      <c r="M948"/>
      <c r="N948"/>
      <c r="O948"/>
    </row>
    <row r="949" spans="7:15" ht="15" x14ac:dyDescent="0.25">
      <c r="G949"/>
      <c r="H949"/>
      <c r="I949"/>
      <c r="J949"/>
      <c r="K949"/>
      <c r="L949"/>
      <c r="M949"/>
      <c r="N949"/>
      <c r="O949"/>
    </row>
    <row r="950" spans="7:15" ht="15" x14ac:dyDescent="0.25">
      <c r="G950"/>
      <c r="H950"/>
      <c r="I950"/>
      <c r="J950"/>
      <c r="K950"/>
      <c r="L950"/>
      <c r="M950"/>
      <c r="N950"/>
      <c r="O950"/>
    </row>
    <row r="951" spans="7:15" ht="15" x14ac:dyDescent="0.25">
      <c r="G951"/>
      <c r="H951"/>
      <c r="I951"/>
      <c r="J951"/>
      <c r="K951"/>
      <c r="L951"/>
      <c r="M951"/>
      <c r="N951"/>
      <c r="O951"/>
    </row>
    <row r="952" spans="7:15" ht="15" x14ac:dyDescent="0.25">
      <c r="G952"/>
      <c r="H952"/>
      <c r="I952"/>
      <c r="J952"/>
      <c r="K952"/>
      <c r="L952"/>
      <c r="M952"/>
      <c r="N952"/>
      <c r="O952"/>
    </row>
    <row r="953" spans="7:15" ht="15" x14ac:dyDescent="0.25">
      <c r="G953"/>
      <c r="H953"/>
      <c r="I953"/>
      <c r="J953"/>
      <c r="K953"/>
      <c r="L953"/>
      <c r="M953"/>
      <c r="N953"/>
      <c r="O953"/>
    </row>
    <row r="954" spans="7:15" ht="15" x14ac:dyDescent="0.25">
      <c r="G954"/>
      <c r="H954"/>
      <c r="I954"/>
      <c r="J954"/>
      <c r="K954"/>
      <c r="L954"/>
      <c r="M954"/>
      <c r="N954"/>
      <c r="O954"/>
    </row>
    <row r="955" spans="7:15" ht="15" x14ac:dyDescent="0.25">
      <c r="G955"/>
      <c r="H955"/>
      <c r="I955"/>
      <c r="J955"/>
      <c r="K955"/>
      <c r="L955"/>
      <c r="M955"/>
      <c r="N955"/>
      <c r="O955"/>
    </row>
    <row r="956" spans="7:15" ht="15" x14ac:dyDescent="0.25">
      <c r="G956"/>
      <c r="H956"/>
      <c r="I956"/>
      <c r="J956"/>
      <c r="K956"/>
      <c r="L956"/>
      <c r="M956"/>
      <c r="N956"/>
      <c r="O956"/>
    </row>
    <row r="957" spans="7:15" ht="15" x14ac:dyDescent="0.25">
      <c r="G957"/>
      <c r="H957"/>
      <c r="I957"/>
      <c r="J957"/>
      <c r="K957"/>
      <c r="L957"/>
      <c r="M957"/>
      <c r="N957"/>
      <c r="O957"/>
    </row>
    <row r="958" spans="7:15" ht="15" x14ac:dyDescent="0.25">
      <c r="G958"/>
      <c r="H958"/>
      <c r="I958"/>
      <c r="J958"/>
      <c r="K958"/>
      <c r="L958"/>
      <c r="M958"/>
      <c r="N958"/>
      <c r="O958"/>
    </row>
    <row r="959" spans="7:15" ht="15" x14ac:dyDescent="0.25">
      <c r="G959"/>
      <c r="H959"/>
      <c r="I959"/>
      <c r="J959"/>
      <c r="K959"/>
      <c r="L959"/>
      <c r="M959"/>
      <c r="N959"/>
      <c r="O959"/>
    </row>
    <row r="960" spans="7:15" ht="15" x14ac:dyDescent="0.25">
      <c r="G960"/>
      <c r="H960"/>
      <c r="I960"/>
      <c r="J960"/>
      <c r="K960"/>
      <c r="L960"/>
      <c r="M960"/>
      <c r="N960"/>
      <c r="O960"/>
    </row>
    <row r="961" spans="7:15" ht="15" x14ac:dyDescent="0.25">
      <c r="G961"/>
      <c r="H961"/>
      <c r="I961"/>
      <c r="J961"/>
      <c r="K961"/>
      <c r="L961"/>
      <c r="M961"/>
      <c r="N961"/>
      <c r="O961"/>
    </row>
    <row r="962" spans="7:15" ht="15" x14ac:dyDescent="0.25">
      <c r="G962"/>
      <c r="H962"/>
      <c r="I962"/>
      <c r="J962"/>
      <c r="K962"/>
      <c r="L962"/>
      <c r="M962"/>
      <c r="N962"/>
      <c r="O962"/>
    </row>
    <row r="963" spans="7:15" ht="15" x14ac:dyDescent="0.25">
      <c r="G963"/>
      <c r="H963"/>
      <c r="I963"/>
      <c r="J963"/>
      <c r="K963"/>
      <c r="L963"/>
      <c r="M963"/>
      <c r="N963"/>
      <c r="O963"/>
    </row>
    <row r="964" spans="7:15" ht="15" x14ac:dyDescent="0.25">
      <c r="G964"/>
      <c r="H964"/>
      <c r="I964"/>
      <c r="J964"/>
      <c r="K964"/>
      <c r="L964"/>
      <c r="M964"/>
      <c r="N964"/>
      <c r="O964"/>
    </row>
    <row r="965" spans="7:15" ht="15" x14ac:dyDescent="0.25">
      <c r="G965"/>
      <c r="H965"/>
      <c r="I965"/>
      <c r="J965"/>
      <c r="K965"/>
      <c r="L965"/>
      <c r="M965"/>
      <c r="N965"/>
      <c r="O965"/>
    </row>
    <row r="966" spans="7:15" ht="15" x14ac:dyDescent="0.25">
      <c r="G966"/>
      <c r="H966"/>
      <c r="I966"/>
      <c r="J966"/>
      <c r="K966"/>
      <c r="L966"/>
      <c r="M966"/>
      <c r="N966"/>
      <c r="O966"/>
    </row>
    <row r="967" spans="7:15" ht="15" x14ac:dyDescent="0.25">
      <c r="G967"/>
      <c r="H967"/>
      <c r="I967"/>
      <c r="J967"/>
      <c r="K967"/>
      <c r="L967"/>
      <c r="M967"/>
      <c r="N967"/>
      <c r="O967"/>
    </row>
    <row r="968" spans="7:15" ht="15" x14ac:dyDescent="0.25">
      <c r="G968"/>
      <c r="H968"/>
      <c r="I968"/>
      <c r="J968"/>
      <c r="K968"/>
      <c r="L968"/>
      <c r="M968"/>
      <c r="N968"/>
      <c r="O968"/>
    </row>
    <row r="969" spans="7:15" ht="15" x14ac:dyDescent="0.25">
      <c r="G969"/>
      <c r="H969"/>
      <c r="I969"/>
      <c r="J969"/>
      <c r="K969"/>
      <c r="L969"/>
      <c r="M969"/>
      <c r="N969"/>
      <c r="O969"/>
    </row>
    <row r="970" spans="7:15" ht="15" x14ac:dyDescent="0.25">
      <c r="G970"/>
      <c r="H970"/>
      <c r="I970"/>
      <c r="J970"/>
      <c r="K970"/>
      <c r="L970"/>
      <c r="M970"/>
      <c r="N970"/>
      <c r="O970"/>
    </row>
    <row r="971" spans="7:15" ht="15" x14ac:dyDescent="0.25">
      <c r="G971"/>
      <c r="H971"/>
      <c r="I971"/>
      <c r="J971"/>
      <c r="K971"/>
      <c r="L971"/>
      <c r="M971"/>
      <c r="N971"/>
      <c r="O971"/>
    </row>
    <row r="972" spans="7:15" ht="15" x14ac:dyDescent="0.25">
      <c r="G972"/>
      <c r="H972"/>
      <c r="I972"/>
      <c r="J972"/>
      <c r="K972"/>
      <c r="L972"/>
      <c r="M972"/>
      <c r="N972"/>
      <c r="O972"/>
    </row>
    <row r="973" spans="7:15" ht="15" x14ac:dyDescent="0.25">
      <c r="G973"/>
      <c r="H973"/>
      <c r="I973"/>
      <c r="J973"/>
      <c r="K973"/>
      <c r="L973"/>
      <c r="M973"/>
      <c r="N973"/>
      <c r="O973"/>
    </row>
    <row r="974" spans="7:15" ht="15" x14ac:dyDescent="0.25">
      <c r="G974"/>
      <c r="H974"/>
      <c r="I974"/>
      <c r="J974"/>
      <c r="K974"/>
      <c r="L974"/>
      <c r="M974"/>
      <c r="N974"/>
      <c r="O974"/>
    </row>
    <row r="975" spans="7:15" ht="15" x14ac:dyDescent="0.25">
      <c r="G975"/>
      <c r="H975"/>
      <c r="I975"/>
      <c r="J975"/>
      <c r="K975"/>
      <c r="L975"/>
      <c r="M975"/>
      <c r="N975"/>
      <c r="O975"/>
    </row>
    <row r="976" spans="7:15" ht="15" x14ac:dyDescent="0.25">
      <c r="G976"/>
      <c r="H976"/>
      <c r="I976"/>
      <c r="J976"/>
      <c r="K976"/>
      <c r="L976"/>
      <c r="M976"/>
      <c r="N976"/>
      <c r="O976"/>
    </row>
    <row r="977" spans="7:15" ht="15" x14ac:dyDescent="0.25">
      <c r="G977"/>
      <c r="H977"/>
      <c r="I977"/>
      <c r="J977"/>
      <c r="K977"/>
      <c r="L977"/>
      <c r="M977"/>
      <c r="N977"/>
      <c r="O977"/>
    </row>
    <row r="978" spans="7:15" ht="15" x14ac:dyDescent="0.25">
      <c r="G978"/>
      <c r="H978"/>
      <c r="I978"/>
      <c r="J978"/>
      <c r="K978"/>
      <c r="L978"/>
      <c r="M978"/>
      <c r="N978"/>
      <c r="O978"/>
    </row>
    <row r="979" spans="7:15" ht="15" x14ac:dyDescent="0.25">
      <c r="G979"/>
      <c r="H979"/>
      <c r="I979"/>
      <c r="J979"/>
      <c r="K979"/>
      <c r="L979"/>
      <c r="M979"/>
      <c r="N979"/>
      <c r="O979"/>
    </row>
    <row r="980" spans="7:15" ht="15" x14ac:dyDescent="0.25">
      <c r="G980"/>
      <c r="H980"/>
      <c r="I980"/>
      <c r="J980"/>
      <c r="K980"/>
      <c r="L980"/>
      <c r="M980"/>
      <c r="N980"/>
      <c r="O980"/>
    </row>
    <row r="981" spans="7:15" ht="15" x14ac:dyDescent="0.25">
      <c r="G981"/>
      <c r="H981"/>
      <c r="I981"/>
      <c r="J981"/>
      <c r="K981"/>
      <c r="L981"/>
      <c r="M981"/>
      <c r="N981"/>
      <c r="O981"/>
    </row>
    <row r="982" spans="7:15" ht="15" x14ac:dyDescent="0.25">
      <c r="G982"/>
      <c r="H982"/>
      <c r="I982"/>
      <c r="J982"/>
      <c r="K982"/>
      <c r="L982"/>
      <c r="M982"/>
      <c r="N982"/>
      <c r="O982"/>
    </row>
    <row r="983" spans="7:15" ht="15" x14ac:dyDescent="0.25">
      <c r="G983"/>
      <c r="H983"/>
      <c r="I983"/>
      <c r="J983"/>
      <c r="K983"/>
      <c r="L983"/>
      <c r="M983"/>
      <c r="N983"/>
      <c r="O983"/>
    </row>
    <row r="984" spans="7:15" ht="15" x14ac:dyDescent="0.25">
      <c r="G984"/>
      <c r="H984"/>
      <c r="I984"/>
      <c r="J984"/>
      <c r="K984"/>
      <c r="L984"/>
      <c r="M984"/>
      <c r="N984"/>
      <c r="O984"/>
    </row>
    <row r="985" spans="7:15" ht="15" x14ac:dyDescent="0.25">
      <c r="G985"/>
      <c r="H985"/>
      <c r="I985"/>
      <c r="J985"/>
      <c r="K985"/>
      <c r="L985"/>
      <c r="M985"/>
      <c r="N985"/>
      <c r="O985"/>
    </row>
    <row r="986" spans="7:15" ht="15" x14ac:dyDescent="0.25">
      <c r="G986"/>
      <c r="H986"/>
      <c r="I986"/>
      <c r="J986"/>
      <c r="K986"/>
      <c r="L986"/>
      <c r="M986"/>
      <c r="N986"/>
      <c r="O986"/>
    </row>
    <row r="987" spans="7:15" ht="15" x14ac:dyDescent="0.25">
      <c r="G987"/>
      <c r="H987"/>
      <c r="I987"/>
      <c r="J987"/>
      <c r="K987"/>
      <c r="L987"/>
      <c r="M987"/>
      <c r="N987"/>
      <c r="O987"/>
    </row>
    <row r="988" spans="7:15" ht="15" x14ac:dyDescent="0.25">
      <c r="G988"/>
      <c r="H988"/>
      <c r="I988"/>
      <c r="J988"/>
      <c r="K988"/>
      <c r="L988"/>
      <c r="M988"/>
      <c r="N988"/>
      <c r="O988"/>
    </row>
    <row r="989" spans="7:15" ht="15" x14ac:dyDescent="0.25">
      <c r="G989"/>
      <c r="H989"/>
      <c r="I989"/>
      <c r="J989"/>
      <c r="K989"/>
      <c r="L989"/>
      <c r="M989"/>
      <c r="N989"/>
      <c r="O989"/>
    </row>
    <row r="990" spans="7:15" ht="15" x14ac:dyDescent="0.25">
      <c r="G990"/>
      <c r="H990"/>
      <c r="I990"/>
      <c r="J990"/>
      <c r="K990"/>
      <c r="L990"/>
      <c r="M990"/>
      <c r="N990"/>
      <c r="O990"/>
    </row>
    <row r="991" spans="7:15" ht="15" x14ac:dyDescent="0.25">
      <c r="G991"/>
      <c r="H991"/>
      <c r="I991"/>
      <c r="J991"/>
      <c r="K991"/>
      <c r="L991"/>
      <c r="M991"/>
      <c r="N991"/>
      <c r="O991"/>
    </row>
    <row r="992" spans="7:15" ht="15" x14ac:dyDescent="0.25">
      <c r="G992"/>
      <c r="H992"/>
      <c r="I992"/>
      <c r="J992"/>
      <c r="K992"/>
      <c r="L992"/>
      <c r="M992"/>
      <c r="N992"/>
      <c r="O992"/>
    </row>
    <row r="993" spans="7:15" ht="15" x14ac:dyDescent="0.25">
      <c r="G993"/>
      <c r="H993"/>
      <c r="I993"/>
      <c r="J993"/>
      <c r="K993"/>
      <c r="L993"/>
      <c r="M993"/>
      <c r="N993"/>
      <c r="O993"/>
    </row>
    <row r="994" spans="7:15" ht="15" x14ac:dyDescent="0.25">
      <c r="G994"/>
      <c r="H994"/>
      <c r="I994"/>
      <c r="J994"/>
      <c r="K994"/>
      <c r="L994"/>
      <c r="M994"/>
      <c r="N994"/>
      <c r="O994"/>
    </row>
    <row r="995" spans="7:15" ht="15" x14ac:dyDescent="0.25">
      <c r="G995"/>
      <c r="H995"/>
      <c r="I995"/>
      <c r="J995"/>
      <c r="K995"/>
      <c r="L995"/>
      <c r="M995"/>
      <c r="N995"/>
      <c r="O995"/>
    </row>
    <row r="996" spans="7:15" ht="15" x14ac:dyDescent="0.25">
      <c r="G996"/>
      <c r="H996"/>
      <c r="I996"/>
      <c r="J996"/>
      <c r="K996"/>
      <c r="L996"/>
      <c r="M996"/>
      <c r="N996"/>
      <c r="O996"/>
    </row>
    <row r="997" spans="7:15" ht="15" x14ac:dyDescent="0.25">
      <c r="G997"/>
      <c r="H997"/>
      <c r="I997"/>
      <c r="J997"/>
      <c r="K997"/>
      <c r="L997"/>
      <c r="M997"/>
      <c r="N997"/>
      <c r="O997"/>
    </row>
    <row r="998" spans="7:15" ht="15" x14ac:dyDescent="0.25">
      <c r="G998"/>
      <c r="H998"/>
      <c r="I998"/>
      <c r="J998"/>
      <c r="K998"/>
      <c r="L998"/>
      <c r="M998"/>
      <c r="N998"/>
      <c r="O998"/>
    </row>
    <row r="999" spans="7:15" ht="15" x14ac:dyDescent="0.25">
      <c r="G999"/>
      <c r="H999"/>
      <c r="I999"/>
      <c r="J999"/>
      <c r="K999"/>
      <c r="L999"/>
      <c r="M999"/>
      <c r="N999"/>
      <c r="O999"/>
    </row>
    <row r="1000" spans="7:15" ht="15" x14ac:dyDescent="0.25">
      <c r="G1000"/>
      <c r="H1000"/>
      <c r="I1000"/>
      <c r="J1000"/>
      <c r="K1000"/>
      <c r="L1000"/>
      <c r="M1000"/>
      <c r="N1000"/>
      <c r="O1000"/>
    </row>
    <row r="1001" spans="7:15" ht="15" x14ac:dyDescent="0.25">
      <c r="G1001"/>
      <c r="H1001"/>
      <c r="I1001"/>
      <c r="J1001"/>
      <c r="K1001"/>
      <c r="L1001"/>
      <c r="M1001"/>
      <c r="N1001"/>
      <c r="O1001"/>
    </row>
    <row r="1002" spans="7:15" ht="15" x14ac:dyDescent="0.25">
      <c r="G1002"/>
      <c r="H1002"/>
      <c r="I1002"/>
      <c r="J1002"/>
      <c r="K1002"/>
      <c r="L1002"/>
      <c r="M1002"/>
      <c r="N1002"/>
      <c r="O1002"/>
    </row>
    <row r="1003" spans="7:15" ht="15" x14ac:dyDescent="0.25">
      <c r="G1003"/>
      <c r="H1003"/>
      <c r="I1003"/>
      <c r="J1003"/>
      <c r="K1003"/>
      <c r="L1003"/>
      <c r="M1003"/>
      <c r="N1003"/>
      <c r="O1003"/>
    </row>
    <row r="1004" spans="7:15" ht="15" x14ac:dyDescent="0.25">
      <c r="G1004"/>
      <c r="H1004"/>
      <c r="I1004"/>
      <c r="J1004"/>
      <c r="K1004"/>
      <c r="L1004"/>
      <c r="M1004"/>
      <c r="N1004"/>
      <c r="O1004"/>
    </row>
    <row r="1005" spans="7:15" ht="15" x14ac:dyDescent="0.25">
      <c r="G1005"/>
      <c r="H1005"/>
      <c r="I1005"/>
      <c r="J1005"/>
      <c r="K1005"/>
      <c r="L1005"/>
      <c r="M1005"/>
      <c r="N1005"/>
      <c r="O1005"/>
    </row>
    <row r="1006" spans="7:15" ht="15" x14ac:dyDescent="0.25">
      <c r="G1006"/>
      <c r="H1006"/>
      <c r="I1006"/>
      <c r="J1006"/>
      <c r="K1006"/>
      <c r="L1006"/>
      <c r="M1006"/>
      <c r="N1006"/>
      <c r="O1006"/>
    </row>
    <row r="1007" spans="7:15" ht="15" x14ac:dyDescent="0.25">
      <c r="G1007"/>
      <c r="H1007"/>
      <c r="I1007"/>
      <c r="J1007"/>
      <c r="K1007"/>
      <c r="L1007"/>
      <c r="M1007"/>
      <c r="N1007"/>
      <c r="O1007"/>
    </row>
    <row r="1008" spans="7:15" ht="15" x14ac:dyDescent="0.25">
      <c r="G1008"/>
      <c r="H1008"/>
      <c r="I1008"/>
      <c r="J1008"/>
      <c r="K1008"/>
      <c r="L1008"/>
      <c r="M1008"/>
      <c r="N1008"/>
      <c r="O1008"/>
    </row>
    <row r="1009" spans="7:15" ht="15" x14ac:dyDescent="0.25">
      <c r="G1009"/>
      <c r="H1009"/>
      <c r="I1009"/>
      <c r="J1009"/>
      <c r="K1009"/>
      <c r="L1009"/>
      <c r="M1009"/>
      <c r="N1009"/>
      <c r="O1009"/>
    </row>
    <row r="1010" spans="7:15" ht="15" x14ac:dyDescent="0.25">
      <c r="G1010"/>
      <c r="H1010"/>
      <c r="I1010"/>
      <c r="J1010"/>
      <c r="K1010"/>
      <c r="L1010"/>
      <c r="M1010"/>
      <c r="N1010"/>
      <c r="O1010"/>
    </row>
    <row r="1011" spans="7:15" ht="15" x14ac:dyDescent="0.25">
      <c r="G1011"/>
      <c r="H1011"/>
      <c r="I1011"/>
      <c r="J1011"/>
      <c r="K1011"/>
      <c r="L1011"/>
      <c r="M1011"/>
      <c r="N1011"/>
      <c r="O1011"/>
    </row>
    <row r="1012" spans="7:15" ht="15" x14ac:dyDescent="0.25">
      <c r="G1012"/>
      <c r="H1012"/>
      <c r="I1012"/>
      <c r="J1012"/>
      <c r="K1012"/>
      <c r="L1012"/>
      <c r="M1012"/>
      <c r="N1012"/>
      <c r="O1012"/>
    </row>
    <row r="1013" spans="7:15" ht="15" x14ac:dyDescent="0.25">
      <c r="G1013"/>
      <c r="H1013"/>
      <c r="I1013"/>
      <c r="J1013"/>
      <c r="K1013"/>
      <c r="L1013"/>
      <c r="M1013"/>
      <c r="N1013"/>
      <c r="O1013"/>
    </row>
    <row r="1014" spans="7:15" ht="15" x14ac:dyDescent="0.25">
      <c r="G1014"/>
      <c r="H1014"/>
      <c r="I1014"/>
      <c r="J1014"/>
      <c r="K1014"/>
      <c r="L1014"/>
      <c r="M1014"/>
      <c r="N1014"/>
      <c r="O1014"/>
    </row>
    <row r="1015" spans="7:15" ht="15" x14ac:dyDescent="0.25">
      <c r="G1015"/>
      <c r="H1015"/>
      <c r="I1015"/>
      <c r="J1015"/>
      <c r="K1015"/>
      <c r="L1015"/>
      <c r="M1015"/>
      <c r="N1015"/>
      <c r="O1015"/>
    </row>
    <row r="1016" spans="7:15" ht="15" x14ac:dyDescent="0.25">
      <c r="G1016"/>
      <c r="H1016"/>
      <c r="I1016"/>
      <c r="J1016"/>
      <c r="K1016"/>
      <c r="L1016"/>
      <c r="M1016"/>
      <c r="N1016"/>
      <c r="O1016"/>
    </row>
    <row r="1017" spans="7:15" ht="15" x14ac:dyDescent="0.25">
      <c r="G1017"/>
      <c r="H1017"/>
      <c r="I1017"/>
      <c r="J1017"/>
      <c r="K1017"/>
      <c r="L1017"/>
      <c r="M1017"/>
      <c r="N1017"/>
      <c r="O1017"/>
    </row>
    <row r="1018" spans="7:15" ht="15" x14ac:dyDescent="0.25">
      <c r="G1018"/>
      <c r="H1018"/>
      <c r="I1018"/>
      <c r="J1018"/>
      <c r="K1018"/>
      <c r="L1018"/>
      <c r="M1018"/>
      <c r="N1018"/>
      <c r="O1018"/>
    </row>
    <row r="1019" spans="7:15" ht="15" x14ac:dyDescent="0.25">
      <c r="G1019"/>
      <c r="H1019"/>
      <c r="I1019"/>
      <c r="J1019"/>
      <c r="K1019"/>
      <c r="L1019"/>
      <c r="M1019"/>
      <c r="N1019"/>
      <c r="O1019"/>
    </row>
    <row r="1020" spans="7:15" ht="15" x14ac:dyDescent="0.25">
      <c r="G1020"/>
      <c r="H1020"/>
      <c r="I1020"/>
      <c r="J1020"/>
      <c r="K1020"/>
      <c r="L1020"/>
      <c r="M1020"/>
      <c r="N1020"/>
      <c r="O1020"/>
    </row>
    <row r="1021" spans="7:15" ht="15" x14ac:dyDescent="0.25">
      <c r="G1021"/>
      <c r="H1021"/>
      <c r="I1021"/>
      <c r="J1021"/>
      <c r="K1021"/>
      <c r="L1021"/>
      <c r="M1021"/>
      <c r="N1021"/>
      <c r="O1021"/>
    </row>
    <row r="1022" spans="7:15" ht="15" x14ac:dyDescent="0.25">
      <c r="G1022"/>
      <c r="H1022"/>
      <c r="I1022"/>
      <c r="J1022"/>
      <c r="K1022"/>
      <c r="L1022"/>
      <c r="M1022"/>
      <c r="N1022"/>
      <c r="O1022"/>
    </row>
    <row r="1023" spans="7:15" ht="15" x14ac:dyDescent="0.25">
      <c r="G1023"/>
      <c r="H1023"/>
      <c r="I1023"/>
      <c r="J1023"/>
      <c r="K1023"/>
      <c r="L1023"/>
      <c r="M1023"/>
      <c r="N1023"/>
      <c r="O1023"/>
    </row>
    <row r="1024" spans="7:15" ht="15" x14ac:dyDescent="0.25">
      <c r="G1024"/>
      <c r="H1024"/>
      <c r="I1024"/>
      <c r="J1024"/>
      <c r="K1024"/>
      <c r="L1024"/>
      <c r="M1024"/>
      <c r="N1024"/>
      <c r="O1024"/>
    </row>
    <row r="1025" spans="7:15" ht="15" x14ac:dyDescent="0.25">
      <c r="G1025"/>
      <c r="H1025"/>
      <c r="I1025"/>
      <c r="J1025"/>
      <c r="K1025"/>
      <c r="L1025"/>
      <c r="M1025"/>
      <c r="N1025"/>
      <c r="O1025"/>
    </row>
    <row r="1026" spans="7:15" ht="15" x14ac:dyDescent="0.25">
      <c r="G1026"/>
      <c r="H1026"/>
      <c r="I1026"/>
      <c r="J1026"/>
      <c r="K1026"/>
      <c r="L1026"/>
      <c r="M1026"/>
      <c r="N1026"/>
      <c r="O1026"/>
    </row>
    <row r="1027" spans="7:15" ht="15" x14ac:dyDescent="0.25">
      <c r="G1027"/>
      <c r="H1027"/>
      <c r="I1027"/>
      <c r="J1027"/>
      <c r="K1027"/>
      <c r="L1027"/>
      <c r="M1027"/>
      <c r="N1027"/>
      <c r="O1027"/>
    </row>
    <row r="1028" spans="7:15" ht="15" x14ac:dyDescent="0.25">
      <c r="G1028"/>
      <c r="H1028"/>
      <c r="I1028"/>
      <c r="J1028"/>
      <c r="K1028"/>
      <c r="L1028"/>
      <c r="M1028"/>
      <c r="N1028"/>
      <c r="O1028"/>
    </row>
    <row r="1029" spans="7:15" ht="15" x14ac:dyDescent="0.25">
      <c r="G1029"/>
      <c r="H1029"/>
      <c r="I1029"/>
      <c r="J1029"/>
      <c r="K1029"/>
      <c r="L1029"/>
      <c r="M1029"/>
      <c r="N1029"/>
      <c r="O1029"/>
    </row>
    <row r="1030" spans="7:15" ht="15" x14ac:dyDescent="0.25">
      <c r="G1030"/>
      <c r="H1030"/>
      <c r="I1030"/>
      <c r="J1030"/>
      <c r="K1030"/>
      <c r="L1030"/>
      <c r="M1030"/>
      <c r="N1030"/>
      <c r="O1030"/>
    </row>
    <row r="1031" spans="7:15" ht="15" x14ac:dyDescent="0.25">
      <c r="G1031"/>
      <c r="H1031"/>
      <c r="I1031"/>
      <c r="J1031"/>
      <c r="K1031"/>
      <c r="L1031"/>
      <c r="M1031"/>
      <c r="N1031"/>
      <c r="O1031"/>
    </row>
    <row r="1032" spans="7:15" ht="15" x14ac:dyDescent="0.25">
      <c r="G1032"/>
      <c r="H1032"/>
      <c r="I1032"/>
      <c r="J1032"/>
      <c r="K1032"/>
      <c r="L1032"/>
      <c r="M1032"/>
      <c r="N1032"/>
      <c r="O1032"/>
    </row>
    <row r="1033" spans="7:15" ht="15" x14ac:dyDescent="0.25">
      <c r="G1033"/>
      <c r="H1033"/>
      <c r="I1033"/>
      <c r="J1033"/>
      <c r="K1033"/>
      <c r="L1033"/>
      <c r="M1033"/>
      <c r="N1033"/>
      <c r="O1033"/>
    </row>
    <row r="1034" spans="7:15" ht="15" x14ac:dyDescent="0.25">
      <c r="G1034"/>
      <c r="H1034"/>
      <c r="I1034"/>
      <c r="J1034"/>
      <c r="K1034"/>
      <c r="L1034"/>
      <c r="M1034"/>
      <c r="N1034"/>
      <c r="O1034"/>
    </row>
    <row r="1035" spans="7:15" ht="15" x14ac:dyDescent="0.25">
      <c r="G1035"/>
      <c r="H1035"/>
      <c r="I1035"/>
      <c r="J1035"/>
      <c r="K1035"/>
      <c r="L1035"/>
      <c r="M1035"/>
      <c r="N1035"/>
      <c r="O1035"/>
    </row>
    <row r="1036" spans="7:15" ht="15" x14ac:dyDescent="0.25">
      <c r="G1036"/>
      <c r="H1036"/>
      <c r="I1036"/>
      <c r="J1036"/>
      <c r="K1036"/>
      <c r="L1036"/>
      <c r="M1036"/>
      <c r="N1036"/>
      <c r="O1036"/>
    </row>
    <row r="1037" spans="7:15" ht="15" x14ac:dyDescent="0.25">
      <c r="G1037"/>
      <c r="H1037"/>
      <c r="I1037"/>
      <c r="J1037"/>
      <c r="K1037"/>
      <c r="L1037"/>
      <c r="M1037"/>
      <c r="N1037"/>
      <c r="O1037"/>
    </row>
    <row r="1038" spans="7:15" ht="15" x14ac:dyDescent="0.25">
      <c r="G1038"/>
      <c r="H1038"/>
      <c r="I1038"/>
      <c r="J1038"/>
      <c r="K1038"/>
      <c r="L1038"/>
      <c r="M1038"/>
      <c r="N1038"/>
      <c r="O1038"/>
    </row>
    <row r="1039" spans="7:15" ht="15" x14ac:dyDescent="0.25">
      <c r="G1039"/>
      <c r="H1039"/>
      <c r="I1039"/>
      <c r="J1039"/>
      <c r="K1039"/>
      <c r="L1039"/>
      <c r="M1039"/>
      <c r="N1039"/>
      <c r="O1039"/>
    </row>
    <row r="1040" spans="7:15" ht="15" x14ac:dyDescent="0.25">
      <c r="G1040"/>
      <c r="H1040"/>
      <c r="I1040"/>
      <c r="J1040"/>
      <c r="K1040"/>
      <c r="L1040"/>
      <c r="M1040"/>
      <c r="N1040"/>
      <c r="O1040"/>
    </row>
    <row r="1041" spans="7:15" ht="15" x14ac:dyDescent="0.25">
      <c r="G1041"/>
      <c r="H1041"/>
      <c r="I1041"/>
      <c r="J1041"/>
      <c r="K1041"/>
      <c r="L1041"/>
      <c r="M1041"/>
      <c r="N1041"/>
      <c r="O1041"/>
    </row>
    <row r="1042" spans="7:15" ht="15" x14ac:dyDescent="0.25">
      <c r="G1042"/>
      <c r="H1042"/>
      <c r="I1042"/>
      <c r="J1042"/>
      <c r="K1042"/>
      <c r="L1042"/>
      <c r="M1042"/>
      <c r="N1042"/>
      <c r="O1042"/>
    </row>
    <row r="1043" spans="7:15" ht="15" x14ac:dyDescent="0.25">
      <c r="G1043"/>
      <c r="H1043"/>
      <c r="I1043"/>
      <c r="J1043"/>
      <c r="K1043"/>
      <c r="L1043"/>
      <c r="M1043"/>
      <c r="N1043"/>
      <c r="O1043"/>
    </row>
    <row r="1044" spans="7:15" ht="15" x14ac:dyDescent="0.25">
      <c r="G1044"/>
      <c r="H1044"/>
      <c r="I1044"/>
      <c r="J1044"/>
      <c r="K1044"/>
      <c r="L1044"/>
      <c r="M1044"/>
      <c r="N1044"/>
      <c r="O1044"/>
    </row>
    <row r="1045" spans="7:15" ht="15" x14ac:dyDescent="0.25">
      <c r="G1045"/>
      <c r="H1045"/>
      <c r="I1045"/>
      <c r="J1045"/>
      <c r="K1045"/>
      <c r="L1045"/>
      <c r="M1045"/>
      <c r="N1045"/>
      <c r="O1045"/>
    </row>
    <row r="1046" spans="7:15" ht="15" x14ac:dyDescent="0.25">
      <c r="G1046"/>
      <c r="H1046"/>
      <c r="I1046"/>
      <c r="J1046"/>
      <c r="K1046"/>
      <c r="L1046"/>
      <c r="M1046"/>
      <c r="N1046"/>
      <c r="O1046"/>
    </row>
    <row r="1047" spans="7:15" ht="15" x14ac:dyDescent="0.25">
      <c r="G1047"/>
      <c r="H1047"/>
      <c r="I1047"/>
      <c r="J1047"/>
      <c r="K1047"/>
      <c r="L1047"/>
      <c r="M1047"/>
      <c r="N1047"/>
      <c r="O1047"/>
    </row>
    <row r="1048" spans="7:15" ht="15" x14ac:dyDescent="0.25">
      <c r="G1048"/>
      <c r="H1048"/>
      <c r="I1048"/>
      <c r="J1048"/>
      <c r="K1048"/>
      <c r="L1048"/>
      <c r="M1048"/>
      <c r="N1048"/>
      <c r="O1048"/>
    </row>
    <row r="1049" spans="7:15" ht="15" x14ac:dyDescent="0.25">
      <c r="G1049"/>
      <c r="H1049"/>
      <c r="I1049"/>
      <c r="J1049"/>
      <c r="K1049"/>
      <c r="L1049"/>
      <c r="M1049"/>
      <c r="N1049"/>
      <c r="O1049"/>
    </row>
    <row r="1050" spans="7:15" ht="15" x14ac:dyDescent="0.25">
      <c r="G1050"/>
      <c r="H1050"/>
      <c r="I1050"/>
      <c r="J1050"/>
      <c r="K1050"/>
      <c r="L1050"/>
      <c r="M1050"/>
      <c r="N1050"/>
      <c r="O1050"/>
    </row>
    <row r="1051" spans="7:15" ht="15" x14ac:dyDescent="0.25">
      <c r="G1051"/>
      <c r="H1051"/>
      <c r="I1051"/>
      <c r="J1051"/>
      <c r="K1051"/>
      <c r="L1051"/>
      <c r="M1051"/>
      <c r="N1051"/>
      <c r="O1051"/>
    </row>
    <row r="1052" spans="7:15" ht="15" x14ac:dyDescent="0.25">
      <c r="G1052"/>
      <c r="H1052"/>
      <c r="I1052"/>
      <c r="J1052"/>
      <c r="K1052"/>
      <c r="L1052"/>
      <c r="M1052"/>
      <c r="N1052"/>
      <c r="O1052"/>
    </row>
    <row r="1053" spans="7:15" ht="15" x14ac:dyDescent="0.25">
      <c r="G1053"/>
      <c r="H1053"/>
      <c r="I1053"/>
      <c r="J1053"/>
      <c r="K1053"/>
      <c r="L1053"/>
      <c r="M1053"/>
      <c r="N1053"/>
      <c r="O1053"/>
    </row>
    <row r="1054" spans="7:15" ht="15" x14ac:dyDescent="0.25">
      <c r="G1054"/>
      <c r="H1054"/>
      <c r="I1054"/>
      <c r="J1054"/>
      <c r="K1054"/>
      <c r="L1054"/>
      <c r="M1054"/>
      <c r="N1054"/>
      <c r="O1054"/>
    </row>
    <row r="1055" spans="7:15" ht="15" x14ac:dyDescent="0.25">
      <c r="G1055"/>
      <c r="H1055"/>
      <c r="I1055"/>
      <c r="J1055"/>
      <c r="K1055"/>
      <c r="L1055"/>
      <c r="M1055"/>
      <c r="N1055"/>
      <c r="O1055"/>
    </row>
    <row r="1056" spans="7:15" ht="15" x14ac:dyDescent="0.25">
      <c r="G1056"/>
      <c r="H1056"/>
      <c r="I1056"/>
      <c r="J1056"/>
      <c r="K1056"/>
      <c r="L1056"/>
      <c r="M1056"/>
      <c r="N1056"/>
      <c r="O1056"/>
    </row>
    <row r="1057" spans="7:15" ht="15" x14ac:dyDescent="0.25">
      <c r="G1057"/>
      <c r="H1057"/>
      <c r="I1057"/>
      <c r="J1057"/>
      <c r="K1057"/>
      <c r="L1057"/>
      <c r="M1057"/>
      <c r="N1057"/>
      <c r="O1057"/>
    </row>
    <row r="1058" spans="7:15" ht="15" x14ac:dyDescent="0.25">
      <c r="G1058"/>
      <c r="H1058"/>
      <c r="I1058"/>
      <c r="J1058"/>
      <c r="K1058"/>
      <c r="L1058"/>
      <c r="M1058"/>
      <c r="N1058"/>
      <c r="O1058"/>
    </row>
    <row r="1059" spans="7:15" ht="15" x14ac:dyDescent="0.25">
      <c r="G1059"/>
      <c r="H1059"/>
      <c r="I1059"/>
      <c r="J1059"/>
      <c r="K1059"/>
      <c r="L1059"/>
      <c r="M1059"/>
      <c r="N1059"/>
      <c r="O1059"/>
    </row>
    <row r="1060" spans="7:15" ht="15" x14ac:dyDescent="0.25">
      <c r="G1060"/>
      <c r="H1060"/>
      <c r="I1060"/>
      <c r="J1060"/>
      <c r="K1060"/>
      <c r="L1060"/>
      <c r="M1060"/>
      <c r="N1060"/>
      <c r="O1060"/>
    </row>
    <row r="1061" spans="7:15" ht="15" x14ac:dyDescent="0.25">
      <c r="G1061"/>
      <c r="H1061"/>
      <c r="I1061"/>
      <c r="J1061"/>
      <c r="K1061"/>
      <c r="L1061"/>
      <c r="M1061"/>
      <c r="N1061"/>
      <c r="O1061"/>
    </row>
    <row r="1062" spans="7:15" ht="15" x14ac:dyDescent="0.25">
      <c r="G1062"/>
      <c r="H1062"/>
      <c r="I1062"/>
      <c r="J1062"/>
      <c r="K1062"/>
      <c r="L1062"/>
      <c r="M1062"/>
      <c r="N1062"/>
      <c r="O1062"/>
    </row>
    <row r="1063" spans="7:15" ht="15" x14ac:dyDescent="0.25">
      <c r="G1063"/>
      <c r="H1063"/>
      <c r="I1063"/>
      <c r="J1063"/>
      <c r="K1063"/>
      <c r="L1063"/>
      <c r="M1063"/>
      <c r="N1063"/>
      <c r="O1063"/>
    </row>
    <row r="1064" spans="7:15" ht="15" x14ac:dyDescent="0.25">
      <c r="G1064"/>
      <c r="H1064"/>
      <c r="I1064"/>
      <c r="J1064"/>
      <c r="K1064"/>
      <c r="L1064"/>
      <c r="M1064"/>
      <c r="N1064"/>
      <c r="O1064"/>
    </row>
    <row r="1065" spans="7:15" ht="15" x14ac:dyDescent="0.25">
      <c r="G1065"/>
      <c r="H1065"/>
      <c r="I1065"/>
      <c r="J1065"/>
      <c r="K1065"/>
      <c r="L1065"/>
      <c r="M1065"/>
      <c r="N1065"/>
      <c r="O1065"/>
    </row>
    <row r="1066" spans="7:15" ht="15" x14ac:dyDescent="0.25">
      <c r="G1066"/>
      <c r="H1066"/>
      <c r="I1066"/>
      <c r="J1066"/>
      <c r="K1066"/>
      <c r="L1066"/>
      <c r="M1066"/>
      <c r="N1066"/>
      <c r="O1066"/>
    </row>
    <row r="1067" spans="7:15" ht="15" x14ac:dyDescent="0.25">
      <c r="G1067"/>
      <c r="H1067"/>
      <c r="I1067"/>
      <c r="J1067"/>
      <c r="K1067"/>
      <c r="L1067"/>
      <c r="M1067"/>
      <c r="N1067"/>
      <c r="O1067"/>
    </row>
    <row r="1068" spans="7:15" ht="15" x14ac:dyDescent="0.25">
      <c r="G1068"/>
      <c r="H1068"/>
      <c r="I1068"/>
      <c r="J1068"/>
      <c r="K1068"/>
      <c r="L1068"/>
      <c r="M1068"/>
      <c r="N1068"/>
      <c r="O1068"/>
    </row>
    <row r="1069" spans="7:15" ht="15" x14ac:dyDescent="0.25">
      <c r="G1069"/>
      <c r="H1069"/>
      <c r="I1069"/>
      <c r="J1069"/>
      <c r="K1069"/>
      <c r="L1069"/>
      <c r="M1069"/>
      <c r="N1069"/>
      <c r="O1069"/>
    </row>
    <row r="1070" spans="7:15" ht="15" x14ac:dyDescent="0.25">
      <c r="G1070"/>
      <c r="H1070"/>
      <c r="I1070"/>
      <c r="J1070"/>
      <c r="K1070"/>
      <c r="L1070"/>
      <c r="M1070"/>
      <c r="N1070"/>
      <c r="O1070"/>
    </row>
    <row r="1071" spans="7:15" ht="15" x14ac:dyDescent="0.25">
      <c r="G1071"/>
      <c r="H1071"/>
      <c r="I1071"/>
      <c r="J1071"/>
      <c r="K1071"/>
      <c r="L1071"/>
      <c r="M1071"/>
      <c r="N1071"/>
      <c r="O1071"/>
    </row>
    <row r="1072" spans="7:15" ht="15" x14ac:dyDescent="0.25">
      <c r="G1072"/>
      <c r="H1072"/>
      <c r="I1072"/>
      <c r="J1072"/>
      <c r="K1072"/>
      <c r="L1072"/>
      <c r="M1072"/>
      <c r="N1072"/>
      <c r="O1072"/>
    </row>
    <row r="1073" spans="7:15" ht="15" x14ac:dyDescent="0.25">
      <c r="G1073"/>
      <c r="H1073"/>
      <c r="I1073"/>
      <c r="J1073"/>
      <c r="K1073"/>
      <c r="L1073"/>
      <c r="M1073"/>
      <c r="N1073"/>
      <c r="O1073"/>
    </row>
    <row r="1074" spans="7:15" ht="15" x14ac:dyDescent="0.25">
      <c r="G1074"/>
      <c r="H1074"/>
      <c r="I1074"/>
      <c r="J1074"/>
      <c r="K1074"/>
      <c r="L1074"/>
      <c r="M1074"/>
      <c r="N1074"/>
      <c r="O1074"/>
    </row>
    <row r="1075" spans="7:15" ht="15" x14ac:dyDescent="0.25">
      <c r="G1075"/>
      <c r="H1075"/>
      <c r="I1075"/>
      <c r="J1075"/>
      <c r="K1075"/>
      <c r="L1075"/>
      <c r="M1075"/>
      <c r="N1075"/>
      <c r="O1075"/>
    </row>
    <row r="1076" spans="7:15" ht="15" x14ac:dyDescent="0.25">
      <c r="G1076"/>
      <c r="H1076"/>
      <c r="I1076"/>
      <c r="J1076"/>
      <c r="K1076"/>
      <c r="L1076"/>
      <c r="M1076"/>
      <c r="N1076"/>
      <c r="O1076"/>
    </row>
    <row r="1077" spans="7:15" ht="15" x14ac:dyDescent="0.25">
      <c r="G1077"/>
      <c r="H1077"/>
      <c r="I1077"/>
      <c r="J1077"/>
      <c r="K1077"/>
      <c r="L1077"/>
      <c r="M1077"/>
      <c r="N1077"/>
      <c r="O1077"/>
    </row>
    <row r="1078" spans="7:15" ht="15" x14ac:dyDescent="0.25">
      <c r="G1078"/>
      <c r="H1078"/>
      <c r="I1078"/>
      <c r="J1078"/>
      <c r="K1078"/>
      <c r="L1078"/>
      <c r="M1078"/>
      <c r="N1078"/>
      <c r="O1078"/>
    </row>
    <row r="1079" spans="7:15" ht="15" x14ac:dyDescent="0.25">
      <c r="G1079"/>
      <c r="H1079"/>
      <c r="I1079"/>
      <c r="J1079"/>
      <c r="K1079"/>
      <c r="L1079"/>
      <c r="M1079"/>
      <c r="N1079"/>
      <c r="O1079"/>
    </row>
    <row r="1080" spans="7:15" ht="15" x14ac:dyDescent="0.25">
      <c r="G1080"/>
      <c r="H1080"/>
      <c r="I1080"/>
      <c r="J1080"/>
      <c r="K1080"/>
      <c r="L1080"/>
      <c r="M1080"/>
      <c r="N1080"/>
      <c r="O1080"/>
    </row>
    <row r="1081" spans="7:15" ht="15" x14ac:dyDescent="0.25">
      <c r="G1081"/>
      <c r="H1081"/>
      <c r="I1081"/>
      <c r="J1081"/>
      <c r="K1081"/>
      <c r="L1081"/>
      <c r="M1081"/>
      <c r="N1081"/>
      <c r="O1081"/>
    </row>
    <row r="1082" spans="7:15" ht="15" x14ac:dyDescent="0.25">
      <c r="G1082"/>
      <c r="H1082"/>
      <c r="I1082"/>
      <c r="J1082"/>
      <c r="K1082"/>
      <c r="L1082"/>
      <c r="M1082"/>
      <c r="N1082"/>
      <c r="O1082"/>
    </row>
    <row r="1083" spans="7:15" ht="15" x14ac:dyDescent="0.25">
      <c r="G1083"/>
      <c r="H1083"/>
      <c r="I1083"/>
      <c r="J1083"/>
      <c r="K1083"/>
      <c r="L1083"/>
      <c r="M1083"/>
      <c r="N1083"/>
      <c r="O1083"/>
    </row>
    <row r="1084" spans="7:15" ht="15" x14ac:dyDescent="0.25">
      <c r="G1084"/>
      <c r="H1084"/>
      <c r="I1084"/>
      <c r="J1084"/>
      <c r="K1084"/>
      <c r="L1084"/>
      <c r="M1084"/>
      <c r="N1084"/>
      <c r="O1084"/>
    </row>
    <row r="1085" spans="7:15" ht="15" x14ac:dyDescent="0.25">
      <c r="G1085"/>
      <c r="H1085"/>
      <c r="I1085"/>
      <c r="J1085"/>
      <c r="K1085"/>
      <c r="L1085"/>
      <c r="M1085"/>
      <c r="N1085"/>
      <c r="O1085"/>
    </row>
    <row r="1086" spans="7:15" ht="15" x14ac:dyDescent="0.25">
      <c r="G1086"/>
      <c r="H1086"/>
      <c r="I1086"/>
      <c r="J1086"/>
      <c r="K1086"/>
      <c r="L1086"/>
      <c r="M1086"/>
      <c r="N1086"/>
      <c r="O1086"/>
    </row>
    <row r="1087" spans="7:15" ht="15" x14ac:dyDescent="0.25">
      <c r="G1087"/>
      <c r="H1087"/>
      <c r="I1087"/>
      <c r="J1087"/>
      <c r="K1087"/>
      <c r="L1087"/>
      <c r="M1087"/>
      <c r="N1087"/>
      <c r="O1087"/>
    </row>
    <row r="1088" spans="7:15" ht="15" x14ac:dyDescent="0.25">
      <c r="G1088"/>
      <c r="H1088"/>
      <c r="I1088"/>
      <c r="J1088"/>
      <c r="K1088"/>
      <c r="L1088"/>
      <c r="M1088"/>
      <c r="N1088"/>
      <c r="O1088"/>
    </row>
    <row r="1089" spans="7:15" ht="15" x14ac:dyDescent="0.25">
      <c r="G1089"/>
      <c r="H1089"/>
      <c r="I1089"/>
      <c r="J1089"/>
      <c r="K1089"/>
      <c r="L1089"/>
      <c r="M1089"/>
      <c r="N1089"/>
      <c r="O1089"/>
    </row>
    <row r="1090" spans="7:15" ht="15" x14ac:dyDescent="0.25">
      <c r="G1090"/>
      <c r="H1090"/>
      <c r="I1090"/>
      <c r="J1090"/>
      <c r="K1090"/>
      <c r="L1090"/>
      <c r="M1090"/>
      <c r="N1090"/>
      <c r="O1090"/>
    </row>
    <row r="1091" spans="7:15" ht="15" x14ac:dyDescent="0.25">
      <c r="G1091"/>
      <c r="H1091"/>
      <c r="I1091"/>
      <c r="J1091"/>
      <c r="K1091"/>
      <c r="L1091"/>
      <c r="M1091"/>
      <c r="N1091"/>
      <c r="O1091"/>
    </row>
    <row r="1092" spans="7:15" ht="15" x14ac:dyDescent="0.25">
      <c r="G1092"/>
      <c r="H1092"/>
      <c r="I1092"/>
      <c r="J1092"/>
      <c r="K1092"/>
      <c r="L1092"/>
      <c r="M1092"/>
      <c r="N1092"/>
      <c r="O1092"/>
    </row>
    <row r="1093" spans="7:15" ht="15" x14ac:dyDescent="0.25">
      <c r="G1093"/>
      <c r="H1093"/>
      <c r="I1093"/>
      <c r="J1093"/>
      <c r="K1093"/>
      <c r="L1093"/>
      <c r="M1093"/>
      <c r="N1093"/>
      <c r="O1093"/>
    </row>
    <row r="1094" spans="7:15" ht="15" x14ac:dyDescent="0.25">
      <c r="G1094"/>
      <c r="H1094"/>
      <c r="I1094"/>
      <c r="J1094"/>
      <c r="K1094"/>
      <c r="L1094"/>
      <c r="M1094"/>
      <c r="N1094"/>
      <c r="O1094"/>
    </row>
    <row r="1095" spans="7:15" ht="15" x14ac:dyDescent="0.25">
      <c r="G1095"/>
      <c r="H1095"/>
      <c r="I1095"/>
      <c r="J1095"/>
      <c r="K1095"/>
      <c r="L1095"/>
      <c r="M1095"/>
      <c r="N1095"/>
      <c r="O1095"/>
    </row>
    <row r="1096" spans="7:15" ht="15" x14ac:dyDescent="0.25">
      <c r="G1096"/>
      <c r="H1096"/>
      <c r="I1096"/>
      <c r="J1096"/>
      <c r="K1096"/>
      <c r="L1096"/>
      <c r="M1096"/>
      <c r="N1096"/>
      <c r="O1096"/>
    </row>
    <row r="1097" spans="7:15" ht="15" x14ac:dyDescent="0.25">
      <c r="G1097"/>
      <c r="H1097"/>
      <c r="I1097"/>
      <c r="J1097"/>
      <c r="K1097"/>
      <c r="L1097"/>
      <c r="M1097"/>
      <c r="N1097"/>
      <c r="O1097"/>
    </row>
    <row r="1098" spans="7:15" ht="15" x14ac:dyDescent="0.25">
      <c r="G1098"/>
      <c r="H1098"/>
      <c r="I1098"/>
      <c r="J1098"/>
      <c r="K1098"/>
      <c r="L1098"/>
      <c r="M1098"/>
      <c r="N1098"/>
      <c r="O1098"/>
    </row>
    <row r="1099" spans="7:15" ht="15" x14ac:dyDescent="0.25">
      <c r="G1099"/>
      <c r="H1099"/>
      <c r="I1099"/>
      <c r="J1099"/>
      <c r="K1099"/>
      <c r="L1099"/>
      <c r="M1099"/>
      <c r="N1099"/>
      <c r="O1099"/>
    </row>
    <row r="1100" spans="7:15" ht="15" x14ac:dyDescent="0.25">
      <c r="G1100"/>
      <c r="H1100"/>
      <c r="I1100"/>
      <c r="J1100"/>
      <c r="K1100"/>
      <c r="L1100"/>
      <c r="M1100"/>
      <c r="N1100"/>
      <c r="O1100"/>
    </row>
    <row r="1101" spans="7:15" ht="15" x14ac:dyDescent="0.25">
      <c r="G1101"/>
      <c r="H1101"/>
      <c r="I1101"/>
      <c r="J1101"/>
      <c r="K1101"/>
      <c r="L1101"/>
      <c r="M1101"/>
      <c r="N1101"/>
      <c r="O1101"/>
    </row>
    <row r="1102" spans="7:15" ht="15" x14ac:dyDescent="0.25">
      <c r="G1102"/>
      <c r="H1102"/>
      <c r="I1102"/>
      <c r="J1102"/>
      <c r="K1102"/>
      <c r="L1102"/>
      <c r="M1102"/>
      <c r="N1102"/>
      <c r="O1102"/>
    </row>
    <row r="1103" spans="7:15" ht="15" x14ac:dyDescent="0.25">
      <c r="G1103"/>
      <c r="H1103"/>
      <c r="I1103"/>
      <c r="J1103"/>
      <c r="K1103"/>
      <c r="L1103"/>
      <c r="M1103"/>
      <c r="N1103"/>
      <c r="O1103"/>
    </row>
    <row r="1104" spans="7:15" ht="15" x14ac:dyDescent="0.25">
      <c r="G1104"/>
      <c r="H1104"/>
      <c r="I1104"/>
      <c r="J1104"/>
      <c r="K1104"/>
      <c r="L1104"/>
      <c r="M1104"/>
      <c r="N1104"/>
      <c r="O1104"/>
    </row>
    <row r="1105" spans="7:15" ht="15" x14ac:dyDescent="0.25">
      <c r="G1105"/>
      <c r="H1105"/>
      <c r="I1105"/>
      <c r="J1105"/>
      <c r="K1105"/>
      <c r="L1105"/>
      <c r="M1105"/>
      <c r="N1105"/>
      <c r="O1105"/>
    </row>
    <row r="1106" spans="7:15" ht="15" x14ac:dyDescent="0.25">
      <c r="G1106"/>
      <c r="H1106"/>
      <c r="I1106"/>
      <c r="J1106"/>
      <c r="K1106"/>
      <c r="L1106"/>
      <c r="M1106"/>
      <c r="N1106"/>
      <c r="O1106"/>
    </row>
    <row r="1107" spans="7:15" ht="15" x14ac:dyDescent="0.25">
      <c r="G1107"/>
      <c r="H1107"/>
      <c r="I1107"/>
      <c r="J1107"/>
      <c r="K1107"/>
      <c r="L1107"/>
      <c r="M1107"/>
      <c r="N1107"/>
      <c r="O1107"/>
    </row>
    <row r="1108" spans="7:15" ht="15" x14ac:dyDescent="0.25">
      <c r="G1108"/>
      <c r="H1108"/>
      <c r="I1108"/>
      <c r="J1108"/>
      <c r="K1108"/>
      <c r="L1108"/>
      <c r="M1108"/>
      <c r="N1108"/>
      <c r="O1108"/>
    </row>
    <row r="1109" spans="7:15" ht="15" x14ac:dyDescent="0.25">
      <c r="G1109"/>
      <c r="H1109"/>
      <c r="I1109"/>
      <c r="J1109"/>
      <c r="K1109"/>
      <c r="L1109"/>
      <c r="M1109"/>
      <c r="N1109"/>
      <c r="O1109"/>
    </row>
    <row r="1110" spans="7:15" ht="15" x14ac:dyDescent="0.25">
      <c r="G1110"/>
      <c r="H1110"/>
      <c r="I1110"/>
      <c r="J1110"/>
      <c r="K1110"/>
      <c r="L1110"/>
      <c r="M1110"/>
      <c r="N1110"/>
      <c r="O1110"/>
    </row>
    <row r="1111" spans="7:15" ht="15" x14ac:dyDescent="0.25">
      <c r="G1111"/>
      <c r="H1111"/>
      <c r="I1111"/>
      <c r="J1111"/>
      <c r="K1111"/>
      <c r="L1111"/>
      <c r="M1111"/>
      <c r="N1111"/>
      <c r="O1111"/>
    </row>
    <row r="1112" spans="7:15" ht="15" x14ac:dyDescent="0.25">
      <c r="G1112"/>
      <c r="H1112"/>
      <c r="I1112"/>
      <c r="J1112"/>
      <c r="K1112"/>
      <c r="L1112"/>
      <c r="M1112"/>
      <c r="N1112"/>
      <c r="O1112"/>
    </row>
    <row r="1113" spans="7:15" ht="15" x14ac:dyDescent="0.25">
      <c r="G1113"/>
      <c r="H1113"/>
      <c r="I1113"/>
      <c r="J1113"/>
      <c r="K1113"/>
      <c r="L1113"/>
      <c r="M1113"/>
      <c r="N1113"/>
      <c r="O1113"/>
    </row>
    <row r="1114" spans="7:15" ht="15" x14ac:dyDescent="0.25">
      <c r="G1114"/>
      <c r="H1114"/>
      <c r="I1114"/>
      <c r="J1114"/>
      <c r="K1114"/>
      <c r="L1114"/>
      <c r="M1114"/>
      <c r="N1114"/>
      <c r="O1114"/>
    </row>
    <row r="1115" spans="7:15" ht="15" x14ac:dyDescent="0.25">
      <c r="G1115"/>
      <c r="H1115"/>
      <c r="I1115"/>
      <c r="J1115"/>
      <c r="K1115"/>
      <c r="L1115"/>
      <c r="M1115"/>
      <c r="N1115"/>
      <c r="O1115"/>
    </row>
    <row r="1116" spans="7:15" ht="15" x14ac:dyDescent="0.25">
      <c r="G1116"/>
      <c r="H1116"/>
      <c r="I1116"/>
      <c r="J1116"/>
      <c r="K1116"/>
      <c r="L1116"/>
      <c r="M1116"/>
      <c r="N1116"/>
      <c r="O1116"/>
    </row>
    <row r="1117" spans="7:15" ht="15" x14ac:dyDescent="0.25">
      <c r="G1117"/>
      <c r="H1117"/>
      <c r="I1117"/>
      <c r="J1117"/>
      <c r="K1117"/>
      <c r="L1117"/>
      <c r="M1117"/>
      <c r="N1117"/>
      <c r="O1117"/>
    </row>
    <row r="1118" spans="7:15" ht="15" x14ac:dyDescent="0.25">
      <c r="G1118"/>
      <c r="H1118"/>
      <c r="I1118"/>
      <c r="J1118"/>
      <c r="K1118"/>
      <c r="L1118"/>
      <c r="M1118"/>
      <c r="N1118"/>
      <c r="O1118"/>
    </row>
    <row r="1119" spans="7:15" ht="15" x14ac:dyDescent="0.25">
      <c r="G1119"/>
      <c r="H1119"/>
      <c r="I1119"/>
      <c r="J1119"/>
      <c r="K1119"/>
      <c r="L1119"/>
      <c r="M1119"/>
      <c r="N1119"/>
      <c r="O1119"/>
    </row>
    <row r="1120" spans="7:15" ht="15" x14ac:dyDescent="0.25">
      <c r="G1120"/>
      <c r="H1120"/>
      <c r="I1120"/>
      <c r="J1120"/>
      <c r="K1120"/>
      <c r="L1120"/>
      <c r="M1120"/>
      <c r="N1120"/>
      <c r="O1120"/>
    </row>
    <row r="1121" spans="7:15" ht="15" x14ac:dyDescent="0.25">
      <c r="G1121"/>
      <c r="H1121"/>
      <c r="I1121"/>
      <c r="J1121"/>
      <c r="K1121"/>
      <c r="L1121"/>
      <c r="M1121"/>
      <c r="N1121"/>
      <c r="O1121"/>
    </row>
    <row r="1122" spans="7:15" ht="15" x14ac:dyDescent="0.25">
      <c r="G1122"/>
      <c r="H1122"/>
      <c r="I1122"/>
      <c r="J1122"/>
      <c r="K1122"/>
      <c r="L1122"/>
      <c r="M1122"/>
      <c r="N1122"/>
      <c r="O1122"/>
    </row>
    <row r="1123" spans="7:15" ht="15" x14ac:dyDescent="0.25">
      <c r="G1123"/>
      <c r="H1123"/>
      <c r="I1123"/>
      <c r="J1123"/>
      <c r="K1123"/>
      <c r="L1123"/>
      <c r="M1123"/>
      <c r="N1123"/>
      <c r="O1123"/>
    </row>
    <row r="1124" spans="7:15" ht="15" x14ac:dyDescent="0.25">
      <c r="G1124"/>
      <c r="H1124"/>
      <c r="I1124"/>
      <c r="J1124"/>
      <c r="K1124"/>
      <c r="L1124"/>
      <c r="M1124"/>
      <c r="N1124"/>
      <c r="O1124"/>
    </row>
    <row r="1125" spans="7:15" ht="15" x14ac:dyDescent="0.25">
      <c r="G1125"/>
      <c r="H1125"/>
      <c r="I1125"/>
      <c r="J1125"/>
      <c r="K1125"/>
      <c r="L1125"/>
      <c r="M1125"/>
      <c r="N1125"/>
      <c r="O1125"/>
    </row>
    <row r="1126" spans="7:15" ht="15" x14ac:dyDescent="0.25">
      <c r="G1126"/>
      <c r="H1126"/>
      <c r="I1126"/>
      <c r="J1126"/>
      <c r="K1126"/>
      <c r="L1126"/>
      <c r="M1126"/>
      <c r="N1126"/>
      <c r="O1126"/>
    </row>
    <row r="1127" spans="7:15" ht="15" x14ac:dyDescent="0.25">
      <c r="G1127"/>
      <c r="H1127"/>
      <c r="I1127"/>
      <c r="J1127"/>
      <c r="K1127"/>
      <c r="L1127"/>
      <c r="M1127"/>
      <c r="N1127"/>
      <c r="O1127"/>
    </row>
    <row r="1128" spans="7:15" ht="15" x14ac:dyDescent="0.25">
      <c r="G1128"/>
      <c r="H1128"/>
      <c r="I1128"/>
      <c r="J1128"/>
      <c r="K1128"/>
      <c r="L1128"/>
      <c r="M1128"/>
      <c r="N1128"/>
      <c r="O1128"/>
    </row>
    <row r="1129" spans="7:15" ht="15" x14ac:dyDescent="0.25">
      <c r="G1129"/>
      <c r="H1129"/>
      <c r="I1129"/>
      <c r="J1129"/>
      <c r="K1129"/>
      <c r="L1129"/>
      <c r="M1129"/>
      <c r="N1129"/>
      <c r="O1129"/>
    </row>
    <row r="1130" spans="7:15" ht="15" x14ac:dyDescent="0.25">
      <c r="G1130"/>
      <c r="H1130"/>
      <c r="I1130"/>
      <c r="J1130"/>
      <c r="K1130"/>
      <c r="L1130"/>
      <c r="M1130"/>
      <c r="N1130"/>
      <c r="O1130"/>
    </row>
    <row r="1131" spans="7:15" ht="15" x14ac:dyDescent="0.25">
      <c r="G1131"/>
      <c r="H1131"/>
      <c r="I1131"/>
      <c r="J1131"/>
      <c r="K1131"/>
      <c r="L1131"/>
      <c r="M1131"/>
      <c r="N1131"/>
      <c r="O1131"/>
    </row>
    <row r="1132" spans="7:15" ht="15" x14ac:dyDescent="0.25">
      <c r="G1132"/>
      <c r="H1132"/>
      <c r="I1132"/>
      <c r="J1132"/>
      <c r="K1132"/>
      <c r="L1132"/>
      <c r="M1132"/>
      <c r="N1132"/>
      <c r="O1132"/>
    </row>
    <row r="1133" spans="7:15" ht="15" x14ac:dyDescent="0.25">
      <c r="G1133"/>
      <c r="H1133"/>
      <c r="I1133"/>
      <c r="J1133"/>
      <c r="K1133"/>
      <c r="L1133"/>
      <c r="M1133"/>
      <c r="N1133"/>
      <c r="O1133"/>
    </row>
    <row r="1134" spans="7:15" ht="15" x14ac:dyDescent="0.25">
      <c r="G1134"/>
      <c r="H1134"/>
      <c r="I1134"/>
      <c r="J1134"/>
      <c r="K1134"/>
      <c r="L1134"/>
      <c r="M1134"/>
      <c r="N1134"/>
      <c r="O1134"/>
    </row>
    <row r="1135" spans="7:15" ht="15" x14ac:dyDescent="0.25">
      <c r="G1135"/>
      <c r="H1135"/>
      <c r="I1135"/>
      <c r="J1135"/>
      <c r="K1135"/>
      <c r="L1135"/>
      <c r="M1135"/>
      <c r="N1135"/>
      <c r="O1135"/>
    </row>
    <row r="1136" spans="7:15" ht="15" x14ac:dyDescent="0.25">
      <c r="G1136"/>
      <c r="H1136"/>
      <c r="I1136"/>
      <c r="J1136"/>
      <c r="K1136"/>
      <c r="L1136"/>
      <c r="M1136"/>
      <c r="N1136"/>
      <c r="O1136"/>
    </row>
    <row r="1137" spans="7:15" ht="15" x14ac:dyDescent="0.25">
      <c r="G1137"/>
      <c r="H1137"/>
      <c r="I1137"/>
      <c r="J1137"/>
      <c r="K1137"/>
      <c r="L1137"/>
      <c r="M1137"/>
      <c r="N1137"/>
      <c r="O1137"/>
    </row>
    <row r="1138" spans="7:15" ht="15" x14ac:dyDescent="0.25">
      <c r="G1138"/>
      <c r="H1138"/>
      <c r="I1138"/>
      <c r="J1138"/>
      <c r="K1138"/>
      <c r="L1138"/>
      <c r="M1138"/>
      <c r="N1138"/>
      <c r="O1138"/>
    </row>
    <row r="1139" spans="7:15" ht="15" x14ac:dyDescent="0.25">
      <c r="G1139"/>
      <c r="H1139"/>
      <c r="I1139"/>
      <c r="J1139"/>
      <c r="K1139"/>
      <c r="L1139"/>
      <c r="M1139"/>
      <c r="N1139"/>
      <c r="O1139"/>
    </row>
    <row r="1140" spans="7:15" ht="15" x14ac:dyDescent="0.25">
      <c r="G1140"/>
      <c r="H1140"/>
      <c r="I1140"/>
      <c r="J1140"/>
      <c r="K1140"/>
      <c r="L1140"/>
      <c r="M1140"/>
      <c r="N1140"/>
      <c r="O1140"/>
    </row>
    <row r="1141" spans="7:15" ht="15" x14ac:dyDescent="0.25">
      <c r="G1141"/>
      <c r="H1141"/>
      <c r="I1141"/>
      <c r="J1141"/>
      <c r="K1141"/>
      <c r="L1141"/>
      <c r="M1141"/>
      <c r="N1141"/>
      <c r="O1141"/>
    </row>
    <row r="1142" spans="7:15" ht="15" x14ac:dyDescent="0.25">
      <c r="G1142"/>
      <c r="H1142"/>
      <c r="I1142"/>
      <c r="J1142"/>
      <c r="K1142"/>
      <c r="L1142"/>
      <c r="M1142"/>
      <c r="N1142"/>
      <c r="O1142"/>
    </row>
    <row r="1143" spans="7:15" ht="15" x14ac:dyDescent="0.25">
      <c r="G1143"/>
      <c r="H1143"/>
      <c r="I1143"/>
      <c r="J1143"/>
      <c r="K1143"/>
      <c r="L1143"/>
      <c r="M1143"/>
      <c r="N1143"/>
      <c r="O1143"/>
    </row>
    <row r="1144" spans="7:15" ht="15" x14ac:dyDescent="0.25">
      <c r="G1144"/>
      <c r="H1144"/>
      <c r="I1144"/>
      <c r="J1144"/>
      <c r="K1144"/>
      <c r="L1144"/>
      <c r="M1144"/>
      <c r="N1144"/>
      <c r="O1144"/>
    </row>
    <row r="1145" spans="7:15" ht="15" x14ac:dyDescent="0.25">
      <c r="G1145"/>
      <c r="H1145"/>
      <c r="I1145"/>
      <c r="J1145"/>
      <c r="K1145"/>
      <c r="L1145"/>
      <c r="M1145"/>
      <c r="N1145"/>
      <c r="O1145"/>
    </row>
    <row r="1146" spans="7:15" ht="15" x14ac:dyDescent="0.25">
      <c r="G1146"/>
      <c r="H1146"/>
      <c r="I1146"/>
      <c r="J1146"/>
      <c r="K1146"/>
      <c r="L1146"/>
      <c r="M1146"/>
      <c r="N1146"/>
      <c r="O1146"/>
    </row>
    <row r="1147" spans="7:15" ht="15" x14ac:dyDescent="0.25">
      <c r="G1147"/>
      <c r="H1147"/>
      <c r="I1147"/>
      <c r="J1147"/>
      <c r="K1147"/>
      <c r="L1147"/>
      <c r="M1147"/>
      <c r="N1147"/>
      <c r="O1147"/>
    </row>
    <row r="1148" spans="7:15" ht="15" x14ac:dyDescent="0.25">
      <c r="G1148"/>
      <c r="H1148"/>
      <c r="I1148"/>
      <c r="J1148"/>
      <c r="K1148"/>
      <c r="L1148"/>
      <c r="M1148"/>
      <c r="N1148"/>
      <c r="O1148"/>
    </row>
    <row r="1149" spans="7:15" ht="15" x14ac:dyDescent="0.25">
      <c r="G1149"/>
      <c r="H1149"/>
      <c r="I1149"/>
      <c r="J1149"/>
      <c r="K1149"/>
      <c r="L1149"/>
      <c r="M1149"/>
      <c r="N1149"/>
      <c r="O1149"/>
    </row>
    <row r="1150" spans="7:15" ht="15" x14ac:dyDescent="0.25">
      <c r="G1150"/>
      <c r="H1150"/>
      <c r="I1150"/>
      <c r="J1150"/>
      <c r="K1150"/>
      <c r="L1150"/>
      <c r="M1150"/>
      <c r="N1150"/>
      <c r="O1150"/>
    </row>
    <row r="1151" spans="7:15" ht="15" x14ac:dyDescent="0.25">
      <c r="G1151"/>
      <c r="H1151"/>
      <c r="I1151"/>
      <c r="J1151"/>
      <c r="K1151"/>
      <c r="L1151"/>
      <c r="M1151"/>
      <c r="N1151"/>
      <c r="O1151"/>
    </row>
    <row r="1152" spans="7:15" ht="15" x14ac:dyDescent="0.25">
      <c r="G1152"/>
      <c r="H1152"/>
      <c r="I1152"/>
      <c r="J1152"/>
      <c r="K1152"/>
      <c r="L1152"/>
      <c r="M1152"/>
      <c r="N1152"/>
      <c r="O1152"/>
    </row>
    <row r="1153" spans="7:15" ht="15" x14ac:dyDescent="0.25">
      <c r="G1153"/>
      <c r="H1153"/>
      <c r="I1153"/>
      <c r="J1153"/>
      <c r="K1153"/>
      <c r="L1153"/>
      <c r="M1153"/>
      <c r="N1153"/>
      <c r="O1153"/>
    </row>
    <row r="1154" spans="7:15" ht="15" x14ac:dyDescent="0.25">
      <c r="G1154"/>
      <c r="H1154"/>
      <c r="I1154"/>
      <c r="J1154"/>
      <c r="K1154"/>
      <c r="L1154"/>
      <c r="M1154"/>
      <c r="N1154"/>
      <c r="O1154"/>
    </row>
    <row r="1155" spans="7:15" ht="15" x14ac:dyDescent="0.25">
      <c r="G1155"/>
      <c r="H1155"/>
      <c r="I1155"/>
      <c r="J1155"/>
      <c r="K1155"/>
      <c r="L1155"/>
      <c r="M1155"/>
      <c r="N1155"/>
      <c r="O1155"/>
    </row>
    <row r="1156" spans="7:15" ht="15" x14ac:dyDescent="0.25">
      <c r="G1156"/>
      <c r="H1156"/>
      <c r="I1156"/>
      <c r="J1156"/>
      <c r="K1156"/>
      <c r="L1156"/>
      <c r="M1156"/>
      <c r="N1156"/>
      <c r="O1156"/>
    </row>
    <row r="1157" spans="7:15" ht="15" x14ac:dyDescent="0.25">
      <c r="G1157"/>
      <c r="H1157"/>
      <c r="I1157"/>
      <c r="J1157"/>
      <c r="K1157"/>
      <c r="L1157"/>
      <c r="M1157"/>
      <c r="N1157"/>
      <c r="O1157"/>
    </row>
    <row r="1158" spans="7:15" ht="15" x14ac:dyDescent="0.25">
      <c r="G1158"/>
      <c r="H1158"/>
      <c r="I1158"/>
      <c r="J1158"/>
      <c r="K1158"/>
      <c r="L1158"/>
      <c r="M1158"/>
      <c r="N1158"/>
      <c r="O1158"/>
    </row>
    <row r="1159" spans="7:15" ht="15" x14ac:dyDescent="0.25">
      <c r="G1159"/>
      <c r="H1159"/>
      <c r="I1159"/>
      <c r="J1159"/>
      <c r="K1159"/>
      <c r="L1159"/>
      <c r="M1159"/>
      <c r="N1159"/>
      <c r="O1159"/>
    </row>
    <row r="1160" spans="7:15" ht="15" x14ac:dyDescent="0.25">
      <c r="G1160"/>
      <c r="H1160"/>
      <c r="I1160"/>
      <c r="J1160"/>
      <c r="K1160"/>
      <c r="L1160"/>
      <c r="M1160"/>
      <c r="N1160"/>
      <c r="O1160"/>
    </row>
    <row r="1161" spans="7:15" ht="15" x14ac:dyDescent="0.25">
      <c r="G1161"/>
      <c r="H1161"/>
      <c r="I1161"/>
      <c r="J1161"/>
      <c r="K1161"/>
      <c r="L1161"/>
      <c r="M1161"/>
      <c r="N1161"/>
      <c r="O1161"/>
    </row>
    <row r="1162" spans="7:15" ht="15" x14ac:dyDescent="0.25">
      <c r="G1162"/>
      <c r="H1162"/>
      <c r="I1162"/>
      <c r="J1162"/>
      <c r="K1162"/>
      <c r="L1162"/>
      <c r="M1162"/>
      <c r="N1162"/>
      <c r="O1162"/>
    </row>
    <row r="1163" spans="7:15" ht="15" x14ac:dyDescent="0.25">
      <c r="G1163"/>
      <c r="H1163"/>
      <c r="I1163"/>
      <c r="J1163"/>
      <c r="K1163"/>
      <c r="L1163"/>
      <c r="M1163"/>
      <c r="N1163"/>
      <c r="O1163"/>
    </row>
    <row r="1164" spans="7:15" ht="15" x14ac:dyDescent="0.25">
      <c r="G1164"/>
      <c r="H1164"/>
      <c r="I1164"/>
      <c r="J1164"/>
      <c r="K1164"/>
      <c r="L1164"/>
      <c r="M1164"/>
      <c r="N1164"/>
      <c r="O1164"/>
    </row>
    <row r="1165" spans="7:15" ht="15" x14ac:dyDescent="0.25">
      <c r="G1165"/>
      <c r="H1165"/>
      <c r="I1165"/>
      <c r="J1165"/>
      <c r="K1165"/>
      <c r="L1165"/>
      <c r="M1165"/>
      <c r="N1165"/>
      <c r="O1165"/>
    </row>
    <row r="1166" spans="7:15" ht="15" x14ac:dyDescent="0.25">
      <c r="G1166"/>
      <c r="H1166"/>
      <c r="I1166"/>
      <c r="J1166"/>
      <c r="K1166"/>
      <c r="L1166"/>
      <c r="M1166"/>
      <c r="N1166"/>
      <c r="O1166"/>
    </row>
    <row r="1167" spans="7:15" ht="15" x14ac:dyDescent="0.25">
      <c r="G1167"/>
      <c r="H1167"/>
      <c r="I1167"/>
      <c r="J1167"/>
      <c r="K1167"/>
      <c r="L1167"/>
      <c r="M1167"/>
      <c r="N1167"/>
      <c r="O1167"/>
    </row>
    <row r="1168" spans="7:15" ht="15" x14ac:dyDescent="0.25">
      <c r="G1168"/>
      <c r="H1168"/>
      <c r="I1168"/>
      <c r="J1168"/>
      <c r="K1168"/>
      <c r="L1168"/>
      <c r="M1168"/>
      <c r="N1168"/>
      <c r="O1168"/>
    </row>
    <row r="1169" spans="7:15" ht="15" x14ac:dyDescent="0.25">
      <c r="G1169"/>
      <c r="H1169"/>
      <c r="I1169"/>
      <c r="J1169"/>
      <c r="K1169"/>
      <c r="L1169"/>
      <c r="M1169"/>
      <c r="N1169"/>
      <c r="O1169"/>
    </row>
    <row r="1170" spans="7:15" ht="15" x14ac:dyDescent="0.25">
      <c r="G1170"/>
      <c r="H1170"/>
      <c r="I1170"/>
      <c r="J1170"/>
      <c r="K1170"/>
      <c r="L1170"/>
      <c r="M1170"/>
      <c r="N1170"/>
      <c r="O1170"/>
    </row>
    <row r="1171" spans="7:15" ht="15" x14ac:dyDescent="0.25">
      <c r="G1171"/>
      <c r="H1171"/>
      <c r="I1171"/>
      <c r="J1171"/>
      <c r="K1171"/>
      <c r="L1171"/>
      <c r="M1171"/>
      <c r="N1171"/>
      <c r="O1171"/>
    </row>
    <row r="1172" spans="7:15" ht="15" x14ac:dyDescent="0.25">
      <c r="G1172"/>
      <c r="H1172"/>
      <c r="I1172"/>
      <c r="J1172"/>
      <c r="K1172"/>
      <c r="L1172"/>
      <c r="M1172"/>
      <c r="N1172"/>
      <c r="O1172"/>
    </row>
    <row r="1173" spans="7:15" ht="15" x14ac:dyDescent="0.25">
      <c r="G1173"/>
      <c r="H1173"/>
      <c r="I1173"/>
      <c r="J1173"/>
      <c r="K1173"/>
      <c r="L1173"/>
      <c r="M1173"/>
      <c r="N1173"/>
      <c r="O1173"/>
    </row>
    <row r="1174" spans="7:15" ht="15" x14ac:dyDescent="0.25">
      <c r="G1174"/>
      <c r="H1174"/>
      <c r="I1174"/>
      <c r="J1174"/>
      <c r="K1174"/>
      <c r="L1174"/>
      <c r="M1174"/>
      <c r="N1174"/>
      <c r="O1174"/>
    </row>
    <row r="1175" spans="7:15" ht="15" x14ac:dyDescent="0.25">
      <c r="G1175"/>
      <c r="H1175"/>
      <c r="I1175"/>
      <c r="J1175"/>
      <c r="K1175"/>
      <c r="L1175"/>
      <c r="M1175"/>
      <c r="N1175"/>
      <c r="O1175"/>
    </row>
    <row r="1176" spans="7:15" ht="15" x14ac:dyDescent="0.25">
      <c r="G1176"/>
      <c r="H1176"/>
      <c r="I1176"/>
      <c r="J1176"/>
      <c r="K1176"/>
      <c r="L1176"/>
      <c r="M1176"/>
      <c r="N1176"/>
      <c r="O1176"/>
    </row>
    <row r="1177" spans="7:15" ht="15" x14ac:dyDescent="0.25">
      <c r="G1177"/>
      <c r="H1177"/>
      <c r="I1177"/>
      <c r="J1177"/>
      <c r="K1177"/>
      <c r="L1177"/>
      <c r="M1177"/>
      <c r="N1177"/>
      <c r="O1177"/>
    </row>
    <row r="1178" spans="7:15" ht="15" x14ac:dyDescent="0.25">
      <c r="G1178"/>
      <c r="H1178"/>
      <c r="I1178"/>
      <c r="J1178"/>
      <c r="K1178"/>
      <c r="L1178"/>
      <c r="M1178"/>
      <c r="N1178"/>
      <c r="O1178"/>
    </row>
    <row r="1179" spans="7:15" ht="15" x14ac:dyDescent="0.25">
      <c r="G1179"/>
      <c r="H1179"/>
      <c r="I1179"/>
      <c r="J1179"/>
      <c r="K1179"/>
      <c r="L1179"/>
      <c r="M1179"/>
      <c r="N1179"/>
      <c r="O1179"/>
    </row>
    <row r="1180" spans="7:15" ht="15" x14ac:dyDescent="0.25">
      <c r="G1180"/>
      <c r="H1180"/>
      <c r="I1180"/>
      <c r="J1180"/>
      <c r="K1180"/>
      <c r="L1180"/>
      <c r="M1180"/>
      <c r="N1180"/>
      <c r="O1180"/>
    </row>
    <row r="1181" spans="7:15" ht="15" x14ac:dyDescent="0.25">
      <c r="G1181"/>
      <c r="H1181"/>
      <c r="I1181"/>
      <c r="J1181"/>
      <c r="K1181"/>
      <c r="L1181"/>
      <c r="M1181"/>
      <c r="N1181"/>
      <c r="O1181"/>
    </row>
    <row r="1182" spans="7:15" ht="15" x14ac:dyDescent="0.25">
      <c r="G1182"/>
      <c r="H1182"/>
      <c r="I1182"/>
      <c r="J1182"/>
      <c r="K1182"/>
      <c r="L1182"/>
      <c r="M1182"/>
      <c r="N1182"/>
      <c r="O1182"/>
    </row>
    <row r="1183" spans="7:15" ht="15" x14ac:dyDescent="0.25">
      <c r="G1183"/>
      <c r="H1183"/>
      <c r="I1183"/>
      <c r="J1183"/>
      <c r="K1183"/>
      <c r="L1183"/>
      <c r="M1183"/>
      <c r="N1183"/>
      <c r="O1183"/>
    </row>
    <row r="1184" spans="7:15" ht="15" x14ac:dyDescent="0.25">
      <c r="G1184"/>
      <c r="H1184"/>
      <c r="I1184"/>
      <c r="J1184"/>
      <c r="K1184"/>
      <c r="L1184"/>
      <c r="M1184"/>
      <c r="N1184"/>
      <c r="O1184"/>
    </row>
    <row r="1185" spans="7:15" ht="15" x14ac:dyDescent="0.25">
      <c r="G1185"/>
      <c r="H1185"/>
      <c r="I1185"/>
      <c r="J1185"/>
      <c r="K1185"/>
      <c r="L1185"/>
      <c r="M1185"/>
      <c r="N1185"/>
      <c r="O1185"/>
    </row>
    <row r="1186" spans="7:15" ht="15" x14ac:dyDescent="0.25">
      <c r="G1186"/>
      <c r="H1186"/>
      <c r="I1186"/>
      <c r="J1186"/>
      <c r="K1186"/>
      <c r="L1186"/>
      <c r="M1186"/>
      <c r="N1186"/>
      <c r="O1186"/>
    </row>
    <row r="1187" spans="7:15" ht="15" x14ac:dyDescent="0.25">
      <c r="G1187"/>
      <c r="H1187"/>
      <c r="I1187"/>
      <c r="J1187"/>
      <c r="K1187"/>
      <c r="L1187"/>
      <c r="M1187"/>
      <c r="N1187"/>
      <c r="O1187"/>
    </row>
    <row r="1188" spans="7:15" ht="15" x14ac:dyDescent="0.25">
      <c r="G1188"/>
      <c r="H1188"/>
      <c r="I1188"/>
      <c r="J1188"/>
      <c r="K1188"/>
      <c r="L1188"/>
      <c r="M1188"/>
      <c r="N1188"/>
      <c r="O1188"/>
    </row>
    <row r="1189" spans="7:15" ht="15" x14ac:dyDescent="0.25">
      <c r="G1189"/>
      <c r="H1189"/>
      <c r="I1189"/>
      <c r="J1189"/>
      <c r="K1189"/>
      <c r="L1189"/>
      <c r="M1189"/>
      <c r="N1189"/>
      <c r="O1189"/>
    </row>
    <row r="1190" spans="7:15" ht="15" x14ac:dyDescent="0.25">
      <c r="G1190"/>
      <c r="H1190"/>
      <c r="I1190"/>
      <c r="J1190"/>
      <c r="K1190"/>
      <c r="L1190"/>
      <c r="M1190"/>
      <c r="N1190"/>
      <c r="O1190"/>
    </row>
    <row r="1191" spans="7:15" ht="15" x14ac:dyDescent="0.25">
      <c r="G1191"/>
      <c r="H1191"/>
      <c r="I1191"/>
      <c r="J1191"/>
      <c r="K1191"/>
      <c r="L1191"/>
      <c r="M1191"/>
      <c r="N1191"/>
      <c r="O1191"/>
    </row>
    <row r="1192" spans="7:15" ht="15" x14ac:dyDescent="0.25">
      <c r="G1192"/>
      <c r="H1192"/>
      <c r="I1192"/>
      <c r="J1192"/>
      <c r="K1192"/>
      <c r="L1192"/>
      <c r="M1192"/>
      <c r="N1192"/>
      <c r="O1192"/>
    </row>
    <row r="1193" spans="7:15" ht="15" x14ac:dyDescent="0.25">
      <c r="G1193"/>
      <c r="H1193"/>
      <c r="I1193"/>
      <c r="J1193"/>
      <c r="K1193"/>
      <c r="L1193"/>
      <c r="M1193"/>
      <c r="N1193"/>
      <c r="O1193"/>
    </row>
    <row r="1194" spans="7:15" ht="15" x14ac:dyDescent="0.25">
      <c r="G1194"/>
      <c r="H1194"/>
      <c r="I1194"/>
      <c r="J1194"/>
      <c r="K1194"/>
      <c r="L1194"/>
      <c r="M1194"/>
      <c r="N1194"/>
      <c r="O1194"/>
    </row>
    <row r="1195" spans="7:15" ht="15" x14ac:dyDescent="0.25">
      <c r="G1195"/>
      <c r="H1195"/>
      <c r="I1195"/>
      <c r="J1195"/>
      <c r="K1195"/>
      <c r="L1195"/>
      <c r="M1195"/>
      <c r="N1195"/>
      <c r="O1195"/>
    </row>
    <row r="1196" spans="7:15" ht="15" x14ac:dyDescent="0.25">
      <c r="G1196"/>
      <c r="H1196"/>
      <c r="I1196"/>
      <c r="J1196"/>
      <c r="K1196"/>
      <c r="L1196"/>
      <c r="M1196"/>
      <c r="N1196"/>
      <c r="O1196"/>
    </row>
    <row r="1197" spans="7:15" ht="15" x14ac:dyDescent="0.25">
      <c r="G1197"/>
      <c r="H1197"/>
      <c r="I1197"/>
      <c r="J1197"/>
      <c r="K1197"/>
      <c r="L1197"/>
      <c r="M1197"/>
      <c r="N1197"/>
      <c r="O1197"/>
    </row>
    <row r="1198" spans="7:15" ht="15" x14ac:dyDescent="0.25">
      <c r="G1198"/>
      <c r="H1198"/>
      <c r="I1198"/>
      <c r="J1198"/>
      <c r="K1198"/>
      <c r="L1198"/>
      <c r="M1198"/>
      <c r="N1198"/>
      <c r="O1198"/>
    </row>
    <row r="1199" spans="7:15" ht="15" x14ac:dyDescent="0.25">
      <c r="G1199"/>
      <c r="H1199"/>
      <c r="I1199"/>
      <c r="J1199"/>
      <c r="K1199"/>
      <c r="L1199"/>
      <c r="M1199"/>
      <c r="N1199"/>
      <c r="O1199"/>
    </row>
    <row r="1200" spans="7:15" ht="15" x14ac:dyDescent="0.25">
      <c r="G1200"/>
      <c r="H1200"/>
      <c r="I1200"/>
      <c r="J1200"/>
      <c r="K1200"/>
      <c r="L1200"/>
      <c r="M1200"/>
      <c r="N1200"/>
      <c r="O1200"/>
    </row>
    <row r="1201" spans="7:15" ht="15" x14ac:dyDescent="0.25">
      <c r="G1201"/>
      <c r="H1201"/>
      <c r="I1201"/>
      <c r="J1201"/>
      <c r="K1201"/>
      <c r="L1201"/>
      <c r="M1201"/>
      <c r="N1201"/>
      <c r="O1201"/>
    </row>
    <row r="1202" spans="7:15" ht="15" x14ac:dyDescent="0.25">
      <c r="G1202"/>
      <c r="H1202"/>
      <c r="I1202"/>
      <c r="J1202"/>
      <c r="K1202"/>
      <c r="L1202"/>
      <c r="M1202"/>
      <c r="N1202"/>
      <c r="O1202"/>
    </row>
    <row r="1203" spans="7:15" ht="15" x14ac:dyDescent="0.25">
      <c r="G1203"/>
      <c r="H1203"/>
      <c r="I1203"/>
      <c r="J1203"/>
      <c r="K1203"/>
      <c r="L1203"/>
      <c r="M1203"/>
      <c r="N1203"/>
      <c r="O1203"/>
    </row>
    <row r="1204" spans="7:15" ht="15" x14ac:dyDescent="0.25">
      <c r="G1204"/>
      <c r="H1204"/>
      <c r="I1204"/>
      <c r="J1204"/>
      <c r="K1204"/>
      <c r="L1204"/>
      <c r="M1204"/>
      <c r="N1204"/>
      <c r="O1204"/>
    </row>
    <row r="1205" spans="7:15" ht="15" x14ac:dyDescent="0.25">
      <c r="G1205"/>
      <c r="H1205"/>
      <c r="I1205"/>
      <c r="J1205"/>
      <c r="K1205"/>
      <c r="L1205"/>
      <c r="M1205"/>
      <c r="N1205"/>
      <c r="O1205"/>
    </row>
    <row r="1206" spans="7:15" ht="15" x14ac:dyDescent="0.25">
      <c r="G1206"/>
      <c r="H1206"/>
      <c r="I1206"/>
      <c r="J1206"/>
      <c r="K1206"/>
      <c r="L1206"/>
      <c r="M1206"/>
      <c r="N1206"/>
      <c r="O1206"/>
    </row>
    <row r="1207" spans="7:15" ht="15" x14ac:dyDescent="0.25">
      <c r="G1207"/>
      <c r="H1207"/>
      <c r="I1207"/>
      <c r="J1207"/>
      <c r="K1207"/>
      <c r="L1207"/>
      <c r="M1207"/>
      <c r="N1207"/>
      <c r="O1207"/>
    </row>
    <row r="1208" spans="7:15" ht="15" x14ac:dyDescent="0.25">
      <c r="G1208"/>
      <c r="H1208"/>
      <c r="I1208"/>
      <c r="J1208"/>
      <c r="K1208"/>
      <c r="L1208"/>
      <c r="M1208"/>
      <c r="N1208"/>
      <c r="O1208"/>
    </row>
    <row r="1209" spans="7:15" ht="15" x14ac:dyDescent="0.25">
      <c r="G1209"/>
      <c r="H1209"/>
      <c r="I1209"/>
      <c r="J1209"/>
      <c r="K1209"/>
      <c r="L1209"/>
      <c r="M1209"/>
      <c r="N1209"/>
      <c r="O1209"/>
    </row>
    <row r="1210" spans="7:15" ht="15" x14ac:dyDescent="0.25">
      <c r="G1210"/>
      <c r="H1210"/>
      <c r="I1210"/>
      <c r="J1210"/>
      <c r="K1210"/>
      <c r="L1210"/>
      <c r="M1210"/>
      <c r="N1210"/>
      <c r="O1210"/>
    </row>
    <row r="1211" spans="7:15" ht="15" x14ac:dyDescent="0.25">
      <c r="G1211"/>
      <c r="H1211"/>
      <c r="I1211"/>
      <c r="J1211"/>
      <c r="K1211"/>
      <c r="L1211"/>
      <c r="M1211"/>
      <c r="N1211"/>
      <c r="O1211"/>
    </row>
    <row r="1212" spans="7:15" ht="15" x14ac:dyDescent="0.25">
      <c r="G1212"/>
      <c r="H1212"/>
      <c r="I1212"/>
      <c r="J1212"/>
      <c r="K1212"/>
      <c r="L1212"/>
      <c r="M1212"/>
      <c r="N1212"/>
      <c r="O1212"/>
    </row>
    <row r="1213" spans="7:15" ht="15" x14ac:dyDescent="0.25">
      <c r="G1213"/>
      <c r="H1213"/>
      <c r="I1213"/>
      <c r="J1213"/>
      <c r="K1213"/>
      <c r="L1213"/>
      <c r="M1213"/>
      <c r="N1213"/>
      <c r="O1213"/>
    </row>
    <row r="1214" spans="7:15" ht="15" x14ac:dyDescent="0.25">
      <c r="G1214"/>
      <c r="H1214"/>
      <c r="I1214"/>
      <c r="J1214"/>
      <c r="K1214"/>
      <c r="L1214"/>
      <c r="M1214"/>
      <c r="N1214"/>
      <c r="O1214"/>
    </row>
    <row r="1215" spans="7:15" ht="15" x14ac:dyDescent="0.25">
      <c r="G1215"/>
      <c r="H1215"/>
      <c r="I1215"/>
      <c r="J1215"/>
      <c r="K1215"/>
      <c r="L1215"/>
      <c r="M1215"/>
      <c r="N1215"/>
      <c r="O1215"/>
    </row>
    <row r="1216" spans="7:15" ht="15" x14ac:dyDescent="0.25">
      <c r="G1216"/>
      <c r="H1216"/>
      <c r="I1216"/>
      <c r="J1216"/>
      <c r="K1216"/>
      <c r="L1216"/>
      <c r="M1216"/>
      <c r="N1216"/>
      <c r="O1216"/>
    </row>
    <row r="1217" spans="7:15" ht="15" x14ac:dyDescent="0.25">
      <c r="G1217"/>
      <c r="H1217"/>
      <c r="I1217"/>
      <c r="J1217"/>
      <c r="K1217"/>
      <c r="L1217"/>
      <c r="M1217"/>
      <c r="N1217"/>
      <c r="O1217"/>
    </row>
    <row r="1218" spans="7:15" ht="15" x14ac:dyDescent="0.25">
      <c r="G1218"/>
      <c r="H1218"/>
      <c r="I1218"/>
      <c r="J1218"/>
      <c r="K1218"/>
      <c r="L1218"/>
      <c r="M1218"/>
      <c r="N1218"/>
      <c r="O1218"/>
    </row>
    <row r="1219" spans="7:15" ht="15" x14ac:dyDescent="0.25">
      <c r="G1219"/>
      <c r="H1219"/>
      <c r="I1219"/>
      <c r="J1219"/>
      <c r="K1219"/>
      <c r="L1219"/>
      <c r="M1219"/>
      <c r="N1219"/>
      <c r="O1219"/>
    </row>
    <row r="1220" spans="7:15" ht="15" x14ac:dyDescent="0.25">
      <c r="G1220"/>
      <c r="H1220"/>
      <c r="I1220"/>
      <c r="J1220"/>
      <c r="K1220"/>
      <c r="L1220"/>
      <c r="M1220"/>
      <c r="N1220"/>
      <c r="O1220"/>
    </row>
    <row r="1221" spans="7:15" ht="15" x14ac:dyDescent="0.25">
      <c r="G1221"/>
      <c r="H1221"/>
      <c r="I1221"/>
      <c r="J1221"/>
      <c r="K1221"/>
      <c r="L1221"/>
      <c r="M1221"/>
      <c r="N1221"/>
      <c r="O1221"/>
    </row>
    <row r="1222" spans="7:15" ht="15" x14ac:dyDescent="0.25">
      <c r="G1222"/>
      <c r="H1222"/>
      <c r="I1222"/>
      <c r="J1222"/>
      <c r="K1222"/>
      <c r="L1222"/>
      <c r="M1222"/>
      <c r="N1222"/>
      <c r="O1222"/>
    </row>
    <row r="1223" spans="7:15" ht="15" x14ac:dyDescent="0.25">
      <c r="G1223"/>
      <c r="H1223"/>
      <c r="I1223"/>
      <c r="J1223"/>
      <c r="K1223"/>
      <c r="L1223"/>
      <c r="M1223"/>
      <c r="N1223"/>
      <c r="O1223"/>
    </row>
    <row r="1224" spans="7:15" ht="15" x14ac:dyDescent="0.25">
      <c r="G1224"/>
      <c r="H1224"/>
      <c r="I1224"/>
      <c r="J1224"/>
      <c r="K1224"/>
      <c r="L1224"/>
      <c r="M1224"/>
      <c r="N1224"/>
      <c r="O1224"/>
    </row>
    <row r="1225" spans="7:15" ht="15" x14ac:dyDescent="0.25">
      <c r="G1225"/>
      <c r="H1225"/>
      <c r="I1225"/>
      <c r="J1225"/>
      <c r="K1225"/>
      <c r="L1225"/>
      <c r="M1225"/>
      <c r="N1225"/>
      <c r="O1225"/>
    </row>
    <row r="1226" spans="7:15" ht="15" x14ac:dyDescent="0.25">
      <c r="G1226"/>
      <c r="H1226"/>
      <c r="I1226"/>
      <c r="J1226"/>
      <c r="K1226"/>
      <c r="L1226"/>
      <c r="M1226"/>
      <c r="N1226"/>
      <c r="O1226"/>
    </row>
    <row r="1227" spans="7:15" ht="15" x14ac:dyDescent="0.25">
      <c r="G1227"/>
      <c r="H1227"/>
      <c r="I1227"/>
      <c r="J1227"/>
      <c r="K1227"/>
      <c r="L1227"/>
      <c r="M1227"/>
      <c r="N1227"/>
      <c r="O1227"/>
    </row>
    <row r="1228" spans="7:15" ht="15" x14ac:dyDescent="0.25">
      <c r="G1228"/>
      <c r="H1228"/>
      <c r="I1228"/>
      <c r="J1228"/>
      <c r="K1228"/>
      <c r="L1228"/>
      <c r="M1228"/>
      <c r="N1228"/>
      <c r="O1228"/>
    </row>
    <row r="1229" spans="7:15" ht="15" x14ac:dyDescent="0.25">
      <c r="G1229"/>
      <c r="H1229"/>
      <c r="I1229"/>
      <c r="J1229"/>
      <c r="K1229"/>
      <c r="L1229"/>
      <c r="M1229"/>
      <c r="N1229"/>
      <c r="O1229"/>
    </row>
    <row r="1230" spans="7:15" ht="15" x14ac:dyDescent="0.25">
      <c r="G1230"/>
      <c r="H1230"/>
      <c r="I1230"/>
      <c r="J1230"/>
      <c r="K1230"/>
      <c r="L1230"/>
      <c r="M1230"/>
      <c r="N1230"/>
      <c r="O1230"/>
    </row>
    <row r="1231" spans="7:15" ht="15" x14ac:dyDescent="0.25">
      <c r="G1231"/>
      <c r="H1231"/>
      <c r="I1231"/>
      <c r="J1231"/>
      <c r="K1231"/>
      <c r="L1231"/>
      <c r="M1231"/>
      <c r="N1231"/>
      <c r="O1231"/>
    </row>
    <row r="1232" spans="7:15" ht="15" x14ac:dyDescent="0.25">
      <c r="G1232"/>
      <c r="H1232"/>
      <c r="I1232"/>
      <c r="J1232"/>
      <c r="K1232"/>
      <c r="L1232"/>
      <c r="M1232"/>
      <c r="N1232"/>
      <c r="O1232"/>
    </row>
    <row r="1233" spans="7:15" ht="15" x14ac:dyDescent="0.25">
      <c r="G1233"/>
      <c r="H1233"/>
      <c r="I1233"/>
      <c r="J1233"/>
      <c r="K1233"/>
      <c r="L1233"/>
      <c r="M1233"/>
      <c r="N1233"/>
      <c r="O1233"/>
    </row>
    <row r="1234" spans="7:15" ht="15" x14ac:dyDescent="0.25">
      <c r="G1234"/>
      <c r="H1234"/>
      <c r="I1234"/>
      <c r="J1234"/>
      <c r="K1234"/>
      <c r="L1234"/>
      <c r="M1234"/>
      <c r="N1234"/>
      <c r="O1234"/>
    </row>
    <row r="1235" spans="7:15" ht="15" x14ac:dyDescent="0.25">
      <c r="G1235"/>
      <c r="H1235"/>
      <c r="I1235"/>
      <c r="J1235"/>
      <c r="K1235"/>
      <c r="L1235"/>
      <c r="M1235"/>
      <c r="N1235"/>
      <c r="O1235"/>
    </row>
    <row r="1236" spans="7:15" ht="15" x14ac:dyDescent="0.25">
      <c r="G1236"/>
      <c r="H1236"/>
      <c r="I1236"/>
      <c r="J1236"/>
      <c r="K1236"/>
      <c r="L1236"/>
      <c r="M1236"/>
      <c r="N1236"/>
      <c r="O1236"/>
    </row>
    <row r="1237" spans="7:15" ht="15" x14ac:dyDescent="0.25">
      <c r="G1237"/>
      <c r="H1237"/>
      <c r="I1237"/>
      <c r="J1237"/>
      <c r="K1237"/>
      <c r="L1237"/>
      <c r="M1237"/>
      <c r="N1237"/>
      <c r="O1237"/>
    </row>
    <row r="1238" spans="7:15" ht="15" x14ac:dyDescent="0.25">
      <c r="G1238"/>
      <c r="H1238"/>
      <c r="I1238"/>
      <c r="J1238"/>
      <c r="K1238"/>
      <c r="L1238"/>
      <c r="M1238"/>
      <c r="N1238"/>
      <c r="O1238"/>
    </row>
    <row r="1239" spans="7:15" ht="15" x14ac:dyDescent="0.25">
      <c r="G1239"/>
      <c r="H1239"/>
      <c r="I1239"/>
      <c r="J1239"/>
      <c r="K1239"/>
      <c r="L1239"/>
      <c r="M1239"/>
      <c r="N1239"/>
      <c r="O1239"/>
    </row>
    <row r="1240" spans="7:15" ht="15" x14ac:dyDescent="0.25">
      <c r="G1240"/>
      <c r="H1240"/>
      <c r="I1240"/>
      <c r="J1240"/>
      <c r="K1240"/>
      <c r="L1240"/>
      <c r="M1240"/>
      <c r="N1240"/>
      <c r="O1240"/>
    </row>
    <row r="1241" spans="7:15" ht="15" x14ac:dyDescent="0.25">
      <c r="G1241"/>
      <c r="H1241"/>
      <c r="I1241"/>
      <c r="J1241"/>
      <c r="K1241"/>
      <c r="L1241"/>
      <c r="M1241"/>
      <c r="N1241"/>
      <c r="O1241"/>
    </row>
    <row r="1242" spans="7:15" ht="15" x14ac:dyDescent="0.25">
      <c r="G1242"/>
      <c r="H1242"/>
      <c r="I1242"/>
      <c r="J1242"/>
      <c r="K1242"/>
      <c r="L1242"/>
      <c r="M1242"/>
      <c r="N1242"/>
      <c r="O1242"/>
    </row>
    <row r="1243" spans="7:15" ht="15" x14ac:dyDescent="0.25">
      <c r="G1243"/>
      <c r="H1243"/>
      <c r="I1243"/>
      <c r="J1243"/>
      <c r="K1243"/>
      <c r="L1243"/>
      <c r="M1243"/>
      <c r="N1243"/>
      <c r="O1243"/>
    </row>
    <row r="1244" spans="7:15" ht="15" x14ac:dyDescent="0.25">
      <c r="G1244"/>
      <c r="H1244"/>
      <c r="I1244"/>
      <c r="J1244"/>
      <c r="K1244"/>
      <c r="L1244"/>
      <c r="M1244"/>
      <c r="N1244"/>
      <c r="O1244"/>
    </row>
    <row r="1245" spans="7:15" ht="15" x14ac:dyDescent="0.25">
      <c r="G1245"/>
      <c r="H1245"/>
      <c r="I1245"/>
      <c r="J1245"/>
      <c r="K1245"/>
      <c r="L1245"/>
      <c r="M1245"/>
      <c r="N1245"/>
      <c r="O1245"/>
    </row>
    <row r="1246" spans="7:15" ht="15" x14ac:dyDescent="0.25">
      <c r="G1246"/>
      <c r="H1246"/>
      <c r="I1246"/>
      <c r="J1246"/>
      <c r="K1246"/>
      <c r="L1246"/>
      <c r="M1246"/>
      <c r="N1246"/>
      <c r="O1246"/>
    </row>
    <row r="1247" spans="7:15" ht="15" x14ac:dyDescent="0.25">
      <c r="G1247"/>
      <c r="H1247"/>
      <c r="I1247"/>
      <c r="J1247"/>
      <c r="K1247"/>
      <c r="L1247"/>
      <c r="M1247"/>
      <c r="N1247"/>
      <c r="O1247"/>
    </row>
    <row r="1248" spans="7:15" ht="15" x14ac:dyDescent="0.25">
      <c r="G1248"/>
      <c r="H1248"/>
      <c r="I1248"/>
      <c r="J1248"/>
      <c r="K1248"/>
      <c r="L1248"/>
      <c r="M1248"/>
      <c r="N1248"/>
      <c r="O1248"/>
    </row>
    <row r="1249" spans="7:15" ht="15" x14ac:dyDescent="0.25">
      <c r="G1249"/>
      <c r="H1249"/>
      <c r="I1249"/>
      <c r="J1249"/>
      <c r="K1249"/>
      <c r="L1249"/>
      <c r="M1249"/>
      <c r="N1249"/>
      <c r="O1249"/>
    </row>
    <row r="1250" spans="7:15" ht="15" x14ac:dyDescent="0.25">
      <c r="G1250"/>
      <c r="H1250"/>
      <c r="I1250"/>
      <c r="J1250"/>
      <c r="K1250"/>
      <c r="L1250"/>
      <c r="M1250"/>
      <c r="N1250"/>
      <c r="O1250"/>
    </row>
    <row r="1251" spans="7:15" ht="15" x14ac:dyDescent="0.25">
      <c r="G1251"/>
      <c r="H1251"/>
      <c r="I1251"/>
      <c r="J1251"/>
      <c r="K1251"/>
      <c r="L1251"/>
      <c r="M1251"/>
      <c r="N1251"/>
      <c r="O1251"/>
    </row>
    <row r="1252" spans="7:15" ht="15" x14ac:dyDescent="0.25">
      <c r="G1252"/>
      <c r="H1252"/>
      <c r="I1252"/>
      <c r="J1252"/>
      <c r="K1252"/>
      <c r="L1252"/>
      <c r="M1252"/>
      <c r="N1252"/>
      <c r="O1252"/>
    </row>
    <row r="1253" spans="7:15" ht="15" x14ac:dyDescent="0.25">
      <c r="G1253"/>
      <c r="H1253"/>
      <c r="I1253"/>
      <c r="J1253"/>
      <c r="K1253"/>
      <c r="L1253"/>
      <c r="M1253"/>
      <c r="N1253"/>
      <c r="O1253"/>
    </row>
    <row r="1254" spans="7:15" ht="15" x14ac:dyDescent="0.25">
      <c r="G1254"/>
      <c r="H1254"/>
      <c r="I1254"/>
      <c r="J1254"/>
      <c r="K1254"/>
      <c r="L1254"/>
      <c r="M1254"/>
      <c r="N1254"/>
      <c r="O1254"/>
    </row>
    <row r="1255" spans="7:15" ht="15" x14ac:dyDescent="0.25">
      <c r="G1255"/>
      <c r="H1255"/>
      <c r="I1255"/>
      <c r="J1255"/>
      <c r="K1255"/>
      <c r="L1255"/>
      <c r="M1255"/>
      <c r="N1255"/>
      <c r="O1255"/>
    </row>
    <row r="1256" spans="7:15" ht="15" x14ac:dyDescent="0.25">
      <c r="G1256"/>
      <c r="H1256"/>
      <c r="I1256"/>
      <c r="J1256"/>
      <c r="K1256"/>
      <c r="L1256"/>
      <c r="M1256"/>
      <c r="N1256"/>
      <c r="O1256"/>
    </row>
    <row r="1257" spans="7:15" ht="15" x14ac:dyDescent="0.25">
      <c r="G1257"/>
      <c r="H1257"/>
      <c r="I1257"/>
      <c r="J1257"/>
      <c r="K1257"/>
      <c r="L1257"/>
      <c r="M1257"/>
      <c r="N1257"/>
      <c r="O1257"/>
    </row>
    <row r="1258" spans="7:15" ht="15" x14ac:dyDescent="0.25">
      <c r="G1258"/>
      <c r="H1258"/>
      <c r="I1258"/>
      <c r="J1258"/>
      <c r="K1258"/>
      <c r="L1258"/>
      <c r="M1258"/>
      <c r="N1258"/>
      <c r="O1258"/>
    </row>
    <row r="1259" spans="7:15" ht="15" x14ac:dyDescent="0.25">
      <c r="G1259"/>
      <c r="H1259"/>
      <c r="I1259"/>
      <c r="J1259"/>
      <c r="K1259"/>
      <c r="L1259"/>
      <c r="M1259"/>
      <c r="N1259"/>
      <c r="O1259"/>
    </row>
    <row r="1260" spans="7:15" ht="15" x14ac:dyDescent="0.25">
      <c r="G1260"/>
      <c r="H1260"/>
      <c r="I1260"/>
      <c r="J1260"/>
      <c r="K1260"/>
      <c r="L1260"/>
      <c r="M1260"/>
      <c r="N1260"/>
      <c r="O1260"/>
    </row>
    <row r="1261" spans="7:15" ht="15" x14ac:dyDescent="0.25">
      <c r="G1261"/>
      <c r="H1261"/>
      <c r="I1261"/>
      <c r="J1261"/>
      <c r="K1261"/>
      <c r="L1261"/>
      <c r="M1261"/>
      <c r="N1261"/>
      <c r="O1261"/>
    </row>
    <row r="1262" spans="7:15" ht="15" x14ac:dyDescent="0.25">
      <c r="G1262"/>
      <c r="H1262"/>
      <c r="I1262"/>
      <c r="J1262"/>
      <c r="K1262"/>
      <c r="L1262"/>
      <c r="M1262"/>
      <c r="N1262"/>
      <c r="O1262"/>
    </row>
    <row r="1263" spans="7:15" ht="15" x14ac:dyDescent="0.25">
      <c r="G1263"/>
      <c r="H1263"/>
      <c r="I1263"/>
      <c r="J1263"/>
      <c r="K1263"/>
      <c r="L1263"/>
      <c r="M1263"/>
      <c r="N1263"/>
      <c r="O1263"/>
    </row>
    <row r="1264" spans="7:15" ht="15" x14ac:dyDescent="0.25">
      <c r="G1264"/>
      <c r="H1264"/>
      <c r="I1264"/>
      <c r="J1264"/>
      <c r="K1264"/>
      <c r="L1264"/>
      <c r="M1264"/>
      <c r="N1264"/>
      <c r="O1264"/>
    </row>
    <row r="1265" spans="7:15" ht="15" x14ac:dyDescent="0.25">
      <c r="G1265"/>
      <c r="H1265"/>
      <c r="I1265"/>
      <c r="J1265"/>
      <c r="K1265"/>
      <c r="L1265"/>
      <c r="M1265"/>
      <c r="N1265"/>
      <c r="O1265"/>
    </row>
    <row r="1266" spans="7:15" ht="15" x14ac:dyDescent="0.25">
      <c r="G1266"/>
      <c r="H1266"/>
      <c r="I1266"/>
      <c r="J1266"/>
      <c r="K1266"/>
      <c r="L1266"/>
      <c r="M1266"/>
      <c r="N1266"/>
      <c r="O1266"/>
    </row>
    <row r="1267" spans="7:15" ht="15" x14ac:dyDescent="0.25">
      <c r="G1267"/>
      <c r="H1267"/>
      <c r="I1267"/>
      <c r="J1267"/>
      <c r="K1267"/>
      <c r="L1267"/>
      <c r="M1267"/>
      <c r="N1267"/>
      <c r="O1267"/>
    </row>
    <row r="1268" spans="7:15" ht="15" x14ac:dyDescent="0.25">
      <c r="G1268"/>
      <c r="H1268"/>
      <c r="I1268"/>
      <c r="J1268"/>
      <c r="K1268"/>
      <c r="L1268"/>
      <c r="M1268"/>
      <c r="N1268"/>
      <c r="O1268"/>
    </row>
    <row r="1269" spans="7:15" ht="15" x14ac:dyDescent="0.25">
      <c r="G1269"/>
      <c r="H1269"/>
      <c r="I1269"/>
      <c r="J1269"/>
      <c r="K1269"/>
      <c r="L1269"/>
      <c r="M1269"/>
      <c r="N1269"/>
      <c r="O1269"/>
    </row>
    <row r="1270" spans="7:15" ht="15" x14ac:dyDescent="0.25">
      <c r="G1270"/>
      <c r="H1270"/>
      <c r="I1270"/>
      <c r="J1270"/>
      <c r="K1270"/>
      <c r="L1270"/>
      <c r="M1270"/>
      <c r="N1270"/>
      <c r="O1270"/>
    </row>
    <row r="1271" spans="7:15" ht="15" x14ac:dyDescent="0.25">
      <c r="G1271"/>
      <c r="H1271"/>
      <c r="I1271"/>
      <c r="J1271"/>
      <c r="K1271"/>
      <c r="L1271"/>
      <c r="M1271"/>
      <c r="N1271"/>
      <c r="O1271"/>
    </row>
    <row r="1272" spans="7:15" ht="15" x14ac:dyDescent="0.25">
      <c r="G1272"/>
      <c r="H1272"/>
      <c r="I1272"/>
      <c r="J1272"/>
      <c r="K1272"/>
      <c r="L1272"/>
      <c r="M1272"/>
      <c r="N1272"/>
      <c r="O1272"/>
    </row>
    <row r="1273" spans="7:15" ht="15" x14ac:dyDescent="0.25">
      <c r="G1273"/>
      <c r="H1273"/>
      <c r="I1273"/>
      <c r="J1273"/>
      <c r="K1273"/>
      <c r="L1273"/>
      <c r="M1273"/>
      <c r="N1273"/>
      <c r="O1273"/>
    </row>
    <row r="1274" spans="7:15" ht="15" x14ac:dyDescent="0.25">
      <c r="G1274"/>
      <c r="H1274"/>
      <c r="I1274"/>
      <c r="J1274"/>
      <c r="K1274"/>
      <c r="L1274"/>
      <c r="M1274"/>
      <c r="N1274"/>
      <c r="O1274"/>
    </row>
    <row r="1275" spans="7:15" ht="15" x14ac:dyDescent="0.25">
      <c r="G1275"/>
      <c r="H1275"/>
      <c r="I1275"/>
      <c r="J1275"/>
      <c r="K1275"/>
      <c r="L1275"/>
      <c r="M1275"/>
      <c r="N1275"/>
      <c r="O1275"/>
    </row>
    <row r="1276" spans="7:15" ht="15" x14ac:dyDescent="0.25">
      <c r="G1276"/>
      <c r="H1276"/>
      <c r="I1276"/>
      <c r="J1276"/>
      <c r="K1276"/>
      <c r="L1276"/>
      <c r="M1276"/>
      <c r="N1276"/>
      <c r="O1276"/>
    </row>
    <row r="1277" spans="7:15" ht="15" x14ac:dyDescent="0.25">
      <c r="G1277"/>
      <c r="H1277"/>
      <c r="I1277"/>
      <c r="J1277"/>
      <c r="K1277"/>
      <c r="L1277"/>
      <c r="M1277"/>
      <c r="N1277"/>
      <c r="O1277"/>
    </row>
    <row r="1278" spans="7:15" ht="15" x14ac:dyDescent="0.25">
      <c r="G1278"/>
      <c r="H1278"/>
      <c r="I1278"/>
      <c r="J1278"/>
      <c r="K1278"/>
      <c r="L1278"/>
      <c r="M1278"/>
      <c r="N1278"/>
      <c r="O1278"/>
    </row>
    <row r="1279" spans="7:15" ht="15" x14ac:dyDescent="0.25">
      <c r="G1279"/>
      <c r="H1279"/>
      <c r="I1279"/>
      <c r="J1279"/>
      <c r="K1279"/>
      <c r="L1279"/>
      <c r="M1279"/>
      <c r="N1279"/>
      <c r="O1279"/>
    </row>
    <row r="1280" spans="7:15" ht="15" x14ac:dyDescent="0.25">
      <c r="G1280"/>
      <c r="H1280"/>
      <c r="I1280"/>
      <c r="J1280"/>
      <c r="K1280"/>
      <c r="L1280"/>
      <c r="M1280"/>
      <c r="N1280"/>
      <c r="O1280"/>
    </row>
    <row r="1281" spans="7:15" ht="15" x14ac:dyDescent="0.25">
      <c r="G1281"/>
      <c r="H1281"/>
      <c r="I1281"/>
      <c r="J1281"/>
      <c r="K1281"/>
      <c r="L1281"/>
      <c r="M1281"/>
      <c r="N1281"/>
      <c r="O1281"/>
    </row>
    <row r="1282" spans="7:15" ht="15" x14ac:dyDescent="0.25">
      <c r="G1282"/>
      <c r="H1282"/>
      <c r="I1282"/>
      <c r="J1282"/>
      <c r="K1282"/>
      <c r="L1282"/>
      <c r="M1282"/>
      <c r="N1282"/>
      <c r="O1282"/>
    </row>
    <row r="1283" spans="7:15" ht="15" x14ac:dyDescent="0.25">
      <c r="G1283"/>
      <c r="H1283"/>
      <c r="I1283"/>
      <c r="J1283"/>
      <c r="K1283"/>
      <c r="L1283"/>
      <c r="M1283"/>
      <c r="N1283"/>
      <c r="O1283"/>
    </row>
    <row r="1284" spans="7:15" ht="15" x14ac:dyDescent="0.25">
      <c r="G1284"/>
      <c r="H1284"/>
      <c r="I1284"/>
      <c r="J1284"/>
      <c r="K1284"/>
      <c r="L1284"/>
      <c r="M1284"/>
      <c r="N1284"/>
      <c r="O1284"/>
    </row>
    <row r="1285" spans="7:15" ht="15" x14ac:dyDescent="0.25">
      <c r="G1285"/>
      <c r="H1285"/>
      <c r="I1285"/>
      <c r="J1285"/>
      <c r="K1285"/>
      <c r="L1285"/>
      <c r="M1285"/>
      <c r="N1285"/>
      <c r="O1285"/>
    </row>
    <row r="1286" spans="7:15" ht="15" x14ac:dyDescent="0.25">
      <c r="G1286"/>
      <c r="H1286"/>
      <c r="I1286"/>
      <c r="J1286"/>
      <c r="K1286"/>
      <c r="L1286"/>
      <c r="M1286"/>
      <c r="N1286"/>
      <c r="O1286"/>
    </row>
    <row r="1287" spans="7:15" ht="15" x14ac:dyDescent="0.25">
      <c r="G1287"/>
      <c r="H1287"/>
      <c r="I1287"/>
      <c r="J1287"/>
      <c r="K1287"/>
      <c r="L1287"/>
      <c r="M1287"/>
      <c r="N1287"/>
      <c r="O1287"/>
    </row>
    <row r="1288" spans="7:15" ht="15" x14ac:dyDescent="0.25">
      <c r="G1288"/>
      <c r="H1288"/>
      <c r="I1288"/>
      <c r="J1288"/>
      <c r="K1288"/>
      <c r="L1288"/>
      <c r="M1288"/>
      <c r="N1288"/>
      <c r="O1288"/>
    </row>
    <row r="1289" spans="7:15" ht="15" x14ac:dyDescent="0.25">
      <c r="G1289"/>
      <c r="H1289"/>
      <c r="I1289"/>
      <c r="J1289"/>
      <c r="K1289"/>
      <c r="L1289"/>
      <c r="M1289"/>
      <c r="N1289"/>
      <c r="O1289"/>
    </row>
    <row r="1290" spans="7:15" ht="15" x14ac:dyDescent="0.25">
      <c r="G1290"/>
      <c r="H1290"/>
      <c r="I1290"/>
      <c r="J1290"/>
      <c r="K1290"/>
      <c r="L1290"/>
      <c r="M1290"/>
      <c r="N1290"/>
      <c r="O1290"/>
    </row>
    <row r="1291" spans="7:15" ht="15" x14ac:dyDescent="0.25">
      <c r="G1291"/>
      <c r="H1291"/>
      <c r="I1291"/>
      <c r="J1291"/>
      <c r="K1291"/>
      <c r="L1291"/>
      <c r="M1291"/>
      <c r="N1291"/>
      <c r="O1291"/>
    </row>
    <row r="1292" spans="7:15" ht="15" x14ac:dyDescent="0.25">
      <c r="G1292"/>
      <c r="H1292"/>
      <c r="I1292"/>
      <c r="J1292"/>
      <c r="K1292"/>
      <c r="L1292"/>
      <c r="M1292"/>
      <c r="N1292"/>
      <c r="O1292"/>
    </row>
    <row r="1293" spans="7:15" ht="15" x14ac:dyDescent="0.25">
      <c r="G1293"/>
      <c r="H1293"/>
      <c r="I1293"/>
      <c r="J1293"/>
      <c r="K1293"/>
      <c r="L1293"/>
      <c r="M1293"/>
      <c r="N1293"/>
      <c r="O1293"/>
    </row>
    <row r="1294" spans="7:15" ht="15" x14ac:dyDescent="0.25">
      <c r="G1294"/>
      <c r="H1294"/>
      <c r="I1294"/>
      <c r="J1294"/>
      <c r="K1294"/>
      <c r="L1294"/>
      <c r="M1294"/>
      <c r="N1294"/>
      <c r="O1294"/>
    </row>
    <row r="1295" spans="7:15" ht="15" x14ac:dyDescent="0.25">
      <c r="G1295"/>
      <c r="H1295"/>
      <c r="I1295"/>
      <c r="J1295"/>
      <c r="K1295"/>
      <c r="L1295"/>
      <c r="M1295"/>
      <c r="N1295"/>
      <c r="O1295"/>
    </row>
    <row r="1296" spans="7:15" ht="15" x14ac:dyDescent="0.25">
      <c r="G1296"/>
      <c r="H1296"/>
      <c r="I1296"/>
      <c r="J1296"/>
      <c r="K1296"/>
      <c r="L1296"/>
      <c r="M1296"/>
      <c r="N1296"/>
      <c r="O1296"/>
    </row>
    <row r="1297" spans="7:15" ht="15" x14ac:dyDescent="0.25">
      <c r="G1297"/>
      <c r="H1297"/>
      <c r="I1297"/>
      <c r="J1297"/>
      <c r="K1297"/>
      <c r="L1297"/>
      <c r="M1297"/>
      <c r="N1297"/>
      <c r="O1297"/>
    </row>
    <row r="1298" spans="7:15" ht="15" x14ac:dyDescent="0.25">
      <c r="G1298"/>
      <c r="H1298"/>
      <c r="I1298"/>
      <c r="J1298"/>
      <c r="K1298"/>
      <c r="L1298"/>
      <c r="M1298"/>
      <c r="N1298"/>
      <c r="O1298"/>
    </row>
    <row r="1299" spans="7:15" ht="15" x14ac:dyDescent="0.25">
      <c r="G1299"/>
      <c r="H1299"/>
      <c r="I1299"/>
      <c r="J1299"/>
      <c r="K1299"/>
      <c r="L1299"/>
      <c r="M1299"/>
      <c r="N1299"/>
      <c r="O1299"/>
    </row>
    <row r="1300" spans="7:15" ht="15" x14ac:dyDescent="0.25">
      <c r="G1300"/>
      <c r="H1300"/>
      <c r="I1300"/>
      <c r="J1300"/>
      <c r="K1300"/>
      <c r="L1300"/>
      <c r="M1300"/>
      <c r="N1300"/>
      <c r="O1300"/>
    </row>
    <row r="1301" spans="7:15" ht="15" x14ac:dyDescent="0.25">
      <c r="G1301"/>
      <c r="H1301"/>
      <c r="I1301"/>
      <c r="J1301"/>
      <c r="K1301"/>
      <c r="L1301"/>
      <c r="M1301"/>
      <c r="N1301"/>
      <c r="O1301"/>
    </row>
    <row r="1302" spans="7:15" ht="15" x14ac:dyDescent="0.25">
      <c r="G1302"/>
      <c r="H1302"/>
      <c r="I1302"/>
      <c r="J1302"/>
      <c r="K1302"/>
      <c r="L1302"/>
      <c r="M1302"/>
      <c r="N1302"/>
      <c r="O1302"/>
    </row>
    <row r="1303" spans="7:15" ht="15" x14ac:dyDescent="0.25">
      <c r="G1303"/>
      <c r="H1303"/>
      <c r="I1303"/>
      <c r="J1303"/>
      <c r="K1303"/>
      <c r="L1303"/>
      <c r="M1303"/>
      <c r="N1303"/>
      <c r="O1303"/>
    </row>
    <row r="1304" spans="7:15" ht="15" x14ac:dyDescent="0.25">
      <c r="G1304"/>
      <c r="H1304"/>
      <c r="I1304"/>
      <c r="J1304"/>
      <c r="K1304"/>
      <c r="L1304"/>
      <c r="M1304"/>
      <c r="N1304"/>
      <c r="O1304"/>
    </row>
    <row r="1305" spans="7:15" ht="15" x14ac:dyDescent="0.25">
      <c r="G1305"/>
      <c r="H1305"/>
      <c r="I1305"/>
      <c r="J1305"/>
      <c r="K1305"/>
      <c r="L1305"/>
      <c r="M1305"/>
      <c r="N1305"/>
      <c r="O1305"/>
    </row>
    <row r="1306" spans="7:15" ht="15" x14ac:dyDescent="0.25">
      <c r="G1306"/>
      <c r="H1306"/>
      <c r="I1306"/>
      <c r="J1306"/>
      <c r="K1306"/>
      <c r="L1306"/>
      <c r="M1306"/>
      <c r="N1306"/>
      <c r="O1306"/>
    </row>
    <row r="1307" spans="7:15" ht="15" x14ac:dyDescent="0.25">
      <c r="G1307"/>
      <c r="H1307"/>
      <c r="I1307"/>
      <c r="J1307"/>
      <c r="K1307"/>
      <c r="L1307"/>
      <c r="M1307"/>
      <c r="N1307"/>
      <c r="O1307"/>
    </row>
    <row r="1308" spans="7:15" ht="15" x14ac:dyDescent="0.25">
      <c r="G1308"/>
      <c r="H1308"/>
      <c r="I1308"/>
      <c r="J1308"/>
      <c r="K1308"/>
      <c r="L1308"/>
      <c r="M1308"/>
      <c r="N1308"/>
      <c r="O1308"/>
    </row>
    <row r="1309" spans="7:15" ht="15" x14ac:dyDescent="0.25">
      <c r="G1309"/>
      <c r="H1309"/>
      <c r="I1309"/>
      <c r="J1309"/>
      <c r="K1309"/>
      <c r="L1309"/>
      <c r="M1309"/>
      <c r="N1309"/>
      <c r="O1309"/>
    </row>
    <row r="1310" spans="7:15" ht="15" x14ac:dyDescent="0.25">
      <c r="G1310"/>
      <c r="H1310"/>
      <c r="I1310"/>
      <c r="J1310"/>
      <c r="K1310"/>
      <c r="L1310"/>
      <c r="M1310"/>
      <c r="N1310"/>
      <c r="O1310"/>
    </row>
    <row r="1311" spans="7:15" ht="15" x14ac:dyDescent="0.25">
      <c r="G1311"/>
      <c r="H1311"/>
      <c r="I1311"/>
      <c r="J1311"/>
      <c r="K1311"/>
      <c r="L1311"/>
      <c r="M1311"/>
      <c r="N1311"/>
      <c r="O1311"/>
    </row>
    <row r="1312" spans="7:15" ht="15" x14ac:dyDescent="0.25">
      <c r="G1312"/>
      <c r="H1312"/>
      <c r="I1312"/>
      <c r="J1312"/>
      <c r="K1312"/>
      <c r="L1312"/>
      <c r="M1312"/>
      <c r="N1312"/>
      <c r="O1312"/>
    </row>
    <row r="1313" spans="7:15" ht="15" x14ac:dyDescent="0.25">
      <c r="G1313"/>
      <c r="H1313"/>
      <c r="I1313"/>
      <c r="J1313"/>
      <c r="K1313"/>
      <c r="L1313"/>
      <c r="M1313"/>
      <c r="N1313"/>
      <c r="O1313"/>
    </row>
    <row r="1314" spans="7:15" ht="15" x14ac:dyDescent="0.25">
      <c r="G1314"/>
      <c r="H1314"/>
      <c r="I1314"/>
      <c r="J1314"/>
      <c r="K1314"/>
      <c r="L1314"/>
      <c r="M1314"/>
      <c r="N1314"/>
      <c r="O1314"/>
    </row>
    <row r="1315" spans="7:15" ht="15" x14ac:dyDescent="0.25">
      <c r="G1315"/>
      <c r="H1315"/>
      <c r="I1315"/>
      <c r="J1315"/>
      <c r="K1315"/>
      <c r="L1315"/>
      <c r="M1315"/>
      <c r="N1315"/>
      <c r="O1315"/>
    </row>
    <row r="1316" spans="7:15" ht="15" x14ac:dyDescent="0.25">
      <c r="G1316"/>
      <c r="H1316"/>
      <c r="I1316"/>
      <c r="J1316"/>
      <c r="K1316"/>
      <c r="L1316"/>
      <c r="M1316"/>
      <c r="N1316"/>
      <c r="O1316"/>
    </row>
    <row r="1317" spans="7:15" ht="15" x14ac:dyDescent="0.25">
      <c r="G1317"/>
      <c r="H1317"/>
      <c r="I1317"/>
      <c r="J1317"/>
      <c r="K1317"/>
      <c r="L1317"/>
      <c r="M1317"/>
      <c r="N1317"/>
      <c r="O1317"/>
    </row>
    <row r="1318" spans="7:15" ht="15" x14ac:dyDescent="0.25">
      <c r="G1318"/>
      <c r="H1318"/>
      <c r="I1318"/>
      <c r="J1318"/>
      <c r="K1318"/>
      <c r="L1318"/>
      <c r="M1318"/>
      <c r="N1318"/>
      <c r="O1318"/>
    </row>
    <row r="1319" spans="7:15" ht="15" x14ac:dyDescent="0.25">
      <c r="G1319"/>
      <c r="H1319"/>
      <c r="I1319"/>
      <c r="J1319"/>
      <c r="K1319"/>
      <c r="L1319"/>
      <c r="M1319"/>
      <c r="N1319"/>
      <c r="O1319"/>
    </row>
    <row r="1320" spans="7:15" ht="15" x14ac:dyDescent="0.25">
      <c r="G1320"/>
      <c r="H1320"/>
      <c r="I1320"/>
      <c r="J1320"/>
      <c r="K1320"/>
      <c r="L1320"/>
      <c r="M1320"/>
      <c r="N1320"/>
      <c r="O1320"/>
    </row>
    <row r="1321" spans="7:15" ht="15" x14ac:dyDescent="0.25">
      <c r="G1321"/>
      <c r="H1321"/>
      <c r="I1321"/>
      <c r="J1321"/>
      <c r="K1321"/>
      <c r="L1321"/>
      <c r="M1321"/>
      <c r="N1321"/>
      <c r="O1321"/>
    </row>
    <row r="1322" spans="7:15" ht="15" x14ac:dyDescent="0.25">
      <c r="G1322"/>
      <c r="H1322"/>
      <c r="I1322"/>
      <c r="J1322"/>
      <c r="K1322"/>
      <c r="L1322"/>
      <c r="M1322"/>
      <c r="N1322"/>
      <c r="O1322"/>
    </row>
    <row r="1323" spans="7:15" ht="15" x14ac:dyDescent="0.25">
      <c r="G1323"/>
      <c r="H1323"/>
      <c r="I1323"/>
      <c r="J1323"/>
      <c r="K1323"/>
      <c r="L1323"/>
      <c r="M1323"/>
      <c r="N1323"/>
      <c r="O1323"/>
    </row>
    <row r="1324" spans="7:15" ht="15" x14ac:dyDescent="0.25">
      <c r="G1324"/>
      <c r="H1324"/>
      <c r="I1324"/>
      <c r="J1324"/>
      <c r="K1324"/>
      <c r="L1324"/>
      <c r="M1324"/>
      <c r="N1324"/>
      <c r="O1324"/>
    </row>
    <row r="1325" spans="7:15" ht="15" x14ac:dyDescent="0.25">
      <c r="G1325"/>
      <c r="H1325"/>
      <c r="I1325"/>
      <c r="J1325"/>
      <c r="K1325"/>
      <c r="L1325"/>
      <c r="M1325"/>
      <c r="N1325"/>
      <c r="O1325"/>
    </row>
    <row r="1326" spans="7:15" ht="15" x14ac:dyDescent="0.25">
      <c r="G1326"/>
      <c r="H1326"/>
      <c r="I1326"/>
      <c r="J1326"/>
      <c r="K1326"/>
      <c r="L1326"/>
      <c r="M1326"/>
      <c r="N1326"/>
      <c r="O1326"/>
    </row>
    <row r="1327" spans="7:15" ht="15" x14ac:dyDescent="0.25">
      <c r="G1327"/>
      <c r="H1327"/>
      <c r="I1327"/>
      <c r="J1327"/>
      <c r="K1327"/>
      <c r="L1327"/>
      <c r="M1327"/>
      <c r="N1327"/>
      <c r="O1327"/>
    </row>
    <row r="1328" spans="7:15" ht="15" x14ac:dyDescent="0.25">
      <c r="G1328"/>
      <c r="H1328"/>
      <c r="I1328"/>
      <c r="J1328"/>
      <c r="K1328"/>
      <c r="L1328"/>
      <c r="M1328"/>
      <c r="N1328"/>
      <c r="O1328"/>
    </row>
    <row r="1329" spans="7:15" ht="15" x14ac:dyDescent="0.25">
      <c r="G1329"/>
      <c r="H1329"/>
      <c r="I1329"/>
      <c r="J1329"/>
      <c r="K1329"/>
      <c r="L1329"/>
      <c r="M1329"/>
      <c r="N1329"/>
      <c r="O1329"/>
    </row>
    <row r="1330" spans="7:15" ht="15" x14ac:dyDescent="0.25">
      <c r="G1330"/>
      <c r="H1330"/>
      <c r="I1330"/>
      <c r="J1330"/>
      <c r="K1330"/>
      <c r="L1330"/>
      <c r="M1330"/>
      <c r="N1330"/>
      <c r="O1330"/>
    </row>
    <row r="1331" spans="7:15" ht="15" x14ac:dyDescent="0.25">
      <c r="G1331"/>
      <c r="H1331"/>
      <c r="I1331"/>
      <c r="J1331"/>
      <c r="K1331"/>
      <c r="L1331"/>
      <c r="M1331"/>
      <c r="N1331"/>
      <c r="O1331"/>
    </row>
    <row r="1332" spans="7:15" ht="15" x14ac:dyDescent="0.25">
      <c r="G1332"/>
      <c r="H1332"/>
      <c r="I1332"/>
      <c r="J1332"/>
      <c r="K1332"/>
      <c r="L1332"/>
      <c r="M1332"/>
      <c r="N1332"/>
      <c r="O1332"/>
    </row>
    <row r="1333" spans="7:15" ht="15" x14ac:dyDescent="0.25">
      <c r="G1333"/>
      <c r="H1333"/>
      <c r="I1333"/>
      <c r="J1333"/>
      <c r="K1333"/>
      <c r="L1333"/>
      <c r="M1333"/>
      <c r="N1333"/>
      <c r="O1333"/>
    </row>
    <row r="1334" spans="7:15" ht="15" x14ac:dyDescent="0.25">
      <c r="G1334"/>
      <c r="H1334"/>
      <c r="I1334"/>
      <c r="J1334"/>
      <c r="K1334"/>
      <c r="L1334"/>
      <c r="M1334"/>
      <c r="N1334"/>
      <c r="O1334"/>
    </row>
    <row r="1335" spans="7:15" ht="15" x14ac:dyDescent="0.25">
      <c r="G1335"/>
      <c r="H1335"/>
      <c r="I1335"/>
      <c r="J1335"/>
      <c r="K1335"/>
      <c r="L1335"/>
      <c r="M1335"/>
      <c r="N1335"/>
      <c r="O1335"/>
    </row>
    <row r="1336" spans="7:15" ht="15" x14ac:dyDescent="0.25">
      <c r="G1336"/>
      <c r="H1336"/>
      <c r="I1336"/>
      <c r="J1336"/>
      <c r="K1336"/>
      <c r="L1336"/>
      <c r="M1336"/>
      <c r="N1336"/>
      <c r="O1336"/>
    </row>
    <row r="1337" spans="7:15" ht="15" x14ac:dyDescent="0.25">
      <c r="G1337"/>
      <c r="H1337"/>
      <c r="I1337"/>
      <c r="J1337"/>
      <c r="K1337"/>
      <c r="L1337"/>
      <c r="M1337"/>
      <c r="N1337"/>
      <c r="O1337"/>
    </row>
    <row r="1338" spans="7:15" ht="15" x14ac:dyDescent="0.25">
      <c r="G1338"/>
      <c r="H1338"/>
      <c r="I1338"/>
      <c r="J1338"/>
      <c r="K1338"/>
      <c r="L1338"/>
      <c r="M1338"/>
      <c r="N1338"/>
      <c r="O1338"/>
    </row>
    <row r="1339" spans="7:15" ht="15" x14ac:dyDescent="0.25">
      <c r="G1339"/>
      <c r="H1339"/>
      <c r="I1339"/>
      <c r="J1339"/>
      <c r="K1339"/>
      <c r="L1339"/>
      <c r="M1339"/>
      <c r="N1339"/>
      <c r="O1339"/>
    </row>
    <row r="1340" spans="7:15" ht="15" x14ac:dyDescent="0.25">
      <c r="G1340"/>
      <c r="H1340"/>
      <c r="I1340"/>
      <c r="J1340"/>
      <c r="K1340"/>
      <c r="L1340"/>
      <c r="M1340"/>
      <c r="N1340"/>
      <c r="O1340"/>
    </row>
    <row r="1341" spans="7:15" ht="15" x14ac:dyDescent="0.25">
      <c r="G1341"/>
      <c r="H1341"/>
      <c r="I1341"/>
      <c r="J1341"/>
      <c r="K1341"/>
      <c r="L1341"/>
      <c r="M1341"/>
      <c r="N1341"/>
      <c r="O1341"/>
    </row>
    <row r="1342" spans="7:15" ht="15" x14ac:dyDescent="0.25">
      <c r="G1342"/>
      <c r="H1342"/>
      <c r="I1342"/>
      <c r="J1342"/>
      <c r="K1342"/>
      <c r="L1342"/>
      <c r="M1342"/>
      <c r="N1342"/>
      <c r="O1342"/>
    </row>
    <row r="1343" spans="7:15" ht="15" x14ac:dyDescent="0.25">
      <c r="G1343"/>
      <c r="H1343"/>
      <c r="I1343"/>
      <c r="J1343"/>
      <c r="K1343"/>
      <c r="L1343"/>
      <c r="M1343"/>
      <c r="N1343"/>
      <c r="O1343"/>
    </row>
    <row r="1344" spans="7:15" ht="15" x14ac:dyDescent="0.25">
      <c r="G1344"/>
      <c r="H1344"/>
      <c r="I1344"/>
      <c r="J1344"/>
      <c r="K1344"/>
      <c r="L1344"/>
      <c r="M1344"/>
      <c r="N1344"/>
      <c r="O1344"/>
    </row>
    <row r="1345" spans="7:15" ht="15" x14ac:dyDescent="0.25">
      <c r="G1345"/>
      <c r="H1345"/>
      <c r="I1345"/>
      <c r="J1345"/>
      <c r="K1345"/>
      <c r="L1345"/>
      <c r="M1345"/>
      <c r="N1345"/>
      <c r="O1345"/>
    </row>
    <row r="1346" spans="7:15" ht="15" x14ac:dyDescent="0.25">
      <c r="G1346"/>
      <c r="H1346"/>
      <c r="I1346"/>
      <c r="J1346"/>
      <c r="K1346"/>
      <c r="L1346"/>
      <c r="M1346"/>
      <c r="N1346"/>
      <c r="O1346"/>
    </row>
    <row r="1347" spans="7:15" ht="15" x14ac:dyDescent="0.25">
      <c r="G1347"/>
      <c r="H1347"/>
      <c r="I1347"/>
      <c r="J1347"/>
      <c r="K1347"/>
      <c r="L1347"/>
      <c r="M1347"/>
      <c r="N1347"/>
      <c r="O1347"/>
    </row>
    <row r="1348" spans="7:15" ht="15" x14ac:dyDescent="0.25">
      <c r="G1348"/>
      <c r="H1348"/>
      <c r="I1348"/>
      <c r="J1348"/>
      <c r="K1348"/>
      <c r="L1348"/>
      <c r="M1348"/>
      <c r="N1348"/>
      <c r="O1348"/>
    </row>
    <row r="1349" spans="7:15" ht="15" x14ac:dyDescent="0.25">
      <c r="G1349"/>
      <c r="H1349"/>
      <c r="I1349"/>
      <c r="J1349"/>
      <c r="K1349"/>
      <c r="L1349"/>
      <c r="M1349"/>
      <c r="N1349"/>
      <c r="O1349"/>
    </row>
    <row r="1350" spans="7:15" ht="15" x14ac:dyDescent="0.25">
      <c r="G1350"/>
      <c r="H1350"/>
      <c r="I1350"/>
      <c r="J1350"/>
      <c r="K1350"/>
      <c r="L1350"/>
      <c r="M1350"/>
      <c r="N1350"/>
      <c r="O1350"/>
    </row>
    <row r="1351" spans="7:15" ht="15" x14ac:dyDescent="0.25">
      <c r="G1351"/>
      <c r="H1351"/>
      <c r="I1351"/>
      <c r="J1351"/>
      <c r="K1351"/>
      <c r="L1351"/>
      <c r="M1351"/>
      <c r="N1351"/>
      <c r="O1351"/>
    </row>
    <row r="1352" spans="7:15" ht="15" x14ac:dyDescent="0.25">
      <c r="G1352"/>
      <c r="H1352"/>
      <c r="I1352"/>
      <c r="J1352"/>
      <c r="K1352"/>
      <c r="L1352"/>
      <c r="M1352"/>
      <c r="N1352"/>
      <c r="O1352"/>
    </row>
    <row r="1353" spans="7:15" ht="15" x14ac:dyDescent="0.25">
      <c r="G1353"/>
      <c r="H1353"/>
      <c r="I1353"/>
      <c r="J1353"/>
      <c r="K1353"/>
      <c r="L1353"/>
      <c r="M1353"/>
      <c r="N1353"/>
      <c r="O1353"/>
    </row>
    <row r="1354" spans="7:15" ht="15" x14ac:dyDescent="0.25">
      <c r="G1354"/>
      <c r="H1354"/>
      <c r="I1354"/>
      <c r="J1354"/>
      <c r="K1354"/>
      <c r="L1354"/>
      <c r="M1354"/>
      <c r="N1354"/>
      <c r="O1354"/>
    </row>
    <row r="1355" spans="7:15" ht="15" x14ac:dyDescent="0.25">
      <c r="G1355"/>
      <c r="H1355"/>
      <c r="I1355"/>
      <c r="J1355"/>
      <c r="K1355"/>
      <c r="L1355"/>
      <c r="M1355"/>
      <c r="N1355"/>
      <c r="O1355"/>
    </row>
    <row r="1356" spans="7:15" ht="15" x14ac:dyDescent="0.25">
      <c r="G1356"/>
      <c r="H1356"/>
      <c r="I1356"/>
      <c r="J1356"/>
      <c r="K1356"/>
      <c r="L1356"/>
      <c r="M1356"/>
      <c r="N1356"/>
      <c r="O1356"/>
    </row>
    <row r="1357" spans="7:15" ht="15" x14ac:dyDescent="0.25">
      <c r="G1357"/>
      <c r="H1357"/>
      <c r="I1357"/>
      <c r="J1357"/>
      <c r="K1357"/>
      <c r="L1357"/>
      <c r="M1357"/>
      <c r="N1357"/>
      <c r="O1357"/>
    </row>
    <row r="1358" spans="7:15" ht="15" x14ac:dyDescent="0.25">
      <c r="G1358"/>
      <c r="H1358"/>
      <c r="I1358"/>
      <c r="J1358"/>
      <c r="K1358"/>
      <c r="L1358"/>
      <c r="M1358"/>
      <c r="N1358"/>
      <c r="O1358"/>
    </row>
    <row r="1359" spans="7:15" ht="15" x14ac:dyDescent="0.25">
      <c r="G1359"/>
      <c r="H1359"/>
      <c r="I1359"/>
      <c r="J1359"/>
      <c r="K1359"/>
      <c r="L1359"/>
      <c r="M1359"/>
      <c r="N1359"/>
      <c r="O1359"/>
    </row>
    <row r="1360" spans="7:15" ht="15" x14ac:dyDescent="0.25">
      <c r="G1360"/>
      <c r="H1360"/>
      <c r="I1360"/>
      <c r="J1360"/>
      <c r="K1360"/>
      <c r="L1360"/>
      <c r="M1360"/>
      <c r="N1360"/>
      <c r="O1360"/>
    </row>
    <row r="1361" spans="7:15" ht="15" x14ac:dyDescent="0.25">
      <c r="G1361"/>
      <c r="H1361"/>
      <c r="I1361"/>
      <c r="J1361"/>
      <c r="K1361"/>
      <c r="L1361"/>
      <c r="M1361"/>
      <c r="N1361"/>
      <c r="O1361"/>
    </row>
    <row r="1362" spans="7:15" ht="15" x14ac:dyDescent="0.25">
      <c r="G1362"/>
      <c r="H1362"/>
      <c r="I1362"/>
      <c r="J1362"/>
      <c r="K1362"/>
      <c r="L1362"/>
      <c r="M1362"/>
      <c r="N1362"/>
      <c r="O1362"/>
    </row>
    <row r="1363" spans="7:15" ht="15" x14ac:dyDescent="0.25">
      <c r="G1363"/>
      <c r="H1363"/>
      <c r="I1363"/>
      <c r="J1363"/>
      <c r="K1363"/>
      <c r="L1363"/>
      <c r="M1363"/>
      <c r="N1363"/>
      <c r="O1363"/>
    </row>
    <row r="1364" spans="7:15" ht="15" x14ac:dyDescent="0.25">
      <c r="G1364"/>
      <c r="H1364"/>
      <c r="I1364"/>
      <c r="J1364"/>
      <c r="K1364"/>
      <c r="L1364"/>
      <c r="M1364"/>
      <c r="N1364"/>
      <c r="O1364"/>
    </row>
    <row r="1365" spans="7:15" ht="15" x14ac:dyDescent="0.25">
      <c r="G1365"/>
      <c r="H1365"/>
      <c r="I1365"/>
      <c r="J1365"/>
      <c r="K1365"/>
      <c r="L1365"/>
      <c r="M1365"/>
      <c r="N1365"/>
      <c r="O1365"/>
    </row>
    <row r="1366" spans="7:15" ht="15" x14ac:dyDescent="0.25">
      <c r="G1366"/>
      <c r="H1366"/>
      <c r="I1366"/>
      <c r="J1366"/>
      <c r="K1366"/>
      <c r="L1366"/>
      <c r="M1366"/>
      <c r="N1366"/>
      <c r="O1366"/>
    </row>
    <row r="1367" spans="7:15" ht="15" x14ac:dyDescent="0.25">
      <c r="G1367"/>
      <c r="H1367"/>
      <c r="I1367"/>
      <c r="J1367"/>
      <c r="K1367"/>
      <c r="L1367"/>
      <c r="M1367"/>
      <c r="N1367"/>
      <c r="O1367"/>
    </row>
    <row r="1368" spans="7:15" ht="15" x14ac:dyDescent="0.25">
      <c r="G1368"/>
      <c r="H1368"/>
      <c r="I1368"/>
      <c r="J1368"/>
      <c r="K1368"/>
      <c r="L1368"/>
      <c r="M1368"/>
      <c r="N1368"/>
      <c r="O1368"/>
    </row>
    <row r="1369" spans="7:15" ht="15" x14ac:dyDescent="0.25">
      <c r="G1369"/>
      <c r="H1369"/>
      <c r="I1369"/>
      <c r="J1369"/>
      <c r="K1369"/>
      <c r="L1369"/>
      <c r="M1369"/>
      <c r="N1369"/>
      <c r="O1369"/>
    </row>
    <row r="1370" spans="7:15" ht="15" x14ac:dyDescent="0.25">
      <c r="G1370"/>
      <c r="H1370"/>
      <c r="I1370"/>
      <c r="J1370"/>
      <c r="K1370"/>
      <c r="L1370"/>
      <c r="M1370"/>
      <c r="N1370"/>
      <c r="O1370"/>
    </row>
    <row r="1371" spans="7:15" ht="15" x14ac:dyDescent="0.25">
      <c r="G1371"/>
      <c r="H1371"/>
      <c r="I1371"/>
      <c r="J1371"/>
      <c r="K1371"/>
      <c r="L1371"/>
      <c r="M1371"/>
      <c r="N1371"/>
      <c r="O1371"/>
    </row>
    <row r="1372" spans="7:15" ht="15" x14ac:dyDescent="0.25">
      <c r="G1372"/>
      <c r="H1372"/>
      <c r="I1372"/>
      <c r="J1372"/>
      <c r="K1372"/>
      <c r="L1372"/>
      <c r="M1372"/>
      <c r="N1372"/>
      <c r="O1372"/>
    </row>
    <row r="1373" spans="7:15" ht="15" x14ac:dyDescent="0.25">
      <c r="G1373"/>
      <c r="H1373"/>
      <c r="I1373"/>
      <c r="J1373"/>
      <c r="K1373"/>
      <c r="L1373"/>
      <c r="M1373"/>
      <c r="N1373"/>
      <c r="O1373"/>
    </row>
    <row r="1374" spans="7:15" ht="15" x14ac:dyDescent="0.25">
      <c r="G1374"/>
      <c r="H1374"/>
      <c r="I1374"/>
      <c r="J1374"/>
      <c r="K1374"/>
      <c r="L1374"/>
      <c r="M1374"/>
      <c r="N1374"/>
      <c r="O1374"/>
    </row>
    <row r="1375" spans="7:15" ht="15" x14ac:dyDescent="0.25">
      <c r="G1375"/>
      <c r="H1375"/>
      <c r="I1375"/>
      <c r="J1375"/>
      <c r="K1375"/>
      <c r="L1375"/>
      <c r="M1375"/>
      <c r="N1375"/>
      <c r="O1375"/>
    </row>
    <row r="1376" spans="7:15" ht="15" x14ac:dyDescent="0.25">
      <c r="G1376"/>
      <c r="H1376"/>
      <c r="I1376"/>
      <c r="J1376"/>
      <c r="K1376"/>
      <c r="L1376"/>
      <c r="M1376"/>
      <c r="N1376"/>
      <c r="O1376"/>
    </row>
    <row r="1377" spans="7:15" ht="15" x14ac:dyDescent="0.25">
      <c r="G1377"/>
      <c r="H1377"/>
      <c r="I1377"/>
      <c r="J1377"/>
      <c r="K1377"/>
      <c r="L1377"/>
      <c r="M1377"/>
      <c r="N1377"/>
      <c r="O1377"/>
    </row>
    <row r="1378" spans="7:15" ht="15" x14ac:dyDescent="0.25">
      <c r="G1378"/>
      <c r="H1378"/>
      <c r="I1378"/>
      <c r="J1378"/>
      <c r="K1378"/>
      <c r="L1378"/>
      <c r="M1378"/>
      <c r="N1378"/>
      <c r="O1378"/>
    </row>
    <row r="1379" spans="7:15" ht="15" x14ac:dyDescent="0.25">
      <c r="G1379"/>
      <c r="H1379"/>
      <c r="I1379"/>
      <c r="J1379"/>
      <c r="K1379"/>
      <c r="L1379"/>
      <c r="M1379"/>
      <c r="N1379"/>
      <c r="O1379"/>
    </row>
    <row r="1380" spans="7:15" ht="15" x14ac:dyDescent="0.25">
      <c r="G1380"/>
      <c r="H1380"/>
      <c r="I1380"/>
      <c r="J1380"/>
      <c r="K1380"/>
      <c r="L1380"/>
      <c r="M1380"/>
      <c r="N1380"/>
      <c r="O1380"/>
    </row>
    <row r="1381" spans="7:15" ht="15" x14ac:dyDescent="0.25">
      <c r="G1381"/>
      <c r="H1381"/>
      <c r="I1381"/>
      <c r="J1381"/>
      <c r="K1381"/>
      <c r="L1381"/>
      <c r="M1381"/>
      <c r="N1381"/>
      <c r="O1381"/>
    </row>
    <row r="1382" spans="7:15" ht="15" x14ac:dyDescent="0.25">
      <c r="G1382"/>
      <c r="H1382"/>
      <c r="I1382"/>
      <c r="J1382"/>
      <c r="K1382"/>
      <c r="L1382"/>
      <c r="M1382"/>
      <c r="N1382"/>
      <c r="O1382"/>
    </row>
    <row r="1383" spans="7:15" ht="15" x14ac:dyDescent="0.25">
      <c r="G1383"/>
      <c r="H1383"/>
      <c r="I1383"/>
      <c r="J1383"/>
      <c r="K1383"/>
      <c r="L1383"/>
      <c r="M1383"/>
      <c r="N1383"/>
      <c r="O1383"/>
    </row>
    <row r="1384" spans="7:15" ht="15" x14ac:dyDescent="0.25">
      <c r="G1384"/>
      <c r="H1384"/>
      <c r="I1384"/>
      <c r="J1384"/>
      <c r="K1384"/>
      <c r="L1384"/>
      <c r="M1384"/>
      <c r="N1384"/>
      <c r="O1384"/>
    </row>
    <row r="1385" spans="7:15" ht="15" x14ac:dyDescent="0.25">
      <c r="G1385"/>
      <c r="H1385"/>
      <c r="I1385"/>
      <c r="J1385"/>
      <c r="K1385"/>
      <c r="L1385"/>
      <c r="M1385"/>
      <c r="N1385"/>
      <c r="O1385"/>
    </row>
    <row r="1386" spans="7:15" ht="15" x14ac:dyDescent="0.25">
      <c r="G1386"/>
      <c r="H1386"/>
      <c r="I1386"/>
      <c r="J1386"/>
      <c r="K1386"/>
      <c r="L1386"/>
      <c r="M1386"/>
      <c r="N1386"/>
      <c r="O1386"/>
    </row>
    <row r="1387" spans="7:15" ht="15" x14ac:dyDescent="0.25">
      <c r="G1387"/>
      <c r="H1387"/>
      <c r="I1387"/>
      <c r="J1387"/>
      <c r="K1387"/>
      <c r="L1387"/>
      <c r="M1387"/>
      <c r="N1387"/>
      <c r="O1387"/>
    </row>
    <row r="1388" spans="7:15" ht="15" x14ac:dyDescent="0.25">
      <c r="G1388"/>
      <c r="H1388"/>
      <c r="I1388"/>
      <c r="J1388"/>
      <c r="K1388"/>
      <c r="L1388"/>
      <c r="M1388"/>
      <c r="N1388"/>
      <c r="O1388"/>
    </row>
    <row r="1389" spans="7:15" ht="15" x14ac:dyDescent="0.25">
      <c r="G1389"/>
      <c r="H1389"/>
      <c r="I1389"/>
      <c r="J1389"/>
      <c r="K1389"/>
      <c r="L1389"/>
      <c r="M1389"/>
      <c r="N1389"/>
      <c r="O1389"/>
    </row>
    <row r="1390" spans="7:15" ht="15" x14ac:dyDescent="0.25">
      <c r="G1390"/>
      <c r="H1390"/>
      <c r="I1390"/>
      <c r="J1390"/>
      <c r="K1390"/>
      <c r="L1390"/>
      <c r="M1390"/>
      <c r="N1390"/>
      <c r="O1390"/>
    </row>
    <row r="1391" spans="7:15" ht="15" x14ac:dyDescent="0.25">
      <c r="G1391"/>
      <c r="H1391"/>
      <c r="I1391"/>
      <c r="J1391"/>
      <c r="K1391"/>
      <c r="L1391"/>
      <c r="M1391"/>
      <c r="N1391"/>
      <c r="O1391"/>
    </row>
    <row r="1392" spans="7:15" ht="15" x14ac:dyDescent="0.25">
      <c r="G1392"/>
      <c r="H1392"/>
      <c r="I1392"/>
      <c r="J1392"/>
      <c r="K1392"/>
      <c r="L1392"/>
      <c r="M1392"/>
      <c r="N1392"/>
      <c r="O1392"/>
    </row>
    <row r="1393" spans="7:15" ht="15" x14ac:dyDescent="0.25">
      <c r="G1393"/>
      <c r="H1393"/>
      <c r="I1393"/>
      <c r="J1393"/>
      <c r="K1393"/>
      <c r="L1393"/>
      <c r="M1393"/>
      <c r="N1393"/>
      <c r="O1393"/>
    </row>
    <row r="1394" spans="7:15" ht="15" x14ac:dyDescent="0.25">
      <c r="G1394"/>
      <c r="H1394"/>
      <c r="I1394"/>
      <c r="J1394"/>
      <c r="K1394"/>
      <c r="L1394"/>
      <c r="M1394"/>
      <c r="N1394"/>
      <c r="O1394"/>
    </row>
    <row r="1395" spans="7:15" ht="15" x14ac:dyDescent="0.25">
      <c r="G1395"/>
      <c r="H1395"/>
      <c r="I1395"/>
      <c r="J1395"/>
      <c r="K1395"/>
      <c r="L1395"/>
      <c r="M1395"/>
      <c r="N1395"/>
      <c r="O1395"/>
    </row>
    <row r="1396" spans="7:15" ht="15" x14ac:dyDescent="0.25">
      <c r="G1396"/>
      <c r="H1396"/>
      <c r="I1396"/>
      <c r="J1396"/>
      <c r="K1396"/>
      <c r="L1396"/>
      <c r="M1396"/>
      <c r="N1396"/>
      <c r="O1396"/>
    </row>
    <row r="1397" spans="7:15" ht="15" x14ac:dyDescent="0.25">
      <c r="G1397"/>
      <c r="H1397"/>
      <c r="I1397"/>
      <c r="J1397"/>
      <c r="K1397"/>
      <c r="L1397"/>
      <c r="M1397"/>
      <c r="N1397"/>
      <c r="O1397"/>
    </row>
    <row r="1398" spans="7:15" ht="15" x14ac:dyDescent="0.25">
      <c r="G1398"/>
      <c r="H1398"/>
      <c r="I1398"/>
      <c r="J1398"/>
      <c r="K1398"/>
      <c r="L1398"/>
      <c r="M1398"/>
      <c r="N1398"/>
      <c r="O1398"/>
    </row>
    <row r="1399" spans="7:15" ht="15" x14ac:dyDescent="0.25">
      <c r="G1399"/>
      <c r="H1399"/>
      <c r="I1399"/>
      <c r="J1399"/>
      <c r="K1399"/>
      <c r="L1399"/>
      <c r="M1399"/>
      <c r="N1399"/>
      <c r="O1399"/>
    </row>
    <row r="1400" spans="7:15" ht="15" x14ac:dyDescent="0.25">
      <c r="G1400"/>
      <c r="H1400"/>
      <c r="I1400"/>
      <c r="J1400"/>
      <c r="K1400"/>
      <c r="L1400"/>
      <c r="M1400"/>
      <c r="N1400"/>
      <c r="O1400"/>
    </row>
    <row r="1401" spans="7:15" ht="15" x14ac:dyDescent="0.25">
      <c r="G1401"/>
      <c r="H1401"/>
      <c r="I1401"/>
      <c r="J1401"/>
      <c r="K1401"/>
      <c r="L1401"/>
      <c r="M1401"/>
      <c r="N1401"/>
      <c r="O1401"/>
    </row>
    <row r="1402" spans="7:15" ht="15" x14ac:dyDescent="0.25">
      <c r="G1402"/>
      <c r="H1402"/>
      <c r="I1402"/>
      <c r="J1402"/>
      <c r="K1402"/>
      <c r="L1402"/>
      <c r="M1402"/>
      <c r="N1402"/>
      <c r="O1402"/>
    </row>
    <row r="1403" spans="7:15" ht="15" x14ac:dyDescent="0.25">
      <c r="G1403"/>
      <c r="H1403"/>
      <c r="I1403"/>
      <c r="J1403"/>
      <c r="K1403"/>
      <c r="L1403"/>
      <c r="M1403"/>
      <c r="N1403"/>
      <c r="O1403"/>
    </row>
    <row r="1404" spans="7:15" ht="15" x14ac:dyDescent="0.25">
      <c r="G1404"/>
      <c r="H1404"/>
      <c r="I1404"/>
      <c r="J1404"/>
      <c r="K1404"/>
      <c r="L1404"/>
      <c r="M1404"/>
      <c r="N1404"/>
      <c r="O1404"/>
    </row>
    <row r="1405" spans="7:15" ht="15" x14ac:dyDescent="0.25">
      <c r="G1405"/>
      <c r="H1405"/>
      <c r="I1405"/>
      <c r="J1405"/>
      <c r="K1405"/>
      <c r="L1405"/>
      <c r="M1405"/>
      <c r="N1405"/>
      <c r="O1405"/>
    </row>
    <row r="1406" spans="7:15" ht="15" x14ac:dyDescent="0.25">
      <c r="G1406"/>
      <c r="H1406"/>
      <c r="I1406"/>
      <c r="J1406"/>
      <c r="K1406"/>
      <c r="L1406"/>
      <c r="M1406"/>
      <c r="N1406"/>
      <c r="O1406"/>
    </row>
    <row r="1407" spans="7:15" ht="15" x14ac:dyDescent="0.25">
      <c r="G1407"/>
      <c r="H1407"/>
      <c r="I1407"/>
      <c r="J1407"/>
      <c r="K1407"/>
      <c r="L1407"/>
      <c r="M1407"/>
      <c r="N1407"/>
      <c r="O1407"/>
    </row>
    <row r="1408" spans="7:15" ht="15" x14ac:dyDescent="0.25">
      <c r="G1408"/>
      <c r="H1408"/>
      <c r="I1408"/>
      <c r="J1408"/>
      <c r="K1408"/>
      <c r="L1408"/>
      <c r="M1408"/>
      <c r="N1408"/>
      <c r="O1408"/>
    </row>
    <row r="1409" spans="7:15" ht="15" x14ac:dyDescent="0.25">
      <c r="G1409"/>
      <c r="H1409"/>
      <c r="I1409"/>
      <c r="J1409"/>
      <c r="K1409"/>
      <c r="L1409"/>
      <c r="M1409"/>
      <c r="N1409"/>
      <c r="O1409"/>
    </row>
    <row r="1410" spans="7:15" ht="15" x14ac:dyDescent="0.25">
      <c r="G1410"/>
      <c r="H1410"/>
      <c r="I1410"/>
      <c r="J1410"/>
      <c r="K1410"/>
      <c r="L1410"/>
      <c r="M1410"/>
      <c r="N1410"/>
      <c r="O1410"/>
    </row>
    <row r="1411" spans="7:15" ht="15" x14ac:dyDescent="0.25">
      <c r="G1411"/>
      <c r="H1411"/>
      <c r="I1411"/>
      <c r="J1411"/>
      <c r="K1411"/>
      <c r="L1411"/>
      <c r="M1411"/>
      <c r="N1411"/>
      <c r="O1411"/>
    </row>
    <row r="1412" spans="7:15" ht="15" x14ac:dyDescent="0.25">
      <c r="G1412"/>
      <c r="H1412"/>
      <c r="I1412"/>
      <c r="J1412"/>
      <c r="K1412"/>
      <c r="L1412"/>
      <c r="M1412"/>
      <c r="N1412"/>
      <c r="O1412"/>
    </row>
    <row r="1413" spans="7:15" ht="15" x14ac:dyDescent="0.25">
      <c r="G1413"/>
      <c r="H1413"/>
      <c r="I1413"/>
      <c r="J1413"/>
      <c r="K1413"/>
      <c r="L1413"/>
      <c r="M1413"/>
      <c r="N1413"/>
      <c r="O1413"/>
    </row>
    <row r="1414" spans="7:15" ht="15" x14ac:dyDescent="0.25">
      <c r="G1414"/>
      <c r="H1414"/>
      <c r="I1414"/>
      <c r="J1414"/>
      <c r="K1414"/>
      <c r="L1414"/>
      <c r="M1414"/>
      <c r="N1414"/>
      <c r="O1414"/>
    </row>
    <row r="1415" spans="7:15" ht="15" x14ac:dyDescent="0.25">
      <c r="G1415"/>
      <c r="H1415"/>
      <c r="I1415"/>
      <c r="J1415"/>
      <c r="K1415"/>
      <c r="L1415"/>
      <c r="M1415"/>
      <c r="N1415"/>
      <c r="O1415"/>
    </row>
    <row r="1416" spans="7:15" ht="15" x14ac:dyDescent="0.25">
      <c r="G1416"/>
      <c r="H1416"/>
      <c r="I1416"/>
      <c r="J1416"/>
      <c r="K1416"/>
      <c r="L1416"/>
      <c r="M1416"/>
      <c r="N1416"/>
      <c r="O1416"/>
    </row>
    <row r="1417" spans="7:15" ht="15" x14ac:dyDescent="0.25">
      <c r="G1417"/>
      <c r="H1417"/>
      <c r="I1417"/>
      <c r="J1417"/>
      <c r="K1417"/>
      <c r="L1417"/>
      <c r="M1417"/>
      <c r="N1417"/>
      <c r="O1417"/>
    </row>
    <row r="1418" spans="7:15" ht="15" x14ac:dyDescent="0.25">
      <c r="G1418"/>
      <c r="H1418"/>
      <c r="I1418"/>
      <c r="J1418"/>
      <c r="K1418"/>
      <c r="L1418"/>
      <c r="M1418"/>
      <c r="N1418"/>
      <c r="O1418"/>
    </row>
    <row r="1419" spans="7:15" ht="15" x14ac:dyDescent="0.25">
      <c r="G1419"/>
      <c r="H1419"/>
      <c r="I1419"/>
      <c r="J1419"/>
      <c r="K1419"/>
      <c r="L1419"/>
      <c r="M1419"/>
      <c r="N1419"/>
      <c r="O1419"/>
    </row>
    <row r="1420" spans="7:15" ht="15" x14ac:dyDescent="0.25">
      <c r="G1420"/>
      <c r="H1420"/>
      <c r="I1420"/>
      <c r="J1420"/>
      <c r="K1420"/>
      <c r="L1420"/>
      <c r="M1420"/>
      <c r="N1420"/>
      <c r="O1420"/>
    </row>
    <row r="1421" spans="7:15" ht="15" x14ac:dyDescent="0.25">
      <c r="G1421"/>
      <c r="H1421"/>
      <c r="I1421"/>
      <c r="J1421"/>
      <c r="K1421"/>
      <c r="L1421"/>
      <c r="M1421"/>
      <c r="N1421"/>
      <c r="O1421"/>
    </row>
    <row r="1422" spans="7:15" ht="15" x14ac:dyDescent="0.25">
      <c r="G1422"/>
      <c r="H1422"/>
      <c r="I1422"/>
      <c r="J1422"/>
      <c r="K1422"/>
      <c r="L1422"/>
      <c r="M1422"/>
      <c r="N1422"/>
      <c r="O1422"/>
    </row>
    <row r="1423" spans="7:15" ht="15" x14ac:dyDescent="0.25">
      <c r="G1423"/>
      <c r="H1423"/>
      <c r="I1423"/>
      <c r="J1423"/>
      <c r="K1423"/>
      <c r="L1423"/>
      <c r="M1423"/>
      <c r="N1423"/>
      <c r="O1423"/>
    </row>
    <row r="1424" spans="7:15" ht="15" x14ac:dyDescent="0.25">
      <c r="G1424"/>
      <c r="H1424"/>
      <c r="I1424"/>
      <c r="J1424"/>
      <c r="K1424"/>
      <c r="L1424"/>
      <c r="M1424"/>
      <c r="N1424"/>
      <c r="O1424"/>
    </row>
    <row r="1425" spans="7:15" ht="15" x14ac:dyDescent="0.25">
      <c r="G1425"/>
      <c r="H1425"/>
      <c r="I1425"/>
      <c r="J1425"/>
      <c r="K1425"/>
      <c r="L1425"/>
      <c r="M1425"/>
      <c r="N1425"/>
      <c r="O1425"/>
    </row>
    <row r="1426" spans="7:15" ht="15" x14ac:dyDescent="0.25">
      <c r="G1426"/>
      <c r="H1426"/>
      <c r="I1426"/>
      <c r="J1426"/>
      <c r="K1426"/>
      <c r="L1426"/>
      <c r="M1426"/>
      <c r="N1426"/>
      <c r="O1426"/>
    </row>
    <row r="1427" spans="7:15" ht="15" x14ac:dyDescent="0.25">
      <c r="G1427"/>
      <c r="H1427"/>
      <c r="I1427"/>
      <c r="J1427"/>
      <c r="K1427"/>
      <c r="L1427"/>
      <c r="M1427"/>
      <c r="N1427"/>
      <c r="O1427"/>
    </row>
    <row r="1428" spans="7:15" ht="15" x14ac:dyDescent="0.25">
      <c r="G1428"/>
      <c r="H1428"/>
      <c r="I1428"/>
      <c r="J1428"/>
      <c r="K1428"/>
      <c r="L1428"/>
      <c r="M1428"/>
      <c r="N1428"/>
      <c r="O1428"/>
    </row>
    <row r="1429" spans="7:15" ht="15" x14ac:dyDescent="0.25">
      <c r="G1429"/>
      <c r="H1429"/>
      <c r="I1429"/>
      <c r="J1429"/>
      <c r="K1429"/>
      <c r="L1429"/>
      <c r="M1429"/>
      <c r="N1429"/>
      <c r="O1429"/>
    </row>
    <row r="1430" spans="7:15" ht="15" x14ac:dyDescent="0.25">
      <c r="G1430"/>
      <c r="H1430"/>
      <c r="I1430"/>
      <c r="J1430"/>
      <c r="K1430"/>
      <c r="L1430"/>
      <c r="M1430"/>
      <c r="N1430"/>
      <c r="O1430"/>
    </row>
    <row r="1431" spans="7:15" ht="15" x14ac:dyDescent="0.25">
      <c r="G1431"/>
      <c r="H1431"/>
      <c r="I1431"/>
      <c r="J1431"/>
      <c r="K1431"/>
      <c r="L1431"/>
      <c r="M1431"/>
      <c r="N1431"/>
      <c r="O1431"/>
    </row>
    <row r="1432" spans="7:15" ht="15" x14ac:dyDescent="0.25">
      <c r="G1432"/>
      <c r="H1432"/>
      <c r="I1432"/>
      <c r="J1432"/>
      <c r="K1432"/>
      <c r="L1432"/>
      <c r="M1432"/>
      <c r="N1432"/>
      <c r="O1432"/>
    </row>
    <row r="1433" spans="7:15" ht="15" x14ac:dyDescent="0.25">
      <c r="G1433"/>
      <c r="H1433"/>
      <c r="I1433"/>
      <c r="J1433"/>
      <c r="K1433"/>
      <c r="L1433"/>
      <c r="M1433"/>
      <c r="N1433"/>
      <c r="O1433"/>
    </row>
    <row r="1434" spans="7:15" ht="15" x14ac:dyDescent="0.25">
      <c r="G1434"/>
      <c r="H1434"/>
      <c r="I1434"/>
      <c r="J1434"/>
      <c r="K1434"/>
      <c r="L1434"/>
      <c r="M1434"/>
      <c r="N1434"/>
      <c r="O1434"/>
    </row>
    <row r="1435" spans="7:15" ht="15" x14ac:dyDescent="0.25">
      <c r="G1435"/>
      <c r="H1435"/>
      <c r="I1435"/>
      <c r="J1435"/>
      <c r="K1435"/>
      <c r="L1435"/>
      <c r="M1435"/>
      <c r="N1435"/>
      <c r="O1435"/>
    </row>
    <row r="1436" spans="7:15" ht="15" x14ac:dyDescent="0.25">
      <c r="G1436"/>
      <c r="H1436"/>
      <c r="I1436"/>
      <c r="J1436"/>
      <c r="K1436"/>
      <c r="L1436"/>
      <c r="M1436"/>
      <c r="N1436"/>
      <c r="O1436"/>
    </row>
    <row r="1437" spans="7:15" ht="15" x14ac:dyDescent="0.25">
      <c r="G1437"/>
      <c r="H1437"/>
      <c r="I1437"/>
      <c r="J1437"/>
      <c r="K1437"/>
      <c r="L1437"/>
      <c r="M1437"/>
      <c r="N1437"/>
      <c r="O1437"/>
    </row>
    <row r="1438" spans="7:15" ht="15" x14ac:dyDescent="0.25">
      <c r="G1438"/>
      <c r="H1438"/>
      <c r="I1438"/>
      <c r="J1438"/>
      <c r="K1438"/>
      <c r="L1438"/>
      <c r="M1438"/>
      <c r="N1438"/>
      <c r="O1438"/>
    </row>
    <row r="1439" spans="7:15" ht="15" x14ac:dyDescent="0.25">
      <c r="G1439"/>
      <c r="H1439"/>
      <c r="I1439"/>
      <c r="J1439"/>
      <c r="K1439"/>
      <c r="L1439"/>
      <c r="M1439"/>
      <c r="N1439"/>
      <c r="O1439"/>
    </row>
    <row r="1440" spans="7:15" ht="15" x14ac:dyDescent="0.25">
      <c r="G1440"/>
      <c r="H1440"/>
      <c r="I1440"/>
      <c r="J1440"/>
      <c r="K1440"/>
      <c r="L1440"/>
      <c r="M1440"/>
      <c r="N1440"/>
      <c r="O1440"/>
    </row>
    <row r="1441" spans="7:15" ht="15" x14ac:dyDescent="0.25">
      <c r="G1441"/>
      <c r="H1441"/>
      <c r="I1441"/>
      <c r="J1441"/>
      <c r="K1441"/>
      <c r="L1441"/>
      <c r="M1441"/>
      <c r="N1441"/>
      <c r="O1441"/>
    </row>
    <row r="1442" spans="7:15" ht="15" x14ac:dyDescent="0.25">
      <c r="G1442"/>
      <c r="H1442"/>
      <c r="I1442"/>
      <c r="J1442"/>
      <c r="K1442"/>
      <c r="L1442"/>
      <c r="M1442"/>
      <c r="N1442"/>
      <c r="O1442"/>
    </row>
    <row r="1443" spans="7:15" ht="15" x14ac:dyDescent="0.25">
      <c r="G1443"/>
      <c r="H1443"/>
      <c r="I1443"/>
      <c r="J1443"/>
      <c r="K1443"/>
      <c r="L1443"/>
      <c r="M1443"/>
      <c r="N1443"/>
      <c r="O1443"/>
    </row>
    <row r="1444" spans="7:15" ht="15" x14ac:dyDescent="0.25">
      <c r="G1444"/>
      <c r="H1444"/>
      <c r="I1444"/>
      <c r="J1444"/>
      <c r="K1444"/>
      <c r="L1444"/>
      <c r="M1444"/>
      <c r="N1444"/>
      <c r="O1444"/>
    </row>
    <row r="1445" spans="7:15" ht="15" x14ac:dyDescent="0.25">
      <c r="G1445"/>
      <c r="H1445"/>
      <c r="I1445"/>
      <c r="J1445"/>
      <c r="K1445"/>
      <c r="L1445"/>
      <c r="M1445"/>
      <c r="N1445"/>
      <c r="O1445"/>
    </row>
    <row r="1446" spans="7:15" ht="15" x14ac:dyDescent="0.25">
      <c r="G1446"/>
      <c r="H1446"/>
      <c r="I1446"/>
      <c r="J1446"/>
      <c r="K1446"/>
      <c r="L1446"/>
      <c r="M1446"/>
      <c r="N1446"/>
      <c r="O1446"/>
    </row>
    <row r="1447" spans="7:15" ht="15" x14ac:dyDescent="0.25">
      <c r="G1447"/>
      <c r="H1447"/>
      <c r="I1447"/>
      <c r="J1447"/>
      <c r="K1447"/>
      <c r="L1447"/>
      <c r="M1447"/>
      <c r="N1447"/>
      <c r="O1447"/>
    </row>
    <row r="1448" spans="7:15" ht="15" x14ac:dyDescent="0.25">
      <c r="G1448"/>
      <c r="H1448"/>
      <c r="I1448"/>
      <c r="J1448"/>
      <c r="K1448"/>
      <c r="L1448"/>
      <c r="M1448"/>
      <c r="N1448"/>
      <c r="O1448"/>
    </row>
    <row r="1449" spans="7:15" ht="15" x14ac:dyDescent="0.25">
      <c r="G1449"/>
      <c r="H1449"/>
      <c r="I1449"/>
      <c r="J1449"/>
      <c r="K1449"/>
      <c r="L1449"/>
      <c r="M1449"/>
      <c r="N1449"/>
      <c r="O1449"/>
    </row>
    <row r="1450" spans="7:15" ht="15" x14ac:dyDescent="0.25">
      <c r="G1450"/>
      <c r="H1450"/>
      <c r="I1450"/>
      <c r="J1450"/>
      <c r="K1450"/>
      <c r="L1450"/>
      <c r="M1450"/>
      <c r="N1450"/>
      <c r="O1450"/>
    </row>
    <row r="1451" spans="7:15" ht="15" x14ac:dyDescent="0.25">
      <c r="G1451"/>
      <c r="H1451"/>
      <c r="I1451"/>
      <c r="J1451"/>
      <c r="K1451"/>
      <c r="L1451"/>
      <c r="M1451"/>
      <c r="N1451"/>
      <c r="O1451"/>
    </row>
    <row r="1452" spans="7:15" ht="15" x14ac:dyDescent="0.25">
      <c r="G1452"/>
      <c r="H1452"/>
      <c r="I1452"/>
      <c r="J1452"/>
      <c r="K1452"/>
      <c r="L1452"/>
      <c r="M1452"/>
      <c r="N1452"/>
      <c r="O1452"/>
    </row>
    <row r="1453" spans="7:15" ht="15" x14ac:dyDescent="0.25">
      <c r="G1453"/>
      <c r="H1453"/>
      <c r="I1453"/>
      <c r="J1453"/>
      <c r="K1453"/>
      <c r="L1453"/>
      <c r="M1453"/>
      <c r="N1453"/>
      <c r="O1453"/>
    </row>
    <row r="1454" spans="7:15" ht="15" x14ac:dyDescent="0.25">
      <c r="G1454"/>
      <c r="H1454"/>
      <c r="I1454"/>
      <c r="J1454"/>
      <c r="K1454"/>
      <c r="L1454"/>
      <c r="M1454"/>
      <c r="N1454"/>
      <c r="O1454"/>
    </row>
    <row r="1455" spans="7:15" ht="15" x14ac:dyDescent="0.25">
      <c r="G1455"/>
      <c r="H1455"/>
      <c r="I1455"/>
      <c r="J1455"/>
      <c r="K1455"/>
      <c r="L1455"/>
      <c r="M1455"/>
      <c r="N1455"/>
      <c r="O1455"/>
    </row>
    <row r="1456" spans="7:15" ht="15" x14ac:dyDescent="0.25">
      <c r="G1456"/>
      <c r="H1456"/>
      <c r="I1456"/>
      <c r="J1456"/>
      <c r="K1456"/>
      <c r="L1456"/>
      <c r="M1456"/>
      <c r="N1456"/>
      <c r="O1456"/>
    </row>
    <row r="1457" spans="7:15" ht="15" x14ac:dyDescent="0.25">
      <c r="G1457"/>
      <c r="H1457"/>
      <c r="I1457"/>
      <c r="J1457"/>
      <c r="K1457"/>
      <c r="L1457"/>
      <c r="M1457"/>
      <c r="N1457"/>
      <c r="O1457"/>
    </row>
    <row r="1458" spans="7:15" ht="15" x14ac:dyDescent="0.25">
      <c r="G1458"/>
      <c r="H1458"/>
      <c r="I1458"/>
      <c r="J1458"/>
      <c r="K1458"/>
      <c r="L1458"/>
      <c r="M1458"/>
      <c r="N1458"/>
      <c r="O1458"/>
    </row>
    <row r="1459" spans="7:15" ht="15" x14ac:dyDescent="0.25">
      <c r="G1459"/>
      <c r="H1459"/>
      <c r="I1459"/>
      <c r="J1459"/>
      <c r="K1459"/>
      <c r="L1459"/>
      <c r="M1459"/>
      <c r="N1459"/>
      <c r="O1459"/>
    </row>
    <row r="1460" spans="7:15" ht="15" x14ac:dyDescent="0.25">
      <c r="G1460"/>
      <c r="H1460"/>
      <c r="I1460"/>
      <c r="J1460"/>
      <c r="K1460"/>
      <c r="L1460"/>
      <c r="M1460"/>
      <c r="N1460"/>
      <c r="O1460"/>
    </row>
    <row r="1461" spans="7:15" ht="15" x14ac:dyDescent="0.25">
      <c r="G1461"/>
      <c r="H1461"/>
      <c r="I1461"/>
      <c r="J1461"/>
      <c r="K1461"/>
      <c r="L1461"/>
      <c r="M1461"/>
      <c r="N1461"/>
      <c r="O1461"/>
    </row>
    <row r="1462" spans="7:15" ht="15" x14ac:dyDescent="0.25">
      <c r="G1462"/>
      <c r="H1462"/>
      <c r="I1462"/>
      <c r="J1462"/>
      <c r="K1462"/>
      <c r="L1462"/>
      <c r="M1462"/>
      <c r="N1462"/>
      <c r="O1462"/>
    </row>
    <row r="1463" spans="7:15" ht="15" x14ac:dyDescent="0.25">
      <c r="G1463"/>
      <c r="H1463"/>
      <c r="I1463"/>
      <c r="J1463"/>
      <c r="K1463"/>
      <c r="L1463"/>
      <c r="M1463"/>
      <c r="N1463"/>
      <c r="O1463"/>
    </row>
    <row r="1464" spans="7:15" ht="15" x14ac:dyDescent="0.25">
      <c r="G1464"/>
      <c r="H1464"/>
      <c r="I1464"/>
      <c r="J1464"/>
      <c r="K1464"/>
      <c r="L1464"/>
      <c r="M1464"/>
      <c r="N1464"/>
      <c r="O1464"/>
    </row>
    <row r="1465" spans="7:15" ht="15" x14ac:dyDescent="0.25">
      <c r="G1465"/>
      <c r="H1465"/>
      <c r="I1465"/>
      <c r="J1465"/>
      <c r="K1465"/>
      <c r="L1465"/>
      <c r="M1465"/>
      <c r="N1465"/>
      <c r="O1465"/>
    </row>
    <row r="1466" spans="7:15" ht="15" x14ac:dyDescent="0.25">
      <c r="G1466"/>
      <c r="H1466"/>
      <c r="I1466"/>
      <c r="J1466"/>
      <c r="K1466"/>
      <c r="L1466"/>
      <c r="M1466"/>
      <c r="N1466"/>
      <c r="O1466"/>
    </row>
    <row r="1467" spans="7:15" ht="15" x14ac:dyDescent="0.25">
      <c r="G1467"/>
      <c r="H1467"/>
      <c r="I1467"/>
      <c r="J1467"/>
      <c r="K1467"/>
      <c r="L1467"/>
      <c r="M1467"/>
      <c r="N1467"/>
      <c r="O1467"/>
    </row>
    <row r="1468" spans="7:15" ht="15" x14ac:dyDescent="0.25">
      <c r="G1468"/>
      <c r="H1468"/>
      <c r="I1468"/>
      <c r="J1468"/>
      <c r="K1468"/>
      <c r="L1468"/>
      <c r="M1468"/>
      <c r="N1468"/>
      <c r="O1468"/>
    </row>
    <row r="1469" spans="7:15" ht="15" x14ac:dyDescent="0.25">
      <c r="G1469"/>
      <c r="H1469"/>
      <c r="I1469"/>
      <c r="J1469"/>
      <c r="K1469"/>
      <c r="L1469"/>
      <c r="M1469"/>
      <c r="N1469"/>
      <c r="O1469"/>
    </row>
    <row r="1470" spans="7:15" ht="15" x14ac:dyDescent="0.25">
      <c r="G1470"/>
      <c r="H1470"/>
      <c r="I1470"/>
      <c r="J1470"/>
      <c r="K1470"/>
      <c r="L1470"/>
      <c r="M1470"/>
      <c r="N1470"/>
      <c r="O1470"/>
    </row>
    <row r="1471" spans="7:15" ht="15" x14ac:dyDescent="0.25">
      <c r="G1471"/>
      <c r="H1471"/>
      <c r="I1471"/>
      <c r="J1471"/>
      <c r="K1471"/>
      <c r="L1471"/>
      <c r="M1471"/>
      <c r="N1471"/>
      <c r="O1471"/>
    </row>
    <row r="1472" spans="7:15" ht="15" x14ac:dyDescent="0.25">
      <c r="G1472"/>
      <c r="H1472"/>
      <c r="I1472"/>
      <c r="J1472"/>
      <c r="K1472"/>
      <c r="L1472"/>
      <c r="M1472"/>
      <c r="N1472"/>
      <c r="O1472"/>
    </row>
    <row r="1473" spans="7:15" ht="15" x14ac:dyDescent="0.25">
      <c r="G1473"/>
      <c r="H1473"/>
      <c r="I1473"/>
      <c r="J1473"/>
      <c r="K1473"/>
      <c r="L1473"/>
      <c r="M1473"/>
      <c r="N1473"/>
      <c r="O1473"/>
    </row>
    <row r="1474" spans="7:15" ht="15" x14ac:dyDescent="0.25">
      <c r="G1474"/>
      <c r="H1474"/>
      <c r="I1474"/>
      <c r="J1474"/>
      <c r="K1474"/>
      <c r="L1474"/>
      <c r="M1474"/>
      <c r="N1474"/>
      <c r="O1474"/>
    </row>
    <row r="1475" spans="7:15" ht="15" x14ac:dyDescent="0.25">
      <c r="G1475"/>
      <c r="H1475"/>
      <c r="I1475"/>
      <c r="J1475"/>
      <c r="K1475"/>
      <c r="L1475"/>
      <c r="M1475"/>
      <c r="N1475"/>
      <c r="O1475"/>
    </row>
    <row r="1476" spans="7:15" ht="15" x14ac:dyDescent="0.25">
      <c r="G1476"/>
      <c r="H1476"/>
      <c r="I1476"/>
      <c r="J1476"/>
      <c r="K1476"/>
      <c r="L1476"/>
      <c r="M1476"/>
      <c r="N1476"/>
      <c r="O1476"/>
    </row>
    <row r="1477" spans="7:15" ht="15" x14ac:dyDescent="0.25">
      <c r="G1477"/>
      <c r="H1477"/>
      <c r="I1477"/>
      <c r="J1477"/>
      <c r="K1477"/>
      <c r="L1477"/>
      <c r="M1477"/>
      <c r="N1477"/>
      <c r="O1477"/>
    </row>
    <row r="1478" spans="7:15" ht="15" x14ac:dyDescent="0.25">
      <c r="G1478"/>
      <c r="H1478"/>
      <c r="I1478"/>
      <c r="J1478"/>
      <c r="K1478"/>
      <c r="L1478"/>
      <c r="M1478"/>
      <c r="N1478"/>
      <c r="O1478"/>
    </row>
    <row r="1479" spans="7:15" ht="15" x14ac:dyDescent="0.25">
      <c r="G1479"/>
      <c r="H1479"/>
      <c r="I1479"/>
      <c r="J1479"/>
      <c r="K1479"/>
      <c r="L1479"/>
      <c r="M1479"/>
      <c r="N1479"/>
      <c r="O1479"/>
    </row>
    <row r="1480" spans="7:15" ht="15" x14ac:dyDescent="0.25">
      <c r="G1480"/>
      <c r="H1480"/>
      <c r="I1480"/>
      <c r="J1480"/>
      <c r="K1480"/>
      <c r="L1480"/>
      <c r="M1480"/>
      <c r="N1480"/>
      <c r="O1480"/>
    </row>
    <row r="1481" spans="7:15" ht="15" x14ac:dyDescent="0.25">
      <c r="G1481"/>
      <c r="H1481"/>
      <c r="I1481"/>
      <c r="J1481"/>
      <c r="K1481"/>
      <c r="L1481"/>
      <c r="M1481"/>
      <c r="N1481"/>
      <c r="O1481"/>
    </row>
    <row r="1482" spans="7:15" ht="15" x14ac:dyDescent="0.25">
      <c r="G1482"/>
      <c r="H1482"/>
      <c r="I1482"/>
      <c r="J1482"/>
      <c r="K1482"/>
      <c r="L1482"/>
      <c r="M1482"/>
      <c r="N1482"/>
      <c r="O1482"/>
    </row>
    <row r="1483" spans="7:15" ht="15" x14ac:dyDescent="0.25">
      <c r="G1483"/>
      <c r="H1483"/>
      <c r="I1483"/>
      <c r="J1483"/>
      <c r="K1483"/>
      <c r="L1483"/>
      <c r="M1483"/>
      <c r="N1483"/>
      <c r="O1483"/>
    </row>
    <row r="1484" spans="7:15" ht="15" x14ac:dyDescent="0.25">
      <c r="G1484"/>
      <c r="H1484"/>
      <c r="I1484"/>
      <c r="J1484"/>
      <c r="K1484"/>
      <c r="L1484"/>
      <c r="M1484"/>
      <c r="N1484"/>
      <c r="O1484"/>
    </row>
    <row r="1485" spans="7:15" ht="15" x14ac:dyDescent="0.25">
      <c r="G1485"/>
      <c r="H1485"/>
      <c r="I1485"/>
      <c r="J1485"/>
      <c r="K1485"/>
      <c r="L1485"/>
      <c r="M1485"/>
      <c r="N1485"/>
      <c r="O1485"/>
    </row>
    <row r="1486" spans="7:15" ht="15" x14ac:dyDescent="0.25">
      <c r="G1486"/>
      <c r="H1486"/>
      <c r="I1486"/>
      <c r="J1486"/>
      <c r="K1486"/>
      <c r="L1486"/>
      <c r="M1486"/>
      <c r="N1486"/>
      <c r="O1486"/>
    </row>
    <row r="1487" spans="7:15" ht="15" x14ac:dyDescent="0.25">
      <c r="G1487"/>
      <c r="H1487"/>
      <c r="I1487"/>
      <c r="J1487"/>
      <c r="K1487"/>
      <c r="L1487"/>
      <c r="M1487"/>
      <c r="N1487"/>
      <c r="O1487"/>
    </row>
    <row r="1488" spans="7:15" ht="15" x14ac:dyDescent="0.25">
      <c r="G1488"/>
      <c r="H1488"/>
      <c r="I1488"/>
      <c r="J1488"/>
      <c r="K1488"/>
      <c r="L1488"/>
      <c r="M1488"/>
      <c r="N1488"/>
      <c r="O1488"/>
    </row>
    <row r="1489" spans="7:15" ht="15" x14ac:dyDescent="0.25">
      <c r="G1489"/>
      <c r="H1489"/>
      <c r="I1489"/>
      <c r="J1489"/>
      <c r="K1489"/>
      <c r="L1489"/>
      <c r="M1489"/>
      <c r="N1489"/>
      <c r="O1489"/>
    </row>
    <row r="1490" spans="7:15" ht="15" x14ac:dyDescent="0.25">
      <c r="G1490"/>
      <c r="H1490"/>
      <c r="I1490"/>
      <c r="J1490"/>
      <c r="K1490"/>
      <c r="L1490"/>
      <c r="M1490"/>
      <c r="N1490"/>
      <c r="O1490"/>
    </row>
    <row r="1491" spans="7:15" ht="15" x14ac:dyDescent="0.25">
      <c r="G1491"/>
      <c r="H1491"/>
      <c r="I1491"/>
      <c r="J1491"/>
      <c r="K1491"/>
      <c r="L1491"/>
      <c r="M1491"/>
      <c r="N1491"/>
      <c r="O1491"/>
    </row>
    <row r="1492" spans="7:15" ht="15" x14ac:dyDescent="0.25">
      <c r="G1492"/>
      <c r="H1492"/>
      <c r="I1492"/>
      <c r="J1492"/>
      <c r="K1492"/>
      <c r="L1492"/>
      <c r="M1492"/>
      <c r="N1492"/>
      <c r="O1492"/>
    </row>
    <row r="1493" spans="7:15" ht="15" x14ac:dyDescent="0.25">
      <c r="G1493"/>
      <c r="H1493"/>
      <c r="I1493"/>
      <c r="J1493"/>
      <c r="K1493"/>
      <c r="L1493"/>
      <c r="M1493"/>
      <c r="N1493"/>
      <c r="O1493"/>
    </row>
    <row r="1494" spans="7:15" ht="15" x14ac:dyDescent="0.25">
      <c r="G1494"/>
      <c r="H1494"/>
      <c r="I1494"/>
      <c r="J1494"/>
      <c r="K1494"/>
      <c r="L1494"/>
      <c r="M1494"/>
      <c r="N1494"/>
      <c r="O1494"/>
    </row>
    <row r="1495" spans="7:15" ht="15" x14ac:dyDescent="0.25">
      <c r="G1495"/>
      <c r="H1495"/>
      <c r="I1495"/>
      <c r="J1495"/>
      <c r="K1495"/>
      <c r="L1495"/>
      <c r="M1495"/>
      <c r="N1495"/>
      <c r="O1495"/>
    </row>
    <row r="1496" spans="7:15" ht="15" x14ac:dyDescent="0.25">
      <c r="G1496"/>
      <c r="H1496"/>
      <c r="I1496"/>
      <c r="J1496"/>
      <c r="K1496"/>
      <c r="L1496"/>
      <c r="M1496"/>
      <c r="N1496"/>
      <c r="O1496"/>
    </row>
    <row r="1497" spans="7:15" ht="15" x14ac:dyDescent="0.25">
      <c r="G1497"/>
      <c r="H1497"/>
      <c r="I1497"/>
      <c r="J1497"/>
      <c r="K1497"/>
      <c r="L1497"/>
      <c r="M1497"/>
      <c r="N1497"/>
      <c r="O1497"/>
    </row>
    <row r="1498" spans="7:15" ht="15" x14ac:dyDescent="0.25">
      <c r="G1498"/>
      <c r="H1498"/>
      <c r="I1498"/>
      <c r="J1498"/>
      <c r="K1498"/>
      <c r="L1498"/>
      <c r="M1498"/>
      <c r="N1498"/>
      <c r="O1498"/>
    </row>
    <row r="1499" spans="7:15" ht="15" x14ac:dyDescent="0.25">
      <c r="G1499"/>
      <c r="H1499"/>
      <c r="I1499"/>
      <c r="J1499"/>
      <c r="K1499"/>
      <c r="L1499"/>
      <c r="M1499"/>
      <c r="N1499"/>
      <c r="O1499"/>
    </row>
    <row r="1500" spans="7:15" ht="15" x14ac:dyDescent="0.25">
      <c r="G1500"/>
      <c r="H1500"/>
      <c r="I1500"/>
      <c r="J1500"/>
      <c r="K1500"/>
      <c r="L1500"/>
      <c r="M1500"/>
      <c r="N1500"/>
      <c r="O1500"/>
    </row>
    <row r="1501" spans="7:15" ht="15" x14ac:dyDescent="0.25">
      <c r="G1501"/>
      <c r="H1501"/>
      <c r="I1501"/>
      <c r="J1501"/>
      <c r="K1501"/>
      <c r="L1501"/>
      <c r="M1501"/>
      <c r="N1501"/>
      <c r="O1501"/>
    </row>
    <row r="1502" spans="7:15" ht="15" x14ac:dyDescent="0.25">
      <c r="G1502"/>
      <c r="H1502"/>
      <c r="I1502"/>
      <c r="J1502"/>
      <c r="K1502"/>
      <c r="L1502"/>
      <c r="M1502"/>
      <c r="N1502"/>
      <c r="O1502"/>
    </row>
    <row r="1503" spans="7:15" ht="15" x14ac:dyDescent="0.25">
      <c r="G1503"/>
      <c r="H1503"/>
      <c r="I1503"/>
      <c r="J1503"/>
      <c r="K1503"/>
      <c r="L1503"/>
      <c r="M1503"/>
      <c r="N1503"/>
      <c r="O1503"/>
    </row>
    <row r="1504" spans="7:15" ht="15" x14ac:dyDescent="0.25">
      <c r="G1504"/>
      <c r="H1504"/>
      <c r="I1504"/>
      <c r="J1504"/>
      <c r="K1504"/>
      <c r="L1504"/>
      <c r="M1504"/>
      <c r="N1504"/>
      <c r="O1504"/>
    </row>
    <row r="1505" spans="7:15" ht="15" x14ac:dyDescent="0.25">
      <c r="G1505"/>
      <c r="H1505"/>
      <c r="I1505"/>
      <c r="J1505"/>
      <c r="K1505"/>
      <c r="L1505"/>
      <c r="M1505"/>
      <c r="N1505"/>
      <c r="O1505"/>
    </row>
    <row r="1506" spans="7:15" ht="15" x14ac:dyDescent="0.25">
      <c r="G1506"/>
      <c r="H1506"/>
      <c r="I1506"/>
      <c r="J1506"/>
      <c r="K1506"/>
      <c r="L1506"/>
      <c r="M1506"/>
      <c r="N1506"/>
      <c r="O1506"/>
    </row>
    <row r="1507" spans="7:15" ht="15" x14ac:dyDescent="0.25">
      <c r="G1507"/>
      <c r="H1507"/>
      <c r="I1507"/>
      <c r="J1507"/>
      <c r="K1507"/>
      <c r="L1507"/>
      <c r="M1507"/>
      <c r="N1507"/>
      <c r="O1507"/>
    </row>
    <row r="1508" spans="7:15" ht="15" x14ac:dyDescent="0.25">
      <c r="G1508"/>
      <c r="H1508"/>
      <c r="I1508"/>
      <c r="J1508"/>
      <c r="K1508"/>
      <c r="L1508"/>
      <c r="M1508"/>
      <c r="N1508"/>
      <c r="O1508"/>
    </row>
    <row r="1509" spans="7:15" ht="15" x14ac:dyDescent="0.25">
      <c r="G1509"/>
      <c r="H1509"/>
      <c r="I1509"/>
      <c r="J1509"/>
      <c r="K1509"/>
      <c r="L1509"/>
      <c r="M1509"/>
      <c r="N1509"/>
      <c r="O1509"/>
    </row>
    <row r="1510" spans="7:15" ht="15" x14ac:dyDescent="0.25">
      <c r="G1510"/>
      <c r="H1510"/>
      <c r="I1510"/>
      <c r="J1510"/>
      <c r="K1510"/>
      <c r="L1510"/>
      <c r="M1510"/>
      <c r="N1510"/>
      <c r="O1510"/>
    </row>
    <row r="1511" spans="7:15" ht="15" x14ac:dyDescent="0.25">
      <c r="G1511"/>
      <c r="H1511"/>
      <c r="I1511"/>
      <c r="J1511"/>
      <c r="K1511"/>
      <c r="L1511"/>
      <c r="M1511"/>
      <c r="N1511"/>
      <c r="O1511"/>
    </row>
    <row r="1512" spans="7:15" ht="15" x14ac:dyDescent="0.25">
      <c r="G1512"/>
      <c r="H1512"/>
      <c r="I1512"/>
      <c r="J1512"/>
      <c r="K1512"/>
      <c r="L1512"/>
      <c r="M1512"/>
      <c r="N1512"/>
      <c r="O1512"/>
    </row>
    <row r="1513" spans="7:15" ht="15" x14ac:dyDescent="0.25">
      <c r="G1513"/>
      <c r="H1513"/>
      <c r="I1513"/>
      <c r="J1513"/>
      <c r="K1513"/>
      <c r="L1513"/>
      <c r="M1513"/>
      <c r="N1513"/>
      <c r="O1513"/>
    </row>
    <row r="1514" spans="7:15" ht="15" x14ac:dyDescent="0.25">
      <c r="G1514"/>
      <c r="H1514"/>
      <c r="I1514"/>
      <c r="J1514"/>
      <c r="K1514"/>
      <c r="L1514"/>
      <c r="M1514"/>
      <c r="N1514"/>
      <c r="O1514"/>
    </row>
    <row r="1515" spans="7:15" ht="15" x14ac:dyDescent="0.25">
      <c r="G1515"/>
      <c r="H1515"/>
      <c r="I1515"/>
      <c r="J1515"/>
      <c r="K1515"/>
      <c r="L1515"/>
      <c r="M1515"/>
      <c r="N1515"/>
      <c r="O1515"/>
    </row>
    <row r="1516" spans="7:15" ht="15" x14ac:dyDescent="0.25">
      <c r="G1516"/>
      <c r="H1516"/>
      <c r="I1516"/>
      <c r="J1516"/>
      <c r="K1516"/>
      <c r="L1516"/>
      <c r="M1516"/>
      <c r="N1516"/>
      <c r="O1516"/>
    </row>
    <row r="1517" spans="7:15" ht="15" x14ac:dyDescent="0.25">
      <c r="G1517"/>
      <c r="H1517"/>
      <c r="I1517"/>
      <c r="J1517"/>
      <c r="K1517"/>
      <c r="L1517"/>
      <c r="M1517"/>
      <c r="N1517"/>
      <c r="O1517"/>
    </row>
    <row r="1518" spans="7:15" ht="15" x14ac:dyDescent="0.25">
      <c r="G1518"/>
      <c r="H1518"/>
      <c r="I1518"/>
      <c r="J1518"/>
      <c r="K1518"/>
      <c r="L1518"/>
      <c r="M1518"/>
      <c r="N1518"/>
      <c r="O1518"/>
    </row>
    <row r="1519" spans="7:15" ht="15" x14ac:dyDescent="0.25">
      <c r="G1519"/>
      <c r="H1519"/>
      <c r="I1519"/>
      <c r="J1519"/>
      <c r="K1519"/>
      <c r="L1519"/>
      <c r="M1519"/>
      <c r="N1519"/>
      <c r="O1519"/>
    </row>
    <row r="1520" spans="7:15" ht="15" x14ac:dyDescent="0.25">
      <c r="G1520"/>
      <c r="H1520"/>
      <c r="I1520"/>
      <c r="J1520"/>
      <c r="K1520"/>
      <c r="L1520"/>
      <c r="M1520"/>
      <c r="N1520"/>
      <c r="O1520"/>
    </row>
    <row r="1521" spans="7:15" ht="15" x14ac:dyDescent="0.25">
      <c r="G1521"/>
      <c r="H1521"/>
      <c r="I1521"/>
      <c r="J1521"/>
      <c r="K1521"/>
      <c r="L1521"/>
      <c r="M1521"/>
      <c r="N1521"/>
      <c r="O1521"/>
    </row>
    <row r="1522" spans="7:15" ht="15" x14ac:dyDescent="0.25">
      <c r="G1522"/>
      <c r="H1522"/>
      <c r="I1522"/>
      <c r="J1522"/>
      <c r="K1522"/>
      <c r="L1522"/>
      <c r="M1522"/>
      <c r="N1522"/>
      <c r="O1522"/>
    </row>
    <row r="1523" spans="7:15" ht="15" x14ac:dyDescent="0.25">
      <c r="G1523"/>
      <c r="H1523"/>
      <c r="I1523"/>
      <c r="J1523"/>
      <c r="K1523"/>
      <c r="L1523"/>
      <c r="M1523"/>
      <c r="N1523"/>
      <c r="O1523"/>
    </row>
    <row r="1524" spans="7:15" ht="15" x14ac:dyDescent="0.25">
      <c r="G1524"/>
      <c r="H1524"/>
      <c r="I1524"/>
      <c r="J1524"/>
      <c r="K1524"/>
      <c r="L1524"/>
      <c r="M1524"/>
      <c r="N1524"/>
      <c r="O1524"/>
    </row>
    <row r="1525" spans="7:15" ht="15" x14ac:dyDescent="0.25">
      <c r="G1525"/>
      <c r="H1525"/>
      <c r="I1525"/>
      <c r="J1525"/>
      <c r="K1525"/>
      <c r="L1525"/>
      <c r="M1525"/>
      <c r="N1525"/>
      <c r="O1525"/>
    </row>
    <row r="1526" spans="7:15" ht="15" x14ac:dyDescent="0.25">
      <c r="G1526"/>
      <c r="H1526"/>
      <c r="I1526"/>
      <c r="J1526"/>
      <c r="K1526"/>
      <c r="L1526"/>
      <c r="M1526"/>
      <c r="N1526"/>
      <c r="O1526"/>
    </row>
    <row r="1527" spans="7:15" ht="15" x14ac:dyDescent="0.25">
      <c r="G1527"/>
      <c r="H1527"/>
      <c r="I1527"/>
      <c r="J1527"/>
      <c r="K1527"/>
      <c r="L1527"/>
      <c r="M1527"/>
      <c r="N1527"/>
      <c r="O1527"/>
    </row>
    <row r="1528" spans="7:15" ht="15" x14ac:dyDescent="0.25">
      <c r="G1528"/>
      <c r="H1528"/>
      <c r="I1528"/>
      <c r="J1528"/>
      <c r="K1528"/>
      <c r="L1528"/>
      <c r="M1528"/>
      <c r="N1528"/>
      <c r="O1528"/>
    </row>
    <row r="1529" spans="7:15" ht="15" x14ac:dyDescent="0.25">
      <c r="G1529"/>
      <c r="H1529"/>
      <c r="I1529"/>
      <c r="J1529"/>
      <c r="K1529"/>
      <c r="L1529"/>
      <c r="M1529"/>
      <c r="N1529"/>
      <c r="O1529"/>
    </row>
    <row r="1530" spans="7:15" ht="15" x14ac:dyDescent="0.25">
      <c r="G1530"/>
      <c r="H1530"/>
      <c r="I1530"/>
      <c r="J1530"/>
      <c r="K1530"/>
      <c r="L1530"/>
      <c r="M1530"/>
      <c r="N1530"/>
      <c r="O1530"/>
    </row>
    <row r="1531" spans="7:15" ht="15" x14ac:dyDescent="0.25">
      <c r="G1531"/>
      <c r="H1531"/>
      <c r="I1531"/>
      <c r="J1531"/>
      <c r="K1531"/>
      <c r="L1531"/>
      <c r="M1531"/>
      <c r="N1531"/>
      <c r="O1531"/>
    </row>
    <row r="1532" spans="7:15" ht="15" x14ac:dyDescent="0.25">
      <c r="G1532"/>
      <c r="H1532"/>
      <c r="I1532"/>
      <c r="J1532"/>
      <c r="K1532"/>
      <c r="L1532"/>
      <c r="M1532"/>
      <c r="N1532"/>
      <c r="O1532"/>
    </row>
    <row r="1533" spans="7:15" ht="15" x14ac:dyDescent="0.25">
      <c r="G1533"/>
      <c r="H1533"/>
      <c r="I1533"/>
      <c r="J1533"/>
      <c r="K1533"/>
      <c r="L1533"/>
      <c r="M1533"/>
      <c r="N1533"/>
      <c r="O1533"/>
    </row>
    <row r="1534" spans="7:15" ht="15" x14ac:dyDescent="0.25">
      <c r="G1534"/>
      <c r="H1534"/>
      <c r="I1534"/>
      <c r="J1534"/>
      <c r="K1534"/>
      <c r="L1534"/>
      <c r="M1534"/>
      <c r="N1534"/>
      <c r="O1534"/>
    </row>
    <row r="1535" spans="7:15" ht="15" x14ac:dyDescent="0.25">
      <c r="G1535"/>
      <c r="H1535"/>
      <c r="I1535"/>
      <c r="J1535"/>
      <c r="K1535"/>
      <c r="L1535"/>
      <c r="M1535"/>
      <c r="N1535"/>
      <c r="O1535"/>
    </row>
    <row r="1536" spans="7:15" ht="15" x14ac:dyDescent="0.25">
      <c r="G1536"/>
      <c r="H1536"/>
      <c r="I1536"/>
      <c r="J1536"/>
      <c r="K1536"/>
      <c r="L1536"/>
      <c r="M1536"/>
      <c r="N1536"/>
      <c r="O1536"/>
    </row>
    <row r="1537" spans="7:15" ht="15" x14ac:dyDescent="0.25">
      <c r="G1537"/>
      <c r="H1537"/>
      <c r="I1537"/>
      <c r="J1537"/>
      <c r="K1537"/>
      <c r="L1537"/>
      <c r="M1537"/>
      <c r="N1537"/>
      <c r="O1537"/>
    </row>
    <row r="1538" spans="7:15" ht="15" x14ac:dyDescent="0.25">
      <c r="G1538"/>
      <c r="H1538"/>
      <c r="I1538"/>
      <c r="J1538"/>
      <c r="K1538"/>
      <c r="L1538"/>
      <c r="M1538"/>
      <c r="N1538"/>
      <c r="O1538"/>
    </row>
    <row r="1539" spans="7:15" ht="15" x14ac:dyDescent="0.25">
      <c r="G1539"/>
      <c r="H1539"/>
      <c r="I1539"/>
      <c r="J1539"/>
      <c r="K1539"/>
      <c r="L1539"/>
      <c r="M1539"/>
      <c r="N1539"/>
      <c r="O1539"/>
    </row>
    <row r="1540" spans="7:15" ht="15" x14ac:dyDescent="0.25">
      <c r="G1540"/>
      <c r="H1540"/>
      <c r="I1540"/>
      <c r="J1540"/>
      <c r="K1540"/>
      <c r="L1540"/>
      <c r="M1540"/>
      <c r="N1540"/>
      <c r="O1540"/>
    </row>
    <row r="1541" spans="7:15" ht="15" x14ac:dyDescent="0.25">
      <c r="G1541"/>
      <c r="H1541"/>
      <c r="I1541"/>
      <c r="J1541"/>
      <c r="K1541"/>
      <c r="L1541"/>
      <c r="M1541"/>
      <c r="N1541"/>
      <c r="O1541"/>
    </row>
    <row r="1542" spans="7:15" ht="15" x14ac:dyDescent="0.25">
      <c r="G1542"/>
      <c r="H1542"/>
      <c r="I1542"/>
      <c r="J1542"/>
      <c r="K1542"/>
      <c r="L1542"/>
      <c r="M1542"/>
      <c r="N1542"/>
      <c r="O1542"/>
    </row>
    <row r="1543" spans="7:15" ht="15" x14ac:dyDescent="0.25">
      <c r="G1543"/>
      <c r="H1543"/>
      <c r="I1543"/>
      <c r="J1543"/>
      <c r="K1543"/>
      <c r="L1543"/>
      <c r="M1543"/>
      <c r="N1543"/>
      <c r="O1543"/>
    </row>
    <row r="1544" spans="7:15" ht="15" x14ac:dyDescent="0.25">
      <c r="G1544"/>
      <c r="H1544"/>
      <c r="I1544"/>
      <c r="J1544"/>
      <c r="K1544"/>
      <c r="L1544"/>
      <c r="M1544"/>
      <c r="N1544"/>
      <c r="O1544"/>
    </row>
    <row r="1545" spans="7:15" ht="15" x14ac:dyDescent="0.25">
      <c r="G1545"/>
      <c r="H1545"/>
      <c r="I1545"/>
      <c r="J1545"/>
      <c r="K1545"/>
      <c r="L1545"/>
      <c r="M1545"/>
      <c r="N1545"/>
      <c r="O1545"/>
    </row>
    <row r="1546" spans="7:15" ht="15" x14ac:dyDescent="0.25">
      <c r="G1546"/>
      <c r="H1546"/>
      <c r="I1546"/>
      <c r="J1546"/>
      <c r="K1546"/>
      <c r="L1546"/>
      <c r="M1546"/>
      <c r="N1546"/>
      <c r="O1546"/>
    </row>
    <row r="1547" spans="7:15" ht="15" x14ac:dyDescent="0.25">
      <c r="G1547"/>
      <c r="H1547"/>
      <c r="I1547"/>
      <c r="J1547"/>
      <c r="K1547"/>
      <c r="L1547"/>
      <c r="M1547"/>
      <c r="N1547"/>
      <c r="O1547"/>
    </row>
    <row r="1548" spans="7:15" ht="15" x14ac:dyDescent="0.25">
      <c r="G1548"/>
      <c r="H1548"/>
      <c r="I1548"/>
      <c r="J1548"/>
      <c r="K1548"/>
      <c r="L1548"/>
      <c r="M1548"/>
      <c r="N1548"/>
      <c r="O1548"/>
    </row>
    <row r="1549" spans="7:15" ht="15" x14ac:dyDescent="0.25">
      <c r="G1549"/>
      <c r="H1549"/>
      <c r="I1549"/>
      <c r="J1549"/>
      <c r="K1549"/>
      <c r="L1549"/>
      <c r="M1549"/>
      <c r="N1549"/>
      <c r="O1549"/>
    </row>
    <row r="1550" spans="7:15" ht="15" x14ac:dyDescent="0.25">
      <c r="G1550"/>
      <c r="H1550"/>
      <c r="I1550"/>
      <c r="J1550"/>
      <c r="K1550"/>
      <c r="L1550"/>
      <c r="M1550"/>
      <c r="N1550"/>
      <c r="O1550"/>
    </row>
    <row r="1551" spans="7:15" ht="15" x14ac:dyDescent="0.25">
      <c r="G1551"/>
      <c r="H1551"/>
      <c r="I1551"/>
      <c r="J1551"/>
      <c r="K1551"/>
      <c r="L1551"/>
      <c r="M1551"/>
      <c r="N1551"/>
      <c r="O1551"/>
    </row>
    <row r="1552" spans="7:15" ht="15" x14ac:dyDescent="0.25">
      <c r="G1552"/>
      <c r="H1552"/>
      <c r="I1552"/>
      <c r="J1552"/>
      <c r="K1552"/>
      <c r="L1552"/>
      <c r="M1552"/>
      <c r="N1552"/>
      <c r="O1552"/>
    </row>
    <row r="1553" spans="7:15" ht="15" x14ac:dyDescent="0.25">
      <c r="G1553"/>
      <c r="H1553"/>
      <c r="I1553"/>
      <c r="J1553"/>
      <c r="K1553"/>
      <c r="L1553"/>
      <c r="M1553"/>
      <c r="N1553"/>
      <c r="O1553"/>
    </row>
    <row r="1554" spans="7:15" ht="15" x14ac:dyDescent="0.25">
      <c r="G1554"/>
      <c r="H1554"/>
      <c r="I1554"/>
      <c r="J1554"/>
      <c r="K1554"/>
      <c r="L1554"/>
      <c r="M1554"/>
      <c r="N1554"/>
      <c r="O1554"/>
    </row>
    <row r="1555" spans="7:15" ht="15" x14ac:dyDescent="0.25">
      <c r="G1555"/>
      <c r="H1555"/>
      <c r="I1555"/>
      <c r="J1555"/>
      <c r="K1555"/>
      <c r="L1555"/>
      <c r="M1555"/>
      <c r="N1555"/>
      <c r="O1555"/>
    </row>
    <row r="1556" spans="7:15" ht="15" x14ac:dyDescent="0.25">
      <c r="G1556"/>
      <c r="H1556"/>
      <c r="I1556"/>
      <c r="J1556"/>
      <c r="K1556"/>
      <c r="L1556"/>
      <c r="M1556"/>
      <c r="N1556"/>
      <c r="O1556"/>
    </row>
    <row r="1557" spans="7:15" ht="15" x14ac:dyDescent="0.25">
      <c r="G1557"/>
      <c r="H1557"/>
      <c r="I1557"/>
      <c r="J1557"/>
      <c r="K1557"/>
      <c r="L1557"/>
      <c r="M1557"/>
      <c r="N1557"/>
      <c r="O1557"/>
    </row>
    <row r="1558" spans="7:15" ht="15" x14ac:dyDescent="0.25">
      <c r="G1558"/>
      <c r="H1558"/>
      <c r="I1558"/>
      <c r="J1558"/>
      <c r="K1558"/>
      <c r="L1558"/>
      <c r="M1558"/>
      <c r="N1558"/>
      <c r="O1558"/>
    </row>
    <row r="1559" spans="7:15" ht="15" x14ac:dyDescent="0.25">
      <c r="G1559"/>
      <c r="H1559"/>
      <c r="I1559"/>
      <c r="J1559"/>
      <c r="K1559"/>
      <c r="L1559"/>
      <c r="M1559"/>
      <c r="N1559"/>
      <c r="O1559"/>
    </row>
    <row r="1560" spans="7:15" ht="15" x14ac:dyDescent="0.25">
      <c r="G1560"/>
      <c r="H1560"/>
      <c r="I1560"/>
      <c r="J1560"/>
      <c r="K1560"/>
      <c r="L1560"/>
      <c r="M1560"/>
      <c r="N1560"/>
      <c r="O1560"/>
    </row>
    <row r="1561" spans="7:15" ht="15" x14ac:dyDescent="0.25">
      <c r="G1561"/>
      <c r="H1561"/>
      <c r="I1561"/>
      <c r="J1561"/>
      <c r="K1561"/>
      <c r="L1561"/>
      <c r="M1561"/>
      <c r="N1561"/>
      <c r="O1561"/>
    </row>
    <row r="1562" spans="7:15" ht="15" x14ac:dyDescent="0.25">
      <c r="G1562"/>
      <c r="H1562"/>
      <c r="I1562"/>
      <c r="J1562"/>
      <c r="K1562"/>
      <c r="L1562"/>
      <c r="M1562"/>
      <c r="N1562"/>
      <c r="O1562"/>
    </row>
    <row r="1563" spans="7:15" ht="15" x14ac:dyDescent="0.25">
      <c r="G1563"/>
      <c r="H1563"/>
      <c r="I1563"/>
      <c r="J1563"/>
      <c r="K1563"/>
      <c r="L1563"/>
      <c r="M1563"/>
      <c r="N1563"/>
      <c r="O1563"/>
    </row>
    <row r="1564" spans="7:15" ht="15" x14ac:dyDescent="0.25">
      <c r="G1564"/>
      <c r="H1564"/>
      <c r="I1564"/>
      <c r="J1564"/>
      <c r="K1564"/>
      <c r="L1564"/>
      <c r="M1564"/>
      <c r="N1564"/>
      <c r="O1564"/>
    </row>
    <row r="1565" spans="7:15" ht="15" x14ac:dyDescent="0.25">
      <c r="G1565"/>
      <c r="H1565"/>
      <c r="I1565"/>
      <c r="J1565"/>
      <c r="K1565"/>
      <c r="L1565"/>
      <c r="M1565"/>
      <c r="N1565"/>
      <c r="O1565"/>
    </row>
    <row r="1566" spans="7:15" ht="15" x14ac:dyDescent="0.25">
      <c r="G1566"/>
      <c r="H1566"/>
      <c r="I1566"/>
      <c r="J1566"/>
      <c r="K1566"/>
      <c r="L1566"/>
      <c r="M1566"/>
      <c r="N1566"/>
      <c r="O1566"/>
    </row>
    <row r="1567" spans="7:15" ht="15" x14ac:dyDescent="0.25">
      <c r="G1567"/>
      <c r="H1567"/>
      <c r="I1567"/>
      <c r="J1567"/>
      <c r="K1567"/>
      <c r="L1567"/>
      <c r="M1567"/>
      <c r="N1567"/>
      <c r="O1567"/>
    </row>
    <row r="1568" spans="7:15" ht="15" x14ac:dyDescent="0.25">
      <c r="G1568"/>
      <c r="H1568"/>
      <c r="I1568"/>
      <c r="J1568"/>
      <c r="K1568"/>
      <c r="L1568"/>
      <c r="M1568"/>
      <c r="N1568"/>
      <c r="O1568"/>
    </row>
    <row r="1569" spans="7:15" ht="15" x14ac:dyDescent="0.25">
      <c r="G1569"/>
      <c r="H1569"/>
      <c r="I1569"/>
      <c r="J1569"/>
      <c r="K1569"/>
      <c r="L1569"/>
      <c r="M1569"/>
      <c r="N1569"/>
      <c r="O1569"/>
    </row>
    <row r="1570" spans="7:15" ht="15" x14ac:dyDescent="0.25">
      <c r="G1570"/>
      <c r="H1570"/>
      <c r="I1570"/>
      <c r="J1570"/>
      <c r="K1570"/>
      <c r="L1570"/>
      <c r="M1570"/>
      <c r="N1570"/>
      <c r="O1570"/>
    </row>
    <row r="1571" spans="7:15" ht="15" x14ac:dyDescent="0.25">
      <c r="G1571"/>
      <c r="H1571"/>
      <c r="I1571"/>
      <c r="J1571"/>
      <c r="K1571"/>
      <c r="L1571"/>
      <c r="M1571"/>
      <c r="N1571"/>
      <c r="O1571"/>
    </row>
    <row r="1572" spans="7:15" ht="15" x14ac:dyDescent="0.25">
      <c r="G1572"/>
      <c r="H1572"/>
      <c r="I1572"/>
      <c r="J1572"/>
      <c r="K1572"/>
      <c r="L1572"/>
      <c r="M1572"/>
      <c r="N1572"/>
      <c r="O1572"/>
    </row>
    <row r="1573" spans="7:15" ht="15" x14ac:dyDescent="0.25">
      <c r="G1573"/>
      <c r="H1573"/>
      <c r="I1573"/>
      <c r="J1573"/>
      <c r="K1573"/>
      <c r="L1573"/>
      <c r="M1573"/>
      <c r="N1573"/>
      <c r="O1573"/>
    </row>
    <row r="1574" spans="7:15" ht="15" x14ac:dyDescent="0.25">
      <c r="G1574"/>
      <c r="H1574"/>
      <c r="I1574"/>
      <c r="J1574"/>
      <c r="K1574"/>
      <c r="L1574"/>
      <c r="M1574"/>
      <c r="N1574"/>
      <c r="O1574"/>
    </row>
    <row r="1575" spans="7:15" ht="15" x14ac:dyDescent="0.25">
      <c r="G1575"/>
      <c r="H1575"/>
      <c r="I1575"/>
      <c r="J1575"/>
      <c r="K1575"/>
      <c r="L1575"/>
      <c r="M1575"/>
      <c r="N1575"/>
      <c r="O1575"/>
    </row>
    <row r="1576" spans="7:15" ht="15" x14ac:dyDescent="0.25">
      <c r="G1576"/>
      <c r="H1576"/>
      <c r="I1576"/>
      <c r="J1576"/>
      <c r="K1576"/>
      <c r="L1576"/>
      <c r="M1576"/>
      <c r="N1576"/>
      <c r="O1576"/>
    </row>
    <row r="1577" spans="7:15" ht="15" x14ac:dyDescent="0.25">
      <c r="G1577"/>
      <c r="H1577"/>
      <c r="I1577"/>
      <c r="J1577"/>
      <c r="K1577"/>
      <c r="L1577"/>
      <c r="M1577"/>
      <c r="N1577"/>
      <c r="O1577"/>
    </row>
    <row r="1578" spans="7:15" ht="15" x14ac:dyDescent="0.25">
      <c r="G1578"/>
      <c r="H1578"/>
      <c r="I1578"/>
      <c r="J1578"/>
      <c r="K1578"/>
      <c r="L1578"/>
      <c r="M1578"/>
      <c r="N1578"/>
      <c r="O1578"/>
    </row>
    <row r="1579" spans="7:15" ht="15" x14ac:dyDescent="0.25">
      <c r="G1579"/>
      <c r="H1579"/>
      <c r="I1579"/>
      <c r="J1579"/>
      <c r="K1579"/>
      <c r="L1579"/>
      <c r="M1579"/>
      <c r="N1579"/>
      <c r="O1579"/>
    </row>
    <row r="1580" spans="7:15" ht="15" x14ac:dyDescent="0.25">
      <c r="G1580"/>
      <c r="H1580"/>
      <c r="I1580"/>
      <c r="J1580"/>
      <c r="K1580"/>
      <c r="L1580"/>
      <c r="M1580"/>
      <c r="N1580"/>
      <c r="O1580"/>
    </row>
    <row r="1581" spans="7:15" ht="15" x14ac:dyDescent="0.25">
      <c r="G1581"/>
      <c r="H1581"/>
      <c r="I1581"/>
      <c r="J1581"/>
      <c r="K1581"/>
      <c r="L1581"/>
      <c r="M1581"/>
      <c r="N1581"/>
      <c r="O1581"/>
    </row>
    <row r="1582" spans="7:15" ht="15" x14ac:dyDescent="0.25">
      <c r="G1582"/>
      <c r="H1582"/>
      <c r="I1582"/>
      <c r="J1582"/>
      <c r="K1582"/>
      <c r="L1582"/>
      <c r="M1582"/>
      <c r="N1582"/>
      <c r="O1582"/>
    </row>
    <row r="1583" spans="7:15" ht="15" x14ac:dyDescent="0.25">
      <c r="G1583"/>
      <c r="H1583"/>
      <c r="I1583"/>
      <c r="J1583"/>
      <c r="K1583"/>
      <c r="L1583"/>
      <c r="M1583"/>
      <c r="N1583"/>
      <c r="O1583"/>
    </row>
    <row r="1584" spans="7:15" ht="15" x14ac:dyDescent="0.25">
      <c r="G1584"/>
      <c r="H1584"/>
      <c r="I1584"/>
      <c r="J1584"/>
      <c r="K1584"/>
      <c r="L1584"/>
      <c r="M1584"/>
      <c r="N1584"/>
      <c r="O1584"/>
    </row>
    <row r="1585" spans="7:15" ht="15" x14ac:dyDescent="0.25">
      <c r="G1585"/>
      <c r="H1585"/>
      <c r="I1585"/>
      <c r="J1585"/>
      <c r="K1585"/>
      <c r="L1585"/>
      <c r="M1585"/>
      <c r="N1585"/>
      <c r="O1585"/>
    </row>
    <row r="1586" spans="7:15" ht="15" x14ac:dyDescent="0.25">
      <c r="G1586"/>
      <c r="H1586"/>
      <c r="I1586"/>
      <c r="J1586"/>
      <c r="K1586"/>
      <c r="L1586"/>
      <c r="M1586"/>
      <c r="N1586"/>
      <c r="O1586"/>
    </row>
    <row r="1587" spans="7:15" ht="15" x14ac:dyDescent="0.25">
      <c r="G1587"/>
      <c r="H1587"/>
      <c r="I1587"/>
      <c r="J1587"/>
      <c r="K1587"/>
      <c r="L1587"/>
      <c r="M1587"/>
      <c r="N1587"/>
      <c r="O1587"/>
    </row>
    <row r="1588" spans="7:15" ht="15" x14ac:dyDescent="0.25">
      <c r="G1588"/>
      <c r="H1588"/>
      <c r="I1588"/>
      <c r="J1588"/>
      <c r="K1588"/>
      <c r="L1588"/>
      <c r="M1588"/>
      <c r="N1588"/>
      <c r="O1588"/>
    </row>
    <row r="1589" spans="7:15" ht="15" x14ac:dyDescent="0.25">
      <c r="G1589"/>
      <c r="H1589"/>
      <c r="I1589"/>
      <c r="J1589"/>
      <c r="K1589"/>
      <c r="L1589"/>
      <c r="M1589"/>
      <c r="N1589"/>
      <c r="O1589"/>
    </row>
    <row r="1590" spans="7:15" ht="15" x14ac:dyDescent="0.25">
      <c r="G1590"/>
      <c r="H1590"/>
      <c r="I1590"/>
      <c r="J1590"/>
      <c r="K1590"/>
      <c r="L1590"/>
      <c r="M1590"/>
      <c r="N1590"/>
      <c r="O1590"/>
    </row>
    <row r="1591" spans="7:15" ht="15" x14ac:dyDescent="0.25">
      <c r="G1591"/>
      <c r="H1591"/>
      <c r="I1591"/>
      <c r="J1591"/>
      <c r="K1591"/>
      <c r="L1591"/>
      <c r="M1591"/>
      <c r="N1591"/>
      <c r="O1591"/>
    </row>
    <row r="1592" spans="7:15" ht="15" x14ac:dyDescent="0.25">
      <c r="G1592"/>
      <c r="H1592"/>
      <c r="I1592"/>
      <c r="J1592"/>
      <c r="K1592"/>
      <c r="L1592"/>
      <c r="M1592"/>
      <c r="N1592"/>
      <c r="O1592"/>
    </row>
    <row r="1593" spans="7:15" ht="15" x14ac:dyDescent="0.25">
      <c r="G1593"/>
      <c r="H1593"/>
      <c r="I1593"/>
      <c r="J1593"/>
      <c r="K1593"/>
      <c r="L1593"/>
      <c r="M1593"/>
      <c r="N1593"/>
      <c r="O1593"/>
    </row>
    <row r="1594" spans="7:15" ht="15" x14ac:dyDescent="0.25">
      <c r="G1594"/>
      <c r="H1594"/>
      <c r="I1594"/>
      <c r="J1594"/>
      <c r="K1594"/>
      <c r="L1594"/>
      <c r="M1594"/>
      <c r="N1594"/>
      <c r="O1594"/>
    </row>
    <row r="1595" spans="7:15" ht="15" x14ac:dyDescent="0.25">
      <c r="G1595"/>
      <c r="H1595"/>
      <c r="I1595"/>
      <c r="J1595"/>
      <c r="K1595"/>
      <c r="L1595"/>
      <c r="M1595"/>
      <c r="N1595"/>
      <c r="O1595"/>
    </row>
    <row r="1596" spans="7:15" ht="15" x14ac:dyDescent="0.25">
      <c r="G1596"/>
      <c r="H1596"/>
      <c r="I1596"/>
      <c r="J1596"/>
      <c r="K1596"/>
      <c r="L1596"/>
      <c r="M1596"/>
      <c r="N1596"/>
      <c r="O1596"/>
    </row>
    <row r="1597" spans="7:15" ht="15" x14ac:dyDescent="0.25">
      <c r="G1597"/>
      <c r="H1597"/>
      <c r="I1597"/>
      <c r="J1597"/>
      <c r="K1597"/>
      <c r="L1597"/>
      <c r="M1597"/>
      <c r="N1597"/>
      <c r="O1597"/>
    </row>
    <row r="1598" spans="7:15" ht="15" x14ac:dyDescent="0.25">
      <c r="G1598"/>
      <c r="H1598"/>
      <c r="I1598"/>
      <c r="J1598"/>
      <c r="K1598"/>
      <c r="L1598"/>
      <c r="M1598"/>
      <c r="N1598"/>
      <c r="O1598"/>
    </row>
    <row r="1599" spans="7:15" ht="15" x14ac:dyDescent="0.25">
      <c r="G1599"/>
      <c r="H1599"/>
      <c r="I1599"/>
      <c r="J1599"/>
      <c r="K1599"/>
      <c r="L1599"/>
      <c r="M1599"/>
      <c r="N1599"/>
      <c r="O1599"/>
    </row>
    <row r="1600" spans="7:15" ht="15" x14ac:dyDescent="0.25">
      <c r="G1600"/>
      <c r="H1600"/>
      <c r="I1600"/>
      <c r="J1600"/>
      <c r="K1600"/>
      <c r="L1600"/>
      <c r="M1600"/>
      <c r="N1600"/>
      <c r="O1600"/>
    </row>
    <row r="1601" spans="7:15" ht="15" x14ac:dyDescent="0.25">
      <c r="G1601"/>
      <c r="H1601"/>
      <c r="I1601"/>
      <c r="J1601"/>
      <c r="K1601"/>
      <c r="L1601"/>
      <c r="M1601"/>
      <c r="N1601"/>
      <c r="O1601"/>
    </row>
    <row r="1602" spans="7:15" ht="15" x14ac:dyDescent="0.25">
      <c r="G1602"/>
      <c r="H1602"/>
      <c r="I1602"/>
      <c r="J1602"/>
      <c r="K1602"/>
      <c r="L1602"/>
      <c r="M1602"/>
      <c r="N1602"/>
      <c r="O1602"/>
    </row>
    <row r="1603" spans="7:15" ht="15" x14ac:dyDescent="0.25">
      <c r="G1603"/>
      <c r="H1603"/>
      <c r="I1603"/>
      <c r="J1603"/>
      <c r="K1603"/>
      <c r="L1603"/>
      <c r="M1603"/>
      <c r="N1603"/>
      <c r="O1603"/>
    </row>
    <row r="1604" spans="7:15" ht="15" x14ac:dyDescent="0.25">
      <c r="G1604"/>
      <c r="H1604"/>
      <c r="I1604"/>
      <c r="J1604"/>
      <c r="K1604"/>
      <c r="L1604"/>
      <c r="M1604"/>
      <c r="N1604"/>
      <c r="O1604"/>
    </row>
    <row r="1605" spans="7:15" ht="15" x14ac:dyDescent="0.25">
      <c r="G1605"/>
      <c r="H1605"/>
      <c r="I1605"/>
      <c r="J1605"/>
      <c r="K1605"/>
      <c r="L1605"/>
      <c r="M1605"/>
      <c r="N1605"/>
      <c r="O1605"/>
    </row>
    <row r="1606" spans="7:15" ht="15" x14ac:dyDescent="0.25">
      <c r="G1606"/>
      <c r="H1606"/>
      <c r="I1606"/>
      <c r="J1606"/>
      <c r="K1606"/>
      <c r="L1606"/>
      <c r="M1606"/>
      <c r="N1606"/>
      <c r="O1606"/>
    </row>
    <row r="1607" spans="7:15" ht="15" x14ac:dyDescent="0.25">
      <c r="G1607"/>
      <c r="H1607"/>
      <c r="I1607"/>
      <c r="J1607"/>
      <c r="K1607"/>
      <c r="L1607"/>
      <c r="M1607"/>
      <c r="N1607"/>
      <c r="O1607"/>
    </row>
    <row r="1608" spans="7:15" ht="15" x14ac:dyDescent="0.25">
      <c r="G1608"/>
      <c r="H1608"/>
      <c r="I1608"/>
      <c r="J1608"/>
      <c r="K1608"/>
      <c r="L1608"/>
      <c r="M1608"/>
      <c r="N1608"/>
      <c r="O1608"/>
    </row>
    <row r="1609" spans="7:15" ht="15" x14ac:dyDescent="0.25">
      <c r="G1609"/>
      <c r="H1609"/>
      <c r="I1609"/>
      <c r="J1609"/>
      <c r="K1609"/>
      <c r="L1609"/>
      <c r="M1609"/>
      <c r="N1609"/>
      <c r="O1609"/>
    </row>
    <row r="1610" spans="7:15" ht="15" x14ac:dyDescent="0.25">
      <c r="G1610"/>
      <c r="H1610"/>
      <c r="I1610"/>
      <c r="J1610"/>
      <c r="K1610"/>
      <c r="L1610"/>
      <c r="M1610"/>
      <c r="N1610"/>
      <c r="O1610"/>
    </row>
    <row r="1611" spans="7:15" ht="15" x14ac:dyDescent="0.25">
      <c r="G1611"/>
      <c r="H1611"/>
      <c r="I1611"/>
      <c r="J1611"/>
      <c r="K1611"/>
      <c r="L1611"/>
      <c r="M1611"/>
      <c r="N1611"/>
      <c r="O1611"/>
    </row>
    <row r="1612" spans="7:15" ht="15" x14ac:dyDescent="0.25">
      <c r="G1612"/>
      <c r="H1612"/>
      <c r="I1612"/>
      <c r="J1612"/>
      <c r="K1612"/>
      <c r="L1612"/>
      <c r="M1612"/>
      <c r="N1612"/>
      <c r="O1612"/>
    </row>
    <row r="1613" spans="7:15" ht="15" x14ac:dyDescent="0.25">
      <c r="G1613"/>
      <c r="H1613"/>
      <c r="I1613"/>
      <c r="J1613"/>
      <c r="K1613"/>
      <c r="L1613"/>
      <c r="M1613"/>
      <c r="N1613"/>
      <c r="O1613"/>
    </row>
    <row r="1614" spans="7:15" ht="15" x14ac:dyDescent="0.25">
      <c r="G1614"/>
      <c r="H1614"/>
      <c r="I1614"/>
      <c r="J1614"/>
      <c r="K1614"/>
      <c r="L1614"/>
      <c r="M1614"/>
      <c r="N1614"/>
      <c r="O1614"/>
    </row>
    <row r="1615" spans="7:15" ht="15" x14ac:dyDescent="0.25">
      <c r="G1615"/>
      <c r="H1615"/>
      <c r="I1615"/>
      <c r="J1615"/>
      <c r="K1615"/>
      <c r="L1615"/>
      <c r="M1615"/>
      <c r="N1615"/>
      <c r="O1615"/>
    </row>
    <row r="1616" spans="7:15" ht="15" x14ac:dyDescent="0.25">
      <c r="G1616"/>
      <c r="H1616"/>
      <c r="I1616"/>
      <c r="J1616"/>
      <c r="K1616"/>
      <c r="L1616"/>
      <c r="M1616"/>
      <c r="N1616"/>
      <c r="O1616"/>
    </row>
    <row r="1617" spans="7:15" ht="15" x14ac:dyDescent="0.25">
      <c r="G1617"/>
      <c r="H1617"/>
      <c r="I1617"/>
      <c r="J1617"/>
      <c r="K1617"/>
      <c r="L1617"/>
      <c r="M1617"/>
      <c r="N1617"/>
      <c r="O1617"/>
    </row>
    <row r="1618" spans="7:15" ht="15" x14ac:dyDescent="0.25">
      <c r="G1618"/>
      <c r="H1618"/>
      <c r="I1618"/>
      <c r="J1618"/>
      <c r="K1618"/>
      <c r="L1618"/>
      <c r="M1618"/>
      <c r="N1618"/>
      <c r="O1618"/>
    </row>
    <row r="1619" spans="7:15" ht="15" x14ac:dyDescent="0.25">
      <c r="G1619"/>
      <c r="H1619"/>
      <c r="I1619"/>
      <c r="J1619"/>
      <c r="K1619"/>
      <c r="L1619"/>
      <c r="M1619"/>
      <c r="N1619"/>
      <c r="O1619"/>
    </row>
    <row r="1620" spans="7:15" ht="15" x14ac:dyDescent="0.25">
      <c r="G1620"/>
      <c r="H1620"/>
      <c r="I1620"/>
      <c r="J1620"/>
      <c r="K1620"/>
      <c r="L1620"/>
      <c r="M1620"/>
      <c r="N1620"/>
      <c r="O1620"/>
    </row>
    <row r="1621" spans="7:15" ht="15" x14ac:dyDescent="0.25">
      <c r="G1621"/>
      <c r="H1621"/>
      <c r="I1621"/>
      <c r="J1621"/>
      <c r="K1621"/>
      <c r="L1621"/>
      <c r="M1621"/>
      <c r="N1621"/>
      <c r="O1621"/>
    </row>
    <row r="1622" spans="7:15" ht="15" x14ac:dyDescent="0.25">
      <c r="G1622"/>
      <c r="H1622"/>
      <c r="I1622"/>
      <c r="J1622"/>
      <c r="K1622"/>
      <c r="L1622"/>
      <c r="M1622"/>
      <c r="N1622"/>
      <c r="O1622"/>
    </row>
    <row r="1623" spans="7:15" ht="15" x14ac:dyDescent="0.25">
      <c r="G1623"/>
      <c r="H1623"/>
      <c r="I1623"/>
      <c r="J1623"/>
      <c r="K1623"/>
      <c r="L1623"/>
      <c r="M1623"/>
      <c r="N1623"/>
      <c r="O1623"/>
    </row>
    <row r="1624" spans="7:15" ht="15" x14ac:dyDescent="0.25">
      <c r="G1624"/>
      <c r="H1624"/>
      <c r="I1624"/>
      <c r="J1624"/>
      <c r="K1624"/>
      <c r="L1624"/>
      <c r="M1624"/>
      <c r="N1624"/>
      <c r="O1624"/>
    </row>
    <row r="1625" spans="7:15" ht="15" x14ac:dyDescent="0.25">
      <c r="G1625"/>
      <c r="H1625"/>
      <c r="I1625"/>
      <c r="J1625"/>
      <c r="K1625"/>
      <c r="L1625"/>
      <c r="M1625"/>
      <c r="N1625"/>
      <c r="O1625"/>
    </row>
    <row r="1626" spans="7:15" ht="15" x14ac:dyDescent="0.25">
      <c r="G1626"/>
      <c r="H1626"/>
      <c r="I1626"/>
      <c r="J1626"/>
      <c r="K1626"/>
      <c r="L1626"/>
      <c r="M1626"/>
      <c r="N1626"/>
      <c r="O1626"/>
    </row>
    <row r="1627" spans="7:15" ht="15" x14ac:dyDescent="0.25">
      <c r="G1627"/>
      <c r="H1627"/>
      <c r="I1627"/>
      <c r="J1627"/>
      <c r="K1627"/>
      <c r="L1627"/>
      <c r="M1627"/>
      <c r="N1627"/>
      <c r="O1627"/>
    </row>
    <row r="1628" spans="7:15" ht="15" x14ac:dyDescent="0.25">
      <c r="G1628"/>
      <c r="H1628"/>
      <c r="I1628"/>
      <c r="J1628"/>
      <c r="K1628"/>
      <c r="L1628"/>
      <c r="M1628"/>
      <c r="N1628"/>
      <c r="O1628"/>
    </row>
    <row r="1629" spans="7:15" ht="15" x14ac:dyDescent="0.25">
      <c r="G1629"/>
      <c r="H1629"/>
      <c r="I1629"/>
      <c r="J1629"/>
      <c r="K1629"/>
      <c r="L1629"/>
      <c r="M1629"/>
      <c r="N1629"/>
      <c r="O1629"/>
    </row>
    <row r="1630" spans="7:15" ht="15" x14ac:dyDescent="0.25">
      <c r="G1630"/>
      <c r="H1630"/>
      <c r="I1630"/>
      <c r="J1630"/>
      <c r="K1630"/>
      <c r="L1630"/>
      <c r="M1630"/>
      <c r="N1630"/>
      <c r="O1630"/>
    </row>
    <row r="1631" spans="7:15" ht="15" x14ac:dyDescent="0.25">
      <c r="G1631"/>
      <c r="H1631"/>
      <c r="I1631"/>
      <c r="J1631"/>
      <c r="K1631"/>
      <c r="L1631"/>
      <c r="M1631"/>
      <c r="N1631"/>
      <c r="O1631"/>
    </row>
    <row r="1632" spans="7:15" ht="15" x14ac:dyDescent="0.25">
      <c r="G1632"/>
      <c r="H1632"/>
      <c r="I1632"/>
      <c r="J1632"/>
      <c r="K1632"/>
      <c r="L1632"/>
      <c r="M1632"/>
      <c r="N1632"/>
      <c r="O1632"/>
    </row>
    <row r="1633" spans="7:15" ht="15" x14ac:dyDescent="0.25">
      <c r="G1633"/>
      <c r="H1633"/>
      <c r="I1633"/>
      <c r="J1633"/>
      <c r="K1633"/>
      <c r="L1633"/>
      <c r="M1633"/>
      <c r="N1633"/>
      <c r="O1633"/>
    </row>
    <row r="1634" spans="7:15" ht="15" x14ac:dyDescent="0.25">
      <c r="G1634"/>
      <c r="H1634"/>
      <c r="I1634"/>
      <c r="J1634"/>
      <c r="K1634"/>
      <c r="L1634"/>
      <c r="M1634"/>
      <c r="N1634"/>
      <c r="O1634"/>
    </row>
    <row r="1635" spans="7:15" ht="15" x14ac:dyDescent="0.25">
      <c r="G1635"/>
      <c r="H1635"/>
      <c r="I1635"/>
      <c r="J1635"/>
      <c r="K1635"/>
      <c r="L1635"/>
      <c r="M1635"/>
      <c r="N1635"/>
      <c r="O1635"/>
    </row>
    <row r="1636" spans="7:15" ht="15" x14ac:dyDescent="0.25">
      <c r="G1636"/>
      <c r="H1636"/>
      <c r="I1636"/>
      <c r="J1636"/>
      <c r="K1636"/>
      <c r="L1636"/>
      <c r="M1636"/>
      <c r="N1636"/>
      <c r="O1636"/>
    </row>
    <row r="1637" spans="7:15" ht="15" x14ac:dyDescent="0.25">
      <c r="G1637"/>
      <c r="H1637"/>
      <c r="I1637"/>
      <c r="J1637"/>
      <c r="K1637"/>
      <c r="L1637"/>
      <c r="M1637"/>
      <c r="N1637"/>
      <c r="O1637"/>
    </row>
    <row r="1638" spans="7:15" ht="15" x14ac:dyDescent="0.25">
      <c r="G1638"/>
      <c r="H1638"/>
      <c r="I1638"/>
      <c r="J1638"/>
      <c r="K1638"/>
      <c r="L1638"/>
      <c r="M1638"/>
      <c r="N1638"/>
      <c r="O1638"/>
    </row>
    <row r="1639" spans="7:15" ht="15" x14ac:dyDescent="0.25">
      <c r="G1639"/>
      <c r="H1639"/>
      <c r="I1639"/>
      <c r="J1639"/>
      <c r="K1639"/>
      <c r="L1639"/>
      <c r="M1639"/>
      <c r="N1639"/>
      <c r="O1639"/>
    </row>
    <row r="1640" spans="7:15" ht="15" x14ac:dyDescent="0.25">
      <c r="G1640"/>
      <c r="H1640"/>
      <c r="I1640"/>
      <c r="J1640"/>
      <c r="K1640"/>
      <c r="L1640"/>
      <c r="M1640"/>
      <c r="N1640"/>
      <c r="O1640"/>
    </row>
    <row r="1641" spans="7:15" ht="15" x14ac:dyDescent="0.25">
      <c r="G1641"/>
      <c r="H1641"/>
      <c r="I1641"/>
      <c r="J1641"/>
      <c r="K1641"/>
      <c r="L1641"/>
      <c r="M1641"/>
      <c r="N1641"/>
      <c r="O1641"/>
    </row>
    <row r="1642" spans="7:15" ht="15" x14ac:dyDescent="0.25">
      <c r="G1642"/>
      <c r="H1642"/>
      <c r="I1642"/>
      <c r="J1642"/>
      <c r="K1642"/>
      <c r="L1642"/>
      <c r="M1642"/>
      <c r="N1642"/>
      <c r="O1642"/>
    </row>
    <row r="1643" spans="7:15" ht="15" x14ac:dyDescent="0.25">
      <c r="G1643"/>
      <c r="H1643"/>
      <c r="I1643"/>
      <c r="J1643"/>
      <c r="K1643"/>
      <c r="L1643"/>
      <c r="M1643"/>
      <c r="N1643"/>
      <c r="O1643"/>
    </row>
    <row r="1644" spans="7:15" ht="15" x14ac:dyDescent="0.25">
      <c r="G1644"/>
      <c r="H1644"/>
      <c r="I1644"/>
      <c r="J1644"/>
      <c r="K1644"/>
      <c r="L1644"/>
      <c r="M1644"/>
      <c r="N1644"/>
      <c r="O1644"/>
    </row>
    <row r="1645" spans="7:15" ht="15" x14ac:dyDescent="0.25">
      <c r="G1645"/>
      <c r="H1645"/>
      <c r="I1645"/>
      <c r="J1645"/>
      <c r="K1645"/>
      <c r="L1645"/>
      <c r="M1645"/>
      <c r="N1645"/>
      <c r="O1645"/>
    </row>
    <row r="1646" spans="7:15" ht="15" x14ac:dyDescent="0.25">
      <c r="G1646"/>
      <c r="H1646"/>
      <c r="I1646"/>
      <c r="J1646"/>
      <c r="K1646"/>
      <c r="L1646"/>
      <c r="M1646"/>
      <c r="N1646"/>
      <c r="O1646"/>
    </row>
    <row r="1647" spans="7:15" ht="15" x14ac:dyDescent="0.25">
      <c r="G1647"/>
      <c r="H1647"/>
      <c r="I1647"/>
      <c r="J1647"/>
      <c r="K1647"/>
      <c r="L1647"/>
      <c r="M1647"/>
      <c r="N1647"/>
      <c r="O1647"/>
    </row>
    <row r="1648" spans="7:15" ht="15" x14ac:dyDescent="0.25">
      <c r="G1648"/>
      <c r="H1648"/>
      <c r="I1648"/>
      <c r="J1648"/>
      <c r="K1648"/>
      <c r="L1648"/>
      <c r="M1648"/>
      <c r="N1648"/>
      <c r="O1648"/>
    </row>
    <row r="1649" spans="7:15" ht="15" x14ac:dyDescent="0.25">
      <c r="G1649"/>
      <c r="H1649"/>
      <c r="I1649"/>
      <c r="J1649"/>
      <c r="K1649"/>
      <c r="L1649"/>
      <c r="M1649"/>
      <c r="N1649"/>
      <c r="O1649"/>
    </row>
    <row r="1650" spans="7:15" ht="15" x14ac:dyDescent="0.25">
      <c r="G1650"/>
      <c r="H1650"/>
      <c r="I1650"/>
      <c r="J1650"/>
      <c r="K1650"/>
      <c r="L1650"/>
      <c r="M1650"/>
      <c r="N1650"/>
      <c r="O1650"/>
    </row>
    <row r="1651" spans="7:15" ht="15" x14ac:dyDescent="0.25">
      <c r="G1651"/>
      <c r="H1651"/>
      <c r="I1651"/>
      <c r="J1651"/>
      <c r="K1651"/>
      <c r="L1651"/>
      <c r="M1651"/>
      <c r="N1651"/>
      <c r="O1651"/>
    </row>
    <row r="1652" spans="7:15" ht="15" x14ac:dyDescent="0.25">
      <c r="G1652"/>
      <c r="H1652"/>
      <c r="I1652"/>
      <c r="J1652"/>
      <c r="K1652"/>
      <c r="L1652"/>
      <c r="M1652"/>
      <c r="N1652"/>
      <c r="O1652"/>
    </row>
    <row r="1653" spans="7:15" ht="15" x14ac:dyDescent="0.25">
      <c r="G1653"/>
      <c r="H1653"/>
      <c r="I1653"/>
      <c r="J1653"/>
      <c r="K1653"/>
      <c r="L1653"/>
      <c r="M1653"/>
      <c r="N1653"/>
      <c r="O1653"/>
    </row>
    <row r="1654" spans="7:15" ht="15" x14ac:dyDescent="0.25">
      <c r="G1654"/>
      <c r="H1654"/>
      <c r="I1654"/>
      <c r="J1654"/>
      <c r="K1654"/>
      <c r="L1654"/>
      <c r="M1654"/>
      <c r="N1654"/>
      <c r="O1654"/>
    </row>
    <row r="1655" spans="7:15" ht="15" x14ac:dyDescent="0.25">
      <c r="G1655"/>
      <c r="H1655"/>
      <c r="I1655"/>
      <c r="J1655"/>
      <c r="K1655"/>
      <c r="L1655"/>
      <c r="M1655"/>
      <c r="N1655"/>
      <c r="O1655"/>
    </row>
    <row r="1656" spans="7:15" ht="15" x14ac:dyDescent="0.25">
      <c r="G1656"/>
      <c r="H1656"/>
      <c r="I1656"/>
      <c r="J1656"/>
      <c r="K1656"/>
      <c r="L1656"/>
      <c r="M1656"/>
      <c r="N1656"/>
      <c r="O1656"/>
    </row>
    <row r="1657" spans="7:15" ht="15" x14ac:dyDescent="0.25">
      <c r="G1657"/>
      <c r="H1657"/>
      <c r="I1657"/>
      <c r="J1657"/>
      <c r="K1657"/>
      <c r="L1657"/>
      <c r="M1657"/>
      <c r="N1657"/>
      <c r="O1657"/>
    </row>
    <row r="1658" spans="7:15" ht="15" x14ac:dyDescent="0.25">
      <c r="G1658"/>
      <c r="H1658"/>
      <c r="I1658"/>
      <c r="J1658"/>
      <c r="K1658"/>
      <c r="L1658"/>
      <c r="M1658"/>
      <c r="N1658"/>
      <c r="O1658"/>
    </row>
    <row r="1659" spans="7:15" ht="15" x14ac:dyDescent="0.25">
      <c r="G1659"/>
      <c r="H1659"/>
      <c r="I1659"/>
      <c r="J1659"/>
      <c r="K1659"/>
      <c r="L1659"/>
      <c r="M1659"/>
      <c r="N1659"/>
      <c r="O1659"/>
    </row>
    <row r="1660" spans="7:15" ht="15" x14ac:dyDescent="0.25">
      <c r="G1660"/>
      <c r="H1660"/>
      <c r="I1660"/>
      <c r="J1660"/>
      <c r="K1660"/>
      <c r="L1660"/>
      <c r="M1660"/>
      <c r="N1660"/>
      <c r="O1660"/>
    </row>
    <row r="1661" spans="7:15" ht="15" x14ac:dyDescent="0.25">
      <c r="G1661"/>
      <c r="H1661"/>
      <c r="I1661"/>
      <c r="J1661"/>
      <c r="K1661"/>
      <c r="L1661"/>
      <c r="M1661"/>
      <c r="N1661"/>
      <c r="O1661"/>
    </row>
    <row r="1662" spans="7:15" ht="15" x14ac:dyDescent="0.25">
      <c r="G1662"/>
      <c r="H1662"/>
      <c r="I1662"/>
      <c r="J1662"/>
      <c r="K1662"/>
      <c r="L1662"/>
      <c r="M1662"/>
      <c r="N1662"/>
      <c r="O1662"/>
    </row>
    <row r="1663" spans="7:15" ht="15" x14ac:dyDescent="0.25">
      <c r="G1663"/>
      <c r="H1663"/>
      <c r="I1663"/>
      <c r="J1663"/>
      <c r="K1663"/>
      <c r="L1663"/>
      <c r="M1663"/>
      <c r="N1663"/>
      <c r="O1663"/>
    </row>
    <row r="1664" spans="7:15" ht="15" x14ac:dyDescent="0.25">
      <c r="G1664"/>
      <c r="H1664"/>
      <c r="I1664"/>
      <c r="J1664"/>
      <c r="K1664"/>
      <c r="L1664"/>
      <c r="M1664"/>
      <c r="N1664"/>
      <c r="O1664"/>
    </row>
    <row r="1665" spans="7:15" ht="15" x14ac:dyDescent="0.25">
      <c r="G1665"/>
      <c r="H1665"/>
      <c r="I1665"/>
      <c r="J1665"/>
      <c r="K1665"/>
      <c r="L1665"/>
      <c r="M1665"/>
      <c r="N1665"/>
      <c r="O1665"/>
    </row>
    <row r="1666" spans="7:15" ht="15" x14ac:dyDescent="0.25">
      <c r="G1666"/>
      <c r="H1666"/>
      <c r="I1666"/>
      <c r="J1666"/>
      <c r="K1666"/>
      <c r="L1666"/>
      <c r="M1666"/>
      <c r="N1666"/>
      <c r="O1666"/>
    </row>
    <row r="1667" spans="7:15" ht="15" x14ac:dyDescent="0.25">
      <c r="G1667"/>
      <c r="H1667"/>
      <c r="I1667"/>
      <c r="J1667"/>
      <c r="K1667"/>
      <c r="L1667"/>
      <c r="M1667"/>
      <c r="N1667"/>
      <c r="O1667"/>
    </row>
    <row r="1668" spans="7:15" ht="15" x14ac:dyDescent="0.25">
      <c r="G1668"/>
      <c r="H1668"/>
      <c r="I1668"/>
      <c r="J1668"/>
      <c r="K1668"/>
      <c r="L1668"/>
      <c r="M1668"/>
      <c r="N1668"/>
      <c r="O1668"/>
    </row>
    <row r="1669" spans="7:15" ht="15" x14ac:dyDescent="0.25">
      <c r="G1669"/>
      <c r="H1669"/>
      <c r="I1669"/>
      <c r="J1669"/>
      <c r="K1669"/>
      <c r="L1669"/>
      <c r="M1669"/>
      <c r="N1669"/>
      <c r="O1669"/>
    </row>
    <row r="1670" spans="7:15" ht="15" x14ac:dyDescent="0.25">
      <c r="G1670"/>
      <c r="H1670"/>
      <c r="I1670"/>
      <c r="J1670"/>
      <c r="K1670"/>
      <c r="L1670"/>
      <c r="M1670"/>
      <c r="N1670"/>
      <c r="O1670"/>
    </row>
    <row r="1671" spans="7:15" ht="15" x14ac:dyDescent="0.25">
      <c r="G1671"/>
      <c r="H1671"/>
      <c r="I1671"/>
      <c r="J1671"/>
      <c r="K1671"/>
      <c r="L1671"/>
      <c r="M1671"/>
      <c r="N1671"/>
      <c r="O1671"/>
    </row>
    <row r="1672" spans="7:15" ht="15" x14ac:dyDescent="0.25">
      <c r="G1672"/>
      <c r="H1672"/>
      <c r="I1672"/>
      <c r="J1672"/>
      <c r="K1672"/>
      <c r="L1672"/>
      <c r="M1672"/>
      <c r="N1672"/>
      <c r="O1672"/>
    </row>
    <row r="1673" spans="7:15" ht="15" x14ac:dyDescent="0.25">
      <c r="G1673"/>
      <c r="H1673"/>
      <c r="I1673"/>
      <c r="J1673"/>
      <c r="K1673"/>
      <c r="L1673"/>
      <c r="M1673"/>
      <c r="N1673"/>
      <c r="O1673"/>
    </row>
    <row r="1674" spans="7:15" ht="15" x14ac:dyDescent="0.25">
      <c r="G1674"/>
      <c r="H1674"/>
      <c r="I1674"/>
      <c r="J1674"/>
      <c r="K1674"/>
      <c r="L1674"/>
      <c r="M1674"/>
      <c r="N1674"/>
      <c r="O1674"/>
    </row>
    <row r="1675" spans="7:15" ht="15" x14ac:dyDescent="0.25">
      <c r="G1675"/>
      <c r="H1675"/>
      <c r="I1675"/>
      <c r="J1675"/>
      <c r="K1675"/>
      <c r="L1675"/>
      <c r="M1675"/>
      <c r="N1675"/>
      <c r="O1675"/>
    </row>
    <row r="1676" spans="7:15" ht="15" x14ac:dyDescent="0.25">
      <c r="G1676"/>
      <c r="H1676"/>
      <c r="I1676"/>
      <c r="J1676"/>
      <c r="K1676"/>
      <c r="L1676"/>
      <c r="M1676"/>
      <c r="N1676"/>
      <c r="O1676"/>
    </row>
    <row r="1677" spans="7:15" ht="15" x14ac:dyDescent="0.25">
      <c r="G1677"/>
      <c r="H1677"/>
      <c r="I1677"/>
      <c r="J1677"/>
      <c r="K1677"/>
      <c r="L1677"/>
      <c r="M1677"/>
      <c r="N1677"/>
      <c r="O1677"/>
    </row>
    <row r="1678" spans="7:15" ht="15" x14ac:dyDescent="0.25">
      <c r="G1678"/>
      <c r="H1678"/>
      <c r="I1678"/>
      <c r="J1678"/>
      <c r="K1678"/>
      <c r="L1678"/>
      <c r="M1678"/>
      <c r="N1678"/>
      <c r="O1678"/>
    </row>
    <row r="1679" spans="7:15" ht="15" x14ac:dyDescent="0.25">
      <c r="G1679"/>
      <c r="H1679"/>
      <c r="I1679"/>
      <c r="J1679"/>
      <c r="K1679"/>
      <c r="L1679"/>
      <c r="M1679"/>
      <c r="N1679"/>
      <c r="O1679"/>
    </row>
    <row r="1680" spans="7:15" ht="15" x14ac:dyDescent="0.25">
      <c r="G1680"/>
      <c r="H1680"/>
      <c r="I1680"/>
      <c r="J1680"/>
      <c r="K1680"/>
      <c r="L1680"/>
      <c r="M1680"/>
      <c r="N1680"/>
      <c r="O1680"/>
    </row>
    <row r="1681" spans="7:15" ht="15" x14ac:dyDescent="0.25">
      <c r="G1681"/>
      <c r="H1681"/>
      <c r="I1681"/>
      <c r="J1681"/>
      <c r="K1681"/>
      <c r="L1681"/>
      <c r="M1681"/>
      <c r="N1681"/>
      <c r="O1681"/>
    </row>
    <row r="1682" spans="7:15" ht="15" x14ac:dyDescent="0.25">
      <c r="G1682"/>
      <c r="H1682"/>
      <c r="I1682"/>
      <c r="J1682"/>
      <c r="K1682"/>
      <c r="L1682"/>
      <c r="M1682"/>
      <c r="N1682"/>
      <c r="O1682"/>
    </row>
    <row r="1683" spans="7:15" ht="15" x14ac:dyDescent="0.25">
      <c r="G1683"/>
      <c r="H1683"/>
      <c r="I1683"/>
      <c r="J1683"/>
      <c r="K1683"/>
      <c r="L1683"/>
      <c r="M1683"/>
      <c r="N1683"/>
      <c r="O1683"/>
    </row>
    <row r="1684" spans="7:15" ht="15" x14ac:dyDescent="0.25">
      <c r="G1684"/>
      <c r="H1684"/>
      <c r="I1684"/>
      <c r="J1684"/>
      <c r="K1684"/>
      <c r="L1684"/>
      <c r="M1684"/>
      <c r="N1684"/>
      <c r="O1684"/>
    </row>
    <row r="1685" spans="7:15" ht="15" x14ac:dyDescent="0.25">
      <c r="G1685"/>
      <c r="H1685"/>
      <c r="I1685"/>
      <c r="J1685"/>
      <c r="K1685"/>
      <c r="L1685"/>
      <c r="M1685"/>
      <c r="N1685"/>
      <c r="O1685"/>
    </row>
    <row r="1686" spans="7:15" ht="15" x14ac:dyDescent="0.25">
      <c r="G1686"/>
      <c r="H1686"/>
      <c r="I1686"/>
      <c r="J1686"/>
      <c r="K1686"/>
      <c r="L1686"/>
      <c r="M1686"/>
      <c r="N1686"/>
      <c r="O1686"/>
    </row>
    <row r="1687" spans="7:15" ht="15" x14ac:dyDescent="0.25">
      <c r="G1687"/>
      <c r="H1687"/>
      <c r="I1687"/>
      <c r="J1687"/>
      <c r="K1687"/>
      <c r="L1687"/>
      <c r="M1687"/>
      <c r="N1687"/>
      <c r="O1687"/>
    </row>
    <row r="1688" spans="7:15" ht="15" x14ac:dyDescent="0.25">
      <c r="G1688"/>
      <c r="H1688"/>
      <c r="I1688"/>
      <c r="J1688"/>
      <c r="K1688"/>
      <c r="L1688"/>
      <c r="M1688"/>
      <c r="N1688"/>
      <c r="O1688"/>
    </row>
    <row r="1689" spans="7:15" ht="15" x14ac:dyDescent="0.25">
      <c r="G1689"/>
      <c r="H1689"/>
      <c r="I1689"/>
      <c r="J1689"/>
      <c r="K1689"/>
      <c r="L1689"/>
      <c r="M1689"/>
      <c r="N1689"/>
      <c r="O1689"/>
    </row>
    <row r="1690" spans="7:15" ht="15" x14ac:dyDescent="0.25">
      <c r="G1690"/>
      <c r="H1690"/>
      <c r="I1690"/>
      <c r="J1690"/>
      <c r="K1690"/>
      <c r="L1690"/>
      <c r="M1690"/>
      <c r="N1690"/>
      <c r="O1690"/>
    </row>
    <row r="1691" spans="7:15" ht="15" x14ac:dyDescent="0.25">
      <c r="G1691"/>
      <c r="H1691"/>
      <c r="I1691"/>
      <c r="J1691"/>
      <c r="K1691"/>
      <c r="L1691"/>
      <c r="M1691"/>
      <c r="N1691"/>
      <c r="O1691"/>
    </row>
    <row r="1692" spans="7:15" ht="15" x14ac:dyDescent="0.25">
      <c r="G1692"/>
      <c r="H1692"/>
      <c r="I1692"/>
      <c r="J1692"/>
      <c r="K1692"/>
      <c r="L1692"/>
      <c r="M1692"/>
      <c r="N1692"/>
      <c r="O1692"/>
    </row>
    <row r="1693" spans="7:15" ht="15" x14ac:dyDescent="0.25">
      <c r="G1693"/>
      <c r="H1693"/>
      <c r="I1693"/>
      <c r="J1693"/>
      <c r="K1693"/>
      <c r="L1693"/>
      <c r="M1693"/>
      <c r="N1693"/>
      <c r="O1693"/>
    </row>
    <row r="1694" spans="7:15" ht="15" x14ac:dyDescent="0.25">
      <c r="G1694"/>
      <c r="H1694"/>
      <c r="I1694"/>
      <c r="J1694"/>
      <c r="K1694"/>
      <c r="L1694"/>
      <c r="M1694"/>
      <c r="N1694"/>
      <c r="O1694"/>
    </row>
    <row r="1695" spans="7:15" ht="15" x14ac:dyDescent="0.25">
      <c r="G1695"/>
      <c r="H1695"/>
      <c r="I1695"/>
      <c r="J1695"/>
      <c r="K1695"/>
      <c r="L1695"/>
      <c r="M1695"/>
      <c r="N1695"/>
      <c r="O1695"/>
    </row>
    <row r="1696" spans="7:15" ht="15" x14ac:dyDescent="0.25">
      <c r="G1696"/>
      <c r="H1696"/>
      <c r="I1696"/>
      <c r="J1696"/>
      <c r="K1696"/>
      <c r="L1696"/>
      <c r="M1696"/>
      <c r="N1696"/>
      <c r="O1696"/>
    </row>
    <row r="1697" spans="7:15" ht="15" x14ac:dyDescent="0.25">
      <c r="G1697"/>
      <c r="H1697"/>
      <c r="I1697"/>
      <c r="J1697"/>
      <c r="K1697"/>
      <c r="L1697"/>
      <c r="M1697"/>
      <c r="N1697"/>
      <c r="O1697"/>
    </row>
    <row r="1698" spans="7:15" ht="15" x14ac:dyDescent="0.25">
      <c r="G1698"/>
      <c r="H1698"/>
      <c r="I1698"/>
      <c r="J1698"/>
      <c r="K1698"/>
      <c r="L1698"/>
      <c r="M1698"/>
      <c r="N1698"/>
      <c r="O1698"/>
    </row>
    <row r="1699" spans="7:15" ht="15" x14ac:dyDescent="0.25">
      <c r="G1699"/>
      <c r="H1699"/>
      <c r="I1699"/>
      <c r="J1699"/>
      <c r="K1699"/>
      <c r="L1699"/>
      <c r="M1699"/>
      <c r="N1699"/>
      <c r="O1699"/>
    </row>
    <row r="1700" spans="7:15" ht="15" x14ac:dyDescent="0.25">
      <c r="G1700"/>
      <c r="H1700"/>
      <c r="I1700"/>
      <c r="J1700"/>
      <c r="K1700"/>
      <c r="L1700"/>
      <c r="M1700"/>
      <c r="N1700"/>
      <c r="O1700"/>
    </row>
    <row r="1701" spans="7:15" ht="15" x14ac:dyDescent="0.25">
      <c r="G1701"/>
      <c r="H1701"/>
      <c r="I1701"/>
      <c r="J1701"/>
      <c r="K1701"/>
      <c r="L1701"/>
      <c r="M1701"/>
      <c r="N1701"/>
      <c r="O1701"/>
    </row>
    <row r="1702" spans="7:15" ht="15" x14ac:dyDescent="0.25">
      <c r="G1702"/>
      <c r="H1702"/>
      <c r="I1702"/>
      <c r="J1702"/>
      <c r="K1702"/>
      <c r="L1702"/>
      <c r="M1702"/>
      <c r="N1702"/>
      <c r="O1702"/>
    </row>
    <row r="1703" spans="7:15" ht="15" x14ac:dyDescent="0.25">
      <c r="G1703"/>
      <c r="H1703"/>
      <c r="I1703"/>
      <c r="J1703"/>
      <c r="K1703"/>
      <c r="L1703"/>
      <c r="M1703"/>
      <c r="N1703"/>
      <c r="O1703"/>
    </row>
    <row r="1704" spans="7:15" ht="15" x14ac:dyDescent="0.25">
      <c r="G1704"/>
      <c r="H1704"/>
      <c r="I1704"/>
      <c r="J1704"/>
      <c r="K1704"/>
      <c r="L1704"/>
      <c r="M1704"/>
      <c r="N1704"/>
      <c r="O1704"/>
    </row>
    <row r="1705" spans="7:15" ht="15" x14ac:dyDescent="0.25">
      <c r="G1705"/>
      <c r="H1705"/>
      <c r="I1705"/>
      <c r="J1705"/>
      <c r="K1705"/>
      <c r="L1705"/>
      <c r="M1705"/>
      <c r="N1705"/>
      <c r="O1705"/>
    </row>
    <row r="1706" spans="7:15" ht="15" x14ac:dyDescent="0.25">
      <c r="G1706"/>
      <c r="H1706"/>
      <c r="I1706"/>
      <c r="J1706"/>
      <c r="K1706"/>
      <c r="L1706"/>
      <c r="M1706"/>
      <c r="N1706"/>
      <c r="O1706"/>
    </row>
    <row r="1707" spans="7:15" ht="15" x14ac:dyDescent="0.25">
      <c r="G1707"/>
      <c r="H1707"/>
      <c r="I1707"/>
      <c r="J1707"/>
      <c r="K1707"/>
      <c r="L1707"/>
      <c r="M1707"/>
      <c r="N1707"/>
      <c r="O1707"/>
    </row>
    <row r="1708" spans="7:15" ht="15" x14ac:dyDescent="0.25">
      <c r="G1708"/>
      <c r="H1708"/>
      <c r="I1708"/>
      <c r="J1708"/>
      <c r="K1708"/>
      <c r="L1708"/>
      <c r="M1708"/>
      <c r="N1708"/>
      <c r="O1708"/>
    </row>
    <row r="1709" spans="7:15" ht="15" x14ac:dyDescent="0.25">
      <c r="G1709"/>
      <c r="H1709"/>
      <c r="I1709"/>
      <c r="J1709"/>
      <c r="K1709"/>
      <c r="L1709"/>
      <c r="M1709"/>
      <c r="N1709"/>
      <c r="O1709"/>
    </row>
    <row r="1710" spans="7:15" ht="15" x14ac:dyDescent="0.25">
      <c r="G1710"/>
      <c r="H1710"/>
      <c r="I1710"/>
      <c r="J1710"/>
      <c r="K1710"/>
      <c r="L1710"/>
      <c r="M1710"/>
      <c r="N1710"/>
      <c r="O1710"/>
    </row>
    <row r="1711" spans="7:15" ht="15" x14ac:dyDescent="0.25">
      <c r="G1711"/>
      <c r="H1711"/>
      <c r="I1711"/>
      <c r="J1711"/>
      <c r="K1711"/>
      <c r="L1711"/>
      <c r="M1711"/>
      <c r="N1711"/>
      <c r="O1711"/>
    </row>
    <row r="1712" spans="7:15" ht="15" x14ac:dyDescent="0.25">
      <c r="G1712"/>
      <c r="H1712"/>
      <c r="I1712"/>
      <c r="J1712"/>
      <c r="K1712"/>
      <c r="L1712"/>
      <c r="M1712"/>
      <c r="N1712"/>
      <c r="O1712"/>
    </row>
    <row r="1713" spans="7:15" ht="15" x14ac:dyDescent="0.25">
      <c r="G1713"/>
      <c r="H1713"/>
      <c r="I1713"/>
      <c r="J1713"/>
      <c r="K1713"/>
      <c r="L1713"/>
      <c r="M1713"/>
      <c r="N1713"/>
      <c r="O1713"/>
    </row>
    <row r="1714" spans="7:15" ht="15" x14ac:dyDescent="0.25">
      <c r="G1714"/>
      <c r="H1714"/>
      <c r="I1714"/>
      <c r="J1714"/>
      <c r="K1714"/>
      <c r="L1714"/>
      <c r="M1714"/>
      <c r="N1714"/>
      <c r="O1714"/>
    </row>
    <row r="1715" spans="7:15" ht="15" x14ac:dyDescent="0.25">
      <c r="G1715"/>
      <c r="H1715"/>
      <c r="I1715"/>
      <c r="J1715"/>
      <c r="K1715"/>
      <c r="L1715"/>
      <c r="M1715"/>
      <c r="N1715"/>
      <c r="O1715"/>
    </row>
    <row r="1716" spans="7:15" ht="15" x14ac:dyDescent="0.25">
      <c r="G1716"/>
      <c r="H1716"/>
      <c r="I1716"/>
      <c r="J1716"/>
      <c r="K1716"/>
      <c r="L1716"/>
      <c r="M1716"/>
      <c r="N1716"/>
      <c r="O1716"/>
    </row>
    <row r="1717" spans="7:15" ht="15" x14ac:dyDescent="0.25">
      <c r="G1717"/>
      <c r="H1717"/>
      <c r="I1717"/>
      <c r="J1717"/>
      <c r="K1717"/>
      <c r="L1717"/>
      <c r="M1717"/>
      <c r="N1717"/>
      <c r="O1717"/>
    </row>
    <row r="1718" spans="7:15" ht="15" x14ac:dyDescent="0.25">
      <c r="G1718"/>
      <c r="H1718"/>
      <c r="I1718"/>
      <c r="J1718"/>
      <c r="K1718"/>
      <c r="L1718"/>
      <c r="M1718"/>
      <c r="N1718"/>
      <c r="O1718"/>
    </row>
    <row r="1719" spans="7:15" ht="15" x14ac:dyDescent="0.25">
      <c r="G1719"/>
      <c r="H1719"/>
      <c r="I1719"/>
      <c r="J1719"/>
      <c r="K1719"/>
      <c r="L1719"/>
      <c r="M1719"/>
      <c r="N1719"/>
      <c r="O1719"/>
    </row>
    <row r="1720" spans="7:15" ht="15" x14ac:dyDescent="0.25">
      <c r="G1720"/>
      <c r="H1720"/>
      <c r="I1720"/>
      <c r="J1720"/>
      <c r="K1720"/>
      <c r="L1720"/>
      <c r="M1720"/>
      <c r="N1720"/>
      <c r="O1720"/>
    </row>
    <row r="1721" spans="7:15" ht="15" x14ac:dyDescent="0.25">
      <c r="G1721"/>
      <c r="H1721"/>
      <c r="I1721"/>
      <c r="J1721"/>
      <c r="K1721"/>
      <c r="L1721"/>
      <c r="M1721"/>
      <c r="N1721"/>
      <c r="O1721"/>
    </row>
    <row r="1722" spans="7:15" ht="15" x14ac:dyDescent="0.25">
      <c r="G1722"/>
      <c r="H1722"/>
      <c r="I1722"/>
      <c r="J1722"/>
      <c r="K1722"/>
      <c r="L1722"/>
      <c r="M1722"/>
      <c r="N1722"/>
      <c r="O1722"/>
    </row>
    <row r="1723" spans="7:15" ht="15" x14ac:dyDescent="0.25">
      <c r="G1723"/>
      <c r="H1723"/>
      <c r="I1723"/>
      <c r="J1723"/>
      <c r="K1723"/>
      <c r="L1723"/>
      <c r="M1723"/>
      <c r="N1723"/>
      <c r="O1723"/>
    </row>
    <row r="1724" spans="7:15" ht="15" x14ac:dyDescent="0.25">
      <c r="G1724"/>
      <c r="H1724"/>
      <c r="I1724"/>
      <c r="J1724"/>
      <c r="K1724"/>
      <c r="L1724"/>
      <c r="M1724"/>
      <c r="N1724"/>
      <c r="O1724"/>
    </row>
    <row r="1725" spans="7:15" ht="15" x14ac:dyDescent="0.25">
      <c r="G1725"/>
      <c r="H1725"/>
      <c r="I1725"/>
      <c r="J1725"/>
      <c r="K1725"/>
      <c r="L1725"/>
      <c r="M1725"/>
      <c r="N1725"/>
      <c r="O1725"/>
    </row>
    <row r="1726" spans="7:15" ht="15" x14ac:dyDescent="0.25">
      <c r="G1726"/>
      <c r="H1726"/>
      <c r="I1726"/>
      <c r="J1726"/>
      <c r="K1726"/>
      <c r="L1726"/>
      <c r="M1726"/>
      <c r="N1726"/>
      <c r="O1726"/>
    </row>
    <row r="1727" spans="7:15" ht="15" x14ac:dyDescent="0.25">
      <c r="G1727"/>
      <c r="H1727"/>
      <c r="I1727"/>
      <c r="J1727"/>
      <c r="K1727"/>
      <c r="L1727"/>
      <c r="M1727"/>
      <c r="N1727"/>
      <c r="O1727"/>
    </row>
    <row r="1728" spans="7:15" ht="15" x14ac:dyDescent="0.25">
      <c r="G1728"/>
      <c r="H1728"/>
      <c r="I1728"/>
      <c r="J1728"/>
      <c r="K1728"/>
      <c r="L1728"/>
      <c r="M1728"/>
      <c r="N1728"/>
      <c r="O1728"/>
    </row>
    <row r="1729" spans="7:15" ht="15" x14ac:dyDescent="0.25">
      <c r="G1729"/>
      <c r="H1729"/>
      <c r="I1729"/>
      <c r="J1729"/>
      <c r="K1729"/>
      <c r="L1729"/>
      <c r="M1729"/>
      <c r="N1729"/>
      <c r="O1729"/>
    </row>
    <row r="1730" spans="7:15" ht="15" x14ac:dyDescent="0.25">
      <c r="G1730"/>
      <c r="H1730"/>
      <c r="I1730"/>
      <c r="J1730"/>
      <c r="K1730"/>
      <c r="L1730"/>
      <c r="M1730"/>
      <c r="N1730"/>
      <c r="O1730"/>
    </row>
    <row r="1731" spans="7:15" ht="15" x14ac:dyDescent="0.25">
      <c r="G1731"/>
      <c r="H1731"/>
      <c r="I1731"/>
      <c r="J1731"/>
      <c r="K1731"/>
      <c r="L1731"/>
      <c r="M1731"/>
      <c r="N1731"/>
      <c r="O1731"/>
    </row>
    <row r="1732" spans="7:15" ht="15" x14ac:dyDescent="0.25">
      <c r="G1732"/>
      <c r="H1732"/>
      <c r="I1732"/>
      <c r="J1732"/>
      <c r="K1732"/>
      <c r="L1732"/>
      <c r="M1732"/>
      <c r="N1732"/>
      <c r="O1732"/>
    </row>
    <row r="1733" spans="7:15" ht="15" x14ac:dyDescent="0.25">
      <c r="G1733"/>
      <c r="H1733"/>
      <c r="I1733"/>
      <c r="J1733"/>
      <c r="K1733"/>
      <c r="L1733"/>
      <c r="M1733"/>
      <c r="N1733"/>
      <c r="O1733"/>
    </row>
    <row r="1734" spans="7:15" ht="15" x14ac:dyDescent="0.25">
      <c r="G1734"/>
      <c r="H1734"/>
      <c r="I1734"/>
      <c r="J1734"/>
      <c r="K1734"/>
      <c r="L1734"/>
      <c r="M1734"/>
      <c r="N1734"/>
      <c r="O1734"/>
    </row>
    <row r="1735" spans="7:15" ht="15" x14ac:dyDescent="0.25">
      <c r="G1735"/>
      <c r="H1735"/>
      <c r="I1735"/>
      <c r="J1735"/>
      <c r="K1735"/>
      <c r="L1735"/>
      <c r="M1735"/>
      <c r="N1735"/>
      <c r="O1735"/>
    </row>
    <row r="1736" spans="7:15" ht="15" x14ac:dyDescent="0.25">
      <c r="G1736"/>
      <c r="H1736"/>
      <c r="I1736"/>
      <c r="J1736"/>
      <c r="K1736"/>
      <c r="L1736"/>
      <c r="M1736"/>
      <c r="N1736"/>
      <c r="O1736"/>
    </row>
    <row r="1737" spans="7:15" ht="15" x14ac:dyDescent="0.25">
      <c r="G1737"/>
      <c r="H1737"/>
      <c r="I1737"/>
      <c r="J1737"/>
      <c r="K1737"/>
      <c r="L1737"/>
      <c r="M1737"/>
      <c r="N1737"/>
      <c r="O1737"/>
    </row>
    <row r="1738" spans="7:15" ht="15" x14ac:dyDescent="0.25">
      <c r="G1738"/>
      <c r="H1738"/>
      <c r="I1738"/>
      <c r="J1738"/>
      <c r="K1738"/>
      <c r="L1738"/>
      <c r="M1738"/>
      <c r="N1738"/>
      <c r="O1738"/>
    </row>
    <row r="1739" spans="7:15" ht="15" x14ac:dyDescent="0.25">
      <c r="G1739"/>
      <c r="H1739"/>
      <c r="I1739"/>
      <c r="J1739"/>
      <c r="K1739"/>
      <c r="L1739"/>
      <c r="M1739"/>
      <c r="N1739"/>
      <c r="O1739"/>
    </row>
    <row r="1740" spans="7:15" ht="15" x14ac:dyDescent="0.25">
      <c r="G1740"/>
      <c r="H1740"/>
      <c r="I1740"/>
      <c r="J1740"/>
      <c r="K1740"/>
      <c r="L1740"/>
      <c r="M1740"/>
      <c r="N1740"/>
      <c r="O1740"/>
    </row>
    <row r="1741" spans="7:15" ht="15" x14ac:dyDescent="0.25">
      <c r="G1741"/>
      <c r="H1741"/>
      <c r="I1741"/>
      <c r="J1741"/>
      <c r="K1741"/>
      <c r="L1741"/>
      <c r="M1741"/>
      <c r="N1741"/>
      <c r="O1741"/>
    </row>
    <row r="1742" spans="7:15" ht="15" x14ac:dyDescent="0.25">
      <c r="G1742"/>
      <c r="H1742"/>
      <c r="I1742"/>
      <c r="J1742"/>
      <c r="K1742"/>
      <c r="L1742"/>
      <c r="M1742"/>
      <c r="N1742"/>
      <c r="O1742"/>
    </row>
    <row r="1743" spans="7:15" ht="15" x14ac:dyDescent="0.25">
      <c r="G1743"/>
      <c r="H1743"/>
      <c r="I1743"/>
      <c r="J1743"/>
      <c r="K1743"/>
      <c r="L1743"/>
      <c r="M1743"/>
      <c r="N1743"/>
      <c r="O1743"/>
    </row>
    <row r="1744" spans="7:15" ht="15" x14ac:dyDescent="0.25">
      <c r="G1744"/>
      <c r="H1744"/>
      <c r="I1744"/>
      <c r="J1744"/>
      <c r="K1744"/>
      <c r="L1744"/>
      <c r="M1744"/>
      <c r="N1744"/>
      <c r="O1744"/>
    </row>
    <row r="1745" spans="7:15" ht="15" x14ac:dyDescent="0.25">
      <c r="G1745"/>
      <c r="H1745"/>
      <c r="I1745"/>
      <c r="J1745"/>
      <c r="K1745"/>
      <c r="L1745"/>
      <c r="M1745"/>
      <c r="N1745"/>
      <c r="O1745"/>
    </row>
    <row r="1746" spans="7:15" ht="15" x14ac:dyDescent="0.25">
      <c r="G1746"/>
      <c r="H1746"/>
      <c r="I1746"/>
      <c r="J1746"/>
      <c r="K1746"/>
      <c r="L1746"/>
      <c r="M1746"/>
      <c r="N1746"/>
      <c r="O1746"/>
    </row>
    <row r="1747" spans="7:15" ht="15" x14ac:dyDescent="0.25">
      <c r="G1747"/>
      <c r="H1747"/>
      <c r="I1747"/>
      <c r="J1747"/>
      <c r="K1747"/>
      <c r="L1747"/>
      <c r="M1747"/>
      <c r="N1747"/>
      <c r="O1747"/>
    </row>
    <row r="1748" spans="7:15" ht="15" x14ac:dyDescent="0.25">
      <c r="G1748"/>
      <c r="H1748"/>
      <c r="I1748"/>
      <c r="J1748"/>
      <c r="K1748"/>
      <c r="L1748"/>
      <c r="M1748"/>
      <c r="N1748"/>
      <c r="O1748"/>
    </row>
    <row r="1749" spans="7:15" ht="15" x14ac:dyDescent="0.25">
      <c r="G1749"/>
      <c r="H1749"/>
      <c r="I1749"/>
      <c r="J1749"/>
      <c r="K1749"/>
      <c r="L1749"/>
      <c r="M1749"/>
      <c r="N1749"/>
      <c r="O1749"/>
    </row>
    <row r="1750" spans="7:15" ht="15" x14ac:dyDescent="0.25">
      <c r="G1750"/>
      <c r="H1750"/>
      <c r="I1750"/>
      <c r="J1750"/>
      <c r="K1750"/>
      <c r="L1750"/>
      <c r="M1750"/>
      <c r="N1750"/>
      <c r="O1750"/>
    </row>
    <row r="1751" spans="7:15" ht="15" x14ac:dyDescent="0.25">
      <c r="G1751"/>
      <c r="H1751"/>
      <c r="I1751"/>
      <c r="J1751"/>
      <c r="K1751"/>
      <c r="L1751"/>
      <c r="M1751"/>
      <c r="N1751"/>
      <c r="O1751"/>
    </row>
    <row r="1752" spans="7:15" ht="15" x14ac:dyDescent="0.25">
      <c r="G1752"/>
      <c r="H1752"/>
      <c r="I1752"/>
      <c r="J1752"/>
      <c r="K1752"/>
      <c r="L1752"/>
      <c r="M1752"/>
      <c r="N1752"/>
      <c r="O1752"/>
    </row>
    <row r="1753" spans="7:15" ht="15" x14ac:dyDescent="0.25">
      <c r="G1753"/>
      <c r="H1753"/>
      <c r="I1753"/>
      <c r="J1753"/>
      <c r="K1753"/>
      <c r="L1753"/>
      <c r="M1753"/>
      <c r="N1753"/>
      <c r="O1753"/>
    </row>
    <row r="1754" spans="7:15" ht="15" x14ac:dyDescent="0.25">
      <c r="G1754"/>
      <c r="H1754"/>
      <c r="I1754"/>
      <c r="J1754"/>
      <c r="K1754"/>
      <c r="L1754"/>
      <c r="M1754"/>
      <c r="N1754"/>
      <c r="O1754"/>
    </row>
    <row r="1755" spans="7:15" ht="15" x14ac:dyDescent="0.25">
      <c r="G1755"/>
      <c r="H1755"/>
      <c r="I1755"/>
      <c r="J1755"/>
      <c r="K1755"/>
      <c r="L1755"/>
      <c r="M1755"/>
      <c r="N1755"/>
      <c r="O1755"/>
    </row>
    <row r="1756" spans="7:15" ht="15" x14ac:dyDescent="0.25">
      <c r="G1756"/>
      <c r="H1756"/>
      <c r="I1756"/>
      <c r="J1756"/>
      <c r="K1756"/>
      <c r="L1756"/>
      <c r="M1756"/>
      <c r="N1756"/>
      <c r="O1756"/>
    </row>
    <row r="1757" spans="7:15" ht="15" x14ac:dyDescent="0.25">
      <c r="G1757"/>
      <c r="H1757"/>
      <c r="I1757"/>
      <c r="J1757"/>
      <c r="K1757"/>
      <c r="L1757"/>
      <c r="M1757"/>
      <c r="N1757"/>
      <c r="O1757"/>
    </row>
    <row r="1758" spans="7:15" ht="15" x14ac:dyDescent="0.25">
      <c r="G1758"/>
      <c r="H1758"/>
      <c r="I1758"/>
      <c r="J1758"/>
      <c r="K1758"/>
      <c r="L1758"/>
      <c r="M1758"/>
      <c r="N1758"/>
      <c r="O1758"/>
    </row>
    <row r="1759" spans="7:15" ht="15" x14ac:dyDescent="0.25">
      <c r="G1759"/>
      <c r="H1759"/>
      <c r="I1759"/>
      <c r="J1759"/>
      <c r="K1759"/>
      <c r="L1759"/>
      <c r="M1759"/>
      <c r="N1759"/>
      <c r="O1759"/>
    </row>
    <row r="1760" spans="7:15" ht="15" x14ac:dyDescent="0.25">
      <c r="G1760"/>
      <c r="H1760"/>
      <c r="I1760"/>
      <c r="J1760"/>
      <c r="K1760"/>
      <c r="L1760"/>
      <c r="M1760"/>
      <c r="N1760"/>
      <c r="O1760"/>
    </row>
    <row r="1761" spans="7:15" ht="15" x14ac:dyDescent="0.25">
      <c r="G1761"/>
      <c r="H1761"/>
      <c r="I1761"/>
      <c r="J1761"/>
      <c r="K1761"/>
      <c r="L1761"/>
      <c r="M1761"/>
      <c r="N1761"/>
      <c r="O1761"/>
    </row>
    <row r="1762" spans="7:15" ht="15" x14ac:dyDescent="0.25">
      <c r="G1762"/>
      <c r="H1762"/>
      <c r="I1762"/>
      <c r="J1762"/>
      <c r="K1762"/>
      <c r="L1762"/>
      <c r="M1762"/>
      <c r="N1762"/>
      <c r="O1762"/>
    </row>
    <row r="1763" spans="7:15" ht="15" x14ac:dyDescent="0.25">
      <c r="G1763"/>
      <c r="H1763"/>
      <c r="I1763"/>
      <c r="J1763"/>
      <c r="K1763"/>
      <c r="L1763"/>
      <c r="M1763"/>
      <c r="N1763"/>
      <c r="O1763"/>
    </row>
    <row r="1764" spans="7:15" ht="15" x14ac:dyDescent="0.25">
      <c r="G1764"/>
      <c r="H1764"/>
      <c r="I1764"/>
      <c r="J1764"/>
      <c r="K1764"/>
      <c r="L1764"/>
      <c r="M1764"/>
      <c r="N1764"/>
      <c r="O1764"/>
    </row>
    <row r="1765" spans="7:15" ht="15" x14ac:dyDescent="0.25">
      <c r="G1765"/>
      <c r="H1765"/>
      <c r="I1765"/>
      <c r="J1765"/>
      <c r="K1765"/>
      <c r="L1765"/>
      <c r="M1765"/>
      <c r="N1765"/>
      <c r="O1765"/>
    </row>
    <row r="1766" spans="7:15" ht="15" x14ac:dyDescent="0.25">
      <c r="G1766"/>
      <c r="H1766"/>
      <c r="I1766"/>
      <c r="J1766"/>
      <c r="K1766"/>
      <c r="L1766"/>
      <c r="M1766"/>
      <c r="N1766"/>
      <c r="O1766"/>
    </row>
    <row r="1767" spans="7:15" ht="15" x14ac:dyDescent="0.25">
      <c r="G1767"/>
      <c r="H1767"/>
      <c r="I1767"/>
      <c r="J1767"/>
      <c r="K1767"/>
      <c r="L1767"/>
      <c r="M1767"/>
      <c r="N1767"/>
      <c r="O1767"/>
    </row>
    <row r="1768" spans="7:15" ht="15" x14ac:dyDescent="0.25">
      <c r="G1768"/>
      <c r="H1768"/>
      <c r="I1768"/>
      <c r="J1768"/>
      <c r="K1768"/>
      <c r="L1768"/>
      <c r="M1768"/>
      <c r="N1768"/>
      <c r="O1768"/>
    </row>
    <row r="1769" spans="7:15" ht="15" x14ac:dyDescent="0.25">
      <c r="G1769"/>
      <c r="H1769"/>
      <c r="I1769"/>
      <c r="J1769"/>
      <c r="K1769"/>
      <c r="L1769"/>
      <c r="M1769"/>
      <c r="N1769"/>
      <c r="O1769"/>
    </row>
    <row r="1770" spans="7:15" ht="15" x14ac:dyDescent="0.25">
      <c r="G1770"/>
      <c r="H1770"/>
      <c r="I1770"/>
      <c r="J1770"/>
      <c r="K1770"/>
      <c r="L1770"/>
      <c r="M1770"/>
      <c r="N1770"/>
      <c r="O1770"/>
    </row>
    <row r="1771" spans="7:15" ht="15" x14ac:dyDescent="0.25">
      <c r="G1771"/>
      <c r="H1771"/>
      <c r="I1771"/>
      <c r="J1771"/>
      <c r="K1771"/>
      <c r="L1771"/>
      <c r="M1771"/>
      <c r="N1771"/>
      <c r="O1771"/>
    </row>
    <row r="1772" spans="7:15" ht="15" x14ac:dyDescent="0.25">
      <c r="G1772"/>
      <c r="H1772"/>
      <c r="I1772"/>
      <c r="J1772"/>
      <c r="K1772"/>
      <c r="L1772"/>
      <c r="M1772"/>
      <c r="N1772"/>
      <c r="O1772"/>
    </row>
    <row r="1773" spans="7:15" ht="15" x14ac:dyDescent="0.25">
      <c r="G1773"/>
      <c r="H1773"/>
      <c r="I1773"/>
      <c r="J1773"/>
      <c r="K1773"/>
      <c r="L1773"/>
      <c r="M1773"/>
      <c r="N1773"/>
      <c r="O1773"/>
    </row>
    <row r="1774" spans="7:15" ht="15" x14ac:dyDescent="0.25">
      <c r="G1774"/>
      <c r="H1774"/>
      <c r="I1774"/>
      <c r="J1774"/>
      <c r="K1774"/>
      <c r="L1774"/>
      <c r="M1774"/>
      <c r="N1774"/>
      <c r="O1774"/>
    </row>
  </sheetData>
  <mergeCells count="5">
    <mergeCell ref="K7:L8"/>
    <mergeCell ref="K11:L12"/>
    <mergeCell ref="A58:T59"/>
    <mergeCell ref="A15:T16"/>
    <mergeCell ref="A1:T4"/>
  </mergeCells>
  <pageMargins left="0.7" right="0.7" top="0.75" bottom="0.75" header="0.3" footer="0.3"/>
  <pageSetup paperSize="9"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71253-8DA3-454A-9D6C-B4B56C9D3F69}">
  <sheetPr codeName="Sheet_Certificate">
    <tabColor rgb="FFE0C1FF"/>
    <pageSetUpPr fitToPage="1"/>
  </sheetPr>
  <dimension ref="B1:AP30"/>
  <sheetViews>
    <sheetView showGridLines="0" zoomScaleNormal="100" workbookViewId="0">
      <selection activeCell="B5" sqref="B5"/>
    </sheetView>
  </sheetViews>
  <sheetFormatPr defaultColWidth="2.85546875" defaultRowHeight="12.75" x14ac:dyDescent="0.2"/>
  <cols>
    <col min="1" max="16384" width="2.85546875" style="202"/>
  </cols>
  <sheetData>
    <row r="1" spans="2:42" ht="13.5" thickBot="1" x14ac:dyDescent="0.25"/>
    <row r="2" spans="2:42" ht="12" customHeight="1" x14ac:dyDescent="0.2">
      <c r="B2" s="209"/>
      <c r="C2" s="210"/>
      <c r="D2" s="210"/>
      <c r="E2" s="210"/>
      <c r="F2" s="210"/>
      <c r="G2" s="210"/>
      <c r="H2" s="210"/>
      <c r="I2" s="210"/>
      <c r="J2" s="210"/>
      <c r="K2" s="210"/>
      <c r="L2" s="210"/>
      <c r="M2" s="210"/>
      <c r="N2" s="210"/>
      <c r="O2" s="210"/>
      <c r="P2" s="210"/>
      <c r="Q2" s="210"/>
      <c r="R2" s="210"/>
      <c r="S2" s="210"/>
      <c r="T2" s="210"/>
      <c r="U2" s="210"/>
      <c r="V2" s="210"/>
      <c r="W2" s="210"/>
      <c r="X2" s="210"/>
      <c r="Y2" s="210"/>
      <c r="Z2" s="210"/>
      <c r="AA2" s="210"/>
      <c r="AB2" s="210"/>
      <c r="AC2" s="210"/>
      <c r="AD2" s="210"/>
      <c r="AE2" s="210"/>
      <c r="AF2" s="210"/>
      <c r="AG2" s="210"/>
      <c r="AH2" s="210"/>
      <c r="AI2" s="210"/>
      <c r="AJ2" s="210"/>
      <c r="AK2" s="210"/>
      <c r="AL2" s="210"/>
      <c r="AM2" s="210"/>
      <c r="AN2" s="210"/>
      <c r="AO2" s="210"/>
      <c r="AP2" s="211"/>
    </row>
    <row r="3" spans="2:42" ht="12" customHeight="1" x14ac:dyDescent="0.2">
      <c r="B3" s="215"/>
      <c r="C3" s="206"/>
      <c r="D3" s="206"/>
      <c r="E3" s="206"/>
      <c r="F3" s="206"/>
      <c r="G3" s="206"/>
      <c r="H3" s="206"/>
      <c r="I3" s="206"/>
      <c r="J3" s="206"/>
      <c r="K3" s="206"/>
      <c r="L3" s="206"/>
      <c r="M3" s="206"/>
      <c r="N3" s="206"/>
      <c r="O3" s="206"/>
      <c r="P3" s="206"/>
      <c r="Q3" s="206"/>
      <c r="R3" s="206"/>
      <c r="S3" s="206"/>
      <c r="T3" s="206"/>
      <c r="U3" s="206"/>
      <c r="V3" s="206"/>
      <c r="W3" s="206"/>
      <c r="X3" s="206"/>
      <c r="Y3" s="206"/>
      <c r="Z3" s="206"/>
      <c r="AA3" s="206"/>
      <c r="AB3" s="206"/>
      <c r="AC3" s="206"/>
      <c r="AD3" s="206"/>
      <c r="AE3" s="206"/>
      <c r="AF3" s="206"/>
      <c r="AG3" s="206"/>
      <c r="AH3" s="206"/>
      <c r="AI3" s="206"/>
      <c r="AJ3" s="206"/>
      <c r="AK3" s="206"/>
      <c r="AL3" s="206"/>
      <c r="AM3" s="206"/>
      <c r="AN3" s="206"/>
      <c r="AO3" s="206"/>
      <c r="AP3" s="216"/>
    </row>
    <row r="4" spans="2:42" ht="12.75" customHeight="1" x14ac:dyDescent="0.2">
      <c r="B4" s="215"/>
      <c r="C4" s="207"/>
      <c r="D4" s="554" t="s">
        <v>787</v>
      </c>
      <c r="E4" s="554"/>
      <c r="F4" s="554"/>
      <c r="G4" s="554"/>
      <c r="H4" s="554"/>
      <c r="I4" s="554"/>
      <c r="J4" s="554"/>
      <c r="K4" s="554"/>
      <c r="L4" s="554"/>
      <c r="M4" s="554"/>
      <c r="N4" s="554"/>
      <c r="O4" s="554"/>
      <c r="P4" s="554"/>
      <c r="Q4" s="554"/>
      <c r="R4" s="554"/>
      <c r="S4" s="554"/>
      <c r="T4" s="554"/>
      <c r="U4" s="554"/>
      <c r="V4" s="554"/>
      <c r="W4" s="554"/>
      <c r="X4" s="554"/>
      <c r="Y4" s="554"/>
      <c r="Z4" s="554"/>
      <c r="AA4" s="554"/>
      <c r="AB4" s="554"/>
      <c r="AC4" s="554"/>
      <c r="AD4" s="554"/>
      <c r="AE4" s="554"/>
      <c r="AF4" s="554"/>
      <c r="AG4" s="554"/>
      <c r="AH4" s="554"/>
      <c r="AI4" s="554"/>
      <c r="AJ4" s="554"/>
      <c r="AK4" s="554"/>
      <c r="AL4" s="554"/>
      <c r="AM4" s="554"/>
      <c r="AN4" s="554"/>
      <c r="AO4" s="206"/>
      <c r="AP4" s="216"/>
    </row>
    <row r="5" spans="2:42" ht="12.75" customHeight="1" x14ac:dyDescent="0.2">
      <c r="B5" s="215"/>
      <c r="C5" s="207"/>
      <c r="D5" s="554"/>
      <c r="E5" s="554"/>
      <c r="F5" s="554"/>
      <c r="G5" s="554"/>
      <c r="H5" s="554"/>
      <c r="I5" s="554"/>
      <c r="J5" s="554"/>
      <c r="K5" s="554"/>
      <c r="L5" s="554"/>
      <c r="M5" s="554"/>
      <c r="N5" s="554"/>
      <c r="O5" s="554"/>
      <c r="P5" s="554"/>
      <c r="Q5" s="554"/>
      <c r="R5" s="554"/>
      <c r="S5" s="554"/>
      <c r="T5" s="554"/>
      <c r="U5" s="554"/>
      <c r="V5" s="554"/>
      <c r="W5" s="554"/>
      <c r="X5" s="554"/>
      <c r="Y5" s="554"/>
      <c r="Z5" s="554"/>
      <c r="AA5" s="554"/>
      <c r="AB5" s="554"/>
      <c r="AC5" s="554"/>
      <c r="AD5" s="554"/>
      <c r="AE5" s="554"/>
      <c r="AF5" s="554"/>
      <c r="AG5" s="554"/>
      <c r="AH5" s="554"/>
      <c r="AI5" s="554"/>
      <c r="AJ5" s="554"/>
      <c r="AK5" s="554"/>
      <c r="AL5" s="554"/>
      <c r="AM5" s="554"/>
      <c r="AN5" s="554"/>
      <c r="AO5" s="208"/>
      <c r="AP5" s="216"/>
    </row>
    <row r="6" spans="2:42" ht="12.75" customHeight="1" x14ac:dyDescent="0.2">
      <c r="B6" s="215"/>
      <c r="C6" s="207"/>
      <c r="D6" s="555" t="str">
        <f>"Certificate of Valuation for"</f>
        <v>Certificate of Valuation for</v>
      </c>
      <c r="E6" s="555"/>
      <c r="F6" s="555"/>
      <c r="G6" s="555"/>
      <c r="H6" s="555"/>
      <c r="I6" s="555"/>
      <c r="J6" s="555"/>
      <c r="K6" s="555"/>
      <c r="L6" s="555"/>
      <c r="M6" s="555"/>
      <c r="N6" s="555"/>
      <c r="O6" s="555"/>
      <c r="P6" s="555"/>
      <c r="Q6" s="555"/>
      <c r="R6" s="555"/>
      <c r="S6" s="555"/>
      <c r="T6" s="555"/>
      <c r="U6" s="555"/>
      <c r="V6" s="555"/>
      <c r="W6" s="555"/>
      <c r="X6" s="555"/>
      <c r="Y6" s="555"/>
      <c r="Z6" s="555"/>
      <c r="AA6" s="555"/>
      <c r="AB6" s="555"/>
      <c r="AC6" s="555"/>
      <c r="AD6" s="555"/>
      <c r="AE6" s="555"/>
      <c r="AF6" s="555"/>
      <c r="AG6" s="555"/>
      <c r="AH6" s="555"/>
      <c r="AI6" s="555"/>
      <c r="AJ6" s="555"/>
      <c r="AK6" s="555"/>
      <c r="AL6" s="555"/>
      <c r="AM6" s="555"/>
      <c r="AN6" s="555"/>
      <c r="AO6" s="208"/>
      <c r="AP6" s="216"/>
    </row>
    <row r="7" spans="2:42" ht="13.15" customHeight="1" x14ac:dyDescent="0.2">
      <c r="B7" s="215"/>
      <c r="C7" s="207"/>
      <c r="D7" s="555"/>
      <c r="E7" s="555"/>
      <c r="F7" s="555"/>
      <c r="G7" s="555"/>
      <c r="H7" s="555"/>
      <c r="I7" s="555"/>
      <c r="J7" s="555"/>
      <c r="K7" s="555"/>
      <c r="L7" s="555"/>
      <c r="M7" s="555"/>
      <c r="N7" s="555"/>
      <c r="O7" s="555"/>
      <c r="P7" s="555"/>
      <c r="Q7" s="555"/>
      <c r="R7" s="555"/>
      <c r="S7" s="555"/>
      <c r="T7" s="555"/>
      <c r="U7" s="555"/>
      <c r="V7" s="555"/>
      <c r="W7" s="555"/>
      <c r="X7" s="555"/>
      <c r="Y7" s="555"/>
      <c r="Z7" s="555"/>
      <c r="AA7" s="555"/>
      <c r="AB7" s="555"/>
      <c r="AC7" s="555"/>
      <c r="AD7" s="555"/>
      <c r="AE7" s="555"/>
      <c r="AF7" s="555"/>
      <c r="AG7" s="555"/>
      <c r="AH7" s="555"/>
      <c r="AI7" s="555"/>
      <c r="AJ7" s="555"/>
      <c r="AK7" s="555"/>
      <c r="AL7" s="555"/>
      <c r="AM7" s="555"/>
      <c r="AN7" s="555"/>
      <c r="AO7" s="207"/>
      <c r="AP7" s="216"/>
    </row>
    <row r="8" spans="2:42" ht="13.15" customHeight="1" x14ac:dyDescent="0.2">
      <c r="B8" s="215"/>
      <c r="C8" s="207"/>
      <c r="D8" s="555">
        <f>Main_OrgName</f>
        <v>0</v>
      </c>
      <c r="E8" s="555"/>
      <c r="F8" s="555"/>
      <c r="G8" s="555"/>
      <c r="H8" s="555"/>
      <c r="I8" s="555"/>
      <c r="J8" s="555"/>
      <c r="K8" s="555"/>
      <c r="L8" s="555"/>
      <c r="M8" s="555"/>
      <c r="N8" s="555"/>
      <c r="O8" s="555"/>
      <c r="P8" s="555"/>
      <c r="Q8" s="555"/>
      <c r="R8" s="555"/>
      <c r="S8" s="555"/>
      <c r="T8" s="555"/>
      <c r="U8" s="555"/>
      <c r="V8" s="555"/>
      <c r="W8" s="555"/>
      <c r="X8" s="555"/>
      <c r="Y8" s="555"/>
      <c r="Z8" s="555"/>
      <c r="AA8" s="555"/>
      <c r="AB8" s="555"/>
      <c r="AC8" s="555"/>
      <c r="AD8" s="555"/>
      <c r="AE8" s="555"/>
      <c r="AF8" s="555"/>
      <c r="AG8" s="555"/>
      <c r="AH8" s="555"/>
      <c r="AI8" s="555"/>
      <c r="AJ8" s="555"/>
      <c r="AK8" s="555"/>
      <c r="AL8" s="555"/>
      <c r="AM8" s="555"/>
      <c r="AN8" s="555"/>
      <c r="AO8" s="207"/>
      <c r="AP8" s="216"/>
    </row>
    <row r="9" spans="2:42" ht="13.15" customHeight="1" x14ac:dyDescent="0.2">
      <c r="B9" s="215"/>
      <c r="C9" s="207"/>
      <c r="D9" s="555"/>
      <c r="E9" s="555"/>
      <c r="F9" s="555"/>
      <c r="G9" s="555"/>
      <c r="H9" s="555"/>
      <c r="I9" s="555"/>
      <c r="J9" s="555"/>
      <c r="K9" s="555"/>
      <c r="L9" s="555"/>
      <c r="M9" s="555"/>
      <c r="N9" s="555"/>
      <c r="O9" s="555"/>
      <c r="P9" s="555"/>
      <c r="Q9" s="555"/>
      <c r="R9" s="555"/>
      <c r="S9" s="555"/>
      <c r="T9" s="555"/>
      <c r="U9" s="555"/>
      <c r="V9" s="555"/>
      <c r="W9" s="555"/>
      <c r="X9" s="555"/>
      <c r="Y9" s="555"/>
      <c r="Z9" s="555"/>
      <c r="AA9" s="555"/>
      <c r="AB9" s="555"/>
      <c r="AC9" s="555"/>
      <c r="AD9" s="555"/>
      <c r="AE9" s="555"/>
      <c r="AF9" s="555"/>
      <c r="AG9" s="555"/>
      <c r="AH9" s="555"/>
      <c r="AI9" s="555"/>
      <c r="AJ9" s="555"/>
      <c r="AK9" s="555"/>
      <c r="AL9" s="555"/>
      <c r="AM9" s="555"/>
      <c r="AN9" s="555"/>
      <c r="AO9" s="207"/>
      <c r="AP9" s="216"/>
    </row>
    <row r="10" spans="2:42" ht="15" customHeight="1" x14ac:dyDescent="0.2">
      <c r="B10" s="215"/>
      <c r="C10" s="207"/>
      <c r="D10" s="203"/>
      <c r="E10" s="203"/>
      <c r="F10" s="203"/>
      <c r="G10" s="203"/>
      <c r="H10" s="203"/>
      <c r="I10" s="203"/>
      <c r="J10" s="203"/>
      <c r="K10" s="203"/>
      <c r="L10" s="203"/>
      <c r="M10" s="203"/>
      <c r="N10" s="203"/>
      <c r="O10" s="558">
        <f>VALUE_RUN_USER</f>
        <v>0</v>
      </c>
      <c r="P10" s="558"/>
      <c r="Q10" s="558"/>
      <c r="R10" s="558"/>
      <c r="S10" s="558"/>
      <c r="T10" s="558"/>
      <c r="U10" s="558"/>
      <c r="V10" s="558"/>
      <c r="W10" s="203"/>
      <c r="X10" s="203"/>
      <c r="Y10" s="203"/>
      <c r="Z10" s="203"/>
      <c r="AA10" s="203"/>
      <c r="AB10" s="203"/>
      <c r="AC10" s="203"/>
      <c r="AD10" s="203"/>
      <c r="AE10" s="203"/>
      <c r="AF10" s="203"/>
      <c r="AG10" s="203"/>
      <c r="AH10" s="203"/>
      <c r="AI10" s="203"/>
      <c r="AJ10" s="203"/>
      <c r="AK10" s="203"/>
      <c r="AL10" s="203"/>
      <c r="AM10" s="203"/>
      <c r="AN10" s="203"/>
      <c r="AO10" s="207"/>
      <c r="AP10" s="216"/>
    </row>
    <row r="11" spans="2:42" x14ac:dyDescent="0.2">
      <c r="B11" s="215"/>
      <c r="C11" s="207"/>
      <c r="D11" s="204"/>
      <c r="E11" s="204"/>
      <c r="F11" s="204"/>
      <c r="G11" s="204"/>
      <c r="H11" s="204"/>
      <c r="I11" s="204"/>
      <c r="J11" s="204" t="s">
        <v>1222</v>
      </c>
      <c r="K11" s="204"/>
      <c r="L11" s="204"/>
      <c r="M11" s="204"/>
      <c r="N11" s="204"/>
      <c r="O11" s="558"/>
      <c r="P11" s="558"/>
      <c r="Q11" s="558"/>
      <c r="R11" s="558"/>
      <c r="S11" s="558"/>
      <c r="T11" s="558"/>
      <c r="U11" s="558"/>
      <c r="V11" s="558"/>
      <c r="W11" s="227"/>
      <c r="X11" s="204" t="s">
        <v>1221</v>
      </c>
      <c r="Y11" s="203"/>
      <c r="Z11" s="203"/>
      <c r="AA11" s="203"/>
      <c r="AB11" s="204"/>
      <c r="AC11" s="204"/>
      <c r="AD11" s="204"/>
      <c r="AE11" s="203"/>
      <c r="AF11" s="559">
        <f>VALUE_RUN_DATE</f>
        <v>0</v>
      </c>
      <c r="AG11" s="559"/>
      <c r="AH11" s="559"/>
      <c r="AI11" s="559"/>
      <c r="AJ11" s="559"/>
      <c r="AK11" s="559"/>
      <c r="AL11" s="559"/>
      <c r="AM11" s="559"/>
      <c r="AN11" s="559"/>
      <c r="AO11" s="207"/>
      <c r="AP11" s="216"/>
    </row>
    <row r="12" spans="2:42" x14ac:dyDescent="0.2">
      <c r="B12" s="215"/>
      <c r="C12" s="207"/>
      <c r="D12" s="204"/>
      <c r="E12" s="204"/>
      <c r="F12" s="204"/>
      <c r="G12" s="204"/>
      <c r="H12" s="204"/>
      <c r="I12" s="204"/>
      <c r="J12" s="204"/>
      <c r="K12" s="204"/>
      <c r="L12" s="204"/>
      <c r="M12" s="204"/>
      <c r="N12" s="204"/>
      <c r="O12" s="204"/>
      <c r="P12" s="204"/>
      <c r="Q12" s="204"/>
      <c r="R12" s="204"/>
      <c r="S12" s="204"/>
      <c r="T12" s="204"/>
      <c r="U12" s="204"/>
      <c r="V12" s="204"/>
      <c r="W12" s="204"/>
      <c r="X12" s="204"/>
      <c r="Y12" s="203"/>
      <c r="Z12" s="203"/>
      <c r="AA12" s="203"/>
      <c r="AB12" s="204"/>
      <c r="AC12" s="204"/>
      <c r="AD12" s="204"/>
      <c r="AE12" s="204"/>
      <c r="AF12" s="204"/>
      <c r="AG12" s="204"/>
      <c r="AH12" s="204"/>
      <c r="AI12" s="204"/>
      <c r="AJ12" s="204"/>
      <c r="AK12" s="204"/>
      <c r="AL12" s="204"/>
      <c r="AM12" s="204"/>
      <c r="AN12" s="204"/>
      <c r="AO12" s="207"/>
      <c r="AP12" s="216"/>
    </row>
    <row r="13" spans="2:42" x14ac:dyDescent="0.2">
      <c r="B13" s="215"/>
      <c r="C13" s="207"/>
      <c r="D13" s="204"/>
      <c r="E13" s="204"/>
      <c r="F13" s="204"/>
      <c r="G13" s="204"/>
      <c r="H13" s="204"/>
      <c r="I13" s="204"/>
      <c r="J13" s="204" t="s">
        <v>1225</v>
      </c>
      <c r="K13" s="204"/>
      <c r="L13" s="204"/>
      <c r="M13" s="204"/>
      <c r="N13" s="204"/>
      <c r="O13" s="557" t="str">
        <f>'Version Control'!C9</f>
        <v>1.10</v>
      </c>
      <c r="P13" s="557"/>
      <c r="Q13" s="557"/>
      <c r="R13" s="557"/>
      <c r="S13" s="557"/>
      <c r="T13" s="557"/>
      <c r="U13" s="557"/>
      <c r="V13" s="557"/>
      <c r="W13" s="226"/>
      <c r="X13" s="205" t="s">
        <v>1782</v>
      </c>
      <c r="Y13" s="203"/>
      <c r="Z13" s="203"/>
      <c r="AA13" s="203"/>
      <c r="AB13" s="204"/>
      <c r="AC13" s="204"/>
      <c r="AD13" s="204"/>
      <c r="AE13" s="204"/>
      <c r="AF13" s="556" t="str">
        <f>Main_InflationYear</f>
        <v>2025/26</v>
      </c>
      <c r="AG13" s="556"/>
      <c r="AH13" s="556"/>
      <c r="AI13" s="556"/>
      <c r="AJ13" s="556"/>
      <c r="AK13" s="556"/>
      <c r="AL13" s="556"/>
      <c r="AM13" s="556"/>
      <c r="AN13" s="556"/>
      <c r="AO13" s="207"/>
      <c r="AP13" s="216"/>
    </row>
    <row r="14" spans="2:42" x14ac:dyDescent="0.2">
      <c r="B14" s="215"/>
      <c r="C14" s="207"/>
      <c r="D14" s="204"/>
      <c r="E14" s="204"/>
      <c r="F14" s="204"/>
      <c r="G14" s="204"/>
      <c r="H14" s="204"/>
      <c r="I14" s="204"/>
      <c r="J14" s="204"/>
      <c r="K14" s="204"/>
      <c r="L14" s="204"/>
      <c r="M14" s="204"/>
      <c r="N14" s="204"/>
      <c r="O14" s="204"/>
      <c r="P14" s="204"/>
      <c r="Q14" s="204"/>
      <c r="R14" s="204"/>
      <c r="S14" s="204"/>
      <c r="T14" s="204"/>
      <c r="U14" s="204"/>
      <c r="V14" s="204"/>
      <c r="W14" s="204"/>
      <c r="X14" s="204"/>
      <c r="Y14" s="204"/>
      <c r="Z14" s="204"/>
      <c r="AA14" s="204"/>
      <c r="AB14" s="204"/>
      <c r="AC14" s="204"/>
      <c r="AD14" s="204"/>
      <c r="AE14" s="204"/>
      <c r="AF14" s="204"/>
      <c r="AG14" s="204"/>
      <c r="AH14" s="204"/>
      <c r="AI14" s="204"/>
      <c r="AJ14" s="204"/>
      <c r="AK14" s="204"/>
      <c r="AL14" s="204"/>
      <c r="AM14" s="204"/>
      <c r="AN14" s="204"/>
      <c r="AO14" s="207"/>
      <c r="AP14" s="216"/>
    </row>
    <row r="15" spans="2:42" x14ac:dyDescent="0.2">
      <c r="B15" s="215"/>
      <c r="C15" s="207"/>
      <c r="D15" s="204"/>
      <c r="E15" s="563" t="str">
        <f>"Workbook Name: "&amp;getbook()</f>
        <v>Workbook Name: SAVI v1.09 with sample data and analysis.xlsm</v>
      </c>
      <c r="F15" s="563"/>
      <c r="G15" s="563"/>
      <c r="H15" s="563"/>
      <c r="I15" s="563"/>
      <c r="J15" s="563"/>
      <c r="K15" s="563"/>
      <c r="L15" s="563"/>
      <c r="M15" s="563"/>
      <c r="N15" s="563"/>
      <c r="O15" s="563"/>
      <c r="P15" s="563"/>
      <c r="Q15" s="563"/>
      <c r="R15" s="563"/>
      <c r="S15" s="563"/>
      <c r="T15" s="563"/>
      <c r="U15" s="563"/>
      <c r="V15" s="563"/>
      <c r="W15" s="563"/>
      <c r="X15" s="563"/>
      <c r="Y15" s="563"/>
      <c r="Z15" s="563"/>
      <c r="AA15" s="563"/>
      <c r="AB15" s="563"/>
      <c r="AC15" s="563"/>
      <c r="AD15" s="563"/>
      <c r="AE15" s="563"/>
      <c r="AF15" s="563"/>
      <c r="AG15" s="563"/>
      <c r="AH15" s="563"/>
      <c r="AI15" s="563"/>
      <c r="AJ15" s="563"/>
      <c r="AK15" s="563"/>
      <c r="AL15" s="563"/>
      <c r="AM15" s="563"/>
      <c r="AN15" s="204"/>
      <c r="AO15" s="207"/>
      <c r="AP15" s="216"/>
    </row>
    <row r="16" spans="2:42" x14ac:dyDescent="0.2">
      <c r="B16" s="215"/>
      <c r="C16" s="207"/>
      <c r="D16" s="203"/>
      <c r="E16" s="204"/>
      <c r="F16" s="204"/>
      <c r="G16" s="204"/>
      <c r="H16" s="204"/>
      <c r="I16" s="204"/>
      <c r="J16" s="204"/>
      <c r="K16" s="204"/>
      <c r="L16" s="204"/>
      <c r="M16" s="204"/>
      <c r="N16" s="204"/>
      <c r="O16" s="204"/>
      <c r="P16" s="204"/>
      <c r="Q16" s="204"/>
      <c r="R16" s="204"/>
      <c r="S16" s="204"/>
      <c r="T16" s="204"/>
      <c r="U16" s="204"/>
      <c r="V16" s="204"/>
      <c r="W16" s="204"/>
      <c r="X16" s="204"/>
      <c r="Y16" s="204"/>
      <c r="Z16" s="204"/>
      <c r="AA16" s="204"/>
      <c r="AB16" s="204"/>
      <c r="AC16" s="204"/>
      <c r="AD16" s="204"/>
      <c r="AE16" s="204"/>
      <c r="AF16" s="204"/>
      <c r="AG16" s="204"/>
      <c r="AH16" s="204"/>
      <c r="AI16" s="204"/>
      <c r="AJ16" s="204"/>
      <c r="AK16" s="204"/>
      <c r="AL16" s="204"/>
      <c r="AM16" s="204"/>
      <c r="AN16" s="203"/>
      <c r="AO16" s="207"/>
      <c r="AP16" s="216"/>
    </row>
    <row r="17" spans="2:42" x14ac:dyDescent="0.2">
      <c r="B17" s="215"/>
      <c r="C17" s="207"/>
      <c r="D17" s="203"/>
      <c r="E17" s="204"/>
      <c r="F17" s="204"/>
      <c r="G17" s="204"/>
      <c r="H17" s="204"/>
      <c r="I17" s="204"/>
      <c r="J17" s="204"/>
      <c r="K17" s="204"/>
      <c r="L17" s="204"/>
      <c r="M17" s="204"/>
      <c r="N17" s="204"/>
      <c r="O17" s="204"/>
      <c r="P17" s="204"/>
      <c r="Q17" s="204"/>
      <c r="R17" s="204"/>
      <c r="S17" s="204"/>
      <c r="T17" s="204"/>
      <c r="U17" s="204"/>
      <c r="V17" s="204"/>
      <c r="W17" s="204"/>
      <c r="X17" s="204"/>
      <c r="Y17" s="204"/>
      <c r="Z17" s="204"/>
      <c r="AA17" s="204"/>
      <c r="AB17" s="204"/>
      <c r="AC17" s="204"/>
      <c r="AD17" s="204"/>
      <c r="AE17" s="204"/>
      <c r="AF17" s="204"/>
      <c r="AG17" s="204"/>
      <c r="AH17" s="204"/>
      <c r="AI17" s="204"/>
      <c r="AJ17" s="204"/>
      <c r="AK17" s="204"/>
      <c r="AL17" s="204"/>
      <c r="AM17" s="204"/>
      <c r="AN17" s="203"/>
      <c r="AO17" s="207"/>
      <c r="AP17" s="216"/>
    </row>
    <row r="18" spans="2:42" x14ac:dyDescent="0.2">
      <c r="B18" s="215"/>
      <c r="C18" s="207"/>
      <c r="D18" s="203"/>
      <c r="E18" s="204"/>
      <c r="F18" s="204"/>
      <c r="G18" s="204"/>
      <c r="H18" s="204"/>
      <c r="I18" s="204"/>
      <c r="J18" s="204"/>
      <c r="K18" s="204"/>
      <c r="L18" s="562" t="s">
        <v>1220</v>
      </c>
      <c r="M18" s="562"/>
      <c r="N18" s="562"/>
      <c r="O18" s="562"/>
      <c r="P18" s="562"/>
      <c r="Q18" s="562"/>
      <c r="R18" s="562"/>
      <c r="S18" s="562"/>
      <c r="T18" s="562"/>
      <c r="U18" s="562"/>
      <c r="V18" s="562"/>
      <c r="W18" s="560" t="e">
        <f ca="1">'Value Dashboard'!K7</f>
        <v>#REF!</v>
      </c>
      <c r="X18" s="560"/>
      <c r="Y18" s="560"/>
      <c r="Z18" s="560"/>
      <c r="AA18" s="560"/>
      <c r="AB18" s="560"/>
      <c r="AC18" s="222"/>
      <c r="AD18" s="222"/>
      <c r="AE18" s="204" t="s">
        <v>1223</v>
      </c>
      <c r="AF18" s="204"/>
      <c r="AG18" s="204"/>
      <c r="AH18" s="204"/>
      <c r="AI18" s="204"/>
      <c r="AJ18" s="204"/>
      <c r="AK18" s="204"/>
      <c r="AL18" s="563">
        <f ca="1">Main_NumberOfStructures</f>
        <v>0</v>
      </c>
      <c r="AM18" s="563"/>
      <c r="AN18" s="203"/>
      <c r="AO18" s="207"/>
      <c r="AP18" s="216"/>
    </row>
    <row r="19" spans="2:42" x14ac:dyDescent="0.2">
      <c r="B19" s="215"/>
      <c r="C19" s="207"/>
      <c r="D19" s="203"/>
      <c r="E19" s="204"/>
      <c r="F19" s="204"/>
      <c r="G19" s="204"/>
      <c r="H19" s="204"/>
      <c r="I19" s="204"/>
      <c r="J19" s="204"/>
      <c r="K19" s="204"/>
      <c r="L19" s="562" t="s">
        <v>1219</v>
      </c>
      <c r="M19" s="562"/>
      <c r="N19" s="562"/>
      <c r="O19" s="562"/>
      <c r="P19" s="562"/>
      <c r="Q19" s="562"/>
      <c r="R19" s="562"/>
      <c r="S19" s="562"/>
      <c r="T19" s="562"/>
      <c r="U19" s="562"/>
      <c r="V19" s="562"/>
      <c r="W19" s="560" t="e">
        <f ca="1">'Value Dashboard'!K11</f>
        <v>#REF!</v>
      </c>
      <c r="X19" s="560"/>
      <c r="Y19" s="560"/>
      <c r="Z19" s="560"/>
      <c r="AA19" s="560"/>
      <c r="AB19" s="560"/>
      <c r="AC19" s="222"/>
      <c r="AD19" s="222"/>
      <c r="AE19" s="204" t="s">
        <v>1224</v>
      </c>
      <c r="AF19" s="204"/>
      <c r="AG19" s="204"/>
      <c r="AH19" s="204"/>
      <c r="AI19" s="204"/>
      <c r="AJ19" s="204"/>
      <c r="AK19" s="204"/>
      <c r="AL19" s="563">
        <f>Main_NumberOfElements</f>
        <v>0</v>
      </c>
      <c r="AM19" s="563"/>
      <c r="AN19" s="203"/>
      <c r="AO19" s="207"/>
      <c r="AP19" s="216"/>
    </row>
    <row r="20" spans="2:42" x14ac:dyDescent="0.2">
      <c r="B20" s="215"/>
      <c r="C20" s="207"/>
      <c r="D20" s="203"/>
      <c r="E20" s="204"/>
      <c r="F20" s="204"/>
      <c r="G20" s="204"/>
      <c r="H20" s="204"/>
      <c r="I20" s="204"/>
      <c r="J20" s="204"/>
      <c r="K20" s="204"/>
      <c r="L20" s="562" t="s">
        <v>1218</v>
      </c>
      <c r="M20" s="562"/>
      <c r="N20" s="562"/>
      <c r="O20" s="562"/>
      <c r="P20" s="562"/>
      <c r="Q20" s="562"/>
      <c r="R20" s="562"/>
      <c r="S20" s="562"/>
      <c r="T20" s="562"/>
      <c r="U20" s="562"/>
      <c r="V20" s="562"/>
      <c r="W20" s="564" t="e">
        <f ca="1">W19/W18</f>
        <v>#REF!</v>
      </c>
      <c r="X20" s="564"/>
      <c r="Y20" s="564"/>
      <c r="Z20" s="564"/>
      <c r="AA20" s="564"/>
      <c r="AB20" s="564"/>
      <c r="AC20" s="223"/>
      <c r="AD20" s="223"/>
      <c r="AE20" s="204"/>
      <c r="AF20" s="204"/>
      <c r="AG20" s="204"/>
      <c r="AH20" s="204"/>
      <c r="AI20" s="204"/>
      <c r="AJ20" s="204"/>
      <c r="AK20" s="204"/>
      <c r="AL20" s="204"/>
      <c r="AM20" s="204"/>
      <c r="AN20" s="203"/>
      <c r="AO20" s="207"/>
      <c r="AP20" s="216"/>
    </row>
    <row r="21" spans="2:42" x14ac:dyDescent="0.2">
      <c r="B21" s="215"/>
      <c r="C21" s="207"/>
      <c r="D21" s="203"/>
      <c r="E21" s="204"/>
      <c r="F21" s="204"/>
      <c r="G21" s="204"/>
      <c r="H21" s="204"/>
      <c r="I21" s="204"/>
      <c r="J21" s="204"/>
      <c r="K21" s="204"/>
      <c r="L21" s="562" t="s">
        <v>1217</v>
      </c>
      <c r="M21" s="562"/>
      <c r="N21" s="562"/>
      <c r="O21" s="562"/>
      <c r="P21" s="562"/>
      <c r="Q21" s="562"/>
      <c r="R21" s="562"/>
      <c r="S21" s="562"/>
      <c r="T21" s="562"/>
      <c r="U21" s="562"/>
      <c r="V21" s="562"/>
      <c r="W21" s="560" t="e">
        <f ca="1">SUM(Value!BN:BN)</f>
        <v>#REF!</v>
      </c>
      <c r="X21" s="560"/>
      <c r="Y21" s="560"/>
      <c r="Z21" s="560"/>
      <c r="AA21" s="560"/>
      <c r="AB21" s="560"/>
      <c r="AC21" s="222"/>
      <c r="AD21" s="222"/>
      <c r="AE21" s="204"/>
      <c r="AF21" s="204"/>
      <c r="AG21" s="204"/>
      <c r="AH21" s="204"/>
      <c r="AI21" s="204"/>
      <c r="AJ21" s="204"/>
      <c r="AK21" s="204"/>
      <c r="AL21" s="204"/>
      <c r="AM21" s="204"/>
      <c r="AN21" s="203"/>
      <c r="AO21" s="207"/>
      <c r="AP21" s="216"/>
    </row>
    <row r="22" spans="2:42" x14ac:dyDescent="0.2">
      <c r="B22" s="215"/>
      <c r="C22" s="207"/>
      <c r="D22" s="203"/>
      <c r="E22" s="204"/>
      <c r="F22" s="204"/>
      <c r="G22" s="204"/>
      <c r="H22" s="204"/>
      <c r="I22" s="204"/>
      <c r="J22" s="204"/>
      <c r="K22" s="204"/>
      <c r="L22" s="562" t="s">
        <v>1216</v>
      </c>
      <c r="M22" s="562"/>
      <c r="N22" s="562"/>
      <c r="O22" s="562"/>
      <c r="P22" s="562"/>
      <c r="Q22" s="562"/>
      <c r="R22" s="562"/>
      <c r="S22" s="562"/>
      <c r="T22" s="562"/>
      <c r="U22" s="562"/>
      <c r="V22" s="562"/>
      <c r="W22" s="561" t="e">
        <f ca="1">SUM(Value!BM:BM)</f>
        <v>#REF!</v>
      </c>
      <c r="X22" s="561"/>
      <c r="Y22" s="561"/>
      <c r="Z22" s="561"/>
      <c r="AA22" s="561"/>
      <c r="AB22" s="561"/>
      <c r="AC22" s="224"/>
      <c r="AD22" s="224"/>
      <c r="AE22" s="204"/>
      <c r="AF22" s="204"/>
      <c r="AG22" s="204"/>
      <c r="AH22" s="204"/>
      <c r="AI22" s="204"/>
      <c r="AJ22" s="204"/>
      <c r="AK22" s="204"/>
      <c r="AL22" s="204"/>
      <c r="AM22" s="204"/>
      <c r="AN22" s="203"/>
      <c r="AO22" s="207"/>
      <c r="AP22" s="216"/>
    </row>
    <row r="23" spans="2:42" x14ac:dyDescent="0.2">
      <c r="B23" s="215"/>
      <c r="C23" s="207"/>
      <c r="D23" s="203"/>
      <c r="E23" s="204"/>
      <c r="F23" s="204"/>
      <c r="G23" s="204"/>
      <c r="H23" s="204"/>
      <c r="I23" s="204"/>
      <c r="J23" s="204"/>
      <c r="K23" s="204"/>
      <c r="L23" s="204"/>
      <c r="M23" s="204"/>
      <c r="N23" s="225" t="str">
        <f ca="1">IF(IFERROR(SUM(W18:AB22),"")="","Valuation has not been successfully run","")</f>
        <v>Valuation has not been successfully run</v>
      </c>
      <c r="O23" s="204"/>
      <c r="P23" s="204"/>
      <c r="Q23" s="204"/>
      <c r="R23" s="204"/>
      <c r="S23" s="204"/>
      <c r="T23" s="204"/>
      <c r="U23" s="204"/>
      <c r="V23" s="204"/>
      <c r="W23" s="204"/>
      <c r="X23" s="204"/>
      <c r="Y23" s="204"/>
      <c r="Z23" s="204"/>
      <c r="AA23" s="204"/>
      <c r="AB23" s="204"/>
      <c r="AC23" s="204"/>
      <c r="AD23" s="204"/>
      <c r="AE23" s="204"/>
      <c r="AF23" s="204"/>
      <c r="AG23" s="204"/>
      <c r="AH23" s="204"/>
      <c r="AI23" s="204"/>
      <c r="AJ23" s="204"/>
      <c r="AK23" s="204"/>
      <c r="AL23" s="204"/>
      <c r="AM23" s="204"/>
      <c r="AN23" s="203"/>
      <c r="AO23" s="207"/>
      <c r="AP23" s="216"/>
    </row>
    <row r="24" spans="2:42" x14ac:dyDescent="0.2">
      <c r="B24" s="215"/>
      <c r="C24" s="207"/>
      <c r="D24" s="203"/>
      <c r="E24" s="204"/>
      <c r="F24" s="204"/>
      <c r="G24" s="204"/>
      <c r="H24" s="204"/>
      <c r="I24" s="204"/>
      <c r="J24" s="204"/>
      <c r="K24" s="204"/>
      <c r="L24" s="204"/>
      <c r="M24" s="204"/>
      <c r="N24" s="204"/>
      <c r="O24" s="204"/>
      <c r="P24" s="204"/>
      <c r="Q24" s="204"/>
      <c r="R24" s="204"/>
      <c r="S24" s="204"/>
      <c r="T24" s="204"/>
      <c r="U24" s="204"/>
      <c r="V24" s="204"/>
      <c r="W24" s="204"/>
      <c r="X24" s="204"/>
      <c r="Y24" s="204"/>
      <c r="Z24" s="204"/>
      <c r="AA24" s="204"/>
      <c r="AB24" s="204"/>
      <c r="AC24" s="204"/>
      <c r="AD24" s="204"/>
      <c r="AE24" s="204"/>
      <c r="AF24" s="204"/>
      <c r="AG24" s="204"/>
      <c r="AH24" s="204"/>
      <c r="AI24" s="204"/>
      <c r="AJ24" s="204"/>
      <c r="AK24" s="204"/>
      <c r="AL24" s="204"/>
      <c r="AM24" s="204"/>
      <c r="AN24" s="203"/>
      <c r="AO24" s="207"/>
      <c r="AP24" s="216"/>
    </row>
    <row r="25" spans="2:42" x14ac:dyDescent="0.2">
      <c r="B25" s="215"/>
      <c r="C25" s="207"/>
      <c r="D25" s="203"/>
      <c r="E25" s="204"/>
      <c r="F25" s="204"/>
      <c r="G25" s="204"/>
      <c r="H25" s="204"/>
      <c r="I25" s="204"/>
      <c r="J25" s="204"/>
      <c r="K25" s="204"/>
      <c r="L25" s="204"/>
      <c r="M25" s="204"/>
      <c r="N25" s="204"/>
      <c r="O25" s="204"/>
      <c r="P25" s="204"/>
      <c r="Q25" s="204"/>
      <c r="R25" s="204"/>
      <c r="S25" s="204"/>
      <c r="T25" s="204"/>
      <c r="U25" s="204"/>
      <c r="V25" s="204"/>
      <c r="W25" s="204"/>
      <c r="X25" s="204"/>
      <c r="Y25" s="204"/>
      <c r="Z25" s="204"/>
      <c r="AA25" s="204"/>
      <c r="AB25" s="204"/>
      <c r="AC25" s="204"/>
      <c r="AD25" s="204"/>
      <c r="AE25" s="204"/>
      <c r="AF25" s="204"/>
      <c r="AG25" s="204"/>
      <c r="AH25" s="204"/>
      <c r="AI25" s="204"/>
      <c r="AJ25" s="204"/>
      <c r="AK25" s="204"/>
      <c r="AL25" s="204"/>
      <c r="AM25" s="204"/>
      <c r="AN25" s="203"/>
      <c r="AO25" s="207"/>
      <c r="AP25" s="216"/>
    </row>
    <row r="26" spans="2:42" x14ac:dyDescent="0.2">
      <c r="B26" s="215"/>
      <c r="C26" s="207"/>
      <c r="D26" s="203"/>
      <c r="E26" s="203"/>
      <c r="F26" s="203"/>
      <c r="G26" s="203"/>
      <c r="H26" s="203"/>
      <c r="I26" s="203"/>
      <c r="J26" s="203"/>
      <c r="K26" s="203"/>
      <c r="L26" s="203"/>
      <c r="M26" s="203"/>
      <c r="N26" s="203"/>
      <c r="O26" s="203"/>
      <c r="P26" s="203"/>
      <c r="Q26" s="203"/>
      <c r="R26" s="203"/>
      <c r="S26" s="203"/>
      <c r="T26" s="203"/>
      <c r="U26" s="203"/>
      <c r="V26" s="203"/>
      <c r="W26" s="203"/>
      <c r="X26" s="203"/>
      <c r="Y26" s="203"/>
      <c r="Z26" s="203"/>
      <c r="AA26" s="203"/>
      <c r="AB26" s="203"/>
      <c r="AC26" s="203"/>
      <c r="AD26" s="203"/>
      <c r="AE26" s="203"/>
      <c r="AF26" s="203"/>
      <c r="AG26" s="203"/>
      <c r="AH26" s="203"/>
      <c r="AI26" s="203"/>
      <c r="AJ26" s="203"/>
      <c r="AK26" s="203"/>
      <c r="AL26" s="203"/>
      <c r="AM26" s="203"/>
      <c r="AN26" s="203"/>
      <c r="AO26" s="207"/>
      <c r="AP26" s="216"/>
    </row>
    <row r="27" spans="2:42" x14ac:dyDescent="0.2">
      <c r="B27" s="215"/>
      <c r="C27" s="207"/>
      <c r="D27" s="203"/>
      <c r="E27" s="203"/>
      <c r="F27" s="203"/>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c r="AG27" s="203"/>
      <c r="AH27" s="203"/>
      <c r="AI27" s="203"/>
      <c r="AJ27" s="203"/>
      <c r="AK27" s="203"/>
      <c r="AL27" s="203"/>
      <c r="AM27" s="203"/>
      <c r="AN27" s="203"/>
      <c r="AO27" s="207"/>
      <c r="AP27" s="216"/>
    </row>
    <row r="28" spans="2:42" x14ac:dyDescent="0.2">
      <c r="B28" s="215"/>
      <c r="C28" s="207"/>
      <c r="D28" s="203"/>
      <c r="E28" s="203"/>
      <c r="F28" s="203"/>
      <c r="G28" s="203"/>
      <c r="H28" s="203"/>
      <c r="I28" s="203"/>
      <c r="J28" s="203"/>
      <c r="K28" s="203"/>
      <c r="L28" s="203"/>
      <c r="M28" s="203"/>
      <c r="N28" s="203"/>
      <c r="O28" s="203"/>
      <c r="P28" s="203"/>
      <c r="Q28" s="203"/>
      <c r="R28" s="203"/>
      <c r="S28" s="203"/>
      <c r="T28" s="203"/>
      <c r="U28" s="203"/>
      <c r="V28" s="203"/>
      <c r="W28" s="203"/>
      <c r="X28" s="203"/>
      <c r="Y28" s="203"/>
      <c r="Z28" s="203"/>
      <c r="AA28" s="203"/>
      <c r="AB28" s="203"/>
      <c r="AC28" s="203"/>
      <c r="AD28" s="203"/>
      <c r="AE28" s="203"/>
      <c r="AF28" s="203"/>
      <c r="AG28" s="203"/>
      <c r="AH28" s="203"/>
      <c r="AI28" s="203"/>
      <c r="AJ28" s="203"/>
      <c r="AK28" s="203"/>
      <c r="AL28" s="203"/>
      <c r="AM28" s="203"/>
      <c r="AN28" s="203"/>
      <c r="AO28" s="207"/>
      <c r="AP28" s="216"/>
    </row>
    <row r="29" spans="2:42" ht="12" customHeight="1" x14ac:dyDescent="0.2">
      <c r="B29" s="215"/>
      <c r="C29" s="207"/>
      <c r="D29" s="207"/>
      <c r="E29" s="207"/>
      <c r="F29" s="207"/>
      <c r="G29" s="207"/>
      <c r="H29" s="207"/>
      <c r="I29" s="207"/>
      <c r="J29" s="207"/>
      <c r="K29" s="207"/>
      <c r="L29" s="207"/>
      <c r="M29" s="207"/>
      <c r="N29" s="207"/>
      <c r="O29" s="207"/>
      <c r="P29" s="207"/>
      <c r="Q29" s="207"/>
      <c r="R29" s="207"/>
      <c r="S29" s="207"/>
      <c r="T29" s="207"/>
      <c r="U29" s="207"/>
      <c r="V29" s="207"/>
      <c r="W29" s="207"/>
      <c r="X29" s="207"/>
      <c r="Y29" s="207"/>
      <c r="Z29" s="207"/>
      <c r="AA29" s="207"/>
      <c r="AB29" s="207"/>
      <c r="AC29" s="207"/>
      <c r="AD29" s="207"/>
      <c r="AE29" s="207"/>
      <c r="AF29" s="207"/>
      <c r="AG29" s="207"/>
      <c r="AH29" s="207"/>
      <c r="AI29" s="207"/>
      <c r="AJ29" s="207"/>
      <c r="AK29" s="207"/>
      <c r="AL29" s="207"/>
      <c r="AM29" s="207"/>
      <c r="AN29" s="207"/>
      <c r="AO29" s="207"/>
      <c r="AP29" s="216"/>
    </row>
    <row r="30" spans="2:42" ht="12" customHeight="1" thickBot="1" x14ac:dyDescent="0.25">
      <c r="B30" s="212"/>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4"/>
    </row>
  </sheetData>
  <sheetProtection autoFilter="0"/>
  <mergeCells count="20">
    <mergeCell ref="W21:AB21"/>
    <mergeCell ref="W22:AB22"/>
    <mergeCell ref="L21:V21"/>
    <mergeCell ref="L22:V22"/>
    <mergeCell ref="E15:AM15"/>
    <mergeCell ref="L18:V18"/>
    <mergeCell ref="L19:V19"/>
    <mergeCell ref="L20:V20"/>
    <mergeCell ref="AL18:AM18"/>
    <mergeCell ref="AL19:AM19"/>
    <mergeCell ref="W18:AB18"/>
    <mergeCell ref="W19:AB19"/>
    <mergeCell ref="W20:AB20"/>
    <mergeCell ref="D4:AN5"/>
    <mergeCell ref="D6:AN7"/>
    <mergeCell ref="AF13:AN13"/>
    <mergeCell ref="O13:V13"/>
    <mergeCell ref="O10:V11"/>
    <mergeCell ref="AF11:AN11"/>
    <mergeCell ref="D8:AN9"/>
  </mergeCells>
  <printOptions horizontalCentered="1" verticalCentered="1"/>
  <pageMargins left="0.70866141732283472" right="0.70866141732283472" top="0.74803149606299213" bottom="0.74803149606299213" header="0.31496062992125984" footer="0.31496062992125984"/>
  <pageSetup paperSize="9" orientation="landscape"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_SAMPDashboard">
    <tabColor rgb="FFE0C1FF"/>
  </sheetPr>
  <dimension ref="A1:U103"/>
  <sheetViews>
    <sheetView showGridLines="0" zoomScale="70" zoomScaleNormal="70" workbookViewId="0">
      <selection activeCell="B5" sqref="B5"/>
    </sheetView>
  </sheetViews>
  <sheetFormatPr defaultColWidth="9.140625" defaultRowHeight="14.25" x14ac:dyDescent="0.2"/>
  <cols>
    <col min="1" max="6" width="3.140625" style="96" customWidth="1"/>
    <col min="7" max="7" width="57.42578125" style="96" customWidth="1"/>
    <col min="8" max="11" width="13.7109375" style="96" customWidth="1"/>
    <col min="12" max="12" width="15.28515625" style="96" customWidth="1"/>
    <col min="13" max="13" width="3.140625" style="96" customWidth="1"/>
    <col min="14" max="14" width="11.5703125" style="96" customWidth="1"/>
    <col min="15" max="15" width="39.42578125" style="96" bestFit="1" customWidth="1"/>
    <col min="16" max="20" width="13.7109375" style="96" customWidth="1"/>
    <col min="21" max="21" width="11.7109375" style="96" customWidth="1"/>
    <col min="22" max="16384" width="9.140625" style="96"/>
  </cols>
  <sheetData>
    <row r="1" spans="1:21" s="1" customFormat="1" ht="12.75" customHeight="1" x14ac:dyDescent="0.2">
      <c r="A1" s="553" t="s">
        <v>822</v>
      </c>
      <c r="B1" s="553"/>
      <c r="C1" s="553"/>
      <c r="D1" s="553"/>
      <c r="E1" s="553"/>
      <c r="F1" s="553"/>
      <c r="G1" s="553"/>
      <c r="H1" s="553"/>
      <c r="I1" s="553"/>
      <c r="J1" s="553"/>
      <c r="K1" s="553"/>
      <c r="L1" s="553"/>
      <c r="M1" s="553"/>
      <c r="N1" s="553"/>
      <c r="O1" s="553"/>
      <c r="P1" s="553"/>
      <c r="Q1" s="553"/>
      <c r="R1" s="553"/>
      <c r="S1" s="553"/>
      <c r="T1" s="553"/>
      <c r="U1" s="553"/>
    </row>
    <row r="2" spans="1:21" s="1" customFormat="1" ht="12.75" customHeight="1" x14ac:dyDescent="0.2">
      <c r="A2" s="553"/>
      <c r="B2" s="553"/>
      <c r="C2" s="553"/>
      <c r="D2" s="553"/>
      <c r="E2" s="553"/>
      <c r="F2" s="553"/>
      <c r="G2" s="553"/>
      <c r="H2" s="553"/>
      <c r="I2" s="553"/>
      <c r="J2" s="553"/>
      <c r="K2" s="553"/>
      <c r="L2" s="553"/>
      <c r="M2" s="553"/>
      <c r="N2" s="553"/>
      <c r="O2" s="553"/>
      <c r="P2" s="553"/>
      <c r="Q2" s="553"/>
      <c r="R2" s="553"/>
      <c r="S2" s="553"/>
      <c r="T2" s="553"/>
      <c r="U2" s="553"/>
    </row>
    <row r="3" spans="1:21" s="1" customFormat="1" ht="12.75" customHeight="1" x14ac:dyDescent="0.2">
      <c r="A3" s="553"/>
      <c r="B3" s="553"/>
      <c r="C3" s="553"/>
      <c r="D3" s="553"/>
      <c r="E3" s="553"/>
      <c r="F3" s="553"/>
      <c r="G3" s="553"/>
      <c r="H3" s="553"/>
      <c r="I3" s="553"/>
      <c r="J3" s="553"/>
      <c r="K3" s="553"/>
      <c r="L3" s="553"/>
      <c r="M3" s="553"/>
      <c r="N3" s="553"/>
      <c r="O3" s="553"/>
      <c r="P3" s="553"/>
      <c r="Q3" s="553"/>
      <c r="R3" s="553"/>
      <c r="S3" s="553"/>
      <c r="T3" s="553"/>
      <c r="U3" s="553"/>
    </row>
    <row r="4" spans="1:21" s="1" customFormat="1" ht="12.75" customHeight="1" x14ac:dyDescent="0.2">
      <c r="A4" s="553"/>
      <c r="B4" s="553"/>
      <c r="C4" s="553"/>
      <c r="D4" s="553"/>
      <c r="E4" s="553"/>
      <c r="F4" s="553"/>
      <c r="G4" s="553"/>
      <c r="H4" s="553"/>
      <c r="I4" s="553"/>
      <c r="J4" s="553"/>
      <c r="K4" s="553"/>
      <c r="L4" s="553"/>
      <c r="M4" s="553"/>
      <c r="N4" s="553"/>
      <c r="O4" s="553"/>
      <c r="P4" s="553"/>
      <c r="Q4" s="553"/>
      <c r="R4" s="553"/>
      <c r="S4" s="553"/>
      <c r="T4" s="553"/>
      <c r="U4" s="553"/>
    </row>
    <row r="5" spans="1:21" ht="13.9" customHeight="1" x14ac:dyDescent="0.2">
      <c r="A5" s="7"/>
      <c r="B5" s="7"/>
      <c r="C5" s="7"/>
      <c r="D5" s="7"/>
      <c r="E5" s="7"/>
      <c r="F5" s="7"/>
      <c r="G5" s="7"/>
      <c r="H5" s="7"/>
      <c r="I5" s="7"/>
      <c r="J5" s="7"/>
      <c r="K5" s="7"/>
      <c r="L5" s="7"/>
      <c r="M5" s="7"/>
      <c r="N5" s="7"/>
      <c r="O5" s="7"/>
      <c r="P5" s="7"/>
      <c r="Q5" s="7"/>
      <c r="R5" s="7"/>
      <c r="S5" s="7"/>
      <c r="T5" s="7"/>
      <c r="U5" s="7"/>
    </row>
    <row r="6" spans="1:21" ht="13.9" customHeight="1" x14ac:dyDescent="0.2">
      <c r="A6" s="7"/>
      <c r="B6" s="6" t="s">
        <v>820</v>
      </c>
      <c r="C6" s="7"/>
      <c r="D6" s="7"/>
      <c r="E6" s="7"/>
      <c r="F6" s="6"/>
      <c r="G6" s="94">
        <f>Main_OrgName</f>
        <v>0</v>
      </c>
      <c r="H6" s="7"/>
      <c r="I6" s="6" t="s">
        <v>1051</v>
      </c>
      <c r="J6" s="7"/>
      <c r="K6" s="7" t="s">
        <v>1015</v>
      </c>
      <c r="L6" s="7"/>
      <c r="M6" s="7"/>
      <c r="N6" s="7" t="s">
        <v>1121</v>
      </c>
      <c r="O6" s="7"/>
      <c r="P6" s="7"/>
      <c r="Q6" s="7" t="s">
        <v>1124</v>
      </c>
      <c r="R6" s="7"/>
      <c r="S6" s="7"/>
      <c r="T6" s="7"/>
      <c r="U6" s="7"/>
    </row>
    <row r="7" spans="1:21" ht="13.9" customHeight="1" x14ac:dyDescent="0.2">
      <c r="A7" s="7"/>
      <c r="B7" s="6" t="s">
        <v>826</v>
      </c>
      <c r="C7" s="7"/>
      <c r="D7" s="7"/>
      <c r="E7" s="7"/>
      <c r="F7" s="6"/>
      <c r="G7" s="7" t="str">
        <f>Main_AuthorityType</f>
        <v>Local Authority</v>
      </c>
      <c r="H7" s="7"/>
      <c r="I7" s="6"/>
      <c r="J7" s="7"/>
      <c r="K7" s="7"/>
      <c r="L7" s="7"/>
      <c r="M7" s="7"/>
      <c r="N7" s="9" t="s">
        <v>1122</v>
      </c>
      <c r="O7" s="6"/>
      <c r="P7" s="7"/>
      <c r="Q7" s="6" t="s">
        <v>1125</v>
      </c>
      <c r="R7" s="7"/>
      <c r="S7" s="7"/>
      <c r="T7" s="7"/>
      <c r="U7" s="7"/>
    </row>
    <row r="8" spans="1:21" ht="13.9" customHeight="1" x14ac:dyDescent="0.2">
      <c r="A8" s="7"/>
      <c r="B8" s="6" t="s">
        <v>827</v>
      </c>
      <c r="C8" s="7"/>
      <c r="D8" s="7"/>
      <c r="E8" s="7"/>
      <c r="F8" s="6"/>
      <c r="G8" s="95">
        <f>SAMP_RUN_DATE</f>
        <v>0</v>
      </c>
      <c r="H8" s="7"/>
      <c r="I8" s="6" t="s">
        <v>825</v>
      </c>
      <c r="J8" s="7"/>
      <c r="K8" s="150">
        <f>y5_TotalBudget</f>
        <v>0</v>
      </c>
      <c r="L8" s="150"/>
      <c r="M8" s="7"/>
      <c r="N8" s="7"/>
      <c r="O8" s="6"/>
      <c r="P8" s="7"/>
      <c r="Q8" s="7"/>
      <c r="R8" s="7"/>
      <c r="S8" s="7"/>
      <c r="T8" s="7"/>
      <c r="U8" s="7"/>
    </row>
    <row r="9" spans="1:21" ht="13.9" customHeight="1" x14ac:dyDescent="0.2">
      <c r="A9" s="7"/>
      <c r="B9" s="7"/>
      <c r="C9" s="7"/>
      <c r="D9" s="7"/>
      <c r="E9" s="7"/>
      <c r="F9" s="7"/>
      <c r="G9" s="7"/>
      <c r="H9" s="7"/>
      <c r="I9" s="6" t="s">
        <v>1021</v>
      </c>
      <c r="J9" s="7"/>
      <c r="K9" s="150" t="e">
        <f ca="1">y5_Expenditure</f>
        <v>#REF!</v>
      </c>
      <c r="L9" s="150"/>
      <c r="M9" s="7"/>
      <c r="N9" s="9" t="s">
        <v>1119</v>
      </c>
      <c r="O9" s="148">
        <f ca="1">Y0!AQ12</f>
        <v>0</v>
      </c>
      <c r="P9" s="7"/>
      <c r="Q9" s="9" t="s">
        <v>1119</v>
      </c>
      <c r="R9" s="148">
        <f ca="1">'Y5'!GH23</f>
        <v>0</v>
      </c>
      <c r="S9" s="7"/>
      <c r="T9" s="7"/>
      <c r="U9" s="7"/>
    </row>
    <row r="10" spans="1:21" ht="13.9" customHeight="1" x14ac:dyDescent="0.2">
      <c r="A10" s="7"/>
      <c r="B10" s="6" t="s">
        <v>818</v>
      </c>
      <c r="C10" s="7"/>
      <c r="D10" s="7"/>
      <c r="E10" s="7"/>
      <c r="F10" s="6"/>
      <c r="G10" s="94">
        <f ca="1">Main_NumberOfStructures</f>
        <v>0</v>
      </c>
      <c r="H10" s="7"/>
      <c r="I10" s="6" t="s">
        <v>1114</v>
      </c>
      <c r="J10" s="7"/>
      <c r="K10" s="150">
        <f ca="1">y5_PlannedMaintenance</f>
        <v>0</v>
      </c>
      <c r="L10" s="150"/>
      <c r="M10" s="7"/>
      <c r="N10" s="9" t="s">
        <v>1120</v>
      </c>
      <c r="O10" s="148">
        <f ca="1">Y0!AQ19</f>
        <v>0</v>
      </c>
      <c r="P10" s="7"/>
      <c r="Q10" s="9" t="s">
        <v>1120</v>
      </c>
      <c r="R10" s="148">
        <f ca="1">'Y5'!GH30</f>
        <v>0</v>
      </c>
      <c r="S10" s="7"/>
      <c r="T10" s="7"/>
      <c r="U10" s="7"/>
    </row>
    <row r="11" spans="1:21" ht="13.9" customHeight="1" x14ac:dyDescent="0.2">
      <c r="A11" s="7"/>
      <c r="B11" s="6" t="s">
        <v>1027</v>
      </c>
      <c r="C11" s="7"/>
      <c r="D11" s="7"/>
      <c r="E11" s="7"/>
      <c r="F11" s="7"/>
      <c r="G11" s="94">
        <f>Main_NumberOfElements</f>
        <v>0</v>
      </c>
      <c r="H11" s="7"/>
      <c r="I11" s="6" t="s">
        <v>1115</v>
      </c>
      <c r="J11" s="7"/>
      <c r="K11" s="150">
        <f>y5_RoutineMaintenance</f>
        <v>0</v>
      </c>
      <c r="L11" s="150"/>
      <c r="M11" s="7"/>
      <c r="N11" s="9" t="s">
        <v>786</v>
      </c>
      <c r="O11" s="149">
        <f ca="1">Y0!AQ31</f>
        <v>0</v>
      </c>
      <c r="P11" s="7"/>
      <c r="Q11" s="9" t="s">
        <v>786</v>
      </c>
      <c r="R11" s="149">
        <f ca="1">'Y5'!GH42</f>
        <v>0</v>
      </c>
      <c r="S11" s="7"/>
      <c r="T11" s="7"/>
      <c r="U11" s="7"/>
    </row>
    <row r="12" spans="1:21" ht="13.9" customHeight="1" x14ac:dyDescent="0.2">
      <c r="A12" s="7"/>
      <c r="B12" s="7"/>
      <c r="C12" s="7"/>
      <c r="D12" s="7"/>
      <c r="E12" s="7"/>
      <c r="F12" s="7"/>
      <c r="G12" s="7"/>
      <c r="H12" s="7"/>
      <c r="I12" s="6" t="s">
        <v>1020</v>
      </c>
      <c r="J12" s="7"/>
      <c r="K12" s="150" t="e">
        <f ca="1">y5_RemainingBudget</f>
        <v>#REF!</v>
      </c>
      <c r="L12" s="150"/>
      <c r="M12" s="7"/>
      <c r="N12" s="7"/>
      <c r="O12" s="7"/>
      <c r="P12" s="7"/>
      <c r="Q12" s="7"/>
      <c r="R12" s="7"/>
      <c r="S12" s="7"/>
      <c r="T12" s="7"/>
      <c r="U12" s="7"/>
    </row>
    <row r="13" spans="1:21" ht="13.9" customHeight="1" x14ac:dyDescent="0.2">
      <c r="A13" s="7"/>
      <c r="B13" s="7"/>
      <c r="C13" s="7"/>
      <c r="D13" s="7"/>
      <c r="E13" s="7"/>
      <c r="F13" s="7"/>
      <c r="G13" s="7"/>
      <c r="H13" s="7"/>
      <c r="I13" s="7"/>
      <c r="J13" s="6"/>
      <c r="K13" s="7"/>
      <c r="L13" s="566"/>
      <c r="M13" s="566"/>
      <c r="N13" s="7"/>
      <c r="O13" s="7"/>
      <c r="P13" s="7"/>
      <c r="Q13" s="7"/>
      <c r="R13" s="7"/>
      <c r="S13" s="7"/>
      <c r="T13" s="7"/>
      <c r="U13" s="7"/>
    </row>
    <row r="15" spans="1:21" ht="13.9" customHeight="1" x14ac:dyDescent="0.2">
      <c r="A15" s="552" t="s">
        <v>1053</v>
      </c>
      <c r="B15" s="552"/>
      <c r="C15" s="552"/>
      <c r="D15" s="552"/>
      <c r="E15" s="552"/>
      <c r="F15" s="552"/>
      <c r="G15" s="552"/>
      <c r="H15" s="552"/>
      <c r="I15" s="552"/>
      <c r="J15" s="552"/>
      <c r="K15" s="552"/>
      <c r="L15" s="552"/>
      <c r="N15" s="552" t="s">
        <v>1054</v>
      </c>
      <c r="O15" s="552"/>
      <c r="P15" s="552"/>
      <c r="Q15" s="552"/>
      <c r="R15" s="552"/>
      <c r="S15" s="552"/>
      <c r="T15" s="552"/>
      <c r="U15" s="552"/>
    </row>
    <row r="16" spans="1:21" ht="13.9" customHeight="1" x14ac:dyDescent="0.2">
      <c r="A16" s="552"/>
      <c r="B16" s="552"/>
      <c r="C16" s="552"/>
      <c r="D16" s="552"/>
      <c r="E16" s="552"/>
      <c r="F16" s="552"/>
      <c r="G16" s="552"/>
      <c r="H16" s="552"/>
      <c r="I16" s="552"/>
      <c r="J16" s="552"/>
      <c r="K16" s="552"/>
      <c r="L16" s="552"/>
      <c r="N16" s="552"/>
      <c r="O16" s="552"/>
      <c r="P16" s="552"/>
      <c r="Q16" s="552"/>
      <c r="R16" s="552"/>
      <c r="S16" s="552"/>
      <c r="T16" s="552"/>
      <c r="U16" s="552"/>
    </row>
    <row r="17" spans="1:21" x14ac:dyDescent="0.2">
      <c r="A17" s="6"/>
      <c r="B17" s="6"/>
      <c r="C17" s="6"/>
      <c r="D17" s="6"/>
      <c r="E17" s="6"/>
      <c r="F17" s="6"/>
      <c r="G17" s="6"/>
      <c r="H17" s="6"/>
      <c r="I17" s="6"/>
      <c r="J17" s="6"/>
      <c r="K17" s="6"/>
      <c r="L17" s="6"/>
      <c r="N17" s="6"/>
      <c r="O17" s="6"/>
      <c r="P17" s="6"/>
      <c r="Q17" s="6"/>
      <c r="R17" s="6"/>
      <c r="S17" s="6"/>
      <c r="T17" s="6"/>
      <c r="U17" s="6"/>
    </row>
    <row r="18" spans="1:21" x14ac:dyDescent="0.2">
      <c r="A18" s="6"/>
      <c r="B18" s="6"/>
      <c r="C18" s="6"/>
      <c r="D18" s="6"/>
      <c r="E18" s="6"/>
      <c r="F18" s="6"/>
      <c r="G18" s="6"/>
      <c r="H18" s="6"/>
      <c r="I18" s="6"/>
      <c r="J18" s="6"/>
      <c r="K18" s="6"/>
      <c r="L18" s="6"/>
      <c r="N18" s="6"/>
      <c r="O18" s="6"/>
      <c r="P18" s="6"/>
      <c r="Q18" s="6"/>
      <c r="R18" s="6"/>
      <c r="S18" s="6"/>
      <c r="T18" s="6"/>
      <c r="U18" s="6"/>
    </row>
    <row r="19" spans="1:21" x14ac:dyDescent="0.2">
      <c r="A19" s="6"/>
      <c r="B19" s="6"/>
      <c r="C19" s="6"/>
      <c r="D19" s="6"/>
      <c r="E19" s="6"/>
      <c r="F19" s="6"/>
      <c r="G19" s="6"/>
      <c r="H19" s="6"/>
      <c r="I19" s="6"/>
      <c r="J19" s="6"/>
      <c r="K19" s="6"/>
      <c r="L19" s="6"/>
      <c r="N19" s="6"/>
      <c r="O19" s="6"/>
      <c r="P19" s="6"/>
      <c r="Q19" s="6"/>
      <c r="R19" s="6"/>
      <c r="S19" s="6"/>
      <c r="T19" s="6"/>
      <c r="U19" s="6"/>
    </row>
    <row r="20" spans="1:21" x14ac:dyDescent="0.2">
      <c r="A20" s="6"/>
      <c r="B20" s="6"/>
      <c r="C20" s="6"/>
      <c r="D20" s="6"/>
      <c r="E20" s="6"/>
      <c r="F20" s="6"/>
      <c r="G20" s="6"/>
      <c r="H20" s="6"/>
      <c r="I20" s="6"/>
      <c r="J20" s="6"/>
      <c r="K20" s="6"/>
      <c r="L20" s="6"/>
      <c r="N20" s="6"/>
      <c r="O20" s="6"/>
      <c r="P20" s="6"/>
      <c r="Q20" s="6"/>
      <c r="R20" s="6"/>
      <c r="S20" s="6"/>
      <c r="T20" s="6"/>
      <c r="U20" s="6"/>
    </row>
    <row r="21" spans="1:21" x14ac:dyDescent="0.2">
      <c r="A21" s="6"/>
      <c r="B21" s="6"/>
      <c r="C21" s="6"/>
      <c r="D21" s="6"/>
      <c r="E21" s="6"/>
      <c r="F21" s="6"/>
      <c r="G21" s="6"/>
      <c r="H21" s="6"/>
      <c r="I21" s="6"/>
      <c r="J21" s="6"/>
      <c r="K21" s="6"/>
      <c r="L21" s="6"/>
      <c r="N21" s="6"/>
      <c r="O21" s="6"/>
      <c r="P21" s="6"/>
      <c r="Q21" s="6"/>
      <c r="R21" s="6"/>
      <c r="S21" s="6"/>
      <c r="T21" s="6"/>
      <c r="U21" s="6"/>
    </row>
    <row r="22" spans="1:21" x14ac:dyDescent="0.2">
      <c r="A22" s="6"/>
      <c r="B22" s="6"/>
      <c r="C22" s="6"/>
      <c r="D22" s="6"/>
      <c r="E22" s="6"/>
      <c r="F22" s="6"/>
      <c r="G22" s="6"/>
      <c r="H22" s="6"/>
      <c r="I22" s="6"/>
      <c r="J22" s="6"/>
      <c r="K22" s="6"/>
      <c r="L22" s="6"/>
      <c r="N22" s="6"/>
      <c r="O22" s="6"/>
      <c r="P22" s="6"/>
      <c r="Q22" s="6"/>
      <c r="R22" s="6"/>
      <c r="S22" s="6"/>
      <c r="T22" s="6"/>
      <c r="U22" s="6"/>
    </row>
    <row r="23" spans="1:21" x14ac:dyDescent="0.2">
      <c r="A23" s="6"/>
      <c r="B23" s="6"/>
      <c r="C23" s="6"/>
      <c r="D23" s="6"/>
      <c r="E23" s="6"/>
      <c r="F23" s="6"/>
      <c r="G23" s="6"/>
      <c r="H23" s="6"/>
      <c r="I23" s="6"/>
      <c r="J23" s="6"/>
      <c r="K23" s="6"/>
      <c r="L23" s="6"/>
      <c r="N23" s="6"/>
      <c r="O23" s="6"/>
      <c r="P23" s="6"/>
      <c r="Q23" s="6"/>
      <c r="R23" s="6"/>
      <c r="S23" s="6"/>
      <c r="T23" s="6"/>
      <c r="U23" s="6"/>
    </row>
    <row r="24" spans="1:21" x14ac:dyDescent="0.2">
      <c r="A24" s="6"/>
      <c r="B24" s="6"/>
      <c r="C24" s="6"/>
      <c r="D24" s="6"/>
      <c r="E24" s="6"/>
      <c r="F24" s="6"/>
      <c r="G24" s="6"/>
      <c r="H24" s="6"/>
      <c r="I24" s="6"/>
      <c r="J24" s="6"/>
      <c r="K24" s="6"/>
      <c r="L24" s="6"/>
      <c r="N24" s="6"/>
      <c r="O24" s="6"/>
      <c r="P24" s="6"/>
      <c r="Q24" s="6"/>
      <c r="R24" s="6"/>
      <c r="S24" s="6"/>
      <c r="T24" s="6"/>
      <c r="U24" s="6"/>
    </row>
    <row r="25" spans="1:21" x14ac:dyDescent="0.2">
      <c r="A25" s="6"/>
      <c r="B25" s="6"/>
      <c r="C25" s="6"/>
      <c r="D25" s="6"/>
      <c r="E25" s="6"/>
      <c r="F25" s="6"/>
      <c r="G25" s="6"/>
      <c r="H25" s="6"/>
      <c r="I25" s="6"/>
      <c r="J25" s="6"/>
      <c r="K25" s="6"/>
      <c r="L25" s="6"/>
      <c r="N25" s="6"/>
      <c r="O25" s="6"/>
      <c r="P25" s="6"/>
      <c r="Q25" s="6"/>
      <c r="R25" s="6"/>
      <c r="S25" s="6"/>
      <c r="T25" s="6"/>
      <c r="U25" s="6"/>
    </row>
    <row r="26" spans="1:21" x14ac:dyDescent="0.2">
      <c r="A26" s="6"/>
      <c r="B26" s="6"/>
      <c r="C26" s="6"/>
      <c r="D26" s="6"/>
      <c r="E26" s="6"/>
      <c r="F26" s="6"/>
      <c r="G26" s="6"/>
      <c r="H26" s="6"/>
      <c r="I26" s="6"/>
      <c r="J26" s="6"/>
      <c r="K26" s="6"/>
      <c r="L26" s="6"/>
      <c r="N26" s="6"/>
      <c r="O26" s="6"/>
      <c r="P26" s="6"/>
      <c r="Q26" s="6"/>
      <c r="R26" s="6"/>
      <c r="S26" s="6"/>
      <c r="T26" s="6"/>
      <c r="U26" s="6"/>
    </row>
    <row r="27" spans="1:21" x14ac:dyDescent="0.2">
      <c r="A27" s="6"/>
      <c r="B27" s="6"/>
      <c r="C27" s="6"/>
      <c r="D27" s="6"/>
      <c r="E27" s="6"/>
      <c r="F27" s="6"/>
      <c r="G27" s="6"/>
      <c r="H27" s="6"/>
      <c r="I27" s="6"/>
      <c r="J27" s="6"/>
      <c r="K27" s="6"/>
      <c r="L27" s="6"/>
      <c r="N27" s="6"/>
      <c r="O27" s="6"/>
      <c r="P27" s="6"/>
      <c r="Q27" s="6"/>
      <c r="R27" s="6"/>
      <c r="S27" s="6"/>
      <c r="T27" s="6"/>
      <c r="U27" s="6"/>
    </row>
    <row r="28" spans="1:21" x14ac:dyDescent="0.2">
      <c r="A28" s="6"/>
      <c r="B28" s="6"/>
      <c r="C28" s="6"/>
      <c r="D28" s="6"/>
      <c r="E28" s="6"/>
      <c r="F28" s="6"/>
      <c r="G28" s="6"/>
      <c r="H28" s="6"/>
      <c r="I28" s="6"/>
      <c r="J28" s="6"/>
      <c r="K28" s="6"/>
      <c r="L28" s="6"/>
      <c r="N28" s="6"/>
      <c r="O28" s="6"/>
      <c r="P28" s="6"/>
      <c r="Q28" s="6"/>
      <c r="R28" s="6"/>
      <c r="S28" s="6"/>
      <c r="T28" s="6"/>
      <c r="U28" s="6"/>
    </row>
    <row r="29" spans="1:21" x14ac:dyDescent="0.2">
      <c r="A29" s="6"/>
      <c r="B29" s="6"/>
      <c r="C29" s="6"/>
      <c r="D29" s="6"/>
      <c r="E29" s="6"/>
      <c r="F29" s="6"/>
      <c r="G29" s="6"/>
      <c r="H29" s="6"/>
      <c r="I29" s="6"/>
      <c r="J29" s="6"/>
      <c r="K29" s="6"/>
      <c r="L29" s="6"/>
      <c r="N29" s="6"/>
      <c r="O29" s="6"/>
      <c r="P29" s="6"/>
      <c r="Q29" s="6"/>
      <c r="R29" s="6"/>
      <c r="S29" s="6"/>
      <c r="T29" s="6"/>
      <c r="U29" s="6"/>
    </row>
    <row r="30" spans="1:21" x14ac:dyDescent="0.2">
      <c r="A30" s="6"/>
      <c r="B30" s="6"/>
      <c r="C30" s="6"/>
      <c r="D30" s="6"/>
      <c r="E30" s="6"/>
      <c r="F30" s="6"/>
      <c r="G30" s="6"/>
      <c r="H30" s="6"/>
      <c r="I30" s="6"/>
      <c r="J30" s="6"/>
      <c r="K30" s="6"/>
      <c r="L30" s="6"/>
      <c r="N30" s="6"/>
      <c r="O30" s="6"/>
      <c r="P30" s="6"/>
      <c r="Q30" s="6"/>
      <c r="R30" s="6"/>
      <c r="S30" s="6"/>
      <c r="T30" s="6"/>
      <c r="U30" s="6"/>
    </row>
    <row r="31" spans="1:21" x14ac:dyDescent="0.2">
      <c r="A31" s="6"/>
      <c r="B31" s="6"/>
      <c r="C31" s="6"/>
      <c r="D31" s="6"/>
      <c r="E31" s="6"/>
      <c r="F31" s="6"/>
      <c r="G31" s="6"/>
      <c r="H31" s="6"/>
      <c r="I31" s="6"/>
      <c r="J31" s="6"/>
      <c r="K31" s="6"/>
      <c r="L31" s="6"/>
      <c r="N31" s="6"/>
      <c r="O31" s="6"/>
      <c r="P31" s="6"/>
      <c r="Q31" s="6"/>
      <c r="R31" s="6"/>
      <c r="S31" s="6"/>
      <c r="T31" s="6"/>
      <c r="U31" s="6"/>
    </row>
    <row r="32" spans="1:21" x14ac:dyDescent="0.2">
      <c r="A32" s="6"/>
      <c r="B32" s="6"/>
      <c r="C32" s="6"/>
      <c r="D32" s="6"/>
      <c r="E32" s="6"/>
      <c r="F32" s="6"/>
      <c r="G32" s="6"/>
      <c r="H32" s="6"/>
      <c r="I32" s="6"/>
      <c r="J32" s="6"/>
      <c r="K32" s="6"/>
      <c r="L32" s="6"/>
      <c r="N32" s="6"/>
      <c r="O32" s="6"/>
      <c r="P32" s="6"/>
      <c r="Q32" s="6"/>
      <c r="R32" s="6"/>
      <c r="S32" s="6"/>
      <c r="T32" s="6"/>
      <c r="U32" s="6"/>
    </row>
    <row r="33" spans="1:21" x14ac:dyDescent="0.2">
      <c r="A33" s="6"/>
      <c r="B33" s="6"/>
      <c r="C33" s="6"/>
      <c r="D33" s="6"/>
      <c r="E33" s="6"/>
      <c r="F33" s="6"/>
      <c r="G33" s="6"/>
      <c r="H33" s="6"/>
      <c r="I33" s="6"/>
      <c r="J33" s="6"/>
      <c r="K33" s="6"/>
      <c r="L33" s="6"/>
      <c r="N33" s="6"/>
      <c r="O33" s="6"/>
      <c r="P33" s="6"/>
      <c r="Q33" s="6"/>
      <c r="R33" s="6"/>
      <c r="S33" s="6"/>
      <c r="T33" s="6"/>
      <c r="U33" s="6"/>
    </row>
    <row r="34" spans="1:21" x14ac:dyDescent="0.2">
      <c r="A34" s="6"/>
      <c r="B34" s="6"/>
      <c r="C34" s="6"/>
      <c r="D34" s="6"/>
      <c r="E34" s="6"/>
      <c r="F34" s="6"/>
      <c r="G34" s="6"/>
      <c r="H34" s="6"/>
      <c r="I34" s="6"/>
      <c r="J34" s="6"/>
      <c r="K34" s="6"/>
      <c r="L34" s="6"/>
      <c r="N34" s="6"/>
      <c r="O34" s="6"/>
      <c r="P34" s="6"/>
      <c r="Q34" s="6"/>
      <c r="R34" s="6"/>
      <c r="S34" s="6"/>
      <c r="T34" s="6"/>
      <c r="U34" s="6"/>
    </row>
    <row r="35" spans="1:21" x14ac:dyDescent="0.2">
      <c r="A35" s="6"/>
      <c r="B35" s="6"/>
      <c r="C35" s="6"/>
      <c r="D35" s="6"/>
      <c r="E35" s="6"/>
      <c r="F35" s="6"/>
      <c r="G35" s="6"/>
      <c r="H35" s="6"/>
      <c r="I35" s="6"/>
      <c r="J35" s="6"/>
      <c r="K35" s="6"/>
      <c r="L35" s="6"/>
      <c r="N35" s="6"/>
      <c r="O35" s="6"/>
      <c r="P35" s="6"/>
      <c r="Q35" s="6"/>
      <c r="R35" s="6"/>
      <c r="S35" s="6"/>
      <c r="T35" s="6"/>
      <c r="U35" s="6"/>
    </row>
    <row r="36" spans="1:21" x14ac:dyDescent="0.2">
      <c r="A36" s="6"/>
      <c r="B36" s="6"/>
      <c r="C36" s="6"/>
      <c r="D36" s="6"/>
      <c r="E36" s="6"/>
      <c r="F36" s="6"/>
      <c r="G36" s="6"/>
      <c r="H36" s="6"/>
      <c r="I36" s="6"/>
      <c r="J36" s="6"/>
      <c r="K36" s="6"/>
      <c r="L36" s="6"/>
      <c r="N36" s="6"/>
      <c r="O36" s="6"/>
      <c r="P36" s="6"/>
      <c r="Q36" s="6"/>
      <c r="R36" s="6"/>
      <c r="S36" s="6"/>
      <c r="T36" s="6"/>
      <c r="U36" s="6"/>
    </row>
    <row r="37" spans="1:21" x14ac:dyDescent="0.2">
      <c r="A37" s="6"/>
      <c r="B37" s="6"/>
      <c r="C37" s="6"/>
      <c r="D37" s="6"/>
      <c r="E37" s="6"/>
      <c r="F37" s="6"/>
      <c r="G37" s="6"/>
      <c r="H37" s="6"/>
      <c r="I37" s="6"/>
      <c r="J37" s="6"/>
      <c r="K37" s="6"/>
      <c r="L37" s="6"/>
      <c r="N37" s="6"/>
      <c r="O37" s="6"/>
      <c r="P37" s="6"/>
      <c r="Q37" s="6"/>
      <c r="R37" s="6"/>
      <c r="S37" s="6"/>
      <c r="T37" s="6"/>
      <c r="U37" s="6"/>
    </row>
    <row r="38" spans="1:21" x14ac:dyDescent="0.2">
      <c r="A38" s="6"/>
      <c r="B38" s="6"/>
      <c r="C38" s="6"/>
      <c r="D38" s="6"/>
      <c r="E38" s="6"/>
      <c r="F38" s="6"/>
      <c r="G38" s="6"/>
      <c r="H38" s="6"/>
      <c r="I38" s="6"/>
      <c r="J38" s="6"/>
      <c r="K38" s="6"/>
      <c r="L38" s="6"/>
      <c r="N38" s="97"/>
      <c r="O38" s="97"/>
      <c r="P38" s="97"/>
      <c r="Q38" s="97"/>
      <c r="R38" s="97"/>
      <c r="S38" s="97"/>
      <c r="T38" s="97"/>
      <c r="U38" s="97"/>
    </row>
    <row r="39" spans="1:21" x14ac:dyDescent="0.2">
      <c r="A39" s="6"/>
      <c r="B39" s="6"/>
      <c r="C39" s="6"/>
      <c r="D39" s="6"/>
      <c r="E39" s="6"/>
      <c r="F39" s="6"/>
      <c r="G39" s="6"/>
      <c r="H39" s="6"/>
      <c r="I39" s="6"/>
      <c r="J39" s="6"/>
      <c r="K39" s="6"/>
      <c r="L39" s="6"/>
      <c r="N39" s="97"/>
      <c r="O39" s="97"/>
      <c r="P39" s="97"/>
      <c r="Q39" s="97"/>
      <c r="R39" s="97"/>
      <c r="S39" s="97"/>
      <c r="T39" s="97"/>
      <c r="U39" s="97"/>
    </row>
    <row r="40" spans="1:21" ht="14.45" customHeight="1" x14ac:dyDescent="0.2">
      <c r="A40" s="6"/>
      <c r="B40" s="6"/>
      <c r="C40" s="6"/>
      <c r="D40" s="6"/>
      <c r="E40" s="100"/>
      <c r="F40" s="100"/>
      <c r="G40" s="100"/>
      <c r="H40" s="100"/>
      <c r="I40" s="6"/>
      <c r="J40" s="6"/>
      <c r="K40" s="6"/>
      <c r="L40" s="6"/>
      <c r="N40" s="97"/>
      <c r="O40" s="97"/>
      <c r="P40" s="100"/>
      <c r="Q40" s="100"/>
      <c r="R40" s="97"/>
      <c r="S40" s="97"/>
      <c r="T40" s="97"/>
      <c r="U40" s="97"/>
    </row>
    <row r="41" spans="1:21" ht="14.45" customHeight="1" x14ac:dyDescent="0.2">
      <c r="A41" s="6"/>
      <c r="B41" s="6"/>
      <c r="C41" s="6"/>
      <c r="D41" s="100"/>
      <c r="E41" s="100"/>
      <c r="F41" s="100"/>
      <c r="G41" s="100"/>
      <c r="H41" s="100"/>
      <c r="I41" s="6"/>
      <c r="J41" s="6"/>
      <c r="K41" s="6"/>
      <c r="L41" s="6"/>
      <c r="N41" s="97"/>
      <c r="O41" s="100"/>
      <c r="P41" s="100"/>
      <c r="Q41" s="100"/>
      <c r="R41" s="97"/>
      <c r="S41" s="97"/>
      <c r="T41" s="97"/>
      <c r="U41" s="97"/>
    </row>
    <row r="42" spans="1:21" ht="14.45" customHeight="1" x14ac:dyDescent="0.2">
      <c r="A42" s="6"/>
      <c r="B42" s="6"/>
      <c r="C42" s="6"/>
      <c r="D42" s="100"/>
      <c r="E42" s="100"/>
      <c r="F42" s="100"/>
      <c r="G42" s="100"/>
      <c r="H42" s="100"/>
      <c r="I42" s="101" t="s">
        <v>830</v>
      </c>
      <c r="J42" s="6"/>
      <c r="K42" s="6"/>
      <c r="L42" s="6"/>
      <c r="N42" s="97"/>
      <c r="O42" s="97"/>
      <c r="P42" s="100"/>
      <c r="Q42" s="100"/>
      <c r="R42" s="101" t="s">
        <v>829</v>
      </c>
      <c r="S42" s="97"/>
      <c r="T42" s="97"/>
      <c r="U42" s="97"/>
    </row>
    <row r="43" spans="1:21" x14ac:dyDescent="0.2">
      <c r="A43" s="6"/>
      <c r="B43" s="6"/>
      <c r="C43" s="6"/>
      <c r="D43" s="6"/>
      <c r="E43" s="6"/>
      <c r="F43" s="6"/>
      <c r="G43" s="6"/>
      <c r="H43" s="6"/>
      <c r="I43" s="6"/>
      <c r="J43" s="6"/>
      <c r="K43" s="6"/>
      <c r="L43" s="6"/>
      <c r="N43" s="97"/>
      <c r="O43" s="97"/>
      <c r="P43" s="97"/>
      <c r="Q43" s="97"/>
      <c r="R43" s="97"/>
      <c r="S43" s="97"/>
      <c r="T43" s="97"/>
      <c r="U43" s="97"/>
    </row>
    <row r="44" spans="1:21" x14ac:dyDescent="0.2">
      <c r="A44" s="6"/>
      <c r="B44" s="6"/>
      <c r="C44" s="6"/>
      <c r="D44" s="6"/>
      <c r="E44" s="6"/>
      <c r="F44" s="6"/>
      <c r="G44" s="6"/>
      <c r="H44" s="6"/>
      <c r="I44" s="6"/>
      <c r="J44" s="6"/>
      <c r="K44" s="6"/>
      <c r="L44" s="6"/>
      <c r="N44" s="97"/>
      <c r="O44" s="97"/>
      <c r="P44" s="97"/>
      <c r="Q44" s="97"/>
      <c r="R44" s="97"/>
      <c r="S44" s="97"/>
      <c r="T44" s="97"/>
      <c r="U44" s="97"/>
    </row>
    <row r="45" spans="1:21" x14ac:dyDescent="0.2">
      <c r="A45" s="1"/>
      <c r="B45" s="1"/>
      <c r="C45" s="1"/>
      <c r="D45" s="1"/>
      <c r="E45" s="1"/>
      <c r="F45" s="1"/>
      <c r="G45" s="1"/>
      <c r="H45" s="1"/>
      <c r="I45" s="1"/>
      <c r="J45" s="1"/>
      <c r="K45" s="1"/>
      <c r="L45" s="1"/>
    </row>
    <row r="46" spans="1:21" ht="13.9" customHeight="1" x14ac:dyDescent="0.2">
      <c r="A46" s="552" t="s">
        <v>1055</v>
      </c>
      <c r="B46" s="552"/>
      <c r="C46" s="552"/>
      <c r="D46" s="552"/>
      <c r="E46" s="552"/>
      <c r="F46" s="552"/>
      <c r="G46" s="552"/>
      <c r="H46" s="552"/>
      <c r="I46" s="552"/>
      <c r="J46" s="552"/>
      <c r="K46" s="552"/>
      <c r="L46" s="552"/>
      <c r="N46" s="552" t="s">
        <v>1056</v>
      </c>
      <c r="O46" s="552"/>
      <c r="P46" s="552"/>
      <c r="Q46" s="552"/>
      <c r="R46" s="552"/>
      <c r="S46" s="552"/>
      <c r="T46" s="552"/>
      <c r="U46" s="552"/>
    </row>
    <row r="47" spans="1:21" ht="13.9" customHeight="1" x14ac:dyDescent="0.2">
      <c r="A47" s="552"/>
      <c r="B47" s="552"/>
      <c r="C47" s="552"/>
      <c r="D47" s="552"/>
      <c r="E47" s="552"/>
      <c r="F47" s="552"/>
      <c r="G47" s="552"/>
      <c r="H47" s="552"/>
      <c r="I47" s="552"/>
      <c r="J47" s="552"/>
      <c r="K47" s="552"/>
      <c r="L47" s="552"/>
      <c r="N47" s="552"/>
      <c r="O47" s="552"/>
      <c r="P47" s="552"/>
      <c r="Q47" s="552"/>
      <c r="R47" s="552"/>
      <c r="S47" s="552"/>
      <c r="T47" s="552"/>
      <c r="U47" s="552"/>
    </row>
    <row r="48" spans="1:21" x14ac:dyDescent="0.2">
      <c r="A48" s="565" t="s">
        <v>1145</v>
      </c>
      <c r="B48" s="565"/>
      <c r="C48" s="565"/>
      <c r="D48" s="565"/>
      <c r="E48" s="565"/>
      <c r="F48" s="565"/>
      <c r="G48" s="565"/>
      <c r="H48" s="565"/>
      <c r="I48" s="565"/>
      <c r="J48" s="565"/>
      <c r="K48" s="565"/>
      <c r="L48" s="565"/>
      <c r="M48" s="565"/>
      <c r="N48" s="565"/>
      <c r="O48" s="565"/>
      <c r="P48" s="565"/>
      <c r="Q48" s="565"/>
      <c r="R48" s="565"/>
      <c r="S48" s="565"/>
      <c r="T48" s="565"/>
      <c r="U48" s="565"/>
    </row>
    <row r="50" spans="7:20" x14ac:dyDescent="0.2">
      <c r="G50" s="465"/>
      <c r="H50" s="465" t="s">
        <v>809</v>
      </c>
      <c r="I50" s="465"/>
      <c r="J50" s="465"/>
      <c r="K50" s="465"/>
      <c r="O50" s="465"/>
      <c r="P50" s="465" t="s">
        <v>809</v>
      </c>
      <c r="Q50" s="465"/>
      <c r="R50" s="465"/>
      <c r="S50" s="465"/>
      <c r="T50" s="465"/>
    </row>
    <row r="51" spans="7:20" x14ac:dyDescent="0.2">
      <c r="G51" s="465" t="s">
        <v>585</v>
      </c>
      <c r="H51" s="465" t="s">
        <v>887</v>
      </c>
      <c r="I51" s="465" t="s">
        <v>1126</v>
      </c>
      <c r="J51" s="465" t="s">
        <v>885</v>
      </c>
      <c r="K51" s="465" t="s">
        <v>886</v>
      </c>
      <c r="O51" s="465" t="s">
        <v>808</v>
      </c>
      <c r="P51" s="465" t="s">
        <v>887</v>
      </c>
      <c r="Q51" s="465" t="s">
        <v>1127</v>
      </c>
      <c r="R51" s="465" t="s">
        <v>1123</v>
      </c>
      <c r="S51" s="465" t="s">
        <v>1022</v>
      </c>
      <c r="T51" s="465" t="s">
        <v>889</v>
      </c>
    </row>
    <row r="52" spans="7:20" x14ac:dyDescent="0.2">
      <c r="G52" s="465" t="s">
        <v>5947</v>
      </c>
      <c r="H52" s="467"/>
      <c r="I52" s="467"/>
      <c r="J52" s="467"/>
      <c r="K52" s="467"/>
      <c r="O52" s="465" t="s">
        <v>5947</v>
      </c>
      <c r="P52" s="467"/>
      <c r="Q52" s="467"/>
      <c r="R52" s="467"/>
      <c r="S52" s="467"/>
      <c r="T52" s="466"/>
    </row>
    <row r="53" spans="7:20" ht="15" x14ac:dyDescent="0.25">
      <c r="G53"/>
      <c r="H53"/>
      <c r="I53"/>
      <c r="J53"/>
      <c r="K53"/>
      <c r="O53"/>
      <c r="P53"/>
      <c r="Q53"/>
      <c r="R53"/>
      <c r="S53"/>
      <c r="T53"/>
    </row>
    <row r="54" spans="7:20" ht="15" x14ac:dyDescent="0.25">
      <c r="G54"/>
      <c r="H54"/>
      <c r="I54"/>
      <c r="J54"/>
      <c r="K54"/>
      <c r="O54"/>
      <c r="P54"/>
      <c r="Q54"/>
      <c r="R54"/>
      <c r="S54"/>
      <c r="T54"/>
    </row>
    <row r="55" spans="7:20" ht="15" x14ac:dyDescent="0.25">
      <c r="G55"/>
      <c r="H55"/>
      <c r="I55"/>
      <c r="J55"/>
      <c r="K55"/>
      <c r="O55"/>
      <c r="P55"/>
      <c r="Q55"/>
      <c r="R55"/>
      <c r="S55"/>
      <c r="T55"/>
    </row>
    <row r="56" spans="7:20" ht="15" x14ac:dyDescent="0.25">
      <c r="G56"/>
      <c r="H56"/>
      <c r="I56"/>
      <c r="J56"/>
      <c r="K56"/>
      <c r="O56"/>
      <c r="P56"/>
      <c r="Q56"/>
      <c r="R56"/>
      <c r="S56"/>
      <c r="T56"/>
    </row>
    <row r="57" spans="7:20" ht="15" x14ac:dyDescent="0.25">
      <c r="G57"/>
      <c r="H57"/>
      <c r="I57"/>
      <c r="J57"/>
      <c r="K57"/>
      <c r="O57"/>
      <c r="P57"/>
      <c r="Q57"/>
      <c r="R57"/>
      <c r="S57"/>
      <c r="T57"/>
    </row>
    <row r="58" spans="7:20" ht="15" x14ac:dyDescent="0.25">
      <c r="G58"/>
      <c r="H58"/>
      <c r="I58"/>
      <c r="J58"/>
      <c r="K58"/>
      <c r="O58"/>
      <c r="P58"/>
      <c r="Q58"/>
      <c r="R58"/>
      <c r="S58"/>
      <c r="T58"/>
    </row>
    <row r="59" spans="7:20" ht="15" x14ac:dyDescent="0.25">
      <c r="G59"/>
      <c r="H59"/>
      <c r="I59"/>
      <c r="J59"/>
      <c r="K59"/>
      <c r="O59"/>
      <c r="P59"/>
      <c r="Q59"/>
      <c r="R59"/>
      <c r="S59"/>
      <c r="T59"/>
    </row>
    <row r="60" spans="7:20" ht="15" x14ac:dyDescent="0.25">
      <c r="G60"/>
      <c r="H60"/>
      <c r="I60"/>
      <c r="J60"/>
      <c r="K60"/>
      <c r="O60"/>
      <c r="P60"/>
      <c r="Q60"/>
      <c r="R60"/>
      <c r="S60"/>
      <c r="T60"/>
    </row>
    <row r="61" spans="7:20" ht="15" x14ac:dyDescent="0.25">
      <c r="G61"/>
      <c r="H61"/>
      <c r="I61"/>
      <c r="J61"/>
      <c r="K61"/>
      <c r="O61"/>
      <c r="P61"/>
      <c r="Q61"/>
      <c r="R61"/>
      <c r="S61"/>
      <c r="T61"/>
    </row>
    <row r="62" spans="7:20" ht="15" x14ac:dyDescent="0.25">
      <c r="G62"/>
      <c r="H62"/>
      <c r="I62"/>
      <c r="J62"/>
      <c r="K62"/>
      <c r="O62"/>
      <c r="P62"/>
      <c r="Q62"/>
      <c r="R62"/>
      <c r="S62"/>
      <c r="T62"/>
    </row>
    <row r="63" spans="7:20" ht="15" x14ac:dyDescent="0.25">
      <c r="G63"/>
      <c r="H63"/>
      <c r="I63"/>
      <c r="J63"/>
      <c r="K63"/>
      <c r="O63"/>
      <c r="P63"/>
      <c r="Q63"/>
      <c r="R63"/>
      <c r="S63"/>
      <c r="T63"/>
    </row>
    <row r="64" spans="7:20" ht="15" x14ac:dyDescent="0.25">
      <c r="G64"/>
      <c r="H64"/>
      <c r="I64"/>
      <c r="J64"/>
      <c r="K64"/>
      <c r="O64"/>
      <c r="P64"/>
      <c r="Q64"/>
      <c r="R64"/>
      <c r="S64"/>
      <c r="T64"/>
    </row>
    <row r="65" spans="7:20" ht="15" x14ac:dyDescent="0.25">
      <c r="G65"/>
      <c r="H65"/>
      <c r="I65"/>
      <c r="J65"/>
      <c r="K65"/>
      <c r="O65"/>
      <c r="P65"/>
      <c r="Q65"/>
      <c r="R65"/>
      <c r="S65"/>
      <c r="T65"/>
    </row>
    <row r="66" spans="7:20" ht="15" x14ac:dyDescent="0.25">
      <c r="G66"/>
      <c r="H66"/>
      <c r="I66"/>
      <c r="J66"/>
      <c r="K66"/>
      <c r="O66"/>
      <c r="P66"/>
      <c r="Q66"/>
      <c r="R66"/>
      <c r="S66"/>
      <c r="T66"/>
    </row>
    <row r="67" spans="7:20" ht="15" x14ac:dyDescent="0.25">
      <c r="G67"/>
      <c r="H67"/>
      <c r="I67"/>
      <c r="J67"/>
      <c r="K67"/>
      <c r="O67"/>
      <c r="P67"/>
      <c r="Q67"/>
      <c r="R67"/>
      <c r="S67"/>
      <c r="T67"/>
    </row>
    <row r="68" spans="7:20" ht="15" x14ac:dyDescent="0.25">
      <c r="G68"/>
      <c r="H68"/>
      <c r="I68"/>
      <c r="J68"/>
      <c r="K68"/>
      <c r="O68"/>
      <c r="P68"/>
      <c r="Q68"/>
      <c r="R68"/>
      <c r="S68"/>
      <c r="T68"/>
    </row>
    <row r="69" spans="7:20" ht="15" x14ac:dyDescent="0.25">
      <c r="G69"/>
      <c r="H69"/>
      <c r="I69"/>
      <c r="J69"/>
      <c r="K69"/>
      <c r="O69"/>
      <c r="P69"/>
      <c r="Q69"/>
      <c r="R69"/>
      <c r="S69"/>
      <c r="T69"/>
    </row>
    <row r="70" spans="7:20" ht="15" x14ac:dyDescent="0.25">
      <c r="O70"/>
      <c r="P70"/>
      <c r="Q70"/>
      <c r="R70"/>
      <c r="S70"/>
      <c r="T70"/>
    </row>
    <row r="71" spans="7:20" ht="15" x14ac:dyDescent="0.25">
      <c r="O71"/>
      <c r="P71"/>
      <c r="Q71"/>
      <c r="R71"/>
      <c r="S71"/>
      <c r="T71"/>
    </row>
    <row r="72" spans="7:20" ht="15" x14ac:dyDescent="0.25">
      <c r="O72"/>
      <c r="P72"/>
      <c r="Q72"/>
      <c r="R72"/>
      <c r="S72"/>
      <c r="T72"/>
    </row>
    <row r="73" spans="7:20" ht="15" x14ac:dyDescent="0.25">
      <c r="O73"/>
      <c r="P73"/>
      <c r="Q73"/>
      <c r="R73"/>
      <c r="S73"/>
      <c r="T73"/>
    </row>
    <row r="74" spans="7:20" ht="15" x14ac:dyDescent="0.25">
      <c r="O74"/>
      <c r="P74"/>
      <c r="Q74"/>
      <c r="R74"/>
      <c r="S74"/>
      <c r="T74"/>
    </row>
    <row r="75" spans="7:20" ht="15" x14ac:dyDescent="0.25">
      <c r="O75"/>
      <c r="P75"/>
      <c r="Q75"/>
      <c r="R75"/>
      <c r="S75"/>
      <c r="T75"/>
    </row>
    <row r="76" spans="7:20" ht="15" x14ac:dyDescent="0.25">
      <c r="O76"/>
      <c r="P76"/>
      <c r="Q76"/>
      <c r="R76"/>
      <c r="S76"/>
      <c r="T76"/>
    </row>
    <row r="77" spans="7:20" ht="15" x14ac:dyDescent="0.25">
      <c r="O77"/>
      <c r="P77"/>
      <c r="Q77"/>
      <c r="R77"/>
      <c r="S77"/>
      <c r="T77"/>
    </row>
    <row r="78" spans="7:20" ht="15" x14ac:dyDescent="0.25">
      <c r="O78"/>
      <c r="P78"/>
      <c r="Q78"/>
      <c r="R78"/>
      <c r="S78"/>
      <c r="T78"/>
    </row>
    <row r="79" spans="7:20" ht="15" x14ac:dyDescent="0.25">
      <c r="O79"/>
      <c r="P79"/>
      <c r="Q79"/>
      <c r="R79"/>
      <c r="S79"/>
      <c r="T79"/>
    </row>
    <row r="80" spans="7:20" ht="15" x14ac:dyDescent="0.25">
      <c r="O80"/>
      <c r="P80"/>
      <c r="Q80"/>
      <c r="R80"/>
      <c r="S80"/>
      <c r="T80"/>
    </row>
    <row r="81" spans="15:20" ht="15" x14ac:dyDescent="0.25">
      <c r="O81"/>
      <c r="P81"/>
      <c r="Q81"/>
      <c r="R81"/>
      <c r="S81"/>
      <c r="T81"/>
    </row>
    <row r="82" spans="15:20" ht="15" x14ac:dyDescent="0.25">
      <c r="O82"/>
      <c r="P82"/>
      <c r="Q82"/>
      <c r="R82"/>
      <c r="S82"/>
      <c r="T82"/>
    </row>
    <row r="83" spans="15:20" ht="15" x14ac:dyDescent="0.25">
      <c r="O83"/>
      <c r="P83"/>
      <c r="Q83"/>
      <c r="R83"/>
      <c r="S83"/>
      <c r="T83"/>
    </row>
    <row r="84" spans="15:20" ht="15" x14ac:dyDescent="0.25">
      <c r="O84"/>
      <c r="P84"/>
      <c r="Q84"/>
      <c r="R84"/>
      <c r="S84"/>
      <c r="T84"/>
    </row>
    <row r="85" spans="15:20" ht="15" x14ac:dyDescent="0.25">
      <c r="O85"/>
      <c r="P85"/>
      <c r="Q85"/>
      <c r="R85"/>
      <c r="S85"/>
      <c r="T85"/>
    </row>
    <row r="86" spans="15:20" ht="15" x14ac:dyDescent="0.25">
      <c r="O86"/>
      <c r="P86"/>
      <c r="Q86"/>
      <c r="R86"/>
      <c r="S86"/>
      <c r="T86"/>
    </row>
    <row r="87" spans="15:20" ht="15" x14ac:dyDescent="0.25">
      <c r="O87"/>
      <c r="P87"/>
      <c r="Q87"/>
      <c r="R87"/>
      <c r="S87"/>
      <c r="T87"/>
    </row>
    <row r="88" spans="15:20" ht="15" x14ac:dyDescent="0.25">
      <c r="O88"/>
      <c r="P88"/>
      <c r="Q88"/>
      <c r="R88"/>
      <c r="S88"/>
      <c r="T88"/>
    </row>
    <row r="89" spans="15:20" ht="15" x14ac:dyDescent="0.25">
      <c r="O89"/>
      <c r="P89"/>
      <c r="Q89"/>
      <c r="R89"/>
      <c r="S89"/>
      <c r="T89"/>
    </row>
    <row r="90" spans="15:20" ht="15" x14ac:dyDescent="0.25">
      <c r="O90"/>
      <c r="P90"/>
      <c r="Q90"/>
      <c r="R90"/>
      <c r="S90"/>
      <c r="T90"/>
    </row>
    <row r="91" spans="15:20" ht="15" x14ac:dyDescent="0.25">
      <c r="O91"/>
      <c r="P91"/>
      <c r="Q91"/>
      <c r="R91"/>
      <c r="S91"/>
      <c r="T91"/>
    </row>
    <row r="92" spans="15:20" ht="15" x14ac:dyDescent="0.25">
      <c r="O92"/>
      <c r="P92"/>
      <c r="Q92"/>
      <c r="R92"/>
      <c r="S92"/>
      <c r="T92"/>
    </row>
    <row r="93" spans="15:20" ht="15" x14ac:dyDescent="0.25">
      <c r="O93"/>
      <c r="P93"/>
      <c r="Q93"/>
      <c r="R93"/>
      <c r="S93"/>
      <c r="T93"/>
    </row>
    <row r="94" spans="15:20" ht="15" x14ac:dyDescent="0.25">
      <c r="O94"/>
      <c r="P94"/>
      <c r="Q94"/>
      <c r="R94"/>
      <c r="S94"/>
      <c r="T94"/>
    </row>
    <row r="95" spans="15:20" ht="15" x14ac:dyDescent="0.25">
      <c r="O95"/>
      <c r="P95"/>
      <c r="Q95"/>
      <c r="R95"/>
      <c r="S95"/>
      <c r="T95"/>
    </row>
    <row r="96" spans="15:20" ht="15" x14ac:dyDescent="0.25">
      <c r="O96"/>
      <c r="P96"/>
      <c r="Q96"/>
      <c r="R96"/>
      <c r="S96"/>
      <c r="T96"/>
    </row>
    <row r="97" spans="15:20" ht="15" x14ac:dyDescent="0.25">
      <c r="O97"/>
      <c r="P97"/>
      <c r="Q97"/>
      <c r="R97"/>
      <c r="S97"/>
      <c r="T97"/>
    </row>
    <row r="98" spans="15:20" ht="15" x14ac:dyDescent="0.25">
      <c r="O98"/>
      <c r="P98"/>
      <c r="Q98"/>
      <c r="R98"/>
      <c r="S98"/>
      <c r="T98"/>
    </row>
    <row r="99" spans="15:20" ht="15" x14ac:dyDescent="0.25">
      <c r="O99"/>
      <c r="P99"/>
      <c r="Q99"/>
      <c r="R99"/>
      <c r="S99"/>
      <c r="T99"/>
    </row>
    <row r="100" spans="15:20" ht="15" x14ac:dyDescent="0.25">
      <c r="O100"/>
      <c r="P100"/>
      <c r="Q100"/>
      <c r="R100"/>
      <c r="S100"/>
      <c r="T100"/>
    </row>
    <row r="101" spans="15:20" ht="15" x14ac:dyDescent="0.25">
      <c r="O101"/>
      <c r="P101"/>
      <c r="Q101"/>
      <c r="R101"/>
      <c r="S101"/>
      <c r="T101"/>
    </row>
    <row r="102" spans="15:20" ht="15" x14ac:dyDescent="0.25">
      <c r="O102"/>
      <c r="P102"/>
      <c r="Q102"/>
      <c r="R102"/>
      <c r="S102"/>
      <c r="T102"/>
    </row>
    <row r="103" spans="15:20" ht="15" x14ac:dyDescent="0.25">
      <c r="O103"/>
      <c r="P103"/>
      <c r="Q103"/>
      <c r="R103"/>
      <c r="S103"/>
      <c r="T103"/>
    </row>
  </sheetData>
  <mergeCells count="7">
    <mergeCell ref="A48:U48"/>
    <mergeCell ref="A1:U4"/>
    <mergeCell ref="A46:L47"/>
    <mergeCell ref="N46:U47"/>
    <mergeCell ref="A15:L16"/>
    <mergeCell ref="N15:U16"/>
    <mergeCell ref="L13:M13"/>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5713" r:id="rId6" name="Button 1">
              <controlPr defaultSize="0" print="0" autoFill="0" autoPict="0" macro="[0]!GoTo_ProjectList">
                <anchor moveWithCells="1" sizeWithCells="1">
                  <from>
                    <xdr:col>9</xdr:col>
                    <xdr:colOff>171450</xdr:colOff>
                    <xdr:row>40</xdr:row>
                    <xdr:rowOff>76200</xdr:rowOff>
                  </from>
                  <to>
                    <xdr:col>11</xdr:col>
                    <xdr:colOff>857250</xdr:colOff>
                    <xdr:row>42</xdr:row>
                    <xdr:rowOff>85725</xdr:rowOff>
                  </to>
                </anchor>
              </controlPr>
            </control>
          </mc:Choice>
        </mc:AlternateContent>
        <mc:AlternateContent xmlns:mc="http://schemas.openxmlformats.org/markup-compatibility/2006">
          <mc:Choice Requires="x14">
            <control shapeId="115714" r:id="rId7" name="Button 2">
              <controlPr defaultSize="0" print="0" autoFill="0" autoPict="0" macro="[0]!GoTo_ElementList">
                <anchor moveWithCells="1" sizeWithCells="1">
                  <from>
                    <xdr:col>18</xdr:col>
                    <xdr:colOff>238125</xdr:colOff>
                    <xdr:row>40</xdr:row>
                    <xdr:rowOff>95250</xdr:rowOff>
                  </from>
                  <to>
                    <xdr:col>20</xdr:col>
                    <xdr:colOff>619125</xdr:colOff>
                    <xdr:row>42</xdr:row>
                    <xdr:rowOff>76200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1E370-1C0B-4E5E-BAA3-29E9F2C646EE}">
  <sheetPr codeName="Sheet_ProjectList">
    <tabColor rgb="FFE0C1FF"/>
  </sheetPr>
  <dimension ref="A5:L1294"/>
  <sheetViews>
    <sheetView showGridLines="0" zoomScale="70" zoomScaleNormal="70" workbookViewId="0">
      <selection activeCell="B5" sqref="B5"/>
    </sheetView>
  </sheetViews>
  <sheetFormatPr defaultColWidth="8.85546875" defaultRowHeight="12.75" x14ac:dyDescent="0.2"/>
  <cols>
    <col min="1" max="1" width="12.7109375" style="99" customWidth="1"/>
    <col min="2" max="2" width="18.7109375" style="99" customWidth="1"/>
    <col min="3" max="3" width="12.7109375" style="99" customWidth="1"/>
    <col min="4" max="4" width="26.7109375" style="99" customWidth="1"/>
    <col min="5" max="5" width="30.7109375" style="99" customWidth="1"/>
    <col min="6" max="7" width="36.7109375" style="99" customWidth="1"/>
    <col min="8" max="8" width="60.5703125" style="99" bestFit="1" customWidth="1"/>
    <col min="9" max="12" width="12.7109375" style="99" customWidth="1"/>
    <col min="13" max="16384" width="8.85546875" style="99"/>
  </cols>
  <sheetData>
    <row r="5" spans="1:12" ht="38.25" x14ac:dyDescent="0.2">
      <c r="A5" s="468" t="s">
        <v>888</v>
      </c>
      <c r="B5" s="468" t="s">
        <v>1019</v>
      </c>
      <c r="C5" s="468" t="s">
        <v>773</v>
      </c>
      <c r="D5" s="468" t="s">
        <v>867</v>
      </c>
      <c r="E5" s="468" t="s">
        <v>585</v>
      </c>
      <c r="F5" s="468" t="s">
        <v>808</v>
      </c>
      <c r="G5" s="468" t="s">
        <v>866</v>
      </c>
      <c r="H5" s="468" t="s">
        <v>883</v>
      </c>
      <c r="I5" s="469" t="s">
        <v>1024</v>
      </c>
      <c r="J5" s="469" t="s">
        <v>1023</v>
      </c>
      <c r="K5" s="469" t="s">
        <v>1022</v>
      </c>
      <c r="L5" s="469" t="s">
        <v>887</v>
      </c>
    </row>
    <row r="6" spans="1:12" x14ac:dyDescent="0.2">
      <c r="A6" s="470" t="s">
        <v>695</v>
      </c>
      <c r="B6" s="470"/>
      <c r="C6" s="470"/>
      <c r="D6" s="470"/>
      <c r="E6" s="470"/>
      <c r="F6" s="470"/>
      <c r="G6" s="470"/>
      <c r="H6" s="470"/>
      <c r="I6" s="471"/>
      <c r="J6" s="471"/>
      <c r="K6" s="471"/>
      <c r="L6" s="471"/>
    </row>
    <row r="7" spans="1:12" ht="15" x14ac:dyDescent="0.25">
      <c r="A7"/>
      <c r="B7"/>
      <c r="C7"/>
      <c r="D7"/>
      <c r="E7"/>
      <c r="F7"/>
      <c r="G7"/>
      <c r="H7"/>
      <c r="I7"/>
      <c r="J7"/>
      <c r="K7"/>
      <c r="L7"/>
    </row>
    <row r="8" spans="1:12" ht="15" x14ac:dyDescent="0.25">
      <c r="A8"/>
      <c r="B8"/>
      <c r="C8"/>
      <c r="D8"/>
      <c r="E8"/>
      <c r="F8"/>
      <c r="G8"/>
      <c r="H8"/>
      <c r="I8"/>
      <c r="J8"/>
      <c r="K8"/>
      <c r="L8"/>
    </row>
    <row r="9" spans="1:12" ht="15" x14ac:dyDescent="0.25">
      <c r="A9"/>
      <c r="B9"/>
      <c r="C9"/>
      <c r="D9"/>
      <c r="E9"/>
      <c r="F9"/>
      <c r="G9"/>
      <c r="H9"/>
      <c r="I9"/>
      <c r="J9"/>
      <c r="K9"/>
      <c r="L9"/>
    </row>
    <row r="10" spans="1:12" ht="15" x14ac:dyDescent="0.25">
      <c r="A10"/>
      <c r="B10"/>
      <c r="C10"/>
      <c r="D10"/>
      <c r="E10"/>
      <c r="F10"/>
      <c r="G10"/>
      <c r="H10"/>
      <c r="I10"/>
      <c r="J10"/>
      <c r="K10"/>
      <c r="L10"/>
    </row>
    <row r="11" spans="1:12" ht="15" x14ac:dyDescent="0.25">
      <c r="A11"/>
      <c r="B11"/>
      <c r="C11"/>
      <c r="D11"/>
      <c r="E11"/>
      <c r="F11"/>
      <c r="G11"/>
      <c r="H11"/>
      <c r="I11"/>
      <c r="J11"/>
      <c r="K11"/>
      <c r="L11"/>
    </row>
    <row r="12" spans="1:12" ht="15" x14ac:dyDescent="0.25">
      <c r="A12"/>
      <c r="B12"/>
      <c r="C12"/>
      <c r="D12"/>
      <c r="E12"/>
      <c r="F12"/>
      <c r="G12"/>
      <c r="H12"/>
      <c r="I12"/>
      <c r="J12"/>
      <c r="K12"/>
      <c r="L12"/>
    </row>
    <row r="13" spans="1:12" ht="15" x14ac:dyDescent="0.25">
      <c r="A13"/>
      <c r="B13"/>
      <c r="C13"/>
      <c r="D13"/>
      <c r="E13"/>
      <c r="F13"/>
      <c r="G13"/>
      <c r="H13"/>
      <c r="I13"/>
      <c r="J13"/>
      <c r="K13"/>
      <c r="L13"/>
    </row>
    <row r="14" spans="1:12" ht="15" x14ac:dyDescent="0.25">
      <c r="A14"/>
      <c r="B14"/>
      <c r="C14"/>
      <c r="D14"/>
      <c r="E14"/>
      <c r="F14"/>
      <c r="G14"/>
      <c r="H14"/>
      <c r="I14"/>
      <c r="J14"/>
      <c r="K14"/>
      <c r="L14"/>
    </row>
    <row r="15" spans="1:12" ht="15" x14ac:dyDescent="0.25">
      <c r="A15"/>
      <c r="B15"/>
      <c r="C15"/>
      <c r="D15"/>
      <c r="E15"/>
      <c r="F15"/>
      <c r="G15"/>
      <c r="H15"/>
      <c r="I15"/>
      <c r="J15"/>
      <c r="K15"/>
      <c r="L15"/>
    </row>
    <row r="16" spans="1:12" ht="15" x14ac:dyDescent="0.25">
      <c r="A16"/>
      <c r="B16"/>
      <c r="C16"/>
      <c r="D16"/>
      <c r="E16"/>
      <c r="F16"/>
      <c r="G16"/>
      <c r="H16"/>
      <c r="I16"/>
      <c r="J16"/>
      <c r="K16"/>
      <c r="L16"/>
    </row>
    <row r="17" spans="1:12" ht="15" x14ac:dyDescent="0.25">
      <c r="A17"/>
      <c r="B17"/>
      <c r="C17"/>
      <c r="D17"/>
      <c r="E17"/>
      <c r="F17"/>
      <c r="G17"/>
      <c r="H17"/>
      <c r="I17"/>
      <c r="J17"/>
      <c r="K17"/>
      <c r="L17"/>
    </row>
    <row r="18" spans="1:12" ht="15" x14ac:dyDescent="0.25">
      <c r="A18"/>
      <c r="B18"/>
      <c r="C18"/>
      <c r="D18"/>
      <c r="E18"/>
      <c r="F18"/>
      <c r="G18"/>
      <c r="H18"/>
      <c r="I18"/>
      <c r="J18"/>
      <c r="K18"/>
      <c r="L18"/>
    </row>
    <row r="19" spans="1:12" ht="15" x14ac:dyDescent="0.25">
      <c r="A19"/>
      <c r="B19"/>
      <c r="C19"/>
      <c r="D19"/>
      <c r="E19"/>
      <c r="F19"/>
      <c r="G19"/>
      <c r="H19"/>
      <c r="I19"/>
      <c r="J19"/>
      <c r="K19"/>
      <c r="L19"/>
    </row>
    <row r="20" spans="1:12" ht="15" x14ac:dyDescent="0.25">
      <c r="A20"/>
      <c r="B20"/>
      <c r="C20"/>
      <c r="D20"/>
      <c r="E20"/>
      <c r="F20"/>
      <c r="G20"/>
      <c r="H20"/>
      <c r="I20"/>
      <c r="J20"/>
      <c r="K20"/>
      <c r="L20"/>
    </row>
    <row r="21" spans="1:12" ht="15" x14ac:dyDescent="0.25">
      <c r="A21"/>
      <c r="B21"/>
      <c r="C21"/>
      <c r="D21"/>
      <c r="E21"/>
      <c r="F21"/>
      <c r="G21"/>
      <c r="H21"/>
      <c r="I21"/>
      <c r="J21"/>
      <c r="K21"/>
      <c r="L21"/>
    </row>
    <row r="22" spans="1:12" ht="15" x14ac:dyDescent="0.25">
      <c r="A22"/>
      <c r="B22"/>
      <c r="C22"/>
      <c r="D22"/>
      <c r="E22"/>
      <c r="F22"/>
      <c r="G22"/>
      <c r="H22"/>
      <c r="I22"/>
      <c r="J22"/>
      <c r="K22"/>
      <c r="L22"/>
    </row>
    <row r="23" spans="1:12" ht="15" x14ac:dyDescent="0.25">
      <c r="A23"/>
      <c r="B23"/>
      <c r="C23"/>
      <c r="D23"/>
      <c r="E23"/>
      <c r="F23"/>
      <c r="G23"/>
      <c r="H23"/>
      <c r="I23"/>
      <c r="J23"/>
      <c r="K23"/>
      <c r="L23"/>
    </row>
    <row r="24" spans="1:12" ht="15" x14ac:dyDescent="0.25">
      <c r="A24"/>
      <c r="B24"/>
      <c r="C24"/>
      <c r="D24"/>
      <c r="E24"/>
      <c r="F24"/>
      <c r="G24"/>
      <c r="H24"/>
      <c r="I24"/>
      <c r="J24"/>
      <c r="K24"/>
      <c r="L24"/>
    </row>
    <row r="25" spans="1:12" ht="15" x14ac:dyDescent="0.25">
      <c r="A25"/>
      <c r="B25"/>
      <c r="C25"/>
      <c r="D25"/>
      <c r="E25"/>
      <c r="F25"/>
      <c r="G25"/>
      <c r="H25"/>
      <c r="I25"/>
      <c r="J25"/>
      <c r="K25"/>
      <c r="L25"/>
    </row>
    <row r="26" spans="1:12" ht="15" x14ac:dyDescent="0.25">
      <c r="A26"/>
      <c r="B26"/>
      <c r="C26"/>
      <c r="D26"/>
      <c r="E26"/>
      <c r="F26"/>
      <c r="G26"/>
      <c r="H26"/>
      <c r="I26"/>
      <c r="J26"/>
      <c r="K26"/>
      <c r="L26"/>
    </row>
    <row r="27" spans="1:12" ht="15" x14ac:dyDescent="0.25">
      <c r="A27"/>
      <c r="B27"/>
      <c r="C27"/>
      <c r="D27"/>
      <c r="E27"/>
      <c r="F27"/>
      <c r="G27"/>
      <c r="H27"/>
      <c r="I27"/>
      <c r="J27"/>
      <c r="K27"/>
      <c r="L27"/>
    </row>
    <row r="28" spans="1:12" ht="15" x14ac:dyDescent="0.25">
      <c r="A28"/>
      <c r="B28"/>
      <c r="C28"/>
      <c r="D28"/>
      <c r="E28"/>
      <c r="F28"/>
      <c r="G28"/>
      <c r="H28"/>
      <c r="I28"/>
      <c r="J28"/>
      <c r="K28"/>
      <c r="L28"/>
    </row>
    <row r="29" spans="1:12" ht="15" x14ac:dyDescent="0.25">
      <c r="A29"/>
      <c r="B29"/>
      <c r="C29"/>
      <c r="D29"/>
      <c r="E29"/>
      <c r="F29"/>
      <c r="G29"/>
      <c r="H29"/>
      <c r="I29"/>
      <c r="J29"/>
      <c r="K29"/>
      <c r="L29"/>
    </row>
    <row r="30" spans="1:12" ht="15" x14ac:dyDescent="0.25">
      <c r="A30"/>
      <c r="B30"/>
      <c r="C30"/>
      <c r="D30"/>
      <c r="E30"/>
      <c r="F30"/>
      <c r="G30"/>
      <c r="H30"/>
      <c r="I30"/>
      <c r="J30"/>
      <c r="K30"/>
      <c r="L30"/>
    </row>
    <row r="31" spans="1:12" ht="15" x14ac:dyDescent="0.25">
      <c r="A31"/>
      <c r="B31"/>
      <c r="C31"/>
      <c r="D31"/>
      <c r="E31"/>
      <c r="F31"/>
      <c r="G31"/>
      <c r="H31"/>
      <c r="I31"/>
      <c r="J31"/>
      <c r="K31"/>
      <c r="L31"/>
    </row>
    <row r="32" spans="1:12" ht="15" x14ac:dyDescent="0.25">
      <c r="A32"/>
      <c r="B32"/>
      <c r="C32"/>
      <c r="D32"/>
      <c r="E32"/>
      <c r="F32"/>
      <c r="G32"/>
      <c r="H32"/>
      <c r="I32"/>
      <c r="J32"/>
      <c r="K32"/>
      <c r="L32"/>
    </row>
    <row r="33" spans="1:12" ht="15" x14ac:dyDescent="0.25">
      <c r="A33"/>
      <c r="B33"/>
      <c r="C33"/>
      <c r="D33"/>
      <c r="E33"/>
      <c r="F33"/>
      <c r="G33"/>
      <c r="H33"/>
      <c r="I33"/>
      <c r="J33"/>
      <c r="K33"/>
      <c r="L33"/>
    </row>
    <row r="34" spans="1:12" ht="15" x14ac:dyDescent="0.25">
      <c r="A34"/>
      <c r="B34"/>
      <c r="C34"/>
      <c r="D34"/>
      <c r="E34"/>
      <c r="F34"/>
      <c r="G34"/>
      <c r="H34"/>
      <c r="I34"/>
      <c r="J34"/>
      <c r="K34"/>
      <c r="L34"/>
    </row>
    <row r="35" spans="1:12" ht="15" x14ac:dyDescent="0.25">
      <c r="A35"/>
      <c r="B35"/>
      <c r="C35"/>
      <c r="D35"/>
      <c r="E35"/>
      <c r="F35"/>
      <c r="G35"/>
      <c r="H35"/>
      <c r="I35"/>
      <c r="J35"/>
      <c r="K35"/>
      <c r="L35"/>
    </row>
    <row r="36" spans="1:12" ht="15" x14ac:dyDescent="0.25">
      <c r="A36"/>
      <c r="B36"/>
      <c r="C36"/>
      <c r="D36"/>
      <c r="E36"/>
      <c r="F36"/>
      <c r="G36"/>
      <c r="H36"/>
      <c r="I36"/>
      <c r="J36"/>
      <c r="K36"/>
      <c r="L36"/>
    </row>
    <row r="37" spans="1:12" ht="15" x14ac:dyDescent="0.25">
      <c r="A37"/>
      <c r="B37"/>
      <c r="C37"/>
      <c r="D37"/>
      <c r="E37"/>
      <c r="F37"/>
      <c r="G37"/>
      <c r="H37"/>
      <c r="I37"/>
      <c r="J37"/>
      <c r="K37"/>
      <c r="L37"/>
    </row>
    <row r="38" spans="1:12" ht="15" x14ac:dyDescent="0.25">
      <c r="A38"/>
      <c r="B38"/>
      <c r="C38"/>
      <c r="D38"/>
      <c r="E38"/>
      <c r="F38"/>
      <c r="G38"/>
      <c r="H38"/>
      <c r="I38"/>
      <c r="J38"/>
      <c r="K38"/>
      <c r="L38"/>
    </row>
    <row r="39" spans="1:12" ht="15" x14ac:dyDescent="0.25">
      <c r="A39"/>
      <c r="B39"/>
      <c r="C39"/>
      <c r="D39"/>
      <c r="E39"/>
      <c r="F39"/>
      <c r="G39"/>
      <c r="H39"/>
      <c r="I39"/>
      <c r="J39"/>
      <c r="K39"/>
      <c r="L39"/>
    </row>
    <row r="40" spans="1:12" ht="15" x14ac:dyDescent="0.25">
      <c r="A40"/>
      <c r="B40"/>
      <c r="C40"/>
      <c r="D40"/>
      <c r="E40"/>
      <c r="F40"/>
      <c r="G40"/>
      <c r="H40"/>
      <c r="I40"/>
      <c r="J40"/>
      <c r="K40"/>
      <c r="L40"/>
    </row>
    <row r="41" spans="1:12" ht="15" x14ac:dyDescent="0.25">
      <c r="A41"/>
      <c r="B41"/>
      <c r="C41"/>
      <c r="D41"/>
      <c r="E41"/>
      <c r="F41"/>
      <c r="G41"/>
      <c r="H41"/>
      <c r="I41"/>
      <c r="J41"/>
      <c r="K41"/>
      <c r="L41"/>
    </row>
    <row r="42" spans="1:12" ht="15" x14ac:dyDescent="0.25">
      <c r="A42"/>
      <c r="B42"/>
      <c r="C42"/>
      <c r="D42"/>
      <c r="E42"/>
      <c r="F42"/>
      <c r="G42"/>
      <c r="H42"/>
      <c r="I42"/>
      <c r="J42"/>
      <c r="K42"/>
      <c r="L42"/>
    </row>
    <row r="43" spans="1:12" ht="15" x14ac:dyDescent="0.25">
      <c r="A43"/>
      <c r="B43"/>
      <c r="C43"/>
      <c r="D43"/>
      <c r="E43"/>
      <c r="F43"/>
      <c r="G43"/>
      <c r="H43"/>
      <c r="I43"/>
      <c r="J43"/>
      <c r="K43"/>
      <c r="L43"/>
    </row>
    <row r="44" spans="1:12" ht="15" x14ac:dyDescent="0.25">
      <c r="A44"/>
      <c r="B44"/>
      <c r="C44"/>
      <c r="D44"/>
      <c r="E44"/>
      <c r="F44"/>
      <c r="G44"/>
      <c r="H44"/>
      <c r="I44"/>
      <c r="J44"/>
      <c r="K44"/>
      <c r="L44"/>
    </row>
    <row r="45" spans="1:12" ht="15" x14ac:dyDescent="0.25">
      <c r="A45"/>
      <c r="B45"/>
      <c r="C45"/>
      <c r="D45"/>
      <c r="E45"/>
      <c r="F45"/>
      <c r="G45"/>
      <c r="H45"/>
      <c r="I45"/>
      <c r="J45"/>
      <c r="K45"/>
      <c r="L45"/>
    </row>
    <row r="46" spans="1:12" ht="15" x14ac:dyDescent="0.25">
      <c r="A46"/>
      <c r="B46"/>
      <c r="C46"/>
      <c r="D46"/>
      <c r="E46"/>
      <c r="F46"/>
      <c r="G46"/>
      <c r="H46"/>
      <c r="I46"/>
      <c r="J46"/>
      <c r="K46"/>
      <c r="L46"/>
    </row>
    <row r="47" spans="1:12" ht="15" x14ac:dyDescent="0.25">
      <c r="A47"/>
      <c r="B47"/>
      <c r="C47"/>
      <c r="D47"/>
      <c r="E47"/>
      <c r="F47"/>
      <c r="G47"/>
      <c r="H47"/>
      <c r="I47"/>
      <c r="J47"/>
      <c r="K47"/>
      <c r="L47"/>
    </row>
    <row r="48" spans="1:12" ht="15" x14ac:dyDescent="0.25">
      <c r="A48"/>
      <c r="B48"/>
      <c r="C48"/>
      <c r="D48"/>
      <c r="E48"/>
      <c r="F48"/>
      <c r="G48"/>
      <c r="H48"/>
      <c r="I48"/>
      <c r="J48"/>
      <c r="K48"/>
      <c r="L48"/>
    </row>
    <row r="49" spans="1:12" ht="15" x14ac:dyDescent="0.25">
      <c r="A49"/>
      <c r="B49"/>
      <c r="C49"/>
      <c r="D49"/>
      <c r="E49"/>
      <c r="F49"/>
      <c r="G49"/>
      <c r="H49"/>
      <c r="I49"/>
      <c r="J49"/>
      <c r="K49"/>
      <c r="L49"/>
    </row>
    <row r="50" spans="1:12" ht="15" x14ac:dyDescent="0.25">
      <c r="A50"/>
      <c r="B50"/>
      <c r="C50"/>
      <c r="D50"/>
      <c r="E50"/>
      <c r="F50"/>
      <c r="G50"/>
      <c r="H50"/>
      <c r="I50"/>
      <c r="J50"/>
      <c r="K50"/>
      <c r="L50"/>
    </row>
    <row r="51" spans="1:12" ht="15" x14ac:dyDescent="0.25">
      <c r="A51"/>
      <c r="B51"/>
      <c r="C51"/>
      <c r="D51"/>
      <c r="E51"/>
      <c r="F51"/>
      <c r="G51"/>
      <c r="H51"/>
      <c r="I51"/>
      <c r="J51"/>
      <c r="K51"/>
      <c r="L51"/>
    </row>
    <row r="52" spans="1:12" ht="15" x14ac:dyDescent="0.25">
      <c r="A52"/>
      <c r="B52"/>
      <c r="C52"/>
      <c r="D52"/>
      <c r="E52"/>
      <c r="F52"/>
      <c r="G52"/>
      <c r="H52"/>
      <c r="I52"/>
      <c r="J52"/>
      <c r="K52"/>
      <c r="L52"/>
    </row>
    <row r="53" spans="1:12" ht="15" x14ac:dyDescent="0.25">
      <c r="A53"/>
      <c r="B53"/>
      <c r="C53"/>
      <c r="D53"/>
      <c r="E53"/>
      <c r="F53"/>
      <c r="G53"/>
      <c r="H53"/>
      <c r="I53"/>
      <c r="J53"/>
      <c r="K53"/>
      <c r="L53"/>
    </row>
    <row r="54" spans="1:12" ht="15" x14ac:dyDescent="0.25">
      <c r="A54"/>
      <c r="B54"/>
      <c r="C54"/>
      <c r="D54"/>
      <c r="E54"/>
      <c r="F54"/>
      <c r="G54"/>
      <c r="H54"/>
      <c r="I54"/>
      <c r="J54"/>
      <c r="K54"/>
      <c r="L54"/>
    </row>
    <row r="55" spans="1:12" ht="15" x14ac:dyDescent="0.25">
      <c r="A55"/>
      <c r="B55"/>
      <c r="C55"/>
      <c r="D55"/>
      <c r="E55"/>
      <c r="F55"/>
      <c r="G55"/>
      <c r="H55"/>
      <c r="I55"/>
      <c r="J55"/>
      <c r="K55"/>
      <c r="L55"/>
    </row>
    <row r="56" spans="1:12" ht="15" x14ac:dyDescent="0.25">
      <c r="A56"/>
      <c r="B56"/>
      <c r="C56"/>
      <c r="D56"/>
      <c r="E56"/>
      <c r="F56"/>
      <c r="G56"/>
      <c r="H56"/>
      <c r="I56"/>
      <c r="J56"/>
      <c r="K56"/>
      <c r="L56"/>
    </row>
    <row r="57" spans="1:12" ht="15" x14ac:dyDescent="0.25">
      <c r="A57"/>
      <c r="B57"/>
      <c r="C57"/>
      <c r="D57"/>
      <c r="E57"/>
      <c r="F57"/>
      <c r="G57"/>
      <c r="H57"/>
      <c r="I57"/>
      <c r="J57"/>
      <c r="K57"/>
      <c r="L57"/>
    </row>
    <row r="58" spans="1:12" ht="15" x14ac:dyDescent="0.25">
      <c r="A58"/>
      <c r="B58"/>
      <c r="C58"/>
      <c r="D58"/>
      <c r="E58"/>
      <c r="F58"/>
      <c r="G58"/>
      <c r="H58"/>
      <c r="I58"/>
      <c r="J58"/>
      <c r="K58"/>
      <c r="L58"/>
    </row>
    <row r="59" spans="1:12" ht="15" x14ac:dyDescent="0.25">
      <c r="A59"/>
      <c r="B59"/>
      <c r="C59"/>
      <c r="D59"/>
      <c r="E59"/>
      <c r="F59"/>
      <c r="G59"/>
      <c r="H59"/>
      <c r="I59"/>
      <c r="J59"/>
      <c r="K59"/>
      <c r="L59"/>
    </row>
    <row r="60" spans="1:12" ht="15" x14ac:dyDescent="0.25">
      <c r="A60"/>
      <c r="B60"/>
      <c r="C60"/>
      <c r="D60"/>
      <c r="E60"/>
      <c r="F60"/>
      <c r="G60"/>
      <c r="H60"/>
      <c r="I60"/>
      <c r="J60"/>
      <c r="K60"/>
      <c r="L60"/>
    </row>
    <row r="61" spans="1:12" ht="15" x14ac:dyDescent="0.25">
      <c r="A61"/>
      <c r="B61"/>
      <c r="C61"/>
      <c r="D61"/>
      <c r="E61"/>
      <c r="F61"/>
      <c r="G61"/>
      <c r="H61"/>
      <c r="I61"/>
      <c r="J61"/>
      <c r="K61"/>
      <c r="L61"/>
    </row>
    <row r="62" spans="1:12" ht="15" x14ac:dyDescent="0.25">
      <c r="A62"/>
      <c r="B62"/>
      <c r="C62"/>
      <c r="D62"/>
      <c r="E62"/>
      <c r="F62"/>
      <c r="G62"/>
      <c r="H62"/>
      <c r="I62"/>
      <c r="J62"/>
      <c r="K62"/>
      <c r="L62"/>
    </row>
    <row r="63" spans="1:12" ht="15" x14ac:dyDescent="0.25">
      <c r="A63"/>
      <c r="B63"/>
      <c r="C63"/>
      <c r="D63"/>
      <c r="E63"/>
      <c r="F63"/>
      <c r="G63"/>
      <c r="H63"/>
      <c r="I63"/>
      <c r="J63"/>
      <c r="K63"/>
      <c r="L63"/>
    </row>
    <row r="64" spans="1:12" ht="15" x14ac:dyDescent="0.25">
      <c r="A64"/>
      <c r="B64"/>
      <c r="C64"/>
      <c r="D64"/>
      <c r="E64"/>
      <c r="F64"/>
      <c r="G64"/>
      <c r="H64"/>
      <c r="I64"/>
      <c r="J64"/>
      <c r="K64"/>
      <c r="L64"/>
    </row>
    <row r="65" spans="1:12" ht="15" x14ac:dyDescent="0.25">
      <c r="A65"/>
      <c r="B65"/>
      <c r="C65"/>
      <c r="D65"/>
      <c r="E65"/>
      <c r="F65"/>
      <c r="G65"/>
      <c r="H65"/>
      <c r="I65"/>
      <c r="J65"/>
      <c r="K65"/>
      <c r="L65"/>
    </row>
    <row r="66" spans="1:12" ht="15" x14ac:dyDescent="0.25">
      <c r="A66"/>
      <c r="B66"/>
      <c r="C66"/>
      <c r="D66"/>
      <c r="E66"/>
      <c r="F66"/>
      <c r="G66"/>
      <c r="H66"/>
      <c r="I66"/>
      <c r="J66"/>
      <c r="K66"/>
      <c r="L66"/>
    </row>
    <row r="67" spans="1:12" ht="15" x14ac:dyDescent="0.25">
      <c r="A67"/>
      <c r="B67"/>
      <c r="C67"/>
      <c r="D67"/>
      <c r="E67"/>
      <c r="F67"/>
      <c r="G67"/>
      <c r="H67"/>
      <c r="I67"/>
      <c r="J67"/>
      <c r="K67"/>
      <c r="L67"/>
    </row>
    <row r="68" spans="1:12" ht="15" x14ac:dyDescent="0.25">
      <c r="A68"/>
      <c r="B68"/>
      <c r="C68"/>
      <c r="D68"/>
      <c r="E68"/>
      <c r="F68"/>
      <c r="G68"/>
      <c r="H68"/>
      <c r="I68"/>
      <c r="J68"/>
      <c r="K68"/>
      <c r="L68"/>
    </row>
    <row r="69" spans="1:12" ht="15" x14ac:dyDescent="0.25">
      <c r="A69"/>
      <c r="B69"/>
      <c r="C69"/>
      <c r="D69"/>
      <c r="E69"/>
      <c r="F69"/>
      <c r="G69"/>
      <c r="H69"/>
      <c r="I69"/>
      <c r="J69"/>
      <c r="K69"/>
      <c r="L69"/>
    </row>
    <row r="70" spans="1:12" ht="15" x14ac:dyDescent="0.25">
      <c r="A70"/>
      <c r="B70"/>
      <c r="C70"/>
      <c r="D70"/>
      <c r="E70"/>
      <c r="F70"/>
      <c r="G70"/>
      <c r="H70"/>
      <c r="I70"/>
      <c r="J70"/>
      <c r="K70"/>
      <c r="L70"/>
    </row>
    <row r="71" spans="1:12" ht="15" x14ac:dyDescent="0.25">
      <c r="A71"/>
      <c r="B71"/>
      <c r="C71"/>
      <c r="D71"/>
      <c r="E71"/>
      <c r="F71"/>
      <c r="G71"/>
      <c r="H71"/>
      <c r="I71"/>
      <c r="J71"/>
      <c r="K71"/>
      <c r="L71"/>
    </row>
    <row r="72" spans="1:12" ht="15" x14ac:dyDescent="0.25">
      <c r="A72"/>
      <c r="B72"/>
      <c r="C72"/>
      <c r="D72"/>
      <c r="E72"/>
      <c r="F72"/>
      <c r="G72"/>
      <c r="H72"/>
      <c r="I72"/>
      <c r="J72"/>
      <c r="K72"/>
      <c r="L72"/>
    </row>
    <row r="73" spans="1:12" ht="15" x14ac:dyDescent="0.25">
      <c r="A73"/>
      <c r="B73"/>
      <c r="C73"/>
      <c r="D73"/>
      <c r="E73"/>
      <c r="F73"/>
      <c r="G73"/>
      <c r="H73"/>
      <c r="I73"/>
      <c r="J73"/>
      <c r="K73"/>
      <c r="L73"/>
    </row>
    <row r="74" spans="1:12" ht="15" x14ac:dyDescent="0.25">
      <c r="A74"/>
      <c r="B74"/>
      <c r="C74"/>
      <c r="D74"/>
      <c r="E74"/>
      <c r="F74"/>
      <c r="G74"/>
      <c r="H74"/>
      <c r="I74"/>
      <c r="J74"/>
      <c r="K74"/>
      <c r="L74"/>
    </row>
    <row r="75" spans="1:12" ht="15" x14ac:dyDescent="0.25">
      <c r="A75"/>
      <c r="B75"/>
      <c r="C75"/>
      <c r="D75"/>
      <c r="E75"/>
      <c r="F75"/>
      <c r="G75"/>
      <c r="H75"/>
      <c r="I75"/>
      <c r="J75"/>
      <c r="K75"/>
      <c r="L75"/>
    </row>
    <row r="76" spans="1:12" ht="15" x14ac:dyDescent="0.25">
      <c r="A76"/>
      <c r="B76"/>
      <c r="C76"/>
      <c r="D76"/>
      <c r="E76"/>
      <c r="F76"/>
      <c r="G76"/>
      <c r="H76"/>
      <c r="I76"/>
      <c r="J76"/>
      <c r="K76"/>
      <c r="L76"/>
    </row>
    <row r="77" spans="1:12" ht="15" x14ac:dyDescent="0.25">
      <c r="A77"/>
      <c r="B77"/>
      <c r="C77"/>
      <c r="D77"/>
      <c r="E77"/>
      <c r="F77"/>
      <c r="G77"/>
      <c r="H77"/>
      <c r="I77"/>
      <c r="J77"/>
      <c r="K77"/>
      <c r="L77"/>
    </row>
    <row r="78" spans="1:12" ht="15" x14ac:dyDescent="0.25">
      <c r="A78"/>
      <c r="B78"/>
      <c r="C78"/>
      <c r="D78"/>
      <c r="E78"/>
      <c r="F78"/>
      <c r="G78"/>
      <c r="H78"/>
      <c r="I78"/>
      <c r="J78"/>
      <c r="K78"/>
      <c r="L78"/>
    </row>
    <row r="79" spans="1:12" ht="15" x14ac:dyDescent="0.25">
      <c r="A79"/>
      <c r="B79"/>
      <c r="C79"/>
      <c r="D79"/>
      <c r="E79"/>
      <c r="F79"/>
      <c r="G79"/>
      <c r="H79"/>
      <c r="I79"/>
      <c r="J79"/>
      <c r="K79"/>
      <c r="L79"/>
    </row>
    <row r="80" spans="1:12" ht="15" x14ac:dyDescent="0.25">
      <c r="A80"/>
      <c r="B80"/>
      <c r="C80"/>
      <c r="D80"/>
      <c r="E80"/>
      <c r="F80"/>
      <c r="G80"/>
      <c r="H80"/>
      <c r="I80"/>
      <c r="J80"/>
      <c r="K80"/>
      <c r="L80"/>
    </row>
    <row r="81" spans="1:12" ht="15" x14ac:dyDescent="0.25">
      <c r="A81"/>
      <c r="B81"/>
      <c r="C81"/>
      <c r="D81"/>
      <c r="E81"/>
      <c r="F81"/>
      <c r="G81"/>
      <c r="H81"/>
      <c r="I81"/>
      <c r="J81"/>
      <c r="K81"/>
      <c r="L81"/>
    </row>
    <row r="82" spans="1:12" ht="15" x14ac:dyDescent="0.25">
      <c r="A82"/>
      <c r="B82"/>
      <c r="C82"/>
      <c r="D82"/>
      <c r="E82"/>
      <c r="F82"/>
      <c r="G82"/>
      <c r="H82"/>
      <c r="I82"/>
      <c r="J82"/>
      <c r="K82"/>
      <c r="L82"/>
    </row>
    <row r="83" spans="1:12" ht="15" x14ac:dyDescent="0.25">
      <c r="A83"/>
      <c r="B83"/>
      <c r="C83"/>
      <c r="D83"/>
      <c r="E83"/>
      <c r="F83"/>
      <c r="G83"/>
      <c r="H83"/>
      <c r="I83"/>
      <c r="J83"/>
      <c r="K83"/>
      <c r="L83"/>
    </row>
    <row r="84" spans="1:12" ht="15" x14ac:dyDescent="0.25">
      <c r="A84"/>
      <c r="B84"/>
      <c r="C84"/>
      <c r="D84"/>
      <c r="E84"/>
      <c r="F84"/>
      <c r="G84"/>
      <c r="H84"/>
      <c r="I84"/>
      <c r="J84"/>
      <c r="K84"/>
      <c r="L84"/>
    </row>
    <row r="85" spans="1:12" ht="15" x14ac:dyDescent="0.25">
      <c r="A85"/>
      <c r="B85"/>
      <c r="C85"/>
      <c r="D85"/>
      <c r="E85"/>
      <c r="F85"/>
      <c r="G85"/>
      <c r="H85"/>
      <c r="I85"/>
      <c r="J85"/>
      <c r="K85"/>
      <c r="L85"/>
    </row>
    <row r="86" spans="1:12" ht="15" x14ac:dyDescent="0.25">
      <c r="A86"/>
      <c r="B86"/>
      <c r="C86"/>
      <c r="D86"/>
      <c r="E86"/>
      <c r="F86"/>
      <c r="G86"/>
      <c r="H86"/>
      <c r="I86"/>
      <c r="J86"/>
      <c r="K86"/>
      <c r="L86"/>
    </row>
    <row r="87" spans="1:12" ht="15" x14ac:dyDescent="0.25">
      <c r="A87"/>
      <c r="B87"/>
      <c r="C87"/>
      <c r="D87"/>
      <c r="E87"/>
      <c r="F87"/>
      <c r="G87"/>
      <c r="H87"/>
      <c r="I87"/>
      <c r="J87"/>
      <c r="K87"/>
      <c r="L87"/>
    </row>
    <row r="88" spans="1:12" ht="15" x14ac:dyDescent="0.25">
      <c r="A88"/>
      <c r="B88"/>
      <c r="C88"/>
      <c r="D88"/>
      <c r="E88"/>
      <c r="F88"/>
      <c r="G88"/>
      <c r="H88"/>
      <c r="I88"/>
      <c r="J88"/>
      <c r="K88"/>
      <c r="L88"/>
    </row>
    <row r="89" spans="1:12" ht="15" x14ac:dyDescent="0.25">
      <c r="A89"/>
      <c r="B89"/>
      <c r="C89"/>
      <c r="D89"/>
      <c r="E89"/>
      <c r="F89"/>
      <c r="G89"/>
      <c r="H89"/>
      <c r="I89"/>
      <c r="J89"/>
      <c r="K89"/>
      <c r="L89"/>
    </row>
    <row r="90" spans="1:12" ht="15" x14ac:dyDescent="0.25">
      <c r="A90"/>
      <c r="B90"/>
      <c r="C90"/>
      <c r="D90"/>
      <c r="E90"/>
      <c r="F90"/>
      <c r="G90"/>
      <c r="H90"/>
      <c r="I90"/>
      <c r="J90"/>
      <c r="K90"/>
      <c r="L90"/>
    </row>
    <row r="91" spans="1:12" ht="15" x14ac:dyDescent="0.25">
      <c r="A91"/>
      <c r="B91"/>
      <c r="C91"/>
      <c r="D91"/>
      <c r="E91"/>
      <c r="F91"/>
      <c r="G91"/>
      <c r="H91"/>
      <c r="I91"/>
      <c r="J91"/>
      <c r="K91"/>
      <c r="L91"/>
    </row>
    <row r="92" spans="1:12" ht="15" x14ac:dyDescent="0.25">
      <c r="A92"/>
      <c r="B92"/>
      <c r="C92"/>
      <c r="D92"/>
      <c r="E92"/>
      <c r="F92"/>
      <c r="G92"/>
      <c r="H92"/>
      <c r="I92"/>
      <c r="J92"/>
      <c r="K92"/>
      <c r="L92"/>
    </row>
    <row r="93" spans="1:12" ht="15" x14ac:dyDescent="0.25">
      <c r="A93"/>
      <c r="B93"/>
      <c r="C93"/>
      <c r="D93"/>
      <c r="E93"/>
      <c r="F93"/>
      <c r="G93"/>
      <c r="H93"/>
      <c r="I93"/>
      <c r="J93"/>
      <c r="K93"/>
      <c r="L93"/>
    </row>
    <row r="94" spans="1:12" ht="15" x14ac:dyDescent="0.25">
      <c r="A94"/>
      <c r="B94"/>
      <c r="C94"/>
      <c r="D94"/>
      <c r="E94"/>
      <c r="F94"/>
      <c r="G94"/>
      <c r="H94"/>
      <c r="I94"/>
      <c r="J94"/>
      <c r="K94"/>
      <c r="L94"/>
    </row>
    <row r="95" spans="1:12" ht="15" x14ac:dyDescent="0.25">
      <c r="A95"/>
      <c r="B95"/>
      <c r="C95"/>
      <c r="D95"/>
      <c r="E95"/>
      <c r="F95"/>
      <c r="G95"/>
      <c r="H95"/>
      <c r="I95"/>
      <c r="J95"/>
      <c r="K95"/>
      <c r="L95"/>
    </row>
    <row r="96" spans="1:12" ht="15" x14ac:dyDescent="0.25">
      <c r="A96"/>
      <c r="B96"/>
      <c r="C96"/>
      <c r="D96"/>
      <c r="E96"/>
      <c r="F96"/>
      <c r="G96"/>
      <c r="H96"/>
      <c r="I96"/>
      <c r="J96"/>
      <c r="K96"/>
      <c r="L96"/>
    </row>
    <row r="97" spans="1:12" ht="15" x14ac:dyDescent="0.25">
      <c r="A97"/>
      <c r="B97"/>
      <c r="C97"/>
      <c r="D97"/>
      <c r="E97"/>
      <c r="F97"/>
      <c r="G97"/>
      <c r="H97"/>
      <c r="I97"/>
      <c r="J97"/>
      <c r="K97"/>
      <c r="L97"/>
    </row>
    <row r="98" spans="1:12" ht="15" x14ac:dyDescent="0.25">
      <c r="A98"/>
      <c r="B98"/>
      <c r="C98"/>
      <c r="D98"/>
      <c r="E98"/>
      <c r="F98"/>
      <c r="G98"/>
      <c r="H98"/>
      <c r="I98"/>
      <c r="J98"/>
      <c r="K98"/>
      <c r="L98"/>
    </row>
    <row r="99" spans="1:12" ht="15" x14ac:dyDescent="0.25">
      <c r="A99"/>
      <c r="B99"/>
      <c r="C99"/>
      <c r="D99"/>
      <c r="E99"/>
      <c r="F99"/>
      <c r="G99"/>
      <c r="H99"/>
      <c r="I99"/>
      <c r="J99"/>
      <c r="K99"/>
      <c r="L99"/>
    </row>
    <row r="100" spans="1:12" ht="15" x14ac:dyDescent="0.25">
      <c r="A100"/>
      <c r="B100"/>
      <c r="C100"/>
      <c r="D100"/>
      <c r="E100"/>
      <c r="F100"/>
      <c r="G100"/>
      <c r="H100"/>
      <c r="I100"/>
      <c r="J100"/>
      <c r="K100"/>
      <c r="L100"/>
    </row>
    <row r="101" spans="1:12" ht="15" x14ac:dyDescent="0.25">
      <c r="A101"/>
      <c r="B101"/>
      <c r="C101"/>
      <c r="D101"/>
      <c r="E101"/>
      <c r="F101"/>
      <c r="G101"/>
      <c r="H101"/>
      <c r="I101"/>
      <c r="J101"/>
      <c r="K101"/>
      <c r="L101"/>
    </row>
    <row r="102" spans="1:12" ht="15" x14ac:dyDescent="0.25">
      <c r="A102"/>
      <c r="B102"/>
      <c r="C102"/>
      <c r="D102"/>
      <c r="E102"/>
      <c r="F102"/>
      <c r="G102"/>
      <c r="H102"/>
      <c r="I102"/>
      <c r="J102"/>
      <c r="K102"/>
      <c r="L102"/>
    </row>
    <row r="103" spans="1:12" ht="15" x14ac:dyDescent="0.25">
      <c r="A103"/>
      <c r="B103"/>
      <c r="C103"/>
      <c r="D103"/>
      <c r="E103"/>
      <c r="F103"/>
      <c r="G103"/>
      <c r="H103"/>
      <c r="I103"/>
      <c r="J103"/>
      <c r="K103"/>
      <c r="L103"/>
    </row>
    <row r="104" spans="1:12" ht="15" x14ac:dyDescent="0.25">
      <c r="A104"/>
      <c r="B104"/>
      <c r="C104"/>
      <c r="D104"/>
      <c r="E104"/>
      <c r="F104"/>
      <c r="G104"/>
      <c r="H104"/>
      <c r="I104"/>
      <c r="J104"/>
      <c r="K104"/>
      <c r="L104"/>
    </row>
    <row r="105" spans="1:12" ht="15" x14ac:dyDescent="0.25">
      <c r="A105"/>
      <c r="B105"/>
      <c r="C105"/>
      <c r="D105"/>
      <c r="E105"/>
      <c r="F105"/>
      <c r="G105"/>
      <c r="H105"/>
      <c r="I105"/>
      <c r="J105"/>
      <c r="K105"/>
      <c r="L105"/>
    </row>
    <row r="106" spans="1:12" ht="15" x14ac:dyDescent="0.25">
      <c r="A106"/>
      <c r="B106"/>
      <c r="C106"/>
      <c r="D106"/>
      <c r="E106"/>
      <c r="F106"/>
      <c r="G106"/>
      <c r="H106"/>
      <c r="I106"/>
      <c r="J106"/>
      <c r="K106"/>
      <c r="L106"/>
    </row>
    <row r="107" spans="1:12" ht="15" x14ac:dyDescent="0.25">
      <c r="A107"/>
      <c r="B107"/>
      <c r="C107"/>
      <c r="D107"/>
      <c r="E107"/>
      <c r="F107"/>
      <c r="G107"/>
      <c r="H107"/>
      <c r="I107"/>
      <c r="J107"/>
      <c r="K107"/>
      <c r="L107"/>
    </row>
    <row r="108" spans="1:12" ht="15" x14ac:dyDescent="0.25">
      <c r="A108"/>
      <c r="B108"/>
      <c r="C108"/>
      <c r="D108"/>
      <c r="E108"/>
      <c r="F108"/>
      <c r="G108"/>
      <c r="H108"/>
      <c r="I108"/>
      <c r="J108"/>
      <c r="K108"/>
      <c r="L108"/>
    </row>
    <row r="109" spans="1:12" ht="15" x14ac:dyDescent="0.25">
      <c r="A109"/>
      <c r="B109"/>
      <c r="C109"/>
      <c r="D109"/>
      <c r="E109"/>
      <c r="F109"/>
      <c r="G109"/>
      <c r="H109"/>
      <c r="I109"/>
      <c r="J109"/>
      <c r="K109"/>
      <c r="L109"/>
    </row>
    <row r="110" spans="1:12" ht="15" x14ac:dyDescent="0.25">
      <c r="A110"/>
      <c r="B110"/>
      <c r="C110"/>
      <c r="D110"/>
      <c r="E110"/>
      <c r="F110"/>
      <c r="G110"/>
      <c r="H110"/>
      <c r="I110"/>
      <c r="J110"/>
      <c r="K110"/>
      <c r="L110"/>
    </row>
    <row r="111" spans="1:12" ht="15" x14ac:dyDescent="0.25">
      <c r="A111"/>
      <c r="B111"/>
      <c r="C111"/>
      <c r="D111"/>
      <c r="E111"/>
      <c r="F111"/>
      <c r="G111"/>
      <c r="H111"/>
      <c r="I111"/>
      <c r="J111"/>
      <c r="K111"/>
      <c r="L111"/>
    </row>
    <row r="112" spans="1:12" ht="15" x14ac:dyDescent="0.25">
      <c r="A112"/>
      <c r="B112"/>
      <c r="C112"/>
      <c r="D112"/>
      <c r="E112"/>
      <c r="F112"/>
      <c r="G112"/>
      <c r="H112"/>
      <c r="I112"/>
      <c r="J112"/>
      <c r="K112"/>
      <c r="L112"/>
    </row>
    <row r="113" spans="1:12" ht="15" x14ac:dyDescent="0.25">
      <c r="A113"/>
      <c r="B113"/>
      <c r="C113"/>
      <c r="D113"/>
      <c r="E113"/>
      <c r="F113"/>
      <c r="G113"/>
      <c r="H113"/>
      <c r="I113"/>
      <c r="J113"/>
      <c r="K113"/>
      <c r="L113"/>
    </row>
    <row r="114" spans="1:12" ht="15" x14ac:dyDescent="0.25">
      <c r="A114"/>
      <c r="B114"/>
      <c r="C114"/>
      <c r="D114"/>
      <c r="E114"/>
      <c r="F114"/>
      <c r="G114"/>
      <c r="H114"/>
      <c r="I114"/>
      <c r="J114"/>
      <c r="K114"/>
      <c r="L114"/>
    </row>
    <row r="115" spans="1:12" ht="15" x14ac:dyDescent="0.25">
      <c r="A115"/>
      <c r="B115"/>
      <c r="C115"/>
      <c r="D115"/>
      <c r="E115"/>
      <c r="F115"/>
      <c r="G115"/>
      <c r="H115"/>
      <c r="I115"/>
      <c r="J115"/>
      <c r="K115"/>
      <c r="L115"/>
    </row>
    <row r="116" spans="1:12" ht="15" x14ac:dyDescent="0.25">
      <c r="A116"/>
      <c r="B116"/>
      <c r="C116"/>
      <c r="D116"/>
      <c r="E116"/>
      <c r="F116"/>
      <c r="G116"/>
      <c r="H116"/>
      <c r="I116"/>
      <c r="J116"/>
      <c r="K116"/>
      <c r="L116"/>
    </row>
    <row r="117" spans="1:12" ht="15" x14ac:dyDescent="0.25">
      <c r="A117"/>
      <c r="B117"/>
      <c r="C117"/>
      <c r="D117"/>
      <c r="E117"/>
      <c r="F117"/>
      <c r="G117"/>
      <c r="H117"/>
      <c r="I117"/>
      <c r="J117"/>
      <c r="K117"/>
      <c r="L117"/>
    </row>
    <row r="118" spans="1:12" ht="15" x14ac:dyDescent="0.25">
      <c r="A118"/>
      <c r="B118"/>
      <c r="C118"/>
      <c r="D118"/>
      <c r="E118"/>
      <c r="F118"/>
      <c r="G118"/>
      <c r="H118"/>
      <c r="I118"/>
      <c r="J118"/>
      <c r="K118"/>
      <c r="L118"/>
    </row>
    <row r="119" spans="1:12" ht="15" x14ac:dyDescent="0.25">
      <c r="A119"/>
      <c r="B119"/>
      <c r="C119"/>
      <c r="D119"/>
      <c r="E119"/>
      <c r="F119"/>
      <c r="G119"/>
      <c r="H119"/>
      <c r="I119"/>
      <c r="J119"/>
      <c r="K119"/>
      <c r="L119"/>
    </row>
    <row r="120" spans="1:12" ht="15" x14ac:dyDescent="0.25">
      <c r="A120"/>
      <c r="B120"/>
      <c r="C120"/>
      <c r="D120"/>
      <c r="E120"/>
      <c r="F120"/>
      <c r="G120"/>
      <c r="H120"/>
      <c r="I120"/>
      <c r="J120"/>
      <c r="K120"/>
      <c r="L120"/>
    </row>
    <row r="121" spans="1:12" ht="15" x14ac:dyDescent="0.25">
      <c r="A121"/>
      <c r="B121"/>
      <c r="C121"/>
      <c r="D121"/>
      <c r="E121"/>
      <c r="F121"/>
      <c r="G121"/>
      <c r="H121"/>
      <c r="I121"/>
      <c r="J121"/>
      <c r="K121"/>
      <c r="L121"/>
    </row>
    <row r="122" spans="1:12" ht="15" x14ac:dyDescent="0.25">
      <c r="A122"/>
      <c r="B122"/>
      <c r="C122"/>
      <c r="D122"/>
      <c r="E122"/>
      <c r="F122"/>
      <c r="G122"/>
      <c r="H122"/>
      <c r="I122"/>
      <c r="J122"/>
      <c r="K122"/>
      <c r="L122"/>
    </row>
    <row r="123" spans="1:12" ht="15" x14ac:dyDescent="0.25">
      <c r="A123"/>
      <c r="B123"/>
      <c r="C123"/>
      <c r="D123"/>
      <c r="E123"/>
      <c r="F123"/>
      <c r="G123"/>
      <c r="H123"/>
      <c r="I123"/>
      <c r="J123"/>
      <c r="K123"/>
      <c r="L123"/>
    </row>
    <row r="124" spans="1:12" ht="15" x14ac:dyDescent="0.25">
      <c r="A124"/>
      <c r="B124"/>
      <c r="C124"/>
      <c r="D124"/>
      <c r="E124"/>
      <c r="F124"/>
      <c r="G124"/>
      <c r="H124"/>
      <c r="I124"/>
      <c r="J124"/>
      <c r="K124"/>
      <c r="L124"/>
    </row>
    <row r="125" spans="1:12" ht="15" x14ac:dyDescent="0.25">
      <c r="A125"/>
      <c r="B125"/>
      <c r="C125"/>
      <c r="D125"/>
      <c r="E125"/>
      <c r="F125"/>
      <c r="G125"/>
      <c r="H125"/>
      <c r="I125"/>
      <c r="J125"/>
      <c r="K125"/>
      <c r="L125"/>
    </row>
    <row r="126" spans="1:12" ht="15" x14ac:dyDescent="0.25">
      <c r="A126"/>
      <c r="B126"/>
      <c r="C126"/>
      <c r="D126"/>
      <c r="E126"/>
      <c r="F126"/>
      <c r="G126"/>
      <c r="H126"/>
      <c r="I126"/>
      <c r="J126"/>
      <c r="K126"/>
      <c r="L126"/>
    </row>
    <row r="127" spans="1:12" ht="15" x14ac:dyDescent="0.25">
      <c r="A127"/>
      <c r="B127"/>
      <c r="C127"/>
      <c r="D127"/>
      <c r="E127"/>
      <c r="F127"/>
      <c r="G127"/>
      <c r="H127"/>
      <c r="I127"/>
      <c r="J127"/>
      <c r="K127"/>
      <c r="L127"/>
    </row>
    <row r="128" spans="1:12" ht="15" x14ac:dyDescent="0.25">
      <c r="A128"/>
      <c r="B128"/>
      <c r="C128"/>
      <c r="D128"/>
      <c r="E128"/>
      <c r="F128"/>
      <c r="G128"/>
      <c r="H128"/>
      <c r="I128"/>
      <c r="J128"/>
      <c r="K128"/>
      <c r="L128"/>
    </row>
    <row r="129" spans="1:12" ht="15" x14ac:dyDescent="0.25">
      <c r="A129"/>
      <c r="B129"/>
      <c r="C129"/>
      <c r="D129"/>
      <c r="E129"/>
      <c r="F129"/>
      <c r="G129"/>
      <c r="H129"/>
      <c r="I129"/>
      <c r="J129"/>
      <c r="K129"/>
      <c r="L129"/>
    </row>
    <row r="130" spans="1:12" ht="15" x14ac:dyDescent="0.25">
      <c r="A130"/>
      <c r="B130"/>
      <c r="C130"/>
      <c r="D130"/>
      <c r="E130"/>
      <c r="F130"/>
      <c r="G130"/>
      <c r="H130"/>
      <c r="I130"/>
      <c r="J130"/>
      <c r="K130"/>
      <c r="L130"/>
    </row>
    <row r="131" spans="1:12" ht="15" x14ac:dyDescent="0.25">
      <c r="A131"/>
      <c r="B131"/>
      <c r="C131"/>
      <c r="D131"/>
      <c r="E131"/>
      <c r="F131"/>
      <c r="G131"/>
      <c r="H131"/>
      <c r="I131"/>
      <c r="J131"/>
      <c r="K131"/>
      <c r="L131"/>
    </row>
    <row r="132" spans="1:12" ht="15" x14ac:dyDescent="0.25">
      <c r="A132"/>
      <c r="B132"/>
      <c r="C132"/>
      <c r="D132"/>
      <c r="E132"/>
      <c r="F132"/>
      <c r="G132"/>
      <c r="H132"/>
      <c r="I132"/>
      <c r="J132"/>
      <c r="K132"/>
      <c r="L132"/>
    </row>
    <row r="133" spans="1:12" ht="15" x14ac:dyDescent="0.25">
      <c r="A133"/>
      <c r="B133"/>
      <c r="C133"/>
      <c r="D133"/>
      <c r="E133"/>
      <c r="F133"/>
      <c r="G133"/>
      <c r="H133"/>
      <c r="I133"/>
      <c r="J133"/>
      <c r="K133"/>
      <c r="L133"/>
    </row>
    <row r="134" spans="1:12" ht="15" x14ac:dyDescent="0.25">
      <c r="A134"/>
      <c r="B134"/>
      <c r="C134"/>
      <c r="D134"/>
      <c r="E134"/>
      <c r="F134"/>
      <c r="G134"/>
      <c r="H134"/>
      <c r="I134"/>
      <c r="J134"/>
      <c r="K134"/>
      <c r="L134"/>
    </row>
    <row r="135" spans="1:12" ht="15" x14ac:dyDescent="0.25">
      <c r="A135"/>
      <c r="B135"/>
      <c r="C135"/>
      <c r="D135"/>
      <c r="E135"/>
      <c r="F135"/>
      <c r="G135"/>
      <c r="H135"/>
      <c r="I135"/>
      <c r="J135"/>
      <c r="K135"/>
      <c r="L135"/>
    </row>
    <row r="136" spans="1:12" ht="15" x14ac:dyDescent="0.25">
      <c r="A136"/>
      <c r="B136"/>
      <c r="C136"/>
      <c r="D136"/>
      <c r="E136"/>
      <c r="F136"/>
      <c r="G136"/>
      <c r="H136"/>
      <c r="I136"/>
      <c r="J136"/>
      <c r="K136"/>
      <c r="L136"/>
    </row>
    <row r="137" spans="1:12" ht="15" x14ac:dyDescent="0.25">
      <c r="A137"/>
      <c r="B137"/>
      <c r="C137"/>
      <c r="D137"/>
      <c r="E137"/>
      <c r="F137"/>
      <c r="G137"/>
      <c r="H137"/>
      <c r="I137"/>
      <c r="J137"/>
      <c r="K137"/>
      <c r="L137"/>
    </row>
    <row r="138" spans="1:12" ht="15" x14ac:dyDescent="0.25">
      <c r="A138"/>
      <c r="B138"/>
      <c r="C138"/>
      <c r="D138"/>
      <c r="E138"/>
      <c r="F138"/>
      <c r="G138"/>
      <c r="H138"/>
      <c r="I138"/>
      <c r="J138"/>
      <c r="K138"/>
      <c r="L138"/>
    </row>
    <row r="139" spans="1:12" ht="15" x14ac:dyDescent="0.25">
      <c r="A139"/>
      <c r="B139"/>
      <c r="C139"/>
      <c r="D139"/>
      <c r="E139"/>
      <c r="F139"/>
      <c r="G139"/>
      <c r="H139"/>
      <c r="I139"/>
      <c r="J139"/>
      <c r="K139"/>
      <c r="L139"/>
    </row>
    <row r="140" spans="1:12" ht="15" x14ac:dyDescent="0.25">
      <c r="A140"/>
      <c r="B140"/>
      <c r="C140"/>
      <c r="D140"/>
      <c r="E140"/>
      <c r="F140"/>
      <c r="G140"/>
      <c r="H140"/>
      <c r="I140"/>
      <c r="J140"/>
      <c r="K140"/>
      <c r="L140"/>
    </row>
    <row r="141" spans="1:12" ht="15" x14ac:dyDescent="0.25">
      <c r="A141"/>
      <c r="B141"/>
      <c r="C141"/>
      <c r="D141"/>
      <c r="E141"/>
      <c r="F141"/>
      <c r="G141"/>
      <c r="H141"/>
      <c r="I141"/>
      <c r="J141"/>
      <c r="K141"/>
      <c r="L141"/>
    </row>
    <row r="142" spans="1:12" ht="15" x14ac:dyDescent="0.25">
      <c r="A142"/>
      <c r="B142"/>
      <c r="C142"/>
      <c r="D142"/>
      <c r="E142"/>
      <c r="F142"/>
      <c r="G142"/>
      <c r="H142"/>
      <c r="I142"/>
      <c r="J142"/>
      <c r="K142"/>
      <c r="L142"/>
    </row>
    <row r="143" spans="1:12" ht="15" x14ac:dyDescent="0.25">
      <c r="A143"/>
      <c r="B143"/>
      <c r="C143"/>
      <c r="D143"/>
      <c r="E143"/>
      <c r="F143"/>
      <c r="G143"/>
      <c r="H143"/>
      <c r="I143"/>
      <c r="J143"/>
      <c r="K143"/>
      <c r="L143"/>
    </row>
    <row r="144" spans="1:12" ht="15" x14ac:dyDescent="0.25">
      <c r="A144"/>
      <c r="B144"/>
      <c r="C144"/>
      <c r="D144"/>
      <c r="E144"/>
      <c r="F144"/>
      <c r="G144"/>
      <c r="H144"/>
      <c r="I144"/>
      <c r="J144"/>
      <c r="K144"/>
      <c r="L144"/>
    </row>
    <row r="145" spans="1:12" ht="15" x14ac:dyDescent="0.25">
      <c r="A145"/>
      <c r="B145"/>
      <c r="C145"/>
      <c r="D145"/>
      <c r="E145"/>
      <c r="F145"/>
      <c r="G145"/>
      <c r="H145"/>
      <c r="I145"/>
      <c r="J145"/>
      <c r="K145"/>
      <c r="L145"/>
    </row>
    <row r="146" spans="1:12" ht="15" x14ac:dyDescent="0.25">
      <c r="A146"/>
      <c r="B146"/>
      <c r="C146"/>
      <c r="D146"/>
      <c r="E146"/>
      <c r="F146"/>
      <c r="G146"/>
      <c r="H146"/>
      <c r="I146"/>
      <c r="J146"/>
      <c r="K146"/>
      <c r="L146"/>
    </row>
    <row r="147" spans="1:12" ht="15" x14ac:dyDescent="0.25">
      <c r="A147"/>
      <c r="B147"/>
      <c r="C147"/>
      <c r="D147"/>
      <c r="E147"/>
      <c r="F147"/>
      <c r="G147"/>
      <c r="H147"/>
      <c r="I147"/>
      <c r="J147"/>
      <c r="K147"/>
      <c r="L147"/>
    </row>
    <row r="148" spans="1:12" ht="15" x14ac:dyDescent="0.25">
      <c r="A148"/>
      <c r="B148"/>
      <c r="C148"/>
      <c r="D148"/>
      <c r="E148"/>
      <c r="F148"/>
      <c r="G148"/>
      <c r="H148"/>
      <c r="I148"/>
      <c r="J148"/>
      <c r="K148"/>
      <c r="L148"/>
    </row>
    <row r="149" spans="1:12" ht="15" x14ac:dyDescent="0.25">
      <c r="A149"/>
      <c r="B149"/>
      <c r="C149"/>
      <c r="D149"/>
      <c r="E149"/>
      <c r="F149"/>
      <c r="G149"/>
      <c r="H149"/>
      <c r="I149"/>
      <c r="J149"/>
      <c r="K149"/>
      <c r="L149"/>
    </row>
    <row r="150" spans="1:12" ht="15" x14ac:dyDescent="0.25">
      <c r="A150"/>
      <c r="B150"/>
      <c r="C150"/>
      <c r="D150"/>
      <c r="E150"/>
      <c r="F150"/>
      <c r="G150"/>
      <c r="H150"/>
      <c r="I150"/>
      <c r="J150"/>
      <c r="K150"/>
      <c r="L150"/>
    </row>
    <row r="151" spans="1:12" ht="15" x14ac:dyDescent="0.25">
      <c r="A151"/>
      <c r="B151"/>
      <c r="C151"/>
      <c r="D151"/>
      <c r="E151"/>
      <c r="F151"/>
      <c r="G151"/>
      <c r="H151"/>
      <c r="I151"/>
      <c r="J151"/>
      <c r="K151"/>
      <c r="L151"/>
    </row>
    <row r="152" spans="1:12" ht="15" x14ac:dyDescent="0.25">
      <c r="A152"/>
      <c r="B152"/>
      <c r="C152"/>
      <c r="D152"/>
      <c r="E152"/>
      <c r="F152"/>
      <c r="G152"/>
      <c r="H152"/>
      <c r="I152"/>
      <c r="J152"/>
      <c r="K152"/>
      <c r="L152"/>
    </row>
    <row r="153" spans="1:12" ht="15" x14ac:dyDescent="0.25">
      <c r="A153"/>
      <c r="B153"/>
      <c r="C153"/>
      <c r="D153"/>
      <c r="E153"/>
      <c r="F153"/>
      <c r="G153"/>
      <c r="H153"/>
      <c r="I153"/>
      <c r="J153"/>
      <c r="K153"/>
      <c r="L153"/>
    </row>
    <row r="154" spans="1:12" ht="15" x14ac:dyDescent="0.25">
      <c r="A154"/>
      <c r="B154"/>
      <c r="C154"/>
      <c r="D154"/>
      <c r="E154"/>
      <c r="F154"/>
      <c r="G154"/>
      <c r="H154"/>
      <c r="I154"/>
      <c r="J154"/>
      <c r="K154"/>
      <c r="L154"/>
    </row>
    <row r="155" spans="1:12" ht="15" x14ac:dyDescent="0.25">
      <c r="A155"/>
      <c r="B155"/>
      <c r="C155"/>
      <c r="D155"/>
      <c r="E155"/>
      <c r="F155"/>
      <c r="G155"/>
      <c r="H155"/>
      <c r="I155"/>
      <c r="J155"/>
      <c r="K155"/>
      <c r="L155"/>
    </row>
    <row r="156" spans="1:12" ht="15" x14ac:dyDescent="0.25">
      <c r="A156"/>
      <c r="B156"/>
      <c r="C156"/>
      <c r="D156"/>
      <c r="E156"/>
      <c r="F156"/>
      <c r="G156"/>
      <c r="H156"/>
      <c r="I156"/>
      <c r="J156"/>
      <c r="K156"/>
      <c r="L156"/>
    </row>
    <row r="157" spans="1:12" ht="15" x14ac:dyDescent="0.25">
      <c r="A157"/>
      <c r="B157"/>
      <c r="C157"/>
      <c r="D157"/>
      <c r="E157"/>
      <c r="F157"/>
      <c r="G157"/>
      <c r="H157"/>
      <c r="I157"/>
      <c r="J157"/>
      <c r="K157"/>
      <c r="L157"/>
    </row>
    <row r="158" spans="1:12" ht="15" x14ac:dyDescent="0.25">
      <c r="A158"/>
      <c r="B158"/>
      <c r="C158"/>
      <c r="D158"/>
      <c r="E158"/>
      <c r="F158"/>
      <c r="G158"/>
      <c r="H158"/>
      <c r="I158"/>
      <c r="J158"/>
      <c r="K158"/>
      <c r="L158"/>
    </row>
    <row r="159" spans="1:12" ht="15" x14ac:dyDescent="0.25">
      <c r="A159"/>
      <c r="B159"/>
      <c r="C159"/>
      <c r="D159"/>
      <c r="E159"/>
      <c r="F159"/>
      <c r="G159"/>
      <c r="H159"/>
      <c r="I159"/>
      <c r="J159"/>
      <c r="K159"/>
      <c r="L159"/>
    </row>
    <row r="160" spans="1:12" ht="15" x14ac:dyDescent="0.25">
      <c r="A160"/>
      <c r="B160"/>
      <c r="C160"/>
      <c r="D160"/>
      <c r="E160"/>
      <c r="F160"/>
      <c r="G160"/>
      <c r="H160"/>
      <c r="I160"/>
      <c r="J160"/>
      <c r="K160"/>
      <c r="L160"/>
    </row>
    <row r="161" spans="1:12" ht="15" x14ac:dyDescent="0.25">
      <c r="A161"/>
      <c r="B161"/>
      <c r="C161"/>
      <c r="D161"/>
      <c r="E161"/>
      <c r="F161"/>
      <c r="G161"/>
      <c r="H161"/>
      <c r="I161"/>
      <c r="J161"/>
      <c r="K161"/>
      <c r="L161"/>
    </row>
    <row r="162" spans="1:12" ht="15" x14ac:dyDescent="0.25">
      <c r="A162"/>
      <c r="B162"/>
      <c r="C162"/>
      <c r="D162"/>
      <c r="E162"/>
      <c r="F162"/>
      <c r="G162"/>
      <c r="H162"/>
      <c r="I162"/>
      <c r="J162"/>
      <c r="K162"/>
      <c r="L162"/>
    </row>
    <row r="163" spans="1:12" ht="15" x14ac:dyDescent="0.25">
      <c r="A163"/>
      <c r="B163"/>
      <c r="C163"/>
      <c r="D163"/>
      <c r="E163"/>
      <c r="F163"/>
      <c r="G163"/>
      <c r="H163"/>
      <c r="I163"/>
      <c r="J163"/>
      <c r="K163"/>
      <c r="L163"/>
    </row>
    <row r="164" spans="1:12" ht="15" x14ac:dyDescent="0.25">
      <c r="A164"/>
      <c r="B164"/>
      <c r="C164"/>
      <c r="D164"/>
      <c r="E164"/>
      <c r="F164"/>
      <c r="G164"/>
      <c r="H164"/>
      <c r="I164"/>
      <c r="J164"/>
      <c r="K164"/>
      <c r="L164"/>
    </row>
    <row r="165" spans="1:12" ht="15" x14ac:dyDescent="0.25">
      <c r="A165"/>
      <c r="B165"/>
      <c r="C165"/>
      <c r="D165"/>
      <c r="E165"/>
      <c r="F165"/>
      <c r="G165"/>
      <c r="H165"/>
      <c r="I165"/>
      <c r="J165"/>
      <c r="K165"/>
      <c r="L165"/>
    </row>
    <row r="166" spans="1:12" ht="15" x14ac:dyDescent="0.25">
      <c r="A166"/>
      <c r="B166"/>
      <c r="C166"/>
      <c r="D166"/>
      <c r="E166"/>
      <c r="F166"/>
      <c r="G166"/>
      <c r="H166"/>
      <c r="I166"/>
      <c r="J166"/>
      <c r="K166"/>
      <c r="L166"/>
    </row>
    <row r="167" spans="1:12" ht="15" x14ac:dyDescent="0.25">
      <c r="A167"/>
      <c r="B167"/>
      <c r="C167"/>
      <c r="D167"/>
      <c r="E167"/>
      <c r="F167"/>
      <c r="G167"/>
      <c r="H167"/>
      <c r="I167"/>
      <c r="J167"/>
      <c r="K167"/>
      <c r="L167"/>
    </row>
    <row r="168" spans="1:12" ht="15" x14ac:dyDescent="0.25">
      <c r="A168"/>
      <c r="B168"/>
      <c r="C168"/>
      <c r="D168"/>
      <c r="E168"/>
      <c r="F168"/>
      <c r="G168"/>
      <c r="H168"/>
      <c r="I168"/>
      <c r="J168"/>
      <c r="K168"/>
      <c r="L168"/>
    </row>
    <row r="169" spans="1:12" ht="15" x14ac:dyDescent="0.25">
      <c r="A169"/>
      <c r="B169"/>
      <c r="C169"/>
      <c r="D169"/>
      <c r="E169"/>
      <c r="F169"/>
      <c r="G169"/>
      <c r="H169"/>
      <c r="I169"/>
      <c r="J169"/>
      <c r="K169"/>
      <c r="L169"/>
    </row>
    <row r="170" spans="1:12" ht="15" x14ac:dyDescent="0.25">
      <c r="A170"/>
      <c r="B170"/>
      <c r="C170"/>
      <c r="D170"/>
      <c r="E170"/>
      <c r="F170"/>
      <c r="G170"/>
      <c r="H170"/>
      <c r="I170"/>
      <c r="J170"/>
      <c r="K170"/>
      <c r="L170"/>
    </row>
    <row r="171" spans="1:12" ht="15" x14ac:dyDescent="0.25">
      <c r="A171"/>
      <c r="B171"/>
      <c r="C171"/>
      <c r="D171"/>
      <c r="E171"/>
      <c r="F171"/>
      <c r="G171"/>
      <c r="H171"/>
      <c r="I171"/>
      <c r="J171"/>
      <c r="K171"/>
      <c r="L171"/>
    </row>
    <row r="172" spans="1:12" ht="15" x14ac:dyDescent="0.25">
      <c r="A172"/>
      <c r="B172"/>
      <c r="C172"/>
      <c r="D172"/>
      <c r="E172"/>
      <c r="F172"/>
      <c r="G172"/>
      <c r="H172"/>
      <c r="I172"/>
      <c r="J172"/>
      <c r="K172"/>
      <c r="L172"/>
    </row>
    <row r="173" spans="1:12" ht="15" x14ac:dyDescent="0.25">
      <c r="A173"/>
      <c r="B173"/>
      <c r="C173"/>
      <c r="D173"/>
      <c r="E173"/>
      <c r="F173"/>
      <c r="G173"/>
      <c r="H173"/>
      <c r="I173"/>
      <c r="J173"/>
      <c r="K173"/>
      <c r="L173"/>
    </row>
    <row r="174" spans="1:12" ht="15" x14ac:dyDescent="0.25">
      <c r="A174"/>
      <c r="B174"/>
      <c r="C174"/>
      <c r="D174"/>
      <c r="E174"/>
      <c r="F174"/>
      <c r="G174"/>
      <c r="H174"/>
      <c r="I174"/>
      <c r="J174"/>
      <c r="K174"/>
      <c r="L174"/>
    </row>
    <row r="175" spans="1:12" ht="15" x14ac:dyDescent="0.25">
      <c r="A175"/>
      <c r="B175"/>
      <c r="C175"/>
      <c r="D175"/>
      <c r="E175"/>
      <c r="F175"/>
      <c r="G175"/>
      <c r="H175"/>
      <c r="I175"/>
      <c r="J175"/>
      <c r="K175"/>
      <c r="L175"/>
    </row>
    <row r="176" spans="1:12" ht="15" x14ac:dyDescent="0.25">
      <c r="A176"/>
      <c r="B176"/>
      <c r="C176"/>
      <c r="D176"/>
      <c r="E176"/>
      <c r="F176"/>
      <c r="G176"/>
      <c r="H176"/>
      <c r="I176"/>
      <c r="J176"/>
      <c r="K176"/>
      <c r="L176"/>
    </row>
    <row r="177" spans="1:12" ht="15" x14ac:dyDescent="0.25">
      <c r="A177"/>
      <c r="B177"/>
      <c r="C177"/>
      <c r="D177"/>
      <c r="E177"/>
      <c r="F177"/>
      <c r="G177"/>
      <c r="H177"/>
      <c r="I177"/>
      <c r="J177"/>
      <c r="K177"/>
      <c r="L177"/>
    </row>
    <row r="178" spans="1:12" ht="15" x14ac:dyDescent="0.25">
      <c r="A178"/>
      <c r="B178"/>
      <c r="C178"/>
      <c r="D178"/>
      <c r="E178"/>
      <c r="F178"/>
      <c r="G178"/>
      <c r="H178"/>
      <c r="I178"/>
      <c r="J178"/>
      <c r="K178"/>
      <c r="L178"/>
    </row>
    <row r="179" spans="1:12" ht="15" x14ac:dyDescent="0.25">
      <c r="A179"/>
      <c r="B179"/>
      <c r="C179"/>
      <c r="D179"/>
      <c r="E179"/>
      <c r="F179"/>
      <c r="G179"/>
      <c r="H179"/>
      <c r="I179"/>
      <c r="J179"/>
      <c r="K179"/>
      <c r="L179"/>
    </row>
    <row r="180" spans="1:12" ht="15" x14ac:dyDescent="0.25">
      <c r="A180"/>
      <c r="B180"/>
      <c r="C180"/>
      <c r="D180"/>
      <c r="E180"/>
      <c r="F180"/>
      <c r="G180"/>
      <c r="H180"/>
      <c r="I180"/>
      <c r="J180"/>
      <c r="K180"/>
      <c r="L180"/>
    </row>
    <row r="181" spans="1:12" ht="15" x14ac:dyDescent="0.25">
      <c r="A181"/>
      <c r="B181"/>
      <c r="C181"/>
      <c r="D181"/>
      <c r="E181"/>
      <c r="F181"/>
      <c r="G181"/>
      <c r="H181"/>
      <c r="I181"/>
      <c r="J181"/>
      <c r="K181"/>
      <c r="L181"/>
    </row>
    <row r="182" spans="1:12" ht="15" x14ac:dyDescent="0.25">
      <c r="A182"/>
      <c r="B182"/>
      <c r="C182"/>
      <c r="D182"/>
      <c r="E182"/>
      <c r="F182"/>
      <c r="G182"/>
      <c r="H182"/>
      <c r="I182"/>
      <c r="J182"/>
      <c r="K182"/>
      <c r="L182"/>
    </row>
    <row r="183" spans="1:12" ht="15" x14ac:dyDescent="0.25">
      <c r="A183"/>
      <c r="B183"/>
      <c r="C183"/>
      <c r="D183"/>
      <c r="E183"/>
      <c r="F183"/>
      <c r="G183"/>
      <c r="H183"/>
      <c r="I183"/>
      <c r="J183"/>
      <c r="K183"/>
      <c r="L183"/>
    </row>
    <row r="184" spans="1:12" ht="15" x14ac:dyDescent="0.25">
      <c r="A184"/>
      <c r="B184"/>
      <c r="C184"/>
      <c r="D184"/>
      <c r="E184"/>
      <c r="F184"/>
      <c r="G184"/>
      <c r="H184"/>
      <c r="I184"/>
      <c r="J184"/>
      <c r="K184"/>
      <c r="L184"/>
    </row>
    <row r="185" spans="1:12" ht="15" x14ac:dyDescent="0.25">
      <c r="A185"/>
      <c r="B185"/>
      <c r="C185"/>
      <c r="D185"/>
      <c r="E185"/>
      <c r="F185"/>
      <c r="G185"/>
      <c r="H185"/>
      <c r="I185"/>
      <c r="J185"/>
      <c r="K185"/>
      <c r="L185"/>
    </row>
    <row r="186" spans="1:12" ht="15" x14ac:dyDescent="0.25">
      <c r="A186"/>
      <c r="B186"/>
      <c r="C186"/>
      <c r="D186"/>
      <c r="E186"/>
      <c r="F186"/>
      <c r="G186"/>
      <c r="H186"/>
      <c r="I186"/>
      <c r="J186"/>
      <c r="K186"/>
      <c r="L186"/>
    </row>
    <row r="187" spans="1:12" ht="15" x14ac:dyDescent="0.25">
      <c r="A187"/>
      <c r="B187"/>
      <c r="C187"/>
      <c r="D187"/>
      <c r="E187"/>
      <c r="F187"/>
      <c r="G187"/>
      <c r="H187"/>
      <c r="I187"/>
      <c r="J187"/>
      <c r="K187"/>
      <c r="L187"/>
    </row>
    <row r="188" spans="1:12" ht="15" x14ac:dyDescent="0.25">
      <c r="A188"/>
      <c r="B188"/>
      <c r="C188"/>
      <c r="D188"/>
      <c r="E188"/>
      <c r="F188"/>
      <c r="G188"/>
      <c r="H188"/>
      <c r="I188"/>
      <c r="J188"/>
      <c r="K188"/>
      <c r="L188"/>
    </row>
    <row r="189" spans="1:12" ht="15" x14ac:dyDescent="0.25">
      <c r="A189"/>
      <c r="B189"/>
      <c r="C189"/>
      <c r="D189"/>
      <c r="E189"/>
      <c r="F189"/>
      <c r="G189"/>
      <c r="H189"/>
      <c r="I189"/>
      <c r="J189"/>
      <c r="K189"/>
      <c r="L189"/>
    </row>
    <row r="190" spans="1:12" ht="15" x14ac:dyDescent="0.25">
      <c r="A190"/>
      <c r="B190"/>
      <c r="C190"/>
      <c r="D190"/>
      <c r="E190"/>
      <c r="F190"/>
      <c r="G190"/>
      <c r="H190"/>
      <c r="I190"/>
      <c r="J190"/>
      <c r="K190"/>
      <c r="L190"/>
    </row>
    <row r="191" spans="1:12" ht="15" x14ac:dyDescent="0.25">
      <c r="A191"/>
      <c r="B191"/>
      <c r="C191"/>
      <c r="D191"/>
      <c r="E191"/>
      <c r="F191"/>
      <c r="G191"/>
      <c r="H191"/>
      <c r="I191"/>
      <c r="J191"/>
      <c r="K191"/>
      <c r="L191"/>
    </row>
    <row r="192" spans="1:12" ht="15" x14ac:dyDescent="0.25">
      <c r="A192"/>
      <c r="B192"/>
      <c r="C192"/>
      <c r="D192"/>
      <c r="E192"/>
      <c r="F192"/>
      <c r="G192"/>
      <c r="H192"/>
      <c r="I192"/>
      <c r="J192"/>
      <c r="K192"/>
      <c r="L192"/>
    </row>
    <row r="193" spans="1:12" ht="15" x14ac:dyDescent="0.25">
      <c r="A193"/>
      <c r="B193"/>
      <c r="C193"/>
      <c r="D193"/>
      <c r="E193"/>
      <c r="F193"/>
      <c r="G193"/>
      <c r="H193"/>
      <c r="I193"/>
      <c r="J193"/>
      <c r="K193"/>
      <c r="L193"/>
    </row>
    <row r="194" spans="1:12" ht="15" x14ac:dyDescent="0.25">
      <c r="A194"/>
      <c r="B194"/>
      <c r="C194"/>
      <c r="D194"/>
      <c r="E194"/>
      <c r="F194"/>
      <c r="G194"/>
      <c r="H194"/>
      <c r="I194"/>
      <c r="J194"/>
      <c r="K194"/>
      <c r="L194"/>
    </row>
    <row r="195" spans="1:12" ht="15" x14ac:dyDescent="0.25">
      <c r="A195"/>
      <c r="B195"/>
      <c r="C195"/>
      <c r="D195"/>
      <c r="E195"/>
      <c r="F195"/>
      <c r="G195"/>
      <c r="H195"/>
      <c r="I195"/>
      <c r="J195"/>
      <c r="K195"/>
      <c r="L195"/>
    </row>
    <row r="196" spans="1:12" ht="15" x14ac:dyDescent="0.25">
      <c r="A196"/>
      <c r="B196"/>
      <c r="C196"/>
      <c r="D196"/>
      <c r="E196"/>
      <c r="F196"/>
      <c r="G196"/>
      <c r="H196"/>
      <c r="I196"/>
      <c r="J196"/>
      <c r="K196"/>
      <c r="L196"/>
    </row>
    <row r="197" spans="1:12" ht="15" x14ac:dyDescent="0.25">
      <c r="A197"/>
      <c r="B197"/>
      <c r="C197"/>
      <c r="D197"/>
      <c r="E197"/>
      <c r="F197"/>
      <c r="G197"/>
      <c r="H197"/>
      <c r="I197"/>
      <c r="J197"/>
      <c r="K197"/>
      <c r="L197"/>
    </row>
    <row r="198" spans="1:12" ht="15" x14ac:dyDescent="0.25">
      <c r="A198"/>
      <c r="B198"/>
      <c r="C198"/>
      <c r="D198"/>
      <c r="E198"/>
      <c r="F198"/>
      <c r="G198"/>
      <c r="H198"/>
      <c r="I198"/>
      <c r="J198"/>
      <c r="K198"/>
      <c r="L198"/>
    </row>
    <row r="199" spans="1:12" ht="15" x14ac:dyDescent="0.25">
      <c r="A199"/>
      <c r="B199"/>
      <c r="C199"/>
      <c r="D199"/>
      <c r="E199"/>
      <c r="F199"/>
      <c r="G199"/>
      <c r="H199"/>
      <c r="I199"/>
      <c r="J199"/>
      <c r="K199"/>
      <c r="L199"/>
    </row>
    <row r="200" spans="1:12" ht="15" x14ac:dyDescent="0.25">
      <c r="A200"/>
      <c r="B200"/>
      <c r="C200"/>
      <c r="D200"/>
      <c r="E200"/>
      <c r="F200"/>
      <c r="G200"/>
      <c r="H200"/>
      <c r="I200"/>
      <c r="J200"/>
      <c r="K200"/>
      <c r="L200"/>
    </row>
    <row r="201" spans="1:12" ht="15" x14ac:dyDescent="0.25">
      <c r="A201"/>
      <c r="B201"/>
      <c r="C201"/>
      <c r="D201"/>
      <c r="E201"/>
      <c r="F201"/>
      <c r="G201"/>
      <c r="H201"/>
      <c r="I201"/>
      <c r="J201"/>
      <c r="K201"/>
      <c r="L201"/>
    </row>
    <row r="202" spans="1:12" ht="15" x14ac:dyDescent="0.25">
      <c r="A202"/>
      <c r="B202"/>
      <c r="C202"/>
      <c r="D202"/>
      <c r="E202"/>
      <c r="F202"/>
      <c r="G202"/>
      <c r="H202"/>
      <c r="I202"/>
      <c r="J202"/>
      <c r="K202"/>
      <c r="L202"/>
    </row>
    <row r="203" spans="1:12" ht="15" x14ac:dyDescent="0.25">
      <c r="A203"/>
      <c r="B203"/>
      <c r="C203"/>
      <c r="D203"/>
      <c r="E203"/>
      <c r="F203"/>
      <c r="G203"/>
      <c r="H203"/>
      <c r="I203"/>
      <c r="J203"/>
      <c r="K203"/>
      <c r="L203"/>
    </row>
    <row r="204" spans="1:12" ht="15" x14ac:dyDescent="0.25">
      <c r="A204"/>
      <c r="B204"/>
      <c r="C204"/>
      <c r="D204"/>
      <c r="E204"/>
      <c r="F204"/>
      <c r="G204"/>
      <c r="H204"/>
      <c r="I204"/>
      <c r="J204"/>
      <c r="K204"/>
      <c r="L204"/>
    </row>
    <row r="205" spans="1:12" ht="15" x14ac:dyDescent="0.25">
      <c r="A205"/>
      <c r="B205"/>
      <c r="C205"/>
      <c r="D205"/>
      <c r="E205"/>
      <c r="F205"/>
      <c r="G205"/>
      <c r="H205"/>
      <c r="I205"/>
      <c r="J205"/>
      <c r="K205"/>
      <c r="L205"/>
    </row>
    <row r="206" spans="1:12" ht="15" x14ac:dyDescent="0.25">
      <c r="A206"/>
      <c r="B206"/>
      <c r="C206"/>
      <c r="D206"/>
      <c r="E206"/>
      <c r="F206"/>
      <c r="G206"/>
      <c r="H206"/>
      <c r="I206"/>
      <c r="J206"/>
      <c r="K206"/>
      <c r="L206"/>
    </row>
    <row r="207" spans="1:12" ht="15" x14ac:dyDescent="0.25">
      <c r="A207"/>
      <c r="B207"/>
      <c r="C207"/>
      <c r="D207"/>
      <c r="E207"/>
      <c r="F207"/>
      <c r="G207"/>
      <c r="H207"/>
      <c r="I207"/>
      <c r="J207"/>
      <c r="K207"/>
      <c r="L207"/>
    </row>
    <row r="208" spans="1:12" ht="15" x14ac:dyDescent="0.25">
      <c r="A208"/>
      <c r="B208"/>
      <c r="C208"/>
      <c r="D208"/>
      <c r="E208"/>
      <c r="F208"/>
      <c r="G208"/>
      <c r="H208"/>
      <c r="I208"/>
      <c r="J208"/>
      <c r="K208"/>
      <c r="L208"/>
    </row>
    <row r="209" spans="1:12" ht="15" x14ac:dyDescent="0.25">
      <c r="A209"/>
      <c r="B209"/>
      <c r="C209"/>
      <c r="D209"/>
      <c r="E209"/>
      <c r="F209"/>
      <c r="G209"/>
      <c r="H209"/>
      <c r="I209"/>
      <c r="J209"/>
      <c r="K209"/>
      <c r="L209"/>
    </row>
    <row r="210" spans="1:12" ht="15" x14ac:dyDescent="0.25">
      <c r="A210"/>
      <c r="B210"/>
      <c r="C210"/>
      <c r="D210"/>
      <c r="E210"/>
      <c r="F210"/>
      <c r="G210"/>
      <c r="H210"/>
      <c r="I210"/>
      <c r="J210"/>
      <c r="K210"/>
      <c r="L210"/>
    </row>
    <row r="211" spans="1:12" ht="15" x14ac:dyDescent="0.25">
      <c r="A211"/>
      <c r="B211"/>
      <c r="C211"/>
      <c r="D211"/>
      <c r="E211"/>
      <c r="F211"/>
      <c r="G211"/>
      <c r="H211"/>
      <c r="I211"/>
      <c r="J211"/>
      <c r="K211"/>
      <c r="L211"/>
    </row>
    <row r="212" spans="1:12" ht="15" x14ac:dyDescent="0.25">
      <c r="A212"/>
      <c r="B212"/>
      <c r="C212"/>
      <c r="D212"/>
      <c r="E212"/>
      <c r="F212"/>
      <c r="G212"/>
      <c r="H212"/>
      <c r="I212"/>
      <c r="J212"/>
      <c r="K212"/>
      <c r="L212"/>
    </row>
    <row r="213" spans="1:12" ht="15" x14ac:dyDescent="0.25">
      <c r="A213"/>
      <c r="B213"/>
      <c r="C213"/>
      <c r="D213"/>
      <c r="E213"/>
      <c r="F213"/>
      <c r="G213"/>
      <c r="H213"/>
      <c r="I213"/>
      <c r="J213"/>
      <c r="K213"/>
      <c r="L213"/>
    </row>
    <row r="214" spans="1:12" ht="15" x14ac:dyDescent="0.25">
      <c r="A214"/>
      <c r="B214"/>
      <c r="C214"/>
      <c r="D214"/>
      <c r="E214"/>
      <c r="F214"/>
      <c r="G214"/>
      <c r="H214"/>
      <c r="I214"/>
      <c r="J214"/>
      <c r="K214"/>
      <c r="L214"/>
    </row>
    <row r="215" spans="1:12" ht="15" x14ac:dyDescent="0.25">
      <c r="A215"/>
      <c r="B215"/>
      <c r="C215"/>
      <c r="D215"/>
      <c r="E215"/>
      <c r="F215"/>
      <c r="G215"/>
      <c r="H215"/>
      <c r="I215"/>
      <c r="J215"/>
      <c r="K215"/>
      <c r="L215"/>
    </row>
    <row r="216" spans="1:12" ht="15" x14ac:dyDescent="0.25">
      <c r="A216"/>
      <c r="B216"/>
      <c r="C216"/>
      <c r="D216"/>
      <c r="E216"/>
      <c r="F216"/>
      <c r="G216"/>
      <c r="H216"/>
      <c r="I216"/>
      <c r="J216"/>
      <c r="K216"/>
      <c r="L216"/>
    </row>
    <row r="217" spans="1:12" ht="15" x14ac:dyDescent="0.25">
      <c r="A217"/>
      <c r="B217"/>
      <c r="C217"/>
      <c r="D217"/>
      <c r="E217"/>
      <c r="F217"/>
      <c r="G217"/>
      <c r="H217"/>
      <c r="I217"/>
      <c r="J217"/>
      <c r="K217"/>
      <c r="L217"/>
    </row>
    <row r="218" spans="1:12" ht="15" x14ac:dyDescent="0.25">
      <c r="A218"/>
      <c r="B218"/>
      <c r="C218"/>
      <c r="D218"/>
      <c r="E218"/>
      <c r="F218"/>
      <c r="G218"/>
      <c r="H218"/>
      <c r="I218"/>
      <c r="J218"/>
      <c r="K218"/>
      <c r="L218"/>
    </row>
    <row r="219" spans="1:12" ht="15" x14ac:dyDescent="0.25">
      <c r="A219"/>
      <c r="B219"/>
      <c r="C219"/>
      <c r="D219"/>
      <c r="E219"/>
      <c r="F219"/>
      <c r="G219"/>
      <c r="H219"/>
      <c r="I219"/>
      <c r="J219"/>
      <c r="K219"/>
      <c r="L219"/>
    </row>
    <row r="220" spans="1:12" ht="15" x14ac:dyDescent="0.25">
      <c r="A220"/>
      <c r="B220"/>
      <c r="C220"/>
      <c r="D220"/>
      <c r="E220"/>
      <c r="F220"/>
      <c r="G220"/>
      <c r="H220"/>
      <c r="I220"/>
      <c r="J220"/>
      <c r="K220"/>
      <c r="L220"/>
    </row>
    <row r="221" spans="1:12" ht="15" x14ac:dyDescent="0.25">
      <c r="A221"/>
      <c r="B221"/>
      <c r="C221"/>
      <c r="D221"/>
      <c r="E221"/>
      <c r="F221"/>
      <c r="G221"/>
      <c r="H221"/>
      <c r="I221"/>
      <c r="J221"/>
      <c r="K221"/>
      <c r="L221"/>
    </row>
    <row r="222" spans="1:12" ht="15" x14ac:dyDescent="0.25">
      <c r="A222"/>
      <c r="B222"/>
      <c r="C222"/>
      <c r="D222"/>
      <c r="E222"/>
      <c r="F222"/>
      <c r="G222"/>
      <c r="H222"/>
      <c r="I222"/>
      <c r="J222"/>
      <c r="K222"/>
      <c r="L222"/>
    </row>
    <row r="223" spans="1:12" ht="15" x14ac:dyDescent="0.25">
      <c r="A223"/>
      <c r="B223"/>
      <c r="C223"/>
      <c r="D223"/>
      <c r="E223"/>
      <c r="F223"/>
      <c r="G223"/>
      <c r="H223"/>
      <c r="I223"/>
      <c r="J223"/>
      <c r="K223"/>
      <c r="L223"/>
    </row>
    <row r="224" spans="1:12" ht="15" x14ac:dyDescent="0.25">
      <c r="A224"/>
      <c r="B224"/>
      <c r="C224"/>
      <c r="D224"/>
      <c r="E224"/>
      <c r="F224"/>
      <c r="G224"/>
      <c r="H224"/>
      <c r="I224"/>
      <c r="J224"/>
      <c r="K224"/>
      <c r="L224"/>
    </row>
    <row r="225" spans="1:12" ht="15" x14ac:dyDescent="0.25">
      <c r="A225"/>
      <c r="B225"/>
      <c r="C225"/>
      <c r="D225"/>
      <c r="E225"/>
      <c r="F225"/>
      <c r="G225"/>
      <c r="H225"/>
      <c r="I225"/>
      <c r="J225"/>
      <c r="K225"/>
      <c r="L225"/>
    </row>
    <row r="226" spans="1:12" ht="15" x14ac:dyDescent="0.25">
      <c r="A226"/>
      <c r="B226"/>
      <c r="C226"/>
      <c r="D226"/>
      <c r="E226"/>
      <c r="F226"/>
      <c r="G226"/>
      <c r="H226"/>
      <c r="I226"/>
      <c r="J226"/>
      <c r="K226"/>
      <c r="L226"/>
    </row>
    <row r="227" spans="1:12" ht="15" x14ac:dyDescent="0.25">
      <c r="A227"/>
      <c r="B227"/>
      <c r="C227"/>
      <c r="D227"/>
      <c r="E227"/>
      <c r="F227"/>
      <c r="G227"/>
      <c r="H227"/>
      <c r="I227"/>
      <c r="J227"/>
      <c r="K227"/>
      <c r="L227"/>
    </row>
    <row r="228" spans="1:12" ht="15" x14ac:dyDescent="0.25">
      <c r="A228"/>
      <c r="B228"/>
      <c r="C228"/>
      <c r="D228"/>
      <c r="E228"/>
      <c r="F228"/>
      <c r="G228"/>
      <c r="H228"/>
      <c r="I228"/>
      <c r="J228"/>
      <c r="K228"/>
      <c r="L228"/>
    </row>
    <row r="229" spans="1:12" ht="15" x14ac:dyDescent="0.25">
      <c r="A229"/>
      <c r="B229"/>
      <c r="C229"/>
      <c r="D229"/>
      <c r="E229"/>
      <c r="F229"/>
      <c r="G229"/>
      <c r="H229"/>
      <c r="I229"/>
      <c r="J229"/>
      <c r="K229"/>
      <c r="L229"/>
    </row>
    <row r="230" spans="1:12" ht="15" x14ac:dyDescent="0.25">
      <c r="A230"/>
      <c r="B230"/>
      <c r="C230"/>
      <c r="D230"/>
      <c r="E230"/>
      <c r="F230"/>
      <c r="G230"/>
      <c r="H230"/>
      <c r="I230"/>
      <c r="J230"/>
      <c r="K230"/>
      <c r="L230"/>
    </row>
    <row r="231" spans="1:12" ht="15" x14ac:dyDescent="0.25">
      <c r="A231"/>
      <c r="B231"/>
      <c r="C231"/>
      <c r="D231"/>
      <c r="E231"/>
      <c r="F231"/>
      <c r="G231"/>
      <c r="H231"/>
      <c r="I231"/>
      <c r="J231"/>
      <c r="K231"/>
      <c r="L231"/>
    </row>
    <row r="232" spans="1:12" ht="15" x14ac:dyDescent="0.25">
      <c r="A232"/>
      <c r="B232"/>
      <c r="C232"/>
      <c r="D232"/>
      <c r="E232"/>
      <c r="F232"/>
      <c r="G232"/>
      <c r="H232"/>
      <c r="I232"/>
      <c r="J232"/>
      <c r="K232"/>
      <c r="L232"/>
    </row>
    <row r="233" spans="1:12" ht="15" x14ac:dyDescent="0.25">
      <c r="A233"/>
      <c r="B233"/>
      <c r="C233"/>
      <c r="D233"/>
      <c r="E233"/>
      <c r="F233"/>
      <c r="G233"/>
      <c r="H233"/>
      <c r="I233"/>
      <c r="J233"/>
      <c r="K233"/>
      <c r="L233"/>
    </row>
    <row r="234" spans="1:12" ht="15" x14ac:dyDescent="0.25">
      <c r="A234"/>
      <c r="B234"/>
      <c r="C234"/>
      <c r="D234"/>
      <c r="E234"/>
      <c r="F234"/>
      <c r="G234"/>
      <c r="H234"/>
      <c r="I234"/>
      <c r="J234"/>
      <c r="K234"/>
      <c r="L234"/>
    </row>
    <row r="235" spans="1:12" ht="15" x14ac:dyDescent="0.25">
      <c r="A235"/>
      <c r="B235"/>
      <c r="C235"/>
      <c r="D235"/>
      <c r="E235"/>
      <c r="F235"/>
      <c r="G235"/>
      <c r="H235"/>
      <c r="I235"/>
      <c r="J235"/>
      <c r="K235"/>
      <c r="L235"/>
    </row>
    <row r="236" spans="1:12" ht="15" x14ac:dyDescent="0.25">
      <c r="A236"/>
      <c r="B236"/>
      <c r="C236"/>
      <c r="D236"/>
      <c r="E236"/>
      <c r="F236"/>
      <c r="G236"/>
      <c r="H236"/>
      <c r="I236"/>
      <c r="J236"/>
      <c r="K236"/>
      <c r="L236"/>
    </row>
    <row r="237" spans="1:12" ht="15" x14ac:dyDescent="0.25">
      <c r="A237"/>
      <c r="B237"/>
      <c r="C237"/>
      <c r="D237"/>
      <c r="E237"/>
      <c r="F237"/>
      <c r="G237"/>
      <c r="H237"/>
      <c r="I237"/>
      <c r="J237"/>
      <c r="K237"/>
      <c r="L237"/>
    </row>
    <row r="238" spans="1:12" ht="15" x14ac:dyDescent="0.25">
      <c r="A238"/>
      <c r="B238"/>
      <c r="C238"/>
      <c r="D238"/>
      <c r="E238"/>
      <c r="F238"/>
      <c r="G238"/>
      <c r="H238"/>
      <c r="I238"/>
      <c r="J238"/>
      <c r="K238"/>
      <c r="L238"/>
    </row>
    <row r="239" spans="1:12" ht="15" x14ac:dyDescent="0.25">
      <c r="A239"/>
      <c r="B239"/>
      <c r="C239"/>
      <c r="D239"/>
      <c r="E239"/>
      <c r="F239"/>
      <c r="G239"/>
      <c r="H239"/>
      <c r="I239"/>
      <c r="J239"/>
      <c r="K239"/>
      <c r="L239"/>
    </row>
    <row r="240" spans="1:12" ht="15" x14ac:dyDescent="0.25">
      <c r="A240"/>
      <c r="B240"/>
      <c r="C240"/>
      <c r="D240"/>
      <c r="E240"/>
      <c r="F240"/>
      <c r="G240"/>
      <c r="H240"/>
      <c r="I240"/>
      <c r="J240"/>
      <c r="K240"/>
      <c r="L240"/>
    </row>
    <row r="241" spans="1:12" ht="15" x14ac:dyDescent="0.25">
      <c r="A241"/>
      <c r="B241"/>
      <c r="C241"/>
      <c r="D241"/>
      <c r="E241"/>
      <c r="F241"/>
      <c r="G241"/>
      <c r="H241"/>
      <c r="I241"/>
      <c r="J241"/>
      <c r="K241"/>
      <c r="L241"/>
    </row>
    <row r="242" spans="1:12" ht="15" x14ac:dyDescent="0.25">
      <c r="A242"/>
      <c r="B242"/>
      <c r="C242"/>
      <c r="D242"/>
      <c r="E242"/>
      <c r="F242"/>
      <c r="G242"/>
      <c r="H242"/>
      <c r="I242"/>
      <c r="J242"/>
      <c r="K242"/>
      <c r="L242"/>
    </row>
    <row r="243" spans="1:12" ht="15" x14ac:dyDescent="0.25">
      <c r="A243"/>
      <c r="B243"/>
      <c r="C243"/>
      <c r="D243"/>
      <c r="E243"/>
      <c r="F243"/>
      <c r="G243"/>
      <c r="H243"/>
      <c r="I243"/>
      <c r="J243"/>
      <c r="K243"/>
      <c r="L243"/>
    </row>
    <row r="244" spans="1:12" ht="15" x14ac:dyDescent="0.25">
      <c r="A244"/>
      <c r="B244"/>
      <c r="C244"/>
      <c r="D244"/>
      <c r="E244"/>
      <c r="F244"/>
      <c r="G244"/>
      <c r="H244"/>
      <c r="I244"/>
      <c r="J244"/>
      <c r="K244"/>
      <c r="L244"/>
    </row>
    <row r="245" spans="1:12" ht="15" x14ac:dyDescent="0.25">
      <c r="A245"/>
      <c r="B245"/>
      <c r="C245"/>
      <c r="D245"/>
      <c r="E245"/>
      <c r="F245"/>
      <c r="G245"/>
      <c r="H245"/>
      <c r="I245"/>
      <c r="J245"/>
      <c r="K245"/>
      <c r="L245"/>
    </row>
    <row r="246" spans="1:12" ht="15" x14ac:dyDescent="0.25">
      <c r="A246"/>
      <c r="B246"/>
      <c r="C246"/>
      <c r="D246"/>
      <c r="E246"/>
      <c r="F246"/>
      <c r="G246"/>
      <c r="H246"/>
      <c r="I246"/>
      <c r="J246"/>
      <c r="K246"/>
      <c r="L246"/>
    </row>
    <row r="247" spans="1:12" ht="15" x14ac:dyDescent="0.25">
      <c r="A247"/>
      <c r="B247"/>
      <c r="C247"/>
      <c r="D247"/>
      <c r="E247"/>
      <c r="F247"/>
      <c r="G247"/>
      <c r="H247"/>
      <c r="I247"/>
      <c r="J247"/>
      <c r="K247"/>
      <c r="L247"/>
    </row>
    <row r="248" spans="1:12" ht="15" x14ac:dyDescent="0.25">
      <c r="A248"/>
      <c r="B248"/>
      <c r="C248"/>
      <c r="D248"/>
      <c r="E248"/>
      <c r="F248"/>
      <c r="G248"/>
      <c r="H248"/>
      <c r="I248"/>
      <c r="J248"/>
      <c r="K248"/>
      <c r="L248"/>
    </row>
    <row r="249" spans="1:12" ht="15" x14ac:dyDescent="0.25">
      <c r="A249"/>
      <c r="B249"/>
      <c r="C249"/>
      <c r="D249"/>
      <c r="E249"/>
      <c r="F249"/>
      <c r="G249"/>
      <c r="H249"/>
      <c r="I249"/>
      <c r="J249"/>
      <c r="K249"/>
      <c r="L249"/>
    </row>
    <row r="250" spans="1:12" ht="15" x14ac:dyDescent="0.25">
      <c r="A250"/>
      <c r="B250"/>
      <c r="C250"/>
      <c r="D250"/>
      <c r="E250"/>
      <c r="F250"/>
      <c r="G250"/>
      <c r="H250"/>
      <c r="I250"/>
      <c r="J250"/>
      <c r="K250"/>
      <c r="L250"/>
    </row>
    <row r="251" spans="1:12" ht="15" x14ac:dyDescent="0.25">
      <c r="A251"/>
      <c r="B251"/>
      <c r="C251"/>
      <c r="D251"/>
      <c r="E251"/>
      <c r="F251"/>
      <c r="G251"/>
      <c r="H251"/>
      <c r="I251"/>
      <c r="J251"/>
      <c r="K251"/>
      <c r="L251"/>
    </row>
    <row r="252" spans="1:12" ht="15" x14ac:dyDescent="0.25">
      <c r="A252"/>
      <c r="B252"/>
      <c r="C252"/>
      <c r="D252"/>
      <c r="E252"/>
      <c r="F252"/>
      <c r="G252"/>
      <c r="H252"/>
      <c r="I252"/>
      <c r="J252"/>
      <c r="K252"/>
      <c r="L252"/>
    </row>
    <row r="253" spans="1:12" ht="15" x14ac:dyDescent="0.25">
      <c r="A253"/>
      <c r="B253"/>
      <c r="C253"/>
      <c r="D253"/>
      <c r="E253"/>
      <c r="F253"/>
      <c r="G253"/>
      <c r="H253"/>
      <c r="I253"/>
      <c r="J253"/>
      <c r="K253"/>
      <c r="L253"/>
    </row>
    <row r="254" spans="1:12" ht="15" x14ac:dyDescent="0.25">
      <c r="A254"/>
      <c r="B254"/>
      <c r="C254"/>
      <c r="D254"/>
      <c r="E254"/>
      <c r="F254"/>
      <c r="G254"/>
      <c r="H254"/>
      <c r="I254"/>
      <c r="J254"/>
      <c r="K254"/>
      <c r="L254"/>
    </row>
    <row r="255" spans="1:12" ht="15" x14ac:dyDescent="0.25">
      <c r="A255"/>
      <c r="B255"/>
      <c r="C255"/>
      <c r="D255"/>
      <c r="E255"/>
      <c r="F255"/>
      <c r="G255"/>
      <c r="H255"/>
      <c r="I255"/>
      <c r="J255"/>
      <c r="K255"/>
      <c r="L255"/>
    </row>
    <row r="256" spans="1:12" ht="15" x14ac:dyDescent="0.25">
      <c r="A256"/>
      <c r="B256"/>
      <c r="C256"/>
      <c r="D256"/>
      <c r="E256"/>
      <c r="F256"/>
      <c r="G256"/>
      <c r="H256"/>
      <c r="I256"/>
      <c r="J256"/>
      <c r="K256"/>
      <c r="L256"/>
    </row>
    <row r="257" spans="1:12" ht="15" x14ac:dyDescent="0.25">
      <c r="A257"/>
      <c r="B257"/>
      <c r="C257"/>
      <c r="D257"/>
      <c r="E257"/>
      <c r="F257"/>
      <c r="G257"/>
      <c r="H257"/>
      <c r="I257"/>
      <c r="J257"/>
      <c r="K257"/>
      <c r="L257"/>
    </row>
    <row r="258" spans="1:12" ht="15" x14ac:dyDescent="0.25">
      <c r="A258"/>
      <c r="B258"/>
      <c r="C258"/>
      <c r="D258"/>
      <c r="E258"/>
      <c r="F258"/>
      <c r="G258"/>
      <c r="H258"/>
      <c r="I258"/>
      <c r="J258"/>
      <c r="K258"/>
      <c r="L258"/>
    </row>
    <row r="259" spans="1:12" ht="15" x14ac:dyDescent="0.25">
      <c r="A259"/>
      <c r="B259"/>
      <c r="C259"/>
      <c r="D259"/>
      <c r="E259"/>
      <c r="F259"/>
      <c r="G259"/>
      <c r="H259"/>
      <c r="I259"/>
      <c r="J259"/>
      <c r="K259"/>
      <c r="L259"/>
    </row>
    <row r="260" spans="1:12" ht="15" x14ac:dyDescent="0.25">
      <c r="A260"/>
      <c r="B260"/>
      <c r="C260"/>
      <c r="D260"/>
      <c r="E260"/>
      <c r="F260"/>
      <c r="G260"/>
      <c r="H260"/>
      <c r="I260"/>
      <c r="J260"/>
      <c r="K260"/>
      <c r="L260"/>
    </row>
    <row r="261" spans="1:12" ht="15" x14ac:dyDescent="0.25">
      <c r="A261"/>
      <c r="B261"/>
      <c r="C261"/>
      <c r="D261"/>
      <c r="E261"/>
      <c r="F261"/>
      <c r="G261"/>
      <c r="H261"/>
      <c r="I261"/>
      <c r="J261"/>
      <c r="K261"/>
      <c r="L261"/>
    </row>
    <row r="262" spans="1:12" ht="15" x14ac:dyDescent="0.25">
      <c r="A262"/>
      <c r="B262"/>
      <c r="C262"/>
      <c r="D262"/>
      <c r="E262"/>
      <c r="F262"/>
      <c r="G262"/>
      <c r="H262"/>
      <c r="I262"/>
      <c r="J262"/>
      <c r="K262"/>
      <c r="L262"/>
    </row>
    <row r="263" spans="1:12" ht="15" x14ac:dyDescent="0.25">
      <c r="A263"/>
      <c r="B263"/>
      <c r="C263"/>
      <c r="D263"/>
      <c r="E263"/>
      <c r="F263"/>
      <c r="G263"/>
      <c r="H263"/>
      <c r="I263"/>
      <c r="J263"/>
      <c r="K263"/>
      <c r="L263"/>
    </row>
    <row r="264" spans="1:12" ht="15" x14ac:dyDescent="0.25">
      <c r="A264"/>
      <c r="B264"/>
      <c r="C264"/>
      <c r="D264"/>
      <c r="E264"/>
      <c r="F264"/>
      <c r="G264"/>
      <c r="H264"/>
      <c r="I264"/>
      <c r="J264"/>
      <c r="K264"/>
      <c r="L264"/>
    </row>
    <row r="265" spans="1:12" ht="15" x14ac:dyDescent="0.25">
      <c r="A265"/>
      <c r="B265"/>
      <c r="C265"/>
      <c r="D265"/>
      <c r="E265"/>
      <c r="F265"/>
      <c r="G265"/>
      <c r="H265"/>
      <c r="I265"/>
      <c r="J265"/>
      <c r="K265"/>
      <c r="L265"/>
    </row>
    <row r="266" spans="1:12" ht="15" x14ac:dyDescent="0.25">
      <c r="A266"/>
      <c r="B266"/>
      <c r="C266"/>
      <c r="D266"/>
      <c r="E266"/>
      <c r="F266"/>
      <c r="G266"/>
      <c r="H266"/>
      <c r="I266"/>
      <c r="J266"/>
      <c r="K266"/>
      <c r="L266"/>
    </row>
    <row r="267" spans="1:12" ht="15" x14ac:dyDescent="0.25">
      <c r="A267"/>
      <c r="B267"/>
      <c r="C267"/>
      <c r="D267"/>
      <c r="E267"/>
      <c r="F267"/>
      <c r="G267"/>
      <c r="H267"/>
      <c r="I267"/>
      <c r="J267"/>
      <c r="K267"/>
      <c r="L267"/>
    </row>
    <row r="268" spans="1:12" ht="15" x14ac:dyDescent="0.25">
      <c r="A268"/>
      <c r="B268"/>
      <c r="C268"/>
      <c r="D268"/>
      <c r="E268"/>
      <c r="F268"/>
      <c r="G268"/>
      <c r="H268"/>
      <c r="I268"/>
      <c r="J268"/>
      <c r="K268"/>
      <c r="L268"/>
    </row>
    <row r="269" spans="1:12" ht="15" x14ac:dyDescent="0.25">
      <c r="A269"/>
      <c r="B269"/>
      <c r="C269"/>
      <c r="D269"/>
      <c r="E269"/>
      <c r="F269"/>
      <c r="G269"/>
      <c r="H269"/>
      <c r="I269"/>
      <c r="J269"/>
      <c r="K269"/>
      <c r="L269"/>
    </row>
    <row r="270" spans="1:12" ht="15" x14ac:dyDescent="0.25">
      <c r="A270"/>
      <c r="B270"/>
      <c r="C270"/>
      <c r="D270"/>
      <c r="E270"/>
      <c r="F270"/>
      <c r="G270"/>
      <c r="H270"/>
      <c r="I270"/>
      <c r="J270"/>
      <c r="K270"/>
      <c r="L270"/>
    </row>
    <row r="271" spans="1:12" ht="15" x14ac:dyDescent="0.25">
      <c r="A271"/>
      <c r="B271"/>
      <c r="C271"/>
      <c r="D271"/>
      <c r="E271"/>
      <c r="F271"/>
      <c r="G271"/>
      <c r="H271"/>
      <c r="I271"/>
      <c r="J271"/>
      <c r="K271"/>
      <c r="L271"/>
    </row>
    <row r="272" spans="1:12" ht="15" x14ac:dyDescent="0.25">
      <c r="A272"/>
      <c r="B272"/>
      <c r="C272"/>
      <c r="D272"/>
      <c r="E272"/>
      <c r="F272"/>
      <c r="G272"/>
      <c r="H272"/>
      <c r="I272"/>
      <c r="J272"/>
      <c r="K272"/>
      <c r="L272"/>
    </row>
    <row r="273" spans="1:12" ht="15" x14ac:dyDescent="0.25">
      <c r="A273"/>
      <c r="B273"/>
      <c r="C273"/>
      <c r="D273"/>
      <c r="E273"/>
      <c r="F273"/>
      <c r="G273"/>
      <c r="H273"/>
      <c r="I273"/>
      <c r="J273"/>
      <c r="K273"/>
      <c r="L273"/>
    </row>
    <row r="274" spans="1:12" ht="15" x14ac:dyDescent="0.25">
      <c r="A274"/>
      <c r="B274"/>
      <c r="C274"/>
      <c r="D274"/>
      <c r="E274"/>
      <c r="F274"/>
      <c r="G274"/>
      <c r="H274"/>
      <c r="I274"/>
      <c r="J274"/>
      <c r="K274"/>
      <c r="L274"/>
    </row>
    <row r="275" spans="1:12" ht="15" x14ac:dyDescent="0.25">
      <c r="A275"/>
      <c r="B275"/>
      <c r="C275"/>
      <c r="D275"/>
      <c r="E275"/>
      <c r="F275"/>
      <c r="G275"/>
      <c r="H275"/>
      <c r="I275"/>
      <c r="J275"/>
      <c r="K275"/>
      <c r="L275"/>
    </row>
    <row r="276" spans="1:12" ht="15" x14ac:dyDescent="0.25">
      <c r="A276"/>
      <c r="B276"/>
      <c r="C276"/>
      <c r="D276"/>
      <c r="E276"/>
      <c r="F276"/>
      <c r="G276"/>
      <c r="H276"/>
      <c r="I276"/>
      <c r="J276"/>
      <c r="K276"/>
      <c r="L276"/>
    </row>
    <row r="277" spans="1:12" ht="15" x14ac:dyDescent="0.25">
      <c r="A277"/>
      <c r="B277"/>
      <c r="C277"/>
      <c r="D277"/>
      <c r="E277"/>
      <c r="F277"/>
      <c r="G277"/>
      <c r="H277"/>
      <c r="I277"/>
      <c r="J277"/>
      <c r="K277"/>
      <c r="L277"/>
    </row>
    <row r="278" spans="1:12" ht="15" x14ac:dyDescent="0.25">
      <c r="A278"/>
      <c r="B278"/>
      <c r="C278"/>
      <c r="D278"/>
      <c r="E278"/>
      <c r="F278"/>
      <c r="G278"/>
      <c r="H278"/>
      <c r="I278"/>
      <c r="J278"/>
      <c r="K278"/>
      <c r="L278"/>
    </row>
    <row r="279" spans="1:12" ht="15" x14ac:dyDescent="0.25">
      <c r="A279"/>
      <c r="B279"/>
      <c r="C279"/>
      <c r="D279"/>
      <c r="E279"/>
      <c r="F279"/>
      <c r="G279"/>
      <c r="H279"/>
      <c r="I279"/>
      <c r="J279"/>
      <c r="K279"/>
      <c r="L279"/>
    </row>
    <row r="280" spans="1:12" ht="15" x14ac:dyDescent="0.25">
      <c r="A280"/>
      <c r="B280"/>
      <c r="C280"/>
      <c r="D280"/>
      <c r="E280"/>
      <c r="F280"/>
      <c r="G280"/>
      <c r="H280"/>
      <c r="I280"/>
      <c r="J280"/>
      <c r="K280"/>
      <c r="L280"/>
    </row>
    <row r="281" spans="1:12" ht="15" x14ac:dyDescent="0.25">
      <c r="A281"/>
      <c r="B281"/>
      <c r="C281"/>
      <c r="D281"/>
      <c r="E281"/>
      <c r="F281"/>
      <c r="G281"/>
      <c r="H281"/>
      <c r="I281"/>
      <c r="J281"/>
      <c r="K281"/>
      <c r="L281"/>
    </row>
    <row r="282" spans="1:12" ht="15" x14ac:dyDescent="0.25">
      <c r="A282"/>
      <c r="B282"/>
      <c r="C282"/>
      <c r="D282"/>
      <c r="E282"/>
      <c r="F282"/>
      <c r="G282"/>
      <c r="H282"/>
      <c r="I282"/>
      <c r="J282"/>
      <c r="K282"/>
      <c r="L282"/>
    </row>
    <row r="283" spans="1:12" ht="15" x14ac:dyDescent="0.25">
      <c r="A283"/>
      <c r="B283"/>
      <c r="C283"/>
      <c r="D283"/>
      <c r="E283"/>
      <c r="F283"/>
      <c r="G283"/>
      <c r="H283"/>
      <c r="I283"/>
      <c r="J283"/>
      <c r="K283"/>
      <c r="L283"/>
    </row>
    <row r="284" spans="1:12" ht="15" x14ac:dyDescent="0.25">
      <c r="A284"/>
      <c r="B284"/>
      <c r="C284"/>
      <c r="D284"/>
      <c r="E284"/>
      <c r="F284"/>
      <c r="G284"/>
      <c r="H284"/>
      <c r="I284"/>
      <c r="J284"/>
      <c r="K284"/>
      <c r="L284"/>
    </row>
    <row r="285" spans="1:12" ht="15" x14ac:dyDescent="0.25">
      <c r="A285"/>
      <c r="B285"/>
      <c r="C285"/>
      <c r="D285"/>
      <c r="E285"/>
      <c r="F285"/>
      <c r="G285"/>
      <c r="H285"/>
      <c r="I285"/>
      <c r="J285"/>
      <c r="K285"/>
      <c r="L285"/>
    </row>
    <row r="286" spans="1:12" ht="15" x14ac:dyDescent="0.25">
      <c r="A286"/>
      <c r="B286"/>
      <c r="C286"/>
      <c r="D286"/>
      <c r="E286"/>
      <c r="F286"/>
      <c r="G286"/>
      <c r="H286"/>
      <c r="I286"/>
      <c r="J286"/>
      <c r="K286"/>
      <c r="L286"/>
    </row>
    <row r="287" spans="1:12" ht="15" x14ac:dyDescent="0.25">
      <c r="A287"/>
      <c r="B287"/>
      <c r="C287"/>
      <c r="D287"/>
      <c r="E287"/>
      <c r="F287"/>
      <c r="G287"/>
      <c r="H287"/>
      <c r="I287"/>
      <c r="J287"/>
      <c r="K287"/>
      <c r="L287"/>
    </row>
    <row r="288" spans="1:12" ht="15" x14ac:dyDescent="0.25">
      <c r="A288"/>
      <c r="B288"/>
      <c r="C288"/>
      <c r="D288"/>
      <c r="E288"/>
      <c r="F288"/>
      <c r="G288"/>
      <c r="H288"/>
      <c r="I288"/>
      <c r="J288"/>
      <c r="K288"/>
      <c r="L288"/>
    </row>
    <row r="289" spans="1:12" ht="15" x14ac:dyDescent="0.25">
      <c r="A289"/>
      <c r="B289"/>
      <c r="C289"/>
      <c r="D289"/>
      <c r="E289"/>
      <c r="F289"/>
      <c r="G289"/>
      <c r="H289"/>
      <c r="I289"/>
      <c r="J289"/>
      <c r="K289"/>
      <c r="L289"/>
    </row>
    <row r="290" spans="1:12" ht="15" x14ac:dyDescent="0.25">
      <c r="A290"/>
      <c r="B290"/>
      <c r="C290"/>
      <c r="D290"/>
      <c r="E290"/>
      <c r="F290"/>
      <c r="G290"/>
      <c r="H290"/>
      <c r="I290"/>
      <c r="J290"/>
      <c r="K290"/>
      <c r="L290"/>
    </row>
    <row r="291" spans="1:12" ht="15" x14ac:dyDescent="0.25">
      <c r="A291"/>
      <c r="B291"/>
      <c r="C291"/>
      <c r="D291"/>
      <c r="E291"/>
      <c r="F291"/>
      <c r="G291"/>
      <c r="H291"/>
      <c r="I291"/>
      <c r="J291"/>
      <c r="K291"/>
      <c r="L291"/>
    </row>
    <row r="292" spans="1:12" ht="15" x14ac:dyDescent="0.25">
      <c r="A292"/>
      <c r="B292"/>
      <c r="C292"/>
      <c r="D292"/>
      <c r="E292"/>
      <c r="F292"/>
      <c r="G292"/>
      <c r="H292"/>
      <c r="I292"/>
      <c r="J292"/>
      <c r="K292"/>
      <c r="L292"/>
    </row>
    <row r="293" spans="1:12" ht="15" x14ac:dyDescent="0.25">
      <c r="A293"/>
      <c r="B293"/>
      <c r="C293"/>
      <c r="D293"/>
      <c r="E293"/>
      <c r="F293"/>
      <c r="G293"/>
      <c r="H293"/>
      <c r="I293"/>
      <c r="J293"/>
      <c r="K293"/>
      <c r="L293"/>
    </row>
    <row r="294" spans="1:12" ht="15" x14ac:dyDescent="0.25">
      <c r="A294"/>
      <c r="B294"/>
      <c r="C294"/>
      <c r="D294"/>
      <c r="E294"/>
      <c r="F294"/>
      <c r="G294"/>
      <c r="H294"/>
      <c r="I294"/>
      <c r="J294"/>
      <c r="K294"/>
      <c r="L294"/>
    </row>
    <row r="295" spans="1:12" ht="15" x14ac:dyDescent="0.25">
      <c r="A295"/>
      <c r="B295"/>
      <c r="C295"/>
      <c r="D295"/>
      <c r="E295"/>
      <c r="F295"/>
      <c r="G295"/>
      <c r="H295"/>
      <c r="I295"/>
      <c r="J295"/>
      <c r="K295"/>
      <c r="L295"/>
    </row>
    <row r="296" spans="1:12" ht="15" x14ac:dyDescent="0.25">
      <c r="A296"/>
      <c r="B296"/>
      <c r="C296"/>
      <c r="D296"/>
      <c r="E296"/>
      <c r="F296"/>
      <c r="G296"/>
      <c r="H296"/>
      <c r="I296"/>
      <c r="J296"/>
      <c r="K296"/>
      <c r="L296"/>
    </row>
    <row r="297" spans="1:12" ht="15" x14ac:dyDescent="0.25">
      <c r="A297"/>
      <c r="B297"/>
      <c r="C297"/>
      <c r="D297"/>
      <c r="E297"/>
      <c r="F297"/>
      <c r="G297"/>
      <c r="H297"/>
      <c r="I297"/>
      <c r="J297"/>
      <c r="K297"/>
      <c r="L297"/>
    </row>
    <row r="298" spans="1:12" ht="15" x14ac:dyDescent="0.25">
      <c r="A298"/>
      <c r="B298"/>
      <c r="C298"/>
      <c r="D298"/>
      <c r="E298"/>
      <c r="F298"/>
      <c r="G298"/>
      <c r="H298"/>
      <c r="I298"/>
      <c r="J298"/>
      <c r="K298"/>
      <c r="L298"/>
    </row>
    <row r="299" spans="1:12" ht="15" x14ac:dyDescent="0.25">
      <c r="A299"/>
      <c r="B299"/>
      <c r="C299"/>
      <c r="D299"/>
      <c r="E299"/>
      <c r="F299"/>
      <c r="G299"/>
      <c r="H299"/>
      <c r="I299"/>
      <c r="J299"/>
      <c r="K299"/>
      <c r="L299"/>
    </row>
    <row r="300" spans="1:12" ht="15" x14ac:dyDescent="0.25">
      <c r="A300"/>
      <c r="B300"/>
      <c r="C300"/>
      <c r="D300"/>
      <c r="E300"/>
      <c r="F300"/>
      <c r="G300"/>
      <c r="H300"/>
      <c r="I300"/>
      <c r="J300"/>
      <c r="K300"/>
      <c r="L300"/>
    </row>
    <row r="301" spans="1:12" ht="15" x14ac:dyDescent="0.25">
      <c r="A301"/>
      <c r="B301"/>
      <c r="C301"/>
      <c r="D301"/>
      <c r="E301"/>
      <c r="F301"/>
      <c r="G301"/>
      <c r="H301"/>
      <c r="I301"/>
      <c r="J301"/>
      <c r="K301"/>
      <c r="L301"/>
    </row>
    <row r="302" spans="1:12" ht="15" x14ac:dyDescent="0.25">
      <c r="A302"/>
      <c r="B302"/>
      <c r="C302"/>
      <c r="D302"/>
      <c r="E302"/>
      <c r="F302"/>
      <c r="G302"/>
      <c r="H302"/>
      <c r="I302"/>
      <c r="J302"/>
      <c r="K302"/>
      <c r="L302"/>
    </row>
    <row r="303" spans="1:12" ht="15" x14ac:dyDescent="0.25">
      <c r="A303"/>
      <c r="B303"/>
      <c r="C303"/>
      <c r="D303"/>
      <c r="E303"/>
      <c r="F303"/>
      <c r="G303"/>
      <c r="H303"/>
      <c r="I303"/>
      <c r="J303"/>
      <c r="K303"/>
      <c r="L303"/>
    </row>
    <row r="304" spans="1:12" ht="15" x14ac:dyDescent="0.25">
      <c r="A304"/>
      <c r="B304"/>
      <c r="C304"/>
      <c r="D304"/>
      <c r="E304"/>
      <c r="F304"/>
      <c r="G304"/>
      <c r="H304"/>
      <c r="I304"/>
      <c r="J304"/>
      <c r="K304"/>
      <c r="L304"/>
    </row>
    <row r="305" spans="1:12" ht="15" x14ac:dyDescent="0.25">
      <c r="A305"/>
      <c r="B305"/>
      <c r="C305"/>
      <c r="D305"/>
      <c r="E305"/>
      <c r="F305"/>
      <c r="G305"/>
      <c r="H305"/>
      <c r="I305"/>
      <c r="J305"/>
      <c r="K305"/>
      <c r="L305"/>
    </row>
    <row r="306" spans="1:12" ht="15" x14ac:dyDescent="0.25">
      <c r="A306"/>
      <c r="B306"/>
      <c r="C306"/>
      <c r="D306"/>
      <c r="E306"/>
      <c r="F306"/>
      <c r="G306"/>
      <c r="H306"/>
      <c r="I306"/>
      <c r="J306"/>
      <c r="K306"/>
      <c r="L306"/>
    </row>
    <row r="307" spans="1:12" ht="15" x14ac:dyDescent="0.25">
      <c r="A307"/>
      <c r="B307"/>
      <c r="C307"/>
      <c r="D307"/>
      <c r="E307"/>
      <c r="F307"/>
      <c r="G307"/>
      <c r="H307"/>
      <c r="I307"/>
      <c r="J307"/>
      <c r="K307"/>
      <c r="L307"/>
    </row>
    <row r="308" spans="1:12" ht="15" x14ac:dyDescent="0.25">
      <c r="A308"/>
      <c r="B308"/>
      <c r="C308"/>
      <c r="D308"/>
      <c r="E308"/>
      <c r="F308"/>
      <c r="G308"/>
      <c r="H308"/>
      <c r="I308"/>
      <c r="J308"/>
      <c r="K308"/>
      <c r="L308"/>
    </row>
    <row r="309" spans="1:12" ht="15" x14ac:dyDescent="0.25">
      <c r="A309"/>
      <c r="B309"/>
      <c r="C309"/>
      <c r="D309"/>
      <c r="E309"/>
      <c r="F309"/>
      <c r="G309"/>
      <c r="H309"/>
      <c r="I309"/>
      <c r="J309"/>
      <c r="K309"/>
      <c r="L309"/>
    </row>
    <row r="310" spans="1:12" ht="15" x14ac:dyDescent="0.25">
      <c r="A310"/>
      <c r="B310"/>
      <c r="C310"/>
      <c r="D310"/>
      <c r="E310"/>
      <c r="F310"/>
      <c r="G310"/>
      <c r="H310"/>
      <c r="I310"/>
      <c r="J310"/>
      <c r="K310"/>
      <c r="L310"/>
    </row>
    <row r="311" spans="1:12" ht="15" x14ac:dyDescent="0.25">
      <c r="A311"/>
      <c r="B311"/>
      <c r="C311"/>
      <c r="D311"/>
      <c r="E311"/>
      <c r="F311"/>
      <c r="G311"/>
      <c r="H311"/>
      <c r="I311"/>
      <c r="J311"/>
      <c r="K311"/>
      <c r="L311"/>
    </row>
    <row r="312" spans="1:12" ht="15" x14ac:dyDescent="0.25">
      <c r="A312"/>
      <c r="B312"/>
      <c r="C312"/>
      <c r="D312"/>
      <c r="E312"/>
      <c r="F312"/>
      <c r="G312"/>
      <c r="H312"/>
      <c r="I312"/>
      <c r="J312"/>
      <c r="K312"/>
      <c r="L312"/>
    </row>
    <row r="313" spans="1:12" ht="15" x14ac:dyDescent="0.25">
      <c r="A313"/>
      <c r="B313"/>
      <c r="C313"/>
      <c r="D313"/>
      <c r="E313"/>
      <c r="F313"/>
      <c r="G313"/>
      <c r="H313"/>
      <c r="I313"/>
      <c r="J313"/>
      <c r="K313"/>
      <c r="L313"/>
    </row>
    <row r="314" spans="1:12" ht="15" x14ac:dyDescent="0.25">
      <c r="A314"/>
      <c r="B314"/>
      <c r="C314"/>
      <c r="D314"/>
      <c r="E314"/>
      <c r="F314"/>
      <c r="G314"/>
      <c r="H314"/>
      <c r="I314"/>
      <c r="J314"/>
      <c r="K314"/>
      <c r="L314"/>
    </row>
    <row r="315" spans="1:12" ht="15" x14ac:dyDescent="0.25">
      <c r="A315"/>
      <c r="B315"/>
      <c r="C315"/>
      <c r="D315"/>
      <c r="E315"/>
      <c r="F315"/>
      <c r="G315"/>
      <c r="H315"/>
      <c r="I315"/>
      <c r="J315"/>
      <c r="K315"/>
      <c r="L315"/>
    </row>
    <row r="316" spans="1:12" ht="15" x14ac:dyDescent="0.25">
      <c r="A316"/>
      <c r="B316"/>
      <c r="C316"/>
      <c r="D316"/>
      <c r="E316"/>
      <c r="F316"/>
      <c r="G316"/>
      <c r="H316"/>
      <c r="I316"/>
      <c r="J316"/>
      <c r="K316"/>
      <c r="L316"/>
    </row>
    <row r="317" spans="1:12" ht="15" x14ac:dyDescent="0.25">
      <c r="A317"/>
      <c r="B317"/>
      <c r="C317"/>
      <c r="D317"/>
      <c r="E317"/>
      <c r="F317"/>
      <c r="G317"/>
      <c r="H317"/>
      <c r="I317"/>
      <c r="J317"/>
      <c r="K317"/>
      <c r="L317"/>
    </row>
    <row r="318" spans="1:12" ht="15" x14ac:dyDescent="0.25">
      <c r="A318"/>
      <c r="B318"/>
      <c r="C318"/>
      <c r="D318"/>
      <c r="E318"/>
      <c r="F318"/>
      <c r="G318"/>
      <c r="H318"/>
      <c r="I318"/>
      <c r="J318"/>
      <c r="K318"/>
      <c r="L318"/>
    </row>
    <row r="319" spans="1:12" ht="15" x14ac:dyDescent="0.25">
      <c r="A319"/>
      <c r="B319"/>
      <c r="C319"/>
      <c r="D319"/>
      <c r="E319"/>
      <c r="F319"/>
      <c r="G319"/>
      <c r="H319"/>
      <c r="I319"/>
      <c r="J319"/>
      <c r="K319"/>
      <c r="L319"/>
    </row>
    <row r="320" spans="1:12" ht="15" x14ac:dyDescent="0.25">
      <c r="A320"/>
      <c r="B320"/>
      <c r="C320"/>
      <c r="D320"/>
      <c r="E320"/>
      <c r="F320"/>
      <c r="G320"/>
      <c r="H320"/>
      <c r="I320"/>
      <c r="J320"/>
      <c r="K320"/>
      <c r="L320"/>
    </row>
    <row r="321" spans="1:12" ht="15" x14ac:dyDescent="0.25">
      <c r="A321"/>
      <c r="B321"/>
      <c r="C321"/>
      <c r="D321"/>
      <c r="E321"/>
      <c r="F321"/>
      <c r="G321"/>
      <c r="H321"/>
      <c r="I321"/>
      <c r="J321"/>
      <c r="K321"/>
      <c r="L321"/>
    </row>
    <row r="322" spans="1:12" ht="15" x14ac:dyDescent="0.25">
      <c r="A322"/>
      <c r="B322"/>
      <c r="C322"/>
      <c r="D322"/>
      <c r="E322"/>
      <c r="F322"/>
      <c r="G322"/>
      <c r="H322"/>
      <c r="I322"/>
      <c r="J322"/>
      <c r="K322"/>
      <c r="L322"/>
    </row>
    <row r="323" spans="1:12" ht="15" x14ac:dyDescent="0.25">
      <c r="A323"/>
      <c r="B323"/>
      <c r="C323"/>
      <c r="D323"/>
      <c r="E323"/>
      <c r="F323"/>
      <c r="G323"/>
      <c r="H323"/>
      <c r="I323"/>
      <c r="J323"/>
      <c r="K323"/>
      <c r="L323"/>
    </row>
    <row r="324" spans="1:12" ht="15" x14ac:dyDescent="0.25">
      <c r="A324"/>
      <c r="B324"/>
      <c r="C324"/>
      <c r="D324"/>
      <c r="E324"/>
      <c r="F324"/>
      <c r="G324"/>
      <c r="H324"/>
      <c r="I324"/>
      <c r="J324"/>
      <c r="K324"/>
      <c r="L324"/>
    </row>
    <row r="325" spans="1:12" ht="15" x14ac:dyDescent="0.25">
      <c r="A325"/>
      <c r="B325"/>
      <c r="C325"/>
      <c r="D325"/>
      <c r="E325"/>
      <c r="F325"/>
      <c r="G325"/>
      <c r="H325"/>
      <c r="I325"/>
      <c r="J325"/>
      <c r="K325"/>
      <c r="L325"/>
    </row>
    <row r="326" spans="1:12" ht="15" x14ac:dyDescent="0.25">
      <c r="A326"/>
      <c r="B326"/>
      <c r="C326"/>
      <c r="D326"/>
      <c r="E326"/>
      <c r="F326"/>
      <c r="G326"/>
      <c r="H326"/>
      <c r="I326"/>
      <c r="J326"/>
      <c r="K326"/>
      <c r="L326"/>
    </row>
    <row r="327" spans="1:12" ht="15" x14ac:dyDescent="0.25">
      <c r="A327"/>
      <c r="B327"/>
      <c r="C327"/>
      <c r="D327"/>
      <c r="E327"/>
      <c r="F327"/>
      <c r="G327"/>
      <c r="H327"/>
      <c r="I327"/>
      <c r="J327"/>
      <c r="K327"/>
      <c r="L327"/>
    </row>
    <row r="328" spans="1:12" ht="15" x14ac:dyDescent="0.25">
      <c r="A328"/>
      <c r="B328"/>
      <c r="C328"/>
      <c r="D328"/>
      <c r="E328"/>
      <c r="F328"/>
      <c r="G328"/>
      <c r="H328"/>
      <c r="I328"/>
      <c r="J328"/>
      <c r="K328"/>
      <c r="L328"/>
    </row>
    <row r="329" spans="1:12" ht="15" x14ac:dyDescent="0.25">
      <c r="A329"/>
      <c r="B329"/>
      <c r="C329"/>
      <c r="D329"/>
      <c r="E329"/>
      <c r="F329"/>
      <c r="G329"/>
      <c r="H329"/>
      <c r="I329"/>
      <c r="J329"/>
      <c r="K329"/>
      <c r="L329"/>
    </row>
    <row r="330" spans="1:12" ht="15" x14ac:dyDescent="0.25">
      <c r="A330"/>
      <c r="B330"/>
      <c r="C330"/>
      <c r="D330"/>
      <c r="E330"/>
      <c r="F330"/>
      <c r="G330"/>
      <c r="H330"/>
      <c r="I330"/>
      <c r="J330"/>
      <c r="K330"/>
      <c r="L330"/>
    </row>
    <row r="331" spans="1:12" ht="15" x14ac:dyDescent="0.25">
      <c r="A331"/>
      <c r="B331"/>
      <c r="C331"/>
      <c r="D331"/>
      <c r="E331"/>
      <c r="F331"/>
      <c r="G331"/>
      <c r="H331"/>
      <c r="I331"/>
      <c r="J331"/>
      <c r="K331"/>
      <c r="L331"/>
    </row>
    <row r="332" spans="1:12" ht="15" x14ac:dyDescent="0.25">
      <c r="A332"/>
      <c r="B332"/>
      <c r="C332"/>
      <c r="D332"/>
      <c r="E332"/>
      <c r="F332"/>
      <c r="G332"/>
      <c r="H332"/>
      <c r="I332"/>
      <c r="J332"/>
      <c r="K332"/>
      <c r="L332"/>
    </row>
    <row r="333" spans="1:12" ht="15" x14ac:dyDescent="0.25">
      <c r="A333"/>
      <c r="B333"/>
      <c r="C333"/>
      <c r="D333"/>
      <c r="E333"/>
      <c r="F333"/>
      <c r="G333"/>
      <c r="H333"/>
      <c r="I333"/>
      <c r="J333"/>
      <c r="K333"/>
      <c r="L333"/>
    </row>
    <row r="334" spans="1:12" ht="15" x14ac:dyDescent="0.25">
      <c r="A334"/>
      <c r="B334"/>
      <c r="C334"/>
      <c r="D334"/>
      <c r="E334"/>
      <c r="F334"/>
      <c r="G334"/>
      <c r="H334"/>
      <c r="I334"/>
      <c r="J334"/>
      <c r="K334"/>
      <c r="L334"/>
    </row>
    <row r="335" spans="1:12" ht="15" x14ac:dyDescent="0.25">
      <c r="A335"/>
      <c r="B335"/>
      <c r="C335"/>
      <c r="D335"/>
      <c r="E335"/>
      <c r="F335"/>
      <c r="G335"/>
      <c r="H335"/>
      <c r="I335"/>
      <c r="J335"/>
      <c r="K335"/>
      <c r="L335"/>
    </row>
    <row r="336" spans="1:12" ht="15" x14ac:dyDescent="0.25">
      <c r="A336"/>
      <c r="B336"/>
      <c r="C336"/>
      <c r="D336"/>
      <c r="E336"/>
      <c r="F336"/>
      <c r="G336"/>
      <c r="H336"/>
      <c r="I336"/>
      <c r="J336"/>
      <c r="K336"/>
      <c r="L336"/>
    </row>
    <row r="337" spans="1:12" ht="15" x14ac:dyDescent="0.25">
      <c r="A337"/>
      <c r="B337"/>
      <c r="C337"/>
      <c r="D337"/>
      <c r="E337"/>
      <c r="F337"/>
      <c r="G337"/>
      <c r="H337"/>
      <c r="I337"/>
      <c r="J337"/>
      <c r="K337"/>
      <c r="L337"/>
    </row>
    <row r="338" spans="1:12" ht="15" x14ac:dyDescent="0.25">
      <c r="A338"/>
      <c r="B338"/>
      <c r="C338"/>
      <c r="D338"/>
      <c r="E338"/>
      <c r="F338"/>
      <c r="G338"/>
      <c r="H338"/>
      <c r="I338"/>
      <c r="J338"/>
      <c r="K338"/>
      <c r="L338"/>
    </row>
    <row r="339" spans="1:12" ht="15" x14ac:dyDescent="0.25">
      <c r="A339"/>
      <c r="B339"/>
      <c r="C339"/>
      <c r="D339"/>
      <c r="E339"/>
      <c r="F339"/>
      <c r="G339"/>
      <c r="H339"/>
      <c r="I339"/>
      <c r="J339"/>
      <c r="K339"/>
      <c r="L339"/>
    </row>
    <row r="340" spans="1:12" ht="15" x14ac:dyDescent="0.25">
      <c r="A340"/>
      <c r="B340"/>
      <c r="C340"/>
      <c r="D340"/>
      <c r="E340"/>
      <c r="F340"/>
      <c r="G340"/>
      <c r="H340"/>
      <c r="I340"/>
      <c r="J340"/>
      <c r="K340"/>
      <c r="L340"/>
    </row>
    <row r="341" spans="1:12" ht="15" x14ac:dyDescent="0.25">
      <c r="A341"/>
      <c r="B341"/>
      <c r="C341"/>
      <c r="D341"/>
      <c r="E341"/>
      <c r="F341"/>
      <c r="G341"/>
      <c r="H341"/>
      <c r="I341"/>
      <c r="J341"/>
      <c r="K341"/>
      <c r="L341"/>
    </row>
    <row r="342" spans="1:12" ht="15" x14ac:dyDescent="0.25">
      <c r="A342"/>
      <c r="B342"/>
      <c r="C342"/>
      <c r="D342"/>
      <c r="E342"/>
      <c r="F342"/>
      <c r="G342"/>
      <c r="H342"/>
      <c r="I342"/>
      <c r="J342"/>
      <c r="K342"/>
      <c r="L342"/>
    </row>
    <row r="343" spans="1:12" ht="15" x14ac:dyDescent="0.25">
      <c r="A343"/>
      <c r="B343"/>
      <c r="C343"/>
      <c r="D343"/>
      <c r="E343"/>
      <c r="F343"/>
      <c r="G343"/>
      <c r="H343"/>
      <c r="I343"/>
      <c r="J343"/>
      <c r="K343"/>
      <c r="L343"/>
    </row>
    <row r="344" spans="1:12" ht="15" x14ac:dyDescent="0.25">
      <c r="A344"/>
      <c r="B344"/>
      <c r="C344"/>
      <c r="D344"/>
      <c r="E344"/>
      <c r="F344"/>
      <c r="G344"/>
      <c r="H344"/>
      <c r="I344"/>
      <c r="J344"/>
      <c r="K344"/>
      <c r="L344"/>
    </row>
    <row r="345" spans="1:12" ht="15" x14ac:dyDescent="0.25">
      <c r="A345"/>
      <c r="B345"/>
      <c r="C345"/>
      <c r="D345"/>
      <c r="E345"/>
      <c r="F345"/>
      <c r="G345"/>
      <c r="H345"/>
      <c r="I345"/>
      <c r="J345"/>
      <c r="K345"/>
      <c r="L345"/>
    </row>
    <row r="346" spans="1:12" ht="15" x14ac:dyDescent="0.25">
      <c r="A346"/>
      <c r="B346"/>
      <c r="C346"/>
      <c r="D346"/>
      <c r="E346"/>
      <c r="F346"/>
      <c r="G346"/>
      <c r="H346"/>
      <c r="I346"/>
      <c r="J346"/>
      <c r="K346"/>
      <c r="L346"/>
    </row>
    <row r="347" spans="1:12" ht="15" x14ac:dyDescent="0.25">
      <c r="A347"/>
      <c r="B347"/>
      <c r="C347"/>
      <c r="D347"/>
      <c r="E347"/>
      <c r="F347"/>
      <c r="G347"/>
      <c r="H347"/>
      <c r="I347"/>
      <c r="J347"/>
      <c r="K347"/>
      <c r="L347"/>
    </row>
    <row r="348" spans="1:12" ht="15" x14ac:dyDescent="0.25">
      <c r="A348"/>
      <c r="B348"/>
      <c r="C348"/>
      <c r="D348"/>
      <c r="E348"/>
      <c r="F348"/>
      <c r="G348"/>
      <c r="H348"/>
      <c r="I348"/>
      <c r="J348"/>
      <c r="K348"/>
      <c r="L348"/>
    </row>
    <row r="349" spans="1:12" ht="15" x14ac:dyDescent="0.25">
      <c r="A349"/>
      <c r="B349"/>
      <c r="C349"/>
      <c r="D349"/>
      <c r="E349"/>
      <c r="F349"/>
      <c r="G349"/>
      <c r="H349"/>
      <c r="I349"/>
      <c r="J349"/>
      <c r="K349"/>
      <c r="L349"/>
    </row>
    <row r="350" spans="1:12" ht="15" x14ac:dyDescent="0.25">
      <c r="A350"/>
      <c r="B350"/>
      <c r="C350"/>
      <c r="D350"/>
      <c r="E350"/>
      <c r="F350"/>
      <c r="G350"/>
      <c r="H350"/>
      <c r="I350"/>
      <c r="J350"/>
      <c r="K350"/>
      <c r="L350"/>
    </row>
    <row r="351" spans="1:12" ht="15" x14ac:dyDescent="0.25">
      <c r="A351"/>
      <c r="B351"/>
      <c r="C351"/>
      <c r="D351"/>
      <c r="E351"/>
      <c r="F351"/>
      <c r="G351"/>
      <c r="H351"/>
      <c r="I351"/>
      <c r="J351"/>
      <c r="K351"/>
      <c r="L351"/>
    </row>
    <row r="352" spans="1:12" ht="15" x14ac:dyDescent="0.25">
      <c r="A352"/>
      <c r="B352"/>
      <c r="C352"/>
      <c r="D352"/>
      <c r="E352"/>
      <c r="F352"/>
      <c r="G352"/>
      <c r="H352"/>
      <c r="I352"/>
      <c r="J352"/>
      <c r="K352"/>
      <c r="L352"/>
    </row>
    <row r="353" spans="1:12" ht="15" x14ac:dyDescent="0.25">
      <c r="A353"/>
      <c r="B353"/>
      <c r="C353"/>
      <c r="D353"/>
      <c r="E353"/>
      <c r="F353"/>
      <c r="G353"/>
      <c r="H353"/>
      <c r="I353"/>
      <c r="J353"/>
      <c r="K353"/>
      <c r="L353"/>
    </row>
    <row r="354" spans="1:12" ht="15" x14ac:dyDescent="0.25">
      <c r="A354"/>
      <c r="B354"/>
      <c r="C354"/>
      <c r="D354"/>
      <c r="E354"/>
      <c r="F354"/>
      <c r="G354"/>
      <c r="H354"/>
      <c r="I354"/>
      <c r="J354"/>
      <c r="K354"/>
      <c r="L354"/>
    </row>
    <row r="355" spans="1:12" ht="15" x14ac:dyDescent="0.25">
      <c r="A355"/>
      <c r="B355"/>
      <c r="C355"/>
      <c r="D355"/>
      <c r="E355"/>
      <c r="F355"/>
      <c r="G355"/>
      <c r="H355"/>
      <c r="I355"/>
      <c r="J355"/>
      <c r="K355"/>
      <c r="L355"/>
    </row>
    <row r="356" spans="1:12" ht="15" x14ac:dyDescent="0.25">
      <c r="A356"/>
      <c r="B356"/>
      <c r="C356"/>
      <c r="D356"/>
      <c r="E356"/>
      <c r="F356"/>
      <c r="G356"/>
      <c r="H356"/>
      <c r="I356"/>
      <c r="J356"/>
      <c r="K356"/>
      <c r="L356"/>
    </row>
    <row r="357" spans="1:12" ht="15" x14ac:dyDescent="0.25">
      <c r="A357"/>
      <c r="B357"/>
      <c r="C357"/>
      <c r="D357"/>
      <c r="E357"/>
      <c r="F357"/>
      <c r="G357"/>
      <c r="H357"/>
      <c r="I357"/>
      <c r="J357"/>
      <c r="K357"/>
      <c r="L357"/>
    </row>
    <row r="358" spans="1:12" ht="15" x14ac:dyDescent="0.25">
      <c r="A358"/>
      <c r="B358"/>
      <c r="C358"/>
      <c r="D358"/>
      <c r="E358"/>
      <c r="F358"/>
      <c r="G358"/>
      <c r="H358"/>
      <c r="I358"/>
      <c r="J358"/>
      <c r="K358"/>
      <c r="L358"/>
    </row>
    <row r="359" spans="1:12" ht="15" x14ac:dyDescent="0.25">
      <c r="A359"/>
      <c r="B359"/>
      <c r="C359"/>
      <c r="D359"/>
      <c r="E359"/>
      <c r="F359"/>
      <c r="G359"/>
      <c r="H359"/>
      <c r="I359"/>
      <c r="J359"/>
      <c r="K359"/>
      <c r="L359"/>
    </row>
    <row r="360" spans="1:12" ht="15" x14ac:dyDescent="0.25">
      <c r="A360"/>
      <c r="B360"/>
      <c r="C360"/>
      <c r="D360"/>
      <c r="E360"/>
      <c r="F360"/>
      <c r="G360"/>
      <c r="H360"/>
      <c r="I360"/>
      <c r="J360"/>
      <c r="K360"/>
      <c r="L360"/>
    </row>
    <row r="361" spans="1:12" ht="15" x14ac:dyDescent="0.25">
      <c r="A361"/>
      <c r="B361"/>
      <c r="C361"/>
      <c r="D361"/>
      <c r="E361"/>
      <c r="F361"/>
      <c r="G361"/>
      <c r="H361"/>
      <c r="I361"/>
      <c r="J361"/>
      <c r="K361"/>
      <c r="L361"/>
    </row>
    <row r="362" spans="1:12" ht="15" x14ac:dyDescent="0.25">
      <c r="A362"/>
      <c r="B362"/>
      <c r="C362"/>
      <c r="D362"/>
      <c r="E362"/>
      <c r="F362"/>
      <c r="G362"/>
      <c r="H362"/>
      <c r="I362"/>
      <c r="J362"/>
      <c r="K362"/>
      <c r="L362"/>
    </row>
    <row r="363" spans="1:12" ht="15" x14ac:dyDescent="0.25">
      <c r="A363"/>
      <c r="B363"/>
      <c r="C363"/>
      <c r="D363"/>
      <c r="E363"/>
      <c r="F363"/>
      <c r="G363"/>
      <c r="H363"/>
      <c r="I363"/>
      <c r="J363"/>
      <c r="K363"/>
      <c r="L363"/>
    </row>
    <row r="364" spans="1:12" ht="15" x14ac:dyDescent="0.25">
      <c r="A364"/>
      <c r="B364"/>
      <c r="C364"/>
      <c r="D364"/>
      <c r="E364"/>
      <c r="F364"/>
      <c r="G364"/>
      <c r="H364"/>
      <c r="I364"/>
      <c r="J364"/>
      <c r="K364"/>
      <c r="L364"/>
    </row>
    <row r="365" spans="1:12" ht="15" x14ac:dyDescent="0.25">
      <c r="A365"/>
      <c r="B365"/>
      <c r="C365"/>
      <c r="D365"/>
      <c r="E365"/>
      <c r="F365"/>
      <c r="G365"/>
      <c r="H365"/>
      <c r="I365"/>
      <c r="J365"/>
      <c r="K365"/>
      <c r="L365"/>
    </row>
    <row r="366" spans="1:12" ht="15" x14ac:dyDescent="0.25">
      <c r="A366"/>
      <c r="B366"/>
      <c r="C366"/>
      <c r="D366"/>
      <c r="E366"/>
      <c r="F366"/>
      <c r="G366"/>
      <c r="H366"/>
      <c r="I366"/>
      <c r="J366"/>
      <c r="K366"/>
      <c r="L366"/>
    </row>
    <row r="367" spans="1:12" ht="15" x14ac:dyDescent="0.25">
      <c r="A367"/>
      <c r="B367"/>
      <c r="C367"/>
      <c r="D367"/>
      <c r="E367"/>
      <c r="F367"/>
      <c r="G367"/>
      <c r="H367"/>
      <c r="I367"/>
      <c r="J367"/>
      <c r="K367"/>
      <c r="L367"/>
    </row>
    <row r="368" spans="1:12" ht="15" x14ac:dyDescent="0.25">
      <c r="A368"/>
      <c r="B368"/>
      <c r="C368"/>
      <c r="D368"/>
      <c r="E368"/>
      <c r="F368"/>
      <c r="G368"/>
      <c r="H368"/>
      <c r="I368"/>
      <c r="J368"/>
      <c r="K368"/>
      <c r="L368"/>
    </row>
    <row r="369" spans="1:12" ht="15" x14ac:dyDescent="0.25">
      <c r="A369"/>
      <c r="B369"/>
      <c r="C369"/>
      <c r="D369"/>
      <c r="E369"/>
      <c r="F369"/>
      <c r="G369"/>
      <c r="H369"/>
      <c r="I369"/>
      <c r="J369"/>
      <c r="K369"/>
      <c r="L369"/>
    </row>
    <row r="370" spans="1:12" ht="15" x14ac:dyDescent="0.25">
      <c r="A370"/>
      <c r="B370"/>
      <c r="C370"/>
      <c r="D370"/>
      <c r="E370"/>
      <c r="F370"/>
      <c r="G370"/>
      <c r="H370"/>
      <c r="I370"/>
      <c r="J370"/>
      <c r="K370"/>
      <c r="L370"/>
    </row>
    <row r="371" spans="1:12" ht="15" x14ac:dyDescent="0.25">
      <c r="A371"/>
      <c r="B371"/>
      <c r="C371"/>
      <c r="D371"/>
      <c r="E371"/>
      <c r="F371"/>
      <c r="G371"/>
      <c r="H371"/>
      <c r="I371"/>
      <c r="J371"/>
      <c r="K371"/>
      <c r="L371"/>
    </row>
    <row r="372" spans="1:12" ht="15" x14ac:dyDescent="0.25">
      <c r="A372"/>
      <c r="B372"/>
      <c r="C372"/>
      <c r="D372"/>
      <c r="E372"/>
      <c r="F372"/>
      <c r="G372"/>
      <c r="H372"/>
      <c r="I372"/>
      <c r="J372"/>
      <c r="K372"/>
      <c r="L372"/>
    </row>
    <row r="373" spans="1:12" ht="15" x14ac:dyDescent="0.25">
      <c r="A373"/>
      <c r="B373"/>
      <c r="C373"/>
      <c r="D373"/>
      <c r="E373"/>
      <c r="F373"/>
      <c r="G373"/>
      <c r="H373"/>
      <c r="I373"/>
      <c r="J373"/>
      <c r="K373"/>
      <c r="L373"/>
    </row>
    <row r="374" spans="1:12" ht="15" x14ac:dyDescent="0.25">
      <c r="A374"/>
      <c r="B374"/>
      <c r="C374"/>
      <c r="D374"/>
      <c r="E374"/>
      <c r="F374"/>
      <c r="G374"/>
      <c r="H374"/>
      <c r="I374"/>
      <c r="J374"/>
      <c r="K374"/>
      <c r="L374"/>
    </row>
    <row r="375" spans="1:12" ht="15" x14ac:dyDescent="0.25">
      <c r="A375"/>
      <c r="B375"/>
      <c r="C375"/>
      <c r="D375"/>
      <c r="E375"/>
      <c r="F375"/>
      <c r="G375"/>
      <c r="H375"/>
      <c r="I375"/>
      <c r="J375"/>
      <c r="K375"/>
      <c r="L375"/>
    </row>
    <row r="376" spans="1:12" ht="15" x14ac:dyDescent="0.25">
      <c r="A376"/>
      <c r="B376"/>
      <c r="C376"/>
      <c r="D376"/>
      <c r="E376"/>
      <c r="F376"/>
      <c r="G376"/>
      <c r="H376"/>
      <c r="I376"/>
      <c r="J376"/>
      <c r="K376"/>
      <c r="L376"/>
    </row>
    <row r="377" spans="1:12" ht="15" x14ac:dyDescent="0.25">
      <c r="A377"/>
      <c r="B377"/>
      <c r="C377"/>
      <c r="D377"/>
      <c r="E377"/>
      <c r="F377"/>
      <c r="G377"/>
      <c r="H377"/>
      <c r="I377"/>
      <c r="J377"/>
      <c r="K377"/>
      <c r="L377"/>
    </row>
    <row r="378" spans="1:12" ht="15" x14ac:dyDescent="0.25">
      <c r="A378"/>
      <c r="B378"/>
      <c r="C378"/>
      <c r="D378"/>
      <c r="E378"/>
      <c r="F378"/>
      <c r="G378"/>
      <c r="H378"/>
      <c r="I378"/>
      <c r="J378"/>
      <c r="K378"/>
      <c r="L378"/>
    </row>
    <row r="379" spans="1:12" ht="15" x14ac:dyDescent="0.25">
      <c r="A379"/>
      <c r="B379"/>
      <c r="C379"/>
      <c r="D379"/>
      <c r="E379"/>
      <c r="F379"/>
      <c r="G379"/>
      <c r="H379"/>
      <c r="I379"/>
      <c r="J379"/>
      <c r="K379"/>
      <c r="L379"/>
    </row>
    <row r="380" spans="1:12" ht="15" x14ac:dyDescent="0.25">
      <c r="A380"/>
      <c r="B380"/>
      <c r="C380"/>
      <c r="D380"/>
      <c r="E380"/>
      <c r="F380"/>
      <c r="G380"/>
      <c r="H380"/>
      <c r="I380"/>
      <c r="J380"/>
      <c r="K380"/>
      <c r="L380"/>
    </row>
    <row r="381" spans="1:12" ht="15" x14ac:dyDescent="0.25">
      <c r="A381"/>
      <c r="B381"/>
      <c r="C381"/>
      <c r="D381"/>
      <c r="E381"/>
      <c r="F381"/>
      <c r="G381"/>
      <c r="H381"/>
      <c r="I381"/>
      <c r="J381"/>
      <c r="K381"/>
      <c r="L381"/>
    </row>
    <row r="382" spans="1:12" ht="15" x14ac:dyDescent="0.25">
      <c r="A382"/>
      <c r="B382"/>
      <c r="C382"/>
      <c r="D382"/>
      <c r="E382"/>
      <c r="F382"/>
      <c r="G382"/>
      <c r="H382"/>
      <c r="I382"/>
      <c r="J382"/>
      <c r="K382"/>
      <c r="L382"/>
    </row>
    <row r="383" spans="1:12" ht="15" x14ac:dyDescent="0.25">
      <c r="A383"/>
      <c r="B383"/>
      <c r="C383"/>
      <c r="D383"/>
      <c r="E383"/>
      <c r="F383"/>
      <c r="G383"/>
      <c r="H383"/>
      <c r="I383"/>
      <c r="J383"/>
      <c r="K383"/>
      <c r="L383"/>
    </row>
    <row r="384" spans="1:12" ht="15" x14ac:dyDescent="0.25">
      <c r="A384"/>
      <c r="B384"/>
      <c r="C384"/>
      <c r="D384"/>
      <c r="E384"/>
      <c r="F384"/>
      <c r="G384"/>
      <c r="H384"/>
      <c r="I384"/>
      <c r="J384"/>
      <c r="K384"/>
      <c r="L384"/>
    </row>
    <row r="385" spans="1:12" ht="15" x14ac:dyDescent="0.25">
      <c r="A385"/>
      <c r="B385"/>
      <c r="C385"/>
      <c r="D385"/>
      <c r="E385"/>
      <c r="F385"/>
      <c r="G385"/>
      <c r="H385"/>
      <c r="I385"/>
      <c r="J385"/>
      <c r="K385"/>
      <c r="L385"/>
    </row>
    <row r="386" spans="1:12" ht="15" x14ac:dyDescent="0.25">
      <c r="A386"/>
      <c r="B386"/>
      <c r="C386"/>
      <c r="D386"/>
      <c r="E386"/>
      <c r="F386"/>
      <c r="G386"/>
      <c r="H386"/>
      <c r="I386"/>
      <c r="J386"/>
      <c r="K386"/>
      <c r="L386"/>
    </row>
    <row r="387" spans="1:12" ht="15" x14ac:dyDescent="0.25">
      <c r="A387"/>
      <c r="B387"/>
      <c r="C387"/>
      <c r="D387"/>
      <c r="E387"/>
      <c r="F387"/>
      <c r="G387"/>
      <c r="H387"/>
      <c r="I387"/>
      <c r="J387"/>
      <c r="K387"/>
      <c r="L387"/>
    </row>
    <row r="388" spans="1:12" ht="15" x14ac:dyDescent="0.25">
      <c r="A388"/>
      <c r="B388"/>
      <c r="C388"/>
      <c r="D388"/>
      <c r="E388"/>
      <c r="F388"/>
      <c r="G388"/>
      <c r="H388"/>
      <c r="I388"/>
      <c r="J388"/>
      <c r="K388"/>
      <c r="L388"/>
    </row>
    <row r="389" spans="1:12" ht="15" x14ac:dyDescent="0.25">
      <c r="A389"/>
      <c r="B389"/>
      <c r="C389"/>
      <c r="D389"/>
      <c r="E389"/>
      <c r="F389"/>
      <c r="G389"/>
      <c r="H389"/>
      <c r="I389"/>
      <c r="J389"/>
      <c r="K389"/>
      <c r="L389"/>
    </row>
    <row r="390" spans="1:12" ht="15" x14ac:dyDescent="0.25">
      <c r="A390"/>
      <c r="B390"/>
      <c r="C390"/>
      <c r="D390"/>
      <c r="E390"/>
      <c r="F390"/>
      <c r="G390"/>
      <c r="H390"/>
      <c r="I390"/>
      <c r="J390"/>
      <c r="K390"/>
      <c r="L390"/>
    </row>
    <row r="391" spans="1:12" ht="15" x14ac:dyDescent="0.25">
      <c r="A391"/>
      <c r="B391"/>
      <c r="C391"/>
      <c r="D391"/>
      <c r="E391"/>
      <c r="F391"/>
      <c r="G391"/>
      <c r="H391"/>
      <c r="I391"/>
      <c r="J391"/>
      <c r="K391"/>
      <c r="L391"/>
    </row>
    <row r="392" spans="1:12" ht="15" x14ac:dyDescent="0.25">
      <c r="A392"/>
      <c r="B392"/>
      <c r="C392"/>
      <c r="D392"/>
      <c r="E392"/>
      <c r="F392"/>
      <c r="G392"/>
      <c r="H392"/>
      <c r="I392"/>
      <c r="J392"/>
      <c r="K392"/>
      <c r="L392"/>
    </row>
    <row r="393" spans="1:12" ht="15" x14ac:dyDescent="0.25">
      <c r="A393"/>
      <c r="B393"/>
      <c r="C393"/>
      <c r="D393"/>
      <c r="E393"/>
      <c r="F393"/>
      <c r="G393"/>
      <c r="H393"/>
      <c r="I393"/>
      <c r="J393"/>
      <c r="K393"/>
      <c r="L393"/>
    </row>
    <row r="394" spans="1:12" ht="15" x14ac:dyDescent="0.25">
      <c r="A394"/>
      <c r="B394"/>
      <c r="C394"/>
      <c r="D394"/>
      <c r="E394"/>
      <c r="F394"/>
      <c r="G394"/>
      <c r="H394"/>
      <c r="I394"/>
      <c r="J394"/>
      <c r="K394"/>
      <c r="L394"/>
    </row>
    <row r="395" spans="1:12" ht="15" x14ac:dyDescent="0.25">
      <c r="A395"/>
      <c r="B395"/>
      <c r="C395"/>
      <c r="D395"/>
      <c r="E395"/>
      <c r="F395"/>
      <c r="G395"/>
      <c r="H395"/>
      <c r="I395"/>
      <c r="J395"/>
      <c r="K395"/>
      <c r="L395"/>
    </row>
    <row r="396" spans="1:12" ht="15" x14ac:dyDescent="0.25">
      <c r="A396"/>
      <c r="B396"/>
      <c r="C396"/>
      <c r="D396"/>
      <c r="E396"/>
      <c r="F396"/>
      <c r="G396"/>
      <c r="H396"/>
      <c r="I396"/>
      <c r="J396"/>
      <c r="K396"/>
      <c r="L396"/>
    </row>
    <row r="397" spans="1:12" ht="15" x14ac:dyDescent="0.25">
      <c r="A397"/>
      <c r="B397"/>
      <c r="C397"/>
      <c r="D397"/>
      <c r="E397"/>
      <c r="F397"/>
      <c r="G397"/>
      <c r="H397"/>
      <c r="I397"/>
      <c r="J397"/>
      <c r="K397"/>
      <c r="L397"/>
    </row>
    <row r="398" spans="1:12" ht="15" x14ac:dyDescent="0.25">
      <c r="A398"/>
      <c r="B398"/>
      <c r="C398"/>
      <c r="D398"/>
      <c r="E398"/>
      <c r="F398"/>
      <c r="G398"/>
      <c r="H398"/>
      <c r="I398"/>
      <c r="J398"/>
      <c r="K398"/>
      <c r="L398"/>
    </row>
    <row r="399" spans="1:12" ht="15" x14ac:dyDescent="0.25">
      <c r="A399"/>
      <c r="B399"/>
      <c r="C399"/>
      <c r="D399"/>
      <c r="E399"/>
      <c r="F399"/>
      <c r="G399"/>
      <c r="H399"/>
      <c r="I399"/>
      <c r="J399"/>
      <c r="K399"/>
      <c r="L399"/>
    </row>
    <row r="400" spans="1:12" ht="15" x14ac:dyDescent="0.25">
      <c r="A400"/>
      <c r="B400"/>
      <c r="C400"/>
      <c r="D400"/>
      <c r="E400"/>
      <c r="F400"/>
      <c r="G400"/>
      <c r="H400"/>
      <c r="I400"/>
      <c r="J400"/>
      <c r="K400"/>
      <c r="L400"/>
    </row>
    <row r="401" spans="1:12" ht="15" x14ac:dyDescent="0.25">
      <c r="A401"/>
      <c r="B401"/>
      <c r="C401"/>
      <c r="D401"/>
      <c r="E401"/>
      <c r="F401"/>
      <c r="G401"/>
      <c r="H401"/>
      <c r="I401"/>
      <c r="J401"/>
      <c r="K401"/>
      <c r="L401"/>
    </row>
    <row r="402" spans="1:12" ht="15" x14ac:dyDescent="0.25">
      <c r="A402"/>
      <c r="B402"/>
      <c r="C402"/>
      <c r="D402"/>
      <c r="E402"/>
      <c r="F402"/>
      <c r="G402"/>
      <c r="H402"/>
      <c r="I402"/>
      <c r="J402"/>
      <c r="K402"/>
      <c r="L402"/>
    </row>
    <row r="403" spans="1:12" ht="15" x14ac:dyDescent="0.25">
      <c r="A403"/>
      <c r="B403"/>
      <c r="C403"/>
      <c r="D403"/>
      <c r="E403"/>
      <c r="F403"/>
      <c r="G403"/>
      <c r="H403"/>
      <c r="I403"/>
      <c r="J403"/>
      <c r="K403"/>
      <c r="L403"/>
    </row>
    <row r="404" spans="1:12" ht="15" x14ac:dyDescent="0.25">
      <c r="A404"/>
      <c r="B404"/>
      <c r="C404"/>
      <c r="D404"/>
      <c r="E404"/>
      <c r="F404"/>
      <c r="G404"/>
      <c r="H404"/>
      <c r="I404"/>
      <c r="J404"/>
      <c r="K404"/>
      <c r="L404"/>
    </row>
    <row r="405" spans="1:12" ht="15" x14ac:dyDescent="0.25">
      <c r="A405"/>
      <c r="B405"/>
      <c r="C405"/>
      <c r="D405"/>
      <c r="E405"/>
      <c r="F405"/>
      <c r="G405"/>
      <c r="H405"/>
      <c r="I405"/>
      <c r="J405"/>
      <c r="K405"/>
      <c r="L405"/>
    </row>
    <row r="406" spans="1:12" ht="15" x14ac:dyDescent="0.25">
      <c r="A406"/>
      <c r="B406"/>
      <c r="C406"/>
      <c r="D406"/>
      <c r="E406"/>
      <c r="F406"/>
      <c r="G406"/>
      <c r="H406"/>
      <c r="I406"/>
      <c r="J406"/>
      <c r="K406"/>
      <c r="L406"/>
    </row>
    <row r="407" spans="1:12" ht="15" x14ac:dyDescent="0.25">
      <c r="A407"/>
      <c r="B407"/>
      <c r="C407"/>
      <c r="D407"/>
      <c r="E407"/>
      <c r="F407"/>
      <c r="G407"/>
      <c r="H407"/>
      <c r="I407"/>
      <c r="J407"/>
      <c r="K407"/>
      <c r="L407"/>
    </row>
    <row r="408" spans="1:12" ht="15" x14ac:dyDescent="0.25">
      <c r="A408"/>
      <c r="B408"/>
      <c r="C408"/>
      <c r="D408"/>
      <c r="E408"/>
      <c r="F408"/>
      <c r="G408"/>
      <c r="H408"/>
      <c r="I408"/>
      <c r="J408"/>
      <c r="K408"/>
      <c r="L408"/>
    </row>
    <row r="409" spans="1:12" ht="15" x14ac:dyDescent="0.25">
      <c r="A409"/>
      <c r="B409"/>
      <c r="C409"/>
      <c r="D409"/>
      <c r="E409"/>
      <c r="F409"/>
      <c r="G409"/>
      <c r="H409"/>
      <c r="I409"/>
      <c r="J409"/>
      <c r="K409"/>
      <c r="L409"/>
    </row>
    <row r="410" spans="1:12" ht="15" x14ac:dyDescent="0.25">
      <c r="A410"/>
      <c r="B410"/>
      <c r="C410"/>
      <c r="D410"/>
      <c r="E410"/>
      <c r="F410"/>
      <c r="G410"/>
      <c r="H410"/>
      <c r="I410"/>
      <c r="J410"/>
      <c r="K410"/>
      <c r="L410"/>
    </row>
    <row r="411" spans="1:12" ht="15" x14ac:dyDescent="0.25">
      <c r="A411"/>
      <c r="B411"/>
      <c r="C411"/>
      <c r="D411"/>
      <c r="E411"/>
      <c r="F411"/>
      <c r="G411"/>
      <c r="H411"/>
      <c r="I411"/>
      <c r="J411"/>
      <c r="K411"/>
      <c r="L411"/>
    </row>
    <row r="412" spans="1:12" ht="15" x14ac:dyDescent="0.25">
      <c r="A412"/>
      <c r="B412"/>
      <c r="C412"/>
      <c r="D412"/>
      <c r="E412"/>
      <c r="F412"/>
      <c r="G412"/>
      <c r="H412"/>
      <c r="I412"/>
      <c r="J412"/>
      <c r="K412"/>
      <c r="L412"/>
    </row>
    <row r="413" spans="1:12" ht="15" x14ac:dyDescent="0.25">
      <c r="A413"/>
      <c r="B413"/>
      <c r="C413"/>
      <c r="D413"/>
      <c r="E413"/>
      <c r="F413"/>
      <c r="G413"/>
      <c r="H413"/>
      <c r="I413"/>
      <c r="J413"/>
      <c r="K413"/>
      <c r="L413"/>
    </row>
    <row r="414" spans="1:12" ht="15" x14ac:dyDescent="0.25">
      <c r="A414"/>
      <c r="B414"/>
      <c r="C414"/>
      <c r="D414"/>
      <c r="E414"/>
      <c r="F414"/>
      <c r="G414"/>
      <c r="H414"/>
      <c r="I414"/>
      <c r="J414"/>
      <c r="K414"/>
      <c r="L414"/>
    </row>
    <row r="415" spans="1:12" ht="15" x14ac:dyDescent="0.25">
      <c r="A415"/>
      <c r="B415"/>
      <c r="C415"/>
      <c r="D415"/>
      <c r="E415"/>
      <c r="F415"/>
      <c r="G415"/>
      <c r="H415"/>
      <c r="I415"/>
      <c r="J415"/>
      <c r="K415"/>
      <c r="L415"/>
    </row>
    <row r="416" spans="1:12" ht="15" x14ac:dyDescent="0.25">
      <c r="A416"/>
      <c r="B416"/>
      <c r="C416"/>
      <c r="D416"/>
      <c r="E416"/>
      <c r="F416"/>
      <c r="G416"/>
      <c r="H416"/>
      <c r="I416"/>
      <c r="J416"/>
      <c r="K416"/>
      <c r="L416"/>
    </row>
    <row r="417" spans="1:12" ht="15" x14ac:dyDescent="0.25">
      <c r="A417"/>
      <c r="B417"/>
      <c r="C417"/>
      <c r="D417"/>
      <c r="E417"/>
      <c r="F417"/>
      <c r="G417"/>
      <c r="H417"/>
      <c r="I417"/>
      <c r="J417"/>
      <c r="K417"/>
      <c r="L417"/>
    </row>
    <row r="418" spans="1:12" ht="15" x14ac:dyDescent="0.25">
      <c r="A418"/>
      <c r="B418"/>
      <c r="C418"/>
      <c r="D418"/>
      <c r="E418"/>
      <c r="F418"/>
      <c r="G418"/>
      <c r="H418"/>
      <c r="I418"/>
      <c r="J418"/>
      <c r="K418"/>
      <c r="L418"/>
    </row>
    <row r="419" spans="1:12" ht="15" x14ac:dyDescent="0.25">
      <c r="A419"/>
      <c r="B419"/>
      <c r="C419"/>
      <c r="D419"/>
      <c r="E419"/>
      <c r="F419"/>
      <c r="G419"/>
      <c r="H419"/>
      <c r="I419"/>
      <c r="J419"/>
      <c r="K419"/>
      <c r="L419"/>
    </row>
    <row r="420" spans="1:12" ht="15" x14ac:dyDescent="0.25">
      <c r="A420"/>
      <c r="B420"/>
      <c r="C420"/>
      <c r="D420"/>
      <c r="E420"/>
      <c r="F420"/>
      <c r="G420"/>
      <c r="H420"/>
      <c r="I420"/>
      <c r="J420"/>
      <c r="K420"/>
      <c r="L420"/>
    </row>
    <row r="421" spans="1:12" ht="15" x14ac:dyDescent="0.25">
      <c r="A421"/>
      <c r="B421"/>
      <c r="C421"/>
      <c r="D421"/>
      <c r="E421"/>
      <c r="F421"/>
      <c r="G421"/>
      <c r="H421"/>
      <c r="I421"/>
      <c r="J421"/>
      <c r="K421"/>
      <c r="L421"/>
    </row>
    <row r="422" spans="1:12" ht="15" x14ac:dyDescent="0.25">
      <c r="A422"/>
      <c r="B422"/>
      <c r="C422"/>
      <c r="D422"/>
      <c r="E422"/>
      <c r="F422"/>
      <c r="G422"/>
      <c r="H422"/>
      <c r="I422"/>
      <c r="J422"/>
      <c r="K422"/>
      <c r="L422"/>
    </row>
    <row r="423" spans="1:12" ht="15" x14ac:dyDescent="0.25">
      <c r="A423"/>
      <c r="B423"/>
      <c r="C423"/>
      <c r="D423"/>
      <c r="E423"/>
      <c r="F423"/>
      <c r="G423"/>
      <c r="H423"/>
      <c r="I423"/>
      <c r="J423"/>
      <c r="K423"/>
      <c r="L423"/>
    </row>
    <row r="424" spans="1:12" ht="15" x14ac:dyDescent="0.25">
      <c r="A424"/>
      <c r="B424"/>
      <c r="C424"/>
      <c r="D424"/>
      <c r="E424"/>
      <c r="F424"/>
      <c r="G424"/>
      <c r="H424"/>
      <c r="I424"/>
      <c r="J424"/>
      <c r="K424"/>
      <c r="L424"/>
    </row>
    <row r="425" spans="1:12" ht="15" x14ac:dyDescent="0.25">
      <c r="A425"/>
      <c r="B425"/>
      <c r="C425"/>
      <c r="D425"/>
      <c r="E425"/>
      <c r="F425"/>
      <c r="G425"/>
      <c r="H425"/>
      <c r="I425"/>
      <c r="J425"/>
      <c r="K425"/>
      <c r="L425"/>
    </row>
    <row r="426" spans="1:12" ht="15" x14ac:dyDescent="0.25">
      <c r="A426"/>
      <c r="B426"/>
      <c r="C426"/>
      <c r="D426"/>
      <c r="E426"/>
      <c r="F426"/>
      <c r="G426"/>
      <c r="H426"/>
      <c r="I426"/>
      <c r="J426"/>
      <c r="K426"/>
      <c r="L426"/>
    </row>
    <row r="427" spans="1:12" ht="15" x14ac:dyDescent="0.25">
      <c r="A427"/>
      <c r="B427"/>
      <c r="C427"/>
      <c r="D427"/>
      <c r="E427"/>
      <c r="F427"/>
      <c r="G427"/>
      <c r="H427"/>
      <c r="I427"/>
      <c r="J427"/>
      <c r="K427"/>
      <c r="L427"/>
    </row>
    <row r="428" spans="1:12" ht="15" x14ac:dyDescent="0.25">
      <c r="A428"/>
      <c r="B428"/>
      <c r="C428"/>
      <c r="D428"/>
      <c r="E428"/>
      <c r="F428"/>
      <c r="G428"/>
      <c r="H428"/>
      <c r="I428"/>
      <c r="J428"/>
      <c r="K428"/>
      <c r="L428"/>
    </row>
    <row r="429" spans="1:12" ht="15" x14ac:dyDescent="0.25">
      <c r="A429"/>
      <c r="B429"/>
      <c r="C429"/>
      <c r="D429"/>
      <c r="E429"/>
      <c r="F429"/>
      <c r="G429"/>
      <c r="H429"/>
      <c r="I429"/>
      <c r="J429"/>
      <c r="K429"/>
      <c r="L429"/>
    </row>
    <row r="430" spans="1:12" ht="15" x14ac:dyDescent="0.25">
      <c r="A430"/>
      <c r="B430"/>
      <c r="C430"/>
      <c r="D430"/>
      <c r="E430"/>
      <c r="F430"/>
      <c r="G430"/>
      <c r="H430"/>
      <c r="I430"/>
      <c r="J430"/>
      <c r="K430"/>
      <c r="L430"/>
    </row>
    <row r="431" spans="1:12" ht="15" x14ac:dyDescent="0.25">
      <c r="A431"/>
      <c r="B431"/>
      <c r="C431"/>
      <c r="D431"/>
      <c r="E431"/>
      <c r="F431"/>
      <c r="G431"/>
      <c r="H431"/>
      <c r="I431"/>
      <c r="J431"/>
      <c r="K431"/>
      <c r="L431"/>
    </row>
    <row r="432" spans="1:12" ht="15" x14ac:dyDescent="0.25">
      <c r="A432"/>
      <c r="B432"/>
      <c r="C432"/>
      <c r="D432"/>
      <c r="E432"/>
      <c r="F432"/>
      <c r="G432"/>
      <c r="H432"/>
      <c r="I432"/>
      <c r="J432"/>
      <c r="K432"/>
      <c r="L432"/>
    </row>
    <row r="433" spans="1:12" ht="15" x14ac:dyDescent="0.25">
      <c r="A433"/>
      <c r="B433"/>
      <c r="C433"/>
      <c r="D433"/>
      <c r="E433"/>
      <c r="F433"/>
      <c r="G433"/>
      <c r="H433"/>
      <c r="I433"/>
      <c r="J433"/>
      <c r="K433"/>
      <c r="L433"/>
    </row>
    <row r="434" spans="1:12" ht="15" x14ac:dyDescent="0.25">
      <c r="A434"/>
      <c r="B434"/>
      <c r="C434"/>
      <c r="D434"/>
      <c r="E434"/>
      <c r="F434"/>
      <c r="G434"/>
      <c r="H434"/>
      <c r="I434"/>
      <c r="J434"/>
      <c r="K434"/>
      <c r="L434"/>
    </row>
    <row r="435" spans="1:12" ht="15" x14ac:dyDescent="0.25">
      <c r="A435"/>
      <c r="B435"/>
      <c r="C435"/>
      <c r="D435"/>
      <c r="E435"/>
      <c r="F435"/>
      <c r="G435"/>
      <c r="H435"/>
      <c r="I435"/>
      <c r="J435"/>
      <c r="K435"/>
      <c r="L435"/>
    </row>
    <row r="436" spans="1:12" ht="15" x14ac:dyDescent="0.25">
      <c r="A436"/>
      <c r="B436"/>
      <c r="C436"/>
      <c r="D436"/>
      <c r="E436"/>
      <c r="F436"/>
      <c r="G436"/>
      <c r="H436"/>
      <c r="I436"/>
      <c r="J436"/>
      <c r="K436"/>
      <c r="L436"/>
    </row>
    <row r="437" spans="1:12" ht="15" x14ac:dyDescent="0.25">
      <c r="A437"/>
      <c r="B437"/>
      <c r="C437"/>
      <c r="D437"/>
      <c r="E437"/>
      <c r="F437"/>
      <c r="G437"/>
      <c r="H437"/>
      <c r="I437"/>
      <c r="J437"/>
      <c r="K437"/>
      <c r="L437"/>
    </row>
    <row r="438" spans="1:12" ht="15" x14ac:dyDescent="0.25">
      <c r="A438"/>
      <c r="B438"/>
      <c r="C438"/>
      <c r="D438"/>
      <c r="E438"/>
      <c r="F438"/>
      <c r="G438"/>
      <c r="H438"/>
      <c r="I438"/>
      <c r="J438"/>
      <c r="K438"/>
      <c r="L438"/>
    </row>
    <row r="439" spans="1:12" ht="15" x14ac:dyDescent="0.25">
      <c r="A439"/>
      <c r="B439"/>
      <c r="C439"/>
      <c r="D439"/>
      <c r="E439"/>
      <c r="F439"/>
      <c r="G439"/>
      <c r="H439"/>
      <c r="I439"/>
      <c r="J439"/>
      <c r="K439"/>
      <c r="L439"/>
    </row>
    <row r="440" spans="1:12" ht="15" x14ac:dyDescent="0.25">
      <c r="A440"/>
      <c r="B440"/>
      <c r="C440"/>
      <c r="D440"/>
      <c r="E440"/>
      <c r="F440"/>
      <c r="G440"/>
      <c r="H440"/>
      <c r="I440"/>
      <c r="J440"/>
      <c r="K440"/>
      <c r="L440"/>
    </row>
    <row r="441" spans="1:12" ht="15" x14ac:dyDescent="0.25">
      <c r="A441"/>
      <c r="B441"/>
      <c r="C441"/>
      <c r="D441"/>
      <c r="E441"/>
      <c r="F441"/>
      <c r="G441"/>
      <c r="H441"/>
      <c r="I441"/>
      <c r="J441"/>
      <c r="K441"/>
      <c r="L441"/>
    </row>
    <row r="442" spans="1:12" ht="15" x14ac:dyDescent="0.25">
      <c r="A442"/>
      <c r="B442"/>
      <c r="C442"/>
      <c r="D442"/>
      <c r="E442"/>
      <c r="F442"/>
      <c r="G442"/>
      <c r="H442"/>
      <c r="I442"/>
      <c r="J442"/>
      <c r="K442"/>
      <c r="L442"/>
    </row>
    <row r="443" spans="1:12" ht="15" x14ac:dyDescent="0.25">
      <c r="A443"/>
      <c r="B443"/>
      <c r="C443"/>
      <c r="D443"/>
      <c r="E443"/>
      <c r="F443"/>
      <c r="G443"/>
      <c r="H443"/>
      <c r="I443"/>
      <c r="J443"/>
      <c r="K443"/>
      <c r="L443"/>
    </row>
    <row r="444" spans="1:12" ht="15" x14ac:dyDescent="0.25">
      <c r="A444"/>
      <c r="B444"/>
      <c r="C444"/>
      <c r="D444"/>
      <c r="E444"/>
      <c r="F444"/>
      <c r="G444"/>
      <c r="H444"/>
      <c r="I444"/>
      <c r="J444"/>
      <c r="K444"/>
      <c r="L444"/>
    </row>
    <row r="445" spans="1:12" ht="15" x14ac:dyDescent="0.25">
      <c r="A445"/>
      <c r="B445"/>
      <c r="C445"/>
      <c r="D445"/>
      <c r="E445"/>
      <c r="F445"/>
      <c r="G445"/>
      <c r="H445"/>
      <c r="I445"/>
      <c r="J445"/>
      <c r="K445"/>
      <c r="L445"/>
    </row>
    <row r="446" spans="1:12" ht="15" x14ac:dyDescent="0.25">
      <c r="A446"/>
      <c r="B446"/>
      <c r="C446"/>
      <c r="D446"/>
      <c r="E446"/>
      <c r="F446"/>
      <c r="G446"/>
      <c r="H446"/>
      <c r="I446"/>
      <c r="J446"/>
      <c r="K446"/>
      <c r="L446"/>
    </row>
    <row r="447" spans="1:12" ht="15" x14ac:dyDescent="0.25">
      <c r="A447"/>
      <c r="B447"/>
      <c r="C447"/>
      <c r="D447"/>
      <c r="E447"/>
      <c r="F447"/>
      <c r="G447"/>
      <c r="H447"/>
      <c r="I447"/>
      <c r="J447"/>
      <c r="K447"/>
      <c r="L447"/>
    </row>
    <row r="448" spans="1:12" ht="15" x14ac:dyDescent="0.25">
      <c r="A448"/>
      <c r="B448"/>
      <c r="C448"/>
      <c r="D448"/>
      <c r="E448"/>
      <c r="F448"/>
      <c r="G448"/>
      <c r="H448"/>
      <c r="I448"/>
      <c r="J448"/>
      <c r="K448"/>
      <c r="L448"/>
    </row>
    <row r="449" spans="1:12" ht="15" x14ac:dyDescent="0.25">
      <c r="A449"/>
      <c r="B449"/>
      <c r="C449"/>
      <c r="D449"/>
      <c r="E449"/>
      <c r="F449"/>
      <c r="G449"/>
      <c r="H449"/>
      <c r="I449"/>
      <c r="J449"/>
      <c r="K449"/>
      <c r="L449"/>
    </row>
    <row r="450" spans="1:12" ht="15" x14ac:dyDescent="0.25">
      <c r="A450"/>
      <c r="B450"/>
      <c r="C450"/>
      <c r="D450"/>
      <c r="E450"/>
      <c r="F450"/>
      <c r="G450"/>
      <c r="H450"/>
      <c r="I450"/>
      <c r="J450"/>
      <c r="K450"/>
      <c r="L450"/>
    </row>
    <row r="451" spans="1:12" ht="15" x14ac:dyDescent="0.25">
      <c r="A451"/>
      <c r="B451"/>
      <c r="C451"/>
      <c r="D451"/>
      <c r="E451"/>
      <c r="F451"/>
      <c r="G451"/>
      <c r="H451"/>
      <c r="I451"/>
      <c r="J451"/>
      <c r="K451"/>
      <c r="L451"/>
    </row>
    <row r="452" spans="1:12" ht="15" x14ac:dyDescent="0.25">
      <c r="A452"/>
      <c r="B452"/>
      <c r="C452"/>
      <c r="D452"/>
      <c r="E452"/>
      <c r="F452"/>
      <c r="G452"/>
      <c r="H452"/>
      <c r="I452"/>
      <c r="J452"/>
      <c r="K452"/>
      <c r="L452"/>
    </row>
    <row r="453" spans="1:12" ht="15" x14ac:dyDescent="0.25">
      <c r="A453"/>
      <c r="B453"/>
      <c r="C453"/>
      <c r="D453"/>
      <c r="E453"/>
      <c r="F453"/>
      <c r="G453"/>
      <c r="H453"/>
      <c r="I453"/>
      <c r="J453"/>
      <c r="K453"/>
      <c r="L453"/>
    </row>
    <row r="454" spans="1:12" ht="15" x14ac:dyDescent="0.25">
      <c r="A454"/>
      <c r="B454"/>
      <c r="C454"/>
      <c r="D454"/>
      <c r="E454"/>
      <c r="F454"/>
      <c r="G454"/>
      <c r="H454"/>
      <c r="I454"/>
      <c r="J454"/>
      <c r="K454"/>
      <c r="L454"/>
    </row>
    <row r="455" spans="1:12" ht="15" x14ac:dyDescent="0.25">
      <c r="A455"/>
      <c r="B455"/>
      <c r="C455"/>
      <c r="D455"/>
      <c r="E455"/>
      <c r="F455"/>
      <c r="G455"/>
      <c r="H455"/>
      <c r="I455"/>
      <c r="J455"/>
      <c r="K455"/>
      <c r="L455"/>
    </row>
    <row r="456" spans="1:12" ht="15" x14ac:dyDescent="0.25">
      <c r="A456"/>
      <c r="B456"/>
      <c r="C456"/>
      <c r="D456"/>
      <c r="E456"/>
      <c r="F456"/>
      <c r="G456"/>
      <c r="H456"/>
      <c r="I456"/>
      <c r="J456"/>
      <c r="K456"/>
      <c r="L456"/>
    </row>
    <row r="457" spans="1:12" ht="15" x14ac:dyDescent="0.25">
      <c r="A457"/>
      <c r="B457"/>
      <c r="C457"/>
      <c r="D457"/>
      <c r="E457"/>
      <c r="F457"/>
      <c r="G457"/>
      <c r="H457"/>
      <c r="I457"/>
      <c r="J457"/>
      <c r="K457"/>
      <c r="L457"/>
    </row>
    <row r="458" spans="1:12" ht="15" x14ac:dyDescent="0.25">
      <c r="A458"/>
      <c r="B458"/>
      <c r="C458"/>
      <c r="D458"/>
      <c r="E458"/>
      <c r="F458"/>
      <c r="G458"/>
      <c r="H458"/>
      <c r="I458"/>
      <c r="J458"/>
      <c r="K458"/>
      <c r="L458"/>
    </row>
    <row r="459" spans="1:12" ht="15" x14ac:dyDescent="0.25">
      <c r="A459"/>
      <c r="B459"/>
      <c r="C459"/>
      <c r="D459"/>
      <c r="E459"/>
      <c r="F459"/>
      <c r="G459"/>
      <c r="H459"/>
      <c r="I459"/>
      <c r="J459"/>
      <c r="K459"/>
      <c r="L459"/>
    </row>
    <row r="460" spans="1:12" ht="15" x14ac:dyDescent="0.25">
      <c r="A460"/>
      <c r="B460"/>
      <c r="C460"/>
      <c r="D460"/>
      <c r="E460"/>
      <c r="F460"/>
      <c r="G460"/>
      <c r="H460"/>
      <c r="I460"/>
      <c r="J460"/>
      <c r="K460"/>
      <c r="L460"/>
    </row>
    <row r="461" spans="1:12" ht="15" x14ac:dyDescent="0.25">
      <c r="A461"/>
      <c r="B461"/>
      <c r="C461"/>
      <c r="D461"/>
      <c r="E461"/>
      <c r="F461"/>
      <c r="G461"/>
      <c r="H461"/>
      <c r="I461"/>
      <c r="J461"/>
      <c r="K461"/>
      <c r="L461"/>
    </row>
    <row r="462" spans="1:12" ht="15" x14ac:dyDescent="0.25">
      <c r="A462"/>
      <c r="B462"/>
      <c r="C462"/>
      <c r="D462"/>
      <c r="E462"/>
      <c r="F462"/>
      <c r="G462"/>
      <c r="H462"/>
      <c r="I462"/>
      <c r="J462"/>
      <c r="K462"/>
      <c r="L462"/>
    </row>
    <row r="463" spans="1:12" ht="15" x14ac:dyDescent="0.25">
      <c r="A463"/>
      <c r="B463"/>
      <c r="C463"/>
      <c r="D463"/>
      <c r="E463"/>
      <c r="F463"/>
      <c r="G463"/>
      <c r="H463"/>
      <c r="I463"/>
      <c r="J463"/>
      <c r="K463"/>
      <c r="L463"/>
    </row>
    <row r="464" spans="1:12" ht="15" x14ac:dyDescent="0.25">
      <c r="A464"/>
      <c r="B464"/>
      <c r="C464"/>
      <c r="D464"/>
      <c r="E464"/>
      <c r="F464"/>
      <c r="G464"/>
      <c r="H464"/>
      <c r="I464"/>
      <c r="J464"/>
      <c r="K464"/>
      <c r="L464"/>
    </row>
    <row r="465" spans="1:12" ht="15" x14ac:dyDescent="0.25">
      <c r="A465"/>
      <c r="B465"/>
      <c r="C465"/>
      <c r="D465"/>
      <c r="E465"/>
      <c r="F465"/>
      <c r="G465"/>
      <c r="H465"/>
      <c r="I465"/>
      <c r="J465"/>
      <c r="K465"/>
      <c r="L465"/>
    </row>
    <row r="466" spans="1:12" ht="15" x14ac:dyDescent="0.25">
      <c r="A466"/>
      <c r="B466"/>
      <c r="C466"/>
      <c r="D466"/>
      <c r="E466"/>
      <c r="F466"/>
      <c r="G466"/>
      <c r="H466"/>
      <c r="I466"/>
      <c r="J466"/>
      <c r="K466"/>
      <c r="L466"/>
    </row>
    <row r="467" spans="1:12" ht="15" x14ac:dyDescent="0.25">
      <c r="A467"/>
      <c r="B467"/>
      <c r="C467"/>
      <c r="D467"/>
      <c r="E467"/>
      <c r="F467"/>
      <c r="G467"/>
      <c r="H467"/>
      <c r="I467"/>
      <c r="J467"/>
      <c r="K467"/>
      <c r="L467"/>
    </row>
    <row r="468" spans="1:12" ht="15" x14ac:dyDescent="0.25">
      <c r="A468"/>
      <c r="B468"/>
      <c r="C468"/>
      <c r="D468"/>
      <c r="E468"/>
      <c r="F468"/>
      <c r="G468"/>
      <c r="H468"/>
      <c r="I468"/>
      <c r="J468"/>
      <c r="K468"/>
      <c r="L468"/>
    </row>
    <row r="469" spans="1:12" ht="15" x14ac:dyDescent="0.25">
      <c r="A469"/>
      <c r="B469"/>
      <c r="C469"/>
      <c r="D469"/>
      <c r="E469"/>
      <c r="F469"/>
      <c r="G469"/>
      <c r="H469"/>
      <c r="I469"/>
      <c r="J469"/>
      <c r="K469"/>
      <c r="L469"/>
    </row>
    <row r="470" spans="1:12" ht="15" x14ac:dyDescent="0.25">
      <c r="A470"/>
      <c r="B470"/>
      <c r="C470"/>
      <c r="D470"/>
      <c r="E470"/>
      <c r="F470"/>
      <c r="G470"/>
      <c r="H470"/>
      <c r="I470"/>
      <c r="J470"/>
      <c r="K470"/>
      <c r="L470"/>
    </row>
    <row r="471" spans="1:12" ht="15" x14ac:dyDescent="0.25">
      <c r="A471"/>
      <c r="B471"/>
      <c r="C471"/>
      <c r="D471"/>
      <c r="E471"/>
      <c r="F471"/>
      <c r="G471"/>
      <c r="H471"/>
      <c r="I471"/>
      <c r="J471"/>
      <c r="K471"/>
      <c r="L471"/>
    </row>
    <row r="472" spans="1:12" ht="15" x14ac:dyDescent="0.25">
      <c r="A472"/>
      <c r="B472"/>
      <c r="C472"/>
      <c r="D472"/>
      <c r="E472"/>
      <c r="F472"/>
      <c r="G472"/>
      <c r="H472"/>
      <c r="I472"/>
      <c r="J472"/>
      <c r="K472"/>
      <c r="L472"/>
    </row>
    <row r="473" spans="1:12" ht="15" x14ac:dyDescent="0.25">
      <c r="A473"/>
      <c r="B473"/>
      <c r="C473"/>
      <c r="D473"/>
      <c r="E473"/>
      <c r="F473"/>
      <c r="G473"/>
      <c r="H473"/>
      <c r="I473"/>
      <c r="J473"/>
      <c r="K473"/>
      <c r="L473"/>
    </row>
    <row r="474" spans="1:12" ht="15" x14ac:dyDescent="0.25">
      <c r="A474"/>
      <c r="B474"/>
      <c r="C474"/>
      <c r="D474"/>
      <c r="E474"/>
      <c r="F474"/>
      <c r="G474"/>
      <c r="H474"/>
      <c r="I474"/>
      <c r="J474"/>
      <c r="K474"/>
      <c r="L474"/>
    </row>
    <row r="475" spans="1:12" ht="15" x14ac:dyDescent="0.25">
      <c r="A475"/>
      <c r="B475"/>
      <c r="C475"/>
      <c r="D475"/>
      <c r="E475"/>
      <c r="F475"/>
      <c r="G475"/>
      <c r="H475"/>
      <c r="I475"/>
      <c r="J475"/>
      <c r="K475"/>
      <c r="L475"/>
    </row>
    <row r="476" spans="1:12" ht="15" x14ac:dyDescent="0.25">
      <c r="A476"/>
      <c r="B476"/>
      <c r="C476"/>
      <c r="D476"/>
      <c r="E476"/>
      <c r="F476"/>
      <c r="G476"/>
      <c r="H476"/>
      <c r="I476"/>
      <c r="J476"/>
      <c r="K476"/>
      <c r="L476"/>
    </row>
    <row r="477" spans="1:12" ht="15" x14ac:dyDescent="0.25">
      <c r="A477"/>
      <c r="B477"/>
      <c r="C477"/>
      <c r="D477"/>
      <c r="E477"/>
      <c r="F477"/>
      <c r="G477"/>
      <c r="H477"/>
      <c r="I477"/>
      <c r="J477"/>
      <c r="K477"/>
      <c r="L477"/>
    </row>
    <row r="478" spans="1:12" ht="15" x14ac:dyDescent="0.25">
      <c r="A478"/>
      <c r="B478"/>
      <c r="C478"/>
      <c r="D478"/>
      <c r="E478"/>
      <c r="F478"/>
      <c r="G478"/>
      <c r="H478"/>
      <c r="I478"/>
      <c r="J478"/>
      <c r="K478"/>
      <c r="L478"/>
    </row>
    <row r="479" spans="1:12" ht="15" x14ac:dyDescent="0.25">
      <c r="A479"/>
      <c r="B479"/>
      <c r="C479"/>
      <c r="D479"/>
      <c r="E479"/>
      <c r="F479"/>
      <c r="G479"/>
      <c r="H479"/>
      <c r="I479"/>
      <c r="J479"/>
      <c r="K479"/>
      <c r="L479"/>
    </row>
    <row r="480" spans="1:12" ht="15" x14ac:dyDescent="0.25">
      <c r="A480"/>
      <c r="B480"/>
      <c r="C480"/>
      <c r="D480"/>
      <c r="E480"/>
      <c r="F480"/>
      <c r="G480"/>
      <c r="H480"/>
      <c r="I480"/>
      <c r="J480"/>
      <c r="K480"/>
      <c r="L480"/>
    </row>
    <row r="481" spans="1:12" ht="15" x14ac:dyDescent="0.25">
      <c r="A481"/>
      <c r="B481"/>
      <c r="C481"/>
      <c r="D481"/>
      <c r="E481"/>
      <c r="F481"/>
      <c r="G481"/>
      <c r="H481"/>
      <c r="I481"/>
      <c r="J481"/>
      <c r="K481"/>
      <c r="L481"/>
    </row>
    <row r="482" spans="1:12" ht="15" x14ac:dyDescent="0.25">
      <c r="A482"/>
      <c r="B482"/>
      <c r="C482"/>
      <c r="D482"/>
      <c r="E482"/>
      <c r="F482"/>
      <c r="G482"/>
      <c r="H482"/>
      <c r="I482"/>
      <c r="J482"/>
      <c r="K482"/>
      <c r="L482"/>
    </row>
    <row r="483" spans="1:12" ht="15" x14ac:dyDescent="0.25">
      <c r="A483"/>
      <c r="B483"/>
      <c r="C483"/>
      <c r="D483"/>
      <c r="E483"/>
      <c r="F483"/>
      <c r="G483"/>
      <c r="H483"/>
      <c r="I483"/>
      <c r="J483"/>
      <c r="K483"/>
      <c r="L483"/>
    </row>
    <row r="484" spans="1:12" ht="15" x14ac:dyDescent="0.25">
      <c r="A484"/>
      <c r="B484"/>
      <c r="C484"/>
      <c r="D484"/>
      <c r="E484"/>
      <c r="F484"/>
      <c r="G484"/>
      <c r="H484"/>
      <c r="I484"/>
      <c r="J484"/>
      <c r="K484"/>
      <c r="L484"/>
    </row>
    <row r="485" spans="1:12" ht="15" x14ac:dyDescent="0.25">
      <c r="A485"/>
      <c r="B485"/>
      <c r="C485"/>
      <c r="D485"/>
      <c r="E485"/>
      <c r="F485"/>
      <c r="G485"/>
      <c r="H485"/>
      <c r="I485"/>
      <c r="J485"/>
      <c r="K485"/>
      <c r="L485"/>
    </row>
    <row r="486" spans="1:12" ht="15" x14ac:dyDescent="0.25">
      <c r="A486"/>
      <c r="B486"/>
      <c r="C486"/>
      <c r="D486"/>
      <c r="E486"/>
      <c r="F486"/>
      <c r="G486"/>
      <c r="H486"/>
      <c r="I486"/>
      <c r="J486"/>
      <c r="K486"/>
      <c r="L486"/>
    </row>
    <row r="487" spans="1:12" ht="15" x14ac:dyDescent="0.25">
      <c r="A487"/>
      <c r="B487"/>
      <c r="C487"/>
      <c r="D487"/>
      <c r="E487"/>
      <c r="F487"/>
      <c r="G487"/>
      <c r="H487"/>
      <c r="I487"/>
      <c r="J487"/>
      <c r="K487"/>
      <c r="L487"/>
    </row>
    <row r="488" spans="1:12" ht="15" x14ac:dyDescent="0.25">
      <c r="A488"/>
      <c r="B488"/>
      <c r="C488"/>
      <c r="D488"/>
      <c r="E488"/>
      <c r="F488"/>
      <c r="G488"/>
      <c r="H488"/>
      <c r="I488"/>
      <c r="J488"/>
      <c r="K488"/>
      <c r="L488"/>
    </row>
    <row r="489" spans="1:12" ht="15" x14ac:dyDescent="0.25">
      <c r="A489"/>
      <c r="B489"/>
      <c r="C489"/>
      <c r="D489"/>
      <c r="E489"/>
      <c r="F489"/>
      <c r="G489"/>
      <c r="H489"/>
      <c r="I489"/>
      <c r="J489"/>
      <c r="K489"/>
      <c r="L489"/>
    </row>
    <row r="490" spans="1:12" ht="15" x14ac:dyDescent="0.25">
      <c r="A490"/>
      <c r="B490"/>
      <c r="C490"/>
      <c r="D490"/>
      <c r="E490"/>
      <c r="F490"/>
      <c r="G490"/>
      <c r="H490"/>
      <c r="I490"/>
      <c r="J490"/>
      <c r="K490"/>
      <c r="L490"/>
    </row>
    <row r="491" spans="1:12" ht="15" x14ac:dyDescent="0.25">
      <c r="A491"/>
      <c r="B491"/>
      <c r="C491"/>
      <c r="D491"/>
      <c r="E491"/>
      <c r="F491"/>
      <c r="G491"/>
      <c r="H491"/>
      <c r="I491"/>
      <c r="J491"/>
      <c r="K491"/>
      <c r="L491"/>
    </row>
    <row r="492" spans="1:12" ht="15" x14ac:dyDescent="0.25">
      <c r="A492"/>
      <c r="B492"/>
      <c r="C492"/>
      <c r="D492"/>
      <c r="E492"/>
      <c r="F492"/>
      <c r="G492"/>
      <c r="H492"/>
      <c r="I492"/>
      <c r="J492"/>
      <c r="K492"/>
      <c r="L492"/>
    </row>
    <row r="493" spans="1:12" ht="15" x14ac:dyDescent="0.25">
      <c r="A493"/>
      <c r="B493"/>
      <c r="C493"/>
      <c r="D493"/>
      <c r="E493"/>
      <c r="F493"/>
      <c r="G493"/>
      <c r="H493"/>
      <c r="I493"/>
      <c r="J493"/>
      <c r="K493"/>
      <c r="L493"/>
    </row>
    <row r="494" spans="1:12" ht="15" x14ac:dyDescent="0.25">
      <c r="A494"/>
      <c r="B494"/>
      <c r="C494"/>
      <c r="D494"/>
      <c r="E494"/>
      <c r="F494"/>
      <c r="G494"/>
      <c r="H494"/>
      <c r="I494"/>
      <c r="J494"/>
      <c r="K494"/>
      <c r="L494"/>
    </row>
    <row r="495" spans="1:12" ht="15" x14ac:dyDescent="0.25">
      <c r="A495"/>
      <c r="B495"/>
      <c r="C495"/>
      <c r="D495"/>
      <c r="E495"/>
      <c r="F495"/>
      <c r="G495"/>
      <c r="H495"/>
      <c r="I495"/>
      <c r="J495"/>
      <c r="K495"/>
      <c r="L495"/>
    </row>
    <row r="496" spans="1:12" ht="15" x14ac:dyDescent="0.25">
      <c r="A496"/>
      <c r="B496"/>
      <c r="C496"/>
      <c r="D496"/>
      <c r="E496"/>
      <c r="F496"/>
      <c r="G496"/>
      <c r="H496"/>
      <c r="I496"/>
      <c r="J496"/>
      <c r="K496"/>
      <c r="L496"/>
    </row>
    <row r="497" spans="1:12" ht="15" x14ac:dyDescent="0.25">
      <c r="A497"/>
      <c r="B497"/>
      <c r="C497"/>
      <c r="D497"/>
      <c r="E497"/>
      <c r="F497"/>
      <c r="G497"/>
      <c r="H497"/>
      <c r="I497"/>
      <c r="J497"/>
      <c r="K497"/>
      <c r="L497"/>
    </row>
    <row r="498" spans="1:12" ht="15" x14ac:dyDescent="0.25">
      <c r="A498"/>
      <c r="B498"/>
      <c r="C498"/>
      <c r="D498"/>
      <c r="E498"/>
      <c r="F498"/>
      <c r="G498"/>
      <c r="H498"/>
      <c r="I498"/>
      <c r="J498"/>
      <c r="K498"/>
      <c r="L498"/>
    </row>
    <row r="499" spans="1:12" ht="15" x14ac:dyDescent="0.25">
      <c r="A499"/>
      <c r="B499"/>
      <c r="C499"/>
      <c r="D499"/>
      <c r="E499"/>
      <c r="F499"/>
      <c r="G499"/>
      <c r="H499"/>
      <c r="I499"/>
      <c r="J499"/>
      <c r="K499"/>
      <c r="L499"/>
    </row>
    <row r="500" spans="1:12" ht="15" x14ac:dyDescent="0.25">
      <c r="A500"/>
      <c r="B500"/>
      <c r="C500"/>
      <c r="D500"/>
      <c r="E500"/>
      <c r="F500"/>
      <c r="G500"/>
      <c r="H500"/>
      <c r="I500"/>
      <c r="J500"/>
      <c r="K500"/>
      <c r="L500"/>
    </row>
    <row r="501" spans="1:12" ht="15" x14ac:dyDescent="0.25">
      <c r="A501"/>
      <c r="B501"/>
      <c r="C501"/>
      <c r="D501"/>
      <c r="E501"/>
      <c r="F501"/>
      <c r="G501"/>
      <c r="H501"/>
      <c r="I501"/>
      <c r="J501"/>
      <c r="K501"/>
      <c r="L501"/>
    </row>
    <row r="502" spans="1:12" ht="15" x14ac:dyDescent="0.25">
      <c r="A502"/>
      <c r="B502"/>
      <c r="C502"/>
      <c r="D502"/>
      <c r="E502"/>
      <c r="F502"/>
      <c r="G502"/>
      <c r="H502"/>
      <c r="I502"/>
      <c r="J502"/>
      <c r="K502"/>
      <c r="L502"/>
    </row>
    <row r="503" spans="1:12" ht="15" x14ac:dyDescent="0.25">
      <c r="A503"/>
      <c r="B503"/>
      <c r="C503"/>
      <c r="D503"/>
      <c r="E503"/>
      <c r="F503"/>
      <c r="G503"/>
      <c r="H503"/>
      <c r="I503"/>
      <c r="J503"/>
      <c r="K503"/>
      <c r="L503"/>
    </row>
    <row r="504" spans="1:12" ht="15" x14ac:dyDescent="0.25">
      <c r="A504"/>
      <c r="B504"/>
      <c r="C504"/>
      <c r="D504"/>
      <c r="E504"/>
      <c r="F504"/>
      <c r="G504"/>
      <c r="H504"/>
      <c r="I504"/>
      <c r="J504"/>
      <c r="K504"/>
      <c r="L504"/>
    </row>
    <row r="505" spans="1:12" ht="15" x14ac:dyDescent="0.25">
      <c r="A505"/>
      <c r="B505"/>
      <c r="C505"/>
      <c r="D505"/>
      <c r="E505"/>
      <c r="F505"/>
      <c r="G505"/>
      <c r="H505"/>
      <c r="I505"/>
      <c r="J505"/>
      <c r="K505"/>
      <c r="L505"/>
    </row>
    <row r="506" spans="1:12" ht="15" x14ac:dyDescent="0.25">
      <c r="A506"/>
      <c r="B506"/>
      <c r="C506"/>
      <c r="D506"/>
      <c r="E506"/>
      <c r="F506"/>
      <c r="G506"/>
      <c r="H506"/>
      <c r="I506"/>
      <c r="J506"/>
      <c r="K506"/>
      <c r="L506"/>
    </row>
    <row r="507" spans="1:12" ht="15" x14ac:dyDescent="0.25">
      <c r="A507"/>
      <c r="B507"/>
      <c r="C507"/>
      <c r="D507"/>
      <c r="E507"/>
      <c r="F507"/>
      <c r="G507"/>
      <c r="H507"/>
      <c r="I507"/>
      <c r="J507"/>
      <c r="K507"/>
      <c r="L507"/>
    </row>
    <row r="508" spans="1:12" ht="15" x14ac:dyDescent="0.25">
      <c r="A508"/>
      <c r="B508"/>
      <c r="C508"/>
      <c r="D508"/>
      <c r="E508"/>
      <c r="F508"/>
      <c r="G508"/>
      <c r="H508"/>
      <c r="I508"/>
      <c r="J508"/>
      <c r="K508"/>
      <c r="L508"/>
    </row>
    <row r="509" spans="1:12" ht="15" x14ac:dyDescent="0.25">
      <c r="A509"/>
      <c r="B509"/>
      <c r="C509"/>
      <c r="D509"/>
      <c r="E509"/>
      <c r="F509"/>
      <c r="G509"/>
      <c r="H509"/>
      <c r="I509"/>
      <c r="J509"/>
      <c r="K509"/>
      <c r="L509"/>
    </row>
    <row r="510" spans="1:12" ht="15" x14ac:dyDescent="0.25">
      <c r="A510"/>
      <c r="B510"/>
      <c r="C510"/>
      <c r="D510"/>
      <c r="E510"/>
      <c r="F510"/>
      <c r="G510"/>
      <c r="H510"/>
      <c r="I510"/>
      <c r="J510"/>
      <c r="K510"/>
      <c r="L510"/>
    </row>
    <row r="511" spans="1:12" ht="15" x14ac:dyDescent="0.25">
      <c r="A511"/>
      <c r="B511"/>
      <c r="C511"/>
      <c r="D511"/>
      <c r="E511"/>
      <c r="F511"/>
      <c r="G511"/>
      <c r="H511"/>
      <c r="I511"/>
      <c r="J511"/>
      <c r="K511"/>
      <c r="L511"/>
    </row>
    <row r="512" spans="1:12" ht="15" x14ac:dyDescent="0.25">
      <c r="A512"/>
      <c r="B512"/>
      <c r="C512"/>
      <c r="D512"/>
      <c r="E512"/>
      <c r="F512"/>
      <c r="G512"/>
      <c r="H512"/>
      <c r="I512"/>
      <c r="J512"/>
      <c r="K512"/>
      <c r="L512"/>
    </row>
    <row r="513" spans="1:12" ht="15" x14ac:dyDescent="0.25">
      <c r="A513"/>
      <c r="B513"/>
      <c r="C513"/>
      <c r="D513"/>
      <c r="E513"/>
      <c r="F513"/>
      <c r="G513"/>
      <c r="H513"/>
      <c r="I513"/>
      <c r="J513"/>
      <c r="K513"/>
      <c r="L513"/>
    </row>
    <row r="514" spans="1:12" ht="15" x14ac:dyDescent="0.25">
      <c r="A514"/>
      <c r="B514"/>
      <c r="C514"/>
      <c r="D514"/>
      <c r="E514"/>
      <c r="F514"/>
      <c r="G514"/>
      <c r="H514"/>
      <c r="I514"/>
      <c r="J514"/>
      <c r="K514"/>
      <c r="L514"/>
    </row>
    <row r="515" spans="1:12" ht="15" x14ac:dyDescent="0.25">
      <c r="A515"/>
      <c r="B515"/>
      <c r="C515"/>
      <c r="D515"/>
      <c r="E515"/>
      <c r="F515"/>
      <c r="G515"/>
      <c r="H515"/>
      <c r="I515"/>
      <c r="J515"/>
      <c r="K515"/>
      <c r="L515"/>
    </row>
    <row r="516" spans="1:12" ht="15" x14ac:dyDescent="0.25">
      <c r="A516"/>
      <c r="B516"/>
      <c r="C516"/>
      <c r="D516"/>
      <c r="E516"/>
      <c r="F516"/>
      <c r="G516"/>
      <c r="H516"/>
      <c r="I516"/>
      <c r="J516"/>
      <c r="K516"/>
      <c r="L516"/>
    </row>
    <row r="517" spans="1:12" ht="15" x14ac:dyDescent="0.25">
      <c r="A517"/>
      <c r="B517"/>
      <c r="C517"/>
      <c r="D517"/>
      <c r="E517"/>
      <c r="F517"/>
      <c r="G517"/>
      <c r="H517"/>
      <c r="I517"/>
      <c r="J517"/>
      <c r="K517"/>
      <c r="L517"/>
    </row>
    <row r="518" spans="1:12" ht="15" x14ac:dyDescent="0.25">
      <c r="A518"/>
      <c r="B518"/>
      <c r="C518"/>
      <c r="D518"/>
      <c r="E518"/>
      <c r="F518"/>
      <c r="G518"/>
      <c r="H518"/>
      <c r="I518"/>
      <c r="J518"/>
      <c r="K518"/>
      <c r="L518"/>
    </row>
    <row r="519" spans="1:12" ht="15" x14ac:dyDescent="0.25">
      <c r="A519"/>
      <c r="B519"/>
      <c r="C519"/>
      <c r="D519"/>
      <c r="E519"/>
      <c r="F519"/>
      <c r="G519"/>
      <c r="H519"/>
      <c r="I519"/>
      <c r="J519"/>
      <c r="K519"/>
      <c r="L519"/>
    </row>
    <row r="520" spans="1:12" ht="15" x14ac:dyDescent="0.25">
      <c r="A520"/>
      <c r="B520"/>
      <c r="C520"/>
      <c r="D520"/>
      <c r="E520"/>
      <c r="F520"/>
      <c r="G520"/>
      <c r="H520"/>
      <c r="I520"/>
      <c r="J520"/>
      <c r="K520"/>
      <c r="L520"/>
    </row>
    <row r="521" spans="1:12" ht="15" x14ac:dyDescent="0.25">
      <c r="A521"/>
      <c r="B521"/>
      <c r="C521"/>
      <c r="D521"/>
      <c r="E521"/>
      <c r="F521"/>
      <c r="G521"/>
      <c r="H521"/>
      <c r="I521"/>
      <c r="J521"/>
      <c r="K521"/>
      <c r="L521"/>
    </row>
    <row r="522" spans="1:12" ht="15" x14ac:dyDescent="0.25">
      <c r="A522"/>
      <c r="B522"/>
      <c r="C522"/>
      <c r="D522"/>
      <c r="E522"/>
      <c r="F522"/>
      <c r="G522"/>
      <c r="H522"/>
      <c r="I522"/>
      <c r="J522"/>
      <c r="K522"/>
      <c r="L522"/>
    </row>
    <row r="523" spans="1:12" ht="15" x14ac:dyDescent="0.25">
      <c r="A523"/>
      <c r="B523"/>
      <c r="C523"/>
      <c r="D523"/>
      <c r="E523"/>
      <c r="F523"/>
      <c r="G523"/>
      <c r="H523"/>
      <c r="I523"/>
      <c r="J523"/>
      <c r="K523"/>
      <c r="L523"/>
    </row>
    <row r="524" spans="1:12" ht="15" x14ac:dyDescent="0.25">
      <c r="A524"/>
      <c r="B524"/>
      <c r="C524"/>
      <c r="D524"/>
      <c r="E524"/>
      <c r="F524"/>
      <c r="G524"/>
      <c r="H524"/>
      <c r="I524"/>
      <c r="J524"/>
      <c r="K524"/>
      <c r="L524"/>
    </row>
    <row r="525" spans="1:12" ht="15" x14ac:dyDescent="0.25">
      <c r="A525"/>
      <c r="B525"/>
      <c r="C525"/>
      <c r="D525"/>
      <c r="E525"/>
      <c r="F525"/>
      <c r="G525"/>
      <c r="H525"/>
      <c r="I525"/>
      <c r="J525"/>
      <c r="K525"/>
      <c r="L525"/>
    </row>
    <row r="526" spans="1:12" ht="15" x14ac:dyDescent="0.25">
      <c r="A526"/>
      <c r="B526"/>
      <c r="C526"/>
      <c r="D526"/>
      <c r="E526"/>
      <c r="F526"/>
      <c r="G526"/>
      <c r="H526"/>
      <c r="I526"/>
      <c r="J526"/>
      <c r="K526"/>
      <c r="L526"/>
    </row>
    <row r="527" spans="1:12" ht="15" x14ac:dyDescent="0.25">
      <c r="A527"/>
      <c r="B527"/>
      <c r="C527"/>
      <c r="D527"/>
      <c r="E527"/>
      <c r="F527"/>
      <c r="G527"/>
      <c r="H527"/>
      <c r="I527"/>
      <c r="J527"/>
      <c r="K527"/>
      <c r="L527"/>
    </row>
    <row r="528" spans="1:12" ht="15" x14ac:dyDescent="0.25">
      <c r="A528"/>
      <c r="B528"/>
      <c r="C528"/>
      <c r="D528"/>
      <c r="E528"/>
      <c r="F528"/>
      <c r="G528"/>
      <c r="H528"/>
      <c r="I528"/>
      <c r="J528"/>
      <c r="K528"/>
      <c r="L528"/>
    </row>
    <row r="529" spans="1:12" ht="15" x14ac:dyDescent="0.25">
      <c r="A529"/>
      <c r="B529"/>
      <c r="C529"/>
      <c r="D529"/>
      <c r="E529"/>
      <c r="F529"/>
      <c r="G529"/>
      <c r="H529"/>
      <c r="I529"/>
      <c r="J529"/>
      <c r="K529"/>
      <c r="L529"/>
    </row>
    <row r="530" spans="1:12" ht="15" x14ac:dyDescent="0.25">
      <c r="A530"/>
      <c r="B530"/>
      <c r="C530"/>
      <c r="D530"/>
      <c r="E530"/>
      <c r="F530"/>
      <c r="G530"/>
      <c r="H530"/>
      <c r="I530"/>
      <c r="J530"/>
      <c r="K530"/>
      <c r="L530"/>
    </row>
    <row r="531" spans="1:12" ht="15" x14ac:dyDescent="0.25">
      <c r="A531"/>
      <c r="B531"/>
      <c r="C531"/>
      <c r="D531"/>
      <c r="E531"/>
      <c r="F531"/>
      <c r="G531"/>
      <c r="H531"/>
      <c r="I531"/>
      <c r="J531"/>
      <c r="K531"/>
      <c r="L531"/>
    </row>
    <row r="532" spans="1:12" ht="15" x14ac:dyDescent="0.25">
      <c r="A532"/>
      <c r="B532"/>
      <c r="C532"/>
      <c r="D532"/>
      <c r="E532"/>
      <c r="F532"/>
      <c r="G532"/>
      <c r="H532"/>
      <c r="I532"/>
      <c r="J532"/>
      <c r="K532"/>
      <c r="L532"/>
    </row>
    <row r="533" spans="1:12" ht="15" x14ac:dyDescent="0.25">
      <c r="A533"/>
      <c r="B533"/>
      <c r="C533"/>
      <c r="D533"/>
      <c r="E533"/>
      <c r="F533"/>
      <c r="G533"/>
      <c r="H533"/>
      <c r="I533"/>
      <c r="J533"/>
      <c r="K533"/>
      <c r="L533"/>
    </row>
    <row r="534" spans="1:12" ht="15" x14ac:dyDescent="0.25">
      <c r="A534"/>
      <c r="B534"/>
      <c r="C534"/>
      <c r="D534"/>
      <c r="E534"/>
      <c r="F534"/>
      <c r="G534"/>
      <c r="H534"/>
      <c r="I534"/>
      <c r="J534"/>
      <c r="K534"/>
      <c r="L534"/>
    </row>
    <row r="535" spans="1:12" ht="15" x14ac:dyDescent="0.25">
      <c r="A535"/>
      <c r="B535"/>
      <c r="C535"/>
      <c r="D535"/>
      <c r="E535"/>
      <c r="F535"/>
      <c r="G535"/>
      <c r="H535"/>
      <c r="I535"/>
      <c r="J535"/>
      <c r="K535"/>
      <c r="L535"/>
    </row>
    <row r="536" spans="1:12" ht="15" x14ac:dyDescent="0.25">
      <c r="A536"/>
      <c r="B536"/>
      <c r="C536"/>
      <c r="D536"/>
      <c r="E536"/>
      <c r="F536"/>
      <c r="G536"/>
      <c r="H536"/>
      <c r="I536"/>
      <c r="J536"/>
      <c r="K536"/>
      <c r="L536"/>
    </row>
    <row r="537" spans="1:12" ht="15" x14ac:dyDescent="0.25">
      <c r="A537"/>
      <c r="B537"/>
      <c r="C537"/>
      <c r="D537"/>
      <c r="E537"/>
      <c r="F537"/>
      <c r="G537"/>
      <c r="H537"/>
      <c r="I537"/>
      <c r="J537"/>
      <c r="K537"/>
      <c r="L537"/>
    </row>
    <row r="538" spans="1:12" ht="15" x14ac:dyDescent="0.25">
      <c r="A538"/>
      <c r="B538"/>
      <c r="C538"/>
      <c r="D538"/>
      <c r="E538"/>
      <c r="F538"/>
      <c r="G538"/>
      <c r="H538"/>
      <c r="I538"/>
      <c r="J538"/>
      <c r="K538"/>
      <c r="L538"/>
    </row>
    <row r="539" spans="1:12" ht="15" x14ac:dyDescent="0.25">
      <c r="A539"/>
      <c r="B539"/>
      <c r="C539"/>
      <c r="D539"/>
      <c r="E539"/>
      <c r="F539"/>
      <c r="G539"/>
      <c r="H539"/>
      <c r="I539"/>
      <c r="J539"/>
      <c r="K539"/>
      <c r="L539"/>
    </row>
    <row r="540" spans="1:12" ht="15" x14ac:dyDescent="0.25">
      <c r="A540"/>
      <c r="B540"/>
      <c r="C540"/>
      <c r="D540"/>
      <c r="E540"/>
      <c r="F540"/>
      <c r="G540"/>
      <c r="H540"/>
      <c r="I540"/>
      <c r="J540"/>
      <c r="K540"/>
      <c r="L540"/>
    </row>
    <row r="541" spans="1:12" ht="15" x14ac:dyDescent="0.25">
      <c r="A541"/>
      <c r="B541"/>
      <c r="C541"/>
      <c r="D541"/>
      <c r="E541"/>
      <c r="F541"/>
      <c r="G541"/>
      <c r="H541"/>
      <c r="I541"/>
      <c r="J541"/>
      <c r="K541"/>
      <c r="L541"/>
    </row>
    <row r="542" spans="1:12" ht="15" x14ac:dyDescent="0.25">
      <c r="A542"/>
      <c r="B542"/>
      <c r="C542"/>
      <c r="D542"/>
      <c r="E542"/>
      <c r="F542"/>
      <c r="G542"/>
      <c r="H542"/>
      <c r="I542"/>
      <c r="J542"/>
      <c r="K542"/>
      <c r="L542"/>
    </row>
    <row r="543" spans="1:12" ht="15" x14ac:dyDescent="0.25">
      <c r="A543"/>
      <c r="B543"/>
      <c r="C543"/>
      <c r="D543"/>
      <c r="E543"/>
      <c r="F543"/>
      <c r="G543"/>
      <c r="H543"/>
      <c r="I543"/>
      <c r="J543"/>
      <c r="K543"/>
      <c r="L543"/>
    </row>
    <row r="544" spans="1:12" ht="15" x14ac:dyDescent="0.25">
      <c r="A544"/>
      <c r="B544"/>
      <c r="C544"/>
      <c r="D544"/>
      <c r="E544"/>
      <c r="F544"/>
      <c r="G544"/>
      <c r="H544"/>
      <c r="I544"/>
      <c r="J544"/>
      <c r="K544"/>
      <c r="L544"/>
    </row>
    <row r="545" spans="1:12" ht="15" x14ac:dyDescent="0.25">
      <c r="A545"/>
      <c r="B545"/>
      <c r="C545"/>
      <c r="D545"/>
      <c r="E545"/>
      <c r="F545"/>
      <c r="G545"/>
      <c r="H545"/>
      <c r="I545"/>
      <c r="J545"/>
      <c r="K545"/>
      <c r="L545"/>
    </row>
    <row r="546" spans="1:12" ht="15" x14ac:dyDescent="0.25">
      <c r="A546"/>
      <c r="B546"/>
      <c r="C546"/>
      <c r="D546"/>
      <c r="E546"/>
      <c r="F546"/>
      <c r="G546"/>
      <c r="H546"/>
      <c r="I546"/>
      <c r="J546"/>
      <c r="K546"/>
      <c r="L546"/>
    </row>
    <row r="547" spans="1:12" ht="15" x14ac:dyDescent="0.25">
      <c r="A547"/>
      <c r="B547"/>
      <c r="C547"/>
      <c r="D547"/>
      <c r="E547"/>
      <c r="F547"/>
      <c r="G547"/>
      <c r="H547"/>
      <c r="I547"/>
      <c r="J547"/>
      <c r="K547"/>
      <c r="L547"/>
    </row>
    <row r="548" spans="1:12" ht="15" x14ac:dyDescent="0.25">
      <c r="A548"/>
      <c r="B548"/>
      <c r="C548"/>
      <c r="D548"/>
      <c r="E548"/>
      <c r="F548"/>
      <c r="G548"/>
      <c r="H548"/>
      <c r="I548"/>
      <c r="J548"/>
      <c r="K548"/>
      <c r="L548"/>
    </row>
    <row r="549" spans="1:12" ht="15" x14ac:dyDescent="0.25">
      <c r="A549"/>
      <c r="B549"/>
      <c r="C549"/>
      <c r="D549"/>
      <c r="E549"/>
      <c r="F549"/>
      <c r="G549"/>
      <c r="H549"/>
      <c r="I549"/>
      <c r="J549"/>
      <c r="K549"/>
      <c r="L549"/>
    </row>
    <row r="550" spans="1:12" ht="15" x14ac:dyDescent="0.25">
      <c r="A550"/>
      <c r="B550"/>
      <c r="C550"/>
      <c r="D550"/>
      <c r="E550"/>
      <c r="F550"/>
      <c r="G550"/>
      <c r="H550"/>
      <c r="I550"/>
      <c r="J550"/>
      <c r="K550"/>
      <c r="L550"/>
    </row>
    <row r="551" spans="1:12" ht="15" x14ac:dyDescent="0.25">
      <c r="A551"/>
      <c r="B551"/>
      <c r="C551"/>
      <c r="D551"/>
      <c r="E551"/>
      <c r="F551"/>
      <c r="G551"/>
      <c r="H551"/>
      <c r="I551"/>
      <c r="J551"/>
      <c r="K551"/>
      <c r="L551"/>
    </row>
    <row r="552" spans="1:12" ht="15" x14ac:dyDescent="0.25">
      <c r="A552"/>
      <c r="B552"/>
      <c r="C552"/>
      <c r="D552"/>
      <c r="E552"/>
      <c r="F552"/>
      <c r="G552"/>
      <c r="H552"/>
      <c r="I552"/>
      <c r="J552"/>
      <c r="K552"/>
      <c r="L552"/>
    </row>
    <row r="553" spans="1:12" ht="15" x14ac:dyDescent="0.25">
      <c r="A553"/>
      <c r="B553"/>
      <c r="C553"/>
      <c r="D553"/>
      <c r="E553"/>
      <c r="F553"/>
      <c r="G553"/>
      <c r="H553"/>
      <c r="I553"/>
      <c r="J553"/>
      <c r="K553"/>
      <c r="L553"/>
    </row>
    <row r="554" spans="1:12" ht="15" x14ac:dyDescent="0.25">
      <c r="A554"/>
      <c r="B554"/>
      <c r="C554"/>
      <c r="D554"/>
      <c r="E554"/>
      <c r="F554"/>
      <c r="G554"/>
      <c r="H554"/>
      <c r="I554"/>
      <c r="J554"/>
      <c r="K554"/>
      <c r="L554"/>
    </row>
    <row r="555" spans="1:12" ht="15" x14ac:dyDescent="0.25">
      <c r="A555"/>
      <c r="B555"/>
      <c r="C555"/>
      <c r="D555"/>
      <c r="E555"/>
      <c r="F555"/>
      <c r="G555"/>
      <c r="H555"/>
      <c r="I555"/>
      <c r="J555"/>
      <c r="K555"/>
      <c r="L555"/>
    </row>
    <row r="556" spans="1:12" ht="15" x14ac:dyDescent="0.25">
      <c r="A556"/>
      <c r="B556"/>
      <c r="C556"/>
      <c r="D556"/>
      <c r="E556"/>
      <c r="F556"/>
      <c r="G556"/>
      <c r="H556"/>
      <c r="I556"/>
      <c r="J556"/>
      <c r="K556"/>
      <c r="L556"/>
    </row>
    <row r="557" spans="1:12" ht="15" x14ac:dyDescent="0.25">
      <c r="A557"/>
      <c r="B557"/>
      <c r="C557"/>
      <c r="D557"/>
      <c r="E557"/>
      <c r="F557"/>
      <c r="G557"/>
      <c r="H557"/>
      <c r="I557"/>
      <c r="J557"/>
      <c r="K557"/>
      <c r="L557"/>
    </row>
    <row r="558" spans="1:12" ht="15" x14ac:dyDescent="0.25">
      <c r="A558"/>
      <c r="B558"/>
      <c r="C558"/>
      <c r="D558"/>
      <c r="E558"/>
      <c r="F558"/>
      <c r="G558"/>
      <c r="H558"/>
      <c r="I558"/>
      <c r="J558"/>
      <c r="K558"/>
      <c r="L558"/>
    </row>
    <row r="559" spans="1:12" ht="15" x14ac:dyDescent="0.25">
      <c r="A559"/>
      <c r="B559"/>
      <c r="C559"/>
      <c r="D559"/>
      <c r="E559"/>
      <c r="F559"/>
      <c r="G559"/>
      <c r="H559"/>
      <c r="I559"/>
      <c r="J559"/>
      <c r="K559"/>
      <c r="L559"/>
    </row>
    <row r="560" spans="1:12" ht="15" x14ac:dyDescent="0.25">
      <c r="A560"/>
      <c r="B560"/>
      <c r="C560"/>
      <c r="D560"/>
      <c r="E560"/>
      <c r="F560"/>
      <c r="G560"/>
      <c r="H560"/>
      <c r="I560"/>
      <c r="J560"/>
      <c r="K560"/>
      <c r="L560"/>
    </row>
    <row r="561" spans="1:12" ht="15" x14ac:dyDescent="0.25">
      <c r="A561"/>
      <c r="B561"/>
      <c r="C561"/>
      <c r="D561"/>
      <c r="E561"/>
      <c r="F561"/>
      <c r="G561"/>
      <c r="H561"/>
      <c r="I561"/>
      <c r="J561"/>
      <c r="K561"/>
      <c r="L561"/>
    </row>
    <row r="562" spans="1:12" ht="15" x14ac:dyDescent="0.25">
      <c r="A562"/>
      <c r="B562"/>
      <c r="C562"/>
      <c r="D562"/>
      <c r="E562"/>
      <c r="F562"/>
      <c r="G562"/>
      <c r="H562"/>
      <c r="I562"/>
      <c r="J562"/>
      <c r="K562"/>
      <c r="L562"/>
    </row>
    <row r="563" spans="1:12" ht="15" x14ac:dyDescent="0.25">
      <c r="A563"/>
      <c r="B563"/>
      <c r="C563"/>
      <c r="D563"/>
      <c r="E563"/>
      <c r="F563"/>
      <c r="G563"/>
      <c r="H563"/>
      <c r="I563"/>
      <c r="J563"/>
      <c r="K563"/>
      <c r="L563"/>
    </row>
    <row r="564" spans="1:12" ht="15" x14ac:dyDescent="0.25">
      <c r="A564"/>
      <c r="B564"/>
      <c r="C564"/>
      <c r="D564"/>
      <c r="E564"/>
      <c r="F564"/>
      <c r="G564"/>
      <c r="H564"/>
      <c r="I564"/>
      <c r="J564"/>
      <c r="K564"/>
      <c r="L564"/>
    </row>
    <row r="565" spans="1:12" ht="15" x14ac:dyDescent="0.25">
      <c r="A565"/>
      <c r="B565"/>
      <c r="C565"/>
      <c r="D565"/>
      <c r="E565"/>
      <c r="F565"/>
      <c r="G565"/>
      <c r="H565"/>
      <c r="I565"/>
      <c r="J565"/>
      <c r="K565"/>
      <c r="L565"/>
    </row>
    <row r="566" spans="1:12" ht="15" x14ac:dyDescent="0.25">
      <c r="A566"/>
      <c r="B566"/>
      <c r="C566"/>
      <c r="D566"/>
      <c r="E566"/>
      <c r="F566"/>
      <c r="G566"/>
      <c r="H566"/>
      <c r="I566"/>
      <c r="J566"/>
      <c r="K566"/>
      <c r="L566"/>
    </row>
    <row r="567" spans="1:12" ht="15" x14ac:dyDescent="0.25">
      <c r="A567"/>
      <c r="B567"/>
      <c r="C567"/>
      <c r="D567"/>
      <c r="E567"/>
      <c r="F567"/>
      <c r="G567"/>
      <c r="H567"/>
      <c r="I567"/>
      <c r="J567"/>
      <c r="K567"/>
      <c r="L567"/>
    </row>
    <row r="568" spans="1:12" ht="15" x14ac:dyDescent="0.25">
      <c r="A568"/>
      <c r="B568"/>
      <c r="C568"/>
      <c r="D568"/>
      <c r="E568"/>
      <c r="F568"/>
      <c r="G568"/>
      <c r="H568"/>
      <c r="I568"/>
      <c r="J568"/>
      <c r="K568"/>
      <c r="L568"/>
    </row>
    <row r="569" spans="1:12" ht="15" x14ac:dyDescent="0.25">
      <c r="A569"/>
      <c r="B569"/>
      <c r="C569"/>
      <c r="D569"/>
      <c r="E569"/>
      <c r="F569"/>
      <c r="G569"/>
      <c r="H569"/>
      <c r="I569"/>
      <c r="J569"/>
      <c r="K569"/>
      <c r="L569"/>
    </row>
    <row r="570" spans="1:12" ht="15" x14ac:dyDescent="0.25">
      <c r="A570"/>
      <c r="B570"/>
      <c r="C570"/>
      <c r="D570"/>
      <c r="E570"/>
      <c r="F570"/>
      <c r="G570"/>
      <c r="H570"/>
      <c r="I570"/>
      <c r="J570"/>
      <c r="K570"/>
      <c r="L570"/>
    </row>
    <row r="571" spans="1:12" ht="15" x14ac:dyDescent="0.25">
      <c r="A571"/>
      <c r="B571"/>
      <c r="C571"/>
      <c r="D571"/>
      <c r="E571"/>
      <c r="F571"/>
      <c r="G571"/>
      <c r="H571"/>
      <c r="I571"/>
      <c r="J571"/>
      <c r="K571"/>
      <c r="L571"/>
    </row>
    <row r="572" spans="1:12" ht="15" x14ac:dyDescent="0.25">
      <c r="A572"/>
      <c r="B572"/>
      <c r="C572"/>
      <c r="D572"/>
      <c r="E572"/>
      <c r="F572"/>
      <c r="G572"/>
      <c r="H572"/>
      <c r="I572"/>
      <c r="J572"/>
      <c r="K572"/>
      <c r="L572"/>
    </row>
    <row r="573" spans="1:12" ht="15" x14ac:dyDescent="0.25">
      <c r="A573"/>
      <c r="B573"/>
      <c r="C573"/>
      <c r="D573"/>
      <c r="E573"/>
      <c r="F573"/>
      <c r="G573"/>
      <c r="H573"/>
      <c r="I573"/>
      <c r="J573"/>
      <c r="K573"/>
      <c r="L573"/>
    </row>
    <row r="574" spans="1:12" ht="15" x14ac:dyDescent="0.25">
      <c r="A574"/>
      <c r="B574"/>
      <c r="C574"/>
      <c r="D574"/>
      <c r="E574"/>
      <c r="F574"/>
      <c r="G574"/>
      <c r="H574"/>
      <c r="I574"/>
      <c r="J574"/>
      <c r="K574"/>
      <c r="L574"/>
    </row>
    <row r="575" spans="1:12" ht="15" x14ac:dyDescent="0.25">
      <c r="A575"/>
      <c r="B575"/>
      <c r="C575"/>
      <c r="D575"/>
      <c r="E575"/>
      <c r="F575"/>
      <c r="G575"/>
      <c r="H575"/>
      <c r="I575"/>
      <c r="J575"/>
      <c r="K575"/>
      <c r="L575"/>
    </row>
    <row r="576" spans="1:12" ht="15" x14ac:dyDescent="0.25">
      <c r="A576"/>
      <c r="B576"/>
      <c r="C576"/>
      <c r="D576"/>
      <c r="E576"/>
      <c r="F576"/>
      <c r="G576"/>
      <c r="H576"/>
      <c r="I576"/>
      <c r="J576"/>
      <c r="K576"/>
      <c r="L576"/>
    </row>
    <row r="577" spans="1:12" ht="15" x14ac:dyDescent="0.25">
      <c r="A577"/>
      <c r="B577"/>
      <c r="C577"/>
      <c r="D577"/>
      <c r="E577"/>
      <c r="F577"/>
      <c r="G577"/>
      <c r="H577"/>
      <c r="I577"/>
      <c r="J577"/>
      <c r="K577"/>
      <c r="L577"/>
    </row>
    <row r="578" spans="1:12" ht="15" x14ac:dyDescent="0.25">
      <c r="A578"/>
      <c r="B578"/>
      <c r="C578"/>
      <c r="D578"/>
      <c r="E578"/>
      <c r="F578"/>
      <c r="G578"/>
      <c r="H578"/>
      <c r="I578"/>
      <c r="J578"/>
      <c r="K578"/>
      <c r="L578"/>
    </row>
    <row r="579" spans="1:12" ht="15" x14ac:dyDescent="0.25">
      <c r="A579"/>
      <c r="B579"/>
      <c r="C579"/>
      <c r="D579"/>
      <c r="E579"/>
      <c r="F579"/>
      <c r="G579"/>
      <c r="H579"/>
      <c r="I579"/>
      <c r="J579"/>
      <c r="K579"/>
      <c r="L579"/>
    </row>
    <row r="580" spans="1:12" ht="15" x14ac:dyDescent="0.25">
      <c r="A580"/>
      <c r="B580"/>
      <c r="C580"/>
      <c r="D580"/>
      <c r="E580"/>
      <c r="F580"/>
      <c r="G580"/>
      <c r="H580"/>
      <c r="I580"/>
      <c r="J580"/>
      <c r="K580"/>
      <c r="L580"/>
    </row>
    <row r="581" spans="1:12" ht="15" x14ac:dyDescent="0.25">
      <c r="A581"/>
      <c r="B581"/>
      <c r="C581"/>
      <c r="D581"/>
      <c r="E581"/>
      <c r="F581"/>
      <c r="G581"/>
      <c r="H581"/>
      <c r="I581"/>
      <c r="J581"/>
      <c r="K581"/>
      <c r="L581"/>
    </row>
    <row r="582" spans="1:12" ht="15" x14ac:dyDescent="0.25">
      <c r="A582"/>
      <c r="B582"/>
      <c r="C582"/>
      <c r="D582"/>
      <c r="E582"/>
      <c r="F582"/>
      <c r="G582"/>
      <c r="H582"/>
      <c r="I582"/>
      <c r="J582"/>
      <c r="K582"/>
      <c r="L582"/>
    </row>
    <row r="583" spans="1:12" ht="15" x14ac:dyDescent="0.25">
      <c r="A583"/>
      <c r="B583"/>
      <c r="C583"/>
      <c r="D583"/>
      <c r="E583"/>
      <c r="F583"/>
      <c r="G583"/>
      <c r="H583"/>
      <c r="I583"/>
      <c r="J583"/>
      <c r="K583"/>
      <c r="L583"/>
    </row>
    <row r="584" spans="1:12" ht="15" x14ac:dyDescent="0.25">
      <c r="A584"/>
      <c r="B584"/>
      <c r="C584"/>
      <c r="D584"/>
      <c r="E584"/>
      <c r="F584"/>
      <c r="G584"/>
      <c r="H584"/>
      <c r="I584"/>
      <c r="J584"/>
      <c r="K584"/>
      <c r="L584"/>
    </row>
    <row r="585" spans="1:12" ht="15" x14ac:dyDescent="0.25">
      <c r="A585"/>
      <c r="B585"/>
      <c r="C585"/>
      <c r="D585"/>
      <c r="E585"/>
      <c r="F585"/>
      <c r="G585"/>
      <c r="H585"/>
      <c r="I585"/>
      <c r="J585"/>
      <c r="K585"/>
      <c r="L585"/>
    </row>
    <row r="586" spans="1:12" ht="15" x14ac:dyDescent="0.25">
      <c r="A586"/>
      <c r="B586"/>
      <c r="C586"/>
      <c r="D586"/>
      <c r="E586"/>
      <c r="F586"/>
      <c r="G586"/>
      <c r="H586"/>
      <c r="I586"/>
      <c r="J586"/>
      <c r="K586"/>
      <c r="L586"/>
    </row>
    <row r="587" spans="1:12" ht="15" x14ac:dyDescent="0.25">
      <c r="A587"/>
      <c r="B587"/>
      <c r="C587"/>
      <c r="D587"/>
      <c r="E587"/>
      <c r="F587"/>
      <c r="G587"/>
      <c r="H587"/>
      <c r="I587"/>
      <c r="J587"/>
      <c r="K587"/>
      <c r="L587"/>
    </row>
    <row r="588" spans="1:12" ht="15" x14ac:dyDescent="0.25">
      <c r="A588"/>
      <c r="B588"/>
      <c r="C588"/>
      <c r="D588"/>
      <c r="E588"/>
      <c r="F588"/>
      <c r="G588"/>
      <c r="H588"/>
      <c r="I588"/>
      <c r="J588"/>
      <c r="K588"/>
      <c r="L588"/>
    </row>
    <row r="589" spans="1:12" ht="15" x14ac:dyDescent="0.25">
      <c r="A589"/>
      <c r="B589"/>
      <c r="C589"/>
      <c r="D589"/>
      <c r="E589"/>
      <c r="F589"/>
      <c r="G589"/>
      <c r="H589"/>
      <c r="I589"/>
      <c r="J589"/>
      <c r="K589"/>
      <c r="L589"/>
    </row>
    <row r="590" spans="1:12" ht="15" x14ac:dyDescent="0.25">
      <c r="A590"/>
      <c r="B590"/>
      <c r="C590"/>
      <c r="D590"/>
      <c r="E590"/>
      <c r="F590"/>
      <c r="G590"/>
      <c r="H590"/>
      <c r="I590"/>
      <c r="J590"/>
      <c r="K590"/>
      <c r="L590"/>
    </row>
    <row r="591" spans="1:12" ht="15" x14ac:dyDescent="0.25">
      <c r="A591"/>
      <c r="B591"/>
      <c r="C591"/>
      <c r="D591"/>
      <c r="E591"/>
      <c r="F591"/>
      <c r="G591"/>
      <c r="H591"/>
      <c r="I591"/>
      <c r="J591"/>
      <c r="K591"/>
      <c r="L591"/>
    </row>
    <row r="592" spans="1:12" ht="15" x14ac:dyDescent="0.25">
      <c r="A592"/>
      <c r="B592"/>
      <c r="C592"/>
      <c r="D592"/>
      <c r="E592"/>
      <c r="F592"/>
      <c r="G592"/>
      <c r="H592"/>
      <c r="I592"/>
      <c r="J592"/>
      <c r="K592"/>
      <c r="L592"/>
    </row>
    <row r="593" spans="1:12" ht="15" x14ac:dyDescent="0.25">
      <c r="A593"/>
      <c r="B593"/>
      <c r="C593"/>
      <c r="D593"/>
      <c r="E593"/>
      <c r="F593"/>
      <c r="G593"/>
      <c r="H593"/>
      <c r="I593"/>
      <c r="J593"/>
      <c r="K593"/>
      <c r="L593"/>
    </row>
    <row r="594" spans="1:12" ht="15" x14ac:dyDescent="0.25">
      <c r="A594"/>
      <c r="B594"/>
      <c r="C594"/>
      <c r="D594"/>
      <c r="E594"/>
      <c r="F594"/>
      <c r="G594"/>
      <c r="H594"/>
      <c r="I594"/>
      <c r="J594"/>
      <c r="K594"/>
      <c r="L594"/>
    </row>
    <row r="595" spans="1:12" ht="15" x14ac:dyDescent="0.25">
      <c r="A595"/>
      <c r="B595"/>
      <c r="C595"/>
      <c r="D595"/>
      <c r="E595"/>
      <c r="F595"/>
      <c r="G595"/>
      <c r="H595"/>
      <c r="I595"/>
      <c r="J595"/>
      <c r="K595"/>
      <c r="L595"/>
    </row>
    <row r="596" spans="1:12" ht="15" x14ac:dyDescent="0.25">
      <c r="A596"/>
      <c r="B596"/>
      <c r="C596"/>
      <c r="D596"/>
      <c r="E596"/>
      <c r="F596"/>
      <c r="G596"/>
      <c r="H596"/>
      <c r="I596"/>
      <c r="J596"/>
      <c r="K596"/>
      <c r="L596"/>
    </row>
    <row r="597" spans="1:12" ht="15" x14ac:dyDescent="0.25">
      <c r="A597"/>
      <c r="B597"/>
      <c r="C597"/>
      <c r="D597"/>
      <c r="E597"/>
      <c r="F597"/>
      <c r="G597"/>
      <c r="H597"/>
      <c r="I597"/>
      <c r="J597"/>
      <c r="K597"/>
      <c r="L597"/>
    </row>
    <row r="598" spans="1:12" ht="15" x14ac:dyDescent="0.25">
      <c r="A598"/>
      <c r="B598"/>
      <c r="C598"/>
      <c r="D598"/>
      <c r="E598"/>
      <c r="F598"/>
      <c r="G598"/>
      <c r="H598"/>
      <c r="I598"/>
      <c r="J598"/>
      <c r="K598"/>
      <c r="L598"/>
    </row>
    <row r="599" spans="1:12" ht="15" x14ac:dyDescent="0.25">
      <c r="A599"/>
      <c r="B599"/>
      <c r="C599"/>
      <c r="D599"/>
      <c r="E599"/>
      <c r="F599"/>
      <c r="G599"/>
      <c r="H599"/>
      <c r="I599"/>
      <c r="J599"/>
      <c r="K599"/>
      <c r="L599"/>
    </row>
    <row r="600" spans="1:12" ht="15" x14ac:dyDescent="0.25">
      <c r="A600"/>
      <c r="B600"/>
      <c r="C600"/>
      <c r="D600"/>
      <c r="E600"/>
      <c r="F600"/>
      <c r="G600"/>
      <c r="H600"/>
      <c r="I600"/>
      <c r="J600"/>
      <c r="K600"/>
      <c r="L600"/>
    </row>
    <row r="601" spans="1:12" ht="15" x14ac:dyDescent="0.25">
      <c r="A601"/>
      <c r="B601"/>
      <c r="C601"/>
      <c r="D601"/>
      <c r="E601"/>
      <c r="F601"/>
      <c r="G601"/>
      <c r="H601"/>
      <c r="I601"/>
      <c r="J601"/>
      <c r="K601"/>
      <c r="L601"/>
    </row>
    <row r="602" spans="1:12" ht="15" x14ac:dyDescent="0.25">
      <c r="A602"/>
      <c r="B602"/>
      <c r="C602"/>
      <c r="D602"/>
      <c r="E602"/>
      <c r="F602"/>
      <c r="G602"/>
      <c r="H602"/>
      <c r="I602"/>
      <c r="J602"/>
      <c r="K602"/>
      <c r="L602"/>
    </row>
    <row r="603" spans="1:12" ht="15" x14ac:dyDescent="0.25">
      <c r="A603"/>
      <c r="B603"/>
      <c r="C603"/>
      <c r="D603"/>
      <c r="E603"/>
      <c r="F603"/>
      <c r="G603"/>
      <c r="H603"/>
      <c r="I603"/>
      <c r="J603"/>
      <c r="K603"/>
      <c r="L603"/>
    </row>
    <row r="604" spans="1:12" ht="15" x14ac:dyDescent="0.25">
      <c r="A604"/>
      <c r="B604"/>
      <c r="C604"/>
      <c r="D604"/>
      <c r="E604"/>
      <c r="F604"/>
      <c r="G604"/>
      <c r="H604"/>
      <c r="I604"/>
      <c r="J604"/>
      <c r="K604"/>
      <c r="L604"/>
    </row>
    <row r="605" spans="1:12" ht="15" x14ac:dyDescent="0.25">
      <c r="A605"/>
      <c r="B605"/>
      <c r="C605"/>
      <c r="D605"/>
      <c r="E605"/>
      <c r="F605"/>
      <c r="G605"/>
      <c r="H605"/>
      <c r="I605"/>
      <c r="J605"/>
      <c r="K605"/>
      <c r="L605"/>
    </row>
    <row r="606" spans="1:12" ht="15" x14ac:dyDescent="0.25">
      <c r="A606"/>
      <c r="B606"/>
      <c r="C606"/>
      <c r="D606"/>
      <c r="E606"/>
      <c r="F606"/>
      <c r="G606"/>
      <c r="H606"/>
      <c r="I606"/>
      <c r="J606"/>
      <c r="K606"/>
      <c r="L606"/>
    </row>
    <row r="607" spans="1:12" ht="15" x14ac:dyDescent="0.25">
      <c r="A607"/>
      <c r="B607"/>
      <c r="C607"/>
      <c r="D607"/>
      <c r="E607"/>
      <c r="F607"/>
      <c r="G607"/>
      <c r="H607"/>
      <c r="I607"/>
      <c r="J607"/>
      <c r="K607"/>
      <c r="L607"/>
    </row>
    <row r="608" spans="1:12" ht="15" x14ac:dyDescent="0.25">
      <c r="A608"/>
      <c r="B608"/>
      <c r="C608"/>
      <c r="D608"/>
      <c r="E608"/>
      <c r="F608"/>
      <c r="G608"/>
      <c r="H608"/>
      <c r="I608"/>
      <c r="J608"/>
      <c r="K608"/>
      <c r="L608"/>
    </row>
    <row r="609" spans="1:12" ht="15" x14ac:dyDescent="0.25">
      <c r="A609"/>
      <c r="B609"/>
      <c r="C609"/>
      <c r="D609"/>
      <c r="E609"/>
      <c r="F609"/>
      <c r="G609"/>
      <c r="H609"/>
      <c r="I609"/>
      <c r="J609"/>
      <c r="K609"/>
      <c r="L609"/>
    </row>
    <row r="610" spans="1:12" ht="15" x14ac:dyDescent="0.25">
      <c r="A610"/>
      <c r="B610"/>
      <c r="C610"/>
      <c r="D610"/>
      <c r="E610"/>
      <c r="F610"/>
      <c r="G610"/>
      <c r="H610"/>
      <c r="I610"/>
      <c r="J610"/>
      <c r="K610"/>
      <c r="L610"/>
    </row>
    <row r="611" spans="1:12" ht="15" x14ac:dyDescent="0.25">
      <c r="A611"/>
      <c r="B611"/>
      <c r="C611"/>
      <c r="D611"/>
      <c r="E611"/>
      <c r="F611"/>
      <c r="G611"/>
      <c r="H611"/>
      <c r="I611"/>
      <c r="J611"/>
      <c r="K611"/>
      <c r="L611"/>
    </row>
    <row r="612" spans="1:12" ht="15" x14ac:dyDescent="0.25">
      <c r="A612"/>
      <c r="B612"/>
      <c r="C612"/>
      <c r="D612"/>
      <c r="E612"/>
      <c r="F612"/>
      <c r="G612"/>
      <c r="H612"/>
      <c r="I612"/>
      <c r="J612"/>
      <c r="K612"/>
      <c r="L612"/>
    </row>
    <row r="613" spans="1:12" ht="15" x14ac:dyDescent="0.25">
      <c r="A613"/>
      <c r="B613"/>
      <c r="C613"/>
      <c r="D613"/>
      <c r="E613"/>
      <c r="F613"/>
      <c r="G613"/>
      <c r="H613"/>
      <c r="I613"/>
      <c r="J613"/>
      <c r="K613"/>
      <c r="L613"/>
    </row>
    <row r="614" spans="1:12" ht="15" x14ac:dyDescent="0.25">
      <c r="A614"/>
      <c r="B614"/>
      <c r="C614"/>
      <c r="D614"/>
      <c r="E614"/>
      <c r="F614"/>
      <c r="G614"/>
      <c r="H614"/>
      <c r="I614"/>
      <c r="J614"/>
      <c r="K614"/>
      <c r="L614"/>
    </row>
    <row r="615" spans="1:12" ht="15" x14ac:dyDescent="0.25">
      <c r="A615"/>
      <c r="B615"/>
      <c r="C615"/>
      <c r="D615"/>
      <c r="E615"/>
      <c r="F615"/>
      <c r="G615"/>
      <c r="H615"/>
      <c r="I615"/>
      <c r="J615"/>
      <c r="K615"/>
      <c r="L615"/>
    </row>
    <row r="616" spans="1:12" ht="15" x14ac:dyDescent="0.25">
      <c r="A616"/>
      <c r="B616"/>
      <c r="C616"/>
      <c r="D616"/>
      <c r="E616"/>
      <c r="F616"/>
      <c r="G616"/>
      <c r="H616"/>
      <c r="I616"/>
      <c r="J616"/>
      <c r="K616"/>
      <c r="L616"/>
    </row>
    <row r="617" spans="1:12" ht="15" x14ac:dyDescent="0.25">
      <c r="A617"/>
      <c r="B617"/>
      <c r="C617"/>
      <c r="D617"/>
      <c r="E617"/>
      <c r="F617"/>
      <c r="G617"/>
      <c r="H617"/>
      <c r="I617"/>
      <c r="J617"/>
      <c r="K617"/>
      <c r="L617"/>
    </row>
    <row r="618" spans="1:12" ht="15" x14ac:dyDescent="0.25">
      <c r="A618"/>
      <c r="B618"/>
      <c r="C618"/>
      <c r="D618"/>
      <c r="E618"/>
      <c r="F618"/>
      <c r="G618"/>
      <c r="H618"/>
      <c r="I618"/>
      <c r="J618"/>
      <c r="K618"/>
      <c r="L618"/>
    </row>
    <row r="619" spans="1:12" ht="15" x14ac:dyDescent="0.25">
      <c r="A619"/>
      <c r="B619"/>
      <c r="C619"/>
      <c r="D619"/>
      <c r="E619"/>
      <c r="F619"/>
      <c r="G619"/>
      <c r="H619"/>
      <c r="I619"/>
      <c r="J619"/>
      <c r="K619"/>
      <c r="L619"/>
    </row>
    <row r="620" spans="1:12" ht="15" x14ac:dyDescent="0.25">
      <c r="A620"/>
      <c r="B620"/>
      <c r="C620"/>
      <c r="D620"/>
      <c r="E620"/>
      <c r="F620"/>
      <c r="G620"/>
      <c r="H620"/>
      <c r="I620"/>
      <c r="J620"/>
      <c r="K620"/>
      <c r="L620"/>
    </row>
    <row r="621" spans="1:12" ht="15" x14ac:dyDescent="0.25">
      <c r="A621"/>
      <c r="B621"/>
      <c r="C621"/>
      <c r="D621"/>
      <c r="E621"/>
      <c r="F621"/>
      <c r="G621"/>
      <c r="H621"/>
      <c r="I621"/>
      <c r="J621"/>
      <c r="K621"/>
      <c r="L621"/>
    </row>
    <row r="622" spans="1:12" ht="15" x14ac:dyDescent="0.25">
      <c r="A622"/>
      <c r="B622"/>
      <c r="C622"/>
      <c r="D622"/>
      <c r="E622"/>
      <c r="F622"/>
      <c r="G622"/>
      <c r="H622"/>
      <c r="I622"/>
      <c r="J622"/>
      <c r="K622"/>
      <c r="L622"/>
    </row>
    <row r="623" spans="1:12" ht="15" x14ac:dyDescent="0.25">
      <c r="A623"/>
      <c r="B623"/>
      <c r="C623"/>
      <c r="D623"/>
      <c r="E623"/>
      <c r="F623"/>
      <c r="G623"/>
      <c r="H623"/>
      <c r="I623"/>
      <c r="J623"/>
      <c r="K623"/>
      <c r="L623"/>
    </row>
    <row r="624" spans="1:12" ht="15" x14ac:dyDescent="0.25">
      <c r="A624"/>
      <c r="B624"/>
      <c r="C624"/>
      <c r="D624"/>
      <c r="E624"/>
      <c r="F624"/>
      <c r="G624"/>
      <c r="H624"/>
      <c r="I624"/>
      <c r="J624"/>
      <c r="K624"/>
      <c r="L624"/>
    </row>
    <row r="625" spans="1:12" ht="15" x14ac:dyDescent="0.25">
      <c r="A625"/>
      <c r="B625"/>
      <c r="C625"/>
      <c r="D625"/>
      <c r="E625"/>
      <c r="F625"/>
      <c r="G625"/>
      <c r="H625"/>
      <c r="I625"/>
      <c r="J625"/>
      <c r="K625"/>
      <c r="L625"/>
    </row>
    <row r="626" spans="1:12" ht="15" x14ac:dyDescent="0.25">
      <c r="A626"/>
      <c r="B626"/>
      <c r="C626"/>
      <c r="D626"/>
      <c r="E626"/>
      <c r="F626"/>
      <c r="G626"/>
      <c r="H626"/>
      <c r="I626"/>
      <c r="J626"/>
      <c r="K626"/>
      <c r="L626"/>
    </row>
    <row r="627" spans="1:12" ht="15" x14ac:dyDescent="0.25">
      <c r="A627"/>
      <c r="B627"/>
      <c r="C627"/>
      <c r="D627"/>
      <c r="E627"/>
      <c r="F627"/>
      <c r="G627"/>
      <c r="H627"/>
      <c r="I627"/>
      <c r="J627"/>
      <c r="K627"/>
      <c r="L627"/>
    </row>
    <row r="628" spans="1:12" ht="15" x14ac:dyDescent="0.25">
      <c r="A628"/>
      <c r="B628"/>
      <c r="C628"/>
      <c r="D628"/>
      <c r="E628"/>
      <c r="F628"/>
      <c r="G628"/>
      <c r="H628"/>
      <c r="I628"/>
      <c r="J628"/>
      <c r="K628"/>
      <c r="L628"/>
    </row>
    <row r="629" spans="1:12" ht="15" x14ac:dyDescent="0.25">
      <c r="A629"/>
      <c r="B629"/>
      <c r="C629"/>
      <c r="D629"/>
      <c r="E629"/>
      <c r="F629"/>
      <c r="G629"/>
      <c r="H629"/>
      <c r="I629"/>
      <c r="J629"/>
      <c r="K629"/>
      <c r="L629"/>
    </row>
    <row r="630" spans="1:12" ht="15" x14ac:dyDescent="0.25">
      <c r="A630"/>
      <c r="B630"/>
      <c r="C630"/>
      <c r="D630"/>
      <c r="E630"/>
      <c r="F630"/>
      <c r="G630"/>
      <c r="H630"/>
      <c r="I630"/>
      <c r="J630"/>
      <c r="K630"/>
      <c r="L630"/>
    </row>
    <row r="631" spans="1:12" ht="15" x14ac:dyDescent="0.25">
      <c r="A631"/>
      <c r="B631"/>
      <c r="C631"/>
      <c r="D631"/>
      <c r="E631"/>
      <c r="F631"/>
      <c r="G631"/>
      <c r="H631"/>
      <c r="I631"/>
      <c r="J631"/>
      <c r="K631"/>
      <c r="L631"/>
    </row>
    <row r="632" spans="1:12" ht="15" x14ac:dyDescent="0.25">
      <c r="A632"/>
      <c r="B632"/>
      <c r="C632"/>
      <c r="D632"/>
      <c r="E632"/>
      <c r="F632"/>
      <c r="G632"/>
      <c r="H632"/>
      <c r="I632"/>
      <c r="J632"/>
      <c r="K632"/>
      <c r="L632"/>
    </row>
    <row r="633" spans="1:12" ht="15" x14ac:dyDescent="0.25">
      <c r="A633"/>
      <c r="B633"/>
      <c r="C633"/>
      <c r="D633"/>
      <c r="E633"/>
      <c r="F633"/>
      <c r="G633"/>
      <c r="H633"/>
      <c r="I633"/>
      <c r="J633"/>
      <c r="K633"/>
      <c r="L633"/>
    </row>
    <row r="634" spans="1:12" ht="15" x14ac:dyDescent="0.25">
      <c r="A634"/>
      <c r="B634"/>
      <c r="C634"/>
      <c r="D634"/>
      <c r="E634"/>
      <c r="F634"/>
      <c r="G634"/>
      <c r="H634"/>
      <c r="I634"/>
      <c r="J634"/>
      <c r="K634"/>
      <c r="L634"/>
    </row>
    <row r="635" spans="1:12" ht="15" x14ac:dyDescent="0.25">
      <c r="A635"/>
      <c r="B635"/>
      <c r="C635"/>
      <c r="D635"/>
      <c r="E635"/>
      <c r="F635"/>
      <c r="G635"/>
      <c r="H635"/>
      <c r="I635"/>
      <c r="J635"/>
      <c r="K635"/>
      <c r="L635"/>
    </row>
    <row r="636" spans="1:12" ht="15" x14ac:dyDescent="0.25">
      <c r="A636"/>
      <c r="B636"/>
      <c r="C636"/>
      <c r="D636"/>
      <c r="E636"/>
      <c r="F636"/>
      <c r="G636"/>
      <c r="H636"/>
      <c r="I636"/>
      <c r="J636"/>
      <c r="K636"/>
      <c r="L636"/>
    </row>
    <row r="637" spans="1:12" ht="15" x14ac:dyDescent="0.25">
      <c r="A637"/>
      <c r="B637"/>
      <c r="C637"/>
      <c r="D637"/>
      <c r="E637"/>
      <c r="F637"/>
      <c r="G637"/>
      <c r="H637"/>
      <c r="I637"/>
      <c r="J637"/>
      <c r="K637"/>
      <c r="L637"/>
    </row>
    <row r="638" spans="1:12" ht="15" x14ac:dyDescent="0.25">
      <c r="A638"/>
      <c r="B638"/>
      <c r="C638"/>
      <c r="D638"/>
      <c r="E638"/>
      <c r="F638"/>
      <c r="G638"/>
      <c r="H638"/>
      <c r="I638"/>
      <c r="J638"/>
      <c r="K638"/>
      <c r="L638"/>
    </row>
    <row r="639" spans="1:12" ht="15" x14ac:dyDescent="0.25">
      <c r="A639"/>
      <c r="B639"/>
      <c r="C639"/>
      <c r="D639"/>
      <c r="E639"/>
      <c r="F639"/>
      <c r="G639"/>
      <c r="H639"/>
      <c r="I639"/>
      <c r="J639"/>
      <c r="K639"/>
      <c r="L639"/>
    </row>
    <row r="640" spans="1:12" ht="15" x14ac:dyDescent="0.25">
      <c r="A640"/>
      <c r="B640"/>
      <c r="C640"/>
      <c r="D640"/>
      <c r="E640"/>
      <c r="F640"/>
      <c r="G640"/>
      <c r="H640"/>
      <c r="I640"/>
      <c r="J640"/>
      <c r="K640"/>
      <c r="L640"/>
    </row>
    <row r="641" spans="1:12" ht="15" x14ac:dyDescent="0.25">
      <c r="A641"/>
      <c r="B641"/>
      <c r="C641"/>
      <c r="D641"/>
      <c r="E641"/>
      <c r="F641"/>
      <c r="G641"/>
      <c r="H641"/>
      <c r="I641"/>
      <c r="J641"/>
      <c r="K641"/>
      <c r="L641"/>
    </row>
    <row r="642" spans="1:12" ht="15" x14ac:dyDescent="0.25">
      <c r="A642"/>
      <c r="B642"/>
      <c r="C642"/>
      <c r="D642"/>
      <c r="E642"/>
      <c r="F642"/>
      <c r="G642"/>
      <c r="H642"/>
      <c r="I642"/>
      <c r="J642"/>
      <c r="K642"/>
      <c r="L642"/>
    </row>
    <row r="643" spans="1:12" ht="15" x14ac:dyDescent="0.25">
      <c r="A643"/>
      <c r="B643"/>
      <c r="C643"/>
      <c r="D643"/>
      <c r="E643"/>
      <c r="F643"/>
      <c r="G643"/>
      <c r="H643"/>
      <c r="I643"/>
      <c r="J643"/>
      <c r="K643"/>
      <c r="L643"/>
    </row>
    <row r="644" spans="1:12" ht="15" x14ac:dyDescent="0.25">
      <c r="A644"/>
      <c r="B644"/>
      <c r="C644"/>
      <c r="D644"/>
      <c r="E644"/>
      <c r="F644"/>
      <c r="G644"/>
      <c r="H644"/>
      <c r="I644"/>
      <c r="J644"/>
      <c r="K644"/>
      <c r="L644"/>
    </row>
    <row r="645" spans="1:12" ht="15" x14ac:dyDescent="0.25">
      <c r="A645"/>
      <c r="B645"/>
      <c r="C645"/>
      <c r="D645"/>
      <c r="E645"/>
      <c r="F645"/>
      <c r="G645"/>
      <c r="H645"/>
      <c r="I645"/>
      <c r="J645"/>
      <c r="K645"/>
      <c r="L645"/>
    </row>
    <row r="646" spans="1:12" ht="15" x14ac:dyDescent="0.25">
      <c r="A646"/>
      <c r="B646"/>
      <c r="C646"/>
      <c r="D646"/>
      <c r="E646"/>
      <c r="F646"/>
      <c r="G646"/>
      <c r="H646"/>
      <c r="I646"/>
      <c r="J646"/>
      <c r="K646"/>
      <c r="L646"/>
    </row>
    <row r="647" spans="1:12" ht="15" x14ac:dyDescent="0.25">
      <c r="A647"/>
      <c r="B647"/>
      <c r="C647"/>
      <c r="D647"/>
      <c r="E647"/>
      <c r="F647"/>
      <c r="G647"/>
      <c r="H647"/>
      <c r="I647"/>
      <c r="J647"/>
      <c r="K647"/>
      <c r="L647"/>
    </row>
    <row r="648" spans="1:12" ht="15" x14ac:dyDescent="0.25">
      <c r="A648"/>
      <c r="B648"/>
      <c r="C648"/>
      <c r="D648"/>
      <c r="E648"/>
      <c r="F648"/>
      <c r="G648"/>
      <c r="H648"/>
      <c r="I648"/>
      <c r="J648"/>
      <c r="K648"/>
      <c r="L648"/>
    </row>
    <row r="649" spans="1:12" ht="15" x14ac:dyDescent="0.25">
      <c r="A649"/>
      <c r="B649"/>
      <c r="C649"/>
      <c r="D649"/>
      <c r="E649"/>
      <c r="F649"/>
      <c r="G649"/>
      <c r="H649"/>
      <c r="I649"/>
      <c r="J649"/>
      <c r="K649"/>
      <c r="L649"/>
    </row>
    <row r="650" spans="1:12" ht="15" x14ac:dyDescent="0.25">
      <c r="A650"/>
      <c r="B650"/>
      <c r="C650"/>
      <c r="D650"/>
      <c r="E650"/>
      <c r="F650"/>
      <c r="G650"/>
      <c r="H650"/>
      <c r="I650"/>
      <c r="J650"/>
      <c r="K650"/>
      <c r="L650"/>
    </row>
    <row r="651" spans="1:12" ht="15" x14ac:dyDescent="0.25">
      <c r="A651"/>
      <c r="B651"/>
      <c r="C651"/>
      <c r="D651"/>
      <c r="E651"/>
      <c r="F651"/>
      <c r="G651"/>
      <c r="H651"/>
      <c r="I651"/>
      <c r="J651"/>
      <c r="K651"/>
      <c r="L651"/>
    </row>
    <row r="652" spans="1:12" ht="15" x14ac:dyDescent="0.25">
      <c r="A652"/>
      <c r="B652"/>
      <c r="C652"/>
      <c r="D652"/>
      <c r="E652"/>
      <c r="F652"/>
      <c r="G652"/>
      <c r="H652"/>
      <c r="I652"/>
      <c r="J652"/>
      <c r="K652"/>
      <c r="L652"/>
    </row>
    <row r="653" spans="1:12" ht="15" x14ac:dyDescent="0.25">
      <c r="A653"/>
      <c r="B653"/>
      <c r="C653"/>
      <c r="D653"/>
      <c r="E653"/>
      <c r="F653"/>
      <c r="G653"/>
      <c r="H653"/>
      <c r="I653"/>
      <c r="J653"/>
      <c r="K653"/>
      <c r="L653"/>
    </row>
    <row r="654" spans="1:12" ht="15" x14ac:dyDescent="0.25">
      <c r="A654"/>
      <c r="B654"/>
      <c r="C654"/>
      <c r="D654"/>
      <c r="E654"/>
      <c r="F654"/>
      <c r="G654"/>
      <c r="H654"/>
      <c r="I654"/>
      <c r="J654"/>
      <c r="K654"/>
      <c r="L654"/>
    </row>
    <row r="655" spans="1:12" ht="15" x14ac:dyDescent="0.25">
      <c r="A655"/>
      <c r="B655"/>
      <c r="C655"/>
      <c r="D655"/>
      <c r="E655"/>
      <c r="F655"/>
      <c r="G655"/>
      <c r="H655"/>
      <c r="I655"/>
      <c r="J655"/>
      <c r="K655"/>
      <c r="L655"/>
    </row>
    <row r="656" spans="1:12" ht="15" x14ac:dyDescent="0.25">
      <c r="A656"/>
      <c r="B656"/>
      <c r="C656"/>
      <c r="D656"/>
      <c r="E656"/>
      <c r="F656"/>
      <c r="G656"/>
      <c r="H656"/>
      <c r="I656"/>
      <c r="J656"/>
      <c r="K656"/>
      <c r="L656"/>
    </row>
    <row r="657" spans="1:12" ht="15" x14ac:dyDescent="0.25">
      <c r="A657"/>
      <c r="B657"/>
      <c r="C657"/>
      <c r="D657"/>
      <c r="E657"/>
      <c r="F657"/>
      <c r="G657"/>
      <c r="H657"/>
      <c r="I657"/>
      <c r="J657"/>
      <c r="K657"/>
      <c r="L657"/>
    </row>
    <row r="658" spans="1:12" ht="15" x14ac:dyDescent="0.25">
      <c r="A658"/>
      <c r="B658"/>
      <c r="C658"/>
      <c r="D658"/>
      <c r="E658"/>
      <c r="F658"/>
      <c r="G658"/>
      <c r="H658"/>
      <c r="I658"/>
      <c r="J658"/>
      <c r="K658"/>
      <c r="L658"/>
    </row>
    <row r="659" spans="1:12" ht="15" x14ac:dyDescent="0.25">
      <c r="A659"/>
      <c r="B659"/>
      <c r="C659"/>
      <c r="D659"/>
      <c r="E659"/>
      <c r="F659"/>
      <c r="G659"/>
      <c r="H659"/>
      <c r="I659"/>
      <c r="J659"/>
      <c r="K659"/>
      <c r="L659"/>
    </row>
    <row r="660" spans="1:12" ht="15" x14ac:dyDescent="0.25">
      <c r="A660"/>
      <c r="B660"/>
      <c r="C660"/>
      <c r="D660"/>
      <c r="E660"/>
      <c r="F660"/>
      <c r="G660"/>
      <c r="H660"/>
      <c r="I660"/>
      <c r="J660"/>
      <c r="K660"/>
      <c r="L660"/>
    </row>
    <row r="661" spans="1:12" ht="15" x14ac:dyDescent="0.25">
      <c r="A661"/>
      <c r="B661"/>
      <c r="C661"/>
      <c r="D661"/>
      <c r="E661"/>
      <c r="F661"/>
      <c r="G661"/>
      <c r="H661"/>
      <c r="I661"/>
      <c r="J661"/>
      <c r="K661"/>
      <c r="L661"/>
    </row>
    <row r="662" spans="1:12" ht="15" x14ac:dyDescent="0.25">
      <c r="A662"/>
      <c r="B662"/>
      <c r="C662"/>
      <c r="D662"/>
      <c r="E662"/>
      <c r="F662"/>
      <c r="G662"/>
      <c r="H662"/>
      <c r="I662"/>
      <c r="J662"/>
      <c r="K662"/>
      <c r="L662"/>
    </row>
    <row r="663" spans="1:12" ht="15" x14ac:dyDescent="0.25">
      <c r="A663"/>
      <c r="B663"/>
      <c r="C663"/>
      <c r="D663"/>
      <c r="E663"/>
      <c r="F663"/>
      <c r="G663"/>
      <c r="H663"/>
      <c r="I663"/>
      <c r="J663"/>
      <c r="K663"/>
      <c r="L663"/>
    </row>
    <row r="664" spans="1:12" ht="15" x14ac:dyDescent="0.25">
      <c r="A664"/>
      <c r="B664"/>
      <c r="C664"/>
      <c r="D664"/>
      <c r="E664"/>
      <c r="F664"/>
      <c r="G664"/>
      <c r="H664"/>
      <c r="I664"/>
      <c r="J664"/>
      <c r="K664"/>
      <c r="L664"/>
    </row>
    <row r="665" spans="1:12" ht="15" x14ac:dyDescent="0.25">
      <c r="A665"/>
      <c r="B665"/>
      <c r="C665"/>
      <c r="D665"/>
      <c r="E665"/>
      <c r="F665"/>
      <c r="G665"/>
      <c r="H665"/>
      <c r="I665"/>
      <c r="J665"/>
      <c r="K665"/>
      <c r="L665"/>
    </row>
    <row r="666" spans="1:12" ht="15" x14ac:dyDescent="0.25">
      <c r="A666"/>
      <c r="B666"/>
      <c r="C666"/>
      <c r="D666"/>
      <c r="E666"/>
      <c r="F666"/>
      <c r="G666"/>
      <c r="H666"/>
      <c r="I666"/>
      <c r="J666"/>
      <c r="K666"/>
      <c r="L666"/>
    </row>
    <row r="667" spans="1:12" ht="15" x14ac:dyDescent="0.25">
      <c r="A667"/>
      <c r="B667"/>
      <c r="C667"/>
      <c r="D667"/>
      <c r="E667"/>
      <c r="F667"/>
      <c r="G667"/>
      <c r="H667"/>
      <c r="I667"/>
      <c r="J667"/>
      <c r="K667"/>
      <c r="L667"/>
    </row>
    <row r="668" spans="1:12" ht="15" x14ac:dyDescent="0.25">
      <c r="A668"/>
      <c r="B668"/>
      <c r="C668"/>
      <c r="D668"/>
      <c r="E668"/>
      <c r="F668"/>
      <c r="G668"/>
      <c r="H668"/>
      <c r="I668"/>
      <c r="J668"/>
      <c r="K668"/>
      <c r="L668"/>
    </row>
    <row r="669" spans="1:12" ht="15" x14ac:dyDescent="0.25">
      <c r="A669"/>
      <c r="B669"/>
      <c r="C669"/>
      <c r="D669"/>
      <c r="E669"/>
      <c r="F669"/>
      <c r="G669"/>
      <c r="H669"/>
      <c r="I669"/>
      <c r="J669"/>
      <c r="K669"/>
      <c r="L669"/>
    </row>
    <row r="670" spans="1:12" ht="15" x14ac:dyDescent="0.25">
      <c r="A670"/>
      <c r="B670"/>
      <c r="C670"/>
      <c r="D670"/>
      <c r="E670"/>
      <c r="F670"/>
      <c r="G670"/>
      <c r="H670"/>
      <c r="I670"/>
      <c r="J670"/>
      <c r="K670"/>
      <c r="L670"/>
    </row>
    <row r="671" spans="1:12" ht="15" x14ac:dyDescent="0.25">
      <c r="A671"/>
      <c r="B671"/>
      <c r="C671"/>
      <c r="D671"/>
      <c r="E671"/>
      <c r="F671"/>
      <c r="G671"/>
      <c r="H671"/>
      <c r="I671"/>
      <c r="J671"/>
      <c r="K671"/>
      <c r="L671"/>
    </row>
    <row r="672" spans="1:12" ht="15" x14ac:dyDescent="0.25">
      <c r="A672"/>
      <c r="B672"/>
      <c r="C672"/>
      <c r="D672"/>
      <c r="E672"/>
      <c r="F672"/>
      <c r="G672"/>
      <c r="H672"/>
      <c r="I672"/>
      <c r="J672"/>
      <c r="K672"/>
      <c r="L672"/>
    </row>
    <row r="673" spans="1:12" ht="15" x14ac:dyDescent="0.25">
      <c r="A673"/>
      <c r="B673"/>
      <c r="C673"/>
      <c r="D673"/>
      <c r="E673"/>
      <c r="F673"/>
      <c r="G673"/>
      <c r="H673"/>
      <c r="I673"/>
      <c r="J673"/>
      <c r="K673"/>
      <c r="L673"/>
    </row>
    <row r="674" spans="1:12" ht="15" x14ac:dyDescent="0.25">
      <c r="A674"/>
      <c r="B674"/>
      <c r="C674"/>
      <c r="D674"/>
      <c r="E674"/>
      <c r="F674"/>
      <c r="G674"/>
      <c r="H674"/>
      <c r="I674"/>
      <c r="J674"/>
      <c r="K674"/>
      <c r="L674"/>
    </row>
    <row r="675" spans="1:12" ht="15" x14ac:dyDescent="0.25">
      <c r="A675"/>
      <c r="B675"/>
      <c r="C675"/>
      <c r="D675"/>
      <c r="E675"/>
      <c r="F675"/>
      <c r="G675"/>
      <c r="H675"/>
      <c r="I675"/>
      <c r="J675"/>
      <c r="K675"/>
      <c r="L675"/>
    </row>
    <row r="676" spans="1:12" ht="15" x14ac:dyDescent="0.25">
      <c r="A676"/>
      <c r="B676"/>
      <c r="C676"/>
      <c r="D676"/>
      <c r="E676"/>
      <c r="F676"/>
      <c r="G676"/>
      <c r="H676"/>
      <c r="I676"/>
      <c r="J676"/>
      <c r="K676"/>
      <c r="L676"/>
    </row>
    <row r="677" spans="1:12" ht="15" x14ac:dyDescent="0.25">
      <c r="A677"/>
      <c r="B677"/>
      <c r="C677"/>
      <c r="D677"/>
      <c r="E677"/>
      <c r="F677"/>
      <c r="G677"/>
      <c r="H677"/>
      <c r="I677"/>
      <c r="J677"/>
      <c r="K677"/>
      <c r="L677"/>
    </row>
    <row r="678" spans="1:12" ht="15" x14ac:dyDescent="0.25">
      <c r="A678"/>
      <c r="B678"/>
      <c r="C678"/>
      <c r="D678"/>
      <c r="E678"/>
      <c r="F678"/>
      <c r="G678"/>
      <c r="H678"/>
      <c r="I678"/>
      <c r="J678"/>
      <c r="K678"/>
      <c r="L678"/>
    </row>
    <row r="679" spans="1:12" ht="15" x14ac:dyDescent="0.25">
      <c r="A679"/>
      <c r="B679"/>
      <c r="C679"/>
      <c r="D679"/>
      <c r="E679"/>
      <c r="F679"/>
      <c r="G679"/>
      <c r="H679"/>
      <c r="I679"/>
      <c r="J679"/>
      <c r="K679"/>
      <c r="L679"/>
    </row>
    <row r="680" spans="1:12" ht="15" x14ac:dyDescent="0.25">
      <c r="A680"/>
      <c r="B680"/>
      <c r="C680"/>
      <c r="D680"/>
      <c r="E680"/>
      <c r="F680"/>
      <c r="G680"/>
      <c r="H680"/>
      <c r="I680"/>
      <c r="J680"/>
      <c r="K680"/>
      <c r="L680"/>
    </row>
    <row r="681" spans="1:12" ht="15" x14ac:dyDescent="0.25">
      <c r="A681"/>
      <c r="B681"/>
      <c r="C681"/>
      <c r="D681"/>
      <c r="E681"/>
      <c r="F681"/>
      <c r="G681"/>
      <c r="H681"/>
      <c r="I681"/>
      <c r="J681"/>
      <c r="K681"/>
      <c r="L681"/>
    </row>
    <row r="682" spans="1:12" ht="15" x14ac:dyDescent="0.25">
      <c r="A682"/>
      <c r="B682"/>
      <c r="C682"/>
      <c r="D682"/>
      <c r="E682"/>
      <c r="F682"/>
      <c r="G682"/>
      <c r="H682"/>
      <c r="I682"/>
      <c r="J682"/>
      <c r="K682"/>
      <c r="L682"/>
    </row>
    <row r="683" spans="1:12" ht="15" x14ac:dyDescent="0.25">
      <c r="A683"/>
      <c r="B683"/>
      <c r="C683"/>
      <c r="D683"/>
      <c r="E683"/>
      <c r="F683"/>
      <c r="G683"/>
      <c r="H683"/>
      <c r="I683"/>
      <c r="J683"/>
      <c r="K683"/>
      <c r="L683"/>
    </row>
    <row r="684" spans="1:12" ht="15" x14ac:dyDescent="0.25">
      <c r="A684"/>
      <c r="B684"/>
      <c r="C684"/>
      <c r="D684"/>
      <c r="E684"/>
      <c r="F684"/>
      <c r="G684"/>
      <c r="H684"/>
      <c r="I684"/>
      <c r="J684"/>
      <c r="K684"/>
      <c r="L684"/>
    </row>
    <row r="685" spans="1:12" ht="15" x14ac:dyDescent="0.25">
      <c r="A685"/>
      <c r="B685"/>
      <c r="C685"/>
      <c r="D685"/>
      <c r="E685"/>
      <c r="F685"/>
      <c r="G685"/>
      <c r="H685"/>
      <c r="I685"/>
      <c r="J685"/>
      <c r="K685"/>
      <c r="L685"/>
    </row>
    <row r="686" spans="1:12" ht="15" x14ac:dyDescent="0.25">
      <c r="A686"/>
      <c r="B686"/>
      <c r="C686"/>
      <c r="D686"/>
      <c r="E686"/>
      <c r="F686"/>
      <c r="G686"/>
      <c r="H686"/>
      <c r="I686"/>
      <c r="J686"/>
      <c r="K686"/>
      <c r="L686"/>
    </row>
    <row r="687" spans="1:12" ht="15" x14ac:dyDescent="0.25">
      <c r="A687"/>
      <c r="B687"/>
      <c r="C687"/>
      <c r="D687"/>
      <c r="E687"/>
      <c r="F687"/>
      <c r="G687"/>
      <c r="H687"/>
      <c r="I687"/>
      <c r="J687"/>
      <c r="K687"/>
      <c r="L687"/>
    </row>
    <row r="688" spans="1:12" ht="15" x14ac:dyDescent="0.25">
      <c r="A688"/>
      <c r="B688"/>
      <c r="C688"/>
      <c r="D688"/>
      <c r="E688"/>
      <c r="F688"/>
      <c r="G688"/>
      <c r="H688"/>
      <c r="I688"/>
      <c r="J688"/>
      <c r="K688"/>
      <c r="L688"/>
    </row>
    <row r="689" spans="1:12" ht="15" x14ac:dyDescent="0.25">
      <c r="A689"/>
      <c r="B689"/>
      <c r="C689"/>
      <c r="D689"/>
      <c r="E689"/>
      <c r="F689"/>
      <c r="G689"/>
      <c r="H689"/>
      <c r="I689"/>
      <c r="J689"/>
      <c r="K689"/>
      <c r="L689"/>
    </row>
    <row r="690" spans="1:12" ht="15" x14ac:dyDescent="0.25">
      <c r="A690"/>
      <c r="B690"/>
      <c r="C690"/>
      <c r="D690"/>
      <c r="E690"/>
      <c r="F690"/>
      <c r="G690"/>
      <c r="H690"/>
      <c r="I690"/>
      <c r="J690"/>
      <c r="K690"/>
      <c r="L690"/>
    </row>
    <row r="691" spans="1:12" ht="15" x14ac:dyDescent="0.25">
      <c r="A691"/>
      <c r="B691"/>
      <c r="C691"/>
      <c r="D691"/>
      <c r="E691"/>
      <c r="F691"/>
      <c r="G691"/>
      <c r="H691"/>
      <c r="I691"/>
      <c r="J691"/>
      <c r="K691"/>
      <c r="L691"/>
    </row>
    <row r="692" spans="1:12" ht="15" x14ac:dyDescent="0.25">
      <c r="A692"/>
      <c r="B692"/>
      <c r="C692"/>
      <c r="D692"/>
      <c r="E692"/>
      <c r="F692"/>
      <c r="G692"/>
      <c r="H692"/>
      <c r="I692"/>
      <c r="J692"/>
      <c r="K692"/>
      <c r="L692"/>
    </row>
    <row r="693" spans="1:12" ht="15" x14ac:dyDescent="0.25">
      <c r="A693"/>
      <c r="B693"/>
      <c r="C693"/>
      <c r="D693"/>
      <c r="E693"/>
      <c r="F693"/>
      <c r="G693"/>
      <c r="H693"/>
      <c r="I693"/>
      <c r="J693"/>
      <c r="K693"/>
      <c r="L693"/>
    </row>
    <row r="694" spans="1:12" ht="15" x14ac:dyDescent="0.25">
      <c r="A694"/>
      <c r="B694"/>
      <c r="C694"/>
      <c r="D694"/>
      <c r="E694"/>
      <c r="F694"/>
      <c r="G694"/>
      <c r="H694"/>
      <c r="I694"/>
      <c r="J694"/>
      <c r="K694"/>
      <c r="L694"/>
    </row>
    <row r="695" spans="1:12" ht="15" x14ac:dyDescent="0.25">
      <c r="A695"/>
      <c r="B695"/>
      <c r="C695"/>
      <c r="D695"/>
      <c r="E695"/>
      <c r="F695"/>
      <c r="G695"/>
      <c r="H695"/>
      <c r="I695"/>
      <c r="J695"/>
      <c r="K695"/>
      <c r="L695"/>
    </row>
    <row r="696" spans="1:12" ht="15" x14ac:dyDescent="0.25">
      <c r="A696"/>
      <c r="B696"/>
      <c r="C696"/>
      <c r="D696"/>
      <c r="E696"/>
      <c r="F696"/>
      <c r="G696"/>
      <c r="H696"/>
      <c r="I696"/>
      <c r="J696"/>
      <c r="K696"/>
      <c r="L696"/>
    </row>
    <row r="697" spans="1:12" ht="15" x14ac:dyDescent="0.25">
      <c r="A697"/>
      <c r="B697"/>
      <c r="C697"/>
      <c r="D697"/>
      <c r="E697"/>
      <c r="F697"/>
      <c r="G697"/>
      <c r="H697"/>
      <c r="I697"/>
      <c r="J697"/>
      <c r="K697"/>
      <c r="L697"/>
    </row>
    <row r="698" spans="1:12" ht="15" x14ac:dyDescent="0.25">
      <c r="A698"/>
      <c r="B698"/>
      <c r="C698"/>
      <c r="D698"/>
      <c r="E698"/>
      <c r="F698"/>
      <c r="G698"/>
      <c r="H698"/>
      <c r="I698"/>
      <c r="J698"/>
      <c r="K698"/>
      <c r="L698"/>
    </row>
    <row r="699" spans="1:12" ht="15" x14ac:dyDescent="0.25">
      <c r="A699"/>
      <c r="B699"/>
      <c r="C699"/>
      <c r="D699"/>
      <c r="E699"/>
      <c r="F699"/>
      <c r="G699"/>
      <c r="H699"/>
      <c r="I699"/>
      <c r="J699"/>
      <c r="K699"/>
      <c r="L699"/>
    </row>
    <row r="700" spans="1:12" ht="15" x14ac:dyDescent="0.25">
      <c r="A700"/>
      <c r="B700"/>
      <c r="C700"/>
      <c r="D700"/>
      <c r="E700"/>
      <c r="F700"/>
      <c r="G700"/>
      <c r="H700"/>
      <c r="I700"/>
      <c r="J700"/>
      <c r="K700"/>
      <c r="L700"/>
    </row>
    <row r="701" spans="1:12" ht="15" x14ac:dyDescent="0.25">
      <c r="A701"/>
      <c r="B701"/>
      <c r="C701"/>
      <c r="D701"/>
      <c r="E701"/>
      <c r="F701"/>
      <c r="G701"/>
      <c r="H701"/>
      <c r="I701"/>
      <c r="J701"/>
      <c r="K701"/>
      <c r="L701"/>
    </row>
    <row r="702" spans="1:12" ht="15" x14ac:dyDescent="0.25">
      <c r="A702"/>
      <c r="B702"/>
      <c r="C702"/>
      <c r="D702"/>
      <c r="E702"/>
      <c r="F702"/>
      <c r="G702"/>
      <c r="H702"/>
      <c r="I702"/>
      <c r="J702"/>
      <c r="K702"/>
      <c r="L702"/>
    </row>
    <row r="703" spans="1:12" ht="15" x14ac:dyDescent="0.25">
      <c r="A703"/>
      <c r="B703"/>
      <c r="C703"/>
      <c r="D703"/>
      <c r="E703"/>
      <c r="F703"/>
      <c r="G703"/>
      <c r="H703"/>
      <c r="I703"/>
      <c r="J703"/>
      <c r="K703"/>
      <c r="L703"/>
    </row>
    <row r="704" spans="1:12" ht="15" x14ac:dyDescent="0.25">
      <c r="A704"/>
      <c r="B704"/>
      <c r="C704"/>
      <c r="D704"/>
      <c r="E704"/>
      <c r="F704"/>
      <c r="G704"/>
      <c r="H704"/>
      <c r="I704"/>
      <c r="J704"/>
      <c r="K704"/>
      <c r="L704"/>
    </row>
    <row r="705" spans="1:12" ht="15" x14ac:dyDescent="0.25">
      <c r="A705"/>
      <c r="B705"/>
      <c r="C705"/>
      <c r="D705"/>
      <c r="E705"/>
      <c r="F705"/>
      <c r="G705"/>
      <c r="H705"/>
      <c r="I705"/>
      <c r="J705"/>
      <c r="K705"/>
      <c r="L705"/>
    </row>
    <row r="706" spans="1:12" ht="15" x14ac:dyDescent="0.25">
      <c r="A706"/>
      <c r="B706"/>
      <c r="C706"/>
      <c r="D706"/>
      <c r="E706"/>
      <c r="F706"/>
      <c r="G706"/>
      <c r="H706"/>
      <c r="I706"/>
      <c r="J706"/>
      <c r="K706"/>
      <c r="L706"/>
    </row>
    <row r="707" spans="1:12" ht="15" x14ac:dyDescent="0.25">
      <c r="A707"/>
      <c r="B707"/>
      <c r="C707"/>
      <c r="D707"/>
      <c r="E707"/>
      <c r="F707"/>
      <c r="G707"/>
      <c r="H707"/>
      <c r="I707"/>
      <c r="J707"/>
      <c r="K707"/>
      <c r="L707"/>
    </row>
    <row r="708" spans="1:12" ht="15" x14ac:dyDescent="0.25">
      <c r="A708"/>
      <c r="B708"/>
      <c r="C708"/>
      <c r="D708"/>
      <c r="E708"/>
      <c r="F708"/>
      <c r="G708"/>
      <c r="H708"/>
      <c r="I708"/>
      <c r="J708"/>
      <c r="K708"/>
      <c r="L708"/>
    </row>
    <row r="709" spans="1:12" ht="15" x14ac:dyDescent="0.25">
      <c r="A709"/>
      <c r="B709"/>
      <c r="C709"/>
      <c r="D709"/>
      <c r="E709"/>
      <c r="F709"/>
      <c r="G709"/>
      <c r="H709"/>
      <c r="I709"/>
      <c r="J709"/>
      <c r="K709"/>
      <c r="L709"/>
    </row>
    <row r="710" spans="1:12" ht="15" x14ac:dyDescent="0.25">
      <c r="A710"/>
      <c r="B710"/>
      <c r="C710"/>
      <c r="D710"/>
      <c r="E710"/>
      <c r="F710"/>
      <c r="G710"/>
      <c r="H710"/>
      <c r="I710"/>
      <c r="J710"/>
      <c r="K710"/>
      <c r="L710"/>
    </row>
    <row r="711" spans="1:12" ht="15" x14ac:dyDescent="0.25">
      <c r="A711"/>
      <c r="B711"/>
      <c r="C711"/>
      <c r="D711"/>
      <c r="E711"/>
      <c r="F711"/>
      <c r="G711"/>
      <c r="H711"/>
      <c r="I711"/>
      <c r="J711"/>
      <c r="K711"/>
      <c r="L711"/>
    </row>
    <row r="712" spans="1:12" ht="15" x14ac:dyDescent="0.25">
      <c r="A712"/>
      <c r="B712"/>
      <c r="C712"/>
      <c r="D712"/>
      <c r="E712"/>
      <c r="F712"/>
      <c r="G712"/>
      <c r="H712"/>
      <c r="I712"/>
      <c r="J712"/>
      <c r="K712"/>
      <c r="L712"/>
    </row>
    <row r="713" spans="1:12" ht="15" x14ac:dyDescent="0.25">
      <c r="A713"/>
      <c r="B713"/>
      <c r="C713"/>
      <c r="D713"/>
      <c r="E713"/>
      <c r="F713"/>
      <c r="G713"/>
      <c r="H713"/>
      <c r="I713"/>
      <c r="J713"/>
      <c r="K713"/>
      <c r="L713"/>
    </row>
    <row r="714" spans="1:12" ht="15" x14ac:dyDescent="0.25">
      <c r="A714"/>
      <c r="B714"/>
      <c r="C714"/>
      <c r="D714"/>
      <c r="E714"/>
      <c r="F714"/>
      <c r="G714"/>
      <c r="H714"/>
      <c r="I714"/>
      <c r="J714"/>
      <c r="K714"/>
      <c r="L714"/>
    </row>
    <row r="715" spans="1:12" ht="15" x14ac:dyDescent="0.25">
      <c r="A715"/>
      <c r="B715"/>
      <c r="C715"/>
      <c r="D715"/>
      <c r="E715"/>
      <c r="F715"/>
      <c r="G715"/>
      <c r="H715"/>
      <c r="I715"/>
      <c r="J715"/>
      <c r="K715"/>
      <c r="L715"/>
    </row>
    <row r="716" spans="1:12" ht="15" x14ac:dyDescent="0.25">
      <c r="A716"/>
      <c r="B716"/>
      <c r="C716"/>
      <c r="D716"/>
      <c r="E716"/>
      <c r="F716"/>
      <c r="G716"/>
      <c r="H716"/>
      <c r="I716"/>
      <c r="J716"/>
      <c r="K716"/>
      <c r="L716"/>
    </row>
    <row r="717" spans="1:12" ht="15" x14ac:dyDescent="0.25">
      <c r="A717"/>
      <c r="B717"/>
      <c r="C717"/>
      <c r="D717"/>
      <c r="E717"/>
      <c r="F717"/>
      <c r="G717"/>
      <c r="H717"/>
      <c r="I717"/>
      <c r="J717"/>
      <c r="K717"/>
      <c r="L717"/>
    </row>
    <row r="718" spans="1:12" ht="15" x14ac:dyDescent="0.25">
      <c r="A718"/>
      <c r="B718"/>
      <c r="C718"/>
      <c r="D718"/>
      <c r="E718"/>
      <c r="F718"/>
      <c r="G718"/>
      <c r="H718"/>
      <c r="I718"/>
      <c r="J718"/>
      <c r="K718"/>
      <c r="L718"/>
    </row>
    <row r="719" spans="1:12" ht="15" x14ac:dyDescent="0.25">
      <c r="A719"/>
      <c r="B719"/>
      <c r="C719"/>
      <c r="D719"/>
      <c r="E719"/>
      <c r="F719"/>
      <c r="G719"/>
      <c r="H719"/>
      <c r="I719"/>
      <c r="J719"/>
      <c r="K719"/>
      <c r="L719"/>
    </row>
    <row r="720" spans="1:12" ht="15" x14ac:dyDescent="0.25">
      <c r="A720"/>
      <c r="B720"/>
      <c r="C720"/>
      <c r="D720"/>
      <c r="E720"/>
      <c r="F720"/>
      <c r="G720"/>
      <c r="H720"/>
      <c r="I720"/>
      <c r="J720"/>
      <c r="K720"/>
      <c r="L720"/>
    </row>
    <row r="721" spans="1:12" ht="15" x14ac:dyDescent="0.25">
      <c r="A721"/>
      <c r="B721"/>
      <c r="C721"/>
      <c r="D721"/>
      <c r="E721"/>
      <c r="F721"/>
      <c r="G721"/>
      <c r="H721"/>
      <c r="I721"/>
      <c r="J721"/>
      <c r="K721"/>
      <c r="L721"/>
    </row>
    <row r="722" spans="1:12" ht="15" x14ac:dyDescent="0.25">
      <c r="A722"/>
      <c r="B722"/>
      <c r="C722"/>
      <c r="D722"/>
      <c r="E722"/>
      <c r="F722"/>
      <c r="G722"/>
      <c r="H722"/>
      <c r="I722"/>
      <c r="J722"/>
      <c r="K722"/>
      <c r="L722"/>
    </row>
    <row r="723" spans="1:12" ht="15" x14ac:dyDescent="0.25">
      <c r="A723"/>
      <c r="B723"/>
      <c r="C723"/>
      <c r="D723"/>
      <c r="E723"/>
      <c r="F723"/>
      <c r="G723"/>
      <c r="H723"/>
      <c r="I723"/>
      <c r="J723"/>
      <c r="K723"/>
      <c r="L723"/>
    </row>
    <row r="724" spans="1:12" ht="15" x14ac:dyDescent="0.25">
      <c r="A724"/>
      <c r="B724"/>
      <c r="C724"/>
      <c r="D724"/>
      <c r="E724"/>
      <c r="F724"/>
      <c r="G724"/>
      <c r="H724"/>
      <c r="I724"/>
      <c r="J724"/>
      <c r="K724"/>
      <c r="L724"/>
    </row>
    <row r="725" spans="1:12" ht="15" x14ac:dyDescent="0.25">
      <c r="A725"/>
      <c r="B725"/>
      <c r="C725"/>
      <c r="D725"/>
      <c r="E725"/>
      <c r="F725"/>
      <c r="G725"/>
      <c r="H725"/>
      <c r="I725"/>
      <c r="J725"/>
      <c r="K725"/>
      <c r="L725"/>
    </row>
    <row r="726" spans="1:12" ht="15" x14ac:dyDescent="0.25">
      <c r="A726"/>
      <c r="B726"/>
      <c r="C726"/>
      <c r="D726"/>
      <c r="E726"/>
      <c r="F726"/>
      <c r="G726"/>
      <c r="H726"/>
      <c r="I726"/>
      <c r="J726"/>
      <c r="K726"/>
      <c r="L726"/>
    </row>
    <row r="727" spans="1:12" ht="15" x14ac:dyDescent="0.25">
      <c r="A727"/>
      <c r="B727"/>
      <c r="C727"/>
      <c r="D727"/>
      <c r="E727"/>
      <c r="F727"/>
      <c r="G727"/>
      <c r="H727"/>
      <c r="I727"/>
      <c r="J727"/>
      <c r="K727"/>
      <c r="L727"/>
    </row>
    <row r="728" spans="1:12" ht="15" x14ac:dyDescent="0.25">
      <c r="A728"/>
      <c r="B728"/>
      <c r="C728"/>
      <c r="D728"/>
      <c r="E728"/>
      <c r="F728"/>
      <c r="G728"/>
      <c r="H728"/>
      <c r="I728"/>
      <c r="J728"/>
      <c r="K728"/>
      <c r="L728"/>
    </row>
    <row r="729" spans="1:12" ht="15" x14ac:dyDescent="0.25">
      <c r="A729"/>
      <c r="B729"/>
      <c r="C729"/>
      <c r="D729"/>
      <c r="E729"/>
      <c r="F729"/>
      <c r="G729"/>
      <c r="H729"/>
      <c r="I729"/>
      <c r="J729"/>
      <c r="K729"/>
      <c r="L729"/>
    </row>
    <row r="730" spans="1:12" ht="15" x14ac:dyDescent="0.25">
      <c r="A730"/>
      <c r="B730"/>
      <c r="C730"/>
      <c r="D730"/>
      <c r="E730"/>
      <c r="F730"/>
      <c r="G730"/>
      <c r="H730"/>
      <c r="I730"/>
      <c r="J730"/>
      <c r="K730"/>
      <c r="L730"/>
    </row>
    <row r="731" spans="1:12" ht="15" x14ac:dyDescent="0.25">
      <c r="A731"/>
      <c r="B731"/>
      <c r="C731"/>
      <c r="D731"/>
      <c r="E731"/>
      <c r="F731"/>
      <c r="G731"/>
      <c r="H731"/>
      <c r="I731"/>
      <c r="J731"/>
      <c r="K731"/>
      <c r="L731"/>
    </row>
    <row r="732" spans="1:12" ht="15" x14ac:dyDescent="0.25">
      <c r="A732"/>
      <c r="B732"/>
      <c r="C732"/>
      <c r="D732"/>
      <c r="E732"/>
      <c r="F732"/>
      <c r="G732"/>
      <c r="H732"/>
      <c r="I732"/>
      <c r="J732"/>
      <c r="K732"/>
      <c r="L732"/>
    </row>
    <row r="733" spans="1:12" ht="15" x14ac:dyDescent="0.25">
      <c r="A733"/>
      <c r="B733"/>
      <c r="C733"/>
      <c r="D733"/>
      <c r="E733"/>
      <c r="F733"/>
      <c r="G733"/>
      <c r="H733"/>
      <c r="I733"/>
      <c r="J733"/>
      <c r="K733"/>
      <c r="L733"/>
    </row>
    <row r="734" spans="1:12" ht="15" x14ac:dyDescent="0.25">
      <c r="A734"/>
      <c r="B734"/>
      <c r="C734"/>
      <c r="D734"/>
      <c r="E734"/>
      <c r="F734"/>
      <c r="G734"/>
      <c r="H734"/>
      <c r="I734"/>
      <c r="J734"/>
      <c r="K734"/>
      <c r="L734"/>
    </row>
    <row r="735" spans="1:12" ht="15" x14ac:dyDescent="0.25">
      <c r="A735"/>
      <c r="B735"/>
      <c r="C735"/>
      <c r="D735"/>
      <c r="E735"/>
      <c r="F735"/>
      <c r="G735"/>
      <c r="H735"/>
      <c r="I735"/>
      <c r="J735"/>
      <c r="K735"/>
      <c r="L735"/>
    </row>
    <row r="736" spans="1:12" ht="15" x14ac:dyDescent="0.25">
      <c r="A736"/>
      <c r="B736"/>
      <c r="C736"/>
      <c r="D736"/>
      <c r="E736"/>
      <c r="F736"/>
      <c r="G736"/>
      <c r="H736"/>
      <c r="I736"/>
      <c r="J736"/>
      <c r="K736"/>
      <c r="L736"/>
    </row>
    <row r="737" spans="1:12" ht="15" x14ac:dyDescent="0.25">
      <c r="A737"/>
      <c r="B737"/>
      <c r="C737"/>
      <c r="D737"/>
      <c r="E737"/>
      <c r="F737"/>
      <c r="G737"/>
      <c r="H737"/>
      <c r="I737"/>
      <c r="J737"/>
      <c r="K737"/>
      <c r="L737"/>
    </row>
    <row r="738" spans="1:12" ht="15" x14ac:dyDescent="0.25">
      <c r="A738"/>
      <c r="B738"/>
      <c r="C738"/>
      <c r="D738"/>
      <c r="E738"/>
      <c r="F738"/>
      <c r="G738"/>
      <c r="H738"/>
      <c r="I738"/>
      <c r="J738"/>
      <c r="K738"/>
      <c r="L738"/>
    </row>
    <row r="739" spans="1:12" ht="15" x14ac:dyDescent="0.25">
      <c r="A739"/>
      <c r="B739"/>
      <c r="C739"/>
      <c r="D739"/>
      <c r="E739"/>
      <c r="F739"/>
      <c r="G739"/>
      <c r="H739"/>
      <c r="I739"/>
      <c r="J739"/>
      <c r="K739"/>
      <c r="L739"/>
    </row>
    <row r="740" spans="1:12" ht="15" x14ac:dyDescent="0.25">
      <c r="A740"/>
      <c r="B740"/>
      <c r="C740"/>
      <c r="D740"/>
      <c r="E740"/>
      <c r="F740"/>
      <c r="G740"/>
      <c r="H740"/>
      <c r="I740"/>
      <c r="J740"/>
      <c r="K740"/>
      <c r="L740"/>
    </row>
    <row r="741" spans="1:12" ht="15" x14ac:dyDescent="0.25">
      <c r="A741"/>
      <c r="B741"/>
      <c r="C741"/>
      <c r="D741"/>
      <c r="E741"/>
      <c r="F741"/>
      <c r="G741"/>
      <c r="H741"/>
      <c r="I741"/>
      <c r="J741"/>
      <c r="K741"/>
      <c r="L741"/>
    </row>
    <row r="742" spans="1:12" ht="15" x14ac:dyDescent="0.25">
      <c r="A742"/>
      <c r="B742"/>
      <c r="C742"/>
      <c r="D742"/>
      <c r="E742"/>
      <c r="F742"/>
      <c r="G742"/>
      <c r="H742"/>
      <c r="I742"/>
      <c r="J742"/>
      <c r="K742"/>
      <c r="L742"/>
    </row>
    <row r="743" spans="1:12" ht="15" x14ac:dyDescent="0.25">
      <c r="A743"/>
      <c r="B743"/>
      <c r="C743"/>
      <c r="D743"/>
      <c r="E743"/>
      <c r="F743"/>
      <c r="G743"/>
      <c r="H743"/>
      <c r="I743"/>
      <c r="J743"/>
      <c r="K743"/>
      <c r="L743"/>
    </row>
    <row r="744" spans="1:12" ht="15" x14ac:dyDescent="0.25">
      <c r="A744"/>
      <c r="B744"/>
      <c r="C744"/>
      <c r="D744"/>
      <c r="E744"/>
      <c r="F744"/>
      <c r="G744"/>
      <c r="H744"/>
      <c r="I744"/>
      <c r="J744"/>
      <c r="K744"/>
      <c r="L744"/>
    </row>
    <row r="745" spans="1:12" ht="15" x14ac:dyDescent="0.25">
      <c r="A745"/>
      <c r="B745"/>
      <c r="C745"/>
      <c r="D745"/>
      <c r="E745"/>
      <c r="F745"/>
      <c r="G745"/>
      <c r="H745"/>
      <c r="I745"/>
      <c r="J745"/>
      <c r="K745"/>
      <c r="L745"/>
    </row>
    <row r="746" spans="1:12" ht="15" x14ac:dyDescent="0.25">
      <c r="A746"/>
      <c r="B746"/>
      <c r="C746"/>
      <c r="D746"/>
      <c r="E746"/>
      <c r="F746"/>
      <c r="G746"/>
      <c r="H746"/>
      <c r="I746"/>
      <c r="J746"/>
      <c r="K746"/>
      <c r="L746"/>
    </row>
    <row r="747" spans="1:12" ht="15" x14ac:dyDescent="0.25">
      <c r="A747"/>
      <c r="B747"/>
      <c r="C747"/>
      <c r="D747"/>
      <c r="E747"/>
      <c r="F747"/>
      <c r="G747"/>
      <c r="H747"/>
      <c r="I747"/>
      <c r="J747"/>
      <c r="K747"/>
      <c r="L747"/>
    </row>
    <row r="748" spans="1:12" ht="15" x14ac:dyDescent="0.25">
      <c r="A748"/>
      <c r="B748"/>
      <c r="C748"/>
      <c r="D748"/>
      <c r="E748"/>
      <c r="F748"/>
      <c r="G748"/>
      <c r="H748"/>
      <c r="I748"/>
      <c r="J748"/>
      <c r="K748"/>
      <c r="L748"/>
    </row>
    <row r="749" spans="1:12" ht="15" x14ac:dyDescent="0.25">
      <c r="A749"/>
      <c r="B749"/>
      <c r="C749"/>
      <c r="D749"/>
      <c r="E749"/>
      <c r="F749"/>
      <c r="G749"/>
      <c r="H749"/>
      <c r="I749"/>
      <c r="J749"/>
      <c r="K749"/>
      <c r="L749"/>
    </row>
    <row r="750" spans="1:12" ht="15" x14ac:dyDescent="0.25">
      <c r="A750"/>
      <c r="B750"/>
      <c r="C750"/>
      <c r="D750"/>
      <c r="E750"/>
      <c r="F750"/>
      <c r="G750"/>
      <c r="H750"/>
      <c r="I750"/>
      <c r="J750"/>
      <c r="K750"/>
      <c r="L750"/>
    </row>
    <row r="751" spans="1:12" ht="15" x14ac:dyDescent="0.25">
      <c r="A751"/>
      <c r="B751"/>
      <c r="C751"/>
      <c r="D751"/>
      <c r="E751"/>
      <c r="F751"/>
      <c r="G751"/>
      <c r="H751"/>
      <c r="I751"/>
      <c r="J751"/>
      <c r="K751"/>
      <c r="L751"/>
    </row>
    <row r="752" spans="1:12" ht="15" x14ac:dyDescent="0.25">
      <c r="A752"/>
      <c r="B752"/>
      <c r="C752"/>
      <c r="D752"/>
      <c r="E752"/>
      <c r="F752"/>
      <c r="G752"/>
      <c r="H752"/>
      <c r="I752"/>
      <c r="J752"/>
      <c r="K752"/>
      <c r="L752"/>
    </row>
    <row r="753" spans="1:12" ht="15" x14ac:dyDescent="0.25">
      <c r="A753"/>
      <c r="B753"/>
      <c r="C753"/>
      <c r="D753"/>
      <c r="E753"/>
      <c r="F753"/>
      <c r="G753"/>
      <c r="H753"/>
      <c r="I753"/>
      <c r="J753"/>
      <c r="K753"/>
      <c r="L753"/>
    </row>
    <row r="754" spans="1:12" ht="15" x14ac:dyDescent="0.25">
      <c r="A754"/>
      <c r="B754"/>
      <c r="C754"/>
      <c r="D754"/>
      <c r="E754"/>
      <c r="F754"/>
      <c r="G754"/>
      <c r="H754"/>
      <c r="I754"/>
      <c r="J754"/>
      <c r="K754"/>
      <c r="L754"/>
    </row>
    <row r="755" spans="1:12" ht="15" x14ac:dyDescent="0.25">
      <c r="A755"/>
      <c r="B755"/>
      <c r="C755"/>
      <c r="D755"/>
      <c r="E755"/>
      <c r="F755"/>
      <c r="G755"/>
      <c r="H755"/>
      <c r="I755"/>
      <c r="J755"/>
      <c r="K755"/>
      <c r="L755"/>
    </row>
    <row r="756" spans="1:12" ht="15" x14ac:dyDescent="0.25">
      <c r="A756"/>
      <c r="B756"/>
      <c r="C756"/>
      <c r="D756"/>
      <c r="E756"/>
      <c r="F756"/>
      <c r="G756"/>
      <c r="H756"/>
      <c r="I756"/>
      <c r="J756"/>
      <c r="K756"/>
      <c r="L756"/>
    </row>
    <row r="757" spans="1:12" ht="15" x14ac:dyDescent="0.25">
      <c r="A757"/>
      <c r="B757"/>
      <c r="C757"/>
      <c r="D757"/>
      <c r="E757"/>
      <c r="F757"/>
      <c r="G757"/>
      <c r="H757"/>
      <c r="I757"/>
      <c r="J757"/>
      <c r="K757"/>
      <c r="L757"/>
    </row>
    <row r="758" spans="1:12" ht="15" x14ac:dyDescent="0.25">
      <c r="A758"/>
      <c r="B758"/>
      <c r="C758"/>
      <c r="D758"/>
      <c r="E758"/>
      <c r="F758"/>
      <c r="G758"/>
      <c r="H758"/>
      <c r="I758"/>
      <c r="J758"/>
      <c r="K758"/>
      <c r="L758"/>
    </row>
    <row r="759" spans="1:12" ht="15" x14ac:dyDescent="0.25">
      <c r="A759"/>
      <c r="B759"/>
      <c r="C759"/>
      <c r="D759"/>
      <c r="E759"/>
      <c r="F759"/>
      <c r="G759"/>
      <c r="H759"/>
      <c r="I759"/>
      <c r="J759"/>
      <c r="K759"/>
      <c r="L759"/>
    </row>
    <row r="760" spans="1:12" ht="15" x14ac:dyDescent="0.25">
      <c r="A760"/>
      <c r="B760"/>
      <c r="C760"/>
      <c r="D760"/>
      <c r="E760"/>
      <c r="F760"/>
      <c r="G760"/>
      <c r="H760"/>
      <c r="I760"/>
      <c r="J760"/>
      <c r="K760"/>
      <c r="L760"/>
    </row>
    <row r="761" spans="1:12" ht="15" x14ac:dyDescent="0.25">
      <c r="A761"/>
      <c r="B761"/>
      <c r="C761"/>
      <c r="D761"/>
      <c r="E761"/>
      <c r="F761"/>
      <c r="G761"/>
      <c r="H761"/>
      <c r="I761"/>
      <c r="J761"/>
      <c r="K761"/>
      <c r="L761"/>
    </row>
    <row r="762" spans="1:12" ht="15" x14ac:dyDescent="0.25">
      <c r="A762"/>
      <c r="B762"/>
      <c r="C762"/>
      <c r="D762"/>
      <c r="E762"/>
      <c r="F762"/>
      <c r="G762"/>
      <c r="H762"/>
      <c r="I762"/>
      <c r="J762"/>
      <c r="K762"/>
      <c r="L762"/>
    </row>
    <row r="763" spans="1:12" ht="15" x14ac:dyDescent="0.25">
      <c r="A763"/>
      <c r="B763"/>
      <c r="C763"/>
      <c r="D763"/>
      <c r="E763"/>
      <c r="F763"/>
      <c r="G763"/>
      <c r="H763"/>
      <c r="I763"/>
      <c r="J763"/>
      <c r="K763"/>
      <c r="L763"/>
    </row>
    <row r="764" spans="1:12" ht="15" x14ac:dyDescent="0.25">
      <c r="A764"/>
      <c r="B764"/>
      <c r="C764"/>
      <c r="D764"/>
      <c r="E764"/>
      <c r="F764"/>
      <c r="G764"/>
      <c r="H764"/>
      <c r="I764"/>
      <c r="J764"/>
      <c r="K764"/>
      <c r="L764"/>
    </row>
    <row r="765" spans="1:12" ht="15" x14ac:dyDescent="0.25">
      <c r="A765"/>
      <c r="B765"/>
      <c r="C765"/>
      <c r="D765"/>
      <c r="E765"/>
      <c r="F765"/>
      <c r="G765"/>
      <c r="H765"/>
      <c r="I765"/>
      <c r="J765"/>
      <c r="K765"/>
      <c r="L765"/>
    </row>
    <row r="766" spans="1:12" ht="15" x14ac:dyDescent="0.25">
      <c r="A766"/>
      <c r="B766"/>
      <c r="C766"/>
      <c r="D766"/>
      <c r="E766"/>
      <c r="F766"/>
      <c r="G766"/>
      <c r="H766"/>
      <c r="I766"/>
      <c r="J766"/>
      <c r="K766"/>
      <c r="L766"/>
    </row>
    <row r="767" spans="1:12" ht="15" x14ac:dyDescent="0.25">
      <c r="A767"/>
      <c r="B767"/>
      <c r="C767"/>
      <c r="D767"/>
      <c r="E767"/>
      <c r="F767"/>
      <c r="G767"/>
      <c r="H767"/>
      <c r="I767"/>
      <c r="J767"/>
      <c r="K767"/>
      <c r="L767"/>
    </row>
    <row r="768" spans="1:12" ht="15" x14ac:dyDescent="0.25">
      <c r="A768"/>
      <c r="B768"/>
      <c r="C768"/>
      <c r="D768"/>
      <c r="E768"/>
      <c r="F768"/>
      <c r="G768"/>
      <c r="H768"/>
      <c r="I768"/>
      <c r="J768"/>
      <c r="K768"/>
      <c r="L768"/>
    </row>
    <row r="769" spans="1:12" ht="15" x14ac:dyDescent="0.25">
      <c r="A769"/>
      <c r="B769"/>
      <c r="C769"/>
      <c r="D769"/>
      <c r="E769"/>
      <c r="F769"/>
      <c r="G769"/>
      <c r="H769"/>
      <c r="I769"/>
      <c r="J769"/>
      <c r="K769"/>
      <c r="L769"/>
    </row>
    <row r="770" spans="1:12" ht="15" x14ac:dyDescent="0.25">
      <c r="A770"/>
      <c r="B770"/>
      <c r="C770"/>
      <c r="D770"/>
      <c r="E770"/>
      <c r="F770"/>
      <c r="G770"/>
      <c r="H770"/>
      <c r="I770"/>
      <c r="J770"/>
      <c r="K770"/>
      <c r="L770"/>
    </row>
    <row r="771" spans="1:12" ht="15" x14ac:dyDescent="0.25">
      <c r="A771"/>
      <c r="B771"/>
      <c r="C771"/>
      <c r="D771"/>
      <c r="E771"/>
      <c r="F771"/>
      <c r="G771"/>
      <c r="H771"/>
      <c r="I771"/>
      <c r="J771"/>
      <c r="K771"/>
      <c r="L771"/>
    </row>
    <row r="772" spans="1:12" ht="15" x14ac:dyDescent="0.25">
      <c r="A772"/>
      <c r="B772"/>
      <c r="C772"/>
      <c r="D772"/>
      <c r="E772"/>
      <c r="F772"/>
      <c r="G772"/>
      <c r="H772"/>
      <c r="I772"/>
      <c r="J772"/>
      <c r="K772"/>
      <c r="L772"/>
    </row>
    <row r="773" spans="1:12" ht="15" x14ac:dyDescent="0.25">
      <c r="A773"/>
      <c r="B773"/>
      <c r="C773"/>
      <c r="D773"/>
      <c r="E773"/>
      <c r="F773"/>
      <c r="G773"/>
      <c r="H773"/>
      <c r="I773"/>
      <c r="J773"/>
      <c r="K773"/>
      <c r="L773"/>
    </row>
    <row r="774" spans="1:12" ht="15" x14ac:dyDescent="0.25">
      <c r="A774"/>
      <c r="B774"/>
      <c r="C774"/>
      <c r="D774"/>
      <c r="E774"/>
      <c r="F774"/>
      <c r="G774"/>
      <c r="H774"/>
      <c r="I774"/>
      <c r="J774"/>
      <c r="K774"/>
      <c r="L774"/>
    </row>
    <row r="775" spans="1:12" ht="15" x14ac:dyDescent="0.25">
      <c r="A775"/>
      <c r="B775"/>
      <c r="C775"/>
      <c r="D775"/>
      <c r="E775"/>
      <c r="F775"/>
      <c r="G775"/>
      <c r="H775"/>
      <c r="I775"/>
      <c r="J775"/>
      <c r="K775"/>
      <c r="L775"/>
    </row>
    <row r="776" spans="1:12" ht="15" x14ac:dyDescent="0.25">
      <c r="A776"/>
      <c r="B776"/>
      <c r="C776"/>
      <c r="D776"/>
      <c r="E776"/>
      <c r="F776"/>
      <c r="G776"/>
      <c r="H776"/>
      <c r="I776"/>
      <c r="J776"/>
      <c r="K776"/>
      <c r="L776"/>
    </row>
    <row r="777" spans="1:12" ht="15" x14ac:dyDescent="0.25">
      <c r="A777"/>
      <c r="B777"/>
      <c r="C777"/>
      <c r="D777"/>
      <c r="E777"/>
      <c r="F777"/>
      <c r="G777"/>
      <c r="H777"/>
      <c r="I777"/>
      <c r="J777"/>
      <c r="K777"/>
      <c r="L777"/>
    </row>
    <row r="778" spans="1:12" ht="15" x14ac:dyDescent="0.25">
      <c r="A778"/>
      <c r="B778"/>
      <c r="C778"/>
      <c r="D778"/>
      <c r="E778"/>
      <c r="F778"/>
      <c r="G778"/>
      <c r="H778"/>
      <c r="I778"/>
      <c r="J778"/>
      <c r="K778"/>
      <c r="L778"/>
    </row>
    <row r="779" spans="1:12" ht="15" x14ac:dyDescent="0.25">
      <c r="A779"/>
      <c r="B779"/>
      <c r="C779"/>
      <c r="D779"/>
      <c r="E779"/>
      <c r="F779"/>
      <c r="G779"/>
      <c r="H779"/>
      <c r="I779"/>
      <c r="J779"/>
      <c r="K779"/>
      <c r="L779"/>
    </row>
    <row r="780" spans="1:12" ht="15" x14ac:dyDescent="0.25">
      <c r="A780"/>
      <c r="B780"/>
      <c r="C780"/>
      <c r="D780"/>
      <c r="E780"/>
      <c r="F780"/>
      <c r="G780"/>
      <c r="H780"/>
      <c r="I780"/>
      <c r="J780"/>
      <c r="K780"/>
      <c r="L780"/>
    </row>
    <row r="781" spans="1:12" ht="15" x14ac:dyDescent="0.25">
      <c r="A781"/>
      <c r="B781"/>
      <c r="C781"/>
      <c r="D781"/>
      <c r="E781"/>
      <c r="F781"/>
      <c r="G781"/>
      <c r="H781"/>
      <c r="I781"/>
      <c r="J781"/>
      <c r="K781"/>
      <c r="L781"/>
    </row>
    <row r="782" spans="1:12" ht="15" x14ac:dyDescent="0.25">
      <c r="A782"/>
      <c r="B782"/>
      <c r="C782"/>
      <c r="D782"/>
      <c r="E782"/>
      <c r="F782"/>
      <c r="G782"/>
      <c r="H782"/>
      <c r="I782"/>
      <c r="J782"/>
      <c r="K782"/>
      <c r="L782"/>
    </row>
    <row r="783" spans="1:12" ht="15" x14ac:dyDescent="0.25">
      <c r="A783"/>
      <c r="B783"/>
      <c r="C783"/>
      <c r="D783"/>
      <c r="E783"/>
      <c r="F783"/>
      <c r="G783"/>
      <c r="H783"/>
      <c r="I783"/>
      <c r="J783"/>
      <c r="K783"/>
      <c r="L783"/>
    </row>
    <row r="784" spans="1:12" ht="15" x14ac:dyDescent="0.25">
      <c r="A784"/>
      <c r="B784"/>
      <c r="C784"/>
      <c r="D784"/>
      <c r="E784"/>
      <c r="F784"/>
      <c r="G784"/>
      <c r="H784"/>
      <c r="I784"/>
      <c r="J784"/>
      <c r="K784"/>
      <c r="L784"/>
    </row>
    <row r="785" spans="1:12" ht="15" x14ac:dyDescent="0.25">
      <c r="A785"/>
      <c r="B785"/>
      <c r="C785"/>
      <c r="D785"/>
      <c r="E785"/>
      <c r="F785"/>
      <c r="G785"/>
      <c r="H785"/>
      <c r="I785"/>
      <c r="J785"/>
      <c r="K785"/>
      <c r="L785"/>
    </row>
    <row r="786" spans="1:12" ht="15" x14ac:dyDescent="0.25">
      <c r="A786"/>
      <c r="B786"/>
      <c r="C786"/>
      <c r="D786"/>
      <c r="E786"/>
      <c r="F786"/>
      <c r="G786"/>
      <c r="H786"/>
      <c r="I786"/>
      <c r="J786"/>
      <c r="K786"/>
      <c r="L786"/>
    </row>
    <row r="787" spans="1:12" ht="15" x14ac:dyDescent="0.25">
      <c r="A787"/>
      <c r="B787"/>
      <c r="C787"/>
      <c r="D787"/>
      <c r="E787"/>
      <c r="F787"/>
      <c r="G787"/>
      <c r="H787"/>
      <c r="I787"/>
      <c r="J787"/>
      <c r="K787"/>
      <c r="L787"/>
    </row>
    <row r="788" spans="1:12" ht="15" x14ac:dyDescent="0.25">
      <c r="A788"/>
      <c r="B788"/>
      <c r="C788"/>
      <c r="D788"/>
      <c r="E788"/>
      <c r="F788"/>
      <c r="G788"/>
      <c r="H788"/>
      <c r="I788"/>
      <c r="J788"/>
      <c r="K788"/>
      <c r="L788"/>
    </row>
    <row r="789" spans="1:12" ht="15" x14ac:dyDescent="0.25">
      <c r="A789"/>
      <c r="B789"/>
      <c r="C789"/>
      <c r="D789"/>
      <c r="E789"/>
      <c r="F789"/>
      <c r="G789"/>
      <c r="H789"/>
      <c r="I789"/>
      <c r="J789"/>
      <c r="K789"/>
      <c r="L789"/>
    </row>
    <row r="790" spans="1:12" ht="15" x14ac:dyDescent="0.25">
      <c r="A790"/>
      <c r="B790"/>
      <c r="C790"/>
      <c r="D790"/>
      <c r="E790"/>
      <c r="F790"/>
      <c r="G790"/>
      <c r="H790"/>
      <c r="I790"/>
      <c r="J790"/>
      <c r="K790"/>
      <c r="L790"/>
    </row>
    <row r="791" spans="1:12" ht="15" x14ac:dyDescent="0.25">
      <c r="A791"/>
      <c r="B791"/>
      <c r="C791"/>
      <c r="D791"/>
      <c r="E791"/>
      <c r="F791"/>
      <c r="G791"/>
      <c r="H791"/>
      <c r="I791"/>
      <c r="J791"/>
      <c r="K791"/>
      <c r="L791"/>
    </row>
    <row r="792" spans="1:12" ht="15" x14ac:dyDescent="0.25">
      <c r="A792"/>
      <c r="B792"/>
      <c r="C792"/>
      <c r="D792"/>
      <c r="E792"/>
      <c r="F792"/>
      <c r="G792"/>
      <c r="H792"/>
      <c r="I792"/>
      <c r="J792"/>
      <c r="K792"/>
      <c r="L792"/>
    </row>
    <row r="793" spans="1:12" ht="15" x14ac:dyDescent="0.25">
      <c r="A793"/>
      <c r="B793"/>
      <c r="C793"/>
      <c r="D793"/>
      <c r="E793"/>
      <c r="F793"/>
      <c r="G793"/>
      <c r="H793"/>
      <c r="I793"/>
      <c r="J793"/>
      <c r="K793"/>
      <c r="L793"/>
    </row>
    <row r="794" spans="1:12" ht="15" x14ac:dyDescent="0.25">
      <c r="A794"/>
      <c r="B794"/>
      <c r="C794"/>
      <c r="D794"/>
      <c r="E794"/>
      <c r="F794"/>
      <c r="G794"/>
      <c r="H794"/>
      <c r="I794"/>
      <c r="J794"/>
      <c r="K794"/>
      <c r="L794"/>
    </row>
    <row r="795" spans="1:12" ht="15" x14ac:dyDescent="0.25">
      <c r="A795"/>
      <c r="B795"/>
      <c r="C795"/>
      <c r="D795"/>
      <c r="E795"/>
      <c r="F795"/>
      <c r="G795"/>
      <c r="H795"/>
      <c r="I795"/>
      <c r="J795"/>
      <c r="K795"/>
      <c r="L795"/>
    </row>
    <row r="796" spans="1:12" ht="15" x14ac:dyDescent="0.25">
      <c r="A796"/>
      <c r="B796"/>
      <c r="C796"/>
      <c r="D796"/>
      <c r="E796"/>
      <c r="F796"/>
      <c r="G796"/>
      <c r="H796"/>
      <c r="I796"/>
      <c r="J796"/>
      <c r="K796"/>
      <c r="L796"/>
    </row>
    <row r="797" spans="1:12" ht="15" x14ac:dyDescent="0.25">
      <c r="A797"/>
      <c r="B797"/>
      <c r="C797"/>
      <c r="D797"/>
      <c r="E797"/>
      <c r="F797"/>
      <c r="G797"/>
      <c r="H797"/>
      <c r="I797"/>
      <c r="J797"/>
      <c r="K797"/>
      <c r="L797"/>
    </row>
    <row r="798" spans="1:12" ht="15" x14ac:dyDescent="0.25">
      <c r="A798"/>
      <c r="B798"/>
      <c r="C798"/>
      <c r="D798"/>
      <c r="E798"/>
      <c r="F798"/>
      <c r="G798"/>
      <c r="H798"/>
      <c r="I798"/>
      <c r="J798"/>
      <c r="K798"/>
      <c r="L798"/>
    </row>
    <row r="799" spans="1:12" ht="15" x14ac:dyDescent="0.25">
      <c r="A799"/>
      <c r="B799"/>
      <c r="C799"/>
      <c r="D799"/>
      <c r="E799"/>
      <c r="F799"/>
      <c r="G799"/>
      <c r="H799"/>
      <c r="I799"/>
      <c r="J799"/>
      <c r="K799"/>
      <c r="L799"/>
    </row>
    <row r="800" spans="1:12" ht="15" x14ac:dyDescent="0.25">
      <c r="A800"/>
      <c r="B800"/>
      <c r="C800"/>
      <c r="D800"/>
      <c r="E800"/>
      <c r="F800"/>
      <c r="G800"/>
      <c r="H800"/>
      <c r="I800"/>
      <c r="J800"/>
      <c r="K800"/>
      <c r="L800"/>
    </row>
    <row r="801" spans="1:12" ht="15" x14ac:dyDescent="0.25">
      <c r="A801"/>
      <c r="B801"/>
      <c r="C801"/>
      <c r="D801"/>
      <c r="E801"/>
      <c r="F801"/>
      <c r="G801"/>
      <c r="H801"/>
      <c r="I801"/>
      <c r="J801"/>
      <c r="K801"/>
      <c r="L801"/>
    </row>
    <row r="802" spans="1:12" ht="15" x14ac:dyDescent="0.25">
      <c r="A802"/>
      <c r="B802"/>
      <c r="C802"/>
      <c r="D802"/>
      <c r="E802"/>
      <c r="F802"/>
      <c r="G802"/>
      <c r="H802"/>
      <c r="I802"/>
      <c r="J802"/>
      <c r="K802"/>
      <c r="L802"/>
    </row>
    <row r="803" spans="1:12" ht="15" x14ac:dyDescent="0.25">
      <c r="A803"/>
      <c r="B803"/>
      <c r="C803"/>
      <c r="D803"/>
      <c r="E803"/>
      <c r="F803"/>
      <c r="G803"/>
      <c r="H803"/>
      <c r="I803"/>
      <c r="J803"/>
      <c r="K803"/>
      <c r="L803"/>
    </row>
    <row r="804" spans="1:12" ht="15" x14ac:dyDescent="0.25">
      <c r="A804"/>
      <c r="B804"/>
      <c r="C804"/>
      <c r="D804"/>
      <c r="E804"/>
      <c r="F804"/>
      <c r="G804"/>
      <c r="H804"/>
      <c r="I804"/>
      <c r="J804"/>
      <c r="K804"/>
      <c r="L804"/>
    </row>
    <row r="805" spans="1:12" ht="15" x14ac:dyDescent="0.25">
      <c r="A805"/>
      <c r="B805"/>
      <c r="C805"/>
      <c r="D805"/>
      <c r="E805"/>
      <c r="F805"/>
      <c r="G805"/>
      <c r="H805"/>
      <c r="I805"/>
      <c r="J805"/>
      <c r="K805"/>
      <c r="L805"/>
    </row>
    <row r="806" spans="1:12" ht="15" x14ac:dyDescent="0.25">
      <c r="A806"/>
      <c r="B806"/>
      <c r="C806"/>
      <c r="D806"/>
      <c r="E806"/>
      <c r="F806"/>
      <c r="G806"/>
      <c r="H806"/>
      <c r="I806"/>
      <c r="J806"/>
      <c r="K806"/>
      <c r="L806"/>
    </row>
    <row r="807" spans="1:12" ht="15" x14ac:dyDescent="0.25">
      <c r="A807"/>
      <c r="B807"/>
      <c r="C807"/>
      <c r="D807"/>
      <c r="E807"/>
      <c r="F807"/>
      <c r="G807"/>
      <c r="H807"/>
      <c r="I807"/>
      <c r="J807"/>
      <c r="K807"/>
      <c r="L807"/>
    </row>
    <row r="808" spans="1:12" ht="15" x14ac:dyDescent="0.25">
      <c r="A808"/>
      <c r="B808"/>
      <c r="C808"/>
      <c r="D808"/>
      <c r="E808"/>
      <c r="F808"/>
      <c r="G808"/>
      <c r="H808"/>
      <c r="I808"/>
      <c r="J808"/>
      <c r="K808"/>
      <c r="L808"/>
    </row>
    <row r="809" spans="1:12" ht="15" x14ac:dyDescent="0.25">
      <c r="A809"/>
      <c r="B809"/>
      <c r="C809"/>
      <c r="D809"/>
      <c r="E809"/>
      <c r="F809"/>
      <c r="G809"/>
      <c r="H809"/>
      <c r="I809"/>
      <c r="J809"/>
      <c r="K809"/>
      <c r="L809"/>
    </row>
    <row r="810" spans="1:12" ht="15" x14ac:dyDescent="0.25">
      <c r="A810"/>
      <c r="B810"/>
      <c r="C810"/>
      <c r="D810"/>
      <c r="E810"/>
      <c r="F810"/>
      <c r="G810"/>
      <c r="H810"/>
      <c r="I810"/>
      <c r="J810"/>
      <c r="K810"/>
      <c r="L810"/>
    </row>
    <row r="811" spans="1:12" ht="15" x14ac:dyDescent="0.25">
      <c r="A811"/>
      <c r="B811"/>
      <c r="C811"/>
      <c r="D811"/>
      <c r="E811"/>
      <c r="F811"/>
      <c r="G811"/>
      <c r="H811"/>
      <c r="I811"/>
      <c r="J811"/>
      <c r="K811"/>
      <c r="L811"/>
    </row>
    <row r="812" spans="1:12" ht="15" x14ac:dyDescent="0.25">
      <c r="A812"/>
      <c r="B812"/>
      <c r="C812"/>
      <c r="D812"/>
      <c r="E812"/>
      <c r="F812"/>
      <c r="G812"/>
      <c r="H812"/>
      <c r="I812"/>
      <c r="J812"/>
      <c r="K812"/>
      <c r="L812"/>
    </row>
    <row r="813" spans="1:12" ht="15" x14ac:dyDescent="0.25">
      <c r="A813"/>
      <c r="B813"/>
      <c r="C813"/>
      <c r="D813"/>
      <c r="E813"/>
      <c r="F813"/>
      <c r="G813"/>
      <c r="H813"/>
      <c r="I813"/>
      <c r="J813"/>
      <c r="K813"/>
      <c r="L813"/>
    </row>
    <row r="814" spans="1:12" ht="15" x14ac:dyDescent="0.25">
      <c r="A814"/>
      <c r="B814"/>
      <c r="C814"/>
      <c r="D814"/>
      <c r="E814"/>
      <c r="F814"/>
      <c r="G814"/>
      <c r="H814"/>
      <c r="I814"/>
      <c r="J814"/>
      <c r="K814"/>
      <c r="L814"/>
    </row>
    <row r="815" spans="1:12" ht="15" x14ac:dyDescent="0.25">
      <c r="A815"/>
      <c r="B815"/>
      <c r="C815"/>
      <c r="D815"/>
      <c r="E815"/>
      <c r="F815"/>
      <c r="G815"/>
      <c r="H815"/>
      <c r="I815"/>
      <c r="J815"/>
      <c r="K815"/>
      <c r="L815"/>
    </row>
    <row r="816" spans="1:12" ht="15" x14ac:dyDescent="0.25">
      <c r="A816"/>
      <c r="B816"/>
      <c r="C816"/>
      <c r="D816"/>
      <c r="E816"/>
      <c r="F816"/>
      <c r="G816"/>
      <c r="H816"/>
      <c r="I816"/>
      <c r="J816"/>
      <c r="K816"/>
      <c r="L816"/>
    </row>
    <row r="817" spans="1:12" ht="15" x14ac:dyDescent="0.25">
      <c r="A817"/>
      <c r="B817"/>
      <c r="C817"/>
      <c r="D817"/>
      <c r="E817"/>
      <c r="F817"/>
      <c r="G817"/>
      <c r="H817"/>
      <c r="I817"/>
      <c r="J817"/>
      <c r="K817"/>
      <c r="L817"/>
    </row>
    <row r="818" spans="1:12" ht="15" x14ac:dyDescent="0.25">
      <c r="A818"/>
      <c r="B818"/>
      <c r="C818"/>
      <c r="D818"/>
      <c r="E818"/>
      <c r="F818"/>
      <c r="G818"/>
      <c r="H818"/>
      <c r="I818"/>
      <c r="J818"/>
      <c r="K818"/>
      <c r="L818"/>
    </row>
    <row r="819" spans="1:12" ht="15" x14ac:dyDescent="0.25">
      <c r="A819"/>
      <c r="B819"/>
      <c r="C819"/>
      <c r="D819"/>
      <c r="E819"/>
      <c r="F819"/>
      <c r="G819"/>
      <c r="H819"/>
      <c r="I819"/>
      <c r="J819"/>
      <c r="K819"/>
      <c r="L819"/>
    </row>
    <row r="820" spans="1:12" ht="15" x14ac:dyDescent="0.25">
      <c r="A820"/>
      <c r="B820"/>
      <c r="C820"/>
      <c r="D820"/>
      <c r="E820"/>
      <c r="F820"/>
      <c r="G820"/>
      <c r="H820"/>
      <c r="I820"/>
      <c r="J820"/>
      <c r="K820"/>
      <c r="L820"/>
    </row>
    <row r="821" spans="1:12" ht="15" x14ac:dyDescent="0.25">
      <c r="A821"/>
      <c r="B821"/>
      <c r="C821"/>
      <c r="D821"/>
      <c r="E821"/>
      <c r="F821"/>
      <c r="G821"/>
      <c r="H821"/>
      <c r="I821"/>
      <c r="J821"/>
      <c r="K821"/>
      <c r="L821"/>
    </row>
    <row r="822" spans="1:12" ht="15" x14ac:dyDescent="0.25">
      <c r="A822"/>
      <c r="B822"/>
      <c r="C822"/>
      <c r="D822"/>
      <c r="E822"/>
      <c r="F822"/>
      <c r="G822"/>
      <c r="H822"/>
      <c r="I822"/>
      <c r="J822"/>
      <c r="K822"/>
      <c r="L822"/>
    </row>
    <row r="823" spans="1:12" ht="15" x14ac:dyDescent="0.25">
      <c r="A823"/>
      <c r="B823"/>
      <c r="C823"/>
      <c r="D823"/>
      <c r="E823"/>
      <c r="F823"/>
      <c r="G823"/>
      <c r="H823"/>
      <c r="I823"/>
      <c r="J823"/>
      <c r="K823"/>
      <c r="L823"/>
    </row>
    <row r="824" spans="1:12" ht="15" x14ac:dyDescent="0.25">
      <c r="A824"/>
      <c r="B824"/>
      <c r="C824"/>
      <c r="D824"/>
      <c r="E824"/>
      <c r="F824"/>
      <c r="G824"/>
      <c r="H824"/>
      <c r="I824"/>
      <c r="J824"/>
      <c r="K824"/>
      <c r="L824"/>
    </row>
    <row r="825" spans="1:12" ht="15" x14ac:dyDescent="0.25">
      <c r="A825"/>
      <c r="B825"/>
      <c r="C825"/>
      <c r="D825"/>
      <c r="E825"/>
      <c r="F825"/>
      <c r="G825"/>
      <c r="H825"/>
      <c r="I825"/>
      <c r="J825"/>
      <c r="K825"/>
      <c r="L825"/>
    </row>
    <row r="826" spans="1:12" ht="15" x14ac:dyDescent="0.25">
      <c r="A826"/>
      <c r="B826"/>
      <c r="C826"/>
      <c r="D826"/>
      <c r="E826"/>
      <c r="F826"/>
      <c r="G826"/>
      <c r="H826"/>
      <c r="I826"/>
      <c r="J826"/>
      <c r="K826"/>
      <c r="L826"/>
    </row>
    <row r="827" spans="1:12" ht="15" x14ac:dyDescent="0.25">
      <c r="A827"/>
      <c r="B827"/>
      <c r="C827"/>
      <c r="D827"/>
      <c r="E827"/>
      <c r="F827"/>
      <c r="G827"/>
      <c r="H827"/>
      <c r="I827"/>
      <c r="J827"/>
      <c r="K827"/>
      <c r="L827"/>
    </row>
    <row r="828" spans="1:12" ht="15" x14ac:dyDescent="0.25">
      <c r="A828"/>
      <c r="B828"/>
      <c r="C828"/>
      <c r="D828"/>
      <c r="E828"/>
      <c r="F828"/>
      <c r="G828"/>
      <c r="H828"/>
      <c r="I828"/>
      <c r="J828"/>
      <c r="K828"/>
      <c r="L828"/>
    </row>
    <row r="829" spans="1:12" ht="15" x14ac:dyDescent="0.25">
      <c r="A829"/>
      <c r="B829"/>
      <c r="C829"/>
      <c r="D829"/>
      <c r="E829"/>
      <c r="F829"/>
      <c r="G829"/>
      <c r="H829"/>
      <c r="I829"/>
      <c r="J829"/>
      <c r="K829"/>
      <c r="L829"/>
    </row>
    <row r="830" spans="1:12" ht="15" x14ac:dyDescent="0.25">
      <c r="A830"/>
      <c r="B830"/>
      <c r="C830"/>
      <c r="D830"/>
      <c r="E830"/>
      <c r="F830"/>
      <c r="G830"/>
      <c r="H830"/>
      <c r="I830"/>
      <c r="J830"/>
      <c r="K830"/>
      <c r="L830"/>
    </row>
    <row r="831" spans="1:12" ht="15" x14ac:dyDescent="0.25">
      <c r="A831"/>
      <c r="B831"/>
      <c r="C831"/>
      <c r="D831"/>
      <c r="E831"/>
      <c r="F831"/>
      <c r="G831"/>
      <c r="H831"/>
      <c r="I831"/>
      <c r="J831"/>
      <c r="K831"/>
      <c r="L831"/>
    </row>
    <row r="832" spans="1:12" ht="15" x14ac:dyDescent="0.25">
      <c r="A832"/>
      <c r="B832"/>
      <c r="C832"/>
      <c r="D832"/>
      <c r="E832"/>
      <c r="F832"/>
      <c r="G832"/>
      <c r="H832"/>
      <c r="I832"/>
      <c r="J832"/>
      <c r="K832"/>
      <c r="L832"/>
    </row>
    <row r="833" spans="1:12" ht="15" x14ac:dyDescent="0.25">
      <c r="A833"/>
      <c r="B833"/>
      <c r="C833"/>
      <c r="D833"/>
      <c r="E833"/>
      <c r="F833"/>
      <c r="G833"/>
      <c r="H833"/>
      <c r="I833"/>
      <c r="J833"/>
      <c r="K833"/>
      <c r="L833"/>
    </row>
    <row r="834" spans="1:12" ht="15" x14ac:dyDescent="0.25">
      <c r="A834"/>
      <c r="B834"/>
      <c r="C834"/>
      <c r="D834"/>
      <c r="E834"/>
      <c r="F834"/>
      <c r="G834"/>
      <c r="H834"/>
      <c r="I834"/>
      <c r="J834"/>
      <c r="K834"/>
      <c r="L834"/>
    </row>
    <row r="835" spans="1:12" ht="15" x14ac:dyDescent="0.25">
      <c r="A835"/>
      <c r="B835"/>
      <c r="C835"/>
      <c r="D835"/>
      <c r="E835"/>
      <c r="F835"/>
      <c r="G835"/>
      <c r="H835"/>
      <c r="I835"/>
      <c r="J835"/>
      <c r="K835"/>
      <c r="L835"/>
    </row>
    <row r="836" spans="1:12" ht="15" x14ac:dyDescent="0.25">
      <c r="A836"/>
      <c r="B836"/>
      <c r="C836"/>
      <c r="D836"/>
      <c r="E836"/>
      <c r="F836"/>
      <c r="G836"/>
      <c r="H836"/>
      <c r="I836"/>
      <c r="J836"/>
      <c r="K836"/>
      <c r="L836"/>
    </row>
    <row r="837" spans="1:12" ht="15" x14ac:dyDescent="0.25">
      <c r="A837"/>
      <c r="B837"/>
      <c r="C837"/>
      <c r="D837"/>
      <c r="E837"/>
      <c r="F837"/>
      <c r="G837"/>
      <c r="H837"/>
      <c r="I837"/>
      <c r="J837"/>
      <c r="K837"/>
      <c r="L837"/>
    </row>
    <row r="838" spans="1:12" ht="15" x14ac:dyDescent="0.25">
      <c r="A838"/>
      <c r="B838"/>
      <c r="C838"/>
      <c r="D838"/>
      <c r="E838"/>
      <c r="F838"/>
      <c r="G838"/>
      <c r="H838"/>
      <c r="I838"/>
      <c r="J838"/>
      <c r="K838"/>
      <c r="L838"/>
    </row>
    <row r="839" spans="1:12" ht="15" x14ac:dyDescent="0.25">
      <c r="A839"/>
      <c r="B839"/>
      <c r="C839"/>
      <c r="D839"/>
      <c r="E839"/>
      <c r="F839"/>
      <c r="G839"/>
      <c r="H839"/>
      <c r="I839"/>
      <c r="J839"/>
      <c r="K839"/>
      <c r="L839"/>
    </row>
    <row r="840" spans="1:12" ht="15" x14ac:dyDescent="0.25">
      <c r="A840"/>
      <c r="B840"/>
      <c r="C840"/>
      <c r="D840"/>
      <c r="E840"/>
      <c r="F840"/>
      <c r="G840"/>
      <c r="H840"/>
      <c r="I840"/>
      <c r="J840"/>
      <c r="K840"/>
      <c r="L840"/>
    </row>
    <row r="841" spans="1:12" ht="15" x14ac:dyDescent="0.25">
      <c r="A841"/>
      <c r="B841"/>
      <c r="C841"/>
      <c r="D841"/>
      <c r="E841"/>
      <c r="F841"/>
      <c r="G841"/>
      <c r="H841"/>
      <c r="I841"/>
      <c r="J841"/>
      <c r="K841"/>
      <c r="L841"/>
    </row>
    <row r="842" spans="1:12" ht="15" x14ac:dyDescent="0.25">
      <c r="A842"/>
      <c r="B842"/>
      <c r="C842"/>
      <c r="D842"/>
      <c r="E842"/>
      <c r="F842"/>
      <c r="G842"/>
      <c r="H842"/>
      <c r="I842"/>
      <c r="J842"/>
      <c r="K842"/>
      <c r="L842"/>
    </row>
    <row r="843" spans="1:12" ht="15" x14ac:dyDescent="0.25">
      <c r="A843"/>
      <c r="B843"/>
      <c r="C843"/>
      <c r="D843"/>
      <c r="E843"/>
      <c r="F843"/>
      <c r="G843"/>
      <c r="H843"/>
      <c r="I843"/>
      <c r="J843"/>
      <c r="K843"/>
      <c r="L843"/>
    </row>
    <row r="844" spans="1:12" ht="15" x14ac:dyDescent="0.25">
      <c r="A844"/>
      <c r="B844"/>
      <c r="C844"/>
      <c r="D844"/>
      <c r="E844"/>
      <c r="F844"/>
      <c r="G844"/>
      <c r="H844"/>
      <c r="I844"/>
      <c r="J844"/>
      <c r="K844"/>
      <c r="L844"/>
    </row>
    <row r="845" spans="1:12" ht="15" x14ac:dyDescent="0.25">
      <c r="A845"/>
      <c r="B845"/>
      <c r="C845"/>
      <c r="D845"/>
      <c r="E845"/>
      <c r="F845"/>
      <c r="G845"/>
      <c r="H845"/>
      <c r="I845"/>
      <c r="J845"/>
      <c r="K845"/>
      <c r="L845"/>
    </row>
    <row r="846" spans="1:12" ht="15" x14ac:dyDescent="0.25">
      <c r="A846"/>
      <c r="B846"/>
      <c r="C846"/>
      <c r="D846"/>
      <c r="E846"/>
      <c r="F846"/>
      <c r="G846"/>
      <c r="H846"/>
      <c r="I846"/>
      <c r="J846"/>
      <c r="K846"/>
      <c r="L846"/>
    </row>
    <row r="847" spans="1:12" ht="15" x14ac:dyDescent="0.25">
      <c r="A847"/>
      <c r="B847"/>
      <c r="C847"/>
      <c r="D847"/>
      <c r="E847"/>
      <c r="F847"/>
      <c r="G847"/>
      <c r="H847"/>
      <c r="I847"/>
      <c r="J847"/>
      <c r="K847"/>
      <c r="L847"/>
    </row>
    <row r="848" spans="1:12" ht="15" x14ac:dyDescent="0.25">
      <c r="A848"/>
      <c r="B848"/>
      <c r="C848"/>
      <c r="D848"/>
      <c r="E848"/>
      <c r="F848"/>
      <c r="G848"/>
      <c r="H848"/>
      <c r="I848"/>
      <c r="J848"/>
      <c r="K848"/>
      <c r="L848"/>
    </row>
    <row r="849" spans="1:12" ht="15" x14ac:dyDescent="0.25">
      <c r="A849"/>
      <c r="B849"/>
      <c r="C849"/>
      <c r="D849"/>
      <c r="E849"/>
      <c r="F849"/>
      <c r="G849"/>
      <c r="H849"/>
      <c r="I849"/>
      <c r="J849"/>
      <c r="K849"/>
      <c r="L849"/>
    </row>
    <row r="850" spans="1:12" ht="15" x14ac:dyDescent="0.25">
      <c r="A850"/>
      <c r="B850"/>
      <c r="C850"/>
      <c r="D850"/>
      <c r="E850"/>
      <c r="F850"/>
      <c r="G850"/>
      <c r="H850"/>
      <c r="I850"/>
      <c r="J850"/>
      <c r="K850"/>
      <c r="L850"/>
    </row>
    <row r="851" spans="1:12" ht="15" x14ac:dyDescent="0.25">
      <c r="A851"/>
      <c r="B851"/>
      <c r="C851"/>
      <c r="D851"/>
      <c r="E851"/>
      <c r="F851"/>
      <c r="G851"/>
      <c r="H851"/>
      <c r="I851"/>
      <c r="J851"/>
      <c r="K851"/>
      <c r="L851"/>
    </row>
    <row r="852" spans="1:12" ht="15" x14ac:dyDescent="0.25">
      <c r="A852"/>
      <c r="B852"/>
      <c r="C852"/>
      <c r="D852"/>
      <c r="E852"/>
      <c r="F852"/>
      <c r="G852"/>
      <c r="H852"/>
      <c r="I852"/>
      <c r="J852"/>
      <c r="K852"/>
      <c r="L852"/>
    </row>
    <row r="853" spans="1:12" ht="15" x14ac:dyDescent="0.25">
      <c r="A853"/>
      <c r="B853"/>
      <c r="C853"/>
      <c r="D853"/>
      <c r="E853"/>
      <c r="F853"/>
      <c r="G853"/>
      <c r="H853"/>
      <c r="I853"/>
      <c r="J853"/>
      <c r="K853"/>
      <c r="L853"/>
    </row>
    <row r="854" spans="1:12" ht="15" x14ac:dyDescent="0.25">
      <c r="A854"/>
      <c r="B854"/>
      <c r="C854"/>
      <c r="D854"/>
      <c r="E854"/>
      <c r="F854"/>
      <c r="G854"/>
      <c r="H854"/>
      <c r="I854"/>
      <c r="J854"/>
      <c r="K854"/>
      <c r="L854"/>
    </row>
    <row r="855" spans="1:12" ht="15" x14ac:dyDescent="0.25">
      <c r="A855"/>
      <c r="B855"/>
      <c r="C855"/>
      <c r="D855"/>
      <c r="E855"/>
      <c r="F855"/>
      <c r="G855"/>
      <c r="H855"/>
      <c r="I855"/>
      <c r="J855"/>
      <c r="K855"/>
      <c r="L855"/>
    </row>
    <row r="856" spans="1:12" ht="15" x14ac:dyDescent="0.25">
      <c r="A856"/>
      <c r="B856"/>
      <c r="C856"/>
      <c r="D856"/>
      <c r="E856"/>
      <c r="F856"/>
      <c r="G856"/>
      <c r="H856"/>
      <c r="I856"/>
      <c r="J856"/>
      <c r="K856"/>
      <c r="L856"/>
    </row>
    <row r="857" spans="1:12" ht="15" x14ac:dyDescent="0.25">
      <c r="A857"/>
      <c r="B857"/>
      <c r="C857"/>
      <c r="D857"/>
      <c r="E857"/>
      <c r="F857"/>
      <c r="G857"/>
      <c r="H857"/>
      <c r="I857"/>
      <c r="J857"/>
      <c r="K857"/>
      <c r="L857"/>
    </row>
    <row r="858" spans="1:12" ht="15" x14ac:dyDescent="0.25">
      <c r="A858"/>
      <c r="B858"/>
      <c r="C858"/>
      <c r="D858"/>
      <c r="E858"/>
      <c r="F858"/>
      <c r="G858"/>
      <c r="H858"/>
      <c r="I858"/>
      <c r="J858"/>
      <c r="K858"/>
      <c r="L858"/>
    </row>
    <row r="859" spans="1:12" ht="15" x14ac:dyDescent="0.25">
      <c r="A859"/>
      <c r="B859"/>
      <c r="C859"/>
      <c r="D859"/>
      <c r="E859"/>
      <c r="F859"/>
      <c r="G859"/>
      <c r="H859"/>
      <c r="I859"/>
      <c r="J859"/>
      <c r="K859"/>
      <c r="L859"/>
    </row>
    <row r="860" spans="1:12" ht="15" x14ac:dyDescent="0.25">
      <c r="A860"/>
      <c r="B860"/>
      <c r="C860"/>
      <c r="D860"/>
      <c r="E860"/>
      <c r="F860"/>
      <c r="G860"/>
      <c r="H860"/>
      <c r="I860"/>
      <c r="J860"/>
      <c r="K860"/>
      <c r="L860"/>
    </row>
    <row r="861" spans="1:12" ht="15" x14ac:dyDescent="0.25">
      <c r="A861"/>
      <c r="B861"/>
      <c r="C861"/>
      <c r="D861"/>
      <c r="E861"/>
      <c r="F861"/>
      <c r="G861"/>
      <c r="H861"/>
      <c r="I861"/>
      <c r="J861"/>
      <c r="K861"/>
      <c r="L861"/>
    </row>
    <row r="862" spans="1:12" ht="15" x14ac:dyDescent="0.25">
      <c r="A862"/>
      <c r="B862"/>
      <c r="C862"/>
      <c r="D862"/>
      <c r="E862"/>
      <c r="F862"/>
      <c r="G862"/>
      <c r="H862"/>
      <c r="I862"/>
      <c r="J862"/>
      <c r="K862"/>
      <c r="L862"/>
    </row>
    <row r="863" spans="1:12" ht="15" x14ac:dyDescent="0.25">
      <c r="A863"/>
      <c r="B863"/>
      <c r="C863"/>
      <c r="D863"/>
      <c r="E863"/>
      <c r="F863"/>
      <c r="G863"/>
      <c r="H863"/>
      <c r="I863"/>
      <c r="J863"/>
      <c r="K863"/>
      <c r="L863"/>
    </row>
    <row r="864" spans="1:12" ht="15" x14ac:dyDescent="0.25">
      <c r="A864"/>
      <c r="B864"/>
      <c r="C864"/>
      <c r="D864"/>
      <c r="E864"/>
      <c r="F864"/>
      <c r="G864"/>
      <c r="H864"/>
      <c r="I864"/>
      <c r="J864"/>
      <c r="K864"/>
      <c r="L864"/>
    </row>
    <row r="865" spans="1:12" ht="15" x14ac:dyDescent="0.25">
      <c r="A865"/>
      <c r="B865"/>
      <c r="C865"/>
      <c r="D865"/>
      <c r="E865"/>
      <c r="F865"/>
      <c r="G865"/>
      <c r="H865"/>
      <c r="I865"/>
      <c r="J865"/>
      <c r="K865"/>
      <c r="L865"/>
    </row>
    <row r="866" spans="1:12" ht="15" x14ac:dyDescent="0.25">
      <c r="A866"/>
      <c r="B866"/>
      <c r="C866"/>
      <c r="D866"/>
      <c r="E866"/>
      <c r="F866"/>
      <c r="G866"/>
      <c r="H866"/>
      <c r="I866"/>
      <c r="J866"/>
      <c r="K866"/>
      <c r="L866"/>
    </row>
    <row r="867" spans="1:12" ht="15" x14ac:dyDescent="0.25">
      <c r="A867"/>
      <c r="B867"/>
      <c r="C867"/>
      <c r="D867"/>
      <c r="E867"/>
      <c r="F867"/>
      <c r="G867"/>
      <c r="H867"/>
      <c r="I867"/>
      <c r="J867"/>
      <c r="K867"/>
      <c r="L867"/>
    </row>
    <row r="868" spans="1:12" ht="15" x14ac:dyDescent="0.25">
      <c r="A868"/>
      <c r="B868"/>
      <c r="C868"/>
      <c r="D868"/>
      <c r="E868"/>
      <c r="F868"/>
      <c r="G868"/>
      <c r="H868"/>
      <c r="I868"/>
      <c r="J868"/>
      <c r="K868"/>
      <c r="L868"/>
    </row>
    <row r="869" spans="1:12" ht="15" x14ac:dyDescent="0.25">
      <c r="A869"/>
      <c r="B869"/>
      <c r="C869"/>
      <c r="D869"/>
      <c r="E869"/>
      <c r="F869"/>
      <c r="G869"/>
      <c r="H869"/>
      <c r="I869"/>
      <c r="J869"/>
      <c r="K869"/>
      <c r="L869"/>
    </row>
    <row r="870" spans="1:12" ht="15" x14ac:dyDescent="0.25">
      <c r="A870"/>
      <c r="B870"/>
      <c r="C870"/>
      <c r="D870"/>
      <c r="E870"/>
      <c r="F870"/>
      <c r="G870"/>
      <c r="H870"/>
      <c r="I870"/>
      <c r="J870"/>
      <c r="K870"/>
      <c r="L870"/>
    </row>
    <row r="871" spans="1:12" ht="15" x14ac:dyDescent="0.25">
      <c r="A871"/>
      <c r="B871"/>
      <c r="C871"/>
      <c r="D871"/>
      <c r="E871"/>
      <c r="F871"/>
      <c r="G871"/>
      <c r="H871"/>
      <c r="I871"/>
      <c r="J871"/>
      <c r="K871"/>
      <c r="L871"/>
    </row>
    <row r="872" spans="1:12" ht="15" x14ac:dyDescent="0.25">
      <c r="A872"/>
      <c r="B872"/>
      <c r="C872"/>
      <c r="D872"/>
      <c r="E872"/>
      <c r="F872"/>
      <c r="G872"/>
      <c r="H872"/>
      <c r="I872"/>
      <c r="J872"/>
      <c r="K872"/>
      <c r="L872"/>
    </row>
    <row r="873" spans="1:12" ht="15" x14ac:dyDescent="0.25">
      <c r="A873"/>
      <c r="B873"/>
      <c r="C873"/>
      <c r="D873"/>
      <c r="E873"/>
      <c r="F873"/>
      <c r="G873"/>
      <c r="H873"/>
      <c r="I873"/>
      <c r="J873"/>
      <c r="K873"/>
      <c r="L873"/>
    </row>
    <row r="874" spans="1:12" ht="15" x14ac:dyDescent="0.25">
      <c r="A874"/>
      <c r="B874"/>
      <c r="C874"/>
      <c r="D874"/>
      <c r="E874"/>
      <c r="F874"/>
      <c r="G874"/>
      <c r="H874"/>
      <c r="I874"/>
      <c r="J874"/>
      <c r="K874"/>
      <c r="L874"/>
    </row>
    <row r="875" spans="1:12" ht="15" x14ac:dyDescent="0.25">
      <c r="A875"/>
      <c r="B875"/>
      <c r="C875"/>
      <c r="D875"/>
      <c r="E875"/>
      <c r="F875"/>
      <c r="G875"/>
      <c r="H875"/>
      <c r="I875"/>
      <c r="J875"/>
      <c r="K875"/>
      <c r="L875"/>
    </row>
    <row r="876" spans="1:12" ht="15" x14ac:dyDescent="0.25">
      <c r="A876"/>
      <c r="B876"/>
      <c r="C876"/>
      <c r="D876"/>
      <c r="E876"/>
      <c r="F876"/>
      <c r="G876"/>
      <c r="H876"/>
      <c r="I876"/>
      <c r="J876"/>
      <c r="K876"/>
      <c r="L876"/>
    </row>
    <row r="877" spans="1:12" ht="15" x14ac:dyDescent="0.25">
      <c r="A877"/>
      <c r="B877"/>
      <c r="C877"/>
      <c r="D877"/>
      <c r="E877"/>
      <c r="F877"/>
      <c r="G877"/>
      <c r="H877"/>
      <c r="I877"/>
      <c r="J877"/>
      <c r="K877"/>
      <c r="L877"/>
    </row>
    <row r="878" spans="1:12" ht="15" x14ac:dyDescent="0.25">
      <c r="A878"/>
      <c r="B878"/>
      <c r="C878"/>
      <c r="D878"/>
      <c r="E878"/>
      <c r="F878"/>
      <c r="G878"/>
      <c r="H878"/>
      <c r="I878"/>
      <c r="J878"/>
      <c r="K878"/>
      <c r="L878"/>
    </row>
    <row r="879" spans="1:12" ht="15" x14ac:dyDescent="0.25">
      <c r="A879"/>
      <c r="B879"/>
      <c r="C879"/>
      <c r="D879"/>
      <c r="E879"/>
      <c r="F879"/>
      <c r="G879"/>
      <c r="H879"/>
      <c r="I879"/>
      <c r="J879"/>
      <c r="K879"/>
      <c r="L879"/>
    </row>
    <row r="880" spans="1:12" ht="15" x14ac:dyDescent="0.25">
      <c r="A880"/>
      <c r="B880"/>
      <c r="C880"/>
      <c r="D880"/>
      <c r="E880"/>
      <c r="F880"/>
      <c r="G880"/>
      <c r="H880"/>
      <c r="I880"/>
      <c r="J880"/>
      <c r="K880"/>
      <c r="L880"/>
    </row>
    <row r="881" spans="1:12" ht="15" x14ac:dyDescent="0.25">
      <c r="A881"/>
      <c r="B881"/>
      <c r="C881"/>
      <c r="D881"/>
      <c r="E881"/>
      <c r="F881"/>
      <c r="G881"/>
      <c r="H881"/>
      <c r="I881"/>
      <c r="J881"/>
      <c r="K881"/>
      <c r="L881"/>
    </row>
    <row r="882" spans="1:12" ht="15" x14ac:dyDescent="0.25">
      <c r="A882"/>
      <c r="B882"/>
      <c r="C882"/>
      <c r="D882"/>
      <c r="E882"/>
      <c r="F882"/>
      <c r="G882"/>
      <c r="H882"/>
      <c r="I882"/>
      <c r="J882"/>
      <c r="K882"/>
      <c r="L882"/>
    </row>
    <row r="883" spans="1:12" ht="15" x14ac:dyDescent="0.25">
      <c r="A883"/>
      <c r="B883"/>
      <c r="C883"/>
      <c r="D883"/>
      <c r="E883"/>
      <c r="F883"/>
      <c r="G883"/>
      <c r="H883"/>
      <c r="I883"/>
      <c r="J883"/>
      <c r="K883"/>
      <c r="L883"/>
    </row>
    <row r="884" spans="1:12" ht="15" x14ac:dyDescent="0.25">
      <c r="A884"/>
      <c r="B884"/>
      <c r="C884"/>
      <c r="D884"/>
      <c r="E884"/>
      <c r="F884"/>
      <c r="G884"/>
      <c r="H884"/>
      <c r="I884"/>
      <c r="J884"/>
      <c r="K884"/>
      <c r="L884"/>
    </row>
    <row r="885" spans="1:12" ht="15" x14ac:dyDescent="0.25">
      <c r="A885"/>
      <c r="B885"/>
      <c r="C885"/>
      <c r="D885"/>
      <c r="E885"/>
      <c r="F885"/>
      <c r="G885"/>
      <c r="H885"/>
      <c r="I885"/>
      <c r="J885"/>
      <c r="K885"/>
      <c r="L885"/>
    </row>
    <row r="886" spans="1:12" ht="15" x14ac:dyDescent="0.25">
      <c r="A886"/>
      <c r="B886"/>
      <c r="C886"/>
      <c r="D886"/>
      <c r="E886"/>
      <c r="F886"/>
      <c r="G886"/>
      <c r="H886"/>
      <c r="I886"/>
      <c r="J886"/>
      <c r="K886"/>
      <c r="L886"/>
    </row>
    <row r="887" spans="1:12" ht="15" x14ac:dyDescent="0.25">
      <c r="A887"/>
      <c r="B887"/>
      <c r="C887"/>
      <c r="D887"/>
      <c r="E887"/>
      <c r="F887"/>
      <c r="G887"/>
      <c r="H887"/>
      <c r="I887"/>
      <c r="J887"/>
      <c r="K887"/>
      <c r="L887"/>
    </row>
    <row r="888" spans="1:12" ht="15" x14ac:dyDescent="0.25">
      <c r="A888"/>
      <c r="B888"/>
      <c r="C888"/>
      <c r="D888"/>
      <c r="E888"/>
      <c r="F888"/>
      <c r="G888"/>
      <c r="H888"/>
      <c r="I888"/>
      <c r="J888"/>
      <c r="K888"/>
      <c r="L888"/>
    </row>
    <row r="889" spans="1:12" ht="15" x14ac:dyDescent="0.25">
      <c r="A889"/>
      <c r="B889"/>
      <c r="C889"/>
      <c r="D889"/>
      <c r="E889"/>
      <c r="F889"/>
      <c r="G889"/>
      <c r="H889"/>
      <c r="I889"/>
      <c r="J889"/>
      <c r="K889"/>
      <c r="L889"/>
    </row>
    <row r="890" spans="1:12" ht="15" x14ac:dyDescent="0.25">
      <c r="A890"/>
      <c r="B890"/>
      <c r="C890"/>
      <c r="D890"/>
      <c r="E890"/>
      <c r="F890"/>
      <c r="G890"/>
      <c r="H890"/>
      <c r="I890"/>
      <c r="J890"/>
      <c r="K890"/>
      <c r="L890"/>
    </row>
    <row r="891" spans="1:12" ht="15" x14ac:dyDescent="0.25">
      <c r="A891"/>
      <c r="B891"/>
      <c r="C891"/>
      <c r="D891"/>
      <c r="E891"/>
      <c r="F891"/>
      <c r="G891"/>
      <c r="H891"/>
      <c r="I891"/>
      <c r="J891"/>
      <c r="K891"/>
      <c r="L891"/>
    </row>
    <row r="892" spans="1:12" ht="15" x14ac:dyDescent="0.25">
      <c r="A892"/>
      <c r="B892"/>
      <c r="C892"/>
      <c r="D892"/>
      <c r="E892"/>
      <c r="F892"/>
      <c r="G892"/>
      <c r="H892"/>
      <c r="I892"/>
      <c r="J892"/>
      <c r="K892"/>
      <c r="L892"/>
    </row>
    <row r="893" spans="1:12" ht="15" x14ac:dyDescent="0.25">
      <c r="A893"/>
      <c r="B893"/>
      <c r="C893"/>
      <c r="D893"/>
      <c r="E893"/>
      <c r="F893"/>
      <c r="G893"/>
      <c r="H893"/>
      <c r="I893"/>
      <c r="J893"/>
      <c r="K893"/>
      <c r="L893"/>
    </row>
    <row r="894" spans="1:12" ht="15" x14ac:dyDescent="0.25">
      <c r="A894"/>
      <c r="B894"/>
      <c r="C894"/>
      <c r="D894"/>
      <c r="E894"/>
      <c r="F894"/>
      <c r="G894"/>
      <c r="H894"/>
      <c r="I894"/>
      <c r="J894"/>
      <c r="K894"/>
      <c r="L894"/>
    </row>
    <row r="895" spans="1:12" ht="15" x14ac:dyDescent="0.25">
      <c r="A895"/>
      <c r="B895"/>
      <c r="C895"/>
      <c r="D895"/>
      <c r="E895"/>
      <c r="F895"/>
      <c r="G895"/>
      <c r="H895"/>
      <c r="I895"/>
      <c r="J895"/>
      <c r="K895"/>
      <c r="L895"/>
    </row>
    <row r="896" spans="1:12" ht="15" x14ac:dyDescent="0.25">
      <c r="A896"/>
      <c r="B896"/>
      <c r="C896"/>
      <c r="D896"/>
      <c r="E896"/>
      <c r="F896"/>
      <c r="G896"/>
      <c r="H896"/>
      <c r="I896"/>
      <c r="J896"/>
      <c r="K896"/>
      <c r="L896"/>
    </row>
    <row r="897" spans="1:12" ht="15" x14ac:dyDescent="0.25">
      <c r="A897"/>
      <c r="B897"/>
      <c r="C897"/>
      <c r="D897"/>
      <c r="E897"/>
      <c r="F897"/>
      <c r="G897"/>
      <c r="H897"/>
      <c r="I897"/>
      <c r="J897"/>
      <c r="K897"/>
      <c r="L897"/>
    </row>
    <row r="898" spans="1:12" ht="15" x14ac:dyDescent="0.25">
      <c r="A898"/>
      <c r="B898"/>
      <c r="C898"/>
      <c r="D898"/>
      <c r="E898"/>
      <c r="F898"/>
      <c r="G898"/>
      <c r="H898"/>
      <c r="I898"/>
      <c r="J898"/>
      <c r="K898"/>
      <c r="L898"/>
    </row>
    <row r="899" spans="1:12" ht="15" x14ac:dyDescent="0.25">
      <c r="A899"/>
      <c r="B899"/>
      <c r="C899"/>
      <c r="D899"/>
      <c r="E899"/>
      <c r="F899"/>
      <c r="G899"/>
      <c r="H899"/>
      <c r="I899"/>
      <c r="J899"/>
      <c r="K899"/>
      <c r="L899"/>
    </row>
    <row r="900" spans="1:12" ht="15" x14ac:dyDescent="0.25">
      <c r="A900"/>
      <c r="B900"/>
      <c r="C900"/>
      <c r="D900"/>
      <c r="E900"/>
      <c r="F900"/>
      <c r="G900"/>
      <c r="H900"/>
      <c r="I900"/>
      <c r="J900"/>
      <c r="K900"/>
      <c r="L900"/>
    </row>
    <row r="901" spans="1:12" ht="15" x14ac:dyDescent="0.25">
      <c r="A901"/>
      <c r="B901"/>
      <c r="C901"/>
      <c r="D901"/>
      <c r="E901"/>
      <c r="F901"/>
      <c r="G901"/>
      <c r="H901"/>
      <c r="I901"/>
      <c r="J901"/>
      <c r="K901"/>
      <c r="L901"/>
    </row>
    <row r="902" spans="1:12" ht="15" x14ac:dyDescent="0.25">
      <c r="A902"/>
      <c r="B902"/>
      <c r="C902"/>
      <c r="D902"/>
      <c r="E902"/>
      <c r="F902"/>
      <c r="G902"/>
      <c r="H902"/>
      <c r="I902"/>
      <c r="J902"/>
      <c r="K902"/>
      <c r="L902"/>
    </row>
    <row r="903" spans="1:12" ht="15" x14ac:dyDescent="0.25">
      <c r="A903"/>
      <c r="B903"/>
      <c r="C903"/>
      <c r="D903"/>
      <c r="E903"/>
      <c r="F903"/>
      <c r="G903"/>
      <c r="H903"/>
      <c r="I903"/>
      <c r="J903"/>
      <c r="K903"/>
      <c r="L903"/>
    </row>
    <row r="904" spans="1:12" ht="15" x14ac:dyDescent="0.25">
      <c r="A904"/>
      <c r="B904"/>
      <c r="C904"/>
      <c r="D904"/>
      <c r="E904"/>
      <c r="F904"/>
      <c r="G904"/>
      <c r="H904"/>
      <c r="I904"/>
      <c r="J904"/>
      <c r="K904"/>
      <c r="L904"/>
    </row>
    <row r="905" spans="1:12" ht="15" x14ac:dyDescent="0.25">
      <c r="A905"/>
      <c r="B905"/>
      <c r="C905"/>
      <c r="D905"/>
      <c r="E905"/>
      <c r="F905"/>
      <c r="G905"/>
      <c r="H905"/>
      <c r="I905"/>
      <c r="J905"/>
      <c r="K905"/>
      <c r="L905"/>
    </row>
    <row r="906" spans="1:12" ht="15" x14ac:dyDescent="0.25">
      <c r="A906"/>
      <c r="B906"/>
      <c r="C906"/>
      <c r="D906"/>
      <c r="E906"/>
      <c r="F906"/>
      <c r="G906"/>
      <c r="H906"/>
      <c r="I906"/>
      <c r="J906"/>
      <c r="K906"/>
      <c r="L906"/>
    </row>
    <row r="907" spans="1:12" ht="15" x14ac:dyDescent="0.25">
      <c r="A907"/>
      <c r="B907"/>
      <c r="C907"/>
      <c r="D907"/>
      <c r="E907"/>
      <c r="F907"/>
      <c r="G907"/>
      <c r="H907"/>
      <c r="I907"/>
      <c r="J907"/>
      <c r="K907"/>
      <c r="L907"/>
    </row>
    <row r="908" spans="1:12" ht="15" x14ac:dyDescent="0.25">
      <c r="A908"/>
      <c r="B908"/>
      <c r="C908"/>
      <c r="D908"/>
      <c r="E908"/>
      <c r="F908"/>
      <c r="G908"/>
      <c r="H908"/>
      <c r="I908"/>
      <c r="J908"/>
      <c r="K908"/>
      <c r="L908"/>
    </row>
    <row r="909" spans="1:12" ht="15" x14ac:dyDescent="0.25">
      <c r="A909"/>
      <c r="B909"/>
      <c r="C909"/>
      <c r="D909"/>
      <c r="E909"/>
      <c r="F909"/>
      <c r="G909"/>
      <c r="H909"/>
      <c r="I909"/>
      <c r="J909"/>
      <c r="K909"/>
      <c r="L909"/>
    </row>
    <row r="910" spans="1:12" ht="15" x14ac:dyDescent="0.25">
      <c r="A910"/>
      <c r="B910"/>
      <c r="C910"/>
      <c r="D910"/>
      <c r="E910"/>
      <c r="F910"/>
      <c r="G910"/>
      <c r="H910"/>
      <c r="I910"/>
      <c r="J910"/>
      <c r="K910"/>
      <c r="L910"/>
    </row>
    <row r="911" spans="1:12" ht="15" x14ac:dyDescent="0.25">
      <c r="A911"/>
      <c r="B911"/>
      <c r="C911"/>
      <c r="D911"/>
      <c r="E911"/>
      <c r="F911"/>
      <c r="G911"/>
      <c r="H911"/>
      <c r="I911"/>
      <c r="J911"/>
      <c r="K911"/>
      <c r="L911"/>
    </row>
    <row r="912" spans="1:12" ht="15" x14ac:dyDescent="0.25">
      <c r="A912"/>
      <c r="B912"/>
      <c r="C912"/>
      <c r="D912"/>
      <c r="E912"/>
      <c r="F912"/>
      <c r="G912"/>
      <c r="H912"/>
      <c r="I912"/>
      <c r="J912"/>
      <c r="K912"/>
      <c r="L912"/>
    </row>
    <row r="913" spans="1:12" ht="15" x14ac:dyDescent="0.25">
      <c r="A913"/>
      <c r="B913"/>
      <c r="C913"/>
      <c r="D913"/>
      <c r="E913"/>
      <c r="F913"/>
      <c r="G913"/>
      <c r="H913"/>
      <c r="I913"/>
      <c r="J913"/>
      <c r="K913"/>
      <c r="L913"/>
    </row>
    <row r="914" spans="1:12" ht="15" x14ac:dyDescent="0.25">
      <c r="A914"/>
      <c r="B914"/>
      <c r="C914"/>
      <c r="D914"/>
      <c r="E914"/>
      <c r="F914"/>
      <c r="G914"/>
      <c r="H914"/>
      <c r="I914"/>
      <c r="J914"/>
      <c r="K914"/>
      <c r="L914"/>
    </row>
    <row r="915" spans="1:12" ht="15" x14ac:dyDescent="0.25">
      <c r="A915"/>
      <c r="B915"/>
      <c r="C915"/>
      <c r="D915"/>
      <c r="E915"/>
      <c r="F915"/>
      <c r="G915"/>
      <c r="H915"/>
      <c r="I915"/>
      <c r="J915"/>
      <c r="K915"/>
      <c r="L915"/>
    </row>
    <row r="916" spans="1:12" ht="15" x14ac:dyDescent="0.25">
      <c r="A916"/>
      <c r="B916"/>
      <c r="C916"/>
      <c r="D916"/>
      <c r="E916"/>
      <c r="F916"/>
      <c r="G916"/>
      <c r="H916"/>
      <c r="I916"/>
      <c r="J916"/>
      <c r="K916"/>
      <c r="L916"/>
    </row>
    <row r="917" spans="1:12" ht="15" x14ac:dyDescent="0.25">
      <c r="A917"/>
      <c r="B917"/>
      <c r="C917"/>
      <c r="D917"/>
      <c r="E917"/>
      <c r="F917"/>
      <c r="G917"/>
      <c r="H917"/>
      <c r="I917"/>
      <c r="J917"/>
      <c r="K917"/>
      <c r="L917"/>
    </row>
    <row r="918" spans="1:12" ht="15" x14ac:dyDescent="0.25">
      <c r="A918"/>
      <c r="B918"/>
      <c r="C918"/>
      <c r="D918"/>
      <c r="E918"/>
      <c r="F918"/>
      <c r="G918"/>
      <c r="H918"/>
      <c r="I918"/>
      <c r="J918"/>
      <c r="K918"/>
      <c r="L918"/>
    </row>
    <row r="919" spans="1:12" ht="15" x14ac:dyDescent="0.25">
      <c r="A919"/>
      <c r="B919"/>
      <c r="C919"/>
      <c r="D919"/>
      <c r="E919"/>
      <c r="F919"/>
      <c r="G919"/>
      <c r="H919"/>
      <c r="I919"/>
      <c r="J919"/>
      <c r="K919"/>
      <c r="L919"/>
    </row>
    <row r="920" spans="1:12" ht="15" x14ac:dyDescent="0.25">
      <c r="A920"/>
      <c r="B920"/>
      <c r="C920"/>
      <c r="D920"/>
      <c r="E920"/>
      <c r="F920"/>
      <c r="G920"/>
      <c r="H920"/>
      <c r="I920"/>
      <c r="J920"/>
      <c r="K920"/>
      <c r="L920"/>
    </row>
    <row r="921" spans="1:12" ht="15" x14ac:dyDescent="0.25">
      <c r="A921"/>
      <c r="B921"/>
      <c r="C921"/>
      <c r="D921"/>
      <c r="E921"/>
      <c r="F921"/>
      <c r="G921"/>
      <c r="H921"/>
      <c r="I921"/>
      <c r="J921"/>
      <c r="K921"/>
      <c r="L921"/>
    </row>
    <row r="922" spans="1:12" ht="15" x14ac:dyDescent="0.25">
      <c r="A922"/>
      <c r="B922"/>
      <c r="C922"/>
      <c r="D922"/>
      <c r="E922"/>
      <c r="F922"/>
      <c r="G922"/>
      <c r="H922"/>
      <c r="I922"/>
      <c r="J922"/>
      <c r="K922"/>
      <c r="L922"/>
    </row>
    <row r="923" spans="1:12" ht="15" x14ac:dyDescent="0.25">
      <c r="A923"/>
      <c r="B923"/>
      <c r="C923"/>
      <c r="D923"/>
      <c r="E923"/>
      <c r="F923"/>
      <c r="G923"/>
      <c r="H923"/>
      <c r="I923"/>
      <c r="J923"/>
      <c r="K923"/>
      <c r="L923"/>
    </row>
    <row r="924" spans="1:12" ht="15" x14ac:dyDescent="0.25">
      <c r="A924"/>
      <c r="B924"/>
      <c r="C924"/>
      <c r="D924"/>
      <c r="E924"/>
      <c r="F924"/>
      <c r="G924"/>
      <c r="H924"/>
      <c r="I924"/>
      <c r="J924"/>
      <c r="K924"/>
      <c r="L924"/>
    </row>
    <row r="925" spans="1:12" ht="15" x14ac:dyDescent="0.25">
      <c r="A925"/>
      <c r="B925"/>
      <c r="C925"/>
      <c r="D925"/>
      <c r="E925"/>
      <c r="F925"/>
      <c r="G925"/>
      <c r="H925"/>
      <c r="I925"/>
      <c r="J925"/>
      <c r="K925"/>
      <c r="L925"/>
    </row>
    <row r="926" spans="1:12" ht="15" x14ac:dyDescent="0.25">
      <c r="A926"/>
      <c r="B926"/>
      <c r="C926"/>
      <c r="D926"/>
      <c r="E926"/>
      <c r="F926"/>
      <c r="G926"/>
      <c r="H926"/>
      <c r="I926"/>
      <c r="J926"/>
      <c r="K926"/>
      <c r="L926"/>
    </row>
    <row r="927" spans="1:12" ht="15" x14ac:dyDescent="0.25">
      <c r="A927"/>
      <c r="B927"/>
      <c r="C927"/>
      <c r="D927"/>
      <c r="E927"/>
      <c r="F927"/>
      <c r="G927"/>
      <c r="H927"/>
      <c r="I927"/>
      <c r="J927"/>
      <c r="K927"/>
      <c r="L927"/>
    </row>
    <row r="928" spans="1:12" ht="15" x14ac:dyDescent="0.25">
      <c r="A928"/>
      <c r="B928"/>
      <c r="C928"/>
      <c r="D928"/>
      <c r="E928"/>
      <c r="F928"/>
      <c r="G928"/>
      <c r="H928"/>
      <c r="I928"/>
      <c r="J928"/>
      <c r="K928"/>
      <c r="L928"/>
    </row>
    <row r="929" spans="1:12" ht="15" x14ac:dyDescent="0.25">
      <c r="A929"/>
      <c r="B929"/>
      <c r="C929"/>
      <c r="D929"/>
      <c r="E929"/>
      <c r="F929"/>
      <c r="G929"/>
      <c r="H929"/>
      <c r="I929"/>
      <c r="J929"/>
      <c r="K929"/>
      <c r="L929"/>
    </row>
    <row r="930" spans="1:12" ht="15" x14ac:dyDescent="0.25">
      <c r="A930"/>
      <c r="B930"/>
      <c r="C930"/>
      <c r="D930"/>
      <c r="E930"/>
      <c r="F930"/>
      <c r="G930"/>
      <c r="H930"/>
      <c r="I930"/>
      <c r="J930"/>
      <c r="K930"/>
      <c r="L930"/>
    </row>
    <row r="931" spans="1:12" ht="15" x14ac:dyDescent="0.25">
      <c r="A931"/>
      <c r="B931"/>
      <c r="C931"/>
      <c r="D931"/>
      <c r="E931"/>
      <c r="F931"/>
      <c r="G931"/>
      <c r="H931"/>
      <c r="I931"/>
      <c r="J931"/>
      <c r="K931"/>
      <c r="L931"/>
    </row>
    <row r="932" spans="1:12" ht="15" x14ac:dyDescent="0.25">
      <c r="A932"/>
      <c r="B932"/>
      <c r="C932"/>
      <c r="D932"/>
      <c r="E932"/>
      <c r="F932"/>
      <c r="G932"/>
      <c r="H932"/>
      <c r="I932"/>
      <c r="J932"/>
      <c r="K932"/>
      <c r="L932"/>
    </row>
    <row r="933" spans="1:12" ht="15" x14ac:dyDescent="0.25">
      <c r="A933"/>
      <c r="B933"/>
      <c r="C933"/>
      <c r="D933"/>
      <c r="E933"/>
      <c r="F933"/>
      <c r="G933"/>
      <c r="H933"/>
      <c r="I933"/>
      <c r="J933"/>
      <c r="K933"/>
      <c r="L933"/>
    </row>
    <row r="934" spans="1:12" ht="15" x14ac:dyDescent="0.25">
      <c r="A934"/>
      <c r="B934"/>
      <c r="C934"/>
      <c r="D934"/>
      <c r="E934"/>
      <c r="F934"/>
      <c r="G934"/>
      <c r="H934"/>
      <c r="I934"/>
      <c r="J934"/>
      <c r="K934"/>
      <c r="L934"/>
    </row>
    <row r="935" spans="1:12" ht="15" x14ac:dyDescent="0.25">
      <c r="A935"/>
      <c r="B935"/>
      <c r="C935"/>
      <c r="D935"/>
      <c r="E935"/>
      <c r="F935"/>
      <c r="G935"/>
      <c r="H935"/>
      <c r="I935"/>
      <c r="J935"/>
      <c r="K935"/>
      <c r="L935"/>
    </row>
    <row r="936" spans="1:12" ht="15" x14ac:dyDescent="0.25">
      <c r="A936"/>
      <c r="B936"/>
      <c r="C936"/>
      <c r="D936"/>
      <c r="E936"/>
      <c r="F936"/>
      <c r="G936"/>
      <c r="H936"/>
      <c r="I936"/>
      <c r="J936"/>
      <c r="K936"/>
      <c r="L936"/>
    </row>
    <row r="937" spans="1:12" ht="15" x14ac:dyDescent="0.25">
      <c r="A937"/>
      <c r="B937"/>
      <c r="C937"/>
      <c r="D937"/>
      <c r="E937"/>
      <c r="F937"/>
      <c r="G937"/>
      <c r="H937"/>
      <c r="I937"/>
      <c r="J937"/>
      <c r="K937"/>
      <c r="L937"/>
    </row>
    <row r="938" spans="1:12" ht="15" x14ac:dyDescent="0.25">
      <c r="A938"/>
      <c r="B938"/>
      <c r="C938"/>
      <c r="D938"/>
      <c r="E938"/>
      <c r="F938"/>
      <c r="G938"/>
      <c r="H938"/>
      <c r="I938"/>
      <c r="J938"/>
      <c r="K938"/>
      <c r="L938"/>
    </row>
    <row r="939" spans="1:12" ht="15" x14ac:dyDescent="0.25">
      <c r="A939"/>
      <c r="B939"/>
      <c r="C939"/>
      <c r="D939"/>
      <c r="E939"/>
      <c r="F939"/>
      <c r="G939"/>
      <c r="H939"/>
      <c r="I939"/>
      <c r="J939"/>
      <c r="K939"/>
      <c r="L939"/>
    </row>
    <row r="940" spans="1:12" ht="15" x14ac:dyDescent="0.25">
      <c r="A940"/>
      <c r="B940"/>
      <c r="C940"/>
      <c r="D940"/>
      <c r="E940"/>
      <c r="F940"/>
      <c r="G940"/>
      <c r="H940"/>
      <c r="I940"/>
      <c r="J940"/>
      <c r="K940"/>
      <c r="L940"/>
    </row>
    <row r="941" spans="1:12" ht="15" x14ac:dyDescent="0.25">
      <c r="A941"/>
      <c r="B941"/>
      <c r="C941"/>
      <c r="D941"/>
      <c r="E941"/>
      <c r="F941"/>
      <c r="G941"/>
      <c r="H941"/>
      <c r="I941"/>
      <c r="J941"/>
      <c r="K941"/>
      <c r="L941"/>
    </row>
    <row r="942" spans="1:12" ht="15" x14ac:dyDescent="0.25">
      <c r="A942"/>
      <c r="B942"/>
      <c r="C942"/>
      <c r="D942"/>
      <c r="E942"/>
      <c r="F942"/>
      <c r="G942"/>
      <c r="H942"/>
      <c r="I942"/>
      <c r="J942"/>
      <c r="K942"/>
      <c r="L942"/>
    </row>
    <row r="943" spans="1:12" ht="15" x14ac:dyDescent="0.25">
      <c r="A943"/>
      <c r="B943"/>
      <c r="C943"/>
      <c r="D943"/>
      <c r="E943"/>
      <c r="F943"/>
      <c r="G943"/>
      <c r="H943"/>
      <c r="I943"/>
      <c r="J943"/>
      <c r="K943"/>
      <c r="L943"/>
    </row>
    <row r="944" spans="1:12" ht="15" x14ac:dyDescent="0.25">
      <c r="A944"/>
      <c r="B944"/>
      <c r="C944"/>
      <c r="D944"/>
      <c r="E944"/>
      <c r="F944"/>
      <c r="G944"/>
      <c r="H944"/>
      <c r="I944"/>
      <c r="J944"/>
      <c r="K944"/>
      <c r="L944"/>
    </row>
    <row r="945" spans="1:12" ht="15" x14ac:dyDescent="0.25">
      <c r="A945"/>
      <c r="B945"/>
      <c r="C945"/>
      <c r="D945"/>
      <c r="E945"/>
      <c r="F945"/>
      <c r="G945"/>
      <c r="H945"/>
      <c r="I945"/>
      <c r="J945"/>
      <c r="K945"/>
      <c r="L945"/>
    </row>
    <row r="946" spans="1:12" ht="15" x14ac:dyDescent="0.25">
      <c r="A946"/>
      <c r="B946"/>
      <c r="C946"/>
      <c r="D946"/>
      <c r="E946"/>
      <c r="F946"/>
      <c r="G946"/>
      <c r="H946"/>
      <c r="I946"/>
      <c r="J946"/>
      <c r="K946"/>
      <c r="L946"/>
    </row>
    <row r="947" spans="1:12" ht="15" x14ac:dyDescent="0.25">
      <c r="A947"/>
      <c r="B947"/>
      <c r="C947"/>
      <c r="D947"/>
      <c r="E947"/>
      <c r="F947"/>
      <c r="G947"/>
      <c r="H947"/>
      <c r="I947"/>
      <c r="J947"/>
      <c r="K947"/>
      <c r="L947"/>
    </row>
    <row r="948" spans="1:12" ht="15" x14ac:dyDescent="0.25">
      <c r="A948"/>
      <c r="B948"/>
      <c r="C948"/>
      <c r="D948"/>
      <c r="E948"/>
      <c r="F948"/>
      <c r="G948"/>
      <c r="H948"/>
      <c r="I948"/>
      <c r="J948"/>
      <c r="K948"/>
      <c r="L948"/>
    </row>
    <row r="949" spans="1:12" ht="15" x14ac:dyDescent="0.25">
      <c r="A949"/>
      <c r="B949"/>
      <c r="C949"/>
      <c r="D949"/>
      <c r="E949"/>
      <c r="F949"/>
      <c r="G949"/>
      <c r="H949"/>
      <c r="I949"/>
      <c r="J949"/>
      <c r="K949"/>
      <c r="L949"/>
    </row>
    <row r="950" spans="1:12" ht="15" x14ac:dyDescent="0.25">
      <c r="A950"/>
      <c r="B950"/>
      <c r="C950"/>
      <c r="D950"/>
      <c r="E950"/>
      <c r="F950"/>
      <c r="G950"/>
      <c r="H950"/>
      <c r="I950"/>
      <c r="J950"/>
      <c r="K950"/>
      <c r="L950"/>
    </row>
    <row r="951" spans="1:12" ht="15" x14ac:dyDescent="0.25">
      <c r="A951"/>
      <c r="B951"/>
      <c r="C951"/>
      <c r="D951"/>
      <c r="E951"/>
      <c r="F951"/>
      <c r="G951"/>
      <c r="H951"/>
      <c r="I951"/>
      <c r="J951"/>
      <c r="K951"/>
      <c r="L951"/>
    </row>
    <row r="952" spans="1:12" ht="15" x14ac:dyDescent="0.25">
      <c r="A952"/>
      <c r="B952"/>
      <c r="C952"/>
      <c r="D952"/>
      <c r="E952"/>
      <c r="F952"/>
      <c r="G952"/>
      <c r="H952"/>
      <c r="I952"/>
      <c r="J952"/>
      <c r="K952"/>
      <c r="L952"/>
    </row>
    <row r="953" spans="1:12" ht="15" x14ac:dyDescent="0.25">
      <c r="A953"/>
      <c r="B953"/>
      <c r="C953"/>
      <c r="D953"/>
      <c r="E953"/>
      <c r="F953"/>
      <c r="G953"/>
      <c r="H953"/>
      <c r="I953"/>
      <c r="J953"/>
      <c r="K953"/>
      <c r="L953"/>
    </row>
    <row r="954" spans="1:12" ht="15" x14ac:dyDescent="0.25">
      <c r="A954"/>
      <c r="B954"/>
      <c r="C954"/>
      <c r="D954"/>
      <c r="E954"/>
      <c r="F954"/>
      <c r="G954"/>
      <c r="H954"/>
      <c r="I954"/>
      <c r="J954"/>
      <c r="K954"/>
      <c r="L954"/>
    </row>
    <row r="955" spans="1:12" ht="15" x14ac:dyDescent="0.25">
      <c r="A955"/>
      <c r="B955"/>
      <c r="C955"/>
      <c r="D955"/>
      <c r="E955"/>
      <c r="F955"/>
      <c r="G955"/>
      <c r="H955"/>
      <c r="I955"/>
      <c r="J955"/>
      <c r="K955"/>
      <c r="L955"/>
    </row>
    <row r="956" spans="1:12" ht="15" x14ac:dyDescent="0.25">
      <c r="A956"/>
      <c r="B956"/>
      <c r="C956"/>
      <c r="D956"/>
      <c r="E956"/>
      <c r="F956"/>
      <c r="G956"/>
      <c r="H956"/>
      <c r="I956"/>
      <c r="J956"/>
      <c r="K956"/>
      <c r="L956"/>
    </row>
    <row r="957" spans="1:12" ht="15" x14ac:dyDescent="0.25">
      <c r="A957"/>
      <c r="B957"/>
      <c r="C957"/>
      <c r="D957"/>
      <c r="E957"/>
      <c r="F957"/>
      <c r="G957"/>
      <c r="H957"/>
      <c r="I957"/>
      <c r="J957"/>
      <c r="K957"/>
      <c r="L957"/>
    </row>
    <row r="958" spans="1:12" ht="15" x14ac:dyDescent="0.25">
      <c r="A958"/>
      <c r="B958"/>
      <c r="C958"/>
      <c r="D958"/>
      <c r="E958"/>
      <c r="F958"/>
      <c r="G958"/>
      <c r="H958"/>
      <c r="I958"/>
      <c r="J958"/>
      <c r="K958"/>
      <c r="L958"/>
    </row>
    <row r="959" spans="1:12" ht="15" x14ac:dyDescent="0.25">
      <c r="A959"/>
      <c r="B959"/>
      <c r="C959"/>
      <c r="D959"/>
      <c r="E959"/>
      <c r="F959"/>
      <c r="G959"/>
      <c r="H959"/>
      <c r="I959"/>
      <c r="J959"/>
      <c r="K959"/>
      <c r="L959"/>
    </row>
    <row r="960" spans="1:12" ht="15" x14ac:dyDescent="0.25">
      <c r="A960"/>
      <c r="B960"/>
      <c r="C960"/>
      <c r="D960"/>
      <c r="E960"/>
      <c r="F960"/>
      <c r="G960"/>
      <c r="H960"/>
      <c r="I960"/>
      <c r="J960"/>
      <c r="K960"/>
      <c r="L960"/>
    </row>
    <row r="961" spans="1:12" ht="15" x14ac:dyDescent="0.25">
      <c r="A961"/>
      <c r="B961"/>
      <c r="C961"/>
      <c r="D961"/>
      <c r="E961"/>
      <c r="F961"/>
      <c r="G961"/>
      <c r="H961"/>
      <c r="I961"/>
      <c r="J961"/>
      <c r="K961"/>
      <c r="L961"/>
    </row>
    <row r="962" spans="1:12" ht="15" x14ac:dyDescent="0.25">
      <c r="A962"/>
      <c r="B962"/>
      <c r="C962"/>
      <c r="D962"/>
      <c r="E962"/>
      <c r="F962"/>
      <c r="G962"/>
      <c r="H962"/>
      <c r="I962"/>
      <c r="J962"/>
      <c r="K962"/>
      <c r="L962"/>
    </row>
    <row r="963" spans="1:12" ht="15" x14ac:dyDescent="0.25">
      <c r="A963"/>
      <c r="B963"/>
      <c r="C963"/>
      <c r="D963"/>
      <c r="E963"/>
      <c r="F963"/>
      <c r="G963"/>
      <c r="H963"/>
      <c r="I963"/>
      <c r="J963"/>
      <c r="K963"/>
      <c r="L963"/>
    </row>
    <row r="964" spans="1:12" ht="15" x14ac:dyDescent="0.25">
      <c r="A964"/>
      <c r="B964"/>
      <c r="C964"/>
      <c r="D964"/>
      <c r="E964"/>
      <c r="F964"/>
      <c r="G964"/>
      <c r="H964"/>
      <c r="I964"/>
      <c r="J964"/>
      <c r="K964"/>
      <c r="L964"/>
    </row>
    <row r="965" spans="1:12" ht="15" x14ac:dyDescent="0.25">
      <c r="A965"/>
      <c r="B965"/>
      <c r="C965"/>
      <c r="D965"/>
      <c r="E965"/>
      <c r="F965"/>
      <c r="G965"/>
      <c r="H965"/>
      <c r="I965"/>
      <c r="J965"/>
      <c r="K965"/>
      <c r="L965"/>
    </row>
    <row r="966" spans="1:12" ht="15" x14ac:dyDescent="0.25">
      <c r="A966"/>
      <c r="B966"/>
      <c r="C966"/>
      <c r="D966"/>
      <c r="E966"/>
      <c r="F966"/>
      <c r="G966"/>
      <c r="H966"/>
      <c r="I966"/>
      <c r="J966"/>
      <c r="K966"/>
      <c r="L966"/>
    </row>
    <row r="967" spans="1:12" ht="15" x14ac:dyDescent="0.25">
      <c r="A967"/>
      <c r="B967"/>
      <c r="C967"/>
      <c r="D967"/>
      <c r="E967"/>
      <c r="F967"/>
      <c r="G967"/>
      <c r="H967"/>
      <c r="I967"/>
      <c r="J967"/>
      <c r="K967"/>
      <c r="L967"/>
    </row>
    <row r="968" spans="1:12" ht="15" x14ac:dyDescent="0.25">
      <c r="A968"/>
      <c r="B968"/>
      <c r="C968"/>
      <c r="D968"/>
      <c r="E968"/>
      <c r="F968"/>
      <c r="G968"/>
      <c r="H968"/>
      <c r="I968"/>
      <c r="J968"/>
      <c r="K968"/>
      <c r="L968"/>
    </row>
    <row r="969" spans="1:12" ht="15" x14ac:dyDescent="0.25">
      <c r="A969"/>
      <c r="B969"/>
      <c r="C969"/>
      <c r="D969"/>
      <c r="E969"/>
      <c r="F969"/>
      <c r="G969"/>
      <c r="H969"/>
      <c r="I969"/>
      <c r="J969"/>
      <c r="K969"/>
      <c r="L969"/>
    </row>
    <row r="970" spans="1:12" ht="15" x14ac:dyDescent="0.25">
      <c r="A970"/>
      <c r="B970"/>
      <c r="C970"/>
      <c r="D970"/>
      <c r="E970"/>
      <c r="F970"/>
      <c r="G970"/>
      <c r="H970"/>
      <c r="I970"/>
      <c r="J970"/>
      <c r="K970"/>
      <c r="L970"/>
    </row>
    <row r="971" spans="1:12" ht="15" x14ac:dyDescent="0.25">
      <c r="A971"/>
      <c r="B971"/>
      <c r="C971"/>
      <c r="D971"/>
      <c r="E971"/>
      <c r="F971"/>
      <c r="G971"/>
      <c r="H971"/>
      <c r="I971"/>
      <c r="J971"/>
      <c r="K971"/>
      <c r="L971"/>
    </row>
    <row r="972" spans="1:12" ht="15" x14ac:dyDescent="0.25">
      <c r="A972"/>
      <c r="B972"/>
      <c r="C972"/>
      <c r="D972"/>
      <c r="E972"/>
      <c r="F972"/>
      <c r="G972"/>
      <c r="H972"/>
      <c r="I972"/>
      <c r="J972"/>
      <c r="K972"/>
      <c r="L972"/>
    </row>
    <row r="973" spans="1:12" ht="15" x14ac:dyDescent="0.25">
      <c r="A973"/>
      <c r="B973"/>
      <c r="C973"/>
      <c r="D973"/>
      <c r="E973"/>
      <c r="F973"/>
      <c r="G973"/>
      <c r="H973"/>
      <c r="I973"/>
      <c r="J973"/>
      <c r="K973"/>
      <c r="L973"/>
    </row>
    <row r="974" spans="1:12" ht="15" x14ac:dyDescent="0.25">
      <c r="A974"/>
      <c r="B974"/>
      <c r="C974"/>
      <c r="D974"/>
      <c r="E974"/>
      <c r="F974"/>
      <c r="G974"/>
      <c r="H974"/>
      <c r="I974"/>
      <c r="J974"/>
      <c r="K974"/>
      <c r="L974"/>
    </row>
    <row r="975" spans="1:12" ht="15" x14ac:dyDescent="0.25">
      <c r="A975"/>
      <c r="B975"/>
      <c r="C975"/>
      <c r="D975"/>
      <c r="E975"/>
      <c r="F975"/>
      <c r="G975"/>
      <c r="H975"/>
      <c r="I975"/>
      <c r="J975"/>
      <c r="K975"/>
      <c r="L975"/>
    </row>
    <row r="976" spans="1:12" ht="15" x14ac:dyDescent="0.25">
      <c r="A976"/>
      <c r="B976"/>
      <c r="C976"/>
      <c r="D976"/>
      <c r="E976"/>
      <c r="F976"/>
      <c r="G976"/>
      <c r="H976"/>
      <c r="I976"/>
      <c r="J976"/>
      <c r="K976"/>
      <c r="L976"/>
    </row>
    <row r="977" spans="1:12" ht="15" x14ac:dyDescent="0.25">
      <c r="A977"/>
      <c r="B977"/>
      <c r="C977"/>
      <c r="D977"/>
      <c r="E977"/>
      <c r="F977"/>
      <c r="G977"/>
      <c r="H977"/>
      <c r="I977"/>
      <c r="J977"/>
      <c r="K977"/>
      <c r="L977"/>
    </row>
    <row r="978" spans="1:12" ht="15" x14ac:dyDescent="0.25">
      <c r="A978"/>
      <c r="B978"/>
      <c r="C978"/>
      <c r="D978"/>
      <c r="E978"/>
      <c r="F978"/>
      <c r="G978"/>
      <c r="H978"/>
      <c r="I978"/>
      <c r="J978"/>
      <c r="K978"/>
      <c r="L978"/>
    </row>
    <row r="979" spans="1:12" ht="15" x14ac:dyDescent="0.25">
      <c r="A979"/>
      <c r="B979"/>
      <c r="C979"/>
      <c r="D979"/>
      <c r="E979"/>
      <c r="F979"/>
      <c r="G979"/>
      <c r="H979"/>
      <c r="I979"/>
      <c r="J979"/>
      <c r="K979"/>
      <c r="L979"/>
    </row>
    <row r="980" spans="1:12" ht="15" x14ac:dyDescent="0.25">
      <c r="A980"/>
      <c r="B980"/>
      <c r="C980"/>
      <c r="D980"/>
      <c r="E980"/>
      <c r="F980"/>
      <c r="G980"/>
      <c r="H980"/>
      <c r="I980"/>
      <c r="J980"/>
      <c r="K980"/>
      <c r="L980"/>
    </row>
    <row r="981" spans="1:12" ht="15" x14ac:dyDescent="0.25">
      <c r="A981"/>
      <c r="B981"/>
      <c r="C981"/>
      <c r="D981"/>
      <c r="E981"/>
      <c r="F981"/>
      <c r="G981"/>
      <c r="H981"/>
      <c r="I981"/>
      <c r="J981"/>
      <c r="K981"/>
      <c r="L981"/>
    </row>
    <row r="982" spans="1:12" ht="15" x14ac:dyDescent="0.25">
      <c r="A982"/>
      <c r="B982"/>
      <c r="C982"/>
      <c r="D982"/>
      <c r="E982"/>
      <c r="F982"/>
      <c r="G982"/>
      <c r="H982"/>
      <c r="I982"/>
      <c r="J982"/>
      <c r="K982"/>
      <c r="L982"/>
    </row>
    <row r="983" spans="1:12" ht="15" x14ac:dyDescent="0.25">
      <c r="A983"/>
      <c r="B983"/>
      <c r="C983"/>
      <c r="D983"/>
      <c r="E983"/>
      <c r="F983"/>
      <c r="G983"/>
      <c r="H983"/>
      <c r="I983"/>
      <c r="J983"/>
      <c r="K983"/>
      <c r="L983"/>
    </row>
    <row r="984" spans="1:12" ht="15" x14ac:dyDescent="0.25">
      <c r="A984"/>
      <c r="B984"/>
      <c r="C984"/>
      <c r="D984"/>
      <c r="E984"/>
      <c r="F984"/>
      <c r="G984"/>
      <c r="H984"/>
      <c r="I984"/>
      <c r="J984"/>
      <c r="K984"/>
      <c r="L984"/>
    </row>
    <row r="985" spans="1:12" ht="15" x14ac:dyDescent="0.25">
      <c r="A985"/>
      <c r="B985"/>
      <c r="C985"/>
      <c r="D985"/>
      <c r="E985"/>
      <c r="F985"/>
      <c r="G985"/>
      <c r="H985"/>
      <c r="I985"/>
      <c r="J985"/>
      <c r="K985"/>
      <c r="L985"/>
    </row>
    <row r="986" spans="1:12" ht="15" x14ac:dyDescent="0.25">
      <c r="A986"/>
      <c r="B986"/>
      <c r="C986"/>
      <c r="D986"/>
      <c r="E986"/>
      <c r="F986"/>
      <c r="G986"/>
      <c r="H986"/>
      <c r="I986"/>
      <c r="J986"/>
      <c r="K986"/>
      <c r="L986"/>
    </row>
    <row r="987" spans="1:12" ht="15" x14ac:dyDescent="0.25">
      <c r="A987"/>
      <c r="B987"/>
      <c r="C987"/>
      <c r="D987"/>
      <c r="E987"/>
      <c r="F987"/>
      <c r="G987"/>
      <c r="H987"/>
      <c r="I987"/>
      <c r="J987"/>
      <c r="K987"/>
      <c r="L987"/>
    </row>
    <row r="988" spans="1:12" ht="15" x14ac:dyDescent="0.25">
      <c r="A988"/>
      <c r="B988"/>
      <c r="C988"/>
      <c r="D988"/>
      <c r="E988"/>
      <c r="F988"/>
      <c r="G988"/>
      <c r="H988"/>
      <c r="I988"/>
      <c r="J988"/>
      <c r="K988"/>
      <c r="L988"/>
    </row>
    <row r="989" spans="1:12" ht="15" x14ac:dyDescent="0.25">
      <c r="A989"/>
      <c r="B989"/>
      <c r="C989"/>
      <c r="D989"/>
      <c r="E989"/>
      <c r="F989"/>
      <c r="G989"/>
      <c r="H989"/>
      <c r="I989"/>
      <c r="J989"/>
      <c r="K989"/>
      <c r="L989"/>
    </row>
    <row r="990" spans="1:12" ht="15" x14ac:dyDescent="0.25">
      <c r="A990"/>
      <c r="B990"/>
      <c r="C990"/>
      <c r="D990"/>
      <c r="E990"/>
      <c r="F990"/>
      <c r="G990"/>
      <c r="H990"/>
      <c r="I990"/>
      <c r="J990"/>
      <c r="K990"/>
      <c r="L990"/>
    </row>
    <row r="991" spans="1:12" ht="15" x14ac:dyDescent="0.25">
      <c r="A991"/>
      <c r="B991"/>
      <c r="C991"/>
      <c r="D991"/>
      <c r="E991"/>
      <c r="F991"/>
      <c r="G991"/>
      <c r="H991"/>
      <c r="I991"/>
      <c r="J991"/>
      <c r="K991"/>
      <c r="L991"/>
    </row>
    <row r="992" spans="1:12" ht="15" x14ac:dyDescent="0.25">
      <c r="A992"/>
      <c r="B992"/>
      <c r="C992"/>
      <c r="D992"/>
      <c r="E992"/>
      <c r="F992"/>
      <c r="G992"/>
      <c r="H992"/>
      <c r="I992"/>
      <c r="J992"/>
      <c r="K992"/>
      <c r="L992"/>
    </row>
    <row r="993" spans="1:12" ht="15" x14ac:dyDescent="0.25">
      <c r="A993"/>
      <c r="B993"/>
      <c r="C993"/>
      <c r="D993"/>
      <c r="E993"/>
      <c r="F993"/>
      <c r="G993"/>
      <c r="H993"/>
      <c r="I993"/>
      <c r="J993"/>
      <c r="K993"/>
      <c r="L993"/>
    </row>
    <row r="994" spans="1:12" ht="15" x14ac:dyDescent="0.25">
      <c r="A994"/>
      <c r="B994"/>
      <c r="C994"/>
      <c r="D994"/>
      <c r="E994"/>
      <c r="F994"/>
      <c r="G994"/>
      <c r="H994"/>
      <c r="I994"/>
      <c r="J994"/>
      <c r="K994"/>
      <c r="L994"/>
    </row>
    <row r="995" spans="1:12" ht="15" x14ac:dyDescent="0.25">
      <c r="A995"/>
      <c r="B995"/>
      <c r="C995"/>
      <c r="D995"/>
      <c r="E995"/>
      <c r="F995"/>
      <c r="G995"/>
      <c r="H995"/>
      <c r="I995"/>
      <c r="J995"/>
      <c r="K995"/>
      <c r="L995"/>
    </row>
    <row r="996" spans="1:12" ht="15" x14ac:dyDescent="0.25">
      <c r="A996"/>
      <c r="B996"/>
      <c r="C996"/>
      <c r="D996"/>
      <c r="E996"/>
      <c r="F996"/>
      <c r="G996"/>
      <c r="H996"/>
      <c r="I996"/>
      <c r="J996"/>
      <c r="K996"/>
      <c r="L996"/>
    </row>
    <row r="997" spans="1:12" ht="15" x14ac:dyDescent="0.25">
      <c r="A997"/>
      <c r="B997"/>
      <c r="C997"/>
      <c r="D997"/>
      <c r="E997"/>
      <c r="F997"/>
      <c r="G997"/>
      <c r="H997"/>
      <c r="I997"/>
      <c r="J997"/>
      <c r="K997"/>
      <c r="L997"/>
    </row>
    <row r="998" spans="1:12" ht="15" x14ac:dyDescent="0.25">
      <c r="A998"/>
      <c r="B998"/>
      <c r="C998"/>
      <c r="D998"/>
      <c r="E998"/>
      <c r="F998"/>
      <c r="G998"/>
      <c r="H998"/>
      <c r="I998"/>
      <c r="J998"/>
      <c r="K998"/>
      <c r="L998"/>
    </row>
    <row r="999" spans="1:12" ht="15" x14ac:dyDescent="0.25">
      <c r="A999"/>
      <c r="B999"/>
      <c r="C999"/>
      <c r="D999"/>
      <c r="E999"/>
      <c r="F999"/>
      <c r="G999"/>
      <c r="H999"/>
      <c r="I999"/>
      <c r="J999"/>
      <c r="K999"/>
      <c r="L999"/>
    </row>
    <row r="1000" spans="1:12" ht="15" x14ac:dyDescent="0.25">
      <c r="A1000"/>
      <c r="B1000"/>
      <c r="C1000"/>
      <c r="D1000"/>
      <c r="E1000"/>
      <c r="F1000"/>
      <c r="G1000"/>
      <c r="H1000"/>
      <c r="I1000"/>
      <c r="J1000"/>
      <c r="K1000"/>
      <c r="L1000"/>
    </row>
    <row r="1001" spans="1:12" ht="15" x14ac:dyDescent="0.25">
      <c r="A1001"/>
      <c r="B1001"/>
      <c r="C1001"/>
      <c r="D1001"/>
      <c r="E1001"/>
      <c r="F1001"/>
      <c r="G1001"/>
      <c r="H1001"/>
      <c r="I1001"/>
      <c r="J1001"/>
      <c r="K1001"/>
      <c r="L1001"/>
    </row>
    <row r="1002" spans="1:12" ht="15" x14ac:dyDescent="0.25">
      <c r="A1002"/>
      <c r="B1002"/>
      <c r="C1002"/>
      <c r="D1002"/>
      <c r="E1002"/>
      <c r="F1002"/>
      <c r="G1002"/>
      <c r="H1002"/>
      <c r="I1002"/>
      <c r="J1002"/>
      <c r="K1002"/>
      <c r="L1002"/>
    </row>
    <row r="1003" spans="1:12" ht="15" x14ac:dyDescent="0.25">
      <c r="A1003"/>
      <c r="B1003"/>
      <c r="C1003"/>
      <c r="D1003"/>
      <c r="E1003"/>
      <c r="F1003"/>
      <c r="G1003"/>
      <c r="H1003"/>
      <c r="I1003"/>
      <c r="J1003"/>
      <c r="K1003"/>
      <c r="L1003"/>
    </row>
    <row r="1004" spans="1:12" ht="15" x14ac:dyDescent="0.25">
      <c r="A1004"/>
      <c r="B1004"/>
      <c r="C1004"/>
      <c r="D1004"/>
      <c r="E1004"/>
      <c r="F1004"/>
      <c r="G1004"/>
      <c r="H1004"/>
      <c r="I1004"/>
      <c r="J1004"/>
      <c r="K1004"/>
      <c r="L1004"/>
    </row>
    <row r="1005" spans="1:12" ht="15" x14ac:dyDescent="0.25">
      <c r="A1005"/>
      <c r="B1005"/>
      <c r="C1005"/>
      <c r="D1005"/>
      <c r="E1005"/>
      <c r="F1005"/>
      <c r="G1005"/>
      <c r="H1005"/>
      <c r="I1005"/>
      <c r="J1005"/>
      <c r="K1005"/>
      <c r="L1005"/>
    </row>
    <row r="1006" spans="1:12" ht="15" x14ac:dyDescent="0.25">
      <c r="A1006"/>
      <c r="B1006"/>
      <c r="C1006"/>
      <c r="D1006"/>
      <c r="E1006"/>
      <c r="F1006"/>
      <c r="G1006"/>
      <c r="H1006"/>
      <c r="I1006"/>
      <c r="J1006"/>
      <c r="K1006"/>
      <c r="L1006"/>
    </row>
    <row r="1007" spans="1:12" ht="15" x14ac:dyDescent="0.25">
      <c r="A1007"/>
      <c r="B1007"/>
      <c r="C1007"/>
      <c r="D1007"/>
      <c r="E1007"/>
      <c r="F1007"/>
      <c r="G1007"/>
      <c r="H1007"/>
      <c r="I1007"/>
      <c r="J1007"/>
      <c r="K1007"/>
      <c r="L1007"/>
    </row>
    <row r="1008" spans="1:12" ht="15" x14ac:dyDescent="0.25">
      <c r="A1008"/>
      <c r="B1008"/>
      <c r="C1008"/>
      <c r="D1008"/>
      <c r="E1008"/>
      <c r="F1008"/>
      <c r="G1008"/>
      <c r="H1008"/>
      <c r="I1008"/>
      <c r="J1008"/>
      <c r="K1008"/>
      <c r="L1008"/>
    </row>
    <row r="1009" spans="1:12" ht="15" x14ac:dyDescent="0.25">
      <c r="A1009"/>
      <c r="B1009"/>
      <c r="C1009"/>
      <c r="D1009"/>
      <c r="E1009"/>
      <c r="F1009"/>
      <c r="G1009"/>
      <c r="H1009"/>
      <c r="I1009"/>
      <c r="J1009"/>
      <c r="K1009"/>
      <c r="L1009"/>
    </row>
    <row r="1010" spans="1:12" ht="15" x14ac:dyDescent="0.25">
      <c r="A1010"/>
      <c r="B1010"/>
      <c r="C1010"/>
      <c r="D1010"/>
      <c r="E1010"/>
      <c r="F1010"/>
      <c r="G1010"/>
      <c r="H1010"/>
      <c r="I1010"/>
      <c r="J1010"/>
      <c r="K1010"/>
      <c r="L1010"/>
    </row>
    <row r="1011" spans="1:12" ht="15" x14ac:dyDescent="0.25">
      <c r="A1011"/>
      <c r="B1011"/>
      <c r="C1011"/>
      <c r="D1011"/>
      <c r="E1011"/>
      <c r="F1011"/>
      <c r="G1011"/>
      <c r="H1011"/>
      <c r="I1011"/>
      <c r="J1011"/>
      <c r="K1011"/>
      <c r="L1011"/>
    </row>
    <row r="1012" spans="1:12" ht="15" x14ac:dyDescent="0.25">
      <c r="A1012"/>
      <c r="B1012"/>
      <c r="C1012"/>
      <c r="D1012"/>
      <c r="E1012"/>
      <c r="F1012"/>
      <c r="G1012"/>
      <c r="H1012"/>
      <c r="I1012"/>
      <c r="J1012"/>
      <c r="K1012"/>
      <c r="L1012"/>
    </row>
    <row r="1013" spans="1:12" ht="15" x14ac:dyDescent="0.25">
      <c r="A1013"/>
      <c r="B1013"/>
      <c r="C1013"/>
      <c r="D1013"/>
      <c r="E1013"/>
      <c r="F1013"/>
      <c r="G1013"/>
      <c r="H1013"/>
      <c r="I1013"/>
      <c r="J1013"/>
      <c r="K1013"/>
      <c r="L1013"/>
    </row>
    <row r="1014" spans="1:12" ht="15" x14ac:dyDescent="0.25">
      <c r="A1014"/>
      <c r="B1014"/>
      <c r="C1014"/>
      <c r="D1014"/>
      <c r="E1014"/>
      <c r="F1014"/>
      <c r="G1014"/>
      <c r="H1014"/>
      <c r="I1014"/>
      <c r="J1014"/>
      <c r="K1014"/>
      <c r="L1014"/>
    </row>
    <row r="1015" spans="1:12" ht="15" x14ac:dyDescent="0.25">
      <c r="A1015"/>
      <c r="B1015"/>
      <c r="C1015"/>
      <c r="D1015"/>
      <c r="E1015"/>
      <c r="F1015"/>
      <c r="G1015"/>
      <c r="H1015"/>
      <c r="I1015"/>
      <c r="J1015"/>
      <c r="K1015"/>
      <c r="L1015"/>
    </row>
    <row r="1016" spans="1:12" ht="15" x14ac:dyDescent="0.25">
      <c r="A1016"/>
      <c r="B1016"/>
      <c r="C1016"/>
      <c r="D1016"/>
      <c r="E1016"/>
      <c r="F1016"/>
      <c r="G1016"/>
      <c r="H1016"/>
      <c r="I1016"/>
      <c r="J1016"/>
      <c r="K1016"/>
      <c r="L1016"/>
    </row>
    <row r="1017" spans="1:12" ht="15" x14ac:dyDescent="0.25">
      <c r="A1017"/>
      <c r="B1017"/>
      <c r="C1017"/>
      <c r="D1017"/>
      <c r="E1017"/>
      <c r="F1017"/>
      <c r="G1017"/>
      <c r="H1017"/>
      <c r="I1017"/>
      <c r="J1017"/>
      <c r="K1017"/>
      <c r="L1017"/>
    </row>
    <row r="1018" spans="1:12" ht="15" x14ac:dyDescent="0.25">
      <c r="A1018"/>
      <c r="B1018"/>
      <c r="C1018"/>
      <c r="D1018"/>
      <c r="E1018"/>
      <c r="F1018"/>
      <c r="G1018"/>
      <c r="H1018"/>
      <c r="I1018"/>
      <c r="J1018"/>
      <c r="K1018"/>
      <c r="L1018"/>
    </row>
    <row r="1019" spans="1:12" ht="15" x14ac:dyDescent="0.25">
      <c r="A1019"/>
      <c r="B1019"/>
      <c r="C1019"/>
      <c r="D1019"/>
      <c r="E1019"/>
      <c r="F1019"/>
      <c r="G1019"/>
      <c r="H1019"/>
      <c r="I1019"/>
      <c r="J1019"/>
      <c r="K1019"/>
      <c r="L1019"/>
    </row>
    <row r="1020" spans="1:12" ht="15" x14ac:dyDescent="0.25">
      <c r="A1020"/>
      <c r="B1020"/>
      <c r="C1020"/>
      <c r="D1020"/>
      <c r="E1020"/>
      <c r="F1020"/>
      <c r="G1020"/>
      <c r="H1020"/>
      <c r="I1020"/>
      <c r="J1020"/>
      <c r="K1020"/>
      <c r="L1020"/>
    </row>
    <row r="1021" spans="1:12" ht="15" x14ac:dyDescent="0.25">
      <c r="A1021"/>
      <c r="B1021"/>
      <c r="C1021"/>
      <c r="D1021"/>
      <c r="E1021"/>
      <c r="F1021"/>
      <c r="G1021"/>
      <c r="H1021"/>
      <c r="I1021"/>
      <c r="J1021"/>
      <c r="K1021"/>
      <c r="L1021"/>
    </row>
    <row r="1022" spans="1:12" ht="15" x14ac:dyDescent="0.25">
      <c r="A1022"/>
      <c r="B1022"/>
      <c r="C1022"/>
      <c r="D1022"/>
      <c r="E1022"/>
      <c r="F1022"/>
      <c r="G1022"/>
      <c r="H1022"/>
      <c r="I1022"/>
      <c r="J1022"/>
      <c r="K1022"/>
      <c r="L1022"/>
    </row>
    <row r="1023" spans="1:12" ht="15" x14ac:dyDescent="0.25">
      <c r="A1023"/>
      <c r="B1023"/>
      <c r="C1023"/>
      <c r="D1023"/>
      <c r="E1023"/>
      <c r="F1023"/>
      <c r="G1023"/>
      <c r="H1023"/>
      <c r="I1023"/>
      <c r="J1023"/>
      <c r="K1023"/>
      <c r="L1023"/>
    </row>
    <row r="1024" spans="1:12" ht="15" x14ac:dyDescent="0.25">
      <c r="A1024"/>
      <c r="B1024"/>
      <c r="C1024"/>
      <c r="D1024"/>
      <c r="E1024"/>
      <c r="F1024"/>
      <c r="G1024"/>
      <c r="H1024"/>
      <c r="I1024"/>
      <c r="J1024"/>
      <c r="K1024"/>
      <c r="L1024"/>
    </row>
    <row r="1025" spans="1:12" ht="15" x14ac:dyDescent="0.25">
      <c r="A1025"/>
      <c r="B1025"/>
      <c r="C1025"/>
      <c r="D1025"/>
      <c r="E1025"/>
      <c r="F1025"/>
      <c r="G1025"/>
      <c r="H1025"/>
      <c r="I1025"/>
      <c r="J1025"/>
      <c r="K1025"/>
      <c r="L1025"/>
    </row>
    <row r="1026" spans="1:12" ht="15" x14ac:dyDescent="0.25">
      <c r="A1026"/>
      <c r="B1026"/>
      <c r="C1026"/>
      <c r="D1026"/>
      <c r="E1026"/>
      <c r="F1026"/>
      <c r="G1026"/>
      <c r="H1026"/>
      <c r="I1026"/>
      <c r="J1026"/>
      <c r="K1026"/>
      <c r="L1026"/>
    </row>
    <row r="1027" spans="1:12" ht="15" x14ac:dyDescent="0.25">
      <c r="A1027"/>
      <c r="B1027"/>
      <c r="C1027"/>
      <c r="D1027"/>
      <c r="E1027"/>
      <c r="F1027"/>
      <c r="G1027"/>
      <c r="H1027"/>
      <c r="I1027"/>
      <c r="J1027"/>
      <c r="K1027"/>
      <c r="L1027"/>
    </row>
    <row r="1028" spans="1:12" ht="15" x14ac:dyDescent="0.25">
      <c r="A1028"/>
      <c r="B1028"/>
      <c r="C1028"/>
      <c r="D1028"/>
      <c r="E1028"/>
      <c r="F1028"/>
      <c r="G1028"/>
      <c r="H1028"/>
      <c r="I1028"/>
      <c r="J1028"/>
      <c r="K1028"/>
      <c r="L1028"/>
    </row>
    <row r="1029" spans="1:12" ht="15" x14ac:dyDescent="0.25">
      <c r="A1029"/>
      <c r="B1029"/>
      <c r="C1029"/>
      <c r="D1029"/>
      <c r="E1029"/>
      <c r="F1029"/>
      <c r="G1029"/>
      <c r="H1029"/>
      <c r="I1029"/>
      <c r="J1029"/>
      <c r="K1029"/>
      <c r="L1029"/>
    </row>
    <row r="1030" spans="1:12" ht="15" x14ac:dyDescent="0.25">
      <c r="A1030"/>
      <c r="B1030"/>
      <c r="C1030"/>
      <c r="D1030"/>
      <c r="E1030"/>
      <c r="F1030"/>
      <c r="G1030"/>
      <c r="H1030"/>
      <c r="I1030"/>
      <c r="J1030"/>
      <c r="K1030"/>
      <c r="L1030"/>
    </row>
    <row r="1031" spans="1:12" ht="15" x14ac:dyDescent="0.25">
      <c r="A1031"/>
      <c r="B1031"/>
      <c r="C1031"/>
      <c r="D1031"/>
      <c r="E1031"/>
      <c r="F1031"/>
      <c r="G1031"/>
      <c r="H1031"/>
      <c r="I1031"/>
      <c r="J1031"/>
      <c r="K1031"/>
      <c r="L1031"/>
    </row>
    <row r="1032" spans="1:12" ht="15" x14ac:dyDescent="0.25">
      <c r="A1032"/>
      <c r="B1032"/>
      <c r="C1032"/>
      <c r="D1032"/>
      <c r="E1032"/>
      <c r="F1032"/>
      <c r="G1032"/>
      <c r="H1032"/>
      <c r="I1032"/>
      <c r="J1032"/>
      <c r="K1032"/>
      <c r="L1032"/>
    </row>
    <row r="1033" spans="1:12" ht="15" x14ac:dyDescent="0.25">
      <c r="A1033"/>
      <c r="B1033"/>
      <c r="C1033"/>
      <c r="D1033"/>
      <c r="E1033"/>
      <c r="F1033"/>
      <c r="G1033"/>
      <c r="H1033"/>
      <c r="I1033"/>
      <c r="J1033"/>
      <c r="K1033"/>
      <c r="L1033"/>
    </row>
    <row r="1034" spans="1:12" ht="15" x14ac:dyDescent="0.25">
      <c r="A1034"/>
      <c r="B1034"/>
      <c r="C1034"/>
      <c r="D1034"/>
      <c r="E1034"/>
      <c r="F1034"/>
      <c r="G1034"/>
      <c r="H1034"/>
      <c r="I1034"/>
      <c r="J1034"/>
      <c r="K1034"/>
      <c r="L1034"/>
    </row>
    <row r="1035" spans="1:12" ht="15" x14ac:dyDescent="0.25">
      <c r="A1035"/>
      <c r="B1035"/>
      <c r="C1035"/>
      <c r="D1035"/>
      <c r="E1035"/>
      <c r="F1035"/>
      <c r="G1035"/>
      <c r="H1035"/>
      <c r="I1035"/>
      <c r="J1035"/>
      <c r="K1035"/>
      <c r="L1035"/>
    </row>
    <row r="1036" spans="1:12" ht="15" x14ac:dyDescent="0.25">
      <c r="A1036"/>
      <c r="B1036"/>
      <c r="C1036"/>
      <c r="D1036"/>
      <c r="E1036"/>
      <c r="F1036"/>
      <c r="G1036"/>
      <c r="H1036"/>
      <c r="I1036"/>
      <c r="J1036"/>
      <c r="K1036"/>
      <c r="L1036"/>
    </row>
    <row r="1037" spans="1:12" ht="15" x14ac:dyDescent="0.25">
      <c r="A1037"/>
      <c r="B1037"/>
      <c r="C1037"/>
      <c r="D1037"/>
      <c r="E1037"/>
      <c r="F1037"/>
      <c r="G1037"/>
      <c r="H1037"/>
      <c r="I1037"/>
      <c r="J1037"/>
      <c r="K1037"/>
      <c r="L1037"/>
    </row>
    <row r="1038" spans="1:12" ht="15" x14ac:dyDescent="0.25">
      <c r="A1038"/>
      <c r="B1038"/>
      <c r="C1038"/>
      <c r="D1038"/>
      <c r="E1038"/>
      <c r="F1038"/>
      <c r="G1038"/>
      <c r="H1038"/>
      <c r="I1038"/>
      <c r="J1038"/>
      <c r="K1038"/>
      <c r="L1038"/>
    </row>
    <row r="1039" spans="1:12" ht="15" x14ac:dyDescent="0.25">
      <c r="A1039"/>
      <c r="B1039"/>
      <c r="C1039"/>
      <c r="D1039"/>
      <c r="E1039"/>
      <c r="F1039"/>
      <c r="G1039"/>
      <c r="H1039"/>
      <c r="I1039"/>
      <c r="J1039"/>
      <c r="K1039"/>
      <c r="L1039"/>
    </row>
    <row r="1040" spans="1:12" ht="15" x14ac:dyDescent="0.25">
      <c r="A1040"/>
      <c r="B1040"/>
      <c r="C1040"/>
      <c r="D1040"/>
      <c r="E1040"/>
      <c r="F1040"/>
      <c r="G1040"/>
      <c r="H1040"/>
      <c r="I1040"/>
      <c r="J1040"/>
      <c r="K1040"/>
      <c r="L1040"/>
    </row>
    <row r="1041" spans="1:12" ht="15" x14ac:dyDescent="0.25">
      <c r="A1041"/>
      <c r="B1041"/>
      <c r="C1041"/>
      <c r="D1041"/>
      <c r="E1041"/>
      <c r="F1041"/>
      <c r="G1041"/>
      <c r="H1041"/>
      <c r="I1041"/>
      <c r="J1041"/>
      <c r="K1041"/>
      <c r="L1041"/>
    </row>
    <row r="1042" spans="1:12" ht="15" x14ac:dyDescent="0.25">
      <c r="A1042"/>
      <c r="B1042"/>
      <c r="C1042"/>
      <c r="D1042"/>
      <c r="E1042"/>
      <c r="F1042"/>
      <c r="G1042"/>
      <c r="H1042"/>
      <c r="I1042"/>
      <c r="J1042"/>
      <c r="K1042"/>
      <c r="L1042"/>
    </row>
    <row r="1043" spans="1:12" ht="15" x14ac:dyDescent="0.25">
      <c r="A1043"/>
      <c r="B1043"/>
      <c r="C1043"/>
      <c r="D1043"/>
      <c r="E1043"/>
      <c r="F1043"/>
      <c r="G1043"/>
      <c r="H1043"/>
      <c r="I1043"/>
      <c r="J1043"/>
      <c r="K1043"/>
      <c r="L1043"/>
    </row>
    <row r="1044" spans="1:12" ht="15" x14ac:dyDescent="0.25">
      <c r="A1044"/>
      <c r="B1044"/>
      <c r="C1044"/>
      <c r="D1044"/>
      <c r="E1044"/>
      <c r="F1044"/>
      <c r="G1044"/>
      <c r="H1044"/>
      <c r="I1044"/>
      <c r="J1044"/>
      <c r="K1044"/>
      <c r="L1044"/>
    </row>
    <row r="1045" spans="1:12" ht="15" x14ac:dyDescent="0.25">
      <c r="A1045"/>
      <c r="B1045"/>
      <c r="C1045"/>
      <c r="D1045"/>
      <c r="E1045"/>
      <c r="F1045"/>
      <c r="G1045"/>
      <c r="H1045"/>
      <c r="I1045"/>
      <c r="J1045"/>
      <c r="K1045"/>
      <c r="L1045"/>
    </row>
    <row r="1046" spans="1:12" ht="15" x14ac:dyDescent="0.25">
      <c r="A1046"/>
      <c r="B1046"/>
      <c r="C1046"/>
      <c r="D1046"/>
      <c r="E1046"/>
      <c r="F1046"/>
      <c r="G1046"/>
      <c r="H1046"/>
      <c r="I1046"/>
      <c r="J1046"/>
      <c r="K1046"/>
      <c r="L1046"/>
    </row>
    <row r="1047" spans="1:12" ht="15" x14ac:dyDescent="0.25">
      <c r="A1047"/>
      <c r="B1047"/>
      <c r="C1047"/>
      <c r="D1047"/>
      <c r="E1047"/>
      <c r="F1047"/>
      <c r="G1047"/>
      <c r="H1047"/>
      <c r="I1047"/>
      <c r="J1047"/>
      <c r="K1047"/>
      <c r="L1047"/>
    </row>
    <row r="1048" spans="1:12" ht="15" x14ac:dyDescent="0.25">
      <c r="A1048"/>
      <c r="B1048"/>
      <c r="C1048"/>
      <c r="D1048"/>
      <c r="E1048"/>
      <c r="F1048"/>
      <c r="G1048"/>
      <c r="H1048"/>
      <c r="I1048"/>
      <c r="J1048"/>
      <c r="K1048"/>
      <c r="L1048"/>
    </row>
    <row r="1049" spans="1:12" ht="15" x14ac:dyDescent="0.25">
      <c r="A1049"/>
      <c r="B1049"/>
      <c r="C1049"/>
      <c r="D1049"/>
      <c r="E1049"/>
      <c r="F1049"/>
      <c r="G1049"/>
      <c r="H1049"/>
      <c r="I1049"/>
      <c r="J1049"/>
      <c r="K1049"/>
      <c r="L1049"/>
    </row>
    <row r="1050" spans="1:12" ht="15" x14ac:dyDescent="0.25">
      <c r="A1050"/>
      <c r="B1050"/>
      <c r="C1050"/>
      <c r="D1050"/>
      <c r="E1050"/>
      <c r="F1050"/>
      <c r="G1050"/>
      <c r="H1050"/>
      <c r="I1050"/>
      <c r="J1050"/>
      <c r="K1050"/>
      <c r="L1050"/>
    </row>
    <row r="1051" spans="1:12" ht="15" x14ac:dyDescent="0.25">
      <c r="A1051"/>
      <c r="B1051"/>
      <c r="C1051"/>
      <c r="D1051"/>
      <c r="E1051"/>
      <c r="F1051"/>
      <c r="G1051"/>
      <c r="H1051"/>
      <c r="I1051"/>
      <c r="J1051"/>
      <c r="K1051"/>
      <c r="L1051"/>
    </row>
    <row r="1052" spans="1:12" ht="15" x14ac:dyDescent="0.25">
      <c r="A1052"/>
      <c r="B1052"/>
      <c r="C1052"/>
      <c r="D1052"/>
      <c r="E1052"/>
      <c r="F1052"/>
      <c r="G1052"/>
      <c r="H1052"/>
      <c r="I1052"/>
      <c r="J1052"/>
      <c r="K1052"/>
      <c r="L1052"/>
    </row>
    <row r="1053" spans="1:12" ht="15" x14ac:dyDescent="0.25">
      <c r="A1053"/>
      <c r="B1053"/>
      <c r="C1053"/>
      <c r="D1053"/>
      <c r="E1053"/>
      <c r="F1053"/>
      <c r="G1053"/>
      <c r="H1053"/>
      <c r="I1053"/>
      <c r="J1053"/>
      <c r="K1053"/>
      <c r="L1053"/>
    </row>
    <row r="1054" spans="1:12" ht="15" x14ac:dyDescent="0.25">
      <c r="A1054"/>
      <c r="B1054"/>
      <c r="C1054"/>
      <c r="D1054"/>
      <c r="E1054"/>
      <c r="F1054"/>
      <c r="G1054"/>
      <c r="H1054"/>
      <c r="I1054"/>
      <c r="J1054"/>
      <c r="K1054"/>
      <c r="L1054"/>
    </row>
    <row r="1055" spans="1:12" ht="15" x14ac:dyDescent="0.25">
      <c r="A1055"/>
      <c r="B1055"/>
      <c r="C1055"/>
      <c r="D1055"/>
      <c r="E1055"/>
      <c r="F1055"/>
      <c r="G1055"/>
      <c r="H1055"/>
      <c r="I1055"/>
      <c r="J1055"/>
      <c r="K1055"/>
      <c r="L1055"/>
    </row>
    <row r="1056" spans="1:12" ht="15" x14ac:dyDescent="0.25">
      <c r="A1056"/>
      <c r="B1056"/>
      <c r="C1056"/>
      <c r="D1056"/>
      <c r="E1056"/>
      <c r="F1056"/>
      <c r="G1056"/>
      <c r="H1056"/>
      <c r="I1056"/>
      <c r="J1056"/>
      <c r="K1056"/>
      <c r="L1056"/>
    </row>
    <row r="1057" spans="1:12" ht="15" x14ac:dyDescent="0.25">
      <c r="A1057"/>
      <c r="B1057"/>
      <c r="C1057"/>
      <c r="D1057"/>
      <c r="E1057"/>
      <c r="F1057"/>
      <c r="G1057"/>
      <c r="H1057"/>
      <c r="I1057"/>
      <c r="J1057"/>
      <c r="K1057"/>
      <c r="L1057"/>
    </row>
    <row r="1058" spans="1:12" ht="15" x14ac:dyDescent="0.25">
      <c r="A1058"/>
      <c r="B1058"/>
      <c r="C1058"/>
      <c r="D1058"/>
      <c r="E1058"/>
      <c r="F1058"/>
      <c r="G1058"/>
      <c r="H1058"/>
      <c r="I1058"/>
      <c r="J1058"/>
      <c r="K1058"/>
      <c r="L1058"/>
    </row>
    <row r="1059" spans="1:12" ht="15" x14ac:dyDescent="0.25">
      <c r="A1059"/>
      <c r="B1059"/>
      <c r="C1059"/>
      <c r="D1059"/>
      <c r="E1059"/>
      <c r="F1059"/>
      <c r="G1059"/>
      <c r="H1059"/>
      <c r="I1059"/>
      <c r="J1059"/>
      <c r="K1059"/>
      <c r="L1059"/>
    </row>
    <row r="1060" spans="1:12" ht="15" x14ac:dyDescent="0.25">
      <c r="A1060"/>
      <c r="B1060"/>
      <c r="C1060"/>
      <c r="D1060"/>
      <c r="E1060"/>
      <c r="F1060"/>
      <c r="G1060"/>
      <c r="H1060"/>
      <c r="I1060"/>
      <c r="J1060"/>
      <c r="K1060"/>
      <c r="L1060"/>
    </row>
    <row r="1061" spans="1:12" ht="15" x14ac:dyDescent="0.25">
      <c r="A1061"/>
      <c r="B1061"/>
      <c r="C1061"/>
      <c r="D1061"/>
      <c r="E1061"/>
      <c r="F1061"/>
      <c r="G1061"/>
      <c r="H1061"/>
      <c r="I1061"/>
      <c r="J1061"/>
      <c r="K1061"/>
      <c r="L1061"/>
    </row>
    <row r="1062" spans="1:12" ht="15" x14ac:dyDescent="0.25">
      <c r="A1062"/>
      <c r="B1062"/>
      <c r="C1062"/>
      <c r="D1062"/>
      <c r="E1062"/>
      <c r="F1062"/>
      <c r="G1062"/>
      <c r="H1062"/>
      <c r="I1062"/>
      <c r="J1062"/>
      <c r="K1062"/>
      <c r="L1062"/>
    </row>
    <row r="1063" spans="1:12" ht="15" x14ac:dyDescent="0.25">
      <c r="A1063"/>
      <c r="B1063"/>
      <c r="C1063"/>
      <c r="D1063"/>
      <c r="E1063"/>
      <c r="F1063"/>
      <c r="G1063"/>
      <c r="H1063"/>
      <c r="I1063"/>
      <c r="J1063"/>
      <c r="K1063"/>
      <c r="L1063"/>
    </row>
    <row r="1064" spans="1:12" ht="15" x14ac:dyDescent="0.25">
      <c r="A1064"/>
      <c r="B1064"/>
      <c r="C1064"/>
      <c r="D1064"/>
      <c r="E1064"/>
      <c r="F1064"/>
      <c r="G1064"/>
      <c r="H1064"/>
      <c r="I1064"/>
      <c r="J1064"/>
      <c r="K1064"/>
      <c r="L1064"/>
    </row>
    <row r="1065" spans="1:12" ht="15" x14ac:dyDescent="0.25">
      <c r="A1065"/>
      <c r="B1065"/>
      <c r="C1065"/>
      <c r="D1065"/>
      <c r="E1065"/>
      <c r="F1065"/>
      <c r="G1065"/>
      <c r="H1065"/>
      <c r="I1065"/>
      <c r="J1065"/>
      <c r="K1065"/>
      <c r="L1065"/>
    </row>
    <row r="1066" spans="1:12" ht="15" x14ac:dyDescent="0.25">
      <c r="A1066"/>
      <c r="B1066"/>
      <c r="C1066"/>
      <c r="D1066"/>
      <c r="E1066"/>
      <c r="F1066"/>
      <c r="G1066"/>
      <c r="H1066"/>
      <c r="I1066"/>
      <c r="J1066"/>
      <c r="K1066"/>
      <c r="L1066"/>
    </row>
    <row r="1067" spans="1:12" ht="15" x14ac:dyDescent="0.25">
      <c r="A1067"/>
      <c r="B1067"/>
      <c r="C1067"/>
      <c r="D1067"/>
      <c r="E1067"/>
      <c r="F1067"/>
      <c r="G1067"/>
      <c r="H1067"/>
      <c r="I1067"/>
      <c r="J1067"/>
      <c r="K1067"/>
      <c r="L1067"/>
    </row>
    <row r="1068" spans="1:12" ht="15" x14ac:dyDescent="0.25">
      <c r="A1068"/>
      <c r="B1068"/>
      <c r="C1068"/>
      <c r="D1068"/>
      <c r="E1068"/>
      <c r="F1068"/>
      <c r="G1068"/>
      <c r="H1068"/>
      <c r="I1068"/>
      <c r="J1068"/>
      <c r="K1068"/>
      <c r="L1068"/>
    </row>
    <row r="1069" spans="1:12" ht="15" x14ac:dyDescent="0.25">
      <c r="A1069"/>
      <c r="B1069"/>
      <c r="C1069"/>
      <c r="D1069"/>
      <c r="E1069"/>
      <c r="F1069"/>
      <c r="G1069"/>
      <c r="H1069"/>
      <c r="I1069"/>
      <c r="J1069"/>
      <c r="K1069"/>
      <c r="L1069"/>
    </row>
    <row r="1070" spans="1:12" ht="15" x14ac:dyDescent="0.25">
      <c r="A1070"/>
      <c r="B1070"/>
      <c r="C1070"/>
      <c r="D1070"/>
      <c r="E1070"/>
      <c r="F1070"/>
      <c r="G1070"/>
      <c r="H1070"/>
      <c r="I1070"/>
      <c r="J1070"/>
      <c r="K1070"/>
      <c r="L1070"/>
    </row>
    <row r="1071" spans="1:12" ht="15" x14ac:dyDescent="0.25">
      <c r="A1071"/>
      <c r="B1071"/>
      <c r="C1071"/>
      <c r="D1071"/>
      <c r="E1071"/>
      <c r="F1071"/>
      <c r="G1071"/>
      <c r="H1071"/>
      <c r="I1071"/>
      <c r="J1071"/>
      <c r="K1071"/>
      <c r="L1071"/>
    </row>
    <row r="1072" spans="1:12" ht="15" x14ac:dyDescent="0.25">
      <c r="A1072"/>
      <c r="B1072"/>
      <c r="C1072"/>
      <c r="D1072"/>
      <c r="E1072"/>
      <c r="F1072"/>
      <c r="G1072"/>
      <c r="H1072"/>
      <c r="I1072"/>
      <c r="J1072"/>
      <c r="K1072"/>
      <c r="L1072"/>
    </row>
    <row r="1073" spans="1:12" ht="15" x14ac:dyDescent="0.25">
      <c r="A1073"/>
      <c r="B1073"/>
      <c r="C1073"/>
      <c r="D1073"/>
      <c r="E1073"/>
      <c r="F1073"/>
      <c r="G1073"/>
      <c r="H1073"/>
      <c r="I1073"/>
      <c r="J1073"/>
      <c r="K1073"/>
      <c r="L1073"/>
    </row>
    <row r="1074" spans="1:12" ht="15" x14ac:dyDescent="0.25">
      <c r="A1074"/>
      <c r="B1074"/>
      <c r="C1074"/>
      <c r="D1074"/>
      <c r="E1074"/>
      <c r="F1074"/>
      <c r="G1074"/>
      <c r="H1074"/>
      <c r="I1074"/>
      <c r="J1074"/>
      <c r="K1074"/>
      <c r="L1074"/>
    </row>
    <row r="1075" spans="1:12" ht="15" x14ac:dyDescent="0.25">
      <c r="A1075"/>
      <c r="B1075"/>
      <c r="C1075"/>
      <c r="D1075"/>
      <c r="E1075"/>
      <c r="F1075"/>
      <c r="G1075"/>
      <c r="H1075"/>
      <c r="I1075"/>
      <c r="J1075"/>
      <c r="K1075"/>
      <c r="L1075"/>
    </row>
    <row r="1076" spans="1:12" ht="15" x14ac:dyDescent="0.25">
      <c r="A1076"/>
      <c r="B1076"/>
      <c r="C1076"/>
      <c r="D1076"/>
      <c r="E1076"/>
      <c r="F1076"/>
      <c r="G1076"/>
      <c r="H1076"/>
      <c r="I1076"/>
      <c r="J1076"/>
      <c r="K1076"/>
      <c r="L1076"/>
    </row>
    <row r="1077" spans="1:12" ht="15" x14ac:dyDescent="0.25">
      <c r="A1077"/>
      <c r="B1077"/>
      <c r="C1077"/>
      <c r="D1077"/>
      <c r="E1077"/>
      <c r="F1077"/>
      <c r="G1077"/>
      <c r="H1077"/>
      <c r="I1077"/>
      <c r="J1077"/>
      <c r="K1077"/>
      <c r="L1077"/>
    </row>
    <row r="1078" spans="1:12" ht="15" x14ac:dyDescent="0.25">
      <c r="A1078"/>
      <c r="B1078"/>
      <c r="C1078"/>
      <c r="D1078"/>
      <c r="E1078"/>
      <c r="F1078"/>
      <c r="G1078"/>
      <c r="H1078"/>
      <c r="I1078"/>
      <c r="J1078"/>
      <c r="K1078"/>
      <c r="L1078"/>
    </row>
    <row r="1079" spans="1:12" ht="15" x14ac:dyDescent="0.25">
      <c r="A1079"/>
      <c r="B1079"/>
      <c r="C1079"/>
      <c r="D1079"/>
      <c r="E1079"/>
      <c r="F1079"/>
      <c r="G1079"/>
      <c r="H1079"/>
      <c r="I1079"/>
      <c r="J1079"/>
      <c r="K1079"/>
      <c r="L1079"/>
    </row>
    <row r="1080" spans="1:12" ht="15" x14ac:dyDescent="0.25">
      <c r="A1080"/>
      <c r="B1080"/>
      <c r="C1080"/>
      <c r="D1080"/>
      <c r="E1080"/>
      <c r="F1080"/>
      <c r="G1080"/>
      <c r="H1080"/>
      <c r="I1080"/>
      <c r="J1080"/>
      <c r="K1080"/>
      <c r="L1080"/>
    </row>
    <row r="1081" spans="1:12" ht="15" x14ac:dyDescent="0.25">
      <c r="A1081"/>
      <c r="B1081"/>
      <c r="C1081"/>
      <c r="D1081"/>
      <c r="E1081"/>
      <c r="F1081"/>
      <c r="G1081"/>
      <c r="H1081"/>
      <c r="I1081"/>
      <c r="J1081"/>
      <c r="K1081"/>
      <c r="L1081"/>
    </row>
    <row r="1082" spans="1:12" ht="15" x14ac:dyDescent="0.25">
      <c r="A1082"/>
      <c r="B1082"/>
      <c r="C1082"/>
      <c r="D1082"/>
      <c r="E1082"/>
      <c r="F1082"/>
      <c r="G1082"/>
      <c r="H1082"/>
      <c r="I1082"/>
      <c r="J1082"/>
      <c r="K1082"/>
      <c r="L1082"/>
    </row>
    <row r="1083" spans="1:12" ht="15" x14ac:dyDescent="0.25">
      <c r="A1083"/>
      <c r="B1083"/>
      <c r="C1083"/>
      <c r="D1083"/>
      <c r="E1083"/>
      <c r="F1083"/>
      <c r="G1083"/>
      <c r="H1083"/>
      <c r="I1083"/>
      <c r="J1083"/>
      <c r="K1083"/>
      <c r="L1083"/>
    </row>
    <row r="1084" spans="1:12" ht="15" x14ac:dyDescent="0.25">
      <c r="A1084"/>
      <c r="B1084"/>
      <c r="C1084"/>
      <c r="D1084"/>
      <c r="E1084"/>
      <c r="F1084"/>
      <c r="G1084"/>
      <c r="H1084"/>
      <c r="I1084"/>
      <c r="J1084"/>
      <c r="K1084"/>
      <c r="L1084"/>
    </row>
    <row r="1085" spans="1:12" ht="15" x14ac:dyDescent="0.25">
      <c r="A1085"/>
      <c r="B1085"/>
      <c r="C1085"/>
      <c r="D1085"/>
      <c r="E1085"/>
      <c r="F1085"/>
      <c r="G1085"/>
      <c r="H1085"/>
      <c r="I1085"/>
      <c r="J1085"/>
      <c r="K1085"/>
      <c r="L1085"/>
    </row>
    <row r="1086" spans="1:12" ht="15" x14ac:dyDescent="0.25">
      <c r="A1086"/>
      <c r="B1086"/>
      <c r="C1086"/>
      <c r="D1086"/>
      <c r="E1086"/>
      <c r="F1086"/>
      <c r="G1086"/>
      <c r="H1086"/>
      <c r="I1086"/>
      <c r="J1086"/>
      <c r="K1086"/>
      <c r="L1086"/>
    </row>
    <row r="1087" spans="1:12" ht="15" x14ac:dyDescent="0.25">
      <c r="A1087"/>
      <c r="B1087"/>
      <c r="C1087"/>
      <c r="D1087"/>
      <c r="E1087"/>
      <c r="F1087"/>
      <c r="G1087"/>
      <c r="H1087"/>
      <c r="I1087"/>
      <c r="J1087"/>
      <c r="K1087"/>
      <c r="L1087"/>
    </row>
    <row r="1088" spans="1:12" ht="15" x14ac:dyDescent="0.25">
      <c r="A1088"/>
      <c r="B1088"/>
      <c r="C1088"/>
      <c r="D1088"/>
      <c r="E1088"/>
      <c r="F1088"/>
      <c r="G1088"/>
      <c r="H1088"/>
      <c r="I1088"/>
      <c r="J1088"/>
      <c r="K1088"/>
      <c r="L1088"/>
    </row>
    <row r="1089" spans="1:12" ht="15" x14ac:dyDescent="0.25">
      <c r="A1089"/>
      <c r="B1089"/>
      <c r="C1089"/>
      <c r="D1089"/>
      <c r="E1089"/>
      <c r="F1089"/>
      <c r="G1089"/>
      <c r="H1089"/>
      <c r="I1089"/>
      <c r="J1089"/>
      <c r="K1089"/>
      <c r="L1089"/>
    </row>
    <row r="1090" spans="1:12" ht="15" x14ac:dyDescent="0.25">
      <c r="A1090"/>
      <c r="B1090"/>
      <c r="C1090"/>
      <c r="D1090"/>
      <c r="E1090"/>
      <c r="F1090"/>
      <c r="G1090"/>
      <c r="H1090"/>
      <c r="I1090"/>
      <c r="J1090"/>
      <c r="K1090"/>
      <c r="L1090"/>
    </row>
    <row r="1091" spans="1:12" ht="15" x14ac:dyDescent="0.25">
      <c r="A1091"/>
      <c r="B1091"/>
      <c r="C1091"/>
      <c r="D1091"/>
      <c r="E1091"/>
      <c r="F1091"/>
      <c r="G1091"/>
      <c r="H1091"/>
      <c r="I1091"/>
      <c r="J1091"/>
      <c r="K1091"/>
      <c r="L1091"/>
    </row>
    <row r="1092" spans="1:12" ht="15" x14ac:dyDescent="0.25">
      <c r="A1092"/>
      <c r="B1092"/>
      <c r="C1092"/>
      <c r="D1092"/>
      <c r="E1092"/>
      <c r="F1092"/>
      <c r="G1092"/>
      <c r="H1092"/>
      <c r="I1092"/>
      <c r="J1092"/>
      <c r="K1092"/>
      <c r="L1092"/>
    </row>
    <row r="1093" spans="1:12" ht="15" x14ac:dyDescent="0.25">
      <c r="A1093"/>
      <c r="B1093"/>
      <c r="C1093"/>
      <c r="D1093"/>
      <c r="E1093"/>
      <c r="F1093"/>
      <c r="G1093"/>
      <c r="H1093"/>
      <c r="I1093"/>
      <c r="J1093"/>
      <c r="K1093"/>
      <c r="L1093"/>
    </row>
    <row r="1094" spans="1:12" ht="15" x14ac:dyDescent="0.25">
      <c r="A1094"/>
      <c r="B1094"/>
      <c r="C1094"/>
      <c r="D1094"/>
      <c r="E1094"/>
      <c r="F1094"/>
      <c r="G1094"/>
      <c r="H1094"/>
      <c r="I1094"/>
      <c r="J1094"/>
      <c r="K1094"/>
      <c r="L1094"/>
    </row>
    <row r="1095" spans="1:12" ht="15" x14ac:dyDescent="0.25">
      <c r="A1095"/>
      <c r="B1095"/>
      <c r="C1095"/>
      <c r="D1095"/>
      <c r="E1095"/>
      <c r="F1095"/>
      <c r="G1095"/>
      <c r="H1095"/>
      <c r="I1095"/>
      <c r="J1095"/>
      <c r="K1095"/>
      <c r="L1095"/>
    </row>
    <row r="1096" spans="1:12" ht="15" x14ac:dyDescent="0.25">
      <c r="A1096"/>
      <c r="B1096"/>
      <c r="C1096"/>
      <c r="D1096"/>
      <c r="E1096"/>
      <c r="F1096"/>
      <c r="G1096"/>
      <c r="H1096"/>
      <c r="I1096"/>
      <c r="J1096"/>
      <c r="K1096"/>
      <c r="L1096"/>
    </row>
    <row r="1097" spans="1:12" ht="15" x14ac:dyDescent="0.25">
      <c r="A1097"/>
      <c r="B1097"/>
      <c r="C1097"/>
      <c r="D1097"/>
      <c r="E1097"/>
      <c r="F1097"/>
      <c r="G1097"/>
      <c r="H1097"/>
      <c r="I1097"/>
      <c r="J1097"/>
      <c r="K1097"/>
      <c r="L1097"/>
    </row>
    <row r="1098" spans="1:12" ht="15" x14ac:dyDescent="0.25">
      <c r="A1098"/>
      <c r="B1098"/>
      <c r="C1098"/>
      <c r="D1098"/>
      <c r="E1098"/>
      <c r="F1098"/>
      <c r="G1098"/>
      <c r="H1098"/>
      <c r="I1098"/>
      <c r="J1098"/>
      <c r="K1098"/>
      <c r="L1098"/>
    </row>
    <row r="1099" spans="1:12" ht="15" x14ac:dyDescent="0.25">
      <c r="A1099"/>
      <c r="B1099"/>
      <c r="C1099"/>
      <c r="D1099"/>
      <c r="E1099"/>
      <c r="F1099"/>
      <c r="G1099"/>
      <c r="H1099"/>
      <c r="I1099"/>
      <c r="J1099"/>
      <c r="K1099"/>
      <c r="L1099"/>
    </row>
    <row r="1100" spans="1:12" ht="15" x14ac:dyDescent="0.25">
      <c r="A1100"/>
      <c r="B1100"/>
      <c r="C1100"/>
      <c r="D1100"/>
      <c r="E1100"/>
      <c r="F1100"/>
      <c r="G1100"/>
      <c r="H1100"/>
      <c r="I1100"/>
      <c r="J1100"/>
      <c r="K1100"/>
      <c r="L1100"/>
    </row>
    <row r="1101" spans="1:12" ht="15" x14ac:dyDescent="0.25">
      <c r="A1101"/>
      <c r="B1101"/>
      <c r="C1101"/>
      <c r="D1101"/>
      <c r="E1101"/>
      <c r="F1101"/>
      <c r="G1101"/>
      <c r="H1101"/>
      <c r="I1101"/>
      <c r="J1101"/>
      <c r="K1101"/>
      <c r="L1101"/>
    </row>
    <row r="1102" spans="1:12" ht="15" x14ac:dyDescent="0.25">
      <c r="A1102"/>
      <c r="B1102"/>
      <c r="C1102"/>
      <c r="D1102"/>
      <c r="E1102"/>
      <c r="F1102"/>
      <c r="G1102"/>
      <c r="H1102"/>
      <c r="I1102"/>
      <c r="J1102"/>
      <c r="K1102"/>
      <c r="L1102"/>
    </row>
    <row r="1103" spans="1:12" ht="15" x14ac:dyDescent="0.25">
      <c r="A1103"/>
      <c r="B1103"/>
      <c r="C1103"/>
      <c r="D1103"/>
      <c r="E1103"/>
      <c r="F1103"/>
      <c r="G1103"/>
      <c r="H1103"/>
      <c r="I1103"/>
      <c r="J1103"/>
      <c r="K1103"/>
      <c r="L1103"/>
    </row>
    <row r="1104" spans="1:12" ht="15" x14ac:dyDescent="0.25">
      <c r="A1104"/>
      <c r="B1104"/>
      <c r="C1104"/>
      <c r="D1104"/>
      <c r="E1104"/>
      <c r="F1104"/>
      <c r="G1104"/>
      <c r="H1104"/>
      <c r="I1104"/>
      <c r="J1104"/>
      <c r="K1104"/>
      <c r="L1104"/>
    </row>
    <row r="1105" spans="1:12" ht="15" x14ac:dyDescent="0.25">
      <c r="A1105"/>
      <c r="B1105"/>
      <c r="C1105"/>
      <c r="D1105"/>
      <c r="E1105"/>
      <c r="F1105"/>
      <c r="G1105"/>
      <c r="H1105"/>
      <c r="I1105"/>
      <c r="J1105"/>
      <c r="K1105"/>
      <c r="L1105"/>
    </row>
    <row r="1106" spans="1:12" ht="15" x14ac:dyDescent="0.25">
      <c r="A1106"/>
      <c r="B1106"/>
      <c r="C1106"/>
      <c r="D1106"/>
      <c r="E1106"/>
      <c r="F1106"/>
      <c r="G1106"/>
      <c r="H1106"/>
      <c r="I1106"/>
      <c r="J1106"/>
      <c r="K1106"/>
      <c r="L1106"/>
    </row>
    <row r="1107" spans="1:12" ht="15" x14ac:dyDescent="0.25">
      <c r="A1107"/>
      <c r="B1107"/>
      <c r="C1107"/>
      <c r="D1107"/>
      <c r="E1107"/>
      <c r="F1107"/>
      <c r="G1107"/>
      <c r="H1107"/>
      <c r="I1107"/>
      <c r="J1107"/>
      <c r="K1107"/>
      <c r="L1107"/>
    </row>
    <row r="1108" spans="1:12" ht="15" x14ac:dyDescent="0.25">
      <c r="A1108"/>
      <c r="B1108"/>
      <c r="C1108"/>
      <c r="D1108"/>
      <c r="E1108"/>
      <c r="F1108"/>
      <c r="G1108"/>
      <c r="H1108"/>
      <c r="I1108"/>
      <c r="J1108"/>
      <c r="K1108"/>
      <c r="L1108"/>
    </row>
    <row r="1109" spans="1:12" ht="15" x14ac:dyDescent="0.25">
      <c r="A1109"/>
      <c r="B1109"/>
      <c r="C1109"/>
      <c r="D1109"/>
      <c r="E1109"/>
      <c r="F1109"/>
      <c r="G1109"/>
      <c r="H1109"/>
      <c r="I1109"/>
      <c r="J1109"/>
      <c r="K1109"/>
      <c r="L1109"/>
    </row>
    <row r="1110" spans="1:12" ht="15" x14ac:dyDescent="0.25">
      <c r="A1110"/>
      <c r="B1110"/>
      <c r="C1110"/>
      <c r="D1110"/>
      <c r="E1110"/>
      <c r="F1110"/>
      <c r="G1110"/>
      <c r="H1110"/>
      <c r="I1110"/>
      <c r="J1110"/>
      <c r="K1110"/>
      <c r="L1110"/>
    </row>
    <row r="1111" spans="1:12" ht="15" x14ac:dyDescent="0.25">
      <c r="A1111"/>
      <c r="B1111"/>
      <c r="C1111"/>
      <c r="D1111"/>
      <c r="E1111"/>
      <c r="F1111"/>
      <c r="G1111"/>
      <c r="H1111"/>
      <c r="I1111"/>
      <c r="J1111"/>
      <c r="K1111"/>
      <c r="L1111"/>
    </row>
    <row r="1112" spans="1:12" ht="15" x14ac:dyDescent="0.25">
      <c r="A1112"/>
      <c r="B1112"/>
      <c r="C1112"/>
      <c r="D1112"/>
      <c r="E1112"/>
      <c r="F1112"/>
      <c r="G1112"/>
      <c r="H1112"/>
      <c r="I1112"/>
      <c r="J1112"/>
      <c r="K1112"/>
      <c r="L1112"/>
    </row>
    <row r="1113" spans="1:12" ht="15" x14ac:dyDescent="0.25">
      <c r="A1113"/>
      <c r="B1113"/>
      <c r="C1113"/>
      <c r="D1113"/>
      <c r="E1113"/>
      <c r="F1113"/>
      <c r="G1113"/>
      <c r="H1113"/>
      <c r="I1113"/>
      <c r="J1113"/>
      <c r="K1113"/>
      <c r="L1113"/>
    </row>
    <row r="1114" spans="1:12" ht="15" x14ac:dyDescent="0.25">
      <c r="A1114"/>
      <c r="B1114"/>
      <c r="C1114"/>
      <c r="D1114"/>
      <c r="E1114"/>
      <c r="F1114"/>
      <c r="G1114"/>
      <c r="H1114"/>
      <c r="I1114"/>
      <c r="J1114"/>
      <c r="K1114"/>
      <c r="L1114"/>
    </row>
    <row r="1115" spans="1:12" ht="15" x14ac:dyDescent="0.25">
      <c r="A1115"/>
      <c r="B1115"/>
      <c r="C1115"/>
      <c r="D1115"/>
      <c r="E1115"/>
      <c r="F1115"/>
      <c r="G1115"/>
      <c r="H1115"/>
      <c r="I1115"/>
      <c r="J1115"/>
      <c r="K1115"/>
      <c r="L1115"/>
    </row>
    <row r="1116" spans="1:12" ht="15" x14ac:dyDescent="0.25">
      <c r="A1116"/>
      <c r="B1116"/>
      <c r="C1116"/>
      <c r="D1116"/>
      <c r="E1116"/>
      <c r="F1116"/>
      <c r="G1116"/>
      <c r="H1116"/>
      <c r="I1116"/>
      <c r="J1116"/>
      <c r="K1116"/>
      <c r="L1116"/>
    </row>
    <row r="1117" spans="1:12" ht="15" x14ac:dyDescent="0.25">
      <c r="A1117"/>
      <c r="B1117"/>
      <c r="C1117"/>
      <c r="D1117"/>
      <c r="E1117"/>
      <c r="F1117"/>
      <c r="G1117"/>
      <c r="H1117"/>
      <c r="I1117"/>
      <c r="J1117"/>
      <c r="K1117"/>
      <c r="L1117"/>
    </row>
    <row r="1118" spans="1:12" ht="15" x14ac:dyDescent="0.25">
      <c r="A1118"/>
      <c r="B1118"/>
      <c r="C1118"/>
      <c r="D1118"/>
      <c r="E1118"/>
      <c r="F1118"/>
      <c r="G1118"/>
      <c r="H1118"/>
      <c r="I1118"/>
      <c r="J1118"/>
      <c r="K1118"/>
      <c r="L1118"/>
    </row>
    <row r="1119" spans="1:12" ht="15" x14ac:dyDescent="0.25">
      <c r="A1119"/>
      <c r="B1119"/>
      <c r="C1119"/>
      <c r="D1119"/>
      <c r="E1119"/>
      <c r="F1119"/>
      <c r="G1119"/>
      <c r="H1119"/>
      <c r="I1119"/>
      <c r="J1119"/>
      <c r="K1119"/>
      <c r="L1119"/>
    </row>
    <row r="1120" spans="1:12" ht="15" x14ac:dyDescent="0.25">
      <c r="A1120"/>
      <c r="B1120"/>
      <c r="C1120"/>
      <c r="D1120"/>
      <c r="E1120"/>
      <c r="F1120"/>
      <c r="G1120"/>
      <c r="H1120"/>
      <c r="I1120"/>
      <c r="J1120"/>
      <c r="K1120"/>
      <c r="L1120"/>
    </row>
    <row r="1121" spans="1:12" ht="15" x14ac:dyDescent="0.25">
      <c r="A1121"/>
      <c r="B1121"/>
      <c r="C1121"/>
      <c r="D1121"/>
      <c r="E1121"/>
      <c r="F1121"/>
      <c r="G1121"/>
      <c r="H1121"/>
      <c r="I1121"/>
      <c r="J1121"/>
      <c r="K1121"/>
      <c r="L1121"/>
    </row>
    <row r="1122" spans="1:12" ht="15" x14ac:dyDescent="0.25">
      <c r="A1122"/>
      <c r="B1122"/>
      <c r="C1122"/>
      <c r="D1122"/>
      <c r="E1122"/>
      <c r="F1122"/>
      <c r="G1122"/>
      <c r="H1122"/>
      <c r="I1122"/>
      <c r="J1122"/>
      <c r="K1122"/>
      <c r="L1122"/>
    </row>
    <row r="1123" spans="1:12" ht="15" x14ac:dyDescent="0.25">
      <c r="A1123"/>
      <c r="B1123"/>
      <c r="C1123"/>
      <c r="D1123"/>
      <c r="E1123"/>
      <c r="F1123"/>
      <c r="G1123"/>
      <c r="H1123"/>
      <c r="I1123"/>
      <c r="J1123"/>
      <c r="K1123"/>
      <c r="L1123"/>
    </row>
    <row r="1124" spans="1:12" ht="15" x14ac:dyDescent="0.25">
      <c r="A1124"/>
      <c r="B1124"/>
      <c r="C1124"/>
      <c r="D1124"/>
      <c r="E1124"/>
      <c r="F1124"/>
      <c r="G1124"/>
      <c r="H1124"/>
      <c r="I1124"/>
      <c r="J1124"/>
      <c r="K1124"/>
      <c r="L1124"/>
    </row>
    <row r="1125" spans="1:12" ht="15" x14ac:dyDescent="0.25">
      <c r="A1125"/>
      <c r="B1125"/>
      <c r="C1125"/>
      <c r="D1125"/>
      <c r="E1125"/>
      <c r="F1125"/>
      <c r="G1125"/>
      <c r="H1125"/>
      <c r="I1125"/>
      <c r="J1125"/>
      <c r="K1125"/>
      <c r="L1125"/>
    </row>
    <row r="1126" spans="1:12" ht="15" x14ac:dyDescent="0.25">
      <c r="A1126"/>
      <c r="B1126"/>
      <c r="C1126"/>
      <c r="D1126"/>
      <c r="E1126"/>
      <c r="F1126"/>
      <c r="G1126"/>
      <c r="H1126"/>
      <c r="I1126"/>
      <c r="J1126"/>
      <c r="K1126"/>
      <c r="L1126"/>
    </row>
    <row r="1127" spans="1:12" ht="15" x14ac:dyDescent="0.25">
      <c r="A1127"/>
      <c r="B1127"/>
      <c r="C1127"/>
      <c r="D1127"/>
      <c r="E1127"/>
      <c r="F1127"/>
      <c r="G1127"/>
      <c r="H1127"/>
      <c r="I1127"/>
      <c r="J1127"/>
      <c r="K1127"/>
      <c r="L1127"/>
    </row>
    <row r="1128" spans="1:12" ht="15" x14ac:dyDescent="0.25">
      <c r="A1128"/>
      <c r="B1128"/>
      <c r="C1128"/>
      <c r="D1128"/>
      <c r="E1128"/>
      <c r="F1128"/>
      <c r="G1128"/>
      <c r="H1128"/>
      <c r="I1128"/>
      <c r="J1128"/>
      <c r="K1128"/>
      <c r="L1128"/>
    </row>
    <row r="1129" spans="1:12" ht="15" x14ac:dyDescent="0.25">
      <c r="A1129"/>
      <c r="B1129"/>
      <c r="C1129"/>
      <c r="D1129"/>
      <c r="E1129"/>
      <c r="F1129"/>
      <c r="G1129"/>
      <c r="H1129"/>
      <c r="I1129"/>
      <c r="J1129"/>
      <c r="K1129"/>
      <c r="L1129"/>
    </row>
    <row r="1130" spans="1:12" ht="15" x14ac:dyDescent="0.25">
      <c r="A1130"/>
      <c r="B1130"/>
      <c r="C1130"/>
      <c r="D1130"/>
      <c r="E1130"/>
      <c r="F1130"/>
      <c r="G1130"/>
      <c r="H1130"/>
      <c r="I1130"/>
      <c r="J1130"/>
      <c r="K1130"/>
      <c r="L1130"/>
    </row>
    <row r="1131" spans="1:12" ht="15" x14ac:dyDescent="0.25">
      <c r="A1131"/>
      <c r="B1131"/>
      <c r="C1131"/>
      <c r="D1131"/>
      <c r="E1131"/>
      <c r="F1131"/>
      <c r="G1131"/>
      <c r="H1131"/>
      <c r="I1131"/>
      <c r="J1131"/>
      <c r="K1131"/>
      <c r="L1131"/>
    </row>
    <row r="1132" spans="1:12" ht="15" x14ac:dyDescent="0.25">
      <c r="A1132"/>
      <c r="B1132"/>
      <c r="C1132"/>
      <c r="D1132"/>
      <c r="E1132"/>
      <c r="F1132"/>
      <c r="G1132"/>
      <c r="H1132"/>
      <c r="I1132"/>
      <c r="J1132"/>
      <c r="K1132"/>
      <c r="L1132"/>
    </row>
    <row r="1133" spans="1:12" ht="15" x14ac:dyDescent="0.25">
      <c r="A1133"/>
      <c r="B1133"/>
      <c r="C1133"/>
      <c r="D1133"/>
      <c r="E1133"/>
      <c r="F1133"/>
      <c r="G1133"/>
      <c r="H1133"/>
      <c r="I1133"/>
      <c r="J1133"/>
      <c r="K1133"/>
      <c r="L1133"/>
    </row>
    <row r="1134" spans="1:12" ht="15" x14ac:dyDescent="0.25">
      <c r="A1134"/>
      <c r="B1134"/>
      <c r="C1134"/>
      <c r="D1134"/>
      <c r="E1134"/>
      <c r="F1134"/>
      <c r="G1134"/>
      <c r="H1134"/>
      <c r="I1134"/>
      <c r="J1134"/>
      <c r="K1134"/>
      <c r="L1134"/>
    </row>
    <row r="1135" spans="1:12" ht="15" x14ac:dyDescent="0.25">
      <c r="A1135"/>
      <c r="B1135"/>
      <c r="C1135"/>
      <c r="D1135"/>
      <c r="E1135"/>
      <c r="F1135"/>
      <c r="G1135"/>
      <c r="H1135"/>
      <c r="I1135"/>
      <c r="J1135"/>
      <c r="K1135"/>
      <c r="L1135"/>
    </row>
    <row r="1136" spans="1:12" ht="15" x14ac:dyDescent="0.25">
      <c r="A1136"/>
      <c r="B1136"/>
      <c r="C1136"/>
      <c r="D1136"/>
      <c r="E1136"/>
      <c r="F1136"/>
      <c r="G1136"/>
      <c r="H1136"/>
      <c r="I1136"/>
      <c r="J1136"/>
      <c r="K1136"/>
      <c r="L1136"/>
    </row>
    <row r="1137" spans="1:12" ht="15" x14ac:dyDescent="0.25">
      <c r="A1137"/>
      <c r="B1137"/>
      <c r="C1137"/>
      <c r="D1137"/>
      <c r="E1137"/>
      <c r="F1137"/>
      <c r="G1137"/>
      <c r="H1137"/>
      <c r="I1137"/>
      <c r="J1137"/>
      <c r="K1137"/>
      <c r="L1137"/>
    </row>
    <row r="1138" spans="1:12" ht="15" x14ac:dyDescent="0.25">
      <c r="A1138"/>
      <c r="B1138"/>
      <c r="C1138"/>
      <c r="D1138"/>
      <c r="E1138"/>
      <c r="F1138"/>
      <c r="G1138"/>
      <c r="H1138"/>
      <c r="I1138"/>
      <c r="J1138"/>
      <c r="K1138"/>
      <c r="L1138"/>
    </row>
    <row r="1139" spans="1:12" ht="15" x14ac:dyDescent="0.25">
      <c r="A1139"/>
      <c r="B1139"/>
      <c r="C1139"/>
      <c r="D1139"/>
      <c r="E1139"/>
      <c r="F1139"/>
      <c r="G1139"/>
      <c r="H1139"/>
      <c r="I1139"/>
      <c r="J1139"/>
      <c r="K1139"/>
      <c r="L1139"/>
    </row>
    <row r="1140" spans="1:12" ht="15" x14ac:dyDescent="0.25">
      <c r="A1140"/>
      <c r="B1140"/>
      <c r="C1140"/>
      <c r="D1140"/>
      <c r="E1140"/>
      <c r="F1140"/>
      <c r="G1140"/>
      <c r="H1140"/>
      <c r="I1140"/>
      <c r="J1140"/>
      <c r="K1140"/>
      <c r="L1140"/>
    </row>
    <row r="1141" spans="1:12" ht="15" x14ac:dyDescent="0.25">
      <c r="A1141"/>
      <c r="B1141"/>
      <c r="C1141"/>
      <c r="D1141"/>
      <c r="E1141"/>
      <c r="F1141"/>
      <c r="G1141"/>
      <c r="H1141"/>
      <c r="I1141"/>
      <c r="J1141"/>
      <c r="K1141"/>
      <c r="L1141"/>
    </row>
    <row r="1142" spans="1:12" ht="15" x14ac:dyDescent="0.25">
      <c r="A1142"/>
      <c r="B1142"/>
      <c r="C1142"/>
      <c r="D1142"/>
      <c r="E1142"/>
      <c r="F1142"/>
      <c r="G1142"/>
      <c r="H1142"/>
      <c r="I1142"/>
      <c r="J1142"/>
      <c r="K1142"/>
      <c r="L1142"/>
    </row>
    <row r="1143" spans="1:12" ht="15" x14ac:dyDescent="0.25">
      <c r="A1143"/>
      <c r="B1143"/>
      <c r="C1143"/>
      <c r="D1143"/>
      <c r="E1143"/>
      <c r="F1143"/>
      <c r="G1143"/>
      <c r="H1143"/>
      <c r="I1143"/>
      <c r="J1143"/>
      <c r="K1143"/>
      <c r="L1143"/>
    </row>
    <row r="1144" spans="1:12" ht="15" x14ac:dyDescent="0.25">
      <c r="A1144"/>
      <c r="B1144"/>
      <c r="C1144"/>
      <c r="D1144"/>
      <c r="E1144"/>
      <c r="F1144"/>
      <c r="G1144"/>
      <c r="H1144"/>
      <c r="I1144"/>
      <c r="J1144"/>
      <c r="K1144"/>
      <c r="L1144"/>
    </row>
    <row r="1145" spans="1:12" ht="15" x14ac:dyDescent="0.25">
      <c r="A1145"/>
      <c r="B1145"/>
      <c r="C1145"/>
      <c r="D1145"/>
      <c r="E1145"/>
      <c r="F1145"/>
      <c r="G1145"/>
      <c r="H1145"/>
      <c r="I1145"/>
      <c r="J1145"/>
      <c r="K1145"/>
      <c r="L1145"/>
    </row>
    <row r="1146" spans="1:12" ht="15" x14ac:dyDescent="0.25">
      <c r="A1146"/>
      <c r="B1146"/>
      <c r="C1146"/>
      <c r="D1146"/>
      <c r="E1146"/>
      <c r="F1146"/>
      <c r="G1146"/>
      <c r="H1146"/>
      <c r="I1146"/>
      <c r="J1146"/>
      <c r="K1146"/>
      <c r="L1146"/>
    </row>
    <row r="1147" spans="1:12" ht="15" x14ac:dyDescent="0.25">
      <c r="A1147"/>
      <c r="B1147"/>
      <c r="C1147"/>
      <c r="D1147"/>
      <c r="E1147"/>
      <c r="F1147"/>
      <c r="G1147"/>
      <c r="H1147"/>
      <c r="I1147"/>
      <c r="J1147"/>
      <c r="K1147"/>
      <c r="L1147"/>
    </row>
    <row r="1148" spans="1:12" ht="15" x14ac:dyDescent="0.25">
      <c r="A1148"/>
      <c r="B1148"/>
      <c r="C1148"/>
      <c r="D1148"/>
      <c r="E1148"/>
      <c r="F1148"/>
      <c r="G1148"/>
      <c r="H1148"/>
      <c r="I1148"/>
      <c r="J1148"/>
      <c r="K1148"/>
      <c r="L1148"/>
    </row>
    <row r="1149" spans="1:12" ht="15" x14ac:dyDescent="0.25">
      <c r="A1149"/>
      <c r="B1149"/>
      <c r="C1149"/>
      <c r="D1149"/>
      <c r="E1149"/>
      <c r="F1149"/>
      <c r="G1149"/>
      <c r="H1149"/>
      <c r="I1149"/>
      <c r="J1149"/>
      <c r="K1149"/>
      <c r="L1149"/>
    </row>
    <row r="1150" spans="1:12" ht="15" x14ac:dyDescent="0.25">
      <c r="A1150"/>
      <c r="B1150"/>
      <c r="C1150"/>
      <c r="D1150"/>
      <c r="E1150"/>
      <c r="F1150"/>
      <c r="G1150"/>
      <c r="H1150"/>
      <c r="I1150"/>
      <c r="J1150"/>
      <c r="K1150"/>
      <c r="L1150"/>
    </row>
    <row r="1151" spans="1:12" ht="15" x14ac:dyDescent="0.25">
      <c r="A1151"/>
      <c r="B1151"/>
      <c r="C1151"/>
      <c r="D1151"/>
      <c r="E1151"/>
      <c r="F1151"/>
      <c r="G1151"/>
      <c r="H1151"/>
      <c r="I1151"/>
      <c r="J1151"/>
      <c r="K1151"/>
      <c r="L1151"/>
    </row>
    <row r="1152" spans="1:12" ht="15" x14ac:dyDescent="0.25">
      <c r="A1152"/>
      <c r="B1152"/>
      <c r="C1152"/>
      <c r="D1152"/>
      <c r="E1152"/>
      <c r="F1152"/>
      <c r="G1152"/>
      <c r="H1152"/>
      <c r="I1152"/>
      <c r="J1152"/>
      <c r="K1152"/>
      <c r="L1152"/>
    </row>
    <row r="1153" spans="1:12" ht="15" x14ac:dyDescent="0.25">
      <c r="A1153"/>
      <c r="B1153"/>
      <c r="C1153"/>
      <c r="D1153"/>
      <c r="E1153"/>
      <c r="F1153"/>
      <c r="G1153"/>
      <c r="H1153"/>
      <c r="I1153"/>
      <c r="J1153"/>
      <c r="K1153"/>
      <c r="L1153"/>
    </row>
    <row r="1154" spans="1:12" ht="15" x14ac:dyDescent="0.25">
      <c r="A1154"/>
      <c r="B1154"/>
      <c r="C1154"/>
      <c r="D1154"/>
      <c r="E1154"/>
      <c r="F1154"/>
      <c r="G1154"/>
      <c r="H1154"/>
      <c r="I1154"/>
      <c r="J1154"/>
      <c r="K1154"/>
      <c r="L1154"/>
    </row>
    <row r="1155" spans="1:12" ht="15" x14ac:dyDescent="0.25">
      <c r="A1155"/>
      <c r="B1155"/>
      <c r="C1155"/>
      <c r="D1155"/>
      <c r="E1155"/>
      <c r="F1155"/>
      <c r="G1155"/>
      <c r="H1155"/>
      <c r="I1155"/>
      <c r="J1155"/>
      <c r="K1155"/>
      <c r="L1155"/>
    </row>
    <row r="1156" spans="1:12" ht="15" x14ac:dyDescent="0.25">
      <c r="A1156"/>
      <c r="B1156"/>
      <c r="C1156"/>
      <c r="D1156"/>
      <c r="E1156"/>
      <c r="F1156"/>
      <c r="G1156"/>
      <c r="H1156"/>
      <c r="I1156"/>
      <c r="J1156"/>
      <c r="K1156"/>
      <c r="L1156"/>
    </row>
    <row r="1157" spans="1:12" ht="15" x14ac:dyDescent="0.25">
      <c r="A1157"/>
      <c r="B1157"/>
      <c r="C1157"/>
      <c r="D1157"/>
      <c r="E1157"/>
      <c r="F1157"/>
      <c r="G1157"/>
      <c r="H1157"/>
      <c r="I1157"/>
      <c r="J1157"/>
      <c r="K1157"/>
      <c r="L1157"/>
    </row>
    <row r="1158" spans="1:12" ht="15" x14ac:dyDescent="0.25">
      <c r="A1158"/>
      <c r="B1158"/>
      <c r="C1158"/>
      <c r="D1158"/>
      <c r="E1158"/>
      <c r="F1158"/>
      <c r="G1158"/>
      <c r="H1158"/>
      <c r="I1158"/>
      <c r="J1158"/>
      <c r="K1158"/>
      <c r="L1158"/>
    </row>
    <row r="1159" spans="1:12" ht="15" x14ac:dyDescent="0.25">
      <c r="A1159"/>
      <c r="B1159"/>
      <c r="C1159"/>
      <c r="D1159"/>
      <c r="E1159"/>
      <c r="F1159"/>
      <c r="G1159"/>
      <c r="H1159"/>
      <c r="I1159"/>
      <c r="J1159"/>
      <c r="K1159"/>
      <c r="L1159"/>
    </row>
    <row r="1160" spans="1:12" ht="15" x14ac:dyDescent="0.25">
      <c r="A1160"/>
      <c r="B1160"/>
      <c r="C1160"/>
      <c r="D1160"/>
      <c r="E1160"/>
      <c r="F1160"/>
      <c r="G1160"/>
      <c r="H1160"/>
      <c r="I1160"/>
      <c r="J1160"/>
      <c r="K1160"/>
      <c r="L1160"/>
    </row>
    <row r="1161" spans="1:12" ht="15" x14ac:dyDescent="0.25">
      <c r="A1161"/>
      <c r="B1161"/>
      <c r="C1161"/>
      <c r="D1161"/>
      <c r="E1161"/>
      <c r="F1161"/>
      <c r="G1161"/>
      <c r="H1161"/>
      <c r="I1161"/>
      <c r="J1161"/>
      <c r="K1161"/>
      <c r="L1161"/>
    </row>
    <row r="1162" spans="1:12" ht="15" x14ac:dyDescent="0.25">
      <c r="A1162"/>
      <c r="B1162"/>
      <c r="C1162"/>
      <c r="D1162"/>
      <c r="E1162"/>
      <c r="F1162"/>
      <c r="G1162"/>
      <c r="H1162"/>
      <c r="I1162"/>
      <c r="J1162"/>
      <c r="K1162"/>
      <c r="L1162"/>
    </row>
    <row r="1163" spans="1:12" ht="15" x14ac:dyDescent="0.25">
      <c r="A1163"/>
      <c r="B1163"/>
      <c r="C1163"/>
      <c r="D1163"/>
      <c r="E1163"/>
      <c r="F1163"/>
      <c r="G1163"/>
      <c r="H1163"/>
      <c r="I1163"/>
      <c r="J1163"/>
      <c r="K1163"/>
      <c r="L1163"/>
    </row>
    <row r="1164" spans="1:12" ht="15" x14ac:dyDescent="0.25">
      <c r="A1164"/>
      <c r="B1164"/>
      <c r="C1164"/>
      <c r="D1164"/>
      <c r="E1164"/>
      <c r="F1164"/>
      <c r="G1164"/>
      <c r="H1164"/>
      <c r="I1164"/>
      <c r="J1164"/>
      <c r="K1164"/>
      <c r="L1164"/>
    </row>
    <row r="1165" spans="1:12" ht="15" x14ac:dyDescent="0.25">
      <c r="A1165"/>
      <c r="B1165"/>
      <c r="C1165"/>
      <c r="D1165"/>
      <c r="E1165"/>
      <c r="F1165"/>
      <c r="G1165"/>
      <c r="H1165"/>
      <c r="I1165"/>
      <c r="J1165"/>
      <c r="K1165"/>
      <c r="L1165"/>
    </row>
    <row r="1166" spans="1:12" ht="15" x14ac:dyDescent="0.25">
      <c r="A1166"/>
      <c r="B1166"/>
      <c r="C1166"/>
      <c r="D1166"/>
      <c r="E1166"/>
      <c r="F1166"/>
      <c r="G1166"/>
      <c r="H1166"/>
      <c r="I1166"/>
      <c r="J1166"/>
      <c r="K1166"/>
      <c r="L1166"/>
    </row>
    <row r="1167" spans="1:12" ht="15" x14ac:dyDescent="0.25">
      <c r="A1167"/>
      <c r="B1167"/>
      <c r="C1167"/>
      <c r="D1167"/>
      <c r="E1167"/>
      <c r="F1167"/>
      <c r="G1167"/>
      <c r="H1167"/>
      <c r="I1167"/>
      <c r="J1167"/>
      <c r="K1167"/>
      <c r="L1167"/>
    </row>
    <row r="1168" spans="1:12" ht="15" x14ac:dyDescent="0.25">
      <c r="A1168"/>
      <c r="B1168"/>
      <c r="C1168"/>
      <c r="D1168"/>
      <c r="E1168"/>
      <c r="F1168"/>
      <c r="G1168"/>
      <c r="H1168"/>
      <c r="I1168"/>
      <c r="J1168"/>
      <c r="K1168"/>
      <c r="L1168"/>
    </row>
    <row r="1169" spans="1:12" ht="15" x14ac:dyDescent="0.25">
      <c r="A1169"/>
      <c r="B1169"/>
      <c r="C1169"/>
      <c r="D1169"/>
      <c r="E1169"/>
      <c r="F1169"/>
      <c r="G1169"/>
      <c r="H1169"/>
      <c r="I1169"/>
      <c r="J1169"/>
      <c r="K1169"/>
      <c r="L1169"/>
    </row>
    <row r="1170" spans="1:12" ht="15" x14ac:dyDescent="0.25">
      <c r="A1170"/>
      <c r="B1170"/>
      <c r="C1170"/>
      <c r="D1170"/>
      <c r="E1170"/>
      <c r="F1170"/>
      <c r="G1170"/>
      <c r="H1170"/>
      <c r="I1170"/>
      <c r="J1170"/>
      <c r="K1170"/>
      <c r="L1170"/>
    </row>
    <row r="1171" spans="1:12" ht="15" x14ac:dyDescent="0.25">
      <c r="A1171"/>
      <c r="B1171"/>
      <c r="C1171"/>
      <c r="D1171"/>
      <c r="E1171"/>
      <c r="F1171"/>
      <c r="G1171"/>
      <c r="H1171"/>
      <c r="I1171"/>
      <c r="J1171"/>
      <c r="K1171"/>
      <c r="L1171"/>
    </row>
    <row r="1172" spans="1:12" ht="15" x14ac:dyDescent="0.25">
      <c r="A1172"/>
      <c r="B1172"/>
      <c r="C1172"/>
      <c r="D1172"/>
      <c r="E1172"/>
      <c r="F1172"/>
      <c r="G1172"/>
      <c r="H1172"/>
      <c r="I1172"/>
      <c r="J1172"/>
      <c r="K1172"/>
      <c r="L1172"/>
    </row>
    <row r="1173" spans="1:12" ht="15" x14ac:dyDescent="0.25">
      <c r="A1173"/>
      <c r="B1173"/>
      <c r="C1173"/>
      <c r="D1173"/>
      <c r="E1173"/>
      <c r="F1173"/>
      <c r="G1173"/>
      <c r="H1173"/>
      <c r="I1173"/>
      <c r="J1173"/>
      <c r="K1173"/>
      <c r="L1173"/>
    </row>
    <row r="1174" spans="1:12" ht="15" x14ac:dyDescent="0.25">
      <c r="A1174"/>
      <c r="B1174"/>
      <c r="C1174"/>
      <c r="D1174"/>
      <c r="E1174"/>
      <c r="F1174"/>
      <c r="G1174"/>
      <c r="H1174"/>
      <c r="I1174"/>
      <c r="J1174"/>
      <c r="K1174"/>
      <c r="L1174"/>
    </row>
    <row r="1175" spans="1:12" ht="15" x14ac:dyDescent="0.25">
      <c r="A1175"/>
      <c r="B1175"/>
      <c r="C1175"/>
      <c r="D1175"/>
      <c r="E1175"/>
      <c r="F1175"/>
      <c r="G1175"/>
      <c r="H1175"/>
      <c r="I1175"/>
      <c r="J1175"/>
      <c r="K1175"/>
      <c r="L1175"/>
    </row>
    <row r="1176" spans="1:12" ht="15" x14ac:dyDescent="0.25">
      <c r="A1176"/>
      <c r="B1176"/>
      <c r="C1176"/>
      <c r="D1176"/>
      <c r="E1176"/>
      <c r="F1176"/>
      <c r="G1176"/>
      <c r="H1176"/>
      <c r="I1176"/>
      <c r="J1176"/>
      <c r="K1176"/>
      <c r="L1176"/>
    </row>
    <row r="1177" spans="1:12" ht="15" x14ac:dyDescent="0.25">
      <c r="A1177"/>
      <c r="B1177"/>
      <c r="C1177"/>
      <c r="D1177"/>
      <c r="E1177"/>
      <c r="F1177"/>
      <c r="G1177"/>
      <c r="H1177"/>
      <c r="I1177"/>
      <c r="J1177"/>
      <c r="K1177"/>
      <c r="L1177"/>
    </row>
    <row r="1178" spans="1:12" ht="15" x14ac:dyDescent="0.25">
      <c r="A1178"/>
      <c r="B1178"/>
      <c r="C1178"/>
      <c r="D1178"/>
      <c r="E1178"/>
      <c r="F1178"/>
      <c r="G1178"/>
      <c r="H1178"/>
      <c r="I1178"/>
      <c r="J1178"/>
      <c r="K1178"/>
      <c r="L1178"/>
    </row>
    <row r="1179" spans="1:12" ht="15" x14ac:dyDescent="0.25">
      <c r="A1179"/>
      <c r="B1179"/>
      <c r="C1179"/>
      <c r="D1179"/>
      <c r="E1179"/>
      <c r="F1179"/>
      <c r="G1179"/>
      <c r="H1179"/>
      <c r="I1179"/>
      <c r="J1179"/>
      <c r="K1179"/>
      <c r="L1179"/>
    </row>
    <row r="1180" spans="1:12" ht="15" x14ac:dyDescent="0.25">
      <c r="A1180"/>
      <c r="B1180"/>
      <c r="C1180"/>
      <c r="D1180"/>
      <c r="E1180"/>
      <c r="F1180"/>
      <c r="G1180"/>
      <c r="H1180"/>
      <c r="I1180"/>
      <c r="J1180"/>
      <c r="K1180"/>
      <c r="L1180"/>
    </row>
    <row r="1181" spans="1:12" ht="15" x14ac:dyDescent="0.25">
      <c r="A1181"/>
      <c r="B1181"/>
      <c r="C1181"/>
      <c r="D1181"/>
      <c r="E1181"/>
      <c r="F1181"/>
      <c r="G1181"/>
      <c r="H1181"/>
      <c r="I1181"/>
      <c r="J1181"/>
      <c r="K1181"/>
      <c r="L1181"/>
    </row>
    <row r="1182" spans="1:12" ht="15" x14ac:dyDescent="0.25">
      <c r="A1182"/>
      <c r="B1182"/>
      <c r="C1182"/>
      <c r="D1182"/>
      <c r="E1182"/>
      <c r="F1182"/>
      <c r="G1182"/>
      <c r="H1182"/>
      <c r="I1182"/>
      <c r="J1182"/>
      <c r="K1182"/>
      <c r="L1182"/>
    </row>
    <row r="1183" spans="1:12" ht="15" x14ac:dyDescent="0.25">
      <c r="A1183"/>
      <c r="B1183"/>
      <c r="C1183"/>
      <c r="D1183"/>
      <c r="E1183"/>
      <c r="F1183"/>
      <c r="G1183"/>
      <c r="H1183"/>
      <c r="I1183"/>
      <c r="J1183"/>
      <c r="K1183"/>
      <c r="L1183"/>
    </row>
    <row r="1184" spans="1:12" ht="15" x14ac:dyDescent="0.25">
      <c r="A1184"/>
      <c r="B1184"/>
      <c r="C1184"/>
      <c r="D1184"/>
      <c r="E1184"/>
      <c r="F1184"/>
      <c r="G1184"/>
      <c r="H1184"/>
      <c r="I1184"/>
      <c r="J1184"/>
      <c r="K1184"/>
      <c r="L1184"/>
    </row>
    <row r="1185" spans="1:12" ht="15" x14ac:dyDescent="0.25">
      <c r="A1185"/>
      <c r="B1185"/>
      <c r="C1185"/>
      <c r="D1185"/>
      <c r="E1185"/>
      <c r="F1185"/>
      <c r="G1185"/>
      <c r="H1185"/>
      <c r="I1185"/>
      <c r="J1185"/>
      <c r="K1185"/>
      <c r="L1185"/>
    </row>
    <row r="1186" spans="1:12" ht="15" x14ac:dyDescent="0.25">
      <c r="A1186"/>
      <c r="B1186"/>
      <c r="C1186"/>
      <c r="D1186"/>
      <c r="E1186"/>
      <c r="F1186"/>
      <c r="G1186"/>
      <c r="H1186"/>
      <c r="I1186"/>
      <c r="J1186"/>
      <c r="K1186"/>
      <c r="L1186"/>
    </row>
    <row r="1187" spans="1:12" ht="15" x14ac:dyDescent="0.25">
      <c r="A1187"/>
      <c r="B1187"/>
      <c r="C1187"/>
      <c r="D1187"/>
      <c r="E1187"/>
      <c r="F1187"/>
      <c r="G1187"/>
      <c r="H1187"/>
      <c r="I1187"/>
      <c r="J1187"/>
      <c r="K1187"/>
      <c r="L1187"/>
    </row>
    <row r="1188" spans="1:12" ht="15" x14ac:dyDescent="0.25">
      <c r="A1188"/>
      <c r="B1188"/>
      <c r="C1188"/>
      <c r="D1188"/>
      <c r="E1188"/>
      <c r="F1188"/>
      <c r="G1188"/>
      <c r="H1188"/>
      <c r="I1188"/>
      <c r="J1188"/>
      <c r="K1188"/>
      <c r="L1188"/>
    </row>
    <row r="1189" spans="1:12" ht="15" x14ac:dyDescent="0.25">
      <c r="A1189"/>
      <c r="B1189"/>
      <c r="C1189"/>
      <c r="D1189"/>
      <c r="E1189"/>
      <c r="F1189"/>
      <c r="G1189"/>
      <c r="H1189"/>
      <c r="I1189"/>
      <c r="J1189"/>
      <c r="K1189"/>
      <c r="L1189"/>
    </row>
    <row r="1190" spans="1:12" ht="15" x14ac:dyDescent="0.25">
      <c r="A1190"/>
      <c r="B1190"/>
      <c r="C1190"/>
      <c r="D1190"/>
      <c r="E1190"/>
      <c r="F1190"/>
      <c r="G1190"/>
      <c r="H1190"/>
      <c r="I1190"/>
      <c r="J1190"/>
      <c r="K1190"/>
      <c r="L1190"/>
    </row>
    <row r="1191" spans="1:12" ht="15" x14ac:dyDescent="0.25">
      <c r="A1191"/>
      <c r="B1191"/>
      <c r="C1191"/>
      <c r="D1191"/>
      <c r="E1191"/>
      <c r="F1191"/>
      <c r="G1191"/>
      <c r="H1191"/>
      <c r="I1191"/>
      <c r="J1191"/>
      <c r="K1191"/>
      <c r="L1191"/>
    </row>
    <row r="1192" spans="1:12" ht="15" x14ac:dyDescent="0.25">
      <c r="A1192"/>
      <c r="B1192"/>
      <c r="C1192"/>
      <c r="D1192"/>
      <c r="E1192"/>
      <c r="F1192"/>
      <c r="G1192"/>
      <c r="H1192"/>
      <c r="I1192"/>
      <c r="J1192"/>
      <c r="K1192"/>
      <c r="L1192"/>
    </row>
    <row r="1193" spans="1:12" ht="15" x14ac:dyDescent="0.25">
      <c r="A1193"/>
      <c r="B1193"/>
      <c r="C1193"/>
      <c r="D1193"/>
      <c r="E1193"/>
      <c r="F1193"/>
      <c r="G1193"/>
      <c r="H1193"/>
      <c r="I1193"/>
      <c r="J1193"/>
      <c r="K1193"/>
      <c r="L1193"/>
    </row>
    <row r="1194" spans="1:12" ht="15" x14ac:dyDescent="0.25">
      <c r="A1194"/>
      <c r="B1194"/>
      <c r="C1194"/>
      <c r="D1194"/>
      <c r="E1194"/>
      <c r="F1194"/>
      <c r="G1194"/>
      <c r="H1194"/>
      <c r="I1194"/>
      <c r="J1194"/>
      <c r="K1194"/>
      <c r="L1194"/>
    </row>
    <row r="1195" spans="1:12" ht="15" x14ac:dyDescent="0.25">
      <c r="A1195"/>
      <c r="B1195"/>
      <c r="C1195"/>
      <c r="D1195"/>
      <c r="E1195"/>
      <c r="F1195"/>
      <c r="G1195"/>
      <c r="H1195"/>
      <c r="I1195"/>
      <c r="J1195"/>
      <c r="K1195"/>
      <c r="L1195"/>
    </row>
    <row r="1196" spans="1:12" ht="15" x14ac:dyDescent="0.25">
      <c r="A1196"/>
      <c r="B1196"/>
      <c r="C1196"/>
      <c r="D1196"/>
      <c r="E1196"/>
      <c r="F1196"/>
      <c r="G1196"/>
      <c r="H1196"/>
      <c r="I1196"/>
      <c r="J1196"/>
      <c r="K1196"/>
      <c r="L1196"/>
    </row>
    <row r="1197" spans="1:12" ht="15" x14ac:dyDescent="0.25">
      <c r="A1197"/>
      <c r="B1197"/>
      <c r="C1197"/>
      <c r="D1197"/>
      <c r="E1197"/>
      <c r="F1197"/>
      <c r="G1197"/>
      <c r="H1197"/>
      <c r="I1197"/>
      <c r="J1197"/>
      <c r="K1197"/>
      <c r="L1197"/>
    </row>
    <row r="1198" spans="1:12" ht="15" x14ac:dyDescent="0.25">
      <c r="A1198"/>
      <c r="B1198"/>
      <c r="C1198"/>
      <c r="D1198"/>
      <c r="E1198"/>
      <c r="F1198"/>
      <c r="G1198"/>
      <c r="H1198"/>
      <c r="I1198"/>
      <c r="J1198"/>
      <c r="K1198"/>
      <c r="L1198"/>
    </row>
    <row r="1199" spans="1:12" ht="15" x14ac:dyDescent="0.25">
      <c r="A1199"/>
      <c r="B1199"/>
      <c r="C1199"/>
      <c r="D1199"/>
      <c r="E1199"/>
      <c r="F1199"/>
      <c r="G1199"/>
      <c r="H1199"/>
      <c r="I1199"/>
      <c r="J1199"/>
      <c r="K1199"/>
      <c r="L1199"/>
    </row>
    <row r="1200" spans="1:12" ht="15" x14ac:dyDescent="0.25">
      <c r="A1200"/>
      <c r="B1200"/>
      <c r="C1200"/>
      <c r="D1200"/>
      <c r="E1200"/>
      <c r="F1200"/>
      <c r="G1200"/>
      <c r="H1200"/>
      <c r="I1200"/>
      <c r="J1200"/>
      <c r="K1200"/>
      <c r="L1200"/>
    </row>
    <row r="1201" spans="1:12" ht="15" x14ac:dyDescent="0.25">
      <c r="A1201"/>
      <c r="B1201"/>
      <c r="C1201"/>
      <c r="D1201"/>
      <c r="E1201"/>
      <c r="F1201"/>
      <c r="G1201"/>
      <c r="H1201"/>
      <c r="I1201"/>
      <c r="J1201"/>
      <c r="K1201"/>
      <c r="L1201"/>
    </row>
    <row r="1202" spans="1:12" ht="15" x14ac:dyDescent="0.25">
      <c r="A1202"/>
      <c r="B1202"/>
      <c r="C1202"/>
      <c r="D1202"/>
      <c r="E1202"/>
      <c r="F1202"/>
      <c r="G1202"/>
      <c r="H1202"/>
      <c r="I1202"/>
      <c r="J1202"/>
      <c r="K1202"/>
      <c r="L1202"/>
    </row>
    <row r="1203" spans="1:12" ht="15" x14ac:dyDescent="0.25">
      <c r="A1203"/>
      <c r="B1203"/>
      <c r="C1203"/>
      <c r="D1203"/>
      <c r="E1203"/>
      <c r="F1203"/>
      <c r="G1203"/>
      <c r="H1203"/>
      <c r="I1203"/>
      <c r="J1203"/>
      <c r="K1203"/>
      <c r="L1203"/>
    </row>
    <row r="1204" spans="1:12" ht="15" x14ac:dyDescent="0.25">
      <c r="A1204"/>
      <c r="B1204"/>
      <c r="C1204"/>
      <c r="D1204"/>
      <c r="E1204"/>
      <c r="F1204"/>
      <c r="G1204"/>
      <c r="H1204"/>
      <c r="I1204"/>
      <c r="J1204"/>
      <c r="K1204"/>
      <c r="L1204"/>
    </row>
    <row r="1205" spans="1:12" ht="15" x14ac:dyDescent="0.25">
      <c r="A1205"/>
      <c r="B1205"/>
      <c r="C1205"/>
      <c r="D1205"/>
      <c r="E1205"/>
      <c r="F1205"/>
      <c r="G1205"/>
      <c r="H1205"/>
      <c r="I1205"/>
      <c r="J1205"/>
      <c r="K1205"/>
      <c r="L1205"/>
    </row>
    <row r="1206" spans="1:12" ht="15" x14ac:dyDescent="0.25">
      <c r="A1206"/>
      <c r="B1206"/>
      <c r="C1206"/>
      <c r="D1206"/>
      <c r="E1206"/>
      <c r="F1206"/>
      <c r="G1206"/>
      <c r="H1206"/>
      <c r="I1206"/>
      <c r="J1206"/>
      <c r="K1206"/>
      <c r="L1206"/>
    </row>
    <row r="1207" spans="1:12" ht="15" x14ac:dyDescent="0.25">
      <c r="A1207"/>
      <c r="B1207"/>
      <c r="C1207"/>
      <c r="D1207"/>
      <c r="E1207"/>
      <c r="F1207"/>
      <c r="G1207"/>
      <c r="H1207"/>
      <c r="I1207"/>
      <c r="J1207"/>
      <c r="K1207"/>
      <c r="L1207"/>
    </row>
    <row r="1208" spans="1:12" ht="15" x14ac:dyDescent="0.25">
      <c r="A1208"/>
      <c r="B1208"/>
      <c r="C1208"/>
      <c r="D1208"/>
      <c r="E1208"/>
      <c r="F1208"/>
      <c r="G1208"/>
      <c r="H1208"/>
      <c r="I1208"/>
      <c r="J1208"/>
      <c r="K1208"/>
      <c r="L1208"/>
    </row>
    <row r="1209" spans="1:12" ht="15" x14ac:dyDescent="0.25">
      <c r="A1209"/>
      <c r="B1209"/>
      <c r="C1209"/>
      <c r="D1209"/>
      <c r="E1209"/>
      <c r="F1209"/>
      <c r="G1209"/>
      <c r="H1209"/>
      <c r="I1209"/>
      <c r="J1209"/>
      <c r="K1209"/>
      <c r="L1209"/>
    </row>
    <row r="1210" spans="1:12" ht="15" x14ac:dyDescent="0.25">
      <c r="A1210"/>
      <c r="B1210"/>
      <c r="C1210"/>
      <c r="D1210"/>
      <c r="E1210"/>
      <c r="F1210"/>
      <c r="G1210"/>
      <c r="H1210"/>
      <c r="I1210"/>
      <c r="J1210"/>
      <c r="K1210"/>
      <c r="L1210"/>
    </row>
    <row r="1211" spans="1:12" ht="15" x14ac:dyDescent="0.25">
      <c r="A1211"/>
      <c r="B1211"/>
      <c r="C1211"/>
      <c r="D1211"/>
      <c r="E1211"/>
      <c r="F1211"/>
      <c r="G1211"/>
      <c r="H1211"/>
      <c r="I1211"/>
      <c r="J1211"/>
      <c r="K1211"/>
      <c r="L1211"/>
    </row>
    <row r="1212" spans="1:12" ht="15" x14ac:dyDescent="0.25">
      <c r="A1212"/>
      <c r="B1212"/>
      <c r="C1212"/>
      <c r="D1212"/>
      <c r="E1212"/>
      <c r="F1212"/>
      <c r="G1212"/>
      <c r="H1212"/>
      <c r="I1212"/>
      <c r="J1212"/>
      <c r="K1212"/>
      <c r="L1212"/>
    </row>
    <row r="1213" spans="1:12" ht="15" x14ac:dyDescent="0.25">
      <c r="A1213"/>
      <c r="B1213"/>
      <c r="C1213"/>
      <c r="D1213"/>
      <c r="E1213"/>
      <c r="F1213"/>
      <c r="G1213"/>
      <c r="H1213"/>
      <c r="I1213"/>
      <c r="J1213"/>
      <c r="K1213"/>
      <c r="L1213"/>
    </row>
    <row r="1214" spans="1:12" ht="15" x14ac:dyDescent="0.25">
      <c r="A1214"/>
      <c r="B1214"/>
      <c r="C1214"/>
      <c r="D1214"/>
      <c r="E1214"/>
      <c r="F1214"/>
      <c r="G1214"/>
      <c r="H1214"/>
      <c r="I1214"/>
      <c r="J1214"/>
      <c r="K1214"/>
      <c r="L1214"/>
    </row>
    <row r="1215" spans="1:12" ht="15" x14ac:dyDescent="0.25">
      <c r="A1215"/>
      <c r="B1215"/>
      <c r="C1215"/>
      <c r="D1215"/>
      <c r="E1215"/>
      <c r="F1215"/>
      <c r="G1215"/>
      <c r="H1215"/>
      <c r="I1215"/>
      <c r="J1215"/>
      <c r="K1215"/>
      <c r="L1215"/>
    </row>
    <row r="1216" spans="1:12" ht="15" x14ac:dyDescent="0.25">
      <c r="A1216"/>
      <c r="B1216"/>
      <c r="C1216"/>
      <c r="D1216"/>
      <c r="E1216"/>
      <c r="F1216"/>
      <c r="G1216"/>
      <c r="H1216"/>
      <c r="I1216"/>
      <c r="J1216"/>
      <c r="K1216"/>
      <c r="L1216"/>
    </row>
    <row r="1217" spans="1:12" ht="15" x14ac:dyDescent="0.25">
      <c r="A1217"/>
      <c r="B1217"/>
      <c r="C1217"/>
      <c r="D1217"/>
      <c r="E1217"/>
      <c r="F1217"/>
      <c r="G1217"/>
      <c r="H1217"/>
      <c r="I1217"/>
      <c r="J1217"/>
      <c r="K1217"/>
      <c r="L1217"/>
    </row>
    <row r="1218" spans="1:12" ht="15" x14ac:dyDescent="0.25">
      <c r="A1218"/>
      <c r="B1218"/>
      <c r="C1218"/>
      <c r="D1218"/>
      <c r="E1218"/>
      <c r="F1218"/>
      <c r="G1218"/>
      <c r="H1218"/>
      <c r="I1218"/>
      <c r="J1218"/>
      <c r="K1218"/>
      <c r="L1218"/>
    </row>
    <row r="1219" spans="1:12" ht="15" x14ac:dyDescent="0.25">
      <c r="A1219"/>
      <c r="B1219"/>
      <c r="C1219"/>
      <c r="D1219"/>
      <c r="E1219"/>
      <c r="F1219"/>
      <c r="G1219"/>
      <c r="H1219"/>
      <c r="I1219"/>
      <c r="J1219"/>
      <c r="K1219"/>
      <c r="L1219"/>
    </row>
    <row r="1220" spans="1:12" ht="15" x14ac:dyDescent="0.25">
      <c r="A1220"/>
      <c r="B1220"/>
      <c r="C1220"/>
      <c r="D1220"/>
      <c r="E1220"/>
      <c r="F1220"/>
      <c r="G1220"/>
      <c r="H1220"/>
      <c r="I1220"/>
      <c r="J1220"/>
      <c r="K1220"/>
      <c r="L1220"/>
    </row>
    <row r="1221" spans="1:12" ht="15" x14ac:dyDescent="0.25">
      <c r="A1221"/>
      <c r="B1221"/>
      <c r="C1221"/>
      <c r="D1221"/>
      <c r="E1221"/>
      <c r="F1221"/>
      <c r="G1221"/>
      <c r="H1221"/>
      <c r="I1221"/>
      <c r="J1221"/>
      <c r="K1221"/>
      <c r="L1221"/>
    </row>
    <row r="1222" spans="1:12" ht="15" x14ac:dyDescent="0.25">
      <c r="A1222"/>
      <c r="B1222"/>
      <c r="C1222"/>
      <c r="D1222"/>
      <c r="E1222"/>
      <c r="F1222"/>
      <c r="G1222"/>
      <c r="H1222"/>
      <c r="I1222"/>
      <c r="J1222"/>
      <c r="K1222"/>
      <c r="L1222"/>
    </row>
    <row r="1223" spans="1:12" ht="15" x14ac:dyDescent="0.25">
      <c r="A1223"/>
      <c r="B1223"/>
      <c r="C1223"/>
      <c r="D1223"/>
      <c r="E1223"/>
      <c r="F1223"/>
      <c r="G1223"/>
      <c r="H1223"/>
      <c r="I1223"/>
      <c r="J1223"/>
      <c r="K1223"/>
      <c r="L1223"/>
    </row>
    <row r="1224" spans="1:12" ht="15" x14ac:dyDescent="0.25">
      <c r="A1224"/>
      <c r="B1224"/>
      <c r="C1224"/>
      <c r="D1224"/>
      <c r="E1224"/>
      <c r="F1224"/>
      <c r="G1224"/>
      <c r="H1224"/>
      <c r="I1224"/>
      <c r="J1224"/>
      <c r="K1224"/>
      <c r="L1224"/>
    </row>
    <row r="1225" spans="1:12" ht="15" x14ac:dyDescent="0.25">
      <c r="A1225"/>
      <c r="B1225"/>
      <c r="C1225"/>
      <c r="D1225"/>
      <c r="E1225"/>
      <c r="F1225"/>
      <c r="G1225"/>
      <c r="H1225"/>
      <c r="I1225"/>
      <c r="J1225"/>
      <c r="K1225"/>
      <c r="L1225"/>
    </row>
    <row r="1226" spans="1:12" ht="15" x14ac:dyDescent="0.25">
      <c r="A1226"/>
      <c r="B1226"/>
      <c r="C1226"/>
      <c r="D1226"/>
      <c r="E1226"/>
      <c r="F1226"/>
      <c r="G1226"/>
      <c r="H1226"/>
      <c r="I1226"/>
      <c r="J1226"/>
      <c r="K1226"/>
      <c r="L1226"/>
    </row>
    <row r="1227" spans="1:12" ht="15" x14ac:dyDescent="0.25">
      <c r="A1227"/>
      <c r="B1227"/>
      <c r="C1227"/>
      <c r="D1227"/>
      <c r="E1227"/>
      <c r="F1227"/>
      <c r="G1227"/>
      <c r="H1227"/>
      <c r="I1227"/>
      <c r="J1227"/>
      <c r="K1227"/>
      <c r="L1227"/>
    </row>
    <row r="1228" spans="1:12" ht="15" x14ac:dyDescent="0.25">
      <c r="A1228"/>
      <c r="B1228"/>
      <c r="C1228"/>
      <c r="D1228"/>
      <c r="E1228"/>
      <c r="F1228"/>
      <c r="G1228"/>
      <c r="H1228"/>
      <c r="I1228"/>
      <c r="J1228"/>
      <c r="K1228"/>
      <c r="L1228"/>
    </row>
    <row r="1229" spans="1:12" ht="15" x14ac:dyDescent="0.25">
      <c r="A1229"/>
      <c r="B1229"/>
      <c r="C1229"/>
      <c r="D1229"/>
      <c r="E1229"/>
      <c r="F1229"/>
      <c r="G1229"/>
      <c r="H1229"/>
      <c r="I1229"/>
      <c r="J1229"/>
      <c r="K1229"/>
      <c r="L1229"/>
    </row>
    <row r="1230" spans="1:12" ht="15" x14ac:dyDescent="0.25">
      <c r="A1230"/>
      <c r="B1230"/>
      <c r="C1230"/>
      <c r="D1230"/>
      <c r="E1230"/>
      <c r="F1230"/>
      <c r="G1230"/>
      <c r="H1230"/>
      <c r="I1230"/>
      <c r="J1230"/>
      <c r="K1230"/>
      <c r="L1230"/>
    </row>
    <row r="1231" spans="1:12" ht="15" x14ac:dyDescent="0.25">
      <c r="A1231"/>
      <c r="B1231"/>
      <c r="C1231"/>
      <c r="D1231"/>
      <c r="E1231"/>
      <c r="F1231"/>
      <c r="G1231"/>
      <c r="H1231"/>
      <c r="I1231"/>
      <c r="J1231"/>
      <c r="K1231"/>
      <c r="L1231"/>
    </row>
    <row r="1232" spans="1:12" ht="15" x14ac:dyDescent="0.25">
      <c r="A1232"/>
      <c r="B1232"/>
      <c r="C1232"/>
      <c r="D1232"/>
      <c r="E1232"/>
      <c r="F1232"/>
      <c r="G1232"/>
      <c r="H1232"/>
      <c r="I1232"/>
      <c r="J1232"/>
      <c r="K1232"/>
      <c r="L1232"/>
    </row>
    <row r="1233" spans="1:12" ht="15" x14ac:dyDescent="0.25">
      <c r="A1233"/>
      <c r="B1233"/>
      <c r="C1233"/>
      <c r="D1233"/>
      <c r="E1233"/>
      <c r="F1233"/>
      <c r="G1233"/>
      <c r="H1233"/>
      <c r="I1233"/>
      <c r="J1233"/>
      <c r="K1233"/>
      <c r="L1233"/>
    </row>
    <row r="1234" spans="1:12" ht="15" x14ac:dyDescent="0.25">
      <c r="A1234"/>
      <c r="B1234"/>
      <c r="C1234"/>
      <c r="D1234"/>
      <c r="E1234"/>
      <c r="F1234"/>
      <c r="G1234"/>
      <c r="H1234"/>
      <c r="I1234"/>
      <c r="J1234"/>
      <c r="K1234"/>
      <c r="L1234"/>
    </row>
    <row r="1235" spans="1:12" ht="15" x14ac:dyDescent="0.25">
      <c r="A1235"/>
      <c r="B1235"/>
      <c r="C1235"/>
      <c r="D1235"/>
      <c r="E1235"/>
      <c r="F1235"/>
      <c r="G1235"/>
      <c r="H1235"/>
      <c r="I1235"/>
      <c r="J1235"/>
      <c r="K1235"/>
      <c r="L1235"/>
    </row>
    <row r="1236" spans="1:12" ht="15" x14ac:dyDescent="0.25">
      <c r="A1236"/>
      <c r="B1236"/>
      <c r="C1236"/>
      <c r="D1236"/>
      <c r="E1236"/>
      <c r="F1236"/>
      <c r="G1236"/>
      <c r="H1236"/>
      <c r="I1236"/>
      <c r="J1236"/>
      <c r="K1236"/>
      <c r="L1236"/>
    </row>
    <row r="1237" spans="1:12" ht="15" x14ac:dyDescent="0.25">
      <c r="A1237"/>
      <c r="B1237"/>
      <c r="C1237"/>
      <c r="D1237"/>
      <c r="E1237"/>
      <c r="F1237"/>
      <c r="G1237"/>
      <c r="H1237"/>
      <c r="I1237"/>
      <c r="J1237"/>
      <c r="K1237"/>
      <c r="L1237"/>
    </row>
    <row r="1238" spans="1:12" ht="15" x14ac:dyDescent="0.25">
      <c r="A1238"/>
      <c r="B1238"/>
      <c r="C1238"/>
      <c r="D1238"/>
      <c r="E1238"/>
      <c r="F1238"/>
      <c r="G1238"/>
      <c r="H1238"/>
      <c r="I1238"/>
      <c r="J1238"/>
      <c r="K1238"/>
      <c r="L1238"/>
    </row>
    <row r="1239" spans="1:12" ht="15" x14ac:dyDescent="0.25">
      <c r="A1239"/>
      <c r="B1239"/>
      <c r="C1239"/>
      <c r="D1239"/>
      <c r="E1239"/>
      <c r="F1239"/>
      <c r="G1239"/>
      <c r="H1239"/>
      <c r="I1239"/>
      <c r="J1239"/>
      <c r="K1239"/>
      <c r="L1239"/>
    </row>
    <row r="1240" spans="1:12" ht="15" x14ac:dyDescent="0.25">
      <c r="A1240"/>
      <c r="B1240"/>
      <c r="C1240"/>
      <c r="D1240"/>
      <c r="E1240"/>
      <c r="F1240"/>
      <c r="G1240"/>
      <c r="H1240"/>
      <c r="I1240"/>
      <c r="J1240"/>
      <c r="K1240"/>
      <c r="L1240"/>
    </row>
    <row r="1241" spans="1:12" ht="15" x14ac:dyDescent="0.25">
      <c r="A1241"/>
      <c r="B1241"/>
      <c r="C1241"/>
      <c r="D1241"/>
      <c r="E1241"/>
      <c r="F1241"/>
      <c r="G1241"/>
      <c r="H1241"/>
      <c r="I1241"/>
      <c r="J1241"/>
      <c r="K1241"/>
      <c r="L1241"/>
    </row>
    <row r="1242" spans="1:12" ht="15" x14ac:dyDescent="0.25">
      <c r="A1242"/>
      <c r="B1242"/>
      <c r="C1242"/>
      <c r="D1242"/>
      <c r="E1242"/>
      <c r="F1242"/>
      <c r="G1242"/>
      <c r="H1242"/>
      <c r="I1242"/>
      <c r="J1242"/>
      <c r="K1242"/>
      <c r="L1242"/>
    </row>
    <row r="1243" spans="1:12" ht="15" x14ac:dyDescent="0.25">
      <c r="A1243"/>
      <c r="B1243"/>
      <c r="C1243"/>
      <c r="D1243"/>
      <c r="E1243"/>
      <c r="F1243"/>
      <c r="G1243"/>
      <c r="H1243"/>
      <c r="I1243"/>
      <c r="J1243"/>
      <c r="K1243"/>
      <c r="L1243"/>
    </row>
    <row r="1244" spans="1:12" ht="15" x14ac:dyDescent="0.25">
      <c r="A1244"/>
      <c r="B1244"/>
      <c r="C1244"/>
      <c r="D1244"/>
      <c r="E1244"/>
      <c r="F1244"/>
      <c r="G1244"/>
      <c r="H1244"/>
      <c r="I1244"/>
      <c r="J1244"/>
      <c r="K1244"/>
      <c r="L1244"/>
    </row>
    <row r="1245" spans="1:12" ht="15" x14ac:dyDescent="0.25">
      <c r="A1245"/>
      <c r="B1245"/>
      <c r="C1245"/>
      <c r="D1245"/>
      <c r="E1245"/>
      <c r="F1245"/>
      <c r="G1245"/>
      <c r="H1245"/>
      <c r="I1245"/>
      <c r="J1245"/>
      <c r="K1245"/>
      <c r="L1245"/>
    </row>
    <row r="1246" spans="1:12" ht="15" x14ac:dyDescent="0.25">
      <c r="A1246"/>
      <c r="B1246"/>
      <c r="C1246"/>
      <c r="D1246"/>
      <c r="E1246"/>
      <c r="F1246"/>
      <c r="G1246"/>
      <c r="H1246"/>
      <c r="I1246"/>
      <c r="J1246"/>
      <c r="K1246"/>
      <c r="L1246"/>
    </row>
    <row r="1247" spans="1:12" ht="15" x14ac:dyDescent="0.25">
      <c r="A1247"/>
      <c r="B1247"/>
      <c r="C1247"/>
      <c r="D1247"/>
      <c r="E1247"/>
      <c r="F1247"/>
      <c r="G1247"/>
      <c r="H1247"/>
      <c r="I1247"/>
      <c r="J1247"/>
      <c r="K1247"/>
      <c r="L1247"/>
    </row>
    <row r="1248" spans="1:12" ht="15" x14ac:dyDescent="0.25">
      <c r="A1248"/>
      <c r="B1248"/>
      <c r="C1248"/>
      <c r="D1248"/>
      <c r="E1248"/>
      <c r="F1248"/>
      <c r="G1248"/>
      <c r="H1248"/>
      <c r="I1248"/>
      <c r="J1248"/>
      <c r="K1248"/>
      <c r="L1248"/>
    </row>
    <row r="1249" spans="1:12" ht="15" x14ac:dyDescent="0.25">
      <c r="A1249"/>
      <c r="B1249"/>
      <c r="C1249"/>
      <c r="D1249"/>
      <c r="E1249"/>
      <c r="F1249"/>
      <c r="G1249"/>
      <c r="H1249"/>
      <c r="I1249"/>
      <c r="J1249"/>
      <c r="K1249"/>
      <c r="L1249"/>
    </row>
    <row r="1250" spans="1:12" ht="15" x14ac:dyDescent="0.25">
      <c r="A1250"/>
      <c r="B1250"/>
      <c r="C1250"/>
      <c r="D1250"/>
      <c r="E1250"/>
      <c r="F1250"/>
      <c r="G1250"/>
      <c r="H1250"/>
      <c r="I1250"/>
      <c r="J1250"/>
      <c r="K1250"/>
      <c r="L1250"/>
    </row>
    <row r="1251" spans="1:12" ht="15" x14ac:dyDescent="0.25">
      <c r="A1251"/>
      <c r="B1251"/>
      <c r="C1251"/>
      <c r="D1251"/>
      <c r="E1251"/>
      <c r="F1251"/>
      <c r="G1251"/>
      <c r="H1251"/>
      <c r="I1251"/>
      <c r="J1251"/>
      <c r="K1251"/>
      <c r="L1251"/>
    </row>
    <row r="1252" spans="1:12" ht="15" x14ac:dyDescent="0.25">
      <c r="A1252"/>
      <c r="B1252"/>
      <c r="C1252"/>
      <c r="D1252"/>
      <c r="E1252"/>
      <c r="F1252"/>
      <c r="G1252"/>
      <c r="H1252"/>
      <c r="I1252"/>
      <c r="J1252"/>
      <c r="K1252"/>
      <c r="L1252"/>
    </row>
    <row r="1253" spans="1:12" ht="15" x14ac:dyDescent="0.25">
      <c r="A1253"/>
      <c r="B1253"/>
      <c r="C1253"/>
      <c r="D1253"/>
      <c r="E1253"/>
      <c r="F1253"/>
      <c r="G1253"/>
      <c r="H1253"/>
      <c r="I1253"/>
      <c r="J1253"/>
      <c r="K1253"/>
      <c r="L1253"/>
    </row>
    <row r="1254" spans="1:12" ht="15" x14ac:dyDescent="0.25">
      <c r="A1254"/>
      <c r="B1254"/>
      <c r="C1254"/>
      <c r="D1254"/>
      <c r="E1254"/>
      <c r="F1254"/>
      <c r="G1254"/>
      <c r="H1254"/>
      <c r="I1254"/>
      <c r="J1254"/>
      <c r="K1254"/>
      <c r="L1254"/>
    </row>
    <row r="1255" spans="1:12" ht="15" x14ac:dyDescent="0.25">
      <c r="A1255"/>
      <c r="B1255"/>
      <c r="C1255"/>
      <c r="D1255"/>
      <c r="E1255"/>
      <c r="F1255"/>
      <c r="G1255"/>
      <c r="H1255"/>
      <c r="I1255"/>
      <c r="J1255"/>
      <c r="K1255"/>
      <c r="L1255"/>
    </row>
    <row r="1256" spans="1:12" ht="15" x14ac:dyDescent="0.25">
      <c r="A1256"/>
      <c r="B1256"/>
      <c r="C1256"/>
      <c r="D1256"/>
      <c r="E1256"/>
      <c r="F1256"/>
      <c r="G1256"/>
      <c r="H1256"/>
      <c r="I1256"/>
      <c r="J1256"/>
      <c r="K1256"/>
      <c r="L1256"/>
    </row>
    <row r="1257" spans="1:12" ht="15" x14ac:dyDescent="0.25">
      <c r="A1257"/>
      <c r="B1257"/>
      <c r="C1257"/>
      <c r="D1257"/>
      <c r="E1257"/>
      <c r="F1257"/>
      <c r="G1257"/>
      <c r="H1257"/>
      <c r="I1257"/>
      <c r="J1257"/>
      <c r="K1257"/>
      <c r="L1257"/>
    </row>
    <row r="1258" spans="1:12" ht="15" x14ac:dyDescent="0.25">
      <c r="A1258"/>
      <c r="B1258"/>
      <c r="C1258"/>
      <c r="D1258"/>
      <c r="E1258"/>
      <c r="F1258"/>
      <c r="G1258"/>
      <c r="H1258"/>
      <c r="I1258"/>
      <c r="J1258"/>
      <c r="K1258"/>
      <c r="L1258"/>
    </row>
    <row r="1259" spans="1:12" ht="15" x14ac:dyDescent="0.25">
      <c r="A1259"/>
      <c r="B1259"/>
      <c r="C1259"/>
      <c r="D1259"/>
      <c r="E1259"/>
      <c r="F1259"/>
      <c r="G1259"/>
      <c r="H1259"/>
      <c r="I1259"/>
      <c r="J1259"/>
      <c r="K1259"/>
      <c r="L1259"/>
    </row>
    <row r="1260" spans="1:12" ht="15" x14ac:dyDescent="0.25">
      <c r="A1260"/>
      <c r="B1260"/>
      <c r="C1260"/>
      <c r="D1260"/>
      <c r="E1260"/>
      <c r="F1260"/>
      <c r="G1260"/>
      <c r="H1260"/>
      <c r="I1260"/>
      <c r="J1260"/>
      <c r="K1260"/>
      <c r="L1260"/>
    </row>
    <row r="1261" spans="1:12" ht="15" x14ac:dyDescent="0.25">
      <c r="A1261"/>
      <c r="B1261"/>
      <c r="C1261"/>
      <c r="D1261"/>
      <c r="E1261"/>
      <c r="F1261"/>
      <c r="G1261"/>
      <c r="H1261"/>
      <c r="I1261"/>
      <c r="J1261"/>
      <c r="K1261"/>
      <c r="L1261"/>
    </row>
    <row r="1262" spans="1:12" ht="15" x14ac:dyDescent="0.25">
      <c r="A1262"/>
      <c r="B1262"/>
      <c r="C1262"/>
      <c r="D1262"/>
      <c r="E1262"/>
      <c r="F1262"/>
      <c r="G1262"/>
      <c r="H1262"/>
      <c r="I1262"/>
      <c r="J1262"/>
      <c r="K1262"/>
      <c r="L1262"/>
    </row>
    <row r="1263" spans="1:12" ht="15" x14ac:dyDescent="0.25">
      <c r="A1263"/>
      <c r="B1263"/>
      <c r="C1263"/>
      <c r="D1263"/>
      <c r="E1263"/>
      <c r="F1263"/>
      <c r="G1263"/>
      <c r="H1263"/>
      <c r="I1263"/>
      <c r="J1263"/>
      <c r="K1263"/>
      <c r="L1263"/>
    </row>
    <row r="1264" spans="1:12" ht="15" x14ac:dyDescent="0.25">
      <c r="A1264"/>
      <c r="B1264"/>
      <c r="C1264"/>
      <c r="D1264"/>
      <c r="E1264"/>
      <c r="F1264"/>
      <c r="G1264"/>
      <c r="H1264"/>
      <c r="I1264"/>
      <c r="J1264"/>
      <c r="K1264"/>
      <c r="L1264"/>
    </row>
    <row r="1265" spans="1:12" ht="15" x14ac:dyDescent="0.25">
      <c r="A1265"/>
      <c r="B1265"/>
      <c r="C1265"/>
      <c r="D1265"/>
      <c r="E1265"/>
      <c r="F1265"/>
      <c r="G1265"/>
      <c r="H1265"/>
      <c r="I1265"/>
      <c r="J1265"/>
      <c r="K1265"/>
      <c r="L1265"/>
    </row>
    <row r="1266" spans="1:12" ht="15" x14ac:dyDescent="0.25">
      <c r="A1266"/>
      <c r="B1266"/>
      <c r="C1266"/>
      <c r="D1266"/>
      <c r="E1266"/>
      <c r="F1266"/>
      <c r="G1266"/>
      <c r="H1266"/>
      <c r="I1266"/>
      <c r="J1266"/>
      <c r="K1266"/>
      <c r="L1266"/>
    </row>
    <row r="1267" spans="1:12" ht="15" x14ac:dyDescent="0.25">
      <c r="A1267"/>
      <c r="B1267"/>
      <c r="C1267"/>
      <c r="D1267"/>
      <c r="E1267"/>
      <c r="F1267"/>
      <c r="G1267"/>
      <c r="H1267"/>
      <c r="I1267"/>
      <c r="J1267"/>
      <c r="K1267"/>
      <c r="L1267"/>
    </row>
    <row r="1268" spans="1:12" ht="15" x14ac:dyDescent="0.25">
      <c r="A1268"/>
      <c r="B1268"/>
      <c r="C1268"/>
      <c r="D1268"/>
      <c r="E1268"/>
      <c r="F1268"/>
      <c r="G1268"/>
      <c r="H1268"/>
      <c r="I1268"/>
      <c r="J1268"/>
      <c r="K1268"/>
      <c r="L1268"/>
    </row>
    <row r="1269" spans="1:12" ht="15" x14ac:dyDescent="0.25">
      <c r="A1269"/>
      <c r="B1269"/>
      <c r="C1269"/>
      <c r="D1269"/>
      <c r="E1269"/>
      <c r="F1269"/>
      <c r="G1269"/>
      <c r="H1269"/>
      <c r="I1269"/>
      <c r="J1269"/>
      <c r="K1269"/>
      <c r="L1269"/>
    </row>
    <row r="1270" spans="1:12" ht="15" x14ac:dyDescent="0.25">
      <c r="A1270"/>
      <c r="B1270"/>
      <c r="C1270"/>
      <c r="D1270"/>
      <c r="E1270"/>
      <c r="F1270"/>
      <c r="G1270"/>
      <c r="H1270"/>
      <c r="I1270"/>
      <c r="J1270"/>
      <c r="K1270"/>
      <c r="L1270"/>
    </row>
    <row r="1271" spans="1:12" ht="15" x14ac:dyDescent="0.25">
      <c r="A1271"/>
      <c r="B1271"/>
      <c r="C1271"/>
      <c r="D1271"/>
      <c r="E1271"/>
      <c r="F1271"/>
      <c r="G1271"/>
      <c r="H1271"/>
      <c r="I1271"/>
      <c r="J1271"/>
      <c r="K1271"/>
      <c r="L1271"/>
    </row>
    <row r="1272" spans="1:12" ht="15" x14ac:dyDescent="0.25">
      <c r="A1272"/>
      <c r="B1272"/>
      <c r="C1272"/>
      <c r="D1272"/>
      <c r="E1272"/>
      <c r="F1272"/>
      <c r="G1272"/>
      <c r="H1272"/>
      <c r="I1272"/>
      <c r="J1272"/>
      <c r="K1272"/>
      <c r="L1272"/>
    </row>
    <row r="1273" spans="1:12" ht="15" x14ac:dyDescent="0.25">
      <c r="A1273"/>
      <c r="B1273"/>
      <c r="C1273"/>
      <c r="D1273"/>
      <c r="E1273"/>
      <c r="F1273"/>
      <c r="G1273"/>
      <c r="H1273"/>
      <c r="I1273"/>
      <c r="J1273"/>
      <c r="K1273"/>
      <c r="L1273"/>
    </row>
    <row r="1274" spans="1:12" ht="15" x14ac:dyDescent="0.25">
      <c r="A1274"/>
      <c r="B1274"/>
      <c r="C1274"/>
      <c r="D1274"/>
      <c r="E1274"/>
      <c r="F1274"/>
      <c r="G1274"/>
      <c r="H1274"/>
      <c r="I1274"/>
      <c r="J1274"/>
      <c r="K1274"/>
      <c r="L1274"/>
    </row>
    <row r="1275" spans="1:12" ht="15" x14ac:dyDescent="0.25">
      <c r="A1275"/>
      <c r="B1275"/>
      <c r="C1275"/>
      <c r="D1275"/>
      <c r="E1275"/>
      <c r="F1275"/>
      <c r="G1275"/>
      <c r="H1275"/>
      <c r="I1275"/>
      <c r="J1275"/>
      <c r="K1275"/>
      <c r="L1275"/>
    </row>
    <row r="1276" spans="1:12" ht="15" x14ac:dyDescent="0.25">
      <c r="A1276"/>
      <c r="B1276"/>
      <c r="C1276"/>
      <c r="D1276"/>
      <c r="E1276"/>
      <c r="F1276"/>
      <c r="G1276"/>
      <c r="H1276"/>
      <c r="I1276"/>
      <c r="J1276"/>
      <c r="K1276"/>
      <c r="L1276"/>
    </row>
    <row r="1277" spans="1:12" ht="15" x14ac:dyDescent="0.25">
      <c r="A1277"/>
      <c r="B1277"/>
      <c r="C1277"/>
      <c r="D1277"/>
      <c r="E1277"/>
      <c r="F1277"/>
      <c r="G1277"/>
      <c r="H1277"/>
      <c r="I1277"/>
      <c r="J1277"/>
      <c r="K1277"/>
      <c r="L1277"/>
    </row>
    <row r="1278" spans="1:12" ht="15" x14ac:dyDescent="0.25">
      <c r="A1278"/>
      <c r="B1278"/>
      <c r="C1278"/>
      <c r="D1278"/>
      <c r="E1278"/>
      <c r="F1278"/>
      <c r="G1278"/>
      <c r="H1278"/>
      <c r="I1278"/>
      <c r="J1278"/>
      <c r="K1278"/>
      <c r="L1278"/>
    </row>
    <row r="1279" spans="1:12" ht="15" x14ac:dyDescent="0.25">
      <c r="A1279"/>
      <c r="B1279"/>
      <c r="C1279"/>
      <c r="D1279"/>
      <c r="E1279"/>
      <c r="F1279"/>
      <c r="G1279"/>
      <c r="H1279"/>
      <c r="I1279"/>
      <c r="J1279"/>
      <c r="K1279"/>
      <c r="L1279"/>
    </row>
    <row r="1280" spans="1:12" ht="15" x14ac:dyDescent="0.25">
      <c r="A1280"/>
      <c r="B1280"/>
      <c r="C1280"/>
      <c r="D1280"/>
      <c r="E1280"/>
      <c r="F1280"/>
      <c r="G1280"/>
      <c r="H1280"/>
      <c r="I1280"/>
      <c r="J1280"/>
      <c r="K1280"/>
      <c r="L1280"/>
    </row>
    <row r="1281" spans="1:12" ht="15" x14ac:dyDescent="0.25">
      <c r="A1281"/>
      <c r="B1281"/>
      <c r="C1281"/>
      <c r="D1281"/>
      <c r="E1281"/>
      <c r="F1281"/>
      <c r="G1281"/>
      <c r="H1281"/>
      <c r="I1281"/>
      <c r="J1281"/>
      <c r="K1281"/>
      <c r="L1281"/>
    </row>
    <row r="1282" spans="1:12" ht="15" x14ac:dyDescent="0.25">
      <c r="A1282"/>
      <c r="B1282"/>
      <c r="C1282"/>
      <c r="D1282"/>
      <c r="E1282"/>
      <c r="F1282"/>
      <c r="G1282"/>
      <c r="H1282"/>
      <c r="I1282"/>
      <c r="J1282"/>
      <c r="K1282"/>
      <c r="L1282"/>
    </row>
    <row r="1283" spans="1:12" ht="15" x14ac:dyDescent="0.25">
      <c r="A1283"/>
      <c r="B1283"/>
      <c r="C1283"/>
      <c r="D1283"/>
      <c r="E1283"/>
      <c r="F1283"/>
      <c r="G1283"/>
      <c r="H1283"/>
      <c r="I1283"/>
      <c r="J1283"/>
      <c r="K1283"/>
      <c r="L1283"/>
    </row>
    <row r="1284" spans="1:12" ht="15" x14ac:dyDescent="0.25">
      <c r="A1284"/>
      <c r="B1284"/>
      <c r="C1284"/>
      <c r="D1284"/>
      <c r="E1284"/>
      <c r="F1284"/>
      <c r="G1284"/>
      <c r="H1284"/>
      <c r="I1284"/>
      <c r="J1284"/>
      <c r="K1284"/>
      <c r="L1284"/>
    </row>
    <row r="1285" spans="1:12" ht="15" x14ac:dyDescent="0.25">
      <c r="A1285"/>
      <c r="B1285"/>
      <c r="C1285"/>
      <c r="D1285"/>
      <c r="E1285"/>
      <c r="F1285"/>
      <c r="G1285"/>
      <c r="H1285"/>
      <c r="I1285"/>
      <c r="J1285"/>
      <c r="K1285"/>
      <c r="L1285"/>
    </row>
    <row r="1286" spans="1:12" ht="15" x14ac:dyDescent="0.25">
      <c r="A1286"/>
      <c r="B1286"/>
      <c r="C1286"/>
      <c r="D1286"/>
      <c r="E1286"/>
      <c r="F1286"/>
      <c r="G1286"/>
      <c r="H1286"/>
      <c r="I1286"/>
      <c r="J1286"/>
      <c r="K1286"/>
      <c r="L1286"/>
    </row>
    <row r="1287" spans="1:12" ht="15" x14ac:dyDescent="0.25">
      <c r="A1287"/>
      <c r="B1287"/>
      <c r="C1287"/>
      <c r="D1287"/>
      <c r="E1287"/>
      <c r="F1287"/>
      <c r="G1287"/>
      <c r="H1287"/>
      <c r="I1287"/>
      <c r="J1287"/>
      <c r="K1287"/>
      <c r="L1287"/>
    </row>
    <row r="1288" spans="1:12" ht="15" x14ac:dyDescent="0.25">
      <c r="A1288"/>
      <c r="B1288"/>
      <c r="C1288"/>
      <c r="D1288"/>
      <c r="E1288"/>
      <c r="F1288"/>
      <c r="G1288"/>
      <c r="H1288"/>
      <c r="I1288"/>
      <c r="J1288"/>
      <c r="K1288"/>
      <c r="L1288"/>
    </row>
    <row r="1289" spans="1:12" ht="15" x14ac:dyDescent="0.25">
      <c r="A1289"/>
      <c r="B1289"/>
      <c r="C1289"/>
      <c r="D1289"/>
      <c r="E1289"/>
      <c r="F1289"/>
      <c r="G1289"/>
      <c r="H1289"/>
      <c r="I1289"/>
      <c r="J1289"/>
      <c r="K1289"/>
      <c r="L1289"/>
    </row>
    <row r="1290" spans="1:12" ht="15" x14ac:dyDescent="0.25">
      <c r="A1290"/>
      <c r="B1290"/>
      <c r="C1290"/>
      <c r="D1290"/>
      <c r="E1290"/>
      <c r="F1290"/>
      <c r="G1290"/>
      <c r="H1290"/>
      <c r="I1290"/>
      <c r="J1290"/>
      <c r="K1290"/>
      <c r="L1290"/>
    </row>
    <row r="1291" spans="1:12" ht="15" x14ac:dyDescent="0.25">
      <c r="A1291"/>
      <c r="B1291"/>
      <c r="C1291"/>
      <c r="D1291"/>
      <c r="E1291"/>
      <c r="F1291"/>
      <c r="G1291"/>
      <c r="H1291"/>
      <c r="I1291"/>
      <c r="J1291"/>
      <c r="K1291"/>
      <c r="L1291"/>
    </row>
    <row r="1292" spans="1:12" ht="15" x14ac:dyDescent="0.25">
      <c r="A1292"/>
      <c r="B1292"/>
      <c r="C1292"/>
      <c r="D1292"/>
      <c r="E1292"/>
      <c r="F1292"/>
      <c r="G1292"/>
      <c r="H1292"/>
      <c r="I1292"/>
      <c r="J1292"/>
      <c r="K1292"/>
      <c r="L1292"/>
    </row>
    <row r="1293" spans="1:12" ht="15" x14ac:dyDescent="0.25">
      <c r="A1293"/>
      <c r="B1293"/>
      <c r="C1293"/>
      <c r="D1293"/>
      <c r="E1293"/>
      <c r="F1293"/>
      <c r="G1293"/>
      <c r="H1293"/>
      <c r="I1293"/>
      <c r="J1293"/>
      <c r="K1293"/>
      <c r="L1293"/>
    </row>
    <row r="1294" spans="1:12" ht="15" x14ac:dyDescent="0.25">
      <c r="A1294"/>
      <c r="B1294"/>
      <c r="C1294"/>
      <c r="D1294"/>
      <c r="E1294"/>
      <c r="F1294"/>
      <c r="G1294"/>
      <c r="H1294"/>
      <c r="I1294"/>
      <c r="J1294"/>
      <c r="K1294"/>
      <c r="L1294"/>
    </row>
  </sheetData>
  <pageMargins left="0.7" right="0.7" top="0.75" bottom="0.75" header="0.3" footer="0.3"/>
  <pageSetup paperSize="9" orientation="portrait" r:id="rId2"/>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53563-7B03-480B-9512-BEB08AE43611}">
  <sheetPr codeName="Sheet_ElementList">
    <tabColor rgb="FFE0C1FF"/>
  </sheetPr>
  <dimension ref="A5:L1165"/>
  <sheetViews>
    <sheetView showGridLines="0" zoomScale="70" zoomScaleNormal="70" workbookViewId="0">
      <selection activeCell="B5" sqref="B5"/>
    </sheetView>
  </sheetViews>
  <sheetFormatPr defaultColWidth="8.85546875" defaultRowHeight="12.75" x14ac:dyDescent="0.2"/>
  <cols>
    <col min="1" max="1" width="18.7109375" style="99" customWidth="1"/>
    <col min="2" max="2" width="12.7109375" style="99" customWidth="1"/>
    <col min="3" max="4" width="30.7109375" style="99" customWidth="1"/>
    <col min="5" max="5" width="36.7109375" style="99" customWidth="1"/>
    <col min="6" max="6" width="12.7109375" style="99" customWidth="1"/>
    <col min="7" max="7" width="42.28515625" style="99" customWidth="1"/>
    <col min="8" max="8" width="47.140625" style="99" customWidth="1"/>
    <col min="9" max="12" width="12.7109375" style="99" customWidth="1"/>
    <col min="13" max="16384" width="8.85546875" style="99"/>
  </cols>
  <sheetData>
    <row r="5" spans="1:12" ht="38.25" x14ac:dyDescent="0.2">
      <c r="A5" s="468" t="s">
        <v>1018</v>
      </c>
      <c r="B5" s="468" t="s">
        <v>773</v>
      </c>
      <c r="C5" s="468" t="s">
        <v>867</v>
      </c>
      <c r="D5" s="468" t="s">
        <v>585</v>
      </c>
      <c r="E5" s="468" t="s">
        <v>808</v>
      </c>
      <c r="F5" s="468" t="s">
        <v>649</v>
      </c>
      <c r="G5" s="468" t="s">
        <v>866</v>
      </c>
      <c r="H5" s="468" t="s">
        <v>883</v>
      </c>
      <c r="I5" s="472" t="s">
        <v>1024</v>
      </c>
      <c r="J5" s="472" t="s">
        <v>1023</v>
      </c>
      <c r="K5" s="472" t="s">
        <v>1022</v>
      </c>
      <c r="L5" s="472" t="s">
        <v>887</v>
      </c>
    </row>
    <row r="6" spans="1:12" x14ac:dyDescent="0.2">
      <c r="A6" s="470" t="s">
        <v>695</v>
      </c>
      <c r="B6" s="470"/>
      <c r="C6" s="470"/>
      <c r="D6" s="470"/>
      <c r="E6" s="470"/>
      <c r="F6" s="470"/>
      <c r="G6" s="470"/>
      <c r="H6" s="470"/>
      <c r="I6" s="471"/>
      <c r="J6" s="471"/>
      <c r="K6" s="471"/>
      <c r="L6" s="471"/>
    </row>
    <row r="7" spans="1:12" ht="15" x14ac:dyDescent="0.25">
      <c r="A7"/>
      <c r="B7"/>
      <c r="C7"/>
      <c r="D7"/>
      <c r="E7"/>
      <c r="F7"/>
      <c r="G7"/>
      <c r="H7"/>
      <c r="I7"/>
      <c r="J7"/>
      <c r="K7"/>
      <c r="L7"/>
    </row>
    <row r="8" spans="1:12" ht="15" x14ac:dyDescent="0.25">
      <c r="A8"/>
      <c r="B8"/>
      <c r="C8"/>
      <c r="D8"/>
      <c r="E8"/>
      <c r="F8"/>
      <c r="G8"/>
      <c r="H8"/>
      <c r="I8"/>
      <c r="J8"/>
      <c r="K8"/>
      <c r="L8"/>
    </row>
    <row r="9" spans="1:12" ht="15" x14ac:dyDescent="0.25">
      <c r="A9"/>
      <c r="B9"/>
      <c r="C9"/>
      <c r="D9"/>
      <c r="E9"/>
      <c r="F9"/>
      <c r="G9"/>
      <c r="H9"/>
      <c r="I9"/>
      <c r="J9"/>
      <c r="K9"/>
      <c r="L9"/>
    </row>
    <row r="10" spans="1:12" ht="15" x14ac:dyDescent="0.25">
      <c r="A10"/>
      <c r="B10"/>
      <c r="C10"/>
      <c r="D10"/>
      <c r="E10"/>
      <c r="F10"/>
      <c r="G10"/>
      <c r="H10"/>
      <c r="I10"/>
      <c r="J10"/>
      <c r="K10"/>
      <c r="L10"/>
    </row>
    <row r="11" spans="1:12" ht="15" x14ac:dyDescent="0.25">
      <c r="A11"/>
      <c r="B11"/>
      <c r="C11"/>
      <c r="D11"/>
      <c r="E11"/>
      <c r="F11"/>
      <c r="G11"/>
      <c r="H11"/>
      <c r="I11"/>
      <c r="J11"/>
      <c r="K11"/>
      <c r="L11"/>
    </row>
    <row r="12" spans="1:12" ht="15" x14ac:dyDescent="0.25">
      <c r="A12"/>
      <c r="B12"/>
      <c r="C12"/>
      <c r="D12"/>
      <c r="E12"/>
      <c r="F12"/>
      <c r="G12"/>
      <c r="H12"/>
      <c r="I12"/>
      <c r="J12"/>
      <c r="K12"/>
      <c r="L12"/>
    </row>
    <row r="13" spans="1:12" ht="15" x14ac:dyDescent="0.25">
      <c r="A13"/>
      <c r="B13"/>
      <c r="C13"/>
      <c r="D13"/>
      <c r="E13"/>
      <c r="F13"/>
      <c r="G13"/>
      <c r="H13"/>
      <c r="I13"/>
      <c r="J13"/>
      <c r="K13"/>
      <c r="L13"/>
    </row>
    <row r="14" spans="1:12" ht="15" x14ac:dyDescent="0.25">
      <c r="A14"/>
      <c r="B14"/>
      <c r="C14"/>
      <c r="D14"/>
      <c r="E14"/>
      <c r="F14"/>
      <c r="G14"/>
      <c r="H14"/>
      <c r="I14"/>
      <c r="J14"/>
      <c r="K14"/>
      <c r="L14"/>
    </row>
    <row r="15" spans="1:12" ht="15" x14ac:dyDescent="0.25">
      <c r="A15"/>
      <c r="B15"/>
      <c r="C15"/>
      <c r="D15"/>
      <c r="E15"/>
      <c r="F15"/>
      <c r="G15"/>
      <c r="H15"/>
      <c r="I15"/>
      <c r="J15"/>
      <c r="K15"/>
      <c r="L15"/>
    </row>
    <row r="16" spans="1:12" ht="15" x14ac:dyDescent="0.25">
      <c r="A16"/>
      <c r="B16"/>
      <c r="C16"/>
      <c r="D16"/>
      <c r="E16"/>
      <c r="F16"/>
      <c r="G16"/>
      <c r="H16"/>
      <c r="I16"/>
      <c r="J16"/>
      <c r="K16"/>
      <c r="L16"/>
    </row>
    <row r="17" spans="1:12" ht="15" x14ac:dyDescent="0.25">
      <c r="A17"/>
      <c r="B17"/>
      <c r="C17"/>
      <c r="D17"/>
      <c r="E17"/>
      <c r="F17"/>
      <c r="G17"/>
      <c r="H17"/>
      <c r="I17"/>
      <c r="J17"/>
      <c r="K17"/>
      <c r="L17"/>
    </row>
    <row r="18" spans="1:12" ht="15" x14ac:dyDescent="0.25">
      <c r="A18"/>
      <c r="B18"/>
      <c r="C18"/>
      <c r="D18"/>
      <c r="E18"/>
      <c r="F18"/>
      <c r="G18"/>
      <c r="H18"/>
      <c r="I18"/>
      <c r="J18"/>
      <c r="K18"/>
      <c r="L18"/>
    </row>
    <row r="19" spans="1:12" ht="15" x14ac:dyDescent="0.25">
      <c r="A19"/>
      <c r="B19"/>
      <c r="C19"/>
      <c r="D19"/>
      <c r="E19"/>
      <c r="F19"/>
      <c r="G19"/>
      <c r="H19"/>
      <c r="I19"/>
      <c r="J19"/>
      <c r="K19"/>
      <c r="L19"/>
    </row>
    <row r="20" spans="1:12" ht="15" x14ac:dyDescent="0.25">
      <c r="A20"/>
      <c r="B20"/>
      <c r="C20"/>
      <c r="D20"/>
      <c r="E20"/>
      <c r="F20"/>
      <c r="G20"/>
      <c r="H20"/>
      <c r="I20"/>
      <c r="J20"/>
      <c r="K20"/>
      <c r="L20"/>
    </row>
    <row r="21" spans="1:12" ht="15" x14ac:dyDescent="0.25">
      <c r="A21"/>
      <c r="B21"/>
      <c r="C21"/>
      <c r="D21"/>
      <c r="E21"/>
      <c r="F21"/>
      <c r="G21"/>
      <c r="H21"/>
      <c r="I21"/>
      <c r="J21"/>
      <c r="K21"/>
      <c r="L21"/>
    </row>
    <row r="22" spans="1:12" ht="15" x14ac:dyDescent="0.25">
      <c r="A22"/>
      <c r="B22"/>
      <c r="C22"/>
      <c r="D22"/>
      <c r="E22"/>
      <c r="F22"/>
      <c r="G22"/>
      <c r="H22"/>
      <c r="I22"/>
      <c r="J22"/>
      <c r="K22"/>
      <c r="L22"/>
    </row>
    <row r="23" spans="1:12" ht="15" x14ac:dyDescent="0.25">
      <c r="A23"/>
      <c r="B23"/>
      <c r="C23"/>
      <c r="D23"/>
      <c r="E23"/>
      <c r="F23"/>
      <c r="G23"/>
      <c r="H23"/>
      <c r="I23"/>
      <c r="J23"/>
      <c r="K23"/>
      <c r="L23"/>
    </row>
    <row r="24" spans="1:12" ht="15" x14ac:dyDescent="0.25">
      <c r="A24"/>
      <c r="B24"/>
      <c r="C24"/>
      <c r="D24"/>
      <c r="E24"/>
      <c r="F24"/>
      <c r="G24"/>
      <c r="H24"/>
      <c r="I24"/>
      <c r="J24"/>
      <c r="K24"/>
      <c r="L24"/>
    </row>
    <row r="25" spans="1:12" ht="15" x14ac:dyDescent="0.25">
      <c r="A25"/>
      <c r="B25"/>
      <c r="C25"/>
      <c r="D25"/>
      <c r="E25"/>
      <c r="F25"/>
      <c r="G25"/>
      <c r="H25"/>
      <c r="I25"/>
      <c r="J25"/>
      <c r="K25"/>
      <c r="L25"/>
    </row>
    <row r="26" spans="1:12" ht="15" x14ac:dyDescent="0.25">
      <c r="A26"/>
      <c r="B26"/>
      <c r="C26"/>
      <c r="D26"/>
      <c r="E26"/>
      <c r="F26"/>
      <c r="G26"/>
      <c r="H26"/>
      <c r="I26"/>
      <c r="J26"/>
      <c r="K26"/>
      <c r="L26"/>
    </row>
    <row r="27" spans="1:12" ht="15" x14ac:dyDescent="0.25">
      <c r="A27"/>
      <c r="B27"/>
      <c r="C27"/>
      <c r="D27"/>
      <c r="E27"/>
      <c r="F27"/>
      <c r="G27"/>
      <c r="H27"/>
      <c r="I27"/>
      <c r="J27"/>
      <c r="K27"/>
      <c r="L27"/>
    </row>
    <row r="28" spans="1:12" ht="15" x14ac:dyDescent="0.25">
      <c r="A28"/>
      <c r="B28"/>
      <c r="C28"/>
      <c r="D28"/>
      <c r="E28"/>
      <c r="F28"/>
      <c r="G28"/>
      <c r="H28"/>
      <c r="I28"/>
      <c r="J28"/>
      <c r="K28"/>
      <c r="L28"/>
    </row>
    <row r="29" spans="1:12" ht="15" x14ac:dyDescent="0.25">
      <c r="A29"/>
      <c r="B29"/>
      <c r="C29"/>
      <c r="D29"/>
      <c r="E29"/>
      <c r="F29"/>
      <c r="G29"/>
      <c r="H29"/>
      <c r="I29"/>
      <c r="J29"/>
      <c r="K29"/>
      <c r="L29"/>
    </row>
    <row r="30" spans="1:12" ht="15" x14ac:dyDescent="0.25">
      <c r="A30"/>
      <c r="B30"/>
      <c r="C30"/>
      <c r="D30"/>
      <c r="E30"/>
      <c r="F30"/>
      <c r="G30"/>
      <c r="H30"/>
      <c r="I30"/>
      <c r="J30"/>
      <c r="K30"/>
      <c r="L30"/>
    </row>
    <row r="31" spans="1:12" ht="15" x14ac:dyDescent="0.25">
      <c r="A31"/>
      <c r="B31"/>
      <c r="C31"/>
      <c r="D31"/>
      <c r="E31"/>
      <c r="F31"/>
      <c r="G31"/>
      <c r="H31"/>
      <c r="I31"/>
      <c r="J31"/>
      <c r="K31"/>
      <c r="L31"/>
    </row>
    <row r="32" spans="1:12" ht="15" x14ac:dyDescent="0.25">
      <c r="A32"/>
      <c r="B32"/>
      <c r="C32"/>
      <c r="D32"/>
      <c r="E32"/>
      <c r="F32"/>
      <c r="G32"/>
      <c r="H32"/>
      <c r="I32"/>
      <c r="J32"/>
      <c r="K32"/>
      <c r="L32"/>
    </row>
    <row r="33" spans="1:12" ht="15" x14ac:dyDescent="0.25">
      <c r="A33"/>
      <c r="B33"/>
      <c r="C33"/>
      <c r="D33"/>
      <c r="E33"/>
      <c r="F33"/>
      <c r="G33"/>
      <c r="H33"/>
      <c r="I33"/>
      <c r="J33"/>
      <c r="K33"/>
      <c r="L33"/>
    </row>
    <row r="34" spans="1:12" ht="15" x14ac:dyDescent="0.25">
      <c r="A34"/>
      <c r="B34"/>
      <c r="C34"/>
      <c r="D34"/>
      <c r="E34"/>
      <c r="F34"/>
      <c r="G34"/>
      <c r="H34"/>
      <c r="I34"/>
      <c r="J34"/>
      <c r="K34"/>
      <c r="L34"/>
    </row>
    <row r="35" spans="1:12" ht="15" x14ac:dyDescent="0.25">
      <c r="A35"/>
      <c r="B35"/>
      <c r="C35"/>
      <c r="D35"/>
      <c r="E35"/>
      <c r="F35"/>
      <c r="G35"/>
      <c r="H35"/>
      <c r="I35"/>
      <c r="J35"/>
      <c r="K35"/>
      <c r="L35"/>
    </row>
    <row r="36" spans="1:12" ht="15" x14ac:dyDescent="0.25">
      <c r="A36"/>
      <c r="B36"/>
      <c r="C36"/>
      <c r="D36"/>
      <c r="E36"/>
      <c r="F36"/>
      <c r="G36"/>
      <c r="H36"/>
      <c r="I36"/>
      <c r="J36"/>
      <c r="K36"/>
      <c r="L36"/>
    </row>
    <row r="37" spans="1:12" ht="15" x14ac:dyDescent="0.25">
      <c r="A37"/>
      <c r="B37"/>
      <c r="C37"/>
      <c r="D37"/>
      <c r="E37"/>
      <c r="F37"/>
      <c r="G37"/>
      <c r="H37"/>
      <c r="I37"/>
      <c r="J37"/>
      <c r="K37"/>
      <c r="L37"/>
    </row>
    <row r="38" spans="1:12" ht="15" x14ac:dyDescent="0.25">
      <c r="A38"/>
      <c r="B38"/>
      <c r="C38"/>
      <c r="D38"/>
      <c r="E38"/>
      <c r="F38"/>
      <c r="G38"/>
      <c r="H38"/>
      <c r="I38"/>
      <c r="J38"/>
      <c r="K38"/>
      <c r="L38"/>
    </row>
    <row r="39" spans="1:12" ht="15" x14ac:dyDescent="0.25">
      <c r="A39"/>
      <c r="B39"/>
      <c r="C39"/>
      <c r="D39"/>
      <c r="E39"/>
      <c r="F39"/>
      <c r="G39"/>
      <c r="H39"/>
      <c r="I39"/>
      <c r="J39"/>
      <c r="K39"/>
      <c r="L39"/>
    </row>
    <row r="40" spans="1:12" ht="15" x14ac:dyDescent="0.25">
      <c r="A40"/>
      <c r="B40"/>
      <c r="C40"/>
      <c r="D40"/>
      <c r="E40"/>
      <c r="F40"/>
      <c r="G40"/>
      <c r="H40"/>
      <c r="I40"/>
      <c r="J40"/>
      <c r="K40"/>
      <c r="L40"/>
    </row>
    <row r="41" spans="1:12" ht="15" x14ac:dyDescent="0.25">
      <c r="A41"/>
      <c r="B41"/>
      <c r="C41"/>
      <c r="D41"/>
      <c r="E41"/>
      <c r="F41"/>
      <c r="G41"/>
      <c r="H41"/>
      <c r="I41"/>
      <c r="J41"/>
      <c r="K41"/>
      <c r="L41"/>
    </row>
    <row r="42" spans="1:12" ht="15" x14ac:dyDescent="0.25">
      <c r="A42"/>
      <c r="B42"/>
      <c r="C42"/>
      <c r="D42"/>
      <c r="E42"/>
      <c r="F42"/>
      <c r="G42"/>
      <c r="H42"/>
      <c r="I42"/>
      <c r="J42"/>
      <c r="K42"/>
      <c r="L42"/>
    </row>
    <row r="43" spans="1:12" ht="15" x14ac:dyDescent="0.25">
      <c r="A43"/>
      <c r="B43"/>
      <c r="C43"/>
      <c r="D43"/>
      <c r="E43"/>
      <c r="F43"/>
      <c r="G43"/>
      <c r="H43"/>
      <c r="I43"/>
      <c r="J43"/>
      <c r="K43"/>
      <c r="L43"/>
    </row>
    <row r="44" spans="1:12" ht="15" x14ac:dyDescent="0.25">
      <c r="A44"/>
      <c r="B44"/>
      <c r="C44"/>
      <c r="D44"/>
      <c r="E44"/>
      <c r="F44"/>
      <c r="G44"/>
      <c r="H44"/>
      <c r="I44"/>
      <c r="J44"/>
      <c r="K44"/>
      <c r="L44"/>
    </row>
    <row r="45" spans="1:12" ht="15" x14ac:dyDescent="0.25">
      <c r="A45"/>
      <c r="B45"/>
      <c r="C45"/>
      <c r="D45"/>
      <c r="E45"/>
      <c r="F45"/>
      <c r="G45"/>
      <c r="H45"/>
      <c r="I45"/>
      <c r="J45"/>
      <c r="K45"/>
      <c r="L45"/>
    </row>
    <row r="46" spans="1:12" ht="15" x14ac:dyDescent="0.25">
      <c r="A46"/>
      <c r="B46"/>
      <c r="C46"/>
      <c r="D46"/>
      <c r="E46"/>
      <c r="F46"/>
      <c r="G46"/>
      <c r="H46"/>
      <c r="I46"/>
      <c r="J46"/>
      <c r="K46"/>
      <c r="L46"/>
    </row>
    <row r="47" spans="1:12" ht="15" x14ac:dyDescent="0.25">
      <c r="A47"/>
      <c r="B47"/>
      <c r="C47"/>
      <c r="D47"/>
      <c r="E47"/>
      <c r="F47"/>
      <c r="G47"/>
      <c r="H47"/>
      <c r="I47"/>
      <c r="J47"/>
      <c r="K47"/>
      <c r="L47"/>
    </row>
    <row r="48" spans="1:12" ht="15" x14ac:dyDescent="0.25">
      <c r="A48"/>
      <c r="B48"/>
      <c r="C48"/>
      <c r="D48"/>
      <c r="E48"/>
      <c r="F48"/>
      <c r="G48"/>
      <c r="H48"/>
      <c r="I48"/>
      <c r="J48"/>
      <c r="K48"/>
      <c r="L48"/>
    </row>
    <row r="49" spans="1:12" ht="15" x14ac:dyDescent="0.25">
      <c r="A49"/>
      <c r="B49"/>
      <c r="C49"/>
      <c r="D49"/>
      <c r="E49"/>
      <c r="F49"/>
      <c r="G49"/>
      <c r="H49"/>
      <c r="I49"/>
      <c r="J49"/>
      <c r="K49"/>
      <c r="L49"/>
    </row>
    <row r="50" spans="1:12" ht="15" x14ac:dyDescent="0.25">
      <c r="A50"/>
      <c r="B50"/>
      <c r="C50"/>
      <c r="D50"/>
      <c r="E50"/>
      <c r="F50"/>
      <c r="G50"/>
      <c r="H50"/>
      <c r="I50"/>
      <c r="J50"/>
      <c r="K50"/>
      <c r="L50"/>
    </row>
    <row r="51" spans="1:12" ht="15" x14ac:dyDescent="0.25">
      <c r="A51"/>
      <c r="B51"/>
      <c r="C51"/>
      <c r="D51"/>
      <c r="E51"/>
      <c r="F51"/>
      <c r="G51"/>
      <c r="H51"/>
      <c r="I51"/>
      <c r="J51"/>
      <c r="K51"/>
      <c r="L51"/>
    </row>
    <row r="52" spans="1:12" ht="15" x14ac:dyDescent="0.25">
      <c r="A52"/>
      <c r="B52"/>
      <c r="C52"/>
      <c r="D52"/>
      <c r="E52"/>
      <c r="F52"/>
      <c r="G52"/>
      <c r="H52"/>
      <c r="I52"/>
      <c r="J52"/>
      <c r="K52"/>
      <c r="L52"/>
    </row>
    <row r="53" spans="1:12" ht="15" x14ac:dyDescent="0.25">
      <c r="A53"/>
      <c r="B53"/>
      <c r="C53"/>
      <c r="D53"/>
      <c r="E53"/>
      <c r="F53"/>
      <c r="G53"/>
      <c r="H53"/>
      <c r="I53"/>
      <c r="J53"/>
      <c r="K53"/>
      <c r="L53"/>
    </row>
    <row r="54" spans="1:12" ht="15" x14ac:dyDescent="0.25">
      <c r="A54"/>
      <c r="B54"/>
      <c r="C54"/>
      <c r="D54"/>
      <c r="E54"/>
      <c r="F54"/>
      <c r="G54"/>
      <c r="H54"/>
      <c r="I54"/>
      <c r="J54"/>
      <c r="K54"/>
      <c r="L54"/>
    </row>
    <row r="55" spans="1:12" ht="15" x14ac:dyDescent="0.25">
      <c r="A55"/>
      <c r="B55"/>
      <c r="C55"/>
      <c r="D55"/>
      <c r="E55"/>
      <c r="F55"/>
      <c r="G55"/>
      <c r="H55"/>
      <c r="I55"/>
      <c r="J55"/>
      <c r="K55"/>
      <c r="L55"/>
    </row>
    <row r="56" spans="1:12" ht="15" x14ac:dyDescent="0.25">
      <c r="A56"/>
      <c r="B56"/>
      <c r="C56"/>
      <c r="D56"/>
      <c r="E56"/>
      <c r="F56"/>
      <c r="G56"/>
      <c r="H56"/>
      <c r="I56"/>
      <c r="J56"/>
      <c r="K56"/>
      <c r="L56"/>
    </row>
    <row r="57" spans="1:12" ht="15" x14ac:dyDescent="0.25">
      <c r="A57"/>
      <c r="B57"/>
      <c r="C57"/>
      <c r="D57"/>
      <c r="E57"/>
      <c r="F57"/>
      <c r="G57"/>
      <c r="H57"/>
      <c r="I57"/>
      <c r="J57"/>
      <c r="K57"/>
      <c r="L57"/>
    </row>
    <row r="58" spans="1:12" ht="15" x14ac:dyDescent="0.25">
      <c r="A58"/>
      <c r="B58"/>
      <c r="C58"/>
      <c r="D58"/>
      <c r="E58"/>
      <c r="F58"/>
      <c r="G58"/>
      <c r="H58"/>
      <c r="I58"/>
      <c r="J58"/>
      <c r="K58"/>
      <c r="L58"/>
    </row>
    <row r="59" spans="1:12" ht="15" x14ac:dyDescent="0.25">
      <c r="A59"/>
      <c r="B59"/>
      <c r="C59"/>
      <c r="D59"/>
      <c r="E59"/>
      <c r="F59"/>
      <c r="G59"/>
      <c r="H59"/>
      <c r="I59"/>
      <c r="J59"/>
      <c r="K59"/>
      <c r="L59"/>
    </row>
    <row r="60" spans="1:12" ht="15" x14ac:dyDescent="0.25">
      <c r="A60"/>
      <c r="B60"/>
      <c r="C60"/>
      <c r="D60"/>
      <c r="E60"/>
      <c r="F60"/>
      <c r="G60"/>
      <c r="H60"/>
      <c r="I60"/>
      <c r="J60"/>
      <c r="K60"/>
      <c r="L60"/>
    </row>
    <row r="61" spans="1:12" ht="15" x14ac:dyDescent="0.25">
      <c r="A61"/>
      <c r="B61"/>
      <c r="C61"/>
      <c r="D61"/>
      <c r="E61"/>
      <c r="F61"/>
      <c r="G61"/>
      <c r="H61"/>
      <c r="I61"/>
      <c r="J61"/>
      <c r="K61"/>
      <c r="L61"/>
    </row>
    <row r="62" spans="1:12" ht="15" x14ac:dyDescent="0.25">
      <c r="A62"/>
      <c r="B62"/>
      <c r="C62"/>
      <c r="D62"/>
      <c r="E62"/>
      <c r="F62"/>
      <c r="G62"/>
      <c r="H62"/>
      <c r="I62"/>
      <c r="J62"/>
      <c r="K62"/>
      <c r="L62"/>
    </row>
    <row r="63" spans="1:12" ht="15" x14ac:dyDescent="0.25">
      <c r="A63"/>
      <c r="B63"/>
      <c r="C63"/>
      <c r="D63"/>
      <c r="E63"/>
      <c r="F63"/>
      <c r="G63"/>
      <c r="H63"/>
      <c r="I63"/>
      <c r="J63"/>
      <c r="K63"/>
      <c r="L63"/>
    </row>
    <row r="64" spans="1:12" ht="15" x14ac:dyDescent="0.25">
      <c r="A64"/>
      <c r="B64"/>
      <c r="C64"/>
      <c r="D64"/>
      <c r="E64"/>
      <c r="F64"/>
      <c r="G64"/>
      <c r="H64"/>
      <c r="I64"/>
      <c r="J64"/>
      <c r="K64"/>
      <c r="L64"/>
    </row>
    <row r="65" spans="1:12" ht="15" x14ac:dyDescent="0.25">
      <c r="A65"/>
      <c r="B65"/>
      <c r="C65"/>
      <c r="D65"/>
      <c r="E65"/>
      <c r="F65"/>
      <c r="G65"/>
      <c r="H65"/>
      <c r="I65"/>
      <c r="J65"/>
      <c r="K65"/>
      <c r="L65"/>
    </row>
    <row r="66" spans="1:12" ht="15" x14ac:dyDescent="0.25">
      <c r="A66"/>
      <c r="B66"/>
      <c r="C66"/>
      <c r="D66"/>
      <c r="E66"/>
      <c r="F66"/>
      <c r="G66"/>
      <c r="H66"/>
      <c r="I66"/>
      <c r="J66"/>
      <c r="K66"/>
      <c r="L66"/>
    </row>
    <row r="67" spans="1:12" ht="15" x14ac:dyDescent="0.25">
      <c r="A67"/>
      <c r="B67"/>
      <c r="C67"/>
      <c r="D67"/>
      <c r="E67"/>
      <c r="F67"/>
      <c r="G67"/>
      <c r="H67"/>
      <c r="I67"/>
      <c r="J67"/>
      <c r="K67"/>
      <c r="L67"/>
    </row>
    <row r="68" spans="1:12" ht="15" x14ac:dyDescent="0.25">
      <c r="A68"/>
      <c r="B68"/>
      <c r="C68"/>
      <c r="D68"/>
      <c r="E68"/>
      <c r="F68"/>
      <c r="G68"/>
      <c r="H68"/>
      <c r="I68"/>
      <c r="J68"/>
      <c r="K68"/>
      <c r="L68"/>
    </row>
    <row r="69" spans="1:12" ht="15" x14ac:dyDescent="0.25">
      <c r="A69"/>
      <c r="B69"/>
      <c r="C69"/>
      <c r="D69"/>
      <c r="E69"/>
      <c r="F69"/>
      <c r="G69"/>
      <c r="H69"/>
      <c r="I69"/>
      <c r="J69"/>
      <c r="K69"/>
      <c r="L69"/>
    </row>
    <row r="70" spans="1:12" ht="15" x14ac:dyDescent="0.25">
      <c r="A70"/>
      <c r="B70"/>
      <c r="C70"/>
      <c r="D70"/>
      <c r="E70"/>
      <c r="F70"/>
      <c r="G70"/>
      <c r="H70"/>
      <c r="I70"/>
      <c r="J70"/>
      <c r="K70"/>
      <c r="L70"/>
    </row>
    <row r="71" spans="1:12" ht="15" x14ac:dyDescent="0.25">
      <c r="A71"/>
      <c r="B71"/>
      <c r="C71"/>
      <c r="D71"/>
      <c r="E71"/>
      <c r="F71"/>
      <c r="G71"/>
      <c r="H71"/>
      <c r="I71"/>
      <c r="J71"/>
      <c r="K71"/>
      <c r="L71"/>
    </row>
    <row r="72" spans="1:12" ht="15" x14ac:dyDescent="0.25">
      <c r="A72"/>
      <c r="B72"/>
      <c r="C72"/>
      <c r="D72"/>
      <c r="E72"/>
      <c r="F72"/>
      <c r="G72"/>
      <c r="H72"/>
      <c r="I72"/>
      <c r="J72"/>
      <c r="K72"/>
      <c r="L72"/>
    </row>
    <row r="73" spans="1:12" ht="15" x14ac:dyDescent="0.25">
      <c r="A73"/>
      <c r="B73"/>
      <c r="C73"/>
      <c r="D73"/>
      <c r="E73"/>
      <c r="F73"/>
      <c r="G73"/>
      <c r="H73"/>
      <c r="I73"/>
      <c r="J73"/>
      <c r="K73"/>
      <c r="L73"/>
    </row>
    <row r="74" spans="1:12" ht="15" x14ac:dyDescent="0.25">
      <c r="A74"/>
      <c r="B74"/>
      <c r="C74"/>
      <c r="D74"/>
      <c r="E74"/>
      <c r="F74"/>
      <c r="G74"/>
      <c r="H74"/>
      <c r="I74"/>
      <c r="J74"/>
      <c r="K74"/>
      <c r="L74"/>
    </row>
    <row r="75" spans="1:12" ht="15" x14ac:dyDescent="0.25">
      <c r="A75"/>
      <c r="B75"/>
      <c r="C75"/>
      <c r="D75"/>
      <c r="E75"/>
      <c r="F75"/>
      <c r="G75"/>
      <c r="H75"/>
      <c r="I75"/>
      <c r="J75"/>
      <c r="K75"/>
      <c r="L75"/>
    </row>
    <row r="76" spans="1:12" ht="15" x14ac:dyDescent="0.25">
      <c r="A76"/>
      <c r="B76"/>
      <c r="C76"/>
      <c r="D76"/>
      <c r="E76"/>
      <c r="F76"/>
      <c r="G76"/>
      <c r="H76"/>
      <c r="I76"/>
      <c r="J76"/>
      <c r="K76"/>
      <c r="L76"/>
    </row>
    <row r="77" spans="1:12" ht="15" x14ac:dyDescent="0.25">
      <c r="A77"/>
      <c r="B77"/>
      <c r="C77"/>
      <c r="D77"/>
      <c r="E77"/>
      <c r="F77"/>
      <c r="G77"/>
      <c r="H77"/>
      <c r="I77"/>
      <c r="J77"/>
      <c r="K77"/>
      <c r="L77"/>
    </row>
    <row r="78" spans="1:12" ht="15" x14ac:dyDescent="0.25">
      <c r="A78"/>
      <c r="B78"/>
      <c r="C78"/>
      <c r="D78"/>
      <c r="E78"/>
      <c r="F78"/>
      <c r="G78"/>
      <c r="H78"/>
      <c r="I78"/>
      <c r="J78"/>
      <c r="K78"/>
      <c r="L78"/>
    </row>
    <row r="79" spans="1:12" ht="15" x14ac:dyDescent="0.25">
      <c r="A79"/>
      <c r="B79"/>
      <c r="C79"/>
      <c r="D79"/>
      <c r="E79"/>
      <c r="F79"/>
      <c r="G79"/>
      <c r="H79"/>
      <c r="I79"/>
      <c r="J79"/>
      <c r="K79"/>
      <c r="L79"/>
    </row>
    <row r="80" spans="1:12" ht="15" x14ac:dyDescent="0.25">
      <c r="A80"/>
      <c r="B80"/>
      <c r="C80"/>
      <c r="D80"/>
      <c r="E80"/>
      <c r="F80"/>
      <c r="G80"/>
      <c r="H80"/>
      <c r="I80"/>
      <c r="J80"/>
      <c r="K80"/>
      <c r="L80"/>
    </row>
    <row r="81" spans="1:12" ht="15" x14ac:dyDescent="0.25">
      <c r="A81"/>
      <c r="B81"/>
      <c r="C81"/>
      <c r="D81"/>
      <c r="E81"/>
      <c r="F81"/>
      <c r="G81"/>
      <c r="H81"/>
      <c r="I81"/>
      <c r="J81"/>
      <c r="K81"/>
      <c r="L81"/>
    </row>
    <row r="82" spans="1:12" ht="15" x14ac:dyDescent="0.25">
      <c r="A82"/>
      <c r="B82"/>
      <c r="C82"/>
      <c r="D82"/>
      <c r="E82"/>
      <c r="F82"/>
      <c r="G82"/>
      <c r="H82"/>
      <c r="I82"/>
      <c r="J82"/>
      <c r="K82"/>
      <c r="L82"/>
    </row>
    <row r="83" spans="1:12" ht="15" x14ac:dyDescent="0.25">
      <c r="A83"/>
      <c r="B83"/>
      <c r="C83"/>
      <c r="D83"/>
      <c r="E83"/>
      <c r="F83"/>
      <c r="G83"/>
      <c r="H83"/>
      <c r="I83"/>
      <c r="J83"/>
      <c r="K83"/>
      <c r="L83"/>
    </row>
    <row r="84" spans="1:12" ht="15" x14ac:dyDescent="0.25">
      <c r="A84"/>
      <c r="B84"/>
      <c r="C84"/>
      <c r="D84"/>
      <c r="E84"/>
      <c r="F84"/>
      <c r="G84"/>
      <c r="H84"/>
      <c r="I84"/>
      <c r="J84"/>
      <c r="K84"/>
      <c r="L84"/>
    </row>
    <row r="85" spans="1:12" ht="15" x14ac:dyDescent="0.25">
      <c r="A85"/>
      <c r="B85"/>
      <c r="C85"/>
      <c r="D85"/>
      <c r="E85"/>
      <c r="F85"/>
      <c r="G85"/>
      <c r="H85"/>
      <c r="I85"/>
      <c r="J85"/>
      <c r="K85"/>
      <c r="L85"/>
    </row>
    <row r="86" spans="1:12" ht="15" x14ac:dyDescent="0.25">
      <c r="A86"/>
      <c r="B86"/>
      <c r="C86"/>
      <c r="D86"/>
      <c r="E86"/>
      <c r="F86"/>
      <c r="G86"/>
      <c r="H86"/>
      <c r="I86"/>
      <c r="J86"/>
      <c r="K86"/>
      <c r="L86"/>
    </row>
    <row r="87" spans="1:12" ht="15" x14ac:dyDescent="0.25">
      <c r="A87"/>
      <c r="B87"/>
      <c r="C87"/>
      <c r="D87"/>
      <c r="E87"/>
      <c r="F87"/>
      <c r="G87"/>
      <c r="H87"/>
      <c r="I87"/>
      <c r="J87"/>
      <c r="K87"/>
      <c r="L87"/>
    </row>
    <row r="88" spans="1:12" ht="15" x14ac:dyDescent="0.25">
      <c r="A88"/>
      <c r="B88"/>
      <c r="C88"/>
      <c r="D88"/>
      <c r="E88"/>
      <c r="F88"/>
      <c r="G88"/>
      <c r="H88"/>
      <c r="I88"/>
      <c r="J88"/>
      <c r="K88"/>
      <c r="L88"/>
    </row>
    <row r="89" spans="1:12" ht="15" x14ac:dyDescent="0.25">
      <c r="A89"/>
      <c r="B89"/>
      <c r="C89"/>
      <c r="D89"/>
      <c r="E89"/>
      <c r="F89"/>
      <c r="G89"/>
      <c r="H89"/>
      <c r="I89"/>
      <c r="J89"/>
      <c r="K89"/>
      <c r="L89"/>
    </row>
    <row r="90" spans="1:12" ht="15" x14ac:dyDescent="0.25">
      <c r="A90"/>
      <c r="B90"/>
      <c r="C90"/>
      <c r="D90"/>
      <c r="E90"/>
      <c r="F90"/>
      <c r="G90"/>
      <c r="H90"/>
      <c r="I90"/>
      <c r="J90"/>
      <c r="K90"/>
      <c r="L90"/>
    </row>
    <row r="91" spans="1:12" ht="15" x14ac:dyDescent="0.25">
      <c r="A91"/>
      <c r="B91"/>
      <c r="C91"/>
      <c r="D91"/>
      <c r="E91"/>
      <c r="F91"/>
      <c r="G91"/>
      <c r="H91"/>
      <c r="I91"/>
      <c r="J91"/>
      <c r="K91"/>
      <c r="L91"/>
    </row>
    <row r="92" spans="1:12" ht="15" x14ac:dyDescent="0.25">
      <c r="A92"/>
      <c r="B92"/>
      <c r="C92"/>
      <c r="D92"/>
      <c r="E92"/>
      <c r="F92"/>
      <c r="G92"/>
      <c r="H92"/>
      <c r="I92"/>
      <c r="J92"/>
      <c r="K92"/>
      <c r="L92"/>
    </row>
    <row r="93" spans="1:12" ht="15" x14ac:dyDescent="0.25">
      <c r="A93"/>
      <c r="B93"/>
      <c r="C93"/>
      <c r="D93"/>
      <c r="E93"/>
      <c r="F93"/>
      <c r="G93"/>
      <c r="H93"/>
      <c r="I93"/>
      <c r="J93"/>
      <c r="K93"/>
      <c r="L93"/>
    </row>
    <row r="94" spans="1:12" ht="15" x14ac:dyDescent="0.25">
      <c r="A94"/>
      <c r="B94"/>
      <c r="C94"/>
      <c r="D94"/>
      <c r="E94"/>
      <c r="F94"/>
      <c r="G94"/>
      <c r="H94"/>
      <c r="I94"/>
      <c r="J94"/>
      <c r="K94"/>
      <c r="L94"/>
    </row>
    <row r="95" spans="1:12" ht="15" x14ac:dyDescent="0.25">
      <c r="A95"/>
      <c r="B95"/>
      <c r="C95"/>
      <c r="D95"/>
      <c r="E95"/>
      <c r="F95"/>
      <c r="G95"/>
      <c r="H95"/>
      <c r="I95"/>
      <c r="J95"/>
      <c r="K95"/>
      <c r="L95"/>
    </row>
    <row r="96" spans="1:12" ht="15" x14ac:dyDescent="0.25">
      <c r="A96"/>
      <c r="B96"/>
      <c r="C96"/>
      <c r="D96"/>
      <c r="E96"/>
      <c r="F96"/>
      <c r="G96"/>
      <c r="H96"/>
      <c r="I96"/>
      <c r="J96"/>
      <c r="K96"/>
      <c r="L96"/>
    </row>
    <row r="97" spans="1:12" ht="15" x14ac:dyDescent="0.25">
      <c r="A97"/>
      <c r="B97"/>
      <c r="C97"/>
      <c r="D97"/>
      <c r="E97"/>
      <c r="F97"/>
      <c r="G97"/>
      <c r="H97"/>
      <c r="I97"/>
      <c r="J97"/>
      <c r="K97"/>
      <c r="L97"/>
    </row>
    <row r="98" spans="1:12" ht="15" x14ac:dyDescent="0.25">
      <c r="A98"/>
      <c r="B98"/>
      <c r="C98"/>
      <c r="D98"/>
      <c r="E98"/>
      <c r="F98"/>
      <c r="G98"/>
      <c r="H98"/>
      <c r="I98"/>
      <c r="J98"/>
      <c r="K98"/>
      <c r="L98"/>
    </row>
    <row r="99" spans="1:12" ht="15" x14ac:dyDescent="0.25">
      <c r="A99"/>
      <c r="B99"/>
      <c r="C99"/>
      <c r="D99"/>
      <c r="E99"/>
      <c r="F99"/>
      <c r="G99"/>
      <c r="H99"/>
      <c r="I99"/>
      <c r="J99"/>
      <c r="K99"/>
      <c r="L99"/>
    </row>
    <row r="100" spans="1:12" ht="15" x14ac:dyDescent="0.25">
      <c r="A100"/>
      <c r="B100"/>
      <c r="C100"/>
      <c r="D100"/>
      <c r="E100"/>
      <c r="F100"/>
      <c r="G100"/>
      <c r="H100"/>
      <c r="I100"/>
      <c r="J100"/>
      <c r="K100"/>
      <c r="L100"/>
    </row>
    <row r="101" spans="1:12" ht="15" x14ac:dyDescent="0.25">
      <c r="A101"/>
      <c r="B101"/>
      <c r="C101"/>
      <c r="D101"/>
      <c r="E101"/>
      <c r="F101"/>
      <c r="G101"/>
      <c r="H101"/>
      <c r="I101"/>
      <c r="J101"/>
      <c r="K101"/>
      <c r="L101"/>
    </row>
    <row r="102" spans="1:12" ht="15" x14ac:dyDescent="0.25">
      <c r="A102"/>
      <c r="B102"/>
      <c r="C102"/>
      <c r="D102"/>
      <c r="E102"/>
      <c r="F102"/>
      <c r="G102"/>
      <c r="H102"/>
      <c r="I102"/>
      <c r="J102"/>
      <c r="K102"/>
      <c r="L102"/>
    </row>
    <row r="103" spans="1:12" ht="15" x14ac:dyDescent="0.25">
      <c r="A103"/>
      <c r="B103"/>
      <c r="C103"/>
      <c r="D103"/>
      <c r="E103"/>
      <c r="F103"/>
      <c r="G103"/>
      <c r="H103"/>
      <c r="I103"/>
      <c r="J103"/>
      <c r="K103"/>
      <c r="L103"/>
    </row>
    <row r="104" spans="1:12" ht="15" x14ac:dyDescent="0.25">
      <c r="A104"/>
      <c r="B104"/>
      <c r="C104"/>
      <c r="D104"/>
      <c r="E104"/>
      <c r="F104"/>
      <c r="G104"/>
      <c r="H104"/>
      <c r="I104"/>
      <c r="J104"/>
      <c r="K104"/>
      <c r="L104"/>
    </row>
    <row r="105" spans="1:12" ht="15" x14ac:dyDescent="0.25">
      <c r="A105"/>
      <c r="B105"/>
      <c r="C105"/>
      <c r="D105"/>
      <c r="E105"/>
      <c r="F105"/>
      <c r="G105"/>
      <c r="H105"/>
      <c r="I105"/>
      <c r="J105"/>
      <c r="K105"/>
      <c r="L105"/>
    </row>
    <row r="106" spans="1:12" ht="15" x14ac:dyDescent="0.25">
      <c r="A106"/>
      <c r="B106"/>
      <c r="C106"/>
      <c r="D106"/>
      <c r="E106"/>
      <c r="F106"/>
      <c r="G106"/>
      <c r="H106"/>
      <c r="I106"/>
      <c r="J106"/>
      <c r="K106"/>
      <c r="L106"/>
    </row>
    <row r="107" spans="1:12" ht="15" x14ac:dyDescent="0.25">
      <c r="A107"/>
      <c r="B107"/>
      <c r="C107"/>
      <c r="D107"/>
      <c r="E107"/>
      <c r="F107"/>
      <c r="G107"/>
      <c r="H107"/>
      <c r="I107"/>
      <c r="J107"/>
      <c r="K107"/>
      <c r="L107"/>
    </row>
    <row r="108" spans="1:12" ht="15" x14ac:dyDescent="0.25">
      <c r="A108"/>
      <c r="B108"/>
      <c r="C108"/>
      <c r="D108"/>
      <c r="E108"/>
      <c r="F108"/>
      <c r="G108"/>
      <c r="H108"/>
      <c r="I108"/>
      <c r="J108"/>
      <c r="K108"/>
      <c r="L108"/>
    </row>
    <row r="109" spans="1:12" ht="15" x14ac:dyDescent="0.25">
      <c r="A109"/>
      <c r="B109"/>
      <c r="C109"/>
      <c r="D109"/>
      <c r="E109"/>
      <c r="F109"/>
      <c r="G109"/>
      <c r="H109"/>
      <c r="I109"/>
      <c r="J109"/>
      <c r="K109"/>
      <c r="L109"/>
    </row>
    <row r="110" spans="1:12" ht="15" x14ac:dyDescent="0.25">
      <c r="A110"/>
      <c r="B110"/>
      <c r="C110"/>
      <c r="D110"/>
      <c r="E110"/>
      <c r="F110"/>
      <c r="G110"/>
      <c r="H110"/>
      <c r="I110"/>
      <c r="J110"/>
      <c r="K110"/>
      <c r="L110"/>
    </row>
    <row r="111" spans="1:12" ht="15" x14ac:dyDescent="0.25">
      <c r="A111"/>
      <c r="B111"/>
      <c r="C111"/>
      <c r="D111"/>
      <c r="E111"/>
      <c r="F111"/>
      <c r="G111"/>
      <c r="H111"/>
      <c r="I111"/>
      <c r="J111"/>
      <c r="K111"/>
      <c r="L111"/>
    </row>
    <row r="112" spans="1:12" ht="15" x14ac:dyDescent="0.25">
      <c r="A112"/>
      <c r="B112"/>
      <c r="C112"/>
      <c r="D112"/>
      <c r="E112"/>
      <c r="F112"/>
      <c r="G112"/>
      <c r="H112"/>
      <c r="I112"/>
      <c r="J112"/>
      <c r="K112"/>
      <c r="L112"/>
    </row>
    <row r="113" spans="1:12" ht="15" x14ac:dyDescent="0.25">
      <c r="A113"/>
      <c r="B113"/>
      <c r="C113"/>
      <c r="D113"/>
      <c r="E113"/>
      <c r="F113"/>
      <c r="G113"/>
      <c r="H113"/>
      <c r="I113"/>
      <c r="J113"/>
      <c r="K113"/>
      <c r="L113"/>
    </row>
    <row r="114" spans="1:12" ht="15" x14ac:dyDescent="0.25">
      <c r="A114"/>
      <c r="B114"/>
      <c r="C114"/>
      <c r="D114"/>
      <c r="E114"/>
      <c r="F114"/>
      <c r="G114"/>
      <c r="H114"/>
      <c r="I114"/>
      <c r="J114"/>
      <c r="K114"/>
      <c r="L114"/>
    </row>
    <row r="115" spans="1:12" ht="15" x14ac:dyDescent="0.25">
      <c r="A115"/>
      <c r="B115"/>
      <c r="C115"/>
      <c r="D115"/>
      <c r="E115"/>
      <c r="F115"/>
      <c r="G115"/>
      <c r="H115"/>
      <c r="I115"/>
      <c r="J115"/>
      <c r="K115"/>
      <c r="L115"/>
    </row>
    <row r="116" spans="1:12" ht="15" x14ac:dyDescent="0.25">
      <c r="A116"/>
      <c r="B116"/>
      <c r="C116"/>
      <c r="D116"/>
      <c r="E116"/>
      <c r="F116"/>
      <c r="G116"/>
      <c r="H116"/>
      <c r="I116"/>
      <c r="J116"/>
      <c r="K116"/>
      <c r="L116"/>
    </row>
    <row r="117" spans="1:12" ht="15" x14ac:dyDescent="0.25">
      <c r="A117"/>
      <c r="B117"/>
      <c r="C117"/>
      <c r="D117"/>
      <c r="E117"/>
      <c r="F117"/>
      <c r="G117"/>
      <c r="H117"/>
      <c r="I117"/>
      <c r="J117"/>
      <c r="K117"/>
      <c r="L117"/>
    </row>
    <row r="118" spans="1:12" ht="15" x14ac:dyDescent="0.25">
      <c r="A118"/>
      <c r="B118"/>
      <c r="C118"/>
      <c r="D118"/>
      <c r="E118"/>
      <c r="F118"/>
      <c r="G118"/>
      <c r="H118"/>
      <c r="I118"/>
      <c r="J118"/>
      <c r="K118"/>
      <c r="L118"/>
    </row>
    <row r="119" spans="1:12" ht="15" x14ac:dyDescent="0.25">
      <c r="A119"/>
      <c r="B119"/>
      <c r="C119"/>
      <c r="D119"/>
      <c r="E119"/>
      <c r="F119"/>
      <c r="G119"/>
      <c r="H119"/>
      <c r="I119"/>
      <c r="J119"/>
      <c r="K119"/>
      <c r="L119"/>
    </row>
    <row r="120" spans="1:12" ht="15" x14ac:dyDescent="0.25">
      <c r="A120"/>
      <c r="B120"/>
      <c r="C120"/>
      <c r="D120"/>
      <c r="E120"/>
      <c r="F120"/>
      <c r="G120"/>
      <c r="H120"/>
      <c r="I120"/>
      <c r="J120"/>
      <c r="K120"/>
      <c r="L120"/>
    </row>
    <row r="121" spans="1:12" ht="15" x14ac:dyDescent="0.25">
      <c r="A121"/>
      <c r="B121"/>
      <c r="C121"/>
      <c r="D121"/>
      <c r="E121"/>
      <c r="F121"/>
      <c r="G121"/>
      <c r="H121"/>
      <c r="I121"/>
      <c r="J121"/>
      <c r="K121"/>
      <c r="L121"/>
    </row>
    <row r="122" spans="1:12" ht="15" x14ac:dyDescent="0.25">
      <c r="A122"/>
      <c r="B122"/>
      <c r="C122"/>
      <c r="D122"/>
      <c r="E122"/>
      <c r="F122"/>
      <c r="G122"/>
      <c r="H122"/>
      <c r="I122"/>
      <c r="J122"/>
      <c r="K122"/>
      <c r="L122"/>
    </row>
    <row r="123" spans="1:12" ht="15" x14ac:dyDescent="0.25">
      <c r="A123"/>
      <c r="B123"/>
      <c r="C123"/>
      <c r="D123"/>
      <c r="E123"/>
      <c r="F123"/>
      <c r="G123"/>
      <c r="H123"/>
      <c r="I123"/>
      <c r="J123"/>
      <c r="K123"/>
      <c r="L123"/>
    </row>
    <row r="124" spans="1:12" ht="15" x14ac:dyDescent="0.25">
      <c r="A124"/>
      <c r="B124"/>
      <c r="C124"/>
      <c r="D124"/>
      <c r="E124"/>
      <c r="F124"/>
      <c r="G124"/>
      <c r="H124"/>
      <c r="I124"/>
      <c r="J124"/>
      <c r="K124"/>
      <c r="L124"/>
    </row>
    <row r="125" spans="1:12" ht="15" x14ac:dyDescent="0.25">
      <c r="A125"/>
      <c r="B125"/>
      <c r="C125"/>
      <c r="D125"/>
      <c r="E125"/>
      <c r="F125"/>
      <c r="G125"/>
      <c r="H125"/>
      <c r="I125"/>
      <c r="J125"/>
      <c r="K125"/>
      <c r="L125"/>
    </row>
    <row r="126" spans="1:12" ht="15" x14ac:dyDescent="0.25">
      <c r="A126"/>
      <c r="B126"/>
      <c r="C126"/>
      <c r="D126"/>
      <c r="E126"/>
      <c r="F126"/>
      <c r="G126"/>
      <c r="H126"/>
      <c r="I126"/>
      <c r="J126"/>
      <c r="K126"/>
      <c r="L126"/>
    </row>
    <row r="127" spans="1:12" ht="15" x14ac:dyDescent="0.25">
      <c r="A127"/>
      <c r="B127"/>
      <c r="C127"/>
      <c r="D127"/>
      <c r="E127"/>
      <c r="F127"/>
      <c r="G127"/>
      <c r="H127"/>
      <c r="I127"/>
      <c r="J127"/>
      <c r="K127"/>
      <c r="L127"/>
    </row>
    <row r="128" spans="1:12" ht="15" x14ac:dyDescent="0.25">
      <c r="A128"/>
      <c r="B128"/>
      <c r="C128"/>
      <c r="D128"/>
      <c r="E128"/>
      <c r="F128"/>
      <c r="G128"/>
      <c r="H128"/>
      <c r="I128"/>
      <c r="J128"/>
      <c r="K128"/>
      <c r="L128"/>
    </row>
    <row r="129" spans="1:12" ht="15" x14ac:dyDescent="0.25">
      <c r="A129"/>
      <c r="B129"/>
      <c r="C129"/>
      <c r="D129"/>
      <c r="E129"/>
      <c r="F129"/>
      <c r="G129"/>
      <c r="H129"/>
      <c r="I129"/>
      <c r="J129"/>
      <c r="K129"/>
      <c r="L129"/>
    </row>
    <row r="130" spans="1:12" ht="15" x14ac:dyDescent="0.25">
      <c r="A130"/>
      <c r="B130"/>
      <c r="C130"/>
      <c r="D130"/>
      <c r="E130"/>
      <c r="F130"/>
      <c r="G130"/>
      <c r="H130"/>
      <c r="I130"/>
      <c r="J130"/>
      <c r="K130"/>
      <c r="L130"/>
    </row>
    <row r="131" spans="1:12" ht="15" x14ac:dyDescent="0.25">
      <c r="A131"/>
      <c r="B131"/>
      <c r="C131"/>
      <c r="D131"/>
      <c r="E131"/>
      <c r="F131"/>
      <c r="G131"/>
      <c r="H131"/>
      <c r="I131"/>
      <c r="J131"/>
      <c r="K131"/>
      <c r="L131"/>
    </row>
    <row r="132" spans="1:12" ht="15" x14ac:dyDescent="0.25">
      <c r="A132"/>
      <c r="B132"/>
      <c r="C132"/>
      <c r="D132"/>
      <c r="E132"/>
      <c r="F132"/>
      <c r="G132"/>
      <c r="H132"/>
      <c r="I132"/>
      <c r="J132"/>
      <c r="K132"/>
      <c r="L132"/>
    </row>
    <row r="133" spans="1:12" ht="15" x14ac:dyDescent="0.25">
      <c r="A133"/>
      <c r="B133"/>
      <c r="C133"/>
      <c r="D133"/>
      <c r="E133"/>
      <c r="F133"/>
      <c r="G133"/>
      <c r="H133"/>
      <c r="I133"/>
      <c r="J133"/>
      <c r="K133"/>
      <c r="L133"/>
    </row>
    <row r="134" spans="1:12" ht="15" x14ac:dyDescent="0.25">
      <c r="A134"/>
      <c r="B134"/>
      <c r="C134"/>
      <c r="D134"/>
      <c r="E134"/>
      <c r="F134"/>
      <c r="G134"/>
      <c r="H134"/>
      <c r="I134"/>
      <c r="J134"/>
      <c r="K134"/>
      <c r="L134"/>
    </row>
    <row r="135" spans="1:12" ht="15" x14ac:dyDescent="0.25">
      <c r="A135"/>
      <c r="B135"/>
      <c r="C135"/>
      <c r="D135"/>
      <c r="E135"/>
      <c r="F135"/>
      <c r="G135"/>
      <c r="H135"/>
      <c r="I135"/>
      <c r="J135"/>
      <c r="K135"/>
      <c r="L135"/>
    </row>
    <row r="136" spans="1:12" ht="15" x14ac:dyDescent="0.25">
      <c r="A136"/>
      <c r="B136"/>
      <c r="C136"/>
      <c r="D136"/>
      <c r="E136"/>
      <c r="F136"/>
      <c r="G136"/>
      <c r="H136"/>
      <c r="I136"/>
      <c r="J136"/>
      <c r="K136"/>
      <c r="L136"/>
    </row>
    <row r="137" spans="1:12" ht="15" x14ac:dyDescent="0.25">
      <c r="A137"/>
      <c r="B137"/>
      <c r="C137"/>
      <c r="D137"/>
      <c r="E137"/>
      <c r="F137"/>
      <c r="G137"/>
      <c r="H137"/>
      <c r="I137"/>
      <c r="J137"/>
      <c r="K137"/>
      <c r="L137"/>
    </row>
    <row r="138" spans="1:12" ht="15" x14ac:dyDescent="0.25">
      <c r="A138"/>
      <c r="B138"/>
      <c r="C138"/>
      <c r="D138"/>
      <c r="E138"/>
      <c r="F138"/>
      <c r="G138"/>
      <c r="H138"/>
      <c r="I138"/>
      <c r="J138"/>
      <c r="K138"/>
      <c r="L138"/>
    </row>
    <row r="139" spans="1:12" ht="15" x14ac:dyDescent="0.25">
      <c r="A139"/>
      <c r="B139"/>
      <c r="C139"/>
      <c r="D139"/>
      <c r="E139"/>
      <c r="F139"/>
      <c r="G139"/>
      <c r="H139"/>
      <c r="I139"/>
      <c r="J139"/>
      <c r="K139"/>
      <c r="L139"/>
    </row>
    <row r="140" spans="1:12" ht="15" x14ac:dyDescent="0.25">
      <c r="A140"/>
      <c r="B140"/>
      <c r="C140"/>
      <c r="D140"/>
      <c r="E140"/>
      <c r="F140"/>
      <c r="G140"/>
      <c r="H140"/>
      <c r="I140"/>
      <c r="J140"/>
      <c r="K140"/>
      <c r="L140"/>
    </row>
    <row r="141" spans="1:12" ht="15" x14ac:dyDescent="0.25">
      <c r="A141"/>
      <c r="B141"/>
      <c r="C141"/>
      <c r="D141"/>
      <c r="E141"/>
      <c r="F141"/>
      <c r="G141"/>
      <c r="H141"/>
      <c r="I141"/>
      <c r="J141"/>
      <c r="K141"/>
      <c r="L141"/>
    </row>
    <row r="142" spans="1:12" ht="15" x14ac:dyDescent="0.25">
      <c r="A142"/>
      <c r="B142"/>
      <c r="C142"/>
      <c r="D142"/>
      <c r="E142"/>
      <c r="F142"/>
      <c r="G142"/>
      <c r="H142"/>
      <c r="I142"/>
      <c r="J142"/>
      <c r="K142"/>
      <c r="L142"/>
    </row>
    <row r="143" spans="1:12" ht="15" x14ac:dyDescent="0.25">
      <c r="A143"/>
      <c r="B143"/>
      <c r="C143"/>
      <c r="D143"/>
      <c r="E143"/>
      <c r="F143"/>
      <c r="G143"/>
      <c r="H143"/>
      <c r="I143"/>
      <c r="J143"/>
      <c r="K143"/>
      <c r="L143"/>
    </row>
    <row r="144" spans="1:12" ht="15" x14ac:dyDescent="0.25">
      <c r="A144"/>
      <c r="B144"/>
      <c r="C144"/>
      <c r="D144"/>
      <c r="E144"/>
      <c r="F144"/>
      <c r="G144"/>
      <c r="H144"/>
      <c r="I144"/>
      <c r="J144"/>
      <c r="K144"/>
      <c r="L144"/>
    </row>
    <row r="145" spans="1:12" ht="15" x14ac:dyDescent="0.25">
      <c r="A145"/>
      <c r="B145"/>
      <c r="C145"/>
      <c r="D145"/>
      <c r="E145"/>
      <c r="F145"/>
      <c r="G145"/>
      <c r="H145"/>
      <c r="I145"/>
      <c r="J145"/>
      <c r="K145"/>
      <c r="L145"/>
    </row>
    <row r="146" spans="1:12" ht="15" x14ac:dyDescent="0.25">
      <c r="A146"/>
      <c r="B146"/>
      <c r="C146"/>
      <c r="D146"/>
      <c r="E146"/>
      <c r="F146"/>
      <c r="G146"/>
      <c r="H146"/>
      <c r="I146"/>
      <c r="J146"/>
      <c r="K146"/>
      <c r="L146"/>
    </row>
    <row r="147" spans="1:12" ht="15" x14ac:dyDescent="0.25">
      <c r="A147"/>
      <c r="B147"/>
      <c r="C147"/>
      <c r="D147"/>
      <c r="E147"/>
      <c r="F147"/>
      <c r="G147"/>
      <c r="H147"/>
      <c r="I147"/>
      <c r="J147"/>
      <c r="K147"/>
      <c r="L147"/>
    </row>
    <row r="148" spans="1:12" ht="15" x14ac:dyDescent="0.25">
      <c r="A148"/>
      <c r="B148"/>
      <c r="C148"/>
      <c r="D148"/>
      <c r="E148"/>
      <c r="F148"/>
      <c r="G148"/>
      <c r="H148"/>
      <c r="I148"/>
      <c r="J148"/>
      <c r="K148"/>
      <c r="L148"/>
    </row>
    <row r="149" spans="1:12" ht="15" x14ac:dyDescent="0.25">
      <c r="A149"/>
      <c r="B149"/>
      <c r="C149"/>
      <c r="D149"/>
      <c r="E149"/>
      <c r="F149"/>
      <c r="G149"/>
      <c r="H149"/>
      <c r="I149"/>
      <c r="J149"/>
      <c r="K149"/>
      <c r="L149"/>
    </row>
    <row r="150" spans="1:12" ht="15" x14ac:dyDescent="0.25">
      <c r="A150"/>
      <c r="B150"/>
      <c r="C150"/>
      <c r="D150"/>
      <c r="E150"/>
      <c r="F150"/>
      <c r="G150"/>
      <c r="H150"/>
      <c r="I150"/>
      <c r="J150"/>
      <c r="K150"/>
      <c r="L150"/>
    </row>
    <row r="151" spans="1:12" ht="15" x14ac:dyDescent="0.25">
      <c r="A151"/>
      <c r="B151"/>
      <c r="C151"/>
      <c r="D151"/>
      <c r="E151"/>
      <c r="F151"/>
      <c r="G151"/>
      <c r="H151"/>
      <c r="I151"/>
      <c r="J151"/>
      <c r="K151"/>
      <c r="L151"/>
    </row>
    <row r="152" spans="1:12" ht="15" x14ac:dyDescent="0.25">
      <c r="A152"/>
      <c r="B152"/>
      <c r="C152"/>
      <c r="D152"/>
      <c r="E152"/>
      <c r="F152"/>
      <c r="G152"/>
      <c r="H152"/>
      <c r="I152"/>
      <c r="J152"/>
      <c r="K152"/>
      <c r="L152"/>
    </row>
    <row r="153" spans="1:12" ht="15" x14ac:dyDescent="0.25">
      <c r="A153"/>
      <c r="B153"/>
      <c r="C153"/>
      <c r="D153"/>
      <c r="E153"/>
      <c r="F153"/>
      <c r="G153"/>
      <c r="H153"/>
      <c r="I153"/>
      <c r="J153"/>
      <c r="K153"/>
      <c r="L153"/>
    </row>
    <row r="154" spans="1:12" ht="15" x14ac:dyDescent="0.25">
      <c r="A154"/>
      <c r="B154"/>
      <c r="C154"/>
      <c r="D154"/>
      <c r="E154"/>
      <c r="F154"/>
      <c r="G154"/>
      <c r="H154"/>
      <c r="I154"/>
      <c r="J154"/>
      <c r="K154"/>
      <c r="L154"/>
    </row>
    <row r="155" spans="1:12" ht="15" x14ac:dyDescent="0.25">
      <c r="A155"/>
      <c r="B155"/>
      <c r="C155"/>
      <c r="D155"/>
      <c r="E155"/>
      <c r="F155"/>
      <c r="G155"/>
      <c r="H155"/>
      <c r="I155"/>
      <c r="J155"/>
      <c r="K155"/>
      <c r="L155"/>
    </row>
    <row r="156" spans="1:12" ht="15" x14ac:dyDescent="0.25">
      <c r="A156"/>
      <c r="B156"/>
      <c r="C156"/>
      <c r="D156"/>
      <c r="E156"/>
      <c r="F156"/>
      <c r="G156"/>
      <c r="H156"/>
      <c r="I156"/>
      <c r="J156"/>
      <c r="K156"/>
      <c r="L156"/>
    </row>
    <row r="157" spans="1:12" ht="15" x14ac:dyDescent="0.25">
      <c r="A157"/>
      <c r="B157"/>
      <c r="C157"/>
      <c r="D157"/>
      <c r="E157"/>
      <c r="F157"/>
      <c r="G157"/>
      <c r="H157"/>
      <c r="I157"/>
      <c r="J157"/>
      <c r="K157"/>
      <c r="L157"/>
    </row>
    <row r="158" spans="1:12" ht="15" x14ac:dyDescent="0.25">
      <c r="A158"/>
      <c r="B158"/>
      <c r="C158"/>
      <c r="D158"/>
      <c r="E158"/>
      <c r="F158"/>
      <c r="G158"/>
      <c r="H158"/>
      <c r="I158"/>
      <c r="J158"/>
      <c r="K158"/>
      <c r="L158"/>
    </row>
    <row r="159" spans="1:12" ht="15" x14ac:dyDescent="0.25">
      <c r="A159"/>
      <c r="B159"/>
      <c r="C159"/>
      <c r="D159"/>
      <c r="E159"/>
      <c r="F159"/>
      <c r="G159"/>
      <c r="H159"/>
      <c r="I159"/>
      <c r="J159"/>
      <c r="K159"/>
      <c r="L159"/>
    </row>
    <row r="160" spans="1:12" ht="15" x14ac:dyDescent="0.25">
      <c r="A160"/>
      <c r="B160"/>
      <c r="C160"/>
      <c r="D160"/>
      <c r="E160"/>
      <c r="F160"/>
      <c r="G160"/>
      <c r="H160"/>
      <c r="I160"/>
      <c r="J160"/>
      <c r="K160"/>
      <c r="L160"/>
    </row>
    <row r="161" spans="1:12" ht="15" x14ac:dyDescent="0.25">
      <c r="A161"/>
      <c r="B161"/>
      <c r="C161"/>
      <c r="D161"/>
      <c r="E161"/>
      <c r="F161"/>
      <c r="G161"/>
      <c r="H161"/>
      <c r="I161"/>
      <c r="J161"/>
      <c r="K161"/>
      <c r="L161"/>
    </row>
    <row r="162" spans="1:12" ht="15" x14ac:dyDescent="0.25">
      <c r="A162"/>
      <c r="B162"/>
      <c r="C162"/>
      <c r="D162"/>
      <c r="E162"/>
      <c r="F162"/>
      <c r="G162"/>
      <c r="H162"/>
      <c r="I162"/>
      <c r="J162"/>
      <c r="K162"/>
      <c r="L162"/>
    </row>
    <row r="163" spans="1:12" ht="15" x14ac:dyDescent="0.25">
      <c r="A163"/>
      <c r="B163"/>
      <c r="C163"/>
      <c r="D163"/>
      <c r="E163"/>
      <c r="F163"/>
      <c r="G163"/>
      <c r="H163"/>
      <c r="I163"/>
      <c r="J163"/>
      <c r="K163"/>
      <c r="L163"/>
    </row>
    <row r="164" spans="1:12" ht="15" x14ac:dyDescent="0.25">
      <c r="A164"/>
      <c r="B164"/>
      <c r="C164"/>
      <c r="D164"/>
      <c r="E164"/>
      <c r="F164"/>
      <c r="G164"/>
      <c r="H164"/>
      <c r="I164"/>
      <c r="J164"/>
      <c r="K164"/>
      <c r="L164"/>
    </row>
    <row r="165" spans="1:12" ht="15" x14ac:dyDescent="0.25">
      <c r="A165"/>
      <c r="B165"/>
      <c r="C165"/>
      <c r="D165"/>
      <c r="E165"/>
      <c r="F165"/>
      <c r="G165"/>
      <c r="H165"/>
      <c r="I165"/>
      <c r="J165"/>
      <c r="K165"/>
      <c r="L165"/>
    </row>
    <row r="166" spans="1:12" ht="15" x14ac:dyDescent="0.25">
      <c r="A166"/>
      <c r="B166"/>
      <c r="C166"/>
      <c r="D166"/>
      <c r="E166"/>
      <c r="F166"/>
      <c r="G166"/>
      <c r="H166"/>
      <c r="I166"/>
      <c r="J166"/>
      <c r="K166"/>
      <c r="L166"/>
    </row>
    <row r="167" spans="1:12" ht="15" x14ac:dyDescent="0.25">
      <c r="A167"/>
      <c r="B167"/>
      <c r="C167"/>
      <c r="D167"/>
      <c r="E167"/>
      <c r="F167"/>
      <c r="G167"/>
      <c r="H167"/>
      <c r="I167"/>
      <c r="J167"/>
      <c r="K167"/>
      <c r="L167"/>
    </row>
    <row r="168" spans="1:12" ht="15" x14ac:dyDescent="0.25">
      <c r="A168"/>
      <c r="B168"/>
      <c r="C168"/>
      <c r="D168"/>
      <c r="E168"/>
      <c r="F168"/>
      <c r="G168"/>
      <c r="H168"/>
      <c r="I168"/>
      <c r="J168"/>
      <c r="K168"/>
      <c r="L168"/>
    </row>
    <row r="169" spans="1:12" ht="15" x14ac:dyDescent="0.25">
      <c r="A169"/>
      <c r="B169"/>
      <c r="C169"/>
      <c r="D169"/>
      <c r="E169"/>
      <c r="F169"/>
      <c r="G169"/>
      <c r="H169"/>
      <c r="I169"/>
      <c r="J169"/>
      <c r="K169"/>
      <c r="L169"/>
    </row>
    <row r="170" spans="1:12" ht="15" x14ac:dyDescent="0.25">
      <c r="A170"/>
      <c r="B170"/>
      <c r="C170"/>
      <c r="D170"/>
      <c r="E170"/>
      <c r="F170"/>
      <c r="G170"/>
      <c r="H170"/>
      <c r="I170"/>
      <c r="J170"/>
      <c r="K170"/>
      <c r="L170"/>
    </row>
    <row r="171" spans="1:12" ht="15" x14ac:dyDescent="0.25">
      <c r="A171"/>
      <c r="B171"/>
      <c r="C171"/>
      <c r="D171"/>
      <c r="E171"/>
      <c r="F171"/>
      <c r="G171"/>
      <c r="H171"/>
      <c r="I171"/>
      <c r="J171"/>
      <c r="K171"/>
      <c r="L171"/>
    </row>
    <row r="172" spans="1:12" ht="15" x14ac:dyDescent="0.25">
      <c r="A172"/>
      <c r="B172"/>
      <c r="C172"/>
      <c r="D172"/>
      <c r="E172"/>
      <c r="F172"/>
      <c r="G172"/>
      <c r="H172"/>
      <c r="I172"/>
      <c r="J172"/>
      <c r="K172"/>
      <c r="L172"/>
    </row>
    <row r="173" spans="1:12" ht="15" x14ac:dyDescent="0.25">
      <c r="A173"/>
      <c r="B173"/>
      <c r="C173"/>
      <c r="D173"/>
      <c r="E173"/>
      <c r="F173"/>
      <c r="G173"/>
      <c r="H173"/>
      <c r="I173"/>
      <c r="J173"/>
      <c r="K173"/>
      <c r="L173"/>
    </row>
    <row r="174" spans="1:12" ht="15" x14ac:dyDescent="0.25">
      <c r="A174"/>
      <c r="B174"/>
      <c r="C174"/>
      <c r="D174"/>
      <c r="E174"/>
      <c r="F174"/>
      <c r="G174"/>
      <c r="H174"/>
      <c r="I174"/>
      <c r="J174"/>
      <c r="K174"/>
      <c r="L174"/>
    </row>
    <row r="175" spans="1:12" ht="15" x14ac:dyDescent="0.25">
      <c r="A175"/>
      <c r="B175"/>
      <c r="C175"/>
      <c r="D175"/>
      <c r="E175"/>
      <c r="F175"/>
      <c r="G175"/>
      <c r="H175"/>
      <c r="I175"/>
      <c r="J175"/>
      <c r="K175"/>
      <c r="L175"/>
    </row>
    <row r="176" spans="1:12" ht="15" x14ac:dyDescent="0.25">
      <c r="A176"/>
      <c r="B176"/>
      <c r="C176"/>
      <c r="D176"/>
      <c r="E176"/>
      <c r="F176"/>
      <c r="G176"/>
      <c r="H176"/>
      <c r="I176"/>
      <c r="J176"/>
      <c r="K176"/>
      <c r="L176"/>
    </row>
    <row r="177" spans="1:12" ht="15" x14ac:dyDescent="0.25">
      <c r="A177"/>
      <c r="B177"/>
      <c r="C177"/>
      <c r="D177"/>
      <c r="E177"/>
      <c r="F177"/>
      <c r="G177"/>
      <c r="H177"/>
      <c r="I177"/>
      <c r="J177"/>
      <c r="K177"/>
      <c r="L177"/>
    </row>
    <row r="178" spans="1:12" ht="15" x14ac:dyDescent="0.25">
      <c r="A178"/>
      <c r="B178"/>
      <c r="C178"/>
      <c r="D178"/>
      <c r="E178"/>
      <c r="F178"/>
      <c r="G178"/>
      <c r="H178"/>
      <c r="I178"/>
      <c r="J178"/>
      <c r="K178"/>
      <c r="L178"/>
    </row>
    <row r="179" spans="1:12" ht="15" x14ac:dyDescent="0.25">
      <c r="A179"/>
      <c r="B179"/>
      <c r="C179"/>
      <c r="D179"/>
      <c r="E179"/>
      <c r="F179"/>
      <c r="G179"/>
      <c r="H179"/>
      <c r="I179"/>
      <c r="J179"/>
      <c r="K179"/>
      <c r="L179"/>
    </row>
    <row r="180" spans="1:12" ht="15" x14ac:dyDescent="0.25">
      <c r="A180"/>
      <c r="B180"/>
      <c r="C180"/>
      <c r="D180"/>
      <c r="E180"/>
      <c r="F180"/>
      <c r="G180"/>
      <c r="H180"/>
      <c r="I180"/>
      <c r="J180"/>
      <c r="K180"/>
      <c r="L180"/>
    </row>
    <row r="181" spans="1:12" ht="15" x14ac:dyDescent="0.25">
      <c r="A181"/>
      <c r="B181"/>
      <c r="C181"/>
      <c r="D181"/>
      <c r="E181"/>
      <c r="F181"/>
      <c r="G181"/>
      <c r="H181"/>
      <c r="I181"/>
      <c r="J181"/>
      <c r="K181"/>
      <c r="L181"/>
    </row>
    <row r="182" spans="1:12" ht="15" x14ac:dyDescent="0.25">
      <c r="A182"/>
      <c r="B182"/>
      <c r="C182"/>
      <c r="D182"/>
      <c r="E182"/>
      <c r="F182"/>
      <c r="G182"/>
      <c r="H182"/>
      <c r="I182"/>
      <c r="J182"/>
      <c r="K182"/>
      <c r="L182"/>
    </row>
    <row r="183" spans="1:12" ht="15" x14ac:dyDescent="0.25">
      <c r="A183"/>
      <c r="B183"/>
      <c r="C183"/>
      <c r="D183"/>
      <c r="E183"/>
      <c r="F183"/>
      <c r="G183"/>
      <c r="H183"/>
      <c r="I183"/>
      <c r="J183"/>
      <c r="K183"/>
      <c r="L183"/>
    </row>
    <row r="184" spans="1:12" ht="15" x14ac:dyDescent="0.25">
      <c r="A184"/>
      <c r="B184"/>
      <c r="C184"/>
      <c r="D184"/>
      <c r="E184"/>
      <c r="F184"/>
      <c r="G184"/>
      <c r="H184"/>
      <c r="I184"/>
      <c r="J184"/>
      <c r="K184"/>
      <c r="L184"/>
    </row>
    <row r="185" spans="1:12" ht="15" x14ac:dyDescent="0.25">
      <c r="A185"/>
      <c r="B185"/>
      <c r="C185"/>
      <c r="D185"/>
      <c r="E185"/>
      <c r="F185"/>
      <c r="G185"/>
      <c r="H185"/>
      <c r="I185"/>
      <c r="J185"/>
      <c r="K185"/>
      <c r="L185"/>
    </row>
    <row r="186" spans="1:12" ht="15" x14ac:dyDescent="0.25">
      <c r="A186"/>
      <c r="B186"/>
      <c r="C186"/>
      <c r="D186"/>
      <c r="E186"/>
      <c r="F186"/>
      <c r="G186"/>
      <c r="H186"/>
      <c r="I186"/>
      <c r="J186"/>
      <c r="K186"/>
      <c r="L186"/>
    </row>
    <row r="187" spans="1:12" ht="15" x14ac:dyDescent="0.25">
      <c r="A187"/>
      <c r="B187"/>
      <c r="C187"/>
      <c r="D187"/>
      <c r="E187"/>
      <c r="F187"/>
      <c r="G187"/>
      <c r="H187"/>
      <c r="I187"/>
      <c r="J187"/>
      <c r="K187"/>
      <c r="L187"/>
    </row>
    <row r="188" spans="1:12" ht="15" x14ac:dyDescent="0.25">
      <c r="A188"/>
      <c r="B188"/>
      <c r="C188"/>
      <c r="D188"/>
      <c r="E188"/>
      <c r="F188"/>
      <c r="G188"/>
      <c r="H188"/>
      <c r="I188"/>
      <c r="J188"/>
      <c r="K188"/>
      <c r="L188"/>
    </row>
    <row r="189" spans="1:12" ht="15" x14ac:dyDescent="0.25">
      <c r="A189"/>
      <c r="B189"/>
      <c r="C189"/>
      <c r="D189"/>
      <c r="E189"/>
      <c r="F189"/>
      <c r="G189"/>
      <c r="H189"/>
      <c r="I189"/>
      <c r="J189"/>
      <c r="K189"/>
      <c r="L189"/>
    </row>
    <row r="190" spans="1:12" ht="15" x14ac:dyDescent="0.25">
      <c r="A190"/>
      <c r="B190"/>
      <c r="C190"/>
      <c r="D190"/>
      <c r="E190"/>
      <c r="F190"/>
      <c r="G190"/>
      <c r="H190"/>
      <c r="I190"/>
      <c r="J190"/>
      <c r="K190"/>
      <c r="L190"/>
    </row>
    <row r="191" spans="1:12" ht="15" x14ac:dyDescent="0.25">
      <c r="A191"/>
      <c r="B191"/>
      <c r="C191"/>
      <c r="D191"/>
      <c r="E191"/>
      <c r="F191"/>
      <c r="G191"/>
      <c r="H191"/>
      <c r="I191"/>
      <c r="J191"/>
      <c r="K191"/>
      <c r="L191"/>
    </row>
    <row r="192" spans="1:12" ht="15" x14ac:dyDescent="0.25">
      <c r="A192"/>
      <c r="B192"/>
      <c r="C192"/>
      <c r="D192"/>
      <c r="E192"/>
      <c r="F192"/>
      <c r="G192"/>
      <c r="H192"/>
      <c r="I192"/>
      <c r="J192"/>
      <c r="K192"/>
      <c r="L192"/>
    </row>
    <row r="193" spans="1:12" ht="15" x14ac:dyDescent="0.25">
      <c r="A193"/>
      <c r="B193"/>
      <c r="C193"/>
      <c r="D193"/>
      <c r="E193"/>
      <c r="F193"/>
      <c r="G193"/>
      <c r="H193"/>
      <c r="I193"/>
      <c r="J193"/>
      <c r="K193"/>
      <c r="L193"/>
    </row>
    <row r="194" spans="1:12" ht="15" x14ac:dyDescent="0.25">
      <c r="A194"/>
      <c r="B194"/>
      <c r="C194"/>
      <c r="D194"/>
      <c r="E194"/>
      <c r="F194"/>
      <c r="G194"/>
      <c r="H194"/>
      <c r="I194"/>
      <c r="J194"/>
      <c r="K194"/>
      <c r="L194"/>
    </row>
    <row r="195" spans="1:12" ht="15" x14ac:dyDescent="0.25">
      <c r="A195"/>
      <c r="B195"/>
      <c r="C195"/>
      <c r="D195"/>
      <c r="E195"/>
      <c r="F195"/>
      <c r="G195"/>
      <c r="H195"/>
      <c r="I195"/>
      <c r="J195"/>
      <c r="K195"/>
      <c r="L195"/>
    </row>
    <row r="196" spans="1:12" ht="15" x14ac:dyDescent="0.25">
      <c r="A196"/>
      <c r="B196"/>
      <c r="C196"/>
      <c r="D196"/>
      <c r="E196"/>
      <c r="F196"/>
      <c r="G196"/>
      <c r="H196"/>
      <c r="I196"/>
      <c r="J196"/>
      <c r="K196"/>
      <c r="L196"/>
    </row>
    <row r="197" spans="1:12" ht="15" x14ac:dyDescent="0.25">
      <c r="A197"/>
      <c r="B197"/>
      <c r="C197"/>
      <c r="D197"/>
      <c r="E197"/>
      <c r="F197"/>
      <c r="G197"/>
      <c r="H197"/>
      <c r="I197"/>
      <c r="J197"/>
      <c r="K197"/>
      <c r="L197"/>
    </row>
    <row r="198" spans="1:12" ht="15" x14ac:dyDescent="0.25">
      <c r="A198"/>
      <c r="B198"/>
      <c r="C198"/>
      <c r="D198"/>
      <c r="E198"/>
      <c r="F198"/>
      <c r="G198"/>
      <c r="H198"/>
      <c r="I198"/>
      <c r="J198"/>
      <c r="K198"/>
      <c r="L198"/>
    </row>
    <row r="199" spans="1:12" ht="15" x14ac:dyDescent="0.25">
      <c r="A199"/>
      <c r="B199"/>
      <c r="C199"/>
      <c r="D199"/>
      <c r="E199"/>
      <c r="F199"/>
      <c r="G199"/>
      <c r="H199"/>
      <c r="I199"/>
      <c r="J199"/>
      <c r="K199"/>
      <c r="L199"/>
    </row>
    <row r="200" spans="1:12" ht="15" x14ac:dyDescent="0.25">
      <c r="A200"/>
      <c r="B200"/>
      <c r="C200"/>
      <c r="D200"/>
      <c r="E200"/>
      <c r="F200"/>
      <c r="G200"/>
      <c r="H200"/>
      <c r="I200"/>
      <c r="J200"/>
      <c r="K200"/>
      <c r="L200"/>
    </row>
    <row r="201" spans="1:12" ht="15" x14ac:dyDescent="0.25">
      <c r="A201"/>
      <c r="B201"/>
      <c r="C201"/>
      <c r="D201"/>
      <c r="E201"/>
      <c r="F201"/>
      <c r="G201"/>
      <c r="H201"/>
      <c r="I201"/>
      <c r="J201"/>
      <c r="K201"/>
      <c r="L201"/>
    </row>
    <row r="202" spans="1:12" ht="15" x14ac:dyDescent="0.25">
      <c r="A202"/>
      <c r="B202"/>
      <c r="C202"/>
      <c r="D202"/>
      <c r="E202"/>
      <c r="F202"/>
      <c r="G202"/>
      <c r="H202"/>
      <c r="I202"/>
      <c r="J202"/>
      <c r="K202"/>
      <c r="L202"/>
    </row>
    <row r="203" spans="1:12" ht="15" x14ac:dyDescent="0.25">
      <c r="A203"/>
      <c r="B203"/>
      <c r="C203"/>
      <c r="D203"/>
      <c r="E203"/>
      <c r="F203"/>
      <c r="G203"/>
      <c r="H203"/>
      <c r="I203"/>
      <c r="J203"/>
      <c r="K203"/>
      <c r="L203"/>
    </row>
    <row r="204" spans="1:12" ht="15" x14ac:dyDescent="0.25">
      <c r="A204"/>
      <c r="B204"/>
      <c r="C204"/>
      <c r="D204"/>
      <c r="E204"/>
      <c r="F204"/>
      <c r="G204"/>
      <c r="H204"/>
      <c r="I204"/>
      <c r="J204"/>
      <c r="K204"/>
      <c r="L204"/>
    </row>
    <row r="205" spans="1:12" ht="15" x14ac:dyDescent="0.25">
      <c r="A205"/>
      <c r="B205"/>
      <c r="C205"/>
      <c r="D205"/>
      <c r="E205"/>
      <c r="F205"/>
      <c r="G205"/>
      <c r="H205"/>
      <c r="I205"/>
      <c r="J205"/>
      <c r="K205"/>
      <c r="L205"/>
    </row>
    <row r="206" spans="1:12" ht="15" x14ac:dyDescent="0.25">
      <c r="A206"/>
      <c r="B206"/>
      <c r="C206"/>
      <c r="D206"/>
      <c r="E206"/>
      <c r="F206"/>
      <c r="G206"/>
      <c r="H206"/>
      <c r="I206"/>
      <c r="J206"/>
      <c r="K206"/>
      <c r="L206"/>
    </row>
    <row r="207" spans="1:12" ht="15" x14ac:dyDescent="0.25">
      <c r="A207"/>
      <c r="B207"/>
      <c r="C207"/>
      <c r="D207"/>
      <c r="E207"/>
      <c r="F207"/>
      <c r="G207"/>
      <c r="H207"/>
      <c r="I207"/>
      <c r="J207"/>
      <c r="K207"/>
      <c r="L207"/>
    </row>
    <row r="208" spans="1:12" ht="15" x14ac:dyDescent="0.25">
      <c r="A208"/>
      <c r="B208"/>
      <c r="C208"/>
      <c r="D208"/>
      <c r="E208"/>
      <c r="F208"/>
      <c r="G208"/>
      <c r="H208"/>
      <c r="I208"/>
      <c r="J208"/>
      <c r="K208"/>
      <c r="L208"/>
    </row>
    <row r="209" spans="1:12" ht="15" x14ac:dyDescent="0.25">
      <c r="A209"/>
      <c r="B209"/>
      <c r="C209"/>
      <c r="D209"/>
      <c r="E209"/>
      <c r="F209"/>
      <c r="G209"/>
      <c r="H209"/>
      <c r="I209"/>
      <c r="J209"/>
      <c r="K209"/>
      <c r="L209"/>
    </row>
    <row r="210" spans="1:12" ht="15" x14ac:dyDescent="0.25">
      <c r="A210"/>
      <c r="B210"/>
      <c r="C210"/>
      <c r="D210"/>
      <c r="E210"/>
      <c r="F210"/>
      <c r="G210"/>
      <c r="H210"/>
      <c r="I210"/>
      <c r="J210"/>
      <c r="K210"/>
      <c r="L210"/>
    </row>
    <row r="211" spans="1:12" ht="15" x14ac:dyDescent="0.25">
      <c r="A211"/>
      <c r="B211"/>
      <c r="C211"/>
      <c r="D211"/>
      <c r="E211"/>
      <c r="F211"/>
      <c r="G211"/>
      <c r="H211"/>
      <c r="I211"/>
      <c r="J211"/>
      <c r="K211"/>
      <c r="L211"/>
    </row>
    <row r="212" spans="1:12" ht="15" x14ac:dyDescent="0.25">
      <c r="A212"/>
      <c r="B212"/>
      <c r="C212"/>
      <c r="D212"/>
      <c r="E212"/>
      <c r="F212"/>
      <c r="G212"/>
      <c r="H212"/>
      <c r="I212"/>
      <c r="J212"/>
      <c r="K212"/>
      <c r="L212"/>
    </row>
    <row r="213" spans="1:12" ht="15" x14ac:dyDescent="0.25">
      <c r="A213"/>
      <c r="B213"/>
      <c r="C213"/>
      <c r="D213"/>
      <c r="E213"/>
      <c r="F213"/>
      <c r="G213"/>
      <c r="H213"/>
      <c r="I213"/>
      <c r="J213"/>
      <c r="K213"/>
      <c r="L213"/>
    </row>
    <row r="214" spans="1:12" ht="15" x14ac:dyDescent="0.25">
      <c r="A214"/>
      <c r="B214"/>
      <c r="C214"/>
      <c r="D214"/>
      <c r="E214"/>
      <c r="F214"/>
      <c r="G214"/>
      <c r="H214"/>
      <c r="I214"/>
      <c r="J214"/>
      <c r="K214"/>
      <c r="L214"/>
    </row>
    <row r="215" spans="1:12" ht="15" x14ac:dyDescent="0.25">
      <c r="A215"/>
      <c r="B215"/>
      <c r="C215"/>
      <c r="D215"/>
      <c r="E215"/>
      <c r="F215"/>
      <c r="G215"/>
      <c r="H215"/>
      <c r="I215"/>
      <c r="J215"/>
      <c r="K215"/>
      <c r="L215"/>
    </row>
    <row r="216" spans="1:12" ht="15" x14ac:dyDescent="0.25">
      <c r="A216"/>
      <c r="B216"/>
      <c r="C216"/>
      <c r="D216"/>
      <c r="E216"/>
      <c r="F216"/>
      <c r="G216"/>
      <c r="H216"/>
      <c r="I216"/>
      <c r="J216"/>
      <c r="K216"/>
      <c r="L216"/>
    </row>
    <row r="217" spans="1:12" ht="15" x14ac:dyDescent="0.25">
      <c r="A217"/>
      <c r="B217"/>
      <c r="C217"/>
      <c r="D217"/>
      <c r="E217"/>
      <c r="F217"/>
      <c r="G217"/>
      <c r="H217"/>
      <c r="I217"/>
      <c r="J217"/>
      <c r="K217"/>
      <c r="L217"/>
    </row>
    <row r="218" spans="1:12" ht="15" x14ac:dyDescent="0.25">
      <c r="A218"/>
      <c r="B218"/>
      <c r="C218"/>
      <c r="D218"/>
      <c r="E218"/>
      <c r="F218"/>
      <c r="G218"/>
      <c r="H218"/>
      <c r="I218"/>
      <c r="J218"/>
      <c r="K218"/>
      <c r="L218"/>
    </row>
    <row r="219" spans="1:12" ht="15" x14ac:dyDescent="0.25">
      <c r="A219"/>
      <c r="B219"/>
      <c r="C219"/>
      <c r="D219"/>
      <c r="E219"/>
      <c r="F219"/>
      <c r="G219"/>
      <c r="H219"/>
      <c r="I219"/>
      <c r="J219"/>
      <c r="K219"/>
      <c r="L219"/>
    </row>
    <row r="220" spans="1:12" ht="15" x14ac:dyDescent="0.25">
      <c r="A220"/>
      <c r="B220"/>
      <c r="C220"/>
      <c r="D220"/>
      <c r="E220"/>
      <c r="F220"/>
      <c r="G220"/>
      <c r="H220"/>
      <c r="I220"/>
      <c r="J220"/>
      <c r="K220"/>
      <c r="L220"/>
    </row>
    <row r="221" spans="1:12" ht="15" x14ac:dyDescent="0.25">
      <c r="A221"/>
      <c r="B221"/>
      <c r="C221"/>
      <c r="D221"/>
      <c r="E221"/>
      <c r="F221"/>
      <c r="G221"/>
      <c r="H221"/>
      <c r="I221"/>
      <c r="J221"/>
      <c r="K221"/>
      <c r="L221"/>
    </row>
    <row r="222" spans="1:12" ht="15" x14ac:dyDescent="0.25">
      <c r="A222"/>
      <c r="B222"/>
      <c r="C222"/>
      <c r="D222"/>
      <c r="E222"/>
      <c r="F222"/>
      <c r="G222"/>
      <c r="H222"/>
      <c r="I222"/>
      <c r="J222"/>
      <c r="K222"/>
      <c r="L222"/>
    </row>
    <row r="223" spans="1:12" ht="15" x14ac:dyDescent="0.25">
      <c r="A223"/>
      <c r="B223"/>
      <c r="C223"/>
      <c r="D223"/>
      <c r="E223"/>
      <c r="F223"/>
      <c r="G223"/>
      <c r="H223"/>
      <c r="I223"/>
      <c r="J223"/>
      <c r="K223"/>
      <c r="L223"/>
    </row>
    <row r="224" spans="1:12" ht="15" x14ac:dyDescent="0.25">
      <c r="A224"/>
      <c r="B224"/>
      <c r="C224"/>
      <c r="D224"/>
      <c r="E224"/>
      <c r="F224"/>
      <c r="G224"/>
      <c r="H224"/>
      <c r="I224"/>
      <c r="J224"/>
      <c r="K224"/>
      <c r="L224"/>
    </row>
    <row r="225" spans="1:12" ht="15" x14ac:dyDescent="0.25">
      <c r="A225"/>
      <c r="B225"/>
      <c r="C225"/>
      <c r="D225"/>
      <c r="E225"/>
      <c r="F225"/>
      <c r="G225"/>
      <c r="H225"/>
      <c r="I225"/>
      <c r="J225"/>
      <c r="K225"/>
      <c r="L225"/>
    </row>
    <row r="226" spans="1:12" ht="15" x14ac:dyDescent="0.25">
      <c r="A226"/>
      <c r="B226"/>
      <c r="C226"/>
      <c r="D226"/>
      <c r="E226"/>
      <c r="F226"/>
      <c r="G226"/>
      <c r="H226"/>
      <c r="I226"/>
      <c r="J226"/>
      <c r="K226"/>
      <c r="L226"/>
    </row>
    <row r="227" spans="1:12" ht="15" x14ac:dyDescent="0.25">
      <c r="A227"/>
      <c r="B227"/>
      <c r="C227"/>
      <c r="D227"/>
      <c r="E227"/>
      <c r="F227"/>
      <c r="G227"/>
      <c r="H227"/>
      <c r="I227"/>
      <c r="J227"/>
      <c r="K227"/>
      <c r="L227"/>
    </row>
    <row r="228" spans="1:12" ht="15" x14ac:dyDescent="0.25">
      <c r="A228"/>
      <c r="B228"/>
      <c r="C228"/>
      <c r="D228"/>
      <c r="E228"/>
      <c r="F228"/>
      <c r="G228"/>
      <c r="H228"/>
      <c r="I228"/>
      <c r="J228"/>
      <c r="K228"/>
      <c r="L228"/>
    </row>
    <row r="229" spans="1:12" ht="15" x14ac:dyDescent="0.25">
      <c r="A229"/>
      <c r="B229"/>
      <c r="C229"/>
      <c r="D229"/>
      <c r="E229"/>
      <c r="F229"/>
      <c r="G229"/>
      <c r="H229"/>
      <c r="I229"/>
      <c r="J229"/>
      <c r="K229"/>
      <c r="L229"/>
    </row>
    <row r="230" spans="1:12" ht="15" x14ac:dyDescent="0.25">
      <c r="A230"/>
      <c r="B230"/>
      <c r="C230"/>
      <c r="D230"/>
      <c r="E230"/>
      <c r="F230"/>
      <c r="G230"/>
      <c r="H230"/>
      <c r="I230"/>
      <c r="J230"/>
      <c r="K230"/>
      <c r="L230"/>
    </row>
    <row r="231" spans="1:12" ht="15" x14ac:dyDescent="0.25">
      <c r="A231"/>
      <c r="B231"/>
      <c r="C231"/>
      <c r="D231"/>
      <c r="E231"/>
      <c r="F231"/>
      <c r="G231"/>
      <c r="H231"/>
      <c r="I231"/>
      <c r="J231"/>
      <c r="K231"/>
      <c r="L231"/>
    </row>
    <row r="232" spans="1:12" ht="15" x14ac:dyDescent="0.25">
      <c r="A232"/>
      <c r="B232"/>
      <c r="C232"/>
      <c r="D232"/>
      <c r="E232"/>
      <c r="F232"/>
      <c r="G232"/>
      <c r="H232"/>
      <c r="I232"/>
      <c r="J232"/>
      <c r="K232"/>
      <c r="L232"/>
    </row>
    <row r="233" spans="1:12" ht="15" x14ac:dyDescent="0.25">
      <c r="A233"/>
      <c r="B233"/>
      <c r="C233"/>
      <c r="D233"/>
      <c r="E233"/>
      <c r="F233"/>
      <c r="G233"/>
      <c r="H233"/>
      <c r="I233"/>
      <c r="J233"/>
      <c r="K233"/>
      <c r="L233"/>
    </row>
    <row r="234" spans="1:12" ht="15" x14ac:dyDescent="0.25">
      <c r="A234"/>
      <c r="B234"/>
      <c r="C234"/>
      <c r="D234"/>
      <c r="E234"/>
      <c r="F234"/>
      <c r="G234"/>
      <c r="H234"/>
      <c r="I234"/>
      <c r="J234"/>
      <c r="K234"/>
      <c r="L234"/>
    </row>
    <row r="235" spans="1:12" ht="15" x14ac:dyDescent="0.25">
      <c r="A235"/>
      <c r="B235"/>
      <c r="C235"/>
      <c r="D235"/>
      <c r="E235"/>
      <c r="F235"/>
      <c r="G235"/>
      <c r="H235"/>
      <c r="I235"/>
      <c r="J235"/>
      <c r="K235"/>
      <c r="L235"/>
    </row>
    <row r="236" spans="1:12" ht="15" x14ac:dyDescent="0.25">
      <c r="A236"/>
      <c r="B236"/>
      <c r="C236"/>
      <c r="D236"/>
      <c r="E236"/>
      <c r="F236"/>
      <c r="G236"/>
      <c r="H236"/>
      <c r="I236"/>
      <c r="J236"/>
      <c r="K236"/>
      <c r="L236"/>
    </row>
    <row r="237" spans="1:12" ht="15" x14ac:dyDescent="0.25">
      <c r="A237"/>
      <c r="B237"/>
      <c r="C237"/>
      <c r="D237"/>
      <c r="E237"/>
      <c r="F237"/>
      <c r="G237"/>
      <c r="H237"/>
      <c r="I237"/>
      <c r="J237"/>
      <c r="K237"/>
      <c r="L237"/>
    </row>
    <row r="238" spans="1:12" ht="15" x14ac:dyDescent="0.25">
      <c r="A238"/>
      <c r="B238"/>
      <c r="C238"/>
      <c r="D238"/>
      <c r="E238"/>
      <c r="F238"/>
      <c r="G238"/>
      <c r="H238"/>
      <c r="I238"/>
      <c r="J238"/>
      <c r="K238"/>
      <c r="L238"/>
    </row>
    <row r="239" spans="1:12" ht="15" x14ac:dyDescent="0.25">
      <c r="A239"/>
      <c r="B239"/>
      <c r="C239"/>
      <c r="D239"/>
      <c r="E239"/>
      <c r="F239"/>
      <c r="G239"/>
      <c r="H239"/>
      <c r="I239"/>
      <c r="J239"/>
      <c r="K239"/>
      <c r="L239"/>
    </row>
    <row r="240" spans="1:12" ht="15" x14ac:dyDescent="0.25">
      <c r="A240"/>
      <c r="B240"/>
      <c r="C240"/>
      <c r="D240"/>
      <c r="E240"/>
      <c r="F240"/>
      <c r="G240"/>
      <c r="H240"/>
      <c r="I240"/>
      <c r="J240"/>
      <c r="K240"/>
      <c r="L240"/>
    </row>
    <row r="241" spans="1:12" ht="15" x14ac:dyDescent="0.25">
      <c r="A241"/>
      <c r="B241"/>
      <c r="C241"/>
      <c r="D241"/>
      <c r="E241"/>
      <c r="F241"/>
      <c r="G241"/>
      <c r="H241"/>
      <c r="I241"/>
      <c r="J241"/>
      <c r="K241"/>
      <c r="L241"/>
    </row>
    <row r="242" spans="1:12" ht="15" x14ac:dyDescent="0.25">
      <c r="A242"/>
      <c r="B242"/>
      <c r="C242"/>
      <c r="D242"/>
      <c r="E242"/>
      <c r="F242"/>
      <c r="G242"/>
      <c r="H242"/>
      <c r="I242"/>
      <c r="J242"/>
      <c r="K242"/>
      <c r="L242"/>
    </row>
    <row r="243" spans="1:12" ht="15" x14ac:dyDescent="0.25">
      <c r="A243"/>
      <c r="B243"/>
      <c r="C243"/>
      <c r="D243"/>
      <c r="E243"/>
      <c r="F243"/>
      <c r="G243"/>
      <c r="H243"/>
      <c r="I243"/>
      <c r="J243"/>
      <c r="K243"/>
      <c r="L243"/>
    </row>
    <row r="244" spans="1:12" ht="15" x14ac:dyDescent="0.25">
      <c r="A244"/>
      <c r="B244"/>
      <c r="C244"/>
      <c r="D244"/>
      <c r="E244"/>
      <c r="F244"/>
      <c r="G244"/>
      <c r="H244"/>
      <c r="I244"/>
      <c r="J244"/>
      <c r="K244"/>
      <c r="L244"/>
    </row>
    <row r="245" spans="1:12" ht="15" x14ac:dyDescent="0.25">
      <c r="A245"/>
      <c r="B245"/>
      <c r="C245"/>
      <c r="D245"/>
      <c r="E245"/>
      <c r="F245"/>
      <c r="G245"/>
      <c r="H245"/>
      <c r="I245"/>
      <c r="J245"/>
      <c r="K245"/>
      <c r="L245"/>
    </row>
    <row r="246" spans="1:12" ht="15" x14ac:dyDescent="0.25">
      <c r="A246"/>
      <c r="B246"/>
      <c r="C246"/>
      <c r="D246"/>
      <c r="E246"/>
      <c r="F246"/>
      <c r="G246"/>
      <c r="H246"/>
      <c r="I246"/>
      <c r="J246"/>
      <c r="K246"/>
      <c r="L246"/>
    </row>
    <row r="247" spans="1:12" ht="15" x14ac:dyDescent="0.25">
      <c r="A247"/>
      <c r="B247"/>
      <c r="C247"/>
      <c r="D247"/>
      <c r="E247"/>
      <c r="F247"/>
      <c r="G247"/>
      <c r="H247"/>
      <c r="I247"/>
      <c r="J247"/>
      <c r="K247"/>
      <c r="L247"/>
    </row>
    <row r="248" spans="1:12" ht="15" x14ac:dyDescent="0.25">
      <c r="A248"/>
      <c r="B248"/>
      <c r="C248"/>
      <c r="D248"/>
      <c r="E248"/>
      <c r="F248"/>
      <c r="G248"/>
      <c r="H248"/>
      <c r="I248"/>
      <c r="J248"/>
      <c r="K248"/>
      <c r="L248"/>
    </row>
    <row r="249" spans="1:12" ht="15" x14ac:dyDescent="0.25">
      <c r="A249"/>
      <c r="B249"/>
      <c r="C249"/>
      <c r="D249"/>
      <c r="E249"/>
      <c r="F249"/>
      <c r="G249"/>
      <c r="H249"/>
      <c r="I249"/>
      <c r="J249"/>
      <c r="K249"/>
      <c r="L249"/>
    </row>
    <row r="250" spans="1:12" ht="15" x14ac:dyDescent="0.25">
      <c r="A250"/>
      <c r="B250"/>
      <c r="C250"/>
      <c r="D250"/>
      <c r="E250"/>
      <c r="F250"/>
      <c r="G250"/>
      <c r="H250"/>
      <c r="I250"/>
      <c r="J250"/>
      <c r="K250"/>
      <c r="L250"/>
    </row>
    <row r="251" spans="1:12" ht="15" x14ac:dyDescent="0.25">
      <c r="A251"/>
      <c r="B251"/>
      <c r="C251"/>
      <c r="D251"/>
      <c r="E251"/>
      <c r="F251"/>
      <c r="G251"/>
      <c r="H251"/>
      <c r="I251"/>
      <c r="J251"/>
      <c r="K251"/>
      <c r="L251"/>
    </row>
    <row r="252" spans="1:12" ht="15" x14ac:dyDescent="0.25">
      <c r="A252"/>
      <c r="B252"/>
      <c r="C252"/>
      <c r="D252"/>
      <c r="E252"/>
      <c r="F252"/>
      <c r="G252"/>
      <c r="H252"/>
      <c r="I252"/>
      <c r="J252"/>
      <c r="K252"/>
      <c r="L252"/>
    </row>
    <row r="253" spans="1:12" ht="15" x14ac:dyDescent="0.25">
      <c r="A253"/>
      <c r="B253"/>
      <c r="C253"/>
      <c r="D253"/>
      <c r="E253"/>
      <c r="F253"/>
      <c r="G253"/>
      <c r="H253"/>
      <c r="I253"/>
      <c r="J253"/>
      <c r="K253"/>
      <c r="L253"/>
    </row>
    <row r="254" spans="1:12" ht="15" x14ac:dyDescent="0.25">
      <c r="A254"/>
      <c r="B254"/>
      <c r="C254"/>
      <c r="D254"/>
      <c r="E254"/>
      <c r="F254"/>
      <c r="G254"/>
      <c r="H254"/>
      <c r="I254"/>
      <c r="J254"/>
      <c r="K254"/>
      <c r="L254"/>
    </row>
    <row r="255" spans="1:12" ht="15" x14ac:dyDescent="0.25">
      <c r="A255"/>
      <c r="B255"/>
      <c r="C255"/>
      <c r="D255"/>
      <c r="E255"/>
      <c r="F255"/>
      <c r="G255"/>
      <c r="H255"/>
      <c r="I255"/>
      <c r="J255"/>
      <c r="K255"/>
      <c r="L255"/>
    </row>
    <row r="256" spans="1:12" ht="15" x14ac:dyDescent="0.25">
      <c r="A256"/>
      <c r="B256"/>
      <c r="C256"/>
      <c r="D256"/>
      <c r="E256"/>
      <c r="F256"/>
      <c r="G256"/>
      <c r="H256"/>
      <c r="I256"/>
      <c r="J256"/>
      <c r="K256"/>
      <c r="L256"/>
    </row>
    <row r="257" spans="1:12" ht="15" x14ac:dyDescent="0.25">
      <c r="A257"/>
      <c r="B257"/>
      <c r="C257"/>
      <c r="D257"/>
      <c r="E257"/>
      <c r="F257"/>
      <c r="G257"/>
      <c r="H257"/>
      <c r="I257"/>
      <c r="J257"/>
      <c r="K257"/>
      <c r="L257"/>
    </row>
    <row r="258" spans="1:12" ht="15" x14ac:dyDescent="0.25">
      <c r="A258"/>
      <c r="B258"/>
      <c r="C258"/>
      <c r="D258"/>
      <c r="E258"/>
      <c r="F258"/>
      <c r="G258"/>
      <c r="H258"/>
      <c r="I258"/>
      <c r="J258"/>
      <c r="K258"/>
      <c r="L258"/>
    </row>
    <row r="259" spans="1:12" ht="15" x14ac:dyDescent="0.25">
      <c r="A259"/>
      <c r="B259"/>
      <c r="C259"/>
      <c r="D259"/>
      <c r="E259"/>
      <c r="F259"/>
      <c r="G259"/>
      <c r="H259"/>
      <c r="I259"/>
      <c r="J259"/>
      <c r="K259"/>
      <c r="L259"/>
    </row>
    <row r="260" spans="1:12" ht="15" x14ac:dyDescent="0.25">
      <c r="A260"/>
      <c r="B260"/>
      <c r="C260"/>
      <c r="D260"/>
      <c r="E260"/>
      <c r="F260"/>
      <c r="G260"/>
      <c r="H260"/>
      <c r="I260"/>
      <c r="J260"/>
      <c r="K260"/>
      <c r="L260"/>
    </row>
    <row r="261" spans="1:12" ht="15" x14ac:dyDescent="0.25">
      <c r="A261"/>
      <c r="B261"/>
      <c r="C261"/>
      <c r="D261"/>
      <c r="E261"/>
      <c r="F261"/>
      <c r="G261"/>
      <c r="H261"/>
      <c r="I261"/>
      <c r="J261"/>
      <c r="K261"/>
      <c r="L261"/>
    </row>
    <row r="262" spans="1:12" ht="15" x14ac:dyDescent="0.25">
      <c r="A262"/>
      <c r="B262"/>
      <c r="C262"/>
      <c r="D262"/>
      <c r="E262"/>
      <c r="F262"/>
      <c r="G262"/>
      <c r="H262"/>
      <c r="I262"/>
      <c r="J262"/>
      <c r="K262"/>
      <c r="L262"/>
    </row>
    <row r="263" spans="1:12" ht="15" x14ac:dyDescent="0.25">
      <c r="A263"/>
      <c r="B263"/>
      <c r="C263"/>
      <c r="D263"/>
      <c r="E263"/>
      <c r="F263"/>
      <c r="G263"/>
      <c r="H263"/>
      <c r="I263"/>
      <c r="J263"/>
      <c r="K263"/>
      <c r="L263"/>
    </row>
    <row r="264" spans="1:12" ht="15" x14ac:dyDescent="0.25">
      <c r="A264"/>
      <c r="B264"/>
      <c r="C264"/>
      <c r="D264"/>
      <c r="E264"/>
      <c r="F264"/>
      <c r="G264"/>
      <c r="H264"/>
      <c r="I264"/>
      <c r="J264"/>
      <c r="K264"/>
      <c r="L264"/>
    </row>
    <row r="265" spans="1:12" ht="15" x14ac:dyDescent="0.25">
      <c r="A265"/>
      <c r="B265"/>
      <c r="C265"/>
      <c r="D265"/>
      <c r="E265"/>
      <c r="F265"/>
      <c r="G265"/>
      <c r="H265"/>
      <c r="I265"/>
      <c r="J265"/>
      <c r="K265"/>
      <c r="L265"/>
    </row>
    <row r="266" spans="1:12" ht="15" x14ac:dyDescent="0.25">
      <c r="A266"/>
      <c r="B266"/>
      <c r="C266"/>
      <c r="D266"/>
      <c r="E266"/>
      <c r="F266"/>
      <c r="G266"/>
      <c r="H266"/>
      <c r="I266"/>
      <c r="J266"/>
      <c r="K266"/>
      <c r="L266"/>
    </row>
    <row r="267" spans="1:12" ht="15" x14ac:dyDescent="0.25">
      <c r="A267"/>
      <c r="B267"/>
      <c r="C267"/>
      <c r="D267"/>
      <c r="E267"/>
      <c r="F267"/>
      <c r="G267"/>
      <c r="H267"/>
      <c r="I267"/>
      <c r="J267"/>
      <c r="K267"/>
      <c r="L267"/>
    </row>
    <row r="268" spans="1:12" ht="15" x14ac:dyDescent="0.25">
      <c r="A268"/>
      <c r="B268"/>
      <c r="C268"/>
      <c r="D268"/>
      <c r="E268"/>
      <c r="F268"/>
      <c r="G268"/>
      <c r="H268"/>
      <c r="I268"/>
      <c r="J268"/>
      <c r="K268"/>
      <c r="L268"/>
    </row>
    <row r="269" spans="1:12" ht="15" x14ac:dyDescent="0.25">
      <c r="A269"/>
      <c r="B269"/>
      <c r="C269"/>
      <c r="D269"/>
      <c r="E269"/>
      <c r="F269"/>
      <c r="G269"/>
      <c r="H269"/>
      <c r="I269"/>
      <c r="J269"/>
      <c r="K269"/>
      <c r="L269"/>
    </row>
    <row r="270" spans="1:12" ht="15" x14ac:dyDescent="0.25">
      <c r="A270"/>
      <c r="B270"/>
      <c r="C270"/>
      <c r="D270"/>
      <c r="E270"/>
      <c r="F270"/>
      <c r="G270"/>
      <c r="H270"/>
      <c r="I270"/>
      <c r="J270"/>
      <c r="K270"/>
      <c r="L270"/>
    </row>
    <row r="271" spans="1:12" ht="15" x14ac:dyDescent="0.25">
      <c r="A271"/>
      <c r="B271"/>
      <c r="C271"/>
      <c r="D271"/>
      <c r="E271"/>
      <c r="F271"/>
      <c r="G271"/>
      <c r="H271"/>
      <c r="I271"/>
      <c r="J271"/>
      <c r="K271"/>
      <c r="L271"/>
    </row>
    <row r="272" spans="1:12" ht="15" x14ac:dyDescent="0.25">
      <c r="A272"/>
      <c r="B272"/>
      <c r="C272"/>
      <c r="D272"/>
      <c r="E272"/>
      <c r="F272"/>
      <c r="G272"/>
      <c r="H272"/>
      <c r="I272"/>
      <c r="J272"/>
      <c r="K272"/>
      <c r="L272"/>
    </row>
    <row r="273" spans="1:12" ht="15" x14ac:dyDescent="0.25">
      <c r="A273"/>
      <c r="B273"/>
      <c r="C273"/>
      <c r="D273"/>
      <c r="E273"/>
      <c r="F273"/>
      <c r="G273"/>
      <c r="H273"/>
      <c r="I273"/>
      <c r="J273"/>
      <c r="K273"/>
      <c r="L273"/>
    </row>
    <row r="274" spans="1:12" ht="15" x14ac:dyDescent="0.25">
      <c r="A274"/>
      <c r="B274"/>
      <c r="C274"/>
      <c r="D274"/>
      <c r="E274"/>
      <c r="F274"/>
      <c r="G274"/>
      <c r="H274"/>
      <c r="I274"/>
      <c r="J274"/>
      <c r="K274"/>
      <c r="L274"/>
    </row>
    <row r="275" spans="1:12" ht="15" x14ac:dyDescent="0.25">
      <c r="A275"/>
      <c r="B275"/>
      <c r="C275"/>
      <c r="D275"/>
      <c r="E275"/>
      <c r="F275"/>
      <c r="G275"/>
      <c r="H275"/>
      <c r="I275"/>
      <c r="J275"/>
      <c r="K275"/>
      <c r="L275"/>
    </row>
    <row r="276" spans="1:12" ht="15" x14ac:dyDescent="0.25">
      <c r="A276"/>
      <c r="B276"/>
      <c r="C276"/>
      <c r="D276"/>
      <c r="E276"/>
      <c r="F276"/>
      <c r="G276"/>
      <c r="H276"/>
      <c r="I276"/>
      <c r="J276"/>
      <c r="K276"/>
      <c r="L276"/>
    </row>
    <row r="277" spans="1:12" ht="15" x14ac:dyDescent="0.25">
      <c r="A277"/>
      <c r="B277"/>
      <c r="C277"/>
      <c r="D277"/>
      <c r="E277"/>
      <c r="F277"/>
      <c r="G277"/>
      <c r="H277"/>
      <c r="I277"/>
      <c r="J277"/>
      <c r="K277"/>
      <c r="L277"/>
    </row>
    <row r="278" spans="1:12" ht="15" x14ac:dyDescent="0.25">
      <c r="A278"/>
      <c r="B278"/>
      <c r="C278"/>
      <c r="D278"/>
      <c r="E278"/>
      <c r="F278"/>
      <c r="G278"/>
      <c r="H278"/>
      <c r="I278"/>
      <c r="J278"/>
      <c r="K278"/>
      <c r="L278"/>
    </row>
    <row r="279" spans="1:12" ht="15" x14ac:dyDescent="0.25">
      <c r="A279"/>
      <c r="B279"/>
      <c r="C279"/>
      <c r="D279"/>
      <c r="E279"/>
      <c r="F279"/>
      <c r="G279"/>
      <c r="H279"/>
      <c r="I279"/>
      <c r="J279"/>
      <c r="K279"/>
      <c r="L279"/>
    </row>
    <row r="280" spans="1:12" ht="15" x14ac:dyDescent="0.25">
      <c r="A280"/>
      <c r="B280"/>
      <c r="C280"/>
      <c r="D280"/>
      <c r="E280"/>
      <c r="F280"/>
      <c r="G280"/>
      <c r="H280"/>
      <c r="I280"/>
      <c r="J280"/>
      <c r="K280"/>
      <c r="L280"/>
    </row>
    <row r="281" spans="1:12" ht="15" x14ac:dyDescent="0.25">
      <c r="A281"/>
      <c r="B281"/>
      <c r="C281"/>
      <c r="D281"/>
      <c r="E281"/>
      <c r="F281"/>
      <c r="G281"/>
      <c r="H281"/>
      <c r="I281"/>
      <c r="J281"/>
      <c r="K281"/>
      <c r="L281"/>
    </row>
    <row r="282" spans="1:12" ht="15" x14ac:dyDescent="0.25">
      <c r="A282"/>
      <c r="B282"/>
      <c r="C282"/>
      <c r="D282"/>
      <c r="E282"/>
      <c r="F282"/>
      <c r="G282"/>
      <c r="H282"/>
      <c r="I282"/>
      <c r="J282"/>
      <c r="K282"/>
      <c r="L282"/>
    </row>
    <row r="283" spans="1:12" ht="15" x14ac:dyDescent="0.25">
      <c r="A283"/>
      <c r="B283"/>
      <c r="C283"/>
      <c r="D283"/>
      <c r="E283"/>
      <c r="F283"/>
      <c r="G283"/>
      <c r="H283"/>
      <c r="I283"/>
      <c r="J283"/>
      <c r="K283"/>
      <c r="L283"/>
    </row>
    <row r="284" spans="1:12" ht="15" x14ac:dyDescent="0.25">
      <c r="A284"/>
      <c r="B284"/>
      <c r="C284"/>
      <c r="D284"/>
      <c r="E284"/>
      <c r="F284"/>
      <c r="G284"/>
      <c r="H284"/>
      <c r="I284"/>
      <c r="J284"/>
      <c r="K284"/>
      <c r="L284"/>
    </row>
    <row r="285" spans="1:12" ht="15" x14ac:dyDescent="0.25">
      <c r="A285"/>
      <c r="B285"/>
      <c r="C285"/>
      <c r="D285"/>
      <c r="E285"/>
      <c r="F285"/>
      <c r="G285"/>
      <c r="H285"/>
      <c r="I285"/>
      <c r="J285"/>
      <c r="K285"/>
      <c r="L285"/>
    </row>
    <row r="286" spans="1:12" ht="15" x14ac:dyDescent="0.25">
      <c r="A286"/>
      <c r="B286"/>
      <c r="C286"/>
      <c r="D286"/>
      <c r="E286"/>
      <c r="F286"/>
      <c r="G286"/>
      <c r="H286"/>
      <c r="I286"/>
      <c r="J286"/>
      <c r="K286"/>
      <c r="L286"/>
    </row>
    <row r="287" spans="1:12" ht="15" x14ac:dyDescent="0.25">
      <c r="A287"/>
      <c r="B287"/>
      <c r="C287"/>
      <c r="D287"/>
      <c r="E287"/>
      <c r="F287"/>
      <c r="G287"/>
      <c r="H287"/>
      <c r="I287"/>
      <c r="J287"/>
      <c r="K287"/>
      <c r="L287"/>
    </row>
    <row r="288" spans="1:12" ht="15" x14ac:dyDescent="0.25">
      <c r="A288"/>
      <c r="B288"/>
      <c r="C288"/>
      <c r="D288"/>
      <c r="E288"/>
      <c r="F288"/>
      <c r="G288"/>
      <c r="H288"/>
      <c r="I288"/>
      <c r="J288"/>
      <c r="K288"/>
      <c r="L288"/>
    </row>
    <row r="289" spans="1:12" ht="15" x14ac:dyDescent="0.25">
      <c r="A289"/>
      <c r="B289"/>
      <c r="C289"/>
      <c r="D289"/>
      <c r="E289"/>
      <c r="F289"/>
      <c r="G289"/>
      <c r="H289"/>
      <c r="I289"/>
      <c r="J289"/>
      <c r="K289"/>
      <c r="L289"/>
    </row>
    <row r="290" spans="1:12" ht="15" x14ac:dyDescent="0.25">
      <c r="A290"/>
      <c r="B290"/>
      <c r="C290"/>
      <c r="D290"/>
      <c r="E290"/>
      <c r="F290"/>
      <c r="G290"/>
      <c r="H290"/>
      <c r="I290"/>
      <c r="J290"/>
      <c r="K290"/>
      <c r="L290"/>
    </row>
    <row r="291" spans="1:12" ht="15" x14ac:dyDescent="0.25">
      <c r="A291"/>
      <c r="B291"/>
      <c r="C291"/>
      <c r="D291"/>
      <c r="E291"/>
      <c r="F291"/>
      <c r="G291"/>
      <c r="H291"/>
      <c r="I291"/>
      <c r="J291"/>
      <c r="K291"/>
      <c r="L291"/>
    </row>
    <row r="292" spans="1:12" ht="15" x14ac:dyDescent="0.25">
      <c r="A292"/>
      <c r="B292"/>
      <c r="C292"/>
      <c r="D292"/>
      <c r="E292"/>
      <c r="F292"/>
      <c r="G292"/>
      <c r="H292"/>
      <c r="I292"/>
      <c r="J292"/>
      <c r="K292"/>
      <c r="L292"/>
    </row>
    <row r="293" spans="1:12" ht="15" x14ac:dyDescent="0.25">
      <c r="A293"/>
      <c r="B293"/>
      <c r="C293"/>
      <c r="D293"/>
      <c r="E293"/>
      <c r="F293"/>
      <c r="G293"/>
      <c r="H293"/>
      <c r="I293"/>
      <c r="J293"/>
      <c r="K293"/>
      <c r="L293"/>
    </row>
    <row r="294" spans="1:12" ht="15" x14ac:dyDescent="0.25">
      <c r="A294"/>
      <c r="B294"/>
      <c r="C294"/>
      <c r="D294"/>
      <c r="E294"/>
      <c r="F294"/>
      <c r="G294"/>
      <c r="H294"/>
      <c r="I294"/>
      <c r="J294"/>
      <c r="K294"/>
      <c r="L294"/>
    </row>
    <row r="295" spans="1:12" ht="15" x14ac:dyDescent="0.25">
      <c r="A295"/>
      <c r="B295"/>
      <c r="C295"/>
      <c r="D295"/>
      <c r="E295"/>
      <c r="F295"/>
      <c r="G295"/>
      <c r="H295"/>
      <c r="I295"/>
      <c r="J295"/>
      <c r="K295"/>
      <c r="L295"/>
    </row>
    <row r="296" spans="1:12" ht="15" x14ac:dyDescent="0.25">
      <c r="A296"/>
      <c r="B296"/>
      <c r="C296"/>
      <c r="D296"/>
      <c r="E296"/>
      <c r="F296"/>
      <c r="G296"/>
      <c r="H296"/>
      <c r="I296"/>
      <c r="J296"/>
      <c r="K296"/>
      <c r="L296"/>
    </row>
    <row r="297" spans="1:12" ht="15" x14ac:dyDescent="0.25">
      <c r="A297"/>
      <c r="B297"/>
      <c r="C297"/>
      <c r="D297"/>
      <c r="E297"/>
      <c r="F297"/>
      <c r="G297"/>
      <c r="H297"/>
      <c r="I297"/>
      <c r="J297"/>
      <c r="K297"/>
      <c r="L297"/>
    </row>
    <row r="298" spans="1:12" ht="15" x14ac:dyDescent="0.25">
      <c r="A298"/>
      <c r="B298"/>
      <c r="C298"/>
      <c r="D298"/>
      <c r="E298"/>
      <c r="F298"/>
      <c r="G298"/>
      <c r="H298"/>
      <c r="I298"/>
      <c r="J298"/>
      <c r="K298"/>
      <c r="L298"/>
    </row>
    <row r="299" spans="1:12" ht="15" x14ac:dyDescent="0.25">
      <c r="A299"/>
      <c r="B299"/>
      <c r="C299"/>
      <c r="D299"/>
      <c r="E299"/>
      <c r="F299"/>
      <c r="G299"/>
      <c r="H299"/>
      <c r="I299"/>
      <c r="J299"/>
      <c r="K299"/>
      <c r="L299"/>
    </row>
    <row r="300" spans="1:12" ht="15" x14ac:dyDescent="0.25">
      <c r="A300"/>
      <c r="B300"/>
      <c r="C300"/>
      <c r="D300"/>
      <c r="E300"/>
      <c r="F300"/>
      <c r="G300"/>
      <c r="H300"/>
      <c r="I300"/>
      <c r="J300"/>
      <c r="K300"/>
      <c r="L300"/>
    </row>
    <row r="301" spans="1:12" ht="15" x14ac:dyDescent="0.25">
      <c r="A301"/>
      <c r="B301"/>
      <c r="C301"/>
      <c r="D301"/>
      <c r="E301"/>
      <c r="F301"/>
      <c r="G301"/>
      <c r="H301"/>
      <c r="I301"/>
      <c r="J301"/>
      <c r="K301"/>
      <c r="L301"/>
    </row>
    <row r="302" spans="1:12" ht="15" x14ac:dyDescent="0.25">
      <c r="A302"/>
      <c r="B302"/>
      <c r="C302"/>
      <c r="D302"/>
      <c r="E302"/>
      <c r="F302"/>
      <c r="G302"/>
      <c r="H302"/>
      <c r="I302"/>
      <c r="J302"/>
      <c r="K302"/>
      <c r="L302"/>
    </row>
    <row r="303" spans="1:12" ht="15" x14ac:dyDescent="0.25">
      <c r="A303"/>
      <c r="B303"/>
      <c r="C303"/>
      <c r="D303"/>
      <c r="E303"/>
      <c r="F303"/>
      <c r="G303"/>
      <c r="H303"/>
      <c r="I303"/>
      <c r="J303"/>
      <c r="K303"/>
      <c r="L303"/>
    </row>
    <row r="304" spans="1:12" ht="15" x14ac:dyDescent="0.25">
      <c r="A304"/>
      <c r="B304"/>
      <c r="C304"/>
      <c r="D304"/>
      <c r="E304"/>
      <c r="F304"/>
      <c r="G304"/>
      <c r="H304"/>
      <c r="I304"/>
      <c r="J304"/>
      <c r="K304"/>
      <c r="L304"/>
    </row>
    <row r="305" spans="1:12" ht="15" x14ac:dyDescent="0.25">
      <c r="A305"/>
      <c r="B305"/>
      <c r="C305"/>
      <c r="D305"/>
      <c r="E305"/>
      <c r="F305"/>
      <c r="G305"/>
      <c r="H305"/>
      <c r="I305"/>
      <c r="J305"/>
      <c r="K305"/>
      <c r="L305"/>
    </row>
    <row r="306" spans="1:12" ht="15" x14ac:dyDescent="0.25">
      <c r="A306"/>
      <c r="B306"/>
      <c r="C306"/>
      <c r="D306"/>
      <c r="E306"/>
      <c r="F306"/>
      <c r="G306"/>
      <c r="H306"/>
      <c r="I306"/>
      <c r="J306"/>
      <c r="K306"/>
      <c r="L306"/>
    </row>
    <row r="307" spans="1:12" ht="15" x14ac:dyDescent="0.25">
      <c r="A307"/>
      <c r="B307"/>
      <c r="C307"/>
      <c r="D307"/>
      <c r="E307"/>
      <c r="F307"/>
      <c r="G307"/>
      <c r="H307"/>
      <c r="I307"/>
      <c r="J307"/>
      <c r="K307"/>
      <c r="L307"/>
    </row>
    <row r="308" spans="1:12" ht="15" x14ac:dyDescent="0.25">
      <c r="A308"/>
      <c r="B308"/>
      <c r="C308"/>
      <c r="D308"/>
      <c r="E308"/>
      <c r="F308"/>
      <c r="G308"/>
      <c r="H308"/>
      <c r="I308"/>
      <c r="J308"/>
      <c r="K308"/>
      <c r="L308"/>
    </row>
    <row r="309" spans="1:12" ht="15" x14ac:dyDescent="0.25">
      <c r="A309"/>
      <c r="B309"/>
      <c r="C309"/>
      <c r="D309"/>
      <c r="E309"/>
      <c r="F309"/>
      <c r="G309"/>
      <c r="H309"/>
      <c r="I309"/>
      <c r="J309"/>
      <c r="K309"/>
      <c r="L309"/>
    </row>
    <row r="310" spans="1:12" ht="15" x14ac:dyDescent="0.25">
      <c r="A310"/>
      <c r="B310"/>
      <c r="C310"/>
      <c r="D310"/>
      <c r="E310"/>
      <c r="F310"/>
      <c r="G310"/>
      <c r="H310"/>
      <c r="I310"/>
      <c r="J310"/>
      <c r="K310"/>
      <c r="L310"/>
    </row>
    <row r="311" spans="1:12" ht="15" x14ac:dyDescent="0.25">
      <c r="A311"/>
      <c r="B311"/>
      <c r="C311"/>
      <c r="D311"/>
      <c r="E311"/>
      <c r="F311"/>
      <c r="G311"/>
      <c r="H311"/>
      <c r="I311"/>
      <c r="J311"/>
      <c r="K311"/>
      <c r="L311"/>
    </row>
    <row r="312" spans="1:12" ht="15" x14ac:dyDescent="0.25">
      <c r="A312"/>
      <c r="B312"/>
      <c r="C312"/>
      <c r="D312"/>
      <c r="E312"/>
      <c r="F312"/>
      <c r="G312"/>
      <c r="H312"/>
      <c r="I312"/>
      <c r="J312"/>
      <c r="K312"/>
      <c r="L312"/>
    </row>
    <row r="313" spans="1:12" ht="15" x14ac:dyDescent="0.25">
      <c r="A313"/>
      <c r="B313"/>
      <c r="C313"/>
      <c r="D313"/>
      <c r="E313"/>
      <c r="F313"/>
      <c r="G313"/>
      <c r="H313"/>
      <c r="I313"/>
      <c r="J313"/>
      <c r="K313"/>
      <c r="L313"/>
    </row>
    <row r="314" spans="1:12" ht="15" x14ac:dyDescent="0.25">
      <c r="A314"/>
      <c r="B314"/>
      <c r="C314"/>
      <c r="D314"/>
      <c r="E314"/>
      <c r="F314"/>
      <c r="G314"/>
      <c r="H314"/>
      <c r="I314"/>
      <c r="J314"/>
      <c r="K314"/>
      <c r="L314"/>
    </row>
    <row r="315" spans="1:12" ht="15" x14ac:dyDescent="0.25">
      <c r="A315"/>
      <c r="B315"/>
      <c r="C315"/>
      <c r="D315"/>
      <c r="E315"/>
      <c r="F315"/>
      <c r="G315"/>
      <c r="H315"/>
      <c r="I315"/>
      <c r="J315"/>
      <c r="K315"/>
      <c r="L315"/>
    </row>
    <row r="316" spans="1:12" ht="15" x14ac:dyDescent="0.25">
      <c r="A316"/>
      <c r="B316"/>
      <c r="C316"/>
      <c r="D316"/>
      <c r="E316"/>
      <c r="F316"/>
      <c r="G316"/>
      <c r="H316"/>
      <c r="I316"/>
      <c r="J316"/>
      <c r="K316"/>
      <c r="L316"/>
    </row>
    <row r="317" spans="1:12" ht="15" x14ac:dyDescent="0.25">
      <c r="A317"/>
      <c r="B317"/>
      <c r="C317"/>
      <c r="D317"/>
      <c r="E317"/>
      <c r="F317"/>
      <c r="G317"/>
      <c r="H317"/>
      <c r="I317"/>
      <c r="J317"/>
      <c r="K317"/>
      <c r="L317"/>
    </row>
    <row r="318" spans="1:12" ht="15" x14ac:dyDescent="0.25">
      <c r="A318"/>
      <c r="B318"/>
      <c r="C318"/>
      <c r="D318"/>
      <c r="E318"/>
      <c r="F318"/>
      <c r="G318"/>
      <c r="H318"/>
      <c r="I318"/>
      <c r="J318"/>
      <c r="K318"/>
      <c r="L318"/>
    </row>
    <row r="319" spans="1:12" ht="15" x14ac:dyDescent="0.25">
      <c r="A319"/>
      <c r="B319"/>
      <c r="C319"/>
      <c r="D319"/>
      <c r="E319"/>
      <c r="F319"/>
      <c r="G319"/>
      <c r="H319"/>
      <c r="I319"/>
      <c r="J319"/>
      <c r="K319"/>
      <c r="L319"/>
    </row>
    <row r="320" spans="1:12" ht="15" x14ac:dyDescent="0.25">
      <c r="A320"/>
      <c r="B320"/>
      <c r="C320"/>
      <c r="D320"/>
      <c r="E320"/>
      <c r="F320"/>
      <c r="G320"/>
      <c r="H320"/>
      <c r="I320"/>
      <c r="J320"/>
      <c r="K320"/>
      <c r="L320"/>
    </row>
    <row r="321" spans="1:12" ht="15" x14ac:dyDescent="0.25">
      <c r="A321"/>
      <c r="B321"/>
      <c r="C321"/>
      <c r="D321"/>
      <c r="E321"/>
      <c r="F321"/>
      <c r="G321"/>
      <c r="H321"/>
      <c r="I321"/>
      <c r="J321"/>
      <c r="K321"/>
      <c r="L321"/>
    </row>
    <row r="322" spans="1:12" ht="15" x14ac:dyDescent="0.25">
      <c r="A322"/>
      <c r="B322"/>
      <c r="C322"/>
      <c r="D322"/>
      <c r="E322"/>
      <c r="F322"/>
      <c r="G322"/>
      <c r="H322"/>
      <c r="I322"/>
      <c r="J322"/>
      <c r="K322"/>
      <c r="L322"/>
    </row>
    <row r="323" spans="1:12" ht="15" x14ac:dyDescent="0.25">
      <c r="A323"/>
      <c r="B323"/>
      <c r="C323"/>
      <c r="D323"/>
      <c r="E323"/>
      <c r="F323"/>
      <c r="G323"/>
      <c r="H323"/>
      <c r="I323"/>
      <c r="J323"/>
      <c r="K323"/>
      <c r="L323"/>
    </row>
    <row r="324" spans="1:12" ht="15" x14ac:dyDescent="0.25">
      <c r="A324"/>
      <c r="B324"/>
      <c r="C324"/>
      <c r="D324"/>
      <c r="E324"/>
      <c r="F324"/>
      <c r="G324"/>
      <c r="H324"/>
      <c r="I324"/>
      <c r="J324"/>
      <c r="K324"/>
      <c r="L324"/>
    </row>
    <row r="325" spans="1:12" ht="15" x14ac:dyDescent="0.25">
      <c r="A325"/>
      <c r="B325"/>
      <c r="C325"/>
      <c r="D325"/>
      <c r="E325"/>
      <c r="F325"/>
      <c r="G325"/>
      <c r="H325"/>
      <c r="I325"/>
      <c r="J325"/>
      <c r="K325"/>
      <c r="L325"/>
    </row>
    <row r="326" spans="1:12" ht="15" x14ac:dyDescent="0.25">
      <c r="A326"/>
      <c r="B326"/>
      <c r="C326"/>
      <c r="D326"/>
      <c r="E326"/>
      <c r="F326"/>
      <c r="G326"/>
      <c r="H326"/>
      <c r="I326"/>
      <c r="J326"/>
      <c r="K326"/>
      <c r="L326"/>
    </row>
    <row r="327" spans="1:12" ht="15" x14ac:dyDescent="0.25">
      <c r="A327"/>
      <c r="B327"/>
      <c r="C327"/>
      <c r="D327"/>
      <c r="E327"/>
      <c r="F327"/>
      <c r="G327"/>
      <c r="H327"/>
      <c r="I327"/>
      <c r="J327"/>
      <c r="K327"/>
      <c r="L327"/>
    </row>
    <row r="328" spans="1:12" ht="15" x14ac:dyDescent="0.25">
      <c r="A328"/>
      <c r="B328"/>
      <c r="C328"/>
      <c r="D328"/>
      <c r="E328"/>
      <c r="F328"/>
      <c r="G328"/>
      <c r="H328"/>
      <c r="I328"/>
      <c r="J328"/>
      <c r="K328"/>
      <c r="L328"/>
    </row>
    <row r="329" spans="1:12" ht="15" x14ac:dyDescent="0.25">
      <c r="A329"/>
      <c r="B329"/>
      <c r="C329"/>
      <c r="D329"/>
      <c r="E329"/>
      <c r="F329"/>
      <c r="G329"/>
      <c r="H329"/>
      <c r="I329"/>
      <c r="J329"/>
      <c r="K329"/>
      <c r="L329"/>
    </row>
    <row r="330" spans="1:12" ht="15" x14ac:dyDescent="0.25">
      <c r="A330"/>
      <c r="B330"/>
      <c r="C330"/>
      <c r="D330"/>
      <c r="E330"/>
      <c r="F330"/>
      <c r="G330"/>
      <c r="H330"/>
      <c r="I330"/>
      <c r="J330"/>
      <c r="K330"/>
      <c r="L330"/>
    </row>
    <row r="331" spans="1:12" ht="15" x14ac:dyDescent="0.25">
      <c r="A331"/>
      <c r="B331"/>
      <c r="C331"/>
      <c r="D331"/>
      <c r="E331"/>
      <c r="F331"/>
      <c r="G331"/>
      <c r="H331"/>
      <c r="I331"/>
      <c r="J331"/>
      <c r="K331"/>
      <c r="L331"/>
    </row>
    <row r="332" spans="1:12" ht="15" x14ac:dyDescent="0.25">
      <c r="A332"/>
      <c r="B332"/>
      <c r="C332"/>
      <c r="D332"/>
      <c r="E332"/>
      <c r="F332"/>
      <c r="G332"/>
      <c r="H332"/>
      <c r="I332"/>
      <c r="J332"/>
      <c r="K332"/>
      <c r="L332"/>
    </row>
    <row r="333" spans="1:12" ht="15" x14ac:dyDescent="0.25">
      <c r="A333"/>
      <c r="B333"/>
      <c r="C333"/>
      <c r="D333"/>
      <c r="E333"/>
      <c r="F333"/>
      <c r="G333"/>
      <c r="H333"/>
      <c r="I333"/>
      <c r="J333"/>
      <c r="K333"/>
      <c r="L333"/>
    </row>
    <row r="334" spans="1:12" ht="15" x14ac:dyDescent="0.25">
      <c r="A334"/>
      <c r="B334"/>
      <c r="C334"/>
      <c r="D334"/>
      <c r="E334"/>
      <c r="F334"/>
      <c r="G334"/>
      <c r="H334"/>
      <c r="I334"/>
      <c r="J334"/>
      <c r="K334"/>
      <c r="L334"/>
    </row>
    <row r="335" spans="1:12" ht="15" x14ac:dyDescent="0.25">
      <c r="A335"/>
      <c r="B335"/>
      <c r="C335"/>
      <c r="D335"/>
      <c r="E335"/>
      <c r="F335"/>
      <c r="G335"/>
      <c r="H335"/>
      <c r="I335"/>
      <c r="J335"/>
      <c r="K335"/>
      <c r="L335"/>
    </row>
    <row r="336" spans="1:12" ht="15" x14ac:dyDescent="0.25">
      <c r="A336"/>
      <c r="B336"/>
      <c r="C336"/>
      <c r="D336"/>
      <c r="E336"/>
      <c r="F336"/>
      <c r="G336"/>
      <c r="H336"/>
      <c r="I336"/>
      <c r="J336"/>
      <c r="K336"/>
      <c r="L336"/>
    </row>
    <row r="337" spans="1:12" ht="15" x14ac:dyDescent="0.25">
      <c r="A337"/>
      <c r="B337"/>
      <c r="C337"/>
      <c r="D337"/>
      <c r="E337"/>
      <c r="F337"/>
      <c r="G337"/>
      <c r="H337"/>
      <c r="I337"/>
      <c r="J337"/>
      <c r="K337"/>
      <c r="L337"/>
    </row>
    <row r="338" spans="1:12" ht="15" x14ac:dyDescent="0.25">
      <c r="A338"/>
      <c r="B338"/>
      <c r="C338"/>
      <c r="D338"/>
      <c r="E338"/>
      <c r="F338"/>
      <c r="G338"/>
      <c r="H338"/>
      <c r="I338"/>
      <c r="J338"/>
      <c r="K338"/>
      <c r="L338"/>
    </row>
    <row r="339" spans="1:12" ht="15" x14ac:dyDescent="0.25">
      <c r="A339"/>
      <c r="B339"/>
      <c r="C339"/>
      <c r="D339"/>
      <c r="E339"/>
      <c r="F339"/>
      <c r="G339"/>
      <c r="H339"/>
      <c r="I339"/>
      <c r="J339"/>
      <c r="K339"/>
      <c r="L339"/>
    </row>
    <row r="340" spans="1:12" ht="15" x14ac:dyDescent="0.25">
      <c r="A340"/>
      <c r="B340"/>
      <c r="C340"/>
      <c r="D340"/>
      <c r="E340"/>
      <c r="F340"/>
      <c r="G340"/>
      <c r="H340"/>
      <c r="I340"/>
      <c r="J340"/>
      <c r="K340"/>
      <c r="L340"/>
    </row>
    <row r="341" spans="1:12" ht="15" x14ac:dyDescent="0.25">
      <c r="A341"/>
      <c r="B341"/>
      <c r="C341"/>
      <c r="D341"/>
      <c r="E341"/>
      <c r="F341"/>
      <c r="G341"/>
      <c r="H341"/>
      <c r="I341"/>
      <c r="J341"/>
      <c r="K341"/>
      <c r="L341"/>
    </row>
    <row r="342" spans="1:12" ht="15" x14ac:dyDescent="0.25">
      <c r="A342"/>
      <c r="B342"/>
      <c r="C342"/>
      <c r="D342"/>
      <c r="E342"/>
      <c r="F342"/>
      <c r="G342"/>
      <c r="H342"/>
      <c r="I342"/>
      <c r="J342"/>
      <c r="K342"/>
      <c r="L342"/>
    </row>
    <row r="343" spans="1:12" ht="15" x14ac:dyDescent="0.25">
      <c r="A343"/>
      <c r="B343"/>
      <c r="C343"/>
      <c r="D343"/>
      <c r="E343"/>
      <c r="F343"/>
      <c r="G343"/>
      <c r="H343"/>
      <c r="I343"/>
      <c r="J343"/>
      <c r="K343"/>
      <c r="L343"/>
    </row>
    <row r="344" spans="1:12" ht="15" x14ac:dyDescent="0.25">
      <c r="A344"/>
      <c r="B344"/>
      <c r="C344"/>
      <c r="D344"/>
      <c r="E344"/>
      <c r="F344"/>
      <c r="G344"/>
      <c r="H344"/>
      <c r="I344"/>
      <c r="J344"/>
      <c r="K344"/>
      <c r="L344"/>
    </row>
    <row r="345" spans="1:12" ht="15" x14ac:dyDescent="0.25">
      <c r="A345"/>
      <c r="B345"/>
      <c r="C345"/>
      <c r="D345"/>
      <c r="E345"/>
      <c r="F345"/>
      <c r="G345"/>
      <c r="H345"/>
      <c r="I345"/>
      <c r="J345"/>
      <c r="K345"/>
      <c r="L345"/>
    </row>
    <row r="346" spans="1:12" ht="15" x14ac:dyDescent="0.25">
      <c r="A346"/>
      <c r="B346"/>
      <c r="C346"/>
      <c r="D346"/>
      <c r="E346"/>
      <c r="F346"/>
      <c r="G346"/>
      <c r="H346"/>
      <c r="I346"/>
      <c r="J346"/>
      <c r="K346"/>
      <c r="L346"/>
    </row>
    <row r="347" spans="1:12" ht="15" x14ac:dyDescent="0.25">
      <c r="A347"/>
      <c r="B347"/>
      <c r="C347"/>
      <c r="D347"/>
      <c r="E347"/>
      <c r="F347"/>
      <c r="G347"/>
      <c r="H347"/>
      <c r="I347"/>
      <c r="J347"/>
      <c r="K347"/>
      <c r="L347"/>
    </row>
    <row r="348" spans="1:12" ht="15" x14ac:dyDescent="0.25">
      <c r="A348"/>
      <c r="B348"/>
      <c r="C348"/>
      <c r="D348"/>
      <c r="E348"/>
      <c r="F348"/>
      <c r="G348"/>
      <c r="H348"/>
      <c r="I348"/>
      <c r="J348"/>
      <c r="K348"/>
      <c r="L348"/>
    </row>
    <row r="349" spans="1:12" ht="15" x14ac:dyDescent="0.25">
      <c r="A349"/>
      <c r="B349"/>
      <c r="C349"/>
      <c r="D349"/>
      <c r="E349"/>
      <c r="F349"/>
      <c r="G349"/>
      <c r="H349"/>
      <c r="I349"/>
      <c r="J349"/>
      <c r="K349"/>
      <c r="L349"/>
    </row>
    <row r="350" spans="1:12" ht="15" x14ac:dyDescent="0.25">
      <c r="A350"/>
      <c r="B350"/>
      <c r="C350"/>
      <c r="D350"/>
      <c r="E350"/>
      <c r="F350"/>
      <c r="G350"/>
      <c r="H350"/>
      <c r="I350"/>
      <c r="J350"/>
      <c r="K350"/>
      <c r="L350"/>
    </row>
    <row r="351" spans="1:12" ht="15" x14ac:dyDescent="0.25">
      <c r="A351"/>
      <c r="B351"/>
      <c r="C351"/>
      <c r="D351"/>
      <c r="E351"/>
      <c r="F351"/>
      <c r="G351"/>
      <c r="H351"/>
      <c r="I351"/>
      <c r="J351"/>
      <c r="K351"/>
      <c r="L351"/>
    </row>
    <row r="352" spans="1:12" ht="15" x14ac:dyDescent="0.25">
      <c r="A352"/>
      <c r="B352"/>
      <c r="C352"/>
      <c r="D352"/>
      <c r="E352"/>
      <c r="F352"/>
      <c r="G352"/>
      <c r="H352"/>
      <c r="I352"/>
      <c r="J352"/>
      <c r="K352"/>
      <c r="L352"/>
    </row>
    <row r="353" spans="1:12" ht="15" x14ac:dyDescent="0.25">
      <c r="A353"/>
      <c r="B353"/>
      <c r="C353"/>
      <c r="D353"/>
      <c r="E353"/>
      <c r="F353"/>
      <c r="G353"/>
      <c r="H353"/>
      <c r="I353"/>
      <c r="J353"/>
      <c r="K353"/>
      <c r="L353"/>
    </row>
    <row r="354" spans="1:12" ht="15" x14ac:dyDescent="0.25">
      <c r="A354"/>
      <c r="B354"/>
      <c r="C354"/>
      <c r="D354"/>
      <c r="E354"/>
      <c r="F354"/>
      <c r="G354"/>
      <c r="H354"/>
      <c r="I354"/>
      <c r="J354"/>
      <c r="K354"/>
      <c r="L354"/>
    </row>
    <row r="355" spans="1:12" ht="15" x14ac:dyDescent="0.25">
      <c r="A355"/>
      <c r="B355"/>
      <c r="C355"/>
      <c r="D355"/>
      <c r="E355"/>
      <c r="F355"/>
      <c r="G355"/>
      <c r="H355"/>
      <c r="I355"/>
      <c r="J355"/>
      <c r="K355"/>
      <c r="L355"/>
    </row>
    <row r="356" spans="1:12" ht="15" x14ac:dyDescent="0.25">
      <c r="A356"/>
      <c r="B356"/>
      <c r="C356"/>
      <c r="D356"/>
      <c r="E356"/>
      <c r="F356"/>
      <c r="G356"/>
      <c r="H356"/>
      <c r="I356"/>
      <c r="J356"/>
      <c r="K356"/>
      <c r="L356"/>
    </row>
    <row r="357" spans="1:12" ht="15" x14ac:dyDescent="0.25">
      <c r="A357"/>
      <c r="B357"/>
      <c r="C357"/>
      <c r="D357"/>
      <c r="E357"/>
      <c r="F357"/>
      <c r="G357"/>
      <c r="H357"/>
      <c r="I357"/>
      <c r="J357"/>
      <c r="K357"/>
      <c r="L357"/>
    </row>
    <row r="358" spans="1:12" ht="15" x14ac:dyDescent="0.25">
      <c r="A358"/>
      <c r="B358"/>
      <c r="C358"/>
      <c r="D358"/>
      <c r="E358"/>
      <c r="F358"/>
      <c r="G358"/>
      <c r="H358"/>
      <c r="I358"/>
      <c r="J358"/>
      <c r="K358"/>
      <c r="L358"/>
    </row>
    <row r="359" spans="1:12" ht="15" x14ac:dyDescent="0.25">
      <c r="A359"/>
      <c r="B359"/>
      <c r="C359"/>
      <c r="D359"/>
      <c r="E359"/>
      <c r="F359"/>
      <c r="G359"/>
      <c r="H359"/>
      <c r="I359"/>
      <c r="J359"/>
      <c r="K359"/>
      <c r="L359"/>
    </row>
    <row r="360" spans="1:12" ht="15" x14ac:dyDescent="0.25">
      <c r="A360"/>
      <c r="B360"/>
      <c r="C360"/>
      <c r="D360"/>
      <c r="E360"/>
      <c r="F360"/>
      <c r="G360"/>
      <c r="H360"/>
      <c r="I360"/>
      <c r="J360"/>
      <c r="K360"/>
      <c r="L360"/>
    </row>
    <row r="361" spans="1:12" ht="15" x14ac:dyDescent="0.25">
      <c r="A361"/>
      <c r="B361"/>
      <c r="C361"/>
      <c r="D361"/>
      <c r="E361"/>
      <c r="F361"/>
      <c r="G361"/>
      <c r="H361"/>
      <c r="I361"/>
      <c r="J361"/>
      <c r="K361"/>
      <c r="L361"/>
    </row>
    <row r="362" spans="1:12" ht="15" x14ac:dyDescent="0.25">
      <c r="A362"/>
      <c r="B362"/>
      <c r="C362"/>
      <c r="D362"/>
      <c r="E362"/>
      <c r="F362"/>
      <c r="G362"/>
      <c r="H362"/>
      <c r="I362"/>
      <c r="J362"/>
      <c r="K362"/>
      <c r="L362"/>
    </row>
    <row r="363" spans="1:12" ht="15" x14ac:dyDescent="0.25">
      <c r="A363"/>
      <c r="B363"/>
      <c r="C363"/>
      <c r="D363"/>
      <c r="E363"/>
      <c r="F363"/>
      <c r="G363"/>
      <c r="H363"/>
      <c r="I363"/>
      <c r="J363"/>
      <c r="K363"/>
      <c r="L363"/>
    </row>
    <row r="364" spans="1:12" ht="15" x14ac:dyDescent="0.25">
      <c r="A364"/>
      <c r="B364"/>
      <c r="C364"/>
      <c r="D364"/>
      <c r="E364"/>
      <c r="F364"/>
      <c r="G364"/>
      <c r="H364"/>
      <c r="I364"/>
      <c r="J364"/>
      <c r="K364"/>
      <c r="L364"/>
    </row>
    <row r="365" spans="1:12" ht="15" x14ac:dyDescent="0.25">
      <c r="A365"/>
      <c r="B365"/>
      <c r="C365"/>
      <c r="D365"/>
      <c r="E365"/>
      <c r="F365"/>
      <c r="G365"/>
      <c r="H365"/>
      <c r="I365"/>
      <c r="J365"/>
      <c r="K365"/>
      <c r="L365"/>
    </row>
    <row r="366" spans="1:12" ht="15" x14ac:dyDescent="0.25">
      <c r="A366"/>
      <c r="B366"/>
      <c r="C366"/>
      <c r="D366"/>
      <c r="E366"/>
      <c r="F366"/>
      <c r="G366"/>
      <c r="H366"/>
      <c r="I366"/>
      <c r="J366"/>
      <c r="K366"/>
      <c r="L366"/>
    </row>
    <row r="367" spans="1:12" ht="15" x14ac:dyDescent="0.25">
      <c r="A367"/>
      <c r="B367"/>
      <c r="C367"/>
      <c r="D367"/>
      <c r="E367"/>
      <c r="F367"/>
      <c r="G367"/>
      <c r="H367"/>
      <c r="I367"/>
      <c r="J367"/>
      <c r="K367"/>
      <c r="L367"/>
    </row>
    <row r="368" spans="1:12" ht="15" x14ac:dyDescent="0.25">
      <c r="A368"/>
      <c r="B368"/>
      <c r="C368"/>
      <c r="D368"/>
      <c r="E368"/>
      <c r="F368"/>
      <c r="G368"/>
      <c r="H368"/>
      <c r="I368"/>
      <c r="J368"/>
      <c r="K368"/>
      <c r="L368"/>
    </row>
    <row r="369" spans="1:12" ht="15" x14ac:dyDescent="0.25">
      <c r="A369"/>
      <c r="B369"/>
      <c r="C369"/>
      <c r="D369"/>
      <c r="E369"/>
      <c r="F369"/>
      <c r="G369"/>
      <c r="H369"/>
      <c r="I369"/>
      <c r="J369"/>
      <c r="K369"/>
      <c r="L369"/>
    </row>
    <row r="370" spans="1:12" ht="15" x14ac:dyDescent="0.25">
      <c r="A370"/>
      <c r="B370"/>
      <c r="C370"/>
      <c r="D370"/>
      <c r="E370"/>
      <c r="F370"/>
      <c r="G370"/>
      <c r="H370"/>
      <c r="I370"/>
      <c r="J370"/>
      <c r="K370"/>
      <c r="L370"/>
    </row>
    <row r="371" spans="1:12" ht="15" x14ac:dyDescent="0.25">
      <c r="A371"/>
      <c r="B371"/>
      <c r="C371"/>
      <c r="D371"/>
      <c r="E371"/>
      <c r="F371"/>
      <c r="G371"/>
      <c r="H371"/>
      <c r="I371"/>
      <c r="J371"/>
      <c r="K371"/>
      <c r="L371"/>
    </row>
    <row r="372" spans="1:12" ht="15" x14ac:dyDescent="0.25">
      <c r="A372"/>
      <c r="B372"/>
      <c r="C372"/>
      <c r="D372"/>
      <c r="E372"/>
      <c r="F372"/>
      <c r="G372"/>
      <c r="H372"/>
      <c r="I372"/>
      <c r="J372"/>
      <c r="K372"/>
      <c r="L372"/>
    </row>
    <row r="373" spans="1:12" ht="15" x14ac:dyDescent="0.25">
      <c r="A373"/>
      <c r="B373"/>
      <c r="C373"/>
      <c r="D373"/>
      <c r="E373"/>
      <c r="F373"/>
      <c r="G373"/>
      <c r="H373"/>
      <c r="I373"/>
      <c r="J373"/>
      <c r="K373"/>
      <c r="L373"/>
    </row>
    <row r="374" spans="1:12" ht="15" x14ac:dyDescent="0.25">
      <c r="A374"/>
      <c r="B374"/>
      <c r="C374"/>
      <c r="D374"/>
      <c r="E374"/>
      <c r="F374"/>
      <c r="G374"/>
      <c r="H374"/>
      <c r="I374"/>
      <c r="J374"/>
      <c r="K374"/>
      <c r="L374"/>
    </row>
    <row r="375" spans="1:12" ht="15" x14ac:dyDescent="0.25">
      <c r="A375"/>
      <c r="B375"/>
      <c r="C375"/>
      <c r="D375"/>
      <c r="E375"/>
      <c r="F375"/>
      <c r="G375"/>
      <c r="H375"/>
      <c r="I375"/>
      <c r="J375"/>
      <c r="K375"/>
      <c r="L375"/>
    </row>
    <row r="376" spans="1:12" ht="15" x14ac:dyDescent="0.25">
      <c r="A376"/>
      <c r="B376"/>
      <c r="C376"/>
      <c r="D376"/>
      <c r="E376"/>
      <c r="F376"/>
      <c r="G376"/>
      <c r="H376"/>
      <c r="I376"/>
      <c r="J376"/>
      <c r="K376"/>
      <c r="L376"/>
    </row>
    <row r="377" spans="1:12" ht="15" x14ac:dyDescent="0.25">
      <c r="A377"/>
      <c r="B377"/>
      <c r="C377"/>
      <c r="D377"/>
      <c r="E377"/>
      <c r="F377"/>
      <c r="G377"/>
      <c r="H377"/>
      <c r="I377"/>
      <c r="J377"/>
      <c r="K377"/>
      <c r="L377"/>
    </row>
    <row r="378" spans="1:12" ht="15" x14ac:dyDescent="0.25">
      <c r="A378"/>
      <c r="B378"/>
      <c r="C378"/>
      <c r="D378"/>
      <c r="E378"/>
      <c r="F378"/>
      <c r="G378"/>
      <c r="H378"/>
      <c r="I378"/>
      <c r="J378"/>
      <c r="K378"/>
      <c r="L378"/>
    </row>
    <row r="379" spans="1:12" ht="15" x14ac:dyDescent="0.25">
      <c r="A379"/>
      <c r="B379"/>
      <c r="C379"/>
      <c r="D379"/>
      <c r="E379"/>
      <c r="F379"/>
      <c r="G379"/>
      <c r="H379"/>
      <c r="I379"/>
      <c r="J379"/>
      <c r="K379"/>
      <c r="L379"/>
    </row>
    <row r="380" spans="1:12" ht="15" x14ac:dyDescent="0.25">
      <c r="A380"/>
      <c r="B380"/>
      <c r="C380"/>
      <c r="D380"/>
      <c r="E380"/>
      <c r="F380"/>
      <c r="G380"/>
      <c r="H380"/>
      <c r="I380"/>
      <c r="J380"/>
      <c r="K380"/>
      <c r="L380"/>
    </row>
    <row r="381" spans="1:12" ht="15" x14ac:dyDescent="0.25">
      <c r="A381"/>
      <c r="B381"/>
      <c r="C381"/>
      <c r="D381"/>
      <c r="E381"/>
      <c r="F381"/>
      <c r="G381"/>
      <c r="H381"/>
      <c r="I381"/>
      <c r="J381"/>
      <c r="K381"/>
      <c r="L381"/>
    </row>
    <row r="382" spans="1:12" ht="15" x14ac:dyDescent="0.25">
      <c r="A382"/>
      <c r="B382"/>
      <c r="C382"/>
      <c r="D382"/>
      <c r="E382"/>
      <c r="F382"/>
      <c r="G382"/>
      <c r="H382"/>
      <c r="I382"/>
      <c r="J382"/>
      <c r="K382"/>
      <c r="L382"/>
    </row>
    <row r="383" spans="1:12" ht="15" x14ac:dyDescent="0.25">
      <c r="A383"/>
      <c r="B383"/>
      <c r="C383"/>
      <c r="D383"/>
      <c r="E383"/>
      <c r="F383"/>
      <c r="G383"/>
      <c r="H383"/>
      <c r="I383"/>
      <c r="J383"/>
      <c r="K383"/>
      <c r="L383"/>
    </row>
    <row r="384" spans="1:12" ht="15" x14ac:dyDescent="0.25">
      <c r="A384"/>
      <c r="B384"/>
      <c r="C384"/>
      <c r="D384"/>
      <c r="E384"/>
      <c r="F384"/>
      <c r="G384"/>
      <c r="H384"/>
      <c r="I384"/>
      <c r="J384"/>
      <c r="K384"/>
      <c r="L384"/>
    </row>
    <row r="385" spans="1:12" ht="15" x14ac:dyDescent="0.25">
      <c r="A385"/>
      <c r="B385"/>
      <c r="C385"/>
      <c r="D385"/>
      <c r="E385"/>
      <c r="F385"/>
      <c r="G385"/>
      <c r="H385"/>
      <c r="I385"/>
      <c r="J385"/>
      <c r="K385"/>
      <c r="L385"/>
    </row>
    <row r="386" spans="1:12" ht="15" x14ac:dyDescent="0.25">
      <c r="A386"/>
      <c r="B386"/>
      <c r="C386"/>
      <c r="D386"/>
      <c r="E386"/>
      <c r="F386"/>
      <c r="G386"/>
      <c r="H386"/>
      <c r="I386"/>
      <c r="J386"/>
      <c r="K386"/>
      <c r="L386"/>
    </row>
    <row r="387" spans="1:12" ht="15" x14ac:dyDescent="0.25">
      <c r="A387"/>
      <c r="B387"/>
      <c r="C387"/>
      <c r="D387"/>
      <c r="E387"/>
      <c r="F387"/>
      <c r="G387"/>
      <c r="H387"/>
      <c r="I387"/>
      <c r="J387"/>
      <c r="K387"/>
      <c r="L387"/>
    </row>
    <row r="388" spans="1:12" ht="15" x14ac:dyDescent="0.25">
      <c r="A388"/>
      <c r="B388"/>
      <c r="C388"/>
      <c r="D388"/>
      <c r="E388"/>
      <c r="F388"/>
      <c r="G388"/>
      <c r="H388"/>
      <c r="I388"/>
      <c r="J388"/>
      <c r="K388"/>
      <c r="L388"/>
    </row>
    <row r="389" spans="1:12" ht="15" x14ac:dyDescent="0.25">
      <c r="A389"/>
      <c r="B389"/>
      <c r="C389"/>
      <c r="D389"/>
      <c r="E389"/>
      <c r="F389"/>
      <c r="G389"/>
      <c r="H389"/>
      <c r="I389"/>
      <c r="J389"/>
      <c r="K389"/>
      <c r="L389"/>
    </row>
    <row r="390" spans="1:12" ht="15" x14ac:dyDescent="0.25">
      <c r="A390"/>
      <c r="B390"/>
      <c r="C390"/>
      <c r="D390"/>
      <c r="E390"/>
      <c r="F390"/>
      <c r="G390"/>
      <c r="H390"/>
      <c r="I390"/>
      <c r="J390"/>
      <c r="K390"/>
      <c r="L390"/>
    </row>
    <row r="391" spans="1:12" ht="15" x14ac:dyDescent="0.25">
      <c r="A391"/>
      <c r="B391"/>
      <c r="C391"/>
      <c r="D391"/>
      <c r="E391"/>
      <c r="F391"/>
      <c r="G391"/>
      <c r="H391"/>
      <c r="I391"/>
      <c r="J391"/>
      <c r="K391"/>
      <c r="L391"/>
    </row>
    <row r="392" spans="1:12" ht="15" x14ac:dyDescent="0.25">
      <c r="A392"/>
      <c r="B392"/>
      <c r="C392"/>
      <c r="D392"/>
      <c r="E392"/>
      <c r="F392"/>
      <c r="G392"/>
      <c r="H392"/>
      <c r="I392"/>
      <c r="J392"/>
      <c r="K392"/>
      <c r="L392"/>
    </row>
    <row r="393" spans="1:12" ht="15" x14ac:dyDescent="0.25">
      <c r="A393"/>
      <c r="B393"/>
      <c r="C393"/>
      <c r="D393"/>
      <c r="E393"/>
      <c r="F393"/>
      <c r="G393"/>
      <c r="H393"/>
      <c r="I393"/>
      <c r="J393"/>
      <c r="K393"/>
      <c r="L393"/>
    </row>
    <row r="394" spans="1:12" ht="15" x14ac:dyDescent="0.25">
      <c r="A394"/>
      <c r="B394"/>
      <c r="C394"/>
      <c r="D394"/>
      <c r="E394"/>
      <c r="F394"/>
      <c r="G394"/>
      <c r="H394"/>
      <c r="I394"/>
      <c r="J394"/>
      <c r="K394"/>
      <c r="L394"/>
    </row>
    <row r="395" spans="1:12" ht="15" x14ac:dyDescent="0.25">
      <c r="A395"/>
      <c r="B395"/>
      <c r="C395"/>
      <c r="D395"/>
      <c r="E395"/>
      <c r="F395"/>
      <c r="G395"/>
      <c r="H395"/>
      <c r="I395"/>
      <c r="J395"/>
      <c r="K395"/>
      <c r="L395"/>
    </row>
    <row r="396" spans="1:12" ht="15" x14ac:dyDescent="0.25">
      <c r="A396"/>
      <c r="B396"/>
      <c r="C396"/>
      <c r="D396"/>
      <c r="E396"/>
      <c r="F396"/>
      <c r="G396"/>
      <c r="H396"/>
      <c r="I396"/>
      <c r="J396"/>
      <c r="K396"/>
      <c r="L396"/>
    </row>
    <row r="397" spans="1:12" ht="15" x14ac:dyDescent="0.25">
      <c r="A397"/>
      <c r="B397"/>
      <c r="C397"/>
      <c r="D397"/>
      <c r="E397"/>
      <c r="F397"/>
      <c r="G397"/>
      <c r="H397"/>
      <c r="I397"/>
      <c r="J397"/>
      <c r="K397"/>
      <c r="L397"/>
    </row>
    <row r="398" spans="1:12" ht="15" x14ac:dyDescent="0.25">
      <c r="A398"/>
      <c r="B398"/>
      <c r="C398"/>
      <c r="D398"/>
      <c r="E398"/>
      <c r="F398"/>
      <c r="G398"/>
      <c r="H398"/>
      <c r="I398"/>
      <c r="J398"/>
      <c r="K398"/>
      <c r="L398"/>
    </row>
    <row r="399" spans="1:12" ht="15" x14ac:dyDescent="0.25">
      <c r="A399"/>
      <c r="B399"/>
      <c r="C399"/>
      <c r="D399"/>
      <c r="E399"/>
      <c r="F399"/>
      <c r="G399"/>
      <c r="H399"/>
      <c r="I399"/>
      <c r="J399"/>
      <c r="K399"/>
      <c r="L399"/>
    </row>
    <row r="400" spans="1:12" ht="15" x14ac:dyDescent="0.25">
      <c r="A400"/>
      <c r="B400"/>
      <c r="C400"/>
      <c r="D400"/>
      <c r="E400"/>
      <c r="F400"/>
      <c r="G400"/>
      <c r="H400"/>
      <c r="I400"/>
      <c r="J400"/>
      <c r="K400"/>
      <c r="L400"/>
    </row>
    <row r="401" spans="1:12" ht="15" x14ac:dyDescent="0.25">
      <c r="A401"/>
      <c r="B401"/>
      <c r="C401"/>
      <c r="D401"/>
      <c r="E401"/>
      <c r="F401"/>
      <c r="G401"/>
      <c r="H401"/>
      <c r="I401"/>
      <c r="J401"/>
      <c r="K401"/>
      <c r="L401"/>
    </row>
    <row r="402" spans="1:12" ht="15" x14ac:dyDescent="0.25">
      <c r="A402"/>
      <c r="B402"/>
      <c r="C402"/>
      <c r="D402"/>
      <c r="E402"/>
      <c r="F402"/>
      <c r="G402"/>
      <c r="H402"/>
      <c r="I402"/>
      <c r="J402"/>
      <c r="K402"/>
      <c r="L402"/>
    </row>
    <row r="403" spans="1:12" ht="15" x14ac:dyDescent="0.25">
      <c r="A403"/>
      <c r="B403"/>
      <c r="C403"/>
      <c r="D403"/>
      <c r="E403"/>
      <c r="F403"/>
      <c r="G403"/>
      <c r="H403"/>
      <c r="I403"/>
      <c r="J403"/>
      <c r="K403"/>
      <c r="L403"/>
    </row>
    <row r="404" spans="1:12" ht="15" x14ac:dyDescent="0.25">
      <c r="A404"/>
      <c r="B404"/>
      <c r="C404"/>
      <c r="D404"/>
      <c r="E404"/>
      <c r="F404"/>
      <c r="G404"/>
      <c r="H404"/>
      <c r="I404"/>
      <c r="J404"/>
      <c r="K404"/>
      <c r="L404"/>
    </row>
    <row r="405" spans="1:12" ht="15" x14ac:dyDescent="0.25">
      <c r="A405"/>
      <c r="B405"/>
      <c r="C405"/>
      <c r="D405"/>
      <c r="E405"/>
      <c r="F405"/>
      <c r="G405"/>
      <c r="H405"/>
      <c r="I405"/>
      <c r="J405"/>
      <c r="K405"/>
      <c r="L405"/>
    </row>
    <row r="406" spans="1:12" ht="15" x14ac:dyDescent="0.25">
      <c r="A406"/>
      <c r="B406"/>
      <c r="C406"/>
      <c r="D406"/>
      <c r="E406"/>
      <c r="F406"/>
      <c r="G406"/>
      <c r="H406"/>
      <c r="I406"/>
      <c r="J406"/>
      <c r="K406"/>
      <c r="L406"/>
    </row>
    <row r="407" spans="1:12" ht="15" x14ac:dyDescent="0.25">
      <c r="A407"/>
      <c r="B407"/>
      <c r="C407"/>
      <c r="D407"/>
      <c r="E407"/>
      <c r="F407"/>
      <c r="G407"/>
      <c r="H407"/>
      <c r="I407"/>
      <c r="J407"/>
      <c r="K407"/>
      <c r="L407"/>
    </row>
    <row r="408" spans="1:12" ht="15" x14ac:dyDescent="0.25">
      <c r="A408"/>
      <c r="B408"/>
      <c r="C408"/>
      <c r="D408"/>
      <c r="E408"/>
      <c r="F408"/>
      <c r="G408"/>
      <c r="H408"/>
      <c r="I408"/>
      <c r="J408"/>
      <c r="K408"/>
      <c r="L408"/>
    </row>
    <row r="409" spans="1:12" ht="15" x14ac:dyDescent="0.25">
      <c r="A409"/>
      <c r="B409"/>
      <c r="C409"/>
      <c r="D409"/>
      <c r="E409"/>
      <c r="F409"/>
      <c r="G409"/>
      <c r="H409"/>
      <c r="I409"/>
      <c r="J409"/>
      <c r="K409"/>
      <c r="L409"/>
    </row>
    <row r="410" spans="1:12" ht="15" x14ac:dyDescent="0.25">
      <c r="A410"/>
      <c r="B410"/>
      <c r="C410"/>
      <c r="D410"/>
      <c r="E410"/>
      <c r="F410"/>
      <c r="G410"/>
      <c r="H410"/>
      <c r="I410"/>
      <c r="J410"/>
      <c r="K410"/>
      <c r="L410"/>
    </row>
    <row r="411" spans="1:12" ht="15" x14ac:dyDescent="0.25">
      <c r="A411"/>
      <c r="B411"/>
      <c r="C411"/>
      <c r="D411"/>
      <c r="E411"/>
      <c r="F411"/>
      <c r="G411"/>
      <c r="H411"/>
      <c r="I411"/>
      <c r="J411"/>
      <c r="K411"/>
      <c r="L411"/>
    </row>
    <row r="412" spans="1:12" ht="15" x14ac:dyDescent="0.25">
      <c r="A412"/>
      <c r="B412"/>
      <c r="C412"/>
      <c r="D412"/>
      <c r="E412"/>
      <c r="F412"/>
      <c r="G412"/>
      <c r="H412"/>
      <c r="I412"/>
      <c r="J412"/>
      <c r="K412"/>
      <c r="L412"/>
    </row>
    <row r="413" spans="1:12" ht="15" x14ac:dyDescent="0.25">
      <c r="A413"/>
      <c r="B413"/>
      <c r="C413"/>
      <c r="D413"/>
      <c r="E413"/>
      <c r="F413"/>
      <c r="G413"/>
      <c r="H413"/>
      <c r="I413"/>
      <c r="J413"/>
      <c r="K413"/>
      <c r="L413"/>
    </row>
    <row r="414" spans="1:12" ht="15" x14ac:dyDescent="0.25">
      <c r="A414"/>
      <c r="B414"/>
      <c r="C414"/>
      <c r="D414"/>
      <c r="E414"/>
      <c r="F414"/>
      <c r="G414"/>
      <c r="H414"/>
      <c r="I414"/>
      <c r="J414"/>
      <c r="K414"/>
      <c r="L414"/>
    </row>
    <row r="415" spans="1:12" ht="15" x14ac:dyDescent="0.25">
      <c r="A415"/>
      <c r="B415"/>
      <c r="C415"/>
      <c r="D415"/>
      <c r="E415"/>
      <c r="F415"/>
      <c r="G415"/>
      <c r="H415"/>
      <c r="I415"/>
      <c r="J415"/>
      <c r="K415"/>
      <c r="L415"/>
    </row>
    <row r="416" spans="1:12" ht="15" x14ac:dyDescent="0.25">
      <c r="A416"/>
      <c r="B416"/>
      <c r="C416"/>
      <c r="D416"/>
      <c r="E416"/>
      <c r="F416"/>
      <c r="G416"/>
      <c r="H416"/>
      <c r="I416"/>
      <c r="J416"/>
      <c r="K416"/>
      <c r="L416"/>
    </row>
    <row r="417" spans="1:12" ht="15" x14ac:dyDescent="0.25">
      <c r="A417"/>
      <c r="B417"/>
      <c r="C417"/>
      <c r="D417"/>
      <c r="E417"/>
      <c r="F417"/>
      <c r="G417"/>
      <c r="H417"/>
      <c r="I417"/>
      <c r="J417"/>
      <c r="K417"/>
      <c r="L417"/>
    </row>
    <row r="418" spans="1:12" ht="15" x14ac:dyDescent="0.25">
      <c r="A418"/>
      <c r="B418"/>
      <c r="C418"/>
      <c r="D418"/>
      <c r="E418"/>
      <c r="F418"/>
      <c r="G418"/>
      <c r="H418"/>
      <c r="I418"/>
      <c r="J418"/>
      <c r="K418"/>
      <c r="L418"/>
    </row>
    <row r="419" spans="1:12" ht="15" x14ac:dyDescent="0.25">
      <c r="A419"/>
      <c r="B419"/>
      <c r="C419"/>
      <c r="D419"/>
      <c r="E419"/>
      <c r="F419"/>
      <c r="G419"/>
      <c r="H419"/>
      <c r="I419"/>
      <c r="J419"/>
      <c r="K419"/>
      <c r="L419"/>
    </row>
    <row r="420" spans="1:12" ht="15" x14ac:dyDescent="0.25">
      <c r="A420"/>
      <c r="B420"/>
      <c r="C420"/>
      <c r="D420"/>
      <c r="E420"/>
      <c r="F420"/>
      <c r="G420"/>
      <c r="H420"/>
      <c r="I420"/>
      <c r="J420"/>
      <c r="K420"/>
      <c r="L420"/>
    </row>
    <row r="421" spans="1:12" ht="15" x14ac:dyDescent="0.25">
      <c r="A421"/>
      <c r="B421"/>
      <c r="C421"/>
      <c r="D421"/>
      <c r="E421"/>
      <c r="F421"/>
      <c r="G421"/>
      <c r="H421"/>
      <c r="I421"/>
      <c r="J421"/>
      <c r="K421"/>
      <c r="L421"/>
    </row>
    <row r="422" spans="1:12" ht="15" x14ac:dyDescent="0.25">
      <c r="A422"/>
      <c r="B422"/>
      <c r="C422"/>
      <c r="D422"/>
      <c r="E422"/>
      <c r="F422"/>
      <c r="G422"/>
      <c r="H422"/>
      <c r="I422"/>
      <c r="J422"/>
      <c r="K422"/>
      <c r="L422"/>
    </row>
    <row r="423" spans="1:12" ht="15" x14ac:dyDescent="0.25">
      <c r="A423"/>
      <c r="B423"/>
      <c r="C423"/>
      <c r="D423"/>
      <c r="E423"/>
      <c r="F423"/>
      <c r="G423"/>
      <c r="H423"/>
      <c r="I423"/>
      <c r="J423"/>
      <c r="K423"/>
      <c r="L423"/>
    </row>
    <row r="424" spans="1:12" ht="15" x14ac:dyDescent="0.25">
      <c r="A424"/>
      <c r="B424"/>
      <c r="C424"/>
      <c r="D424"/>
      <c r="E424"/>
      <c r="F424"/>
      <c r="G424"/>
      <c r="H424"/>
      <c r="I424"/>
      <c r="J424"/>
      <c r="K424"/>
      <c r="L424"/>
    </row>
    <row r="425" spans="1:12" ht="15" x14ac:dyDescent="0.25">
      <c r="A425"/>
      <c r="B425"/>
      <c r="C425"/>
      <c r="D425"/>
      <c r="E425"/>
      <c r="F425"/>
      <c r="G425"/>
      <c r="H425"/>
      <c r="I425"/>
      <c r="J425"/>
      <c r="K425"/>
      <c r="L425"/>
    </row>
    <row r="426" spans="1:12" ht="15" x14ac:dyDescent="0.25">
      <c r="A426"/>
      <c r="B426"/>
      <c r="C426"/>
      <c r="D426"/>
      <c r="E426"/>
      <c r="F426"/>
      <c r="G426"/>
      <c r="H426"/>
      <c r="I426"/>
      <c r="J426"/>
      <c r="K426"/>
      <c r="L426"/>
    </row>
    <row r="427" spans="1:12" ht="15" x14ac:dyDescent="0.25">
      <c r="A427"/>
      <c r="B427"/>
      <c r="C427"/>
      <c r="D427"/>
      <c r="E427"/>
      <c r="F427"/>
      <c r="G427"/>
      <c r="H427"/>
      <c r="I427"/>
      <c r="J427"/>
      <c r="K427"/>
      <c r="L427"/>
    </row>
    <row r="428" spans="1:12" ht="15" x14ac:dyDescent="0.25">
      <c r="A428"/>
      <c r="B428"/>
      <c r="C428"/>
      <c r="D428"/>
      <c r="E428"/>
      <c r="F428"/>
      <c r="G428"/>
      <c r="H428"/>
      <c r="I428"/>
      <c r="J428"/>
      <c r="K428"/>
      <c r="L428"/>
    </row>
    <row r="429" spans="1:12" ht="15" x14ac:dyDescent="0.25">
      <c r="A429"/>
      <c r="B429"/>
      <c r="C429"/>
      <c r="D429"/>
      <c r="E429"/>
      <c r="F429"/>
      <c r="G429"/>
      <c r="H429"/>
      <c r="I429"/>
      <c r="J429"/>
      <c r="K429"/>
      <c r="L429"/>
    </row>
    <row r="430" spans="1:12" ht="15" x14ac:dyDescent="0.25">
      <c r="A430"/>
      <c r="B430"/>
      <c r="C430"/>
      <c r="D430"/>
      <c r="E430"/>
      <c r="F430"/>
      <c r="G430"/>
      <c r="H430"/>
      <c r="I430"/>
      <c r="J430"/>
      <c r="K430"/>
      <c r="L430"/>
    </row>
    <row r="431" spans="1:12" ht="15" x14ac:dyDescent="0.25">
      <c r="A431"/>
      <c r="B431"/>
      <c r="C431"/>
      <c r="D431"/>
      <c r="E431"/>
      <c r="F431"/>
      <c r="G431"/>
      <c r="H431"/>
      <c r="I431"/>
      <c r="J431"/>
      <c r="K431"/>
      <c r="L431"/>
    </row>
    <row r="432" spans="1:12" ht="15" x14ac:dyDescent="0.25">
      <c r="A432"/>
      <c r="B432"/>
      <c r="C432"/>
      <c r="D432"/>
      <c r="E432"/>
      <c r="F432"/>
      <c r="G432"/>
      <c r="H432"/>
      <c r="I432"/>
      <c r="J432"/>
      <c r="K432"/>
      <c r="L432"/>
    </row>
    <row r="433" spans="1:12" ht="15" x14ac:dyDescent="0.25">
      <c r="A433"/>
      <c r="B433"/>
      <c r="C433"/>
      <c r="D433"/>
      <c r="E433"/>
      <c r="F433"/>
      <c r="G433"/>
      <c r="H433"/>
      <c r="I433"/>
      <c r="J433"/>
      <c r="K433"/>
      <c r="L433"/>
    </row>
    <row r="434" spans="1:12" ht="15" x14ac:dyDescent="0.25">
      <c r="A434"/>
      <c r="B434"/>
      <c r="C434"/>
      <c r="D434"/>
      <c r="E434"/>
      <c r="F434"/>
      <c r="G434"/>
      <c r="H434"/>
      <c r="I434"/>
      <c r="J434"/>
      <c r="K434"/>
      <c r="L434"/>
    </row>
    <row r="435" spans="1:12" ht="15" x14ac:dyDescent="0.25">
      <c r="A435"/>
      <c r="B435"/>
      <c r="C435"/>
      <c r="D435"/>
      <c r="E435"/>
      <c r="F435"/>
      <c r="G435"/>
      <c r="H435"/>
      <c r="I435"/>
      <c r="J435"/>
      <c r="K435"/>
      <c r="L435"/>
    </row>
    <row r="436" spans="1:12" ht="15" x14ac:dyDescent="0.25">
      <c r="A436"/>
      <c r="B436"/>
      <c r="C436"/>
      <c r="D436"/>
      <c r="E436"/>
      <c r="F436"/>
      <c r="G436"/>
      <c r="H436"/>
      <c r="I436"/>
      <c r="J436"/>
      <c r="K436"/>
      <c r="L436"/>
    </row>
    <row r="437" spans="1:12" ht="15" x14ac:dyDescent="0.25">
      <c r="A437"/>
      <c r="B437"/>
      <c r="C437"/>
      <c r="D437"/>
      <c r="E437"/>
      <c r="F437"/>
      <c r="G437"/>
      <c r="H437"/>
      <c r="I437"/>
      <c r="J437"/>
      <c r="K437"/>
      <c r="L437"/>
    </row>
    <row r="438" spans="1:12" ht="15" x14ac:dyDescent="0.25">
      <c r="A438"/>
      <c r="B438"/>
      <c r="C438"/>
      <c r="D438"/>
      <c r="E438"/>
      <c r="F438"/>
      <c r="G438"/>
      <c r="H438"/>
      <c r="I438"/>
      <c r="J438"/>
      <c r="K438"/>
      <c r="L438"/>
    </row>
    <row r="439" spans="1:12" ht="15" x14ac:dyDescent="0.25">
      <c r="A439"/>
      <c r="B439"/>
      <c r="C439"/>
      <c r="D439"/>
      <c r="E439"/>
      <c r="F439"/>
      <c r="G439"/>
      <c r="H439"/>
      <c r="I439"/>
      <c r="J439"/>
      <c r="K439"/>
      <c r="L439"/>
    </row>
    <row r="440" spans="1:12" ht="15" x14ac:dyDescent="0.25">
      <c r="A440"/>
      <c r="B440"/>
      <c r="C440"/>
      <c r="D440"/>
      <c r="E440"/>
      <c r="F440"/>
      <c r="G440"/>
      <c r="H440"/>
      <c r="I440"/>
      <c r="J440"/>
      <c r="K440"/>
      <c r="L440"/>
    </row>
    <row r="441" spans="1:12" ht="15" x14ac:dyDescent="0.25">
      <c r="A441"/>
      <c r="B441"/>
      <c r="C441"/>
      <c r="D441"/>
      <c r="E441"/>
      <c r="F441"/>
      <c r="G441"/>
      <c r="H441"/>
      <c r="I441"/>
      <c r="J441"/>
      <c r="K441"/>
      <c r="L441"/>
    </row>
    <row r="442" spans="1:12" ht="15" x14ac:dyDescent="0.25">
      <c r="A442"/>
      <c r="B442"/>
      <c r="C442"/>
      <c r="D442"/>
      <c r="E442"/>
      <c r="F442"/>
      <c r="G442"/>
      <c r="H442"/>
      <c r="I442"/>
      <c r="J442"/>
      <c r="K442"/>
      <c r="L442"/>
    </row>
    <row r="443" spans="1:12" ht="15" x14ac:dyDescent="0.25">
      <c r="A443"/>
      <c r="B443"/>
      <c r="C443"/>
      <c r="D443"/>
      <c r="E443"/>
      <c r="F443"/>
      <c r="G443"/>
      <c r="H443"/>
      <c r="I443"/>
      <c r="J443"/>
      <c r="K443"/>
      <c r="L443"/>
    </row>
    <row r="444" spans="1:12" ht="15" x14ac:dyDescent="0.25">
      <c r="A444"/>
      <c r="B444"/>
      <c r="C444"/>
      <c r="D444"/>
      <c r="E444"/>
      <c r="F444"/>
      <c r="G444"/>
      <c r="H444"/>
      <c r="I444"/>
      <c r="J444"/>
      <c r="K444"/>
      <c r="L444"/>
    </row>
    <row r="445" spans="1:12" ht="15" x14ac:dyDescent="0.25">
      <c r="A445"/>
      <c r="B445"/>
      <c r="C445"/>
      <c r="D445"/>
      <c r="E445"/>
      <c r="F445"/>
      <c r="G445"/>
      <c r="H445"/>
      <c r="I445"/>
      <c r="J445"/>
      <c r="K445"/>
      <c r="L445"/>
    </row>
    <row r="446" spans="1:12" ht="15" x14ac:dyDescent="0.25">
      <c r="A446"/>
      <c r="B446"/>
      <c r="C446"/>
      <c r="D446"/>
      <c r="E446"/>
      <c r="F446"/>
      <c r="G446"/>
      <c r="H446"/>
      <c r="I446"/>
      <c r="J446"/>
      <c r="K446"/>
      <c r="L446"/>
    </row>
    <row r="447" spans="1:12" ht="15" x14ac:dyDescent="0.25">
      <c r="A447"/>
      <c r="B447"/>
      <c r="C447"/>
      <c r="D447"/>
      <c r="E447"/>
      <c r="F447"/>
      <c r="G447"/>
      <c r="H447"/>
      <c r="I447"/>
      <c r="J447"/>
      <c r="K447"/>
      <c r="L447"/>
    </row>
    <row r="448" spans="1:12" ht="15" x14ac:dyDescent="0.25">
      <c r="A448"/>
      <c r="B448"/>
      <c r="C448"/>
      <c r="D448"/>
      <c r="E448"/>
      <c r="F448"/>
      <c r="G448"/>
      <c r="H448"/>
      <c r="I448"/>
      <c r="J448"/>
      <c r="K448"/>
      <c r="L448"/>
    </row>
    <row r="449" spans="1:12" ht="15" x14ac:dyDescent="0.25">
      <c r="A449"/>
      <c r="B449"/>
      <c r="C449"/>
      <c r="D449"/>
      <c r="E449"/>
      <c r="F449"/>
      <c r="G449"/>
      <c r="H449"/>
      <c r="I449"/>
      <c r="J449"/>
      <c r="K449"/>
      <c r="L449"/>
    </row>
    <row r="450" spans="1:12" ht="15" x14ac:dyDescent="0.25">
      <c r="A450"/>
      <c r="B450"/>
      <c r="C450"/>
      <c r="D450"/>
      <c r="E450"/>
      <c r="F450"/>
      <c r="G450"/>
      <c r="H450"/>
      <c r="I450"/>
      <c r="J450"/>
      <c r="K450"/>
      <c r="L450"/>
    </row>
    <row r="451" spans="1:12" ht="15" x14ac:dyDescent="0.25">
      <c r="A451"/>
      <c r="B451"/>
      <c r="C451"/>
      <c r="D451"/>
      <c r="E451"/>
      <c r="F451"/>
      <c r="G451"/>
      <c r="H451"/>
      <c r="I451"/>
      <c r="J451"/>
      <c r="K451"/>
      <c r="L451"/>
    </row>
    <row r="452" spans="1:12" ht="15" x14ac:dyDescent="0.25">
      <c r="A452"/>
      <c r="B452"/>
      <c r="C452"/>
      <c r="D452"/>
      <c r="E452"/>
      <c r="F452"/>
      <c r="G452"/>
      <c r="H452"/>
      <c r="I452"/>
      <c r="J452"/>
      <c r="K452"/>
      <c r="L452"/>
    </row>
    <row r="453" spans="1:12" ht="15" x14ac:dyDescent="0.25">
      <c r="A453"/>
      <c r="B453"/>
      <c r="C453"/>
      <c r="D453"/>
      <c r="E453"/>
      <c r="F453"/>
      <c r="G453"/>
      <c r="H453"/>
      <c r="I453"/>
      <c r="J453"/>
      <c r="K453"/>
      <c r="L453"/>
    </row>
    <row r="454" spans="1:12" ht="15" x14ac:dyDescent="0.25">
      <c r="A454"/>
      <c r="B454"/>
      <c r="C454"/>
      <c r="D454"/>
      <c r="E454"/>
      <c r="F454"/>
      <c r="G454"/>
      <c r="H454"/>
      <c r="I454"/>
      <c r="J454"/>
      <c r="K454"/>
      <c r="L454"/>
    </row>
    <row r="455" spans="1:12" ht="15" x14ac:dyDescent="0.25">
      <c r="A455"/>
      <c r="B455"/>
      <c r="C455"/>
      <c r="D455"/>
      <c r="E455"/>
      <c r="F455"/>
      <c r="G455"/>
      <c r="H455"/>
      <c r="I455"/>
      <c r="J455"/>
      <c r="K455"/>
      <c r="L455"/>
    </row>
    <row r="456" spans="1:12" ht="15" x14ac:dyDescent="0.25">
      <c r="A456"/>
      <c r="B456"/>
      <c r="C456"/>
      <c r="D456"/>
      <c r="E456"/>
      <c r="F456"/>
      <c r="G456"/>
      <c r="H456"/>
      <c r="I456"/>
      <c r="J456"/>
      <c r="K456"/>
      <c r="L456"/>
    </row>
    <row r="457" spans="1:12" ht="15" x14ac:dyDescent="0.25">
      <c r="A457"/>
      <c r="B457"/>
      <c r="C457"/>
      <c r="D457"/>
      <c r="E457"/>
      <c r="F457"/>
      <c r="G457"/>
      <c r="H457"/>
      <c r="I457"/>
      <c r="J457"/>
      <c r="K457"/>
      <c r="L457"/>
    </row>
    <row r="458" spans="1:12" ht="15" x14ac:dyDescent="0.25">
      <c r="A458"/>
      <c r="B458"/>
      <c r="C458"/>
      <c r="D458"/>
      <c r="E458"/>
      <c r="F458"/>
      <c r="G458"/>
      <c r="H458"/>
      <c r="I458"/>
      <c r="J458"/>
      <c r="K458"/>
      <c r="L458"/>
    </row>
    <row r="459" spans="1:12" ht="15" x14ac:dyDescent="0.25">
      <c r="A459"/>
      <c r="B459"/>
      <c r="C459"/>
      <c r="D459"/>
      <c r="E459"/>
      <c r="F459"/>
      <c r="G459"/>
      <c r="H459"/>
      <c r="I459"/>
      <c r="J459"/>
      <c r="K459"/>
      <c r="L459"/>
    </row>
    <row r="460" spans="1:12" ht="15" x14ac:dyDescent="0.25">
      <c r="A460"/>
      <c r="B460"/>
      <c r="C460"/>
      <c r="D460"/>
      <c r="E460"/>
      <c r="F460"/>
      <c r="G460"/>
      <c r="H460"/>
      <c r="I460"/>
      <c r="J460"/>
      <c r="K460"/>
      <c r="L460"/>
    </row>
    <row r="461" spans="1:12" ht="15" x14ac:dyDescent="0.25">
      <c r="A461"/>
      <c r="B461"/>
      <c r="C461"/>
      <c r="D461"/>
      <c r="E461"/>
      <c r="F461"/>
      <c r="G461"/>
      <c r="H461"/>
      <c r="I461"/>
      <c r="J461"/>
      <c r="K461"/>
      <c r="L461"/>
    </row>
    <row r="462" spans="1:12" ht="15" x14ac:dyDescent="0.25">
      <c r="A462"/>
      <c r="B462"/>
      <c r="C462"/>
      <c r="D462"/>
      <c r="E462"/>
      <c r="F462"/>
      <c r="G462"/>
      <c r="H462"/>
      <c r="I462"/>
      <c r="J462"/>
      <c r="K462"/>
      <c r="L462"/>
    </row>
    <row r="463" spans="1:12" ht="15" x14ac:dyDescent="0.25">
      <c r="A463"/>
      <c r="B463"/>
      <c r="C463"/>
      <c r="D463"/>
      <c r="E463"/>
      <c r="F463"/>
      <c r="G463"/>
      <c r="H463"/>
      <c r="I463"/>
      <c r="J463"/>
      <c r="K463"/>
      <c r="L463"/>
    </row>
    <row r="464" spans="1:12" ht="15" x14ac:dyDescent="0.25">
      <c r="A464"/>
      <c r="B464"/>
      <c r="C464"/>
      <c r="D464"/>
      <c r="E464"/>
      <c r="F464"/>
      <c r="G464"/>
      <c r="H464"/>
      <c r="I464"/>
      <c r="J464"/>
      <c r="K464"/>
      <c r="L464"/>
    </row>
    <row r="465" spans="1:12" ht="15" x14ac:dyDescent="0.25">
      <c r="A465"/>
      <c r="B465"/>
      <c r="C465"/>
      <c r="D465"/>
      <c r="E465"/>
      <c r="F465"/>
      <c r="G465"/>
      <c r="H465"/>
      <c r="I465"/>
      <c r="J465"/>
      <c r="K465"/>
      <c r="L465"/>
    </row>
    <row r="466" spans="1:12" ht="15" x14ac:dyDescent="0.25">
      <c r="A466"/>
      <c r="B466"/>
      <c r="C466"/>
      <c r="D466"/>
      <c r="E466"/>
      <c r="F466"/>
      <c r="G466"/>
      <c r="H466"/>
      <c r="I466"/>
      <c r="J466"/>
      <c r="K466"/>
      <c r="L466"/>
    </row>
    <row r="467" spans="1:12" ht="15" x14ac:dyDescent="0.25">
      <c r="A467"/>
      <c r="B467"/>
      <c r="C467"/>
      <c r="D467"/>
      <c r="E467"/>
      <c r="F467"/>
      <c r="G467"/>
      <c r="H467"/>
      <c r="I467"/>
      <c r="J467"/>
      <c r="K467"/>
      <c r="L467"/>
    </row>
    <row r="468" spans="1:12" ht="15" x14ac:dyDescent="0.25">
      <c r="A468"/>
      <c r="B468"/>
      <c r="C468"/>
      <c r="D468"/>
      <c r="E468"/>
      <c r="F468"/>
      <c r="G468"/>
      <c r="H468"/>
      <c r="I468"/>
      <c r="J468"/>
      <c r="K468"/>
      <c r="L468"/>
    </row>
    <row r="469" spans="1:12" ht="15" x14ac:dyDescent="0.25">
      <c r="A469"/>
      <c r="B469"/>
      <c r="C469"/>
      <c r="D469"/>
      <c r="E469"/>
      <c r="F469"/>
      <c r="G469"/>
      <c r="H469"/>
      <c r="I469"/>
      <c r="J469"/>
      <c r="K469"/>
      <c r="L469"/>
    </row>
    <row r="470" spans="1:12" ht="15" x14ac:dyDescent="0.25">
      <c r="A470"/>
      <c r="B470"/>
      <c r="C470"/>
      <c r="D470"/>
      <c r="E470"/>
      <c r="F470"/>
      <c r="G470"/>
      <c r="H470"/>
      <c r="I470"/>
      <c r="J470"/>
      <c r="K470"/>
      <c r="L470"/>
    </row>
    <row r="471" spans="1:12" ht="15" x14ac:dyDescent="0.25">
      <c r="A471"/>
      <c r="B471"/>
      <c r="C471"/>
      <c r="D471"/>
      <c r="E471"/>
      <c r="F471"/>
      <c r="G471"/>
      <c r="H471"/>
      <c r="I471"/>
      <c r="J471"/>
      <c r="K471"/>
      <c r="L471"/>
    </row>
    <row r="472" spans="1:12" ht="15" x14ac:dyDescent="0.25">
      <c r="A472"/>
      <c r="B472"/>
      <c r="C472"/>
      <c r="D472"/>
      <c r="E472"/>
      <c r="F472"/>
      <c r="G472"/>
      <c r="H472"/>
      <c r="I472"/>
      <c r="J472"/>
      <c r="K472"/>
      <c r="L472"/>
    </row>
    <row r="473" spans="1:12" ht="15" x14ac:dyDescent="0.25">
      <c r="A473"/>
      <c r="B473"/>
      <c r="C473"/>
      <c r="D473"/>
      <c r="E473"/>
      <c r="F473"/>
      <c r="G473"/>
      <c r="H473"/>
      <c r="I473"/>
      <c r="J473"/>
      <c r="K473"/>
      <c r="L473"/>
    </row>
    <row r="474" spans="1:12" ht="15" x14ac:dyDescent="0.25">
      <c r="A474"/>
      <c r="B474"/>
      <c r="C474"/>
      <c r="D474"/>
      <c r="E474"/>
      <c r="F474"/>
      <c r="G474"/>
      <c r="H474"/>
      <c r="I474"/>
      <c r="J474"/>
      <c r="K474"/>
      <c r="L474"/>
    </row>
    <row r="475" spans="1:12" ht="15" x14ac:dyDescent="0.25">
      <c r="A475"/>
      <c r="B475"/>
      <c r="C475"/>
      <c r="D475"/>
      <c r="E475"/>
      <c r="F475"/>
      <c r="G475"/>
      <c r="H475"/>
      <c r="I475"/>
      <c r="J475"/>
      <c r="K475"/>
      <c r="L475"/>
    </row>
    <row r="476" spans="1:12" ht="15" x14ac:dyDescent="0.25">
      <c r="A476"/>
      <c r="B476"/>
      <c r="C476"/>
      <c r="D476"/>
      <c r="E476"/>
      <c r="F476"/>
      <c r="G476"/>
      <c r="H476"/>
      <c r="I476"/>
      <c r="J476"/>
      <c r="K476"/>
      <c r="L476"/>
    </row>
    <row r="477" spans="1:12" ht="15" x14ac:dyDescent="0.25">
      <c r="A477"/>
      <c r="B477"/>
      <c r="C477"/>
      <c r="D477"/>
      <c r="E477"/>
      <c r="F477"/>
      <c r="G477"/>
      <c r="H477"/>
      <c r="I477"/>
      <c r="J477"/>
      <c r="K477"/>
      <c r="L477"/>
    </row>
    <row r="478" spans="1:12" ht="15" x14ac:dyDescent="0.25">
      <c r="A478"/>
      <c r="B478"/>
      <c r="C478"/>
      <c r="D478"/>
      <c r="E478"/>
      <c r="F478"/>
      <c r="G478"/>
      <c r="H478"/>
      <c r="I478"/>
      <c r="J478"/>
      <c r="K478"/>
      <c r="L478"/>
    </row>
    <row r="479" spans="1:12" ht="15" x14ac:dyDescent="0.25">
      <c r="A479"/>
      <c r="B479"/>
      <c r="C479"/>
      <c r="D479"/>
      <c r="E479"/>
      <c r="F479"/>
      <c r="G479"/>
      <c r="H479"/>
      <c r="I479"/>
      <c r="J479"/>
      <c r="K479"/>
      <c r="L479"/>
    </row>
    <row r="480" spans="1:12" ht="15" x14ac:dyDescent="0.25">
      <c r="A480"/>
      <c r="B480"/>
      <c r="C480"/>
      <c r="D480"/>
      <c r="E480"/>
      <c r="F480"/>
      <c r="G480"/>
      <c r="H480"/>
      <c r="I480"/>
      <c r="J480"/>
      <c r="K480"/>
      <c r="L480"/>
    </row>
    <row r="481" spans="1:12" ht="15" x14ac:dyDescent="0.25">
      <c r="A481"/>
      <c r="B481"/>
      <c r="C481"/>
      <c r="D481"/>
      <c r="E481"/>
      <c r="F481"/>
      <c r="G481"/>
      <c r="H481"/>
      <c r="I481"/>
      <c r="J481"/>
      <c r="K481"/>
      <c r="L481"/>
    </row>
    <row r="482" spans="1:12" ht="15" x14ac:dyDescent="0.25">
      <c r="A482"/>
      <c r="B482"/>
      <c r="C482"/>
      <c r="D482"/>
      <c r="E482"/>
      <c r="F482"/>
      <c r="G482"/>
      <c r="H482"/>
      <c r="I482"/>
      <c r="J482"/>
      <c r="K482"/>
      <c r="L482"/>
    </row>
    <row r="483" spans="1:12" ht="15" x14ac:dyDescent="0.25">
      <c r="A483"/>
      <c r="B483"/>
      <c r="C483"/>
      <c r="D483"/>
      <c r="E483"/>
      <c r="F483"/>
      <c r="G483"/>
      <c r="H483"/>
      <c r="I483"/>
      <c r="J483"/>
      <c r="K483"/>
      <c r="L483"/>
    </row>
    <row r="484" spans="1:12" ht="15" x14ac:dyDescent="0.25">
      <c r="A484"/>
      <c r="B484"/>
      <c r="C484"/>
      <c r="D484"/>
      <c r="E484"/>
      <c r="F484"/>
      <c r="G484"/>
      <c r="H484"/>
      <c r="I484"/>
      <c r="J484"/>
      <c r="K484"/>
      <c r="L484"/>
    </row>
    <row r="485" spans="1:12" ht="15" x14ac:dyDescent="0.25">
      <c r="A485"/>
      <c r="B485"/>
      <c r="C485"/>
      <c r="D485"/>
      <c r="E485"/>
      <c r="F485"/>
      <c r="G485"/>
      <c r="H485"/>
      <c r="I485"/>
      <c r="J485"/>
      <c r="K485"/>
      <c r="L485"/>
    </row>
    <row r="486" spans="1:12" ht="15" x14ac:dyDescent="0.25">
      <c r="A486"/>
      <c r="B486"/>
      <c r="C486"/>
      <c r="D486"/>
      <c r="E486"/>
      <c r="F486"/>
      <c r="G486"/>
      <c r="H486"/>
      <c r="I486"/>
      <c r="J486"/>
      <c r="K486"/>
      <c r="L486"/>
    </row>
    <row r="487" spans="1:12" ht="15" x14ac:dyDescent="0.25">
      <c r="A487"/>
      <c r="B487"/>
      <c r="C487"/>
      <c r="D487"/>
      <c r="E487"/>
      <c r="F487"/>
      <c r="G487"/>
      <c r="H487"/>
      <c r="I487"/>
      <c r="J487"/>
      <c r="K487"/>
      <c r="L487"/>
    </row>
    <row r="488" spans="1:12" ht="15" x14ac:dyDescent="0.25">
      <c r="A488"/>
      <c r="B488"/>
      <c r="C488"/>
      <c r="D488"/>
      <c r="E488"/>
      <c r="F488"/>
      <c r="G488"/>
      <c r="H488"/>
      <c r="I488"/>
      <c r="J488"/>
      <c r="K488"/>
      <c r="L488"/>
    </row>
    <row r="489" spans="1:12" ht="15" x14ac:dyDescent="0.25">
      <c r="A489"/>
      <c r="B489"/>
      <c r="C489"/>
      <c r="D489"/>
      <c r="E489"/>
      <c r="F489"/>
      <c r="G489"/>
      <c r="H489"/>
      <c r="I489"/>
      <c r="J489"/>
      <c r="K489"/>
      <c r="L489"/>
    </row>
    <row r="490" spans="1:12" ht="15" x14ac:dyDescent="0.25">
      <c r="A490"/>
      <c r="B490"/>
      <c r="C490"/>
      <c r="D490"/>
      <c r="E490"/>
      <c r="F490"/>
      <c r="G490"/>
      <c r="H490"/>
      <c r="I490"/>
      <c r="J490"/>
      <c r="K490"/>
      <c r="L490"/>
    </row>
    <row r="491" spans="1:12" ht="15" x14ac:dyDescent="0.25">
      <c r="A491"/>
      <c r="B491"/>
      <c r="C491"/>
      <c r="D491"/>
      <c r="E491"/>
      <c r="F491"/>
      <c r="G491"/>
      <c r="H491"/>
      <c r="I491"/>
      <c r="J491"/>
      <c r="K491"/>
      <c r="L491"/>
    </row>
    <row r="492" spans="1:12" ht="15" x14ac:dyDescent="0.25">
      <c r="A492"/>
      <c r="B492"/>
      <c r="C492"/>
      <c r="D492"/>
      <c r="E492"/>
      <c r="F492"/>
      <c r="G492"/>
      <c r="H492"/>
      <c r="I492"/>
      <c r="J492"/>
      <c r="K492"/>
      <c r="L492"/>
    </row>
    <row r="493" spans="1:12" ht="15" x14ac:dyDescent="0.25">
      <c r="A493"/>
      <c r="B493"/>
      <c r="C493"/>
      <c r="D493"/>
      <c r="E493"/>
      <c r="F493"/>
      <c r="G493"/>
      <c r="H493"/>
      <c r="I493"/>
      <c r="J493"/>
      <c r="K493"/>
      <c r="L493"/>
    </row>
    <row r="494" spans="1:12" ht="15" x14ac:dyDescent="0.25">
      <c r="A494"/>
      <c r="B494"/>
      <c r="C494"/>
      <c r="D494"/>
      <c r="E494"/>
      <c r="F494"/>
      <c r="G494"/>
      <c r="H494"/>
      <c r="I494"/>
      <c r="J494"/>
      <c r="K494"/>
      <c r="L494"/>
    </row>
    <row r="495" spans="1:12" ht="15" x14ac:dyDescent="0.25">
      <c r="A495"/>
      <c r="B495"/>
      <c r="C495"/>
      <c r="D495"/>
      <c r="E495"/>
      <c r="F495"/>
      <c r="G495"/>
      <c r="H495"/>
      <c r="I495"/>
      <c r="J495"/>
      <c r="K495"/>
      <c r="L495"/>
    </row>
    <row r="496" spans="1:12" ht="15" x14ac:dyDescent="0.25">
      <c r="A496"/>
      <c r="B496"/>
      <c r="C496"/>
      <c r="D496"/>
      <c r="E496"/>
      <c r="F496"/>
      <c r="G496"/>
      <c r="H496"/>
      <c r="I496"/>
      <c r="J496"/>
      <c r="K496"/>
      <c r="L496"/>
    </row>
    <row r="497" spans="1:12" ht="15" x14ac:dyDescent="0.25">
      <c r="A497"/>
      <c r="B497"/>
      <c r="C497"/>
      <c r="D497"/>
      <c r="E497"/>
      <c r="F497"/>
      <c r="G497"/>
      <c r="H497"/>
      <c r="I497"/>
      <c r="J497"/>
      <c r="K497"/>
      <c r="L497"/>
    </row>
    <row r="498" spans="1:12" ht="15" x14ac:dyDescent="0.25">
      <c r="A498"/>
      <c r="B498"/>
      <c r="C498"/>
      <c r="D498"/>
      <c r="E498"/>
      <c r="F498"/>
      <c r="G498"/>
      <c r="H498"/>
      <c r="I498"/>
      <c r="J498"/>
      <c r="K498"/>
      <c r="L498"/>
    </row>
    <row r="499" spans="1:12" ht="15" x14ac:dyDescent="0.25">
      <c r="A499"/>
      <c r="B499"/>
      <c r="C499"/>
      <c r="D499"/>
      <c r="E499"/>
      <c r="F499"/>
      <c r="G499"/>
      <c r="H499"/>
      <c r="I499"/>
      <c r="J499"/>
      <c r="K499"/>
      <c r="L499"/>
    </row>
    <row r="500" spans="1:12" ht="15" x14ac:dyDescent="0.25">
      <c r="A500"/>
      <c r="B500"/>
      <c r="C500"/>
      <c r="D500"/>
      <c r="E500"/>
      <c r="F500"/>
      <c r="G500"/>
      <c r="H500"/>
      <c r="I500"/>
      <c r="J500"/>
      <c r="K500"/>
      <c r="L500"/>
    </row>
    <row r="501" spans="1:12" ht="15" x14ac:dyDescent="0.25">
      <c r="A501"/>
      <c r="B501"/>
      <c r="C501"/>
      <c r="D501"/>
      <c r="E501"/>
      <c r="F501"/>
      <c r="G501"/>
      <c r="H501"/>
      <c r="I501"/>
      <c r="J501"/>
      <c r="K501"/>
      <c r="L501"/>
    </row>
    <row r="502" spans="1:12" ht="15" x14ac:dyDescent="0.25">
      <c r="A502"/>
      <c r="B502"/>
      <c r="C502"/>
      <c r="D502"/>
      <c r="E502"/>
      <c r="F502"/>
      <c r="G502"/>
      <c r="H502"/>
      <c r="I502"/>
      <c r="J502"/>
      <c r="K502"/>
      <c r="L502"/>
    </row>
    <row r="503" spans="1:12" ht="15" x14ac:dyDescent="0.25">
      <c r="A503"/>
      <c r="B503"/>
      <c r="C503"/>
      <c r="D503"/>
      <c r="E503"/>
      <c r="F503"/>
      <c r="G503"/>
      <c r="H503"/>
      <c r="I503"/>
      <c r="J503"/>
      <c r="K503"/>
      <c r="L503"/>
    </row>
    <row r="504" spans="1:12" ht="15" x14ac:dyDescent="0.25">
      <c r="A504"/>
      <c r="B504"/>
      <c r="C504"/>
      <c r="D504"/>
      <c r="E504"/>
      <c r="F504"/>
      <c r="G504"/>
      <c r="H504"/>
      <c r="I504"/>
      <c r="J504"/>
      <c r="K504"/>
      <c r="L504"/>
    </row>
    <row r="505" spans="1:12" ht="15" x14ac:dyDescent="0.25">
      <c r="A505"/>
      <c r="B505"/>
      <c r="C505"/>
      <c r="D505"/>
      <c r="E505"/>
      <c r="F505"/>
      <c r="G505"/>
      <c r="H505"/>
      <c r="I505"/>
      <c r="J505"/>
      <c r="K505"/>
      <c r="L505"/>
    </row>
    <row r="506" spans="1:12" ht="15" x14ac:dyDescent="0.25">
      <c r="A506"/>
      <c r="B506"/>
      <c r="C506"/>
      <c r="D506"/>
      <c r="E506"/>
      <c r="F506"/>
      <c r="G506"/>
      <c r="H506"/>
      <c r="I506"/>
      <c r="J506"/>
      <c r="K506"/>
      <c r="L506"/>
    </row>
    <row r="507" spans="1:12" ht="15" x14ac:dyDescent="0.25">
      <c r="A507"/>
      <c r="B507"/>
      <c r="C507"/>
      <c r="D507"/>
      <c r="E507"/>
      <c r="F507"/>
      <c r="G507"/>
      <c r="H507"/>
      <c r="I507"/>
      <c r="J507"/>
      <c r="K507"/>
      <c r="L507"/>
    </row>
    <row r="508" spans="1:12" ht="15" x14ac:dyDescent="0.25">
      <c r="A508"/>
      <c r="B508"/>
      <c r="C508"/>
      <c r="D508"/>
      <c r="E508"/>
      <c r="F508"/>
      <c r="G508"/>
      <c r="H508"/>
      <c r="I508"/>
      <c r="J508"/>
      <c r="K508"/>
      <c r="L508"/>
    </row>
    <row r="509" spans="1:12" ht="15" x14ac:dyDescent="0.25">
      <c r="A509"/>
      <c r="B509"/>
      <c r="C509"/>
      <c r="D509"/>
      <c r="E509"/>
      <c r="F509"/>
      <c r="G509"/>
      <c r="H509"/>
      <c r="I509"/>
      <c r="J509"/>
      <c r="K509"/>
      <c r="L509"/>
    </row>
    <row r="510" spans="1:12" ht="15" x14ac:dyDescent="0.25">
      <c r="A510"/>
      <c r="B510"/>
      <c r="C510"/>
      <c r="D510"/>
      <c r="E510"/>
      <c r="F510"/>
      <c r="G510"/>
      <c r="H510"/>
      <c r="I510"/>
      <c r="J510"/>
      <c r="K510"/>
      <c r="L510"/>
    </row>
    <row r="511" spans="1:12" ht="15" x14ac:dyDescent="0.25">
      <c r="A511"/>
      <c r="B511"/>
      <c r="C511"/>
      <c r="D511"/>
      <c r="E511"/>
      <c r="F511"/>
      <c r="G511"/>
      <c r="H511"/>
      <c r="I511"/>
      <c r="J511"/>
      <c r="K511"/>
      <c r="L511"/>
    </row>
    <row r="512" spans="1:12" ht="15" x14ac:dyDescent="0.25">
      <c r="A512"/>
      <c r="B512"/>
      <c r="C512"/>
      <c r="D512"/>
      <c r="E512"/>
      <c r="F512"/>
      <c r="G512"/>
      <c r="H512"/>
      <c r="I512"/>
      <c r="J512"/>
      <c r="K512"/>
      <c r="L512"/>
    </row>
    <row r="513" spans="1:12" ht="15" x14ac:dyDescent="0.25">
      <c r="A513"/>
      <c r="B513"/>
      <c r="C513"/>
      <c r="D513"/>
      <c r="E513"/>
      <c r="F513"/>
      <c r="G513"/>
      <c r="H513"/>
      <c r="I513"/>
      <c r="J513"/>
      <c r="K513"/>
      <c r="L513"/>
    </row>
    <row r="514" spans="1:12" ht="15" x14ac:dyDescent="0.25">
      <c r="A514"/>
      <c r="B514"/>
      <c r="C514"/>
      <c r="D514"/>
      <c r="E514"/>
      <c r="F514"/>
      <c r="G514"/>
      <c r="H514"/>
      <c r="I514"/>
      <c r="J514"/>
      <c r="K514"/>
      <c r="L514"/>
    </row>
    <row r="515" spans="1:12" ht="15" x14ac:dyDescent="0.25">
      <c r="A515"/>
      <c r="B515"/>
      <c r="C515"/>
      <c r="D515"/>
      <c r="E515"/>
      <c r="F515"/>
      <c r="G515"/>
      <c r="H515"/>
      <c r="I515"/>
      <c r="J515"/>
      <c r="K515"/>
      <c r="L515"/>
    </row>
    <row r="516" spans="1:12" ht="15" x14ac:dyDescent="0.25">
      <c r="A516"/>
      <c r="B516"/>
      <c r="C516"/>
      <c r="D516"/>
      <c r="E516"/>
      <c r="F516"/>
      <c r="G516"/>
      <c r="H516"/>
      <c r="I516"/>
      <c r="J516"/>
      <c r="K516"/>
      <c r="L516"/>
    </row>
    <row r="517" spans="1:12" ht="15" x14ac:dyDescent="0.25">
      <c r="A517"/>
      <c r="B517"/>
      <c r="C517"/>
      <c r="D517"/>
      <c r="E517"/>
      <c r="F517"/>
      <c r="G517"/>
      <c r="H517"/>
      <c r="I517"/>
      <c r="J517"/>
      <c r="K517"/>
      <c r="L517"/>
    </row>
    <row r="518" spans="1:12" ht="15" x14ac:dyDescent="0.25">
      <c r="A518"/>
      <c r="B518"/>
      <c r="C518"/>
      <c r="D518"/>
      <c r="E518"/>
      <c r="F518"/>
      <c r="G518"/>
      <c r="H518"/>
      <c r="I518"/>
      <c r="J518"/>
      <c r="K518"/>
      <c r="L518"/>
    </row>
    <row r="519" spans="1:12" ht="15" x14ac:dyDescent="0.25">
      <c r="A519"/>
      <c r="B519"/>
      <c r="C519"/>
      <c r="D519"/>
      <c r="E519"/>
      <c r="F519"/>
      <c r="G519"/>
      <c r="H519"/>
      <c r="I519"/>
      <c r="J519"/>
      <c r="K519"/>
      <c r="L519"/>
    </row>
    <row r="520" spans="1:12" ht="15" x14ac:dyDescent="0.25">
      <c r="A520"/>
      <c r="B520"/>
      <c r="C520"/>
      <c r="D520"/>
      <c r="E520"/>
      <c r="F520"/>
      <c r="G520"/>
      <c r="H520"/>
      <c r="I520"/>
      <c r="J520"/>
      <c r="K520"/>
      <c r="L520"/>
    </row>
    <row r="521" spans="1:12" ht="15" x14ac:dyDescent="0.25">
      <c r="A521"/>
      <c r="B521"/>
      <c r="C521"/>
      <c r="D521"/>
      <c r="E521"/>
      <c r="F521"/>
      <c r="G521"/>
      <c r="H521"/>
      <c r="I521"/>
      <c r="J521"/>
      <c r="K521"/>
      <c r="L521"/>
    </row>
    <row r="522" spans="1:12" ht="15" x14ac:dyDescent="0.25">
      <c r="A522"/>
      <c r="B522"/>
      <c r="C522"/>
      <c r="D522"/>
      <c r="E522"/>
      <c r="F522"/>
      <c r="G522"/>
      <c r="H522"/>
      <c r="I522"/>
      <c r="J522"/>
      <c r="K522"/>
      <c r="L522"/>
    </row>
    <row r="523" spans="1:12" ht="15" x14ac:dyDescent="0.25">
      <c r="A523"/>
      <c r="B523"/>
      <c r="C523"/>
      <c r="D523"/>
      <c r="E523"/>
      <c r="F523"/>
      <c r="G523"/>
      <c r="H523"/>
      <c r="I523"/>
      <c r="J523"/>
      <c r="K523"/>
      <c r="L523"/>
    </row>
    <row r="524" spans="1:12" ht="15" x14ac:dyDescent="0.25">
      <c r="A524"/>
      <c r="B524"/>
      <c r="C524"/>
      <c r="D524"/>
      <c r="E524"/>
      <c r="F524"/>
      <c r="G524"/>
      <c r="H524"/>
      <c r="I524"/>
      <c r="J524"/>
      <c r="K524"/>
      <c r="L524"/>
    </row>
    <row r="525" spans="1:12" ht="15" x14ac:dyDescent="0.25">
      <c r="A525"/>
      <c r="B525"/>
      <c r="C525"/>
      <c r="D525"/>
      <c r="E525"/>
      <c r="F525"/>
      <c r="G525"/>
      <c r="H525"/>
      <c r="I525"/>
      <c r="J525"/>
      <c r="K525"/>
      <c r="L525"/>
    </row>
    <row r="526" spans="1:12" ht="15" x14ac:dyDescent="0.25">
      <c r="A526"/>
      <c r="B526"/>
      <c r="C526"/>
      <c r="D526"/>
      <c r="E526"/>
      <c r="F526"/>
      <c r="G526"/>
      <c r="H526"/>
      <c r="I526"/>
      <c r="J526"/>
      <c r="K526"/>
      <c r="L526"/>
    </row>
    <row r="527" spans="1:12" ht="15" x14ac:dyDescent="0.25">
      <c r="A527"/>
      <c r="B527"/>
      <c r="C527"/>
      <c r="D527"/>
      <c r="E527"/>
      <c r="F527"/>
      <c r="G527"/>
      <c r="H527"/>
      <c r="I527"/>
      <c r="J527"/>
      <c r="K527"/>
      <c r="L527"/>
    </row>
    <row r="528" spans="1:12" ht="15" x14ac:dyDescent="0.25">
      <c r="A528"/>
      <c r="B528"/>
      <c r="C528"/>
      <c r="D528"/>
      <c r="E528"/>
      <c r="F528"/>
      <c r="G528"/>
      <c r="H528"/>
      <c r="I528"/>
      <c r="J528"/>
      <c r="K528"/>
      <c r="L528"/>
    </row>
    <row r="529" spans="1:12" ht="15" x14ac:dyDescent="0.25">
      <c r="A529"/>
      <c r="B529"/>
      <c r="C529"/>
      <c r="D529"/>
      <c r="E529"/>
      <c r="F529"/>
      <c r="G529"/>
      <c r="H529"/>
      <c r="I529"/>
      <c r="J529"/>
      <c r="K529"/>
      <c r="L529"/>
    </row>
    <row r="530" spans="1:12" ht="15" x14ac:dyDescent="0.25">
      <c r="A530"/>
      <c r="B530"/>
      <c r="C530"/>
      <c r="D530"/>
      <c r="E530"/>
      <c r="F530"/>
      <c r="G530"/>
      <c r="H530"/>
      <c r="I530"/>
      <c r="J530"/>
      <c r="K530"/>
      <c r="L530"/>
    </row>
    <row r="531" spans="1:12" ht="15" x14ac:dyDescent="0.25">
      <c r="A531"/>
      <c r="B531"/>
      <c r="C531"/>
      <c r="D531"/>
      <c r="E531"/>
      <c r="F531"/>
      <c r="G531"/>
      <c r="H531"/>
      <c r="I531"/>
      <c r="J531"/>
      <c r="K531"/>
      <c r="L531"/>
    </row>
    <row r="532" spans="1:12" ht="15" x14ac:dyDescent="0.25">
      <c r="A532"/>
      <c r="B532"/>
      <c r="C532"/>
      <c r="D532"/>
      <c r="E532"/>
      <c r="F532"/>
      <c r="G532"/>
      <c r="H532"/>
      <c r="I532"/>
      <c r="J532"/>
      <c r="K532"/>
      <c r="L532"/>
    </row>
    <row r="533" spans="1:12" ht="15" x14ac:dyDescent="0.25">
      <c r="A533"/>
      <c r="B533"/>
      <c r="C533"/>
      <c r="D533"/>
      <c r="E533"/>
      <c r="F533"/>
      <c r="G533"/>
      <c r="H533"/>
      <c r="I533"/>
      <c r="J533"/>
      <c r="K533"/>
      <c r="L533"/>
    </row>
    <row r="534" spans="1:12" ht="15" x14ac:dyDescent="0.25">
      <c r="A534"/>
      <c r="B534"/>
      <c r="C534"/>
      <c r="D534"/>
      <c r="E534"/>
      <c r="F534"/>
      <c r="G534"/>
      <c r="H534"/>
      <c r="I534"/>
      <c r="J534"/>
      <c r="K534"/>
      <c r="L534"/>
    </row>
    <row r="535" spans="1:12" ht="15" x14ac:dyDescent="0.25">
      <c r="A535"/>
      <c r="B535"/>
      <c r="C535"/>
      <c r="D535"/>
      <c r="E535"/>
      <c r="F535"/>
      <c r="G535"/>
      <c r="H535"/>
      <c r="I535"/>
      <c r="J535"/>
      <c r="K535"/>
      <c r="L535"/>
    </row>
    <row r="536" spans="1:12" ht="15" x14ac:dyDescent="0.25">
      <c r="A536"/>
      <c r="B536"/>
      <c r="C536"/>
      <c r="D536"/>
      <c r="E536"/>
      <c r="F536"/>
      <c r="G536"/>
      <c r="H536"/>
      <c r="I536"/>
      <c r="J536"/>
      <c r="K536"/>
      <c r="L536"/>
    </row>
    <row r="537" spans="1:12" ht="15" x14ac:dyDescent="0.25">
      <c r="A537"/>
      <c r="B537"/>
      <c r="C537"/>
      <c r="D537"/>
      <c r="E537"/>
      <c r="F537"/>
      <c r="G537"/>
      <c r="H537"/>
      <c r="I537"/>
      <c r="J537"/>
      <c r="K537"/>
      <c r="L537"/>
    </row>
    <row r="538" spans="1:12" ht="15" x14ac:dyDescent="0.25">
      <c r="A538"/>
      <c r="B538"/>
      <c r="C538"/>
      <c r="D538"/>
      <c r="E538"/>
      <c r="F538"/>
      <c r="G538"/>
      <c r="H538"/>
      <c r="I538"/>
      <c r="J538"/>
      <c r="K538"/>
      <c r="L538"/>
    </row>
    <row r="539" spans="1:12" ht="15" x14ac:dyDescent="0.25">
      <c r="A539"/>
      <c r="B539"/>
      <c r="C539"/>
      <c r="D539"/>
      <c r="E539"/>
      <c r="F539"/>
      <c r="G539"/>
      <c r="H539"/>
      <c r="I539"/>
      <c r="J539"/>
      <c r="K539"/>
      <c r="L539"/>
    </row>
    <row r="540" spans="1:12" ht="15" x14ac:dyDescent="0.25">
      <c r="A540"/>
      <c r="B540"/>
      <c r="C540"/>
      <c r="D540"/>
      <c r="E540"/>
      <c r="F540"/>
      <c r="G540"/>
      <c r="H540"/>
      <c r="I540"/>
      <c r="J540"/>
      <c r="K540"/>
      <c r="L540"/>
    </row>
    <row r="541" spans="1:12" ht="15" x14ac:dyDescent="0.25">
      <c r="A541"/>
      <c r="B541"/>
      <c r="C541"/>
      <c r="D541"/>
      <c r="E541"/>
      <c r="F541"/>
      <c r="G541"/>
      <c r="H541"/>
      <c r="I541"/>
      <c r="J541"/>
      <c r="K541"/>
      <c r="L541"/>
    </row>
    <row r="542" spans="1:12" ht="15" x14ac:dyDescent="0.25">
      <c r="A542"/>
      <c r="B542"/>
      <c r="C542"/>
      <c r="D542"/>
      <c r="E542"/>
      <c r="F542"/>
      <c r="G542"/>
      <c r="H542"/>
      <c r="I542"/>
      <c r="J542"/>
      <c r="K542"/>
      <c r="L542"/>
    </row>
    <row r="543" spans="1:12" ht="15" x14ac:dyDescent="0.25">
      <c r="A543"/>
      <c r="B543"/>
      <c r="C543"/>
      <c r="D543"/>
      <c r="E543"/>
      <c r="F543"/>
      <c r="G543"/>
      <c r="H543"/>
      <c r="I543"/>
      <c r="J543"/>
      <c r="K543"/>
      <c r="L543"/>
    </row>
    <row r="544" spans="1:12" ht="15" x14ac:dyDescent="0.25">
      <c r="A544"/>
      <c r="B544"/>
      <c r="C544"/>
      <c r="D544"/>
      <c r="E544"/>
      <c r="F544"/>
      <c r="G544"/>
      <c r="H544"/>
      <c r="I544"/>
      <c r="J544"/>
      <c r="K544"/>
      <c r="L544"/>
    </row>
    <row r="545" spans="1:12" ht="15" x14ac:dyDescent="0.25">
      <c r="A545"/>
      <c r="B545"/>
      <c r="C545"/>
      <c r="D545"/>
      <c r="E545"/>
      <c r="F545"/>
      <c r="G545"/>
      <c r="H545"/>
      <c r="I545"/>
      <c r="J545"/>
      <c r="K545"/>
      <c r="L545"/>
    </row>
    <row r="546" spans="1:12" ht="15" x14ac:dyDescent="0.25">
      <c r="A546"/>
      <c r="B546"/>
      <c r="C546"/>
      <c r="D546"/>
      <c r="E546"/>
      <c r="F546"/>
      <c r="G546"/>
      <c r="H546"/>
      <c r="I546"/>
      <c r="J546"/>
      <c r="K546"/>
      <c r="L546"/>
    </row>
    <row r="547" spans="1:12" ht="15" x14ac:dyDescent="0.25">
      <c r="A547"/>
      <c r="B547"/>
      <c r="C547"/>
      <c r="D547"/>
      <c r="E547"/>
      <c r="F547"/>
      <c r="G547"/>
      <c r="H547"/>
      <c r="I547"/>
      <c r="J547"/>
      <c r="K547"/>
      <c r="L547"/>
    </row>
    <row r="548" spans="1:12" ht="15" x14ac:dyDescent="0.25">
      <c r="A548"/>
      <c r="B548"/>
      <c r="C548"/>
      <c r="D548"/>
      <c r="E548"/>
      <c r="F548"/>
      <c r="G548"/>
      <c r="H548"/>
      <c r="I548"/>
      <c r="J548"/>
      <c r="K548"/>
      <c r="L548"/>
    </row>
    <row r="549" spans="1:12" ht="15" x14ac:dyDescent="0.25">
      <c r="A549"/>
      <c r="B549"/>
      <c r="C549"/>
      <c r="D549"/>
      <c r="E549"/>
      <c r="F549"/>
      <c r="G549"/>
      <c r="H549"/>
      <c r="I549"/>
      <c r="J549"/>
      <c r="K549"/>
      <c r="L549"/>
    </row>
    <row r="550" spans="1:12" ht="15" x14ac:dyDescent="0.25">
      <c r="A550"/>
      <c r="B550"/>
      <c r="C550"/>
      <c r="D550"/>
      <c r="E550"/>
      <c r="F550"/>
      <c r="G550"/>
      <c r="H550"/>
      <c r="I550"/>
      <c r="J550"/>
      <c r="K550"/>
      <c r="L550"/>
    </row>
    <row r="551" spans="1:12" ht="15" x14ac:dyDescent="0.25">
      <c r="A551"/>
      <c r="B551"/>
      <c r="C551"/>
      <c r="D551"/>
      <c r="E551"/>
      <c r="F551"/>
      <c r="G551"/>
      <c r="H551"/>
      <c r="I551"/>
      <c r="J551"/>
      <c r="K551"/>
      <c r="L551"/>
    </row>
    <row r="552" spans="1:12" ht="15" x14ac:dyDescent="0.25">
      <c r="A552"/>
      <c r="B552"/>
      <c r="C552"/>
      <c r="D552"/>
      <c r="E552"/>
      <c r="F552"/>
      <c r="G552"/>
      <c r="H552"/>
      <c r="I552"/>
      <c r="J552"/>
      <c r="K552"/>
      <c r="L552"/>
    </row>
    <row r="553" spans="1:12" ht="15" x14ac:dyDescent="0.25">
      <c r="A553"/>
      <c r="B553"/>
      <c r="C553"/>
      <c r="D553"/>
      <c r="E553"/>
      <c r="F553"/>
      <c r="G553"/>
      <c r="H553"/>
      <c r="I553"/>
      <c r="J553"/>
      <c r="K553"/>
      <c r="L553"/>
    </row>
    <row r="554" spans="1:12" ht="15" x14ac:dyDescent="0.25">
      <c r="A554"/>
      <c r="B554"/>
      <c r="C554"/>
      <c r="D554"/>
      <c r="E554"/>
      <c r="F554"/>
      <c r="G554"/>
      <c r="H554"/>
      <c r="I554"/>
      <c r="J554"/>
      <c r="K554"/>
      <c r="L554"/>
    </row>
    <row r="555" spans="1:12" ht="15" x14ac:dyDescent="0.25">
      <c r="A555"/>
      <c r="B555"/>
      <c r="C555"/>
      <c r="D555"/>
      <c r="E555"/>
      <c r="F555"/>
      <c r="G555"/>
      <c r="H555"/>
      <c r="I555"/>
      <c r="J555"/>
      <c r="K555"/>
      <c r="L555"/>
    </row>
    <row r="556" spans="1:12" ht="15" x14ac:dyDescent="0.25">
      <c r="A556"/>
      <c r="B556"/>
      <c r="C556"/>
      <c r="D556"/>
      <c r="E556"/>
      <c r="F556"/>
      <c r="G556"/>
      <c r="H556"/>
      <c r="I556"/>
      <c r="J556"/>
      <c r="K556"/>
      <c r="L556"/>
    </row>
    <row r="557" spans="1:12" ht="15" x14ac:dyDescent="0.25">
      <c r="A557"/>
      <c r="B557"/>
      <c r="C557"/>
      <c r="D557"/>
      <c r="E557"/>
      <c r="F557"/>
      <c r="G557"/>
      <c r="H557"/>
      <c r="I557"/>
      <c r="J557"/>
      <c r="K557"/>
      <c r="L557"/>
    </row>
    <row r="558" spans="1:12" ht="15" x14ac:dyDescent="0.25">
      <c r="A558"/>
      <c r="B558"/>
      <c r="C558"/>
      <c r="D558"/>
      <c r="E558"/>
      <c r="F558"/>
      <c r="G558"/>
      <c r="H558"/>
      <c r="I558"/>
      <c r="J558"/>
      <c r="K558"/>
      <c r="L558"/>
    </row>
    <row r="559" spans="1:12" ht="15" x14ac:dyDescent="0.25">
      <c r="A559"/>
      <c r="B559"/>
      <c r="C559"/>
      <c r="D559"/>
      <c r="E559"/>
      <c r="F559"/>
      <c r="G559"/>
      <c r="H559"/>
      <c r="I559"/>
      <c r="J559"/>
      <c r="K559"/>
      <c r="L559"/>
    </row>
    <row r="560" spans="1:12" ht="15" x14ac:dyDescent="0.25">
      <c r="A560"/>
      <c r="B560"/>
      <c r="C560"/>
      <c r="D560"/>
      <c r="E560"/>
      <c r="F560"/>
      <c r="G560"/>
      <c r="H560"/>
      <c r="I560"/>
      <c r="J560"/>
      <c r="K560"/>
      <c r="L560"/>
    </row>
    <row r="561" spans="1:12" ht="15" x14ac:dyDescent="0.25">
      <c r="A561"/>
      <c r="B561"/>
      <c r="C561"/>
      <c r="D561"/>
      <c r="E561"/>
      <c r="F561"/>
      <c r="G561"/>
      <c r="H561"/>
      <c r="I561"/>
      <c r="J561"/>
      <c r="K561"/>
      <c r="L561"/>
    </row>
    <row r="562" spans="1:12" ht="15" x14ac:dyDescent="0.25">
      <c r="A562"/>
      <c r="B562"/>
      <c r="C562"/>
      <c r="D562"/>
      <c r="E562"/>
      <c r="F562"/>
      <c r="G562"/>
      <c r="H562"/>
      <c r="I562"/>
      <c r="J562"/>
      <c r="K562"/>
      <c r="L562"/>
    </row>
    <row r="563" spans="1:12" ht="15" x14ac:dyDescent="0.25">
      <c r="A563"/>
      <c r="B563"/>
      <c r="C563"/>
      <c r="D563"/>
      <c r="E563"/>
      <c r="F563"/>
      <c r="G563"/>
      <c r="H563"/>
      <c r="I563"/>
      <c r="J563"/>
      <c r="K563"/>
      <c r="L563"/>
    </row>
    <row r="564" spans="1:12" ht="15" x14ac:dyDescent="0.25">
      <c r="A564"/>
      <c r="B564"/>
      <c r="C564"/>
      <c r="D564"/>
      <c r="E564"/>
      <c r="F564"/>
      <c r="G564"/>
      <c r="H564"/>
      <c r="I564"/>
      <c r="J564"/>
      <c r="K564"/>
      <c r="L564"/>
    </row>
    <row r="565" spans="1:12" ht="15" x14ac:dyDescent="0.25">
      <c r="A565"/>
      <c r="B565"/>
      <c r="C565"/>
      <c r="D565"/>
      <c r="E565"/>
      <c r="F565"/>
      <c r="G565"/>
      <c r="H565"/>
      <c r="I565"/>
      <c r="J565"/>
      <c r="K565"/>
      <c r="L565"/>
    </row>
    <row r="566" spans="1:12" ht="15" x14ac:dyDescent="0.25">
      <c r="A566"/>
      <c r="B566"/>
      <c r="C566"/>
      <c r="D566"/>
      <c r="E566"/>
      <c r="F566"/>
      <c r="G566"/>
      <c r="H566"/>
      <c r="I566"/>
      <c r="J566"/>
      <c r="K566"/>
      <c r="L566"/>
    </row>
    <row r="567" spans="1:12" ht="15" x14ac:dyDescent="0.25">
      <c r="A567"/>
      <c r="B567"/>
      <c r="C567"/>
      <c r="D567"/>
      <c r="E567"/>
      <c r="F567"/>
      <c r="G567"/>
      <c r="H567"/>
      <c r="I567"/>
      <c r="J567"/>
      <c r="K567"/>
      <c r="L567"/>
    </row>
    <row r="568" spans="1:12" ht="15" x14ac:dyDescent="0.25">
      <c r="A568"/>
      <c r="B568"/>
      <c r="C568"/>
      <c r="D568"/>
      <c r="E568"/>
      <c r="F568"/>
      <c r="G568"/>
      <c r="H568"/>
      <c r="I568"/>
      <c r="J568"/>
      <c r="K568"/>
      <c r="L568"/>
    </row>
    <row r="569" spans="1:12" ht="15" x14ac:dyDescent="0.25">
      <c r="A569"/>
      <c r="B569"/>
      <c r="C569"/>
      <c r="D569"/>
      <c r="E569"/>
      <c r="F569"/>
      <c r="G569"/>
      <c r="H569"/>
      <c r="I569"/>
      <c r="J569"/>
      <c r="K569"/>
      <c r="L569"/>
    </row>
    <row r="570" spans="1:12" ht="15" x14ac:dyDescent="0.25">
      <c r="A570"/>
      <c r="B570"/>
      <c r="C570"/>
      <c r="D570"/>
      <c r="E570"/>
      <c r="F570"/>
      <c r="G570"/>
      <c r="H570"/>
      <c r="I570"/>
      <c r="J570"/>
      <c r="K570"/>
      <c r="L570"/>
    </row>
    <row r="571" spans="1:12" ht="15" x14ac:dyDescent="0.25">
      <c r="A571"/>
      <c r="B571"/>
      <c r="C571"/>
      <c r="D571"/>
      <c r="E571"/>
      <c r="F571"/>
      <c r="G571"/>
      <c r="H571"/>
      <c r="I571"/>
      <c r="J571"/>
      <c r="K571"/>
      <c r="L571"/>
    </row>
    <row r="572" spans="1:12" ht="15" x14ac:dyDescent="0.25">
      <c r="A572"/>
      <c r="B572"/>
      <c r="C572"/>
      <c r="D572"/>
      <c r="E572"/>
      <c r="F572"/>
      <c r="G572"/>
      <c r="H572"/>
      <c r="I572"/>
      <c r="J572"/>
      <c r="K572"/>
      <c r="L572"/>
    </row>
    <row r="573" spans="1:12" ht="15" x14ac:dyDescent="0.25">
      <c r="A573"/>
      <c r="B573"/>
      <c r="C573"/>
      <c r="D573"/>
      <c r="E573"/>
      <c r="F573"/>
      <c r="G573"/>
      <c r="H573"/>
      <c r="I573"/>
      <c r="J573"/>
      <c r="K573"/>
      <c r="L573"/>
    </row>
    <row r="574" spans="1:12" ht="15" x14ac:dyDescent="0.25">
      <c r="A574"/>
      <c r="B574"/>
      <c r="C574"/>
      <c r="D574"/>
      <c r="E574"/>
      <c r="F574"/>
      <c r="G574"/>
      <c r="H574"/>
      <c r="I574"/>
      <c r="J574"/>
      <c r="K574"/>
      <c r="L574"/>
    </row>
    <row r="575" spans="1:12" ht="15" x14ac:dyDescent="0.25">
      <c r="A575"/>
      <c r="B575"/>
      <c r="C575"/>
      <c r="D575"/>
      <c r="E575"/>
      <c r="F575"/>
      <c r="G575"/>
      <c r="H575"/>
      <c r="I575"/>
      <c r="J575"/>
      <c r="K575"/>
      <c r="L575"/>
    </row>
    <row r="576" spans="1:12" ht="15" x14ac:dyDescent="0.25">
      <c r="A576"/>
      <c r="B576"/>
      <c r="C576"/>
      <c r="D576"/>
      <c r="E576"/>
      <c r="F576"/>
      <c r="G576"/>
      <c r="H576"/>
      <c r="I576"/>
      <c r="J576"/>
      <c r="K576"/>
      <c r="L576"/>
    </row>
    <row r="577" spans="1:12" ht="15" x14ac:dyDescent="0.25">
      <c r="A577"/>
      <c r="B577"/>
      <c r="C577"/>
      <c r="D577"/>
      <c r="E577"/>
      <c r="F577"/>
      <c r="G577"/>
      <c r="H577"/>
      <c r="I577"/>
      <c r="J577"/>
      <c r="K577"/>
      <c r="L577"/>
    </row>
    <row r="578" spans="1:12" ht="15" x14ac:dyDescent="0.25">
      <c r="A578"/>
      <c r="B578"/>
      <c r="C578"/>
      <c r="D578"/>
      <c r="E578"/>
      <c r="F578"/>
      <c r="G578"/>
      <c r="H578"/>
      <c r="I578"/>
      <c r="J578"/>
      <c r="K578"/>
      <c r="L578"/>
    </row>
    <row r="579" spans="1:12" ht="15" x14ac:dyDescent="0.25">
      <c r="A579"/>
      <c r="B579"/>
      <c r="C579"/>
      <c r="D579"/>
      <c r="E579"/>
      <c r="F579"/>
      <c r="G579"/>
      <c r="H579"/>
      <c r="I579"/>
      <c r="J579"/>
      <c r="K579"/>
      <c r="L579"/>
    </row>
    <row r="580" spans="1:12" ht="15" x14ac:dyDescent="0.25">
      <c r="A580"/>
      <c r="B580"/>
      <c r="C580"/>
      <c r="D580"/>
      <c r="E580"/>
      <c r="F580"/>
      <c r="G580"/>
      <c r="H580"/>
      <c r="I580"/>
      <c r="J580"/>
      <c r="K580"/>
      <c r="L580"/>
    </row>
    <row r="581" spans="1:12" ht="15" x14ac:dyDescent="0.25">
      <c r="A581"/>
      <c r="B581"/>
      <c r="C581"/>
      <c r="D581"/>
      <c r="E581"/>
      <c r="F581"/>
      <c r="G581"/>
      <c r="H581"/>
      <c r="I581"/>
      <c r="J581"/>
      <c r="K581"/>
      <c r="L581"/>
    </row>
    <row r="582" spans="1:12" ht="15" x14ac:dyDescent="0.25">
      <c r="A582"/>
      <c r="B582"/>
      <c r="C582"/>
      <c r="D582"/>
      <c r="E582"/>
      <c r="F582"/>
      <c r="G582"/>
      <c r="H582"/>
      <c r="I582"/>
      <c r="J582"/>
      <c r="K582"/>
      <c r="L582"/>
    </row>
    <row r="583" spans="1:12" ht="15" x14ac:dyDescent="0.25">
      <c r="A583"/>
      <c r="B583"/>
      <c r="C583"/>
      <c r="D583"/>
      <c r="E583"/>
      <c r="F583"/>
      <c r="G583"/>
      <c r="H583"/>
      <c r="I583"/>
      <c r="J583"/>
      <c r="K583"/>
      <c r="L583"/>
    </row>
    <row r="584" spans="1:12" ht="15" x14ac:dyDescent="0.25">
      <c r="A584"/>
      <c r="B584"/>
      <c r="C584"/>
      <c r="D584"/>
      <c r="E584"/>
      <c r="F584"/>
      <c r="G584"/>
      <c r="H584"/>
      <c r="I584"/>
      <c r="J584"/>
      <c r="K584"/>
      <c r="L584"/>
    </row>
    <row r="585" spans="1:12" ht="15" x14ac:dyDescent="0.25">
      <c r="A585"/>
      <c r="B585"/>
      <c r="C585"/>
      <c r="D585"/>
      <c r="E585"/>
      <c r="F585"/>
      <c r="G585"/>
      <c r="H585"/>
      <c r="I585"/>
      <c r="J585"/>
      <c r="K585"/>
      <c r="L585"/>
    </row>
    <row r="586" spans="1:12" ht="15" x14ac:dyDescent="0.25">
      <c r="A586"/>
      <c r="B586"/>
      <c r="C586"/>
      <c r="D586"/>
      <c r="E586"/>
      <c r="F586"/>
      <c r="G586"/>
      <c r="H586"/>
      <c r="I586"/>
      <c r="J586"/>
      <c r="K586"/>
      <c r="L586"/>
    </row>
    <row r="587" spans="1:12" ht="15" x14ac:dyDescent="0.25">
      <c r="A587"/>
      <c r="B587"/>
      <c r="C587"/>
      <c r="D587"/>
      <c r="E587"/>
      <c r="F587"/>
      <c r="G587"/>
      <c r="H587"/>
      <c r="I587"/>
      <c r="J587"/>
      <c r="K587"/>
      <c r="L587"/>
    </row>
    <row r="588" spans="1:12" ht="15" x14ac:dyDescent="0.25">
      <c r="A588"/>
      <c r="B588"/>
      <c r="C588"/>
      <c r="D588"/>
      <c r="E588"/>
      <c r="F588"/>
      <c r="G588"/>
      <c r="H588"/>
      <c r="I588"/>
      <c r="J588"/>
      <c r="K588"/>
      <c r="L588"/>
    </row>
    <row r="589" spans="1:12" ht="15" x14ac:dyDescent="0.25">
      <c r="A589"/>
      <c r="B589"/>
      <c r="C589"/>
      <c r="D589"/>
      <c r="E589"/>
      <c r="F589"/>
      <c r="G589"/>
      <c r="H589"/>
      <c r="I589"/>
      <c r="J589"/>
      <c r="K589"/>
      <c r="L589"/>
    </row>
    <row r="590" spans="1:12" ht="15" x14ac:dyDescent="0.25">
      <c r="A590"/>
      <c r="B590"/>
      <c r="C590"/>
      <c r="D590"/>
      <c r="E590"/>
      <c r="F590"/>
      <c r="G590"/>
      <c r="H590"/>
      <c r="I590"/>
      <c r="J590"/>
      <c r="K590"/>
      <c r="L590"/>
    </row>
    <row r="591" spans="1:12" ht="15" x14ac:dyDescent="0.25">
      <c r="A591"/>
      <c r="B591"/>
      <c r="C591"/>
      <c r="D591"/>
      <c r="E591"/>
      <c r="F591"/>
      <c r="G591"/>
      <c r="H591"/>
      <c r="I591"/>
      <c r="J591"/>
      <c r="K591"/>
      <c r="L591"/>
    </row>
    <row r="592" spans="1:12" ht="15" x14ac:dyDescent="0.25">
      <c r="A592"/>
      <c r="B592"/>
      <c r="C592"/>
      <c r="D592"/>
      <c r="E592"/>
      <c r="F592"/>
      <c r="G592"/>
      <c r="H592"/>
      <c r="I592"/>
      <c r="J592"/>
      <c r="K592"/>
      <c r="L592"/>
    </row>
    <row r="593" spans="1:12" ht="15" x14ac:dyDescent="0.25">
      <c r="A593"/>
      <c r="B593"/>
      <c r="C593"/>
      <c r="D593"/>
      <c r="E593"/>
      <c r="F593"/>
      <c r="G593"/>
      <c r="H593"/>
      <c r="I593"/>
      <c r="J593"/>
      <c r="K593"/>
      <c r="L593"/>
    </row>
    <row r="594" spans="1:12" ht="15" x14ac:dyDescent="0.25">
      <c r="A594"/>
      <c r="B594"/>
      <c r="C594"/>
      <c r="D594"/>
      <c r="E594"/>
      <c r="F594"/>
      <c r="G594"/>
      <c r="H594"/>
      <c r="I594"/>
      <c r="J594"/>
      <c r="K594"/>
      <c r="L594"/>
    </row>
    <row r="595" spans="1:12" ht="15" x14ac:dyDescent="0.25">
      <c r="A595"/>
      <c r="B595"/>
      <c r="C595"/>
      <c r="D595"/>
      <c r="E595"/>
      <c r="F595"/>
      <c r="G595"/>
      <c r="H595"/>
      <c r="I595"/>
      <c r="J595"/>
      <c r="K595"/>
      <c r="L595"/>
    </row>
    <row r="596" spans="1:12" ht="15" x14ac:dyDescent="0.25">
      <c r="A596"/>
      <c r="B596"/>
      <c r="C596"/>
      <c r="D596"/>
      <c r="E596"/>
      <c r="F596"/>
      <c r="G596"/>
      <c r="H596"/>
      <c r="I596"/>
      <c r="J596"/>
      <c r="K596"/>
      <c r="L596"/>
    </row>
    <row r="597" spans="1:12" ht="15" x14ac:dyDescent="0.25">
      <c r="A597"/>
      <c r="B597"/>
      <c r="C597"/>
      <c r="D597"/>
      <c r="E597"/>
      <c r="F597"/>
      <c r="G597"/>
      <c r="H597"/>
      <c r="I597"/>
      <c r="J597"/>
      <c r="K597"/>
      <c r="L597"/>
    </row>
    <row r="598" spans="1:12" ht="15" x14ac:dyDescent="0.25">
      <c r="A598"/>
      <c r="B598"/>
      <c r="C598"/>
      <c r="D598"/>
      <c r="E598"/>
      <c r="F598"/>
      <c r="G598"/>
      <c r="H598"/>
      <c r="I598"/>
      <c r="J598"/>
      <c r="K598"/>
      <c r="L598"/>
    </row>
    <row r="599" spans="1:12" ht="15" x14ac:dyDescent="0.25">
      <c r="A599"/>
      <c r="B599"/>
      <c r="C599"/>
      <c r="D599"/>
      <c r="E599"/>
      <c r="F599"/>
      <c r="G599"/>
      <c r="H599"/>
      <c r="I599"/>
      <c r="J599"/>
      <c r="K599"/>
      <c r="L599"/>
    </row>
    <row r="600" spans="1:12" ht="15" x14ac:dyDescent="0.25">
      <c r="A600"/>
      <c r="B600"/>
      <c r="C600"/>
      <c r="D600"/>
      <c r="E600"/>
      <c r="F600"/>
      <c r="G600"/>
      <c r="H600"/>
      <c r="I600"/>
      <c r="J600"/>
      <c r="K600"/>
      <c r="L600"/>
    </row>
    <row r="601" spans="1:12" ht="15" x14ac:dyDescent="0.25">
      <c r="A601"/>
      <c r="B601"/>
      <c r="C601"/>
      <c r="D601"/>
      <c r="E601"/>
      <c r="F601"/>
      <c r="G601"/>
      <c r="H601"/>
      <c r="I601"/>
      <c r="J601"/>
      <c r="K601"/>
      <c r="L601"/>
    </row>
    <row r="602" spans="1:12" ht="15" x14ac:dyDescent="0.25">
      <c r="A602"/>
      <c r="B602"/>
      <c r="C602"/>
      <c r="D602"/>
      <c r="E602"/>
      <c r="F602"/>
      <c r="G602"/>
      <c r="H602"/>
      <c r="I602"/>
      <c r="J602"/>
      <c r="K602"/>
      <c r="L602"/>
    </row>
    <row r="603" spans="1:12" ht="15" x14ac:dyDescent="0.25">
      <c r="A603"/>
      <c r="B603"/>
      <c r="C603"/>
      <c r="D603"/>
      <c r="E603"/>
      <c r="F603"/>
      <c r="G603"/>
      <c r="H603"/>
      <c r="I603"/>
      <c r="J603"/>
      <c r="K603"/>
      <c r="L603"/>
    </row>
    <row r="604" spans="1:12" ht="15" x14ac:dyDescent="0.25">
      <c r="A604"/>
      <c r="B604"/>
      <c r="C604"/>
      <c r="D604"/>
      <c r="E604"/>
      <c r="F604"/>
      <c r="G604"/>
      <c r="H604"/>
      <c r="I604"/>
      <c r="J604"/>
      <c r="K604"/>
      <c r="L604"/>
    </row>
    <row r="605" spans="1:12" ht="15" x14ac:dyDescent="0.25">
      <c r="A605"/>
      <c r="B605"/>
      <c r="C605"/>
      <c r="D605"/>
      <c r="E605"/>
      <c r="F605"/>
      <c r="G605"/>
      <c r="H605"/>
      <c r="I605"/>
      <c r="J605"/>
      <c r="K605"/>
      <c r="L605"/>
    </row>
    <row r="606" spans="1:12" ht="15" x14ac:dyDescent="0.25">
      <c r="A606"/>
      <c r="B606"/>
      <c r="C606"/>
      <c r="D606"/>
      <c r="E606"/>
      <c r="F606"/>
      <c r="G606"/>
      <c r="H606"/>
      <c r="I606"/>
      <c r="J606"/>
      <c r="K606"/>
      <c r="L606"/>
    </row>
    <row r="607" spans="1:12" ht="15" x14ac:dyDescent="0.25">
      <c r="A607"/>
      <c r="B607"/>
      <c r="C607"/>
      <c r="D607"/>
      <c r="E607"/>
      <c r="F607"/>
      <c r="G607"/>
      <c r="H607"/>
      <c r="I607"/>
      <c r="J607"/>
      <c r="K607"/>
      <c r="L607"/>
    </row>
    <row r="608" spans="1:12" ht="15" x14ac:dyDescent="0.25">
      <c r="A608"/>
      <c r="B608"/>
      <c r="C608"/>
      <c r="D608"/>
      <c r="E608"/>
      <c r="F608"/>
      <c r="G608"/>
      <c r="H608"/>
      <c r="I608"/>
      <c r="J608"/>
      <c r="K608"/>
      <c r="L608"/>
    </row>
    <row r="609" spans="1:12" ht="15" x14ac:dyDescent="0.25">
      <c r="A609"/>
      <c r="B609"/>
      <c r="C609"/>
      <c r="D609"/>
      <c r="E609"/>
      <c r="F609"/>
      <c r="G609"/>
      <c r="H609"/>
      <c r="I609"/>
      <c r="J609"/>
      <c r="K609"/>
      <c r="L609"/>
    </row>
    <row r="610" spans="1:12" ht="15" x14ac:dyDescent="0.25">
      <c r="A610"/>
      <c r="B610"/>
      <c r="C610"/>
      <c r="D610"/>
      <c r="E610"/>
      <c r="F610"/>
      <c r="G610"/>
      <c r="H610"/>
      <c r="I610"/>
      <c r="J610"/>
      <c r="K610"/>
      <c r="L610"/>
    </row>
    <row r="611" spans="1:12" ht="15" x14ac:dyDescent="0.25">
      <c r="A611"/>
      <c r="B611"/>
      <c r="C611"/>
      <c r="D611"/>
      <c r="E611"/>
      <c r="F611"/>
      <c r="G611"/>
      <c r="H611"/>
      <c r="I611"/>
      <c r="J611"/>
      <c r="K611"/>
      <c r="L611"/>
    </row>
    <row r="612" spans="1:12" ht="15" x14ac:dyDescent="0.25">
      <c r="A612"/>
      <c r="B612"/>
      <c r="C612"/>
      <c r="D612"/>
      <c r="E612"/>
      <c r="F612"/>
      <c r="G612"/>
      <c r="H612"/>
      <c r="I612"/>
      <c r="J612"/>
      <c r="K612"/>
      <c r="L612"/>
    </row>
    <row r="613" spans="1:12" ht="15" x14ac:dyDescent="0.25">
      <c r="A613"/>
      <c r="B613"/>
      <c r="C613"/>
      <c r="D613"/>
      <c r="E613"/>
      <c r="F613"/>
      <c r="G613"/>
      <c r="H613"/>
      <c r="I613"/>
      <c r="J613"/>
      <c r="K613"/>
      <c r="L613"/>
    </row>
    <row r="614" spans="1:12" ht="15" x14ac:dyDescent="0.25">
      <c r="A614"/>
      <c r="B614"/>
      <c r="C614"/>
      <c r="D614"/>
      <c r="E614"/>
      <c r="F614"/>
      <c r="G614"/>
      <c r="H614"/>
      <c r="I614"/>
      <c r="J614"/>
      <c r="K614"/>
      <c r="L614"/>
    </row>
    <row r="615" spans="1:12" ht="15" x14ac:dyDescent="0.25">
      <c r="A615"/>
      <c r="B615"/>
      <c r="C615"/>
      <c r="D615"/>
      <c r="E615"/>
      <c r="F615"/>
      <c r="G615"/>
      <c r="H615"/>
      <c r="I615"/>
      <c r="J615"/>
      <c r="K615"/>
      <c r="L615"/>
    </row>
    <row r="616" spans="1:12" ht="15" x14ac:dyDescent="0.25">
      <c r="A616"/>
      <c r="B616"/>
      <c r="C616"/>
      <c r="D616"/>
      <c r="E616"/>
      <c r="F616"/>
      <c r="G616"/>
      <c r="H616"/>
      <c r="I616"/>
      <c r="J616"/>
      <c r="K616"/>
      <c r="L616"/>
    </row>
    <row r="617" spans="1:12" ht="15" x14ac:dyDescent="0.25">
      <c r="A617"/>
      <c r="B617"/>
      <c r="C617"/>
      <c r="D617"/>
      <c r="E617"/>
      <c r="F617"/>
      <c r="G617"/>
      <c r="H617"/>
      <c r="I617"/>
      <c r="J617"/>
      <c r="K617"/>
      <c r="L617"/>
    </row>
    <row r="618" spans="1:12" ht="15" x14ac:dyDescent="0.25">
      <c r="A618"/>
      <c r="B618"/>
      <c r="C618"/>
      <c r="D618"/>
      <c r="E618"/>
      <c r="F618"/>
      <c r="G618"/>
      <c r="H618"/>
      <c r="I618"/>
      <c r="J618"/>
      <c r="K618"/>
      <c r="L618"/>
    </row>
    <row r="619" spans="1:12" ht="15" x14ac:dyDescent="0.25">
      <c r="A619"/>
      <c r="B619"/>
      <c r="C619"/>
      <c r="D619"/>
      <c r="E619"/>
      <c r="F619"/>
      <c r="G619"/>
      <c r="H619"/>
      <c r="I619"/>
      <c r="J619"/>
      <c r="K619"/>
      <c r="L619"/>
    </row>
    <row r="620" spans="1:12" ht="15" x14ac:dyDescent="0.25">
      <c r="A620"/>
      <c r="B620"/>
      <c r="C620"/>
      <c r="D620"/>
      <c r="E620"/>
      <c r="F620"/>
      <c r="G620"/>
      <c r="H620"/>
      <c r="I620"/>
      <c r="J620"/>
      <c r="K620"/>
      <c r="L620"/>
    </row>
    <row r="621" spans="1:12" ht="15" x14ac:dyDescent="0.25">
      <c r="A621"/>
      <c r="B621"/>
      <c r="C621"/>
      <c r="D621"/>
      <c r="E621"/>
      <c r="F621"/>
      <c r="G621"/>
      <c r="H621"/>
      <c r="I621"/>
      <c r="J621"/>
      <c r="K621"/>
      <c r="L621"/>
    </row>
    <row r="622" spans="1:12" ht="15" x14ac:dyDescent="0.25">
      <c r="A622"/>
      <c r="B622"/>
      <c r="C622"/>
      <c r="D622"/>
      <c r="E622"/>
      <c r="F622"/>
      <c r="G622"/>
      <c r="H622"/>
      <c r="I622"/>
      <c r="J622"/>
      <c r="K622"/>
      <c r="L622"/>
    </row>
    <row r="623" spans="1:12" ht="15" x14ac:dyDescent="0.25">
      <c r="A623"/>
      <c r="B623"/>
      <c r="C623"/>
      <c r="D623"/>
      <c r="E623"/>
      <c r="F623"/>
      <c r="G623"/>
      <c r="H623"/>
      <c r="I623"/>
      <c r="J623"/>
      <c r="K623"/>
      <c r="L623"/>
    </row>
    <row r="624" spans="1:12" ht="15" x14ac:dyDescent="0.25">
      <c r="A624"/>
      <c r="B624"/>
      <c r="C624"/>
      <c r="D624"/>
      <c r="E624"/>
      <c r="F624"/>
      <c r="G624"/>
      <c r="H624"/>
      <c r="I624"/>
      <c r="J624"/>
      <c r="K624"/>
      <c r="L624"/>
    </row>
    <row r="625" spans="1:12" ht="15" x14ac:dyDescent="0.25">
      <c r="A625"/>
      <c r="B625"/>
      <c r="C625"/>
      <c r="D625"/>
      <c r="E625"/>
      <c r="F625"/>
      <c r="G625"/>
      <c r="H625"/>
      <c r="I625"/>
      <c r="J625"/>
      <c r="K625"/>
      <c r="L625"/>
    </row>
    <row r="626" spans="1:12" ht="15" x14ac:dyDescent="0.25">
      <c r="A626"/>
      <c r="B626"/>
      <c r="C626"/>
      <c r="D626"/>
      <c r="E626"/>
      <c r="F626"/>
      <c r="G626"/>
      <c r="H626"/>
      <c r="I626"/>
      <c r="J626"/>
      <c r="K626"/>
      <c r="L626"/>
    </row>
    <row r="627" spans="1:12" ht="15" x14ac:dyDescent="0.25">
      <c r="A627"/>
      <c r="B627"/>
      <c r="C627"/>
      <c r="D627"/>
      <c r="E627"/>
      <c r="F627"/>
      <c r="G627"/>
      <c r="H627"/>
      <c r="I627"/>
      <c r="J627"/>
      <c r="K627"/>
      <c r="L627"/>
    </row>
    <row r="628" spans="1:12" ht="15" x14ac:dyDescent="0.25">
      <c r="A628"/>
      <c r="B628"/>
      <c r="C628"/>
      <c r="D628"/>
      <c r="E628"/>
      <c r="F628"/>
      <c r="G628"/>
      <c r="H628"/>
      <c r="I628"/>
      <c r="J628"/>
      <c r="K628"/>
      <c r="L628"/>
    </row>
    <row r="629" spans="1:12" ht="15" x14ac:dyDescent="0.25">
      <c r="A629"/>
      <c r="B629"/>
      <c r="C629"/>
      <c r="D629"/>
      <c r="E629"/>
      <c r="F629"/>
      <c r="G629"/>
      <c r="H629"/>
      <c r="I629"/>
      <c r="J629"/>
      <c r="K629"/>
      <c r="L629"/>
    </row>
    <row r="630" spans="1:12" ht="15" x14ac:dyDescent="0.25">
      <c r="A630"/>
      <c r="B630"/>
      <c r="C630"/>
      <c r="D630"/>
      <c r="E630"/>
      <c r="F630"/>
      <c r="G630"/>
      <c r="H630"/>
      <c r="I630"/>
      <c r="J630"/>
      <c r="K630"/>
      <c r="L630"/>
    </row>
    <row r="631" spans="1:12" ht="15" x14ac:dyDescent="0.25">
      <c r="A631"/>
      <c r="B631"/>
      <c r="C631"/>
      <c r="D631"/>
      <c r="E631"/>
      <c r="F631"/>
      <c r="G631"/>
      <c r="H631"/>
      <c r="I631"/>
      <c r="J631"/>
      <c r="K631"/>
      <c r="L631"/>
    </row>
    <row r="632" spans="1:12" ht="15" x14ac:dyDescent="0.25">
      <c r="A632"/>
      <c r="B632"/>
      <c r="C632"/>
      <c r="D632"/>
      <c r="E632"/>
      <c r="F632"/>
      <c r="G632"/>
      <c r="H632"/>
      <c r="I632"/>
      <c r="J632"/>
      <c r="K632"/>
      <c r="L632"/>
    </row>
    <row r="633" spans="1:12" ht="15" x14ac:dyDescent="0.25">
      <c r="A633"/>
      <c r="B633"/>
      <c r="C633"/>
      <c r="D633"/>
      <c r="E633"/>
      <c r="F633"/>
      <c r="G633"/>
      <c r="H633"/>
      <c r="I633"/>
      <c r="J633"/>
      <c r="K633"/>
      <c r="L633"/>
    </row>
    <row r="634" spans="1:12" ht="15" x14ac:dyDescent="0.25">
      <c r="A634"/>
      <c r="B634"/>
      <c r="C634"/>
      <c r="D634"/>
      <c r="E634"/>
      <c r="F634"/>
      <c r="G634"/>
      <c r="H634"/>
      <c r="I634"/>
      <c r="J634"/>
      <c r="K634"/>
      <c r="L634"/>
    </row>
    <row r="635" spans="1:12" ht="15" x14ac:dyDescent="0.25">
      <c r="A635"/>
      <c r="B635"/>
      <c r="C635"/>
      <c r="D635"/>
      <c r="E635"/>
      <c r="F635"/>
      <c r="G635"/>
      <c r="H635"/>
      <c r="I635"/>
      <c r="J635"/>
      <c r="K635"/>
      <c r="L635"/>
    </row>
    <row r="636" spans="1:12" ht="15" x14ac:dyDescent="0.25">
      <c r="A636"/>
      <c r="B636"/>
      <c r="C636"/>
      <c r="D636"/>
      <c r="E636"/>
      <c r="F636"/>
      <c r="G636"/>
      <c r="H636"/>
      <c r="I636"/>
      <c r="J636"/>
      <c r="K636"/>
      <c r="L636"/>
    </row>
    <row r="637" spans="1:12" ht="15" x14ac:dyDescent="0.25">
      <c r="A637"/>
      <c r="B637"/>
      <c r="C637"/>
      <c r="D637"/>
      <c r="E637"/>
      <c r="F637"/>
      <c r="G637"/>
      <c r="H637"/>
      <c r="I637"/>
      <c r="J637"/>
      <c r="K637"/>
      <c r="L637"/>
    </row>
    <row r="638" spans="1:12" ht="15" x14ac:dyDescent="0.25">
      <c r="A638"/>
      <c r="B638"/>
      <c r="C638"/>
      <c r="D638"/>
      <c r="E638"/>
      <c r="F638"/>
      <c r="G638"/>
      <c r="H638"/>
      <c r="I638"/>
      <c r="J638"/>
      <c r="K638"/>
      <c r="L638"/>
    </row>
    <row r="639" spans="1:12" ht="15" x14ac:dyDescent="0.25">
      <c r="A639"/>
      <c r="B639"/>
      <c r="C639"/>
      <c r="D639"/>
      <c r="E639"/>
      <c r="F639"/>
      <c r="G639"/>
      <c r="H639"/>
      <c r="I639"/>
      <c r="J639"/>
      <c r="K639"/>
      <c r="L639"/>
    </row>
    <row r="640" spans="1:12" ht="15" x14ac:dyDescent="0.25">
      <c r="A640"/>
      <c r="B640"/>
      <c r="C640"/>
      <c r="D640"/>
      <c r="E640"/>
      <c r="F640"/>
      <c r="G640"/>
      <c r="H640"/>
      <c r="I640"/>
      <c r="J640"/>
      <c r="K640"/>
      <c r="L640"/>
    </row>
    <row r="641" spans="1:12" ht="15" x14ac:dyDescent="0.25">
      <c r="A641"/>
      <c r="B641"/>
      <c r="C641"/>
      <c r="D641"/>
      <c r="E641"/>
      <c r="F641"/>
      <c r="G641"/>
      <c r="H641"/>
      <c r="I641"/>
      <c r="J641"/>
      <c r="K641"/>
      <c r="L641"/>
    </row>
    <row r="642" spans="1:12" ht="15" x14ac:dyDescent="0.25">
      <c r="A642"/>
      <c r="B642"/>
      <c r="C642"/>
      <c r="D642"/>
      <c r="E642"/>
      <c r="F642"/>
      <c r="G642"/>
      <c r="H642"/>
      <c r="I642"/>
      <c r="J642"/>
      <c r="K642"/>
      <c r="L642"/>
    </row>
    <row r="643" spans="1:12" ht="15" x14ac:dyDescent="0.25">
      <c r="A643"/>
      <c r="B643"/>
      <c r="C643"/>
      <c r="D643"/>
      <c r="E643"/>
      <c r="F643"/>
      <c r="G643"/>
      <c r="H643"/>
      <c r="I643"/>
      <c r="J643"/>
      <c r="K643"/>
      <c r="L643"/>
    </row>
    <row r="644" spans="1:12" ht="15" x14ac:dyDescent="0.25">
      <c r="A644"/>
      <c r="B644"/>
      <c r="C644"/>
      <c r="D644"/>
      <c r="E644"/>
      <c r="F644"/>
      <c r="G644"/>
      <c r="H644"/>
      <c r="I644"/>
      <c r="J644"/>
      <c r="K644"/>
      <c r="L644"/>
    </row>
    <row r="645" spans="1:12" ht="15" x14ac:dyDescent="0.25">
      <c r="A645"/>
      <c r="B645"/>
      <c r="C645"/>
      <c r="D645"/>
      <c r="E645"/>
      <c r="F645"/>
      <c r="G645"/>
      <c r="H645"/>
      <c r="I645"/>
      <c r="J645"/>
      <c r="K645"/>
      <c r="L645"/>
    </row>
    <row r="646" spans="1:12" ht="15" x14ac:dyDescent="0.25">
      <c r="A646"/>
      <c r="B646"/>
      <c r="C646"/>
      <c r="D646"/>
      <c r="E646"/>
      <c r="F646"/>
      <c r="G646"/>
      <c r="H646"/>
      <c r="I646"/>
      <c r="J646"/>
      <c r="K646"/>
      <c r="L646"/>
    </row>
    <row r="647" spans="1:12" ht="15" x14ac:dyDescent="0.25">
      <c r="A647"/>
      <c r="B647"/>
      <c r="C647"/>
      <c r="D647"/>
      <c r="E647"/>
      <c r="F647"/>
      <c r="G647"/>
      <c r="H647"/>
      <c r="I647"/>
      <c r="J647"/>
      <c r="K647"/>
      <c r="L647"/>
    </row>
    <row r="648" spans="1:12" ht="15" x14ac:dyDescent="0.25">
      <c r="A648"/>
      <c r="B648"/>
      <c r="C648"/>
      <c r="D648"/>
      <c r="E648"/>
      <c r="F648"/>
      <c r="G648"/>
      <c r="H648"/>
      <c r="I648"/>
      <c r="J648"/>
      <c r="K648"/>
      <c r="L648"/>
    </row>
    <row r="649" spans="1:12" ht="15" x14ac:dyDescent="0.25">
      <c r="A649"/>
      <c r="B649"/>
      <c r="C649"/>
      <c r="D649"/>
      <c r="E649"/>
      <c r="F649"/>
      <c r="G649"/>
      <c r="H649"/>
      <c r="I649"/>
      <c r="J649"/>
      <c r="K649"/>
      <c r="L649"/>
    </row>
    <row r="650" spans="1:12" ht="15" x14ac:dyDescent="0.25">
      <c r="A650"/>
      <c r="B650"/>
      <c r="C650"/>
      <c r="D650"/>
      <c r="E650"/>
      <c r="F650"/>
      <c r="G650"/>
      <c r="H650"/>
      <c r="I650"/>
      <c r="J650"/>
      <c r="K650"/>
      <c r="L650"/>
    </row>
    <row r="651" spans="1:12" ht="15" x14ac:dyDescent="0.25">
      <c r="A651"/>
      <c r="B651"/>
      <c r="C651"/>
      <c r="D651"/>
      <c r="E651"/>
      <c r="F651"/>
      <c r="G651"/>
      <c r="H651"/>
      <c r="I651"/>
      <c r="J651"/>
      <c r="K651"/>
      <c r="L651"/>
    </row>
    <row r="652" spans="1:12" ht="15" x14ac:dyDescent="0.25">
      <c r="A652"/>
      <c r="B652"/>
      <c r="C652"/>
      <c r="D652"/>
      <c r="E652"/>
      <c r="F652"/>
      <c r="G652"/>
      <c r="H652"/>
      <c r="I652"/>
      <c r="J652"/>
      <c r="K652"/>
      <c r="L652"/>
    </row>
    <row r="653" spans="1:12" ht="15" x14ac:dyDescent="0.25">
      <c r="A653"/>
      <c r="B653"/>
      <c r="C653"/>
      <c r="D653"/>
      <c r="E653"/>
      <c r="F653"/>
      <c r="G653"/>
      <c r="H653"/>
      <c r="I653"/>
      <c r="J653"/>
      <c r="K653"/>
      <c r="L653"/>
    </row>
    <row r="654" spans="1:12" ht="15" x14ac:dyDescent="0.25">
      <c r="A654"/>
      <c r="B654"/>
      <c r="C654"/>
      <c r="D654"/>
      <c r="E654"/>
      <c r="F654"/>
      <c r="G654"/>
      <c r="H654"/>
      <c r="I654"/>
      <c r="J654"/>
      <c r="K654"/>
      <c r="L654"/>
    </row>
    <row r="655" spans="1:12" ht="15" x14ac:dyDescent="0.25">
      <c r="A655"/>
      <c r="B655"/>
      <c r="C655"/>
      <c r="D655"/>
      <c r="E655"/>
      <c r="F655"/>
      <c r="G655"/>
      <c r="H655"/>
      <c r="I655"/>
      <c r="J655"/>
      <c r="K655"/>
      <c r="L655"/>
    </row>
    <row r="656" spans="1:12" ht="15" x14ac:dyDescent="0.25">
      <c r="A656"/>
      <c r="B656"/>
      <c r="C656"/>
      <c r="D656"/>
      <c r="E656"/>
      <c r="F656"/>
      <c r="G656"/>
      <c r="H656"/>
      <c r="I656"/>
      <c r="J656"/>
      <c r="K656"/>
      <c r="L656"/>
    </row>
    <row r="657" spans="1:12" ht="15" x14ac:dyDescent="0.25">
      <c r="A657"/>
      <c r="B657"/>
      <c r="C657"/>
      <c r="D657"/>
      <c r="E657"/>
      <c r="F657"/>
      <c r="G657"/>
      <c r="H657"/>
      <c r="I657"/>
      <c r="J657"/>
      <c r="K657"/>
      <c r="L657"/>
    </row>
    <row r="658" spans="1:12" ht="15" x14ac:dyDescent="0.25">
      <c r="A658"/>
      <c r="B658"/>
      <c r="C658"/>
      <c r="D658"/>
      <c r="E658"/>
      <c r="F658"/>
      <c r="G658"/>
      <c r="H658"/>
      <c r="I658"/>
      <c r="J658"/>
      <c r="K658"/>
      <c r="L658"/>
    </row>
    <row r="659" spans="1:12" ht="15" x14ac:dyDescent="0.25">
      <c r="A659"/>
      <c r="B659"/>
      <c r="C659"/>
      <c r="D659"/>
      <c r="E659"/>
      <c r="F659"/>
      <c r="G659"/>
      <c r="H659"/>
      <c r="I659"/>
      <c r="J659"/>
      <c r="K659"/>
      <c r="L659"/>
    </row>
    <row r="660" spans="1:12" ht="15" x14ac:dyDescent="0.25">
      <c r="A660"/>
      <c r="B660"/>
      <c r="C660"/>
      <c r="D660"/>
      <c r="E660"/>
      <c r="F660"/>
      <c r="G660"/>
      <c r="H660"/>
      <c r="I660"/>
      <c r="J660"/>
      <c r="K660"/>
      <c r="L660"/>
    </row>
    <row r="661" spans="1:12" ht="15" x14ac:dyDescent="0.25">
      <c r="A661"/>
      <c r="B661"/>
      <c r="C661"/>
      <c r="D661"/>
      <c r="E661"/>
      <c r="F661"/>
      <c r="G661"/>
      <c r="H661"/>
      <c r="I661"/>
      <c r="J661"/>
      <c r="K661"/>
      <c r="L661"/>
    </row>
    <row r="662" spans="1:12" ht="15" x14ac:dyDescent="0.25">
      <c r="A662"/>
      <c r="B662"/>
      <c r="C662"/>
      <c r="D662"/>
      <c r="E662"/>
      <c r="F662"/>
      <c r="G662"/>
      <c r="H662"/>
      <c r="I662"/>
      <c r="J662"/>
      <c r="K662"/>
      <c r="L662"/>
    </row>
    <row r="663" spans="1:12" ht="15" x14ac:dyDescent="0.25">
      <c r="A663"/>
      <c r="B663"/>
      <c r="C663"/>
      <c r="D663"/>
      <c r="E663"/>
      <c r="F663"/>
      <c r="G663"/>
      <c r="H663"/>
      <c r="I663"/>
      <c r="J663"/>
      <c r="K663"/>
      <c r="L663"/>
    </row>
    <row r="664" spans="1:12" ht="15" x14ac:dyDescent="0.25">
      <c r="A664"/>
      <c r="B664"/>
      <c r="C664"/>
      <c r="D664"/>
      <c r="E664"/>
      <c r="F664"/>
      <c r="G664"/>
      <c r="H664"/>
      <c r="I664"/>
      <c r="J664"/>
      <c r="K664"/>
      <c r="L664"/>
    </row>
    <row r="665" spans="1:12" ht="15" x14ac:dyDescent="0.25">
      <c r="A665"/>
      <c r="B665"/>
      <c r="C665"/>
      <c r="D665"/>
      <c r="E665"/>
      <c r="F665"/>
      <c r="G665"/>
      <c r="H665"/>
      <c r="I665"/>
      <c r="J665"/>
      <c r="K665"/>
      <c r="L665"/>
    </row>
    <row r="666" spans="1:12" ht="15" x14ac:dyDescent="0.25">
      <c r="A666"/>
      <c r="B666"/>
      <c r="C666"/>
      <c r="D666"/>
      <c r="E666"/>
      <c r="F666"/>
      <c r="G666"/>
      <c r="H666"/>
      <c r="I666"/>
      <c r="J666"/>
      <c r="K666"/>
      <c r="L666"/>
    </row>
    <row r="667" spans="1:12" ht="15" x14ac:dyDescent="0.25">
      <c r="A667"/>
      <c r="B667"/>
      <c r="C667"/>
      <c r="D667"/>
      <c r="E667"/>
      <c r="F667"/>
      <c r="G667"/>
      <c r="H667"/>
      <c r="I667"/>
      <c r="J667"/>
      <c r="K667"/>
      <c r="L667"/>
    </row>
    <row r="668" spans="1:12" ht="15" x14ac:dyDescent="0.25">
      <c r="A668"/>
      <c r="B668"/>
      <c r="C668"/>
      <c r="D668"/>
      <c r="E668"/>
      <c r="F668"/>
      <c r="G668"/>
      <c r="H668"/>
      <c r="I668"/>
      <c r="J668"/>
      <c r="K668"/>
      <c r="L668"/>
    </row>
    <row r="669" spans="1:12" ht="15" x14ac:dyDescent="0.25">
      <c r="A669"/>
      <c r="B669"/>
      <c r="C669"/>
      <c r="D669"/>
      <c r="E669"/>
      <c r="F669"/>
      <c r="G669"/>
      <c r="H669"/>
      <c r="I669"/>
      <c r="J669"/>
      <c r="K669"/>
      <c r="L669"/>
    </row>
    <row r="670" spans="1:12" ht="15" x14ac:dyDescent="0.25">
      <c r="A670"/>
      <c r="B670"/>
      <c r="C670"/>
      <c r="D670"/>
      <c r="E670"/>
      <c r="F670"/>
      <c r="G670"/>
      <c r="H670"/>
      <c r="I670"/>
      <c r="J670"/>
      <c r="K670"/>
      <c r="L670"/>
    </row>
    <row r="671" spans="1:12" ht="15" x14ac:dyDescent="0.25">
      <c r="A671"/>
      <c r="B671"/>
      <c r="C671"/>
      <c r="D671"/>
      <c r="E671"/>
      <c r="F671"/>
      <c r="G671"/>
      <c r="H671"/>
      <c r="I671"/>
      <c r="J671"/>
      <c r="K671"/>
      <c r="L671"/>
    </row>
    <row r="672" spans="1:12" ht="15" x14ac:dyDescent="0.25">
      <c r="A672"/>
      <c r="B672"/>
      <c r="C672"/>
      <c r="D672"/>
      <c r="E672"/>
      <c r="F672"/>
      <c r="G672"/>
      <c r="H672"/>
      <c r="I672"/>
      <c r="J672"/>
      <c r="K672"/>
      <c r="L672"/>
    </row>
    <row r="673" spans="1:12" ht="15" x14ac:dyDescent="0.25">
      <c r="A673"/>
      <c r="B673"/>
      <c r="C673"/>
      <c r="D673"/>
      <c r="E673"/>
      <c r="F673"/>
      <c r="G673"/>
      <c r="H673"/>
      <c r="I673"/>
      <c r="J673"/>
      <c r="K673"/>
      <c r="L673"/>
    </row>
    <row r="674" spans="1:12" ht="15" x14ac:dyDescent="0.25">
      <c r="A674"/>
      <c r="B674"/>
      <c r="C674"/>
      <c r="D674"/>
      <c r="E674"/>
      <c r="F674"/>
      <c r="G674"/>
      <c r="H674"/>
      <c r="I674"/>
      <c r="J674"/>
      <c r="K674"/>
      <c r="L674"/>
    </row>
    <row r="675" spans="1:12" ht="15" x14ac:dyDescent="0.25">
      <c r="A675"/>
      <c r="B675"/>
      <c r="C675"/>
      <c r="D675"/>
      <c r="E675"/>
      <c r="F675"/>
      <c r="G675"/>
      <c r="H675"/>
      <c r="I675"/>
      <c r="J675"/>
      <c r="K675"/>
      <c r="L675"/>
    </row>
    <row r="676" spans="1:12" ht="15" x14ac:dyDescent="0.25">
      <c r="A676"/>
      <c r="B676"/>
      <c r="C676"/>
      <c r="D676"/>
      <c r="E676"/>
      <c r="F676"/>
      <c r="G676"/>
      <c r="H676"/>
      <c r="I676"/>
      <c r="J676"/>
      <c r="K676"/>
      <c r="L676"/>
    </row>
    <row r="677" spans="1:12" ht="15" x14ac:dyDescent="0.25">
      <c r="A677"/>
      <c r="B677"/>
      <c r="C677"/>
      <c r="D677"/>
      <c r="E677"/>
      <c r="F677"/>
      <c r="G677"/>
      <c r="H677"/>
      <c r="I677"/>
      <c r="J677"/>
      <c r="K677"/>
      <c r="L677"/>
    </row>
    <row r="678" spans="1:12" ht="15" x14ac:dyDescent="0.25">
      <c r="A678"/>
      <c r="B678"/>
      <c r="C678"/>
      <c r="D678"/>
      <c r="E678"/>
      <c r="F678"/>
      <c r="G678"/>
      <c r="H678"/>
      <c r="I678"/>
      <c r="J678"/>
      <c r="K678"/>
      <c r="L678"/>
    </row>
    <row r="679" spans="1:12" ht="15" x14ac:dyDescent="0.25">
      <c r="A679"/>
      <c r="B679"/>
      <c r="C679"/>
      <c r="D679"/>
      <c r="E679"/>
      <c r="F679"/>
      <c r="G679"/>
      <c r="H679"/>
      <c r="I679"/>
      <c r="J679"/>
      <c r="K679"/>
      <c r="L679"/>
    </row>
    <row r="680" spans="1:12" ht="15" x14ac:dyDescent="0.25">
      <c r="A680"/>
      <c r="B680"/>
      <c r="C680"/>
      <c r="D680"/>
      <c r="E680"/>
      <c r="F680"/>
      <c r="G680"/>
      <c r="H680"/>
      <c r="I680"/>
      <c r="J680"/>
      <c r="K680"/>
      <c r="L680"/>
    </row>
    <row r="681" spans="1:12" ht="15" x14ac:dyDescent="0.25">
      <c r="A681"/>
      <c r="B681"/>
      <c r="C681"/>
      <c r="D681"/>
      <c r="E681"/>
      <c r="F681"/>
      <c r="G681"/>
      <c r="H681"/>
      <c r="I681"/>
      <c r="J681"/>
      <c r="K681"/>
      <c r="L681"/>
    </row>
    <row r="682" spans="1:12" ht="15" x14ac:dyDescent="0.25">
      <c r="A682"/>
      <c r="B682"/>
      <c r="C682"/>
      <c r="D682"/>
      <c r="E682"/>
      <c r="F682"/>
      <c r="G682"/>
      <c r="H682"/>
      <c r="I682"/>
      <c r="J682"/>
      <c r="K682"/>
      <c r="L682"/>
    </row>
    <row r="683" spans="1:12" ht="15" x14ac:dyDescent="0.25">
      <c r="A683"/>
      <c r="B683"/>
      <c r="C683"/>
      <c r="D683"/>
      <c r="E683"/>
      <c r="F683"/>
      <c r="G683"/>
      <c r="H683"/>
      <c r="I683"/>
      <c r="J683"/>
      <c r="K683"/>
      <c r="L683"/>
    </row>
    <row r="684" spans="1:12" ht="15" x14ac:dyDescent="0.25">
      <c r="A684"/>
      <c r="B684"/>
      <c r="C684"/>
      <c r="D684"/>
      <c r="E684"/>
      <c r="F684"/>
      <c r="G684"/>
      <c r="H684"/>
      <c r="I684"/>
      <c r="J684"/>
      <c r="K684"/>
      <c r="L684"/>
    </row>
    <row r="685" spans="1:12" ht="15" x14ac:dyDescent="0.25">
      <c r="A685"/>
      <c r="B685"/>
      <c r="C685"/>
      <c r="D685"/>
      <c r="E685"/>
      <c r="F685"/>
      <c r="G685"/>
      <c r="H685"/>
      <c r="I685"/>
      <c r="J685"/>
      <c r="K685"/>
      <c r="L685"/>
    </row>
    <row r="686" spans="1:12" ht="15" x14ac:dyDescent="0.25">
      <c r="A686"/>
      <c r="B686"/>
      <c r="C686"/>
      <c r="D686"/>
      <c r="E686"/>
      <c r="F686"/>
      <c r="G686"/>
      <c r="H686"/>
      <c r="I686"/>
      <c r="J686"/>
      <c r="K686"/>
      <c r="L686"/>
    </row>
    <row r="687" spans="1:12" ht="15" x14ac:dyDescent="0.25">
      <c r="A687"/>
      <c r="B687"/>
      <c r="C687"/>
      <c r="D687"/>
      <c r="E687"/>
      <c r="F687"/>
      <c r="G687"/>
      <c r="H687"/>
      <c r="I687"/>
      <c r="J687"/>
      <c r="K687"/>
      <c r="L687"/>
    </row>
    <row r="688" spans="1:12" ht="15" x14ac:dyDescent="0.25">
      <c r="A688"/>
      <c r="B688"/>
      <c r="C688"/>
      <c r="D688"/>
      <c r="E688"/>
      <c r="F688"/>
      <c r="G688"/>
      <c r="H688"/>
      <c r="I688"/>
      <c r="J688"/>
      <c r="K688"/>
      <c r="L688"/>
    </row>
    <row r="689" spans="1:12" ht="15" x14ac:dyDescent="0.25">
      <c r="A689"/>
      <c r="B689"/>
      <c r="C689"/>
      <c r="D689"/>
      <c r="E689"/>
      <c r="F689"/>
      <c r="G689"/>
      <c r="H689"/>
      <c r="I689"/>
      <c r="J689"/>
      <c r="K689"/>
      <c r="L689"/>
    </row>
    <row r="690" spans="1:12" ht="15" x14ac:dyDescent="0.25">
      <c r="A690"/>
      <c r="B690"/>
      <c r="C690"/>
      <c r="D690"/>
      <c r="E690"/>
      <c r="F690"/>
      <c r="G690"/>
      <c r="H690"/>
      <c r="I690"/>
      <c r="J690"/>
      <c r="K690"/>
      <c r="L690"/>
    </row>
    <row r="691" spans="1:12" ht="15" x14ac:dyDescent="0.25">
      <c r="A691"/>
      <c r="B691"/>
      <c r="C691"/>
      <c r="D691"/>
      <c r="E691"/>
      <c r="F691"/>
      <c r="G691"/>
      <c r="H691"/>
      <c r="I691"/>
      <c r="J691"/>
      <c r="K691"/>
      <c r="L691"/>
    </row>
    <row r="692" spans="1:12" ht="15" x14ac:dyDescent="0.25">
      <c r="A692"/>
      <c r="B692"/>
      <c r="C692"/>
      <c r="D692"/>
      <c r="E692"/>
      <c r="F692"/>
      <c r="G692"/>
      <c r="H692"/>
      <c r="I692"/>
      <c r="J692"/>
      <c r="K692"/>
      <c r="L692"/>
    </row>
    <row r="693" spans="1:12" ht="15" x14ac:dyDescent="0.25">
      <c r="A693"/>
      <c r="B693"/>
      <c r="C693"/>
      <c r="D693"/>
      <c r="E693"/>
      <c r="F693"/>
      <c r="G693"/>
      <c r="H693"/>
      <c r="I693"/>
      <c r="J693"/>
      <c r="K693"/>
      <c r="L693"/>
    </row>
    <row r="694" spans="1:12" ht="15" x14ac:dyDescent="0.25">
      <c r="A694"/>
      <c r="B694"/>
      <c r="C694"/>
      <c r="D694"/>
      <c r="E694"/>
      <c r="F694"/>
      <c r="G694"/>
      <c r="H694"/>
      <c r="I694"/>
      <c r="J694"/>
      <c r="K694"/>
      <c r="L694"/>
    </row>
    <row r="695" spans="1:12" ht="15" x14ac:dyDescent="0.25">
      <c r="A695"/>
      <c r="B695"/>
      <c r="C695"/>
      <c r="D695"/>
      <c r="E695"/>
      <c r="F695"/>
      <c r="G695"/>
      <c r="H695"/>
      <c r="I695"/>
      <c r="J695"/>
      <c r="K695"/>
      <c r="L695"/>
    </row>
    <row r="696" spans="1:12" ht="15" x14ac:dyDescent="0.25">
      <c r="A696"/>
      <c r="B696"/>
      <c r="C696"/>
      <c r="D696"/>
      <c r="E696"/>
      <c r="F696"/>
      <c r="G696"/>
      <c r="H696"/>
      <c r="I696"/>
      <c r="J696"/>
      <c r="K696"/>
      <c r="L696"/>
    </row>
    <row r="697" spans="1:12" ht="15" x14ac:dyDescent="0.25">
      <c r="A697"/>
      <c r="B697"/>
      <c r="C697"/>
      <c r="D697"/>
      <c r="E697"/>
      <c r="F697"/>
      <c r="G697"/>
      <c r="H697"/>
      <c r="I697"/>
      <c r="J697"/>
      <c r="K697"/>
      <c r="L697"/>
    </row>
    <row r="698" spans="1:12" ht="15" x14ac:dyDescent="0.25">
      <c r="A698"/>
      <c r="B698"/>
      <c r="C698"/>
      <c r="D698"/>
      <c r="E698"/>
      <c r="F698"/>
      <c r="G698"/>
      <c r="H698"/>
      <c r="I698"/>
      <c r="J698"/>
      <c r="K698"/>
      <c r="L698"/>
    </row>
    <row r="699" spans="1:12" ht="15" x14ac:dyDescent="0.25">
      <c r="A699"/>
      <c r="B699"/>
      <c r="C699"/>
      <c r="D699"/>
      <c r="E699"/>
      <c r="F699"/>
      <c r="G699"/>
      <c r="H699"/>
      <c r="I699"/>
      <c r="J699"/>
      <c r="K699"/>
      <c r="L699"/>
    </row>
    <row r="700" spans="1:12" ht="15" x14ac:dyDescent="0.25">
      <c r="A700"/>
      <c r="B700"/>
      <c r="C700"/>
      <c r="D700"/>
      <c r="E700"/>
      <c r="F700"/>
      <c r="G700"/>
      <c r="H700"/>
      <c r="I700"/>
      <c r="J700"/>
      <c r="K700"/>
      <c r="L700"/>
    </row>
    <row r="701" spans="1:12" ht="15" x14ac:dyDescent="0.25">
      <c r="A701"/>
      <c r="B701"/>
      <c r="C701"/>
      <c r="D701"/>
      <c r="E701"/>
      <c r="F701"/>
      <c r="G701"/>
      <c r="H701"/>
      <c r="I701"/>
      <c r="J701"/>
      <c r="K701"/>
      <c r="L701"/>
    </row>
    <row r="702" spans="1:12" ht="15" x14ac:dyDescent="0.25">
      <c r="A702"/>
      <c r="B702"/>
      <c r="C702"/>
      <c r="D702"/>
      <c r="E702"/>
      <c r="F702"/>
      <c r="G702"/>
      <c r="H702"/>
      <c r="I702"/>
      <c r="J702"/>
      <c r="K702"/>
      <c r="L702"/>
    </row>
    <row r="703" spans="1:12" ht="15" x14ac:dyDescent="0.25">
      <c r="A703"/>
      <c r="B703"/>
      <c r="C703"/>
      <c r="D703"/>
      <c r="E703"/>
      <c r="F703"/>
      <c r="G703"/>
      <c r="H703"/>
      <c r="I703"/>
      <c r="J703"/>
      <c r="K703"/>
      <c r="L703"/>
    </row>
    <row r="704" spans="1:12" ht="15" x14ac:dyDescent="0.25">
      <c r="A704"/>
      <c r="B704"/>
      <c r="C704"/>
      <c r="D704"/>
      <c r="E704"/>
      <c r="F704"/>
      <c r="G704"/>
      <c r="H704"/>
      <c r="I704"/>
      <c r="J704"/>
      <c r="K704"/>
      <c r="L704"/>
    </row>
    <row r="705" spans="1:12" ht="15" x14ac:dyDescent="0.25">
      <c r="A705"/>
      <c r="B705"/>
      <c r="C705"/>
      <c r="D705"/>
      <c r="E705"/>
      <c r="F705"/>
      <c r="G705"/>
      <c r="H705"/>
      <c r="I705"/>
      <c r="J705"/>
      <c r="K705"/>
      <c r="L705"/>
    </row>
    <row r="706" spans="1:12" ht="15" x14ac:dyDescent="0.25">
      <c r="A706"/>
      <c r="B706"/>
      <c r="C706"/>
      <c r="D706"/>
      <c r="E706"/>
      <c r="F706"/>
      <c r="G706"/>
      <c r="H706"/>
      <c r="I706"/>
      <c r="J706"/>
      <c r="K706"/>
      <c r="L706"/>
    </row>
    <row r="707" spans="1:12" ht="15" x14ac:dyDescent="0.25">
      <c r="A707"/>
      <c r="B707"/>
      <c r="C707"/>
      <c r="D707"/>
      <c r="E707"/>
      <c r="F707"/>
      <c r="G707"/>
      <c r="H707"/>
      <c r="I707"/>
      <c r="J707"/>
      <c r="K707"/>
      <c r="L707"/>
    </row>
    <row r="708" spans="1:12" ht="15" x14ac:dyDescent="0.25">
      <c r="A708"/>
      <c r="B708"/>
      <c r="C708"/>
      <c r="D708"/>
      <c r="E708"/>
      <c r="F708"/>
      <c r="G708"/>
      <c r="H708"/>
      <c r="I708"/>
      <c r="J708"/>
      <c r="K708"/>
      <c r="L708"/>
    </row>
    <row r="709" spans="1:12" ht="15" x14ac:dyDescent="0.25">
      <c r="A709"/>
      <c r="B709"/>
      <c r="C709"/>
      <c r="D709"/>
      <c r="E709"/>
      <c r="F709"/>
      <c r="G709"/>
      <c r="H709"/>
      <c r="I709"/>
      <c r="J709"/>
      <c r="K709"/>
      <c r="L709"/>
    </row>
    <row r="710" spans="1:12" ht="15" x14ac:dyDescent="0.25">
      <c r="A710"/>
      <c r="B710"/>
      <c r="C710"/>
      <c r="D710"/>
      <c r="E710"/>
      <c r="F710"/>
      <c r="G710"/>
      <c r="H710"/>
      <c r="I710"/>
      <c r="J710"/>
      <c r="K710"/>
      <c r="L710"/>
    </row>
    <row r="711" spans="1:12" ht="15" x14ac:dyDescent="0.25">
      <c r="A711"/>
      <c r="B711"/>
      <c r="C711"/>
      <c r="D711"/>
      <c r="E711"/>
      <c r="F711"/>
      <c r="G711"/>
      <c r="H711"/>
      <c r="I711"/>
      <c r="J711"/>
      <c r="K711"/>
      <c r="L711"/>
    </row>
    <row r="712" spans="1:12" ht="15" x14ac:dyDescent="0.25">
      <c r="A712"/>
      <c r="B712"/>
      <c r="C712"/>
      <c r="D712"/>
      <c r="E712"/>
      <c r="F712"/>
      <c r="G712"/>
      <c r="H712"/>
      <c r="I712"/>
      <c r="J712"/>
      <c r="K712"/>
      <c r="L712"/>
    </row>
    <row r="713" spans="1:12" ht="15" x14ac:dyDescent="0.25">
      <c r="A713"/>
      <c r="B713"/>
      <c r="C713"/>
      <c r="D713"/>
      <c r="E713"/>
      <c r="F713"/>
      <c r="G713"/>
      <c r="H713"/>
      <c r="I713"/>
      <c r="J713"/>
      <c r="K713"/>
      <c r="L713"/>
    </row>
    <row r="714" spans="1:12" ht="15" x14ac:dyDescent="0.25">
      <c r="A714"/>
      <c r="B714"/>
      <c r="C714"/>
      <c r="D714"/>
      <c r="E714"/>
      <c r="F714"/>
      <c r="G714"/>
      <c r="H714"/>
      <c r="I714"/>
      <c r="J714"/>
      <c r="K714"/>
      <c r="L714"/>
    </row>
    <row r="715" spans="1:12" ht="15" x14ac:dyDescent="0.25">
      <c r="A715"/>
      <c r="B715"/>
      <c r="C715"/>
      <c r="D715"/>
      <c r="E715"/>
      <c r="F715"/>
      <c r="G715"/>
      <c r="H715"/>
      <c r="I715"/>
      <c r="J715"/>
      <c r="K715"/>
      <c r="L715"/>
    </row>
    <row r="716" spans="1:12" ht="15" x14ac:dyDescent="0.25">
      <c r="A716"/>
      <c r="B716"/>
      <c r="C716"/>
      <c r="D716"/>
      <c r="E716"/>
      <c r="F716"/>
      <c r="G716"/>
      <c r="H716"/>
      <c r="I716"/>
      <c r="J716"/>
      <c r="K716"/>
      <c r="L716"/>
    </row>
    <row r="717" spans="1:12" ht="15" x14ac:dyDescent="0.25">
      <c r="A717"/>
      <c r="B717"/>
      <c r="C717"/>
      <c r="D717"/>
      <c r="E717"/>
      <c r="F717"/>
      <c r="G717"/>
      <c r="H717"/>
      <c r="I717"/>
      <c r="J717"/>
      <c r="K717"/>
      <c r="L717"/>
    </row>
    <row r="718" spans="1:12" ht="15" x14ac:dyDescent="0.25">
      <c r="A718"/>
      <c r="B718"/>
      <c r="C718"/>
      <c r="D718"/>
      <c r="E718"/>
      <c r="F718"/>
      <c r="G718"/>
      <c r="H718"/>
      <c r="I718"/>
      <c r="J718"/>
      <c r="K718"/>
      <c r="L718"/>
    </row>
    <row r="719" spans="1:12" ht="15" x14ac:dyDescent="0.25">
      <c r="A719"/>
      <c r="B719"/>
      <c r="C719"/>
      <c r="D719"/>
      <c r="E719"/>
      <c r="F719"/>
      <c r="G719"/>
      <c r="H719"/>
      <c r="I719"/>
      <c r="J719"/>
      <c r="K719"/>
      <c r="L719"/>
    </row>
    <row r="720" spans="1:12" ht="15" x14ac:dyDescent="0.25">
      <c r="A720"/>
      <c r="B720"/>
      <c r="C720"/>
      <c r="D720"/>
      <c r="E720"/>
      <c r="F720"/>
      <c r="G720"/>
      <c r="H720"/>
      <c r="I720"/>
      <c r="J720"/>
      <c r="K720"/>
      <c r="L720"/>
    </row>
    <row r="721" spans="1:12" ht="15" x14ac:dyDescent="0.25">
      <c r="A721"/>
      <c r="B721"/>
      <c r="C721"/>
      <c r="D721"/>
      <c r="E721"/>
      <c r="F721"/>
      <c r="G721"/>
      <c r="H721"/>
      <c r="I721"/>
      <c r="J721"/>
      <c r="K721"/>
      <c r="L721"/>
    </row>
    <row r="722" spans="1:12" ht="15" x14ac:dyDescent="0.25">
      <c r="A722"/>
      <c r="B722"/>
      <c r="C722"/>
      <c r="D722"/>
      <c r="E722"/>
      <c r="F722"/>
      <c r="G722"/>
      <c r="H722"/>
      <c r="I722"/>
      <c r="J722"/>
      <c r="K722"/>
      <c r="L722"/>
    </row>
    <row r="723" spans="1:12" ht="15" x14ac:dyDescent="0.25">
      <c r="A723"/>
      <c r="B723"/>
      <c r="C723"/>
      <c r="D723"/>
      <c r="E723"/>
      <c r="F723"/>
      <c r="G723"/>
      <c r="H723"/>
      <c r="I723"/>
      <c r="J723"/>
      <c r="K723"/>
      <c r="L723"/>
    </row>
    <row r="724" spans="1:12" ht="15" x14ac:dyDescent="0.25">
      <c r="A724"/>
      <c r="B724"/>
      <c r="C724"/>
      <c r="D724"/>
      <c r="E724"/>
      <c r="F724"/>
      <c r="G724"/>
      <c r="H724"/>
      <c r="I724"/>
      <c r="J724"/>
      <c r="K724"/>
      <c r="L724"/>
    </row>
    <row r="725" spans="1:12" ht="15" x14ac:dyDescent="0.25">
      <c r="A725"/>
      <c r="B725"/>
      <c r="C725"/>
      <c r="D725"/>
      <c r="E725"/>
      <c r="F725"/>
      <c r="G725"/>
      <c r="H725"/>
      <c r="I725"/>
      <c r="J725"/>
      <c r="K725"/>
      <c r="L725"/>
    </row>
    <row r="726" spans="1:12" ht="15" x14ac:dyDescent="0.25">
      <c r="A726"/>
      <c r="B726"/>
      <c r="C726"/>
      <c r="D726"/>
      <c r="E726"/>
      <c r="F726"/>
      <c r="G726"/>
      <c r="H726"/>
      <c r="I726"/>
      <c r="J726"/>
      <c r="K726"/>
      <c r="L726"/>
    </row>
    <row r="727" spans="1:12" ht="15" x14ac:dyDescent="0.25">
      <c r="A727"/>
      <c r="B727"/>
      <c r="C727"/>
      <c r="D727"/>
      <c r="E727"/>
      <c r="F727"/>
      <c r="G727"/>
      <c r="H727"/>
      <c r="I727"/>
      <c r="J727"/>
      <c r="K727"/>
      <c r="L727"/>
    </row>
    <row r="728" spans="1:12" ht="15" x14ac:dyDescent="0.25">
      <c r="A728"/>
      <c r="B728"/>
      <c r="C728"/>
      <c r="D728"/>
      <c r="E728"/>
      <c r="F728"/>
      <c r="G728"/>
      <c r="H728"/>
      <c r="I728"/>
      <c r="J728"/>
      <c r="K728"/>
      <c r="L728"/>
    </row>
    <row r="729" spans="1:12" ht="15" x14ac:dyDescent="0.25">
      <c r="A729"/>
      <c r="B729"/>
      <c r="C729"/>
      <c r="D729"/>
      <c r="E729"/>
      <c r="F729"/>
      <c r="G729"/>
      <c r="H729"/>
      <c r="I729"/>
      <c r="J729"/>
      <c r="K729"/>
      <c r="L729"/>
    </row>
    <row r="730" spans="1:12" ht="15" x14ac:dyDescent="0.25">
      <c r="A730"/>
      <c r="B730"/>
      <c r="C730"/>
      <c r="D730"/>
      <c r="E730"/>
      <c r="F730"/>
      <c r="G730"/>
      <c r="H730"/>
      <c r="I730"/>
      <c r="J730"/>
      <c r="K730"/>
      <c r="L730"/>
    </row>
    <row r="731" spans="1:12" ht="15" x14ac:dyDescent="0.25">
      <c r="A731"/>
      <c r="B731"/>
      <c r="C731"/>
      <c r="D731"/>
      <c r="E731"/>
      <c r="F731"/>
      <c r="G731"/>
      <c r="H731"/>
      <c r="I731"/>
      <c r="J731"/>
      <c r="K731"/>
      <c r="L731"/>
    </row>
    <row r="732" spans="1:12" ht="15" x14ac:dyDescent="0.25">
      <c r="A732"/>
      <c r="B732"/>
      <c r="C732"/>
      <c r="D732"/>
      <c r="E732"/>
      <c r="F732"/>
      <c r="G732"/>
      <c r="H732"/>
      <c r="I732"/>
      <c r="J732"/>
      <c r="K732"/>
      <c r="L732"/>
    </row>
    <row r="733" spans="1:12" ht="15" x14ac:dyDescent="0.25">
      <c r="A733"/>
      <c r="B733"/>
      <c r="C733"/>
      <c r="D733"/>
      <c r="E733"/>
      <c r="F733"/>
      <c r="G733"/>
      <c r="H733"/>
      <c r="I733"/>
      <c r="J733"/>
      <c r="K733"/>
      <c r="L733"/>
    </row>
    <row r="734" spans="1:12" ht="15" x14ac:dyDescent="0.25">
      <c r="A734"/>
      <c r="B734"/>
      <c r="C734"/>
      <c r="D734"/>
      <c r="E734"/>
      <c r="F734"/>
      <c r="G734"/>
      <c r="H734"/>
      <c r="I734"/>
      <c r="J734"/>
      <c r="K734"/>
      <c r="L734"/>
    </row>
    <row r="735" spans="1:12" ht="15" x14ac:dyDescent="0.25">
      <c r="A735"/>
      <c r="B735"/>
      <c r="C735"/>
      <c r="D735"/>
      <c r="E735"/>
      <c r="F735"/>
      <c r="G735"/>
      <c r="H735"/>
      <c r="I735"/>
      <c r="J735"/>
      <c r="K735"/>
      <c r="L735"/>
    </row>
    <row r="736" spans="1:12" ht="15" x14ac:dyDescent="0.25">
      <c r="A736"/>
      <c r="B736"/>
      <c r="C736"/>
      <c r="D736"/>
      <c r="E736"/>
      <c r="F736"/>
      <c r="G736"/>
      <c r="H736"/>
      <c r="I736"/>
      <c r="J736"/>
      <c r="K736"/>
      <c r="L736"/>
    </row>
    <row r="737" spans="1:12" ht="15" x14ac:dyDescent="0.25">
      <c r="A737"/>
      <c r="B737"/>
      <c r="C737"/>
      <c r="D737"/>
      <c r="E737"/>
      <c r="F737"/>
      <c r="G737"/>
      <c r="H737"/>
      <c r="I737"/>
      <c r="J737"/>
      <c r="K737"/>
      <c r="L737"/>
    </row>
    <row r="738" spans="1:12" ht="15" x14ac:dyDescent="0.25">
      <c r="A738"/>
      <c r="B738"/>
      <c r="C738"/>
      <c r="D738"/>
      <c r="E738"/>
      <c r="F738"/>
      <c r="G738"/>
      <c r="H738"/>
      <c r="I738"/>
      <c r="J738"/>
      <c r="K738"/>
      <c r="L738"/>
    </row>
    <row r="739" spans="1:12" ht="15" x14ac:dyDescent="0.25">
      <c r="A739"/>
      <c r="B739"/>
      <c r="C739"/>
      <c r="D739"/>
      <c r="E739"/>
      <c r="F739"/>
      <c r="G739"/>
      <c r="H739"/>
      <c r="I739"/>
      <c r="J739"/>
      <c r="K739"/>
      <c r="L739"/>
    </row>
    <row r="740" spans="1:12" ht="15" x14ac:dyDescent="0.25">
      <c r="A740"/>
      <c r="B740"/>
      <c r="C740"/>
      <c r="D740"/>
      <c r="E740"/>
      <c r="F740"/>
      <c r="G740"/>
      <c r="H740"/>
      <c r="I740"/>
      <c r="J740"/>
      <c r="K740"/>
      <c r="L740"/>
    </row>
    <row r="741" spans="1:12" ht="15" x14ac:dyDescent="0.25">
      <c r="A741"/>
      <c r="B741"/>
      <c r="C741"/>
      <c r="D741"/>
      <c r="E741"/>
      <c r="F741"/>
      <c r="G741"/>
      <c r="H741"/>
      <c r="I741"/>
      <c r="J741"/>
      <c r="K741"/>
      <c r="L741"/>
    </row>
    <row r="742" spans="1:12" ht="15" x14ac:dyDescent="0.25">
      <c r="A742"/>
      <c r="B742"/>
      <c r="C742"/>
      <c r="D742"/>
      <c r="E742"/>
      <c r="F742"/>
      <c r="G742"/>
      <c r="H742"/>
      <c r="I742"/>
      <c r="J742"/>
      <c r="K742"/>
      <c r="L742"/>
    </row>
    <row r="743" spans="1:12" ht="15" x14ac:dyDescent="0.25">
      <c r="A743"/>
      <c r="B743"/>
      <c r="C743"/>
      <c r="D743"/>
      <c r="E743"/>
      <c r="F743"/>
      <c r="G743"/>
      <c r="H743"/>
      <c r="I743"/>
      <c r="J743"/>
      <c r="K743"/>
      <c r="L743"/>
    </row>
    <row r="744" spans="1:12" ht="15" x14ac:dyDescent="0.25">
      <c r="A744"/>
      <c r="B744"/>
      <c r="C744"/>
      <c r="D744"/>
      <c r="E744"/>
      <c r="F744"/>
      <c r="G744"/>
      <c r="H744"/>
      <c r="I744"/>
      <c r="J744"/>
      <c r="K744"/>
      <c r="L744"/>
    </row>
    <row r="745" spans="1:12" ht="15" x14ac:dyDescent="0.25">
      <c r="A745"/>
      <c r="B745"/>
      <c r="C745"/>
      <c r="D745"/>
      <c r="E745"/>
      <c r="F745"/>
      <c r="G745"/>
      <c r="H745"/>
      <c r="I745"/>
      <c r="J745"/>
      <c r="K745"/>
      <c r="L745"/>
    </row>
    <row r="746" spans="1:12" ht="15" x14ac:dyDescent="0.25">
      <c r="A746"/>
      <c r="B746"/>
      <c r="C746"/>
      <c r="D746"/>
      <c r="E746"/>
      <c r="F746"/>
      <c r="G746"/>
      <c r="H746"/>
      <c r="I746"/>
      <c r="J746"/>
      <c r="K746"/>
      <c r="L746"/>
    </row>
    <row r="747" spans="1:12" ht="15" x14ac:dyDescent="0.25">
      <c r="A747"/>
      <c r="B747"/>
      <c r="C747"/>
      <c r="D747"/>
      <c r="E747"/>
      <c r="F747"/>
      <c r="G747"/>
      <c r="H747"/>
      <c r="I747"/>
      <c r="J747"/>
      <c r="K747"/>
      <c r="L747"/>
    </row>
    <row r="748" spans="1:12" ht="15" x14ac:dyDescent="0.25">
      <c r="A748"/>
      <c r="B748"/>
      <c r="C748"/>
      <c r="D748"/>
      <c r="E748"/>
      <c r="F748"/>
      <c r="G748"/>
      <c r="H748"/>
      <c r="I748"/>
      <c r="J748"/>
      <c r="K748"/>
      <c r="L748"/>
    </row>
    <row r="749" spans="1:12" ht="15" x14ac:dyDescent="0.25">
      <c r="A749"/>
      <c r="B749"/>
      <c r="C749"/>
      <c r="D749"/>
      <c r="E749"/>
      <c r="F749"/>
      <c r="G749"/>
      <c r="H749"/>
      <c r="I749"/>
      <c r="J749"/>
      <c r="K749"/>
      <c r="L749"/>
    </row>
    <row r="750" spans="1:12" ht="15" x14ac:dyDescent="0.25">
      <c r="A750"/>
      <c r="B750"/>
      <c r="C750"/>
      <c r="D750"/>
      <c r="E750"/>
      <c r="F750"/>
      <c r="G750"/>
      <c r="H750"/>
      <c r="I750"/>
      <c r="J750"/>
      <c r="K750"/>
      <c r="L750"/>
    </row>
    <row r="751" spans="1:12" ht="15" x14ac:dyDescent="0.25">
      <c r="A751"/>
      <c r="B751"/>
      <c r="C751"/>
      <c r="D751"/>
      <c r="E751"/>
      <c r="F751"/>
      <c r="G751"/>
      <c r="H751"/>
      <c r="I751"/>
      <c r="J751"/>
      <c r="K751"/>
      <c r="L751"/>
    </row>
    <row r="752" spans="1:12" ht="15" x14ac:dyDescent="0.25">
      <c r="A752"/>
      <c r="B752"/>
      <c r="C752"/>
      <c r="D752"/>
      <c r="E752"/>
      <c r="F752"/>
      <c r="G752"/>
      <c r="H752"/>
      <c r="I752"/>
      <c r="J752"/>
      <c r="K752"/>
      <c r="L752"/>
    </row>
    <row r="753" spans="1:12" ht="15" x14ac:dyDescent="0.25">
      <c r="A753"/>
      <c r="B753"/>
      <c r="C753"/>
      <c r="D753"/>
      <c r="E753"/>
      <c r="F753"/>
      <c r="G753"/>
      <c r="H753"/>
      <c r="I753"/>
      <c r="J753"/>
      <c r="K753"/>
      <c r="L753"/>
    </row>
    <row r="754" spans="1:12" ht="15" x14ac:dyDescent="0.25">
      <c r="A754"/>
      <c r="B754"/>
      <c r="C754"/>
      <c r="D754"/>
      <c r="E754"/>
      <c r="F754"/>
      <c r="G754"/>
      <c r="H754"/>
      <c r="I754"/>
      <c r="J754"/>
      <c r="K754"/>
      <c r="L754"/>
    </row>
    <row r="755" spans="1:12" ht="15" x14ac:dyDescent="0.25">
      <c r="A755"/>
      <c r="B755"/>
      <c r="C755"/>
      <c r="D755"/>
      <c r="E755"/>
      <c r="F755"/>
      <c r="G755"/>
      <c r="H755"/>
      <c r="I755"/>
      <c r="J755"/>
      <c r="K755"/>
      <c r="L755"/>
    </row>
    <row r="756" spans="1:12" ht="15" x14ac:dyDescent="0.25">
      <c r="A756"/>
      <c r="B756"/>
      <c r="C756"/>
      <c r="D756"/>
      <c r="E756"/>
      <c r="F756"/>
      <c r="G756"/>
      <c r="H756"/>
      <c r="I756"/>
      <c r="J756"/>
      <c r="K756"/>
      <c r="L756"/>
    </row>
    <row r="757" spans="1:12" ht="15" x14ac:dyDescent="0.25">
      <c r="A757"/>
      <c r="B757"/>
      <c r="C757"/>
      <c r="D757"/>
      <c r="E757"/>
      <c r="F757"/>
      <c r="G757"/>
      <c r="H757"/>
      <c r="I757"/>
      <c r="J757"/>
      <c r="K757"/>
      <c r="L757"/>
    </row>
    <row r="758" spans="1:12" ht="15" x14ac:dyDescent="0.25">
      <c r="A758"/>
      <c r="B758"/>
      <c r="C758"/>
      <c r="D758"/>
      <c r="E758"/>
      <c r="F758"/>
      <c r="G758"/>
      <c r="H758"/>
      <c r="I758"/>
      <c r="J758"/>
      <c r="K758"/>
      <c r="L758"/>
    </row>
    <row r="759" spans="1:12" ht="15" x14ac:dyDescent="0.25">
      <c r="A759"/>
      <c r="B759"/>
      <c r="C759"/>
      <c r="D759"/>
      <c r="E759"/>
      <c r="F759"/>
      <c r="G759"/>
      <c r="H759"/>
      <c r="I759"/>
      <c r="J759"/>
      <c r="K759"/>
      <c r="L759"/>
    </row>
    <row r="760" spans="1:12" ht="15" x14ac:dyDescent="0.25">
      <c r="A760"/>
      <c r="B760"/>
      <c r="C760"/>
      <c r="D760"/>
      <c r="E760"/>
      <c r="F760"/>
      <c r="G760"/>
      <c r="H760"/>
      <c r="I760"/>
      <c r="J760"/>
      <c r="K760"/>
      <c r="L760"/>
    </row>
    <row r="761" spans="1:12" ht="15" x14ac:dyDescent="0.25">
      <c r="A761"/>
      <c r="B761"/>
      <c r="C761"/>
      <c r="D761"/>
      <c r="E761"/>
      <c r="F761"/>
      <c r="G761"/>
      <c r="H761"/>
      <c r="I761"/>
      <c r="J761"/>
      <c r="K761"/>
      <c r="L761"/>
    </row>
    <row r="762" spans="1:12" ht="15" x14ac:dyDescent="0.25">
      <c r="A762"/>
      <c r="B762"/>
      <c r="C762"/>
      <c r="D762"/>
      <c r="E762"/>
      <c r="F762"/>
      <c r="G762"/>
      <c r="H762"/>
      <c r="I762"/>
      <c r="J762"/>
      <c r="K762"/>
      <c r="L762"/>
    </row>
    <row r="763" spans="1:12" ht="15" x14ac:dyDescent="0.25">
      <c r="A763"/>
      <c r="B763"/>
      <c r="C763"/>
      <c r="D763"/>
      <c r="E763"/>
      <c r="F763"/>
      <c r="G763"/>
      <c r="H763"/>
      <c r="I763"/>
      <c r="J763"/>
      <c r="K763"/>
      <c r="L763"/>
    </row>
    <row r="764" spans="1:12" ht="15" x14ac:dyDescent="0.25">
      <c r="A764"/>
      <c r="B764"/>
      <c r="C764"/>
      <c r="D764"/>
      <c r="E764"/>
      <c r="F764"/>
      <c r="G764"/>
      <c r="H764"/>
      <c r="I764"/>
      <c r="J764"/>
      <c r="K764"/>
      <c r="L764"/>
    </row>
    <row r="765" spans="1:12" ht="15" x14ac:dyDescent="0.25">
      <c r="A765"/>
      <c r="B765"/>
      <c r="C765"/>
      <c r="D765"/>
      <c r="E765"/>
      <c r="F765"/>
      <c r="G765"/>
      <c r="H765"/>
      <c r="I765"/>
      <c r="J765"/>
      <c r="K765"/>
      <c r="L765"/>
    </row>
    <row r="766" spans="1:12" ht="15" x14ac:dyDescent="0.25">
      <c r="A766"/>
      <c r="B766"/>
      <c r="C766"/>
      <c r="D766"/>
      <c r="E766"/>
      <c r="F766"/>
      <c r="G766"/>
      <c r="H766"/>
      <c r="I766"/>
      <c r="J766"/>
      <c r="K766"/>
      <c r="L766"/>
    </row>
    <row r="767" spans="1:12" ht="15" x14ac:dyDescent="0.25">
      <c r="A767"/>
      <c r="B767"/>
      <c r="C767"/>
      <c r="D767"/>
      <c r="E767"/>
      <c r="F767"/>
      <c r="G767"/>
      <c r="H767"/>
      <c r="I767"/>
      <c r="J767"/>
      <c r="K767"/>
      <c r="L767"/>
    </row>
    <row r="768" spans="1:12" ht="15" x14ac:dyDescent="0.25">
      <c r="A768"/>
      <c r="B768"/>
      <c r="C768"/>
      <c r="D768"/>
      <c r="E768"/>
      <c r="F768"/>
      <c r="G768"/>
      <c r="H768"/>
      <c r="I768"/>
      <c r="J768"/>
      <c r="K768"/>
      <c r="L768"/>
    </row>
    <row r="769" spans="1:12" ht="15" x14ac:dyDescent="0.25">
      <c r="A769"/>
      <c r="B769"/>
      <c r="C769"/>
      <c r="D769"/>
      <c r="E769"/>
      <c r="F769"/>
      <c r="G769"/>
      <c r="H769"/>
      <c r="I769"/>
      <c r="J769"/>
      <c r="K769"/>
      <c r="L769"/>
    </row>
    <row r="770" spans="1:12" ht="15" x14ac:dyDescent="0.25">
      <c r="A770"/>
      <c r="B770"/>
      <c r="C770"/>
      <c r="D770"/>
      <c r="E770"/>
      <c r="F770"/>
      <c r="G770"/>
      <c r="H770"/>
      <c r="I770"/>
      <c r="J770"/>
      <c r="K770"/>
      <c r="L770"/>
    </row>
    <row r="771" spans="1:12" ht="15" x14ac:dyDescent="0.25">
      <c r="A771"/>
      <c r="B771"/>
      <c r="C771"/>
      <c r="D771"/>
      <c r="E771"/>
      <c r="F771"/>
      <c r="G771"/>
      <c r="H771"/>
      <c r="I771"/>
      <c r="J771"/>
      <c r="K771"/>
      <c r="L771"/>
    </row>
    <row r="772" spans="1:12" ht="15" x14ac:dyDescent="0.25">
      <c r="A772"/>
      <c r="B772"/>
      <c r="C772"/>
      <c r="D772"/>
      <c r="E772"/>
      <c r="F772"/>
      <c r="G772"/>
      <c r="H772"/>
      <c r="I772"/>
      <c r="J772"/>
      <c r="K772"/>
      <c r="L772"/>
    </row>
    <row r="773" spans="1:12" ht="15" x14ac:dyDescent="0.25">
      <c r="A773"/>
      <c r="B773"/>
      <c r="C773"/>
      <c r="D773"/>
      <c r="E773"/>
      <c r="F773"/>
      <c r="G773"/>
      <c r="H773"/>
      <c r="I773"/>
      <c r="J773"/>
      <c r="K773"/>
      <c r="L773"/>
    </row>
    <row r="774" spans="1:12" ht="15" x14ac:dyDescent="0.25">
      <c r="A774"/>
      <c r="B774"/>
      <c r="C774"/>
      <c r="D774"/>
      <c r="E774"/>
      <c r="F774"/>
      <c r="G774"/>
      <c r="H774"/>
      <c r="I774"/>
      <c r="J774"/>
      <c r="K774"/>
      <c r="L774"/>
    </row>
    <row r="775" spans="1:12" ht="15" x14ac:dyDescent="0.25">
      <c r="A775"/>
      <c r="B775"/>
      <c r="C775"/>
      <c r="D775"/>
      <c r="E775"/>
      <c r="F775"/>
      <c r="G775"/>
      <c r="H775"/>
      <c r="I775"/>
      <c r="J775"/>
      <c r="K775"/>
      <c r="L775"/>
    </row>
    <row r="776" spans="1:12" ht="15" x14ac:dyDescent="0.25">
      <c r="A776"/>
      <c r="B776"/>
      <c r="C776"/>
      <c r="D776"/>
      <c r="E776"/>
      <c r="F776"/>
      <c r="G776"/>
      <c r="H776"/>
      <c r="I776"/>
      <c r="J776"/>
      <c r="K776"/>
      <c r="L776"/>
    </row>
    <row r="777" spans="1:12" ht="15" x14ac:dyDescent="0.25">
      <c r="A777"/>
      <c r="B777"/>
      <c r="C777"/>
      <c r="D777"/>
      <c r="E777"/>
      <c r="F777"/>
      <c r="G777"/>
      <c r="H777"/>
      <c r="I777"/>
      <c r="J777"/>
      <c r="K777"/>
      <c r="L777"/>
    </row>
    <row r="778" spans="1:12" ht="15" x14ac:dyDescent="0.25">
      <c r="A778"/>
      <c r="B778"/>
      <c r="C778"/>
      <c r="D778"/>
      <c r="E778"/>
      <c r="F778"/>
      <c r="G778"/>
      <c r="H778"/>
      <c r="I778"/>
      <c r="J778"/>
      <c r="K778"/>
      <c r="L778"/>
    </row>
    <row r="779" spans="1:12" ht="15" x14ac:dyDescent="0.25">
      <c r="A779"/>
      <c r="B779"/>
      <c r="C779"/>
      <c r="D779"/>
      <c r="E779"/>
      <c r="F779"/>
      <c r="G779"/>
      <c r="H779"/>
      <c r="I779"/>
      <c r="J779"/>
      <c r="K779"/>
      <c r="L779"/>
    </row>
    <row r="780" spans="1:12" ht="15" x14ac:dyDescent="0.25">
      <c r="A780"/>
      <c r="B780"/>
      <c r="C780"/>
      <c r="D780"/>
      <c r="E780"/>
      <c r="F780"/>
      <c r="G780"/>
      <c r="H780"/>
      <c r="I780"/>
      <c r="J780"/>
      <c r="K780"/>
      <c r="L780"/>
    </row>
    <row r="781" spans="1:12" ht="15" x14ac:dyDescent="0.25">
      <c r="A781"/>
      <c r="B781"/>
      <c r="C781"/>
      <c r="D781"/>
      <c r="E781"/>
      <c r="F781"/>
      <c r="G781"/>
      <c r="H781"/>
      <c r="I781"/>
      <c r="J781"/>
      <c r="K781"/>
      <c r="L781"/>
    </row>
    <row r="782" spans="1:12" ht="15" x14ac:dyDescent="0.25">
      <c r="A782"/>
      <c r="B782"/>
      <c r="C782"/>
      <c r="D782"/>
      <c r="E782"/>
      <c r="F782"/>
      <c r="G782"/>
      <c r="H782"/>
      <c r="I782"/>
      <c r="J782"/>
      <c r="K782"/>
      <c r="L782"/>
    </row>
    <row r="783" spans="1:12" ht="15" x14ac:dyDescent="0.25">
      <c r="A783"/>
      <c r="B783"/>
      <c r="C783"/>
      <c r="D783"/>
      <c r="E783"/>
      <c r="F783"/>
      <c r="G783"/>
      <c r="H783"/>
      <c r="I783"/>
      <c r="J783"/>
      <c r="K783"/>
      <c r="L783"/>
    </row>
    <row r="784" spans="1:12" ht="15" x14ac:dyDescent="0.25">
      <c r="A784"/>
      <c r="B784"/>
      <c r="C784"/>
      <c r="D784"/>
      <c r="E784"/>
      <c r="F784"/>
      <c r="G784"/>
      <c r="H784"/>
      <c r="I784"/>
      <c r="J784"/>
      <c r="K784"/>
      <c r="L784"/>
    </row>
    <row r="785" spans="1:12" ht="15" x14ac:dyDescent="0.25">
      <c r="A785"/>
      <c r="B785"/>
      <c r="C785"/>
      <c r="D785"/>
      <c r="E785"/>
      <c r="F785"/>
      <c r="G785"/>
      <c r="H785"/>
      <c r="I785"/>
      <c r="J785"/>
      <c r="K785"/>
      <c r="L785"/>
    </row>
    <row r="786" spans="1:12" ht="15" x14ac:dyDescent="0.25">
      <c r="A786"/>
      <c r="B786"/>
      <c r="C786"/>
      <c r="D786"/>
      <c r="E786"/>
      <c r="F786"/>
      <c r="G786"/>
      <c r="H786"/>
      <c r="I786"/>
      <c r="J786"/>
      <c r="K786"/>
      <c r="L786"/>
    </row>
    <row r="787" spans="1:12" ht="15" x14ac:dyDescent="0.25">
      <c r="A787"/>
      <c r="B787"/>
      <c r="C787"/>
      <c r="D787"/>
      <c r="E787"/>
      <c r="F787"/>
      <c r="G787"/>
      <c r="H787"/>
      <c r="I787"/>
      <c r="J787"/>
      <c r="K787"/>
      <c r="L787"/>
    </row>
    <row r="788" spans="1:12" ht="15" x14ac:dyDescent="0.25">
      <c r="A788"/>
      <c r="B788"/>
      <c r="C788"/>
      <c r="D788"/>
      <c r="E788"/>
      <c r="F788"/>
      <c r="G788"/>
      <c r="H788"/>
      <c r="I788"/>
      <c r="J788"/>
      <c r="K788"/>
      <c r="L788"/>
    </row>
    <row r="789" spans="1:12" ht="15" x14ac:dyDescent="0.25">
      <c r="A789"/>
      <c r="B789"/>
      <c r="C789"/>
      <c r="D789"/>
      <c r="E789"/>
      <c r="F789"/>
      <c r="G789"/>
      <c r="H789"/>
      <c r="I789"/>
      <c r="J789"/>
      <c r="K789"/>
      <c r="L789"/>
    </row>
    <row r="790" spans="1:12" ht="15" x14ac:dyDescent="0.25">
      <c r="A790"/>
      <c r="B790"/>
      <c r="C790"/>
      <c r="D790"/>
      <c r="E790"/>
      <c r="F790"/>
      <c r="G790"/>
      <c r="H790"/>
      <c r="I790"/>
      <c r="J790"/>
      <c r="K790"/>
      <c r="L790"/>
    </row>
    <row r="791" spans="1:12" ht="15" x14ac:dyDescent="0.25">
      <c r="A791"/>
      <c r="B791"/>
      <c r="C791"/>
      <c r="D791"/>
      <c r="E791"/>
      <c r="F791"/>
      <c r="G791"/>
      <c r="H791"/>
      <c r="I791"/>
      <c r="J791"/>
      <c r="K791"/>
      <c r="L791"/>
    </row>
    <row r="792" spans="1:12" ht="15" x14ac:dyDescent="0.25">
      <c r="A792"/>
      <c r="B792"/>
      <c r="C792"/>
      <c r="D792"/>
      <c r="E792"/>
      <c r="F792"/>
      <c r="G792"/>
      <c r="H792"/>
      <c r="I792"/>
      <c r="J792"/>
      <c r="K792"/>
      <c r="L792"/>
    </row>
    <row r="793" spans="1:12" ht="15" x14ac:dyDescent="0.25">
      <c r="A793"/>
      <c r="B793"/>
      <c r="C793"/>
      <c r="D793"/>
      <c r="E793"/>
      <c r="F793"/>
      <c r="G793"/>
      <c r="H793"/>
      <c r="I793"/>
      <c r="J793"/>
      <c r="K793"/>
      <c r="L793"/>
    </row>
    <row r="794" spans="1:12" ht="15" x14ac:dyDescent="0.25">
      <c r="A794"/>
      <c r="B794"/>
      <c r="C794"/>
      <c r="D794"/>
      <c r="E794"/>
      <c r="F794"/>
      <c r="G794"/>
      <c r="H794"/>
      <c r="I794"/>
      <c r="J794"/>
      <c r="K794"/>
      <c r="L794"/>
    </row>
    <row r="795" spans="1:12" ht="15" x14ac:dyDescent="0.25">
      <c r="A795"/>
      <c r="B795"/>
      <c r="C795"/>
      <c r="D795"/>
      <c r="E795"/>
      <c r="F795"/>
      <c r="G795"/>
      <c r="H795"/>
      <c r="I795"/>
      <c r="J795"/>
      <c r="K795"/>
      <c r="L795"/>
    </row>
    <row r="796" spans="1:12" ht="15" x14ac:dyDescent="0.25">
      <c r="A796"/>
      <c r="B796"/>
      <c r="C796"/>
      <c r="D796"/>
      <c r="E796"/>
      <c r="F796"/>
      <c r="G796"/>
      <c r="H796"/>
      <c r="I796"/>
      <c r="J796"/>
      <c r="K796"/>
      <c r="L796"/>
    </row>
    <row r="797" spans="1:12" ht="15" x14ac:dyDescent="0.25">
      <c r="A797"/>
      <c r="B797"/>
      <c r="C797"/>
      <c r="D797"/>
      <c r="E797"/>
      <c r="F797"/>
      <c r="G797"/>
      <c r="H797"/>
      <c r="I797"/>
      <c r="J797"/>
      <c r="K797"/>
      <c r="L797"/>
    </row>
    <row r="798" spans="1:12" ht="15" x14ac:dyDescent="0.25">
      <c r="A798"/>
      <c r="B798"/>
      <c r="C798"/>
      <c r="D798"/>
      <c r="E798"/>
      <c r="F798"/>
      <c r="G798"/>
      <c r="H798"/>
      <c r="I798"/>
      <c r="J798"/>
      <c r="K798"/>
      <c r="L798"/>
    </row>
    <row r="799" spans="1:12" ht="15" x14ac:dyDescent="0.25">
      <c r="A799"/>
      <c r="B799"/>
      <c r="C799"/>
      <c r="D799"/>
      <c r="E799"/>
      <c r="F799"/>
      <c r="G799"/>
      <c r="H799"/>
      <c r="I799"/>
      <c r="J799"/>
      <c r="K799"/>
      <c r="L799"/>
    </row>
    <row r="800" spans="1:12" ht="15" x14ac:dyDescent="0.25">
      <c r="A800"/>
      <c r="B800"/>
      <c r="C800"/>
      <c r="D800"/>
      <c r="E800"/>
      <c r="F800"/>
      <c r="G800"/>
      <c r="H800"/>
      <c r="I800"/>
      <c r="J800"/>
      <c r="K800"/>
      <c r="L800"/>
    </row>
    <row r="801" spans="1:12" ht="15" x14ac:dyDescent="0.25">
      <c r="A801"/>
      <c r="B801"/>
      <c r="C801"/>
      <c r="D801"/>
      <c r="E801"/>
      <c r="F801"/>
      <c r="G801"/>
      <c r="H801"/>
      <c r="I801"/>
      <c r="J801"/>
      <c r="K801"/>
      <c r="L801"/>
    </row>
    <row r="802" spans="1:12" ht="15" x14ac:dyDescent="0.25">
      <c r="A802"/>
      <c r="B802"/>
      <c r="C802"/>
      <c r="D802"/>
      <c r="E802"/>
      <c r="F802"/>
      <c r="G802"/>
      <c r="H802"/>
      <c r="I802"/>
      <c r="J802"/>
      <c r="K802"/>
      <c r="L802"/>
    </row>
    <row r="803" spans="1:12" ht="15" x14ac:dyDescent="0.25">
      <c r="A803"/>
      <c r="B803"/>
      <c r="C803"/>
      <c r="D803"/>
      <c r="E803"/>
      <c r="F803"/>
      <c r="G803"/>
      <c r="H803"/>
      <c r="I803"/>
      <c r="J803"/>
      <c r="K803"/>
      <c r="L803"/>
    </row>
    <row r="804" spans="1:12" ht="15" x14ac:dyDescent="0.25">
      <c r="A804"/>
      <c r="B804"/>
      <c r="C804"/>
      <c r="D804"/>
      <c r="E804"/>
      <c r="F804"/>
      <c r="G804"/>
      <c r="H804"/>
      <c r="I804"/>
      <c r="J804"/>
      <c r="K804"/>
      <c r="L804"/>
    </row>
    <row r="805" spans="1:12" ht="15" x14ac:dyDescent="0.25">
      <c r="A805"/>
      <c r="B805"/>
      <c r="C805"/>
      <c r="D805"/>
      <c r="E805"/>
      <c r="F805"/>
      <c r="G805"/>
      <c r="H805"/>
      <c r="I805"/>
      <c r="J805"/>
      <c r="K805"/>
      <c r="L805"/>
    </row>
    <row r="806" spans="1:12" ht="15" x14ac:dyDescent="0.25">
      <c r="A806"/>
      <c r="B806"/>
      <c r="C806"/>
      <c r="D806"/>
      <c r="E806"/>
      <c r="F806"/>
      <c r="G806"/>
      <c r="H806"/>
      <c r="I806"/>
      <c r="J806"/>
      <c r="K806"/>
      <c r="L806"/>
    </row>
    <row r="807" spans="1:12" ht="15" x14ac:dyDescent="0.25">
      <c r="A807"/>
      <c r="B807"/>
      <c r="C807"/>
      <c r="D807"/>
      <c r="E807"/>
      <c r="F807"/>
      <c r="G807"/>
      <c r="H807"/>
      <c r="I807"/>
      <c r="J807"/>
      <c r="K807"/>
      <c r="L807"/>
    </row>
    <row r="808" spans="1:12" ht="15" x14ac:dyDescent="0.25">
      <c r="A808"/>
      <c r="B808"/>
      <c r="C808"/>
      <c r="D808"/>
      <c r="E808"/>
      <c r="F808"/>
      <c r="G808"/>
      <c r="H808"/>
      <c r="I808"/>
      <c r="J808"/>
      <c r="K808"/>
      <c r="L808"/>
    </row>
    <row r="809" spans="1:12" ht="15" x14ac:dyDescent="0.25">
      <c r="A809"/>
      <c r="B809"/>
      <c r="C809"/>
      <c r="D809"/>
      <c r="E809"/>
      <c r="F809"/>
      <c r="G809"/>
      <c r="H809"/>
      <c r="I809"/>
      <c r="J809"/>
      <c r="K809"/>
      <c r="L809"/>
    </row>
    <row r="810" spans="1:12" ht="15" x14ac:dyDescent="0.25">
      <c r="A810"/>
      <c r="B810"/>
      <c r="C810"/>
      <c r="D810"/>
      <c r="E810"/>
      <c r="F810"/>
      <c r="G810"/>
      <c r="H810"/>
      <c r="I810"/>
      <c r="J810"/>
      <c r="K810"/>
      <c r="L810"/>
    </row>
    <row r="811" spans="1:12" ht="15" x14ac:dyDescent="0.25">
      <c r="A811"/>
      <c r="B811"/>
      <c r="C811"/>
      <c r="D811"/>
      <c r="E811"/>
      <c r="F811"/>
      <c r="G811"/>
      <c r="H811"/>
      <c r="I811"/>
      <c r="J811"/>
      <c r="K811"/>
      <c r="L811"/>
    </row>
    <row r="812" spans="1:12" ht="15" x14ac:dyDescent="0.25">
      <c r="A812"/>
      <c r="B812"/>
      <c r="C812"/>
      <c r="D812"/>
      <c r="E812"/>
      <c r="F812"/>
      <c r="G812"/>
      <c r="H812"/>
      <c r="I812"/>
      <c r="J812"/>
      <c r="K812"/>
      <c r="L812"/>
    </row>
    <row r="813" spans="1:12" ht="15" x14ac:dyDescent="0.25">
      <c r="A813"/>
      <c r="B813"/>
      <c r="C813"/>
      <c r="D813"/>
      <c r="E813"/>
      <c r="F813"/>
      <c r="G813"/>
      <c r="H813"/>
      <c r="I813"/>
      <c r="J813"/>
      <c r="K813"/>
      <c r="L813"/>
    </row>
    <row r="814" spans="1:12" ht="15" x14ac:dyDescent="0.25">
      <c r="A814"/>
      <c r="B814"/>
      <c r="C814"/>
      <c r="D814"/>
      <c r="E814"/>
      <c r="F814"/>
      <c r="G814"/>
      <c r="H814"/>
      <c r="I814"/>
      <c r="J814"/>
      <c r="K814"/>
      <c r="L814"/>
    </row>
    <row r="815" spans="1:12" ht="15" x14ac:dyDescent="0.25">
      <c r="A815"/>
      <c r="B815"/>
      <c r="C815"/>
      <c r="D815"/>
      <c r="E815"/>
      <c r="F815"/>
      <c r="G815"/>
      <c r="H815"/>
      <c r="I815"/>
      <c r="J815"/>
      <c r="K815"/>
      <c r="L815"/>
    </row>
    <row r="816" spans="1:12" ht="15" x14ac:dyDescent="0.25">
      <c r="A816"/>
      <c r="B816"/>
      <c r="C816"/>
      <c r="D816"/>
      <c r="E816"/>
      <c r="F816"/>
      <c r="G816"/>
      <c r="H816"/>
      <c r="I816"/>
      <c r="J816"/>
      <c r="K816"/>
      <c r="L816"/>
    </row>
    <row r="817" spans="1:12" ht="15" x14ac:dyDescent="0.25">
      <c r="A817"/>
      <c r="B817"/>
      <c r="C817"/>
      <c r="D817"/>
      <c r="E817"/>
      <c r="F817"/>
      <c r="G817"/>
      <c r="H817"/>
      <c r="I817"/>
      <c r="J817"/>
      <c r="K817"/>
      <c r="L817"/>
    </row>
    <row r="818" spans="1:12" ht="15" x14ac:dyDescent="0.25">
      <c r="A818"/>
      <c r="B818"/>
      <c r="C818"/>
      <c r="D818"/>
      <c r="E818"/>
      <c r="F818"/>
      <c r="G818"/>
      <c r="H818"/>
      <c r="I818"/>
      <c r="J818"/>
      <c r="K818"/>
      <c r="L818"/>
    </row>
    <row r="819" spans="1:12" ht="15" x14ac:dyDescent="0.25">
      <c r="A819"/>
      <c r="B819"/>
      <c r="C819"/>
      <c r="D819"/>
      <c r="E819"/>
      <c r="F819"/>
      <c r="G819"/>
      <c r="H819"/>
      <c r="I819"/>
      <c r="J819"/>
      <c r="K819"/>
      <c r="L819"/>
    </row>
    <row r="820" spans="1:12" ht="15" x14ac:dyDescent="0.25">
      <c r="A820"/>
      <c r="B820"/>
      <c r="C820"/>
      <c r="D820"/>
      <c r="E820"/>
      <c r="F820"/>
      <c r="G820"/>
      <c r="H820"/>
      <c r="I820"/>
      <c r="J820"/>
      <c r="K820"/>
      <c r="L820"/>
    </row>
    <row r="821" spans="1:12" ht="15" x14ac:dyDescent="0.25">
      <c r="A821"/>
      <c r="B821"/>
      <c r="C821"/>
      <c r="D821"/>
      <c r="E821"/>
      <c r="F821"/>
      <c r="G821"/>
      <c r="H821"/>
      <c r="I821"/>
      <c r="J821"/>
      <c r="K821"/>
      <c r="L821"/>
    </row>
    <row r="822" spans="1:12" ht="15" x14ac:dyDescent="0.25">
      <c r="A822"/>
      <c r="B822"/>
      <c r="C822"/>
      <c r="D822"/>
      <c r="E822"/>
      <c r="F822"/>
      <c r="G822"/>
      <c r="H822"/>
      <c r="I822"/>
      <c r="J822"/>
      <c r="K822"/>
      <c r="L822"/>
    </row>
    <row r="823" spans="1:12" ht="15" x14ac:dyDescent="0.25">
      <c r="A823"/>
      <c r="B823"/>
      <c r="C823"/>
      <c r="D823"/>
      <c r="E823"/>
      <c r="F823"/>
      <c r="G823"/>
      <c r="H823"/>
      <c r="I823"/>
      <c r="J823"/>
      <c r="K823"/>
      <c r="L823"/>
    </row>
    <row r="824" spans="1:12" ht="15" x14ac:dyDescent="0.25">
      <c r="A824"/>
      <c r="B824"/>
      <c r="C824"/>
      <c r="D824"/>
      <c r="E824"/>
      <c r="F824"/>
      <c r="G824"/>
      <c r="H824"/>
      <c r="I824"/>
      <c r="J824"/>
      <c r="K824"/>
      <c r="L824"/>
    </row>
    <row r="825" spans="1:12" ht="15" x14ac:dyDescent="0.25">
      <c r="A825"/>
      <c r="B825"/>
      <c r="C825"/>
      <c r="D825"/>
      <c r="E825"/>
      <c r="F825"/>
      <c r="G825"/>
      <c r="H825"/>
      <c r="I825"/>
      <c r="J825"/>
      <c r="K825"/>
      <c r="L825"/>
    </row>
    <row r="826" spans="1:12" ht="15" x14ac:dyDescent="0.25">
      <c r="A826"/>
      <c r="B826"/>
      <c r="C826"/>
      <c r="D826"/>
      <c r="E826"/>
      <c r="F826"/>
      <c r="G826"/>
      <c r="H826"/>
      <c r="I826"/>
      <c r="J826"/>
      <c r="K826"/>
      <c r="L826"/>
    </row>
    <row r="827" spans="1:12" ht="15" x14ac:dyDescent="0.25">
      <c r="A827"/>
      <c r="B827"/>
      <c r="C827"/>
      <c r="D827"/>
      <c r="E827"/>
      <c r="F827"/>
      <c r="G827"/>
      <c r="H827"/>
      <c r="I827"/>
      <c r="J827"/>
      <c r="K827"/>
      <c r="L827"/>
    </row>
    <row r="828" spans="1:12" ht="15" x14ac:dyDescent="0.25">
      <c r="A828"/>
      <c r="B828"/>
      <c r="C828"/>
      <c r="D828"/>
      <c r="E828"/>
      <c r="F828"/>
      <c r="G828"/>
      <c r="H828"/>
      <c r="I828"/>
      <c r="J828"/>
      <c r="K828"/>
      <c r="L828"/>
    </row>
    <row r="829" spans="1:12" ht="15" x14ac:dyDescent="0.25">
      <c r="A829"/>
      <c r="B829"/>
      <c r="C829"/>
      <c r="D829"/>
      <c r="E829"/>
      <c r="F829"/>
      <c r="G829"/>
      <c r="H829"/>
      <c r="I829"/>
      <c r="J829"/>
      <c r="K829"/>
      <c r="L829"/>
    </row>
    <row r="830" spans="1:12" ht="15" x14ac:dyDescent="0.25">
      <c r="A830"/>
      <c r="B830"/>
      <c r="C830"/>
      <c r="D830"/>
      <c r="E830"/>
      <c r="F830"/>
      <c r="G830"/>
      <c r="H830"/>
      <c r="I830"/>
      <c r="J830"/>
      <c r="K830"/>
      <c r="L830"/>
    </row>
    <row r="831" spans="1:12" ht="15" x14ac:dyDescent="0.25">
      <c r="A831"/>
      <c r="B831"/>
      <c r="C831"/>
      <c r="D831"/>
      <c r="E831"/>
      <c r="F831"/>
      <c r="G831"/>
      <c r="H831"/>
      <c r="I831"/>
      <c r="J831"/>
      <c r="K831"/>
      <c r="L831"/>
    </row>
    <row r="832" spans="1:12" ht="15" x14ac:dyDescent="0.25">
      <c r="A832"/>
      <c r="B832"/>
      <c r="C832"/>
      <c r="D832"/>
      <c r="E832"/>
      <c r="F832"/>
      <c r="G832"/>
      <c r="H832"/>
      <c r="I832"/>
      <c r="J832"/>
      <c r="K832"/>
      <c r="L832"/>
    </row>
    <row r="833" spans="1:12" ht="15" x14ac:dyDescent="0.25">
      <c r="A833"/>
      <c r="B833"/>
      <c r="C833"/>
      <c r="D833"/>
      <c r="E833"/>
      <c r="F833"/>
      <c r="G833"/>
      <c r="H833"/>
      <c r="I833"/>
      <c r="J833"/>
      <c r="K833"/>
      <c r="L833"/>
    </row>
    <row r="834" spans="1:12" ht="15" x14ac:dyDescent="0.25">
      <c r="A834"/>
      <c r="B834"/>
      <c r="C834"/>
      <c r="D834"/>
      <c r="E834"/>
      <c r="F834"/>
      <c r="G834"/>
      <c r="H834"/>
      <c r="I834"/>
      <c r="J834"/>
      <c r="K834"/>
      <c r="L834"/>
    </row>
    <row r="835" spans="1:12" ht="15" x14ac:dyDescent="0.25">
      <c r="A835"/>
      <c r="B835"/>
      <c r="C835"/>
      <c r="D835"/>
      <c r="E835"/>
      <c r="F835"/>
      <c r="G835"/>
      <c r="H835"/>
      <c r="I835"/>
      <c r="J835"/>
      <c r="K835"/>
      <c r="L835"/>
    </row>
    <row r="836" spans="1:12" ht="15" x14ac:dyDescent="0.25">
      <c r="A836"/>
      <c r="B836"/>
      <c r="C836"/>
      <c r="D836"/>
      <c r="E836"/>
      <c r="F836"/>
      <c r="G836"/>
      <c r="H836"/>
      <c r="I836"/>
      <c r="J836"/>
      <c r="K836"/>
      <c r="L836"/>
    </row>
    <row r="837" spans="1:12" ht="15" x14ac:dyDescent="0.25">
      <c r="A837"/>
      <c r="B837"/>
      <c r="C837"/>
      <c r="D837"/>
      <c r="E837"/>
      <c r="F837"/>
      <c r="G837"/>
      <c r="H837"/>
      <c r="I837"/>
      <c r="J837"/>
      <c r="K837"/>
      <c r="L837"/>
    </row>
    <row r="838" spans="1:12" ht="15" x14ac:dyDescent="0.25">
      <c r="A838"/>
      <c r="B838"/>
      <c r="C838"/>
      <c r="D838"/>
      <c r="E838"/>
      <c r="F838"/>
      <c r="G838"/>
      <c r="H838"/>
      <c r="I838"/>
      <c r="J838"/>
      <c r="K838"/>
      <c r="L838"/>
    </row>
    <row r="839" spans="1:12" ht="15" x14ac:dyDescent="0.25">
      <c r="A839"/>
      <c r="B839"/>
      <c r="C839"/>
      <c r="D839"/>
      <c r="E839"/>
      <c r="F839"/>
      <c r="G839"/>
      <c r="H839"/>
      <c r="I839"/>
      <c r="J839"/>
      <c r="K839"/>
      <c r="L839"/>
    </row>
    <row r="840" spans="1:12" ht="15" x14ac:dyDescent="0.25">
      <c r="A840"/>
      <c r="B840"/>
      <c r="C840"/>
      <c r="D840"/>
      <c r="E840"/>
      <c r="F840"/>
      <c r="G840"/>
      <c r="H840"/>
      <c r="I840"/>
      <c r="J840"/>
      <c r="K840"/>
      <c r="L840"/>
    </row>
    <row r="841" spans="1:12" ht="15" x14ac:dyDescent="0.25">
      <c r="A841"/>
      <c r="B841"/>
      <c r="C841"/>
      <c r="D841"/>
      <c r="E841"/>
      <c r="F841"/>
      <c r="G841"/>
      <c r="H841"/>
      <c r="I841"/>
      <c r="J841"/>
      <c r="K841"/>
      <c r="L841"/>
    </row>
    <row r="842" spans="1:12" ht="15" x14ac:dyDescent="0.25">
      <c r="A842"/>
      <c r="B842"/>
      <c r="C842"/>
      <c r="D842"/>
      <c r="E842"/>
      <c r="F842"/>
      <c r="G842"/>
      <c r="H842"/>
      <c r="I842"/>
      <c r="J842"/>
      <c r="K842"/>
      <c r="L842"/>
    </row>
    <row r="843" spans="1:12" ht="15" x14ac:dyDescent="0.25">
      <c r="A843"/>
      <c r="B843"/>
      <c r="C843"/>
      <c r="D843"/>
      <c r="E843"/>
      <c r="F843"/>
      <c r="G843"/>
      <c r="H843"/>
      <c r="I843"/>
      <c r="J843"/>
      <c r="K843"/>
      <c r="L843"/>
    </row>
    <row r="844" spans="1:12" ht="15" x14ac:dyDescent="0.25">
      <c r="A844"/>
      <c r="B844"/>
      <c r="C844"/>
      <c r="D844"/>
      <c r="E844"/>
      <c r="F844"/>
      <c r="G844"/>
      <c r="H844"/>
      <c r="I844"/>
      <c r="J844"/>
      <c r="K844"/>
      <c r="L844"/>
    </row>
    <row r="845" spans="1:12" ht="15" x14ac:dyDescent="0.25">
      <c r="A845"/>
      <c r="B845"/>
      <c r="C845"/>
      <c r="D845"/>
      <c r="E845"/>
      <c r="F845"/>
      <c r="G845"/>
      <c r="H845"/>
      <c r="I845"/>
      <c r="J845"/>
      <c r="K845"/>
      <c r="L845"/>
    </row>
    <row r="846" spans="1:12" ht="15" x14ac:dyDescent="0.25">
      <c r="A846"/>
      <c r="B846"/>
      <c r="C846"/>
      <c r="D846"/>
      <c r="E846"/>
      <c r="F846"/>
      <c r="G846"/>
      <c r="H846"/>
      <c r="I846"/>
      <c r="J846"/>
      <c r="K846"/>
      <c r="L846"/>
    </row>
    <row r="847" spans="1:12" ht="15" x14ac:dyDescent="0.25">
      <c r="A847"/>
      <c r="B847"/>
      <c r="C847"/>
      <c r="D847"/>
      <c r="E847"/>
      <c r="F847"/>
      <c r="G847"/>
      <c r="H847"/>
      <c r="I847"/>
      <c r="J847"/>
      <c r="K847"/>
      <c r="L847"/>
    </row>
    <row r="848" spans="1:12" ht="15" x14ac:dyDescent="0.25">
      <c r="A848"/>
      <c r="B848"/>
      <c r="C848"/>
      <c r="D848"/>
      <c r="E848"/>
      <c r="F848"/>
      <c r="G848"/>
      <c r="H848"/>
      <c r="I848"/>
      <c r="J848"/>
      <c r="K848"/>
      <c r="L848"/>
    </row>
    <row r="849" spans="1:12" ht="15" x14ac:dyDescent="0.25">
      <c r="A849"/>
      <c r="B849"/>
      <c r="C849"/>
      <c r="D849"/>
      <c r="E849"/>
      <c r="F849"/>
      <c r="G849"/>
      <c r="H849"/>
      <c r="I849"/>
      <c r="J849"/>
      <c r="K849"/>
      <c r="L849"/>
    </row>
    <row r="850" spans="1:12" ht="15" x14ac:dyDescent="0.25">
      <c r="A850"/>
      <c r="B850"/>
      <c r="C850"/>
      <c r="D850"/>
      <c r="E850"/>
      <c r="F850"/>
      <c r="G850"/>
      <c r="H850"/>
      <c r="I850"/>
      <c r="J850"/>
      <c r="K850"/>
      <c r="L850"/>
    </row>
    <row r="851" spans="1:12" ht="15" x14ac:dyDescent="0.25">
      <c r="A851"/>
      <c r="B851"/>
      <c r="C851"/>
      <c r="D851"/>
      <c r="E851"/>
      <c r="F851"/>
      <c r="G851"/>
      <c r="H851"/>
      <c r="I851"/>
      <c r="J851"/>
      <c r="K851"/>
      <c r="L851"/>
    </row>
    <row r="852" spans="1:12" ht="15" x14ac:dyDescent="0.25">
      <c r="A852"/>
      <c r="B852"/>
      <c r="C852"/>
      <c r="D852"/>
      <c r="E852"/>
      <c r="F852"/>
      <c r="G852"/>
      <c r="H852"/>
      <c r="I852"/>
      <c r="J852"/>
      <c r="K852"/>
      <c r="L852"/>
    </row>
    <row r="853" spans="1:12" ht="15" x14ac:dyDescent="0.25">
      <c r="A853"/>
      <c r="B853"/>
      <c r="C853"/>
      <c r="D853"/>
      <c r="E853"/>
      <c r="F853"/>
      <c r="G853"/>
      <c r="H853"/>
      <c r="I853"/>
      <c r="J853"/>
      <c r="K853"/>
      <c r="L853"/>
    </row>
    <row r="854" spans="1:12" ht="15" x14ac:dyDescent="0.25">
      <c r="A854"/>
      <c r="B854"/>
      <c r="C854"/>
      <c r="D854"/>
      <c r="E854"/>
      <c r="F854"/>
      <c r="G854"/>
      <c r="H854"/>
      <c r="I854"/>
      <c r="J854"/>
      <c r="K854"/>
      <c r="L854"/>
    </row>
    <row r="855" spans="1:12" ht="15" x14ac:dyDescent="0.25">
      <c r="A855"/>
      <c r="B855"/>
      <c r="C855"/>
      <c r="D855"/>
      <c r="E855"/>
      <c r="F855"/>
      <c r="G855"/>
      <c r="H855"/>
      <c r="I855"/>
      <c r="J855"/>
      <c r="K855"/>
      <c r="L855"/>
    </row>
    <row r="856" spans="1:12" ht="15" x14ac:dyDescent="0.25">
      <c r="A856"/>
      <c r="B856"/>
      <c r="C856"/>
      <c r="D856"/>
      <c r="E856"/>
      <c r="F856"/>
      <c r="G856"/>
      <c r="H856"/>
      <c r="I856"/>
      <c r="J856"/>
      <c r="K856"/>
      <c r="L856"/>
    </row>
    <row r="857" spans="1:12" ht="15" x14ac:dyDescent="0.25">
      <c r="A857"/>
      <c r="B857"/>
      <c r="C857"/>
      <c r="D857"/>
      <c r="E857"/>
      <c r="F857"/>
      <c r="G857"/>
      <c r="H857"/>
      <c r="I857"/>
      <c r="J857"/>
      <c r="K857"/>
      <c r="L857"/>
    </row>
    <row r="858" spans="1:12" ht="15" x14ac:dyDescent="0.25">
      <c r="A858"/>
      <c r="B858"/>
      <c r="C858"/>
      <c r="D858"/>
      <c r="E858"/>
      <c r="F858"/>
      <c r="G858"/>
      <c r="H858"/>
      <c r="I858"/>
      <c r="J858"/>
      <c r="K858"/>
      <c r="L858"/>
    </row>
    <row r="859" spans="1:12" ht="15" x14ac:dyDescent="0.25">
      <c r="A859"/>
      <c r="B859"/>
      <c r="C859"/>
      <c r="D859"/>
      <c r="E859"/>
      <c r="F859"/>
      <c r="G859"/>
      <c r="H859"/>
      <c r="I859"/>
      <c r="J859"/>
      <c r="K859"/>
      <c r="L859"/>
    </row>
    <row r="860" spans="1:12" ht="15" x14ac:dyDescent="0.25">
      <c r="A860"/>
      <c r="B860"/>
      <c r="C860"/>
      <c r="D860"/>
      <c r="E860"/>
      <c r="F860"/>
      <c r="G860"/>
      <c r="H860"/>
      <c r="I860"/>
      <c r="J860"/>
      <c r="K860"/>
      <c r="L860"/>
    </row>
    <row r="861" spans="1:12" ht="15" x14ac:dyDescent="0.25">
      <c r="A861"/>
      <c r="B861"/>
      <c r="C861"/>
      <c r="D861"/>
      <c r="E861"/>
      <c r="F861"/>
      <c r="G861"/>
      <c r="H861"/>
      <c r="I861"/>
      <c r="J861"/>
      <c r="K861"/>
      <c r="L861"/>
    </row>
    <row r="862" spans="1:12" ht="15" x14ac:dyDescent="0.25">
      <c r="A862"/>
      <c r="B862"/>
      <c r="C862"/>
      <c r="D862"/>
      <c r="E862"/>
      <c r="F862"/>
      <c r="G862"/>
      <c r="H862"/>
      <c r="I862"/>
      <c r="J862"/>
      <c r="K862"/>
      <c r="L862"/>
    </row>
    <row r="863" spans="1:12" ht="15" x14ac:dyDescent="0.25">
      <c r="A863"/>
      <c r="B863"/>
      <c r="C863"/>
      <c r="D863"/>
      <c r="E863"/>
      <c r="F863"/>
      <c r="G863"/>
      <c r="H863"/>
      <c r="I863"/>
      <c r="J863"/>
      <c r="K863"/>
      <c r="L863"/>
    </row>
    <row r="864" spans="1:12" ht="15" x14ac:dyDescent="0.25">
      <c r="A864"/>
      <c r="B864"/>
      <c r="C864"/>
      <c r="D864"/>
      <c r="E864"/>
      <c r="F864"/>
      <c r="G864"/>
      <c r="H864"/>
      <c r="I864"/>
      <c r="J864"/>
      <c r="K864"/>
      <c r="L864"/>
    </row>
    <row r="865" spans="1:12" ht="15" x14ac:dyDescent="0.25">
      <c r="A865"/>
      <c r="B865"/>
      <c r="C865"/>
      <c r="D865"/>
      <c r="E865"/>
      <c r="F865"/>
      <c r="G865"/>
      <c r="H865"/>
      <c r="I865"/>
      <c r="J865"/>
      <c r="K865"/>
      <c r="L865"/>
    </row>
    <row r="866" spans="1:12" ht="15" x14ac:dyDescent="0.25">
      <c r="A866"/>
      <c r="B866"/>
      <c r="C866"/>
      <c r="D866"/>
      <c r="E866"/>
      <c r="F866"/>
      <c r="G866"/>
      <c r="H866"/>
      <c r="I866"/>
      <c r="J866"/>
      <c r="K866"/>
      <c r="L866"/>
    </row>
    <row r="867" spans="1:12" ht="15" x14ac:dyDescent="0.25">
      <c r="A867"/>
      <c r="B867"/>
      <c r="C867"/>
      <c r="D867"/>
      <c r="E867"/>
      <c r="F867"/>
      <c r="G867"/>
      <c r="H867"/>
      <c r="I867"/>
      <c r="J867"/>
      <c r="K867"/>
      <c r="L867"/>
    </row>
    <row r="868" spans="1:12" ht="15" x14ac:dyDescent="0.25">
      <c r="A868"/>
      <c r="B868"/>
      <c r="C868"/>
      <c r="D868"/>
      <c r="E868"/>
      <c r="F868"/>
      <c r="G868"/>
      <c r="H868"/>
      <c r="I868"/>
      <c r="J868"/>
      <c r="K868"/>
      <c r="L868"/>
    </row>
    <row r="869" spans="1:12" ht="15" x14ac:dyDescent="0.25">
      <c r="A869"/>
      <c r="B869"/>
      <c r="C869"/>
      <c r="D869"/>
      <c r="E869"/>
      <c r="F869"/>
      <c r="G869"/>
      <c r="H869"/>
      <c r="I869"/>
      <c r="J869"/>
      <c r="K869"/>
      <c r="L869"/>
    </row>
    <row r="870" spans="1:12" ht="15" x14ac:dyDescent="0.25">
      <c r="A870"/>
      <c r="B870"/>
      <c r="C870"/>
      <c r="D870"/>
      <c r="E870"/>
      <c r="F870"/>
      <c r="G870"/>
      <c r="H870"/>
      <c r="I870"/>
      <c r="J870"/>
      <c r="K870"/>
      <c r="L870"/>
    </row>
    <row r="871" spans="1:12" ht="15" x14ac:dyDescent="0.25">
      <c r="A871"/>
      <c r="B871"/>
      <c r="C871"/>
      <c r="D871"/>
      <c r="E871"/>
      <c r="F871"/>
      <c r="G871"/>
      <c r="H871"/>
      <c r="I871"/>
      <c r="J871"/>
      <c r="K871"/>
      <c r="L871"/>
    </row>
    <row r="872" spans="1:12" ht="15" x14ac:dyDescent="0.25">
      <c r="A872"/>
      <c r="B872"/>
      <c r="C872"/>
      <c r="D872"/>
      <c r="E872"/>
      <c r="F872"/>
      <c r="G872"/>
      <c r="H872"/>
      <c r="I872"/>
      <c r="J872"/>
      <c r="K872"/>
      <c r="L872"/>
    </row>
    <row r="873" spans="1:12" ht="15" x14ac:dyDescent="0.25">
      <c r="A873"/>
      <c r="B873"/>
      <c r="C873"/>
      <c r="D873"/>
      <c r="E873"/>
      <c r="F873"/>
      <c r="G873"/>
      <c r="H873"/>
      <c r="I873"/>
      <c r="J873"/>
      <c r="K873"/>
      <c r="L873"/>
    </row>
    <row r="874" spans="1:12" ht="15" x14ac:dyDescent="0.25">
      <c r="A874"/>
      <c r="B874"/>
      <c r="C874"/>
      <c r="D874"/>
      <c r="E874"/>
      <c r="F874"/>
      <c r="G874"/>
      <c r="H874"/>
      <c r="I874"/>
      <c r="J874"/>
      <c r="K874"/>
      <c r="L874"/>
    </row>
    <row r="875" spans="1:12" ht="15" x14ac:dyDescent="0.25">
      <c r="A875"/>
      <c r="B875"/>
      <c r="C875"/>
      <c r="D875"/>
      <c r="E875"/>
      <c r="F875"/>
      <c r="G875"/>
      <c r="H875"/>
      <c r="I875"/>
      <c r="J875"/>
      <c r="K875"/>
      <c r="L875"/>
    </row>
    <row r="876" spans="1:12" ht="15" x14ac:dyDescent="0.25">
      <c r="A876"/>
      <c r="B876"/>
      <c r="C876"/>
      <c r="D876"/>
      <c r="E876"/>
      <c r="F876"/>
      <c r="G876"/>
      <c r="H876"/>
      <c r="I876"/>
      <c r="J876"/>
      <c r="K876"/>
      <c r="L876"/>
    </row>
    <row r="877" spans="1:12" ht="15" x14ac:dyDescent="0.25">
      <c r="A877"/>
      <c r="B877"/>
      <c r="C877"/>
      <c r="D877"/>
      <c r="E877"/>
      <c r="F877"/>
      <c r="G877"/>
      <c r="H877"/>
      <c r="I877"/>
      <c r="J877"/>
      <c r="K877"/>
      <c r="L877"/>
    </row>
    <row r="878" spans="1:12" ht="15" x14ac:dyDescent="0.25">
      <c r="A878"/>
      <c r="B878"/>
      <c r="C878"/>
      <c r="D878"/>
      <c r="E878"/>
      <c r="F878"/>
      <c r="G878"/>
      <c r="H878"/>
      <c r="I878"/>
      <c r="J878"/>
      <c r="K878"/>
      <c r="L878"/>
    </row>
    <row r="879" spans="1:12" ht="15" x14ac:dyDescent="0.25">
      <c r="A879"/>
      <c r="B879"/>
      <c r="C879"/>
      <c r="D879"/>
      <c r="E879"/>
      <c r="F879"/>
      <c r="G879"/>
      <c r="H879"/>
      <c r="I879"/>
      <c r="J879"/>
      <c r="K879"/>
      <c r="L879"/>
    </row>
    <row r="880" spans="1:12" ht="15" x14ac:dyDescent="0.25">
      <c r="A880"/>
      <c r="B880"/>
      <c r="C880"/>
      <c r="D880"/>
      <c r="E880"/>
      <c r="F880"/>
      <c r="G880"/>
      <c r="H880"/>
      <c r="I880"/>
      <c r="J880"/>
      <c r="K880"/>
      <c r="L880"/>
    </row>
    <row r="881" spans="1:12" ht="15" x14ac:dyDescent="0.25">
      <c r="A881"/>
      <c r="B881"/>
      <c r="C881"/>
      <c r="D881"/>
      <c r="E881"/>
      <c r="F881"/>
      <c r="G881"/>
      <c r="H881"/>
      <c r="I881"/>
      <c r="J881"/>
      <c r="K881"/>
      <c r="L881"/>
    </row>
    <row r="882" spans="1:12" ht="15" x14ac:dyDescent="0.25">
      <c r="A882"/>
      <c r="B882"/>
      <c r="C882"/>
      <c r="D882"/>
      <c r="E882"/>
      <c r="F882"/>
      <c r="G882"/>
      <c r="H882"/>
      <c r="I882"/>
      <c r="J882"/>
      <c r="K882"/>
      <c r="L882"/>
    </row>
    <row r="883" spans="1:12" ht="15" x14ac:dyDescent="0.25">
      <c r="A883"/>
      <c r="B883"/>
      <c r="C883"/>
      <c r="D883"/>
      <c r="E883"/>
      <c r="F883"/>
      <c r="G883"/>
      <c r="H883"/>
      <c r="I883"/>
      <c r="J883"/>
      <c r="K883"/>
      <c r="L883"/>
    </row>
    <row r="884" spans="1:12" ht="15" x14ac:dyDescent="0.25">
      <c r="A884"/>
      <c r="B884"/>
      <c r="C884"/>
      <c r="D884"/>
      <c r="E884"/>
      <c r="F884"/>
      <c r="G884"/>
      <c r="H884"/>
      <c r="I884"/>
      <c r="J884"/>
      <c r="K884"/>
      <c r="L884"/>
    </row>
    <row r="885" spans="1:12" ht="15" x14ac:dyDescent="0.25">
      <c r="A885"/>
      <c r="B885"/>
      <c r="C885"/>
      <c r="D885"/>
      <c r="E885"/>
      <c r="F885"/>
      <c r="G885"/>
      <c r="H885"/>
      <c r="I885"/>
      <c r="J885"/>
      <c r="K885"/>
      <c r="L885"/>
    </row>
    <row r="886" spans="1:12" ht="15" x14ac:dyDescent="0.25">
      <c r="A886"/>
      <c r="B886"/>
      <c r="C886"/>
      <c r="D886"/>
      <c r="E886"/>
      <c r="F886"/>
      <c r="G886"/>
      <c r="H886"/>
      <c r="I886"/>
      <c r="J886"/>
      <c r="K886"/>
      <c r="L886"/>
    </row>
    <row r="887" spans="1:12" ht="15" x14ac:dyDescent="0.25">
      <c r="A887"/>
      <c r="B887"/>
      <c r="C887"/>
      <c r="D887"/>
      <c r="E887"/>
      <c r="F887"/>
      <c r="G887"/>
      <c r="H887"/>
      <c r="I887"/>
      <c r="J887"/>
      <c r="K887"/>
      <c r="L887"/>
    </row>
    <row r="888" spans="1:12" ht="15" x14ac:dyDescent="0.25">
      <c r="A888"/>
      <c r="B888"/>
      <c r="C888"/>
      <c r="D888"/>
      <c r="E888"/>
      <c r="F888"/>
      <c r="G888"/>
      <c r="H888"/>
      <c r="I888"/>
      <c r="J888"/>
      <c r="K888"/>
      <c r="L888"/>
    </row>
    <row r="889" spans="1:12" ht="15" x14ac:dyDescent="0.25">
      <c r="A889"/>
      <c r="B889"/>
      <c r="C889"/>
      <c r="D889"/>
      <c r="E889"/>
      <c r="F889"/>
      <c r="G889"/>
      <c r="H889"/>
      <c r="I889"/>
      <c r="J889"/>
      <c r="K889"/>
      <c r="L889"/>
    </row>
    <row r="890" spans="1:12" ht="15" x14ac:dyDescent="0.25">
      <c r="A890"/>
      <c r="B890"/>
      <c r="C890"/>
      <c r="D890"/>
      <c r="E890"/>
      <c r="F890"/>
      <c r="G890"/>
      <c r="H890"/>
      <c r="I890"/>
      <c r="J890"/>
      <c r="K890"/>
      <c r="L890"/>
    </row>
    <row r="891" spans="1:12" ht="15" x14ac:dyDescent="0.25">
      <c r="A891"/>
      <c r="B891"/>
      <c r="C891"/>
      <c r="D891"/>
      <c r="E891"/>
      <c r="F891"/>
      <c r="G891"/>
      <c r="H891"/>
      <c r="I891"/>
      <c r="J891"/>
      <c r="K891"/>
      <c r="L891"/>
    </row>
    <row r="892" spans="1:12" ht="15" x14ac:dyDescent="0.25">
      <c r="A892"/>
      <c r="B892"/>
      <c r="C892"/>
      <c r="D892"/>
      <c r="E892"/>
      <c r="F892"/>
      <c r="G892"/>
      <c r="H892"/>
      <c r="I892"/>
      <c r="J892"/>
      <c r="K892"/>
      <c r="L892"/>
    </row>
    <row r="893" spans="1:12" ht="15" x14ac:dyDescent="0.25">
      <c r="A893"/>
      <c r="B893"/>
      <c r="C893"/>
      <c r="D893"/>
      <c r="E893"/>
      <c r="F893"/>
      <c r="G893"/>
      <c r="H893"/>
      <c r="I893"/>
      <c r="J893"/>
      <c r="K893"/>
      <c r="L893"/>
    </row>
    <row r="894" spans="1:12" ht="15" x14ac:dyDescent="0.25">
      <c r="A894"/>
      <c r="B894"/>
      <c r="C894"/>
      <c r="D894"/>
      <c r="E894"/>
      <c r="F894"/>
      <c r="G894"/>
      <c r="H894"/>
      <c r="I894"/>
      <c r="J894"/>
      <c r="K894"/>
      <c r="L894"/>
    </row>
    <row r="895" spans="1:12" ht="15" x14ac:dyDescent="0.25">
      <c r="A895"/>
      <c r="B895"/>
      <c r="C895"/>
      <c r="D895"/>
      <c r="E895"/>
      <c r="F895"/>
      <c r="G895"/>
      <c r="H895"/>
      <c r="I895"/>
      <c r="J895"/>
      <c r="K895"/>
      <c r="L895"/>
    </row>
    <row r="896" spans="1:12" ht="15" x14ac:dyDescent="0.25">
      <c r="A896"/>
      <c r="B896"/>
      <c r="C896"/>
      <c r="D896"/>
      <c r="E896"/>
      <c r="F896"/>
      <c r="G896"/>
      <c r="H896"/>
      <c r="I896"/>
      <c r="J896"/>
      <c r="K896"/>
      <c r="L896"/>
    </row>
    <row r="897" spans="1:12" ht="15" x14ac:dyDescent="0.25">
      <c r="A897"/>
      <c r="B897"/>
      <c r="C897"/>
      <c r="D897"/>
      <c r="E897"/>
      <c r="F897"/>
      <c r="G897"/>
      <c r="H897"/>
      <c r="I897"/>
      <c r="J897"/>
      <c r="K897"/>
      <c r="L897"/>
    </row>
    <row r="898" spans="1:12" ht="15" x14ac:dyDescent="0.25">
      <c r="A898"/>
      <c r="B898"/>
      <c r="C898"/>
      <c r="D898"/>
      <c r="E898"/>
      <c r="F898"/>
      <c r="G898"/>
      <c r="H898"/>
      <c r="I898"/>
      <c r="J898"/>
      <c r="K898"/>
      <c r="L898"/>
    </row>
    <row r="899" spans="1:12" ht="15" x14ac:dyDescent="0.25">
      <c r="A899"/>
      <c r="B899"/>
      <c r="C899"/>
      <c r="D899"/>
      <c r="E899"/>
      <c r="F899"/>
      <c r="G899"/>
      <c r="H899"/>
      <c r="I899"/>
      <c r="J899"/>
      <c r="K899"/>
      <c r="L899"/>
    </row>
    <row r="900" spans="1:12" ht="15" x14ac:dyDescent="0.25">
      <c r="A900"/>
      <c r="B900"/>
      <c r="C900"/>
      <c r="D900"/>
      <c r="E900"/>
      <c r="F900"/>
      <c r="G900"/>
      <c r="H900"/>
      <c r="I900"/>
      <c r="J900"/>
      <c r="K900"/>
      <c r="L900"/>
    </row>
    <row r="901" spans="1:12" ht="15" x14ac:dyDescent="0.25">
      <c r="A901"/>
      <c r="B901"/>
      <c r="C901"/>
      <c r="D901"/>
      <c r="E901"/>
      <c r="F901"/>
      <c r="G901"/>
      <c r="H901"/>
      <c r="I901"/>
      <c r="J901"/>
      <c r="K901"/>
      <c r="L901"/>
    </row>
    <row r="902" spans="1:12" ht="15" x14ac:dyDescent="0.25">
      <c r="A902"/>
      <c r="B902"/>
      <c r="C902"/>
      <c r="D902"/>
      <c r="E902"/>
      <c r="F902"/>
      <c r="G902"/>
      <c r="H902"/>
      <c r="I902"/>
      <c r="J902"/>
      <c r="K902"/>
      <c r="L902"/>
    </row>
    <row r="903" spans="1:12" ht="15" x14ac:dyDescent="0.25">
      <c r="A903"/>
      <c r="B903"/>
      <c r="C903"/>
      <c r="D903"/>
      <c r="E903"/>
      <c r="F903"/>
      <c r="G903"/>
      <c r="H903"/>
      <c r="I903"/>
      <c r="J903"/>
      <c r="K903"/>
      <c r="L903"/>
    </row>
    <row r="904" spans="1:12" ht="15" x14ac:dyDescent="0.25">
      <c r="A904"/>
      <c r="B904"/>
      <c r="C904"/>
      <c r="D904"/>
      <c r="E904"/>
      <c r="F904"/>
      <c r="G904"/>
      <c r="H904"/>
      <c r="I904"/>
      <c r="J904"/>
      <c r="K904"/>
      <c r="L904"/>
    </row>
    <row r="905" spans="1:12" ht="15" x14ac:dyDescent="0.25">
      <c r="A905"/>
      <c r="B905"/>
      <c r="C905"/>
      <c r="D905"/>
      <c r="E905"/>
      <c r="F905"/>
      <c r="G905"/>
      <c r="H905"/>
      <c r="I905"/>
      <c r="J905"/>
      <c r="K905"/>
      <c r="L905"/>
    </row>
    <row r="906" spans="1:12" ht="15" x14ac:dyDescent="0.25">
      <c r="A906"/>
      <c r="B906"/>
      <c r="C906"/>
      <c r="D906"/>
      <c r="E906"/>
      <c r="F906"/>
      <c r="G906"/>
      <c r="H906"/>
      <c r="I906"/>
      <c r="J906"/>
      <c r="K906"/>
      <c r="L906"/>
    </row>
    <row r="907" spans="1:12" ht="15" x14ac:dyDescent="0.25">
      <c r="A907"/>
      <c r="B907"/>
      <c r="C907"/>
      <c r="D907"/>
      <c r="E907"/>
      <c r="F907"/>
      <c r="G907"/>
      <c r="H907"/>
      <c r="I907"/>
      <c r="J907"/>
      <c r="K907"/>
      <c r="L907"/>
    </row>
    <row r="908" spans="1:12" ht="15" x14ac:dyDescent="0.25">
      <c r="A908"/>
      <c r="B908"/>
      <c r="C908"/>
      <c r="D908"/>
      <c r="E908"/>
      <c r="F908"/>
      <c r="G908"/>
      <c r="H908"/>
      <c r="I908"/>
      <c r="J908"/>
      <c r="K908"/>
      <c r="L908"/>
    </row>
    <row r="909" spans="1:12" ht="15" x14ac:dyDescent="0.25">
      <c r="A909"/>
      <c r="B909"/>
      <c r="C909"/>
      <c r="D909"/>
      <c r="E909"/>
      <c r="F909"/>
      <c r="G909"/>
      <c r="H909"/>
      <c r="I909"/>
      <c r="J909"/>
      <c r="K909"/>
      <c r="L909"/>
    </row>
    <row r="910" spans="1:12" ht="15" x14ac:dyDescent="0.25">
      <c r="A910"/>
      <c r="B910"/>
      <c r="C910"/>
      <c r="D910"/>
      <c r="E910"/>
      <c r="F910"/>
      <c r="G910"/>
      <c r="H910"/>
      <c r="I910"/>
      <c r="J910"/>
      <c r="K910"/>
      <c r="L910"/>
    </row>
    <row r="911" spans="1:12" ht="15" x14ac:dyDescent="0.25">
      <c r="A911"/>
      <c r="B911"/>
      <c r="C911"/>
      <c r="D911"/>
      <c r="E911"/>
      <c r="F911"/>
      <c r="G911"/>
      <c r="H911"/>
      <c r="I911"/>
      <c r="J911"/>
      <c r="K911"/>
      <c r="L911"/>
    </row>
    <row r="912" spans="1:12" ht="15" x14ac:dyDescent="0.25">
      <c r="A912"/>
      <c r="B912"/>
      <c r="C912"/>
      <c r="D912"/>
      <c r="E912"/>
      <c r="F912"/>
      <c r="G912"/>
      <c r="H912"/>
      <c r="I912"/>
      <c r="J912"/>
      <c r="K912"/>
      <c r="L912"/>
    </row>
    <row r="913" spans="1:12" ht="15" x14ac:dyDescent="0.25">
      <c r="A913"/>
      <c r="B913"/>
      <c r="C913"/>
      <c r="D913"/>
      <c r="E913"/>
      <c r="F913"/>
      <c r="G913"/>
      <c r="H913"/>
      <c r="I913"/>
      <c r="J913"/>
      <c r="K913"/>
      <c r="L913"/>
    </row>
    <row r="914" spans="1:12" ht="15" x14ac:dyDescent="0.25">
      <c r="A914"/>
      <c r="B914"/>
      <c r="C914"/>
      <c r="D914"/>
      <c r="E914"/>
      <c r="F914"/>
      <c r="G914"/>
      <c r="H914"/>
      <c r="I914"/>
      <c r="J914"/>
      <c r="K914"/>
      <c r="L914"/>
    </row>
    <row r="915" spans="1:12" ht="15" x14ac:dyDescent="0.25">
      <c r="A915"/>
      <c r="B915"/>
      <c r="C915"/>
      <c r="D915"/>
      <c r="E915"/>
      <c r="F915"/>
      <c r="G915"/>
      <c r="H915"/>
      <c r="I915"/>
      <c r="J915"/>
      <c r="K915"/>
      <c r="L915"/>
    </row>
    <row r="916" spans="1:12" ht="15" x14ac:dyDescent="0.25">
      <c r="A916"/>
      <c r="B916"/>
      <c r="C916"/>
      <c r="D916"/>
      <c r="E916"/>
      <c r="F916"/>
      <c r="G916"/>
      <c r="H916"/>
      <c r="I916"/>
      <c r="J916"/>
      <c r="K916"/>
      <c r="L916"/>
    </row>
    <row r="917" spans="1:12" ht="15" x14ac:dyDescent="0.25">
      <c r="A917"/>
      <c r="B917"/>
      <c r="C917"/>
      <c r="D917"/>
      <c r="E917"/>
      <c r="F917"/>
      <c r="G917"/>
      <c r="H917"/>
      <c r="I917"/>
      <c r="J917"/>
      <c r="K917"/>
      <c r="L917"/>
    </row>
    <row r="918" spans="1:12" ht="15" x14ac:dyDescent="0.25">
      <c r="A918"/>
      <c r="B918"/>
      <c r="C918"/>
      <c r="D918"/>
      <c r="E918"/>
      <c r="F918"/>
      <c r="G918"/>
      <c r="H918"/>
      <c r="I918"/>
      <c r="J918"/>
      <c r="K918"/>
      <c r="L918"/>
    </row>
    <row r="919" spans="1:12" ht="15" x14ac:dyDescent="0.25">
      <c r="A919"/>
      <c r="B919"/>
      <c r="C919"/>
      <c r="D919"/>
      <c r="E919"/>
      <c r="F919"/>
      <c r="G919"/>
      <c r="H919"/>
      <c r="I919"/>
      <c r="J919"/>
      <c r="K919"/>
      <c r="L919"/>
    </row>
    <row r="920" spans="1:12" ht="15" x14ac:dyDescent="0.25">
      <c r="A920"/>
      <c r="B920"/>
      <c r="C920"/>
      <c r="D920"/>
      <c r="E920"/>
      <c r="F920"/>
      <c r="G920"/>
      <c r="H920"/>
      <c r="I920"/>
      <c r="J920"/>
      <c r="K920"/>
      <c r="L920"/>
    </row>
    <row r="921" spans="1:12" ht="15" x14ac:dyDescent="0.25">
      <c r="A921"/>
      <c r="B921"/>
      <c r="C921"/>
      <c r="D921"/>
      <c r="E921"/>
      <c r="F921"/>
      <c r="G921"/>
      <c r="H921"/>
      <c r="I921"/>
      <c r="J921"/>
      <c r="K921"/>
      <c r="L921"/>
    </row>
    <row r="922" spans="1:12" ht="15" x14ac:dyDescent="0.25">
      <c r="A922"/>
      <c r="B922"/>
      <c r="C922"/>
      <c r="D922"/>
      <c r="E922"/>
      <c r="F922"/>
      <c r="G922"/>
      <c r="H922"/>
      <c r="I922"/>
      <c r="J922"/>
      <c r="K922"/>
      <c r="L922"/>
    </row>
    <row r="923" spans="1:12" ht="15" x14ac:dyDescent="0.25">
      <c r="A923"/>
      <c r="B923"/>
      <c r="C923"/>
      <c r="D923"/>
      <c r="E923"/>
      <c r="F923"/>
      <c r="G923"/>
      <c r="H923"/>
      <c r="I923"/>
      <c r="J923"/>
      <c r="K923"/>
      <c r="L923"/>
    </row>
    <row r="924" spans="1:12" ht="15" x14ac:dyDescent="0.25">
      <c r="A924"/>
      <c r="B924"/>
      <c r="C924"/>
      <c r="D924"/>
      <c r="E924"/>
      <c r="F924"/>
      <c r="G924"/>
      <c r="H924"/>
      <c r="I924"/>
      <c r="J924"/>
      <c r="K924"/>
      <c r="L924"/>
    </row>
    <row r="925" spans="1:12" ht="15" x14ac:dyDescent="0.25">
      <c r="A925"/>
      <c r="B925"/>
      <c r="C925"/>
      <c r="D925"/>
      <c r="E925"/>
      <c r="F925"/>
      <c r="G925"/>
      <c r="H925"/>
      <c r="I925"/>
      <c r="J925"/>
      <c r="K925"/>
      <c r="L925"/>
    </row>
    <row r="926" spans="1:12" ht="15" x14ac:dyDescent="0.25">
      <c r="A926"/>
      <c r="B926"/>
      <c r="C926"/>
      <c r="D926"/>
      <c r="E926"/>
      <c r="F926"/>
      <c r="G926"/>
      <c r="H926"/>
      <c r="I926"/>
      <c r="J926"/>
      <c r="K926"/>
      <c r="L926"/>
    </row>
    <row r="927" spans="1:12" ht="15" x14ac:dyDescent="0.25">
      <c r="A927"/>
      <c r="B927"/>
      <c r="C927"/>
      <c r="D927"/>
      <c r="E927"/>
      <c r="F927"/>
      <c r="G927"/>
      <c r="H927"/>
      <c r="I927"/>
      <c r="J927"/>
      <c r="K927"/>
      <c r="L927"/>
    </row>
    <row r="928" spans="1:12" ht="15" x14ac:dyDescent="0.25">
      <c r="A928"/>
      <c r="B928"/>
      <c r="C928"/>
      <c r="D928"/>
      <c r="E928"/>
      <c r="F928"/>
      <c r="G928"/>
      <c r="H928"/>
      <c r="I928"/>
      <c r="J928"/>
      <c r="K928"/>
      <c r="L928"/>
    </row>
    <row r="929" spans="1:12" ht="15" x14ac:dyDescent="0.25">
      <c r="A929"/>
      <c r="B929"/>
      <c r="C929"/>
      <c r="D929"/>
      <c r="E929"/>
      <c r="F929"/>
      <c r="G929"/>
      <c r="H929"/>
      <c r="I929"/>
      <c r="J929"/>
      <c r="K929"/>
      <c r="L929"/>
    </row>
    <row r="930" spans="1:12" ht="15" x14ac:dyDescent="0.25">
      <c r="A930"/>
      <c r="B930"/>
      <c r="C930"/>
      <c r="D930"/>
      <c r="E930"/>
      <c r="F930"/>
      <c r="G930"/>
      <c r="H930"/>
      <c r="I930"/>
      <c r="J930"/>
      <c r="K930"/>
      <c r="L930"/>
    </row>
    <row r="931" spans="1:12" ht="15" x14ac:dyDescent="0.25">
      <c r="A931"/>
      <c r="B931"/>
      <c r="C931"/>
      <c r="D931"/>
      <c r="E931"/>
      <c r="F931"/>
      <c r="G931"/>
      <c r="H931"/>
      <c r="I931"/>
      <c r="J931"/>
      <c r="K931"/>
      <c r="L931"/>
    </row>
    <row r="932" spans="1:12" ht="15" x14ac:dyDescent="0.25">
      <c r="A932"/>
      <c r="B932"/>
      <c r="C932"/>
      <c r="D932"/>
      <c r="E932"/>
      <c r="F932"/>
      <c r="G932"/>
      <c r="H932"/>
      <c r="I932"/>
      <c r="J932"/>
      <c r="K932"/>
      <c r="L932"/>
    </row>
    <row r="933" spans="1:12" ht="15" x14ac:dyDescent="0.25">
      <c r="A933"/>
      <c r="B933"/>
      <c r="C933"/>
      <c r="D933"/>
      <c r="E933"/>
      <c r="F933"/>
      <c r="G933"/>
      <c r="H933"/>
      <c r="I933"/>
      <c r="J933"/>
      <c r="K933"/>
      <c r="L933"/>
    </row>
    <row r="934" spans="1:12" ht="15" x14ac:dyDescent="0.25">
      <c r="A934"/>
      <c r="B934"/>
      <c r="C934"/>
      <c r="D934"/>
      <c r="E934"/>
      <c r="F934"/>
      <c r="G934"/>
      <c r="H934"/>
      <c r="I934"/>
      <c r="J934"/>
      <c r="K934"/>
      <c r="L934"/>
    </row>
    <row r="935" spans="1:12" ht="15" x14ac:dyDescent="0.25">
      <c r="A935"/>
      <c r="B935"/>
      <c r="C935"/>
      <c r="D935"/>
      <c r="E935"/>
      <c r="F935"/>
      <c r="G935"/>
      <c r="H935"/>
      <c r="I935"/>
      <c r="J935"/>
      <c r="K935"/>
      <c r="L935"/>
    </row>
    <row r="936" spans="1:12" ht="15" x14ac:dyDescent="0.25">
      <c r="A936"/>
      <c r="B936"/>
      <c r="C936"/>
      <c r="D936"/>
      <c r="E936"/>
      <c r="F936"/>
      <c r="G936"/>
      <c r="H936"/>
      <c r="I936"/>
      <c r="J936"/>
      <c r="K936"/>
      <c r="L936"/>
    </row>
    <row r="937" spans="1:12" ht="15" x14ac:dyDescent="0.25">
      <c r="A937"/>
      <c r="B937"/>
      <c r="C937"/>
      <c r="D937"/>
      <c r="E937"/>
      <c r="F937"/>
      <c r="G937"/>
      <c r="H937"/>
      <c r="I937"/>
      <c r="J937"/>
      <c r="K937"/>
      <c r="L937"/>
    </row>
    <row r="938" spans="1:12" ht="15" x14ac:dyDescent="0.25">
      <c r="A938"/>
      <c r="B938"/>
      <c r="C938"/>
      <c r="D938"/>
      <c r="E938"/>
      <c r="F938"/>
      <c r="G938"/>
      <c r="H938"/>
      <c r="I938"/>
      <c r="J938"/>
      <c r="K938"/>
      <c r="L938"/>
    </row>
    <row r="939" spans="1:12" ht="15" x14ac:dyDescent="0.25">
      <c r="A939"/>
      <c r="B939"/>
      <c r="C939"/>
      <c r="D939"/>
      <c r="E939"/>
      <c r="F939"/>
      <c r="G939"/>
      <c r="H939"/>
      <c r="I939"/>
      <c r="J939"/>
      <c r="K939"/>
      <c r="L939"/>
    </row>
    <row r="940" spans="1:12" ht="15" x14ac:dyDescent="0.25">
      <c r="A940"/>
      <c r="B940"/>
      <c r="C940"/>
      <c r="D940"/>
      <c r="E940"/>
      <c r="F940"/>
      <c r="G940"/>
      <c r="H940"/>
      <c r="I940"/>
      <c r="J940"/>
      <c r="K940"/>
      <c r="L940"/>
    </row>
    <row r="941" spans="1:12" ht="15" x14ac:dyDescent="0.25">
      <c r="A941"/>
      <c r="B941"/>
      <c r="C941"/>
      <c r="D941"/>
      <c r="E941"/>
      <c r="F941"/>
      <c r="G941"/>
      <c r="H941"/>
      <c r="I941"/>
      <c r="J941"/>
      <c r="K941"/>
      <c r="L941"/>
    </row>
    <row r="942" spans="1:12" ht="15" x14ac:dyDescent="0.25">
      <c r="A942"/>
      <c r="B942"/>
      <c r="C942"/>
      <c r="D942"/>
      <c r="E942"/>
      <c r="F942"/>
      <c r="G942"/>
      <c r="H942"/>
      <c r="I942"/>
      <c r="J942"/>
      <c r="K942"/>
      <c r="L942"/>
    </row>
    <row r="943" spans="1:12" ht="15" x14ac:dyDescent="0.25">
      <c r="A943"/>
      <c r="B943"/>
      <c r="C943"/>
      <c r="D943"/>
      <c r="E943"/>
      <c r="F943"/>
      <c r="G943"/>
      <c r="H943"/>
      <c r="I943"/>
      <c r="J943"/>
      <c r="K943"/>
      <c r="L943"/>
    </row>
    <row r="944" spans="1:12" ht="15" x14ac:dyDescent="0.25">
      <c r="A944"/>
      <c r="B944"/>
      <c r="C944"/>
      <c r="D944"/>
      <c r="E944"/>
      <c r="F944"/>
      <c r="G944"/>
      <c r="H944"/>
      <c r="I944"/>
      <c r="J944"/>
      <c r="K944"/>
      <c r="L944"/>
    </row>
    <row r="945" spans="1:12" ht="15" x14ac:dyDescent="0.25">
      <c r="A945"/>
      <c r="B945"/>
      <c r="C945"/>
      <c r="D945"/>
      <c r="E945"/>
      <c r="F945"/>
      <c r="G945"/>
      <c r="H945"/>
      <c r="I945"/>
      <c r="J945"/>
      <c r="K945"/>
      <c r="L945"/>
    </row>
    <row r="946" spans="1:12" ht="15" x14ac:dyDescent="0.25">
      <c r="A946"/>
      <c r="B946"/>
      <c r="C946"/>
      <c r="D946"/>
      <c r="E946"/>
      <c r="F946"/>
      <c r="G946"/>
      <c r="H946"/>
      <c r="I946"/>
      <c r="J946"/>
      <c r="K946"/>
      <c r="L946"/>
    </row>
    <row r="947" spans="1:12" ht="15" x14ac:dyDescent="0.25">
      <c r="A947"/>
      <c r="B947"/>
      <c r="C947"/>
      <c r="D947"/>
      <c r="E947"/>
      <c r="F947"/>
      <c r="G947"/>
      <c r="H947"/>
      <c r="I947"/>
      <c r="J947"/>
      <c r="K947"/>
      <c r="L947"/>
    </row>
    <row r="948" spans="1:12" ht="15" x14ac:dyDescent="0.25">
      <c r="A948"/>
      <c r="B948"/>
      <c r="C948"/>
      <c r="D948"/>
      <c r="E948"/>
      <c r="F948"/>
      <c r="G948"/>
      <c r="H948"/>
      <c r="I948"/>
      <c r="J948"/>
      <c r="K948"/>
      <c r="L948"/>
    </row>
    <row r="949" spans="1:12" ht="15" x14ac:dyDescent="0.25">
      <c r="A949"/>
      <c r="B949"/>
      <c r="C949"/>
      <c r="D949"/>
      <c r="E949"/>
      <c r="F949"/>
      <c r="G949"/>
      <c r="H949"/>
      <c r="I949"/>
      <c r="J949"/>
      <c r="K949"/>
      <c r="L949"/>
    </row>
    <row r="950" spans="1:12" ht="15" x14ac:dyDescent="0.25">
      <c r="A950"/>
      <c r="B950"/>
      <c r="C950"/>
      <c r="D950"/>
      <c r="E950"/>
      <c r="F950"/>
      <c r="G950"/>
      <c r="H950"/>
      <c r="I950"/>
      <c r="J950"/>
      <c r="K950"/>
      <c r="L950"/>
    </row>
    <row r="951" spans="1:12" ht="15" x14ac:dyDescent="0.25">
      <c r="A951"/>
      <c r="B951"/>
      <c r="C951"/>
      <c r="D951"/>
      <c r="E951"/>
      <c r="F951"/>
      <c r="G951"/>
      <c r="H951"/>
      <c r="I951"/>
      <c r="J951"/>
      <c r="K951"/>
      <c r="L951"/>
    </row>
    <row r="952" spans="1:12" ht="15" x14ac:dyDescent="0.25">
      <c r="A952"/>
      <c r="B952"/>
      <c r="C952"/>
      <c r="D952"/>
      <c r="E952"/>
      <c r="F952"/>
      <c r="G952"/>
      <c r="H952"/>
      <c r="I952"/>
      <c r="J952"/>
      <c r="K952"/>
      <c r="L952"/>
    </row>
    <row r="953" spans="1:12" ht="15" x14ac:dyDescent="0.25">
      <c r="A953"/>
      <c r="B953"/>
      <c r="C953"/>
      <c r="D953"/>
      <c r="E953"/>
      <c r="F953"/>
      <c r="G953"/>
      <c r="H953"/>
      <c r="I953"/>
      <c r="J953"/>
      <c r="K953"/>
      <c r="L953"/>
    </row>
    <row r="954" spans="1:12" ht="15" x14ac:dyDescent="0.25">
      <c r="A954"/>
      <c r="B954"/>
      <c r="C954"/>
      <c r="D954"/>
      <c r="E954"/>
      <c r="F954"/>
      <c r="G954"/>
      <c r="H954"/>
      <c r="I954"/>
      <c r="J954"/>
      <c r="K954"/>
      <c r="L954"/>
    </row>
    <row r="955" spans="1:12" ht="15" x14ac:dyDescent="0.25">
      <c r="A955"/>
      <c r="B955"/>
      <c r="C955"/>
      <c r="D955"/>
      <c r="E955"/>
      <c r="F955"/>
      <c r="G955"/>
      <c r="H955"/>
      <c r="I955"/>
      <c r="J955"/>
      <c r="K955"/>
      <c r="L955"/>
    </row>
    <row r="956" spans="1:12" ht="15" x14ac:dyDescent="0.25">
      <c r="A956"/>
      <c r="B956"/>
      <c r="C956"/>
      <c r="D956"/>
      <c r="E956"/>
      <c r="F956"/>
      <c r="G956"/>
      <c r="H956"/>
      <c r="I956"/>
      <c r="J956"/>
      <c r="K956"/>
      <c r="L956"/>
    </row>
    <row r="957" spans="1:12" ht="15" x14ac:dyDescent="0.25">
      <c r="A957"/>
      <c r="B957"/>
      <c r="C957"/>
      <c r="D957"/>
      <c r="E957"/>
      <c r="F957"/>
      <c r="G957"/>
      <c r="H957"/>
      <c r="I957"/>
      <c r="J957"/>
      <c r="K957"/>
      <c r="L957"/>
    </row>
    <row r="958" spans="1:12" ht="15" x14ac:dyDescent="0.25">
      <c r="A958"/>
      <c r="B958"/>
      <c r="C958"/>
      <c r="D958"/>
      <c r="E958"/>
      <c r="F958"/>
      <c r="G958"/>
      <c r="H958"/>
      <c r="I958"/>
      <c r="J958"/>
      <c r="K958"/>
      <c r="L958"/>
    </row>
    <row r="959" spans="1:12" ht="15" x14ac:dyDescent="0.25">
      <c r="A959"/>
      <c r="B959"/>
      <c r="C959"/>
      <c r="D959"/>
      <c r="E959"/>
      <c r="F959"/>
      <c r="G959"/>
      <c r="H959"/>
      <c r="I959"/>
      <c r="J959"/>
      <c r="K959"/>
      <c r="L959"/>
    </row>
    <row r="960" spans="1:12" ht="15" x14ac:dyDescent="0.25">
      <c r="A960"/>
      <c r="B960"/>
      <c r="C960"/>
      <c r="D960"/>
      <c r="E960"/>
      <c r="F960"/>
      <c r="G960"/>
      <c r="H960"/>
      <c r="I960"/>
      <c r="J960"/>
      <c r="K960"/>
      <c r="L960"/>
    </row>
    <row r="961" spans="1:12" ht="15" x14ac:dyDescent="0.25">
      <c r="A961"/>
      <c r="B961"/>
      <c r="C961"/>
      <c r="D961"/>
      <c r="E961"/>
      <c r="F961"/>
      <c r="G961"/>
      <c r="H961"/>
      <c r="I961"/>
      <c r="J961"/>
      <c r="K961"/>
      <c r="L961"/>
    </row>
    <row r="962" spans="1:12" ht="15" x14ac:dyDescent="0.25">
      <c r="A962"/>
      <c r="B962"/>
      <c r="C962"/>
      <c r="D962"/>
      <c r="E962"/>
      <c r="F962"/>
      <c r="G962"/>
      <c r="H962"/>
      <c r="I962"/>
      <c r="J962"/>
      <c r="K962"/>
      <c r="L962"/>
    </row>
    <row r="963" spans="1:12" ht="15" x14ac:dyDescent="0.25">
      <c r="A963"/>
      <c r="B963"/>
      <c r="C963"/>
      <c r="D963"/>
      <c r="E963"/>
      <c r="F963"/>
      <c r="G963"/>
      <c r="H963"/>
      <c r="I963"/>
      <c r="J963"/>
      <c r="K963"/>
      <c r="L963"/>
    </row>
    <row r="964" spans="1:12" ht="15" x14ac:dyDescent="0.25">
      <c r="A964"/>
      <c r="B964"/>
      <c r="C964"/>
      <c r="D964"/>
      <c r="E964"/>
      <c r="F964"/>
      <c r="G964"/>
      <c r="H964"/>
      <c r="I964"/>
      <c r="J964"/>
      <c r="K964"/>
      <c r="L964"/>
    </row>
    <row r="965" spans="1:12" ht="15" x14ac:dyDescent="0.25">
      <c r="A965"/>
      <c r="B965"/>
      <c r="C965"/>
      <c r="D965"/>
      <c r="E965"/>
      <c r="F965"/>
      <c r="G965"/>
      <c r="H965"/>
      <c r="I965"/>
      <c r="J965"/>
      <c r="K965"/>
      <c r="L965"/>
    </row>
    <row r="966" spans="1:12" ht="15" x14ac:dyDescent="0.25">
      <c r="A966"/>
      <c r="B966"/>
      <c r="C966"/>
      <c r="D966"/>
      <c r="E966"/>
      <c r="F966"/>
      <c r="G966"/>
      <c r="H966"/>
      <c r="I966"/>
      <c r="J966"/>
      <c r="K966"/>
      <c r="L966"/>
    </row>
    <row r="967" spans="1:12" ht="15" x14ac:dyDescent="0.25">
      <c r="A967"/>
      <c r="B967"/>
      <c r="C967"/>
      <c r="D967"/>
      <c r="E967"/>
      <c r="F967"/>
      <c r="G967"/>
      <c r="H967"/>
      <c r="I967"/>
      <c r="J967"/>
      <c r="K967"/>
      <c r="L967"/>
    </row>
    <row r="968" spans="1:12" ht="15" x14ac:dyDescent="0.25">
      <c r="A968"/>
      <c r="B968"/>
      <c r="C968"/>
      <c r="D968"/>
      <c r="E968"/>
      <c r="F968"/>
      <c r="G968"/>
      <c r="H968"/>
      <c r="I968"/>
      <c r="J968"/>
      <c r="K968"/>
      <c r="L968"/>
    </row>
    <row r="969" spans="1:12" ht="15" x14ac:dyDescent="0.25">
      <c r="A969"/>
      <c r="B969"/>
      <c r="C969"/>
      <c r="D969"/>
      <c r="E969"/>
      <c r="F969"/>
      <c r="G969"/>
      <c r="H969"/>
      <c r="I969"/>
      <c r="J969"/>
      <c r="K969"/>
      <c r="L969"/>
    </row>
    <row r="970" spans="1:12" ht="15" x14ac:dyDescent="0.25">
      <c r="A970"/>
      <c r="B970"/>
      <c r="C970"/>
      <c r="D970"/>
      <c r="E970"/>
      <c r="F970"/>
      <c r="G970"/>
      <c r="H970"/>
      <c r="I970"/>
      <c r="J970"/>
      <c r="K970"/>
      <c r="L970"/>
    </row>
    <row r="971" spans="1:12" ht="15" x14ac:dyDescent="0.25">
      <c r="A971"/>
      <c r="B971"/>
      <c r="C971"/>
      <c r="D971"/>
      <c r="E971"/>
      <c r="F971"/>
      <c r="G971"/>
      <c r="H971"/>
      <c r="I971"/>
      <c r="J971"/>
      <c r="K971"/>
      <c r="L971"/>
    </row>
    <row r="972" spans="1:12" ht="15" x14ac:dyDescent="0.25">
      <c r="A972"/>
      <c r="B972"/>
      <c r="C972"/>
      <c r="D972"/>
      <c r="E972"/>
      <c r="F972"/>
      <c r="G972"/>
      <c r="H972"/>
      <c r="I972"/>
      <c r="J972"/>
      <c r="K972"/>
      <c r="L972"/>
    </row>
    <row r="973" spans="1:12" ht="15" x14ac:dyDescent="0.25">
      <c r="A973"/>
      <c r="B973"/>
      <c r="C973"/>
      <c r="D973"/>
      <c r="E973"/>
      <c r="F973"/>
      <c r="G973"/>
      <c r="H973"/>
      <c r="I973"/>
      <c r="J973"/>
      <c r="K973"/>
      <c r="L973"/>
    </row>
    <row r="974" spans="1:12" ht="15" x14ac:dyDescent="0.25">
      <c r="A974"/>
      <c r="B974"/>
      <c r="C974"/>
      <c r="D974"/>
      <c r="E974"/>
      <c r="F974"/>
      <c r="G974"/>
      <c r="H974"/>
      <c r="I974"/>
      <c r="J974"/>
      <c r="K974"/>
      <c r="L974"/>
    </row>
    <row r="975" spans="1:12" ht="15" x14ac:dyDescent="0.25">
      <c r="A975"/>
      <c r="B975"/>
      <c r="C975"/>
      <c r="D975"/>
      <c r="E975"/>
      <c r="F975"/>
      <c r="G975"/>
      <c r="H975"/>
      <c r="I975"/>
      <c r="J975"/>
      <c r="K975"/>
      <c r="L975"/>
    </row>
    <row r="976" spans="1:12" ht="15" x14ac:dyDescent="0.25">
      <c r="A976"/>
      <c r="B976"/>
      <c r="C976"/>
      <c r="D976"/>
      <c r="E976"/>
      <c r="F976"/>
      <c r="G976"/>
      <c r="H976"/>
      <c r="I976"/>
      <c r="J976"/>
      <c r="K976"/>
      <c r="L976"/>
    </row>
    <row r="977" spans="1:12" ht="15" x14ac:dyDescent="0.25">
      <c r="A977"/>
      <c r="B977"/>
      <c r="C977"/>
      <c r="D977"/>
      <c r="E977"/>
      <c r="F977"/>
      <c r="G977"/>
      <c r="H977"/>
      <c r="I977"/>
      <c r="J977"/>
      <c r="K977"/>
      <c r="L977"/>
    </row>
    <row r="978" spans="1:12" ht="15" x14ac:dyDescent="0.25">
      <c r="A978"/>
      <c r="B978"/>
      <c r="C978"/>
      <c r="D978"/>
      <c r="E978"/>
      <c r="F978"/>
      <c r="G978"/>
      <c r="H978"/>
      <c r="I978"/>
      <c r="J978"/>
      <c r="K978"/>
      <c r="L978"/>
    </row>
    <row r="979" spans="1:12" ht="15" x14ac:dyDescent="0.25">
      <c r="A979"/>
      <c r="B979"/>
      <c r="C979"/>
      <c r="D979"/>
      <c r="E979"/>
      <c r="F979"/>
      <c r="G979"/>
      <c r="H979"/>
      <c r="I979"/>
      <c r="J979"/>
      <c r="K979"/>
      <c r="L979"/>
    </row>
    <row r="980" spans="1:12" ht="15" x14ac:dyDescent="0.25">
      <c r="A980"/>
      <c r="B980"/>
      <c r="C980"/>
      <c r="D980"/>
      <c r="E980"/>
      <c r="F980"/>
      <c r="G980"/>
      <c r="H980"/>
      <c r="I980"/>
      <c r="J980"/>
      <c r="K980"/>
      <c r="L980"/>
    </row>
    <row r="981" spans="1:12" ht="15" x14ac:dyDescent="0.25">
      <c r="A981"/>
      <c r="B981"/>
      <c r="C981"/>
      <c r="D981"/>
      <c r="E981"/>
      <c r="F981"/>
      <c r="G981"/>
      <c r="H981"/>
      <c r="I981"/>
      <c r="J981"/>
      <c r="K981"/>
      <c r="L981"/>
    </row>
    <row r="982" spans="1:12" ht="15" x14ac:dyDescent="0.25">
      <c r="A982"/>
      <c r="B982"/>
      <c r="C982"/>
      <c r="D982"/>
      <c r="E982"/>
      <c r="F982"/>
      <c r="G982"/>
      <c r="H982"/>
      <c r="I982"/>
      <c r="J982"/>
      <c r="K982"/>
      <c r="L982"/>
    </row>
    <row r="983" spans="1:12" ht="15" x14ac:dyDescent="0.25">
      <c r="A983"/>
      <c r="B983"/>
      <c r="C983"/>
      <c r="D983"/>
      <c r="E983"/>
      <c r="F983"/>
      <c r="G983"/>
      <c r="H983"/>
      <c r="I983"/>
      <c r="J983"/>
      <c r="K983"/>
      <c r="L983"/>
    </row>
    <row r="984" spans="1:12" ht="15" x14ac:dyDescent="0.25">
      <c r="A984"/>
      <c r="B984"/>
      <c r="C984"/>
      <c r="D984"/>
      <c r="E984"/>
      <c r="F984"/>
      <c r="G984"/>
      <c r="H984"/>
      <c r="I984"/>
      <c r="J984"/>
      <c r="K984"/>
      <c r="L984"/>
    </row>
    <row r="985" spans="1:12" ht="15" x14ac:dyDescent="0.25">
      <c r="A985"/>
      <c r="B985"/>
      <c r="C985"/>
      <c r="D985"/>
      <c r="E985"/>
      <c r="F985"/>
      <c r="G985"/>
      <c r="H985"/>
      <c r="I985"/>
      <c r="J985"/>
      <c r="K985"/>
      <c r="L985"/>
    </row>
    <row r="986" spans="1:12" ht="15" x14ac:dyDescent="0.25">
      <c r="A986"/>
      <c r="B986"/>
      <c r="C986"/>
      <c r="D986"/>
      <c r="E986"/>
      <c r="F986"/>
      <c r="G986"/>
      <c r="H986"/>
      <c r="I986"/>
      <c r="J986"/>
      <c r="K986"/>
      <c r="L986"/>
    </row>
    <row r="987" spans="1:12" ht="15" x14ac:dyDescent="0.25">
      <c r="A987"/>
      <c r="B987"/>
      <c r="C987"/>
      <c r="D987"/>
      <c r="E987"/>
      <c r="F987"/>
      <c r="G987"/>
      <c r="H987"/>
      <c r="I987"/>
      <c r="J987"/>
      <c r="K987"/>
      <c r="L987"/>
    </row>
    <row r="988" spans="1:12" ht="15" x14ac:dyDescent="0.25">
      <c r="A988"/>
      <c r="B988"/>
      <c r="C988"/>
      <c r="D988"/>
      <c r="E988"/>
      <c r="F988"/>
      <c r="G988"/>
      <c r="H988"/>
      <c r="I988"/>
      <c r="J988"/>
      <c r="K988"/>
      <c r="L988"/>
    </row>
    <row r="989" spans="1:12" ht="15" x14ac:dyDescent="0.25">
      <c r="A989"/>
      <c r="B989"/>
      <c r="C989"/>
      <c r="D989"/>
      <c r="E989"/>
      <c r="F989"/>
      <c r="G989"/>
      <c r="H989"/>
      <c r="I989"/>
      <c r="J989"/>
      <c r="K989"/>
      <c r="L989"/>
    </row>
    <row r="990" spans="1:12" ht="15" x14ac:dyDescent="0.25">
      <c r="A990"/>
      <c r="B990"/>
      <c r="C990"/>
      <c r="D990"/>
      <c r="E990"/>
      <c r="F990"/>
      <c r="G990"/>
      <c r="H990"/>
      <c r="I990"/>
      <c r="J990"/>
      <c r="K990"/>
      <c r="L990"/>
    </row>
    <row r="991" spans="1:12" ht="15" x14ac:dyDescent="0.25">
      <c r="A991"/>
      <c r="B991"/>
      <c r="C991"/>
      <c r="D991"/>
      <c r="E991"/>
      <c r="F991"/>
      <c r="G991"/>
      <c r="H991"/>
      <c r="I991"/>
      <c r="J991"/>
      <c r="K991"/>
      <c r="L991"/>
    </row>
    <row r="992" spans="1:12" ht="15" x14ac:dyDescent="0.25">
      <c r="A992"/>
      <c r="B992"/>
      <c r="C992"/>
      <c r="D992"/>
      <c r="E992"/>
      <c r="F992"/>
      <c r="G992"/>
      <c r="H992"/>
      <c r="I992"/>
      <c r="J992"/>
      <c r="K992"/>
      <c r="L992"/>
    </row>
    <row r="993" spans="1:12" ht="15" x14ac:dyDescent="0.25">
      <c r="A993"/>
      <c r="B993"/>
      <c r="C993"/>
      <c r="D993"/>
      <c r="E993"/>
      <c r="F993"/>
      <c r="G993"/>
      <c r="H993"/>
      <c r="I993"/>
      <c r="J993"/>
      <c r="K993"/>
      <c r="L993"/>
    </row>
    <row r="994" spans="1:12" ht="15" x14ac:dyDescent="0.25">
      <c r="A994"/>
      <c r="B994"/>
      <c r="C994"/>
      <c r="D994"/>
      <c r="E994"/>
      <c r="F994"/>
      <c r="G994"/>
      <c r="H994"/>
      <c r="I994"/>
      <c r="J994"/>
      <c r="K994"/>
      <c r="L994"/>
    </row>
    <row r="995" spans="1:12" ht="15" x14ac:dyDescent="0.25">
      <c r="A995"/>
      <c r="B995"/>
      <c r="C995"/>
      <c r="D995"/>
      <c r="E995"/>
      <c r="F995"/>
      <c r="G995"/>
      <c r="H995"/>
      <c r="I995"/>
      <c r="J995"/>
      <c r="K995"/>
      <c r="L995"/>
    </row>
    <row r="996" spans="1:12" ht="15" x14ac:dyDescent="0.25">
      <c r="A996"/>
      <c r="B996"/>
      <c r="C996"/>
      <c r="D996"/>
      <c r="E996"/>
      <c r="F996"/>
      <c r="G996"/>
      <c r="H996"/>
      <c r="I996"/>
      <c r="J996"/>
      <c r="K996"/>
      <c r="L996"/>
    </row>
    <row r="997" spans="1:12" ht="15" x14ac:dyDescent="0.25">
      <c r="A997"/>
      <c r="B997"/>
      <c r="C997"/>
      <c r="D997"/>
      <c r="E997"/>
      <c r="F997"/>
      <c r="G997"/>
      <c r="H997"/>
      <c r="I997"/>
      <c r="J997"/>
      <c r="K997"/>
      <c r="L997"/>
    </row>
    <row r="998" spans="1:12" ht="15" x14ac:dyDescent="0.25">
      <c r="A998"/>
      <c r="B998"/>
      <c r="C998"/>
      <c r="D998"/>
      <c r="E998"/>
      <c r="F998"/>
      <c r="G998"/>
      <c r="H998"/>
      <c r="I998"/>
      <c r="J998"/>
      <c r="K998"/>
      <c r="L998"/>
    </row>
    <row r="999" spans="1:12" ht="15" x14ac:dyDescent="0.25">
      <c r="A999"/>
      <c r="B999"/>
      <c r="C999"/>
      <c r="D999"/>
      <c r="E999"/>
      <c r="F999"/>
      <c r="G999"/>
      <c r="H999"/>
      <c r="I999"/>
      <c r="J999"/>
      <c r="K999"/>
      <c r="L999"/>
    </row>
    <row r="1000" spans="1:12" ht="15" x14ac:dyDescent="0.25">
      <c r="A1000"/>
      <c r="B1000"/>
      <c r="C1000"/>
      <c r="D1000"/>
      <c r="E1000"/>
      <c r="F1000"/>
      <c r="G1000"/>
      <c r="H1000"/>
      <c r="I1000"/>
      <c r="J1000"/>
      <c r="K1000"/>
      <c r="L1000"/>
    </row>
    <row r="1001" spans="1:12" ht="15" x14ac:dyDescent="0.25">
      <c r="A1001"/>
      <c r="B1001"/>
      <c r="C1001"/>
      <c r="D1001"/>
      <c r="E1001"/>
      <c r="F1001"/>
      <c r="G1001"/>
      <c r="H1001"/>
      <c r="I1001"/>
      <c r="J1001"/>
      <c r="K1001"/>
      <c r="L1001"/>
    </row>
    <row r="1002" spans="1:12" ht="15" x14ac:dyDescent="0.25">
      <c r="A1002"/>
      <c r="B1002"/>
      <c r="C1002"/>
      <c r="D1002"/>
      <c r="E1002"/>
      <c r="F1002"/>
      <c r="G1002"/>
      <c r="H1002"/>
      <c r="I1002"/>
      <c r="J1002"/>
      <c r="K1002"/>
      <c r="L1002"/>
    </row>
    <row r="1003" spans="1:12" ht="15" x14ac:dyDescent="0.25">
      <c r="A1003"/>
      <c r="B1003"/>
      <c r="C1003"/>
      <c r="D1003"/>
      <c r="E1003"/>
      <c r="F1003"/>
      <c r="G1003"/>
      <c r="H1003"/>
      <c r="I1003"/>
      <c r="J1003"/>
      <c r="K1003"/>
      <c r="L1003"/>
    </row>
    <row r="1004" spans="1:12" ht="15" x14ac:dyDescent="0.25">
      <c r="A1004"/>
      <c r="B1004"/>
      <c r="C1004"/>
      <c r="D1004"/>
      <c r="E1004"/>
      <c r="F1004"/>
      <c r="G1004"/>
      <c r="H1004"/>
      <c r="I1004"/>
      <c r="J1004"/>
      <c r="K1004"/>
      <c r="L1004"/>
    </row>
    <row r="1005" spans="1:12" ht="15" x14ac:dyDescent="0.25">
      <c r="A1005"/>
      <c r="B1005"/>
      <c r="C1005"/>
      <c r="D1005"/>
      <c r="E1005"/>
      <c r="F1005"/>
      <c r="G1005"/>
      <c r="H1005"/>
      <c r="I1005"/>
      <c r="J1005"/>
      <c r="K1005"/>
      <c r="L1005"/>
    </row>
    <row r="1006" spans="1:12" ht="15" x14ac:dyDescent="0.25">
      <c r="A1006"/>
      <c r="B1006"/>
      <c r="C1006"/>
      <c r="D1006"/>
      <c r="E1006"/>
      <c r="F1006"/>
      <c r="G1006"/>
      <c r="H1006"/>
      <c r="I1006"/>
      <c r="J1006"/>
      <c r="K1006"/>
      <c r="L1006"/>
    </row>
    <row r="1007" spans="1:12" ht="15" x14ac:dyDescent="0.25">
      <c r="A1007"/>
      <c r="B1007"/>
      <c r="C1007"/>
      <c r="D1007"/>
      <c r="E1007"/>
      <c r="F1007"/>
      <c r="G1007"/>
      <c r="H1007"/>
      <c r="I1007"/>
      <c r="J1007"/>
      <c r="K1007"/>
      <c r="L1007"/>
    </row>
    <row r="1008" spans="1:12" ht="15" x14ac:dyDescent="0.25">
      <c r="A1008"/>
      <c r="B1008"/>
      <c r="C1008"/>
      <c r="D1008"/>
      <c r="E1008"/>
      <c r="F1008"/>
      <c r="G1008"/>
      <c r="H1008"/>
      <c r="I1008"/>
      <c r="J1008"/>
      <c r="K1008"/>
      <c r="L1008"/>
    </row>
    <row r="1009" spans="1:12" ht="15" x14ac:dyDescent="0.25">
      <c r="A1009"/>
      <c r="B1009"/>
      <c r="C1009"/>
      <c r="D1009"/>
      <c r="E1009"/>
      <c r="F1009"/>
      <c r="G1009"/>
      <c r="H1009"/>
      <c r="I1009"/>
      <c r="J1009"/>
      <c r="K1009"/>
      <c r="L1009"/>
    </row>
    <row r="1010" spans="1:12" ht="15" x14ac:dyDescent="0.25">
      <c r="A1010"/>
      <c r="B1010"/>
      <c r="C1010"/>
      <c r="D1010"/>
      <c r="E1010"/>
      <c r="F1010"/>
      <c r="G1010"/>
      <c r="H1010"/>
      <c r="I1010"/>
      <c r="J1010"/>
      <c r="K1010"/>
      <c r="L1010"/>
    </row>
    <row r="1011" spans="1:12" ht="15" x14ac:dyDescent="0.25">
      <c r="A1011"/>
      <c r="B1011"/>
      <c r="C1011"/>
      <c r="D1011"/>
      <c r="E1011"/>
      <c r="F1011"/>
      <c r="G1011"/>
      <c r="H1011"/>
      <c r="I1011"/>
      <c r="J1011"/>
      <c r="K1011"/>
      <c r="L1011"/>
    </row>
    <row r="1012" spans="1:12" ht="15" x14ac:dyDescent="0.25">
      <c r="A1012"/>
      <c r="B1012"/>
      <c r="C1012"/>
      <c r="D1012"/>
      <c r="E1012"/>
      <c r="F1012"/>
      <c r="G1012"/>
      <c r="H1012"/>
      <c r="I1012"/>
      <c r="J1012"/>
      <c r="K1012"/>
      <c r="L1012"/>
    </row>
    <row r="1013" spans="1:12" ht="15" x14ac:dyDescent="0.25">
      <c r="A1013"/>
      <c r="B1013"/>
      <c r="C1013"/>
      <c r="D1013"/>
      <c r="E1013"/>
      <c r="F1013"/>
      <c r="G1013"/>
      <c r="H1013"/>
      <c r="I1013"/>
      <c r="J1013"/>
      <c r="K1013"/>
      <c r="L1013"/>
    </row>
    <row r="1014" spans="1:12" ht="15" x14ac:dyDescent="0.25">
      <c r="A1014"/>
      <c r="B1014"/>
      <c r="C1014"/>
      <c r="D1014"/>
      <c r="E1014"/>
      <c r="F1014"/>
      <c r="G1014"/>
      <c r="H1014"/>
      <c r="I1014"/>
      <c r="J1014"/>
      <c r="K1014"/>
      <c r="L1014"/>
    </row>
    <row r="1015" spans="1:12" ht="15" x14ac:dyDescent="0.25">
      <c r="A1015"/>
      <c r="B1015"/>
      <c r="C1015"/>
      <c r="D1015"/>
      <c r="E1015"/>
      <c r="F1015"/>
      <c r="G1015"/>
      <c r="H1015"/>
      <c r="I1015"/>
      <c r="J1015"/>
      <c r="K1015"/>
      <c r="L1015"/>
    </row>
    <row r="1016" spans="1:12" ht="15" x14ac:dyDescent="0.25">
      <c r="A1016"/>
      <c r="B1016"/>
      <c r="C1016"/>
      <c r="D1016"/>
      <c r="E1016"/>
      <c r="F1016"/>
      <c r="G1016"/>
      <c r="H1016"/>
      <c r="I1016"/>
      <c r="J1016"/>
      <c r="K1016"/>
      <c r="L1016"/>
    </row>
    <row r="1017" spans="1:12" ht="15" x14ac:dyDescent="0.25">
      <c r="A1017"/>
      <c r="B1017"/>
      <c r="C1017"/>
      <c r="D1017"/>
      <c r="E1017"/>
      <c r="F1017"/>
      <c r="G1017"/>
      <c r="H1017"/>
      <c r="I1017"/>
      <c r="J1017"/>
      <c r="K1017"/>
      <c r="L1017"/>
    </row>
    <row r="1018" spans="1:12" ht="15" x14ac:dyDescent="0.25">
      <c r="A1018"/>
      <c r="B1018"/>
      <c r="C1018"/>
      <c r="D1018"/>
      <c r="E1018"/>
      <c r="F1018"/>
      <c r="G1018"/>
      <c r="H1018"/>
      <c r="I1018"/>
      <c r="J1018"/>
      <c r="K1018"/>
      <c r="L1018"/>
    </row>
    <row r="1019" spans="1:12" ht="15" x14ac:dyDescent="0.25">
      <c r="A1019"/>
      <c r="B1019"/>
      <c r="C1019"/>
      <c r="D1019"/>
      <c r="E1019"/>
      <c r="F1019"/>
      <c r="G1019"/>
      <c r="H1019"/>
      <c r="I1019"/>
      <c r="J1019"/>
      <c r="K1019"/>
      <c r="L1019"/>
    </row>
    <row r="1020" spans="1:12" ht="15" x14ac:dyDescent="0.25">
      <c r="A1020"/>
      <c r="B1020"/>
      <c r="C1020"/>
      <c r="D1020"/>
      <c r="E1020"/>
      <c r="F1020"/>
      <c r="G1020"/>
      <c r="H1020"/>
      <c r="I1020"/>
      <c r="J1020"/>
      <c r="K1020"/>
      <c r="L1020"/>
    </row>
    <row r="1021" spans="1:12" ht="15" x14ac:dyDescent="0.25">
      <c r="A1021"/>
      <c r="B1021"/>
      <c r="C1021"/>
      <c r="D1021"/>
      <c r="E1021"/>
      <c r="F1021"/>
      <c r="G1021"/>
      <c r="H1021"/>
      <c r="I1021"/>
      <c r="J1021"/>
      <c r="K1021"/>
      <c r="L1021"/>
    </row>
    <row r="1022" spans="1:12" ht="15" x14ac:dyDescent="0.25">
      <c r="A1022"/>
      <c r="B1022"/>
      <c r="C1022"/>
      <c r="D1022"/>
      <c r="E1022"/>
      <c r="F1022"/>
      <c r="G1022"/>
      <c r="H1022"/>
      <c r="I1022"/>
      <c r="J1022"/>
      <c r="K1022"/>
      <c r="L1022"/>
    </row>
    <row r="1023" spans="1:12" ht="15" x14ac:dyDescent="0.25">
      <c r="A1023"/>
      <c r="B1023"/>
      <c r="C1023"/>
      <c r="D1023"/>
      <c r="E1023"/>
      <c r="F1023"/>
      <c r="G1023"/>
      <c r="H1023"/>
      <c r="I1023"/>
      <c r="J1023"/>
      <c r="K1023"/>
      <c r="L1023"/>
    </row>
    <row r="1024" spans="1:12" ht="15" x14ac:dyDescent="0.25">
      <c r="A1024"/>
      <c r="B1024"/>
      <c r="C1024"/>
      <c r="D1024"/>
      <c r="E1024"/>
      <c r="F1024"/>
      <c r="G1024"/>
      <c r="H1024"/>
      <c r="I1024"/>
      <c r="J1024"/>
      <c r="K1024"/>
      <c r="L1024"/>
    </row>
    <row r="1025" spans="1:12" ht="15" x14ac:dyDescent="0.25">
      <c r="A1025"/>
      <c r="B1025"/>
      <c r="C1025"/>
      <c r="D1025"/>
      <c r="E1025"/>
      <c r="F1025"/>
      <c r="G1025"/>
      <c r="H1025"/>
      <c r="I1025"/>
      <c r="J1025"/>
      <c r="K1025"/>
      <c r="L1025"/>
    </row>
    <row r="1026" spans="1:12" ht="15" x14ac:dyDescent="0.25">
      <c r="A1026"/>
      <c r="B1026"/>
      <c r="C1026"/>
      <c r="D1026"/>
      <c r="E1026"/>
      <c r="F1026"/>
      <c r="G1026"/>
      <c r="H1026"/>
      <c r="I1026"/>
      <c r="J1026"/>
      <c r="K1026"/>
      <c r="L1026"/>
    </row>
    <row r="1027" spans="1:12" ht="15" x14ac:dyDescent="0.25">
      <c r="A1027"/>
      <c r="B1027"/>
      <c r="C1027"/>
      <c r="D1027"/>
      <c r="E1027"/>
      <c r="F1027"/>
      <c r="G1027"/>
      <c r="H1027"/>
      <c r="I1027"/>
      <c r="J1027"/>
      <c r="K1027"/>
      <c r="L1027"/>
    </row>
    <row r="1028" spans="1:12" ht="15" x14ac:dyDescent="0.25">
      <c r="A1028"/>
      <c r="B1028"/>
      <c r="C1028"/>
      <c r="D1028"/>
      <c r="E1028"/>
      <c r="F1028"/>
      <c r="G1028"/>
      <c r="H1028"/>
      <c r="I1028"/>
      <c r="J1028"/>
      <c r="K1028"/>
      <c r="L1028"/>
    </row>
    <row r="1029" spans="1:12" ht="15" x14ac:dyDescent="0.25">
      <c r="A1029"/>
      <c r="B1029"/>
      <c r="C1029"/>
      <c r="D1029"/>
      <c r="E1029"/>
      <c r="F1029"/>
      <c r="G1029"/>
      <c r="H1029"/>
      <c r="I1029"/>
      <c r="J1029"/>
      <c r="K1029"/>
      <c r="L1029"/>
    </row>
    <row r="1030" spans="1:12" ht="15" x14ac:dyDescent="0.25">
      <c r="A1030"/>
      <c r="B1030"/>
      <c r="C1030"/>
      <c r="D1030"/>
      <c r="E1030"/>
      <c r="F1030"/>
      <c r="G1030"/>
      <c r="H1030"/>
      <c r="I1030"/>
      <c r="J1030"/>
      <c r="K1030"/>
      <c r="L1030"/>
    </row>
    <row r="1031" spans="1:12" ht="15" x14ac:dyDescent="0.25">
      <c r="A1031"/>
      <c r="B1031"/>
      <c r="C1031"/>
      <c r="D1031"/>
      <c r="E1031"/>
      <c r="F1031"/>
      <c r="G1031"/>
      <c r="H1031"/>
      <c r="I1031"/>
      <c r="J1031"/>
      <c r="K1031"/>
      <c r="L1031"/>
    </row>
    <row r="1032" spans="1:12" ht="15" x14ac:dyDescent="0.25">
      <c r="A1032"/>
      <c r="B1032"/>
      <c r="C1032"/>
      <c r="D1032"/>
      <c r="E1032"/>
      <c r="F1032"/>
      <c r="G1032"/>
      <c r="H1032"/>
      <c r="I1032"/>
      <c r="J1032"/>
      <c r="K1032"/>
      <c r="L1032"/>
    </row>
    <row r="1033" spans="1:12" ht="15" x14ac:dyDescent="0.25">
      <c r="A1033"/>
      <c r="B1033"/>
      <c r="C1033"/>
      <c r="D1033"/>
      <c r="E1033"/>
      <c r="F1033"/>
      <c r="G1033"/>
      <c r="H1033"/>
      <c r="I1033"/>
      <c r="J1033"/>
      <c r="K1033"/>
      <c r="L1033"/>
    </row>
    <row r="1034" spans="1:12" ht="15" x14ac:dyDescent="0.25">
      <c r="A1034"/>
      <c r="B1034"/>
      <c r="C1034"/>
      <c r="D1034"/>
      <c r="E1034"/>
      <c r="F1034"/>
      <c r="G1034"/>
      <c r="H1034"/>
      <c r="I1034"/>
      <c r="J1034"/>
      <c r="K1034"/>
      <c r="L1034"/>
    </row>
    <row r="1035" spans="1:12" ht="15" x14ac:dyDescent="0.25">
      <c r="A1035"/>
      <c r="B1035"/>
      <c r="C1035"/>
      <c r="D1035"/>
      <c r="E1035"/>
      <c r="F1035"/>
      <c r="G1035"/>
      <c r="H1035"/>
      <c r="I1035"/>
      <c r="J1035"/>
      <c r="K1035"/>
      <c r="L1035"/>
    </row>
    <row r="1036" spans="1:12" ht="15" x14ac:dyDescent="0.25">
      <c r="A1036"/>
      <c r="B1036"/>
      <c r="C1036"/>
      <c r="D1036"/>
      <c r="E1036"/>
      <c r="F1036"/>
      <c r="G1036"/>
      <c r="H1036"/>
      <c r="I1036"/>
      <c r="J1036"/>
      <c r="K1036"/>
      <c r="L1036"/>
    </row>
    <row r="1037" spans="1:12" ht="15" x14ac:dyDescent="0.25">
      <c r="A1037"/>
      <c r="B1037"/>
      <c r="C1037"/>
      <c r="D1037"/>
      <c r="E1037"/>
      <c r="F1037"/>
      <c r="G1037"/>
      <c r="H1037"/>
      <c r="I1037"/>
      <c r="J1037"/>
      <c r="K1037"/>
      <c r="L1037"/>
    </row>
    <row r="1038" spans="1:12" ht="15" x14ac:dyDescent="0.25">
      <c r="A1038"/>
      <c r="B1038"/>
      <c r="C1038"/>
      <c r="D1038"/>
      <c r="E1038"/>
      <c r="F1038"/>
      <c r="G1038"/>
      <c r="H1038"/>
      <c r="I1038"/>
      <c r="J1038"/>
      <c r="K1038"/>
      <c r="L1038"/>
    </row>
    <row r="1039" spans="1:12" ht="15" x14ac:dyDescent="0.25">
      <c r="A1039"/>
      <c r="B1039"/>
      <c r="C1039"/>
      <c r="D1039"/>
      <c r="E1039"/>
      <c r="F1039"/>
      <c r="G1039"/>
      <c r="H1039"/>
      <c r="I1039"/>
      <c r="J1039"/>
      <c r="K1039"/>
      <c r="L1039"/>
    </row>
    <row r="1040" spans="1:12" ht="15" x14ac:dyDescent="0.25">
      <c r="A1040"/>
      <c r="B1040"/>
      <c r="C1040"/>
      <c r="D1040"/>
      <c r="E1040"/>
      <c r="F1040"/>
      <c r="G1040"/>
      <c r="H1040"/>
      <c r="I1040"/>
      <c r="J1040"/>
      <c r="K1040"/>
      <c r="L1040"/>
    </row>
    <row r="1041" spans="1:12" ht="15" x14ac:dyDescent="0.25">
      <c r="A1041"/>
      <c r="B1041"/>
      <c r="C1041"/>
      <c r="D1041"/>
      <c r="E1041"/>
      <c r="F1041"/>
      <c r="G1041"/>
      <c r="H1041"/>
      <c r="I1041"/>
      <c r="J1041"/>
      <c r="K1041"/>
      <c r="L1041"/>
    </row>
    <row r="1042" spans="1:12" ht="15" x14ac:dyDescent="0.25">
      <c r="A1042"/>
      <c r="B1042"/>
      <c r="C1042"/>
      <c r="D1042"/>
      <c r="E1042"/>
      <c r="F1042"/>
      <c r="G1042"/>
      <c r="H1042"/>
      <c r="I1042"/>
      <c r="J1042"/>
      <c r="K1042"/>
      <c r="L1042"/>
    </row>
    <row r="1043" spans="1:12" ht="15" x14ac:dyDescent="0.25">
      <c r="A1043"/>
      <c r="B1043"/>
      <c r="C1043"/>
      <c r="D1043"/>
      <c r="E1043"/>
      <c r="F1043"/>
      <c r="G1043"/>
      <c r="H1043"/>
      <c r="I1043"/>
      <c r="J1043"/>
      <c r="K1043"/>
      <c r="L1043"/>
    </row>
    <row r="1044" spans="1:12" ht="15" x14ac:dyDescent="0.25">
      <c r="A1044"/>
      <c r="B1044"/>
      <c r="C1044"/>
      <c r="D1044"/>
      <c r="E1044"/>
      <c r="F1044"/>
      <c r="G1044"/>
      <c r="H1044"/>
      <c r="I1044"/>
      <c r="J1044"/>
      <c r="K1044"/>
      <c r="L1044"/>
    </row>
    <row r="1045" spans="1:12" ht="15" x14ac:dyDescent="0.25">
      <c r="A1045"/>
      <c r="B1045"/>
      <c r="C1045"/>
      <c r="D1045"/>
      <c r="E1045"/>
      <c r="F1045"/>
      <c r="G1045"/>
      <c r="H1045"/>
      <c r="I1045"/>
      <c r="J1045"/>
      <c r="K1045"/>
      <c r="L1045"/>
    </row>
    <row r="1046" spans="1:12" ht="15" x14ac:dyDescent="0.25">
      <c r="A1046"/>
      <c r="B1046"/>
      <c r="C1046"/>
      <c r="D1046"/>
      <c r="E1046"/>
      <c r="F1046"/>
      <c r="G1046"/>
      <c r="H1046"/>
      <c r="I1046"/>
      <c r="J1046"/>
      <c r="K1046"/>
      <c r="L1046"/>
    </row>
    <row r="1047" spans="1:12" ht="15" x14ac:dyDescent="0.25">
      <c r="A1047"/>
      <c r="B1047"/>
      <c r="C1047"/>
      <c r="D1047"/>
      <c r="E1047"/>
      <c r="F1047"/>
      <c r="G1047"/>
      <c r="H1047"/>
      <c r="I1047"/>
      <c r="J1047"/>
      <c r="K1047"/>
      <c r="L1047"/>
    </row>
    <row r="1048" spans="1:12" ht="15" x14ac:dyDescent="0.25">
      <c r="A1048"/>
      <c r="B1048"/>
      <c r="C1048"/>
      <c r="D1048"/>
      <c r="E1048"/>
      <c r="F1048"/>
      <c r="G1048"/>
      <c r="H1048"/>
      <c r="I1048"/>
      <c r="J1048"/>
      <c r="K1048"/>
      <c r="L1048"/>
    </row>
    <row r="1049" spans="1:12" ht="15" x14ac:dyDescent="0.25">
      <c r="A1049"/>
      <c r="B1049"/>
      <c r="C1049"/>
      <c r="D1049"/>
      <c r="E1049"/>
      <c r="F1049"/>
      <c r="G1049"/>
      <c r="H1049"/>
      <c r="I1049"/>
      <c r="J1049"/>
      <c r="K1049"/>
      <c r="L1049"/>
    </row>
    <row r="1050" spans="1:12" ht="15" x14ac:dyDescent="0.25">
      <c r="A1050"/>
      <c r="B1050"/>
      <c r="C1050"/>
      <c r="D1050"/>
      <c r="E1050"/>
      <c r="F1050"/>
      <c r="G1050"/>
      <c r="H1050"/>
      <c r="I1050"/>
      <c r="J1050"/>
      <c r="K1050"/>
      <c r="L1050"/>
    </row>
    <row r="1051" spans="1:12" ht="15" x14ac:dyDescent="0.25">
      <c r="A1051"/>
      <c r="B1051"/>
      <c r="C1051"/>
      <c r="D1051"/>
      <c r="E1051"/>
      <c r="F1051"/>
      <c r="G1051"/>
      <c r="H1051"/>
      <c r="I1051"/>
      <c r="J1051"/>
      <c r="K1051"/>
      <c r="L1051"/>
    </row>
    <row r="1052" spans="1:12" ht="15" x14ac:dyDescent="0.25">
      <c r="A1052"/>
      <c r="B1052"/>
      <c r="C1052"/>
      <c r="D1052"/>
      <c r="E1052"/>
      <c r="F1052"/>
      <c r="G1052"/>
      <c r="H1052"/>
      <c r="I1052"/>
      <c r="J1052"/>
      <c r="K1052"/>
      <c r="L1052"/>
    </row>
    <row r="1053" spans="1:12" ht="15" x14ac:dyDescent="0.25">
      <c r="A1053"/>
      <c r="B1053"/>
      <c r="C1053"/>
      <c r="D1053"/>
      <c r="E1053"/>
      <c r="F1053"/>
      <c r="G1053"/>
      <c r="H1053"/>
      <c r="I1053"/>
      <c r="J1053"/>
      <c r="K1053"/>
      <c r="L1053"/>
    </row>
    <row r="1054" spans="1:12" ht="15" x14ac:dyDescent="0.25">
      <c r="A1054"/>
      <c r="B1054"/>
      <c r="C1054"/>
      <c r="D1054"/>
      <c r="E1054"/>
      <c r="F1054"/>
      <c r="G1054"/>
      <c r="H1054"/>
      <c r="I1054"/>
      <c r="J1054"/>
      <c r="K1054"/>
      <c r="L1054"/>
    </row>
    <row r="1055" spans="1:12" ht="15" x14ac:dyDescent="0.25">
      <c r="A1055"/>
      <c r="B1055"/>
      <c r="C1055"/>
      <c r="D1055"/>
      <c r="E1055"/>
      <c r="F1055"/>
      <c r="G1055"/>
      <c r="H1055"/>
      <c r="I1055"/>
      <c r="J1055"/>
      <c r="K1055"/>
      <c r="L1055"/>
    </row>
    <row r="1056" spans="1:12" ht="15" x14ac:dyDescent="0.25">
      <c r="A1056"/>
      <c r="B1056"/>
      <c r="C1056"/>
      <c r="D1056"/>
      <c r="E1056"/>
      <c r="F1056"/>
      <c r="G1056"/>
      <c r="H1056"/>
      <c r="I1056"/>
      <c r="J1056"/>
      <c r="K1056"/>
      <c r="L1056"/>
    </row>
    <row r="1057" spans="1:12" ht="15" x14ac:dyDescent="0.25">
      <c r="A1057"/>
      <c r="B1057"/>
      <c r="C1057"/>
      <c r="D1057"/>
      <c r="E1057"/>
      <c r="F1057"/>
      <c r="G1057"/>
      <c r="H1057"/>
      <c r="I1057"/>
      <c r="J1057"/>
      <c r="K1057"/>
      <c r="L1057"/>
    </row>
    <row r="1058" spans="1:12" ht="15" x14ac:dyDescent="0.25">
      <c r="A1058"/>
      <c r="B1058"/>
      <c r="C1058"/>
      <c r="D1058"/>
      <c r="E1058"/>
      <c r="F1058"/>
      <c r="G1058"/>
      <c r="H1058"/>
      <c r="I1058"/>
      <c r="J1058"/>
      <c r="K1058"/>
      <c r="L1058"/>
    </row>
    <row r="1059" spans="1:12" ht="15" x14ac:dyDescent="0.25">
      <c r="A1059"/>
      <c r="B1059"/>
      <c r="C1059"/>
      <c r="D1059"/>
      <c r="E1059"/>
      <c r="F1059"/>
      <c r="G1059"/>
      <c r="H1059"/>
      <c r="I1059"/>
      <c r="J1059"/>
      <c r="K1059"/>
      <c r="L1059"/>
    </row>
    <row r="1060" spans="1:12" ht="15" x14ac:dyDescent="0.25">
      <c r="A1060"/>
      <c r="B1060"/>
      <c r="C1060"/>
      <c r="D1060"/>
      <c r="E1060"/>
      <c r="F1060"/>
      <c r="G1060"/>
      <c r="H1060"/>
      <c r="I1060"/>
      <c r="J1060"/>
      <c r="K1060"/>
      <c r="L1060"/>
    </row>
    <row r="1061" spans="1:12" ht="15" x14ac:dyDescent="0.25">
      <c r="A1061"/>
      <c r="B1061"/>
      <c r="C1061"/>
      <c r="D1061"/>
      <c r="E1061"/>
      <c r="F1061"/>
      <c r="G1061"/>
      <c r="H1061"/>
      <c r="I1061"/>
      <c r="J1061"/>
      <c r="K1061"/>
      <c r="L1061"/>
    </row>
    <row r="1062" spans="1:12" ht="15" x14ac:dyDescent="0.25">
      <c r="A1062"/>
      <c r="B1062"/>
      <c r="C1062"/>
      <c r="D1062"/>
      <c r="E1062"/>
      <c r="F1062"/>
      <c r="G1062"/>
      <c r="H1062"/>
      <c r="I1062"/>
      <c r="J1062"/>
      <c r="K1062"/>
      <c r="L1062"/>
    </row>
    <row r="1063" spans="1:12" ht="15" x14ac:dyDescent="0.25">
      <c r="A1063"/>
      <c r="B1063"/>
      <c r="C1063"/>
      <c r="D1063"/>
      <c r="E1063"/>
      <c r="F1063"/>
      <c r="G1063"/>
      <c r="H1063"/>
      <c r="I1063"/>
      <c r="J1063"/>
      <c r="K1063"/>
      <c r="L1063"/>
    </row>
    <row r="1064" spans="1:12" ht="15" x14ac:dyDescent="0.25">
      <c r="A1064"/>
      <c r="B1064"/>
      <c r="C1064"/>
      <c r="D1064"/>
      <c r="E1064"/>
      <c r="F1064"/>
      <c r="G1064"/>
      <c r="H1064"/>
      <c r="I1064"/>
      <c r="J1064"/>
      <c r="K1064"/>
      <c r="L1064"/>
    </row>
    <row r="1065" spans="1:12" ht="15" x14ac:dyDescent="0.25">
      <c r="A1065"/>
      <c r="B1065"/>
      <c r="C1065"/>
      <c r="D1065"/>
      <c r="E1065"/>
      <c r="F1065"/>
      <c r="G1065"/>
      <c r="H1065"/>
      <c r="I1065"/>
      <c r="J1065"/>
      <c r="K1065"/>
      <c r="L1065"/>
    </row>
    <row r="1066" spans="1:12" ht="15" x14ac:dyDescent="0.25">
      <c r="A1066"/>
      <c r="B1066"/>
      <c r="C1066"/>
      <c r="D1066"/>
      <c r="E1066"/>
      <c r="F1066"/>
      <c r="G1066"/>
      <c r="H1066"/>
      <c r="I1066"/>
      <c r="J1066"/>
      <c r="K1066"/>
      <c r="L1066"/>
    </row>
    <row r="1067" spans="1:12" ht="15" x14ac:dyDescent="0.25">
      <c r="A1067"/>
      <c r="B1067"/>
      <c r="C1067"/>
      <c r="D1067"/>
      <c r="E1067"/>
      <c r="F1067"/>
      <c r="G1067"/>
      <c r="H1067"/>
      <c r="I1067"/>
      <c r="J1067"/>
      <c r="K1067"/>
      <c r="L1067"/>
    </row>
    <row r="1068" spans="1:12" ht="15" x14ac:dyDescent="0.25">
      <c r="A1068"/>
      <c r="B1068"/>
      <c r="C1068"/>
      <c r="D1068"/>
      <c r="E1068"/>
      <c r="F1068"/>
      <c r="G1068"/>
      <c r="H1068"/>
      <c r="I1068"/>
      <c r="J1068"/>
      <c r="K1068"/>
      <c r="L1068"/>
    </row>
    <row r="1069" spans="1:12" ht="15" x14ac:dyDescent="0.25">
      <c r="A1069"/>
      <c r="B1069"/>
      <c r="C1069"/>
      <c r="D1069"/>
      <c r="E1069"/>
      <c r="F1069"/>
      <c r="G1069"/>
      <c r="H1069"/>
      <c r="I1069"/>
      <c r="J1069"/>
      <c r="K1069"/>
      <c r="L1069"/>
    </row>
    <row r="1070" spans="1:12" ht="15" x14ac:dyDescent="0.25">
      <c r="A1070"/>
      <c r="B1070"/>
      <c r="C1070"/>
      <c r="D1070"/>
      <c r="E1070"/>
      <c r="F1070"/>
      <c r="G1070"/>
      <c r="H1070"/>
      <c r="I1070"/>
      <c r="J1070"/>
      <c r="K1070"/>
      <c r="L1070"/>
    </row>
    <row r="1071" spans="1:12" ht="15" x14ac:dyDescent="0.25">
      <c r="A1071"/>
      <c r="B1071"/>
      <c r="C1071"/>
      <c r="D1071"/>
      <c r="E1071"/>
      <c r="F1071"/>
      <c r="G1071"/>
      <c r="H1071"/>
      <c r="I1071"/>
      <c r="J1071"/>
      <c r="K1071"/>
      <c r="L1071"/>
    </row>
    <row r="1072" spans="1:12" ht="15" x14ac:dyDescent="0.25">
      <c r="A1072"/>
      <c r="B1072"/>
      <c r="C1072"/>
      <c r="D1072"/>
      <c r="E1072"/>
      <c r="F1072"/>
      <c r="G1072"/>
      <c r="H1072"/>
      <c r="I1072"/>
      <c r="J1072"/>
      <c r="K1072"/>
      <c r="L1072"/>
    </row>
    <row r="1073" spans="1:12" ht="15" x14ac:dyDescent="0.25">
      <c r="A1073"/>
      <c r="B1073"/>
      <c r="C1073"/>
      <c r="D1073"/>
      <c r="E1073"/>
      <c r="F1073"/>
      <c r="G1073"/>
      <c r="H1073"/>
      <c r="I1073"/>
      <c r="J1073"/>
      <c r="K1073"/>
      <c r="L1073"/>
    </row>
    <row r="1074" spans="1:12" ht="15" x14ac:dyDescent="0.25">
      <c r="A1074"/>
      <c r="B1074"/>
      <c r="C1074"/>
      <c r="D1074"/>
      <c r="E1074"/>
      <c r="F1074"/>
      <c r="G1074"/>
      <c r="H1074"/>
      <c r="I1074"/>
      <c r="J1074"/>
      <c r="K1074"/>
      <c r="L1074"/>
    </row>
    <row r="1075" spans="1:12" ht="15" x14ac:dyDescent="0.25">
      <c r="A1075"/>
      <c r="B1075"/>
      <c r="C1075"/>
      <c r="D1075"/>
      <c r="E1075"/>
      <c r="F1075"/>
      <c r="G1075"/>
      <c r="H1075"/>
      <c r="I1075"/>
      <c r="J1075"/>
      <c r="K1075"/>
      <c r="L1075"/>
    </row>
    <row r="1076" spans="1:12" ht="15" x14ac:dyDescent="0.25">
      <c r="A1076"/>
      <c r="B1076"/>
      <c r="C1076"/>
      <c r="D1076"/>
      <c r="E1076"/>
      <c r="F1076"/>
      <c r="G1076"/>
      <c r="H1076"/>
      <c r="I1076"/>
      <c r="J1076"/>
      <c r="K1076"/>
      <c r="L1076"/>
    </row>
    <row r="1077" spans="1:12" ht="15" x14ac:dyDescent="0.25">
      <c r="A1077"/>
      <c r="B1077"/>
      <c r="C1077"/>
      <c r="D1077"/>
      <c r="E1077"/>
      <c r="F1077"/>
      <c r="G1077"/>
      <c r="H1077"/>
      <c r="I1077"/>
      <c r="J1077"/>
      <c r="K1077"/>
      <c r="L1077"/>
    </row>
    <row r="1078" spans="1:12" ht="15" x14ac:dyDescent="0.25">
      <c r="A1078"/>
      <c r="B1078"/>
      <c r="C1078"/>
      <c r="D1078"/>
      <c r="E1078"/>
      <c r="F1078"/>
      <c r="G1078"/>
      <c r="H1078"/>
      <c r="I1078"/>
      <c r="J1078"/>
      <c r="K1078"/>
      <c r="L1078"/>
    </row>
    <row r="1079" spans="1:12" ht="15" x14ac:dyDescent="0.25">
      <c r="A1079"/>
      <c r="B1079"/>
      <c r="C1079"/>
      <c r="D1079"/>
      <c r="E1079"/>
      <c r="F1079"/>
      <c r="G1079"/>
      <c r="H1079"/>
      <c r="I1079"/>
      <c r="J1079"/>
      <c r="K1079"/>
      <c r="L1079"/>
    </row>
    <row r="1080" spans="1:12" ht="15" x14ac:dyDescent="0.25">
      <c r="A1080"/>
      <c r="B1080"/>
      <c r="C1080"/>
      <c r="D1080"/>
      <c r="E1080"/>
      <c r="F1080"/>
      <c r="G1080"/>
      <c r="H1080"/>
      <c r="I1080"/>
      <c r="J1080"/>
      <c r="K1080"/>
      <c r="L1080"/>
    </row>
    <row r="1081" spans="1:12" ht="15" x14ac:dyDescent="0.25">
      <c r="A1081"/>
      <c r="B1081"/>
      <c r="C1081"/>
      <c r="D1081"/>
      <c r="E1081"/>
      <c r="F1081"/>
      <c r="G1081"/>
      <c r="H1081"/>
      <c r="I1081"/>
      <c r="J1081"/>
      <c r="K1081"/>
      <c r="L1081"/>
    </row>
    <row r="1082" spans="1:12" ht="15" x14ac:dyDescent="0.25">
      <c r="A1082"/>
      <c r="B1082"/>
      <c r="C1082"/>
      <c r="D1082"/>
      <c r="E1082"/>
      <c r="F1082"/>
      <c r="G1082"/>
      <c r="H1082"/>
      <c r="I1082"/>
      <c r="J1082"/>
      <c r="K1082"/>
      <c r="L1082"/>
    </row>
    <row r="1083" spans="1:12" ht="15" x14ac:dyDescent="0.25">
      <c r="A1083"/>
      <c r="B1083"/>
      <c r="C1083"/>
      <c r="D1083"/>
      <c r="E1083"/>
      <c r="F1083"/>
      <c r="G1083"/>
      <c r="H1083"/>
      <c r="I1083"/>
      <c r="J1083"/>
      <c r="K1083"/>
      <c r="L1083"/>
    </row>
    <row r="1084" spans="1:12" ht="15" x14ac:dyDescent="0.25">
      <c r="A1084"/>
      <c r="B1084"/>
      <c r="C1084"/>
      <c r="D1084"/>
      <c r="E1084"/>
      <c r="F1084"/>
      <c r="G1084"/>
      <c r="H1084"/>
      <c r="I1084"/>
      <c r="J1084"/>
      <c r="K1084"/>
      <c r="L1084"/>
    </row>
    <row r="1085" spans="1:12" ht="15" x14ac:dyDescent="0.25">
      <c r="A1085"/>
      <c r="B1085"/>
      <c r="C1085"/>
      <c r="D1085"/>
      <c r="E1085"/>
      <c r="F1085"/>
      <c r="G1085"/>
      <c r="H1085"/>
      <c r="I1085"/>
      <c r="J1085"/>
      <c r="K1085"/>
      <c r="L1085"/>
    </row>
    <row r="1086" spans="1:12" ht="15" x14ac:dyDescent="0.25">
      <c r="A1086"/>
      <c r="B1086"/>
      <c r="C1086"/>
      <c r="D1086"/>
      <c r="E1086"/>
      <c r="F1086"/>
      <c r="G1086"/>
      <c r="H1086"/>
      <c r="I1086"/>
      <c r="J1086"/>
      <c r="K1086"/>
      <c r="L1086"/>
    </row>
    <row r="1087" spans="1:12" ht="15" x14ac:dyDescent="0.25">
      <c r="A1087"/>
      <c r="B1087"/>
      <c r="C1087"/>
      <c r="D1087"/>
      <c r="E1087"/>
      <c r="F1087"/>
      <c r="G1087"/>
      <c r="H1087"/>
      <c r="I1087"/>
      <c r="J1087"/>
      <c r="K1087"/>
      <c r="L1087"/>
    </row>
    <row r="1088" spans="1:12" ht="15" x14ac:dyDescent="0.25">
      <c r="A1088"/>
      <c r="B1088"/>
      <c r="C1088"/>
      <c r="D1088"/>
      <c r="E1088"/>
      <c r="F1088"/>
      <c r="G1088"/>
      <c r="H1088"/>
      <c r="I1088"/>
      <c r="J1088"/>
      <c r="K1088"/>
      <c r="L1088"/>
    </row>
    <row r="1089" spans="1:12" ht="15" x14ac:dyDescent="0.25">
      <c r="A1089"/>
      <c r="B1089"/>
      <c r="C1089"/>
      <c r="D1089"/>
      <c r="E1089"/>
      <c r="F1089"/>
      <c r="G1089"/>
      <c r="H1089"/>
      <c r="I1089"/>
      <c r="J1089"/>
      <c r="K1089"/>
      <c r="L1089"/>
    </row>
    <row r="1090" spans="1:12" ht="15" x14ac:dyDescent="0.25">
      <c r="A1090"/>
      <c r="B1090"/>
      <c r="C1090"/>
      <c r="D1090"/>
      <c r="E1090"/>
      <c r="F1090"/>
      <c r="G1090"/>
      <c r="H1090"/>
      <c r="I1090"/>
      <c r="J1090"/>
      <c r="K1090"/>
      <c r="L1090"/>
    </row>
    <row r="1091" spans="1:12" ht="15" x14ac:dyDescent="0.25">
      <c r="A1091"/>
      <c r="B1091"/>
      <c r="C1091"/>
      <c r="D1091"/>
      <c r="E1091"/>
      <c r="F1091"/>
      <c r="G1091"/>
      <c r="H1091"/>
      <c r="I1091"/>
      <c r="J1091"/>
      <c r="K1091"/>
      <c r="L1091"/>
    </row>
    <row r="1092" spans="1:12" ht="15" x14ac:dyDescent="0.25">
      <c r="A1092"/>
      <c r="B1092"/>
      <c r="C1092"/>
      <c r="D1092"/>
      <c r="E1092"/>
      <c r="F1092"/>
      <c r="G1092"/>
      <c r="H1092"/>
      <c r="I1092"/>
      <c r="J1092"/>
      <c r="K1092"/>
      <c r="L1092"/>
    </row>
    <row r="1093" spans="1:12" ht="15" x14ac:dyDescent="0.25">
      <c r="A1093"/>
      <c r="B1093"/>
      <c r="C1093"/>
      <c r="D1093"/>
      <c r="E1093"/>
      <c r="F1093"/>
      <c r="G1093"/>
      <c r="H1093"/>
      <c r="I1093"/>
      <c r="J1093"/>
      <c r="K1093"/>
      <c r="L1093"/>
    </row>
    <row r="1094" spans="1:12" ht="15" x14ac:dyDescent="0.25">
      <c r="A1094"/>
      <c r="B1094"/>
      <c r="C1094"/>
      <c r="D1094"/>
      <c r="E1094"/>
      <c r="F1094"/>
      <c r="G1094"/>
      <c r="H1094"/>
      <c r="I1094"/>
      <c r="J1094"/>
      <c r="K1094"/>
      <c r="L1094"/>
    </row>
    <row r="1095" spans="1:12" ht="15" x14ac:dyDescent="0.25">
      <c r="A1095"/>
      <c r="B1095"/>
      <c r="C1095"/>
      <c r="D1095"/>
      <c r="E1095"/>
      <c r="F1095"/>
      <c r="G1095"/>
      <c r="H1095"/>
      <c r="I1095"/>
      <c r="J1095"/>
      <c r="K1095"/>
      <c r="L1095"/>
    </row>
    <row r="1096" spans="1:12" ht="15" x14ac:dyDescent="0.25">
      <c r="A1096"/>
      <c r="B1096"/>
      <c r="C1096"/>
      <c r="D1096"/>
      <c r="E1096"/>
      <c r="F1096"/>
      <c r="G1096"/>
      <c r="H1096"/>
      <c r="I1096"/>
      <c r="J1096"/>
      <c r="K1096"/>
      <c r="L1096"/>
    </row>
    <row r="1097" spans="1:12" ht="15" x14ac:dyDescent="0.25">
      <c r="A1097"/>
      <c r="B1097"/>
      <c r="C1097"/>
      <c r="D1097"/>
      <c r="E1097"/>
      <c r="F1097"/>
      <c r="G1097"/>
      <c r="H1097"/>
      <c r="I1097"/>
      <c r="J1097"/>
      <c r="K1097"/>
      <c r="L1097"/>
    </row>
    <row r="1098" spans="1:12" ht="15" x14ac:dyDescent="0.25">
      <c r="A1098"/>
      <c r="B1098"/>
      <c r="C1098"/>
      <c r="D1098"/>
      <c r="E1098"/>
      <c r="F1098"/>
      <c r="G1098"/>
      <c r="H1098"/>
      <c r="I1098"/>
      <c r="J1098"/>
      <c r="K1098"/>
      <c r="L1098"/>
    </row>
    <row r="1099" spans="1:12" ht="15" x14ac:dyDescent="0.25">
      <c r="A1099"/>
      <c r="B1099"/>
      <c r="C1099"/>
      <c r="D1099"/>
      <c r="E1099"/>
      <c r="F1099"/>
      <c r="G1099"/>
      <c r="H1099"/>
      <c r="I1099"/>
      <c r="J1099"/>
      <c r="K1099"/>
      <c r="L1099"/>
    </row>
    <row r="1100" spans="1:12" ht="15" x14ac:dyDescent="0.25">
      <c r="A1100"/>
      <c r="B1100"/>
      <c r="C1100"/>
      <c r="D1100"/>
      <c r="E1100"/>
      <c r="F1100"/>
      <c r="G1100"/>
      <c r="H1100"/>
      <c r="I1100"/>
      <c r="J1100"/>
      <c r="K1100"/>
      <c r="L1100"/>
    </row>
    <row r="1101" spans="1:12" ht="15" x14ac:dyDescent="0.25">
      <c r="A1101"/>
      <c r="B1101"/>
      <c r="C1101"/>
      <c r="D1101"/>
      <c r="E1101"/>
      <c r="F1101"/>
      <c r="G1101"/>
      <c r="H1101"/>
      <c r="I1101"/>
      <c r="J1101"/>
      <c r="K1101"/>
      <c r="L1101"/>
    </row>
    <row r="1102" spans="1:12" ht="15" x14ac:dyDescent="0.25">
      <c r="A1102"/>
      <c r="B1102"/>
      <c r="C1102"/>
      <c r="D1102"/>
      <c r="E1102"/>
      <c r="F1102"/>
      <c r="G1102"/>
      <c r="H1102"/>
      <c r="I1102"/>
      <c r="J1102"/>
      <c r="K1102"/>
      <c r="L1102"/>
    </row>
    <row r="1103" spans="1:12" ht="15" x14ac:dyDescent="0.25">
      <c r="A1103"/>
      <c r="B1103"/>
      <c r="C1103"/>
      <c r="D1103"/>
      <c r="E1103"/>
      <c r="F1103"/>
      <c r="G1103"/>
      <c r="H1103"/>
      <c r="I1103"/>
      <c r="J1103"/>
      <c r="K1103"/>
      <c r="L1103"/>
    </row>
    <row r="1104" spans="1:12" ht="15" x14ac:dyDescent="0.25">
      <c r="A1104"/>
      <c r="B1104"/>
      <c r="C1104"/>
      <c r="D1104"/>
      <c r="E1104"/>
      <c r="F1104"/>
      <c r="G1104"/>
      <c r="H1104"/>
      <c r="I1104"/>
      <c r="J1104"/>
      <c r="K1104"/>
      <c r="L1104"/>
    </row>
    <row r="1105" spans="1:12" ht="15" x14ac:dyDescent="0.25">
      <c r="A1105"/>
      <c r="B1105"/>
      <c r="C1105"/>
      <c r="D1105"/>
      <c r="E1105"/>
      <c r="F1105"/>
      <c r="G1105"/>
      <c r="H1105"/>
      <c r="I1105"/>
      <c r="J1105"/>
      <c r="K1105"/>
      <c r="L1105"/>
    </row>
    <row r="1106" spans="1:12" ht="15" x14ac:dyDescent="0.25">
      <c r="A1106"/>
      <c r="B1106"/>
      <c r="C1106"/>
      <c r="D1106"/>
      <c r="E1106"/>
      <c r="F1106"/>
      <c r="G1106"/>
      <c r="H1106"/>
      <c r="I1106"/>
      <c r="J1106"/>
      <c r="K1106"/>
      <c r="L1106"/>
    </row>
    <row r="1107" spans="1:12" ht="15" x14ac:dyDescent="0.25">
      <c r="A1107"/>
      <c r="B1107"/>
      <c r="C1107"/>
      <c r="D1107"/>
      <c r="E1107"/>
      <c r="F1107"/>
      <c r="G1107"/>
      <c r="H1107"/>
      <c r="I1107"/>
      <c r="J1107"/>
      <c r="K1107"/>
      <c r="L1107"/>
    </row>
    <row r="1108" spans="1:12" ht="15" x14ac:dyDescent="0.25">
      <c r="A1108"/>
      <c r="B1108"/>
      <c r="C1108"/>
      <c r="D1108"/>
      <c r="E1108"/>
      <c r="F1108"/>
      <c r="G1108"/>
      <c r="H1108"/>
      <c r="I1108"/>
      <c r="J1108"/>
      <c r="K1108"/>
      <c r="L1108"/>
    </row>
    <row r="1109" spans="1:12" ht="15" x14ac:dyDescent="0.25">
      <c r="A1109"/>
      <c r="B1109"/>
      <c r="C1109"/>
      <c r="D1109"/>
      <c r="E1109"/>
      <c r="F1109"/>
      <c r="G1109"/>
      <c r="H1109"/>
      <c r="I1109"/>
      <c r="J1109"/>
      <c r="K1109"/>
      <c r="L1109"/>
    </row>
    <row r="1110" spans="1:12" ht="15" x14ac:dyDescent="0.25">
      <c r="A1110"/>
      <c r="B1110"/>
      <c r="C1110"/>
      <c r="D1110"/>
      <c r="E1110"/>
      <c r="F1110"/>
      <c r="G1110"/>
      <c r="H1110"/>
      <c r="I1110"/>
      <c r="J1110"/>
      <c r="K1110"/>
      <c r="L1110"/>
    </row>
    <row r="1111" spans="1:12" ht="15" x14ac:dyDescent="0.25">
      <c r="A1111"/>
      <c r="B1111"/>
      <c r="C1111"/>
      <c r="D1111"/>
      <c r="E1111"/>
      <c r="F1111"/>
      <c r="G1111"/>
      <c r="H1111"/>
      <c r="I1111"/>
      <c r="J1111"/>
      <c r="K1111"/>
      <c r="L1111"/>
    </row>
    <row r="1112" spans="1:12" ht="15" x14ac:dyDescent="0.25">
      <c r="A1112"/>
      <c r="B1112"/>
      <c r="C1112"/>
      <c r="D1112"/>
      <c r="E1112"/>
      <c r="F1112"/>
      <c r="G1112"/>
      <c r="H1112"/>
      <c r="I1112"/>
      <c r="J1112"/>
      <c r="K1112"/>
      <c r="L1112"/>
    </row>
    <row r="1113" spans="1:12" ht="15" x14ac:dyDescent="0.25">
      <c r="A1113"/>
      <c r="B1113"/>
      <c r="C1113"/>
      <c r="D1113"/>
      <c r="E1113"/>
      <c r="F1113"/>
      <c r="G1113"/>
      <c r="H1113"/>
      <c r="I1113"/>
      <c r="J1113"/>
      <c r="K1113"/>
      <c r="L1113"/>
    </row>
    <row r="1114" spans="1:12" ht="15" x14ac:dyDescent="0.25">
      <c r="A1114"/>
      <c r="B1114"/>
      <c r="C1114"/>
      <c r="D1114"/>
      <c r="E1114"/>
      <c r="F1114"/>
      <c r="G1114"/>
      <c r="H1114"/>
      <c r="I1114"/>
      <c r="J1114"/>
      <c r="K1114"/>
      <c r="L1114"/>
    </row>
    <row r="1115" spans="1:12" ht="15" x14ac:dyDescent="0.25">
      <c r="A1115"/>
      <c r="B1115"/>
      <c r="C1115"/>
      <c r="D1115"/>
      <c r="E1115"/>
      <c r="F1115"/>
      <c r="G1115"/>
      <c r="H1115"/>
      <c r="I1115"/>
      <c r="J1115"/>
      <c r="K1115"/>
      <c r="L1115"/>
    </row>
    <row r="1116" spans="1:12" ht="15" x14ac:dyDescent="0.25">
      <c r="A1116"/>
      <c r="B1116"/>
      <c r="C1116"/>
      <c r="D1116"/>
      <c r="E1116"/>
      <c r="F1116"/>
      <c r="G1116"/>
      <c r="H1116"/>
      <c r="I1116"/>
      <c r="J1116"/>
      <c r="K1116"/>
      <c r="L1116"/>
    </row>
    <row r="1117" spans="1:12" ht="15" x14ac:dyDescent="0.25">
      <c r="A1117"/>
      <c r="B1117"/>
      <c r="C1117"/>
      <c r="D1117"/>
      <c r="E1117"/>
      <c r="F1117"/>
      <c r="G1117"/>
      <c r="H1117"/>
      <c r="I1117"/>
      <c r="J1117"/>
      <c r="K1117"/>
      <c r="L1117"/>
    </row>
    <row r="1118" spans="1:12" ht="15" x14ac:dyDescent="0.25">
      <c r="A1118"/>
      <c r="B1118"/>
      <c r="C1118"/>
      <c r="D1118"/>
      <c r="E1118"/>
      <c r="F1118"/>
      <c r="G1118"/>
      <c r="H1118"/>
      <c r="I1118"/>
      <c r="J1118"/>
      <c r="K1118"/>
      <c r="L1118"/>
    </row>
    <row r="1119" spans="1:12" ht="15" x14ac:dyDescent="0.25">
      <c r="A1119"/>
      <c r="B1119"/>
      <c r="C1119"/>
      <c r="D1119"/>
      <c r="E1119"/>
      <c r="F1119"/>
      <c r="G1119"/>
      <c r="H1119"/>
      <c r="I1119"/>
      <c r="J1119"/>
      <c r="K1119"/>
      <c r="L1119"/>
    </row>
    <row r="1120" spans="1:12" ht="15" x14ac:dyDescent="0.25">
      <c r="A1120"/>
      <c r="B1120"/>
      <c r="C1120"/>
      <c r="D1120"/>
      <c r="E1120"/>
      <c r="F1120"/>
      <c r="G1120"/>
      <c r="H1120"/>
      <c r="I1120"/>
      <c r="J1120"/>
      <c r="K1120"/>
      <c r="L1120"/>
    </row>
    <row r="1121" spans="1:12" ht="15" x14ac:dyDescent="0.25">
      <c r="A1121"/>
      <c r="B1121"/>
      <c r="C1121"/>
      <c r="D1121"/>
      <c r="E1121"/>
      <c r="F1121"/>
      <c r="G1121"/>
      <c r="H1121"/>
      <c r="I1121"/>
      <c r="J1121"/>
      <c r="K1121"/>
      <c r="L1121"/>
    </row>
    <row r="1122" spans="1:12" ht="15" x14ac:dyDescent="0.25">
      <c r="A1122"/>
      <c r="B1122"/>
      <c r="C1122"/>
      <c r="D1122"/>
      <c r="E1122"/>
      <c r="F1122"/>
      <c r="G1122"/>
      <c r="H1122"/>
      <c r="I1122"/>
      <c r="J1122"/>
      <c r="K1122"/>
      <c r="L1122"/>
    </row>
    <row r="1123" spans="1:12" ht="15" x14ac:dyDescent="0.25">
      <c r="A1123"/>
      <c r="B1123"/>
      <c r="C1123"/>
      <c r="D1123"/>
      <c r="E1123"/>
      <c r="F1123"/>
      <c r="G1123"/>
      <c r="H1123"/>
      <c r="I1123"/>
      <c r="J1123"/>
      <c r="K1123"/>
      <c r="L1123"/>
    </row>
    <row r="1124" spans="1:12" ht="15" x14ac:dyDescent="0.25">
      <c r="A1124"/>
      <c r="B1124"/>
      <c r="C1124"/>
      <c r="D1124"/>
      <c r="E1124"/>
      <c r="F1124"/>
      <c r="G1124"/>
      <c r="H1124"/>
      <c r="I1124"/>
      <c r="J1124"/>
      <c r="K1124"/>
      <c r="L1124"/>
    </row>
    <row r="1125" spans="1:12" ht="15" x14ac:dyDescent="0.25">
      <c r="A1125"/>
      <c r="B1125"/>
      <c r="C1125"/>
      <c r="D1125"/>
      <c r="E1125"/>
      <c r="F1125"/>
      <c r="G1125"/>
      <c r="H1125"/>
      <c r="I1125"/>
      <c r="J1125"/>
      <c r="K1125"/>
      <c r="L1125"/>
    </row>
    <row r="1126" spans="1:12" ht="15" x14ac:dyDescent="0.25">
      <c r="A1126"/>
      <c r="B1126"/>
      <c r="C1126"/>
      <c r="D1126"/>
      <c r="E1126"/>
      <c r="F1126"/>
      <c r="G1126"/>
      <c r="H1126"/>
      <c r="I1126"/>
      <c r="J1126"/>
      <c r="K1126"/>
      <c r="L1126"/>
    </row>
    <row r="1127" spans="1:12" ht="15" x14ac:dyDescent="0.25">
      <c r="A1127"/>
      <c r="B1127"/>
      <c r="C1127"/>
      <c r="D1127"/>
      <c r="E1127"/>
      <c r="F1127"/>
      <c r="G1127"/>
      <c r="H1127"/>
      <c r="I1127"/>
      <c r="J1127"/>
      <c r="K1127"/>
      <c r="L1127"/>
    </row>
    <row r="1128" spans="1:12" ht="15" x14ac:dyDescent="0.25">
      <c r="A1128"/>
      <c r="B1128"/>
      <c r="C1128"/>
      <c r="D1128"/>
      <c r="E1128"/>
      <c r="F1128"/>
      <c r="G1128"/>
      <c r="H1128"/>
      <c r="I1128"/>
      <c r="J1128"/>
      <c r="K1128"/>
      <c r="L1128"/>
    </row>
    <row r="1129" spans="1:12" ht="15" x14ac:dyDescent="0.25">
      <c r="A1129"/>
      <c r="B1129"/>
      <c r="C1129"/>
      <c r="D1129"/>
      <c r="E1129"/>
      <c r="F1129"/>
      <c r="G1129"/>
      <c r="H1129"/>
      <c r="I1129"/>
      <c r="J1129"/>
      <c r="K1129"/>
      <c r="L1129"/>
    </row>
    <row r="1130" spans="1:12" ht="15" x14ac:dyDescent="0.25">
      <c r="A1130"/>
      <c r="B1130"/>
      <c r="C1130"/>
      <c r="D1130"/>
      <c r="E1130"/>
      <c r="F1130"/>
      <c r="G1130"/>
      <c r="H1130"/>
      <c r="I1130"/>
      <c r="J1130"/>
      <c r="K1130"/>
      <c r="L1130"/>
    </row>
    <row r="1131" spans="1:12" ht="15" x14ac:dyDescent="0.25">
      <c r="A1131"/>
      <c r="B1131"/>
      <c r="C1131"/>
      <c r="D1131"/>
      <c r="E1131"/>
      <c r="F1131"/>
      <c r="G1131"/>
      <c r="H1131"/>
      <c r="I1131"/>
      <c r="J1131"/>
      <c r="K1131"/>
      <c r="L1131"/>
    </row>
    <row r="1132" spans="1:12" ht="15" x14ac:dyDescent="0.25">
      <c r="A1132"/>
      <c r="B1132"/>
      <c r="C1132"/>
      <c r="D1132"/>
      <c r="E1132"/>
      <c r="F1132"/>
      <c r="G1132"/>
      <c r="H1132"/>
      <c r="I1132"/>
      <c r="J1132"/>
      <c r="K1132"/>
      <c r="L1132"/>
    </row>
    <row r="1133" spans="1:12" ht="15" x14ac:dyDescent="0.25">
      <c r="A1133"/>
      <c r="B1133"/>
      <c r="C1133"/>
      <c r="D1133"/>
      <c r="E1133"/>
      <c r="F1133"/>
      <c r="G1133"/>
      <c r="H1133"/>
      <c r="I1133"/>
      <c r="J1133"/>
      <c r="K1133"/>
      <c r="L1133"/>
    </row>
    <row r="1134" spans="1:12" ht="15" x14ac:dyDescent="0.25">
      <c r="A1134"/>
      <c r="B1134"/>
      <c r="C1134"/>
      <c r="D1134"/>
      <c r="E1134"/>
      <c r="F1134"/>
      <c r="G1134"/>
      <c r="H1134"/>
      <c r="I1134"/>
      <c r="J1134"/>
      <c r="K1134"/>
      <c r="L1134"/>
    </row>
    <row r="1135" spans="1:12" ht="15" x14ac:dyDescent="0.25">
      <c r="A1135"/>
      <c r="B1135"/>
      <c r="C1135"/>
      <c r="D1135"/>
      <c r="E1135"/>
      <c r="F1135"/>
      <c r="G1135"/>
      <c r="H1135"/>
      <c r="I1135"/>
      <c r="J1135"/>
      <c r="K1135"/>
      <c r="L1135"/>
    </row>
    <row r="1136" spans="1:12" ht="15" x14ac:dyDescent="0.25">
      <c r="A1136"/>
      <c r="B1136"/>
      <c r="C1136"/>
      <c r="D1136"/>
      <c r="E1136"/>
      <c r="F1136"/>
      <c r="G1136"/>
      <c r="H1136"/>
      <c r="I1136"/>
      <c r="J1136"/>
      <c r="K1136"/>
      <c r="L1136"/>
    </row>
    <row r="1137" spans="1:12" ht="15" x14ac:dyDescent="0.25">
      <c r="A1137"/>
      <c r="B1137"/>
      <c r="C1137"/>
      <c r="D1137"/>
      <c r="E1137"/>
      <c r="F1137"/>
      <c r="G1137"/>
      <c r="H1137"/>
      <c r="I1137"/>
      <c r="J1137"/>
      <c r="K1137"/>
      <c r="L1137"/>
    </row>
    <row r="1138" spans="1:12" ht="15" x14ac:dyDescent="0.25">
      <c r="A1138"/>
      <c r="B1138"/>
      <c r="C1138"/>
      <c r="D1138"/>
      <c r="E1138"/>
      <c r="F1138"/>
      <c r="G1138"/>
      <c r="H1138"/>
      <c r="I1138"/>
      <c r="J1138"/>
      <c r="K1138"/>
      <c r="L1138"/>
    </row>
    <row r="1139" spans="1:12" ht="15" x14ac:dyDescent="0.25">
      <c r="A1139"/>
      <c r="B1139"/>
      <c r="C1139"/>
      <c r="D1139"/>
      <c r="E1139"/>
      <c r="F1139"/>
      <c r="G1139"/>
      <c r="H1139"/>
      <c r="I1139"/>
      <c r="J1139"/>
      <c r="K1139"/>
      <c r="L1139"/>
    </row>
    <row r="1140" spans="1:12" ht="15" x14ac:dyDescent="0.25">
      <c r="A1140"/>
      <c r="B1140"/>
      <c r="C1140"/>
      <c r="D1140"/>
      <c r="E1140"/>
      <c r="F1140"/>
      <c r="G1140"/>
      <c r="H1140"/>
      <c r="I1140"/>
      <c r="J1140"/>
      <c r="K1140"/>
      <c r="L1140"/>
    </row>
    <row r="1141" spans="1:12" ht="15" x14ac:dyDescent="0.25">
      <c r="A1141"/>
      <c r="B1141"/>
      <c r="C1141"/>
      <c r="D1141"/>
      <c r="E1141"/>
      <c r="F1141"/>
      <c r="G1141"/>
      <c r="H1141"/>
      <c r="I1141"/>
      <c r="J1141"/>
      <c r="K1141"/>
      <c r="L1141"/>
    </row>
    <row r="1142" spans="1:12" ht="15" x14ac:dyDescent="0.25">
      <c r="A1142"/>
      <c r="B1142"/>
      <c r="C1142"/>
      <c r="D1142"/>
      <c r="E1142"/>
      <c r="F1142"/>
      <c r="G1142"/>
      <c r="H1142"/>
      <c r="I1142"/>
      <c r="J1142"/>
      <c r="K1142"/>
      <c r="L1142"/>
    </row>
    <row r="1143" spans="1:12" ht="15" x14ac:dyDescent="0.25">
      <c r="A1143"/>
      <c r="B1143"/>
      <c r="C1143"/>
      <c r="D1143"/>
      <c r="E1143"/>
      <c r="F1143"/>
      <c r="G1143"/>
      <c r="H1143"/>
      <c r="I1143"/>
      <c r="J1143"/>
      <c r="K1143"/>
      <c r="L1143"/>
    </row>
    <row r="1144" spans="1:12" ht="15" x14ac:dyDescent="0.25">
      <c r="A1144"/>
      <c r="B1144"/>
      <c r="C1144"/>
      <c r="D1144"/>
      <c r="E1144"/>
      <c r="F1144"/>
      <c r="G1144"/>
      <c r="H1144"/>
      <c r="I1144"/>
      <c r="J1144"/>
      <c r="K1144"/>
      <c r="L1144"/>
    </row>
    <row r="1145" spans="1:12" ht="15" x14ac:dyDescent="0.25">
      <c r="A1145"/>
      <c r="B1145"/>
      <c r="C1145"/>
      <c r="D1145"/>
      <c r="E1145"/>
      <c r="F1145"/>
      <c r="G1145"/>
      <c r="H1145"/>
      <c r="I1145"/>
      <c r="J1145"/>
      <c r="K1145"/>
      <c r="L1145"/>
    </row>
    <row r="1146" spans="1:12" ht="15" x14ac:dyDescent="0.25">
      <c r="A1146"/>
      <c r="B1146"/>
      <c r="C1146"/>
      <c r="D1146"/>
      <c r="E1146"/>
      <c r="F1146"/>
      <c r="G1146"/>
      <c r="H1146"/>
      <c r="I1146"/>
      <c r="J1146"/>
      <c r="K1146"/>
      <c r="L1146"/>
    </row>
    <row r="1147" spans="1:12" ht="15" x14ac:dyDescent="0.25">
      <c r="A1147"/>
      <c r="B1147"/>
      <c r="C1147"/>
      <c r="D1147"/>
      <c r="E1147"/>
      <c r="F1147"/>
      <c r="G1147"/>
      <c r="H1147"/>
      <c r="I1147"/>
      <c r="J1147"/>
      <c r="K1147"/>
      <c r="L1147"/>
    </row>
    <row r="1148" spans="1:12" ht="15" x14ac:dyDescent="0.25">
      <c r="A1148"/>
      <c r="B1148"/>
      <c r="C1148"/>
      <c r="D1148"/>
      <c r="E1148"/>
      <c r="F1148"/>
      <c r="G1148"/>
      <c r="H1148"/>
      <c r="I1148"/>
      <c r="J1148"/>
      <c r="K1148"/>
      <c r="L1148"/>
    </row>
    <row r="1149" spans="1:12" ht="15" x14ac:dyDescent="0.25">
      <c r="A1149"/>
      <c r="B1149"/>
      <c r="C1149"/>
      <c r="D1149"/>
      <c r="E1149"/>
      <c r="F1149"/>
      <c r="G1149"/>
      <c r="H1149"/>
      <c r="I1149"/>
      <c r="J1149"/>
      <c r="K1149"/>
      <c r="L1149"/>
    </row>
    <row r="1150" spans="1:12" ht="15" x14ac:dyDescent="0.25">
      <c r="A1150"/>
      <c r="B1150"/>
      <c r="C1150"/>
      <c r="D1150"/>
      <c r="E1150"/>
      <c r="F1150"/>
      <c r="G1150"/>
      <c r="H1150"/>
      <c r="I1150"/>
      <c r="J1150"/>
      <c r="K1150"/>
      <c r="L1150"/>
    </row>
    <row r="1151" spans="1:12" ht="15" x14ac:dyDescent="0.25">
      <c r="A1151"/>
      <c r="B1151"/>
      <c r="C1151"/>
      <c r="D1151"/>
      <c r="E1151"/>
      <c r="F1151"/>
      <c r="G1151"/>
      <c r="H1151"/>
      <c r="I1151"/>
      <c r="J1151"/>
      <c r="K1151"/>
      <c r="L1151"/>
    </row>
    <row r="1152" spans="1:12" ht="15" x14ac:dyDescent="0.25">
      <c r="A1152"/>
      <c r="B1152"/>
      <c r="C1152"/>
      <c r="D1152"/>
      <c r="E1152"/>
      <c r="F1152"/>
      <c r="G1152"/>
      <c r="H1152"/>
      <c r="I1152"/>
      <c r="J1152"/>
      <c r="K1152"/>
      <c r="L1152"/>
    </row>
    <row r="1153" spans="1:12" ht="15" x14ac:dyDescent="0.25">
      <c r="A1153"/>
      <c r="B1153"/>
      <c r="C1153"/>
      <c r="D1153"/>
      <c r="E1153"/>
      <c r="F1153"/>
      <c r="G1153"/>
      <c r="H1153"/>
      <c r="I1153"/>
      <c r="J1153"/>
      <c r="K1153"/>
      <c r="L1153"/>
    </row>
    <row r="1154" spans="1:12" ht="15" x14ac:dyDescent="0.25">
      <c r="A1154"/>
      <c r="B1154"/>
      <c r="C1154"/>
      <c r="D1154"/>
      <c r="E1154"/>
      <c r="F1154"/>
      <c r="G1154"/>
      <c r="H1154"/>
      <c r="I1154"/>
      <c r="J1154"/>
      <c r="K1154"/>
      <c r="L1154"/>
    </row>
    <row r="1155" spans="1:12" ht="15" x14ac:dyDescent="0.25">
      <c r="A1155"/>
      <c r="B1155"/>
      <c r="C1155"/>
      <c r="D1155"/>
      <c r="E1155"/>
      <c r="F1155"/>
      <c r="G1155"/>
      <c r="H1155"/>
      <c r="I1155"/>
      <c r="J1155"/>
      <c r="K1155"/>
      <c r="L1155"/>
    </row>
    <row r="1156" spans="1:12" ht="15" x14ac:dyDescent="0.25">
      <c r="A1156"/>
      <c r="B1156"/>
      <c r="C1156"/>
      <c r="D1156"/>
      <c r="E1156"/>
      <c r="F1156"/>
      <c r="G1156"/>
      <c r="H1156"/>
      <c r="I1156"/>
      <c r="J1156"/>
      <c r="K1156"/>
      <c r="L1156"/>
    </row>
    <row r="1157" spans="1:12" ht="15" x14ac:dyDescent="0.25">
      <c r="A1157"/>
      <c r="B1157"/>
      <c r="C1157"/>
      <c r="D1157"/>
      <c r="E1157"/>
      <c r="F1157"/>
      <c r="G1157"/>
      <c r="H1157"/>
      <c r="I1157"/>
      <c r="J1157"/>
      <c r="K1157"/>
      <c r="L1157"/>
    </row>
    <row r="1158" spans="1:12" ht="15" x14ac:dyDescent="0.25">
      <c r="A1158"/>
      <c r="B1158"/>
      <c r="C1158"/>
      <c r="D1158"/>
      <c r="E1158"/>
      <c r="F1158"/>
      <c r="G1158"/>
      <c r="H1158"/>
      <c r="I1158"/>
      <c r="J1158"/>
      <c r="K1158"/>
      <c r="L1158"/>
    </row>
    <row r="1159" spans="1:12" ht="15" x14ac:dyDescent="0.25">
      <c r="A1159"/>
      <c r="B1159"/>
      <c r="C1159"/>
      <c r="D1159"/>
      <c r="E1159"/>
      <c r="F1159"/>
      <c r="G1159"/>
      <c r="H1159"/>
      <c r="I1159"/>
      <c r="J1159"/>
      <c r="K1159"/>
      <c r="L1159"/>
    </row>
    <row r="1160" spans="1:12" ht="15" x14ac:dyDescent="0.25">
      <c r="A1160"/>
      <c r="B1160"/>
      <c r="C1160"/>
      <c r="D1160"/>
      <c r="E1160"/>
      <c r="F1160"/>
      <c r="G1160"/>
      <c r="H1160"/>
      <c r="I1160"/>
      <c r="J1160"/>
      <c r="K1160"/>
      <c r="L1160"/>
    </row>
    <row r="1161" spans="1:12" ht="15" x14ac:dyDescent="0.25">
      <c r="A1161"/>
      <c r="B1161"/>
      <c r="C1161"/>
      <c r="D1161"/>
      <c r="E1161"/>
      <c r="F1161"/>
      <c r="G1161"/>
      <c r="H1161"/>
      <c r="I1161"/>
      <c r="J1161"/>
      <c r="K1161"/>
      <c r="L1161"/>
    </row>
    <row r="1162" spans="1:12" ht="15" x14ac:dyDescent="0.25">
      <c r="A1162"/>
      <c r="B1162"/>
      <c r="C1162"/>
      <c r="D1162"/>
      <c r="E1162"/>
      <c r="F1162"/>
      <c r="G1162"/>
      <c r="H1162"/>
      <c r="I1162"/>
      <c r="J1162"/>
      <c r="K1162"/>
      <c r="L1162"/>
    </row>
    <row r="1163" spans="1:12" ht="15" x14ac:dyDescent="0.25">
      <c r="A1163"/>
      <c r="B1163"/>
      <c r="C1163"/>
      <c r="D1163"/>
      <c r="E1163"/>
      <c r="F1163"/>
      <c r="G1163"/>
      <c r="H1163"/>
      <c r="I1163"/>
      <c r="J1163"/>
      <c r="K1163"/>
      <c r="L1163"/>
    </row>
    <row r="1164" spans="1:12" ht="15" x14ac:dyDescent="0.25">
      <c r="A1164"/>
      <c r="B1164"/>
      <c r="C1164"/>
      <c r="D1164"/>
      <c r="E1164"/>
      <c r="F1164"/>
      <c r="G1164"/>
      <c r="H1164"/>
      <c r="I1164"/>
      <c r="J1164"/>
      <c r="K1164"/>
      <c r="L1164"/>
    </row>
    <row r="1165" spans="1:12" ht="15" x14ac:dyDescent="0.25">
      <c r="A1165"/>
      <c r="B1165"/>
      <c r="C1165"/>
      <c r="D1165"/>
      <c r="E1165"/>
      <c r="F1165"/>
      <c r="G1165"/>
      <c r="H1165"/>
      <c r="I1165"/>
      <c r="J1165"/>
      <c r="K1165"/>
      <c r="L1165"/>
    </row>
  </sheetData>
  <pageMargins left="0.7" right="0.7" top="0.75" bottom="0.75" header="0.3" footer="0.3"/>
  <pageSetup paperSize="9" orientation="portrait" r:id="rId2"/>
  <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_LAMPDashboard">
    <tabColor rgb="FFE0C1FF"/>
  </sheetPr>
  <dimension ref="A1:CH209"/>
  <sheetViews>
    <sheetView showGridLines="0" zoomScale="70" zoomScaleNormal="70" workbookViewId="0">
      <selection activeCell="B5" sqref="B5"/>
    </sheetView>
  </sheetViews>
  <sheetFormatPr defaultColWidth="9.140625" defaultRowHeight="14.25" x14ac:dyDescent="0.2"/>
  <cols>
    <col min="1" max="48" width="3.140625" style="1" customWidth="1"/>
    <col min="49" max="50" width="3.5703125" style="1" customWidth="1"/>
    <col min="51" max="83" width="3.140625" style="1" customWidth="1"/>
    <col min="84" max="84" width="9.140625" style="16" customWidth="1"/>
    <col min="85" max="85" width="9.140625" style="98" customWidth="1"/>
    <col min="86" max="86" width="9.140625" style="98"/>
    <col min="87" max="87" width="9.140625" style="96"/>
    <col min="88" max="104" width="9.140625" style="96" customWidth="1"/>
    <col min="105" max="16384" width="9.140625" style="96"/>
  </cols>
  <sheetData>
    <row r="1" spans="1:86" s="1" customFormat="1" ht="12.75" customHeight="1" x14ac:dyDescent="0.2">
      <c r="A1" s="507" t="s">
        <v>821</v>
      </c>
      <c r="B1" s="507"/>
      <c r="C1" s="507"/>
      <c r="D1" s="507"/>
      <c r="E1" s="507"/>
      <c r="F1" s="507"/>
      <c r="G1" s="507"/>
      <c r="H1" s="507"/>
      <c r="I1" s="507"/>
      <c r="J1" s="507"/>
      <c r="K1" s="507"/>
      <c r="L1" s="507"/>
      <c r="M1" s="507"/>
      <c r="N1" s="507"/>
      <c r="O1" s="507"/>
      <c r="P1" s="507"/>
      <c r="Q1" s="507"/>
      <c r="R1" s="507"/>
      <c r="S1" s="507"/>
      <c r="T1" s="507"/>
      <c r="U1" s="507"/>
      <c r="V1" s="507"/>
      <c r="W1" s="507"/>
      <c r="X1" s="507"/>
      <c r="Y1" s="507"/>
      <c r="Z1" s="507"/>
      <c r="AA1" s="507"/>
      <c r="AB1" s="507"/>
      <c r="AC1" s="507"/>
      <c r="AD1" s="507"/>
      <c r="AE1" s="507"/>
      <c r="AF1" s="507"/>
      <c r="AG1" s="507"/>
      <c r="AH1" s="507"/>
      <c r="AI1" s="507"/>
      <c r="AJ1" s="507"/>
      <c r="AK1" s="507"/>
      <c r="AL1" s="507"/>
      <c r="AM1" s="507"/>
      <c r="AN1" s="507"/>
      <c r="AO1" s="507"/>
      <c r="AP1" s="507"/>
      <c r="AQ1" s="507"/>
      <c r="AR1" s="507"/>
      <c r="AS1" s="507"/>
      <c r="AT1" s="507"/>
      <c r="AU1" s="507"/>
      <c r="AV1" s="507"/>
      <c r="AW1" s="507"/>
      <c r="AX1" s="507"/>
      <c r="AY1" s="507"/>
      <c r="AZ1" s="507"/>
      <c r="BA1" s="507"/>
      <c r="BB1" s="507"/>
      <c r="BC1" s="507"/>
      <c r="BD1" s="507"/>
      <c r="BE1" s="507"/>
      <c r="BF1" s="507"/>
      <c r="BG1" s="507"/>
      <c r="BH1" s="507"/>
      <c r="BI1" s="507"/>
      <c r="BJ1" s="507"/>
      <c r="BK1" s="507"/>
      <c r="BL1" s="507"/>
      <c r="BM1" s="507"/>
      <c r="BN1" s="507"/>
      <c r="BO1" s="507"/>
      <c r="BP1" s="507"/>
      <c r="BQ1" s="507"/>
      <c r="BR1" s="507"/>
      <c r="BS1" s="507"/>
      <c r="BT1" s="507"/>
      <c r="BU1" s="507"/>
      <c r="BV1" s="507"/>
      <c r="BW1" s="507"/>
      <c r="BX1" s="507"/>
      <c r="BY1" s="507"/>
      <c r="BZ1" s="507"/>
      <c r="CA1" s="507"/>
      <c r="CB1" s="507"/>
      <c r="CC1" s="507"/>
      <c r="CD1" s="507"/>
      <c r="CE1" s="507"/>
      <c r="CF1" s="16"/>
      <c r="CG1" s="16"/>
      <c r="CH1" s="16"/>
    </row>
    <row r="2" spans="1:86" s="1" customFormat="1" ht="12.75" customHeight="1" x14ac:dyDescent="0.2">
      <c r="A2" s="507"/>
      <c r="B2" s="507"/>
      <c r="C2" s="507"/>
      <c r="D2" s="507"/>
      <c r="E2" s="507"/>
      <c r="F2" s="507"/>
      <c r="G2" s="507"/>
      <c r="H2" s="507"/>
      <c r="I2" s="507"/>
      <c r="J2" s="507"/>
      <c r="K2" s="507"/>
      <c r="L2" s="507"/>
      <c r="M2" s="507"/>
      <c r="N2" s="507"/>
      <c r="O2" s="507"/>
      <c r="P2" s="507"/>
      <c r="Q2" s="507"/>
      <c r="R2" s="507"/>
      <c r="S2" s="507"/>
      <c r="T2" s="507"/>
      <c r="U2" s="507"/>
      <c r="V2" s="507"/>
      <c r="W2" s="507"/>
      <c r="X2" s="507"/>
      <c r="Y2" s="507"/>
      <c r="Z2" s="507"/>
      <c r="AA2" s="507"/>
      <c r="AB2" s="507"/>
      <c r="AC2" s="507"/>
      <c r="AD2" s="507"/>
      <c r="AE2" s="507"/>
      <c r="AF2" s="507"/>
      <c r="AG2" s="507"/>
      <c r="AH2" s="507"/>
      <c r="AI2" s="507"/>
      <c r="AJ2" s="507"/>
      <c r="AK2" s="507"/>
      <c r="AL2" s="507"/>
      <c r="AM2" s="507"/>
      <c r="AN2" s="507"/>
      <c r="AO2" s="507"/>
      <c r="AP2" s="507"/>
      <c r="AQ2" s="507"/>
      <c r="AR2" s="507"/>
      <c r="AS2" s="507"/>
      <c r="AT2" s="507"/>
      <c r="AU2" s="507"/>
      <c r="AV2" s="507"/>
      <c r="AW2" s="507"/>
      <c r="AX2" s="507"/>
      <c r="AY2" s="507"/>
      <c r="AZ2" s="507"/>
      <c r="BA2" s="507"/>
      <c r="BB2" s="507"/>
      <c r="BC2" s="507"/>
      <c r="BD2" s="507"/>
      <c r="BE2" s="507"/>
      <c r="BF2" s="507"/>
      <c r="BG2" s="507"/>
      <c r="BH2" s="507"/>
      <c r="BI2" s="507"/>
      <c r="BJ2" s="507"/>
      <c r="BK2" s="507"/>
      <c r="BL2" s="507"/>
      <c r="BM2" s="507"/>
      <c r="BN2" s="507"/>
      <c r="BO2" s="507"/>
      <c r="BP2" s="507"/>
      <c r="BQ2" s="507"/>
      <c r="BR2" s="507"/>
      <c r="BS2" s="507"/>
      <c r="BT2" s="507"/>
      <c r="BU2" s="507"/>
      <c r="BV2" s="507"/>
      <c r="BW2" s="507"/>
      <c r="BX2" s="507"/>
      <c r="BY2" s="507"/>
      <c r="BZ2" s="507"/>
      <c r="CA2" s="507"/>
      <c r="CB2" s="507"/>
      <c r="CC2" s="507"/>
      <c r="CD2" s="507"/>
      <c r="CE2" s="507"/>
      <c r="CF2" s="16"/>
      <c r="CG2" s="16"/>
      <c r="CH2" s="16"/>
    </row>
    <row r="3" spans="1:86" s="1" customFormat="1" ht="12.75" customHeight="1" x14ac:dyDescent="0.2">
      <c r="A3" s="507"/>
      <c r="B3" s="507"/>
      <c r="C3" s="507"/>
      <c r="D3" s="507"/>
      <c r="E3" s="507"/>
      <c r="F3" s="507"/>
      <c r="G3" s="507"/>
      <c r="H3" s="507"/>
      <c r="I3" s="507"/>
      <c r="J3" s="507"/>
      <c r="K3" s="507"/>
      <c r="L3" s="507"/>
      <c r="M3" s="507"/>
      <c r="N3" s="507"/>
      <c r="O3" s="507"/>
      <c r="P3" s="507"/>
      <c r="Q3" s="507"/>
      <c r="R3" s="507"/>
      <c r="S3" s="507"/>
      <c r="T3" s="507"/>
      <c r="U3" s="507"/>
      <c r="V3" s="507"/>
      <c r="W3" s="507"/>
      <c r="X3" s="507"/>
      <c r="Y3" s="507"/>
      <c r="Z3" s="507"/>
      <c r="AA3" s="507"/>
      <c r="AB3" s="507"/>
      <c r="AC3" s="507"/>
      <c r="AD3" s="507"/>
      <c r="AE3" s="507"/>
      <c r="AF3" s="507"/>
      <c r="AG3" s="507"/>
      <c r="AH3" s="507"/>
      <c r="AI3" s="507"/>
      <c r="AJ3" s="507"/>
      <c r="AK3" s="507"/>
      <c r="AL3" s="507"/>
      <c r="AM3" s="507"/>
      <c r="AN3" s="507"/>
      <c r="AO3" s="507"/>
      <c r="AP3" s="507"/>
      <c r="AQ3" s="507"/>
      <c r="AR3" s="507"/>
      <c r="AS3" s="507"/>
      <c r="AT3" s="507"/>
      <c r="AU3" s="507"/>
      <c r="AV3" s="507"/>
      <c r="AW3" s="507"/>
      <c r="AX3" s="507"/>
      <c r="AY3" s="507"/>
      <c r="AZ3" s="507"/>
      <c r="BA3" s="507"/>
      <c r="BB3" s="507"/>
      <c r="BC3" s="507"/>
      <c r="BD3" s="507"/>
      <c r="BE3" s="507"/>
      <c r="BF3" s="507"/>
      <c r="BG3" s="507"/>
      <c r="BH3" s="507"/>
      <c r="BI3" s="507"/>
      <c r="BJ3" s="507"/>
      <c r="BK3" s="507"/>
      <c r="BL3" s="507"/>
      <c r="BM3" s="507"/>
      <c r="BN3" s="507"/>
      <c r="BO3" s="507"/>
      <c r="BP3" s="507"/>
      <c r="BQ3" s="507"/>
      <c r="BR3" s="507"/>
      <c r="BS3" s="507"/>
      <c r="BT3" s="507"/>
      <c r="BU3" s="507"/>
      <c r="BV3" s="507"/>
      <c r="BW3" s="507"/>
      <c r="BX3" s="507"/>
      <c r="BY3" s="507"/>
      <c r="BZ3" s="507"/>
      <c r="CA3" s="507"/>
      <c r="CB3" s="507"/>
      <c r="CC3" s="507"/>
      <c r="CD3" s="507"/>
      <c r="CE3" s="507"/>
      <c r="CF3" s="16"/>
      <c r="CG3" s="16"/>
      <c r="CH3" s="16"/>
    </row>
    <row r="4" spans="1:86" ht="12.6" customHeight="1" x14ac:dyDescent="0.2">
      <c r="A4" s="507"/>
      <c r="B4" s="507"/>
      <c r="C4" s="507"/>
      <c r="D4" s="507"/>
      <c r="E4" s="507"/>
      <c r="F4" s="507"/>
      <c r="G4" s="507"/>
      <c r="H4" s="507"/>
      <c r="I4" s="507"/>
      <c r="J4" s="507"/>
      <c r="K4" s="507"/>
      <c r="L4" s="507"/>
      <c r="M4" s="507"/>
      <c r="N4" s="507"/>
      <c r="O4" s="507"/>
      <c r="P4" s="507"/>
      <c r="Q4" s="507"/>
      <c r="R4" s="507"/>
      <c r="S4" s="507"/>
      <c r="T4" s="507"/>
      <c r="U4" s="507"/>
      <c r="V4" s="507"/>
      <c r="W4" s="507"/>
      <c r="X4" s="507"/>
      <c r="Y4" s="507"/>
      <c r="Z4" s="507"/>
      <c r="AA4" s="507"/>
      <c r="AB4" s="507"/>
      <c r="AC4" s="507"/>
      <c r="AD4" s="507"/>
      <c r="AE4" s="507"/>
      <c r="AF4" s="507"/>
      <c r="AG4" s="507"/>
      <c r="AH4" s="507"/>
      <c r="AI4" s="507"/>
      <c r="AJ4" s="507"/>
      <c r="AK4" s="507"/>
      <c r="AL4" s="507"/>
      <c r="AM4" s="507"/>
      <c r="AN4" s="507"/>
      <c r="AO4" s="507"/>
      <c r="AP4" s="507"/>
      <c r="AQ4" s="507"/>
      <c r="AR4" s="507"/>
      <c r="AS4" s="507"/>
      <c r="AT4" s="507"/>
      <c r="AU4" s="507"/>
      <c r="AV4" s="507"/>
      <c r="AW4" s="507"/>
      <c r="AX4" s="507"/>
      <c r="AY4" s="507"/>
      <c r="AZ4" s="507"/>
      <c r="BA4" s="507"/>
      <c r="BB4" s="507"/>
      <c r="BC4" s="507"/>
      <c r="BD4" s="507"/>
      <c r="BE4" s="507"/>
      <c r="BF4" s="507"/>
      <c r="BG4" s="507"/>
      <c r="BH4" s="507"/>
      <c r="BI4" s="507"/>
      <c r="BJ4" s="507"/>
      <c r="BK4" s="507"/>
      <c r="BL4" s="507"/>
      <c r="BM4" s="507"/>
      <c r="BN4" s="507"/>
      <c r="BO4" s="507"/>
      <c r="BP4" s="507"/>
      <c r="BQ4" s="507"/>
      <c r="BR4" s="507"/>
      <c r="BS4" s="507"/>
      <c r="BT4" s="507"/>
      <c r="BU4" s="507"/>
      <c r="BV4" s="507"/>
      <c r="BW4" s="507"/>
      <c r="BX4" s="507"/>
      <c r="BY4" s="507"/>
      <c r="BZ4" s="507"/>
      <c r="CA4" s="507"/>
      <c r="CB4" s="507"/>
      <c r="CC4" s="507"/>
      <c r="CD4" s="507"/>
      <c r="CE4" s="507"/>
    </row>
    <row r="5" spans="1:86" ht="13.9" customHeight="1" x14ac:dyDescent="0.2">
      <c r="A5" s="7"/>
      <c r="B5" s="6"/>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11"/>
    </row>
    <row r="6" spans="1:86" ht="13.9" customHeight="1" x14ac:dyDescent="0.2">
      <c r="A6" s="7"/>
      <c r="B6" s="6" t="s">
        <v>820</v>
      </c>
      <c r="C6" s="6"/>
      <c r="D6" s="6"/>
      <c r="E6" s="6"/>
      <c r="F6" s="6"/>
      <c r="G6" s="6"/>
      <c r="H6" s="567">
        <f>Main_OrgName</f>
        <v>0</v>
      </c>
      <c r="I6" s="567"/>
      <c r="J6" s="567"/>
      <c r="K6" s="567"/>
      <c r="L6" s="567"/>
      <c r="M6" s="567"/>
      <c r="N6" s="567"/>
      <c r="O6" s="567"/>
      <c r="P6" s="567"/>
      <c r="Q6" s="567"/>
      <c r="R6" s="567"/>
      <c r="S6" s="567"/>
      <c r="T6" s="567"/>
      <c r="U6" s="567"/>
      <c r="V6" s="567"/>
      <c r="W6" s="567"/>
      <c r="X6" s="567"/>
      <c r="Y6" s="567"/>
      <c r="Z6" s="567"/>
      <c r="AA6" s="567"/>
      <c r="AB6" s="567"/>
      <c r="AC6" s="567"/>
      <c r="AD6" s="567"/>
      <c r="AE6" s="567"/>
      <c r="AF6" s="6"/>
      <c r="AG6" s="6" t="s">
        <v>1232</v>
      </c>
      <c r="AH6" s="6"/>
      <c r="AI6" s="6"/>
      <c r="AJ6" s="6"/>
      <c r="AK6" s="6"/>
      <c r="AL6" s="6"/>
      <c r="AM6" s="6"/>
      <c r="AN6" s="6"/>
      <c r="AO6" s="6"/>
      <c r="AP6" s="6"/>
      <c r="AQ6" s="566">
        <f>LAMP_TotalBudget</f>
        <v>0</v>
      </c>
      <c r="AR6" s="566"/>
      <c r="AS6" s="566"/>
      <c r="AT6" s="566"/>
      <c r="AU6" s="566"/>
      <c r="AV6" s="566"/>
      <c r="AW6" s="7"/>
      <c r="AX6" s="7"/>
      <c r="AY6" s="7"/>
      <c r="AZ6" s="7"/>
      <c r="BA6" s="7"/>
      <c r="BB6" s="6"/>
      <c r="BC6" s="7"/>
      <c r="BD6" s="7"/>
      <c r="BE6" s="7"/>
      <c r="BF6" s="7"/>
      <c r="BG6" s="7"/>
      <c r="BH6" s="7"/>
      <c r="BI6" s="7"/>
      <c r="BJ6" s="7"/>
      <c r="BK6" s="7"/>
      <c r="BL6" s="6"/>
      <c r="BM6" s="6"/>
      <c r="BN6" s="6"/>
      <c r="BO6" s="6"/>
      <c r="BP6" s="6"/>
      <c r="BQ6" s="6"/>
      <c r="BR6" s="6"/>
      <c r="BS6" s="6"/>
      <c r="BT6" s="6"/>
      <c r="BU6" s="6"/>
      <c r="BV6" s="6"/>
      <c r="BW6" s="6"/>
      <c r="BX6" s="6"/>
      <c r="BY6" s="6"/>
      <c r="BZ6" s="6"/>
      <c r="CA6" s="6"/>
      <c r="CB6" s="6"/>
      <c r="CC6" s="6"/>
      <c r="CD6" s="6"/>
      <c r="CE6" s="11"/>
    </row>
    <row r="7" spans="1:86" ht="13.9" customHeight="1" x14ac:dyDescent="0.2">
      <c r="A7" s="7"/>
      <c r="B7" s="6" t="s">
        <v>826</v>
      </c>
      <c r="C7" s="7"/>
      <c r="D7" s="7"/>
      <c r="E7" s="7"/>
      <c r="F7" s="7"/>
      <c r="G7" s="7"/>
      <c r="H7" s="567" t="str">
        <f>Main_AuthorityType</f>
        <v>Local Authority</v>
      </c>
      <c r="I7" s="567"/>
      <c r="J7" s="567"/>
      <c r="K7" s="567"/>
      <c r="L7" s="567"/>
      <c r="M7" s="567"/>
      <c r="N7" s="567"/>
      <c r="O7" s="567"/>
      <c r="P7" s="567"/>
      <c r="Q7" s="567"/>
      <c r="R7" s="567"/>
      <c r="S7" s="567"/>
      <c r="T7" s="6"/>
      <c r="U7" s="6"/>
      <c r="V7" s="6"/>
      <c r="W7" s="6"/>
      <c r="X7" s="6"/>
      <c r="Y7" s="6"/>
      <c r="Z7" s="6"/>
      <c r="AA7" s="6"/>
      <c r="AB7" s="6"/>
      <c r="AC7" s="6"/>
      <c r="AD7" s="6"/>
      <c r="AE7" s="6"/>
      <c r="AF7" s="6"/>
      <c r="AG7" s="6"/>
      <c r="AH7" s="6" t="s">
        <v>1233</v>
      </c>
      <c r="AI7" s="6"/>
      <c r="AJ7" s="6"/>
      <c r="AK7" s="6"/>
      <c r="AL7" s="6"/>
      <c r="AM7" s="6"/>
      <c r="AN7" s="6"/>
      <c r="AO7" s="6"/>
      <c r="AP7" s="6"/>
      <c r="AQ7" s="566">
        <f>LAMP_Expenditure</f>
        <v>0</v>
      </c>
      <c r="AR7" s="566"/>
      <c r="AS7" s="566"/>
      <c r="AT7" s="566"/>
      <c r="AU7" s="566"/>
      <c r="AV7" s="566"/>
      <c r="AW7" s="7"/>
      <c r="AX7" s="7"/>
      <c r="AY7" s="7"/>
      <c r="AZ7" s="7"/>
      <c r="BA7" s="6" t="s">
        <v>1197</v>
      </c>
      <c r="BB7" s="6"/>
      <c r="BC7" s="6"/>
      <c r="BD7" s="6"/>
      <c r="BE7" s="6"/>
      <c r="BF7" s="6"/>
      <c r="BG7" s="6"/>
      <c r="BH7" s="150"/>
      <c r="BI7" s="7"/>
      <c r="BJ7" s="7"/>
      <c r="BK7" s="566">
        <f>LAMP_DiscExpenditure</f>
        <v>0</v>
      </c>
      <c r="BL7" s="566"/>
      <c r="BM7" s="566"/>
      <c r="BN7" s="566"/>
      <c r="BO7" s="566"/>
      <c r="BP7" s="566"/>
      <c r="BQ7" s="6"/>
      <c r="BR7" s="6"/>
      <c r="BS7" s="6"/>
      <c r="BT7" s="6"/>
      <c r="BU7" s="6"/>
      <c r="BV7" s="6"/>
      <c r="BW7" s="6"/>
      <c r="BX7" s="6"/>
      <c r="BY7" s="6"/>
      <c r="BZ7" s="6"/>
      <c r="CA7" s="6"/>
      <c r="CB7" s="6"/>
      <c r="CC7" s="6"/>
      <c r="CD7" s="6"/>
      <c r="CE7" s="11"/>
    </row>
    <row r="8" spans="1:86" ht="13.9" customHeight="1" x14ac:dyDescent="0.2">
      <c r="A8" s="7"/>
      <c r="B8" s="6" t="s">
        <v>827</v>
      </c>
      <c r="C8" s="7"/>
      <c r="D8" s="7"/>
      <c r="E8" s="7"/>
      <c r="F8" s="7"/>
      <c r="G8" s="7"/>
      <c r="H8" s="570">
        <f>LAMP_RUN_DATE</f>
        <v>0</v>
      </c>
      <c r="I8" s="570"/>
      <c r="J8" s="570"/>
      <c r="K8" s="570"/>
      <c r="L8" s="570"/>
      <c r="M8" s="570"/>
      <c r="N8" s="570"/>
      <c r="O8" s="570"/>
      <c r="P8" s="570"/>
      <c r="Q8" s="570"/>
      <c r="R8" s="570"/>
      <c r="S8" s="570"/>
      <c r="T8" s="6"/>
      <c r="U8" s="6"/>
      <c r="V8" s="6"/>
      <c r="W8" s="6"/>
      <c r="X8" s="6"/>
      <c r="Y8" s="6"/>
      <c r="Z8" s="6"/>
      <c r="AA8" s="6"/>
      <c r="AB8" s="6"/>
      <c r="AC8" s="6"/>
      <c r="AD8" s="6"/>
      <c r="AE8" s="6"/>
      <c r="AF8" s="6"/>
      <c r="AG8" s="6"/>
      <c r="AH8" s="6" t="s">
        <v>1234</v>
      </c>
      <c r="AI8" s="6"/>
      <c r="AJ8" s="6"/>
      <c r="AK8" s="6"/>
      <c r="AL8" s="6"/>
      <c r="AM8" s="6"/>
      <c r="AN8" s="6"/>
      <c r="AO8" s="6"/>
      <c r="AP8" s="6"/>
      <c r="AQ8" s="566">
        <f>LAMP_PlannedMaintenance</f>
        <v>0</v>
      </c>
      <c r="AR8" s="566"/>
      <c r="AS8" s="566"/>
      <c r="AT8" s="566"/>
      <c r="AU8" s="566"/>
      <c r="AV8" s="566"/>
      <c r="AW8" s="7"/>
      <c r="AX8" s="7"/>
      <c r="AY8" s="7"/>
      <c r="AZ8" s="7"/>
      <c r="BA8" s="6" t="s">
        <v>1780</v>
      </c>
      <c r="BB8" s="6"/>
      <c r="BC8" s="6"/>
      <c r="BD8" s="6"/>
      <c r="BE8" s="6"/>
      <c r="BF8" s="6"/>
      <c r="BG8" s="6"/>
      <c r="BH8" s="6"/>
      <c r="BI8" s="7"/>
      <c r="BJ8" s="7"/>
      <c r="BK8" s="566">
        <f ca="1">LAMP_DiscPlannedMaint</f>
        <v>0</v>
      </c>
      <c r="BL8" s="566"/>
      <c r="BM8" s="566"/>
      <c r="BN8" s="566"/>
      <c r="BO8" s="566"/>
      <c r="BP8" s="566"/>
      <c r="BQ8" s="6"/>
      <c r="BR8" s="6"/>
      <c r="BS8" s="6"/>
      <c r="BT8" s="6"/>
      <c r="BU8" s="6"/>
      <c r="BV8" s="6"/>
      <c r="BW8" s="6"/>
      <c r="BX8" s="6"/>
      <c r="BY8" s="6"/>
      <c r="BZ8" s="6"/>
      <c r="CA8" s="6"/>
      <c r="CB8" s="6"/>
      <c r="CC8" s="6"/>
      <c r="CD8" s="6"/>
      <c r="CE8" s="11"/>
    </row>
    <row r="9" spans="1:86" ht="13.9" customHeight="1" x14ac:dyDescent="0.2">
      <c r="A9" s="7"/>
      <c r="B9" s="7"/>
      <c r="C9" s="7"/>
      <c r="D9" s="7"/>
      <c r="E9" s="7"/>
      <c r="F9" s="7"/>
      <c r="G9" s="7"/>
      <c r="H9" s="7"/>
      <c r="I9" s="7"/>
      <c r="J9" s="7"/>
      <c r="K9" s="7"/>
      <c r="L9" s="7"/>
      <c r="M9" s="7"/>
      <c r="N9" s="7"/>
      <c r="O9" s="7"/>
      <c r="P9" s="7"/>
      <c r="Q9" s="7"/>
      <c r="R9" s="7"/>
      <c r="S9" s="7"/>
      <c r="T9" s="7"/>
      <c r="U9" s="6"/>
      <c r="V9" s="6"/>
      <c r="W9" s="6"/>
      <c r="X9" s="6"/>
      <c r="Y9" s="6"/>
      <c r="Z9" s="6"/>
      <c r="AA9" s="6"/>
      <c r="AB9" s="6"/>
      <c r="AC9" s="6"/>
      <c r="AD9" s="6"/>
      <c r="AE9" s="6"/>
      <c r="AF9" s="6"/>
      <c r="AG9" s="6"/>
      <c r="AH9" s="6" t="s">
        <v>1235</v>
      </c>
      <c r="AI9" s="6"/>
      <c r="AJ9" s="6"/>
      <c r="AK9" s="6"/>
      <c r="AL9" s="6"/>
      <c r="AM9" s="6"/>
      <c r="AN9" s="6"/>
      <c r="AO9" s="6"/>
      <c r="AP9" s="6"/>
      <c r="AQ9" s="566">
        <f>LAMP_RoutineMaintenance</f>
        <v>0</v>
      </c>
      <c r="AR9" s="566"/>
      <c r="AS9" s="566"/>
      <c r="AT9" s="566"/>
      <c r="AU9" s="566"/>
      <c r="AV9" s="566"/>
      <c r="AW9" s="7"/>
      <c r="AX9" s="7"/>
      <c r="AY9" s="7"/>
      <c r="AZ9" s="7"/>
      <c r="BA9" s="6" t="s">
        <v>1781</v>
      </c>
      <c r="BB9" s="6"/>
      <c r="BC9" s="6"/>
      <c r="BD9" s="12"/>
      <c r="BE9" s="6"/>
      <c r="BF9" s="6"/>
      <c r="BG9" s="6"/>
      <c r="BH9" s="6"/>
      <c r="BI9" s="7"/>
      <c r="BJ9" s="7"/>
      <c r="BK9" s="566">
        <f>LAMP_DiscRoutineMaint</f>
        <v>0</v>
      </c>
      <c r="BL9" s="566"/>
      <c r="BM9" s="566"/>
      <c r="BN9" s="566"/>
      <c r="BO9" s="566"/>
      <c r="BP9" s="566"/>
      <c r="BQ9" s="6"/>
      <c r="BR9" s="6"/>
      <c r="BS9" s="6"/>
      <c r="BT9" s="6"/>
      <c r="BU9" s="6"/>
      <c r="BV9" s="6"/>
      <c r="BW9" s="6"/>
      <c r="BX9" s="6"/>
      <c r="BY9" s="6"/>
      <c r="BZ9" s="6"/>
      <c r="CA9" s="6"/>
      <c r="CB9" s="6"/>
      <c r="CC9" s="6"/>
      <c r="CD9" s="6"/>
      <c r="CE9" s="11"/>
    </row>
    <row r="10" spans="1:86" ht="13.9" customHeight="1" x14ac:dyDescent="0.2">
      <c r="A10" s="7"/>
      <c r="B10" s="6" t="s">
        <v>819</v>
      </c>
      <c r="C10" s="6"/>
      <c r="D10" s="6"/>
      <c r="E10" s="6"/>
      <c r="F10" s="6"/>
      <c r="G10" s="6"/>
      <c r="H10" s="567">
        <f>Main_ynNumberofYears</f>
        <v>0</v>
      </c>
      <c r="I10" s="567"/>
      <c r="J10" s="567"/>
      <c r="K10" s="567"/>
      <c r="L10" s="567"/>
      <c r="M10" s="567"/>
      <c r="N10" s="7"/>
      <c r="O10" s="7"/>
      <c r="P10" s="7"/>
      <c r="Q10" s="7"/>
      <c r="R10" s="7"/>
      <c r="S10" s="7"/>
      <c r="T10" s="6"/>
      <c r="U10" s="6"/>
      <c r="V10" s="6"/>
      <c r="W10" s="6"/>
      <c r="X10" s="6"/>
      <c r="Y10" s="6"/>
      <c r="Z10" s="6"/>
      <c r="AA10" s="6"/>
      <c r="AB10" s="6"/>
      <c r="AC10" s="6"/>
      <c r="AD10" s="6"/>
      <c r="AE10" s="6"/>
      <c r="AF10" s="6"/>
      <c r="AG10" s="6" t="s">
        <v>1228</v>
      </c>
      <c r="AH10" s="6"/>
      <c r="AI10" s="6"/>
      <c r="AJ10" s="6"/>
      <c r="AK10" s="6"/>
      <c r="AL10" s="6"/>
      <c r="AM10" s="6"/>
      <c r="AN10" s="6"/>
      <c r="AO10" s="6"/>
      <c r="AP10" s="6"/>
      <c r="AQ10" s="566">
        <f>LAMP_Expenditure+LAMP_PlannedMaintenance+LAMP_RoutineMaintenance</f>
        <v>0</v>
      </c>
      <c r="AR10" s="566"/>
      <c r="AS10" s="566"/>
      <c r="AT10" s="566"/>
      <c r="AU10" s="566"/>
      <c r="AV10" s="566"/>
      <c r="AW10" s="7"/>
      <c r="AX10" s="7"/>
      <c r="AY10" s="7"/>
      <c r="AZ10" s="6" t="s">
        <v>1236</v>
      </c>
      <c r="BA10" s="6"/>
      <c r="BB10" s="6"/>
      <c r="BC10" s="6"/>
      <c r="BD10" s="6"/>
      <c r="BE10" s="6"/>
      <c r="BF10" s="6"/>
      <c r="BG10" s="6"/>
      <c r="BH10" s="6"/>
      <c r="BI10" s="7"/>
      <c r="BJ10" s="7"/>
      <c r="BK10" s="566">
        <f ca="1">LAMP_DiscExpenditure+LAMP_DiscPlannedMaint+LAMP_DiscRoutineMaint</f>
        <v>0</v>
      </c>
      <c r="BL10" s="566"/>
      <c r="BM10" s="566"/>
      <c r="BN10" s="566"/>
      <c r="BO10" s="566"/>
      <c r="BP10" s="566"/>
      <c r="BQ10" s="6"/>
      <c r="BR10" s="6"/>
      <c r="BS10" s="6"/>
      <c r="BT10" s="6"/>
      <c r="BU10" s="6"/>
      <c r="BV10" s="6"/>
      <c r="BW10" s="6"/>
      <c r="BX10" s="6"/>
      <c r="BY10" s="6"/>
      <c r="BZ10" s="6"/>
      <c r="CA10" s="6"/>
      <c r="CB10" s="6"/>
      <c r="CC10" s="6"/>
      <c r="CD10" s="6"/>
      <c r="CE10" s="11"/>
    </row>
    <row r="11" spans="1:86" ht="13.9" customHeight="1" x14ac:dyDescent="0.2">
      <c r="A11" s="7"/>
      <c r="B11" s="7"/>
      <c r="C11" s="7"/>
      <c r="D11" s="7"/>
      <c r="E11" s="7"/>
      <c r="F11" s="7"/>
      <c r="G11" s="7"/>
      <c r="H11" s="7"/>
      <c r="I11" s="7"/>
      <c r="J11" s="7"/>
      <c r="K11" s="7"/>
      <c r="L11" s="7"/>
      <c r="M11" s="7"/>
      <c r="N11" s="567"/>
      <c r="O11" s="567"/>
      <c r="P11" s="567"/>
      <c r="Q11" s="567"/>
      <c r="R11" s="567"/>
      <c r="S11" s="567"/>
      <c r="T11" s="6"/>
      <c r="U11" s="6"/>
      <c r="V11" s="6"/>
      <c r="W11" s="6"/>
      <c r="X11" s="6"/>
      <c r="Y11" s="6"/>
      <c r="Z11" s="6"/>
      <c r="AA11" s="6"/>
      <c r="AB11" s="6"/>
      <c r="AC11" s="6"/>
      <c r="AD11" s="6"/>
      <c r="AE11" s="6"/>
      <c r="AF11" s="6"/>
      <c r="AG11" s="6"/>
      <c r="AH11" s="162" t="s">
        <v>1226</v>
      </c>
      <c r="AI11" s="6"/>
      <c r="AJ11" s="6"/>
      <c r="AK11" s="162"/>
      <c r="AL11" s="162"/>
      <c r="AM11" s="162"/>
      <c r="AN11" s="162"/>
      <c r="AO11" s="162"/>
      <c r="AP11" s="162"/>
      <c r="AQ11" s="568" t="e">
        <f>LAMP_AveAnnualExpen</f>
        <v>#DIV/0!</v>
      </c>
      <c r="AR11" s="568"/>
      <c r="AS11" s="568"/>
      <c r="AT11" s="568"/>
      <c r="AU11" s="568"/>
      <c r="AV11" s="568"/>
      <c r="AW11" s="7"/>
      <c r="AX11" s="7"/>
      <c r="AY11" s="7"/>
      <c r="AZ11" s="7"/>
      <c r="BA11" s="162"/>
      <c r="BB11" s="6"/>
      <c r="BC11" s="162"/>
      <c r="BD11" s="162"/>
      <c r="BE11" s="162"/>
      <c r="BF11" s="162"/>
      <c r="BG11" s="162"/>
      <c r="BH11" s="162"/>
      <c r="BI11" s="7"/>
      <c r="BJ11" s="7"/>
      <c r="BK11" s="568"/>
      <c r="BL11" s="568"/>
      <c r="BM11" s="568"/>
      <c r="BN11" s="568"/>
      <c r="BO11" s="568"/>
      <c r="BP11" s="568"/>
      <c r="BQ11" s="6"/>
      <c r="BR11" s="6"/>
      <c r="BS11" s="6"/>
      <c r="BT11" s="6"/>
      <c r="BU11" s="6"/>
      <c r="BV11" s="6"/>
      <c r="BW11" s="6"/>
      <c r="BX11" s="6"/>
      <c r="BY11" s="6"/>
      <c r="BZ11" s="6"/>
      <c r="CA11" s="6"/>
      <c r="CB11" s="6"/>
      <c r="CC11" s="6"/>
      <c r="CD11" s="6"/>
      <c r="CE11" s="11"/>
    </row>
    <row r="12" spans="1:86" ht="13.9" customHeight="1" x14ac:dyDescent="0.2">
      <c r="A12" s="7"/>
      <c r="B12" s="6" t="s">
        <v>818</v>
      </c>
      <c r="C12" s="6"/>
      <c r="D12" s="6"/>
      <c r="E12" s="6"/>
      <c r="F12" s="6"/>
      <c r="G12" s="6"/>
      <c r="H12" s="567">
        <f ca="1">Main_NumberOfStructures</f>
        <v>0</v>
      </c>
      <c r="I12" s="567"/>
      <c r="J12" s="567"/>
      <c r="K12" s="567"/>
      <c r="L12" s="567"/>
      <c r="M12" s="567"/>
      <c r="N12" s="567"/>
      <c r="O12" s="567"/>
      <c r="P12" s="567"/>
      <c r="Q12" s="567"/>
      <c r="R12" s="567"/>
      <c r="S12" s="567"/>
      <c r="T12" s="6"/>
      <c r="U12" s="6"/>
      <c r="V12" s="6"/>
      <c r="W12" s="6"/>
      <c r="X12" s="6"/>
      <c r="Y12" s="6"/>
      <c r="Z12" s="6"/>
      <c r="AA12" s="6"/>
      <c r="AB12" s="6"/>
      <c r="AC12" s="6"/>
      <c r="AD12" s="6"/>
      <c r="AE12" s="6"/>
      <c r="AF12" s="6"/>
      <c r="AG12" s="6" t="str">
        <f>CONCATENATE("Workbank After Year ",Main_ynNumberofYears,":")</f>
        <v>Workbank After Year :</v>
      </c>
      <c r="AH12" s="6"/>
      <c r="AI12" s="6"/>
      <c r="AJ12" s="6"/>
      <c r="AK12" s="6"/>
      <c r="AL12" s="6"/>
      <c r="AM12" s="6"/>
      <c r="AN12" s="6"/>
      <c r="AO12" s="6"/>
      <c r="AP12" s="6"/>
      <c r="AQ12" s="566">
        <f>LAMP_Workbank</f>
        <v>103956605.36561763</v>
      </c>
      <c r="AR12" s="566"/>
      <c r="AS12" s="566"/>
      <c r="AT12" s="566"/>
      <c r="AU12" s="566"/>
      <c r="AV12" s="566"/>
      <c r="AW12" s="7"/>
      <c r="AX12" s="7"/>
      <c r="AY12" s="7"/>
      <c r="AZ12" s="6" t="str">
        <f>CONCATENATE("Discounted Workbank After Year ",Main_ynNumberofYears,":")</f>
        <v>Discounted Workbank After Year :</v>
      </c>
      <c r="BA12" s="6"/>
      <c r="BB12" s="6"/>
      <c r="BC12" s="6"/>
      <c r="BD12" s="6"/>
      <c r="BE12" s="6"/>
      <c r="BF12" s="6"/>
      <c r="BG12" s="6"/>
      <c r="BH12" s="6"/>
      <c r="BI12" s="7"/>
      <c r="BJ12" s="7"/>
      <c r="BK12" s="566" t="e">
        <f>LAMP_DiscWorkbank</f>
        <v>#VALUE!</v>
      </c>
      <c r="BL12" s="566"/>
      <c r="BM12" s="566"/>
      <c r="BN12" s="566"/>
      <c r="BO12" s="566"/>
      <c r="BP12" s="566"/>
      <c r="BQ12" s="6"/>
      <c r="BR12" s="6"/>
      <c r="BS12" s="6"/>
      <c r="BT12" s="6"/>
      <c r="BU12" s="6"/>
      <c r="BV12" s="6"/>
      <c r="BW12" s="6"/>
      <c r="BX12" s="6"/>
      <c r="BY12" s="6"/>
      <c r="BZ12" s="6"/>
      <c r="CA12" s="6"/>
      <c r="CB12" s="6"/>
      <c r="CC12" s="6"/>
      <c r="CD12" s="6"/>
      <c r="CE12" s="11"/>
      <c r="CH12" s="96"/>
    </row>
    <row r="13" spans="1:86" ht="13.9" customHeight="1" x14ac:dyDescent="0.2">
      <c r="A13" s="7"/>
      <c r="B13" s="6" t="s">
        <v>1027</v>
      </c>
      <c r="C13" s="6"/>
      <c r="D13" s="6"/>
      <c r="E13" s="6"/>
      <c r="F13" s="6"/>
      <c r="G13" s="6"/>
      <c r="H13" s="567">
        <f>Main_NumberOfElements</f>
        <v>0</v>
      </c>
      <c r="I13" s="567"/>
      <c r="J13" s="567"/>
      <c r="K13" s="567"/>
      <c r="L13" s="567"/>
      <c r="M13" s="567"/>
      <c r="N13" s="94"/>
      <c r="O13" s="94"/>
      <c r="P13" s="94"/>
      <c r="Q13" s="94"/>
      <c r="R13" s="94"/>
      <c r="S13" s="94"/>
      <c r="T13" s="6"/>
      <c r="U13" s="6"/>
      <c r="V13" s="6"/>
      <c r="W13" s="6"/>
      <c r="X13" s="6"/>
      <c r="Y13" s="6"/>
      <c r="Z13" s="6"/>
      <c r="AA13" s="6"/>
      <c r="AB13" s="6"/>
      <c r="AC13" s="6"/>
      <c r="AD13" s="6"/>
      <c r="AE13" s="6"/>
      <c r="AF13" s="6"/>
      <c r="AG13" s="6" t="str">
        <f>CONCATENATE("Spend + Workbank After Year ",Main_ynNumberofYears,":")</f>
        <v>Spend + Workbank After Year :</v>
      </c>
      <c r="AH13" s="6"/>
      <c r="AI13" s="6"/>
      <c r="AJ13" s="6"/>
      <c r="AK13" s="6"/>
      <c r="AL13" s="6"/>
      <c r="AM13" s="6"/>
      <c r="AN13" s="6"/>
      <c r="AO13" s="6"/>
      <c r="AP13" s="6"/>
      <c r="AQ13" s="566">
        <f>LAMP_Expenditure+LAMP_PlannedMaintenance+LAMP_RoutineMaintenance+LAMP_Workbank</f>
        <v>103956605.36561763</v>
      </c>
      <c r="AR13" s="566"/>
      <c r="AS13" s="566"/>
      <c r="AT13" s="566"/>
      <c r="AU13" s="566"/>
      <c r="AV13" s="566"/>
      <c r="AW13" s="7"/>
      <c r="AX13" s="7"/>
      <c r="AY13" s="7"/>
      <c r="AZ13" s="6" t="str">
        <f>CONCATENATE("Disc. Spend + Workbank After Year ",Main_ynNumberofYears,":")</f>
        <v>Disc. Spend + Workbank After Year :</v>
      </c>
      <c r="BA13" s="6"/>
      <c r="BB13" s="6"/>
      <c r="BC13" s="6"/>
      <c r="BD13" s="6"/>
      <c r="BE13" s="6"/>
      <c r="BF13" s="6"/>
      <c r="BG13" s="6"/>
      <c r="BH13" s="6"/>
      <c r="BI13" s="217"/>
      <c r="BJ13" s="217"/>
      <c r="BK13" s="566" t="e">
        <f>LAMP_DiscExpenditure+LAMP_PlannedMaintenance+LAMP_RoutineMaintenance+LAMP_DiscWorkbank</f>
        <v>#VALUE!</v>
      </c>
      <c r="BL13" s="566"/>
      <c r="BM13" s="566"/>
      <c r="BN13" s="566"/>
      <c r="BO13" s="566"/>
      <c r="BP13" s="566"/>
      <c r="BQ13" s="6"/>
      <c r="BR13" s="6"/>
      <c r="BS13" s="6"/>
      <c r="BT13" s="6"/>
      <c r="BU13" s="6"/>
      <c r="BV13" s="6"/>
      <c r="BW13" s="6"/>
      <c r="BX13" s="6"/>
      <c r="BY13" s="6"/>
      <c r="BZ13" s="6"/>
      <c r="CA13" s="6"/>
      <c r="CB13" s="6"/>
      <c r="CC13" s="6"/>
      <c r="CD13" s="6"/>
      <c r="CE13" s="11"/>
      <c r="CH13" s="96"/>
    </row>
    <row r="14" spans="1:86" ht="13.9" customHeight="1" x14ac:dyDescent="0.2">
      <c r="A14" s="7"/>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11"/>
    </row>
    <row r="16" spans="1:86" ht="13.9" customHeight="1" x14ac:dyDescent="0.2">
      <c r="A16" s="569" t="s">
        <v>828</v>
      </c>
      <c r="B16" s="569"/>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11"/>
    </row>
    <row r="17" spans="1:84" x14ac:dyDescent="0.2">
      <c r="A17" s="569"/>
      <c r="B17" s="569"/>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11"/>
    </row>
    <row r="18" spans="1:84" x14ac:dyDescent="0.2">
      <c r="A18" s="569"/>
      <c r="B18" s="569"/>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11"/>
    </row>
    <row r="19" spans="1:84" x14ac:dyDescent="0.2">
      <c r="A19" s="569"/>
      <c r="B19" s="569"/>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c r="CD19" s="6"/>
      <c r="CE19" s="11"/>
    </row>
    <row r="20" spans="1:84" x14ac:dyDescent="0.2">
      <c r="A20" s="569"/>
      <c r="B20" s="569"/>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11"/>
    </row>
    <row r="21" spans="1:84" x14ac:dyDescent="0.2">
      <c r="A21" s="569"/>
      <c r="B21" s="569"/>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c r="CD21" s="6"/>
      <c r="CE21" s="11"/>
    </row>
    <row r="22" spans="1:84" x14ac:dyDescent="0.2">
      <c r="A22" s="569"/>
      <c r="B22" s="569"/>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c r="CD22" s="6"/>
      <c r="CE22" s="11"/>
    </row>
    <row r="23" spans="1:84" x14ac:dyDescent="0.2">
      <c r="A23" s="569"/>
      <c r="B23" s="569"/>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c r="CD23" s="6"/>
      <c r="CE23" s="11"/>
    </row>
    <row r="24" spans="1:84" x14ac:dyDescent="0.2">
      <c r="A24" s="569"/>
      <c r="B24" s="569"/>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c r="CD24" s="6"/>
      <c r="CE24" s="11"/>
    </row>
    <row r="25" spans="1:84" x14ac:dyDescent="0.2">
      <c r="A25" s="569"/>
      <c r="B25" s="569"/>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c r="CD25" s="6"/>
      <c r="CE25" s="11"/>
    </row>
    <row r="26" spans="1:84" x14ac:dyDescent="0.2">
      <c r="A26" s="569"/>
      <c r="B26" s="569"/>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c r="CD26" s="6"/>
      <c r="CE26" s="11"/>
    </row>
    <row r="27" spans="1:84" x14ac:dyDescent="0.2">
      <c r="A27" s="569"/>
      <c r="B27" s="569"/>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c r="CD27" s="6"/>
      <c r="CE27" s="11"/>
      <c r="CF27" s="17"/>
    </row>
    <row r="28" spans="1:84" x14ac:dyDescent="0.2">
      <c r="A28" s="569"/>
      <c r="B28" s="569"/>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11"/>
      <c r="CF28" s="17"/>
    </row>
    <row r="29" spans="1:84" x14ac:dyDescent="0.2">
      <c r="A29" s="569"/>
      <c r="B29" s="569"/>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c r="CD29" s="6"/>
      <c r="CE29" s="11"/>
      <c r="CF29" s="17"/>
    </row>
    <row r="30" spans="1:84" x14ac:dyDescent="0.2">
      <c r="A30" s="569"/>
      <c r="B30" s="569"/>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c r="CD30" s="6"/>
      <c r="CE30" s="11"/>
      <c r="CF30" s="17"/>
    </row>
    <row r="31" spans="1:84" x14ac:dyDescent="0.2">
      <c r="A31" s="569"/>
      <c r="B31" s="569"/>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c r="CD31" s="6"/>
      <c r="CE31" s="11"/>
      <c r="CF31" s="17"/>
    </row>
    <row r="32" spans="1:84" x14ac:dyDescent="0.2">
      <c r="A32" s="569"/>
      <c r="B32" s="569"/>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c r="CD32" s="6"/>
      <c r="CE32" s="11"/>
      <c r="CF32" s="17"/>
    </row>
    <row r="33" spans="1:84" x14ac:dyDescent="0.2">
      <c r="A33" s="569"/>
      <c r="B33" s="569"/>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c r="CD33" s="6"/>
      <c r="CE33" s="11"/>
      <c r="CF33" s="17"/>
    </row>
    <row r="34" spans="1:84" x14ac:dyDescent="0.2">
      <c r="A34" s="569"/>
      <c r="B34" s="569"/>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c r="CD34" s="6"/>
      <c r="CE34" s="11"/>
      <c r="CF34" s="17"/>
    </row>
    <row r="35" spans="1:84" x14ac:dyDescent="0.2">
      <c r="A35" s="569"/>
      <c r="B35" s="569"/>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11"/>
      <c r="CF35" s="17"/>
    </row>
    <row r="36" spans="1:84" x14ac:dyDescent="0.2">
      <c r="A36" s="569"/>
      <c r="B36" s="569"/>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c r="CD36" s="6"/>
      <c r="CE36" s="11"/>
      <c r="CF36" s="17"/>
    </row>
    <row r="37" spans="1:84" x14ac:dyDescent="0.2">
      <c r="A37" s="569"/>
      <c r="B37" s="569"/>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c r="CD37" s="6"/>
      <c r="CE37" s="11"/>
      <c r="CF37" s="17"/>
    </row>
    <row r="38" spans="1:84" x14ac:dyDescent="0.2">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c r="CA38" s="10"/>
      <c r="CB38" s="10"/>
      <c r="CC38" s="10"/>
      <c r="CD38" s="10"/>
      <c r="CE38" s="10"/>
      <c r="CF38" s="17"/>
    </row>
    <row r="39" spans="1:84" ht="14.45" customHeight="1" x14ac:dyDescent="0.2">
      <c r="A39" s="569" t="s">
        <v>1174</v>
      </c>
      <c r="B39" s="569"/>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c r="CD39" s="6"/>
      <c r="CE39" s="11"/>
      <c r="CF39" s="17"/>
    </row>
    <row r="40" spans="1:84" x14ac:dyDescent="0.2">
      <c r="A40" s="569"/>
      <c r="B40" s="569"/>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c r="CD40" s="6"/>
      <c r="CE40" s="11"/>
      <c r="CF40" s="17"/>
    </row>
    <row r="41" spans="1:84" x14ac:dyDescent="0.2">
      <c r="A41" s="569"/>
      <c r="B41" s="569"/>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c r="CD41" s="6"/>
      <c r="CE41" s="11"/>
      <c r="CF41" s="17"/>
    </row>
    <row r="42" spans="1:84" x14ac:dyDescent="0.2">
      <c r="A42" s="569"/>
      <c r="B42" s="569"/>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c r="CA42" s="6"/>
      <c r="CB42" s="6"/>
      <c r="CC42" s="6"/>
      <c r="CD42" s="6"/>
      <c r="CE42" s="11"/>
      <c r="CF42" s="17"/>
    </row>
    <row r="43" spans="1:84" x14ac:dyDescent="0.2">
      <c r="A43" s="569"/>
      <c r="B43" s="569"/>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c r="CA43" s="6"/>
      <c r="CB43" s="6"/>
      <c r="CC43" s="6"/>
      <c r="CD43" s="6"/>
      <c r="CE43" s="11"/>
      <c r="CF43" s="17"/>
    </row>
    <row r="44" spans="1:84" x14ac:dyDescent="0.2">
      <c r="A44" s="569"/>
      <c r="B44" s="569"/>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c r="CA44" s="6"/>
      <c r="CB44" s="6"/>
      <c r="CC44" s="6"/>
      <c r="CD44" s="6"/>
      <c r="CE44" s="11"/>
      <c r="CF44" s="17"/>
    </row>
    <row r="45" spans="1:84" x14ac:dyDescent="0.2">
      <c r="A45" s="569"/>
      <c r="B45" s="569"/>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c r="CA45" s="6"/>
      <c r="CB45" s="6"/>
      <c r="CC45" s="6"/>
      <c r="CD45" s="6"/>
      <c r="CE45" s="11"/>
      <c r="CF45" s="17"/>
    </row>
    <row r="46" spans="1:84" x14ac:dyDescent="0.2">
      <c r="A46" s="569"/>
      <c r="B46" s="569"/>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c r="CD46" s="6"/>
      <c r="CE46" s="11"/>
      <c r="CF46" s="17"/>
    </row>
    <row r="47" spans="1:84" x14ac:dyDescent="0.2">
      <c r="A47" s="569"/>
      <c r="B47" s="569"/>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c r="CD47" s="6"/>
      <c r="CE47" s="11"/>
      <c r="CF47" s="17"/>
    </row>
    <row r="48" spans="1:84" x14ac:dyDescent="0.2">
      <c r="A48" s="569"/>
      <c r="B48" s="569"/>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c r="CA48" s="6"/>
      <c r="CB48" s="6"/>
      <c r="CC48" s="6"/>
      <c r="CD48" s="6"/>
      <c r="CE48" s="11"/>
      <c r="CF48" s="17"/>
    </row>
    <row r="49" spans="1:84" x14ac:dyDescent="0.2">
      <c r="A49" s="569"/>
      <c r="B49" s="569"/>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c r="CA49" s="6"/>
      <c r="CB49" s="6"/>
      <c r="CC49" s="6"/>
      <c r="CD49" s="6"/>
      <c r="CE49" s="11"/>
      <c r="CF49" s="17"/>
    </row>
    <row r="50" spans="1:84" x14ac:dyDescent="0.2">
      <c r="A50" s="569"/>
      <c r="B50" s="569"/>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c r="CD50" s="6"/>
      <c r="CE50" s="11"/>
      <c r="CF50" s="17"/>
    </row>
    <row r="51" spans="1:84" x14ac:dyDescent="0.2">
      <c r="A51" s="569"/>
      <c r="B51" s="569"/>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c r="CD51" s="6"/>
      <c r="CE51" s="11"/>
      <c r="CF51" s="17"/>
    </row>
    <row r="52" spans="1:84" x14ac:dyDescent="0.2">
      <c r="A52" s="569"/>
      <c r="B52" s="569"/>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c r="CA52" s="6"/>
      <c r="CB52" s="6"/>
      <c r="CC52" s="6"/>
      <c r="CD52" s="6"/>
      <c r="CE52" s="11"/>
      <c r="CF52" s="17"/>
    </row>
    <row r="53" spans="1:84" x14ac:dyDescent="0.2">
      <c r="A53" s="569"/>
      <c r="B53" s="569"/>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c r="CC53" s="6"/>
      <c r="CD53" s="6"/>
      <c r="CE53" s="11"/>
      <c r="CF53" s="17"/>
    </row>
    <row r="54" spans="1:84" x14ac:dyDescent="0.2">
      <c r="A54" s="569"/>
      <c r="B54" s="569"/>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c r="CD54" s="6"/>
      <c r="CE54" s="11"/>
    </row>
    <row r="55" spans="1:84" x14ac:dyDescent="0.2">
      <c r="A55" s="569"/>
      <c r="B55" s="569"/>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c r="BU55" s="6"/>
      <c r="BV55" s="6"/>
      <c r="BW55" s="6"/>
      <c r="BX55" s="6"/>
      <c r="BY55" s="6"/>
      <c r="BZ55" s="6"/>
      <c r="CA55" s="6"/>
      <c r="CB55" s="6"/>
      <c r="CC55" s="6"/>
      <c r="CD55" s="6"/>
      <c r="CE55" s="11"/>
      <c r="CF55" s="17"/>
    </row>
    <row r="56" spans="1:84" x14ac:dyDescent="0.2">
      <c r="A56" s="569"/>
      <c r="B56" s="569"/>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c r="BU56" s="6"/>
      <c r="BV56" s="6"/>
      <c r="BW56" s="6"/>
      <c r="BX56" s="6"/>
      <c r="BY56" s="6"/>
      <c r="BZ56" s="6"/>
      <c r="CA56" s="6"/>
      <c r="CB56" s="6"/>
      <c r="CC56" s="6"/>
      <c r="CD56" s="6"/>
      <c r="CE56" s="11"/>
      <c r="CF56" s="18"/>
    </row>
    <row r="57" spans="1:84" x14ac:dyDescent="0.2">
      <c r="A57" s="569"/>
      <c r="B57" s="569"/>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c r="BU57" s="6"/>
      <c r="BV57" s="6"/>
      <c r="BW57" s="6"/>
      <c r="BX57" s="6"/>
      <c r="BY57" s="6"/>
      <c r="BZ57" s="6"/>
      <c r="CA57" s="6"/>
      <c r="CB57" s="6"/>
      <c r="CC57" s="6"/>
      <c r="CD57" s="6"/>
      <c r="CE57" s="11"/>
      <c r="CF57" s="18"/>
    </row>
    <row r="58" spans="1:84" x14ac:dyDescent="0.2">
      <c r="A58" s="569"/>
      <c r="B58" s="569"/>
      <c r="C58" s="6"/>
      <c r="D58" s="6"/>
      <c r="E58" s="6"/>
      <c r="F58" s="6"/>
      <c r="G58" s="6"/>
      <c r="H58" s="8"/>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c r="BJ58" s="6"/>
      <c r="BK58" s="6"/>
      <c r="BL58" s="6"/>
      <c r="BM58" s="6"/>
      <c r="BN58" s="6"/>
      <c r="BO58" s="6"/>
      <c r="BP58" s="6"/>
      <c r="BQ58" s="6"/>
      <c r="BR58" s="6"/>
      <c r="BS58" s="6"/>
      <c r="BT58" s="6"/>
      <c r="BU58" s="6"/>
      <c r="BV58" s="6"/>
      <c r="BW58" s="6"/>
      <c r="BX58" s="6"/>
      <c r="BY58" s="6"/>
      <c r="BZ58" s="6"/>
      <c r="CA58" s="6"/>
      <c r="CB58" s="6"/>
      <c r="CC58" s="6"/>
      <c r="CD58" s="6"/>
      <c r="CE58" s="11"/>
      <c r="CF58" s="18"/>
    </row>
    <row r="59" spans="1:84" x14ac:dyDescent="0.2">
      <c r="A59" s="569"/>
      <c r="B59" s="569"/>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6"/>
      <c r="BX59" s="6"/>
      <c r="BY59" s="6"/>
      <c r="BZ59" s="6"/>
      <c r="CA59" s="6"/>
      <c r="CB59" s="6"/>
      <c r="CC59" s="6"/>
      <c r="CD59" s="6"/>
      <c r="CE59" s="11"/>
      <c r="CF59" s="18"/>
    </row>
    <row r="60" spans="1:84" x14ac:dyDescent="0.2">
      <c r="A60" s="569"/>
      <c r="B60" s="569"/>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6"/>
      <c r="BX60" s="6"/>
      <c r="BY60" s="6"/>
      <c r="BZ60" s="6"/>
      <c r="CA60" s="6"/>
      <c r="CB60" s="6"/>
      <c r="CC60" s="6"/>
      <c r="CD60" s="6"/>
      <c r="CE60" s="11"/>
      <c r="CF60" s="18"/>
    </row>
    <row r="61" spans="1:84" x14ac:dyDescent="0.2">
      <c r="A61" s="93"/>
      <c r="B61" s="93"/>
      <c r="C61" s="93"/>
      <c r="D61" s="93"/>
      <c r="E61" s="93"/>
      <c r="F61" s="93"/>
      <c r="G61" s="93"/>
      <c r="H61" s="93"/>
      <c r="I61" s="93"/>
      <c r="J61" s="93"/>
      <c r="K61" s="93"/>
      <c r="L61" s="93"/>
      <c r="M61" s="93"/>
      <c r="N61" s="93"/>
      <c r="O61" s="93"/>
      <c r="P61" s="93"/>
      <c r="Q61" s="93"/>
      <c r="R61" s="93"/>
      <c r="S61" s="93"/>
      <c r="T61" s="93"/>
      <c r="U61" s="93"/>
      <c r="V61" s="93"/>
      <c r="W61" s="93"/>
      <c r="X61" s="93"/>
      <c r="Y61" s="93"/>
      <c r="Z61" s="93"/>
      <c r="AA61" s="93"/>
      <c r="AB61" s="93"/>
      <c r="AC61" s="93"/>
      <c r="AD61" s="93"/>
      <c r="AE61" s="93"/>
      <c r="AF61" s="93"/>
      <c r="AG61" s="93"/>
      <c r="AH61" s="93"/>
      <c r="AI61" s="93"/>
      <c r="AJ61" s="93"/>
      <c r="AK61" s="93"/>
      <c r="AL61" s="93"/>
      <c r="AM61" s="93"/>
      <c r="AN61" s="93"/>
      <c r="AO61" s="93"/>
      <c r="AP61" s="93"/>
      <c r="AQ61" s="93"/>
      <c r="AR61" s="93"/>
      <c r="AS61" s="93"/>
      <c r="AT61" s="93"/>
      <c r="AU61" s="93"/>
      <c r="AV61" s="93"/>
      <c r="AW61" s="93"/>
      <c r="AX61" s="93"/>
      <c r="AY61" s="93"/>
      <c r="AZ61" s="93"/>
      <c r="BA61" s="93"/>
      <c r="BB61" s="93"/>
      <c r="BC61" s="93"/>
      <c r="BD61" s="93"/>
      <c r="BE61" s="93"/>
      <c r="BF61" s="93"/>
      <c r="BG61" s="93"/>
      <c r="BH61" s="93"/>
      <c r="BI61" s="93"/>
      <c r="BJ61" s="93"/>
      <c r="BK61" s="93"/>
      <c r="BL61" s="93"/>
      <c r="BM61" s="93"/>
      <c r="BN61" s="93"/>
      <c r="BO61" s="93"/>
      <c r="BP61" s="93"/>
      <c r="BQ61" s="93"/>
      <c r="BR61" s="93"/>
      <c r="BS61" s="93"/>
      <c r="BT61" s="93"/>
      <c r="BU61" s="93"/>
      <c r="BV61" s="93"/>
      <c r="BW61" s="93"/>
      <c r="BX61" s="93"/>
      <c r="BY61" s="93"/>
      <c r="BZ61" s="93"/>
      <c r="CA61" s="93"/>
      <c r="CB61" s="93"/>
      <c r="CC61" s="93"/>
      <c r="CD61" s="93"/>
      <c r="CE61" s="93"/>
      <c r="CF61" s="18"/>
    </row>
    <row r="62" spans="1:84" ht="14.45" customHeight="1" x14ac:dyDescent="0.2">
      <c r="A62" s="569" t="s">
        <v>608</v>
      </c>
      <c r="B62" s="569"/>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6"/>
      <c r="BX62" s="6"/>
      <c r="BY62" s="6"/>
      <c r="BZ62" s="6"/>
      <c r="CA62" s="6"/>
      <c r="CB62" s="6"/>
      <c r="CC62" s="6"/>
      <c r="CD62" s="6"/>
      <c r="CE62" s="11"/>
      <c r="CF62" s="17"/>
    </row>
    <row r="63" spans="1:84" x14ac:dyDescent="0.2">
      <c r="A63" s="569"/>
      <c r="B63" s="569"/>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6"/>
      <c r="BX63" s="6"/>
      <c r="BY63" s="6"/>
      <c r="BZ63" s="6"/>
      <c r="CA63" s="6"/>
      <c r="CB63" s="6"/>
      <c r="CC63" s="6"/>
      <c r="CD63" s="6"/>
      <c r="CE63" s="11"/>
      <c r="CF63" s="17"/>
    </row>
    <row r="64" spans="1:84" x14ac:dyDescent="0.2">
      <c r="A64" s="569"/>
      <c r="B64" s="569"/>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6"/>
      <c r="BY64" s="6"/>
      <c r="BZ64" s="6"/>
      <c r="CA64" s="6"/>
      <c r="CB64" s="6"/>
      <c r="CC64" s="6"/>
      <c r="CD64" s="6"/>
      <c r="CE64" s="11"/>
      <c r="CF64" s="17"/>
    </row>
    <row r="65" spans="1:84" x14ac:dyDescent="0.2">
      <c r="A65" s="569"/>
      <c r="B65" s="569"/>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c r="BU65" s="6"/>
      <c r="BV65" s="6"/>
      <c r="BW65" s="6"/>
      <c r="BX65" s="6"/>
      <c r="BY65" s="6"/>
      <c r="BZ65" s="6"/>
      <c r="CA65" s="6"/>
      <c r="CB65" s="6"/>
      <c r="CC65" s="6"/>
      <c r="CD65" s="6"/>
      <c r="CE65" s="11"/>
      <c r="CF65" s="17"/>
    </row>
    <row r="66" spans="1:84" x14ac:dyDescent="0.2">
      <c r="A66" s="569"/>
      <c r="B66" s="569"/>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c r="BH66" s="6"/>
      <c r="BI66" s="6"/>
      <c r="BJ66" s="6"/>
      <c r="BK66" s="6"/>
      <c r="BL66" s="6"/>
      <c r="BM66" s="6"/>
      <c r="BN66" s="6"/>
      <c r="BO66" s="6"/>
      <c r="BP66" s="6"/>
      <c r="BQ66" s="6"/>
      <c r="BR66" s="6"/>
      <c r="BS66" s="6"/>
      <c r="BT66" s="6"/>
      <c r="BU66" s="6"/>
      <c r="BV66" s="6"/>
      <c r="BW66" s="6"/>
      <c r="BX66" s="6"/>
      <c r="BY66" s="6"/>
      <c r="BZ66" s="6"/>
      <c r="CA66" s="6"/>
      <c r="CB66" s="6"/>
      <c r="CC66" s="6"/>
      <c r="CD66" s="6"/>
      <c r="CE66" s="11"/>
      <c r="CF66" s="17"/>
    </row>
    <row r="67" spans="1:84" x14ac:dyDescent="0.2">
      <c r="A67" s="569"/>
      <c r="B67" s="569"/>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c r="BU67" s="6"/>
      <c r="BV67" s="6"/>
      <c r="BW67" s="6"/>
      <c r="BX67" s="6"/>
      <c r="BY67" s="6"/>
      <c r="BZ67" s="6"/>
      <c r="CA67" s="6"/>
      <c r="CB67" s="6"/>
      <c r="CC67" s="6"/>
      <c r="CD67" s="6"/>
      <c r="CE67" s="11"/>
      <c r="CF67" s="17"/>
    </row>
    <row r="68" spans="1:84" x14ac:dyDescent="0.2">
      <c r="A68" s="569"/>
      <c r="B68" s="569"/>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c r="BH68" s="6"/>
      <c r="BI68" s="6"/>
      <c r="BJ68" s="6"/>
      <c r="BK68" s="6"/>
      <c r="BL68" s="6"/>
      <c r="BM68" s="6"/>
      <c r="BN68" s="6"/>
      <c r="BO68" s="6"/>
      <c r="BP68" s="6"/>
      <c r="BQ68" s="6"/>
      <c r="BR68" s="6"/>
      <c r="BS68" s="6"/>
      <c r="BT68" s="6"/>
      <c r="BU68" s="6"/>
      <c r="BV68" s="6"/>
      <c r="BW68" s="6"/>
      <c r="BX68" s="6"/>
      <c r="BY68" s="6"/>
      <c r="BZ68" s="6"/>
      <c r="CA68" s="6"/>
      <c r="CB68" s="6"/>
      <c r="CC68" s="6"/>
      <c r="CD68" s="6"/>
      <c r="CE68" s="11"/>
      <c r="CF68" s="17"/>
    </row>
    <row r="69" spans="1:84" x14ac:dyDescent="0.2">
      <c r="A69" s="569"/>
      <c r="B69" s="569"/>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c r="BH69" s="6"/>
      <c r="BI69" s="6"/>
      <c r="BJ69" s="6"/>
      <c r="BK69" s="6"/>
      <c r="BL69" s="6"/>
      <c r="BM69" s="6"/>
      <c r="BN69" s="6"/>
      <c r="BO69" s="6"/>
      <c r="BP69" s="6"/>
      <c r="BQ69" s="6"/>
      <c r="BR69" s="6"/>
      <c r="BS69" s="6"/>
      <c r="BT69" s="6"/>
      <c r="BU69" s="6"/>
      <c r="BV69" s="6"/>
      <c r="BW69" s="6"/>
      <c r="BX69" s="6"/>
      <c r="BY69" s="6"/>
      <c r="BZ69" s="6"/>
      <c r="CA69" s="6"/>
      <c r="CB69" s="6"/>
      <c r="CC69" s="6"/>
      <c r="CD69" s="6"/>
      <c r="CE69" s="11"/>
      <c r="CF69" s="17"/>
    </row>
    <row r="70" spans="1:84" x14ac:dyDescent="0.2">
      <c r="A70" s="569"/>
      <c r="B70" s="569"/>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c r="BH70" s="6"/>
      <c r="BI70" s="6"/>
      <c r="BJ70" s="6"/>
      <c r="BK70" s="6"/>
      <c r="BL70" s="6"/>
      <c r="BM70" s="6"/>
      <c r="BN70" s="6"/>
      <c r="BO70" s="6"/>
      <c r="BP70" s="6"/>
      <c r="BQ70" s="6"/>
      <c r="BR70" s="6"/>
      <c r="BS70" s="6"/>
      <c r="BT70" s="6"/>
      <c r="BU70" s="6"/>
      <c r="BV70" s="6"/>
      <c r="BW70" s="6"/>
      <c r="BX70" s="6"/>
      <c r="BY70" s="6"/>
      <c r="BZ70" s="6"/>
      <c r="CA70" s="6"/>
      <c r="CB70" s="6"/>
      <c r="CC70" s="6"/>
      <c r="CD70" s="6"/>
      <c r="CE70" s="11"/>
      <c r="CF70" s="17"/>
    </row>
    <row r="71" spans="1:84" x14ac:dyDescent="0.2">
      <c r="A71" s="569"/>
      <c r="B71" s="569"/>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c r="BA71" s="6"/>
      <c r="BB71" s="6"/>
      <c r="BC71" s="6"/>
      <c r="BD71" s="6"/>
      <c r="BE71" s="6"/>
      <c r="BF71" s="6"/>
      <c r="BG71" s="6"/>
      <c r="BH71" s="6"/>
      <c r="BI71" s="6"/>
      <c r="BJ71" s="6"/>
      <c r="BK71" s="6"/>
      <c r="BL71" s="6"/>
      <c r="BM71" s="6"/>
      <c r="BN71" s="6"/>
      <c r="BO71" s="6"/>
      <c r="BP71" s="6"/>
      <c r="BQ71" s="6"/>
      <c r="BR71" s="6"/>
      <c r="BS71" s="6"/>
      <c r="BT71" s="6"/>
      <c r="BU71" s="6"/>
      <c r="BV71" s="6"/>
      <c r="BW71" s="6"/>
      <c r="BX71" s="6"/>
      <c r="BY71" s="6"/>
      <c r="BZ71" s="6"/>
      <c r="CA71" s="6"/>
      <c r="CB71" s="6"/>
      <c r="CC71" s="6"/>
      <c r="CD71" s="6"/>
      <c r="CE71" s="11"/>
      <c r="CF71" s="17"/>
    </row>
    <row r="72" spans="1:84" x14ac:dyDescent="0.2">
      <c r="A72" s="569"/>
      <c r="B72" s="569"/>
      <c r="C72" s="6"/>
      <c r="D72" s="6"/>
      <c r="E72" s="6"/>
      <c r="F72" s="6"/>
      <c r="G72" s="6"/>
      <c r="H72" s="6"/>
      <c r="I72" s="6"/>
      <c r="J72" s="6"/>
      <c r="K72" s="6"/>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c r="BH72" s="6"/>
      <c r="BI72" s="6"/>
      <c r="BJ72" s="6"/>
      <c r="BK72" s="6"/>
      <c r="BL72" s="6"/>
      <c r="BM72" s="6"/>
      <c r="BN72" s="6"/>
      <c r="BO72" s="6"/>
      <c r="BP72" s="6"/>
      <c r="BQ72" s="6"/>
      <c r="BR72" s="6"/>
      <c r="BS72" s="6"/>
      <c r="BT72" s="6"/>
      <c r="BU72" s="6"/>
      <c r="BV72" s="6"/>
      <c r="BW72" s="6"/>
      <c r="BX72" s="6"/>
      <c r="BY72" s="6"/>
      <c r="BZ72" s="6"/>
      <c r="CA72" s="6"/>
      <c r="CB72" s="6"/>
      <c r="CC72" s="6"/>
      <c r="CD72" s="6"/>
      <c r="CE72" s="11"/>
      <c r="CF72" s="17"/>
    </row>
    <row r="73" spans="1:84" x14ac:dyDescent="0.2">
      <c r="A73" s="569"/>
      <c r="B73" s="569"/>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c r="BH73" s="6"/>
      <c r="BI73" s="6"/>
      <c r="BJ73" s="6"/>
      <c r="BK73" s="6"/>
      <c r="BL73" s="6"/>
      <c r="BM73" s="6"/>
      <c r="BN73" s="6"/>
      <c r="BO73" s="6"/>
      <c r="BP73" s="6"/>
      <c r="BQ73" s="6"/>
      <c r="BR73" s="6"/>
      <c r="BS73" s="6"/>
      <c r="BT73" s="6"/>
      <c r="BU73" s="6"/>
      <c r="BV73" s="6"/>
      <c r="BW73" s="6"/>
      <c r="BX73" s="6"/>
      <c r="BY73" s="6"/>
      <c r="BZ73" s="6"/>
      <c r="CA73" s="6"/>
      <c r="CB73" s="6"/>
      <c r="CC73" s="6"/>
      <c r="CD73" s="6"/>
      <c r="CE73" s="11"/>
      <c r="CF73" s="17"/>
    </row>
    <row r="74" spans="1:84" x14ac:dyDescent="0.2">
      <c r="A74" s="569"/>
      <c r="B74" s="569"/>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6"/>
      <c r="BX74" s="6"/>
      <c r="BY74" s="6"/>
      <c r="BZ74" s="6"/>
      <c r="CA74" s="6"/>
      <c r="CB74" s="6"/>
      <c r="CC74" s="6"/>
      <c r="CD74" s="6"/>
      <c r="CE74" s="11"/>
      <c r="CF74" s="17"/>
    </row>
    <row r="75" spans="1:84" x14ac:dyDescent="0.2">
      <c r="A75" s="569"/>
      <c r="B75" s="569"/>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6"/>
      <c r="BX75" s="6"/>
      <c r="BY75" s="6"/>
      <c r="BZ75" s="6"/>
      <c r="CA75" s="6"/>
      <c r="CB75" s="6"/>
      <c r="CC75" s="6"/>
      <c r="CD75" s="6"/>
      <c r="CE75" s="11"/>
      <c r="CF75" s="17"/>
    </row>
    <row r="76" spans="1:84" x14ac:dyDescent="0.2">
      <c r="A76" s="569"/>
      <c r="B76" s="569"/>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6"/>
      <c r="BX76" s="6"/>
      <c r="BY76" s="6"/>
      <c r="BZ76" s="6"/>
      <c r="CA76" s="6"/>
      <c r="CB76" s="6"/>
      <c r="CC76" s="6"/>
      <c r="CD76" s="6"/>
      <c r="CE76" s="11"/>
      <c r="CF76" s="17"/>
    </row>
    <row r="77" spans="1:84" x14ac:dyDescent="0.2">
      <c r="A77" s="569"/>
      <c r="B77" s="569"/>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6"/>
      <c r="BX77" s="6"/>
      <c r="BY77" s="6"/>
      <c r="BZ77" s="6"/>
      <c r="CA77" s="6"/>
      <c r="CB77" s="6"/>
      <c r="CC77" s="6"/>
      <c r="CD77" s="6"/>
      <c r="CE77" s="11"/>
    </row>
    <row r="78" spans="1:84" x14ac:dyDescent="0.2">
      <c r="A78" s="569"/>
      <c r="B78" s="569"/>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6"/>
      <c r="BX78" s="6"/>
      <c r="BY78" s="6"/>
      <c r="BZ78" s="6"/>
      <c r="CA78" s="6"/>
      <c r="CB78" s="6"/>
      <c r="CC78" s="6"/>
      <c r="CD78" s="6"/>
      <c r="CE78" s="11"/>
      <c r="CF78" s="17"/>
    </row>
    <row r="79" spans="1:84" x14ac:dyDescent="0.2">
      <c r="A79" s="569"/>
      <c r="B79" s="569"/>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6"/>
      <c r="BX79" s="6"/>
      <c r="BY79" s="6"/>
      <c r="BZ79" s="6"/>
      <c r="CA79" s="6"/>
      <c r="CB79" s="6"/>
      <c r="CC79" s="6"/>
      <c r="CD79" s="6"/>
      <c r="CE79" s="11"/>
      <c r="CF79" s="18"/>
    </row>
    <row r="80" spans="1:84" x14ac:dyDescent="0.2">
      <c r="A80" s="569"/>
      <c r="B80" s="569"/>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6"/>
      <c r="BX80" s="6"/>
      <c r="BY80" s="6"/>
      <c r="BZ80" s="6"/>
      <c r="CA80" s="6"/>
      <c r="CB80" s="6"/>
      <c r="CC80" s="6"/>
      <c r="CD80" s="6"/>
      <c r="CE80" s="11"/>
      <c r="CF80" s="18"/>
    </row>
    <row r="81" spans="1:84" x14ac:dyDescent="0.2">
      <c r="A81" s="569"/>
      <c r="B81" s="569"/>
      <c r="C81" s="6"/>
      <c r="D81" s="6"/>
      <c r="E81" s="6"/>
      <c r="F81" s="6"/>
      <c r="G81" s="6"/>
      <c r="H81" s="8"/>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6"/>
      <c r="BX81" s="6"/>
      <c r="BY81" s="6"/>
      <c r="BZ81" s="6"/>
      <c r="CA81" s="6"/>
      <c r="CB81" s="6"/>
      <c r="CC81" s="6"/>
      <c r="CD81" s="6"/>
      <c r="CE81" s="11"/>
      <c r="CF81" s="18"/>
    </row>
    <row r="82" spans="1:84" x14ac:dyDescent="0.2">
      <c r="A82" s="569"/>
      <c r="B82" s="569"/>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6"/>
      <c r="BX82" s="6"/>
      <c r="BY82" s="6"/>
      <c r="BZ82" s="6"/>
      <c r="CA82" s="6"/>
      <c r="CB82" s="6"/>
      <c r="CC82" s="6"/>
      <c r="CD82" s="6"/>
      <c r="CE82" s="11"/>
      <c r="CF82" s="18"/>
    </row>
    <row r="83" spans="1:84" x14ac:dyDescent="0.2">
      <c r="A83" s="569"/>
      <c r="B83" s="569"/>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6"/>
      <c r="BX83" s="6"/>
      <c r="BY83" s="6"/>
      <c r="BZ83" s="6"/>
      <c r="CA83" s="6"/>
      <c r="CB83" s="6"/>
      <c r="CC83" s="6"/>
      <c r="CD83" s="6"/>
      <c r="CE83" s="11"/>
      <c r="CF83" s="18"/>
    </row>
    <row r="84" spans="1:84" x14ac:dyDescent="0.2">
      <c r="A84" s="93"/>
      <c r="B84" s="93"/>
      <c r="C84" s="93"/>
      <c r="D84" s="93"/>
      <c r="E84" s="93"/>
      <c r="F84" s="93"/>
      <c r="G84" s="93"/>
      <c r="H84" s="93"/>
      <c r="I84" s="93"/>
      <c r="J84" s="93"/>
      <c r="K84" s="93"/>
      <c r="L84" s="93"/>
      <c r="M84" s="93"/>
      <c r="N84" s="93"/>
      <c r="O84" s="93"/>
      <c r="P84" s="93"/>
      <c r="Q84" s="93"/>
      <c r="R84" s="93"/>
      <c r="S84" s="93"/>
      <c r="T84" s="93"/>
      <c r="U84" s="93"/>
      <c r="V84" s="93"/>
      <c r="W84" s="93"/>
      <c r="X84" s="93"/>
      <c r="Y84" s="93"/>
      <c r="Z84" s="93"/>
      <c r="AA84" s="93"/>
      <c r="AB84" s="93"/>
      <c r="AC84" s="93"/>
      <c r="AD84" s="93"/>
      <c r="AE84" s="93"/>
      <c r="AF84" s="93"/>
      <c r="AG84" s="93"/>
      <c r="AH84" s="93"/>
      <c r="AI84" s="93"/>
      <c r="AJ84" s="93"/>
      <c r="AK84" s="93"/>
      <c r="AL84" s="93"/>
      <c r="AM84" s="93"/>
      <c r="AN84" s="93"/>
      <c r="AO84" s="93"/>
      <c r="AP84" s="93"/>
      <c r="AQ84" s="93"/>
      <c r="AR84" s="93"/>
      <c r="AS84" s="93"/>
      <c r="AT84" s="93"/>
      <c r="AU84" s="93"/>
      <c r="AV84" s="93"/>
      <c r="AW84" s="93"/>
      <c r="AX84" s="93"/>
      <c r="AY84" s="93"/>
      <c r="AZ84" s="93"/>
      <c r="BA84" s="93"/>
      <c r="BB84" s="93"/>
      <c r="BC84" s="93"/>
      <c r="BD84" s="93"/>
      <c r="BE84" s="93"/>
      <c r="BF84" s="93"/>
      <c r="BG84" s="93"/>
      <c r="BH84" s="93"/>
      <c r="BI84" s="93"/>
      <c r="BJ84" s="93"/>
      <c r="BK84" s="93"/>
      <c r="BL84" s="93"/>
      <c r="BM84" s="93"/>
      <c r="BN84" s="93"/>
      <c r="BO84" s="93"/>
      <c r="BP84" s="93"/>
      <c r="BQ84" s="93"/>
      <c r="BR84" s="93"/>
      <c r="BS84" s="93"/>
      <c r="BT84" s="93"/>
      <c r="BU84" s="93"/>
      <c r="BV84" s="93"/>
      <c r="BW84" s="93"/>
      <c r="BX84" s="93"/>
      <c r="BY84" s="93"/>
      <c r="BZ84" s="93"/>
      <c r="CA84" s="93"/>
      <c r="CB84" s="93"/>
      <c r="CC84" s="93"/>
      <c r="CD84" s="93"/>
      <c r="CE84" s="93"/>
      <c r="CF84" s="18"/>
    </row>
    <row r="85" spans="1:84" ht="14.45" customHeight="1" x14ac:dyDescent="0.2">
      <c r="A85" s="569" t="s">
        <v>895</v>
      </c>
      <c r="B85" s="569"/>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6"/>
      <c r="BX85" s="6"/>
      <c r="BY85" s="6"/>
      <c r="BZ85" s="6"/>
      <c r="CA85" s="6"/>
      <c r="CB85" s="6"/>
      <c r="CC85" s="6"/>
      <c r="CD85" s="6"/>
      <c r="CE85" s="11"/>
      <c r="CF85" s="18"/>
    </row>
    <row r="86" spans="1:84" x14ac:dyDescent="0.2">
      <c r="A86" s="569"/>
      <c r="B86" s="569"/>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c r="BU86" s="6"/>
      <c r="BV86" s="6"/>
      <c r="BW86" s="6"/>
      <c r="BX86" s="6"/>
      <c r="BY86" s="6"/>
      <c r="BZ86" s="6"/>
      <c r="CA86" s="6"/>
      <c r="CB86" s="6"/>
      <c r="CC86" s="6"/>
      <c r="CD86" s="6"/>
      <c r="CE86" s="11"/>
      <c r="CF86" s="18"/>
    </row>
    <row r="87" spans="1:84" x14ac:dyDescent="0.2">
      <c r="A87" s="569"/>
      <c r="B87" s="569"/>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c r="BH87" s="6"/>
      <c r="BI87" s="6"/>
      <c r="BJ87" s="6"/>
      <c r="BK87" s="6"/>
      <c r="BL87" s="6"/>
      <c r="BM87" s="6"/>
      <c r="BN87" s="6"/>
      <c r="BO87" s="6"/>
      <c r="BP87" s="6"/>
      <c r="BQ87" s="6"/>
      <c r="BR87" s="6"/>
      <c r="BS87" s="6"/>
      <c r="BT87" s="6"/>
      <c r="BU87" s="6"/>
      <c r="BV87" s="6"/>
      <c r="BW87" s="6"/>
      <c r="BX87" s="6"/>
      <c r="BY87" s="6"/>
      <c r="BZ87" s="6"/>
      <c r="CA87" s="6"/>
      <c r="CB87" s="6"/>
      <c r="CC87" s="6"/>
      <c r="CD87" s="6"/>
      <c r="CE87" s="11"/>
      <c r="CF87" s="18"/>
    </row>
    <row r="88" spans="1:84" x14ac:dyDescent="0.2">
      <c r="A88" s="569"/>
      <c r="B88" s="569"/>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c r="BH88" s="6"/>
      <c r="BI88" s="6"/>
      <c r="BJ88" s="6"/>
      <c r="BK88" s="6"/>
      <c r="BL88" s="6"/>
      <c r="BM88" s="6"/>
      <c r="BN88" s="6"/>
      <c r="BO88" s="6"/>
      <c r="BP88" s="6"/>
      <c r="BQ88" s="6"/>
      <c r="BR88" s="6"/>
      <c r="BS88" s="6"/>
      <c r="BT88" s="6"/>
      <c r="BU88" s="6"/>
      <c r="BV88" s="6"/>
      <c r="BW88" s="6"/>
      <c r="BX88" s="6"/>
      <c r="BY88" s="6"/>
      <c r="BZ88" s="6"/>
      <c r="CA88" s="6"/>
      <c r="CB88" s="6"/>
      <c r="CC88" s="6"/>
      <c r="CD88" s="6"/>
      <c r="CE88" s="11"/>
      <c r="CF88" s="18"/>
    </row>
    <row r="89" spans="1:84" x14ac:dyDescent="0.2">
      <c r="A89" s="569"/>
      <c r="B89" s="569"/>
      <c r="C89" s="6"/>
      <c r="D89" s="6"/>
      <c r="E89" s="6"/>
      <c r="F89" s="6"/>
      <c r="G89" s="6"/>
      <c r="H89" s="6"/>
      <c r="I89" s="6"/>
      <c r="J89" s="6"/>
      <c r="K89" s="6"/>
      <c r="L89" s="6"/>
      <c r="M89" s="6"/>
      <c r="N89" s="6"/>
      <c r="O89" s="6"/>
      <c r="P89" s="6"/>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6"/>
      <c r="BX89" s="6"/>
      <c r="BY89" s="6"/>
      <c r="BZ89" s="6"/>
      <c r="CA89" s="6"/>
      <c r="CB89" s="6"/>
      <c r="CC89" s="6"/>
      <c r="CD89" s="6"/>
      <c r="CE89" s="11"/>
      <c r="CF89" s="18"/>
    </row>
    <row r="90" spans="1:84" x14ac:dyDescent="0.2">
      <c r="A90" s="569"/>
      <c r="B90" s="569"/>
      <c r="C90" s="6"/>
      <c r="D90" s="6"/>
      <c r="E90" s="6"/>
      <c r="F90" s="6"/>
      <c r="G90" s="6"/>
      <c r="H90" s="6"/>
      <c r="I90" s="6"/>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c r="BC90" s="6"/>
      <c r="BD90" s="6"/>
      <c r="BE90" s="6"/>
      <c r="BF90" s="6"/>
      <c r="BG90" s="6"/>
      <c r="BH90" s="6"/>
      <c r="BI90" s="6"/>
      <c r="BJ90" s="6"/>
      <c r="BK90" s="6"/>
      <c r="BL90" s="6"/>
      <c r="BM90" s="6"/>
      <c r="BN90" s="6"/>
      <c r="BO90" s="6"/>
      <c r="BP90" s="6"/>
      <c r="BQ90" s="6"/>
      <c r="BR90" s="6"/>
      <c r="BS90" s="6"/>
      <c r="BT90" s="6"/>
      <c r="BU90" s="6"/>
      <c r="BV90" s="6"/>
      <c r="BW90" s="6"/>
      <c r="BX90" s="6"/>
      <c r="BY90" s="6"/>
      <c r="BZ90" s="6"/>
      <c r="CA90" s="6"/>
      <c r="CB90" s="6"/>
      <c r="CC90" s="6"/>
      <c r="CD90" s="6"/>
      <c r="CE90" s="11"/>
      <c r="CF90" s="18"/>
    </row>
    <row r="91" spans="1:84" x14ac:dyDescent="0.2">
      <c r="A91" s="569"/>
      <c r="B91" s="569"/>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c r="BU91" s="6"/>
      <c r="BV91" s="6"/>
      <c r="BW91" s="6"/>
      <c r="BX91" s="6"/>
      <c r="BY91" s="6"/>
      <c r="BZ91" s="6"/>
      <c r="CA91" s="6"/>
      <c r="CB91" s="6"/>
      <c r="CC91" s="6"/>
      <c r="CD91" s="6"/>
      <c r="CE91" s="11"/>
      <c r="CF91" s="18"/>
    </row>
    <row r="92" spans="1:84" x14ac:dyDescent="0.2">
      <c r="A92" s="569"/>
      <c r="B92" s="569"/>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8"/>
      <c r="BQ92" s="6"/>
      <c r="BR92" s="6"/>
      <c r="BS92" s="6"/>
      <c r="BT92" s="6"/>
      <c r="BU92" s="6"/>
      <c r="BV92" s="6"/>
      <c r="BW92" s="6"/>
      <c r="BX92" s="6"/>
      <c r="BY92" s="6"/>
      <c r="BZ92" s="6"/>
      <c r="CA92" s="6"/>
      <c r="CB92" s="6"/>
      <c r="CC92" s="6"/>
      <c r="CD92" s="6"/>
      <c r="CE92" s="11"/>
      <c r="CF92" s="18"/>
    </row>
    <row r="93" spans="1:84" x14ac:dyDescent="0.2">
      <c r="A93" s="569"/>
      <c r="B93" s="569"/>
      <c r="C93" s="6"/>
      <c r="D93" s="6"/>
      <c r="E93" s="6"/>
      <c r="F93" s="6"/>
      <c r="G93" s="6"/>
      <c r="H93" s="6"/>
      <c r="I93" s="6"/>
      <c r="J93" s="6"/>
      <c r="K93" s="6"/>
      <c r="L93" s="6"/>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c r="BH93" s="6"/>
      <c r="BI93" s="6"/>
      <c r="BJ93" s="6"/>
      <c r="BK93" s="6"/>
      <c r="BL93" s="6"/>
      <c r="BM93" s="6"/>
      <c r="BN93" s="6"/>
      <c r="BO93" s="6"/>
      <c r="BP93" s="8"/>
      <c r="BQ93" s="6"/>
      <c r="BR93" s="6"/>
      <c r="BS93" s="6"/>
      <c r="BT93" s="6"/>
      <c r="BU93" s="6"/>
      <c r="BV93" s="6"/>
      <c r="BW93" s="6"/>
      <c r="BX93" s="6"/>
      <c r="BY93" s="6"/>
      <c r="BZ93" s="6"/>
      <c r="CA93" s="6"/>
      <c r="CB93" s="6"/>
      <c r="CC93" s="6"/>
      <c r="CD93" s="6"/>
      <c r="CE93" s="11"/>
      <c r="CF93" s="18"/>
    </row>
    <row r="94" spans="1:84" x14ac:dyDescent="0.2">
      <c r="A94" s="569"/>
      <c r="B94" s="569"/>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c r="BJ94" s="6"/>
      <c r="BK94" s="6"/>
      <c r="BL94" s="6"/>
      <c r="BM94" s="6"/>
      <c r="BN94" s="6"/>
      <c r="BO94" s="6"/>
      <c r="BP94" s="8"/>
      <c r="BQ94" s="6"/>
      <c r="BR94" s="6"/>
      <c r="BS94" s="6"/>
      <c r="BT94" s="6"/>
      <c r="BU94" s="6"/>
      <c r="BV94" s="6"/>
      <c r="BW94" s="6"/>
      <c r="BX94" s="6"/>
      <c r="BY94" s="6"/>
      <c r="BZ94" s="6"/>
      <c r="CA94" s="6"/>
      <c r="CB94" s="6"/>
      <c r="CC94" s="6"/>
      <c r="CD94" s="6"/>
      <c r="CE94" s="11"/>
      <c r="CF94" s="18"/>
    </row>
    <row r="95" spans="1:84" x14ac:dyDescent="0.2">
      <c r="A95" s="569"/>
      <c r="B95" s="569"/>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c r="BJ95" s="6"/>
      <c r="BK95" s="6"/>
      <c r="BL95" s="6"/>
      <c r="BM95" s="6"/>
      <c r="BN95" s="6"/>
      <c r="BO95" s="6"/>
      <c r="BP95" s="6"/>
      <c r="BQ95" s="6"/>
      <c r="BR95" s="6"/>
      <c r="BS95" s="6"/>
      <c r="BT95" s="6"/>
      <c r="BU95" s="6"/>
      <c r="BV95" s="6"/>
      <c r="BW95" s="6"/>
      <c r="BX95" s="6"/>
      <c r="BY95" s="6"/>
      <c r="BZ95" s="6"/>
      <c r="CA95" s="6"/>
      <c r="CB95" s="6"/>
      <c r="CC95" s="6"/>
      <c r="CD95" s="6"/>
      <c r="CE95" s="11"/>
      <c r="CF95" s="18"/>
    </row>
    <row r="96" spans="1:84" x14ac:dyDescent="0.2">
      <c r="A96" s="569"/>
      <c r="B96" s="569"/>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c r="BJ96" s="6"/>
      <c r="BK96" s="6"/>
      <c r="BL96" s="6"/>
      <c r="BM96" s="6"/>
      <c r="BN96" s="6"/>
      <c r="BO96" s="6"/>
      <c r="BP96" s="6"/>
      <c r="BQ96" s="6"/>
      <c r="BR96" s="6"/>
      <c r="BS96" s="6"/>
      <c r="BT96" s="6"/>
      <c r="BU96" s="6"/>
      <c r="BV96" s="6"/>
      <c r="BW96" s="6"/>
      <c r="BX96" s="6"/>
      <c r="BY96" s="6"/>
      <c r="BZ96" s="6"/>
      <c r="CA96" s="6"/>
      <c r="CB96" s="6"/>
      <c r="CC96" s="6"/>
      <c r="CD96" s="6"/>
      <c r="CE96" s="11"/>
      <c r="CF96" s="18"/>
    </row>
    <row r="97" spans="1:84" x14ac:dyDescent="0.2">
      <c r="A97" s="569"/>
      <c r="B97" s="569"/>
      <c r="C97" s="6"/>
      <c r="D97" s="6"/>
      <c r="E97" s="6"/>
      <c r="F97" s="6"/>
      <c r="G97" s="6"/>
      <c r="H97" s="6"/>
      <c r="I97" s="6"/>
      <c r="J97" s="6"/>
      <c r="K97" s="6"/>
      <c r="L97" s="6"/>
      <c r="M97" s="6"/>
      <c r="N97" s="6"/>
      <c r="O97" s="6"/>
      <c r="P97" s="6"/>
      <c r="Q97" s="6"/>
      <c r="R97" s="6"/>
      <c r="S97" s="6"/>
      <c r="T97" s="6"/>
      <c r="U97" s="6"/>
      <c r="V97" s="6"/>
      <c r="W97" s="6"/>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c r="BA97" s="6"/>
      <c r="BB97" s="6"/>
      <c r="BC97" s="6"/>
      <c r="BD97" s="6"/>
      <c r="BE97" s="6"/>
      <c r="BF97" s="6"/>
      <c r="BG97" s="6"/>
      <c r="BH97" s="6"/>
      <c r="BI97" s="6"/>
      <c r="BJ97" s="6"/>
      <c r="BK97" s="6"/>
      <c r="BL97" s="6"/>
      <c r="BM97" s="6"/>
      <c r="BN97" s="6"/>
      <c r="BO97" s="6"/>
      <c r="BP97" s="6"/>
      <c r="BQ97" s="6"/>
      <c r="BR97" s="6"/>
      <c r="BS97" s="6"/>
      <c r="BT97" s="6"/>
      <c r="BU97" s="6"/>
      <c r="BV97" s="6"/>
      <c r="BW97" s="6"/>
      <c r="BX97" s="6"/>
      <c r="BY97" s="6"/>
      <c r="BZ97" s="6"/>
      <c r="CA97" s="6"/>
      <c r="CB97" s="6"/>
      <c r="CC97" s="6"/>
      <c r="CD97" s="6"/>
      <c r="CE97" s="11"/>
      <c r="CF97" s="18"/>
    </row>
    <row r="98" spans="1:84" x14ac:dyDescent="0.2">
      <c r="A98" s="569"/>
      <c r="B98" s="569"/>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c r="BJ98" s="6"/>
      <c r="BK98" s="6"/>
      <c r="BL98" s="6"/>
      <c r="BM98" s="6"/>
      <c r="BN98" s="6"/>
      <c r="BO98" s="6"/>
      <c r="BP98" s="6"/>
      <c r="BQ98" s="6"/>
      <c r="BR98" s="6"/>
      <c r="BS98" s="6"/>
      <c r="BT98" s="6"/>
      <c r="BU98" s="6"/>
      <c r="BV98" s="6"/>
      <c r="BW98" s="6"/>
      <c r="BX98" s="6"/>
      <c r="BY98" s="6"/>
      <c r="BZ98" s="6"/>
      <c r="CA98" s="6"/>
      <c r="CB98" s="6"/>
      <c r="CC98" s="6"/>
      <c r="CD98" s="6"/>
      <c r="CE98" s="11"/>
      <c r="CF98" s="18"/>
    </row>
    <row r="99" spans="1:84" x14ac:dyDescent="0.2">
      <c r="A99" s="569"/>
      <c r="B99" s="569"/>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c r="BH99" s="6"/>
      <c r="BI99" s="6"/>
      <c r="BJ99" s="6"/>
      <c r="BK99" s="6"/>
      <c r="BL99" s="6"/>
      <c r="BM99" s="6"/>
      <c r="BN99" s="6"/>
      <c r="BO99" s="6"/>
      <c r="BP99" s="6"/>
      <c r="BQ99" s="6"/>
      <c r="BR99" s="6"/>
      <c r="BS99" s="6"/>
      <c r="BT99" s="6"/>
      <c r="BU99" s="6"/>
      <c r="BV99" s="6"/>
      <c r="BW99" s="6"/>
      <c r="BX99" s="6"/>
      <c r="BY99" s="6"/>
      <c r="BZ99" s="6"/>
      <c r="CA99" s="6"/>
      <c r="CB99" s="6"/>
      <c r="CC99" s="6"/>
      <c r="CD99" s="6"/>
      <c r="CE99" s="11"/>
      <c r="CF99" s="18"/>
    </row>
    <row r="100" spans="1:84" x14ac:dyDescent="0.2">
      <c r="A100" s="569"/>
      <c r="B100" s="569"/>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c r="BA100" s="6"/>
      <c r="BB100" s="6"/>
      <c r="BC100" s="6"/>
      <c r="BD100" s="6"/>
      <c r="BE100" s="6"/>
      <c r="BF100" s="6"/>
      <c r="BG100" s="6"/>
      <c r="BH100" s="6"/>
      <c r="BI100" s="6"/>
      <c r="BJ100" s="6"/>
      <c r="BK100" s="6"/>
      <c r="BL100" s="6"/>
      <c r="BM100" s="6"/>
      <c r="BN100" s="6"/>
      <c r="BO100" s="6"/>
      <c r="BP100" s="6"/>
      <c r="BQ100" s="6"/>
      <c r="BR100" s="6"/>
      <c r="BS100" s="6"/>
      <c r="BT100" s="6"/>
      <c r="BU100" s="6"/>
      <c r="BV100" s="6"/>
      <c r="BW100" s="6"/>
      <c r="BX100" s="6"/>
      <c r="BY100" s="6"/>
      <c r="BZ100" s="6"/>
      <c r="CA100" s="6"/>
      <c r="CB100" s="6"/>
      <c r="CC100" s="6"/>
      <c r="CD100" s="6"/>
      <c r="CE100" s="11"/>
      <c r="CF100" s="18"/>
    </row>
    <row r="101" spans="1:84" x14ac:dyDescent="0.2">
      <c r="A101" s="569"/>
      <c r="B101" s="569"/>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c r="BA101" s="6"/>
      <c r="BB101" s="6"/>
      <c r="BC101" s="6"/>
      <c r="BD101" s="6"/>
      <c r="BE101" s="6"/>
      <c r="BF101" s="6"/>
      <c r="BG101" s="6"/>
      <c r="BH101" s="6"/>
      <c r="BI101" s="6"/>
      <c r="BJ101" s="6"/>
      <c r="BK101" s="6"/>
      <c r="BL101" s="6"/>
      <c r="BM101" s="6"/>
      <c r="BN101" s="6"/>
      <c r="BO101" s="6"/>
      <c r="BP101" s="6"/>
      <c r="BQ101" s="6"/>
      <c r="BR101" s="6"/>
      <c r="BS101" s="6"/>
      <c r="BT101" s="6"/>
      <c r="BU101" s="6"/>
      <c r="BV101" s="6"/>
      <c r="BW101" s="6"/>
      <c r="BX101" s="6"/>
      <c r="BY101" s="6"/>
      <c r="BZ101" s="6"/>
      <c r="CA101" s="6"/>
      <c r="CB101" s="6"/>
      <c r="CC101" s="6"/>
      <c r="CD101" s="6"/>
      <c r="CE101" s="11"/>
      <c r="CF101" s="18"/>
    </row>
    <row r="102" spans="1:84" x14ac:dyDescent="0.2">
      <c r="A102" s="569"/>
      <c r="B102" s="569"/>
      <c r="C102" s="6"/>
      <c r="D102" s="6"/>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c r="AZ102" s="6"/>
      <c r="BA102" s="6"/>
      <c r="BB102" s="6"/>
      <c r="BC102" s="6"/>
      <c r="BD102" s="6"/>
      <c r="BE102" s="6"/>
      <c r="BF102" s="6"/>
      <c r="BG102" s="6"/>
      <c r="BH102" s="6"/>
      <c r="BI102" s="6"/>
      <c r="BJ102" s="6"/>
      <c r="BK102" s="6"/>
      <c r="BL102" s="6"/>
      <c r="BM102" s="6"/>
      <c r="BN102" s="6"/>
      <c r="BO102" s="6"/>
      <c r="BP102" s="6"/>
      <c r="BQ102" s="6"/>
      <c r="BR102" s="6"/>
      <c r="BS102" s="6"/>
      <c r="BT102" s="6"/>
      <c r="BU102" s="6"/>
      <c r="BV102" s="6"/>
      <c r="BW102" s="6"/>
      <c r="BX102" s="6"/>
      <c r="BY102" s="6"/>
      <c r="BZ102" s="6"/>
      <c r="CA102" s="6"/>
      <c r="CB102" s="6"/>
      <c r="CC102" s="6"/>
      <c r="CD102" s="6"/>
      <c r="CE102" s="11"/>
      <c r="CF102" s="18"/>
    </row>
    <row r="103" spans="1:84" x14ac:dyDescent="0.2">
      <c r="A103" s="569"/>
      <c r="B103" s="569"/>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c r="AZ103" s="6"/>
      <c r="BA103" s="6"/>
      <c r="BB103" s="6"/>
      <c r="BC103" s="6"/>
      <c r="BD103" s="6"/>
      <c r="BE103" s="6"/>
      <c r="BF103" s="6"/>
      <c r="BG103" s="6"/>
      <c r="BH103" s="6"/>
      <c r="BI103" s="6"/>
      <c r="BJ103" s="6"/>
      <c r="BK103" s="6"/>
      <c r="BL103" s="6"/>
      <c r="BM103" s="6"/>
      <c r="BN103" s="6"/>
      <c r="BO103" s="6"/>
      <c r="BP103" s="6"/>
      <c r="BQ103" s="6"/>
      <c r="BR103" s="6"/>
      <c r="BS103" s="6"/>
      <c r="BT103" s="6"/>
      <c r="BU103" s="6"/>
      <c r="BV103" s="6"/>
      <c r="BW103" s="6"/>
      <c r="BX103" s="6"/>
      <c r="BY103" s="6"/>
      <c r="BZ103" s="6"/>
      <c r="CA103" s="6"/>
      <c r="CB103" s="6"/>
      <c r="CC103" s="6"/>
      <c r="CD103" s="6"/>
      <c r="CE103" s="11"/>
      <c r="CF103" s="18"/>
    </row>
    <row r="104" spans="1:84" x14ac:dyDescent="0.2">
      <c r="A104" s="569"/>
      <c r="B104" s="569"/>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c r="AZ104" s="6"/>
      <c r="BA104" s="6"/>
      <c r="BB104" s="6"/>
      <c r="BC104" s="6"/>
      <c r="BD104" s="6"/>
      <c r="BE104" s="6"/>
      <c r="BF104" s="6"/>
      <c r="BG104" s="6"/>
      <c r="BH104" s="6"/>
      <c r="BI104" s="6"/>
      <c r="BJ104" s="6"/>
      <c r="BK104" s="6"/>
      <c r="BL104" s="6"/>
      <c r="BM104" s="6"/>
      <c r="BN104" s="6"/>
      <c r="BO104" s="6"/>
      <c r="BP104" s="6"/>
      <c r="BQ104" s="6"/>
      <c r="BR104" s="6"/>
      <c r="BS104" s="6"/>
      <c r="BT104" s="6"/>
      <c r="BU104" s="6"/>
      <c r="BV104" s="6"/>
      <c r="BW104" s="6"/>
      <c r="BX104" s="6"/>
      <c r="BY104" s="6"/>
      <c r="BZ104" s="6"/>
      <c r="CA104" s="6"/>
      <c r="CB104" s="6"/>
      <c r="CC104" s="6"/>
      <c r="CD104" s="6"/>
      <c r="CE104" s="11"/>
      <c r="CF104" s="18"/>
    </row>
    <row r="105" spans="1:84" x14ac:dyDescent="0.2">
      <c r="A105" s="569"/>
      <c r="B105" s="569"/>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c r="BU105" s="6"/>
      <c r="BV105" s="6"/>
      <c r="BW105" s="6"/>
      <c r="BX105" s="6"/>
      <c r="BY105" s="6"/>
      <c r="BZ105" s="6"/>
      <c r="CA105" s="6"/>
      <c r="CB105" s="6"/>
      <c r="CC105" s="6"/>
      <c r="CD105" s="6"/>
      <c r="CE105" s="11"/>
    </row>
    <row r="106" spans="1:84" x14ac:dyDescent="0.2">
      <c r="A106" s="569"/>
      <c r="B106" s="569"/>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c r="AZ106" s="6"/>
      <c r="BA106" s="6"/>
      <c r="BB106" s="6"/>
      <c r="BC106" s="6"/>
      <c r="BD106" s="6"/>
      <c r="BE106" s="6"/>
      <c r="BF106" s="6"/>
      <c r="BG106" s="6"/>
      <c r="BH106" s="6"/>
      <c r="BI106" s="6"/>
      <c r="BJ106" s="6"/>
      <c r="BK106" s="6"/>
      <c r="BL106" s="6"/>
      <c r="BM106" s="6"/>
      <c r="BN106" s="6"/>
      <c r="BO106" s="6"/>
      <c r="BP106" s="6"/>
      <c r="BQ106" s="6"/>
      <c r="BR106" s="6"/>
      <c r="BS106" s="6"/>
      <c r="BT106" s="6"/>
      <c r="BU106" s="6"/>
      <c r="BV106" s="6"/>
      <c r="BW106" s="6"/>
      <c r="BX106" s="6"/>
      <c r="BY106" s="6"/>
      <c r="BZ106" s="6"/>
      <c r="CA106" s="6"/>
      <c r="CB106" s="6"/>
      <c r="CC106" s="6"/>
      <c r="CD106" s="6"/>
      <c r="CE106" s="11"/>
      <c r="CF106" s="18"/>
    </row>
    <row r="107" spans="1:84" x14ac:dyDescent="0.2">
      <c r="A107" s="96"/>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96"/>
      <c r="AE107" s="96"/>
      <c r="AF107" s="96"/>
      <c r="AG107" s="96"/>
      <c r="AH107" s="96"/>
      <c r="AI107" s="96"/>
      <c r="AJ107" s="96"/>
      <c r="AK107" s="96"/>
      <c r="AL107" s="96"/>
      <c r="AM107" s="96"/>
      <c r="AN107" s="96"/>
      <c r="AO107" s="96"/>
      <c r="AP107" s="96"/>
      <c r="AQ107" s="96"/>
      <c r="AR107" s="96"/>
      <c r="AS107" s="96"/>
      <c r="AT107" s="96"/>
      <c r="AU107" s="96"/>
      <c r="AV107" s="96"/>
      <c r="AW107" s="96"/>
      <c r="AX107" s="96"/>
      <c r="AY107" s="96"/>
      <c r="AZ107" s="96"/>
      <c r="BA107" s="96"/>
      <c r="BB107" s="96"/>
      <c r="BC107" s="96"/>
      <c r="BD107" s="96"/>
      <c r="BE107" s="96"/>
      <c r="BF107" s="96"/>
      <c r="BG107" s="96"/>
      <c r="BH107" s="96"/>
      <c r="BI107" s="96"/>
      <c r="BJ107" s="96"/>
      <c r="BK107" s="96"/>
      <c r="BL107" s="96"/>
      <c r="BM107" s="96"/>
      <c r="BN107" s="96"/>
      <c r="BO107" s="96"/>
      <c r="BP107" s="96"/>
      <c r="BQ107" s="96"/>
      <c r="BR107" s="96"/>
      <c r="BS107" s="96"/>
      <c r="BT107" s="96"/>
      <c r="BU107" s="96"/>
      <c r="BV107" s="96"/>
      <c r="BW107" s="96"/>
      <c r="BX107" s="96"/>
      <c r="BY107" s="96"/>
      <c r="BZ107" s="96"/>
      <c r="CA107" s="96"/>
      <c r="CB107" s="96"/>
      <c r="CC107" s="96"/>
      <c r="CD107" s="96"/>
      <c r="CE107" s="96"/>
      <c r="CF107" s="98"/>
    </row>
    <row r="108" spans="1:84" x14ac:dyDescent="0.2">
      <c r="A108" s="96"/>
      <c r="B108" s="9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96"/>
      <c r="AE108" s="96"/>
      <c r="AF108" s="96"/>
      <c r="AG108" s="96"/>
      <c r="AH108" s="96"/>
      <c r="AI108" s="96"/>
      <c r="AJ108" s="96"/>
      <c r="AK108" s="96"/>
      <c r="AL108" s="96"/>
      <c r="AM108" s="96"/>
      <c r="AN108" s="96"/>
      <c r="AO108" s="96"/>
      <c r="AP108" s="96"/>
      <c r="AQ108" s="96"/>
      <c r="AR108" s="96"/>
      <c r="AS108" s="96"/>
      <c r="AT108" s="96"/>
      <c r="AU108" s="96"/>
      <c r="AV108" s="96"/>
      <c r="AW108" s="96"/>
      <c r="AX108" s="96"/>
      <c r="AY108" s="96"/>
      <c r="AZ108" s="96"/>
      <c r="BA108" s="96"/>
      <c r="BB108" s="96"/>
      <c r="BC108" s="96"/>
      <c r="BD108" s="96"/>
      <c r="BE108" s="96"/>
      <c r="BF108" s="96"/>
      <c r="BG108" s="96"/>
      <c r="BH108" s="96"/>
      <c r="BI108" s="96"/>
      <c r="BJ108" s="96"/>
      <c r="BK108" s="96"/>
      <c r="BL108" s="96"/>
      <c r="BM108" s="96"/>
      <c r="BN108" s="96"/>
      <c r="BO108" s="96"/>
      <c r="BP108" s="96"/>
      <c r="BQ108" s="96"/>
      <c r="BR108" s="96"/>
      <c r="BS108" s="96"/>
      <c r="BT108" s="96"/>
      <c r="BU108" s="96"/>
      <c r="BV108" s="96"/>
      <c r="BW108" s="96"/>
      <c r="BX108" s="96"/>
      <c r="BY108" s="96"/>
      <c r="BZ108" s="96"/>
      <c r="CA108" s="96"/>
      <c r="CB108" s="96"/>
      <c r="CC108" s="96"/>
      <c r="CD108" s="96"/>
      <c r="CE108" s="96"/>
    </row>
    <row r="109" spans="1:84" x14ac:dyDescent="0.2">
      <c r="A109" s="96"/>
      <c r="B109" s="96"/>
      <c r="C109" s="96"/>
      <c r="D109" s="96"/>
      <c r="E109" s="96"/>
      <c r="F109" s="96"/>
      <c r="G109" s="96"/>
      <c r="H109" s="96"/>
      <c r="I109" s="96"/>
      <c r="J109" s="96"/>
      <c r="K109" s="96"/>
      <c r="L109" s="96"/>
      <c r="M109" s="96"/>
      <c r="N109" s="96"/>
      <c r="O109" s="96"/>
      <c r="P109" s="96"/>
      <c r="Q109" s="96"/>
      <c r="R109" s="96"/>
      <c r="S109" s="96"/>
      <c r="T109" s="96"/>
      <c r="U109" s="96"/>
      <c r="V109" s="96"/>
      <c r="W109" s="96"/>
      <c r="X109" s="96"/>
      <c r="Y109" s="96"/>
      <c r="Z109" s="96"/>
      <c r="AA109" s="96"/>
      <c r="AB109" s="96"/>
      <c r="AC109" s="96"/>
      <c r="AD109" s="96"/>
      <c r="AE109" s="96"/>
      <c r="AF109" s="96"/>
      <c r="AG109" s="96"/>
      <c r="AH109" s="96"/>
      <c r="AI109" s="96"/>
      <c r="AJ109" s="96"/>
      <c r="AK109" s="96"/>
      <c r="AL109" s="96"/>
      <c r="AM109" s="96"/>
      <c r="AN109" s="96"/>
      <c r="AO109" s="96"/>
      <c r="AP109" s="96"/>
      <c r="AQ109" s="96"/>
      <c r="AR109" s="96"/>
      <c r="AS109" s="96"/>
      <c r="AT109" s="96"/>
      <c r="AU109" s="96"/>
      <c r="AV109" s="96"/>
      <c r="AW109" s="96"/>
      <c r="AX109" s="96"/>
      <c r="AY109" s="96"/>
      <c r="AZ109" s="96"/>
      <c r="BA109" s="96"/>
      <c r="BB109" s="96"/>
      <c r="BC109" s="96"/>
      <c r="BD109" s="96"/>
      <c r="BE109" s="96"/>
      <c r="BF109" s="96"/>
      <c r="BG109" s="96"/>
      <c r="BH109" s="96"/>
      <c r="BI109" s="96"/>
      <c r="BJ109" s="96"/>
      <c r="BK109" s="96"/>
      <c r="BL109" s="96"/>
      <c r="BM109" s="96"/>
      <c r="BN109" s="96"/>
      <c r="BO109" s="96"/>
      <c r="BP109" s="96"/>
      <c r="BQ109" s="96"/>
      <c r="BR109" s="96"/>
      <c r="BS109" s="96"/>
      <c r="BT109" s="96"/>
      <c r="BU109" s="96"/>
      <c r="BV109" s="96"/>
      <c r="BW109" s="96"/>
      <c r="BX109" s="96"/>
      <c r="BY109" s="96"/>
      <c r="BZ109" s="96"/>
      <c r="CA109" s="96"/>
      <c r="CB109" s="96"/>
      <c r="CC109" s="96"/>
      <c r="CD109" s="96"/>
      <c r="CE109" s="96"/>
    </row>
    <row r="110" spans="1:84" x14ac:dyDescent="0.2">
      <c r="A110" s="96"/>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96"/>
      <c r="AE110" s="96"/>
      <c r="AF110" s="96"/>
      <c r="AG110" s="96"/>
      <c r="AH110" s="96"/>
      <c r="AI110" s="96"/>
      <c r="AJ110" s="96"/>
      <c r="AK110" s="96"/>
      <c r="AL110" s="96"/>
      <c r="AM110" s="96"/>
      <c r="AN110" s="96"/>
      <c r="AO110" s="96"/>
      <c r="AP110" s="96"/>
      <c r="AQ110" s="96"/>
      <c r="AR110" s="96"/>
      <c r="AS110" s="96"/>
      <c r="AT110" s="96"/>
      <c r="AU110" s="96"/>
      <c r="AV110" s="96"/>
      <c r="AW110" s="96"/>
      <c r="AX110" s="96"/>
      <c r="AY110" s="96"/>
      <c r="AZ110" s="96"/>
      <c r="BA110" s="96"/>
      <c r="BB110" s="96"/>
      <c r="BC110" s="96"/>
      <c r="BD110" s="96"/>
      <c r="BE110" s="96"/>
      <c r="BF110" s="96"/>
      <c r="BG110" s="96"/>
      <c r="BH110" s="96"/>
      <c r="BI110" s="96"/>
      <c r="BJ110" s="96"/>
      <c r="BK110" s="96"/>
      <c r="BL110" s="96"/>
      <c r="BM110" s="96"/>
      <c r="BN110" s="96"/>
      <c r="BO110" s="96"/>
      <c r="BP110" s="96"/>
      <c r="BQ110" s="96"/>
      <c r="BR110" s="96"/>
      <c r="BS110" s="96"/>
      <c r="BT110" s="96"/>
      <c r="BU110" s="96"/>
      <c r="BV110" s="96"/>
      <c r="BW110" s="96"/>
      <c r="BX110" s="96"/>
      <c r="BY110" s="96"/>
      <c r="BZ110" s="96"/>
      <c r="CA110" s="96"/>
      <c r="CB110" s="96"/>
      <c r="CC110" s="96"/>
      <c r="CD110" s="96"/>
      <c r="CE110" s="96"/>
    </row>
    <row r="111" spans="1:84" x14ac:dyDescent="0.2">
      <c r="A111" s="96"/>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96"/>
      <c r="AE111" s="96"/>
      <c r="AF111" s="96"/>
      <c r="AG111" s="96"/>
      <c r="AH111" s="96"/>
      <c r="AI111" s="96"/>
      <c r="AJ111" s="96"/>
      <c r="AK111" s="96"/>
      <c r="AL111" s="96"/>
      <c r="AM111" s="96"/>
      <c r="AN111" s="96"/>
      <c r="AO111" s="96"/>
      <c r="AP111" s="96"/>
      <c r="AQ111" s="96"/>
      <c r="AR111" s="96"/>
      <c r="AS111" s="96"/>
      <c r="AT111" s="96"/>
      <c r="AU111" s="96"/>
      <c r="AV111" s="96"/>
      <c r="AW111" s="96"/>
      <c r="AX111" s="96"/>
      <c r="AY111" s="96"/>
      <c r="AZ111" s="96"/>
      <c r="BA111" s="96"/>
      <c r="BB111" s="96"/>
      <c r="BC111" s="96"/>
      <c r="BD111" s="96"/>
      <c r="BE111" s="96"/>
      <c r="BF111" s="96"/>
      <c r="BG111" s="96"/>
      <c r="BH111" s="96"/>
      <c r="BI111" s="96"/>
      <c r="BJ111" s="96"/>
      <c r="BK111" s="96"/>
      <c r="BL111" s="96"/>
      <c r="BM111" s="96"/>
      <c r="BN111" s="96"/>
      <c r="BO111" s="96"/>
      <c r="BP111" s="96"/>
      <c r="BQ111" s="96"/>
      <c r="BR111" s="96"/>
      <c r="BS111" s="96"/>
      <c r="BT111" s="96"/>
      <c r="BU111" s="96"/>
      <c r="BV111" s="96"/>
      <c r="BW111" s="96"/>
      <c r="BX111" s="96"/>
      <c r="BY111" s="96"/>
      <c r="BZ111" s="96"/>
      <c r="CA111" s="96"/>
      <c r="CB111" s="96"/>
      <c r="CC111" s="96"/>
      <c r="CD111" s="96"/>
      <c r="CE111" s="96"/>
    </row>
    <row r="112" spans="1:84" x14ac:dyDescent="0.2">
      <c r="A112" s="96"/>
      <c r="B112" s="96"/>
      <c r="C112" s="96"/>
      <c r="D112" s="96"/>
      <c r="E112" s="96"/>
      <c r="F112" s="96"/>
      <c r="G112" s="96"/>
      <c r="H112" s="96"/>
      <c r="I112" s="96"/>
      <c r="J112" s="96"/>
      <c r="K112" s="96"/>
      <c r="L112" s="96"/>
      <c r="M112" s="96"/>
      <c r="N112" s="96"/>
      <c r="O112" s="96"/>
      <c r="P112" s="96"/>
      <c r="Q112" s="96"/>
      <c r="R112" s="96"/>
      <c r="S112" s="96"/>
      <c r="T112" s="96"/>
      <c r="U112" s="96"/>
      <c r="V112" s="96"/>
      <c r="W112" s="96"/>
      <c r="X112" s="96"/>
      <c r="Y112" s="96"/>
      <c r="Z112" s="96"/>
      <c r="AA112" s="96"/>
      <c r="AB112" s="96"/>
      <c r="AC112" s="96"/>
      <c r="AD112" s="96"/>
      <c r="AE112" s="96"/>
      <c r="AF112" s="96"/>
      <c r="AG112" s="96"/>
      <c r="AH112" s="96"/>
      <c r="AI112" s="96"/>
      <c r="AJ112" s="96"/>
      <c r="AK112" s="96"/>
      <c r="AL112" s="96"/>
      <c r="AM112" s="96"/>
      <c r="AN112" s="96"/>
      <c r="AO112" s="96"/>
      <c r="AP112" s="96"/>
      <c r="AQ112" s="96"/>
      <c r="AR112" s="96"/>
      <c r="AS112" s="96"/>
      <c r="AT112" s="96"/>
      <c r="AU112" s="96"/>
      <c r="AV112" s="96"/>
      <c r="AW112" s="96"/>
      <c r="AX112" s="96"/>
      <c r="AY112" s="96"/>
      <c r="AZ112" s="96"/>
      <c r="BA112" s="96"/>
      <c r="BB112" s="96"/>
      <c r="BC112" s="96"/>
      <c r="BD112" s="96"/>
      <c r="BE112" s="96"/>
      <c r="BF112" s="96"/>
      <c r="BG112" s="96"/>
      <c r="BH112" s="96"/>
      <c r="BI112" s="96"/>
      <c r="BJ112" s="96"/>
      <c r="BK112" s="96"/>
      <c r="BL112" s="96"/>
      <c r="BM112" s="96"/>
      <c r="BN112" s="96"/>
      <c r="BO112" s="96"/>
      <c r="BP112" s="96"/>
      <c r="BQ112" s="96"/>
      <c r="BR112" s="96"/>
      <c r="BS112" s="96"/>
      <c r="BT112" s="96"/>
      <c r="BU112" s="96"/>
      <c r="BV112" s="96"/>
      <c r="BW112" s="96"/>
      <c r="BX112" s="96"/>
      <c r="BY112" s="96"/>
      <c r="BZ112" s="96"/>
      <c r="CA112" s="96"/>
      <c r="CB112" s="96"/>
      <c r="CC112" s="96"/>
      <c r="CD112" s="96"/>
      <c r="CE112" s="96"/>
    </row>
    <row r="113" spans="1:83" x14ac:dyDescent="0.2">
      <c r="A113" s="96"/>
      <c r="B113" s="96"/>
      <c r="C113" s="96"/>
      <c r="D113" s="96"/>
      <c r="E113" s="96"/>
      <c r="F113" s="96"/>
      <c r="G113" s="96"/>
      <c r="H113" s="96"/>
      <c r="I113" s="96"/>
      <c r="J113" s="96"/>
      <c r="K113" s="96"/>
      <c r="L113" s="96"/>
      <c r="M113" s="96"/>
      <c r="N113" s="96"/>
      <c r="O113" s="96"/>
      <c r="P113" s="96"/>
      <c r="Q113" s="96"/>
      <c r="R113" s="96"/>
      <c r="S113" s="96"/>
      <c r="T113" s="96"/>
      <c r="U113" s="96"/>
      <c r="V113" s="96"/>
      <c r="W113" s="96"/>
      <c r="X113" s="96"/>
      <c r="Y113" s="96"/>
      <c r="Z113" s="96"/>
      <c r="AA113" s="96"/>
      <c r="AB113" s="96"/>
      <c r="AC113" s="96"/>
      <c r="AD113" s="96"/>
      <c r="AE113" s="96"/>
      <c r="AF113" s="96"/>
      <c r="AG113" s="96"/>
      <c r="AH113" s="96"/>
      <c r="AI113" s="96"/>
      <c r="AJ113" s="96"/>
      <c r="AK113" s="96"/>
      <c r="AL113" s="96"/>
      <c r="AM113" s="96"/>
      <c r="AN113" s="96"/>
      <c r="AO113" s="96"/>
      <c r="AP113" s="96"/>
      <c r="AQ113" s="96"/>
      <c r="AR113" s="96"/>
      <c r="AS113" s="96"/>
      <c r="AT113" s="96"/>
      <c r="AU113" s="96"/>
      <c r="AV113" s="96"/>
      <c r="AW113" s="96"/>
      <c r="AX113" s="96"/>
      <c r="AY113" s="96"/>
      <c r="AZ113" s="96"/>
      <c r="BA113" s="96"/>
      <c r="BB113" s="96"/>
      <c r="BC113" s="96"/>
      <c r="BD113" s="96"/>
      <c r="BE113" s="96"/>
      <c r="BF113" s="96"/>
      <c r="BG113" s="96"/>
      <c r="BH113" s="96"/>
      <c r="BI113" s="96"/>
      <c r="BJ113" s="96"/>
      <c r="BK113" s="96"/>
      <c r="BL113" s="96"/>
      <c r="BM113" s="96"/>
      <c r="BN113" s="96"/>
      <c r="BO113" s="96"/>
      <c r="BP113" s="96"/>
      <c r="BQ113" s="96"/>
      <c r="BR113" s="96"/>
      <c r="BS113" s="96"/>
      <c r="BT113" s="96"/>
      <c r="BU113" s="96"/>
      <c r="BV113" s="96"/>
      <c r="BW113" s="96"/>
      <c r="BX113" s="96"/>
      <c r="BY113" s="96"/>
      <c r="BZ113" s="96"/>
      <c r="CA113" s="96"/>
      <c r="CB113" s="96"/>
      <c r="CC113" s="96"/>
      <c r="CD113" s="96"/>
      <c r="CE113" s="96"/>
    </row>
    <row r="114" spans="1:83" x14ac:dyDescent="0.2">
      <c r="A114" s="96"/>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96"/>
      <c r="AE114" s="96"/>
      <c r="AF114" s="96"/>
      <c r="AG114" s="96"/>
      <c r="AH114" s="96"/>
      <c r="AI114" s="96"/>
      <c r="AJ114" s="96"/>
      <c r="AK114" s="96"/>
      <c r="AL114" s="96"/>
      <c r="AM114" s="96"/>
      <c r="AN114" s="96"/>
      <c r="AO114" s="96"/>
      <c r="AP114" s="96"/>
      <c r="AQ114" s="96"/>
      <c r="AR114" s="96"/>
      <c r="AS114" s="96"/>
      <c r="AT114" s="96"/>
      <c r="AU114" s="96"/>
      <c r="AV114" s="96"/>
      <c r="AW114" s="96"/>
      <c r="AX114" s="96"/>
      <c r="AY114" s="96"/>
      <c r="AZ114" s="96"/>
      <c r="BA114" s="96"/>
      <c r="BB114" s="96"/>
      <c r="BC114" s="96"/>
      <c r="BD114" s="96"/>
      <c r="BE114" s="96"/>
      <c r="BF114" s="96"/>
      <c r="BG114" s="96"/>
      <c r="BH114" s="96"/>
      <c r="BI114" s="96"/>
      <c r="BJ114" s="96"/>
      <c r="BK114" s="96"/>
      <c r="BL114" s="96"/>
      <c r="BM114" s="96"/>
      <c r="BN114" s="96"/>
      <c r="BO114" s="96"/>
      <c r="BP114" s="96"/>
      <c r="BQ114" s="96"/>
      <c r="BR114" s="96"/>
      <c r="BS114" s="96"/>
      <c r="BT114" s="96"/>
      <c r="BU114" s="96"/>
      <c r="BV114" s="96"/>
      <c r="BW114" s="96"/>
      <c r="BX114" s="96"/>
      <c r="BY114" s="96"/>
      <c r="BZ114" s="96"/>
      <c r="CA114" s="96"/>
      <c r="CB114" s="96"/>
      <c r="CC114" s="96"/>
      <c r="CD114" s="96"/>
      <c r="CE114" s="96"/>
    </row>
    <row r="115" spans="1:83" x14ac:dyDescent="0.2">
      <c r="A115" s="96"/>
      <c r="B115" s="96"/>
      <c r="C115" s="96"/>
      <c r="D115" s="96"/>
      <c r="E115" s="96"/>
      <c r="F115" s="96"/>
      <c r="G115" s="96"/>
      <c r="H115" s="96"/>
      <c r="I115" s="96"/>
      <c r="J115" s="96"/>
      <c r="K115" s="96"/>
      <c r="L115" s="96"/>
      <c r="M115" s="96"/>
      <c r="N115" s="96"/>
      <c r="O115" s="96"/>
      <c r="P115" s="96"/>
      <c r="Q115" s="96"/>
      <c r="R115" s="96"/>
      <c r="S115" s="96"/>
      <c r="T115" s="96"/>
      <c r="U115" s="96"/>
      <c r="V115" s="96"/>
      <c r="W115" s="96"/>
      <c r="X115" s="96"/>
      <c r="Y115" s="96"/>
      <c r="Z115" s="96"/>
      <c r="AA115" s="96"/>
      <c r="AB115" s="96"/>
      <c r="AC115" s="96"/>
      <c r="AD115" s="96"/>
      <c r="AE115" s="96"/>
      <c r="AF115" s="96"/>
      <c r="AG115" s="96"/>
      <c r="AH115" s="96"/>
      <c r="AI115" s="96"/>
      <c r="AJ115" s="96"/>
      <c r="AK115" s="96"/>
      <c r="AL115" s="96"/>
      <c r="AM115" s="96"/>
      <c r="AN115" s="96"/>
      <c r="AO115" s="96"/>
      <c r="AP115" s="96"/>
      <c r="AQ115" s="96"/>
      <c r="AR115" s="96"/>
      <c r="AS115" s="96"/>
      <c r="AT115" s="96"/>
      <c r="AU115" s="96"/>
      <c r="AV115" s="96"/>
      <c r="AW115" s="96"/>
      <c r="AX115" s="96"/>
      <c r="AY115" s="96"/>
      <c r="AZ115" s="96"/>
      <c r="BA115" s="96"/>
      <c r="BB115" s="96"/>
      <c r="BC115" s="96"/>
      <c r="BD115" s="96"/>
      <c r="BE115" s="96"/>
      <c r="BF115" s="96"/>
      <c r="BG115" s="96"/>
      <c r="BH115" s="96"/>
      <c r="BI115" s="96"/>
      <c r="BJ115" s="96"/>
      <c r="BK115" s="96"/>
      <c r="BL115" s="96"/>
      <c r="BM115" s="96"/>
      <c r="BN115" s="96"/>
      <c r="BO115" s="96"/>
      <c r="BP115" s="96"/>
      <c r="BQ115" s="96"/>
      <c r="BR115" s="96"/>
      <c r="BS115" s="96"/>
      <c r="BT115" s="96"/>
      <c r="BU115" s="96"/>
      <c r="BV115" s="96"/>
      <c r="BW115" s="96"/>
      <c r="BX115" s="96"/>
      <c r="BY115" s="96"/>
      <c r="BZ115" s="96"/>
      <c r="CA115" s="96"/>
      <c r="CB115" s="96"/>
      <c r="CC115" s="96"/>
      <c r="CD115" s="96"/>
      <c r="CE115" s="96"/>
    </row>
    <row r="116" spans="1:83" x14ac:dyDescent="0.2">
      <c r="A116" s="96"/>
      <c r="B116" s="96"/>
      <c r="C116" s="96"/>
      <c r="D116" s="96"/>
      <c r="E116" s="96"/>
      <c r="F116" s="96"/>
      <c r="G116" s="96"/>
      <c r="H116" s="96"/>
      <c r="I116" s="96"/>
      <c r="J116" s="96"/>
      <c r="K116" s="96"/>
      <c r="L116" s="96"/>
      <c r="M116" s="96"/>
      <c r="N116" s="96"/>
      <c r="O116" s="96"/>
      <c r="P116" s="96"/>
      <c r="Q116" s="96"/>
      <c r="R116" s="96"/>
      <c r="S116" s="96"/>
      <c r="T116" s="96"/>
      <c r="U116" s="96"/>
      <c r="V116" s="96"/>
      <c r="W116" s="96"/>
      <c r="X116" s="96"/>
      <c r="Y116" s="96"/>
      <c r="Z116" s="96"/>
      <c r="AA116" s="96"/>
      <c r="AB116" s="96"/>
      <c r="AC116" s="96"/>
      <c r="AD116" s="96"/>
      <c r="AE116" s="96"/>
      <c r="AF116" s="96"/>
      <c r="AG116" s="96"/>
      <c r="AH116" s="96"/>
      <c r="AI116" s="96"/>
      <c r="AJ116" s="96"/>
      <c r="AK116" s="96"/>
      <c r="AL116" s="96"/>
      <c r="AM116" s="96"/>
      <c r="AN116" s="96"/>
      <c r="AO116" s="96"/>
      <c r="AP116" s="96"/>
      <c r="AQ116" s="96"/>
      <c r="AR116" s="96"/>
      <c r="AS116" s="96"/>
      <c r="AT116" s="96"/>
      <c r="AU116" s="96"/>
      <c r="AV116" s="96"/>
      <c r="AW116" s="96"/>
      <c r="AX116" s="96"/>
      <c r="AY116" s="96"/>
      <c r="AZ116" s="96"/>
      <c r="BA116" s="96"/>
      <c r="BB116" s="96"/>
      <c r="BC116" s="96"/>
      <c r="BD116" s="96"/>
      <c r="BE116" s="96"/>
      <c r="BF116" s="96"/>
      <c r="BG116" s="96"/>
      <c r="BH116" s="96"/>
      <c r="BI116" s="96"/>
      <c r="BJ116" s="96"/>
      <c r="BK116" s="96"/>
      <c r="BL116" s="96"/>
      <c r="BM116" s="96"/>
      <c r="BN116" s="96"/>
      <c r="BO116" s="96"/>
      <c r="BP116" s="96"/>
      <c r="BQ116" s="96"/>
      <c r="BR116" s="96"/>
      <c r="BS116" s="96"/>
      <c r="BT116" s="96"/>
      <c r="BU116" s="96"/>
      <c r="BV116" s="96"/>
      <c r="BW116" s="96"/>
      <c r="BX116" s="96"/>
      <c r="BY116" s="96"/>
      <c r="BZ116" s="96"/>
      <c r="CA116" s="96"/>
      <c r="CB116" s="96"/>
      <c r="CC116" s="96"/>
      <c r="CD116" s="96"/>
      <c r="CE116" s="96"/>
    </row>
    <row r="117" spans="1:83" x14ac:dyDescent="0.2">
      <c r="A117" s="96"/>
      <c r="B117" s="96"/>
      <c r="C117" s="96"/>
      <c r="D117" s="96"/>
      <c r="E117" s="96"/>
      <c r="F117" s="96"/>
      <c r="G117" s="96"/>
      <c r="H117" s="96"/>
      <c r="I117" s="96"/>
      <c r="J117" s="96"/>
      <c r="K117" s="96"/>
      <c r="L117" s="96"/>
      <c r="M117" s="96"/>
      <c r="N117" s="96"/>
      <c r="O117" s="96"/>
      <c r="P117" s="96"/>
      <c r="Q117" s="96"/>
      <c r="R117" s="96"/>
      <c r="S117" s="96"/>
      <c r="T117" s="96"/>
      <c r="U117" s="96"/>
      <c r="V117" s="96"/>
      <c r="W117" s="96"/>
      <c r="X117" s="96"/>
      <c r="Y117" s="96"/>
      <c r="Z117" s="96"/>
      <c r="AA117" s="96"/>
      <c r="AB117" s="96"/>
      <c r="AC117" s="96"/>
      <c r="AD117" s="96"/>
      <c r="AE117" s="96"/>
      <c r="AF117" s="96"/>
      <c r="AG117" s="96"/>
      <c r="AH117" s="96"/>
      <c r="AI117" s="96"/>
      <c r="AJ117" s="96"/>
      <c r="AK117" s="96"/>
      <c r="AL117" s="96"/>
      <c r="AM117" s="96"/>
      <c r="AN117" s="96"/>
      <c r="AO117" s="96"/>
      <c r="AP117" s="96"/>
      <c r="AQ117" s="96"/>
      <c r="AR117" s="96"/>
      <c r="AS117" s="96"/>
      <c r="AT117" s="96"/>
      <c r="AU117" s="96"/>
      <c r="AV117" s="96"/>
      <c r="AW117" s="96"/>
      <c r="AX117" s="96"/>
      <c r="AY117" s="96"/>
      <c r="AZ117" s="96"/>
      <c r="BA117" s="96"/>
      <c r="BB117" s="96"/>
      <c r="BC117" s="96"/>
      <c r="BD117" s="96"/>
      <c r="BE117" s="96"/>
      <c r="BF117" s="96"/>
      <c r="BG117" s="96"/>
      <c r="BH117" s="96"/>
      <c r="BI117" s="96"/>
      <c r="BJ117" s="96"/>
      <c r="BK117" s="96"/>
      <c r="BL117" s="96"/>
      <c r="BM117" s="96"/>
      <c r="BN117" s="96"/>
      <c r="BO117" s="96"/>
      <c r="BP117" s="96"/>
      <c r="BQ117" s="96"/>
      <c r="BR117" s="96"/>
      <c r="BS117" s="96"/>
      <c r="BT117" s="96"/>
      <c r="BU117" s="96"/>
      <c r="BV117" s="96"/>
      <c r="BW117" s="96"/>
      <c r="BX117" s="96"/>
      <c r="BY117" s="96"/>
      <c r="BZ117" s="96"/>
      <c r="CA117" s="96"/>
      <c r="CB117" s="96"/>
      <c r="CC117" s="96"/>
      <c r="CD117" s="96"/>
      <c r="CE117" s="96"/>
    </row>
    <row r="118" spans="1:83" x14ac:dyDescent="0.2">
      <c r="A118" s="96"/>
      <c r="B118" s="96"/>
      <c r="C118" s="96"/>
      <c r="D118" s="96"/>
      <c r="E118" s="96"/>
      <c r="F118" s="96"/>
      <c r="G118" s="96"/>
      <c r="H118" s="96"/>
      <c r="I118" s="96"/>
      <c r="J118" s="96"/>
      <c r="K118" s="96"/>
      <c r="L118" s="96"/>
      <c r="M118" s="96"/>
      <c r="N118" s="96"/>
      <c r="O118" s="96"/>
      <c r="P118" s="96"/>
      <c r="Q118" s="96"/>
      <c r="R118" s="96"/>
      <c r="S118" s="96"/>
      <c r="T118" s="96"/>
      <c r="U118" s="96"/>
      <c r="V118" s="96"/>
      <c r="W118" s="96"/>
      <c r="X118" s="96"/>
      <c r="Y118" s="96"/>
      <c r="Z118" s="96"/>
      <c r="AA118" s="96"/>
      <c r="AB118" s="96"/>
      <c r="AC118" s="96"/>
      <c r="AD118" s="96"/>
      <c r="AE118" s="96"/>
      <c r="AF118" s="96"/>
      <c r="AG118" s="96"/>
      <c r="AH118" s="96"/>
      <c r="AI118" s="96"/>
      <c r="AJ118" s="96"/>
      <c r="AK118" s="96"/>
      <c r="AL118" s="96"/>
      <c r="AM118" s="96"/>
      <c r="AN118" s="96"/>
      <c r="AO118" s="96"/>
      <c r="AP118" s="96"/>
      <c r="AQ118" s="96"/>
      <c r="AR118" s="96"/>
      <c r="AS118" s="96"/>
      <c r="AT118" s="96"/>
      <c r="AU118" s="96"/>
      <c r="AV118" s="96"/>
      <c r="AW118" s="96"/>
      <c r="AX118" s="96"/>
      <c r="AY118" s="96"/>
      <c r="AZ118" s="96"/>
      <c r="BA118" s="96"/>
      <c r="BB118" s="96"/>
      <c r="BC118" s="96"/>
      <c r="BD118" s="96"/>
      <c r="BE118" s="96"/>
      <c r="BF118" s="96"/>
      <c r="BG118" s="96"/>
      <c r="BH118" s="96"/>
      <c r="BI118" s="96"/>
      <c r="BJ118" s="96"/>
      <c r="BK118" s="96"/>
      <c r="BL118" s="96"/>
      <c r="BM118" s="96"/>
      <c r="BN118" s="96"/>
      <c r="BO118" s="96"/>
      <c r="BP118" s="96"/>
      <c r="BQ118" s="96"/>
      <c r="BR118" s="96"/>
      <c r="BS118" s="96"/>
      <c r="BT118" s="96"/>
      <c r="BU118" s="96"/>
      <c r="BV118" s="96"/>
      <c r="BW118" s="96"/>
      <c r="BX118" s="96"/>
      <c r="BY118" s="96"/>
      <c r="BZ118" s="96"/>
      <c r="CA118" s="96"/>
      <c r="CB118" s="96"/>
      <c r="CC118" s="96"/>
      <c r="CD118" s="96"/>
      <c r="CE118" s="96"/>
    </row>
    <row r="119" spans="1:83" x14ac:dyDescent="0.2">
      <c r="A119" s="96"/>
      <c r="B119" s="96"/>
      <c r="C119" s="96"/>
      <c r="D119" s="96"/>
      <c r="E119" s="96"/>
      <c r="F119" s="96"/>
      <c r="G119" s="96"/>
      <c r="H119" s="96"/>
      <c r="I119" s="96"/>
      <c r="J119" s="96"/>
      <c r="K119" s="96"/>
      <c r="L119" s="96"/>
      <c r="M119" s="96"/>
      <c r="N119" s="96"/>
      <c r="O119" s="96"/>
      <c r="P119" s="96"/>
      <c r="Q119" s="96"/>
      <c r="R119" s="96"/>
      <c r="S119" s="96"/>
      <c r="T119" s="96"/>
      <c r="U119" s="96"/>
      <c r="V119" s="96"/>
      <c r="W119" s="96"/>
      <c r="X119" s="96"/>
      <c r="Y119" s="96"/>
      <c r="Z119" s="96"/>
      <c r="AA119" s="96"/>
      <c r="AB119" s="96"/>
      <c r="AC119" s="96"/>
      <c r="AD119" s="96"/>
      <c r="AE119" s="96"/>
      <c r="AF119" s="96"/>
      <c r="AG119" s="96"/>
      <c r="AH119" s="96"/>
      <c r="AI119" s="96"/>
      <c r="AJ119" s="96"/>
      <c r="AK119" s="96"/>
      <c r="AL119" s="96"/>
      <c r="AM119" s="96"/>
      <c r="AN119" s="96"/>
      <c r="AO119" s="96"/>
      <c r="AP119" s="96"/>
      <c r="AQ119" s="96"/>
      <c r="AR119" s="96"/>
      <c r="AS119" s="96"/>
      <c r="AT119" s="96"/>
      <c r="AU119" s="96"/>
      <c r="AV119" s="96"/>
      <c r="AW119" s="96"/>
      <c r="AX119" s="96"/>
      <c r="AY119" s="96"/>
      <c r="AZ119" s="96"/>
      <c r="BA119" s="96"/>
      <c r="BB119" s="96"/>
      <c r="BC119" s="96"/>
      <c r="BD119" s="96"/>
      <c r="BE119" s="96"/>
      <c r="BF119" s="96"/>
      <c r="BG119" s="96"/>
      <c r="BH119" s="96"/>
      <c r="BI119" s="96"/>
      <c r="BJ119" s="96"/>
      <c r="BK119" s="96"/>
      <c r="BL119" s="96"/>
      <c r="BM119" s="96"/>
      <c r="BN119" s="96"/>
      <c r="BO119" s="96"/>
      <c r="BP119" s="96"/>
      <c r="BQ119" s="96"/>
      <c r="BR119" s="96"/>
      <c r="BS119" s="96"/>
      <c r="BT119" s="96"/>
      <c r="BU119" s="96"/>
      <c r="BV119" s="96"/>
      <c r="BW119" s="96"/>
      <c r="BX119" s="96"/>
      <c r="BY119" s="96"/>
      <c r="BZ119" s="96"/>
      <c r="CA119" s="96"/>
      <c r="CB119" s="96"/>
      <c r="CC119" s="96"/>
      <c r="CD119" s="96"/>
      <c r="CE119" s="96"/>
    </row>
    <row r="120" spans="1:83" x14ac:dyDescent="0.2">
      <c r="A120" s="96"/>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96"/>
      <c r="AE120" s="96"/>
      <c r="AF120" s="96"/>
      <c r="AG120" s="96"/>
      <c r="AH120" s="96"/>
      <c r="AI120" s="96"/>
      <c r="AJ120" s="96"/>
      <c r="AK120" s="96"/>
      <c r="AL120" s="96"/>
      <c r="AM120" s="96"/>
      <c r="AN120" s="96"/>
      <c r="AO120" s="96"/>
      <c r="AP120" s="96"/>
      <c r="AQ120" s="96"/>
      <c r="AR120" s="96"/>
      <c r="AS120" s="96"/>
      <c r="AT120" s="96"/>
      <c r="AU120" s="96"/>
      <c r="AV120" s="96"/>
      <c r="AW120" s="96"/>
      <c r="AX120" s="96"/>
      <c r="AY120" s="96"/>
      <c r="AZ120" s="96"/>
      <c r="BA120" s="96"/>
      <c r="BB120" s="96"/>
      <c r="BC120" s="96"/>
      <c r="BD120" s="96"/>
      <c r="BE120" s="96"/>
      <c r="BF120" s="96"/>
      <c r="BG120" s="96"/>
      <c r="BH120" s="96"/>
      <c r="BI120" s="96"/>
      <c r="BJ120" s="96"/>
      <c r="BK120" s="96"/>
      <c r="BL120" s="96"/>
      <c r="BM120" s="96"/>
      <c r="BN120" s="96"/>
      <c r="BO120" s="96"/>
      <c r="BP120" s="96"/>
      <c r="BQ120" s="96"/>
      <c r="BR120" s="96"/>
      <c r="BS120" s="96"/>
      <c r="BT120" s="96"/>
      <c r="BU120" s="96"/>
      <c r="BV120" s="96"/>
      <c r="BW120" s="96"/>
      <c r="BX120" s="96"/>
      <c r="BY120" s="96"/>
      <c r="BZ120" s="96"/>
      <c r="CA120" s="96"/>
      <c r="CB120" s="96"/>
      <c r="CC120" s="96"/>
      <c r="CD120" s="96"/>
      <c r="CE120" s="96"/>
    </row>
    <row r="121" spans="1:83" x14ac:dyDescent="0.2">
      <c r="A121" s="96"/>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96"/>
      <c r="AE121" s="96"/>
      <c r="AF121" s="96"/>
      <c r="AG121" s="96"/>
      <c r="AH121" s="96"/>
      <c r="AI121" s="96"/>
      <c r="AJ121" s="96"/>
      <c r="AK121" s="96"/>
      <c r="AL121" s="96"/>
      <c r="AM121" s="96"/>
      <c r="AN121" s="96"/>
      <c r="AO121" s="96"/>
      <c r="AP121" s="96"/>
      <c r="AQ121" s="96"/>
      <c r="AR121" s="96"/>
      <c r="AS121" s="96"/>
      <c r="AT121" s="96"/>
      <c r="AU121" s="96"/>
      <c r="AV121" s="96"/>
      <c r="AW121" s="96"/>
      <c r="AX121" s="96"/>
      <c r="AY121" s="96"/>
      <c r="AZ121" s="96"/>
      <c r="BA121" s="96"/>
      <c r="BB121" s="96"/>
      <c r="BC121" s="96"/>
      <c r="BD121" s="96"/>
      <c r="BE121" s="96"/>
      <c r="BF121" s="96"/>
      <c r="BG121" s="96"/>
      <c r="BH121" s="96"/>
      <c r="BI121" s="96"/>
      <c r="BJ121" s="96"/>
      <c r="BK121" s="96"/>
      <c r="BL121" s="96"/>
      <c r="BM121" s="96"/>
      <c r="BN121" s="96"/>
      <c r="BO121" s="96"/>
      <c r="BP121" s="96"/>
      <c r="BQ121" s="96"/>
      <c r="BR121" s="96"/>
      <c r="BS121" s="96"/>
      <c r="BT121" s="96"/>
      <c r="BU121" s="96"/>
      <c r="BV121" s="96"/>
      <c r="BW121" s="96"/>
      <c r="BX121" s="96"/>
      <c r="BY121" s="96"/>
      <c r="BZ121" s="96"/>
      <c r="CA121" s="96"/>
      <c r="CB121" s="96"/>
      <c r="CC121" s="96"/>
      <c r="CD121" s="96"/>
      <c r="CE121" s="96"/>
    </row>
    <row r="122" spans="1:83" x14ac:dyDescent="0.2">
      <c r="A122" s="96"/>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96"/>
      <c r="AE122" s="96"/>
      <c r="AF122" s="96"/>
      <c r="AG122" s="96"/>
      <c r="AH122" s="96"/>
      <c r="AI122" s="96"/>
      <c r="AJ122" s="96"/>
      <c r="AK122" s="96"/>
      <c r="AL122" s="96"/>
      <c r="AM122" s="96"/>
      <c r="AN122" s="96"/>
      <c r="AO122" s="96"/>
      <c r="AP122" s="96"/>
      <c r="AQ122" s="96"/>
      <c r="AR122" s="96"/>
      <c r="AS122" s="96"/>
      <c r="AT122" s="96"/>
      <c r="AU122" s="96"/>
      <c r="AV122" s="96"/>
      <c r="AW122" s="96"/>
      <c r="AX122" s="96"/>
      <c r="AY122" s="96"/>
      <c r="AZ122" s="96"/>
      <c r="BA122" s="96"/>
      <c r="BB122" s="96"/>
      <c r="BC122" s="96"/>
      <c r="BD122" s="96"/>
      <c r="BE122" s="96"/>
      <c r="BF122" s="96"/>
      <c r="BG122" s="96"/>
      <c r="BH122" s="96"/>
      <c r="BI122" s="96"/>
      <c r="BJ122" s="96"/>
      <c r="BK122" s="96"/>
      <c r="BL122" s="96"/>
      <c r="BM122" s="96"/>
      <c r="BN122" s="96"/>
      <c r="BO122" s="96"/>
      <c r="BP122" s="96"/>
      <c r="BQ122" s="96"/>
      <c r="BR122" s="96"/>
      <c r="BS122" s="96"/>
      <c r="BT122" s="96"/>
      <c r="BU122" s="96"/>
      <c r="BV122" s="96"/>
      <c r="BW122" s="96"/>
      <c r="BX122" s="96"/>
      <c r="BY122" s="96"/>
      <c r="BZ122" s="96"/>
      <c r="CA122" s="96"/>
      <c r="CB122" s="96"/>
      <c r="CC122" s="96"/>
      <c r="CD122" s="96"/>
      <c r="CE122" s="96"/>
    </row>
    <row r="123" spans="1:83" x14ac:dyDescent="0.2">
      <c r="A123" s="96"/>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96"/>
      <c r="AE123" s="96"/>
      <c r="AF123" s="96"/>
      <c r="AG123" s="96"/>
      <c r="AH123" s="96"/>
      <c r="AI123" s="96"/>
      <c r="AJ123" s="96"/>
      <c r="AK123" s="96"/>
      <c r="AL123" s="96"/>
      <c r="AM123" s="96"/>
      <c r="AN123" s="96"/>
      <c r="AO123" s="96"/>
      <c r="AP123" s="96"/>
      <c r="AQ123" s="96"/>
      <c r="AR123" s="96"/>
      <c r="AS123" s="96"/>
      <c r="AT123" s="96"/>
      <c r="AU123" s="96"/>
      <c r="AV123" s="96"/>
      <c r="AW123" s="96"/>
      <c r="AX123" s="96"/>
      <c r="AY123" s="96"/>
      <c r="AZ123" s="96"/>
      <c r="BA123" s="96"/>
      <c r="BB123" s="96"/>
      <c r="BC123" s="96"/>
      <c r="BD123" s="96"/>
      <c r="BE123" s="96"/>
      <c r="BF123" s="96"/>
      <c r="BG123" s="96"/>
      <c r="BH123" s="96"/>
      <c r="BI123" s="96"/>
      <c r="BJ123" s="96"/>
      <c r="BK123" s="96"/>
      <c r="BL123" s="96"/>
      <c r="BM123" s="96"/>
      <c r="BN123" s="96"/>
      <c r="BO123" s="96"/>
      <c r="BP123" s="96"/>
      <c r="BQ123" s="96"/>
      <c r="BR123" s="96"/>
      <c r="BS123" s="96"/>
      <c r="BT123" s="96"/>
      <c r="BU123" s="96"/>
      <c r="BV123" s="96"/>
      <c r="BW123" s="96"/>
      <c r="BX123" s="96"/>
      <c r="BY123" s="96"/>
      <c r="BZ123" s="96"/>
      <c r="CA123" s="96"/>
      <c r="CB123" s="96"/>
      <c r="CC123" s="96"/>
      <c r="CD123" s="96"/>
      <c r="CE123" s="96"/>
    </row>
    <row r="124" spans="1:83" x14ac:dyDescent="0.2">
      <c r="A124" s="96"/>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96"/>
      <c r="AE124" s="96"/>
      <c r="AF124" s="96"/>
      <c r="AG124" s="96"/>
      <c r="AH124" s="96"/>
      <c r="AI124" s="96"/>
      <c r="AJ124" s="96"/>
      <c r="AK124" s="96"/>
      <c r="AL124" s="96"/>
      <c r="AM124" s="96"/>
      <c r="AN124" s="96"/>
      <c r="AO124" s="96"/>
      <c r="AP124" s="96"/>
      <c r="AQ124" s="96"/>
      <c r="AR124" s="96"/>
      <c r="AS124" s="96"/>
      <c r="AT124" s="96"/>
      <c r="AU124" s="96"/>
      <c r="AV124" s="96"/>
      <c r="AW124" s="96"/>
      <c r="AX124" s="96"/>
      <c r="AY124" s="96"/>
      <c r="AZ124" s="96"/>
      <c r="BA124" s="96"/>
      <c r="BB124" s="96"/>
      <c r="BC124" s="96"/>
      <c r="BD124" s="96"/>
      <c r="BE124" s="96"/>
      <c r="BF124" s="96"/>
      <c r="BG124" s="96"/>
      <c r="BH124" s="96"/>
      <c r="BI124" s="96"/>
      <c r="BJ124" s="96"/>
      <c r="BK124" s="96"/>
      <c r="BL124" s="96"/>
      <c r="BM124" s="96"/>
      <c r="BN124" s="96"/>
      <c r="BO124" s="96"/>
      <c r="BP124" s="96"/>
      <c r="BQ124" s="96"/>
      <c r="BR124" s="96"/>
      <c r="BS124" s="96"/>
      <c r="BT124" s="96"/>
      <c r="BU124" s="96"/>
      <c r="BV124" s="96"/>
      <c r="BW124" s="96"/>
      <c r="BX124" s="96"/>
      <c r="BY124" s="96"/>
      <c r="BZ124" s="96"/>
      <c r="CA124" s="96"/>
      <c r="CB124" s="96"/>
      <c r="CC124" s="96"/>
      <c r="CD124" s="96"/>
      <c r="CE124" s="96"/>
    </row>
    <row r="125" spans="1:83" x14ac:dyDescent="0.2">
      <c r="A125" s="96"/>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96"/>
      <c r="AE125" s="96"/>
      <c r="AF125" s="96"/>
      <c r="AG125" s="96"/>
      <c r="AH125" s="96"/>
      <c r="AI125" s="96"/>
      <c r="AJ125" s="96"/>
      <c r="AK125" s="96"/>
      <c r="AL125" s="96"/>
      <c r="AM125" s="96"/>
      <c r="AN125" s="96"/>
      <c r="AO125" s="96"/>
      <c r="AP125" s="96"/>
      <c r="AQ125" s="96"/>
      <c r="AR125" s="96"/>
      <c r="AS125" s="96"/>
      <c r="AT125" s="96"/>
      <c r="AU125" s="96"/>
      <c r="AV125" s="96"/>
      <c r="AW125" s="96"/>
      <c r="AX125" s="96"/>
      <c r="AY125" s="96"/>
      <c r="AZ125" s="96"/>
      <c r="BA125" s="96"/>
      <c r="BB125" s="96"/>
      <c r="BC125" s="96"/>
      <c r="BD125" s="96"/>
      <c r="BE125" s="96"/>
      <c r="BF125" s="96"/>
      <c r="BG125" s="96"/>
      <c r="BH125" s="96"/>
      <c r="BI125" s="96"/>
      <c r="BJ125" s="96"/>
      <c r="BK125" s="96"/>
      <c r="BL125" s="96"/>
      <c r="BM125" s="96"/>
      <c r="BN125" s="96"/>
      <c r="BO125" s="96"/>
      <c r="BP125" s="96"/>
      <c r="BQ125" s="96"/>
      <c r="BR125" s="96"/>
      <c r="BS125" s="96"/>
      <c r="BT125" s="96"/>
      <c r="BU125" s="96"/>
      <c r="BV125" s="96"/>
      <c r="BW125" s="96"/>
      <c r="BX125" s="96"/>
      <c r="BY125" s="96"/>
      <c r="BZ125" s="96"/>
      <c r="CA125" s="96"/>
      <c r="CB125" s="96"/>
      <c r="CC125" s="96"/>
      <c r="CD125" s="96"/>
      <c r="CE125" s="96"/>
    </row>
    <row r="126" spans="1:83" x14ac:dyDescent="0.2">
      <c r="A126" s="96"/>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96"/>
      <c r="AE126" s="96"/>
      <c r="AF126" s="96"/>
      <c r="AG126" s="96"/>
      <c r="AH126" s="96"/>
      <c r="AI126" s="96"/>
      <c r="AJ126" s="96"/>
      <c r="AK126" s="96"/>
      <c r="AL126" s="96"/>
      <c r="AM126" s="96"/>
      <c r="AN126" s="96"/>
      <c r="AO126" s="96"/>
      <c r="AP126" s="96"/>
      <c r="AQ126" s="96"/>
      <c r="AR126" s="96"/>
      <c r="AS126" s="96"/>
      <c r="AT126" s="96"/>
      <c r="AU126" s="96"/>
      <c r="AV126" s="96"/>
      <c r="AW126" s="96"/>
      <c r="AX126" s="96"/>
      <c r="AY126" s="96"/>
      <c r="AZ126" s="96"/>
      <c r="BA126" s="96"/>
      <c r="BB126" s="96"/>
      <c r="BC126" s="96"/>
      <c r="BD126" s="96"/>
      <c r="BE126" s="96"/>
      <c r="BF126" s="96"/>
      <c r="BG126" s="96"/>
      <c r="BH126" s="96"/>
      <c r="BI126" s="96"/>
      <c r="BJ126" s="96"/>
      <c r="BK126" s="96"/>
      <c r="BL126" s="96"/>
      <c r="BM126" s="96"/>
      <c r="BN126" s="96"/>
      <c r="BO126" s="96"/>
      <c r="BP126" s="96"/>
      <c r="BQ126" s="96"/>
      <c r="BR126" s="96"/>
      <c r="BS126" s="96"/>
      <c r="BT126" s="96"/>
      <c r="BU126" s="96"/>
      <c r="BV126" s="96"/>
      <c r="BW126" s="96"/>
      <c r="BX126" s="96"/>
      <c r="BY126" s="96"/>
      <c r="BZ126" s="96"/>
      <c r="CA126" s="96"/>
      <c r="CB126" s="96"/>
      <c r="CC126" s="96"/>
      <c r="CD126" s="96"/>
      <c r="CE126" s="96"/>
    </row>
    <row r="127" spans="1:83" x14ac:dyDescent="0.2">
      <c r="A127" s="96"/>
      <c r="B127" s="96"/>
      <c r="C127" s="96"/>
      <c r="D127" s="96"/>
      <c r="E127" s="96"/>
      <c r="F127" s="96"/>
      <c r="G127" s="96"/>
      <c r="H127" s="96"/>
      <c r="I127" s="96"/>
      <c r="J127" s="96"/>
      <c r="K127" s="96"/>
      <c r="L127" s="96"/>
      <c r="M127" s="96"/>
      <c r="N127" s="96"/>
      <c r="O127" s="96"/>
      <c r="P127" s="96"/>
      <c r="Q127" s="96"/>
      <c r="R127" s="96"/>
      <c r="S127" s="96"/>
      <c r="T127" s="96"/>
      <c r="U127" s="96"/>
      <c r="V127" s="96"/>
      <c r="W127" s="96"/>
      <c r="X127" s="96"/>
      <c r="Y127" s="96"/>
      <c r="Z127" s="96"/>
      <c r="AA127" s="96"/>
      <c r="AB127" s="96"/>
      <c r="AC127" s="96"/>
      <c r="AD127" s="96"/>
      <c r="AE127" s="96"/>
      <c r="AF127" s="96"/>
      <c r="AG127" s="96"/>
      <c r="AH127" s="96"/>
      <c r="AI127" s="96"/>
      <c r="AJ127" s="96"/>
      <c r="AK127" s="96"/>
      <c r="AL127" s="96"/>
      <c r="AM127" s="96"/>
      <c r="AN127" s="96"/>
      <c r="AO127" s="96"/>
      <c r="AP127" s="96"/>
      <c r="AQ127" s="96"/>
      <c r="AR127" s="96"/>
      <c r="AS127" s="96"/>
      <c r="AT127" s="96"/>
      <c r="AU127" s="96"/>
      <c r="AV127" s="96"/>
      <c r="AW127" s="96"/>
      <c r="AX127" s="96"/>
      <c r="AY127" s="96"/>
      <c r="AZ127" s="96"/>
      <c r="BA127" s="96"/>
      <c r="BB127" s="96"/>
      <c r="BC127" s="96"/>
      <c r="BD127" s="96"/>
      <c r="BE127" s="96"/>
      <c r="BF127" s="96"/>
      <c r="BG127" s="96"/>
      <c r="BH127" s="96"/>
      <c r="BI127" s="96"/>
      <c r="BJ127" s="96"/>
      <c r="BK127" s="96"/>
      <c r="BL127" s="96"/>
      <c r="BM127" s="96"/>
      <c r="BN127" s="96"/>
      <c r="BO127" s="96"/>
      <c r="BP127" s="96"/>
      <c r="BQ127" s="96"/>
      <c r="BR127" s="96"/>
      <c r="BS127" s="96"/>
      <c r="BT127" s="96"/>
      <c r="BU127" s="96"/>
      <c r="BV127" s="96"/>
      <c r="BW127" s="96"/>
      <c r="BX127" s="96"/>
      <c r="BY127" s="96"/>
      <c r="BZ127" s="96"/>
      <c r="CA127" s="96"/>
      <c r="CB127" s="96"/>
      <c r="CC127" s="96"/>
      <c r="CD127" s="96"/>
      <c r="CE127" s="96"/>
    </row>
    <row r="128" spans="1:83" x14ac:dyDescent="0.2">
      <c r="A128" s="96"/>
      <c r="B128" s="96"/>
      <c r="C128" s="96"/>
      <c r="D128" s="96"/>
      <c r="E128" s="96"/>
      <c r="F128" s="96"/>
      <c r="G128" s="96"/>
      <c r="H128" s="96"/>
      <c r="I128" s="96"/>
      <c r="J128" s="96"/>
      <c r="K128" s="96"/>
      <c r="L128" s="96"/>
      <c r="M128" s="96"/>
      <c r="N128" s="96"/>
      <c r="O128" s="96"/>
      <c r="P128" s="96"/>
      <c r="Q128" s="96"/>
      <c r="R128" s="96"/>
      <c r="S128" s="96"/>
      <c r="T128" s="96"/>
      <c r="U128" s="96"/>
      <c r="V128" s="96"/>
      <c r="W128" s="96"/>
      <c r="X128" s="96"/>
      <c r="Y128" s="96"/>
      <c r="Z128" s="96"/>
      <c r="AA128" s="96"/>
      <c r="AB128" s="96"/>
      <c r="AC128" s="96"/>
      <c r="AD128" s="96"/>
      <c r="AE128" s="96"/>
      <c r="AF128" s="96"/>
      <c r="AG128" s="96"/>
      <c r="AH128" s="96"/>
      <c r="AI128" s="96"/>
      <c r="AJ128" s="96"/>
      <c r="AK128" s="96"/>
      <c r="AL128" s="96"/>
      <c r="AM128" s="96"/>
      <c r="AN128" s="96"/>
      <c r="AO128" s="96"/>
      <c r="AP128" s="96"/>
      <c r="AQ128" s="96"/>
      <c r="AR128" s="96"/>
      <c r="AS128" s="96"/>
      <c r="AT128" s="96"/>
      <c r="AU128" s="96"/>
      <c r="AV128" s="96"/>
      <c r="AW128" s="96"/>
      <c r="AX128" s="96"/>
      <c r="AY128" s="96"/>
      <c r="AZ128" s="96"/>
      <c r="BA128" s="96"/>
      <c r="BB128" s="96"/>
      <c r="BC128" s="96"/>
      <c r="BD128" s="96"/>
      <c r="BE128" s="96"/>
      <c r="BF128" s="96"/>
      <c r="BG128" s="96"/>
      <c r="BH128" s="96"/>
      <c r="BI128" s="96"/>
      <c r="BJ128" s="96"/>
      <c r="BK128" s="96"/>
      <c r="BL128" s="96"/>
      <c r="BM128" s="96"/>
      <c r="BN128" s="96"/>
      <c r="BO128" s="96"/>
      <c r="BP128" s="96"/>
      <c r="BQ128" s="96"/>
      <c r="BR128" s="96"/>
      <c r="BS128" s="96"/>
      <c r="BT128" s="96"/>
      <c r="BU128" s="96"/>
      <c r="BV128" s="96"/>
      <c r="BW128" s="96"/>
      <c r="BX128" s="96"/>
      <c r="BY128" s="96"/>
      <c r="BZ128" s="96"/>
      <c r="CA128" s="96"/>
      <c r="CB128" s="96"/>
      <c r="CC128" s="96"/>
      <c r="CD128" s="96"/>
      <c r="CE128" s="96"/>
    </row>
    <row r="129" spans="1:83" x14ac:dyDescent="0.2">
      <c r="A129" s="96"/>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c r="AX129" s="96"/>
      <c r="AY129" s="96"/>
      <c r="AZ129" s="96"/>
      <c r="BA129" s="96"/>
      <c r="BB129" s="96"/>
      <c r="BC129" s="96"/>
      <c r="BD129" s="96"/>
      <c r="BE129" s="96"/>
      <c r="BF129" s="96"/>
      <c r="BG129" s="96"/>
      <c r="BH129" s="96"/>
      <c r="BI129" s="96"/>
      <c r="BJ129" s="96"/>
      <c r="BK129" s="96"/>
      <c r="BL129" s="96"/>
      <c r="BM129" s="96"/>
      <c r="BN129" s="96"/>
      <c r="BO129" s="96"/>
      <c r="BP129" s="96"/>
      <c r="BQ129" s="96"/>
      <c r="BR129" s="96"/>
      <c r="BS129" s="96"/>
      <c r="BT129" s="96"/>
      <c r="BU129" s="96"/>
      <c r="BV129" s="96"/>
      <c r="BW129" s="96"/>
      <c r="BX129" s="96"/>
      <c r="BY129" s="96"/>
      <c r="BZ129" s="96"/>
      <c r="CA129" s="96"/>
      <c r="CB129" s="96"/>
      <c r="CC129" s="96"/>
      <c r="CD129" s="96"/>
      <c r="CE129" s="96"/>
    </row>
    <row r="130" spans="1:83" x14ac:dyDescent="0.2">
      <c r="A130" s="96"/>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96"/>
      <c r="AE130" s="96"/>
      <c r="AF130" s="96"/>
      <c r="AG130" s="96"/>
      <c r="AH130" s="96"/>
      <c r="AI130" s="96"/>
      <c r="AJ130" s="96"/>
      <c r="AK130" s="96"/>
      <c r="AL130" s="96"/>
      <c r="AM130" s="96"/>
      <c r="AN130" s="96"/>
      <c r="AO130" s="96"/>
      <c r="AP130" s="96"/>
      <c r="AQ130" s="96"/>
      <c r="AR130" s="96"/>
      <c r="AS130" s="96"/>
      <c r="AT130" s="96"/>
      <c r="AU130" s="96"/>
      <c r="AV130" s="96"/>
      <c r="AW130" s="96"/>
      <c r="AX130" s="96"/>
      <c r="AY130" s="96"/>
      <c r="AZ130" s="96"/>
      <c r="BA130" s="96"/>
      <c r="BB130" s="96"/>
      <c r="BC130" s="96"/>
      <c r="BD130" s="96"/>
      <c r="BE130" s="96"/>
      <c r="BF130" s="96"/>
      <c r="BG130" s="96"/>
      <c r="BH130" s="96"/>
      <c r="BI130" s="96"/>
      <c r="BJ130" s="96"/>
      <c r="BK130" s="96"/>
      <c r="BL130" s="96"/>
      <c r="BM130" s="96"/>
      <c r="BN130" s="96"/>
      <c r="BO130" s="96"/>
      <c r="BP130" s="96"/>
      <c r="BQ130" s="96"/>
      <c r="BR130" s="96"/>
      <c r="BS130" s="96"/>
      <c r="BT130" s="96"/>
      <c r="BU130" s="96"/>
      <c r="BV130" s="96"/>
      <c r="BW130" s="96"/>
      <c r="BX130" s="96"/>
      <c r="BY130" s="96"/>
      <c r="BZ130" s="96"/>
      <c r="CA130" s="96"/>
      <c r="CB130" s="96"/>
      <c r="CC130" s="96"/>
      <c r="CD130" s="96"/>
      <c r="CE130" s="96"/>
    </row>
    <row r="131" spans="1:83" x14ac:dyDescent="0.2">
      <c r="A131" s="96"/>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96"/>
      <c r="AE131" s="96"/>
      <c r="AF131" s="96"/>
      <c r="AG131" s="96"/>
      <c r="AH131" s="96"/>
      <c r="AI131" s="96"/>
      <c r="AJ131" s="96"/>
      <c r="AK131" s="96"/>
      <c r="AL131" s="96"/>
      <c r="AM131" s="96"/>
      <c r="AN131" s="96"/>
      <c r="AO131" s="96"/>
      <c r="AP131" s="96"/>
      <c r="AQ131" s="96"/>
      <c r="AR131" s="96"/>
      <c r="AS131" s="96"/>
      <c r="AT131" s="96"/>
      <c r="AU131" s="96"/>
      <c r="AV131" s="96"/>
      <c r="AW131" s="96"/>
      <c r="AX131" s="96"/>
      <c r="AY131" s="96"/>
      <c r="AZ131" s="96"/>
      <c r="BA131" s="96"/>
      <c r="BB131" s="96"/>
      <c r="BC131" s="96"/>
      <c r="BD131" s="96"/>
      <c r="BE131" s="96"/>
      <c r="BF131" s="96"/>
      <c r="BG131" s="96"/>
      <c r="BH131" s="96"/>
      <c r="BI131" s="96"/>
      <c r="BJ131" s="96"/>
      <c r="BK131" s="96"/>
      <c r="BL131" s="96"/>
      <c r="BM131" s="96"/>
      <c r="BN131" s="96"/>
      <c r="BO131" s="96"/>
      <c r="BP131" s="96"/>
      <c r="BQ131" s="96"/>
      <c r="BR131" s="96"/>
      <c r="BS131" s="96"/>
      <c r="BT131" s="96"/>
      <c r="BU131" s="96"/>
      <c r="BV131" s="96"/>
      <c r="BW131" s="96"/>
      <c r="BX131" s="96"/>
      <c r="BY131" s="96"/>
      <c r="BZ131" s="96"/>
      <c r="CA131" s="96"/>
      <c r="CB131" s="96"/>
      <c r="CC131" s="96"/>
      <c r="CD131" s="96"/>
      <c r="CE131" s="96"/>
    </row>
    <row r="132" spans="1:83" x14ac:dyDescent="0.2">
      <c r="A132" s="96"/>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96"/>
      <c r="AE132" s="96"/>
      <c r="AF132" s="96"/>
      <c r="AG132" s="96"/>
      <c r="AH132" s="96"/>
      <c r="AI132" s="96"/>
      <c r="AJ132" s="96"/>
      <c r="AK132" s="96"/>
      <c r="AL132" s="96"/>
      <c r="AM132" s="96"/>
      <c r="AN132" s="96"/>
      <c r="AO132" s="96"/>
      <c r="AP132" s="96"/>
      <c r="AQ132" s="96"/>
      <c r="AR132" s="96"/>
      <c r="AS132" s="96"/>
      <c r="AT132" s="96"/>
      <c r="AU132" s="96"/>
      <c r="AV132" s="96"/>
      <c r="AW132" s="96"/>
      <c r="AX132" s="96"/>
      <c r="AY132" s="96"/>
      <c r="AZ132" s="96"/>
      <c r="BA132" s="96"/>
      <c r="BB132" s="96"/>
      <c r="BC132" s="96"/>
      <c r="BD132" s="96"/>
      <c r="BE132" s="96"/>
      <c r="BF132" s="96"/>
      <c r="BG132" s="96"/>
      <c r="BH132" s="96"/>
      <c r="BI132" s="96"/>
      <c r="BJ132" s="96"/>
      <c r="BK132" s="96"/>
      <c r="BL132" s="96"/>
      <c r="BM132" s="96"/>
      <c r="BN132" s="96"/>
      <c r="BO132" s="96"/>
      <c r="BP132" s="96"/>
      <c r="BQ132" s="96"/>
      <c r="BR132" s="96"/>
      <c r="BS132" s="96"/>
      <c r="BT132" s="96"/>
      <c r="BU132" s="96"/>
      <c r="BV132" s="96"/>
      <c r="BW132" s="96"/>
      <c r="BX132" s="96"/>
      <c r="BY132" s="96"/>
      <c r="BZ132" s="96"/>
      <c r="CA132" s="96"/>
      <c r="CB132" s="96"/>
      <c r="CC132" s="96"/>
      <c r="CD132" s="96"/>
      <c r="CE132" s="96"/>
    </row>
    <row r="133" spans="1:83" x14ac:dyDescent="0.2">
      <c r="A133" s="96"/>
      <c r="B133" s="96"/>
      <c r="C133" s="96"/>
      <c r="D133" s="96"/>
      <c r="E133" s="96"/>
      <c r="F133" s="96"/>
      <c r="G133" s="96"/>
      <c r="H133" s="96"/>
      <c r="I133" s="96"/>
      <c r="J133" s="96"/>
      <c r="K133" s="96"/>
      <c r="L133" s="96"/>
      <c r="M133" s="96"/>
      <c r="N133" s="96"/>
      <c r="O133" s="96"/>
      <c r="P133" s="96"/>
      <c r="Q133" s="96"/>
      <c r="R133" s="96"/>
      <c r="S133" s="96"/>
      <c r="T133" s="96"/>
      <c r="U133" s="96"/>
      <c r="V133" s="96"/>
      <c r="W133" s="96"/>
      <c r="X133" s="96"/>
      <c r="Y133" s="96"/>
      <c r="Z133" s="96"/>
      <c r="AA133" s="96"/>
      <c r="AB133" s="96"/>
      <c r="AC133" s="96"/>
      <c r="AD133" s="96"/>
      <c r="AE133" s="96"/>
      <c r="AF133" s="96"/>
      <c r="AG133" s="96"/>
      <c r="AH133" s="96"/>
      <c r="AI133" s="96"/>
      <c r="AJ133" s="96"/>
      <c r="AK133" s="96"/>
      <c r="AL133" s="96"/>
      <c r="AM133" s="96"/>
      <c r="AN133" s="96"/>
      <c r="AO133" s="96"/>
      <c r="AP133" s="96"/>
      <c r="AQ133" s="96"/>
      <c r="AR133" s="96"/>
      <c r="AS133" s="96"/>
      <c r="AT133" s="96"/>
      <c r="AU133" s="96"/>
      <c r="AV133" s="96"/>
      <c r="AW133" s="96"/>
      <c r="AX133" s="96"/>
      <c r="AY133" s="96"/>
      <c r="AZ133" s="96"/>
      <c r="BA133" s="96"/>
      <c r="BB133" s="96"/>
      <c r="BC133" s="96"/>
      <c r="BD133" s="96"/>
      <c r="BE133" s="96"/>
      <c r="BF133" s="96"/>
      <c r="BG133" s="96"/>
      <c r="BH133" s="96"/>
      <c r="BI133" s="96"/>
      <c r="BJ133" s="96"/>
      <c r="BK133" s="96"/>
      <c r="BL133" s="96"/>
      <c r="BM133" s="96"/>
      <c r="BN133" s="96"/>
      <c r="BO133" s="96"/>
      <c r="BP133" s="96"/>
      <c r="BQ133" s="96"/>
      <c r="BR133" s="96"/>
      <c r="BS133" s="96"/>
      <c r="BT133" s="96"/>
      <c r="BU133" s="96"/>
      <c r="BV133" s="96"/>
      <c r="BW133" s="96"/>
      <c r="BX133" s="96"/>
      <c r="BY133" s="96"/>
      <c r="BZ133" s="96"/>
      <c r="CA133" s="96"/>
      <c r="CB133" s="96"/>
      <c r="CC133" s="96"/>
      <c r="CD133" s="96"/>
      <c r="CE133" s="96"/>
    </row>
    <row r="134" spans="1:83" x14ac:dyDescent="0.2">
      <c r="A134" s="96"/>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96"/>
      <c r="AE134" s="96"/>
      <c r="AF134" s="96"/>
      <c r="AG134" s="96"/>
      <c r="AH134" s="96"/>
      <c r="AI134" s="96"/>
      <c r="AJ134" s="96"/>
      <c r="AK134" s="96"/>
      <c r="AL134" s="96"/>
      <c r="AM134" s="96"/>
      <c r="AN134" s="96"/>
      <c r="AO134" s="96"/>
      <c r="AP134" s="96"/>
      <c r="AQ134" s="96"/>
      <c r="AR134" s="96"/>
      <c r="AS134" s="96"/>
      <c r="AT134" s="96"/>
      <c r="AU134" s="96"/>
      <c r="AV134" s="96"/>
      <c r="AW134" s="96"/>
      <c r="AX134" s="96"/>
      <c r="AY134" s="96"/>
      <c r="AZ134" s="96"/>
      <c r="BA134" s="96"/>
      <c r="BB134" s="96"/>
      <c r="BC134" s="96"/>
      <c r="BD134" s="96"/>
      <c r="BE134" s="96"/>
      <c r="BF134" s="96"/>
      <c r="BG134" s="96"/>
      <c r="BH134" s="96"/>
      <c r="BI134" s="96"/>
      <c r="BJ134" s="96"/>
      <c r="BK134" s="96"/>
      <c r="BL134" s="96"/>
      <c r="BM134" s="96"/>
      <c r="BN134" s="96"/>
      <c r="BO134" s="96"/>
      <c r="BP134" s="96"/>
      <c r="BQ134" s="96"/>
      <c r="BR134" s="96"/>
      <c r="BS134" s="96"/>
      <c r="BT134" s="96"/>
      <c r="BU134" s="96"/>
      <c r="BV134" s="96"/>
      <c r="BW134" s="96"/>
      <c r="BX134" s="96"/>
      <c r="BY134" s="96"/>
      <c r="BZ134" s="96"/>
      <c r="CA134" s="96"/>
      <c r="CB134" s="96"/>
      <c r="CC134" s="96"/>
      <c r="CD134" s="96"/>
      <c r="CE134" s="96"/>
    </row>
    <row r="135" spans="1:83" x14ac:dyDescent="0.2">
      <c r="A135" s="96"/>
      <c r="B135" s="96"/>
      <c r="C135" s="96"/>
      <c r="D135" s="96"/>
      <c r="E135" s="96"/>
      <c r="F135" s="96"/>
      <c r="G135" s="96"/>
      <c r="H135" s="96"/>
      <c r="I135" s="96"/>
      <c r="J135" s="96"/>
      <c r="K135" s="96"/>
      <c r="L135" s="96"/>
      <c r="M135" s="96"/>
      <c r="N135" s="96"/>
      <c r="O135" s="96"/>
      <c r="P135" s="96"/>
      <c r="Q135" s="96"/>
      <c r="R135" s="96"/>
      <c r="S135" s="96"/>
      <c r="T135" s="96"/>
      <c r="U135" s="96"/>
      <c r="V135" s="96"/>
      <c r="W135" s="96"/>
      <c r="X135" s="96"/>
      <c r="Y135" s="96"/>
      <c r="Z135" s="96"/>
      <c r="AA135" s="96"/>
      <c r="AB135" s="96"/>
      <c r="AC135" s="96"/>
      <c r="AD135" s="96"/>
      <c r="AE135" s="96"/>
      <c r="AF135" s="96"/>
      <c r="AG135" s="96"/>
      <c r="AH135" s="96"/>
      <c r="AI135" s="96"/>
      <c r="AJ135" s="96"/>
      <c r="AK135" s="96"/>
      <c r="AL135" s="96"/>
      <c r="AM135" s="96"/>
      <c r="AN135" s="96"/>
      <c r="AO135" s="96"/>
      <c r="AP135" s="96"/>
      <c r="AQ135" s="96"/>
      <c r="AR135" s="96"/>
      <c r="AS135" s="96"/>
      <c r="AT135" s="96"/>
      <c r="AU135" s="96"/>
      <c r="AV135" s="96"/>
      <c r="AW135" s="96"/>
      <c r="AX135" s="96"/>
      <c r="AY135" s="96"/>
      <c r="AZ135" s="96"/>
      <c r="BA135" s="96"/>
      <c r="BB135" s="96"/>
      <c r="BC135" s="96"/>
      <c r="BD135" s="96"/>
      <c r="BE135" s="96"/>
      <c r="BF135" s="96"/>
      <c r="BG135" s="96"/>
      <c r="BH135" s="96"/>
      <c r="BI135" s="96"/>
      <c r="BJ135" s="96"/>
      <c r="BK135" s="96"/>
      <c r="BL135" s="96"/>
      <c r="BM135" s="96"/>
      <c r="BN135" s="96"/>
      <c r="BO135" s="96"/>
      <c r="BP135" s="96"/>
      <c r="BQ135" s="96"/>
      <c r="BR135" s="96"/>
      <c r="BS135" s="96"/>
      <c r="BT135" s="96"/>
      <c r="BU135" s="96"/>
      <c r="BV135" s="96"/>
      <c r="BW135" s="96"/>
      <c r="BX135" s="96"/>
      <c r="BY135" s="96"/>
      <c r="BZ135" s="96"/>
      <c r="CA135" s="96"/>
      <c r="CB135" s="96"/>
      <c r="CC135" s="96"/>
      <c r="CD135" s="96"/>
      <c r="CE135" s="96"/>
    </row>
    <row r="136" spans="1:83" x14ac:dyDescent="0.2">
      <c r="A136" s="96"/>
      <c r="B136" s="96"/>
      <c r="C136" s="96"/>
      <c r="D136" s="96"/>
      <c r="E136" s="96"/>
      <c r="F136" s="96"/>
      <c r="G136" s="96"/>
      <c r="H136" s="96"/>
      <c r="I136" s="96"/>
      <c r="J136" s="96"/>
      <c r="K136" s="96"/>
      <c r="L136" s="96"/>
      <c r="M136" s="96"/>
      <c r="N136" s="96"/>
      <c r="O136" s="96"/>
      <c r="P136" s="96"/>
      <c r="Q136" s="96"/>
      <c r="R136" s="96"/>
      <c r="S136" s="96"/>
      <c r="T136" s="96"/>
      <c r="U136" s="96"/>
      <c r="V136" s="96"/>
      <c r="W136" s="96"/>
      <c r="X136" s="96"/>
      <c r="Y136" s="96"/>
      <c r="Z136" s="96"/>
      <c r="AA136" s="96"/>
      <c r="AB136" s="96"/>
      <c r="AC136" s="96"/>
      <c r="AD136" s="96"/>
      <c r="AE136" s="96"/>
      <c r="AF136" s="96"/>
      <c r="AG136" s="96"/>
      <c r="AH136" s="96"/>
      <c r="AI136" s="96"/>
      <c r="AJ136" s="96"/>
      <c r="AK136" s="96"/>
      <c r="AL136" s="96"/>
      <c r="AM136" s="96"/>
      <c r="AN136" s="96"/>
      <c r="AO136" s="96"/>
      <c r="AP136" s="96"/>
      <c r="AQ136" s="96"/>
      <c r="AR136" s="96"/>
      <c r="AS136" s="96"/>
      <c r="AT136" s="96"/>
      <c r="AU136" s="96"/>
      <c r="AV136" s="96"/>
      <c r="AW136" s="96"/>
      <c r="AX136" s="96"/>
      <c r="AY136" s="96"/>
      <c r="AZ136" s="96"/>
      <c r="BA136" s="96"/>
      <c r="BB136" s="96"/>
      <c r="BC136" s="96"/>
      <c r="BD136" s="96"/>
      <c r="BE136" s="96"/>
      <c r="BF136" s="96"/>
      <c r="BG136" s="96"/>
      <c r="BH136" s="96"/>
      <c r="BI136" s="96"/>
      <c r="BJ136" s="96"/>
      <c r="BK136" s="96"/>
      <c r="BL136" s="96"/>
      <c r="BM136" s="96"/>
      <c r="BN136" s="96"/>
      <c r="BO136" s="96"/>
      <c r="BP136" s="96"/>
      <c r="BQ136" s="96"/>
      <c r="BR136" s="96"/>
      <c r="BS136" s="96"/>
      <c r="BT136" s="96"/>
      <c r="BU136" s="96"/>
      <c r="BV136" s="96"/>
      <c r="BW136" s="96"/>
      <c r="BX136" s="96"/>
      <c r="BY136" s="96"/>
      <c r="BZ136" s="96"/>
      <c r="CA136" s="96"/>
      <c r="CB136" s="96"/>
      <c r="CC136" s="96"/>
      <c r="CD136" s="96"/>
      <c r="CE136" s="96"/>
    </row>
    <row r="137" spans="1:83" x14ac:dyDescent="0.2">
      <c r="A137" s="96"/>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96"/>
      <c r="AE137" s="96"/>
      <c r="AF137" s="96"/>
      <c r="AG137" s="96"/>
      <c r="AH137" s="96"/>
      <c r="AI137" s="96"/>
      <c r="AJ137" s="96"/>
      <c r="AK137" s="96"/>
      <c r="AL137" s="96"/>
      <c r="AM137" s="96"/>
      <c r="AN137" s="96"/>
      <c r="AO137" s="96"/>
      <c r="AP137" s="96"/>
      <c r="AQ137" s="96"/>
      <c r="AR137" s="96"/>
      <c r="AS137" s="96"/>
      <c r="AT137" s="96"/>
      <c r="AU137" s="96"/>
      <c r="AV137" s="96"/>
      <c r="AW137" s="96"/>
      <c r="AX137" s="96"/>
      <c r="AY137" s="96"/>
      <c r="AZ137" s="96"/>
      <c r="BA137" s="96"/>
      <c r="BB137" s="96"/>
      <c r="BC137" s="96"/>
      <c r="BD137" s="96"/>
      <c r="BE137" s="96"/>
      <c r="BF137" s="96"/>
      <c r="BG137" s="96"/>
      <c r="BH137" s="96"/>
      <c r="BI137" s="96"/>
      <c r="BJ137" s="96"/>
      <c r="BK137" s="96"/>
      <c r="BL137" s="96"/>
      <c r="BM137" s="96"/>
      <c r="BN137" s="96"/>
      <c r="BO137" s="96"/>
      <c r="BP137" s="96"/>
      <c r="BQ137" s="96"/>
      <c r="BR137" s="96"/>
      <c r="BS137" s="96"/>
      <c r="BT137" s="96"/>
      <c r="BU137" s="96"/>
      <c r="BV137" s="96"/>
      <c r="BW137" s="96"/>
      <c r="BX137" s="96"/>
      <c r="BY137" s="96"/>
      <c r="BZ137" s="96"/>
      <c r="CA137" s="96"/>
      <c r="CB137" s="96"/>
      <c r="CC137" s="96"/>
      <c r="CD137" s="96"/>
      <c r="CE137" s="96"/>
    </row>
    <row r="138" spans="1:83" x14ac:dyDescent="0.2">
      <c r="A138" s="96"/>
      <c r="B138" s="96"/>
      <c r="C138" s="96"/>
      <c r="D138" s="96"/>
      <c r="E138" s="96"/>
      <c r="F138" s="96"/>
      <c r="G138" s="96"/>
      <c r="H138" s="96"/>
      <c r="I138" s="96"/>
      <c r="J138" s="96"/>
      <c r="K138" s="96"/>
      <c r="L138" s="96"/>
      <c r="M138" s="96"/>
      <c r="N138" s="96"/>
      <c r="O138" s="96"/>
      <c r="P138" s="96"/>
      <c r="Q138" s="96"/>
      <c r="R138" s="96"/>
      <c r="S138" s="96"/>
      <c r="T138" s="96"/>
      <c r="U138" s="96"/>
      <c r="V138" s="96"/>
      <c r="W138" s="96"/>
      <c r="X138" s="96"/>
      <c r="Y138" s="96"/>
      <c r="Z138" s="96"/>
      <c r="AA138" s="96"/>
      <c r="AB138" s="96"/>
      <c r="AC138" s="96"/>
      <c r="AD138" s="96"/>
      <c r="AE138" s="96"/>
      <c r="AF138" s="96"/>
      <c r="AG138" s="96"/>
      <c r="AH138" s="96"/>
      <c r="AI138" s="96"/>
      <c r="AJ138" s="96"/>
      <c r="AK138" s="96"/>
      <c r="AL138" s="96"/>
      <c r="AM138" s="96"/>
      <c r="AN138" s="96"/>
      <c r="AO138" s="96"/>
      <c r="AP138" s="96"/>
      <c r="AQ138" s="96"/>
      <c r="AR138" s="96"/>
      <c r="AS138" s="96"/>
      <c r="AT138" s="96"/>
      <c r="AU138" s="96"/>
      <c r="AV138" s="96"/>
      <c r="AW138" s="96"/>
      <c r="AX138" s="96"/>
      <c r="AY138" s="96"/>
      <c r="AZ138" s="96"/>
      <c r="BA138" s="96"/>
      <c r="BB138" s="96"/>
      <c r="BC138" s="96"/>
      <c r="BD138" s="96"/>
      <c r="BE138" s="96"/>
      <c r="BF138" s="96"/>
      <c r="BG138" s="96"/>
      <c r="BH138" s="96"/>
      <c r="BI138" s="96"/>
      <c r="BJ138" s="96"/>
      <c r="BK138" s="96"/>
      <c r="BL138" s="96"/>
      <c r="BM138" s="96"/>
      <c r="BN138" s="96"/>
      <c r="BO138" s="96"/>
      <c r="BP138" s="96"/>
      <c r="BQ138" s="96"/>
      <c r="BR138" s="96"/>
      <c r="BS138" s="96"/>
      <c r="BT138" s="96"/>
      <c r="BU138" s="96"/>
      <c r="BV138" s="96"/>
      <c r="BW138" s="96"/>
      <c r="BX138" s="96"/>
      <c r="BY138" s="96"/>
      <c r="BZ138" s="96"/>
      <c r="CA138" s="96"/>
      <c r="CB138" s="96"/>
      <c r="CC138" s="96"/>
      <c r="CD138" s="96"/>
      <c r="CE138" s="96"/>
    </row>
    <row r="139" spans="1:83" x14ac:dyDescent="0.2">
      <c r="A139" s="96"/>
      <c r="B139" s="96"/>
      <c r="C139" s="96"/>
      <c r="D139" s="96"/>
      <c r="E139" s="96"/>
      <c r="F139" s="96"/>
      <c r="G139" s="96"/>
      <c r="H139" s="96"/>
      <c r="I139" s="96"/>
      <c r="J139" s="96"/>
      <c r="K139" s="96"/>
      <c r="L139" s="96"/>
      <c r="M139" s="96"/>
      <c r="N139" s="96"/>
      <c r="O139" s="96"/>
      <c r="P139" s="96"/>
      <c r="Q139" s="96"/>
      <c r="R139" s="96"/>
      <c r="S139" s="96"/>
      <c r="T139" s="96"/>
      <c r="U139" s="96"/>
      <c r="V139" s="96"/>
      <c r="W139" s="96"/>
      <c r="X139" s="96"/>
      <c r="Y139" s="96"/>
      <c r="Z139" s="96"/>
      <c r="AA139" s="96"/>
      <c r="AB139" s="96"/>
      <c r="AC139" s="96"/>
      <c r="AD139" s="96"/>
      <c r="AE139" s="96"/>
      <c r="AF139" s="96"/>
      <c r="AG139" s="96"/>
      <c r="AH139" s="96"/>
      <c r="AI139" s="96"/>
      <c r="AJ139" s="96"/>
      <c r="AK139" s="96"/>
      <c r="AL139" s="96"/>
      <c r="AM139" s="96"/>
      <c r="AN139" s="96"/>
      <c r="AO139" s="96"/>
      <c r="AP139" s="96"/>
      <c r="AQ139" s="96"/>
      <c r="AR139" s="96"/>
      <c r="AS139" s="96"/>
      <c r="AT139" s="96"/>
      <c r="AU139" s="96"/>
      <c r="AV139" s="96"/>
      <c r="AW139" s="96"/>
      <c r="AX139" s="96"/>
      <c r="AY139" s="96"/>
      <c r="AZ139" s="96"/>
      <c r="BA139" s="96"/>
      <c r="BB139" s="96"/>
      <c r="BC139" s="96"/>
      <c r="BD139" s="96"/>
      <c r="BE139" s="96"/>
      <c r="BF139" s="96"/>
      <c r="BG139" s="96"/>
      <c r="BH139" s="96"/>
      <c r="BI139" s="96"/>
      <c r="BJ139" s="96"/>
      <c r="BK139" s="96"/>
      <c r="BL139" s="96"/>
      <c r="BM139" s="96"/>
      <c r="BN139" s="96"/>
      <c r="BO139" s="96"/>
      <c r="BP139" s="96"/>
      <c r="BQ139" s="96"/>
      <c r="BR139" s="96"/>
      <c r="BS139" s="96"/>
      <c r="BT139" s="96"/>
      <c r="BU139" s="96"/>
      <c r="BV139" s="96"/>
      <c r="BW139" s="96"/>
      <c r="BX139" s="96"/>
      <c r="BY139" s="96"/>
      <c r="BZ139" s="96"/>
      <c r="CA139" s="96"/>
      <c r="CB139" s="96"/>
      <c r="CC139" s="96"/>
      <c r="CD139" s="96"/>
      <c r="CE139" s="96"/>
    </row>
    <row r="140" spans="1:83" x14ac:dyDescent="0.2">
      <c r="A140" s="96"/>
      <c r="B140" s="96"/>
      <c r="C140" s="96"/>
      <c r="D140" s="96"/>
      <c r="E140" s="96"/>
      <c r="F140" s="96"/>
      <c r="G140" s="96"/>
      <c r="H140" s="96"/>
      <c r="I140" s="96"/>
      <c r="J140" s="96"/>
      <c r="K140" s="96"/>
      <c r="L140" s="96"/>
      <c r="M140" s="96"/>
      <c r="N140" s="96"/>
      <c r="O140" s="96"/>
      <c r="P140" s="96"/>
      <c r="Q140" s="96"/>
      <c r="R140" s="96"/>
      <c r="S140" s="96"/>
      <c r="T140" s="96"/>
      <c r="U140" s="96"/>
      <c r="V140" s="96"/>
      <c r="W140" s="96"/>
      <c r="X140" s="96"/>
      <c r="Y140" s="96"/>
      <c r="Z140" s="96"/>
      <c r="AA140" s="96"/>
      <c r="AB140" s="96"/>
      <c r="AC140" s="96"/>
      <c r="AD140" s="96"/>
      <c r="AE140" s="96"/>
      <c r="AF140" s="96"/>
      <c r="AG140" s="96"/>
      <c r="AH140" s="96"/>
      <c r="AI140" s="96"/>
      <c r="AJ140" s="96"/>
      <c r="AK140" s="96"/>
      <c r="AL140" s="96"/>
      <c r="AM140" s="96"/>
      <c r="AN140" s="96"/>
      <c r="AO140" s="96"/>
      <c r="AP140" s="96"/>
      <c r="AQ140" s="96"/>
      <c r="AR140" s="96"/>
      <c r="AS140" s="96"/>
      <c r="AT140" s="96"/>
      <c r="AU140" s="96"/>
      <c r="AV140" s="96"/>
      <c r="AW140" s="96"/>
      <c r="AX140" s="96"/>
      <c r="AY140" s="96"/>
      <c r="AZ140" s="96"/>
      <c r="BA140" s="96"/>
      <c r="BB140" s="96"/>
      <c r="BC140" s="96"/>
      <c r="BD140" s="96"/>
      <c r="BE140" s="96"/>
      <c r="BF140" s="96"/>
      <c r="BG140" s="96"/>
      <c r="BH140" s="96"/>
      <c r="BI140" s="96"/>
      <c r="BJ140" s="96"/>
      <c r="BK140" s="96"/>
      <c r="BL140" s="96"/>
      <c r="BM140" s="96"/>
      <c r="BN140" s="96"/>
      <c r="BO140" s="96"/>
      <c r="BP140" s="96"/>
      <c r="BQ140" s="96"/>
      <c r="BR140" s="96"/>
      <c r="BS140" s="96"/>
      <c r="BT140" s="96"/>
      <c r="BU140" s="96"/>
      <c r="BV140" s="96"/>
      <c r="BW140" s="96"/>
      <c r="BX140" s="96"/>
      <c r="BY140" s="96"/>
      <c r="BZ140" s="96"/>
      <c r="CA140" s="96"/>
      <c r="CB140" s="96"/>
      <c r="CC140" s="96"/>
      <c r="CD140" s="96"/>
      <c r="CE140" s="96"/>
    </row>
    <row r="141" spans="1:83" x14ac:dyDescent="0.2">
      <c r="A141" s="96"/>
      <c r="B141" s="96"/>
      <c r="C141" s="96"/>
      <c r="D141" s="96"/>
      <c r="E141" s="96"/>
      <c r="F141" s="96"/>
      <c r="G141" s="96"/>
      <c r="H141" s="96"/>
      <c r="I141" s="96"/>
      <c r="J141" s="96"/>
      <c r="K141" s="96"/>
      <c r="L141" s="96"/>
      <c r="M141" s="96"/>
      <c r="N141" s="96"/>
      <c r="O141" s="96"/>
      <c r="P141" s="96"/>
      <c r="Q141" s="96"/>
      <c r="R141" s="96"/>
      <c r="S141" s="96"/>
      <c r="T141" s="96"/>
      <c r="U141" s="96"/>
      <c r="V141" s="96"/>
      <c r="W141" s="96"/>
      <c r="X141" s="96"/>
      <c r="Y141" s="96"/>
      <c r="Z141" s="96"/>
      <c r="AA141" s="96"/>
      <c r="AB141" s="96"/>
      <c r="AC141" s="96"/>
      <c r="AD141" s="96"/>
      <c r="AE141" s="96"/>
      <c r="AF141" s="96"/>
      <c r="AG141" s="96"/>
      <c r="AH141" s="96"/>
      <c r="AI141" s="96"/>
      <c r="AJ141" s="96"/>
      <c r="AK141" s="96"/>
      <c r="AL141" s="96"/>
      <c r="AM141" s="96"/>
      <c r="AN141" s="96"/>
      <c r="AO141" s="96"/>
      <c r="AP141" s="96"/>
      <c r="AQ141" s="96"/>
      <c r="AR141" s="96"/>
      <c r="AS141" s="96"/>
      <c r="AT141" s="96"/>
      <c r="AU141" s="96"/>
      <c r="AV141" s="96"/>
      <c r="AW141" s="96"/>
      <c r="AX141" s="96"/>
      <c r="AY141" s="96"/>
      <c r="AZ141" s="96"/>
      <c r="BA141" s="96"/>
      <c r="BB141" s="96"/>
      <c r="BC141" s="96"/>
      <c r="BD141" s="96"/>
      <c r="BE141" s="96"/>
      <c r="BF141" s="96"/>
      <c r="BG141" s="96"/>
      <c r="BH141" s="96"/>
      <c r="BI141" s="96"/>
      <c r="BJ141" s="96"/>
      <c r="BK141" s="96"/>
      <c r="BL141" s="96"/>
      <c r="BM141" s="96"/>
      <c r="BN141" s="96"/>
      <c r="BO141" s="96"/>
      <c r="BP141" s="96"/>
      <c r="BQ141" s="96"/>
      <c r="BR141" s="96"/>
      <c r="BS141" s="96"/>
      <c r="BT141" s="96"/>
      <c r="BU141" s="96"/>
      <c r="BV141" s="96"/>
      <c r="BW141" s="96"/>
      <c r="BX141" s="96"/>
      <c r="BY141" s="96"/>
      <c r="BZ141" s="96"/>
      <c r="CA141" s="96"/>
      <c r="CB141" s="96"/>
      <c r="CC141" s="96"/>
      <c r="CD141" s="96"/>
      <c r="CE141" s="96"/>
    </row>
    <row r="142" spans="1:83" x14ac:dyDescent="0.2">
      <c r="A142" s="96"/>
      <c r="B142" s="96"/>
      <c r="C142" s="96"/>
      <c r="D142" s="96"/>
      <c r="E142" s="96"/>
      <c r="F142" s="96"/>
      <c r="G142" s="96"/>
      <c r="H142" s="96"/>
      <c r="I142" s="96"/>
      <c r="J142" s="96"/>
      <c r="K142" s="96"/>
      <c r="L142" s="96"/>
      <c r="M142" s="96"/>
      <c r="N142" s="96"/>
      <c r="O142" s="96"/>
      <c r="P142" s="96"/>
      <c r="Q142" s="96"/>
      <c r="R142" s="96"/>
      <c r="S142" s="96"/>
      <c r="T142" s="96"/>
      <c r="U142" s="96"/>
      <c r="V142" s="96"/>
      <c r="W142" s="96"/>
      <c r="X142" s="96"/>
      <c r="Y142" s="96"/>
      <c r="Z142" s="96"/>
      <c r="AA142" s="96"/>
      <c r="AB142" s="96"/>
      <c r="AC142" s="96"/>
      <c r="AD142" s="96"/>
      <c r="AE142" s="96"/>
      <c r="AF142" s="96"/>
      <c r="AG142" s="96"/>
      <c r="AH142" s="96"/>
      <c r="AI142" s="96"/>
      <c r="AJ142" s="96"/>
      <c r="AK142" s="96"/>
      <c r="AL142" s="96"/>
      <c r="AM142" s="96"/>
      <c r="AN142" s="96"/>
      <c r="AO142" s="96"/>
      <c r="AP142" s="96"/>
      <c r="AQ142" s="96"/>
      <c r="AR142" s="96"/>
      <c r="AS142" s="96"/>
      <c r="AT142" s="96"/>
      <c r="AU142" s="96"/>
      <c r="AV142" s="96"/>
      <c r="AW142" s="96"/>
      <c r="AX142" s="96"/>
      <c r="AY142" s="96"/>
      <c r="AZ142" s="96"/>
      <c r="BA142" s="96"/>
      <c r="BB142" s="96"/>
      <c r="BC142" s="96"/>
      <c r="BD142" s="96"/>
      <c r="BE142" s="96"/>
      <c r="BF142" s="96"/>
      <c r="BG142" s="96"/>
      <c r="BH142" s="96"/>
      <c r="BI142" s="96"/>
      <c r="BJ142" s="96"/>
      <c r="BK142" s="96"/>
      <c r="BL142" s="96"/>
      <c r="BM142" s="96"/>
      <c r="BN142" s="96"/>
      <c r="BO142" s="96"/>
      <c r="BP142" s="96"/>
      <c r="BQ142" s="96"/>
      <c r="BR142" s="96"/>
      <c r="BS142" s="96"/>
      <c r="BT142" s="96"/>
      <c r="BU142" s="96"/>
      <c r="BV142" s="96"/>
      <c r="BW142" s="96"/>
      <c r="BX142" s="96"/>
      <c r="BY142" s="96"/>
      <c r="BZ142" s="96"/>
      <c r="CA142" s="96"/>
      <c r="CB142" s="96"/>
      <c r="CC142" s="96"/>
      <c r="CD142" s="96"/>
      <c r="CE142" s="96"/>
    </row>
    <row r="143" spans="1:83" x14ac:dyDescent="0.2">
      <c r="A143" s="96"/>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96"/>
      <c r="AE143" s="96"/>
      <c r="AF143" s="96"/>
      <c r="AG143" s="96"/>
      <c r="AH143" s="96"/>
      <c r="AI143" s="96"/>
      <c r="AJ143" s="96"/>
      <c r="AK143" s="96"/>
      <c r="AL143" s="96"/>
      <c r="AM143" s="96"/>
      <c r="AN143" s="96"/>
      <c r="AO143" s="96"/>
      <c r="AP143" s="96"/>
      <c r="AQ143" s="96"/>
      <c r="AR143" s="96"/>
      <c r="AS143" s="96"/>
      <c r="AT143" s="96"/>
      <c r="AU143" s="96"/>
      <c r="AV143" s="96"/>
      <c r="AW143" s="96"/>
      <c r="AX143" s="96"/>
      <c r="AY143" s="96"/>
      <c r="AZ143" s="96"/>
      <c r="BA143" s="96"/>
      <c r="BB143" s="96"/>
      <c r="BC143" s="96"/>
      <c r="BD143" s="96"/>
      <c r="BE143" s="96"/>
      <c r="BF143" s="96"/>
      <c r="BG143" s="96"/>
      <c r="BH143" s="96"/>
      <c r="BI143" s="96"/>
      <c r="BJ143" s="96"/>
      <c r="BK143" s="96"/>
      <c r="BL143" s="96"/>
      <c r="BM143" s="96"/>
      <c r="BN143" s="96"/>
      <c r="BO143" s="96"/>
      <c r="BP143" s="96"/>
      <c r="BQ143" s="96"/>
      <c r="BR143" s="96"/>
      <c r="BS143" s="96"/>
      <c r="BT143" s="96"/>
      <c r="BU143" s="96"/>
      <c r="BV143" s="96"/>
      <c r="BW143" s="96"/>
      <c r="BX143" s="96"/>
      <c r="BY143" s="96"/>
      <c r="BZ143" s="96"/>
      <c r="CA143" s="96"/>
      <c r="CB143" s="96"/>
      <c r="CC143" s="96"/>
      <c r="CD143" s="96"/>
      <c r="CE143" s="96"/>
    </row>
    <row r="144" spans="1:83" x14ac:dyDescent="0.2">
      <c r="A144" s="96"/>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96"/>
      <c r="AE144" s="96"/>
      <c r="AF144" s="96"/>
      <c r="AG144" s="96"/>
      <c r="AH144" s="96"/>
      <c r="AI144" s="96"/>
      <c r="AJ144" s="96"/>
      <c r="AK144" s="96"/>
      <c r="AL144" s="96"/>
      <c r="AM144" s="96"/>
      <c r="AN144" s="96"/>
      <c r="AO144" s="96"/>
      <c r="AP144" s="96"/>
      <c r="AQ144" s="96"/>
      <c r="AR144" s="96"/>
      <c r="AS144" s="96"/>
      <c r="AT144" s="96"/>
      <c r="AU144" s="96"/>
      <c r="AV144" s="96"/>
      <c r="AW144" s="96"/>
      <c r="AX144" s="96"/>
      <c r="AY144" s="96"/>
      <c r="AZ144" s="96"/>
      <c r="BA144" s="96"/>
      <c r="BB144" s="96"/>
      <c r="BC144" s="96"/>
      <c r="BD144" s="96"/>
      <c r="BE144" s="96"/>
      <c r="BF144" s="96"/>
      <c r="BG144" s="96"/>
      <c r="BH144" s="96"/>
      <c r="BI144" s="96"/>
      <c r="BJ144" s="96"/>
      <c r="BK144" s="96"/>
      <c r="BL144" s="96"/>
      <c r="BM144" s="96"/>
      <c r="BN144" s="96"/>
      <c r="BO144" s="96"/>
      <c r="BP144" s="96"/>
      <c r="BQ144" s="96"/>
      <c r="BR144" s="96"/>
      <c r="BS144" s="96"/>
      <c r="BT144" s="96"/>
      <c r="BU144" s="96"/>
      <c r="BV144" s="96"/>
      <c r="BW144" s="96"/>
      <c r="BX144" s="96"/>
      <c r="BY144" s="96"/>
      <c r="BZ144" s="96"/>
      <c r="CA144" s="96"/>
      <c r="CB144" s="96"/>
      <c r="CC144" s="96"/>
      <c r="CD144" s="96"/>
      <c r="CE144" s="96"/>
    </row>
    <row r="145" spans="1:83" x14ac:dyDescent="0.2">
      <c r="A145" s="96"/>
      <c r="B145" s="96"/>
      <c r="C145" s="96"/>
      <c r="D145" s="96"/>
      <c r="E145" s="96"/>
      <c r="F145" s="96"/>
      <c r="G145" s="96"/>
      <c r="H145" s="96"/>
      <c r="I145" s="96"/>
      <c r="J145" s="96"/>
      <c r="K145" s="96"/>
      <c r="L145" s="96"/>
      <c r="M145" s="96"/>
      <c r="N145" s="96"/>
      <c r="O145" s="96"/>
      <c r="P145" s="96"/>
      <c r="Q145" s="96"/>
      <c r="R145" s="96"/>
      <c r="S145" s="96"/>
      <c r="T145" s="96"/>
      <c r="U145" s="96"/>
      <c r="V145" s="96"/>
      <c r="W145" s="96"/>
      <c r="X145" s="96"/>
      <c r="Y145" s="96"/>
      <c r="Z145" s="96"/>
      <c r="AA145" s="96"/>
      <c r="AB145" s="96"/>
      <c r="AC145" s="96"/>
      <c r="AD145" s="96"/>
      <c r="AE145" s="96"/>
      <c r="AF145" s="96"/>
      <c r="AG145" s="96"/>
      <c r="AH145" s="96"/>
      <c r="AI145" s="96"/>
      <c r="AJ145" s="96"/>
      <c r="AK145" s="96"/>
      <c r="AL145" s="96"/>
      <c r="AM145" s="96"/>
      <c r="AN145" s="96"/>
      <c r="AO145" s="96"/>
      <c r="AP145" s="96"/>
      <c r="AQ145" s="96"/>
      <c r="AR145" s="96"/>
      <c r="AS145" s="96"/>
      <c r="AT145" s="96"/>
      <c r="AU145" s="96"/>
      <c r="AV145" s="96"/>
      <c r="AW145" s="96"/>
      <c r="AX145" s="96"/>
      <c r="AY145" s="96"/>
      <c r="AZ145" s="96"/>
      <c r="BA145" s="96"/>
      <c r="BB145" s="96"/>
      <c r="BC145" s="96"/>
      <c r="BD145" s="96"/>
      <c r="BE145" s="96"/>
      <c r="BF145" s="96"/>
      <c r="BG145" s="96"/>
      <c r="BH145" s="96"/>
      <c r="BI145" s="96"/>
      <c r="BJ145" s="96"/>
      <c r="BK145" s="96"/>
      <c r="BL145" s="96"/>
      <c r="BM145" s="96"/>
      <c r="BN145" s="96"/>
      <c r="BO145" s="96"/>
      <c r="BP145" s="96"/>
      <c r="BQ145" s="96"/>
      <c r="BR145" s="96"/>
      <c r="BS145" s="96"/>
      <c r="BT145" s="96"/>
      <c r="BU145" s="96"/>
      <c r="BV145" s="96"/>
      <c r="BW145" s="96"/>
      <c r="BX145" s="96"/>
      <c r="BY145" s="96"/>
      <c r="BZ145" s="96"/>
      <c r="CA145" s="96"/>
      <c r="CB145" s="96"/>
      <c r="CC145" s="96"/>
      <c r="CD145" s="96"/>
      <c r="CE145" s="96"/>
    </row>
    <row r="146" spans="1:83" x14ac:dyDescent="0.2">
      <c r="A146" s="96"/>
      <c r="B146" s="96"/>
      <c r="C146" s="96"/>
      <c r="D146" s="96"/>
      <c r="E146" s="96"/>
      <c r="F146" s="96"/>
      <c r="G146" s="96"/>
      <c r="H146" s="96"/>
      <c r="I146" s="96"/>
      <c r="J146" s="96"/>
      <c r="K146" s="96"/>
      <c r="L146" s="96"/>
      <c r="M146" s="96"/>
      <c r="N146" s="96"/>
      <c r="O146" s="96"/>
      <c r="P146" s="96"/>
      <c r="Q146" s="96"/>
      <c r="R146" s="96"/>
      <c r="S146" s="96"/>
      <c r="T146" s="96"/>
      <c r="U146" s="96"/>
      <c r="V146" s="96"/>
      <c r="W146" s="96"/>
      <c r="X146" s="96"/>
      <c r="Y146" s="96"/>
      <c r="Z146" s="96"/>
      <c r="AA146" s="96"/>
      <c r="AB146" s="96"/>
      <c r="AC146" s="96"/>
      <c r="AD146" s="96"/>
      <c r="AE146" s="96"/>
      <c r="AF146" s="96"/>
      <c r="AG146" s="96"/>
      <c r="AH146" s="96"/>
      <c r="AI146" s="96"/>
      <c r="AJ146" s="96"/>
      <c r="AK146" s="96"/>
      <c r="AL146" s="96"/>
      <c r="AM146" s="96"/>
      <c r="AN146" s="96"/>
      <c r="AO146" s="96"/>
      <c r="AP146" s="96"/>
      <c r="AQ146" s="96"/>
      <c r="AR146" s="96"/>
      <c r="AS146" s="96"/>
      <c r="AT146" s="96"/>
      <c r="AU146" s="96"/>
      <c r="AV146" s="96"/>
      <c r="AW146" s="96"/>
      <c r="AX146" s="96"/>
      <c r="AY146" s="96"/>
      <c r="AZ146" s="96"/>
      <c r="BA146" s="96"/>
      <c r="BB146" s="96"/>
      <c r="BC146" s="96"/>
      <c r="BD146" s="96"/>
      <c r="BE146" s="96"/>
      <c r="BF146" s="96"/>
      <c r="BG146" s="96"/>
      <c r="BH146" s="96"/>
      <c r="BI146" s="96"/>
      <c r="BJ146" s="96"/>
      <c r="BK146" s="96"/>
      <c r="BL146" s="96"/>
      <c r="BM146" s="96"/>
      <c r="BN146" s="96"/>
      <c r="BO146" s="96"/>
      <c r="BP146" s="96"/>
      <c r="BQ146" s="96"/>
      <c r="BR146" s="96"/>
      <c r="BS146" s="96"/>
      <c r="BT146" s="96"/>
      <c r="BU146" s="96"/>
      <c r="BV146" s="96"/>
      <c r="BW146" s="96"/>
      <c r="BX146" s="96"/>
      <c r="BY146" s="96"/>
      <c r="BZ146" s="96"/>
      <c r="CA146" s="96"/>
      <c r="CB146" s="96"/>
      <c r="CC146" s="96"/>
      <c r="CD146" s="96"/>
      <c r="CE146" s="96"/>
    </row>
    <row r="147" spans="1:83" x14ac:dyDescent="0.2">
      <c r="A147" s="96"/>
      <c r="B147" s="96"/>
      <c r="C147" s="96"/>
      <c r="D147" s="96"/>
      <c r="E147" s="96"/>
      <c r="F147" s="96"/>
      <c r="G147" s="96"/>
      <c r="H147" s="96"/>
      <c r="I147" s="96"/>
      <c r="J147" s="96"/>
      <c r="K147" s="96"/>
      <c r="L147" s="96"/>
      <c r="M147" s="96"/>
      <c r="N147" s="96"/>
      <c r="O147" s="96"/>
      <c r="P147" s="96"/>
      <c r="Q147" s="96"/>
      <c r="R147" s="96"/>
      <c r="S147" s="96"/>
      <c r="T147" s="96"/>
      <c r="U147" s="96"/>
      <c r="V147" s="96"/>
      <c r="W147" s="96"/>
      <c r="X147" s="96"/>
      <c r="Y147" s="96"/>
      <c r="Z147" s="96"/>
      <c r="AA147" s="96"/>
      <c r="AB147" s="96"/>
      <c r="AC147" s="96"/>
      <c r="AD147" s="96"/>
      <c r="AE147" s="96"/>
      <c r="AF147" s="96"/>
      <c r="AG147" s="96"/>
      <c r="AH147" s="96"/>
      <c r="AI147" s="96"/>
      <c r="AJ147" s="96"/>
      <c r="AK147" s="96"/>
      <c r="AL147" s="96"/>
      <c r="AM147" s="96"/>
      <c r="AN147" s="96"/>
      <c r="AO147" s="96"/>
      <c r="AP147" s="96"/>
      <c r="AQ147" s="96"/>
      <c r="AR147" s="96"/>
      <c r="AS147" s="96"/>
      <c r="AT147" s="96"/>
      <c r="AU147" s="96"/>
      <c r="AV147" s="96"/>
      <c r="AW147" s="96"/>
      <c r="AX147" s="96"/>
      <c r="AY147" s="96"/>
      <c r="AZ147" s="96"/>
      <c r="BA147" s="96"/>
      <c r="BB147" s="96"/>
      <c r="BC147" s="96"/>
      <c r="BD147" s="96"/>
      <c r="BE147" s="96"/>
      <c r="BF147" s="96"/>
      <c r="BG147" s="96"/>
      <c r="BH147" s="96"/>
      <c r="BI147" s="96"/>
      <c r="BJ147" s="96"/>
      <c r="BK147" s="96"/>
      <c r="BL147" s="96"/>
      <c r="BM147" s="96"/>
      <c r="BN147" s="96"/>
      <c r="BO147" s="96"/>
      <c r="BP147" s="96"/>
      <c r="BQ147" s="96"/>
      <c r="BR147" s="96"/>
      <c r="BS147" s="96"/>
      <c r="BT147" s="96"/>
      <c r="BU147" s="96"/>
      <c r="BV147" s="96"/>
      <c r="BW147" s="96"/>
      <c r="BX147" s="96"/>
      <c r="BY147" s="96"/>
      <c r="BZ147" s="96"/>
      <c r="CA147" s="96"/>
      <c r="CB147" s="96"/>
      <c r="CC147" s="96"/>
      <c r="CD147" s="96"/>
      <c r="CE147" s="96"/>
    </row>
    <row r="148" spans="1:83" x14ac:dyDescent="0.2">
      <c r="A148" s="96"/>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96"/>
      <c r="AE148" s="96"/>
      <c r="AF148" s="96"/>
      <c r="AG148" s="96"/>
      <c r="AH148" s="96"/>
      <c r="AI148" s="96"/>
      <c r="AJ148" s="96"/>
      <c r="AK148" s="96"/>
      <c r="AL148" s="96"/>
      <c r="AM148" s="96"/>
      <c r="AN148" s="96"/>
      <c r="AO148" s="96"/>
      <c r="AP148" s="96"/>
      <c r="AQ148" s="96"/>
      <c r="AR148" s="96"/>
      <c r="AS148" s="96"/>
      <c r="AT148" s="96"/>
      <c r="AU148" s="96"/>
      <c r="AV148" s="96"/>
      <c r="AW148" s="96"/>
      <c r="AX148" s="96"/>
      <c r="AY148" s="96"/>
      <c r="AZ148" s="96"/>
      <c r="BA148" s="96"/>
      <c r="BB148" s="96"/>
      <c r="BC148" s="96"/>
      <c r="BD148" s="96"/>
      <c r="BE148" s="96"/>
      <c r="BF148" s="96"/>
      <c r="BG148" s="96"/>
      <c r="BH148" s="96"/>
      <c r="BI148" s="96"/>
      <c r="BJ148" s="96"/>
      <c r="BK148" s="96"/>
      <c r="BL148" s="96"/>
      <c r="BM148" s="96"/>
      <c r="BN148" s="96"/>
      <c r="BO148" s="96"/>
      <c r="BP148" s="96"/>
      <c r="BQ148" s="96"/>
      <c r="BR148" s="96"/>
      <c r="BS148" s="96"/>
      <c r="BT148" s="96"/>
      <c r="BU148" s="96"/>
      <c r="BV148" s="96"/>
      <c r="BW148" s="96"/>
      <c r="BX148" s="96"/>
      <c r="BY148" s="96"/>
      <c r="BZ148" s="96"/>
      <c r="CA148" s="96"/>
      <c r="CB148" s="96"/>
      <c r="CC148" s="96"/>
      <c r="CD148" s="96"/>
      <c r="CE148" s="96"/>
    </row>
    <row r="149" spans="1:83" x14ac:dyDescent="0.2">
      <c r="A149" s="96"/>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96"/>
      <c r="AE149" s="96"/>
      <c r="AF149" s="96"/>
      <c r="AG149" s="96"/>
      <c r="AH149" s="96"/>
      <c r="AI149" s="96"/>
      <c r="AJ149" s="96"/>
      <c r="AK149" s="96"/>
      <c r="AL149" s="96"/>
      <c r="AM149" s="96"/>
      <c r="AN149" s="96"/>
      <c r="AO149" s="96"/>
      <c r="AP149" s="96"/>
      <c r="AQ149" s="96"/>
      <c r="AR149" s="96"/>
      <c r="AS149" s="96"/>
      <c r="AT149" s="96"/>
      <c r="AU149" s="96"/>
      <c r="AV149" s="96"/>
      <c r="AW149" s="96"/>
      <c r="AX149" s="96"/>
      <c r="AY149" s="96"/>
      <c r="AZ149" s="96"/>
      <c r="BA149" s="96"/>
      <c r="BB149" s="96"/>
      <c r="BC149" s="96"/>
      <c r="BD149" s="96"/>
      <c r="BE149" s="96"/>
      <c r="BF149" s="96"/>
      <c r="BG149" s="96"/>
      <c r="BH149" s="96"/>
      <c r="BI149" s="96"/>
      <c r="BJ149" s="96"/>
      <c r="BK149" s="96"/>
      <c r="BL149" s="96"/>
      <c r="BM149" s="96"/>
      <c r="BN149" s="96"/>
      <c r="BO149" s="96"/>
      <c r="BP149" s="96"/>
      <c r="BQ149" s="96"/>
      <c r="BR149" s="96"/>
      <c r="BS149" s="96"/>
      <c r="BT149" s="96"/>
      <c r="BU149" s="96"/>
      <c r="BV149" s="96"/>
      <c r="BW149" s="96"/>
      <c r="BX149" s="96"/>
      <c r="BY149" s="96"/>
      <c r="BZ149" s="96"/>
      <c r="CA149" s="96"/>
      <c r="CB149" s="96"/>
      <c r="CC149" s="96"/>
      <c r="CD149" s="96"/>
      <c r="CE149" s="96"/>
    </row>
    <row r="150" spans="1:83" x14ac:dyDescent="0.2">
      <c r="A150" s="96"/>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96"/>
      <c r="AE150" s="96"/>
      <c r="AF150" s="96"/>
      <c r="AG150" s="96"/>
      <c r="AH150" s="96"/>
      <c r="AI150" s="96"/>
      <c r="AJ150" s="96"/>
      <c r="AK150" s="96"/>
      <c r="AL150" s="96"/>
      <c r="AM150" s="96"/>
      <c r="AN150" s="96"/>
      <c r="AO150" s="96"/>
      <c r="AP150" s="96"/>
      <c r="AQ150" s="96"/>
      <c r="AR150" s="96"/>
      <c r="AS150" s="96"/>
      <c r="AT150" s="96"/>
      <c r="AU150" s="96"/>
      <c r="AV150" s="96"/>
      <c r="AW150" s="96"/>
      <c r="AX150" s="96"/>
      <c r="AY150" s="96"/>
      <c r="AZ150" s="96"/>
      <c r="BA150" s="96"/>
      <c r="BB150" s="96"/>
      <c r="BC150" s="96"/>
      <c r="BD150" s="96"/>
      <c r="BE150" s="96"/>
      <c r="BF150" s="96"/>
      <c r="BG150" s="96"/>
      <c r="BH150" s="96"/>
      <c r="BI150" s="96"/>
      <c r="BJ150" s="96"/>
      <c r="BK150" s="96"/>
      <c r="BL150" s="96"/>
      <c r="BM150" s="96"/>
      <c r="BN150" s="96"/>
      <c r="BO150" s="96"/>
      <c r="BP150" s="96"/>
      <c r="BQ150" s="96"/>
      <c r="BR150" s="96"/>
      <c r="BS150" s="96"/>
      <c r="BT150" s="96"/>
      <c r="BU150" s="96"/>
      <c r="BV150" s="96"/>
      <c r="BW150" s="96"/>
      <c r="BX150" s="96"/>
      <c r="BY150" s="96"/>
      <c r="BZ150" s="96"/>
      <c r="CA150" s="96"/>
      <c r="CB150" s="96"/>
      <c r="CC150" s="96"/>
      <c r="CD150" s="96"/>
      <c r="CE150" s="96"/>
    </row>
    <row r="151" spans="1:83" x14ac:dyDescent="0.2">
      <c r="A151" s="96"/>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96"/>
      <c r="AE151" s="96"/>
      <c r="AF151" s="96"/>
      <c r="AG151" s="96"/>
      <c r="AH151" s="96"/>
      <c r="AI151" s="96"/>
      <c r="AJ151" s="96"/>
      <c r="AK151" s="96"/>
      <c r="AL151" s="96"/>
      <c r="AM151" s="96"/>
      <c r="AN151" s="96"/>
      <c r="AO151" s="96"/>
      <c r="AP151" s="96"/>
      <c r="AQ151" s="96"/>
      <c r="AR151" s="96"/>
      <c r="AS151" s="96"/>
      <c r="AT151" s="96"/>
      <c r="AU151" s="96"/>
      <c r="AV151" s="96"/>
      <c r="AW151" s="96"/>
      <c r="AX151" s="96"/>
      <c r="AY151" s="96"/>
      <c r="AZ151" s="96"/>
      <c r="BA151" s="96"/>
      <c r="BB151" s="96"/>
      <c r="BC151" s="96"/>
      <c r="BD151" s="96"/>
      <c r="BE151" s="96"/>
      <c r="BF151" s="96"/>
      <c r="BG151" s="96"/>
      <c r="BH151" s="96"/>
      <c r="BI151" s="96"/>
      <c r="BJ151" s="96"/>
      <c r="BK151" s="96"/>
      <c r="BL151" s="96"/>
      <c r="BM151" s="96"/>
      <c r="BN151" s="96"/>
      <c r="BO151" s="96"/>
      <c r="BP151" s="96"/>
      <c r="BQ151" s="96"/>
      <c r="BR151" s="96"/>
      <c r="BS151" s="96"/>
      <c r="BT151" s="96"/>
      <c r="BU151" s="96"/>
      <c r="BV151" s="96"/>
      <c r="BW151" s="96"/>
      <c r="BX151" s="96"/>
      <c r="BY151" s="96"/>
      <c r="BZ151" s="96"/>
      <c r="CA151" s="96"/>
      <c r="CB151" s="96"/>
      <c r="CC151" s="96"/>
      <c r="CD151" s="96"/>
      <c r="CE151" s="96"/>
    </row>
    <row r="152" spans="1:83" x14ac:dyDescent="0.2">
      <c r="A152" s="96"/>
      <c r="B152" s="96"/>
      <c r="C152" s="96"/>
      <c r="D152" s="96"/>
      <c r="E152" s="96"/>
      <c r="F152" s="96"/>
      <c r="G152" s="96"/>
      <c r="H152" s="96"/>
      <c r="I152" s="96"/>
      <c r="J152" s="96"/>
      <c r="K152" s="96"/>
      <c r="L152" s="96"/>
      <c r="M152" s="96"/>
      <c r="N152" s="96"/>
      <c r="O152" s="96"/>
      <c r="P152" s="96"/>
      <c r="Q152" s="96"/>
      <c r="R152" s="96"/>
      <c r="S152" s="96"/>
      <c r="T152" s="96"/>
      <c r="U152" s="96"/>
      <c r="V152" s="96"/>
      <c r="W152" s="96"/>
      <c r="X152" s="96"/>
      <c r="Y152" s="96"/>
      <c r="Z152" s="96"/>
      <c r="AA152" s="96"/>
      <c r="AB152" s="96"/>
      <c r="AC152" s="96"/>
      <c r="AD152" s="96"/>
      <c r="AE152" s="96"/>
      <c r="AF152" s="96"/>
      <c r="AG152" s="96"/>
      <c r="AH152" s="96"/>
      <c r="AI152" s="96"/>
      <c r="AJ152" s="96"/>
      <c r="AK152" s="96"/>
      <c r="AL152" s="96"/>
      <c r="AM152" s="96"/>
      <c r="AN152" s="96"/>
      <c r="AO152" s="96"/>
      <c r="AP152" s="96"/>
      <c r="AQ152" s="96"/>
      <c r="AR152" s="96"/>
      <c r="AS152" s="96"/>
      <c r="AT152" s="96"/>
      <c r="AU152" s="96"/>
      <c r="AV152" s="96"/>
      <c r="AW152" s="96"/>
      <c r="AX152" s="96"/>
      <c r="AY152" s="96"/>
      <c r="AZ152" s="96"/>
      <c r="BA152" s="96"/>
      <c r="BB152" s="96"/>
      <c r="BC152" s="96"/>
      <c r="BD152" s="96"/>
      <c r="BE152" s="96"/>
      <c r="BF152" s="96"/>
      <c r="BG152" s="96"/>
      <c r="BH152" s="96"/>
      <c r="BI152" s="96"/>
      <c r="BJ152" s="96"/>
      <c r="BK152" s="96"/>
      <c r="BL152" s="96"/>
      <c r="BM152" s="96"/>
      <c r="BN152" s="96"/>
      <c r="BO152" s="96"/>
      <c r="BP152" s="96"/>
      <c r="BQ152" s="96"/>
      <c r="BR152" s="96"/>
      <c r="BS152" s="96"/>
      <c r="BT152" s="96"/>
      <c r="BU152" s="96"/>
      <c r="BV152" s="96"/>
      <c r="BW152" s="96"/>
      <c r="BX152" s="96"/>
      <c r="BY152" s="96"/>
      <c r="BZ152" s="96"/>
      <c r="CA152" s="96"/>
      <c r="CB152" s="96"/>
      <c r="CC152" s="96"/>
      <c r="CD152" s="96"/>
      <c r="CE152" s="96"/>
    </row>
    <row r="153" spans="1:83" x14ac:dyDescent="0.2">
      <c r="A153" s="96"/>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96"/>
      <c r="AE153" s="96"/>
      <c r="AF153" s="96"/>
      <c r="AG153" s="96"/>
      <c r="AH153" s="96"/>
      <c r="AI153" s="96"/>
      <c r="AJ153" s="96"/>
      <c r="AK153" s="96"/>
      <c r="AL153" s="96"/>
      <c r="AM153" s="96"/>
      <c r="AN153" s="96"/>
      <c r="AO153" s="96"/>
      <c r="AP153" s="96"/>
      <c r="AQ153" s="96"/>
      <c r="AR153" s="96"/>
      <c r="AS153" s="96"/>
      <c r="AT153" s="96"/>
      <c r="AU153" s="96"/>
      <c r="AV153" s="96"/>
      <c r="AW153" s="96"/>
      <c r="AX153" s="96"/>
      <c r="AY153" s="96"/>
      <c r="AZ153" s="96"/>
      <c r="BA153" s="96"/>
      <c r="BB153" s="96"/>
      <c r="BC153" s="96"/>
      <c r="BD153" s="96"/>
      <c r="BE153" s="96"/>
      <c r="BF153" s="96"/>
      <c r="BG153" s="96"/>
      <c r="BH153" s="96"/>
      <c r="BI153" s="96"/>
      <c r="BJ153" s="96"/>
      <c r="BK153" s="96"/>
      <c r="BL153" s="96"/>
      <c r="BM153" s="96"/>
      <c r="BN153" s="96"/>
      <c r="BO153" s="96"/>
      <c r="BP153" s="96"/>
      <c r="BQ153" s="96"/>
      <c r="BR153" s="96"/>
      <c r="BS153" s="96"/>
      <c r="BT153" s="96"/>
      <c r="BU153" s="96"/>
      <c r="BV153" s="96"/>
      <c r="BW153" s="96"/>
      <c r="BX153" s="96"/>
      <c r="BY153" s="96"/>
      <c r="BZ153" s="96"/>
      <c r="CA153" s="96"/>
      <c r="CB153" s="96"/>
      <c r="CC153" s="96"/>
      <c r="CD153" s="96"/>
      <c r="CE153" s="96"/>
    </row>
    <row r="154" spans="1:83" x14ac:dyDescent="0.2">
      <c r="A154" s="96"/>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96"/>
      <c r="AE154" s="96"/>
      <c r="AF154" s="96"/>
      <c r="AG154" s="96"/>
      <c r="AH154" s="96"/>
      <c r="AI154" s="96"/>
      <c r="AJ154" s="96"/>
      <c r="AK154" s="96"/>
      <c r="AL154" s="96"/>
      <c r="AM154" s="96"/>
      <c r="AN154" s="96"/>
      <c r="AO154" s="96"/>
      <c r="AP154" s="96"/>
      <c r="AQ154" s="96"/>
      <c r="AR154" s="96"/>
      <c r="AS154" s="96"/>
      <c r="AT154" s="96"/>
      <c r="AU154" s="96"/>
      <c r="AV154" s="96"/>
      <c r="AW154" s="96"/>
      <c r="AX154" s="96"/>
      <c r="AY154" s="96"/>
      <c r="AZ154" s="96"/>
      <c r="BA154" s="96"/>
      <c r="BB154" s="96"/>
      <c r="BC154" s="96"/>
      <c r="BD154" s="96"/>
      <c r="BE154" s="96"/>
      <c r="BF154" s="96"/>
      <c r="BG154" s="96"/>
      <c r="BH154" s="96"/>
      <c r="BI154" s="96"/>
      <c r="BJ154" s="96"/>
      <c r="BK154" s="96"/>
      <c r="BL154" s="96"/>
      <c r="BM154" s="96"/>
      <c r="BN154" s="96"/>
      <c r="BO154" s="96"/>
      <c r="BP154" s="96"/>
      <c r="BQ154" s="96"/>
      <c r="BR154" s="96"/>
      <c r="BS154" s="96"/>
      <c r="BT154" s="96"/>
      <c r="BU154" s="96"/>
      <c r="BV154" s="96"/>
      <c r="BW154" s="96"/>
      <c r="BX154" s="96"/>
      <c r="BY154" s="96"/>
      <c r="BZ154" s="96"/>
      <c r="CA154" s="96"/>
      <c r="CB154" s="96"/>
      <c r="CC154" s="96"/>
      <c r="CD154" s="96"/>
      <c r="CE154" s="96"/>
    </row>
    <row r="155" spans="1:83" x14ac:dyDescent="0.2">
      <c r="A155" s="96"/>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96"/>
      <c r="AE155" s="96"/>
      <c r="AF155" s="96"/>
      <c r="AG155" s="96"/>
      <c r="AH155" s="96"/>
      <c r="AI155" s="96"/>
      <c r="AJ155" s="96"/>
      <c r="AK155" s="96"/>
      <c r="AL155" s="96"/>
      <c r="AM155" s="96"/>
      <c r="AN155" s="96"/>
      <c r="AO155" s="96"/>
      <c r="AP155" s="96"/>
      <c r="AQ155" s="96"/>
      <c r="AR155" s="96"/>
      <c r="AS155" s="96"/>
      <c r="AT155" s="96"/>
      <c r="AU155" s="96"/>
      <c r="AV155" s="96"/>
      <c r="AW155" s="96"/>
      <c r="AX155" s="96"/>
      <c r="AY155" s="96"/>
      <c r="AZ155" s="96"/>
      <c r="BA155" s="96"/>
      <c r="BB155" s="96"/>
      <c r="BC155" s="96"/>
      <c r="BD155" s="96"/>
      <c r="BE155" s="96"/>
      <c r="BF155" s="96"/>
      <c r="BG155" s="96"/>
      <c r="BH155" s="96"/>
      <c r="BI155" s="96"/>
      <c r="BJ155" s="96"/>
      <c r="BK155" s="96"/>
      <c r="BL155" s="96"/>
      <c r="BM155" s="96"/>
      <c r="BN155" s="96"/>
      <c r="BO155" s="96"/>
      <c r="BP155" s="96"/>
      <c r="BQ155" s="96"/>
      <c r="BR155" s="96"/>
      <c r="BS155" s="96"/>
      <c r="BT155" s="96"/>
      <c r="BU155" s="96"/>
      <c r="BV155" s="96"/>
      <c r="BW155" s="96"/>
      <c r="BX155" s="96"/>
      <c r="BY155" s="96"/>
      <c r="BZ155" s="96"/>
      <c r="CA155" s="96"/>
      <c r="CB155" s="96"/>
      <c r="CC155" s="96"/>
      <c r="CD155" s="96"/>
      <c r="CE155" s="96"/>
    </row>
    <row r="156" spans="1:83" x14ac:dyDescent="0.2">
      <c r="A156" s="96"/>
      <c r="B156" s="96"/>
      <c r="C156" s="96"/>
      <c r="D156" s="96"/>
      <c r="E156" s="96"/>
      <c r="F156" s="96"/>
      <c r="G156" s="96"/>
      <c r="H156" s="96"/>
      <c r="I156" s="96"/>
      <c r="J156" s="96"/>
      <c r="K156" s="96"/>
      <c r="L156" s="96"/>
      <c r="M156" s="96"/>
      <c r="N156" s="96"/>
      <c r="O156" s="96"/>
      <c r="P156" s="96"/>
      <c r="Q156" s="96"/>
      <c r="R156" s="96"/>
      <c r="S156" s="96"/>
      <c r="T156" s="96"/>
      <c r="U156" s="96"/>
      <c r="V156" s="96"/>
      <c r="W156" s="96"/>
      <c r="X156" s="96"/>
      <c r="Y156" s="96"/>
      <c r="Z156" s="96"/>
      <c r="AA156" s="96"/>
      <c r="AB156" s="96"/>
      <c r="AC156" s="96"/>
      <c r="AD156" s="96"/>
      <c r="AE156" s="96"/>
      <c r="AF156" s="96"/>
      <c r="AG156" s="96"/>
      <c r="AH156" s="96"/>
      <c r="AI156" s="96"/>
      <c r="AJ156" s="96"/>
      <c r="AK156" s="96"/>
      <c r="AL156" s="96"/>
      <c r="AM156" s="96"/>
      <c r="AN156" s="96"/>
      <c r="AO156" s="96"/>
      <c r="AP156" s="96"/>
      <c r="AQ156" s="96"/>
      <c r="AR156" s="96"/>
      <c r="AS156" s="96"/>
      <c r="AT156" s="96"/>
      <c r="AU156" s="96"/>
      <c r="AV156" s="96"/>
      <c r="AW156" s="96"/>
      <c r="AX156" s="96"/>
      <c r="AY156" s="96"/>
      <c r="AZ156" s="96"/>
      <c r="BA156" s="96"/>
      <c r="BB156" s="96"/>
      <c r="BC156" s="96"/>
      <c r="BD156" s="96"/>
      <c r="BE156" s="96"/>
      <c r="BF156" s="96"/>
      <c r="BG156" s="96"/>
      <c r="BH156" s="96"/>
      <c r="BI156" s="96"/>
      <c r="BJ156" s="96"/>
      <c r="BK156" s="96"/>
      <c r="BL156" s="96"/>
      <c r="BM156" s="96"/>
      <c r="BN156" s="96"/>
      <c r="BO156" s="96"/>
      <c r="BP156" s="96"/>
      <c r="BQ156" s="96"/>
      <c r="BR156" s="96"/>
      <c r="BS156" s="96"/>
      <c r="BT156" s="96"/>
      <c r="BU156" s="96"/>
      <c r="BV156" s="96"/>
      <c r="BW156" s="96"/>
      <c r="BX156" s="96"/>
      <c r="BY156" s="96"/>
      <c r="BZ156" s="96"/>
      <c r="CA156" s="96"/>
      <c r="CB156" s="96"/>
      <c r="CC156" s="96"/>
      <c r="CD156" s="96"/>
      <c r="CE156" s="96"/>
    </row>
    <row r="157" spans="1:83" x14ac:dyDescent="0.2">
      <c r="A157" s="96"/>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96"/>
      <c r="AE157" s="96"/>
      <c r="AF157" s="96"/>
      <c r="AG157" s="96"/>
      <c r="AH157" s="96"/>
      <c r="AI157" s="96"/>
      <c r="AJ157" s="96"/>
      <c r="AK157" s="96"/>
      <c r="AL157" s="96"/>
      <c r="AM157" s="96"/>
      <c r="AN157" s="96"/>
      <c r="AO157" s="96"/>
      <c r="AP157" s="96"/>
      <c r="AQ157" s="96"/>
      <c r="AR157" s="96"/>
      <c r="AS157" s="96"/>
      <c r="AT157" s="96"/>
      <c r="AU157" s="96"/>
      <c r="AV157" s="96"/>
      <c r="AW157" s="96"/>
      <c r="AX157" s="96"/>
      <c r="AY157" s="96"/>
      <c r="AZ157" s="96"/>
      <c r="BA157" s="96"/>
      <c r="BB157" s="96"/>
      <c r="BC157" s="96"/>
      <c r="BD157" s="96"/>
      <c r="BE157" s="96"/>
      <c r="BF157" s="96"/>
      <c r="BG157" s="96"/>
      <c r="BH157" s="96"/>
      <c r="BI157" s="96"/>
      <c r="BJ157" s="96"/>
      <c r="BK157" s="96"/>
      <c r="BL157" s="96"/>
      <c r="BM157" s="96"/>
      <c r="BN157" s="96"/>
      <c r="BO157" s="96"/>
      <c r="BP157" s="96"/>
      <c r="BQ157" s="96"/>
      <c r="BR157" s="96"/>
      <c r="BS157" s="96"/>
      <c r="BT157" s="96"/>
      <c r="BU157" s="96"/>
      <c r="BV157" s="96"/>
      <c r="BW157" s="96"/>
      <c r="BX157" s="96"/>
      <c r="BY157" s="96"/>
      <c r="BZ157" s="96"/>
      <c r="CA157" s="96"/>
      <c r="CB157" s="96"/>
      <c r="CC157" s="96"/>
      <c r="CD157" s="96"/>
      <c r="CE157" s="96"/>
    </row>
    <row r="158" spans="1:83" x14ac:dyDescent="0.2">
      <c r="A158" s="96"/>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96"/>
      <c r="AE158" s="96"/>
      <c r="AF158" s="96"/>
      <c r="AG158" s="96"/>
      <c r="AH158" s="96"/>
      <c r="AI158" s="96"/>
      <c r="AJ158" s="96"/>
      <c r="AK158" s="96"/>
      <c r="AL158" s="96"/>
      <c r="AM158" s="96"/>
      <c r="AN158" s="96"/>
      <c r="AO158" s="96"/>
      <c r="AP158" s="96"/>
      <c r="AQ158" s="96"/>
      <c r="AR158" s="96"/>
      <c r="AS158" s="96"/>
      <c r="AT158" s="96"/>
      <c r="AU158" s="96"/>
      <c r="AV158" s="96"/>
      <c r="AW158" s="96"/>
      <c r="AX158" s="96"/>
      <c r="AY158" s="96"/>
      <c r="AZ158" s="96"/>
      <c r="BA158" s="96"/>
      <c r="BB158" s="96"/>
      <c r="BC158" s="96"/>
      <c r="BD158" s="96"/>
      <c r="BE158" s="96"/>
      <c r="BF158" s="96"/>
      <c r="BG158" s="96"/>
      <c r="BH158" s="96"/>
      <c r="BI158" s="96"/>
      <c r="BJ158" s="96"/>
      <c r="BK158" s="96"/>
      <c r="BL158" s="96"/>
      <c r="BM158" s="96"/>
      <c r="BN158" s="96"/>
      <c r="BO158" s="96"/>
      <c r="BP158" s="96"/>
      <c r="BQ158" s="96"/>
      <c r="BR158" s="96"/>
      <c r="BS158" s="96"/>
      <c r="BT158" s="96"/>
      <c r="BU158" s="96"/>
      <c r="BV158" s="96"/>
      <c r="BW158" s="96"/>
      <c r="BX158" s="96"/>
      <c r="BY158" s="96"/>
      <c r="BZ158" s="96"/>
      <c r="CA158" s="96"/>
      <c r="CB158" s="96"/>
      <c r="CC158" s="96"/>
      <c r="CD158" s="96"/>
      <c r="CE158" s="96"/>
    </row>
    <row r="159" spans="1:83" x14ac:dyDescent="0.2">
      <c r="A159" s="96"/>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96"/>
      <c r="AE159" s="96"/>
      <c r="AF159" s="96"/>
      <c r="AG159" s="96"/>
      <c r="AH159" s="96"/>
      <c r="AI159" s="96"/>
      <c r="AJ159" s="96"/>
      <c r="AK159" s="96"/>
      <c r="AL159" s="96"/>
      <c r="AM159" s="96"/>
      <c r="AN159" s="96"/>
      <c r="AO159" s="96"/>
      <c r="AP159" s="96"/>
      <c r="AQ159" s="96"/>
      <c r="AR159" s="96"/>
      <c r="AS159" s="96"/>
      <c r="AT159" s="96"/>
      <c r="AU159" s="96"/>
      <c r="AV159" s="96"/>
      <c r="AW159" s="96"/>
      <c r="AX159" s="96"/>
      <c r="AY159" s="96"/>
      <c r="AZ159" s="96"/>
      <c r="BA159" s="96"/>
      <c r="BB159" s="96"/>
      <c r="BC159" s="96"/>
      <c r="BD159" s="96"/>
      <c r="BE159" s="96"/>
      <c r="BF159" s="96"/>
      <c r="BG159" s="96"/>
      <c r="BH159" s="96"/>
      <c r="BI159" s="96"/>
      <c r="BJ159" s="96"/>
      <c r="BK159" s="96"/>
      <c r="BL159" s="96"/>
      <c r="BM159" s="96"/>
      <c r="BN159" s="96"/>
      <c r="BO159" s="96"/>
      <c r="BP159" s="96"/>
      <c r="BQ159" s="96"/>
      <c r="BR159" s="96"/>
      <c r="BS159" s="96"/>
      <c r="BT159" s="96"/>
      <c r="BU159" s="96"/>
      <c r="BV159" s="96"/>
      <c r="BW159" s="96"/>
      <c r="BX159" s="96"/>
      <c r="BY159" s="96"/>
      <c r="BZ159" s="96"/>
      <c r="CA159" s="96"/>
      <c r="CB159" s="96"/>
      <c r="CC159" s="96"/>
      <c r="CD159" s="96"/>
      <c r="CE159" s="96"/>
    </row>
    <row r="160" spans="1:83" x14ac:dyDescent="0.2">
      <c r="A160" s="96"/>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96"/>
      <c r="AE160" s="96"/>
      <c r="AF160" s="96"/>
      <c r="AG160" s="96"/>
      <c r="AH160" s="96"/>
      <c r="AI160" s="96"/>
      <c r="AJ160" s="96"/>
      <c r="AK160" s="96"/>
      <c r="AL160" s="96"/>
      <c r="AM160" s="96"/>
      <c r="AN160" s="96"/>
      <c r="AO160" s="96"/>
      <c r="AP160" s="96"/>
      <c r="AQ160" s="96"/>
      <c r="AR160" s="96"/>
      <c r="AS160" s="96"/>
      <c r="AT160" s="96"/>
      <c r="AU160" s="96"/>
      <c r="AV160" s="96"/>
      <c r="AW160" s="96"/>
      <c r="AX160" s="96"/>
      <c r="AY160" s="96"/>
      <c r="AZ160" s="96"/>
      <c r="BA160" s="96"/>
      <c r="BB160" s="96"/>
      <c r="BC160" s="96"/>
      <c r="BD160" s="96"/>
      <c r="BE160" s="96"/>
      <c r="BF160" s="96"/>
      <c r="BG160" s="96"/>
      <c r="BH160" s="96"/>
      <c r="BI160" s="96"/>
      <c r="BJ160" s="96"/>
      <c r="BK160" s="96"/>
      <c r="BL160" s="96"/>
      <c r="BM160" s="96"/>
      <c r="BN160" s="96"/>
      <c r="BO160" s="96"/>
      <c r="BP160" s="96"/>
      <c r="BQ160" s="96"/>
      <c r="BR160" s="96"/>
      <c r="BS160" s="96"/>
      <c r="BT160" s="96"/>
      <c r="BU160" s="96"/>
      <c r="BV160" s="96"/>
      <c r="BW160" s="96"/>
      <c r="BX160" s="96"/>
      <c r="BY160" s="96"/>
      <c r="BZ160" s="96"/>
      <c r="CA160" s="96"/>
      <c r="CB160" s="96"/>
      <c r="CC160" s="96"/>
      <c r="CD160" s="96"/>
      <c r="CE160" s="96"/>
    </row>
    <row r="161" spans="1:83" x14ac:dyDescent="0.2">
      <c r="A161" s="96"/>
      <c r="B161" s="96"/>
      <c r="C161" s="96"/>
      <c r="D161" s="96"/>
      <c r="E161" s="96"/>
      <c r="F161" s="96"/>
      <c r="G161" s="96"/>
      <c r="H161" s="96"/>
      <c r="I161" s="96"/>
      <c r="J161" s="96"/>
      <c r="K161" s="96"/>
      <c r="L161" s="96"/>
      <c r="M161" s="96"/>
      <c r="N161" s="96"/>
      <c r="O161" s="96"/>
      <c r="P161" s="96"/>
      <c r="Q161" s="96"/>
      <c r="R161" s="96"/>
      <c r="S161" s="96"/>
      <c r="T161" s="96"/>
      <c r="U161" s="96"/>
      <c r="V161" s="96"/>
      <c r="W161" s="96"/>
      <c r="X161" s="96"/>
      <c r="Y161" s="96"/>
      <c r="Z161" s="96"/>
      <c r="AA161" s="96"/>
      <c r="AB161" s="96"/>
      <c r="AC161" s="96"/>
      <c r="AD161" s="96"/>
      <c r="AE161" s="96"/>
      <c r="AF161" s="96"/>
      <c r="AG161" s="96"/>
      <c r="AH161" s="96"/>
      <c r="AI161" s="96"/>
      <c r="AJ161" s="96"/>
      <c r="AK161" s="96"/>
      <c r="AL161" s="96"/>
      <c r="AM161" s="96"/>
      <c r="AN161" s="96"/>
      <c r="AO161" s="96"/>
      <c r="AP161" s="96"/>
      <c r="AQ161" s="96"/>
      <c r="AR161" s="96"/>
      <c r="AS161" s="96"/>
      <c r="AT161" s="96"/>
      <c r="AU161" s="96"/>
      <c r="AV161" s="96"/>
      <c r="AW161" s="96"/>
      <c r="AX161" s="96"/>
      <c r="AY161" s="96"/>
      <c r="AZ161" s="96"/>
      <c r="BA161" s="96"/>
      <c r="BB161" s="96"/>
      <c r="BC161" s="96"/>
      <c r="BD161" s="96"/>
      <c r="BE161" s="96"/>
      <c r="BF161" s="96"/>
      <c r="BG161" s="96"/>
      <c r="BH161" s="96"/>
      <c r="BI161" s="96"/>
      <c r="BJ161" s="96"/>
      <c r="BK161" s="96"/>
      <c r="BL161" s="96"/>
      <c r="BM161" s="96"/>
      <c r="BN161" s="96"/>
      <c r="BO161" s="96"/>
      <c r="BP161" s="96"/>
      <c r="BQ161" s="96"/>
      <c r="BR161" s="96"/>
      <c r="BS161" s="96"/>
      <c r="BT161" s="96"/>
      <c r="BU161" s="96"/>
      <c r="BV161" s="96"/>
      <c r="BW161" s="96"/>
      <c r="BX161" s="96"/>
      <c r="BY161" s="96"/>
      <c r="BZ161" s="96"/>
      <c r="CA161" s="96"/>
      <c r="CB161" s="96"/>
      <c r="CC161" s="96"/>
      <c r="CD161" s="96"/>
      <c r="CE161" s="96"/>
    </row>
    <row r="162" spans="1:83" x14ac:dyDescent="0.2">
      <c r="A162" s="96"/>
      <c r="B162" s="96"/>
      <c r="C162" s="96"/>
      <c r="D162" s="96"/>
      <c r="E162" s="96"/>
      <c r="F162" s="96"/>
      <c r="G162" s="96"/>
      <c r="H162" s="96"/>
      <c r="I162" s="96"/>
      <c r="J162" s="96"/>
      <c r="K162" s="96"/>
      <c r="L162" s="96"/>
      <c r="M162" s="96"/>
      <c r="N162" s="96"/>
      <c r="O162" s="96"/>
      <c r="P162" s="96"/>
      <c r="Q162" s="96"/>
      <c r="R162" s="96"/>
      <c r="S162" s="96"/>
      <c r="T162" s="96"/>
      <c r="U162" s="96"/>
      <c r="V162" s="96"/>
      <c r="W162" s="96"/>
      <c r="X162" s="96"/>
      <c r="Y162" s="96"/>
      <c r="Z162" s="96"/>
      <c r="AA162" s="96"/>
      <c r="AB162" s="96"/>
      <c r="AC162" s="96"/>
      <c r="AD162" s="96"/>
      <c r="AE162" s="96"/>
      <c r="AF162" s="96"/>
      <c r="AG162" s="96"/>
      <c r="AH162" s="96"/>
      <c r="AI162" s="96"/>
      <c r="AJ162" s="96"/>
      <c r="AK162" s="96"/>
      <c r="AL162" s="96"/>
      <c r="AM162" s="96"/>
      <c r="AN162" s="96"/>
      <c r="AO162" s="96"/>
      <c r="AP162" s="96"/>
      <c r="AQ162" s="96"/>
      <c r="AR162" s="96"/>
      <c r="AS162" s="96"/>
      <c r="AT162" s="96"/>
      <c r="AU162" s="96"/>
      <c r="AV162" s="96"/>
      <c r="AW162" s="96"/>
      <c r="AX162" s="96"/>
      <c r="AY162" s="96"/>
      <c r="AZ162" s="96"/>
      <c r="BA162" s="96"/>
      <c r="BB162" s="96"/>
      <c r="BC162" s="96"/>
      <c r="BD162" s="96"/>
      <c r="BE162" s="96"/>
      <c r="BF162" s="96"/>
      <c r="BG162" s="96"/>
      <c r="BH162" s="96"/>
      <c r="BI162" s="96"/>
      <c r="BJ162" s="96"/>
      <c r="BK162" s="96"/>
      <c r="BL162" s="96"/>
      <c r="BM162" s="96"/>
      <c r="BN162" s="96"/>
      <c r="BO162" s="96"/>
      <c r="BP162" s="96"/>
      <c r="BQ162" s="96"/>
      <c r="BR162" s="96"/>
      <c r="BS162" s="96"/>
      <c r="BT162" s="96"/>
      <c r="BU162" s="96"/>
      <c r="BV162" s="96"/>
      <c r="BW162" s="96"/>
      <c r="BX162" s="96"/>
      <c r="BY162" s="96"/>
      <c r="BZ162" s="96"/>
      <c r="CA162" s="96"/>
      <c r="CB162" s="96"/>
      <c r="CC162" s="96"/>
      <c r="CD162" s="96"/>
      <c r="CE162" s="96"/>
    </row>
    <row r="163" spans="1:83" x14ac:dyDescent="0.2">
      <c r="A163" s="96"/>
      <c r="B163" s="96"/>
      <c r="C163" s="96"/>
      <c r="D163" s="96"/>
      <c r="E163" s="96"/>
      <c r="F163" s="96"/>
      <c r="G163" s="96"/>
      <c r="H163" s="96"/>
      <c r="I163" s="96"/>
      <c r="J163" s="96"/>
      <c r="K163" s="96"/>
      <c r="L163" s="96"/>
      <c r="M163" s="96"/>
      <c r="N163" s="96"/>
      <c r="O163" s="96"/>
      <c r="P163" s="96"/>
      <c r="Q163" s="96"/>
      <c r="R163" s="96"/>
      <c r="S163" s="96"/>
      <c r="T163" s="96"/>
      <c r="U163" s="96"/>
      <c r="V163" s="96"/>
      <c r="W163" s="96"/>
      <c r="X163" s="96"/>
      <c r="Y163" s="96"/>
      <c r="Z163" s="96"/>
      <c r="AA163" s="96"/>
      <c r="AB163" s="96"/>
      <c r="AC163" s="96"/>
      <c r="AD163" s="96"/>
      <c r="AE163" s="96"/>
      <c r="AF163" s="96"/>
      <c r="AG163" s="96"/>
      <c r="AH163" s="96"/>
      <c r="AI163" s="96"/>
      <c r="AJ163" s="96"/>
      <c r="AK163" s="96"/>
      <c r="AL163" s="96"/>
      <c r="AM163" s="96"/>
      <c r="AN163" s="96"/>
      <c r="AO163" s="96"/>
      <c r="AP163" s="96"/>
      <c r="AQ163" s="96"/>
      <c r="AR163" s="96"/>
      <c r="AS163" s="96"/>
      <c r="AT163" s="96"/>
      <c r="AU163" s="96"/>
      <c r="AV163" s="96"/>
      <c r="AW163" s="96"/>
      <c r="AX163" s="96"/>
      <c r="AY163" s="96"/>
      <c r="AZ163" s="96"/>
      <c r="BA163" s="96"/>
      <c r="BB163" s="96"/>
      <c r="BC163" s="96"/>
      <c r="BD163" s="96"/>
      <c r="BE163" s="96"/>
      <c r="BF163" s="96"/>
      <c r="BG163" s="96"/>
      <c r="BH163" s="96"/>
      <c r="BI163" s="96"/>
      <c r="BJ163" s="96"/>
      <c r="BK163" s="96"/>
      <c r="BL163" s="96"/>
      <c r="BM163" s="96"/>
      <c r="BN163" s="96"/>
      <c r="BO163" s="96"/>
      <c r="BP163" s="96"/>
      <c r="BQ163" s="96"/>
      <c r="BR163" s="96"/>
      <c r="BS163" s="96"/>
      <c r="BT163" s="96"/>
      <c r="BU163" s="96"/>
      <c r="BV163" s="96"/>
      <c r="BW163" s="96"/>
      <c r="BX163" s="96"/>
      <c r="BY163" s="96"/>
      <c r="BZ163" s="96"/>
      <c r="CA163" s="96"/>
      <c r="CB163" s="96"/>
      <c r="CC163" s="96"/>
      <c r="CD163" s="96"/>
      <c r="CE163" s="96"/>
    </row>
    <row r="164" spans="1:83" x14ac:dyDescent="0.2">
      <c r="A164" s="96"/>
      <c r="B164" s="96"/>
      <c r="C164" s="96"/>
      <c r="D164" s="96"/>
      <c r="E164" s="96"/>
      <c r="F164" s="96"/>
      <c r="G164" s="96"/>
      <c r="H164" s="96"/>
      <c r="I164" s="96"/>
      <c r="J164" s="96"/>
      <c r="K164" s="96"/>
      <c r="L164" s="96"/>
      <c r="M164" s="96"/>
      <c r="N164" s="96"/>
      <c r="O164" s="96"/>
      <c r="P164" s="96"/>
      <c r="Q164" s="96"/>
      <c r="R164" s="96"/>
      <c r="S164" s="96"/>
      <c r="T164" s="96"/>
      <c r="U164" s="96"/>
      <c r="V164" s="96"/>
      <c r="W164" s="96"/>
      <c r="X164" s="96"/>
      <c r="Y164" s="96"/>
      <c r="Z164" s="96"/>
      <c r="AA164" s="96"/>
      <c r="AB164" s="96"/>
      <c r="AC164" s="96"/>
      <c r="AD164" s="96"/>
      <c r="AE164" s="96"/>
      <c r="AF164" s="96"/>
      <c r="AG164" s="96"/>
      <c r="AH164" s="96"/>
      <c r="AI164" s="96"/>
      <c r="AJ164" s="96"/>
      <c r="AK164" s="96"/>
      <c r="AL164" s="96"/>
      <c r="AM164" s="96"/>
      <c r="AN164" s="96"/>
      <c r="AO164" s="96"/>
      <c r="AP164" s="96"/>
      <c r="AQ164" s="96"/>
      <c r="AR164" s="96"/>
      <c r="AS164" s="96"/>
      <c r="AT164" s="96"/>
      <c r="AU164" s="96"/>
      <c r="AV164" s="96"/>
      <c r="AW164" s="96"/>
      <c r="AX164" s="96"/>
      <c r="AY164" s="96"/>
      <c r="AZ164" s="96"/>
      <c r="BA164" s="96"/>
      <c r="BB164" s="96"/>
      <c r="BC164" s="96"/>
      <c r="BD164" s="96"/>
      <c r="BE164" s="96"/>
      <c r="BF164" s="96"/>
      <c r="BG164" s="96"/>
      <c r="BH164" s="96"/>
      <c r="BI164" s="96"/>
      <c r="BJ164" s="96"/>
      <c r="BK164" s="96"/>
      <c r="BL164" s="96"/>
      <c r="BM164" s="96"/>
      <c r="BN164" s="96"/>
      <c r="BO164" s="96"/>
      <c r="BP164" s="96"/>
      <c r="BQ164" s="96"/>
      <c r="BR164" s="96"/>
      <c r="BS164" s="96"/>
      <c r="BT164" s="96"/>
      <c r="BU164" s="96"/>
      <c r="BV164" s="96"/>
      <c r="BW164" s="96"/>
      <c r="BX164" s="96"/>
      <c r="BY164" s="96"/>
      <c r="BZ164" s="96"/>
      <c r="CA164" s="96"/>
      <c r="CB164" s="96"/>
      <c r="CC164" s="96"/>
      <c r="CD164" s="96"/>
      <c r="CE164" s="96"/>
    </row>
    <row r="165" spans="1:83" x14ac:dyDescent="0.2">
      <c r="A165" s="96"/>
      <c r="B165" s="96"/>
      <c r="C165" s="96"/>
      <c r="D165" s="96"/>
      <c r="E165" s="96"/>
      <c r="F165" s="96"/>
      <c r="G165" s="96"/>
      <c r="H165" s="96"/>
      <c r="I165" s="96"/>
      <c r="J165" s="96"/>
      <c r="K165" s="96"/>
      <c r="L165" s="96"/>
      <c r="M165" s="96"/>
      <c r="N165" s="96"/>
      <c r="O165" s="96"/>
      <c r="P165" s="96"/>
      <c r="Q165" s="96"/>
      <c r="R165" s="96"/>
      <c r="S165" s="96"/>
      <c r="T165" s="96"/>
      <c r="U165" s="96"/>
      <c r="V165" s="96"/>
      <c r="W165" s="96"/>
      <c r="X165" s="96"/>
      <c r="Y165" s="96"/>
      <c r="Z165" s="96"/>
      <c r="AA165" s="96"/>
      <c r="AB165" s="96"/>
      <c r="AC165" s="96"/>
      <c r="AD165" s="96"/>
      <c r="AE165" s="96"/>
      <c r="AF165" s="96"/>
      <c r="AG165" s="96"/>
      <c r="AH165" s="96"/>
      <c r="AI165" s="96"/>
      <c r="AJ165" s="96"/>
      <c r="AK165" s="96"/>
      <c r="AL165" s="96"/>
      <c r="AM165" s="96"/>
      <c r="AN165" s="96"/>
      <c r="AO165" s="96"/>
      <c r="AP165" s="96"/>
      <c r="AQ165" s="96"/>
      <c r="AR165" s="96"/>
      <c r="AS165" s="96"/>
      <c r="AT165" s="96"/>
      <c r="AU165" s="96"/>
      <c r="AV165" s="96"/>
      <c r="AW165" s="96"/>
      <c r="AX165" s="96"/>
      <c r="AY165" s="96"/>
      <c r="AZ165" s="96"/>
      <c r="BA165" s="96"/>
      <c r="BB165" s="96"/>
      <c r="BC165" s="96"/>
      <c r="BD165" s="96"/>
      <c r="BE165" s="96"/>
      <c r="BF165" s="96"/>
      <c r="BG165" s="96"/>
      <c r="BH165" s="96"/>
      <c r="BI165" s="96"/>
      <c r="BJ165" s="96"/>
      <c r="BK165" s="96"/>
      <c r="BL165" s="96"/>
      <c r="BM165" s="96"/>
      <c r="BN165" s="96"/>
      <c r="BO165" s="96"/>
      <c r="BP165" s="96"/>
      <c r="BQ165" s="96"/>
      <c r="BR165" s="96"/>
      <c r="BS165" s="96"/>
      <c r="BT165" s="96"/>
      <c r="BU165" s="96"/>
      <c r="BV165" s="96"/>
      <c r="BW165" s="96"/>
      <c r="BX165" s="96"/>
      <c r="BY165" s="96"/>
      <c r="BZ165" s="96"/>
      <c r="CA165" s="96"/>
      <c r="CB165" s="96"/>
      <c r="CC165" s="96"/>
      <c r="CD165" s="96"/>
      <c r="CE165" s="96"/>
    </row>
    <row r="166" spans="1:83" x14ac:dyDescent="0.2">
      <c r="A166" s="96"/>
      <c r="B166" s="96"/>
      <c r="C166" s="96"/>
      <c r="D166" s="96"/>
      <c r="E166" s="96"/>
      <c r="F166" s="96"/>
      <c r="G166" s="96"/>
      <c r="H166" s="96"/>
      <c r="I166" s="96"/>
      <c r="J166" s="96"/>
      <c r="K166" s="96"/>
      <c r="L166" s="96"/>
      <c r="M166" s="96"/>
      <c r="N166" s="96"/>
      <c r="O166" s="96"/>
      <c r="P166" s="96"/>
      <c r="Q166" s="96"/>
      <c r="R166" s="96"/>
      <c r="S166" s="96"/>
      <c r="T166" s="96"/>
      <c r="U166" s="96"/>
      <c r="V166" s="96"/>
      <c r="W166" s="96"/>
      <c r="X166" s="96"/>
      <c r="Y166" s="96"/>
      <c r="Z166" s="96"/>
      <c r="AA166" s="96"/>
      <c r="AB166" s="96"/>
      <c r="AC166" s="96"/>
      <c r="AD166" s="96"/>
      <c r="AE166" s="96"/>
      <c r="AF166" s="96"/>
      <c r="AG166" s="96"/>
      <c r="AH166" s="96"/>
      <c r="AI166" s="96"/>
      <c r="AJ166" s="96"/>
      <c r="AK166" s="96"/>
      <c r="AL166" s="96"/>
      <c r="AM166" s="96"/>
      <c r="AN166" s="96"/>
      <c r="AO166" s="96"/>
      <c r="AP166" s="96"/>
      <c r="AQ166" s="96"/>
      <c r="AR166" s="96"/>
      <c r="AS166" s="96"/>
      <c r="AT166" s="96"/>
      <c r="AU166" s="96"/>
      <c r="AV166" s="96"/>
      <c r="AW166" s="96"/>
      <c r="AX166" s="96"/>
      <c r="AY166" s="96"/>
      <c r="AZ166" s="96"/>
      <c r="BA166" s="96"/>
      <c r="BB166" s="96"/>
      <c r="BC166" s="96"/>
      <c r="BD166" s="96"/>
      <c r="BE166" s="96"/>
      <c r="BF166" s="96"/>
      <c r="BG166" s="96"/>
      <c r="BH166" s="96"/>
      <c r="BI166" s="96"/>
      <c r="BJ166" s="96"/>
      <c r="BK166" s="96"/>
      <c r="BL166" s="96"/>
      <c r="BM166" s="96"/>
      <c r="BN166" s="96"/>
      <c r="BO166" s="96"/>
      <c r="BP166" s="96"/>
      <c r="BQ166" s="96"/>
      <c r="BR166" s="96"/>
      <c r="BS166" s="96"/>
      <c r="BT166" s="96"/>
      <c r="BU166" s="96"/>
      <c r="BV166" s="96"/>
      <c r="BW166" s="96"/>
      <c r="BX166" s="96"/>
      <c r="BY166" s="96"/>
      <c r="BZ166" s="96"/>
      <c r="CA166" s="96"/>
      <c r="CB166" s="96"/>
      <c r="CC166" s="96"/>
      <c r="CD166" s="96"/>
      <c r="CE166" s="96"/>
    </row>
    <row r="167" spans="1:83" x14ac:dyDescent="0.2">
      <c r="A167" s="96"/>
      <c r="B167" s="96"/>
      <c r="C167" s="96"/>
      <c r="D167" s="96"/>
      <c r="E167" s="96"/>
      <c r="F167" s="96"/>
      <c r="G167" s="96"/>
      <c r="H167" s="96"/>
      <c r="I167" s="96"/>
      <c r="J167" s="96"/>
      <c r="K167" s="96"/>
      <c r="L167" s="96"/>
      <c r="M167" s="96"/>
      <c r="N167" s="96"/>
      <c r="O167" s="96"/>
      <c r="P167" s="96"/>
      <c r="Q167" s="96"/>
      <c r="R167" s="96"/>
      <c r="S167" s="96"/>
      <c r="T167" s="96"/>
      <c r="U167" s="96"/>
      <c r="V167" s="96"/>
      <c r="W167" s="96"/>
      <c r="X167" s="96"/>
      <c r="Y167" s="96"/>
      <c r="Z167" s="96"/>
      <c r="AA167" s="96"/>
      <c r="AB167" s="96"/>
      <c r="AC167" s="96"/>
      <c r="AD167" s="96"/>
      <c r="AE167" s="96"/>
      <c r="AF167" s="96"/>
      <c r="AG167" s="96"/>
      <c r="AH167" s="96"/>
      <c r="AI167" s="96"/>
      <c r="AJ167" s="96"/>
      <c r="AK167" s="96"/>
      <c r="AL167" s="96"/>
      <c r="AM167" s="96"/>
      <c r="AN167" s="96"/>
      <c r="AO167" s="96"/>
      <c r="AP167" s="96"/>
      <c r="AQ167" s="96"/>
      <c r="AR167" s="96"/>
      <c r="AS167" s="96"/>
      <c r="AT167" s="96"/>
      <c r="AU167" s="96"/>
      <c r="AV167" s="96"/>
      <c r="AW167" s="96"/>
      <c r="AX167" s="96"/>
      <c r="AY167" s="96"/>
      <c r="AZ167" s="96"/>
      <c r="BA167" s="96"/>
      <c r="BB167" s="96"/>
      <c r="BC167" s="96"/>
      <c r="BD167" s="96"/>
      <c r="BE167" s="96"/>
      <c r="BF167" s="96"/>
      <c r="BG167" s="96"/>
      <c r="BH167" s="96"/>
      <c r="BI167" s="96"/>
      <c r="BJ167" s="96"/>
      <c r="BK167" s="96"/>
      <c r="BL167" s="96"/>
      <c r="BM167" s="96"/>
      <c r="BN167" s="96"/>
      <c r="BO167" s="96"/>
      <c r="BP167" s="96"/>
      <c r="BQ167" s="96"/>
      <c r="BR167" s="96"/>
      <c r="BS167" s="96"/>
      <c r="BT167" s="96"/>
      <c r="BU167" s="96"/>
      <c r="BV167" s="96"/>
      <c r="BW167" s="96"/>
      <c r="BX167" s="96"/>
      <c r="BY167" s="96"/>
      <c r="BZ167" s="96"/>
      <c r="CA167" s="96"/>
      <c r="CB167" s="96"/>
      <c r="CC167" s="96"/>
      <c r="CD167" s="96"/>
      <c r="CE167" s="96"/>
    </row>
    <row r="168" spans="1:83" x14ac:dyDescent="0.2">
      <c r="A168" s="96"/>
      <c r="B168" s="96"/>
      <c r="C168" s="96"/>
      <c r="D168" s="96"/>
      <c r="E168" s="96"/>
      <c r="F168" s="96"/>
      <c r="G168" s="96"/>
      <c r="H168" s="96"/>
      <c r="I168" s="96"/>
      <c r="J168" s="96"/>
      <c r="K168" s="96"/>
      <c r="L168" s="96"/>
      <c r="M168" s="96"/>
      <c r="N168" s="96"/>
      <c r="O168" s="96"/>
      <c r="P168" s="96"/>
      <c r="Q168" s="96"/>
      <c r="R168" s="96"/>
      <c r="S168" s="96"/>
      <c r="T168" s="96"/>
      <c r="U168" s="96"/>
      <c r="V168" s="96"/>
      <c r="W168" s="96"/>
      <c r="X168" s="96"/>
      <c r="Y168" s="96"/>
      <c r="Z168" s="96"/>
      <c r="AA168" s="96"/>
      <c r="AB168" s="96"/>
      <c r="AC168" s="96"/>
      <c r="AD168" s="96"/>
      <c r="AE168" s="96"/>
      <c r="AF168" s="96"/>
      <c r="AG168" s="96"/>
      <c r="AH168" s="96"/>
      <c r="AI168" s="96"/>
      <c r="AJ168" s="96"/>
      <c r="AK168" s="96"/>
      <c r="AL168" s="96"/>
      <c r="AM168" s="96"/>
      <c r="AN168" s="96"/>
      <c r="AO168" s="96"/>
      <c r="AP168" s="96"/>
      <c r="AQ168" s="96"/>
      <c r="AR168" s="96"/>
      <c r="AS168" s="96"/>
      <c r="AT168" s="96"/>
      <c r="AU168" s="96"/>
      <c r="AV168" s="96"/>
      <c r="AW168" s="96"/>
      <c r="AX168" s="96"/>
      <c r="AY168" s="96"/>
      <c r="AZ168" s="96"/>
      <c r="BA168" s="96"/>
      <c r="BB168" s="96"/>
      <c r="BC168" s="96"/>
      <c r="BD168" s="96"/>
      <c r="BE168" s="96"/>
      <c r="BF168" s="96"/>
      <c r="BG168" s="96"/>
      <c r="BH168" s="96"/>
      <c r="BI168" s="96"/>
      <c r="BJ168" s="96"/>
      <c r="BK168" s="96"/>
      <c r="BL168" s="96"/>
      <c r="BM168" s="96"/>
      <c r="BN168" s="96"/>
      <c r="BO168" s="96"/>
      <c r="BP168" s="96"/>
      <c r="BQ168" s="96"/>
      <c r="BR168" s="96"/>
      <c r="BS168" s="96"/>
      <c r="BT168" s="96"/>
      <c r="BU168" s="96"/>
      <c r="BV168" s="96"/>
      <c r="BW168" s="96"/>
      <c r="BX168" s="96"/>
      <c r="BY168" s="96"/>
      <c r="BZ168" s="96"/>
      <c r="CA168" s="96"/>
      <c r="CB168" s="96"/>
      <c r="CC168" s="96"/>
      <c r="CD168" s="96"/>
      <c r="CE168" s="96"/>
    </row>
    <row r="169" spans="1:83" x14ac:dyDescent="0.2">
      <c r="A169" s="96"/>
      <c r="B169" s="96"/>
      <c r="C169" s="96"/>
      <c r="D169" s="96"/>
      <c r="E169" s="96"/>
      <c r="F169" s="96"/>
      <c r="G169" s="96"/>
      <c r="H169" s="96"/>
      <c r="I169" s="96"/>
      <c r="J169" s="96"/>
      <c r="K169" s="96"/>
      <c r="L169" s="96"/>
      <c r="M169" s="96"/>
      <c r="N169" s="96"/>
      <c r="O169" s="96"/>
      <c r="P169" s="96"/>
      <c r="Q169" s="96"/>
      <c r="R169" s="96"/>
      <c r="S169" s="96"/>
      <c r="T169" s="96"/>
      <c r="U169" s="96"/>
      <c r="V169" s="96"/>
      <c r="W169" s="96"/>
      <c r="X169" s="96"/>
      <c r="Y169" s="96"/>
      <c r="Z169" s="96"/>
      <c r="AA169" s="96"/>
      <c r="AB169" s="96"/>
      <c r="AC169" s="96"/>
      <c r="AD169" s="96"/>
      <c r="AE169" s="96"/>
      <c r="AF169" s="96"/>
      <c r="AG169" s="96"/>
      <c r="AH169" s="96"/>
      <c r="AI169" s="96"/>
      <c r="AJ169" s="96"/>
      <c r="AK169" s="96"/>
      <c r="AL169" s="96"/>
      <c r="AM169" s="96"/>
      <c r="AN169" s="96"/>
      <c r="AO169" s="96"/>
      <c r="AP169" s="96"/>
      <c r="AQ169" s="96"/>
      <c r="AR169" s="96"/>
      <c r="AS169" s="96"/>
      <c r="AT169" s="96"/>
      <c r="AU169" s="96"/>
      <c r="AV169" s="96"/>
      <c r="AW169" s="96"/>
      <c r="AX169" s="96"/>
      <c r="AY169" s="96"/>
      <c r="AZ169" s="96"/>
      <c r="BA169" s="96"/>
      <c r="BB169" s="96"/>
      <c r="BC169" s="96"/>
      <c r="BD169" s="96"/>
      <c r="BE169" s="96"/>
      <c r="BF169" s="96"/>
      <c r="BG169" s="96"/>
      <c r="BH169" s="96"/>
      <c r="BI169" s="96"/>
      <c r="BJ169" s="96"/>
      <c r="BK169" s="96"/>
      <c r="BL169" s="96"/>
      <c r="BM169" s="96"/>
      <c r="BN169" s="96"/>
      <c r="BO169" s="96"/>
      <c r="BP169" s="96"/>
      <c r="BQ169" s="96"/>
      <c r="BR169" s="96"/>
      <c r="BS169" s="96"/>
      <c r="BT169" s="96"/>
      <c r="BU169" s="96"/>
      <c r="BV169" s="96"/>
      <c r="BW169" s="96"/>
      <c r="BX169" s="96"/>
      <c r="BY169" s="96"/>
      <c r="BZ169" s="96"/>
      <c r="CA169" s="96"/>
      <c r="CB169" s="96"/>
      <c r="CC169" s="96"/>
      <c r="CD169" s="96"/>
      <c r="CE169" s="96"/>
    </row>
    <row r="170" spans="1:83" x14ac:dyDescent="0.2">
      <c r="A170" s="96"/>
      <c r="B170" s="96"/>
      <c r="C170" s="96"/>
      <c r="D170" s="96"/>
      <c r="E170" s="96"/>
      <c r="F170" s="96"/>
      <c r="G170" s="96"/>
      <c r="H170" s="96"/>
      <c r="I170" s="96"/>
      <c r="J170" s="96"/>
      <c r="K170" s="96"/>
      <c r="L170" s="96"/>
      <c r="M170" s="96"/>
      <c r="N170" s="96"/>
      <c r="O170" s="96"/>
      <c r="P170" s="96"/>
      <c r="Q170" s="96"/>
      <c r="R170" s="96"/>
      <c r="S170" s="96"/>
      <c r="T170" s="96"/>
      <c r="U170" s="96"/>
      <c r="V170" s="96"/>
      <c r="W170" s="96"/>
      <c r="X170" s="96"/>
      <c r="Y170" s="96"/>
      <c r="Z170" s="96"/>
      <c r="AA170" s="96"/>
      <c r="AB170" s="96"/>
      <c r="AC170" s="96"/>
      <c r="AD170" s="96"/>
      <c r="AE170" s="96"/>
      <c r="AF170" s="96"/>
      <c r="AG170" s="96"/>
      <c r="AH170" s="96"/>
      <c r="AI170" s="96"/>
      <c r="AJ170" s="96"/>
      <c r="AK170" s="96"/>
      <c r="AL170" s="96"/>
      <c r="AM170" s="96"/>
      <c r="AN170" s="96"/>
      <c r="AO170" s="96"/>
      <c r="AP170" s="96"/>
      <c r="AQ170" s="96"/>
      <c r="AR170" s="96"/>
      <c r="AS170" s="96"/>
      <c r="AT170" s="96"/>
      <c r="AU170" s="96"/>
      <c r="AV170" s="96"/>
      <c r="AW170" s="96"/>
      <c r="AX170" s="96"/>
      <c r="AY170" s="96"/>
      <c r="AZ170" s="96"/>
      <c r="BA170" s="96"/>
      <c r="BB170" s="96"/>
      <c r="BC170" s="96"/>
      <c r="BD170" s="96"/>
      <c r="BE170" s="96"/>
      <c r="BF170" s="96"/>
      <c r="BG170" s="96"/>
      <c r="BH170" s="96"/>
      <c r="BI170" s="96"/>
      <c r="BJ170" s="96"/>
      <c r="BK170" s="96"/>
      <c r="BL170" s="96"/>
      <c r="BM170" s="96"/>
      <c r="BN170" s="96"/>
      <c r="BO170" s="96"/>
      <c r="BP170" s="96"/>
      <c r="BQ170" s="96"/>
      <c r="BR170" s="96"/>
      <c r="BS170" s="96"/>
      <c r="BT170" s="96"/>
      <c r="BU170" s="96"/>
      <c r="BV170" s="96"/>
      <c r="BW170" s="96"/>
      <c r="BX170" s="96"/>
      <c r="BY170" s="96"/>
      <c r="BZ170" s="96"/>
      <c r="CA170" s="96"/>
      <c r="CB170" s="96"/>
      <c r="CC170" s="96"/>
      <c r="CD170" s="96"/>
      <c r="CE170" s="96"/>
    </row>
    <row r="171" spans="1:83" x14ac:dyDescent="0.2">
      <c r="A171" s="96"/>
      <c r="B171" s="96"/>
      <c r="C171" s="96"/>
      <c r="D171" s="96"/>
      <c r="E171" s="96"/>
      <c r="F171" s="96"/>
      <c r="G171" s="96"/>
      <c r="H171" s="96"/>
      <c r="I171" s="96"/>
      <c r="J171" s="96"/>
      <c r="K171" s="96"/>
      <c r="L171" s="96"/>
      <c r="M171" s="96"/>
      <c r="N171" s="96"/>
      <c r="O171" s="96"/>
      <c r="P171" s="96"/>
      <c r="Q171" s="96"/>
      <c r="R171" s="96"/>
      <c r="S171" s="96"/>
      <c r="T171" s="96"/>
      <c r="U171" s="96"/>
      <c r="V171" s="96"/>
      <c r="W171" s="96"/>
      <c r="X171" s="96"/>
      <c r="Y171" s="96"/>
      <c r="Z171" s="96"/>
      <c r="AA171" s="96"/>
      <c r="AB171" s="96"/>
      <c r="AC171" s="96"/>
      <c r="AD171" s="96"/>
      <c r="AE171" s="96"/>
      <c r="AF171" s="96"/>
      <c r="AG171" s="96"/>
      <c r="AH171" s="96"/>
      <c r="AI171" s="96"/>
      <c r="AJ171" s="96"/>
      <c r="AK171" s="96"/>
      <c r="AL171" s="96"/>
      <c r="AM171" s="96"/>
      <c r="AN171" s="96"/>
      <c r="AO171" s="96"/>
      <c r="AP171" s="96"/>
      <c r="AQ171" s="96"/>
      <c r="AR171" s="96"/>
      <c r="AS171" s="96"/>
      <c r="AT171" s="96"/>
      <c r="AU171" s="96"/>
      <c r="AV171" s="96"/>
      <c r="AW171" s="96"/>
      <c r="AX171" s="96"/>
      <c r="AY171" s="96"/>
      <c r="AZ171" s="96"/>
      <c r="BA171" s="96"/>
      <c r="BB171" s="96"/>
      <c r="BC171" s="96"/>
      <c r="BD171" s="96"/>
      <c r="BE171" s="96"/>
      <c r="BF171" s="96"/>
      <c r="BG171" s="96"/>
      <c r="BH171" s="96"/>
      <c r="BI171" s="96"/>
      <c r="BJ171" s="96"/>
      <c r="BK171" s="96"/>
      <c r="BL171" s="96"/>
      <c r="BM171" s="96"/>
      <c r="BN171" s="96"/>
      <c r="BO171" s="96"/>
      <c r="BP171" s="96"/>
      <c r="BQ171" s="96"/>
      <c r="BR171" s="96"/>
      <c r="BS171" s="96"/>
      <c r="BT171" s="96"/>
      <c r="BU171" s="96"/>
      <c r="BV171" s="96"/>
      <c r="BW171" s="96"/>
      <c r="BX171" s="96"/>
      <c r="BY171" s="96"/>
      <c r="BZ171" s="96"/>
      <c r="CA171" s="96"/>
      <c r="CB171" s="96"/>
      <c r="CC171" s="96"/>
      <c r="CD171" s="96"/>
      <c r="CE171" s="96"/>
    </row>
    <row r="172" spans="1:83" x14ac:dyDescent="0.2">
      <c r="A172" s="96"/>
      <c r="B172" s="96"/>
      <c r="C172" s="96"/>
      <c r="D172" s="96"/>
      <c r="E172" s="96"/>
      <c r="F172" s="96"/>
      <c r="G172" s="96"/>
      <c r="H172" s="96"/>
      <c r="I172" s="96"/>
      <c r="J172" s="96"/>
      <c r="K172" s="96"/>
      <c r="L172" s="96"/>
      <c r="M172" s="96"/>
      <c r="N172" s="96"/>
      <c r="O172" s="96"/>
      <c r="P172" s="96"/>
      <c r="Q172" s="96"/>
      <c r="R172" s="96"/>
      <c r="S172" s="96"/>
      <c r="T172" s="96"/>
      <c r="U172" s="96"/>
      <c r="V172" s="96"/>
      <c r="W172" s="96"/>
      <c r="X172" s="96"/>
      <c r="Y172" s="96"/>
      <c r="Z172" s="96"/>
      <c r="AA172" s="96"/>
      <c r="AB172" s="96"/>
      <c r="AC172" s="96"/>
      <c r="AD172" s="96"/>
      <c r="AE172" s="96"/>
      <c r="AF172" s="96"/>
      <c r="AG172" s="96"/>
      <c r="AH172" s="96"/>
      <c r="AI172" s="96"/>
      <c r="AJ172" s="96"/>
      <c r="AK172" s="96"/>
      <c r="AL172" s="96"/>
      <c r="AM172" s="96"/>
      <c r="AN172" s="96"/>
      <c r="AO172" s="96"/>
      <c r="AP172" s="96"/>
      <c r="AQ172" s="96"/>
      <c r="AR172" s="96"/>
      <c r="AS172" s="96"/>
      <c r="AT172" s="96"/>
      <c r="AU172" s="96"/>
      <c r="AV172" s="96"/>
      <c r="AW172" s="96"/>
      <c r="AX172" s="96"/>
      <c r="AY172" s="96"/>
      <c r="AZ172" s="96"/>
      <c r="BA172" s="96"/>
      <c r="BB172" s="96"/>
      <c r="BC172" s="96"/>
      <c r="BD172" s="96"/>
      <c r="BE172" s="96"/>
      <c r="BF172" s="96"/>
      <c r="BG172" s="96"/>
      <c r="BH172" s="96"/>
      <c r="BI172" s="96"/>
      <c r="BJ172" s="96"/>
      <c r="BK172" s="96"/>
      <c r="BL172" s="96"/>
      <c r="BM172" s="96"/>
      <c r="BN172" s="96"/>
      <c r="BO172" s="96"/>
      <c r="BP172" s="96"/>
      <c r="BQ172" s="96"/>
      <c r="BR172" s="96"/>
      <c r="BS172" s="96"/>
      <c r="BT172" s="96"/>
      <c r="BU172" s="96"/>
      <c r="BV172" s="96"/>
      <c r="BW172" s="96"/>
      <c r="BX172" s="96"/>
      <c r="BY172" s="96"/>
      <c r="BZ172" s="96"/>
      <c r="CA172" s="96"/>
      <c r="CB172" s="96"/>
      <c r="CC172" s="96"/>
      <c r="CD172" s="96"/>
      <c r="CE172" s="96"/>
    </row>
    <row r="173" spans="1:83" x14ac:dyDescent="0.2">
      <c r="A173" s="96"/>
      <c r="B173" s="96"/>
      <c r="C173" s="96"/>
      <c r="D173" s="96"/>
      <c r="E173" s="96"/>
      <c r="F173" s="96"/>
      <c r="G173" s="96"/>
      <c r="H173" s="96"/>
      <c r="I173" s="96"/>
      <c r="J173" s="96"/>
      <c r="K173" s="96"/>
      <c r="L173" s="96"/>
      <c r="M173" s="96"/>
      <c r="N173" s="96"/>
      <c r="O173" s="96"/>
      <c r="P173" s="96"/>
      <c r="Q173" s="96"/>
      <c r="R173" s="96"/>
      <c r="S173" s="96"/>
      <c r="T173" s="96"/>
      <c r="U173" s="96"/>
      <c r="V173" s="96"/>
      <c r="W173" s="96"/>
      <c r="X173" s="96"/>
      <c r="Y173" s="96"/>
      <c r="Z173" s="96"/>
      <c r="AA173" s="96"/>
      <c r="AB173" s="96"/>
      <c r="AC173" s="96"/>
      <c r="AD173" s="96"/>
      <c r="AE173" s="96"/>
      <c r="AF173" s="96"/>
      <c r="AG173" s="96"/>
      <c r="AH173" s="96"/>
      <c r="AI173" s="96"/>
      <c r="AJ173" s="96"/>
      <c r="AK173" s="96"/>
      <c r="AL173" s="96"/>
      <c r="AM173" s="96"/>
      <c r="AN173" s="96"/>
      <c r="AO173" s="96"/>
      <c r="AP173" s="96"/>
      <c r="AQ173" s="96"/>
      <c r="AR173" s="96"/>
      <c r="AS173" s="96"/>
      <c r="AT173" s="96"/>
      <c r="AU173" s="96"/>
      <c r="AV173" s="96"/>
      <c r="AW173" s="96"/>
      <c r="AX173" s="96"/>
      <c r="AY173" s="96"/>
      <c r="AZ173" s="96"/>
      <c r="BA173" s="96"/>
      <c r="BB173" s="96"/>
      <c r="BC173" s="96"/>
      <c r="BD173" s="96"/>
      <c r="BE173" s="96"/>
      <c r="BF173" s="96"/>
      <c r="BG173" s="96"/>
      <c r="BH173" s="96"/>
      <c r="BI173" s="96"/>
      <c r="BJ173" s="96"/>
      <c r="BK173" s="96"/>
      <c r="BL173" s="96"/>
      <c r="BM173" s="96"/>
      <c r="BN173" s="96"/>
      <c r="BO173" s="96"/>
      <c r="BP173" s="96"/>
      <c r="BQ173" s="96"/>
      <c r="BR173" s="96"/>
      <c r="BS173" s="96"/>
      <c r="BT173" s="96"/>
      <c r="BU173" s="96"/>
      <c r="BV173" s="96"/>
      <c r="BW173" s="96"/>
      <c r="BX173" s="96"/>
      <c r="BY173" s="96"/>
      <c r="BZ173" s="96"/>
      <c r="CA173" s="96"/>
      <c r="CB173" s="96"/>
      <c r="CC173" s="96"/>
      <c r="CD173" s="96"/>
      <c r="CE173" s="96"/>
    </row>
    <row r="174" spans="1:83" x14ac:dyDescent="0.2">
      <c r="A174" s="96"/>
      <c r="B174" s="96"/>
      <c r="C174" s="96"/>
      <c r="D174" s="96"/>
      <c r="E174" s="96"/>
      <c r="F174" s="96"/>
      <c r="G174" s="96"/>
      <c r="H174" s="96"/>
      <c r="I174" s="96"/>
      <c r="J174" s="96"/>
      <c r="K174" s="96"/>
      <c r="L174" s="96"/>
      <c r="M174" s="96"/>
      <c r="N174" s="96"/>
      <c r="O174" s="96"/>
      <c r="P174" s="96"/>
      <c r="Q174" s="96"/>
      <c r="R174" s="96"/>
      <c r="S174" s="96"/>
      <c r="T174" s="96"/>
      <c r="U174" s="96"/>
      <c r="V174" s="96"/>
      <c r="W174" s="96"/>
      <c r="X174" s="96"/>
      <c r="Y174" s="96"/>
      <c r="Z174" s="96"/>
      <c r="AA174" s="96"/>
      <c r="AB174" s="96"/>
      <c r="AC174" s="96"/>
      <c r="AD174" s="96"/>
      <c r="AE174" s="96"/>
      <c r="AF174" s="96"/>
      <c r="AG174" s="96"/>
      <c r="AH174" s="96"/>
      <c r="AI174" s="96"/>
      <c r="AJ174" s="96"/>
      <c r="AK174" s="96"/>
      <c r="AL174" s="96"/>
      <c r="AM174" s="96"/>
      <c r="AN174" s="96"/>
      <c r="AO174" s="96"/>
      <c r="AP174" s="96"/>
      <c r="AQ174" s="96"/>
      <c r="AR174" s="96"/>
      <c r="AS174" s="96"/>
      <c r="AT174" s="96"/>
      <c r="AU174" s="96"/>
      <c r="AV174" s="96"/>
      <c r="AW174" s="96"/>
      <c r="AX174" s="96"/>
      <c r="AY174" s="96"/>
      <c r="AZ174" s="96"/>
      <c r="BA174" s="96"/>
      <c r="BB174" s="96"/>
      <c r="BC174" s="96"/>
      <c r="BD174" s="96"/>
      <c r="BE174" s="96"/>
      <c r="BF174" s="96"/>
      <c r="BG174" s="96"/>
      <c r="BH174" s="96"/>
      <c r="BI174" s="96"/>
      <c r="BJ174" s="96"/>
      <c r="BK174" s="96"/>
      <c r="BL174" s="96"/>
      <c r="BM174" s="96"/>
      <c r="BN174" s="96"/>
      <c r="BO174" s="96"/>
      <c r="BP174" s="96"/>
      <c r="BQ174" s="96"/>
      <c r="BR174" s="96"/>
      <c r="BS174" s="96"/>
      <c r="BT174" s="96"/>
      <c r="BU174" s="96"/>
      <c r="BV174" s="96"/>
      <c r="BW174" s="96"/>
      <c r="BX174" s="96"/>
      <c r="BY174" s="96"/>
      <c r="BZ174" s="96"/>
      <c r="CA174" s="96"/>
      <c r="CB174" s="96"/>
      <c r="CC174" s="96"/>
      <c r="CD174" s="96"/>
      <c r="CE174" s="96"/>
    </row>
    <row r="175" spans="1:83" x14ac:dyDescent="0.2">
      <c r="A175" s="96"/>
      <c r="B175" s="96"/>
      <c r="C175" s="96"/>
      <c r="D175" s="96"/>
      <c r="E175" s="96"/>
      <c r="F175" s="96"/>
      <c r="G175" s="96"/>
      <c r="H175" s="96"/>
      <c r="I175" s="96"/>
      <c r="J175" s="96"/>
      <c r="K175" s="96"/>
      <c r="L175" s="96"/>
      <c r="M175" s="96"/>
      <c r="N175" s="96"/>
      <c r="O175" s="96"/>
      <c r="P175" s="96"/>
      <c r="Q175" s="96"/>
      <c r="R175" s="96"/>
      <c r="S175" s="96"/>
      <c r="T175" s="96"/>
      <c r="U175" s="96"/>
      <c r="V175" s="96"/>
      <c r="W175" s="96"/>
      <c r="X175" s="96"/>
      <c r="Y175" s="96"/>
      <c r="Z175" s="96"/>
      <c r="AA175" s="96"/>
      <c r="AB175" s="96"/>
      <c r="AC175" s="96"/>
      <c r="AD175" s="96"/>
      <c r="AE175" s="96"/>
      <c r="AF175" s="96"/>
      <c r="AG175" s="96"/>
      <c r="AH175" s="96"/>
      <c r="AI175" s="96"/>
      <c r="AJ175" s="96"/>
      <c r="AK175" s="96"/>
      <c r="AL175" s="96"/>
      <c r="AM175" s="96"/>
      <c r="AN175" s="96"/>
      <c r="AO175" s="96"/>
      <c r="AP175" s="96"/>
      <c r="AQ175" s="96"/>
      <c r="AR175" s="96"/>
      <c r="AS175" s="96"/>
      <c r="AT175" s="96"/>
      <c r="AU175" s="96"/>
      <c r="AV175" s="96"/>
      <c r="AW175" s="96"/>
      <c r="AX175" s="96"/>
      <c r="AY175" s="96"/>
      <c r="AZ175" s="96"/>
      <c r="BA175" s="96"/>
      <c r="BB175" s="96"/>
      <c r="BC175" s="96"/>
      <c r="BD175" s="96"/>
      <c r="BE175" s="96"/>
      <c r="BF175" s="96"/>
      <c r="BG175" s="96"/>
      <c r="BH175" s="96"/>
      <c r="BI175" s="96"/>
      <c r="BJ175" s="96"/>
      <c r="BK175" s="96"/>
      <c r="BL175" s="96"/>
      <c r="BM175" s="96"/>
      <c r="BN175" s="96"/>
      <c r="BO175" s="96"/>
      <c r="BP175" s="96"/>
      <c r="BQ175" s="96"/>
      <c r="BR175" s="96"/>
      <c r="BS175" s="96"/>
      <c r="BT175" s="96"/>
      <c r="BU175" s="96"/>
      <c r="BV175" s="96"/>
      <c r="BW175" s="96"/>
      <c r="BX175" s="96"/>
      <c r="BY175" s="96"/>
      <c r="BZ175" s="96"/>
      <c r="CA175" s="96"/>
      <c r="CB175" s="96"/>
      <c r="CC175" s="96"/>
      <c r="CD175" s="96"/>
      <c r="CE175" s="96"/>
    </row>
    <row r="176" spans="1:83" x14ac:dyDescent="0.2">
      <c r="A176" s="96"/>
      <c r="B176" s="96"/>
      <c r="C176" s="96"/>
      <c r="D176" s="96"/>
      <c r="E176" s="96"/>
      <c r="F176" s="96"/>
      <c r="G176" s="96"/>
      <c r="H176" s="96"/>
      <c r="I176" s="96"/>
      <c r="J176" s="96"/>
      <c r="K176" s="96"/>
      <c r="L176" s="96"/>
      <c r="M176" s="96"/>
      <c r="N176" s="96"/>
      <c r="O176" s="96"/>
      <c r="P176" s="96"/>
      <c r="Q176" s="96"/>
      <c r="R176" s="96"/>
      <c r="S176" s="96"/>
      <c r="T176" s="96"/>
      <c r="U176" s="96"/>
      <c r="V176" s="96"/>
      <c r="W176" s="96"/>
      <c r="X176" s="96"/>
      <c r="Y176" s="96"/>
      <c r="Z176" s="96"/>
      <c r="AA176" s="96"/>
      <c r="AB176" s="96"/>
      <c r="AC176" s="96"/>
      <c r="AD176" s="96"/>
      <c r="AE176" s="96"/>
      <c r="AF176" s="96"/>
      <c r="AG176" s="96"/>
      <c r="AH176" s="96"/>
      <c r="AI176" s="96"/>
      <c r="AJ176" s="96"/>
      <c r="AK176" s="96"/>
      <c r="AL176" s="96"/>
      <c r="AM176" s="96"/>
      <c r="AN176" s="96"/>
      <c r="AO176" s="96"/>
      <c r="AP176" s="96"/>
      <c r="AQ176" s="96"/>
      <c r="AR176" s="96"/>
      <c r="AS176" s="96"/>
      <c r="AT176" s="96"/>
      <c r="AU176" s="96"/>
      <c r="AV176" s="96"/>
      <c r="AW176" s="96"/>
      <c r="AX176" s="96"/>
      <c r="AY176" s="96"/>
      <c r="AZ176" s="96"/>
      <c r="BA176" s="96"/>
      <c r="BB176" s="96"/>
      <c r="BC176" s="96"/>
      <c r="BD176" s="96"/>
      <c r="BE176" s="96"/>
      <c r="BF176" s="96"/>
      <c r="BG176" s="96"/>
      <c r="BH176" s="96"/>
      <c r="BI176" s="96"/>
      <c r="BJ176" s="96"/>
      <c r="BK176" s="96"/>
      <c r="BL176" s="96"/>
      <c r="BM176" s="96"/>
      <c r="BN176" s="96"/>
      <c r="BO176" s="96"/>
      <c r="BP176" s="96"/>
      <c r="BQ176" s="96"/>
      <c r="BR176" s="96"/>
      <c r="BS176" s="96"/>
      <c r="BT176" s="96"/>
      <c r="BU176" s="96"/>
      <c r="BV176" s="96"/>
      <c r="BW176" s="96"/>
      <c r="BX176" s="96"/>
      <c r="BY176" s="96"/>
      <c r="BZ176" s="96"/>
      <c r="CA176" s="96"/>
      <c r="CB176" s="96"/>
      <c r="CC176" s="96"/>
      <c r="CD176" s="96"/>
      <c r="CE176" s="96"/>
    </row>
    <row r="177" spans="1:83" x14ac:dyDescent="0.2">
      <c r="A177" s="96"/>
      <c r="B177" s="96"/>
      <c r="C177" s="96"/>
      <c r="D177" s="96"/>
      <c r="E177" s="96"/>
      <c r="F177" s="96"/>
      <c r="G177" s="96"/>
      <c r="H177" s="96"/>
      <c r="I177" s="96"/>
      <c r="J177" s="96"/>
      <c r="K177" s="96"/>
      <c r="L177" s="96"/>
      <c r="M177" s="96"/>
      <c r="N177" s="96"/>
      <c r="O177" s="96"/>
      <c r="P177" s="96"/>
      <c r="Q177" s="96"/>
      <c r="R177" s="96"/>
      <c r="S177" s="96"/>
      <c r="T177" s="96"/>
      <c r="U177" s="96"/>
      <c r="V177" s="96"/>
      <c r="W177" s="96"/>
      <c r="X177" s="96"/>
      <c r="Y177" s="96"/>
      <c r="Z177" s="96"/>
      <c r="AA177" s="96"/>
      <c r="AB177" s="96"/>
      <c r="AC177" s="96"/>
      <c r="AD177" s="96"/>
      <c r="AE177" s="96"/>
      <c r="AF177" s="96"/>
      <c r="AG177" s="96"/>
      <c r="AH177" s="96"/>
      <c r="AI177" s="96"/>
      <c r="AJ177" s="96"/>
      <c r="AK177" s="96"/>
      <c r="AL177" s="96"/>
      <c r="AM177" s="96"/>
      <c r="AN177" s="96"/>
      <c r="AO177" s="96"/>
      <c r="AP177" s="96"/>
      <c r="AQ177" s="96"/>
      <c r="AR177" s="96"/>
      <c r="AS177" s="96"/>
      <c r="AT177" s="96"/>
      <c r="AU177" s="96"/>
      <c r="AV177" s="96"/>
      <c r="AW177" s="96"/>
      <c r="AX177" s="96"/>
      <c r="AY177" s="96"/>
      <c r="AZ177" s="96"/>
      <c r="BA177" s="96"/>
      <c r="BB177" s="96"/>
      <c r="BC177" s="96"/>
      <c r="BD177" s="96"/>
      <c r="BE177" s="96"/>
      <c r="BF177" s="96"/>
      <c r="BG177" s="96"/>
      <c r="BH177" s="96"/>
      <c r="BI177" s="96"/>
      <c r="BJ177" s="96"/>
      <c r="BK177" s="96"/>
      <c r="BL177" s="96"/>
      <c r="BM177" s="96"/>
      <c r="BN177" s="96"/>
      <c r="BO177" s="96"/>
      <c r="BP177" s="96"/>
      <c r="BQ177" s="96"/>
      <c r="BR177" s="96"/>
      <c r="BS177" s="96"/>
      <c r="BT177" s="96"/>
      <c r="BU177" s="96"/>
      <c r="BV177" s="96"/>
      <c r="BW177" s="96"/>
      <c r="BX177" s="96"/>
      <c r="BY177" s="96"/>
      <c r="BZ177" s="96"/>
      <c r="CA177" s="96"/>
      <c r="CB177" s="96"/>
      <c r="CC177" s="96"/>
      <c r="CD177" s="96"/>
      <c r="CE177" s="96"/>
    </row>
    <row r="178" spans="1:83" x14ac:dyDescent="0.2">
      <c r="A178" s="96"/>
      <c r="B178" s="96"/>
      <c r="C178" s="96"/>
      <c r="D178" s="96"/>
      <c r="E178" s="96"/>
      <c r="F178" s="96"/>
      <c r="G178" s="96"/>
      <c r="H178" s="96"/>
      <c r="I178" s="96"/>
      <c r="J178" s="96"/>
      <c r="K178" s="96"/>
      <c r="L178" s="96"/>
      <c r="M178" s="96"/>
      <c r="N178" s="96"/>
      <c r="O178" s="96"/>
      <c r="P178" s="96"/>
      <c r="Q178" s="96"/>
      <c r="R178" s="96"/>
      <c r="S178" s="96"/>
      <c r="T178" s="96"/>
      <c r="U178" s="96"/>
      <c r="V178" s="96"/>
      <c r="W178" s="96"/>
      <c r="X178" s="96"/>
      <c r="Y178" s="96"/>
      <c r="Z178" s="96"/>
      <c r="AA178" s="96"/>
      <c r="AB178" s="96"/>
      <c r="AC178" s="96"/>
      <c r="AD178" s="96"/>
      <c r="AE178" s="96"/>
      <c r="AF178" s="96"/>
      <c r="AG178" s="96"/>
      <c r="AH178" s="96"/>
      <c r="AI178" s="96"/>
      <c r="AJ178" s="96"/>
      <c r="AK178" s="96"/>
      <c r="AL178" s="96"/>
      <c r="AM178" s="96"/>
      <c r="AN178" s="96"/>
      <c r="AO178" s="96"/>
      <c r="AP178" s="96"/>
      <c r="AQ178" s="96"/>
      <c r="AR178" s="96"/>
      <c r="AS178" s="96"/>
      <c r="AT178" s="96"/>
      <c r="AU178" s="96"/>
      <c r="AV178" s="96"/>
      <c r="AW178" s="96"/>
      <c r="AX178" s="96"/>
      <c r="AY178" s="96"/>
      <c r="AZ178" s="96"/>
      <c r="BA178" s="96"/>
      <c r="BB178" s="96"/>
      <c r="BC178" s="96"/>
      <c r="BD178" s="96"/>
      <c r="BE178" s="96"/>
      <c r="BF178" s="96"/>
      <c r="BG178" s="96"/>
      <c r="BH178" s="96"/>
      <c r="BI178" s="96"/>
      <c r="BJ178" s="96"/>
      <c r="BK178" s="96"/>
      <c r="BL178" s="96"/>
      <c r="BM178" s="96"/>
      <c r="BN178" s="96"/>
      <c r="BO178" s="96"/>
      <c r="BP178" s="96"/>
      <c r="BQ178" s="96"/>
      <c r="BR178" s="96"/>
      <c r="BS178" s="96"/>
      <c r="BT178" s="96"/>
      <c r="BU178" s="96"/>
      <c r="BV178" s="96"/>
      <c r="BW178" s="96"/>
      <c r="BX178" s="96"/>
      <c r="BY178" s="96"/>
      <c r="BZ178" s="96"/>
      <c r="CA178" s="96"/>
      <c r="CB178" s="96"/>
      <c r="CC178" s="96"/>
      <c r="CD178" s="96"/>
      <c r="CE178" s="96"/>
    </row>
    <row r="179" spans="1:83" x14ac:dyDescent="0.2">
      <c r="A179" s="96"/>
      <c r="B179" s="96"/>
      <c r="C179" s="96"/>
      <c r="D179" s="96"/>
      <c r="E179" s="96"/>
      <c r="F179" s="96"/>
      <c r="G179" s="96"/>
      <c r="H179" s="96"/>
      <c r="I179" s="96"/>
      <c r="J179" s="96"/>
      <c r="K179" s="96"/>
      <c r="L179" s="96"/>
      <c r="M179" s="96"/>
      <c r="N179" s="96"/>
      <c r="O179" s="96"/>
      <c r="P179" s="96"/>
      <c r="Q179" s="96"/>
      <c r="R179" s="96"/>
      <c r="S179" s="96"/>
      <c r="T179" s="96"/>
      <c r="U179" s="96"/>
      <c r="V179" s="96"/>
      <c r="W179" s="96"/>
      <c r="X179" s="96"/>
      <c r="Y179" s="96"/>
      <c r="Z179" s="96"/>
      <c r="AA179" s="96"/>
      <c r="AB179" s="96"/>
      <c r="AC179" s="96"/>
      <c r="AD179" s="96"/>
      <c r="AE179" s="96"/>
      <c r="AF179" s="96"/>
      <c r="AG179" s="96"/>
      <c r="AH179" s="96"/>
      <c r="AI179" s="96"/>
      <c r="AJ179" s="96"/>
      <c r="AK179" s="96"/>
      <c r="AL179" s="96"/>
      <c r="AM179" s="96"/>
      <c r="AN179" s="96"/>
      <c r="AO179" s="96"/>
      <c r="AP179" s="96"/>
      <c r="AQ179" s="96"/>
      <c r="AR179" s="96"/>
      <c r="AS179" s="96"/>
      <c r="AT179" s="96"/>
      <c r="AU179" s="96"/>
      <c r="AV179" s="96"/>
      <c r="AW179" s="96"/>
      <c r="AX179" s="96"/>
      <c r="AY179" s="96"/>
      <c r="AZ179" s="96"/>
      <c r="BA179" s="96"/>
      <c r="BB179" s="96"/>
      <c r="BC179" s="96"/>
      <c r="BD179" s="96"/>
      <c r="BE179" s="96"/>
      <c r="BF179" s="96"/>
      <c r="BG179" s="96"/>
      <c r="BH179" s="96"/>
      <c r="BI179" s="96"/>
      <c r="BJ179" s="96"/>
      <c r="BK179" s="96"/>
      <c r="BL179" s="96"/>
      <c r="BM179" s="96"/>
      <c r="BN179" s="96"/>
      <c r="BO179" s="96"/>
      <c r="BP179" s="96"/>
      <c r="BQ179" s="96"/>
      <c r="BR179" s="96"/>
      <c r="BS179" s="96"/>
      <c r="BT179" s="96"/>
      <c r="BU179" s="96"/>
      <c r="BV179" s="96"/>
      <c r="BW179" s="96"/>
      <c r="BX179" s="96"/>
      <c r="BY179" s="96"/>
      <c r="BZ179" s="96"/>
      <c r="CA179" s="96"/>
      <c r="CB179" s="96"/>
      <c r="CC179" s="96"/>
      <c r="CD179" s="96"/>
      <c r="CE179" s="96"/>
    </row>
    <row r="180" spans="1:83" x14ac:dyDescent="0.2">
      <c r="A180" s="96"/>
      <c r="B180" s="96"/>
      <c r="C180" s="96"/>
      <c r="D180" s="96"/>
      <c r="E180" s="96"/>
      <c r="F180" s="96"/>
      <c r="G180" s="96"/>
      <c r="H180" s="96"/>
      <c r="I180" s="96"/>
      <c r="J180" s="96"/>
      <c r="K180" s="96"/>
      <c r="L180" s="96"/>
      <c r="M180" s="96"/>
      <c r="N180" s="96"/>
      <c r="O180" s="96"/>
      <c r="P180" s="96"/>
      <c r="Q180" s="96"/>
      <c r="R180" s="96"/>
      <c r="S180" s="96"/>
      <c r="T180" s="96"/>
      <c r="U180" s="96"/>
      <c r="V180" s="96"/>
      <c r="W180" s="96"/>
      <c r="X180" s="96"/>
      <c r="Y180" s="96"/>
      <c r="Z180" s="96"/>
      <c r="AA180" s="96"/>
      <c r="AB180" s="96"/>
      <c r="AC180" s="96"/>
      <c r="AD180" s="96"/>
      <c r="AE180" s="96"/>
      <c r="AF180" s="96"/>
      <c r="AG180" s="96"/>
      <c r="AH180" s="96"/>
      <c r="AI180" s="96"/>
      <c r="AJ180" s="96"/>
      <c r="AK180" s="96"/>
      <c r="AL180" s="96"/>
      <c r="AM180" s="96"/>
      <c r="AN180" s="96"/>
      <c r="AO180" s="96"/>
      <c r="AP180" s="96"/>
      <c r="AQ180" s="96"/>
      <c r="AR180" s="96"/>
      <c r="AS180" s="96"/>
      <c r="AT180" s="96"/>
      <c r="AU180" s="96"/>
      <c r="AV180" s="96"/>
      <c r="AW180" s="96"/>
      <c r="AX180" s="96"/>
      <c r="AY180" s="96"/>
      <c r="AZ180" s="96"/>
      <c r="BA180" s="96"/>
      <c r="BB180" s="96"/>
      <c r="BC180" s="96"/>
      <c r="BD180" s="96"/>
      <c r="BE180" s="96"/>
      <c r="BF180" s="96"/>
      <c r="BG180" s="96"/>
      <c r="BH180" s="96"/>
      <c r="BI180" s="96"/>
      <c r="BJ180" s="96"/>
      <c r="BK180" s="96"/>
      <c r="BL180" s="96"/>
      <c r="BM180" s="96"/>
      <c r="BN180" s="96"/>
      <c r="BO180" s="96"/>
      <c r="BP180" s="96"/>
      <c r="BQ180" s="96"/>
      <c r="BR180" s="96"/>
      <c r="BS180" s="96"/>
      <c r="BT180" s="96"/>
      <c r="BU180" s="96"/>
      <c r="BV180" s="96"/>
      <c r="BW180" s="96"/>
      <c r="BX180" s="96"/>
      <c r="BY180" s="96"/>
      <c r="BZ180" s="96"/>
      <c r="CA180" s="96"/>
      <c r="CB180" s="96"/>
      <c r="CC180" s="96"/>
      <c r="CD180" s="96"/>
      <c r="CE180" s="96"/>
    </row>
    <row r="181" spans="1:83" x14ac:dyDescent="0.2">
      <c r="A181" s="96"/>
      <c r="B181" s="96"/>
      <c r="C181" s="96"/>
      <c r="D181" s="96"/>
      <c r="E181" s="96"/>
      <c r="F181" s="96"/>
      <c r="G181" s="96"/>
      <c r="H181" s="96"/>
      <c r="I181" s="96"/>
      <c r="J181" s="96"/>
      <c r="K181" s="96"/>
      <c r="L181" s="96"/>
      <c r="M181" s="96"/>
      <c r="N181" s="96"/>
      <c r="O181" s="96"/>
      <c r="P181" s="96"/>
      <c r="Q181" s="96"/>
      <c r="R181" s="96"/>
      <c r="S181" s="96"/>
      <c r="T181" s="96"/>
      <c r="U181" s="96"/>
      <c r="V181" s="96"/>
      <c r="W181" s="96"/>
      <c r="X181" s="96"/>
      <c r="Y181" s="96"/>
      <c r="Z181" s="96"/>
      <c r="AA181" s="96"/>
      <c r="AB181" s="96"/>
      <c r="AC181" s="96"/>
      <c r="AD181" s="96"/>
      <c r="AE181" s="96"/>
      <c r="AF181" s="96"/>
      <c r="AG181" s="96"/>
      <c r="AH181" s="96"/>
      <c r="AI181" s="96"/>
      <c r="AJ181" s="96"/>
      <c r="AK181" s="96"/>
      <c r="AL181" s="96"/>
      <c r="AM181" s="96"/>
      <c r="AN181" s="96"/>
      <c r="AO181" s="96"/>
      <c r="AP181" s="96"/>
      <c r="AQ181" s="96"/>
      <c r="AR181" s="96"/>
      <c r="AS181" s="96"/>
      <c r="AT181" s="96"/>
      <c r="AU181" s="96"/>
      <c r="AV181" s="96"/>
      <c r="AW181" s="96"/>
      <c r="AX181" s="96"/>
      <c r="AY181" s="96"/>
      <c r="AZ181" s="96"/>
      <c r="BA181" s="96"/>
      <c r="BB181" s="96"/>
      <c r="BC181" s="96"/>
      <c r="BD181" s="96"/>
      <c r="BE181" s="96"/>
      <c r="BF181" s="96"/>
      <c r="BG181" s="96"/>
      <c r="BH181" s="96"/>
      <c r="BI181" s="96"/>
      <c r="BJ181" s="96"/>
      <c r="BK181" s="96"/>
      <c r="BL181" s="96"/>
      <c r="BM181" s="96"/>
      <c r="BN181" s="96"/>
      <c r="BO181" s="96"/>
      <c r="BP181" s="96"/>
      <c r="BQ181" s="96"/>
      <c r="BR181" s="96"/>
      <c r="BS181" s="96"/>
      <c r="BT181" s="96"/>
      <c r="BU181" s="96"/>
      <c r="BV181" s="96"/>
      <c r="BW181" s="96"/>
      <c r="BX181" s="96"/>
      <c r="BY181" s="96"/>
      <c r="BZ181" s="96"/>
      <c r="CA181" s="96"/>
      <c r="CB181" s="96"/>
      <c r="CC181" s="96"/>
      <c r="CD181" s="96"/>
      <c r="CE181" s="96"/>
    </row>
    <row r="182" spans="1:83" x14ac:dyDescent="0.2">
      <c r="A182" s="96"/>
      <c r="B182" s="96"/>
      <c r="C182" s="96"/>
      <c r="D182" s="96"/>
      <c r="E182" s="96"/>
      <c r="F182" s="96"/>
      <c r="G182" s="96"/>
      <c r="H182" s="96"/>
      <c r="I182" s="96"/>
      <c r="J182" s="96"/>
      <c r="K182" s="96"/>
      <c r="L182" s="96"/>
      <c r="M182" s="96"/>
      <c r="N182" s="96"/>
      <c r="O182" s="96"/>
      <c r="P182" s="96"/>
      <c r="Q182" s="96"/>
      <c r="R182" s="96"/>
      <c r="S182" s="96"/>
      <c r="T182" s="96"/>
      <c r="U182" s="96"/>
      <c r="V182" s="96"/>
      <c r="W182" s="96"/>
      <c r="X182" s="96"/>
      <c r="Y182" s="96"/>
      <c r="Z182" s="96"/>
      <c r="AA182" s="96"/>
      <c r="AB182" s="96"/>
      <c r="AC182" s="96"/>
      <c r="AD182" s="96"/>
      <c r="AE182" s="96"/>
      <c r="AF182" s="96"/>
      <c r="AG182" s="96"/>
      <c r="AH182" s="96"/>
      <c r="AI182" s="96"/>
      <c r="AJ182" s="96"/>
      <c r="AK182" s="96"/>
      <c r="AL182" s="96"/>
      <c r="AM182" s="96"/>
      <c r="AN182" s="96"/>
      <c r="AO182" s="96"/>
      <c r="AP182" s="96"/>
      <c r="AQ182" s="96"/>
      <c r="AR182" s="96"/>
      <c r="AS182" s="96"/>
      <c r="AT182" s="96"/>
      <c r="AU182" s="96"/>
      <c r="AV182" s="96"/>
      <c r="AW182" s="96"/>
      <c r="AX182" s="96"/>
      <c r="AY182" s="96"/>
      <c r="AZ182" s="96"/>
      <c r="BA182" s="96"/>
      <c r="BB182" s="96"/>
      <c r="BC182" s="96"/>
      <c r="BD182" s="96"/>
      <c r="BE182" s="96"/>
      <c r="BF182" s="96"/>
      <c r="BG182" s="96"/>
      <c r="BH182" s="96"/>
      <c r="BI182" s="96"/>
      <c r="BJ182" s="96"/>
      <c r="BK182" s="96"/>
      <c r="BL182" s="96"/>
      <c r="BM182" s="96"/>
      <c r="BN182" s="96"/>
      <c r="BO182" s="96"/>
      <c r="BP182" s="96"/>
      <c r="BQ182" s="96"/>
      <c r="BR182" s="96"/>
      <c r="BS182" s="96"/>
      <c r="BT182" s="96"/>
      <c r="BU182" s="96"/>
      <c r="BV182" s="96"/>
      <c r="BW182" s="96"/>
      <c r="BX182" s="96"/>
      <c r="BY182" s="96"/>
      <c r="BZ182" s="96"/>
      <c r="CA182" s="96"/>
      <c r="CB182" s="96"/>
      <c r="CC182" s="96"/>
      <c r="CD182" s="96"/>
      <c r="CE182" s="96"/>
    </row>
    <row r="183" spans="1:83" x14ac:dyDescent="0.2">
      <c r="A183" s="96"/>
      <c r="B183" s="96"/>
      <c r="C183" s="96"/>
      <c r="D183" s="96"/>
      <c r="E183" s="96"/>
      <c r="F183" s="96"/>
      <c r="G183" s="96"/>
      <c r="H183" s="96"/>
      <c r="I183" s="96"/>
      <c r="J183" s="96"/>
      <c r="K183" s="96"/>
      <c r="L183" s="96"/>
      <c r="M183" s="96"/>
      <c r="N183" s="96"/>
      <c r="O183" s="96"/>
      <c r="P183" s="96"/>
      <c r="Q183" s="96"/>
      <c r="R183" s="96"/>
      <c r="S183" s="96"/>
      <c r="T183" s="96"/>
      <c r="U183" s="96"/>
      <c r="V183" s="96"/>
      <c r="W183" s="96"/>
      <c r="X183" s="96"/>
      <c r="Y183" s="96"/>
      <c r="Z183" s="96"/>
      <c r="AA183" s="96"/>
      <c r="AB183" s="96"/>
      <c r="AC183" s="96"/>
      <c r="AD183" s="96"/>
      <c r="AE183" s="96"/>
      <c r="AF183" s="96"/>
      <c r="AG183" s="96"/>
      <c r="AH183" s="96"/>
      <c r="AI183" s="96"/>
      <c r="AJ183" s="96"/>
      <c r="AK183" s="96"/>
      <c r="AL183" s="96"/>
      <c r="AM183" s="96"/>
      <c r="AN183" s="96"/>
      <c r="AO183" s="96"/>
      <c r="AP183" s="96"/>
      <c r="AQ183" s="96"/>
      <c r="AR183" s="96"/>
      <c r="AS183" s="96"/>
      <c r="AT183" s="96"/>
      <c r="AU183" s="96"/>
      <c r="AV183" s="96"/>
      <c r="AW183" s="96"/>
      <c r="AX183" s="96"/>
      <c r="AY183" s="96"/>
      <c r="AZ183" s="96"/>
      <c r="BA183" s="96"/>
      <c r="BB183" s="96"/>
      <c r="BC183" s="96"/>
      <c r="BD183" s="96"/>
      <c r="BE183" s="96"/>
      <c r="BF183" s="96"/>
      <c r="BG183" s="96"/>
      <c r="BH183" s="96"/>
      <c r="BI183" s="96"/>
      <c r="BJ183" s="96"/>
      <c r="BK183" s="96"/>
      <c r="BL183" s="96"/>
      <c r="BM183" s="96"/>
      <c r="BN183" s="96"/>
      <c r="BO183" s="96"/>
      <c r="BP183" s="96"/>
      <c r="BQ183" s="96"/>
      <c r="BR183" s="96"/>
      <c r="BS183" s="96"/>
      <c r="BT183" s="96"/>
      <c r="BU183" s="96"/>
      <c r="BV183" s="96"/>
      <c r="BW183" s="96"/>
      <c r="BX183" s="96"/>
      <c r="BY183" s="96"/>
      <c r="BZ183" s="96"/>
      <c r="CA183" s="96"/>
      <c r="CB183" s="96"/>
      <c r="CC183" s="96"/>
      <c r="CD183" s="96"/>
      <c r="CE183" s="96"/>
    </row>
    <row r="184" spans="1:83" x14ac:dyDescent="0.2">
      <c r="A184" s="96"/>
      <c r="B184" s="96"/>
      <c r="C184" s="96"/>
      <c r="D184" s="96"/>
      <c r="E184" s="96"/>
      <c r="F184" s="96"/>
      <c r="G184" s="96"/>
      <c r="H184" s="96"/>
      <c r="I184" s="96"/>
      <c r="J184" s="96"/>
      <c r="K184" s="96"/>
      <c r="L184" s="96"/>
      <c r="M184" s="96"/>
      <c r="N184" s="96"/>
      <c r="O184" s="96"/>
      <c r="P184" s="96"/>
      <c r="Q184" s="96"/>
      <c r="R184" s="96"/>
      <c r="S184" s="96"/>
      <c r="T184" s="96"/>
      <c r="U184" s="96"/>
      <c r="V184" s="96"/>
      <c r="W184" s="96"/>
      <c r="X184" s="96"/>
      <c r="Y184" s="96"/>
      <c r="Z184" s="96"/>
      <c r="AA184" s="96"/>
      <c r="AB184" s="96"/>
      <c r="AC184" s="96"/>
      <c r="AD184" s="96"/>
      <c r="AE184" s="96"/>
      <c r="AF184" s="96"/>
      <c r="AG184" s="96"/>
      <c r="AH184" s="96"/>
      <c r="AI184" s="96"/>
      <c r="AJ184" s="96"/>
      <c r="AK184" s="96"/>
      <c r="AL184" s="96"/>
      <c r="AM184" s="96"/>
      <c r="AN184" s="96"/>
      <c r="AO184" s="96"/>
      <c r="AP184" s="96"/>
      <c r="AQ184" s="96"/>
      <c r="AR184" s="96"/>
      <c r="AS184" s="96"/>
      <c r="AT184" s="96"/>
      <c r="AU184" s="96"/>
      <c r="AV184" s="96"/>
      <c r="AW184" s="96"/>
      <c r="AX184" s="96"/>
      <c r="AY184" s="96"/>
      <c r="AZ184" s="96"/>
      <c r="BA184" s="96"/>
      <c r="BB184" s="96"/>
      <c r="BC184" s="96"/>
      <c r="BD184" s="96"/>
      <c r="BE184" s="96"/>
      <c r="BF184" s="96"/>
      <c r="BG184" s="96"/>
      <c r="BH184" s="96"/>
      <c r="BI184" s="96"/>
      <c r="BJ184" s="96"/>
      <c r="BK184" s="96"/>
      <c r="BL184" s="96"/>
      <c r="BM184" s="96"/>
      <c r="BN184" s="96"/>
      <c r="BO184" s="96"/>
      <c r="BP184" s="96"/>
      <c r="BQ184" s="96"/>
      <c r="BR184" s="96"/>
      <c r="BS184" s="96"/>
      <c r="BT184" s="96"/>
      <c r="BU184" s="96"/>
      <c r="BV184" s="96"/>
      <c r="BW184" s="96"/>
      <c r="BX184" s="96"/>
      <c r="BY184" s="96"/>
      <c r="BZ184" s="96"/>
      <c r="CA184" s="96"/>
      <c r="CB184" s="96"/>
      <c r="CC184" s="96"/>
      <c r="CD184" s="96"/>
      <c r="CE184" s="96"/>
    </row>
    <row r="185" spans="1:83" x14ac:dyDescent="0.2">
      <c r="A185" s="96"/>
      <c r="B185" s="96"/>
      <c r="C185" s="96"/>
      <c r="D185" s="96"/>
      <c r="E185" s="96"/>
      <c r="F185" s="96"/>
      <c r="G185" s="96"/>
      <c r="H185" s="96"/>
      <c r="I185" s="96"/>
      <c r="J185" s="96"/>
      <c r="K185" s="96"/>
      <c r="L185" s="96"/>
      <c r="M185" s="96"/>
      <c r="N185" s="96"/>
      <c r="O185" s="96"/>
      <c r="P185" s="96"/>
      <c r="Q185" s="96"/>
      <c r="R185" s="96"/>
      <c r="S185" s="96"/>
      <c r="T185" s="96"/>
      <c r="U185" s="96"/>
      <c r="V185" s="96"/>
      <c r="W185" s="96"/>
      <c r="X185" s="96"/>
      <c r="Y185" s="96"/>
      <c r="Z185" s="96"/>
      <c r="AA185" s="96"/>
      <c r="AB185" s="96"/>
      <c r="AC185" s="96"/>
      <c r="AD185" s="96"/>
      <c r="AE185" s="96"/>
      <c r="AF185" s="96"/>
      <c r="AG185" s="96"/>
      <c r="AH185" s="96"/>
      <c r="AI185" s="96"/>
      <c r="AJ185" s="96"/>
      <c r="AK185" s="96"/>
      <c r="AL185" s="96"/>
      <c r="AM185" s="96"/>
      <c r="AN185" s="96"/>
      <c r="AO185" s="96"/>
      <c r="AP185" s="96"/>
      <c r="AQ185" s="96"/>
      <c r="AR185" s="96"/>
      <c r="AS185" s="96"/>
      <c r="AT185" s="96"/>
      <c r="AU185" s="96"/>
      <c r="AV185" s="96"/>
      <c r="AW185" s="96"/>
      <c r="AX185" s="96"/>
      <c r="AY185" s="96"/>
      <c r="AZ185" s="96"/>
      <c r="BA185" s="96"/>
      <c r="BB185" s="96"/>
      <c r="BC185" s="96"/>
      <c r="BD185" s="96"/>
      <c r="BE185" s="96"/>
      <c r="BF185" s="96"/>
      <c r="BG185" s="96"/>
      <c r="BH185" s="96"/>
      <c r="BI185" s="96"/>
      <c r="BJ185" s="96"/>
      <c r="BK185" s="96"/>
      <c r="BL185" s="96"/>
      <c r="BM185" s="96"/>
      <c r="BN185" s="96"/>
      <c r="BO185" s="96"/>
      <c r="BP185" s="96"/>
      <c r="BQ185" s="96"/>
      <c r="BR185" s="96"/>
      <c r="BS185" s="96"/>
      <c r="BT185" s="96"/>
      <c r="BU185" s="96"/>
      <c r="BV185" s="96"/>
      <c r="BW185" s="96"/>
      <c r="BX185" s="96"/>
      <c r="BY185" s="96"/>
      <c r="BZ185" s="96"/>
      <c r="CA185" s="96"/>
      <c r="CB185" s="96"/>
      <c r="CC185" s="96"/>
      <c r="CD185" s="96"/>
      <c r="CE185" s="96"/>
    </row>
    <row r="186" spans="1:83" x14ac:dyDescent="0.2">
      <c r="A186" s="96"/>
      <c r="B186" s="96"/>
      <c r="C186" s="96"/>
      <c r="D186" s="96"/>
      <c r="E186" s="96"/>
      <c r="F186" s="96"/>
      <c r="G186" s="96"/>
      <c r="H186" s="96"/>
      <c r="I186" s="96"/>
      <c r="J186" s="96"/>
      <c r="K186" s="96"/>
      <c r="L186" s="96"/>
      <c r="M186" s="96"/>
      <c r="N186" s="96"/>
      <c r="O186" s="96"/>
      <c r="P186" s="96"/>
      <c r="Q186" s="96"/>
      <c r="R186" s="96"/>
      <c r="S186" s="96"/>
      <c r="T186" s="96"/>
      <c r="U186" s="96"/>
      <c r="V186" s="96"/>
      <c r="W186" s="96"/>
      <c r="X186" s="96"/>
      <c r="Y186" s="96"/>
      <c r="Z186" s="96"/>
      <c r="AA186" s="96"/>
      <c r="AB186" s="96"/>
      <c r="AC186" s="96"/>
      <c r="AD186" s="96"/>
      <c r="AE186" s="96"/>
      <c r="AF186" s="96"/>
      <c r="AG186" s="96"/>
      <c r="AH186" s="96"/>
      <c r="AI186" s="96"/>
      <c r="AJ186" s="96"/>
      <c r="AK186" s="96"/>
      <c r="AL186" s="96"/>
      <c r="AM186" s="96"/>
      <c r="AN186" s="96"/>
      <c r="AO186" s="96"/>
      <c r="AP186" s="96"/>
      <c r="AQ186" s="96"/>
      <c r="AR186" s="96"/>
      <c r="AS186" s="96"/>
      <c r="AT186" s="96"/>
      <c r="AU186" s="96"/>
      <c r="AV186" s="96"/>
      <c r="AW186" s="96"/>
      <c r="AX186" s="96"/>
      <c r="AY186" s="96"/>
      <c r="AZ186" s="96"/>
      <c r="BA186" s="96"/>
      <c r="BB186" s="96"/>
      <c r="BC186" s="96"/>
      <c r="BD186" s="96"/>
      <c r="BE186" s="96"/>
      <c r="BF186" s="96"/>
      <c r="BG186" s="96"/>
      <c r="BH186" s="96"/>
      <c r="BI186" s="96"/>
      <c r="BJ186" s="96"/>
      <c r="BK186" s="96"/>
      <c r="BL186" s="96"/>
      <c r="BM186" s="96"/>
      <c r="BN186" s="96"/>
      <c r="BO186" s="96"/>
      <c r="BP186" s="96"/>
      <c r="BQ186" s="96"/>
      <c r="BR186" s="96"/>
      <c r="BS186" s="96"/>
      <c r="BT186" s="96"/>
      <c r="BU186" s="96"/>
      <c r="BV186" s="96"/>
      <c r="BW186" s="96"/>
      <c r="BX186" s="96"/>
      <c r="BY186" s="96"/>
      <c r="BZ186" s="96"/>
      <c r="CA186" s="96"/>
      <c r="CB186" s="96"/>
      <c r="CC186" s="96"/>
      <c r="CD186" s="96"/>
      <c r="CE186" s="96"/>
    </row>
    <row r="187" spans="1:83" x14ac:dyDescent="0.2">
      <c r="A187" s="96"/>
      <c r="B187" s="96"/>
      <c r="C187" s="96"/>
      <c r="D187" s="96"/>
      <c r="E187" s="96"/>
      <c r="F187" s="96"/>
      <c r="G187" s="96"/>
      <c r="H187" s="96"/>
      <c r="I187" s="96"/>
      <c r="J187" s="96"/>
      <c r="K187" s="96"/>
      <c r="L187" s="96"/>
      <c r="M187" s="96"/>
      <c r="N187" s="96"/>
      <c r="O187" s="96"/>
      <c r="P187" s="96"/>
      <c r="Q187" s="96"/>
      <c r="R187" s="96"/>
      <c r="S187" s="96"/>
      <c r="T187" s="96"/>
      <c r="U187" s="96"/>
      <c r="V187" s="96"/>
      <c r="W187" s="96"/>
      <c r="X187" s="96"/>
      <c r="Y187" s="96"/>
      <c r="Z187" s="96"/>
      <c r="AA187" s="96"/>
      <c r="AB187" s="96"/>
      <c r="AC187" s="96"/>
      <c r="AD187" s="96"/>
      <c r="AE187" s="96"/>
      <c r="AF187" s="96"/>
      <c r="AG187" s="96"/>
      <c r="AH187" s="96"/>
      <c r="AI187" s="96"/>
      <c r="AJ187" s="96"/>
      <c r="AK187" s="96"/>
      <c r="AL187" s="96"/>
      <c r="AM187" s="96"/>
      <c r="AN187" s="96"/>
      <c r="AO187" s="96"/>
      <c r="AP187" s="96"/>
      <c r="AQ187" s="96"/>
      <c r="AR187" s="96"/>
      <c r="AS187" s="96"/>
      <c r="AT187" s="96"/>
      <c r="AU187" s="96"/>
      <c r="AV187" s="96"/>
      <c r="AW187" s="96"/>
      <c r="AX187" s="96"/>
      <c r="AY187" s="96"/>
      <c r="AZ187" s="96"/>
      <c r="BA187" s="96"/>
      <c r="BB187" s="96"/>
      <c r="BC187" s="96"/>
      <c r="BD187" s="96"/>
      <c r="BE187" s="96"/>
      <c r="BF187" s="96"/>
      <c r="BG187" s="96"/>
      <c r="BH187" s="96"/>
      <c r="BI187" s="96"/>
      <c r="BJ187" s="96"/>
      <c r="BK187" s="96"/>
      <c r="BL187" s="96"/>
      <c r="BM187" s="96"/>
      <c r="BN187" s="96"/>
      <c r="BO187" s="96"/>
      <c r="BP187" s="96"/>
      <c r="BQ187" s="96"/>
      <c r="BR187" s="96"/>
      <c r="BS187" s="96"/>
      <c r="BT187" s="96"/>
      <c r="BU187" s="96"/>
      <c r="BV187" s="96"/>
      <c r="BW187" s="96"/>
      <c r="BX187" s="96"/>
      <c r="BY187" s="96"/>
      <c r="BZ187" s="96"/>
      <c r="CA187" s="96"/>
      <c r="CB187" s="96"/>
      <c r="CC187" s="96"/>
      <c r="CD187" s="96"/>
      <c r="CE187" s="96"/>
    </row>
    <row r="188" spans="1:83" x14ac:dyDescent="0.2">
      <c r="A188" s="96"/>
      <c r="B188" s="96"/>
      <c r="C188" s="96"/>
      <c r="D188" s="96"/>
      <c r="E188" s="96"/>
      <c r="F188" s="96"/>
      <c r="G188" s="96"/>
      <c r="H188" s="96"/>
      <c r="I188" s="96"/>
      <c r="J188" s="96"/>
      <c r="K188" s="96"/>
      <c r="L188" s="96"/>
      <c r="M188" s="96"/>
      <c r="N188" s="96"/>
      <c r="O188" s="96"/>
      <c r="P188" s="96"/>
      <c r="Q188" s="96"/>
      <c r="R188" s="96"/>
      <c r="S188" s="96"/>
      <c r="T188" s="96"/>
      <c r="U188" s="96"/>
      <c r="V188" s="96"/>
      <c r="W188" s="96"/>
      <c r="X188" s="96"/>
      <c r="Y188" s="96"/>
      <c r="Z188" s="96"/>
      <c r="AA188" s="96"/>
      <c r="AB188" s="96"/>
      <c r="AC188" s="96"/>
      <c r="AD188" s="96"/>
      <c r="AE188" s="96"/>
      <c r="AF188" s="96"/>
      <c r="AG188" s="96"/>
      <c r="AH188" s="96"/>
      <c r="AI188" s="96"/>
      <c r="AJ188" s="96"/>
      <c r="AK188" s="96"/>
      <c r="AL188" s="96"/>
      <c r="AM188" s="96"/>
      <c r="AN188" s="96"/>
      <c r="AO188" s="96"/>
      <c r="AP188" s="96"/>
      <c r="AQ188" s="96"/>
      <c r="AR188" s="96"/>
      <c r="AS188" s="96"/>
      <c r="AT188" s="96"/>
      <c r="AU188" s="96"/>
      <c r="AV188" s="96"/>
      <c r="AW188" s="96"/>
      <c r="AX188" s="96"/>
      <c r="AY188" s="96"/>
      <c r="AZ188" s="96"/>
      <c r="BA188" s="96"/>
      <c r="BB188" s="96"/>
      <c r="BC188" s="96"/>
      <c r="BD188" s="96"/>
      <c r="BE188" s="96"/>
      <c r="BF188" s="96"/>
      <c r="BG188" s="96"/>
      <c r="BH188" s="96"/>
      <c r="BI188" s="96"/>
      <c r="BJ188" s="96"/>
      <c r="BK188" s="96"/>
      <c r="BL188" s="96"/>
      <c r="BM188" s="96"/>
      <c r="BN188" s="96"/>
      <c r="BO188" s="96"/>
      <c r="BP188" s="96"/>
      <c r="BQ188" s="96"/>
      <c r="BR188" s="96"/>
      <c r="BS188" s="96"/>
      <c r="BT188" s="96"/>
      <c r="BU188" s="96"/>
      <c r="BV188" s="96"/>
      <c r="BW188" s="96"/>
      <c r="BX188" s="96"/>
      <c r="BY188" s="96"/>
      <c r="BZ188" s="96"/>
      <c r="CA188" s="96"/>
      <c r="CB188" s="96"/>
      <c r="CC188" s="96"/>
      <c r="CD188" s="96"/>
      <c r="CE188" s="96"/>
    </row>
    <row r="189" spans="1:83" x14ac:dyDescent="0.2">
      <c r="A189" s="96"/>
      <c r="B189" s="96"/>
      <c r="C189" s="96"/>
      <c r="D189" s="96"/>
      <c r="E189" s="96"/>
      <c r="F189" s="96"/>
      <c r="G189" s="96"/>
      <c r="H189" s="96"/>
      <c r="I189" s="96"/>
      <c r="J189" s="96"/>
      <c r="K189" s="96"/>
      <c r="L189" s="96"/>
      <c r="M189" s="96"/>
      <c r="N189" s="96"/>
      <c r="O189" s="96"/>
      <c r="P189" s="96"/>
      <c r="Q189" s="96"/>
      <c r="R189" s="96"/>
      <c r="S189" s="96"/>
      <c r="T189" s="96"/>
      <c r="U189" s="96"/>
      <c r="V189" s="96"/>
      <c r="W189" s="96"/>
      <c r="X189" s="96"/>
      <c r="Y189" s="96"/>
      <c r="Z189" s="96"/>
      <c r="AA189" s="96"/>
      <c r="AB189" s="96"/>
      <c r="AC189" s="96"/>
      <c r="AD189" s="96"/>
      <c r="AE189" s="96"/>
      <c r="AF189" s="96"/>
      <c r="AG189" s="96"/>
      <c r="AH189" s="96"/>
      <c r="AI189" s="96"/>
      <c r="AJ189" s="96"/>
      <c r="AK189" s="96"/>
      <c r="AL189" s="96"/>
      <c r="AM189" s="96"/>
      <c r="AN189" s="96"/>
      <c r="AO189" s="96"/>
      <c r="AP189" s="96"/>
      <c r="AQ189" s="96"/>
      <c r="AR189" s="96"/>
      <c r="AS189" s="96"/>
      <c r="AT189" s="96"/>
      <c r="AU189" s="96"/>
      <c r="AV189" s="96"/>
      <c r="AW189" s="96"/>
      <c r="AX189" s="96"/>
      <c r="AY189" s="96"/>
      <c r="AZ189" s="96"/>
      <c r="BA189" s="96"/>
      <c r="BB189" s="96"/>
      <c r="BC189" s="96"/>
      <c r="BD189" s="96"/>
      <c r="BE189" s="96"/>
      <c r="BF189" s="96"/>
      <c r="BG189" s="96"/>
      <c r="BH189" s="96"/>
      <c r="BI189" s="96"/>
      <c r="BJ189" s="96"/>
      <c r="BK189" s="96"/>
      <c r="BL189" s="96"/>
      <c r="BM189" s="96"/>
      <c r="BN189" s="96"/>
      <c r="BO189" s="96"/>
      <c r="BP189" s="96"/>
      <c r="BQ189" s="96"/>
      <c r="BR189" s="96"/>
      <c r="BS189" s="96"/>
      <c r="BT189" s="96"/>
      <c r="BU189" s="96"/>
      <c r="BV189" s="96"/>
      <c r="BW189" s="96"/>
      <c r="BX189" s="96"/>
      <c r="BY189" s="96"/>
      <c r="BZ189" s="96"/>
      <c r="CA189" s="96"/>
      <c r="CB189" s="96"/>
      <c r="CC189" s="96"/>
      <c r="CD189" s="96"/>
      <c r="CE189" s="96"/>
    </row>
    <row r="190" spans="1:83" x14ac:dyDescent="0.2">
      <c r="A190" s="96"/>
      <c r="B190" s="96"/>
      <c r="C190" s="96"/>
      <c r="D190" s="96"/>
      <c r="E190" s="96"/>
      <c r="F190" s="96"/>
      <c r="G190" s="96"/>
      <c r="H190" s="96"/>
      <c r="I190" s="96"/>
      <c r="J190" s="96"/>
      <c r="K190" s="96"/>
      <c r="L190" s="96"/>
      <c r="M190" s="96"/>
      <c r="N190" s="96"/>
      <c r="O190" s="96"/>
      <c r="P190" s="96"/>
      <c r="Q190" s="96"/>
      <c r="R190" s="96"/>
      <c r="S190" s="96"/>
      <c r="T190" s="96"/>
      <c r="U190" s="96"/>
      <c r="V190" s="96"/>
      <c r="W190" s="96"/>
      <c r="X190" s="96"/>
      <c r="Y190" s="96"/>
      <c r="Z190" s="96"/>
      <c r="AA190" s="96"/>
      <c r="AB190" s="96"/>
      <c r="AC190" s="96"/>
      <c r="AD190" s="96"/>
      <c r="AE190" s="96"/>
      <c r="AF190" s="96"/>
      <c r="AG190" s="96"/>
      <c r="AH190" s="96"/>
      <c r="AI190" s="96"/>
      <c r="AJ190" s="96"/>
      <c r="AK190" s="96"/>
      <c r="AL190" s="96"/>
      <c r="AM190" s="96"/>
      <c r="AN190" s="96"/>
      <c r="AO190" s="96"/>
      <c r="AP190" s="96"/>
      <c r="AQ190" s="96"/>
      <c r="AR190" s="96"/>
      <c r="AS190" s="96"/>
      <c r="AT190" s="96"/>
      <c r="AU190" s="96"/>
      <c r="AV190" s="96"/>
      <c r="AW190" s="96"/>
      <c r="AX190" s="96"/>
      <c r="AY190" s="96"/>
      <c r="AZ190" s="96"/>
      <c r="BA190" s="96"/>
      <c r="BB190" s="96"/>
      <c r="BC190" s="96"/>
      <c r="BD190" s="96"/>
      <c r="BE190" s="96"/>
      <c r="BF190" s="96"/>
      <c r="BG190" s="96"/>
      <c r="BH190" s="96"/>
      <c r="BI190" s="96"/>
      <c r="BJ190" s="96"/>
      <c r="BK190" s="96"/>
      <c r="BL190" s="96"/>
      <c r="BM190" s="96"/>
      <c r="BN190" s="96"/>
      <c r="BO190" s="96"/>
      <c r="BP190" s="96"/>
      <c r="BQ190" s="96"/>
      <c r="BR190" s="96"/>
      <c r="BS190" s="96"/>
      <c r="BT190" s="96"/>
      <c r="BU190" s="96"/>
      <c r="BV190" s="96"/>
      <c r="BW190" s="96"/>
      <c r="BX190" s="96"/>
      <c r="BY190" s="96"/>
      <c r="BZ190" s="96"/>
      <c r="CA190" s="96"/>
      <c r="CB190" s="96"/>
      <c r="CC190" s="96"/>
      <c r="CD190" s="96"/>
      <c r="CE190" s="96"/>
    </row>
    <row r="191" spans="1:83" x14ac:dyDescent="0.2">
      <c r="A191" s="96"/>
      <c r="B191" s="96"/>
      <c r="C191" s="96"/>
      <c r="D191" s="96"/>
      <c r="E191" s="96"/>
      <c r="F191" s="96"/>
      <c r="G191" s="96"/>
      <c r="H191" s="96"/>
      <c r="I191" s="96"/>
      <c r="J191" s="96"/>
      <c r="K191" s="96"/>
      <c r="L191" s="96"/>
      <c r="M191" s="96"/>
      <c r="N191" s="96"/>
      <c r="O191" s="96"/>
      <c r="P191" s="96"/>
      <c r="Q191" s="96"/>
      <c r="R191" s="96"/>
      <c r="S191" s="96"/>
      <c r="T191" s="96"/>
      <c r="U191" s="96"/>
      <c r="V191" s="96"/>
      <c r="W191" s="96"/>
      <c r="X191" s="96"/>
      <c r="Y191" s="96"/>
      <c r="Z191" s="96"/>
      <c r="AA191" s="96"/>
      <c r="AB191" s="96"/>
      <c r="AC191" s="96"/>
      <c r="AD191" s="96"/>
      <c r="AE191" s="96"/>
      <c r="AF191" s="96"/>
      <c r="AG191" s="96"/>
      <c r="AH191" s="96"/>
      <c r="AI191" s="96"/>
      <c r="AJ191" s="96"/>
      <c r="AK191" s="96"/>
      <c r="AL191" s="96"/>
      <c r="AM191" s="96"/>
      <c r="AN191" s="96"/>
      <c r="AO191" s="96"/>
      <c r="AP191" s="96"/>
      <c r="AQ191" s="96"/>
      <c r="AR191" s="96"/>
      <c r="AS191" s="96"/>
      <c r="AT191" s="96"/>
      <c r="AU191" s="96"/>
      <c r="AV191" s="96"/>
      <c r="AW191" s="96"/>
      <c r="AX191" s="96"/>
      <c r="AY191" s="96"/>
      <c r="AZ191" s="96"/>
      <c r="BA191" s="96"/>
      <c r="BB191" s="96"/>
      <c r="BC191" s="96"/>
      <c r="BD191" s="96"/>
      <c r="BE191" s="96"/>
      <c r="BF191" s="96"/>
      <c r="BG191" s="96"/>
      <c r="BH191" s="96"/>
      <c r="BI191" s="96"/>
      <c r="BJ191" s="96"/>
      <c r="BK191" s="96"/>
      <c r="BL191" s="96"/>
      <c r="BM191" s="96"/>
      <c r="BN191" s="96"/>
      <c r="BO191" s="96"/>
      <c r="BP191" s="96"/>
      <c r="BQ191" s="96"/>
      <c r="BR191" s="96"/>
      <c r="BS191" s="96"/>
      <c r="BT191" s="96"/>
      <c r="BU191" s="96"/>
      <c r="BV191" s="96"/>
      <c r="BW191" s="96"/>
      <c r="BX191" s="96"/>
      <c r="BY191" s="96"/>
      <c r="BZ191" s="96"/>
      <c r="CA191" s="96"/>
      <c r="CB191" s="96"/>
      <c r="CC191" s="96"/>
      <c r="CD191" s="96"/>
      <c r="CE191" s="96"/>
    </row>
    <row r="192" spans="1:83" x14ac:dyDescent="0.2">
      <c r="A192" s="96"/>
      <c r="B192" s="96"/>
      <c r="C192" s="96"/>
      <c r="D192" s="96"/>
      <c r="E192" s="96"/>
      <c r="F192" s="96"/>
      <c r="G192" s="96"/>
      <c r="H192" s="96"/>
      <c r="I192" s="96"/>
      <c r="J192" s="96"/>
      <c r="K192" s="96"/>
      <c r="L192" s="96"/>
      <c r="M192" s="96"/>
      <c r="N192" s="96"/>
      <c r="O192" s="96"/>
      <c r="P192" s="96"/>
      <c r="Q192" s="96"/>
      <c r="R192" s="96"/>
      <c r="S192" s="96"/>
      <c r="T192" s="96"/>
      <c r="U192" s="96"/>
      <c r="V192" s="96"/>
      <c r="W192" s="96"/>
      <c r="X192" s="96"/>
      <c r="Y192" s="96"/>
      <c r="Z192" s="96"/>
      <c r="AA192" s="96"/>
      <c r="AB192" s="96"/>
      <c r="AC192" s="96"/>
      <c r="AD192" s="96"/>
      <c r="AE192" s="96"/>
      <c r="AF192" s="96"/>
      <c r="AG192" s="96"/>
      <c r="AH192" s="96"/>
      <c r="AI192" s="96"/>
      <c r="AJ192" s="96"/>
      <c r="AK192" s="96"/>
      <c r="AL192" s="96"/>
      <c r="AM192" s="96"/>
      <c r="AN192" s="96"/>
      <c r="AO192" s="96"/>
      <c r="AP192" s="96"/>
      <c r="AQ192" s="96"/>
      <c r="AR192" s="96"/>
      <c r="AS192" s="96"/>
      <c r="AT192" s="96"/>
      <c r="AU192" s="96"/>
      <c r="AV192" s="96"/>
      <c r="AW192" s="96"/>
      <c r="AX192" s="96"/>
      <c r="AY192" s="96"/>
      <c r="AZ192" s="96"/>
      <c r="BA192" s="96"/>
      <c r="BB192" s="96"/>
      <c r="BC192" s="96"/>
      <c r="BD192" s="96"/>
      <c r="BE192" s="96"/>
      <c r="BF192" s="96"/>
      <c r="BG192" s="96"/>
      <c r="BH192" s="96"/>
      <c r="BI192" s="96"/>
      <c r="BJ192" s="96"/>
      <c r="BK192" s="96"/>
      <c r="BL192" s="96"/>
      <c r="BM192" s="96"/>
      <c r="BN192" s="96"/>
      <c r="BO192" s="96"/>
      <c r="BP192" s="96"/>
      <c r="BQ192" s="96"/>
      <c r="BR192" s="96"/>
      <c r="BS192" s="96"/>
      <c r="BT192" s="96"/>
      <c r="BU192" s="96"/>
      <c r="BV192" s="96"/>
      <c r="BW192" s="96"/>
      <c r="BX192" s="96"/>
      <c r="BY192" s="96"/>
      <c r="BZ192" s="96"/>
      <c r="CA192" s="96"/>
      <c r="CB192" s="96"/>
      <c r="CC192" s="96"/>
      <c r="CD192" s="96"/>
      <c r="CE192" s="96"/>
    </row>
    <row r="193" spans="1:83" x14ac:dyDescent="0.2">
      <c r="A193" s="96"/>
      <c r="B193" s="96"/>
      <c r="C193" s="96"/>
      <c r="D193" s="96"/>
      <c r="E193" s="96"/>
      <c r="F193" s="96"/>
      <c r="G193" s="96"/>
      <c r="H193" s="96"/>
      <c r="I193" s="96"/>
      <c r="J193" s="96"/>
      <c r="K193" s="96"/>
      <c r="L193" s="96"/>
      <c r="M193" s="96"/>
      <c r="N193" s="96"/>
      <c r="O193" s="96"/>
      <c r="P193" s="96"/>
      <c r="Q193" s="96"/>
      <c r="R193" s="96"/>
      <c r="S193" s="96"/>
      <c r="T193" s="96"/>
      <c r="U193" s="96"/>
      <c r="V193" s="96"/>
      <c r="W193" s="96"/>
      <c r="X193" s="96"/>
      <c r="Y193" s="96"/>
      <c r="Z193" s="96"/>
      <c r="AA193" s="96"/>
      <c r="AB193" s="96"/>
      <c r="AC193" s="96"/>
      <c r="AD193" s="96"/>
      <c r="AE193" s="96"/>
      <c r="AF193" s="96"/>
      <c r="AG193" s="96"/>
      <c r="AH193" s="96"/>
      <c r="AI193" s="96"/>
      <c r="AJ193" s="96"/>
      <c r="AK193" s="96"/>
      <c r="AL193" s="96"/>
      <c r="AM193" s="96"/>
      <c r="AN193" s="96"/>
      <c r="AO193" s="96"/>
      <c r="AP193" s="96"/>
      <c r="AQ193" s="96"/>
      <c r="AR193" s="96"/>
      <c r="AS193" s="96"/>
      <c r="AT193" s="96"/>
      <c r="AU193" s="96"/>
      <c r="AV193" s="96"/>
      <c r="AW193" s="96"/>
      <c r="AX193" s="96"/>
      <c r="AY193" s="96"/>
      <c r="AZ193" s="96"/>
      <c r="BA193" s="96"/>
      <c r="BB193" s="96"/>
      <c r="BC193" s="96"/>
      <c r="BD193" s="96"/>
      <c r="BE193" s="96"/>
      <c r="BF193" s="96"/>
      <c r="BG193" s="96"/>
      <c r="BH193" s="96"/>
      <c r="BI193" s="96"/>
      <c r="BJ193" s="96"/>
      <c r="BK193" s="96"/>
      <c r="BL193" s="96"/>
      <c r="BM193" s="96"/>
      <c r="BN193" s="96"/>
      <c r="BO193" s="96"/>
      <c r="BP193" s="96"/>
      <c r="BQ193" s="96"/>
      <c r="BR193" s="96"/>
      <c r="BS193" s="96"/>
      <c r="BT193" s="96"/>
      <c r="BU193" s="96"/>
      <c r="BV193" s="96"/>
      <c r="BW193" s="96"/>
      <c r="BX193" s="96"/>
      <c r="BY193" s="96"/>
      <c r="BZ193" s="96"/>
      <c r="CA193" s="96"/>
      <c r="CB193" s="96"/>
      <c r="CC193" s="96"/>
      <c r="CD193" s="96"/>
      <c r="CE193" s="96"/>
    </row>
    <row r="194" spans="1:83" x14ac:dyDescent="0.2">
      <c r="A194" s="96"/>
      <c r="B194" s="96"/>
      <c r="C194" s="96"/>
      <c r="D194" s="96"/>
      <c r="E194" s="96"/>
      <c r="F194" s="96"/>
      <c r="G194" s="96"/>
      <c r="H194" s="96"/>
      <c r="I194" s="96"/>
      <c r="J194" s="96"/>
      <c r="K194" s="96"/>
      <c r="L194" s="96"/>
      <c r="M194" s="96"/>
      <c r="N194" s="96"/>
      <c r="O194" s="96"/>
      <c r="P194" s="96"/>
      <c r="Q194" s="96"/>
      <c r="R194" s="96"/>
      <c r="S194" s="96"/>
      <c r="T194" s="96"/>
      <c r="U194" s="96"/>
      <c r="V194" s="96"/>
      <c r="W194" s="96"/>
      <c r="X194" s="96"/>
      <c r="Y194" s="96"/>
      <c r="Z194" s="96"/>
      <c r="AA194" s="96"/>
      <c r="AB194" s="96"/>
      <c r="AC194" s="96"/>
      <c r="AD194" s="96"/>
      <c r="AE194" s="96"/>
      <c r="AF194" s="96"/>
      <c r="AG194" s="96"/>
      <c r="AH194" s="96"/>
      <c r="AI194" s="96"/>
      <c r="AJ194" s="96"/>
      <c r="AK194" s="96"/>
      <c r="AL194" s="96"/>
      <c r="AM194" s="96"/>
      <c r="AN194" s="96"/>
      <c r="AO194" s="96"/>
      <c r="AP194" s="96"/>
      <c r="AQ194" s="96"/>
      <c r="AR194" s="96"/>
      <c r="AS194" s="96"/>
      <c r="AT194" s="96"/>
      <c r="AU194" s="96"/>
      <c r="AV194" s="96"/>
      <c r="AW194" s="96"/>
      <c r="AX194" s="96"/>
      <c r="AY194" s="96"/>
      <c r="AZ194" s="96"/>
      <c r="BA194" s="96"/>
      <c r="BB194" s="96"/>
      <c r="BC194" s="96"/>
      <c r="BD194" s="96"/>
      <c r="BE194" s="96"/>
      <c r="BF194" s="96"/>
      <c r="BG194" s="96"/>
      <c r="BH194" s="96"/>
      <c r="BI194" s="96"/>
      <c r="BJ194" s="96"/>
      <c r="BK194" s="96"/>
      <c r="BL194" s="96"/>
      <c r="BM194" s="96"/>
      <c r="BN194" s="96"/>
      <c r="BO194" s="96"/>
      <c r="BP194" s="96"/>
      <c r="BQ194" s="96"/>
      <c r="BR194" s="96"/>
      <c r="BS194" s="96"/>
      <c r="BT194" s="96"/>
      <c r="BU194" s="96"/>
      <c r="BV194" s="96"/>
      <c r="BW194" s="96"/>
      <c r="BX194" s="96"/>
      <c r="BY194" s="96"/>
      <c r="BZ194" s="96"/>
      <c r="CA194" s="96"/>
      <c r="CB194" s="96"/>
      <c r="CC194" s="96"/>
      <c r="CD194" s="96"/>
      <c r="CE194" s="96"/>
    </row>
    <row r="195" spans="1:83" x14ac:dyDescent="0.2">
      <c r="A195" s="96"/>
      <c r="B195" s="96"/>
      <c r="C195" s="96"/>
      <c r="D195" s="96"/>
      <c r="E195" s="96"/>
      <c r="F195" s="96"/>
      <c r="G195" s="96"/>
      <c r="H195" s="96"/>
      <c r="I195" s="96"/>
      <c r="J195" s="96"/>
      <c r="K195" s="96"/>
      <c r="L195" s="96"/>
      <c r="M195" s="96"/>
      <c r="N195" s="96"/>
      <c r="O195" s="96"/>
      <c r="P195" s="96"/>
      <c r="Q195" s="96"/>
      <c r="R195" s="96"/>
      <c r="S195" s="96"/>
      <c r="T195" s="96"/>
      <c r="U195" s="96"/>
      <c r="V195" s="96"/>
      <c r="W195" s="96"/>
      <c r="X195" s="96"/>
      <c r="Y195" s="96"/>
      <c r="Z195" s="96"/>
      <c r="AA195" s="96"/>
      <c r="AB195" s="96"/>
      <c r="AC195" s="96"/>
      <c r="AD195" s="96"/>
      <c r="AE195" s="96"/>
      <c r="AF195" s="96"/>
      <c r="AG195" s="96"/>
      <c r="AH195" s="96"/>
      <c r="AI195" s="96"/>
      <c r="AJ195" s="96"/>
      <c r="AK195" s="96"/>
      <c r="AL195" s="96"/>
      <c r="AM195" s="96"/>
      <c r="AN195" s="96"/>
      <c r="AO195" s="96"/>
      <c r="AP195" s="96"/>
      <c r="AQ195" s="96"/>
      <c r="AR195" s="96"/>
      <c r="AS195" s="96"/>
      <c r="AT195" s="96"/>
      <c r="AU195" s="96"/>
      <c r="AV195" s="96"/>
      <c r="AW195" s="96"/>
      <c r="AX195" s="96"/>
      <c r="AY195" s="96"/>
      <c r="AZ195" s="96"/>
      <c r="BA195" s="96"/>
      <c r="BB195" s="96"/>
      <c r="BC195" s="96"/>
      <c r="BD195" s="96"/>
      <c r="BE195" s="96"/>
      <c r="BF195" s="96"/>
      <c r="BG195" s="96"/>
      <c r="BH195" s="96"/>
      <c r="BI195" s="96"/>
      <c r="BJ195" s="96"/>
      <c r="BK195" s="96"/>
      <c r="BL195" s="96"/>
      <c r="BM195" s="96"/>
      <c r="BN195" s="96"/>
      <c r="BO195" s="96"/>
      <c r="BP195" s="96"/>
      <c r="BQ195" s="96"/>
      <c r="BR195" s="96"/>
      <c r="BS195" s="96"/>
      <c r="BT195" s="96"/>
      <c r="BU195" s="96"/>
      <c r="BV195" s="96"/>
      <c r="BW195" s="96"/>
      <c r="BX195" s="96"/>
      <c r="BY195" s="96"/>
      <c r="BZ195" s="96"/>
      <c r="CA195" s="96"/>
      <c r="CB195" s="96"/>
      <c r="CC195" s="96"/>
      <c r="CD195" s="96"/>
      <c r="CE195" s="96"/>
    </row>
    <row r="196" spans="1:83" x14ac:dyDescent="0.2">
      <c r="A196" s="96"/>
      <c r="B196" s="96"/>
      <c r="C196" s="96"/>
      <c r="D196" s="96"/>
      <c r="E196" s="96"/>
      <c r="F196" s="96"/>
      <c r="G196" s="96"/>
      <c r="H196" s="96"/>
      <c r="I196" s="96"/>
      <c r="J196" s="96"/>
      <c r="K196" s="96"/>
      <c r="L196" s="96"/>
      <c r="M196" s="96"/>
      <c r="N196" s="96"/>
      <c r="O196" s="96"/>
      <c r="P196" s="96"/>
      <c r="Q196" s="96"/>
      <c r="R196" s="96"/>
      <c r="S196" s="96"/>
      <c r="T196" s="96"/>
      <c r="U196" s="96"/>
      <c r="V196" s="96"/>
      <c r="W196" s="96"/>
      <c r="X196" s="96"/>
      <c r="Y196" s="96"/>
      <c r="Z196" s="96"/>
      <c r="AA196" s="96"/>
      <c r="AB196" s="96"/>
      <c r="AC196" s="96"/>
      <c r="AD196" s="96"/>
      <c r="AE196" s="96"/>
      <c r="AF196" s="96"/>
      <c r="AG196" s="96"/>
      <c r="AH196" s="96"/>
      <c r="AI196" s="96"/>
      <c r="AJ196" s="96"/>
      <c r="AK196" s="96"/>
      <c r="AL196" s="96"/>
      <c r="AM196" s="96"/>
      <c r="AN196" s="96"/>
      <c r="AO196" s="96"/>
      <c r="AP196" s="96"/>
      <c r="AQ196" s="96"/>
      <c r="AR196" s="96"/>
      <c r="AS196" s="96"/>
      <c r="AT196" s="96"/>
      <c r="AU196" s="96"/>
      <c r="AV196" s="96"/>
      <c r="AW196" s="96"/>
      <c r="AX196" s="96"/>
      <c r="AY196" s="96"/>
      <c r="AZ196" s="96"/>
      <c r="BA196" s="96"/>
      <c r="BB196" s="96"/>
      <c r="BC196" s="96"/>
      <c r="BD196" s="96"/>
      <c r="BE196" s="96"/>
      <c r="BF196" s="96"/>
      <c r="BG196" s="96"/>
      <c r="BH196" s="96"/>
      <c r="BI196" s="96"/>
      <c r="BJ196" s="96"/>
      <c r="BK196" s="96"/>
      <c r="BL196" s="96"/>
      <c r="BM196" s="96"/>
      <c r="BN196" s="96"/>
      <c r="BO196" s="96"/>
      <c r="BP196" s="96"/>
      <c r="BQ196" s="96"/>
      <c r="BR196" s="96"/>
      <c r="BS196" s="96"/>
      <c r="BT196" s="96"/>
      <c r="BU196" s="96"/>
      <c r="BV196" s="96"/>
      <c r="BW196" s="96"/>
      <c r="BX196" s="96"/>
      <c r="BY196" s="96"/>
      <c r="BZ196" s="96"/>
      <c r="CA196" s="96"/>
      <c r="CB196" s="96"/>
      <c r="CC196" s="96"/>
      <c r="CD196" s="96"/>
      <c r="CE196" s="96"/>
    </row>
    <row r="197" spans="1:83" x14ac:dyDescent="0.2">
      <c r="A197" s="96"/>
      <c r="B197" s="96"/>
      <c r="C197" s="96"/>
      <c r="D197" s="96"/>
      <c r="E197" s="96"/>
      <c r="F197" s="96"/>
      <c r="G197" s="96"/>
      <c r="H197" s="96"/>
      <c r="I197" s="96"/>
      <c r="J197" s="96"/>
      <c r="K197" s="96"/>
      <c r="L197" s="96"/>
      <c r="M197" s="96"/>
      <c r="N197" s="96"/>
      <c r="O197" s="96"/>
      <c r="P197" s="96"/>
      <c r="Q197" s="96"/>
      <c r="R197" s="96"/>
      <c r="S197" s="96"/>
      <c r="T197" s="96"/>
      <c r="U197" s="96"/>
      <c r="V197" s="96"/>
      <c r="W197" s="96"/>
      <c r="X197" s="96"/>
      <c r="Y197" s="96"/>
      <c r="Z197" s="96"/>
      <c r="AA197" s="96"/>
      <c r="AB197" s="96"/>
      <c r="AC197" s="96"/>
      <c r="AD197" s="96"/>
      <c r="AE197" s="96"/>
      <c r="AF197" s="96"/>
      <c r="AG197" s="96"/>
      <c r="AH197" s="96"/>
      <c r="AI197" s="96"/>
      <c r="AJ197" s="96"/>
      <c r="AK197" s="96"/>
      <c r="AL197" s="96"/>
      <c r="AM197" s="96"/>
      <c r="AN197" s="96"/>
      <c r="AO197" s="96"/>
      <c r="AP197" s="96"/>
      <c r="AQ197" s="96"/>
      <c r="AR197" s="96"/>
      <c r="AS197" s="96"/>
      <c r="AT197" s="96"/>
      <c r="AU197" s="96"/>
      <c r="AV197" s="96"/>
      <c r="AW197" s="96"/>
      <c r="AX197" s="96"/>
      <c r="AY197" s="96"/>
      <c r="AZ197" s="96"/>
      <c r="BA197" s="96"/>
      <c r="BB197" s="96"/>
      <c r="BC197" s="96"/>
      <c r="BD197" s="96"/>
      <c r="BE197" s="96"/>
      <c r="BF197" s="96"/>
      <c r="BG197" s="96"/>
      <c r="BH197" s="96"/>
      <c r="BI197" s="96"/>
      <c r="BJ197" s="96"/>
      <c r="BK197" s="96"/>
      <c r="BL197" s="96"/>
      <c r="BM197" s="96"/>
      <c r="BN197" s="96"/>
      <c r="BO197" s="96"/>
      <c r="BP197" s="96"/>
      <c r="BQ197" s="96"/>
      <c r="BR197" s="96"/>
      <c r="BS197" s="96"/>
      <c r="BT197" s="96"/>
      <c r="BU197" s="96"/>
      <c r="BV197" s="96"/>
      <c r="BW197" s="96"/>
      <c r="BX197" s="96"/>
      <c r="BY197" s="96"/>
      <c r="BZ197" s="96"/>
      <c r="CA197" s="96"/>
      <c r="CB197" s="96"/>
      <c r="CC197" s="96"/>
      <c r="CD197" s="96"/>
      <c r="CE197" s="96"/>
    </row>
    <row r="198" spans="1:83" x14ac:dyDescent="0.2">
      <c r="A198" s="96"/>
      <c r="B198" s="96"/>
      <c r="C198" s="96"/>
      <c r="D198" s="96"/>
      <c r="E198" s="96"/>
      <c r="F198" s="96"/>
      <c r="G198" s="96"/>
      <c r="H198" s="96"/>
      <c r="I198" s="96"/>
      <c r="J198" s="96"/>
      <c r="K198" s="96"/>
      <c r="L198" s="96"/>
      <c r="M198" s="96"/>
      <c r="N198" s="96"/>
      <c r="O198" s="96"/>
      <c r="P198" s="96"/>
      <c r="Q198" s="96"/>
      <c r="R198" s="96"/>
      <c r="S198" s="96"/>
      <c r="T198" s="96"/>
      <c r="U198" s="96"/>
      <c r="V198" s="96"/>
      <c r="W198" s="96"/>
      <c r="X198" s="96"/>
      <c r="Y198" s="96"/>
      <c r="Z198" s="96"/>
      <c r="AA198" s="96"/>
      <c r="AB198" s="96"/>
      <c r="AC198" s="96"/>
      <c r="AD198" s="96"/>
      <c r="AE198" s="96"/>
      <c r="AF198" s="96"/>
      <c r="AG198" s="96"/>
      <c r="AH198" s="96"/>
      <c r="AI198" s="96"/>
      <c r="AJ198" s="96"/>
      <c r="AK198" s="96"/>
      <c r="AL198" s="96"/>
      <c r="AM198" s="96"/>
      <c r="AN198" s="96"/>
      <c r="AO198" s="96"/>
      <c r="AP198" s="96"/>
      <c r="AQ198" s="96"/>
      <c r="AR198" s="96"/>
      <c r="AS198" s="96"/>
      <c r="AT198" s="96"/>
      <c r="AU198" s="96"/>
      <c r="AV198" s="96"/>
      <c r="AW198" s="96"/>
      <c r="AX198" s="96"/>
      <c r="AY198" s="96"/>
      <c r="AZ198" s="96"/>
      <c r="BA198" s="96"/>
      <c r="BB198" s="96"/>
      <c r="BC198" s="96"/>
      <c r="BD198" s="96"/>
      <c r="BE198" s="96"/>
      <c r="BF198" s="96"/>
      <c r="BG198" s="96"/>
      <c r="BH198" s="96"/>
      <c r="BI198" s="96"/>
      <c r="BJ198" s="96"/>
      <c r="BK198" s="96"/>
      <c r="BL198" s="96"/>
      <c r="BM198" s="96"/>
      <c r="BN198" s="96"/>
      <c r="BO198" s="96"/>
      <c r="BP198" s="96"/>
      <c r="BQ198" s="96"/>
      <c r="BR198" s="96"/>
      <c r="BS198" s="96"/>
      <c r="BT198" s="96"/>
      <c r="BU198" s="96"/>
      <c r="BV198" s="96"/>
      <c r="BW198" s="96"/>
      <c r="BX198" s="96"/>
      <c r="BY198" s="96"/>
      <c r="BZ198" s="96"/>
      <c r="CA198" s="96"/>
      <c r="CB198" s="96"/>
      <c r="CC198" s="96"/>
      <c r="CD198" s="96"/>
      <c r="CE198" s="96"/>
    </row>
    <row r="199" spans="1:83" x14ac:dyDescent="0.2">
      <c r="A199" s="96"/>
      <c r="B199" s="96"/>
      <c r="C199" s="96"/>
      <c r="D199" s="96"/>
      <c r="E199" s="96"/>
      <c r="F199" s="96"/>
      <c r="G199" s="96"/>
      <c r="H199" s="96"/>
      <c r="I199" s="96"/>
      <c r="J199" s="96"/>
      <c r="K199" s="96"/>
      <c r="L199" s="96"/>
      <c r="M199" s="96"/>
      <c r="N199" s="96"/>
      <c r="O199" s="96"/>
      <c r="P199" s="96"/>
      <c r="Q199" s="96"/>
      <c r="R199" s="96"/>
      <c r="S199" s="96"/>
      <c r="T199" s="96"/>
      <c r="U199" s="96"/>
      <c r="V199" s="96"/>
      <c r="W199" s="96"/>
      <c r="X199" s="96"/>
      <c r="Y199" s="96"/>
      <c r="Z199" s="96"/>
      <c r="AA199" s="96"/>
      <c r="AB199" s="96"/>
      <c r="AC199" s="96"/>
      <c r="AD199" s="96"/>
      <c r="AE199" s="96"/>
      <c r="AF199" s="96"/>
      <c r="AG199" s="96"/>
      <c r="AH199" s="96"/>
      <c r="AI199" s="96"/>
      <c r="AJ199" s="96"/>
      <c r="AK199" s="96"/>
      <c r="AL199" s="96"/>
      <c r="AM199" s="96"/>
      <c r="AN199" s="96"/>
      <c r="AO199" s="96"/>
      <c r="AP199" s="96"/>
      <c r="AQ199" s="96"/>
      <c r="AR199" s="96"/>
      <c r="AS199" s="96"/>
      <c r="AT199" s="96"/>
      <c r="AU199" s="96"/>
      <c r="AV199" s="96"/>
      <c r="AW199" s="96"/>
      <c r="AX199" s="96"/>
      <c r="AY199" s="96"/>
      <c r="AZ199" s="96"/>
      <c r="BA199" s="96"/>
      <c r="BB199" s="96"/>
      <c r="BC199" s="96"/>
      <c r="BD199" s="96"/>
      <c r="BE199" s="96"/>
      <c r="BF199" s="96"/>
      <c r="BG199" s="96"/>
      <c r="BH199" s="96"/>
      <c r="BI199" s="96"/>
      <c r="BJ199" s="96"/>
      <c r="BK199" s="96"/>
      <c r="BL199" s="96"/>
      <c r="BM199" s="96"/>
      <c r="BN199" s="96"/>
      <c r="BO199" s="96"/>
      <c r="BP199" s="96"/>
      <c r="BQ199" s="96"/>
      <c r="BR199" s="96"/>
      <c r="BS199" s="96"/>
      <c r="BT199" s="96"/>
      <c r="BU199" s="96"/>
      <c r="BV199" s="96"/>
      <c r="BW199" s="96"/>
      <c r="BX199" s="96"/>
      <c r="BY199" s="96"/>
      <c r="BZ199" s="96"/>
      <c r="CA199" s="96"/>
      <c r="CB199" s="96"/>
      <c r="CC199" s="96"/>
      <c r="CD199" s="96"/>
      <c r="CE199" s="96"/>
    </row>
    <row r="200" spans="1:83" x14ac:dyDescent="0.2">
      <c r="A200" s="96"/>
      <c r="B200" s="96"/>
      <c r="C200" s="96"/>
      <c r="D200" s="96"/>
      <c r="E200" s="96"/>
      <c r="F200" s="96"/>
      <c r="G200" s="96"/>
      <c r="H200" s="96"/>
      <c r="I200" s="96"/>
      <c r="J200" s="96"/>
      <c r="K200" s="96"/>
      <c r="L200" s="96"/>
      <c r="M200" s="96"/>
      <c r="N200" s="96"/>
      <c r="O200" s="96"/>
      <c r="P200" s="96"/>
      <c r="Q200" s="96"/>
      <c r="R200" s="96"/>
      <c r="S200" s="96"/>
      <c r="T200" s="96"/>
      <c r="U200" s="96"/>
      <c r="V200" s="96"/>
      <c r="W200" s="96"/>
      <c r="X200" s="96"/>
      <c r="Y200" s="96"/>
      <c r="Z200" s="96"/>
      <c r="AA200" s="96"/>
      <c r="AB200" s="96"/>
      <c r="AC200" s="96"/>
      <c r="AD200" s="96"/>
      <c r="AE200" s="96"/>
      <c r="AF200" s="96"/>
      <c r="AG200" s="96"/>
      <c r="AH200" s="96"/>
      <c r="AI200" s="96"/>
      <c r="AJ200" s="96"/>
      <c r="AK200" s="96"/>
      <c r="AL200" s="96"/>
      <c r="AM200" s="96"/>
      <c r="AN200" s="96"/>
      <c r="AO200" s="96"/>
      <c r="AP200" s="96"/>
      <c r="AQ200" s="96"/>
      <c r="AR200" s="96"/>
      <c r="AS200" s="96"/>
      <c r="AT200" s="96"/>
      <c r="AU200" s="96"/>
      <c r="AV200" s="96"/>
      <c r="AW200" s="96"/>
      <c r="AX200" s="96"/>
      <c r="AY200" s="96"/>
      <c r="AZ200" s="96"/>
      <c r="BA200" s="96"/>
      <c r="BB200" s="96"/>
      <c r="BC200" s="96"/>
      <c r="BD200" s="96"/>
      <c r="BE200" s="96"/>
      <c r="BF200" s="96"/>
      <c r="BG200" s="96"/>
      <c r="BH200" s="96"/>
      <c r="BI200" s="96"/>
      <c r="BJ200" s="96"/>
      <c r="BK200" s="96"/>
      <c r="BL200" s="96"/>
      <c r="BM200" s="96"/>
      <c r="BN200" s="96"/>
      <c r="BO200" s="96"/>
      <c r="BP200" s="96"/>
      <c r="BQ200" s="96"/>
      <c r="BR200" s="96"/>
      <c r="BS200" s="96"/>
      <c r="BT200" s="96"/>
      <c r="BU200" s="96"/>
      <c r="BV200" s="96"/>
      <c r="BW200" s="96"/>
      <c r="BX200" s="96"/>
      <c r="BY200" s="96"/>
      <c r="BZ200" s="96"/>
      <c r="CA200" s="96"/>
      <c r="CB200" s="96"/>
      <c r="CC200" s="96"/>
      <c r="CD200" s="96"/>
      <c r="CE200" s="96"/>
    </row>
    <row r="201" spans="1:83" x14ac:dyDescent="0.2">
      <c r="A201" s="96"/>
      <c r="B201" s="96"/>
      <c r="C201" s="96"/>
      <c r="D201" s="96"/>
      <c r="E201" s="96"/>
      <c r="F201" s="96"/>
      <c r="G201" s="96"/>
      <c r="H201" s="96"/>
      <c r="I201" s="96"/>
      <c r="J201" s="96"/>
      <c r="K201" s="96"/>
      <c r="L201" s="96"/>
      <c r="M201" s="96"/>
      <c r="N201" s="96"/>
      <c r="O201" s="96"/>
      <c r="P201" s="96"/>
      <c r="Q201" s="96"/>
      <c r="R201" s="96"/>
      <c r="S201" s="96"/>
      <c r="T201" s="96"/>
      <c r="U201" s="96"/>
      <c r="V201" s="96"/>
      <c r="W201" s="96"/>
      <c r="X201" s="96"/>
      <c r="Y201" s="96"/>
      <c r="Z201" s="96"/>
      <c r="AA201" s="96"/>
      <c r="AB201" s="96"/>
      <c r="AC201" s="96"/>
      <c r="AD201" s="96"/>
      <c r="AE201" s="96"/>
      <c r="AF201" s="96"/>
      <c r="AG201" s="96"/>
      <c r="AH201" s="96"/>
      <c r="AI201" s="96"/>
      <c r="AJ201" s="96"/>
      <c r="AK201" s="96"/>
      <c r="AL201" s="96"/>
      <c r="AM201" s="96"/>
      <c r="AN201" s="96"/>
      <c r="AO201" s="96"/>
      <c r="AP201" s="96"/>
      <c r="AQ201" s="96"/>
      <c r="AR201" s="96"/>
      <c r="AS201" s="96"/>
      <c r="AT201" s="96"/>
      <c r="AU201" s="96"/>
      <c r="AV201" s="96"/>
      <c r="AW201" s="96"/>
      <c r="AX201" s="96"/>
      <c r="AY201" s="96"/>
      <c r="AZ201" s="96"/>
      <c r="BA201" s="96"/>
      <c r="BB201" s="96"/>
      <c r="BC201" s="96"/>
      <c r="BD201" s="96"/>
      <c r="BE201" s="96"/>
      <c r="BF201" s="96"/>
      <c r="BG201" s="96"/>
      <c r="BH201" s="96"/>
      <c r="BI201" s="96"/>
      <c r="BJ201" s="96"/>
      <c r="BK201" s="96"/>
      <c r="BL201" s="96"/>
      <c r="BM201" s="96"/>
      <c r="BN201" s="96"/>
      <c r="BO201" s="96"/>
      <c r="BP201" s="96"/>
      <c r="BQ201" s="96"/>
      <c r="BR201" s="96"/>
      <c r="BS201" s="96"/>
      <c r="BT201" s="96"/>
      <c r="BU201" s="96"/>
      <c r="BV201" s="96"/>
      <c r="BW201" s="96"/>
      <c r="BX201" s="96"/>
      <c r="BY201" s="96"/>
      <c r="BZ201" s="96"/>
      <c r="CA201" s="96"/>
      <c r="CB201" s="96"/>
      <c r="CC201" s="96"/>
      <c r="CD201" s="96"/>
      <c r="CE201" s="96"/>
    </row>
    <row r="202" spans="1:83" x14ac:dyDescent="0.2">
      <c r="A202" s="96"/>
      <c r="B202" s="96"/>
      <c r="C202" s="96"/>
      <c r="D202" s="96"/>
      <c r="E202" s="96"/>
      <c r="F202" s="96"/>
      <c r="G202" s="96"/>
      <c r="H202" s="96"/>
      <c r="I202" s="96"/>
      <c r="J202" s="96"/>
      <c r="K202" s="96"/>
      <c r="L202" s="96"/>
      <c r="M202" s="96"/>
      <c r="N202" s="96"/>
      <c r="O202" s="96"/>
      <c r="P202" s="96"/>
      <c r="Q202" s="96"/>
      <c r="R202" s="96"/>
      <c r="S202" s="96"/>
      <c r="T202" s="96"/>
      <c r="U202" s="96"/>
      <c r="V202" s="96"/>
      <c r="W202" s="96"/>
      <c r="X202" s="96"/>
      <c r="Y202" s="96"/>
      <c r="Z202" s="96"/>
      <c r="AA202" s="96"/>
      <c r="AB202" s="96"/>
      <c r="AC202" s="96"/>
      <c r="AD202" s="96"/>
      <c r="AE202" s="96"/>
      <c r="AF202" s="96"/>
      <c r="AG202" s="96"/>
      <c r="AH202" s="96"/>
      <c r="AI202" s="96"/>
      <c r="AJ202" s="96"/>
      <c r="AK202" s="96"/>
      <c r="AL202" s="96"/>
      <c r="AM202" s="96"/>
      <c r="AN202" s="96"/>
      <c r="AO202" s="96"/>
      <c r="AP202" s="96"/>
      <c r="AQ202" s="96"/>
      <c r="AR202" s="96"/>
      <c r="AS202" s="96"/>
      <c r="AT202" s="96"/>
      <c r="AU202" s="96"/>
      <c r="AV202" s="96"/>
      <c r="AW202" s="96"/>
      <c r="AX202" s="96"/>
      <c r="AY202" s="96"/>
      <c r="AZ202" s="96"/>
      <c r="BA202" s="96"/>
      <c r="BB202" s="96"/>
      <c r="BC202" s="96"/>
      <c r="BD202" s="96"/>
      <c r="BE202" s="96"/>
      <c r="BF202" s="96"/>
      <c r="BG202" s="96"/>
      <c r="BH202" s="96"/>
      <c r="BI202" s="96"/>
      <c r="BJ202" s="96"/>
      <c r="BK202" s="96"/>
      <c r="BL202" s="96"/>
      <c r="BM202" s="96"/>
      <c r="BN202" s="96"/>
      <c r="BO202" s="96"/>
      <c r="BP202" s="96"/>
      <c r="BQ202" s="96"/>
      <c r="BR202" s="96"/>
      <c r="BS202" s="96"/>
      <c r="BT202" s="96"/>
      <c r="BU202" s="96"/>
      <c r="BV202" s="96"/>
      <c r="BW202" s="96"/>
      <c r="BX202" s="96"/>
      <c r="BY202" s="96"/>
      <c r="BZ202" s="96"/>
      <c r="CA202" s="96"/>
      <c r="CB202" s="96"/>
      <c r="CC202" s="96"/>
      <c r="CD202" s="96"/>
      <c r="CE202" s="96"/>
    </row>
    <row r="203" spans="1:83" x14ac:dyDescent="0.2">
      <c r="A203" s="96"/>
      <c r="B203" s="96"/>
      <c r="C203" s="96"/>
      <c r="D203" s="96"/>
      <c r="E203" s="96"/>
      <c r="F203" s="96"/>
      <c r="G203" s="96"/>
      <c r="H203" s="96"/>
      <c r="I203" s="96"/>
      <c r="J203" s="96"/>
      <c r="K203" s="96"/>
      <c r="L203" s="96"/>
      <c r="M203" s="96"/>
      <c r="N203" s="96"/>
      <c r="O203" s="96"/>
      <c r="P203" s="96"/>
      <c r="Q203" s="96"/>
      <c r="R203" s="96"/>
      <c r="S203" s="96"/>
      <c r="T203" s="96"/>
      <c r="U203" s="96"/>
      <c r="V203" s="96"/>
      <c r="W203" s="96"/>
      <c r="X203" s="96"/>
      <c r="Y203" s="96"/>
      <c r="Z203" s="96"/>
      <c r="AA203" s="96"/>
      <c r="AB203" s="96"/>
      <c r="AC203" s="96"/>
      <c r="AD203" s="96"/>
      <c r="AE203" s="96"/>
      <c r="AF203" s="96"/>
      <c r="AG203" s="96"/>
      <c r="AH203" s="96"/>
      <c r="AI203" s="96"/>
      <c r="AJ203" s="96"/>
      <c r="AK203" s="96"/>
      <c r="AL203" s="96"/>
      <c r="AM203" s="96"/>
      <c r="AN203" s="96"/>
      <c r="AO203" s="96"/>
      <c r="AP203" s="96"/>
      <c r="AQ203" s="96"/>
      <c r="AR203" s="96"/>
      <c r="AS203" s="96"/>
      <c r="AT203" s="96"/>
      <c r="AU203" s="96"/>
      <c r="AV203" s="96"/>
      <c r="AW203" s="96"/>
      <c r="AX203" s="96"/>
      <c r="AY203" s="96"/>
      <c r="AZ203" s="96"/>
      <c r="BA203" s="96"/>
      <c r="BB203" s="96"/>
      <c r="BC203" s="96"/>
      <c r="BD203" s="96"/>
      <c r="BE203" s="96"/>
      <c r="BF203" s="96"/>
      <c r="BG203" s="96"/>
      <c r="BH203" s="96"/>
      <c r="BI203" s="96"/>
      <c r="BJ203" s="96"/>
      <c r="BK203" s="96"/>
      <c r="BL203" s="96"/>
      <c r="BM203" s="96"/>
      <c r="BN203" s="96"/>
      <c r="BO203" s="96"/>
      <c r="BP203" s="96"/>
      <c r="BQ203" s="96"/>
      <c r="BR203" s="96"/>
      <c r="BS203" s="96"/>
      <c r="BT203" s="96"/>
      <c r="BU203" s="96"/>
      <c r="BV203" s="96"/>
      <c r="BW203" s="96"/>
      <c r="BX203" s="96"/>
      <c r="BY203" s="96"/>
      <c r="BZ203" s="96"/>
      <c r="CA203" s="96"/>
      <c r="CB203" s="96"/>
      <c r="CC203" s="96"/>
      <c r="CD203" s="96"/>
      <c r="CE203" s="96"/>
    </row>
    <row r="204" spans="1:83" x14ac:dyDescent="0.2">
      <c r="A204" s="96"/>
      <c r="B204" s="96"/>
      <c r="C204" s="96"/>
      <c r="D204" s="96"/>
      <c r="E204" s="96"/>
      <c r="F204" s="96"/>
      <c r="G204" s="96"/>
      <c r="H204" s="96"/>
      <c r="I204" s="96"/>
      <c r="J204" s="96"/>
      <c r="K204" s="96"/>
      <c r="L204" s="96"/>
      <c r="M204" s="96"/>
      <c r="N204" s="96"/>
      <c r="O204" s="96"/>
      <c r="P204" s="96"/>
      <c r="Q204" s="96"/>
      <c r="R204" s="96"/>
      <c r="S204" s="96"/>
      <c r="T204" s="96"/>
      <c r="U204" s="96"/>
      <c r="V204" s="96"/>
      <c r="W204" s="96"/>
      <c r="X204" s="96"/>
      <c r="Y204" s="96"/>
      <c r="Z204" s="96"/>
      <c r="AA204" s="96"/>
      <c r="AB204" s="96"/>
      <c r="AC204" s="96"/>
      <c r="AD204" s="96"/>
      <c r="AE204" s="96"/>
      <c r="AF204" s="96"/>
      <c r="AG204" s="96"/>
      <c r="AH204" s="96"/>
      <c r="AI204" s="96"/>
      <c r="AJ204" s="96"/>
      <c r="AK204" s="96"/>
      <c r="AL204" s="96"/>
      <c r="AM204" s="96"/>
      <c r="AN204" s="96"/>
      <c r="AO204" s="96"/>
      <c r="AP204" s="96"/>
      <c r="AQ204" s="96"/>
      <c r="AR204" s="96"/>
      <c r="AS204" s="96"/>
      <c r="AT204" s="96"/>
      <c r="AU204" s="96"/>
      <c r="AV204" s="96"/>
      <c r="AW204" s="96"/>
      <c r="AX204" s="96"/>
      <c r="AY204" s="96"/>
      <c r="AZ204" s="96"/>
      <c r="BA204" s="96"/>
      <c r="BB204" s="96"/>
      <c r="BC204" s="96"/>
      <c r="BD204" s="96"/>
      <c r="BE204" s="96"/>
      <c r="BF204" s="96"/>
      <c r="BG204" s="96"/>
      <c r="BH204" s="96"/>
      <c r="BI204" s="96"/>
      <c r="BJ204" s="96"/>
      <c r="BK204" s="96"/>
      <c r="BL204" s="96"/>
      <c r="BM204" s="96"/>
      <c r="BN204" s="96"/>
      <c r="BO204" s="96"/>
      <c r="BP204" s="96"/>
      <c r="BQ204" s="96"/>
      <c r="BR204" s="96"/>
      <c r="BS204" s="96"/>
      <c r="BT204" s="96"/>
      <c r="BU204" s="96"/>
      <c r="BV204" s="96"/>
      <c r="BW204" s="96"/>
      <c r="BX204" s="96"/>
      <c r="BY204" s="96"/>
      <c r="BZ204" s="96"/>
      <c r="CA204" s="96"/>
      <c r="CB204" s="96"/>
      <c r="CC204" s="96"/>
      <c r="CD204" s="96"/>
      <c r="CE204" s="96"/>
    </row>
    <row r="205" spans="1:83" x14ac:dyDescent="0.2">
      <c r="A205" s="96"/>
      <c r="B205" s="96"/>
      <c r="C205" s="96"/>
      <c r="D205" s="96"/>
      <c r="E205" s="96"/>
      <c r="F205" s="96"/>
      <c r="G205" s="96"/>
      <c r="H205" s="96"/>
      <c r="I205" s="96"/>
      <c r="J205" s="96"/>
      <c r="K205" s="96"/>
      <c r="L205" s="96"/>
      <c r="M205" s="96"/>
      <c r="N205" s="96"/>
      <c r="O205" s="96"/>
      <c r="P205" s="96"/>
      <c r="Q205" s="96"/>
      <c r="R205" s="96"/>
      <c r="S205" s="96"/>
      <c r="T205" s="96"/>
      <c r="U205" s="96"/>
      <c r="V205" s="96"/>
      <c r="W205" s="96"/>
      <c r="X205" s="96"/>
      <c r="Y205" s="96"/>
      <c r="Z205" s="96"/>
      <c r="AA205" s="96"/>
      <c r="AB205" s="96"/>
      <c r="AC205" s="96"/>
      <c r="AD205" s="96"/>
      <c r="AE205" s="96"/>
      <c r="AF205" s="96"/>
      <c r="AG205" s="96"/>
      <c r="AH205" s="96"/>
      <c r="AI205" s="96"/>
      <c r="AJ205" s="96"/>
      <c r="AK205" s="96"/>
      <c r="AL205" s="96"/>
      <c r="AM205" s="96"/>
      <c r="AN205" s="96"/>
      <c r="AO205" s="96"/>
      <c r="AP205" s="96"/>
      <c r="AQ205" s="96"/>
      <c r="AR205" s="96"/>
      <c r="AS205" s="96"/>
      <c r="AT205" s="96"/>
      <c r="AU205" s="96"/>
      <c r="AV205" s="96"/>
      <c r="AW205" s="96"/>
      <c r="AX205" s="96"/>
      <c r="AY205" s="96"/>
      <c r="AZ205" s="96"/>
      <c r="BA205" s="96"/>
      <c r="BB205" s="96"/>
      <c r="BC205" s="96"/>
      <c r="BD205" s="96"/>
      <c r="BE205" s="96"/>
      <c r="BF205" s="96"/>
      <c r="BG205" s="96"/>
      <c r="BH205" s="96"/>
      <c r="BI205" s="96"/>
      <c r="BJ205" s="96"/>
      <c r="BK205" s="96"/>
      <c r="BL205" s="96"/>
      <c r="BM205" s="96"/>
      <c r="BN205" s="96"/>
      <c r="BO205" s="96"/>
      <c r="BP205" s="96"/>
      <c r="BQ205" s="96"/>
      <c r="BR205" s="96"/>
      <c r="BS205" s="96"/>
      <c r="BT205" s="96"/>
      <c r="BU205" s="96"/>
      <c r="BV205" s="96"/>
      <c r="BW205" s="96"/>
      <c r="BX205" s="96"/>
      <c r="BY205" s="96"/>
      <c r="BZ205" s="96"/>
      <c r="CA205" s="96"/>
      <c r="CB205" s="96"/>
      <c r="CC205" s="96"/>
      <c r="CD205" s="96"/>
      <c r="CE205" s="96"/>
    </row>
    <row r="206" spans="1:83" x14ac:dyDescent="0.2">
      <c r="A206" s="96"/>
      <c r="B206" s="96"/>
      <c r="C206" s="96"/>
      <c r="D206" s="96"/>
      <c r="E206" s="96"/>
      <c r="F206" s="96"/>
      <c r="G206" s="96"/>
      <c r="H206" s="96"/>
      <c r="I206" s="96"/>
      <c r="J206" s="96"/>
      <c r="K206" s="96"/>
      <c r="L206" s="96"/>
      <c r="M206" s="96"/>
      <c r="N206" s="96"/>
      <c r="O206" s="96"/>
      <c r="P206" s="96"/>
      <c r="Q206" s="96"/>
      <c r="R206" s="96"/>
      <c r="S206" s="96"/>
      <c r="T206" s="96"/>
      <c r="U206" s="96"/>
      <c r="V206" s="96"/>
      <c r="W206" s="96"/>
      <c r="X206" s="96"/>
      <c r="Y206" s="96"/>
      <c r="Z206" s="96"/>
      <c r="AA206" s="96"/>
      <c r="AB206" s="96"/>
      <c r="AC206" s="96"/>
      <c r="AD206" s="96"/>
      <c r="AE206" s="96"/>
      <c r="AF206" s="96"/>
      <c r="AG206" s="96"/>
      <c r="AH206" s="96"/>
      <c r="AI206" s="96"/>
      <c r="AJ206" s="96"/>
      <c r="AK206" s="96"/>
      <c r="AL206" s="96"/>
      <c r="AM206" s="96"/>
      <c r="AN206" s="96"/>
      <c r="AO206" s="96"/>
      <c r="AP206" s="96"/>
      <c r="AQ206" s="96"/>
      <c r="AR206" s="96"/>
      <c r="AS206" s="96"/>
      <c r="AT206" s="96"/>
      <c r="AU206" s="96"/>
      <c r="AV206" s="96"/>
      <c r="AW206" s="96"/>
      <c r="AX206" s="96"/>
      <c r="AY206" s="96"/>
      <c r="AZ206" s="96"/>
      <c r="BA206" s="96"/>
      <c r="BB206" s="96"/>
      <c r="BC206" s="96"/>
      <c r="BD206" s="96"/>
      <c r="BE206" s="96"/>
      <c r="BF206" s="96"/>
      <c r="BG206" s="96"/>
      <c r="BH206" s="96"/>
      <c r="BI206" s="96"/>
      <c r="BJ206" s="96"/>
      <c r="BK206" s="96"/>
      <c r="BL206" s="96"/>
      <c r="BM206" s="96"/>
      <c r="BN206" s="96"/>
      <c r="BO206" s="96"/>
      <c r="BP206" s="96"/>
      <c r="BQ206" s="96"/>
      <c r="BR206" s="96"/>
      <c r="BS206" s="96"/>
      <c r="BT206" s="96"/>
      <c r="BU206" s="96"/>
      <c r="BV206" s="96"/>
      <c r="BW206" s="96"/>
      <c r="BX206" s="96"/>
      <c r="BY206" s="96"/>
      <c r="BZ206" s="96"/>
      <c r="CA206" s="96"/>
      <c r="CB206" s="96"/>
      <c r="CC206" s="96"/>
      <c r="CD206" s="96"/>
      <c r="CE206" s="96"/>
    </row>
    <row r="207" spans="1:83" x14ac:dyDescent="0.2">
      <c r="A207" s="96"/>
      <c r="B207" s="96"/>
      <c r="C207" s="96"/>
      <c r="D207" s="96"/>
      <c r="E207" s="96"/>
      <c r="F207" s="96"/>
      <c r="G207" s="96"/>
      <c r="H207" s="96"/>
      <c r="I207" s="96"/>
      <c r="J207" s="96"/>
      <c r="K207" s="96"/>
      <c r="L207" s="96"/>
      <c r="M207" s="96"/>
      <c r="N207" s="96"/>
      <c r="O207" s="96"/>
      <c r="P207" s="96"/>
      <c r="Q207" s="96"/>
      <c r="R207" s="96"/>
      <c r="S207" s="96"/>
      <c r="T207" s="96"/>
      <c r="U207" s="96"/>
      <c r="V207" s="96"/>
      <c r="W207" s="96"/>
      <c r="X207" s="96"/>
      <c r="Y207" s="96"/>
      <c r="Z207" s="96"/>
      <c r="AA207" s="96"/>
      <c r="AB207" s="96"/>
      <c r="AC207" s="96"/>
      <c r="AD207" s="96"/>
      <c r="AE207" s="96"/>
      <c r="AF207" s="96"/>
      <c r="AG207" s="96"/>
      <c r="AH207" s="96"/>
      <c r="AI207" s="96"/>
      <c r="AJ207" s="96"/>
      <c r="AK207" s="96"/>
      <c r="AL207" s="96"/>
      <c r="AM207" s="96"/>
      <c r="AN207" s="96"/>
      <c r="AO207" s="96"/>
      <c r="AP207" s="96"/>
      <c r="AQ207" s="96"/>
      <c r="AR207" s="96"/>
      <c r="AS207" s="96"/>
      <c r="AT207" s="96"/>
      <c r="AU207" s="96"/>
      <c r="AV207" s="96"/>
      <c r="AW207" s="96"/>
      <c r="AX207" s="96"/>
      <c r="AY207" s="96"/>
      <c r="AZ207" s="96"/>
      <c r="BA207" s="96"/>
      <c r="BB207" s="96"/>
      <c r="BC207" s="96"/>
      <c r="BD207" s="96"/>
      <c r="BE207" s="96"/>
      <c r="BF207" s="96"/>
      <c r="BG207" s="96"/>
      <c r="BH207" s="96"/>
      <c r="BI207" s="96"/>
      <c r="BJ207" s="96"/>
      <c r="BK207" s="96"/>
      <c r="BL207" s="96"/>
      <c r="BM207" s="96"/>
      <c r="BN207" s="96"/>
      <c r="BO207" s="96"/>
      <c r="BP207" s="96"/>
      <c r="BQ207" s="96"/>
      <c r="BR207" s="96"/>
      <c r="BS207" s="96"/>
      <c r="BT207" s="96"/>
      <c r="BU207" s="96"/>
      <c r="BV207" s="96"/>
      <c r="BW207" s="96"/>
      <c r="BX207" s="96"/>
      <c r="BY207" s="96"/>
      <c r="BZ207" s="96"/>
      <c r="CA207" s="96"/>
      <c r="CB207" s="96"/>
      <c r="CC207" s="96"/>
      <c r="CD207" s="96"/>
      <c r="CE207" s="96"/>
    </row>
    <row r="208" spans="1:83" x14ac:dyDescent="0.2">
      <c r="A208" s="96"/>
      <c r="B208" s="96"/>
      <c r="C208" s="96"/>
      <c r="D208" s="96"/>
      <c r="E208" s="96"/>
      <c r="F208" s="96"/>
      <c r="G208" s="96"/>
      <c r="H208" s="96"/>
      <c r="I208" s="96"/>
      <c r="J208" s="96"/>
      <c r="K208" s="96"/>
      <c r="L208" s="96"/>
      <c r="M208" s="96"/>
      <c r="N208" s="96"/>
      <c r="O208" s="96"/>
      <c r="P208" s="96"/>
      <c r="Q208" s="96"/>
      <c r="R208" s="96"/>
      <c r="S208" s="96"/>
      <c r="T208" s="96"/>
      <c r="U208" s="96"/>
      <c r="V208" s="96"/>
      <c r="W208" s="96"/>
      <c r="X208" s="96"/>
      <c r="Y208" s="96"/>
      <c r="Z208" s="96"/>
      <c r="AA208" s="96"/>
      <c r="AB208" s="96"/>
      <c r="AC208" s="96"/>
      <c r="AD208" s="96"/>
      <c r="AE208" s="96"/>
      <c r="AF208" s="96"/>
      <c r="AG208" s="96"/>
      <c r="AH208" s="96"/>
      <c r="AI208" s="96"/>
      <c r="AJ208" s="96"/>
      <c r="AK208" s="96"/>
      <c r="AL208" s="96"/>
      <c r="AM208" s="96"/>
      <c r="AN208" s="96"/>
      <c r="AO208" s="96"/>
      <c r="AP208" s="96"/>
      <c r="AQ208" s="96"/>
      <c r="AR208" s="96"/>
      <c r="AS208" s="96"/>
      <c r="AT208" s="96"/>
      <c r="AU208" s="96"/>
      <c r="AV208" s="96"/>
      <c r="AW208" s="96"/>
      <c r="AX208" s="96"/>
      <c r="AY208" s="96"/>
      <c r="AZ208" s="96"/>
      <c r="BA208" s="96"/>
      <c r="BB208" s="96"/>
      <c r="BC208" s="96"/>
      <c r="BD208" s="96"/>
      <c r="BE208" s="96"/>
      <c r="BF208" s="96"/>
      <c r="BG208" s="96"/>
      <c r="BH208" s="96"/>
      <c r="BI208" s="96"/>
      <c r="BJ208" s="96"/>
      <c r="BK208" s="96"/>
      <c r="BL208" s="96"/>
      <c r="BM208" s="96"/>
      <c r="BN208" s="96"/>
      <c r="BO208" s="96"/>
      <c r="BP208" s="96"/>
      <c r="BQ208" s="96"/>
      <c r="BR208" s="96"/>
      <c r="BS208" s="96"/>
      <c r="BT208" s="96"/>
      <c r="BU208" s="96"/>
      <c r="BV208" s="96"/>
      <c r="BW208" s="96"/>
      <c r="BX208" s="96"/>
      <c r="BY208" s="96"/>
      <c r="BZ208" s="96"/>
      <c r="CA208" s="96"/>
      <c r="CB208" s="96"/>
      <c r="CC208" s="96"/>
      <c r="CD208" s="96"/>
      <c r="CE208" s="96"/>
    </row>
    <row r="209" spans="1:83" x14ac:dyDescent="0.2">
      <c r="A209" s="96"/>
      <c r="B209" s="96"/>
      <c r="C209" s="96"/>
      <c r="D209" s="96"/>
      <c r="E209" s="96"/>
      <c r="F209" s="96"/>
      <c r="G209" s="96"/>
      <c r="H209" s="96"/>
      <c r="I209" s="96"/>
      <c r="J209" s="96"/>
      <c r="K209" s="96"/>
      <c r="L209" s="96"/>
      <c r="M209" s="96"/>
      <c r="N209" s="96"/>
      <c r="O209" s="96"/>
      <c r="P209" s="96"/>
      <c r="Q209" s="96"/>
      <c r="R209" s="96"/>
      <c r="S209" s="96"/>
      <c r="T209" s="96"/>
      <c r="U209" s="96"/>
      <c r="V209" s="96"/>
      <c r="W209" s="96"/>
      <c r="X209" s="96"/>
      <c r="Y209" s="96"/>
      <c r="Z209" s="96"/>
      <c r="AA209" s="96"/>
      <c r="AB209" s="96"/>
      <c r="AC209" s="96"/>
      <c r="AD209" s="96"/>
      <c r="AE209" s="96"/>
      <c r="AF209" s="96"/>
      <c r="AG209" s="96"/>
      <c r="AH209" s="96"/>
      <c r="AI209" s="96"/>
      <c r="AJ209" s="96"/>
      <c r="AK209" s="96"/>
      <c r="AL209" s="96"/>
      <c r="AM209" s="96"/>
      <c r="AN209" s="96"/>
      <c r="AO209" s="96"/>
      <c r="AP209" s="96"/>
      <c r="AQ209" s="96"/>
      <c r="AR209" s="96"/>
      <c r="AS209" s="96"/>
      <c r="AT209" s="96"/>
      <c r="AU209" s="96"/>
      <c r="AV209" s="96"/>
      <c r="AW209" s="96"/>
      <c r="AX209" s="96"/>
      <c r="AY209" s="96"/>
      <c r="AZ209" s="96"/>
      <c r="BA209" s="96"/>
      <c r="BB209" s="96"/>
      <c r="BC209" s="96"/>
      <c r="BD209" s="96"/>
      <c r="BE209" s="96"/>
      <c r="BF209" s="96"/>
      <c r="BG209" s="96"/>
      <c r="BH209" s="96"/>
      <c r="BI209" s="96"/>
      <c r="BJ209" s="96"/>
      <c r="BK209" s="96"/>
      <c r="BL209" s="96"/>
      <c r="BM209" s="96"/>
      <c r="BN209" s="96"/>
      <c r="BO209" s="96"/>
      <c r="BP209" s="96"/>
      <c r="BQ209" s="96"/>
      <c r="BR209" s="96"/>
      <c r="BS209" s="96"/>
      <c r="BT209" s="96"/>
      <c r="BU209" s="96"/>
      <c r="BV209" s="96"/>
      <c r="BW209" s="96"/>
      <c r="BX209" s="96"/>
      <c r="BY209" s="96"/>
      <c r="BZ209" s="96"/>
      <c r="CA209" s="96"/>
      <c r="CB209" s="96"/>
      <c r="CC209" s="96"/>
      <c r="CD209" s="96"/>
      <c r="CE209" s="96"/>
    </row>
  </sheetData>
  <mergeCells count="28">
    <mergeCell ref="BK9:BP9"/>
    <mergeCell ref="BK10:BP10"/>
    <mergeCell ref="AQ6:AV6"/>
    <mergeCell ref="A1:CE4"/>
    <mergeCell ref="H7:S7"/>
    <mergeCell ref="H8:S8"/>
    <mergeCell ref="AQ7:AV7"/>
    <mergeCell ref="AQ8:AV8"/>
    <mergeCell ref="BK7:BP7"/>
    <mergeCell ref="BK8:BP8"/>
    <mergeCell ref="AQ9:AV9"/>
    <mergeCell ref="H6:AE6"/>
    <mergeCell ref="A16:B37"/>
    <mergeCell ref="A39:B60"/>
    <mergeCell ref="A85:B106"/>
    <mergeCell ref="AQ10:AV10"/>
    <mergeCell ref="A62:B83"/>
    <mergeCell ref="AQ13:AV13"/>
    <mergeCell ref="H10:M10"/>
    <mergeCell ref="AQ12:AV12"/>
    <mergeCell ref="AQ11:AV11"/>
    <mergeCell ref="BK13:BP13"/>
    <mergeCell ref="BK12:BP12"/>
    <mergeCell ref="H12:M12"/>
    <mergeCell ref="N11:S11"/>
    <mergeCell ref="H13:M13"/>
    <mergeCell ref="N12:S12"/>
    <mergeCell ref="BK11:BP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print="0" autoFill="0" autoPict="0" macro="[0]!GoTo_LampResults">
                <anchor moveWithCells="1" sizeWithCells="1">
                  <from>
                    <xdr:col>71</xdr:col>
                    <xdr:colOff>171450</xdr:colOff>
                    <xdr:row>5</xdr:row>
                    <xdr:rowOff>95250</xdr:rowOff>
                  </from>
                  <to>
                    <xdr:col>81</xdr:col>
                    <xdr:colOff>133350</xdr:colOff>
                    <xdr:row>8</xdr:row>
                    <xdr:rowOff>19050</xdr:rowOff>
                  </to>
                </anchor>
              </controlPr>
            </control>
          </mc:Choice>
        </mc:AlternateContent>
        <mc:AlternateContent xmlns:mc="http://schemas.openxmlformats.org/markup-compatibility/2006">
          <mc:Choice Requires="x14">
            <control shapeId="118786" r:id="rId5" name="Button 2">
              <controlPr defaultSize="0" print="0" autoFill="0" autoPict="0" macro="[0]!GoTo_ECSProfile">
                <anchor moveWithCells="1" sizeWithCells="1">
                  <from>
                    <xdr:col>71</xdr:col>
                    <xdr:colOff>171450</xdr:colOff>
                    <xdr:row>9</xdr:row>
                    <xdr:rowOff>9525</xdr:rowOff>
                  </from>
                  <to>
                    <xdr:col>81</xdr:col>
                    <xdr:colOff>133350</xdr:colOff>
                    <xdr:row>11</xdr:row>
                    <xdr:rowOff>104775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_LAMPResults">
    <tabColor rgb="FFE0C1FF"/>
  </sheetPr>
  <dimension ref="A1:EY205"/>
  <sheetViews>
    <sheetView showGridLines="0" zoomScale="70" zoomScaleNormal="70" workbookViewId="0">
      <selection activeCell="B36" sqref="B36"/>
    </sheetView>
  </sheetViews>
  <sheetFormatPr defaultColWidth="9.140625" defaultRowHeight="12.75" customHeight="1" x14ac:dyDescent="0.2"/>
  <cols>
    <col min="1" max="53" width="12.7109375" style="19" customWidth="1"/>
    <col min="54" max="60" width="15.5703125" style="19" customWidth="1"/>
    <col min="61" max="61" width="12.7109375" style="19" customWidth="1"/>
    <col min="62" max="62" width="44.7109375" style="19" customWidth="1"/>
    <col min="63" max="63" width="31.5703125" style="19" customWidth="1"/>
    <col min="64" max="64" width="12.7109375" style="19" customWidth="1"/>
    <col min="65" max="66" width="12.140625" style="19" customWidth="1"/>
    <col min="67" max="67" width="23.42578125" style="19" bestFit="1" customWidth="1"/>
    <col min="68" max="68" width="10.5703125" style="19" bestFit="1" customWidth="1"/>
    <col min="69" max="69" width="15.85546875" style="19" bestFit="1" customWidth="1"/>
    <col min="70" max="71" width="14.85546875" style="19" bestFit="1" customWidth="1"/>
    <col min="72" max="72" width="12.7109375" style="19" bestFit="1" customWidth="1"/>
    <col min="73" max="73" width="8.5703125" style="19" customWidth="1"/>
    <col min="74" max="74" width="16.85546875" style="19" bestFit="1" customWidth="1"/>
    <col min="75" max="75" width="14.42578125" style="19" bestFit="1" customWidth="1"/>
    <col min="76" max="76" width="9.140625" style="19" bestFit="1" customWidth="1"/>
    <col min="77" max="77" width="12.5703125" style="19" bestFit="1" customWidth="1"/>
    <col min="78" max="79" width="8.5703125" style="19" customWidth="1"/>
    <col min="80" max="80" width="16.85546875" style="19" bestFit="1" customWidth="1"/>
    <col min="81" max="81" width="48.140625" style="19" bestFit="1" customWidth="1"/>
    <col min="82" max="82" width="51.7109375" style="19" bestFit="1" customWidth="1"/>
    <col min="83" max="83" width="46.28515625" style="19" bestFit="1" customWidth="1"/>
    <col min="84" max="84" width="50.140625" style="19" bestFit="1" customWidth="1"/>
    <col min="85" max="86" width="12.7109375" style="19" customWidth="1"/>
    <col min="87" max="87" width="17.85546875" style="19" bestFit="1" customWidth="1"/>
    <col min="88" max="88" width="22.140625" style="19" bestFit="1" customWidth="1"/>
    <col min="89" max="89" width="25.85546875" style="19" bestFit="1" customWidth="1"/>
    <col min="90" max="90" width="10.85546875" style="19" bestFit="1" customWidth="1"/>
    <col min="91" max="91" width="12.7109375" style="19" customWidth="1"/>
    <col min="92" max="92" width="17.85546875" style="19" bestFit="1" customWidth="1"/>
    <col min="93" max="93" width="17.42578125" style="19" bestFit="1" customWidth="1"/>
    <col min="94" max="94" width="18.85546875" style="19" bestFit="1" customWidth="1"/>
    <col min="95" max="95" width="16.7109375" style="19" bestFit="1" customWidth="1"/>
    <col min="96" max="97" width="12.7109375" style="19" customWidth="1"/>
    <col min="98" max="98" width="17.85546875" style="19" bestFit="1" customWidth="1"/>
    <col min="99" max="99" width="11" style="19" bestFit="1" customWidth="1"/>
    <col min="100" max="100" width="20" style="19" bestFit="1" customWidth="1"/>
    <col min="101" max="101" width="11.5703125" style="19" bestFit="1" customWidth="1"/>
    <col min="102" max="102" width="26" style="19" bestFit="1" customWidth="1"/>
    <col min="103" max="103" width="23.5703125" style="19" bestFit="1" customWidth="1"/>
    <col min="104" max="104" width="35" style="19" bestFit="1" customWidth="1"/>
    <col min="105" max="105" width="15" style="19" customWidth="1"/>
    <col min="106" max="106" width="12.140625" style="19" bestFit="1" customWidth="1"/>
    <col min="107" max="107" width="17.85546875" style="19" bestFit="1" customWidth="1"/>
    <col min="108" max="109" width="17.7109375" style="19" bestFit="1" customWidth="1"/>
    <col min="110" max="113" width="12.140625" style="19" customWidth="1"/>
    <col min="114" max="114" width="16.85546875" style="19" bestFit="1" customWidth="1"/>
    <col min="115" max="115" width="10.28515625" style="19" bestFit="1" customWidth="1"/>
    <col min="116" max="116" width="18.5703125" style="19" bestFit="1" customWidth="1"/>
    <col min="117" max="117" width="11.140625" style="19" bestFit="1" customWidth="1"/>
    <col min="118" max="118" width="23.85546875" style="19" bestFit="1" customWidth="1"/>
    <col min="119" max="119" width="22.140625" style="19" bestFit="1" customWidth="1"/>
    <col min="120" max="120" width="32.42578125" style="19" bestFit="1" customWidth="1"/>
    <col min="121" max="121" width="8.85546875" style="19" bestFit="1" customWidth="1"/>
    <col min="122" max="122" width="19.28515625" style="19" customWidth="1"/>
    <col min="123" max="123" width="16.85546875" style="19" bestFit="1" customWidth="1"/>
    <col min="124" max="124" width="10.28515625" style="19" bestFit="1" customWidth="1"/>
    <col min="125" max="125" width="18.5703125" style="19" bestFit="1" customWidth="1"/>
    <col min="126" max="126" width="11.140625" style="19" bestFit="1" customWidth="1"/>
    <col min="127" max="127" width="23.85546875" style="19" bestFit="1" customWidth="1"/>
    <col min="128" max="128" width="22.140625" style="19" bestFit="1" customWidth="1"/>
    <col min="129" max="129" width="31.7109375" style="19" bestFit="1" customWidth="1"/>
    <col min="130" max="130" width="15.42578125" style="19" bestFit="1" customWidth="1"/>
    <col min="131" max="131" width="12.7109375" style="19" customWidth="1"/>
    <col min="132" max="132" width="23.42578125" style="19" bestFit="1" customWidth="1"/>
    <col min="133" max="133" width="14.85546875" style="19" bestFit="1" customWidth="1"/>
    <col min="134" max="134" width="23.5703125" style="19" bestFit="1" customWidth="1"/>
    <col min="135" max="135" width="12.7109375" style="19" customWidth="1"/>
    <col min="136" max="136" width="16.85546875" style="19" bestFit="1" customWidth="1"/>
    <col min="137" max="137" width="12.42578125" style="19" bestFit="1" customWidth="1"/>
    <col min="138" max="138" width="7.7109375" style="19" bestFit="1" customWidth="1"/>
    <col min="139" max="139" width="6.42578125" style="19" bestFit="1" customWidth="1"/>
    <col min="140" max="140" width="8.140625" style="19" bestFit="1" customWidth="1"/>
    <col min="141" max="141" width="13.140625" style="19" bestFit="1" customWidth="1"/>
    <col min="142" max="143" width="12.7109375" style="19" customWidth="1"/>
    <col min="144" max="144" width="16.85546875" style="19" bestFit="1" customWidth="1"/>
    <col min="145" max="145" width="10.28515625" style="19" bestFit="1" customWidth="1"/>
    <col min="146" max="146" width="18.5703125" style="19" bestFit="1" customWidth="1"/>
    <col min="147" max="147" width="11.140625" style="19" bestFit="1" customWidth="1"/>
    <col min="148" max="148" width="23.85546875" style="19" bestFit="1" customWidth="1"/>
    <col min="149" max="149" width="22.140625" style="19" bestFit="1" customWidth="1"/>
    <col min="150" max="150" width="31.7109375" style="19" bestFit="1" customWidth="1"/>
    <col min="151" max="151" width="27" style="19" bestFit="1" customWidth="1"/>
    <col min="152" max="152" width="12.7109375" style="19" customWidth="1"/>
    <col min="153" max="153" width="12.140625" style="19" bestFit="1" customWidth="1"/>
    <col min="154" max="154" width="23.85546875" style="19" bestFit="1" customWidth="1"/>
    <col min="155" max="165" width="12.7109375" style="19" customWidth="1"/>
    <col min="166" max="16384" width="9.140625" style="19"/>
  </cols>
  <sheetData>
    <row r="1" spans="1:155" ht="12.75" customHeight="1" x14ac:dyDescent="0.2">
      <c r="A1" s="77"/>
      <c r="B1" s="77"/>
      <c r="C1" s="78"/>
      <c r="D1" s="78"/>
      <c r="F1" s="78"/>
      <c r="G1" s="78"/>
      <c r="H1" s="78"/>
      <c r="I1" s="78"/>
      <c r="J1" s="78"/>
      <c r="K1" s="78"/>
      <c r="L1" s="78"/>
      <c r="M1" s="78"/>
      <c r="N1" s="78"/>
      <c r="O1" s="78"/>
      <c r="P1" s="78"/>
      <c r="Q1" s="78"/>
      <c r="R1" s="74"/>
      <c r="S1" s="74"/>
      <c r="T1" s="74"/>
      <c r="U1" s="74"/>
      <c r="V1" s="74"/>
      <c r="W1" s="74"/>
      <c r="X1" s="74"/>
      <c r="Y1" s="74"/>
      <c r="Z1" s="74"/>
      <c r="AA1" s="74"/>
      <c r="AB1" s="74"/>
      <c r="AC1" s="74"/>
      <c r="AD1" s="74"/>
      <c r="AE1" s="74"/>
      <c r="AF1" s="77"/>
      <c r="AG1" s="77"/>
      <c r="AH1" s="77"/>
      <c r="AI1" s="77"/>
      <c r="AJ1" s="77"/>
      <c r="AK1" s="79"/>
      <c r="AL1" s="79"/>
      <c r="AM1" s="79"/>
      <c r="AN1" s="79"/>
      <c r="AO1" s="79"/>
      <c r="AP1" s="79"/>
      <c r="AQ1" s="79"/>
      <c r="AR1" s="152"/>
      <c r="AS1" s="152"/>
      <c r="AT1" s="152"/>
      <c r="AU1" s="152"/>
      <c r="AV1" s="152"/>
      <c r="AW1" s="152"/>
      <c r="AX1" s="152"/>
      <c r="AY1" s="152"/>
      <c r="AZ1" s="152"/>
      <c r="BA1" s="152"/>
      <c r="BB1" s="153"/>
      <c r="BC1" s="153"/>
      <c r="BD1" s="153"/>
      <c r="BE1" s="153"/>
      <c r="BF1" s="153"/>
      <c r="BG1" s="153"/>
      <c r="BH1" s="153"/>
    </row>
    <row r="3" spans="1:155" ht="55.15" customHeight="1" x14ac:dyDescent="0.2">
      <c r="M3" s="262" t="s">
        <v>709</v>
      </c>
      <c r="N3" s="262" t="s">
        <v>931</v>
      </c>
      <c r="O3" s="262" t="s">
        <v>709</v>
      </c>
      <c r="P3" s="262" t="s">
        <v>931</v>
      </c>
      <c r="R3" s="571" t="s">
        <v>183</v>
      </c>
      <c r="S3" s="571"/>
      <c r="T3" s="571"/>
      <c r="U3" s="571"/>
      <c r="V3" s="571"/>
      <c r="W3" s="571"/>
      <c r="X3" s="571"/>
      <c r="Y3" s="571" t="s">
        <v>182</v>
      </c>
      <c r="Z3" s="571"/>
      <c r="AA3" s="571"/>
      <c r="AB3" s="571"/>
      <c r="AC3" s="571"/>
      <c r="AD3" s="571"/>
      <c r="AE3" s="571"/>
      <c r="AF3" s="572" t="s">
        <v>1010</v>
      </c>
      <c r="AG3" s="572"/>
      <c r="AH3" s="572"/>
      <c r="AI3" s="572"/>
      <c r="AJ3" s="572"/>
      <c r="AK3" s="571" t="s">
        <v>786</v>
      </c>
      <c r="AL3" s="571"/>
      <c r="AM3" s="571"/>
      <c r="AN3" s="571"/>
      <c r="AO3" s="571"/>
      <c r="AP3" s="571"/>
      <c r="AQ3" s="571"/>
      <c r="AR3" s="571" t="s">
        <v>712</v>
      </c>
      <c r="AS3" s="571"/>
      <c r="AT3" s="571"/>
      <c r="AU3" s="571"/>
      <c r="AV3" s="571"/>
      <c r="AW3" s="571"/>
      <c r="AX3" s="571"/>
      <c r="AY3" s="571" t="s">
        <v>712</v>
      </c>
      <c r="AZ3" s="571"/>
      <c r="BA3" s="571"/>
      <c r="BB3" s="571" t="s">
        <v>185</v>
      </c>
      <c r="BC3" s="571"/>
      <c r="BD3" s="571"/>
      <c r="BE3" s="571"/>
      <c r="BF3" s="571"/>
      <c r="BG3" s="571"/>
      <c r="BH3" s="571"/>
    </row>
    <row r="4" spans="1:155" ht="63.75" x14ac:dyDescent="0.2">
      <c r="A4" s="262" t="s">
        <v>1008</v>
      </c>
      <c r="B4" s="262" t="s">
        <v>956</v>
      </c>
      <c r="C4" s="262" t="s">
        <v>891</v>
      </c>
      <c r="D4" s="262" t="s">
        <v>892</v>
      </c>
      <c r="E4" s="262" t="s">
        <v>1215</v>
      </c>
      <c r="F4" s="262" t="s">
        <v>1146</v>
      </c>
      <c r="G4" s="262" t="s">
        <v>186</v>
      </c>
      <c r="H4" s="262" t="s">
        <v>1194</v>
      </c>
      <c r="I4" s="262" t="s">
        <v>986</v>
      </c>
      <c r="J4" s="262" t="s">
        <v>932</v>
      </c>
      <c r="K4" s="262" t="s">
        <v>715</v>
      </c>
      <c r="L4" s="262" t="s">
        <v>714</v>
      </c>
      <c r="M4" s="262" t="s">
        <v>711</v>
      </c>
      <c r="N4" s="262" t="s">
        <v>711</v>
      </c>
      <c r="O4" s="262" t="s">
        <v>708</v>
      </c>
      <c r="P4" s="262" t="s">
        <v>708</v>
      </c>
      <c r="Q4" s="262" t="s">
        <v>184</v>
      </c>
      <c r="R4" s="262" t="s">
        <v>181</v>
      </c>
      <c r="S4" s="262" t="s">
        <v>180</v>
      </c>
      <c r="T4" s="262" t="s">
        <v>179</v>
      </c>
      <c r="U4" s="262" t="s">
        <v>178</v>
      </c>
      <c r="V4" s="262" t="s">
        <v>177</v>
      </c>
      <c r="W4" s="262" t="s">
        <v>176</v>
      </c>
      <c r="X4" s="262" t="s">
        <v>706</v>
      </c>
      <c r="Y4" s="262" t="s">
        <v>181</v>
      </c>
      <c r="Z4" s="262" t="s">
        <v>180</v>
      </c>
      <c r="AA4" s="262" t="s">
        <v>179</v>
      </c>
      <c r="AB4" s="262" t="s">
        <v>178</v>
      </c>
      <c r="AC4" s="262" t="s">
        <v>177</v>
      </c>
      <c r="AD4" s="262" t="s">
        <v>176</v>
      </c>
      <c r="AE4" s="262" t="s">
        <v>706</v>
      </c>
      <c r="AF4" s="262" t="s">
        <v>710</v>
      </c>
      <c r="AG4" s="262" t="s">
        <v>689</v>
      </c>
      <c r="AH4" s="262" t="s">
        <v>688</v>
      </c>
      <c r="AI4" s="262" t="s">
        <v>687</v>
      </c>
      <c r="AJ4" s="262" t="s">
        <v>713</v>
      </c>
      <c r="AK4" s="262" t="s">
        <v>181</v>
      </c>
      <c r="AL4" s="262" t="s">
        <v>180</v>
      </c>
      <c r="AM4" s="262" t="s">
        <v>179</v>
      </c>
      <c r="AN4" s="262" t="s">
        <v>178</v>
      </c>
      <c r="AO4" s="262" t="s">
        <v>177</v>
      </c>
      <c r="AP4" s="262" t="s">
        <v>176</v>
      </c>
      <c r="AQ4" s="262" t="s">
        <v>706</v>
      </c>
      <c r="AR4" s="262" t="s">
        <v>181</v>
      </c>
      <c r="AS4" s="262" t="s">
        <v>180</v>
      </c>
      <c r="AT4" s="262" t="s">
        <v>179</v>
      </c>
      <c r="AU4" s="262" t="s">
        <v>178</v>
      </c>
      <c r="AV4" s="262" t="s">
        <v>177</v>
      </c>
      <c r="AW4" s="262" t="s">
        <v>176</v>
      </c>
      <c r="AX4" s="262" t="s">
        <v>736</v>
      </c>
      <c r="AY4" s="262" t="s">
        <v>1132</v>
      </c>
      <c r="AZ4" s="262" t="s">
        <v>1133</v>
      </c>
      <c r="BA4" s="262" t="s">
        <v>1134</v>
      </c>
      <c r="BB4" s="262" t="s">
        <v>181</v>
      </c>
      <c r="BC4" s="262" t="s">
        <v>180</v>
      </c>
      <c r="BD4" s="262" t="s">
        <v>179</v>
      </c>
      <c r="BE4" s="262" t="s">
        <v>178</v>
      </c>
      <c r="BF4" s="262" t="s">
        <v>177</v>
      </c>
      <c r="BG4" s="262" t="s">
        <v>176</v>
      </c>
      <c r="BH4" s="262" t="s">
        <v>736</v>
      </c>
      <c r="BI4" s="67"/>
      <c r="BJ4" s="67"/>
      <c r="BK4" s="67"/>
      <c r="BL4" s="67"/>
      <c r="BM4" s="67"/>
      <c r="BN4" s="67"/>
      <c r="BO4" s="22" t="s">
        <v>1060</v>
      </c>
      <c r="BP4" s="22"/>
      <c r="BQ4" s="22"/>
      <c r="BR4" s="22"/>
      <c r="BS4" s="22"/>
      <c r="BT4" s="22"/>
      <c r="BU4" s="22"/>
      <c r="BV4" s="19" t="s">
        <v>1061</v>
      </c>
      <c r="BZ4" s="22"/>
      <c r="CA4" s="22"/>
      <c r="CB4" s="22" t="s">
        <v>1066</v>
      </c>
      <c r="CC4" s="22"/>
      <c r="CD4" s="22"/>
      <c r="CE4" s="22"/>
      <c r="CF4" s="22"/>
      <c r="CG4" s="22"/>
      <c r="CH4" s="22"/>
      <c r="CI4" s="22" t="s">
        <v>1173</v>
      </c>
      <c r="CJ4" s="22"/>
      <c r="CM4" s="22"/>
      <c r="CN4" s="22" t="s">
        <v>1178</v>
      </c>
      <c r="CT4" s="22" t="s">
        <v>1179</v>
      </c>
      <c r="CY4" s="22"/>
      <c r="CZ4" s="22"/>
      <c r="DA4" s="22"/>
      <c r="DB4" s="22"/>
      <c r="DC4" s="22" t="s">
        <v>1180</v>
      </c>
      <c r="DD4" s="22"/>
      <c r="DE4" s="22"/>
      <c r="DF4" s="22"/>
      <c r="DG4" s="22"/>
      <c r="DH4" s="22"/>
      <c r="DI4" s="22"/>
      <c r="DJ4" s="22" t="s">
        <v>1181</v>
      </c>
      <c r="DK4" s="67"/>
      <c r="DL4" s="67"/>
      <c r="DM4" s="67"/>
      <c r="DN4" s="67"/>
      <c r="DO4" s="67"/>
      <c r="DP4" s="67"/>
      <c r="DQ4" s="67"/>
      <c r="DR4" s="67"/>
      <c r="DS4" s="22" t="s">
        <v>1209</v>
      </c>
      <c r="DT4" s="67"/>
      <c r="DU4" s="67"/>
      <c r="EB4" s="19" t="s">
        <v>1078</v>
      </c>
      <c r="EF4" s="19" t="s">
        <v>1078</v>
      </c>
      <c r="EN4" s="19" t="s">
        <v>1082</v>
      </c>
      <c r="EW4" s="19" t="s">
        <v>1079</v>
      </c>
    </row>
    <row r="5" spans="1:155" x14ac:dyDescent="0.2">
      <c r="A5" s="77">
        <v>0</v>
      </c>
      <c r="B5" s="77"/>
      <c r="C5" s="78"/>
      <c r="D5" s="78"/>
      <c r="F5" s="78"/>
      <c r="G5" s="78"/>
      <c r="H5" s="78"/>
      <c r="I5" s="78"/>
      <c r="J5" s="78"/>
      <c r="K5" s="78"/>
      <c r="L5" s="78"/>
      <c r="M5" s="78"/>
      <c r="N5" s="78"/>
      <c r="O5" s="78"/>
      <c r="P5" s="78"/>
      <c r="Q5" s="78"/>
      <c r="R5" s="74">
        <v>87.307424385278225</v>
      </c>
      <c r="S5" s="74">
        <v>88.362922389435553</v>
      </c>
      <c r="T5" s="74">
        <v>90.25698924444859</v>
      </c>
      <c r="U5" s="74">
        <v>93.245700210511913</v>
      </c>
      <c r="V5" s="74">
        <v>58</v>
      </c>
      <c r="W5" s="74">
        <v>76.247713153021692</v>
      </c>
      <c r="X5" s="74">
        <v>86.420779872042601</v>
      </c>
      <c r="Y5" s="74">
        <v>78.096645435392546</v>
      </c>
      <c r="Z5" s="74">
        <v>84.836398265009933</v>
      </c>
      <c r="AA5" s="74">
        <v>87.027971521651551</v>
      </c>
      <c r="AB5" s="74">
        <v>82.97687861271676</v>
      </c>
      <c r="AC5" s="74">
        <v>58</v>
      </c>
      <c r="AD5" s="74">
        <v>75.954059751399285</v>
      </c>
      <c r="AE5" s="74">
        <v>78.141481109435887</v>
      </c>
      <c r="AF5" s="77">
        <v>273</v>
      </c>
      <c r="AG5" s="77">
        <v>283</v>
      </c>
      <c r="AH5" s="77">
        <v>89</v>
      </c>
      <c r="AI5" s="77">
        <v>55</v>
      </c>
      <c r="AJ5" s="77">
        <v>0</v>
      </c>
      <c r="AK5" s="79">
        <v>0.96594117851698802</v>
      </c>
      <c r="AL5" s="79">
        <v>0.95597299677135306</v>
      </c>
      <c r="AM5" s="79">
        <v>0.99467268949941368</v>
      </c>
      <c r="AN5" s="79">
        <v>1</v>
      </c>
      <c r="AO5" s="79">
        <v>0</v>
      </c>
      <c r="AP5" s="79">
        <v>1</v>
      </c>
      <c r="AQ5" s="79">
        <v>0.96483439728617226</v>
      </c>
      <c r="AR5" s="152">
        <v>0</v>
      </c>
      <c r="AS5" s="152">
        <v>0</v>
      </c>
      <c r="AT5" s="152">
        <v>0</v>
      </c>
      <c r="AU5" s="152">
        <v>0</v>
      </c>
      <c r="AV5" s="152">
        <v>0</v>
      </c>
      <c r="AW5" s="152">
        <v>0</v>
      </c>
      <c r="AX5" s="152">
        <v>134</v>
      </c>
      <c r="AY5" s="152">
        <v>101</v>
      </c>
      <c r="AZ5" s="152">
        <v>7</v>
      </c>
      <c r="BA5" s="152">
        <v>26</v>
      </c>
      <c r="BB5" s="153">
        <v>0</v>
      </c>
      <c r="BC5" s="153">
        <v>0</v>
      </c>
      <c r="BD5" s="153">
        <v>0</v>
      </c>
      <c r="BE5" s="153">
        <v>0</v>
      </c>
      <c r="BF5" s="153">
        <v>0</v>
      </c>
      <c r="BG5" s="153">
        <v>0</v>
      </c>
      <c r="BH5" s="153">
        <v>1885707.6590073826</v>
      </c>
      <c r="BI5" s="67"/>
      <c r="BJ5" s="281" t="s">
        <v>186</v>
      </c>
      <c r="BK5" s="290"/>
      <c r="BL5" s="270">
        <f>SUM($G$5:$G$125)</f>
        <v>0</v>
      </c>
      <c r="BM5" s="67"/>
      <c r="BN5" s="67"/>
      <c r="BO5" s="22"/>
      <c r="BP5" s="22"/>
      <c r="BQ5" s="22"/>
      <c r="BR5" s="22"/>
      <c r="BS5" s="22"/>
      <c r="BT5" s="22"/>
      <c r="BU5" s="22"/>
      <c r="BZ5" s="22"/>
      <c r="CA5" s="22"/>
      <c r="CB5" s="22"/>
      <c r="CC5" s="22"/>
      <c r="CD5" s="22"/>
      <c r="CE5" s="22"/>
      <c r="CF5" s="22"/>
      <c r="CG5" s="22"/>
      <c r="DK5" s="67"/>
      <c r="DL5" s="67"/>
      <c r="DM5" s="67"/>
      <c r="DN5" s="67"/>
      <c r="DO5" s="67"/>
      <c r="DP5" s="67"/>
      <c r="DQ5" s="67"/>
      <c r="DR5" s="67"/>
      <c r="DS5" s="67"/>
      <c r="DT5" s="67"/>
      <c r="DU5" s="67"/>
    </row>
    <row r="6" spans="1:155" ht="15" x14ac:dyDescent="0.25">
      <c r="A6" s="77"/>
      <c r="B6" s="77"/>
      <c r="C6" s="78"/>
      <c r="D6" s="78"/>
      <c r="F6" s="78"/>
      <c r="G6" s="78"/>
      <c r="H6" s="78"/>
      <c r="I6" s="78"/>
      <c r="J6" s="78"/>
      <c r="K6" s="78"/>
      <c r="L6" s="78"/>
      <c r="M6" s="78"/>
      <c r="N6" s="78"/>
      <c r="O6" s="78"/>
      <c r="P6" s="78"/>
      <c r="Q6" s="78"/>
      <c r="R6" s="74"/>
      <c r="S6" s="74"/>
      <c r="T6" s="74"/>
      <c r="U6" s="74"/>
      <c r="V6" s="74"/>
      <c r="W6" s="74"/>
      <c r="X6" s="74"/>
      <c r="Y6" s="74"/>
      <c r="Z6" s="74"/>
      <c r="AA6" s="74"/>
      <c r="AB6" s="74"/>
      <c r="AC6" s="74"/>
      <c r="AD6" s="74"/>
      <c r="AE6" s="74"/>
      <c r="AF6" s="77"/>
      <c r="AG6" s="77"/>
      <c r="AH6" s="77"/>
      <c r="AI6" s="77"/>
      <c r="AJ6" s="77"/>
      <c r="AK6" s="79"/>
      <c r="AL6" s="79"/>
      <c r="AM6" s="79"/>
      <c r="AN6" s="79"/>
      <c r="AO6" s="79"/>
      <c r="AP6" s="79"/>
      <c r="AQ6" s="79"/>
      <c r="AR6" s="152"/>
      <c r="AS6" s="152"/>
      <c r="AT6" s="152"/>
      <c r="AU6" s="152"/>
      <c r="AV6" s="152"/>
      <c r="AW6" s="152"/>
      <c r="AX6" s="152"/>
      <c r="AY6" s="152"/>
      <c r="AZ6" s="152"/>
      <c r="BA6" s="152"/>
      <c r="BB6" s="153"/>
      <c r="BC6" s="153"/>
      <c r="BD6" s="153"/>
      <c r="BE6" s="153"/>
      <c r="BF6" s="153"/>
      <c r="BG6" s="153"/>
      <c r="BH6" s="153"/>
      <c r="BI6" s="67"/>
      <c r="BJ6" s="281" t="s">
        <v>1227</v>
      </c>
      <c r="BK6" s="290"/>
      <c r="BL6" s="270" t="e">
        <f>LAMP_Expenditure/Main_ynNumberofYears</f>
        <v>#DIV/0!</v>
      </c>
      <c r="BM6" s="156"/>
      <c r="BN6" s="67"/>
      <c r="BO6"/>
      <c r="BP6" s="106" t="s">
        <v>809</v>
      </c>
      <c r="BQ6"/>
      <c r="BR6"/>
      <c r="BS6"/>
      <c r="BT6"/>
      <c r="BU6" s="22"/>
      <c r="BV6" s="459" t="s">
        <v>1057</v>
      </c>
      <c r="BW6" s="460" t="s">
        <v>1058</v>
      </c>
      <c r="BX6" s="460" t="s">
        <v>7</v>
      </c>
      <c r="BY6" s="460" t="s">
        <v>1150</v>
      </c>
      <c r="BZ6" s="22"/>
      <c r="CA6" s="22"/>
      <c r="CB6" s="459" t="s">
        <v>1057</v>
      </c>
      <c r="CC6" s="460" t="s">
        <v>1065</v>
      </c>
      <c r="CD6" s="460" t="s">
        <v>1064</v>
      </c>
      <c r="CE6" s="460" t="s">
        <v>1062</v>
      </c>
      <c r="CF6" s="460" t="s">
        <v>1063</v>
      </c>
      <c r="CG6" s="22"/>
      <c r="CI6" s="106" t="s">
        <v>1057</v>
      </c>
      <c r="CJ6" t="s">
        <v>185</v>
      </c>
      <c r="CK6" t="s">
        <v>1172</v>
      </c>
      <c r="CN6" s="106" t="s">
        <v>1057</v>
      </c>
      <c r="CO6" t="s">
        <v>1175</v>
      </c>
      <c r="CP6" t="s">
        <v>1176</v>
      </c>
      <c r="CQ6" t="s">
        <v>1177</v>
      </c>
      <c r="CT6" s="106" t="s">
        <v>1057</v>
      </c>
      <c r="CU6" t="s">
        <v>1067</v>
      </c>
      <c r="CV6" t="s">
        <v>1068</v>
      </c>
      <c r="CW6" t="s">
        <v>1069</v>
      </c>
      <c r="CX6" t="s">
        <v>1070</v>
      </c>
      <c r="CY6" t="s">
        <v>1071</v>
      </c>
      <c r="CZ6" t="s">
        <v>1073</v>
      </c>
      <c r="DA6"/>
      <c r="DB6" s="154"/>
      <c r="DC6" s="106" t="s">
        <v>1057</v>
      </c>
      <c r="DD6" t="s">
        <v>1187</v>
      </c>
      <c r="DE6" t="s">
        <v>1120</v>
      </c>
      <c r="DF6" s="154"/>
      <c r="DG6" s="154"/>
      <c r="DH6" s="154"/>
      <c r="DI6" s="154"/>
      <c r="DJ6" s="459" t="s">
        <v>1057</v>
      </c>
      <c r="DK6" s="460" t="s">
        <v>1067</v>
      </c>
      <c r="DL6" s="460" t="s">
        <v>1068</v>
      </c>
      <c r="DM6" s="460" t="s">
        <v>1069</v>
      </c>
      <c r="DN6" s="460" t="s">
        <v>1070</v>
      </c>
      <c r="DO6" s="460" t="s">
        <v>1071</v>
      </c>
      <c r="DP6" s="460" t="s">
        <v>1072</v>
      </c>
      <c r="DQ6" s="106"/>
      <c r="DR6" s="154"/>
      <c r="DS6" s="459" t="s">
        <v>1057</v>
      </c>
      <c r="DT6" s="460" t="s">
        <v>1067</v>
      </c>
      <c r="DU6" s="460" t="s">
        <v>1068</v>
      </c>
      <c r="DV6" s="460" t="s">
        <v>1069</v>
      </c>
      <c r="DW6" s="460" t="s">
        <v>1070</v>
      </c>
      <c r="DX6" s="460" t="s">
        <v>1071</v>
      </c>
      <c r="DY6" s="460" t="s">
        <v>1073</v>
      </c>
      <c r="DZ6" s="106"/>
      <c r="EA6" s="154"/>
      <c r="EB6"/>
      <c r="EC6" s="106" t="s">
        <v>809</v>
      </c>
      <c r="ED6"/>
      <c r="EE6" s="154"/>
      <c r="EF6" s="459" t="s">
        <v>1057</v>
      </c>
      <c r="EG6" s="460" t="s">
        <v>1074</v>
      </c>
      <c r="EH6" s="460" t="s">
        <v>1075</v>
      </c>
      <c r="EI6" s="460" t="s">
        <v>1076</v>
      </c>
      <c r="EJ6" s="460" t="s">
        <v>742</v>
      </c>
      <c r="EK6" s="460" t="s">
        <v>1077</v>
      </c>
      <c r="EL6" s="154"/>
      <c r="EM6" s="154"/>
      <c r="EN6" s="459" t="s">
        <v>1057</v>
      </c>
      <c r="EO6" s="460" t="s">
        <v>1067</v>
      </c>
      <c r="EP6" s="460" t="s">
        <v>1068</v>
      </c>
      <c r="EQ6" s="460" t="s">
        <v>1069</v>
      </c>
      <c r="ER6" s="460" t="s">
        <v>1070</v>
      </c>
      <c r="ES6" s="460" t="s">
        <v>1071</v>
      </c>
      <c r="ET6" s="460" t="s">
        <v>1073</v>
      </c>
      <c r="EU6"/>
      <c r="EW6" s="103" t="s">
        <v>788</v>
      </c>
      <c r="EX6" s="104" t="s">
        <v>1081</v>
      </c>
    </row>
    <row r="7" spans="1:155" ht="15" x14ac:dyDescent="0.25">
      <c r="A7" s="77"/>
      <c r="B7" s="77"/>
      <c r="C7" s="78"/>
      <c r="D7" s="78"/>
      <c r="F7" s="78"/>
      <c r="G7" s="78"/>
      <c r="H7" s="78"/>
      <c r="I7" s="78"/>
      <c r="J7" s="78"/>
      <c r="K7" s="78"/>
      <c r="L7" s="78"/>
      <c r="M7" s="78"/>
      <c r="N7" s="78"/>
      <c r="O7" s="78"/>
      <c r="P7" s="78"/>
      <c r="Q7" s="78"/>
      <c r="R7" s="74"/>
      <c r="S7" s="74"/>
      <c r="T7" s="74"/>
      <c r="U7" s="74"/>
      <c r="V7" s="74"/>
      <c r="W7" s="74"/>
      <c r="X7" s="74"/>
      <c r="Y7" s="74"/>
      <c r="Z7" s="74"/>
      <c r="AA7" s="74"/>
      <c r="AB7" s="74"/>
      <c r="AC7" s="74"/>
      <c r="AD7" s="74"/>
      <c r="AE7" s="74"/>
      <c r="AF7" s="77"/>
      <c r="AG7" s="77"/>
      <c r="AH7" s="77"/>
      <c r="AI7" s="77"/>
      <c r="AJ7" s="77"/>
      <c r="AK7" s="79"/>
      <c r="AL7" s="79"/>
      <c r="AM7" s="79"/>
      <c r="AN7" s="79"/>
      <c r="AO7" s="79"/>
      <c r="AP7" s="79"/>
      <c r="AQ7" s="79"/>
      <c r="AR7" s="152"/>
      <c r="AS7" s="152"/>
      <c r="AT7" s="152"/>
      <c r="AU7" s="152"/>
      <c r="AV7" s="152"/>
      <c r="AW7" s="152"/>
      <c r="AX7" s="152"/>
      <c r="AY7" s="152"/>
      <c r="AZ7" s="152"/>
      <c r="BA7" s="152"/>
      <c r="BB7" s="153"/>
      <c r="BC7" s="153"/>
      <c r="BD7" s="153"/>
      <c r="BE7" s="153"/>
      <c r="BF7" s="153"/>
      <c r="BG7" s="153"/>
      <c r="BH7" s="153"/>
      <c r="BI7" s="67"/>
      <c r="BJ7" s="281" t="s">
        <v>1194</v>
      </c>
      <c r="BK7" s="290"/>
      <c r="BL7" s="270">
        <f>SUM($H$5:$H125)</f>
        <v>0</v>
      </c>
      <c r="BM7" s="67"/>
      <c r="BN7" s="67"/>
      <c r="BO7" s="106" t="s">
        <v>1008</v>
      </c>
      <c r="BP7" t="s">
        <v>1131</v>
      </c>
      <c r="BQ7" t="s">
        <v>1058</v>
      </c>
      <c r="BR7" t="s">
        <v>183</v>
      </c>
      <c r="BS7" t="s">
        <v>182</v>
      </c>
      <c r="BT7"/>
      <c r="BU7" s="22"/>
      <c r="BV7" s="461">
        <v>0</v>
      </c>
      <c r="BW7" s="462"/>
      <c r="BX7" s="462"/>
      <c r="BY7" s="462"/>
      <c r="BZ7" s="22"/>
      <c r="CA7" s="22"/>
      <c r="CB7" s="461">
        <v>0</v>
      </c>
      <c r="CC7" s="462"/>
      <c r="CD7" s="462"/>
      <c r="CE7" s="462"/>
      <c r="CF7" s="462"/>
      <c r="CG7" s="22"/>
      <c r="CI7" s="107">
        <v>0</v>
      </c>
      <c r="CJ7">
        <v>1885707.6590073826</v>
      </c>
      <c r="CK7">
        <v>134</v>
      </c>
      <c r="CN7" s="107">
        <v>0</v>
      </c>
      <c r="CO7">
        <v>101</v>
      </c>
      <c r="CP7">
        <v>7</v>
      </c>
      <c r="CQ7">
        <v>26</v>
      </c>
      <c r="CT7" s="107">
        <v>0</v>
      </c>
      <c r="CU7">
        <v>0</v>
      </c>
      <c r="CV7">
        <v>0</v>
      </c>
      <c r="CW7">
        <v>0</v>
      </c>
      <c r="CX7">
        <v>0</v>
      </c>
      <c r="CY7">
        <v>0</v>
      </c>
      <c r="CZ7">
        <v>0</v>
      </c>
      <c r="DA7"/>
      <c r="DC7" s="107">
        <v>0</v>
      </c>
      <c r="DD7">
        <v>86.420779872042601</v>
      </c>
      <c r="DE7">
        <v>78.141481109435887</v>
      </c>
      <c r="DJ7" s="461">
        <v>0</v>
      </c>
      <c r="DK7" s="463">
        <v>87.307424385278225</v>
      </c>
      <c r="DL7" s="463">
        <v>88.362922389435553</v>
      </c>
      <c r="DM7" s="463">
        <v>90.25698924444859</v>
      </c>
      <c r="DN7" s="463">
        <v>93.245700210511913</v>
      </c>
      <c r="DO7" s="463">
        <v>58</v>
      </c>
      <c r="DP7" s="463">
        <v>76.247713153021692</v>
      </c>
      <c r="DQ7"/>
      <c r="DS7" s="461">
        <v>0</v>
      </c>
      <c r="DT7" s="463">
        <v>78.096645435392546</v>
      </c>
      <c r="DU7" s="463">
        <v>84.836398265009933</v>
      </c>
      <c r="DV7" s="463">
        <v>87.027971521651551</v>
      </c>
      <c r="DW7" s="463">
        <v>82.97687861271676</v>
      </c>
      <c r="DX7" s="463">
        <v>58</v>
      </c>
      <c r="DY7" s="463">
        <v>75.954059751399285</v>
      </c>
      <c r="DZ7"/>
      <c r="EB7" s="106" t="s">
        <v>1008</v>
      </c>
      <c r="EC7" t="s">
        <v>1785</v>
      </c>
      <c r="ED7" t="s">
        <v>1790</v>
      </c>
      <c r="EF7" s="461">
        <v>0</v>
      </c>
      <c r="EG7" s="460">
        <v>0</v>
      </c>
      <c r="EH7" s="460">
        <v>55</v>
      </c>
      <c r="EI7" s="460">
        <v>89</v>
      </c>
      <c r="EJ7" s="460">
        <v>283</v>
      </c>
      <c r="EK7" s="460">
        <v>273</v>
      </c>
      <c r="EN7" s="461">
        <v>0</v>
      </c>
      <c r="EO7" s="464">
        <v>0.96594117851698802</v>
      </c>
      <c r="EP7" s="464">
        <v>0.95597299677135306</v>
      </c>
      <c r="EQ7" s="464">
        <v>0.99467268949941368</v>
      </c>
      <c r="ER7" s="464">
        <v>1</v>
      </c>
      <c r="ES7" s="464">
        <v>0</v>
      </c>
      <c r="ET7" s="464">
        <v>1</v>
      </c>
      <c r="EU7"/>
      <c r="EW7" s="103">
        <v>0</v>
      </c>
      <c r="EX7" s="105" t="e">
        <f t="shared" ref="EX7:EX38" ca="1" si="0">(COUNTIF(y0_SCIav,"&lt;="&amp;EW7))/(COUNTIF(y0_SCIav,"&lt;="&amp;100))</f>
        <v>#REF!</v>
      </c>
    </row>
    <row r="8" spans="1:155" ht="15" x14ac:dyDescent="0.25">
      <c r="A8" s="77"/>
      <c r="B8" s="77"/>
      <c r="C8" s="78"/>
      <c r="D8" s="78"/>
      <c r="F8" s="78"/>
      <c r="G8" s="78"/>
      <c r="H8" s="78"/>
      <c r="I8" s="78"/>
      <c r="J8" s="78"/>
      <c r="K8" s="78"/>
      <c r="L8" s="78"/>
      <c r="M8" s="78"/>
      <c r="N8" s="78"/>
      <c r="O8" s="78"/>
      <c r="P8" s="78"/>
      <c r="Q8" s="78"/>
      <c r="R8" s="74"/>
      <c r="S8" s="74"/>
      <c r="T8" s="74"/>
      <c r="U8" s="74"/>
      <c r="V8" s="74"/>
      <c r="W8" s="74"/>
      <c r="X8" s="74"/>
      <c r="Y8" s="74"/>
      <c r="Z8" s="74"/>
      <c r="AA8" s="74"/>
      <c r="AB8" s="74"/>
      <c r="AC8" s="74"/>
      <c r="AD8" s="74"/>
      <c r="AE8" s="74"/>
      <c r="AF8" s="77"/>
      <c r="AG8" s="77"/>
      <c r="AH8" s="77"/>
      <c r="AI8" s="77"/>
      <c r="AJ8" s="77"/>
      <c r="AK8" s="79"/>
      <c r="AL8" s="79"/>
      <c r="AM8" s="79"/>
      <c r="AN8" s="79"/>
      <c r="AO8" s="79"/>
      <c r="AP8" s="79"/>
      <c r="AQ8" s="79"/>
      <c r="AR8" s="152"/>
      <c r="AS8" s="152"/>
      <c r="AT8" s="152"/>
      <c r="AU8" s="152"/>
      <c r="AV8" s="152"/>
      <c r="AW8" s="152"/>
      <c r="AX8" s="152"/>
      <c r="AY8" s="152"/>
      <c r="AZ8" s="152"/>
      <c r="BA8" s="152"/>
      <c r="BB8" s="153"/>
      <c r="BC8" s="153"/>
      <c r="BD8" s="153"/>
      <c r="BE8" s="153"/>
      <c r="BF8" s="153"/>
      <c r="BG8" s="153"/>
      <c r="BH8" s="153"/>
      <c r="BJ8" s="281" t="s">
        <v>986</v>
      </c>
      <c r="BK8" s="290"/>
      <c r="BL8" s="270">
        <f>SUM($I$5:$I$125)</f>
        <v>0</v>
      </c>
      <c r="BO8">
        <v>0</v>
      </c>
      <c r="BP8"/>
      <c r="BQ8"/>
      <c r="BR8">
        <v>86.420779872042601</v>
      </c>
      <c r="BS8">
        <v>78.141481109435887</v>
      </c>
      <c r="BT8"/>
      <c r="BU8" s="22"/>
      <c r="BV8"/>
      <c r="BW8"/>
      <c r="BX8"/>
      <c r="BY8"/>
      <c r="BZ8" s="22"/>
      <c r="CA8" s="22"/>
      <c r="CB8"/>
      <c r="CC8"/>
      <c r="CD8"/>
      <c r="CE8"/>
      <c r="CF8"/>
      <c r="CG8" s="22"/>
      <c r="CI8"/>
      <c r="CJ8"/>
      <c r="CK8"/>
      <c r="CN8" s="107" t="s">
        <v>695</v>
      </c>
      <c r="CO8">
        <v>101</v>
      </c>
      <c r="CP8">
        <v>7</v>
      </c>
      <c r="CQ8">
        <v>26</v>
      </c>
      <c r="CT8" s="107" t="s">
        <v>695</v>
      </c>
      <c r="CU8">
        <v>0</v>
      </c>
      <c r="CV8">
        <v>0</v>
      </c>
      <c r="CW8">
        <v>0</v>
      </c>
      <c r="CX8">
        <v>0</v>
      </c>
      <c r="CY8">
        <v>0</v>
      </c>
      <c r="CZ8">
        <v>0</v>
      </c>
      <c r="DA8"/>
      <c r="DC8" s="107" t="s">
        <v>695</v>
      </c>
      <c r="DD8">
        <v>86.420779872042601</v>
      </c>
      <c r="DE8">
        <v>78.141481109435887</v>
      </c>
      <c r="DJ8"/>
      <c r="DK8"/>
      <c r="DL8"/>
      <c r="DM8"/>
      <c r="DN8"/>
      <c r="DO8"/>
      <c r="DP8"/>
      <c r="DQ8"/>
      <c r="DS8"/>
      <c r="DT8"/>
      <c r="DU8"/>
      <c r="DV8"/>
      <c r="DW8"/>
      <c r="DX8"/>
      <c r="DY8"/>
      <c r="DZ8"/>
      <c r="EB8">
        <v>0</v>
      </c>
      <c r="EC8">
        <v>0.96483439728617226</v>
      </c>
      <c r="ED8">
        <v>0.96483439728617226</v>
      </c>
      <c r="EF8"/>
      <c r="EG8"/>
      <c r="EH8"/>
      <c r="EI8"/>
      <c r="EJ8"/>
      <c r="EK8"/>
      <c r="EN8"/>
      <c r="EO8"/>
      <c r="EP8"/>
      <c r="EQ8"/>
      <c r="ER8"/>
      <c r="ES8"/>
      <c r="ET8"/>
      <c r="EU8"/>
      <c r="EW8" s="103">
        <v>1</v>
      </c>
      <c r="EX8" s="105" t="e">
        <f t="shared" ca="1" si="0"/>
        <v>#REF!</v>
      </c>
    </row>
    <row r="9" spans="1:155" ht="15" x14ac:dyDescent="0.25">
      <c r="A9" s="77"/>
      <c r="B9" s="77"/>
      <c r="C9" s="78"/>
      <c r="D9" s="78"/>
      <c r="F9" s="78"/>
      <c r="G9" s="78"/>
      <c r="H9" s="78"/>
      <c r="I9" s="78"/>
      <c r="J9" s="78"/>
      <c r="K9" s="78"/>
      <c r="L9" s="78"/>
      <c r="M9" s="78"/>
      <c r="N9" s="78"/>
      <c r="O9" s="78"/>
      <c r="P9" s="78"/>
      <c r="Q9" s="78"/>
      <c r="R9" s="74"/>
      <c r="S9" s="74"/>
      <c r="T9" s="74"/>
      <c r="U9" s="74"/>
      <c r="V9" s="74"/>
      <c r="W9" s="74"/>
      <c r="X9" s="74"/>
      <c r="Y9" s="74"/>
      <c r="Z9" s="74"/>
      <c r="AA9" s="74"/>
      <c r="AB9" s="74"/>
      <c r="AC9" s="74"/>
      <c r="AD9" s="74"/>
      <c r="AE9" s="74"/>
      <c r="AF9" s="77"/>
      <c r="AG9" s="77"/>
      <c r="AH9" s="77"/>
      <c r="AI9" s="77"/>
      <c r="AJ9" s="77"/>
      <c r="AK9" s="79"/>
      <c r="AL9" s="79"/>
      <c r="AM9" s="79"/>
      <c r="AN9" s="79"/>
      <c r="AO9" s="79"/>
      <c r="AP9" s="79"/>
      <c r="AQ9" s="79"/>
      <c r="AR9" s="152"/>
      <c r="AS9" s="152"/>
      <c r="AT9" s="152"/>
      <c r="AU9" s="152"/>
      <c r="AV9" s="152"/>
      <c r="AW9" s="152"/>
      <c r="AX9" s="152"/>
      <c r="AY9" s="152"/>
      <c r="AZ9" s="152"/>
      <c r="BA9" s="152"/>
      <c r="BB9" s="153"/>
      <c r="BC9" s="153"/>
      <c r="BD9" s="153"/>
      <c r="BE9" s="153"/>
      <c r="BF9" s="153"/>
      <c r="BG9" s="153"/>
      <c r="BH9" s="153"/>
      <c r="BJ9" s="281" t="s">
        <v>1778</v>
      </c>
      <c r="BK9" s="290"/>
      <c r="BL9" s="270">
        <f ca="1">SUMPRODUCT('Ref98'!$Q$12:$Q$131,'Ref98'!$R$12:$R$131)</f>
        <v>0</v>
      </c>
      <c r="BO9"/>
      <c r="BP9"/>
      <c r="BQ9"/>
      <c r="BR9"/>
      <c r="BS9"/>
      <c r="BT9"/>
      <c r="BU9"/>
      <c r="BV9"/>
      <c r="BW9"/>
      <c r="BX9"/>
      <c r="BY9"/>
      <c r="BZ9"/>
      <c r="CA9"/>
      <c r="CB9"/>
      <c r="CC9"/>
      <c r="CD9"/>
      <c r="CE9"/>
      <c r="CF9"/>
      <c r="CG9"/>
      <c r="CI9"/>
      <c r="CJ9"/>
      <c r="CK9"/>
      <c r="CM9"/>
      <c r="CN9"/>
      <c r="CO9"/>
      <c r="CP9"/>
      <c r="CQ9"/>
      <c r="CT9"/>
      <c r="CU9"/>
      <c r="CV9"/>
      <c r="CW9"/>
      <c r="CX9"/>
      <c r="CY9"/>
      <c r="CZ9"/>
      <c r="DA9"/>
      <c r="DC9"/>
      <c r="DD9"/>
      <c r="DE9"/>
      <c r="DJ9"/>
      <c r="DK9"/>
      <c r="DL9"/>
      <c r="DM9"/>
      <c r="DN9"/>
      <c r="DO9"/>
      <c r="DP9"/>
      <c r="DQ9"/>
      <c r="DR9" s="85"/>
      <c r="DS9"/>
      <c r="DT9"/>
      <c r="DU9"/>
      <c r="DV9"/>
      <c r="DW9"/>
      <c r="DX9"/>
      <c r="DY9"/>
      <c r="DZ9"/>
      <c r="EA9"/>
      <c r="EB9"/>
      <c r="EC9"/>
      <c r="ED9"/>
      <c r="EE9"/>
      <c r="EF9"/>
      <c r="EG9"/>
      <c r="EH9"/>
      <c r="EI9"/>
      <c r="EJ9"/>
      <c r="EK9"/>
      <c r="EL9"/>
      <c r="EM9"/>
      <c r="EN9"/>
      <c r="EO9"/>
      <c r="EP9"/>
      <c r="EQ9"/>
      <c r="ER9"/>
      <c r="ES9"/>
      <c r="ET9"/>
      <c r="EU9"/>
      <c r="EW9" s="103">
        <v>2</v>
      </c>
      <c r="EX9" s="105" t="e">
        <f t="shared" ca="1" si="0"/>
        <v>#REF!</v>
      </c>
      <c r="EY9" s="22"/>
    </row>
    <row r="10" spans="1:155" ht="15" x14ac:dyDescent="0.25">
      <c r="A10" s="77"/>
      <c r="B10" s="77"/>
      <c r="C10" s="78"/>
      <c r="D10" s="78"/>
      <c r="F10" s="78"/>
      <c r="G10" s="78"/>
      <c r="H10" s="78"/>
      <c r="I10" s="78"/>
      <c r="J10" s="78"/>
      <c r="K10" s="78"/>
      <c r="L10" s="78"/>
      <c r="M10" s="78"/>
      <c r="N10" s="78"/>
      <c r="O10" s="78"/>
      <c r="P10" s="78"/>
      <c r="Q10" s="78"/>
      <c r="R10" s="74"/>
      <c r="S10" s="74"/>
      <c r="T10" s="74"/>
      <c r="U10" s="74"/>
      <c r="V10" s="74"/>
      <c r="W10" s="74"/>
      <c r="X10" s="74"/>
      <c r="Y10" s="74"/>
      <c r="Z10" s="74"/>
      <c r="AA10" s="74"/>
      <c r="AB10" s="74"/>
      <c r="AC10" s="74"/>
      <c r="AD10" s="74"/>
      <c r="AE10" s="74"/>
      <c r="AF10" s="77"/>
      <c r="AG10" s="77"/>
      <c r="AH10" s="77"/>
      <c r="AI10" s="77"/>
      <c r="AJ10" s="77"/>
      <c r="AK10" s="79"/>
      <c r="AL10" s="79"/>
      <c r="AM10" s="79"/>
      <c r="AN10" s="79"/>
      <c r="AO10" s="79"/>
      <c r="AP10" s="79"/>
      <c r="AQ10" s="79"/>
      <c r="AR10" s="152"/>
      <c r="AS10" s="152"/>
      <c r="AT10" s="152"/>
      <c r="AU10" s="152"/>
      <c r="AV10" s="152"/>
      <c r="AW10" s="152"/>
      <c r="AX10" s="152"/>
      <c r="AY10" s="152"/>
      <c r="AZ10" s="152"/>
      <c r="BA10" s="152"/>
      <c r="BB10" s="153"/>
      <c r="BC10" s="153"/>
      <c r="BD10" s="153"/>
      <c r="BE10" s="153"/>
      <c r="BF10" s="153"/>
      <c r="BG10" s="153"/>
      <c r="BH10" s="153"/>
      <c r="BI10" s="67"/>
      <c r="BJ10" s="281" t="s">
        <v>932</v>
      </c>
      <c r="BK10" s="290"/>
      <c r="BL10" s="270">
        <f>SUM($J$5:$J$125)</f>
        <v>0</v>
      </c>
      <c r="BO10"/>
      <c r="BP10"/>
      <c r="BQ10"/>
      <c r="BR10"/>
      <c r="BS10"/>
      <c r="BT10"/>
      <c r="BU10"/>
      <c r="BV10"/>
      <c r="BW10"/>
      <c r="BX10"/>
      <c r="BY10"/>
      <c r="BZ10"/>
      <c r="CA10"/>
      <c r="CB10"/>
      <c r="CC10"/>
      <c r="CD10"/>
      <c r="CE10"/>
      <c r="CF10"/>
      <c r="CG10"/>
      <c r="CI10"/>
      <c r="CJ10"/>
      <c r="CK10"/>
      <c r="CM10"/>
      <c r="CN10"/>
      <c r="CO10"/>
      <c r="CP10"/>
      <c r="CQ10"/>
      <c r="CT10"/>
      <c r="CU10"/>
      <c r="CV10"/>
      <c r="CW10"/>
      <c r="CX10"/>
      <c r="CY10"/>
      <c r="CZ10"/>
      <c r="DA10"/>
      <c r="DC10"/>
      <c r="DD10"/>
      <c r="DE10"/>
      <c r="DJ10"/>
      <c r="DK10"/>
      <c r="DL10"/>
      <c r="DM10"/>
      <c r="DN10"/>
      <c r="DO10"/>
      <c r="DP10"/>
      <c r="DQ10"/>
      <c r="DR10" s="102"/>
      <c r="DS10"/>
      <c r="DT10"/>
      <c r="DU10"/>
      <c r="DV10"/>
      <c r="DW10"/>
      <c r="DX10"/>
      <c r="DY10"/>
      <c r="DZ10"/>
      <c r="EA10"/>
      <c r="EB10"/>
      <c r="EC10"/>
      <c r="ED10"/>
      <c r="EE10"/>
      <c r="EF10"/>
      <c r="EG10"/>
      <c r="EH10"/>
      <c r="EI10"/>
      <c r="EJ10"/>
      <c r="EK10"/>
      <c r="EL10"/>
      <c r="EM10"/>
      <c r="EN10"/>
      <c r="EO10"/>
      <c r="EP10"/>
      <c r="EQ10"/>
      <c r="ER10"/>
      <c r="ES10"/>
      <c r="ET10"/>
      <c r="EU10"/>
      <c r="EW10" s="103">
        <v>3</v>
      </c>
      <c r="EX10" s="105" t="e">
        <f t="shared" ca="1" si="0"/>
        <v>#REF!</v>
      </c>
      <c r="EY10" s="22"/>
    </row>
    <row r="11" spans="1:155" ht="15" x14ac:dyDescent="0.25">
      <c r="A11" s="77"/>
      <c r="B11" s="77"/>
      <c r="C11" s="78"/>
      <c r="D11" s="78"/>
      <c r="F11" s="78"/>
      <c r="G11" s="78"/>
      <c r="H11" s="78"/>
      <c r="I11" s="78"/>
      <c r="J11" s="78"/>
      <c r="K11" s="78"/>
      <c r="L11" s="78"/>
      <c r="M11" s="78"/>
      <c r="N11" s="78"/>
      <c r="O11" s="78"/>
      <c r="P11" s="78"/>
      <c r="Q11" s="78"/>
      <c r="R11" s="74"/>
      <c r="S11" s="74"/>
      <c r="T11" s="74"/>
      <c r="U11" s="74"/>
      <c r="V11" s="74"/>
      <c r="W11" s="74"/>
      <c r="X11" s="74"/>
      <c r="Y11" s="74"/>
      <c r="Z11" s="74"/>
      <c r="AA11" s="74"/>
      <c r="AB11" s="74"/>
      <c r="AC11" s="74"/>
      <c r="AD11" s="74"/>
      <c r="AE11" s="74"/>
      <c r="AF11" s="77"/>
      <c r="AG11" s="77"/>
      <c r="AH11" s="77"/>
      <c r="AI11" s="77"/>
      <c r="AJ11" s="77"/>
      <c r="AK11" s="79"/>
      <c r="AL11" s="79"/>
      <c r="AM11" s="79"/>
      <c r="AN11" s="79"/>
      <c r="AO11" s="79"/>
      <c r="AP11" s="79"/>
      <c r="AQ11" s="79"/>
      <c r="AR11" s="152"/>
      <c r="AS11" s="152"/>
      <c r="AT11" s="152"/>
      <c r="AU11" s="152"/>
      <c r="AV11" s="152"/>
      <c r="AW11" s="152"/>
      <c r="AX11" s="152"/>
      <c r="AY11" s="152"/>
      <c r="AZ11" s="152"/>
      <c r="BA11" s="152"/>
      <c r="BB11" s="153"/>
      <c r="BC11" s="153"/>
      <c r="BD11" s="153"/>
      <c r="BE11" s="153"/>
      <c r="BF11" s="153"/>
      <c r="BG11" s="153"/>
      <c r="BH11" s="153"/>
      <c r="BI11" s="67"/>
      <c r="BJ11" s="281" t="s">
        <v>1779</v>
      </c>
      <c r="BK11" s="290"/>
      <c r="BL11" s="270">
        <f>SUMPRODUCT('Ref98'!$Q$12:$Q$131,'Ref98'!$S$12:$S$131)</f>
        <v>0</v>
      </c>
      <c r="BO11"/>
      <c r="BP11"/>
      <c r="BQ11"/>
      <c r="BR11"/>
      <c r="BS11"/>
      <c r="BT11"/>
      <c r="BU11"/>
      <c r="BV11"/>
      <c r="BW11"/>
      <c r="BX11"/>
      <c r="BY11"/>
      <c r="BZ11"/>
      <c r="CA11"/>
      <c r="CB11"/>
      <c r="CC11"/>
      <c r="CD11"/>
      <c r="CE11"/>
      <c r="CF11"/>
      <c r="CG11"/>
      <c r="CI11"/>
      <c r="CJ11"/>
      <c r="CK11"/>
      <c r="CM11" s="22"/>
      <c r="CN11"/>
      <c r="CO11"/>
      <c r="CP11"/>
      <c r="CQ11"/>
      <c r="CT11"/>
      <c r="CU11"/>
      <c r="CV11"/>
      <c r="CW11"/>
      <c r="CX11"/>
      <c r="CY11"/>
      <c r="CZ11"/>
      <c r="DA11"/>
      <c r="DC11"/>
      <c r="DD11"/>
      <c r="DE11"/>
      <c r="DJ11"/>
      <c r="DK11"/>
      <c r="DL11"/>
      <c r="DM11"/>
      <c r="DN11"/>
      <c r="DO11"/>
      <c r="DP11"/>
      <c r="DQ11"/>
      <c r="DR11" s="102"/>
      <c r="DS11"/>
      <c r="DT11"/>
      <c r="DU11"/>
      <c r="DV11"/>
      <c r="DW11"/>
      <c r="DX11"/>
      <c r="DY11"/>
      <c r="DZ11"/>
      <c r="EA11"/>
      <c r="EB11"/>
      <c r="EC11"/>
      <c r="ED11"/>
      <c r="EE11"/>
      <c r="EF11"/>
      <c r="EG11"/>
      <c r="EH11"/>
      <c r="EI11"/>
      <c r="EJ11"/>
      <c r="EK11"/>
      <c r="EL11"/>
      <c r="EM11"/>
      <c r="EN11"/>
      <c r="EO11"/>
      <c r="EP11"/>
      <c r="EQ11"/>
      <c r="ER11"/>
      <c r="ES11"/>
      <c r="ET11"/>
      <c r="EU11"/>
      <c r="EW11" s="103">
        <v>4</v>
      </c>
      <c r="EX11" s="105" t="e">
        <f t="shared" ca="1" si="0"/>
        <v>#REF!</v>
      </c>
      <c r="EY11" s="22"/>
    </row>
    <row r="12" spans="1:155" ht="15" x14ac:dyDescent="0.25">
      <c r="A12" s="77"/>
      <c r="B12" s="77"/>
      <c r="C12" s="78"/>
      <c r="D12" s="78"/>
      <c r="F12" s="78"/>
      <c r="G12" s="78"/>
      <c r="H12" s="78"/>
      <c r="I12" s="78"/>
      <c r="J12" s="78"/>
      <c r="K12" s="78"/>
      <c r="L12" s="78"/>
      <c r="M12" s="78"/>
      <c r="N12" s="78"/>
      <c r="O12" s="78"/>
      <c r="P12" s="78"/>
      <c r="Q12" s="78"/>
      <c r="R12" s="74"/>
      <c r="S12" s="74"/>
      <c r="T12" s="74"/>
      <c r="U12" s="74"/>
      <c r="V12" s="74"/>
      <c r="W12" s="74"/>
      <c r="X12" s="74"/>
      <c r="Y12" s="74"/>
      <c r="Z12" s="74"/>
      <c r="AA12" s="74"/>
      <c r="AB12" s="74"/>
      <c r="AC12" s="74"/>
      <c r="AD12" s="74"/>
      <c r="AE12" s="74"/>
      <c r="AF12" s="77"/>
      <c r="AG12" s="77"/>
      <c r="AH12" s="77"/>
      <c r="AI12" s="77"/>
      <c r="AJ12" s="77"/>
      <c r="AK12" s="79"/>
      <c r="AL12" s="79"/>
      <c r="AM12" s="79"/>
      <c r="AN12" s="79"/>
      <c r="AO12" s="79"/>
      <c r="AP12" s="79"/>
      <c r="AQ12" s="79"/>
      <c r="AR12" s="152"/>
      <c r="AS12" s="152"/>
      <c r="AT12" s="152"/>
      <c r="AU12" s="152"/>
      <c r="AV12" s="152"/>
      <c r="AW12" s="152"/>
      <c r="AX12" s="152"/>
      <c r="AY12" s="152"/>
      <c r="AZ12" s="152"/>
      <c r="BA12" s="152"/>
      <c r="BB12" s="153"/>
      <c r="BC12" s="153"/>
      <c r="BD12" s="153"/>
      <c r="BE12" s="153"/>
      <c r="BF12" s="153"/>
      <c r="BG12" s="153"/>
      <c r="BH12" s="153"/>
      <c r="BI12" s="67"/>
      <c r="BJ12" s="281" t="s">
        <v>1080</v>
      </c>
      <c r="BK12" s="290"/>
      <c r="BL12" s="270">
        <f>SUM($C$5:$C$125)</f>
        <v>0</v>
      </c>
      <c r="BO12"/>
      <c r="BP12"/>
      <c r="BQ12"/>
      <c r="BR12"/>
      <c r="BS12"/>
      <c r="BT12"/>
      <c r="BU12"/>
      <c r="BV12"/>
      <c r="BW12"/>
      <c r="BX12"/>
      <c r="BY12"/>
      <c r="BZ12"/>
      <c r="CA12"/>
      <c r="CB12"/>
      <c r="CC12"/>
      <c r="CD12"/>
      <c r="CE12"/>
      <c r="CF12"/>
      <c r="CG12"/>
      <c r="CI12"/>
      <c r="CJ12"/>
      <c r="CK12"/>
      <c r="CM12" s="22"/>
      <c r="CN12"/>
      <c r="CO12"/>
      <c r="CP12"/>
      <c r="CQ12"/>
      <c r="CT12"/>
      <c r="CU12"/>
      <c r="CV12"/>
      <c r="CW12"/>
      <c r="CX12"/>
      <c r="CY12"/>
      <c r="CZ12"/>
      <c r="DA12"/>
      <c r="DC12"/>
      <c r="DD12"/>
      <c r="DE12"/>
      <c r="DJ12"/>
      <c r="DK12"/>
      <c r="DL12"/>
      <c r="DM12"/>
      <c r="DN12"/>
      <c r="DO12"/>
      <c r="DP12"/>
      <c r="DQ12"/>
      <c r="DR12" s="102"/>
      <c r="DS12"/>
      <c r="DT12"/>
      <c r="DU12"/>
      <c r="DV12"/>
      <c r="DW12"/>
      <c r="DX12"/>
      <c r="DY12"/>
      <c r="DZ12"/>
      <c r="EA12"/>
      <c r="EB12"/>
      <c r="EC12"/>
      <c r="ED12"/>
      <c r="EE12"/>
      <c r="EF12"/>
      <c r="EG12"/>
      <c r="EH12"/>
      <c r="EI12"/>
      <c r="EJ12"/>
      <c r="EK12"/>
      <c r="EL12"/>
      <c r="EM12"/>
      <c r="EN12"/>
      <c r="EO12"/>
      <c r="EP12"/>
      <c r="EQ12"/>
      <c r="ER12"/>
      <c r="ES12"/>
      <c r="ET12"/>
      <c r="EU12"/>
      <c r="EW12" s="103">
        <v>5</v>
      </c>
      <c r="EX12" s="105" t="e">
        <f t="shared" ca="1" si="0"/>
        <v>#REF!</v>
      </c>
      <c r="EY12" s="22"/>
    </row>
    <row r="13" spans="1:155" ht="15" x14ac:dyDescent="0.25">
      <c r="A13" s="77"/>
      <c r="B13" s="77"/>
      <c r="C13" s="78"/>
      <c r="D13" s="78"/>
      <c r="F13" s="78"/>
      <c r="G13" s="78"/>
      <c r="H13" s="78"/>
      <c r="I13" s="78"/>
      <c r="J13" s="78"/>
      <c r="K13" s="78"/>
      <c r="L13" s="78"/>
      <c r="M13" s="78"/>
      <c r="N13" s="78"/>
      <c r="O13" s="78"/>
      <c r="P13" s="78"/>
      <c r="Q13" s="78"/>
      <c r="R13" s="74"/>
      <c r="S13" s="74"/>
      <c r="T13" s="74"/>
      <c r="U13" s="74"/>
      <c r="V13" s="74"/>
      <c r="W13" s="74"/>
      <c r="X13" s="74"/>
      <c r="Y13" s="74"/>
      <c r="Z13" s="74"/>
      <c r="AA13" s="74"/>
      <c r="AB13" s="74"/>
      <c r="AC13" s="74"/>
      <c r="AD13" s="74"/>
      <c r="AE13" s="74"/>
      <c r="AF13" s="77"/>
      <c r="AG13" s="77"/>
      <c r="AH13" s="77"/>
      <c r="AI13" s="77"/>
      <c r="AJ13" s="77"/>
      <c r="AK13" s="79"/>
      <c r="AL13" s="79"/>
      <c r="AM13" s="79"/>
      <c r="AN13" s="79"/>
      <c r="AO13" s="79"/>
      <c r="AP13" s="79"/>
      <c r="AQ13" s="79"/>
      <c r="AR13" s="152"/>
      <c r="AS13" s="152"/>
      <c r="AT13" s="152"/>
      <c r="AU13" s="152"/>
      <c r="AV13" s="152"/>
      <c r="AW13" s="152"/>
      <c r="AX13" s="152"/>
      <c r="AY13" s="152"/>
      <c r="AZ13" s="152"/>
      <c r="BA13" s="152"/>
      <c r="BB13" s="153"/>
      <c r="BC13" s="153"/>
      <c r="BD13" s="153"/>
      <c r="BE13" s="153"/>
      <c r="BF13" s="153"/>
      <c r="BG13" s="153"/>
      <c r="BH13" s="153"/>
      <c r="BJ13" s="281" t="s">
        <v>1231</v>
      </c>
      <c r="BK13" s="308">
        <v>45750.578634259262</v>
      </c>
      <c r="BL13" s="270">
        <v>103956605.36561763</v>
      </c>
      <c r="BO13"/>
      <c r="BP13"/>
      <c r="BQ13"/>
      <c r="BR13"/>
      <c r="BS13"/>
      <c r="BT13"/>
      <c r="BU13"/>
      <c r="BV13"/>
      <c r="BW13"/>
      <c r="BX13"/>
      <c r="BY13"/>
      <c r="BZ13"/>
      <c r="CA13"/>
      <c r="CB13"/>
      <c r="CC13"/>
      <c r="CD13"/>
      <c r="CE13"/>
      <c r="CF13"/>
      <c r="CG13"/>
      <c r="CI13"/>
      <c r="CJ13"/>
      <c r="CK13"/>
      <c r="CM13" s="22"/>
      <c r="CN13"/>
      <c r="CO13"/>
      <c r="CP13"/>
      <c r="CQ13"/>
      <c r="CT13"/>
      <c r="CU13"/>
      <c r="CV13"/>
      <c r="CW13"/>
      <c r="CX13"/>
      <c r="CY13"/>
      <c r="CZ13"/>
      <c r="DA13"/>
      <c r="DC13"/>
      <c r="DD13"/>
      <c r="DE13"/>
      <c r="DJ13"/>
      <c r="DK13"/>
      <c r="DL13"/>
      <c r="DM13"/>
      <c r="DN13"/>
      <c r="DO13"/>
      <c r="DP13"/>
      <c r="DQ13"/>
      <c r="DR13" s="102"/>
      <c r="DS13"/>
      <c r="DT13"/>
      <c r="DU13"/>
      <c r="DV13"/>
      <c r="DW13"/>
      <c r="DX13"/>
      <c r="DY13"/>
      <c r="DZ13"/>
      <c r="EA13"/>
      <c r="EB13"/>
      <c r="EC13"/>
      <c r="ED13"/>
      <c r="EE13"/>
      <c r="EF13"/>
      <c r="EG13"/>
      <c r="EH13"/>
      <c r="EI13"/>
      <c r="EJ13"/>
      <c r="EK13"/>
      <c r="EL13"/>
      <c r="EM13"/>
      <c r="EN13"/>
      <c r="EO13"/>
      <c r="EP13"/>
      <c r="EQ13"/>
      <c r="ER13"/>
      <c r="ES13"/>
      <c r="ET13"/>
      <c r="EU13"/>
      <c r="EW13" s="103">
        <v>6</v>
      </c>
      <c r="EX13" s="105" t="e">
        <f t="shared" ca="1" si="0"/>
        <v>#REF!</v>
      </c>
      <c r="EY13" s="22"/>
    </row>
    <row r="14" spans="1:155" ht="15" x14ac:dyDescent="0.25">
      <c r="A14" s="77"/>
      <c r="B14" s="77"/>
      <c r="C14" s="78"/>
      <c r="D14" s="78"/>
      <c r="F14" s="78"/>
      <c r="G14" s="78"/>
      <c r="H14" s="78"/>
      <c r="I14" s="78"/>
      <c r="J14" s="78"/>
      <c r="K14" s="78"/>
      <c r="L14" s="78"/>
      <c r="M14" s="78"/>
      <c r="N14" s="78"/>
      <c r="O14" s="78"/>
      <c r="P14" s="78"/>
      <c r="Q14" s="78"/>
      <c r="R14" s="74"/>
      <c r="S14" s="74"/>
      <c r="T14" s="74"/>
      <c r="U14" s="74"/>
      <c r="V14" s="74"/>
      <c r="W14" s="74"/>
      <c r="X14" s="74"/>
      <c r="Y14" s="74"/>
      <c r="Z14" s="74"/>
      <c r="AA14" s="74"/>
      <c r="AB14" s="74"/>
      <c r="AC14" s="74"/>
      <c r="AD14" s="74"/>
      <c r="AE14" s="74"/>
      <c r="AF14" s="77"/>
      <c r="AG14" s="77"/>
      <c r="AH14" s="77"/>
      <c r="AI14" s="77"/>
      <c r="AJ14" s="77"/>
      <c r="AK14" s="79"/>
      <c r="AL14" s="79"/>
      <c r="AM14" s="79"/>
      <c r="AN14" s="79"/>
      <c r="AO14" s="79"/>
      <c r="AP14" s="79"/>
      <c r="AQ14" s="79"/>
      <c r="AR14" s="152"/>
      <c r="AS14" s="152"/>
      <c r="AT14" s="152"/>
      <c r="AU14" s="152"/>
      <c r="AV14" s="152"/>
      <c r="AW14" s="152"/>
      <c r="AX14" s="152"/>
      <c r="AY14" s="152"/>
      <c r="AZ14" s="152"/>
      <c r="BA14" s="152"/>
      <c r="BB14" s="153"/>
      <c r="BC14" s="153"/>
      <c r="BD14" s="153"/>
      <c r="BE14" s="153"/>
      <c r="BF14" s="153"/>
      <c r="BG14" s="153"/>
      <c r="BH14" s="153"/>
      <c r="BJ14" s="281" t="s">
        <v>1230</v>
      </c>
      <c r="BK14" s="290"/>
      <c r="BL14" s="270" t="e">
        <f>INDEX('Ref98'!$L$12:$Q$132,yn_TotalYearsOfAnalysis,6)*LAMP_Workbank</f>
        <v>#VALUE!</v>
      </c>
      <c r="BO14"/>
      <c r="BP14"/>
      <c r="BQ14"/>
      <c r="BR14"/>
      <c r="BS14"/>
      <c r="BT14"/>
      <c r="BU14"/>
      <c r="BV14"/>
      <c r="BW14"/>
      <c r="BX14"/>
      <c r="BY14"/>
      <c r="BZ14"/>
      <c r="CA14"/>
      <c r="CB14"/>
      <c r="CC14"/>
      <c r="CD14"/>
      <c r="CE14"/>
      <c r="CF14"/>
      <c r="CG14"/>
      <c r="CI14"/>
      <c r="CJ14"/>
      <c r="CK14"/>
      <c r="CM14" s="22"/>
      <c r="CN14"/>
      <c r="CO14"/>
      <c r="CP14"/>
      <c r="CQ14"/>
      <c r="CT14"/>
      <c r="CU14"/>
      <c r="CV14"/>
      <c r="CW14"/>
      <c r="CX14"/>
      <c r="CY14"/>
      <c r="CZ14"/>
      <c r="DA14"/>
      <c r="DC14"/>
      <c r="DD14"/>
      <c r="DE14"/>
      <c r="DJ14"/>
      <c r="DK14"/>
      <c r="DL14"/>
      <c r="DM14"/>
      <c r="DN14"/>
      <c r="DO14"/>
      <c r="DP14"/>
      <c r="DQ14"/>
      <c r="DR14" s="102"/>
      <c r="DS14"/>
      <c r="DT14"/>
      <c r="DU14"/>
      <c r="DV14"/>
      <c r="DW14"/>
      <c r="DX14"/>
      <c r="DY14"/>
      <c r="DZ14"/>
      <c r="EA14"/>
      <c r="EB14"/>
      <c r="EC14"/>
      <c r="ED14"/>
      <c r="EE14"/>
      <c r="EF14"/>
      <c r="EG14"/>
      <c r="EH14"/>
      <c r="EI14"/>
      <c r="EJ14"/>
      <c r="EK14"/>
      <c r="EL14"/>
      <c r="EM14"/>
      <c r="EN14"/>
      <c r="EO14"/>
      <c r="EP14"/>
      <c r="EQ14"/>
      <c r="ER14"/>
      <c r="ES14"/>
      <c r="ET14"/>
      <c r="EU14"/>
      <c r="EW14" s="103">
        <v>7</v>
      </c>
      <c r="EX14" s="105" t="e">
        <f t="shared" ca="1" si="0"/>
        <v>#REF!</v>
      </c>
      <c r="EY14" s="22"/>
    </row>
    <row r="15" spans="1:155" ht="15" x14ac:dyDescent="0.25">
      <c r="A15" s="77"/>
      <c r="B15" s="77"/>
      <c r="C15" s="78"/>
      <c r="D15" s="78"/>
      <c r="F15" s="78"/>
      <c r="G15" s="78"/>
      <c r="H15" s="78"/>
      <c r="I15" s="78"/>
      <c r="J15" s="78"/>
      <c r="K15" s="78"/>
      <c r="L15" s="78"/>
      <c r="M15" s="78"/>
      <c r="N15" s="78"/>
      <c r="O15" s="78"/>
      <c r="P15" s="78"/>
      <c r="Q15" s="78"/>
      <c r="R15" s="74"/>
      <c r="S15" s="74"/>
      <c r="T15" s="74"/>
      <c r="U15" s="74"/>
      <c r="V15" s="74"/>
      <c r="W15" s="74"/>
      <c r="X15" s="74"/>
      <c r="Y15" s="74"/>
      <c r="Z15" s="74"/>
      <c r="AA15" s="74"/>
      <c r="AB15" s="74"/>
      <c r="AC15" s="74"/>
      <c r="AD15" s="74"/>
      <c r="AE15" s="74"/>
      <c r="AF15" s="77"/>
      <c r="AG15" s="77"/>
      <c r="AH15" s="77"/>
      <c r="AI15" s="77"/>
      <c r="AJ15" s="77"/>
      <c r="AK15" s="79"/>
      <c r="AL15" s="79"/>
      <c r="AM15" s="79"/>
      <c r="AN15" s="79"/>
      <c r="AO15" s="79"/>
      <c r="AP15" s="79"/>
      <c r="AQ15" s="79"/>
      <c r="AR15" s="152"/>
      <c r="AS15" s="152"/>
      <c r="AT15" s="152"/>
      <c r="AU15" s="152"/>
      <c r="AV15" s="152"/>
      <c r="AW15" s="152"/>
      <c r="AX15" s="152"/>
      <c r="AY15" s="152"/>
      <c r="AZ15" s="152"/>
      <c r="BA15" s="152"/>
      <c r="BB15" s="153"/>
      <c r="BC15" s="153"/>
      <c r="BD15" s="153"/>
      <c r="BE15" s="153"/>
      <c r="BF15" s="153"/>
      <c r="BG15" s="153"/>
      <c r="BH15" s="153"/>
      <c r="BI15" s="67"/>
      <c r="BO15"/>
      <c r="BP15"/>
      <c r="BQ15"/>
      <c r="BR15"/>
      <c r="BS15"/>
      <c r="BT15"/>
      <c r="BU15"/>
      <c r="BV15"/>
      <c r="BW15"/>
      <c r="BX15"/>
      <c r="BY15"/>
      <c r="BZ15"/>
      <c r="CA15"/>
      <c r="CB15"/>
      <c r="CC15"/>
      <c r="CD15"/>
      <c r="CE15"/>
      <c r="CF15"/>
      <c r="CG15"/>
      <c r="CI15"/>
      <c r="CJ15"/>
      <c r="CK15"/>
      <c r="CM15" s="22"/>
      <c r="CN15"/>
      <c r="CO15"/>
      <c r="CP15"/>
      <c r="CQ15"/>
      <c r="CT15"/>
      <c r="CU15"/>
      <c r="CV15"/>
      <c r="CW15"/>
      <c r="CX15"/>
      <c r="CY15"/>
      <c r="CZ15"/>
      <c r="DA15"/>
      <c r="DC15"/>
      <c r="DD15"/>
      <c r="DE15"/>
      <c r="DJ15"/>
      <c r="DK15"/>
      <c r="DL15"/>
      <c r="DM15"/>
      <c r="DN15"/>
      <c r="DO15"/>
      <c r="DP15"/>
      <c r="DQ15"/>
      <c r="DR15" s="102"/>
      <c r="DS15"/>
      <c r="DT15"/>
      <c r="DU15"/>
      <c r="DV15"/>
      <c r="DW15"/>
      <c r="DX15"/>
      <c r="DY15"/>
      <c r="DZ15"/>
      <c r="EA15"/>
      <c r="EB15"/>
      <c r="EC15"/>
      <c r="ED15"/>
      <c r="EE15"/>
      <c r="EF15"/>
      <c r="EG15"/>
      <c r="EH15"/>
      <c r="EI15"/>
      <c r="EJ15"/>
      <c r="EK15"/>
      <c r="EL15"/>
      <c r="EM15"/>
      <c r="EN15"/>
      <c r="EO15"/>
      <c r="EP15"/>
      <c r="EQ15"/>
      <c r="ER15"/>
      <c r="ES15"/>
      <c r="ET15"/>
      <c r="EU15"/>
      <c r="EW15" s="103">
        <v>8</v>
      </c>
      <c r="EX15" s="105" t="e">
        <f t="shared" ca="1" si="0"/>
        <v>#REF!</v>
      </c>
      <c r="EY15" s="22"/>
    </row>
    <row r="16" spans="1:155" ht="15" x14ac:dyDescent="0.25">
      <c r="A16" s="77"/>
      <c r="B16" s="77"/>
      <c r="C16" s="78"/>
      <c r="D16" s="78"/>
      <c r="F16" s="78"/>
      <c r="G16" s="78"/>
      <c r="H16" s="78"/>
      <c r="I16" s="78"/>
      <c r="J16" s="78"/>
      <c r="K16" s="78"/>
      <c r="L16" s="78"/>
      <c r="M16" s="78"/>
      <c r="N16" s="78"/>
      <c r="O16" s="78"/>
      <c r="P16" s="78"/>
      <c r="Q16" s="78"/>
      <c r="R16" s="74"/>
      <c r="S16" s="74"/>
      <c r="T16" s="74"/>
      <c r="U16" s="74"/>
      <c r="V16" s="74"/>
      <c r="W16" s="74"/>
      <c r="X16" s="74"/>
      <c r="Y16" s="74"/>
      <c r="Z16" s="74"/>
      <c r="AA16" s="74"/>
      <c r="AB16" s="74"/>
      <c r="AC16" s="74"/>
      <c r="AD16" s="74"/>
      <c r="AE16" s="74"/>
      <c r="AF16" s="77"/>
      <c r="AG16" s="77"/>
      <c r="AH16" s="77"/>
      <c r="AI16" s="77"/>
      <c r="AJ16" s="77"/>
      <c r="AK16" s="79"/>
      <c r="AL16" s="79"/>
      <c r="AM16" s="79"/>
      <c r="AN16" s="79"/>
      <c r="AO16" s="79"/>
      <c r="AP16" s="79"/>
      <c r="AQ16" s="79"/>
      <c r="AR16" s="152"/>
      <c r="AS16" s="152"/>
      <c r="AT16" s="152"/>
      <c r="AU16" s="152"/>
      <c r="AV16" s="152"/>
      <c r="AW16" s="152"/>
      <c r="AX16" s="152"/>
      <c r="AY16" s="152"/>
      <c r="AZ16" s="152"/>
      <c r="BA16" s="152"/>
      <c r="BB16" s="153"/>
      <c r="BC16" s="153"/>
      <c r="BD16" s="153"/>
      <c r="BE16" s="153"/>
      <c r="BF16" s="153"/>
      <c r="BG16" s="153"/>
      <c r="BH16" s="153"/>
      <c r="BI16" s="67"/>
      <c r="BO16"/>
      <c r="BP16"/>
      <c r="BQ16"/>
      <c r="BR16"/>
      <c r="BS16"/>
      <c r="BT16"/>
      <c r="BU16"/>
      <c r="BV16"/>
      <c r="BW16"/>
      <c r="BX16"/>
      <c r="BY16"/>
      <c r="BZ16"/>
      <c r="CA16"/>
      <c r="CB16"/>
      <c r="CC16"/>
      <c r="CD16"/>
      <c r="CE16"/>
      <c r="CF16"/>
      <c r="CG16"/>
      <c r="CI16"/>
      <c r="CJ16"/>
      <c r="CK16"/>
      <c r="CM16" s="22"/>
      <c r="CN16"/>
      <c r="CO16"/>
      <c r="CP16"/>
      <c r="CQ16"/>
      <c r="CT16"/>
      <c r="CU16"/>
      <c r="CV16"/>
      <c r="CW16"/>
      <c r="CX16"/>
      <c r="CY16"/>
      <c r="CZ16"/>
      <c r="DA16"/>
      <c r="DC16"/>
      <c r="DD16"/>
      <c r="DE16"/>
      <c r="DJ16"/>
      <c r="DK16"/>
      <c r="DL16"/>
      <c r="DM16"/>
      <c r="DN16"/>
      <c r="DO16"/>
      <c r="DP16"/>
      <c r="DQ16"/>
      <c r="DR16" s="102"/>
      <c r="DS16"/>
      <c r="DT16"/>
      <c r="DU16"/>
      <c r="DV16"/>
      <c r="DW16"/>
      <c r="DX16"/>
      <c r="DY16"/>
      <c r="DZ16"/>
      <c r="EA16"/>
      <c r="EB16"/>
      <c r="EC16"/>
      <c r="ED16"/>
      <c r="EE16"/>
      <c r="EF16"/>
      <c r="EG16"/>
      <c r="EH16"/>
      <c r="EI16"/>
      <c r="EJ16"/>
      <c r="EK16"/>
      <c r="EL16"/>
      <c r="EM16"/>
      <c r="EN16"/>
      <c r="EO16"/>
      <c r="EP16"/>
      <c r="EQ16"/>
      <c r="ER16"/>
      <c r="ES16"/>
      <c r="ET16"/>
      <c r="EU16"/>
      <c r="EW16" s="103">
        <v>9</v>
      </c>
      <c r="EX16" s="105" t="e">
        <f t="shared" ca="1" si="0"/>
        <v>#REF!</v>
      </c>
      <c r="EY16" s="22"/>
    </row>
    <row r="17" spans="1:154" ht="15" x14ac:dyDescent="0.25">
      <c r="A17" s="77"/>
      <c r="B17" s="77"/>
      <c r="C17" s="78"/>
      <c r="D17" s="78"/>
      <c r="F17" s="78"/>
      <c r="G17" s="78"/>
      <c r="H17" s="78"/>
      <c r="I17" s="78"/>
      <c r="J17" s="78"/>
      <c r="K17" s="78"/>
      <c r="L17" s="78"/>
      <c r="M17" s="78"/>
      <c r="N17" s="78"/>
      <c r="O17" s="78"/>
      <c r="P17" s="78"/>
      <c r="Q17" s="78"/>
      <c r="R17" s="74"/>
      <c r="S17" s="74"/>
      <c r="T17" s="74"/>
      <c r="U17" s="74"/>
      <c r="V17" s="74"/>
      <c r="W17" s="74"/>
      <c r="X17" s="74"/>
      <c r="Y17" s="74"/>
      <c r="Z17" s="74"/>
      <c r="AA17" s="74"/>
      <c r="AB17" s="74"/>
      <c r="AC17" s="74"/>
      <c r="AD17" s="74"/>
      <c r="AE17" s="74"/>
      <c r="AF17" s="77"/>
      <c r="AG17" s="77"/>
      <c r="AH17" s="77"/>
      <c r="AI17" s="77"/>
      <c r="AJ17" s="77"/>
      <c r="AK17" s="79"/>
      <c r="AL17" s="79"/>
      <c r="AM17" s="79"/>
      <c r="AN17" s="79"/>
      <c r="AO17" s="79"/>
      <c r="AP17" s="79"/>
      <c r="AQ17" s="79"/>
      <c r="AR17" s="152"/>
      <c r="AS17" s="152"/>
      <c r="AT17" s="152"/>
      <c r="AU17" s="152"/>
      <c r="AV17" s="152"/>
      <c r="AW17" s="152"/>
      <c r="AX17" s="152"/>
      <c r="AY17" s="152"/>
      <c r="AZ17" s="152"/>
      <c r="BA17" s="152"/>
      <c r="BB17" s="153"/>
      <c r="BC17" s="153"/>
      <c r="BD17" s="153"/>
      <c r="BE17" s="153"/>
      <c r="BF17" s="153"/>
      <c r="BG17" s="153"/>
      <c r="BH17" s="153"/>
      <c r="BI17" s="67"/>
      <c r="BO17"/>
      <c r="BP17"/>
      <c r="BQ17"/>
      <c r="BR17"/>
      <c r="BS17"/>
      <c r="BT17"/>
      <c r="BU17"/>
      <c r="BV17"/>
      <c r="BW17"/>
      <c r="BX17"/>
      <c r="BY17"/>
      <c r="BZ17"/>
      <c r="CA17"/>
      <c r="CB17"/>
      <c r="CC17"/>
      <c r="CD17"/>
      <c r="CE17"/>
      <c r="CF17"/>
      <c r="CG17"/>
      <c r="CI17"/>
      <c r="CJ17"/>
      <c r="CK17"/>
      <c r="CM17" s="22"/>
      <c r="CN17"/>
      <c r="CO17"/>
      <c r="CP17"/>
      <c r="CQ17"/>
      <c r="CT17"/>
      <c r="CU17"/>
      <c r="CV17"/>
      <c r="CW17"/>
      <c r="CX17"/>
      <c r="CY17"/>
      <c r="CZ17"/>
      <c r="DA17"/>
      <c r="DC17"/>
      <c r="DD17"/>
      <c r="DE17"/>
      <c r="DJ17"/>
      <c r="DK17"/>
      <c r="DL17"/>
      <c r="DM17"/>
      <c r="DN17"/>
      <c r="DO17"/>
      <c r="DP17"/>
      <c r="DQ17"/>
      <c r="DR17" s="102"/>
      <c r="DS17"/>
      <c r="DT17"/>
      <c r="DU17"/>
      <c r="DV17"/>
      <c r="DW17"/>
      <c r="DX17"/>
      <c r="DY17"/>
      <c r="DZ17"/>
      <c r="EA17"/>
      <c r="EB17"/>
      <c r="EC17"/>
      <c r="ED17"/>
      <c r="EE17"/>
      <c r="EF17"/>
      <c r="EG17"/>
      <c r="EH17"/>
      <c r="EI17"/>
      <c r="EJ17"/>
      <c r="EK17"/>
      <c r="EL17"/>
      <c r="EM17"/>
      <c r="EN17"/>
      <c r="EO17"/>
      <c r="EP17"/>
      <c r="EQ17"/>
      <c r="ER17"/>
      <c r="ES17"/>
      <c r="ET17"/>
      <c r="EU17"/>
      <c r="EW17" s="103">
        <v>10</v>
      </c>
      <c r="EX17" s="105" t="e">
        <f t="shared" ca="1" si="0"/>
        <v>#REF!</v>
      </c>
    </row>
    <row r="18" spans="1:154" ht="15" x14ac:dyDescent="0.25">
      <c r="A18" s="77"/>
      <c r="B18" s="77"/>
      <c r="C18" s="78"/>
      <c r="D18" s="78"/>
      <c r="F18" s="78"/>
      <c r="G18" s="78"/>
      <c r="H18" s="78"/>
      <c r="I18" s="78"/>
      <c r="J18" s="78"/>
      <c r="K18" s="78"/>
      <c r="L18" s="78"/>
      <c r="M18" s="78"/>
      <c r="N18" s="78"/>
      <c r="O18" s="78"/>
      <c r="P18" s="78"/>
      <c r="Q18" s="78"/>
      <c r="R18" s="74"/>
      <c r="S18" s="74"/>
      <c r="T18" s="74"/>
      <c r="U18" s="74"/>
      <c r="V18" s="74"/>
      <c r="W18" s="74"/>
      <c r="X18" s="74"/>
      <c r="Y18" s="74"/>
      <c r="Z18" s="74"/>
      <c r="AA18" s="74"/>
      <c r="AB18" s="74"/>
      <c r="AC18" s="74"/>
      <c r="AD18" s="74"/>
      <c r="AE18" s="74"/>
      <c r="AF18" s="77"/>
      <c r="AG18" s="77"/>
      <c r="AH18" s="77"/>
      <c r="AI18" s="77"/>
      <c r="AJ18" s="77"/>
      <c r="AK18" s="79"/>
      <c r="AL18" s="79"/>
      <c r="AM18" s="79"/>
      <c r="AN18" s="79"/>
      <c r="AO18" s="79"/>
      <c r="AP18" s="79"/>
      <c r="AQ18" s="79"/>
      <c r="AR18" s="152"/>
      <c r="AS18" s="152"/>
      <c r="AT18" s="152"/>
      <c r="AU18" s="152"/>
      <c r="AV18" s="152"/>
      <c r="AW18" s="152"/>
      <c r="AX18" s="152"/>
      <c r="AY18" s="152"/>
      <c r="AZ18" s="152"/>
      <c r="BA18" s="152"/>
      <c r="BB18" s="153"/>
      <c r="BC18" s="153"/>
      <c r="BD18" s="153"/>
      <c r="BE18" s="153"/>
      <c r="BF18" s="153"/>
      <c r="BG18" s="153"/>
      <c r="BH18" s="153"/>
      <c r="BO18"/>
      <c r="BP18"/>
      <c r="BQ18"/>
      <c r="BR18"/>
      <c r="BS18"/>
      <c r="BT18"/>
      <c r="BU18"/>
      <c r="BV18"/>
      <c r="BW18"/>
      <c r="BX18"/>
      <c r="BY18"/>
      <c r="BZ18"/>
      <c r="CA18"/>
      <c r="CB18"/>
      <c r="CC18"/>
      <c r="CD18"/>
      <c r="CE18"/>
      <c r="CF18"/>
      <c r="CG18"/>
      <c r="CI18"/>
      <c r="CJ18"/>
      <c r="CK18"/>
      <c r="CM18" s="22"/>
      <c r="CN18"/>
      <c r="CO18"/>
      <c r="CP18"/>
      <c r="CQ18"/>
      <c r="CT18"/>
      <c r="CU18"/>
      <c r="CV18"/>
      <c r="CW18"/>
      <c r="CX18"/>
      <c r="CY18"/>
      <c r="CZ18"/>
      <c r="DA18"/>
      <c r="DC18"/>
      <c r="DD18"/>
      <c r="DE18"/>
      <c r="DJ18"/>
      <c r="DK18"/>
      <c r="DL18"/>
      <c r="DM18"/>
      <c r="DN18"/>
      <c r="DO18"/>
      <c r="DP18"/>
      <c r="DQ18" s="102"/>
      <c r="DR18" s="102"/>
      <c r="DS18"/>
      <c r="DT18"/>
      <c r="DU18"/>
      <c r="DV18"/>
      <c r="DW18"/>
      <c r="DX18"/>
      <c r="DY18"/>
      <c r="DZ18"/>
      <c r="EA18"/>
      <c r="EB18"/>
      <c r="EC18"/>
      <c r="ED18"/>
      <c r="EE18"/>
      <c r="EF18"/>
      <c r="EG18"/>
      <c r="EH18"/>
      <c r="EI18"/>
      <c r="EJ18"/>
      <c r="EK18"/>
      <c r="EL18"/>
      <c r="EM18"/>
      <c r="EN18"/>
      <c r="EO18"/>
      <c r="EP18"/>
      <c r="EQ18"/>
      <c r="ER18"/>
      <c r="ES18"/>
      <c r="ET18"/>
      <c r="EW18" s="103">
        <v>11</v>
      </c>
      <c r="EX18" s="105" t="e">
        <f t="shared" ca="1" si="0"/>
        <v>#REF!</v>
      </c>
    </row>
    <row r="19" spans="1:154" ht="15" x14ac:dyDescent="0.25">
      <c r="A19" s="77"/>
      <c r="B19" s="77"/>
      <c r="C19" s="78"/>
      <c r="D19" s="78"/>
      <c r="F19" s="78"/>
      <c r="G19" s="78"/>
      <c r="H19" s="78"/>
      <c r="I19" s="78"/>
      <c r="J19" s="78"/>
      <c r="K19" s="78"/>
      <c r="L19" s="78"/>
      <c r="M19" s="78"/>
      <c r="N19" s="78"/>
      <c r="O19" s="78"/>
      <c r="P19" s="78"/>
      <c r="Q19" s="78"/>
      <c r="R19" s="74"/>
      <c r="S19" s="74"/>
      <c r="T19" s="74"/>
      <c r="U19" s="74"/>
      <c r="V19" s="74"/>
      <c r="W19" s="74"/>
      <c r="X19" s="74"/>
      <c r="Y19" s="74"/>
      <c r="Z19" s="74"/>
      <c r="AA19" s="74"/>
      <c r="AB19" s="74"/>
      <c r="AC19" s="74"/>
      <c r="AD19" s="74"/>
      <c r="AE19" s="74"/>
      <c r="AF19" s="77"/>
      <c r="AG19" s="77"/>
      <c r="AH19" s="77"/>
      <c r="AI19" s="77"/>
      <c r="AJ19" s="77"/>
      <c r="AK19" s="79"/>
      <c r="AL19" s="79"/>
      <c r="AM19" s="79"/>
      <c r="AN19" s="79"/>
      <c r="AO19" s="79"/>
      <c r="AP19" s="79"/>
      <c r="AQ19" s="79"/>
      <c r="AR19" s="152"/>
      <c r="AS19" s="152"/>
      <c r="AT19" s="152"/>
      <c r="AU19" s="152"/>
      <c r="AV19" s="152"/>
      <c r="AW19" s="152"/>
      <c r="AX19" s="152"/>
      <c r="AY19" s="152"/>
      <c r="AZ19" s="152"/>
      <c r="BA19" s="152"/>
      <c r="BB19" s="153"/>
      <c r="BC19" s="153"/>
      <c r="BD19" s="153"/>
      <c r="BE19" s="153"/>
      <c r="BF19" s="153"/>
      <c r="BG19" s="153"/>
      <c r="BH19" s="153"/>
      <c r="BO19"/>
      <c r="BP19"/>
      <c r="BQ19"/>
      <c r="BR19"/>
      <c r="BS19"/>
      <c r="BT19"/>
      <c r="BU19"/>
      <c r="BV19"/>
      <c r="BW19"/>
      <c r="BX19"/>
      <c r="BY19"/>
      <c r="BZ19"/>
      <c r="CA19"/>
      <c r="CB19"/>
      <c r="CC19"/>
      <c r="CD19"/>
      <c r="CE19"/>
      <c r="CF19"/>
      <c r="CG19"/>
      <c r="CI19"/>
      <c r="CJ19"/>
      <c r="CK19"/>
      <c r="CM19" s="22"/>
      <c r="CN19"/>
      <c r="CO19"/>
      <c r="CP19"/>
      <c r="CQ19"/>
      <c r="CT19"/>
      <c r="CU19"/>
      <c r="CV19"/>
      <c r="CW19"/>
      <c r="CX19"/>
      <c r="CY19"/>
      <c r="CZ19"/>
      <c r="DA19"/>
      <c r="DC19"/>
      <c r="DD19"/>
      <c r="DE19"/>
      <c r="DJ19"/>
      <c r="DK19"/>
      <c r="DL19"/>
      <c r="DM19"/>
      <c r="DN19"/>
      <c r="DO19"/>
      <c r="DP19"/>
      <c r="DQ19" s="102"/>
      <c r="DR19" s="102"/>
      <c r="DS19"/>
      <c r="DT19"/>
      <c r="DU19"/>
      <c r="DV19"/>
      <c r="DW19"/>
      <c r="DX19"/>
      <c r="DY19"/>
      <c r="DZ19"/>
      <c r="EA19"/>
      <c r="EB19"/>
      <c r="EC19"/>
      <c r="ED19"/>
      <c r="EE19"/>
      <c r="EF19"/>
      <c r="EG19"/>
      <c r="EH19"/>
      <c r="EI19"/>
      <c r="EJ19"/>
      <c r="EK19"/>
      <c r="EL19"/>
      <c r="EM19"/>
      <c r="EN19"/>
      <c r="EO19"/>
      <c r="EP19"/>
      <c r="EQ19"/>
      <c r="ER19"/>
      <c r="ES19"/>
      <c r="ET19"/>
      <c r="EW19" s="103">
        <v>12</v>
      </c>
      <c r="EX19" s="105" t="e">
        <f t="shared" ca="1" si="0"/>
        <v>#REF!</v>
      </c>
    </row>
    <row r="20" spans="1:154" ht="15" x14ac:dyDescent="0.25">
      <c r="A20" s="77"/>
      <c r="B20" s="77"/>
      <c r="C20" s="78"/>
      <c r="D20" s="78"/>
      <c r="F20" s="78"/>
      <c r="G20" s="78"/>
      <c r="H20" s="78"/>
      <c r="I20" s="78"/>
      <c r="J20" s="78"/>
      <c r="K20" s="78"/>
      <c r="L20" s="78"/>
      <c r="M20" s="78"/>
      <c r="N20" s="78"/>
      <c r="O20" s="78"/>
      <c r="P20" s="78"/>
      <c r="Q20" s="78"/>
      <c r="R20" s="74"/>
      <c r="S20" s="74"/>
      <c r="T20" s="74"/>
      <c r="U20" s="74"/>
      <c r="V20" s="74"/>
      <c r="W20" s="74"/>
      <c r="X20" s="74"/>
      <c r="Y20" s="74"/>
      <c r="Z20" s="74"/>
      <c r="AA20" s="74"/>
      <c r="AB20" s="74"/>
      <c r="AC20" s="74"/>
      <c r="AD20" s="74"/>
      <c r="AE20" s="74"/>
      <c r="AF20" s="77"/>
      <c r="AG20" s="77"/>
      <c r="AH20" s="77"/>
      <c r="AI20" s="77"/>
      <c r="AJ20" s="77"/>
      <c r="AK20" s="79"/>
      <c r="AL20" s="79"/>
      <c r="AM20" s="79"/>
      <c r="AN20" s="79"/>
      <c r="AO20" s="79"/>
      <c r="AP20" s="79"/>
      <c r="AQ20" s="79"/>
      <c r="AR20" s="152"/>
      <c r="AS20" s="152"/>
      <c r="AT20" s="152"/>
      <c r="AU20" s="152"/>
      <c r="AV20" s="152"/>
      <c r="AW20" s="152"/>
      <c r="AX20" s="152"/>
      <c r="AY20" s="152"/>
      <c r="AZ20" s="152"/>
      <c r="BA20" s="152"/>
      <c r="BB20" s="153"/>
      <c r="BC20" s="153"/>
      <c r="BD20" s="153"/>
      <c r="BE20" s="153"/>
      <c r="BF20" s="153"/>
      <c r="BG20" s="153"/>
      <c r="BH20" s="153"/>
      <c r="BI20" s="67"/>
      <c r="BO20"/>
      <c r="BP20"/>
      <c r="BQ20"/>
      <c r="BR20"/>
      <c r="BS20"/>
      <c r="BT20"/>
      <c r="BU20"/>
      <c r="BV20"/>
      <c r="BW20"/>
      <c r="BX20"/>
      <c r="BY20"/>
      <c r="BZ20"/>
      <c r="CA20"/>
      <c r="CB20"/>
      <c r="CC20"/>
      <c r="CD20"/>
      <c r="CE20"/>
      <c r="CF20"/>
      <c r="CG20" s="22"/>
      <c r="CH20" s="22"/>
      <c r="CI20"/>
      <c r="CJ20"/>
      <c r="CK20"/>
      <c r="CM20" s="22"/>
      <c r="CN20"/>
      <c r="CO20"/>
      <c r="CP20"/>
      <c r="CQ20"/>
      <c r="CT20"/>
      <c r="CU20"/>
      <c r="CV20"/>
      <c r="CW20"/>
      <c r="CX20"/>
      <c r="CY20"/>
      <c r="CZ20"/>
      <c r="DA20"/>
      <c r="DC20"/>
      <c r="DD20"/>
      <c r="DE20"/>
      <c r="DJ20"/>
      <c r="DK20"/>
      <c r="DL20"/>
      <c r="DM20"/>
      <c r="DN20"/>
      <c r="DO20"/>
      <c r="DP20"/>
      <c r="DQ20" s="102"/>
      <c r="DR20" s="102"/>
      <c r="DS20"/>
      <c r="DT20"/>
      <c r="DU20"/>
      <c r="DV20"/>
      <c r="DW20"/>
      <c r="DX20"/>
      <c r="DY20"/>
      <c r="DZ20"/>
      <c r="EA20"/>
      <c r="EB20"/>
      <c r="EC20"/>
      <c r="ED20"/>
      <c r="EE20"/>
      <c r="EF20"/>
      <c r="EG20"/>
      <c r="EH20"/>
      <c r="EI20"/>
      <c r="EJ20"/>
      <c r="EK20"/>
      <c r="EL20"/>
      <c r="EM20"/>
      <c r="EN20"/>
      <c r="EO20"/>
      <c r="EP20"/>
      <c r="EQ20"/>
      <c r="ER20"/>
      <c r="ES20"/>
      <c r="ET20"/>
      <c r="EW20" s="103">
        <v>13</v>
      </c>
      <c r="EX20" s="105" t="e">
        <f t="shared" ca="1" si="0"/>
        <v>#REF!</v>
      </c>
    </row>
    <row r="21" spans="1:154" ht="15" x14ac:dyDescent="0.25">
      <c r="A21" s="77"/>
      <c r="B21" s="77"/>
      <c r="C21" s="78"/>
      <c r="D21" s="78"/>
      <c r="F21" s="78"/>
      <c r="G21" s="78"/>
      <c r="H21" s="78"/>
      <c r="I21" s="78"/>
      <c r="J21" s="78"/>
      <c r="K21" s="78"/>
      <c r="L21" s="78"/>
      <c r="M21" s="78"/>
      <c r="N21" s="78"/>
      <c r="O21" s="78"/>
      <c r="P21" s="78"/>
      <c r="Q21" s="78"/>
      <c r="R21" s="74"/>
      <c r="S21" s="74"/>
      <c r="T21" s="74"/>
      <c r="U21" s="74"/>
      <c r="V21" s="74"/>
      <c r="W21" s="74"/>
      <c r="X21" s="74"/>
      <c r="Y21" s="74"/>
      <c r="Z21" s="74"/>
      <c r="AA21" s="74"/>
      <c r="AB21" s="74"/>
      <c r="AC21" s="74"/>
      <c r="AD21" s="74"/>
      <c r="AE21" s="74"/>
      <c r="AF21" s="77"/>
      <c r="AG21" s="77"/>
      <c r="AH21" s="77"/>
      <c r="AI21" s="77"/>
      <c r="AJ21" s="77"/>
      <c r="AK21" s="79"/>
      <c r="AL21" s="79"/>
      <c r="AM21" s="79"/>
      <c r="AN21" s="79"/>
      <c r="AO21" s="79"/>
      <c r="AP21" s="79"/>
      <c r="AQ21" s="79"/>
      <c r="AR21" s="152"/>
      <c r="AS21" s="152"/>
      <c r="AT21" s="152"/>
      <c r="AU21" s="152"/>
      <c r="AV21" s="152"/>
      <c r="AW21" s="152"/>
      <c r="AX21" s="152"/>
      <c r="AY21" s="152"/>
      <c r="AZ21" s="152"/>
      <c r="BA21" s="152"/>
      <c r="BB21" s="153"/>
      <c r="BC21" s="153"/>
      <c r="BD21" s="153"/>
      <c r="BE21" s="153"/>
      <c r="BF21" s="153"/>
      <c r="BG21" s="153"/>
      <c r="BH21" s="153"/>
      <c r="BI21" s="67"/>
      <c r="BO21"/>
      <c r="BP21"/>
      <c r="BQ21"/>
      <c r="BR21"/>
      <c r="BS21"/>
      <c r="BT21"/>
      <c r="BU21"/>
      <c r="BV21"/>
      <c r="BW21"/>
      <c r="BX21"/>
      <c r="BY21"/>
      <c r="BZ21"/>
      <c r="CA21"/>
      <c r="CB21"/>
      <c r="CC21"/>
      <c r="CD21"/>
      <c r="CE21"/>
      <c r="CF21"/>
      <c r="CG21" s="22"/>
      <c r="CH21" s="22"/>
      <c r="CI21"/>
      <c r="CJ21"/>
      <c r="CK21"/>
      <c r="CM21" s="22"/>
      <c r="CN21"/>
      <c r="CO21"/>
      <c r="CP21"/>
      <c r="CQ21"/>
      <c r="CT21"/>
      <c r="CU21"/>
      <c r="CV21"/>
      <c r="CW21"/>
      <c r="CX21"/>
      <c r="CY21"/>
      <c r="CZ21"/>
      <c r="DA21"/>
      <c r="DB21"/>
      <c r="DC21"/>
      <c r="DD21"/>
      <c r="DE21"/>
      <c r="DF21"/>
      <c r="DG21"/>
      <c r="DH21"/>
      <c r="DI21"/>
      <c r="DJ21"/>
      <c r="DK21"/>
      <c r="DL21"/>
      <c r="DM21"/>
      <c r="DN21"/>
      <c r="DO21"/>
      <c r="DP21"/>
      <c r="DS21"/>
      <c r="DT21"/>
      <c r="DU21"/>
      <c r="DV21"/>
      <c r="DW21"/>
      <c r="DX21"/>
      <c r="DY21"/>
      <c r="DZ21"/>
      <c r="EA21"/>
      <c r="EB21"/>
      <c r="EC21"/>
      <c r="ED21"/>
      <c r="EE21"/>
      <c r="EF21"/>
      <c r="EG21"/>
      <c r="EH21"/>
      <c r="EI21"/>
      <c r="EJ21"/>
      <c r="EK21"/>
      <c r="EL21"/>
      <c r="EM21"/>
      <c r="EN21"/>
      <c r="EO21"/>
      <c r="EP21"/>
      <c r="EQ21"/>
      <c r="ER21"/>
      <c r="ES21"/>
      <c r="ET21"/>
      <c r="EW21" s="103">
        <v>14</v>
      </c>
      <c r="EX21" s="105" t="e">
        <f t="shared" ca="1" si="0"/>
        <v>#REF!</v>
      </c>
    </row>
    <row r="22" spans="1:154" ht="15" x14ac:dyDescent="0.25">
      <c r="A22" s="77"/>
      <c r="B22" s="77"/>
      <c r="C22" s="78"/>
      <c r="D22" s="78"/>
      <c r="F22" s="78"/>
      <c r="G22" s="78"/>
      <c r="H22" s="78"/>
      <c r="I22" s="78"/>
      <c r="J22" s="78"/>
      <c r="K22" s="78"/>
      <c r="L22" s="78"/>
      <c r="M22" s="78"/>
      <c r="N22" s="78"/>
      <c r="O22" s="78"/>
      <c r="P22" s="78"/>
      <c r="Q22" s="78"/>
      <c r="R22" s="74"/>
      <c r="S22" s="74"/>
      <c r="T22" s="74"/>
      <c r="U22" s="74"/>
      <c r="V22" s="74"/>
      <c r="W22" s="74"/>
      <c r="X22" s="74"/>
      <c r="Y22" s="74"/>
      <c r="Z22" s="74"/>
      <c r="AA22" s="74"/>
      <c r="AB22" s="74"/>
      <c r="AC22" s="74"/>
      <c r="AD22" s="74"/>
      <c r="AE22" s="74"/>
      <c r="AF22" s="77"/>
      <c r="AG22" s="77"/>
      <c r="AH22" s="77"/>
      <c r="AI22" s="77"/>
      <c r="AJ22" s="77"/>
      <c r="AK22" s="79"/>
      <c r="AL22" s="79"/>
      <c r="AM22" s="79"/>
      <c r="AN22" s="79"/>
      <c r="AO22" s="79"/>
      <c r="AP22" s="79"/>
      <c r="AQ22" s="79"/>
      <c r="AR22" s="152"/>
      <c r="AS22" s="152"/>
      <c r="AT22" s="152"/>
      <c r="AU22" s="152"/>
      <c r="AV22" s="152"/>
      <c r="AW22" s="152"/>
      <c r="AX22" s="152"/>
      <c r="AY22" s="152"/>
      <c r="AZ22" s="152"/>
      <c r="BA22" s="152"/>
      <c r="BB22" s="153"/>
      <c r="BC22" s="153"/>
      <c r="BD22" s="153"/>
      <c r="BE22" s="153"/>
      <c r="BF22" s="153"/>
      <c r="BG22" s="153"/>
      <c r="BH22" s="153"/>
      <c r="BI22" s="67"/>
      <c r="BO22"/>
      <c r="BP22"/>
      <c r="BQ22"/>
      <c r="BR22"/>
      <c r="BS22"/>
      <c r="BT22"/>
      <c r="BU22"/>
      <c r="BV22"/>
      <c r="BW22"/>
      <c r="BX22"/>
      <c r="BY22"/>
      <c r="BZ22"/>
      <c r="CA22"/>
      <c r="CB22"/>
      <c r="CC22"/>
      <c r="CD22"/>
      <c r="CE22"/>
      <c r="CF22"/>
      <c r="CG22" s="22"/>
      <c r="CH22" s="22"/>
      <c r="CI22"/>
      <c r="CJ22"/>
      <c r="CK22"/>
      <c r="CM22" s="22"/>
      <c r="CN22"/>
      <c r="CO22"/>
      <c r="CP22"/>
      <c r="CQ22"/>
      <c r="CT22"/>
      <c r="CU22"/>
      <c r="CV22"/>
      <c r="CW22"/>
      <c r="CX22"/>
      <c r="CY22"/>
      <c r="CZ22"/>
      <c r="DA22"/>
      <c r="DB22"/>
      <c r="DC22"/>
      <c r="DD22"/>
      <c r="DE22"/>
      <c r="DF22"/>
      <c r="DG22"/>
      <c r="DH22"/>
      <c r="DI22"/>
      <c r="DJ22"/>
      <c r="DK22"/>
      <c r="DL22"/>
      <c r="DM22"/>
      <c r="DN22"/>
      <c r="DO22"/>
      <c r="DP22"/>
      <c r="DS22"/>
      <c r="DT22"/>
      <c r="DU22"/>
      <c r="DV22"/>
      <c r="DW22"/>
      <c r="DX22"/>
      <c r="DY22"/>
      <c r="DZ22"/>
      <c r="EA22"/>
      <c r="EB22"/>
      <c r="EC22"/>
      <c r="ED22"/>
      <c r="EE22"/>
      <c r="EF22"/>
      <c r="EG22"/>
      <c r="EH22"/>
      <c r="EI22"/>
      <c r="EJ22"/>
      <c r="EK22"/>
      <c r="EL22"/>
      <c r="EM22"/>
      <c r="EN22"/>
      <c r="EO22"/>
      <c r="EP22"/>
      <c r="EQ22"/>
      <c r="ER22"/>
      <c r="ES22"/>
      <c r="ET22"/>
      <c r="EU22"/>
      <c r="EW22" s="103">
        <v>15</v>
      </c>
      <c r="EX22" s="105" t="e">
        <f t="shared" ca="1" si="0"/>
        <v>#REF!</v>
      </c>
    </row>
    <row r="23" spans="1:154" ht="15" x14ac:dyDescent="0.25">
      <c r="A23" s="77"/>
      <c r="B23" s="77"/>
      <c r="C23" s="78"/>
      <c r="D23" s="78"/>
      <c r="F23" s="78"/>
      <c r="G23" s="78"/>
      <c r="H23" s="78"/>
      <c r="I23" s="78"/>
      <c r="J23" s="78"/>
      <c r="K23" s="78"/>
      <c r="L23" s="78"/>
      <c r="M23" s="78"/>
      <c r="N23" s="78"/>
      <c r="O23" s="78"/>
      <c r="P23" s="78"/>
      <c r="Q23" s="78"/>
      <c r="R23" s="74"/>
      <c r="S23" s="74"/>
      <c r="T23" s="74"/>
      <c r="U23" s="74"/>
      <c r="V23" s="74"/>
      <c r="W23" s="74"/>
      <c r="X23" s="74"/>
      <c r="Y23" s="74"/>
      <c r="Z23" s="74"/>
      <c r="AA23" s="74"/>
      <c r="AB23" s="74"/>
      <c r="AC23" s="74"/>
      <c r="AD23" s="74"/>
      <c r="AE23" s="74"/>
      <c r="AF23" s="77"/>
      <c r="AG23" s="77"/>
      <c r="AH23" s="77"/>
      <c r="AI23" s="77"/>
      <c r="AJ23" s="77"/>
      <c r="AK23" s="79"/>
      <c r="AL23" s="79"/>
      <c r="AM23" s="79"/>
      <c r="AN23" s="79"/>
      <c r="AO23" s="79"/>
      <c r="AP23" s="79"/>
      <c r="AQ23" s="79"/>
      <c r="AR23" s="152"/>
      <c r="AS23" s="152"/>
      <c r="AT23" s="152"/>
      <c r="AU23" s="152"/>
      <c r="AV23" s="152"/>
      <c r="AW23" s="152"/>
      <c r="AX23" s="152"/>
      <c r="AY23" s="152"/>
      <c r="AZ23" s="152"/>
      <c r="BA23" s="152"/>
      <c r="BB23" s="153"/>
      <c r="BC23" s="153"/>
      <c r="BD23" s="153"/>
      <c r="BE23" s="153"/>
      <c r="BF23" s="153"/>
      <c r="BG23" s="153"/>
      <c r="BH23" s="153"/>
      <c r="BO23"/>
      <c r="BP23"/>
      <c r="BQ23"/>
      <c r="BR23"/>
      <c r="BS23"/>
      <c r="BT23"/>
      <c r="BV23"/>
      <c r="BW23"/>
      <c r="BX23"/>
      <c r="BY23"/>
      <c r="CB23"/>
      <c r="CC23"/>
      <c r="CD23"/>
      <c r="CE23"/>
      <c r="CF23"/>
      <c r="CI23"/>
      <c r="CJ23"/>
      <c r="CK23"/>
      <c r="CN23"/>
      <c r="CO23"/>
      <c r="CP23"/>
      <c r="CQ23"/>
      <c r="CT23"/>
      <c r="CU23"/>
      <c r="CV23"/>
      <c r="CW23"/>
      <c r="CX23"/>
      <c r="CY23"/>
      <c r="CZ23"/>
      <c r="DA23"/>
      <c r="DC23"/>
      <c r="DD23"/>
      <c r="DE23"/>
      <c r="DJ23"/>
      <c r="DK23"/>
      <c r="DL23"/>
      <c r="DM23"/>
      <c r="DN23"/>
      <c r="DO23"/>
      <c r="DP23"/>
      <c r="DS23"/>
      <c r="DT23"/>
      <c r="DU23"/>
      <c r="DV23"/>
      <c r="DW23"/>
      <c r="DX23"/>
      <c r="DY23"/>
      <c r="DZ23"/>
      <c r="EA23"/>
      <c r="EB23"/>
      <c r="EC23"/>
      <c r="ED23"/>
      <c r="EE23"/>
      <c r="EF23"/>
      <c r="EG23"/>
      <c r="EH23"/>
      <c r="EI23"/>
      <c r="EJ23"/>
      <c r="EK23"/>
      <c r="EL23"/>
      <c r="EM23"/>
      <c r="EN23"/>
      <c r="EO23"/>
      <c r="EP23"/>
      <c r="EQ23"/>
      <c r="ER23"/>
      <c r="ES23"/>
      <c r="ET23"/>
      <c r="EU23"/>
      <c r="EW23" s="103">
        <v>16</v>
      </c>
      <c r="EX23" s="105" t="e">
        <f t="shared" ca="1" si="0"/>
        <v>#REF!</v>
      </c>
    </row>
    <row r="24" spans="1:154" ht="15" x14ac:dyDescent="0.25">
      <c r="A24" s="77"/>
      <c r="B24" s="77"/>
      <c r="C24" s="78"/>
      <c r="D24" s="78"/>
      <c r="F24" s="78"/>
      <c r="G24" s="78"/>
      <c r="H24" s="78"/>
      <c r="I24" s="78"/>
      <c r="J24" s="78"/>
      <c r="K24" s="78"/>
      <c r="L24" s="78"/>
      <c r="M24" s="78"/>
      <c r="N24" s="78"/>
      <c r="O24" s="78"/>
      <c r="P24" s="78"/>
      <c r="Q24" s="78"/>
      <c r="R24" s="74"/>
      <c r="S24" s="74"/>
      <c r="T24" s="74"/>
      <c r="U24" s="74"/>
      <c r="V24" s="74"/>
      <c r="W24" s="74"/>
      <c r="X24" s="74"/>
      <c r="Y24" s="74"/>
      <c r="Z24" s="74"/>
      <c r="AA24" s="74"/>
      <c r="AB24" s="74"/>
      <c r="AC24" s="74"/>
      <c r="AD24" s="74"/>
      <c r="AE24" s="74"/>
      <c r="AF24" s="77"/>
      <c r="AG24" s="77"/>
      <c r="AH24" s="77"/>
      <c r="AI24" s="77"/>
      <c r="AJ24" s="77"/>
      <c r="AK24" s="79"/>
      <c r="AL24" s="79"/>
      <c r="AM24" s="79"/>
      <c r="AN24" s="79"/>
      <c r="AO24" s="79"/>
      <c r="AP24" s="79"/>
      <c r="AQ24" s="79"/>
      <c r="AR24" s="152"/>
      <c r="AS24" s="152"/>
      <c r="AT24" s="152"/>
      <c r="AU24" s="152"/>
      <c r="AV24" s="152"/>
      <c r="AW24" s="152"/>
      <c r="AX24" s="152"/>
      <c r="AY24" s="152"/>
      <c r="AZ24" s="152"/>
      <c r="BA24" s="152"/>
      <c r="BB24" s="153"/>
      <c r="BC24" s="153"/>
      <c r="BD24" s="153"/>
      <c r="BE24" s="153"/>
      <c r="BF24" s="153"/>
      <c r="BG24" s="153"/>
      <c r="BH24" s="153"/>
      <c r="BO24"/>
      <c r="BP24"/>
      <c r="BQ24"/>
      <c r="BR24"/>
      <c r="BS24"/>
      <c r="BT24"/>
      <c r="BV24"/>
      <c r="BW24"/>
      <c r="BX24"/>
      <c r="BY24"/>
      <c r="CB24"/>
      <c r="CC24"/>
      <c r="CD24"/>
      <c r="CE24"/>
      <c r="CF24"/>
      <c r="CI24"/>
      <c r="CJ24"/>
      <c r="CK24"/>
      <c r="CN24"/>
      <c r="CO24"/>
      <c r="CP24"/>
      <c r="CQ24"/>
      <c r="CT24"/>
      <c r="CU24"/>
      <c r="CV24"/>
      <c r="CW24"/>
      <c r="CX24"/>
      <c r="CY24"/>
      <c r="CZ24"/>
      <c r="DA24"/>
      <c r="DC24"/>
      <c r="DD24"/>
      <c r="DE24"/>
      <c r="DJ24"/>
      <c r="DK24"/>
      <c r="DL24"/>
      <c r="DM24"/>
      <c r="DN24"/>
      <c r="DO24"/>
      <c r="DP24"/>
      <c r="DS24"/>
      <c r="DT24"/>
      <c r="DU24"/>
      <c r="DV24"/>
      <c r="DW24"/>
      <c r="DX24"/>
      <c r="DY24"/>
      <c r="DZ24"/>
      <c r="EA24"/>
      <c r="EB24"/>
      <c r="EC24"/>
      <c r="ED24"/>
      <c r="EE24"/>
      <c r="EF24"/>
      <c r="EG24"/>
      <c r="EH24"/>
      <c r="EI24"/>
      <c r="EJ24"/>
      <c r="EK24"/>
      <c r="EL24"/>
      <c r="EM24"/>
      <c r="EN24"/>
      <c r="EO24"/>
      <c r="EP24"/>
      <c r="EQ24"/>
      <c r="ER24"/>
      <c r="ES24"/>
      <c r="ET24"/>
      <c r="EU24"/>
      <c r="EW24" s="103">
        <v>17</v>
      </c>
      <c r="EX24" s="105" t="e">
        <f t="shared" ca="1" si="0"/>
        <v>#REF!</v>
      </c>
    </row>
    <row r="25" spans="1:154" ht="15" x14ac:dyDescent="0.25">
      <c r="A25" s="77"/>
      <c r="B25" s="77"/>
      <c r="C25" s="78"/>
      <c r="D25" s="78"/>
      <c r="F25" s="78"/>
      <c r="G25" s="78"/>
      <c r="H25" s="78"/>
      <c r="I25" s="78"/>
      <c r="J25" s="78"/>
      <c r="K25" s="78"/>
      <c r="L25" s="78"/>
      <c r="M25" s="78"/>
      <c r="N25" s="78"/>
      <c r="O25" s="78"/>
      <c r="P25" s="78"/>
      <c r="Q25" s="78"/>
      <c r="R25" s="74"/>
      <c r="S25" s="74"/>
      <c r="T25" s="74"/>
      <c r="U25" s="74"/>
      <c r="V25" s="74"/>
      <c r="W25" s="74"/>
      <c r="X25" s="74"/>
      <c r="Y25" s="74"/>
      <c r="Z25" s="74"/>
      <c r="AA25" s="74"/>
      <c r="AB25" s="74"/>
      <c r="AC25" s="74"/>
      <c r="AD25" s="74"/>
      <c r="AE25" s="74"/>
      <c r="AF25" s="77"/>
      <c r="AG25" s="77"/>
      <c r="AH25" s="77"/>
      <c r="AI25" s="77"/>
      <c r="AJ25" s="77"/>
      <c r="AK25" s="79"/>
      <c r="AL25" s="79"/>
      <c r="AM25" s="79"/>
      <c r="AN25" s="79"/>
      <c r="AO25" s="79"/>
      <c r="AP25" s="79"/>
      <c r="AQ25" s="79"/>
      <c r="AR25" s="152"/>
      <c r="AS25" s="152"/>
      <c r="AT25" s="152"/>
      <c r="AU25" s="152"/>
      <c r="AV25" s="152"/>
      <c r="AW25" s="152"/>
      <c r="AX25" s="152"/>
      <c r="AY25" s="152"/>
      <c r="AZ25" s="152"/>
      <c r="BA25" s="152"/>
      <c r="BB25" s="153"/>
      <c r="BC25" s="153"/>
      <c r="BD25" s="153"/>
      <c r="BE25" s="153"/>
      <c r="BF25" s="153"/>
      <c r="BG25" s="153"/>
      <c r="BH25" s="153"/>
      <c r="BI25" s="67"/>
      <c r="BO25"/>
      <c r="BP25"/>
      <c r="BQ25"/>
      <c r="BR25"/>
      <c r="BS25"/>
      <c r="BT25"/>
      <c r="BV25"/>
      <c r="BW25"/>
      <c r="BX25"/>
      <c r="BY25"/>
      <c r="CB25"/>
      <c r="CC25"/>
      <c r="CD25"/>
      <c r="CE25"/>
      <c r="CF25"/>
      <c r="CI25"/>
      <c r="CJ25"/>
      <c r="CK25"/>
      <c r="CN25"/>
      <c r="CO25"/>
      <c r="CP25"/>
      <c r="CQ25"/>
      <c r="CT25"/>
      <c r="CU25"/>
      <c r="CV25"/>
      <c r="CW25"/>
      <c r="CX25"/>
      <c r="CY25"/>
      <c r="CZ25"/>
      <c r="DA25"/>
      <c r="DC25"/>
      <c r="DD25"/>
      <c r="DE25"/>
      <c r="DJ25"/>
      <c r="DK25"/>
      <c r="DL25"/>
      <c r="DM25"/>
      <c r="DN25"/>
      <c r="DO25"/>
      <c r="DP25"/>
      <c r="DS25"/>
      <c r="DT25"/>
      <c r="DU25"/>
      <c r="DV25"/>
      <c r="DW25"/>
      <c r="DX25"/>
      <c r="DY25"/>
      <c r="DZ25"/>
      <c r="EA25"/>
      <c r="EB25"/>
      <c r="EC25"/>
      <c r="ED25"/>
      <c r="EE25"/>
      <c r="EF25"/>
      <c r="EG25"/>
      <c r="EH25"/>
      <c r="EI25"/>
      <c r="EJ25"/>
      <c r="EK25"/>
      <c r="EL25"/>
      <c r="EM25"/>
      <c r="EN25"/>
      <c r="EO25"/>
      <c r="EP25"/>
      <c r="EQ25"/>
      <c r="ER25"/>
      <c r="ES25"/>
      <c r="ET25"/>
      <c r="EU25"/>
      <c r="EW25" s="103">
        <v>18</v>
      </c>
      <c r="EX25" s="105" t="e">
        <f t="shared" ca="1" si="0"/>
        <v>#REF!</v>
      </c>
    </row>
    <row r="26" spans="1:154" ht="15" x14ac:dyDescent="0.25">
      <c r="A26" s="77"/>
      <c r="B26" s="77"/>
      <c r="C26" s="78"/>
      <c r="D26" s="78"/>
      <c r="F26" s="78"/>
      <c r="G26" s="78"/>
      <c r="H26" s="78"/>
      <c r="I26" s="78"/>
      <c r="J26" s="78"/>
      <c r="K26" s="78"/>
      <c r="L26" s="78"/>
      <c r="M26" s="78"/>
      <c r="N26" s="78"/>
      <c r="O26" s="78"/>
      <c r="P26" s="78"/>
      <c r="Q26" s="78"/>
      <c r="R26" s="74"/>
      <c r="S26" s="74"/>
      <c r="T26" s="74"/>
      <c r="U26" s="74"/>
      <c r="V26" s="74"/>
      <c r="W26" s="74"/>
      <c r="X26" s="74"/>
      <c r="Y26" s="74"/>
      <c r="Z26" s="74"/>
      <c r="AA26" s="74"/>
      <c r="AB26" s="74"/>
      <c r="AC26" s="74"/>
      <c r="AD26" s="74"/>
      <c r="AE26" s="74"/>
      <c r="AF26" s="77"/>
      <c r="AG26" s="77"/>
      <c r="AH26" s="77"/>
      <c r="AI26" s="77"/>
      <c r="AJ26" s="77"/>
      <c r="AK26" s="79"/>
      <c r="AL26" s="79"/>
      <c r="AM26" s="79"/>
      <c r="AN26" s="79"/>
      <c r="AO26" s="79"/>
      <c r="AP26" s="79"/>
      <c r="AQ26" s="79"/>
      <c r="AR26" s="152"/>
      <c r="AS26" s="152"/>
      <c r="AT26" s="152"/>
      <c r="AU26" s="152"/>
      <c r="AV26" s="152"/>
      <c r="AW26" s="152"/>
      <c r="AX26" s="152"/>
      <c r="AY26" s="152"/>
      <c r="AZ26" s="152"/>
      <c r="BA26" s="152"/>
      <c r="BB26" s="153"/>
      <c r="BC26" s="153"/>
      <c r="BD26" s="153"/>
      <c r="BE26" s="153"/>
      <c r="BF26" s="153"/>
      <c r="BG26" s="153"/>
      <c r="BH26" s="153"/>
      <c r="BI26" s="67"/>
      <c r="BO26"/>
      <c r="BP26"/>
      <c r="BQ26"/>
      <c r="BR26"/>
      <c r="BS26"/>
      <c r="BT26"/>
      <c r="BV26"/>
      <c r="BW26"/>
      <c r="BX26"/>
      <c r="BY26"/>
      <c r="CB26"/>
      <c r="CC26"/>
      <c r="CD26"/>
      <c r="CE26"/>
      <c r="CF26"/>
      <c r="CI26"/>
      <c r="CJ26"/>
      <c r="CK26"/>
      <c r="CN26"/>
      <c r="CO26"/>
      <c r="CP26"/>
      <c r="CQ26"/>
      <c r="CT26"/>
      <c r="CU26"/>
      <c r="CV26"/>
      <c r="CW26"/>
      <c r="CX26"/>
      <c r="CY26"/>
      <c r="CZ26"/>
      <c r="DA26"/>
      <c r="DC26"/>
      <c r="DD26"/>
      <c r="DE26"/>
      <c r="DJ26"/>
      <c r="DK26"/>
      <c r="DL26"/>
      <c r="DM26"/>
      <c r="DN26"/>
      <c r="DO26"/>
      <c r="DP26"/>
      <c r="DS26"/>
      <c r="DT26"/>
      <c r="DU26"/>
      <c r="DV26"/>
      <c r="DW26"/>
      <c r="DX26"/>
      <c r="DY26"/>
      <c r="DZ26"/>
      <c r="EA26"/>
      <c r="EB26"/>
      <c r="EC26"/>
      <c r="ED26"/>
      <c r="EE26"/>
      <c r="EF26"/>
      <c r="EG26"/>
      <c r="EH26"/>
      <c r="EI26"/>
      <c r="EJ26"/>
      <c r="EK26"/>
      <c r="EL26"/>
      <c r="EM26"/>
      <c r="EN26"/>
      <c r="EO26"/>
      <c r="EP26"/>
      <c r="EQ26"/>
      <c r="ER26"/>
      <c r="ES26"/>
      <c r="ET26"/>
      <c r="EU26"/>
      <c r="EW26" s="103">
        <v>19</v>
      </c>
      <c r="EX26" s="105" t="e">
        <f t="shared" ca="1" si="0"/>
        <v>#REF!</v>
      </c>
    </row>
    <row r="27" spans="1:154" ht="15" x14ac:dyDescent="0.25">
      <c r="A27" s="77"/>
      <c r="B27" s="77"/>
      <c r="C27" s="78"/>
      <c r="D27" s="78"/>
      <c r="F27" s="78"/>
      <c r="G27" s="78"/>
      <c r="H27" s="78"/>
      <c r="I27" s="78"/>
      <c r="J27" s="78"/>
      <c r="K27" s="78"/>
      <c r="L27" s="78"/>
      <c r="M27" s="78"/>
      <c r="N27" s="78"/>
      <c r="O27" s="78"/>
      <c r="P27" s="78"/>
      <c r="Q27" s="78"/>
      <c r="R27" s="74"/>
      <c r="S27" s="74"/>
      <c r="T27" s="74"/>
      <c r="U27" s="74"/>
      <c r="V27" s="74"/>
      <c r="W27" s="74"/>
      <c r="X27" s="74"/>
      <c r="Y27" s="74"/>
      <c r="Z27" s="74"/>
      <c r="AA27" s="74"/>
      <c r="AB27" s="74"/>
      <c r="AC27" s="74"/>
      <c r="AD27" s="74"/>
      <c r="AE27" s="74"/>
      <c r="AF27" s="77"/>
      <c r="AG27" s="77"/>
      <c r="AH27" s="77"/>
      <c r="AI27" s="77"/>
      <c r="AJ27" s="77"/>
      <c r="AK27" s="79"/>
      <c r="AL27" s="79"/>
      <c r="AM27" s="79"/>
      <c r="AN27" s="79"/>
      <c r="AO27" s="79"/>
      <c r="AP27" s="79"/>
      <c r="AQ27" s="79"/>
      <c r="AR27" s="152"/>
      <c r="AS27" s="152"/>
      <c r="AT27" s="152"/>
      <c r="AU27" s="152"/>
      <c r="AV27" s="152"/>
      <c r="AW27" s="152"/>
      <c r="AX27" s="152"/>
      <c r="AY27" s="152"/>
      <c r="AZ27" s="152"/>
      <c r="BA27" s="152"/>
      <c r="BB27" s="153"/>
      <c r="BC27" s="153"/>
      <c r="BD27" s="153"/>
      <c r="BE27" s="153"/>
      <c r="BF27" s="153"/>
      <c r="BG27" s="153"/>
      <c r="BH27" s="153"/>
      <c r="BI27" s="67"/>
      <c r="BO27"/>
      <c r="BP27"/>
      <c r="BQ27"/>
      <c r="BR27"/>
      <c r="BS27"/>
      <c r="BT27"/>
      <c r="BV27"/>
      <c r="BW27"/>
      <c r="BX27"/>
      <c r="BY27"/>
      <c r="CB27"/>
      <c r="CC27"/>
      <c r="CD27"/>
      <c r="CE27"/>
      <c r="CF27"/>
      <c r="CI27"/>
      <c r="CJ27"/>
      <c r="CK27"/>
      <c r="CN27"/>
      <c r="CO27"/>
      <c r="CP27"/>
      <c r="CQ27"/>
      <c r="CT27"/>
      <c r="CU27"/>
      <c r="CV27"/>
      <c r="CW27"/>
      <c r="CX27"/>
      <c r="CY27"/>
      <c r="CZ27"/>
      <c r="DA27"/>
      <c r="DC27"/>
      <c r="DD27"/>
      <c r="DE27"/>
      <c r="DJ27"/>
      <c r="DK27"/>
      <c r="DL27"/>
      <c r="DM27"/>
      <c r="DN27"/>
      <c r="DO27"/>
      <c r="DP27"/>
      <c r="DS27"/>
      <c r="DT27"/>
      <c r="DU27"/>
      <c r="DV27"/>
      <c r="DW27"/>
      <c r="DX27"/>
      <c r="DY27"/>
      <c r="EB27"/>
      <c r="EC27"/>
      <c r="ED27"/>
      <c r="EF27"/>
      <c r="EG27"/>
      <c r="EH27"/>
      <c r="EI27"/>
      <c r="EJ27"/>
      <c r="EK27"/>
      <c r="EN27"/>
      <c r="EO27"/>
      <c r="EP27"/>
      <c r="EQ27"/>
      <c r="ER27"/>
      <c r="ES27"/>
      <c r="ET27"/>
      <c r="EW27" s="103">
        <v>20</v>
      </c>
      <c r="EX27" s="105" t="e">
        <f t="shared" ca="1" si="0"/>
        <v>#REF!</v>
      </c>
    </row>
    <row r="28" spans="1:154" ht="15" x14ac:dyDescent="0.25">
      <c r="A28" s="77"/>
      <c r="B28" s="77"/>
      <c r="C28" s="78"/>
      <c r="D28" s="78"/>
      <c r="F28" s="78"/>
      <c r="G28" s="78"/>
      <c r="H28" s="78"/>
      <c r="I28" s="78"/>
      <c r="J28" s="78"/>
      <c r="K28" s="78"/>
      <c r="L28" s="78"/>
      <c r="M28" s="78"/>
      <c r="N28" s="78"/>
      <c r="O28" s="78"/>
      <c r="P28" s="78"/>
      <c r="Q28" s="78"/>
      <c r="R28" s="74"/>
      <c r="S28" s="74"/>
      <c r="T28" s="74"/>
      <c r="U28" s="74"/>
      <c r="V28" s="74"/>
      <c r="W28" s="74"/>
      <c r="X28" s="74"/>
      <c r="Y28" s="74"/>
      <c r="Z28" s="74"/>
      <c r="AA28" s="74"/>
      <c r="AB28" s="74"/>
      <c r="AC28" s="74"/>
      <c r="AD28" s="74"/>
      <c r="AE28" s="74"/>
      <c r="AF28" s="77"/>
      <c r="AG28" s="77"/>
      <c r="AH28" s="77"/>
      <c r="AI28" s="77"/>
      <c r="AJ28" s="77"/>
      <c r="AK28" s="79"/>
      <c r="AL28" s="79"/>
      <c r="AM28" s="79"/>
      <c r="AN28" s="79"/>
      <c r="AO28" s="79"/>
      <c r="AP28" s="79"/>
      <c r="AQ28" s="79"/>
      <c r="AR28" s="152"/>
      <c r="AS28" s="152"/>
      <c r="AT28" s="152"/>
      <c r="AU28" s="152"/>
      <c r="AV28" s="152"/>
      <c r="AW28" s="152"/>
      <c r="AX28" s="152"/>
      <c r="AY28" s="152"/>
      <c r="AZ28" s="152"/>
      <c r="BA28" s="152"/>
      <c r="BB28" s="153"/>
      <c r="BC28" s="153"/>
      <c r="BD28" s="153"/>
      <c r="BE28" s="153"/>
      <c r="BF28" s="153"/>
      <c r="BG28" s="153"/>
      <c r="BH28" s="153"/>
      <c r="BO28"/>
      <c r="BP28"/>
      <c r="BQ28"/>
      <c r="BR28"/>
      <c r="BS28"/>
      <c r="BT28"/>
      <c r="BV28"/>
      <c r="BW28"/>
      <c r="BX28"/>
      <c r="BY28"/>
      <c r="CB28"/>
      <c r="CC28"/>
      <c r="CD28"/>
      <c r="CE28"/>
      <c r="CF28"/>
      <c r="CI28"/>
      <c r="CJ28"/>
      <c r="CK28"/>
      <c r="CN28"/>
      <c r="CO28"/>
      <c r="CP28"/>
      <c r="CQ28"/>
      <c r="CT28"/>
      <c r="CU28"/>
      <c r="CV28"/>
      <c r="CW28"/>
      <c r="CX28"/>
      <c r="CY28"/>
      <c r="CZ28"/>
      <c r="DA28"/>
      <c r="DC28"/>
      <c r="DD28"/>
      <c r="DE28"/>
      <c r="DJ28"/>
      <c r="DK28"/>
      <c r="DL28"/>
      <c r="DM28"/>
      <c r="DN28"/>
      <c r="DO28"/>
      <c r="DP28"/>
      <c r="DS28"/>
      <c r="DT28"/>
      <c r="DU28"/>
      <c r="DV28"/>
      <c r="DW28"/>
      <c r="DX28"/>
      <c r="DY28"/>
      <c r="EB28"/>
      <c r="EC28"/>
      <c r="ED28"/>
      <c r="EF28"/>
      <c r="EG28"/>
      <c r="EH28"/>
      <c r="EI28"/>
      <c r="EJ28"/>
      <c r="EK28"/>
      <c r="EN28"/>
      <c r="EO28"/>
      <c r="EP28"/>
      <c r="EQ28"/>
      <c r="ER28"/>
      <c r="ES28"/>
      <c r="ET28"/>
      <c r="EW28" s="103">
        <v>21</v>
      </c>
      <c r="EX28" s="105" t="e">
        <f t="shared" ca="1" si="0"/>
        <v>#REF!</v>
      </c>
    </row>
    <row r="29" spans="1:154" ht="15" x14ac:dyDescent="0.25">
      <c r="A29" s="77"/>
      <c r="B29" s="77"/>
      <c r="C29" s="78"/>
      <c r="D29" s="78"/>
      <c r="F29" s="78"/>
      <c r="G29" s="78"/>
      <c r="H29" s="78"/>
      <c r="I29" s="78"/>
      <c r="J29" s="78"/>
      <c r="K29" s="78"/>
      <c r="L29" s="78"/>
      <c r="M29" s="78"/>
      <c r="N29" s="78"/>
      <c r="O29" s="78"/>
      <c r="P29" s="78"/>
      <c r="Q29" s="78"/>
      <c r="R29" s="74"/>
      <c r="S29" s="74"/>
      <c r="T29" s="74"/>
      <c r="U29" s="74"/>
      <c r="V29" s="74"/>
      <c r="W29" s="74"/>
      <c r="X29" s="74"/>
      <c r="Y29" s="74"/>
      <c r="Z29" s="74"/>
      <c r="AA29" s="74"/>
      <c r="AB29" s="74"/>
      <c r="AC29" s="74"/>
      <c r="AD29" s="74"/>
      <c r="AE29" s="74"/>
      <c r="AF29" s="77"/>
      <c r="AG29" s="77"/>
      <c r="AH29" s="77"/>
      <c r="AI29" s="77"/>
      <c r="AJ29" s="77"/>
      <c r="AK29" s="79"/>
      <c r="AL29" s="79"/>
      <c r="AM29" s="79"/>
      <c r="AN29" s="79"/>
      <c r="AO29" s="79"/>
      <c r="AP29" s="79"/>
      <c r="AQ29" s="79"/>
      <c r="AR29" s="152"/>
      <c r="AS29" s="152"/>
      <c r="AT29" s="152"/>
      <c r="AU29" s="152"/>
      <c r="AV29" s="152"/>
      <c r="AW29" s="152"/>
      <c r="AX29" s="152"/>
      <c r="AY29" s="152"/>
      <c r="AZ29" s="152"/>
      <c r="BA29" s="152"/>
      <c r="BB29" s="153"/>
      <c r="BC29" s="153"/>
      <c r="BD29" s="153"/>
      <c r="BE29" s="153"/>
      <c r="BF29" s="153"/>
      <c r="BG29" s="153"/>
      <c r="BH29" s="153"/>
      <c r="BO29"/>
      <c r="BP29"/>
      <c r="BQ29"/>
      <c r="BR29"/>
      <c r="BS29"/>
      <c r="BT29"/>
      <c r="BV29"/>
      <c r="BW29"/>
      <c r="BX29"/>
      <c r="BY29"/>
      <c r="CB29"/>
      <c r="CC29"/>
      <c r="CD29"/>
      <c r="CE29"/>
      <c r="CF29"/>
      <c r="CI29"/>
      <c r="CJ29"/>
      <c r="CK29"/>
      <c r="CN29"/>
      <c r="CO29"/>
      <c r="CP29"/>
      <c r="CQ29"/>
      <c r="CT29"/>
      <c r="CU29"/>
      <c r="CV29"/>
      <c r="CW29"/>
      <c r="CX29"/>
      <c r="CY29"/>
      <c r="CZ29"/>
      <c r="DA29"/>
      <c r="DC29"/>
      <c r="DD29"/>
      <c r="DE29"/>
      <c r="DJ29"/>
      <c r="DK29"/>
      <c r="DL29"/>
      <c r="DM29"/>
      <c r="DN29"/>
      <c r="DO29"/>
      <c r="DP29"/>
      <c r="DS29"/>
      <c r="DT29"/>
      <c r="DU29"/>
      <c r="DV29"/>
      <c r="DW29"/>
      <c r="DX29"/>
      <c r="DY29"/>
      <c r="EB29"/>
      <c r="EC29"/>
      <c r="ED29"/>
      <c r="EF29"/>
      <c r="EG29"/>
      <c r="EH29"/>
      <c r="EI29"/>
      <c r="EJ29"/>
      <c r="EK29"/>
      <c r="EN29"/>
      <c r="EO29"/>
      <c r="EP29"/>
      <c r="EQ29"/>
      <c r="ER29"/>
      <c r="ES29"/>
      <c r="ET29"/>
      <c r="EW29" s="103">
        <v>22</v>
      </c>
      <c r="EX29" s="105" t="e">
        <f t="shared" ca="1" si="0"/>
        <v>#REF!</v>
      </c>
    </row>
    <row r="30" spans="1:154" ht="15" x14ac:dyDescent="0.25">
      <c r="A30" s="77"/>
      <c r="B30" s="77"/>
      <c r="C30" s="78"/>
      <c r="D30" s="78"/>
      <c r="F30" s="78"/>
      <c r="G30" s="78"/>
      <c r="H30" s="78"/>
      <c r="I30" s="78"/>
      <c r="J30" s="78"/>
      <c r="K30" s="78"/>
      <c r="L30" s="78"/>
      <c r="M30" s="78"/>
      <c r="N30" s="78"/>
      <c r="O30" s="78"/>
      <c r="P30" s="78"/>
      <c r="Q30" s="78"/>
      <c r="R30" s="74"/>
      <c r="S30" s="74"/>
      <c r="T30" s="74"/>
      <c r="U30" s="74"/>
      <c r="V30" s="74"/>
      <c r="W30" s="74"/>
      <c r="X30" s="74"/>
      <c r="Y30" s="74"/>
      <c r="Z30" s="74"/>
      <c r="AA30" s="74"/>
      <c r="AB30" s="74"/>
      <c r="AC30" s="74"/>
      <c r="AD30" s="74"/>
      <c r="AE30" s="74"/>
      <c r="AF30" s="77"/>
      <c r="AG30" s="77"/>
      <c r="AH30" s="77"/>
      <c r="AI30" s="77"/>
      <c r="AJ30" s="77"/>
      <c r="AK30" s="79"/>
      <c r="AL30" s="79"/>
      <c r="AM30" s="79"/>
      <c r="AN30" s="79"/>
      <c r="AO30" s="79"/>
      <c r="AP30" s="79"/>
      <c r="AQ30" s="79"/>
      <c r="AR30" s="152"/>
      <c r="AS30" s="152"/>
      <c r="AT30" s="152"/>
      <c r="AU30" s="152"/>
      <c r="AV30" s="152"/>
      <c r="AW30" s="152"/>
      <c r="AX30" s="152"/>
      <c r="AY30" s="152"/>
      <c r="AZ30" s="152"/>
      <c r="BA30" s="152"/>
      <c r="BB30" s="153"/>
      <c r="BC30" s="153"/>
      <c r="BD30" s="153"/>
      <c r="BE30" s="153"/>
      <c r="BF30" s="153"/>
      <c r="BG30" s="153"/>
      <c r="BH30" s="153"/>
      <c r="BI30" s="67"/>
      <c r="BO30"/>
      <c r="BP30"/>
      <c r="BQ30"/>
      <c r="BR30"/>
      <c r="BS30"/>
      <c r="BT30"/>
      <c r="BV30"/>
      <c r="BW30"/>
      <c r="BX30"/>
      <c r="BY30"/>
      <c r="CB30"/>
      <c r="CC30"/>
      <c r="CD30"/>
      <c r="CE30"/>
      <c r="CF30"/>
      <c r="CI30"/>
      <c r="CJ30"/>
      <c r="CK30"/>
      <c r="CN30"/>
      <c r="CO30"/>
      <c r="CP30"/>
      <c r="CQ30"/>
      <c r="CT30"/>
      <c r="CU30"/>
      <c r="CV30"/>
      <c r="CW30"/>
      <c r="CX30"/>
      <c r="CY30"/>
      <c r="CZ30"/>
      <c r="DA30"/>
      <c r="DC30"/>
      <c r="DD30"/>
      <c r="DE30"/>
      <c r="DJ30"/>
      <c r="DK30"/>
      <c r="DL30"/>
      <c r="DM30"/>
      <c r="DN30"/>
      <c r="DO30"/>
      <c r="DP30"/>
      <c r="DS30"/>
      <c r="DT30"/>
      <c r="DU30"/>
      <c r="DV30"/>
      <c r="DW30"/>
      <c r="DX30"/>
      <c r="DY30"/>
      <c r="EB30"/>
      <c r="EC30"/>
      <c r="ED30"/>
      <c r="EF30"/>
      <c r="EG30"/>
      <c r="EH30"/>
      <c r="EI30"/>
      <c r="EJ30"/>
      <c r="EK30"/>
      <c r="EN30"/>
      <c r="EO30"/>
      <c r="EP30"/>
      <c r="EQ30"/>
      <c r="ER30"/>
      <c r="ES30"/>
      <c r="ET30"/>
      <c r="EW30" s="103">
        <v>23</v>
      </c>
      <c r="EX30" s="105" t="e">
        <f t="shared" ca="1" si="0"/>
        <v>#REF!</v>
      </c>
    </row>
    <row r="31" spans="1:154" ht="15" x14ac:dyDescent="0.25">
      <c r="A31" s="77"/>
      <c r="B31" s="77"/>
      <c r="C31" s="78"/>
      <c r="D31" s="78"/>
      <c r="F31" s="78"/>
      <c r="G31" s="78"/>
      <c r="H31" s="78"/>
      <c r="I31" s="78"/>
      <c r="J31" s="78"/>
      <c r="K31" s="78"/>
      <c r="L31" s="78"/>
      <c r="M31" s="78"/>
      <c r="N31" s="78"/>
      <c r="O31" s="78"/>
      <c r="P31" s="78"/>
      <c r="Q31" s="78"/>
      <c r="R31" s="74"/>
      <c r="S31" s="74"/>
      <c r="T31" s="74"/>
      <c r="U31" s="74"/>
      <c r="V31" s="74"/>
      <c r="W31" s="74"/>
      <c r="X31" s="74"/>
      <c r="Y31" s="74"/>
      <c r="Z31" s="74"/>
      <c r="AA31" s="74"/>
      <c r="AB31" s="74"/>
      <c r="AC31" s="74"/>
      <c r="AD31" s="74"/>
      <c r="AE31" s="74"/>
      <c r="AF31" s="77"/>
      <c r="AG31" s="77"/>
      <c r="AH31" s="77"/>
      <c r="AI31" s="77"/>
      <c r="AJ31" s="77"/>
      <c r="AK31" s="79"/>
      <c r="AL31" s="79"/>
      <c r="AM31" s="79"/>
      <c r="AN31" s="79"/>
      <c r="AO31" s="79"/>
      <c r="AP31" s="79"/>
      <c r="AQ31" s="79"/>
      <c r="AR31" s="152"/>
      <c r="AS31" s="152"/>
      <c r="AT31" s="152"/>
      <c r="AU31" s="152"/>
      <c r="AV31" s="152"/>
      <c r="AW31" s="152"/>
      <c r="AX31" s="152"/>
      <c r="AY31" s="152"/>
      <c r="AZ31" s="152"/>
      <c r="BA31" s="152"/>
      <c r="BB31" s="153"/>
      <c r="BC31" s="153"/>
      <c r="BD31" s="153"/>
      <c r="BE31" s="153"/>
      <c r="BF31" s="153"/>
      <c r="BG31" s="153"/>
      <c r="BH31" s="153"/>
      <c r="BI31" s="67"/>
      <c r="BO31"/>
      <c r="BP31"/>
      <c r="BQ31"/>
      <c r="BR31"/>
      <c r="BS31"/>
      <c r="BT31"/>
      <c r="BV31"/>
      <c r="BW31"/>
      <c r="BX31"/>
      <c r="BY31"/>
      <c r="CB31"/>
      <c r="CC31"/>
      <c r="CD31"/>
      <c r="CE31"/>
      <c r="CF31"/>
      <c r="CI31"/>
      <c r="CJ31"/>
      <c r="CK31"/>
      <c r="CN31"/>
      <c r="CO31"/>
      <c r="CP31"/>
      <c r="CQ31"/>
      <c r="CT31"/>
      <c r="CU31"/>
      <c r="CV31"/>
      <c r="CW31"/>
      <c r="CX31"/>
      <c r="CY31"/>
      <c r="CZ31"/>
      <c r="DA31"/>
      <c r="DC31"/>
      <c r="DD31"/>
      <c r="DE31"/>
      <c r="DJ31"/>
      <c r="DK31"/>
      <c r="DL31"/>
      <c r="DM31"/>
      <c r="DN31"/>
      <c r="DO31"/>
      <c r="DP31"/>
      <c r="DS31"/>
      <c r="DT31"/>
      <c r="DU31"/>
      <c r="DV31"/>
      <c r="DW31"/>
      <c r="DX31"/>
      <c r="DY31"/>
      <c r="EB31"/>
      <c r="EC31"/>
      <c r="ED31"/>
      <c r="EF31"/>
      <c r="EG31"/>
      <c r="EH31"/>
      <c r="EI31"/>
      <c r="EJ31"/>
      <c r="EK31"/>
      <c r="EN31"/>
      <c r="EO31"/>
      <c r="EP31"/>
      <c r="EQ31"/>
      <c r="ER31"/>
      <c r="ES31"/>
      <c r="ET31"/>
      <c r="EW31" s="103">
        <v>24</v>
      </c>
      <c r="EX31" s="105" t="e">
        <f t="shared" ca="1" si="0"/>
        <v>#REF!</v>
      </c>
    </row>
    <row r="32" spans="1:154" ht="15" x14ac:dyDescent="0.25">
      <c r="A32" s="77"/>
      <c r="B32" s="77"/>
      <c r="C32" s="78"/>
      <c r="D32" s="78"/>
      <c r="F32" s="78"/>
      <c r="G32" s="78"/>
      <c r="H32" s="78"/>
      <c r="I32" s="78"/>
      <c r="J32" s="78"/>
      <c r="K32" s="78"/>
      <c r="L32" s="78"/>
      <c r="M32" s="78"/>
      <c r="N32" s="78"/>
      <c r="O32" s="78"/>
      <c r="P32" s="78"/>
      <c r="Q32" s="78"/>
      <c r="R32" s="74"/>
      <c r="S32" s="74"/>
      <c r="T32" s="74"/>
      <c r="U32" s="74"/>
      <c r="V32" s="74"/>
      <c r="W32" s="74"/>
      <c r="X32" s="74"/>
      <c r="Y32" s="74"/>
      <c r="Z32" s="74"/>
      <c r="AA32" s="74"/>
      <c r="AB32" s="74"/>
      <c r="AC32" s="74"/>
      <c r="AD32" s="74"/>
      <c r="AE32" s="74"/>
      <c r="AF32" s="77"/>
      <c r="AG32" s="77"/>
      <c r="AH32" s="77"/>
      <c r="AI32" s="77"/>
      <c r="AJ32" s="77"/>
      <c r="AK32" s="79"/>
      <c r="AL32" s="79"/>
      <c r="AM32" s="79"/>
      <c r="AN32" s="79"/>
      <c r="AO32" s="79"/>
      <c r="AP32" s="79"/>
      <c r="AQ32" s="79"/>
      <c r="AR32" s="152"/>
      <c r="AS32" s="152"/>
      <c r="AT32" s="152"/>
      <c r="AU32" s="152"/>
      <c r="AV32" s="152"/>
      <c r="AW32" s="152"/>
      <c r="AX32" s="152"/>
      <c r="AY32" s="152"/>
      <c r="AZ32" s="152"/>
      <c r="BA32" s="152"/>
      <c r="BB32" s="153"/>
      <c r="BC32" s="153"/>
      <c r="BD32" s="153"/>
      <c r="BE32" s="153"/>
      <c r="BF32" s="153"/>
      <c r="BG32" s="153"/>
      <c r="BH32" s="153"/>
      <c r="BI32" s="67"/>
      <c r="BO32"/>
      <c r="BP32"/>
      <c r="BQ32"/>
      <c r="BR32"/>
      <c r="BS32"/>
      <c r="BT32"/>
      <c r="BV32"/>
      <c r="BW32"/>
      <c r="BX32"/>
      <c r="BY32"/>
      <c r="CB32"/>
      <c r="CC32"/>
      <c r="CD32"/>
      <c r="CE32"/>
      <c r="CF32"/>
      <c r="CI32"/>
      <c r="CJ32"/>
      <c r="CK32"/>
      <c r="CN32"/>
      <c r="CO32"/>
      <c r="CP32"/>
      <c r="CQ32"/>
      <c r="CT32"/>
      <c r="CU32"/>
      <c r="CV32"/>
      <c r="CW32"/>
      <c r="CX32"/>
      <c r="CY32"/>
      <c r="CZ32"/>
      <c r="DA32"/>
      <c r="DC32"/>
      <c r="DD32"/>
      <c r="DE32"/>
      <c r="DJ32"/>
      <c r="DK32"/>
      <c r="DL32"/>
      <c r="DM32"/>
      <c r="DN32"/>
      <c r="DO32"/>
      <c r="DP32"/>
      <c r="DS32"/>
      <c r="DT32"/>
      <c r="DU32"/>
      <c r="DV32"/>
      <c r="DW32"/>
      <c r="DX32"/>
      <c r="DY32"/>
      <c r="EB32"/>
      <c r="EC32"/>
      <c r="ED32"/>
      <c r="EF32"/>
      <c r="EG32"/>
      <c r="EH32"/>
      <c r="EI32"/>
      <c r="EJ32"/>
      <c r="EK32"/>
      <c r="EN32"/>
      <c r="EO32"/>
      <c r="EP32"/>
      <c r="EQ32"/>
      <c r="ER32"/>
      <c r="ES32"/>
      <c r="ET32"/>
      <c r="EW32" s="103">
        <v>25</v>
      </c>
      <c r="EX32" s="105" t="e">
        <f t="shared" ca="1" si="0"/>
        <v>#REF!</v>
      </c>
    </row>
    <row r="33" spans="1:154" ht="15" x14ac:dyDescent="0.25">
      <c r="A33" s="77"/>
      <c r="B33" s="77"/>
      <c r="C33" s="78"/>
      <c r="D33" s="78"/>
      <c r="F33" s="78"/>
      <c r="G33" s="78"/>
      <c r="H33" s="78"/>
      <c r="I33" s="78"/>
      <c r="J33" s="78"/>
      <c r="K33" s="78"/>
      <c r="L33" s="78"/>
      <c r="M33" s="78"/>
      <c r="N33" s="78"/>
      <c r="O33" s="78"/>
      <c r="P33" s="78"/>
      <c r="Q33" s="78"/>
      <c r="R33" s="74"/>
      <c r="S33" s="74"/>
      <c r="T33" s="74"/>
      <c r="U33" s="74"/>
      <c r="V33" s="74"/>
      <c r="W33" s="74"/>
      <c r="X33" s="74"/>
      <c r="Y33" s="74"/>
      <c r="Z33" s="74"/>
      <c r="AA33" s="74"/>
      <c r="AB33" s="74"/>
      <c r="AC33" s="74"/>
      <c r="AD33" s="74"/>
      <c r="AE33" s="74"/>
      <c r="AF33" s="77"/>
      <c r="AG33" s="77"/>
      <c r="AH33" s="77"/>
      <c r="AI33" s="77"/>
      <c r="AJ33" s="77"/>
      <c r="AK33" s="79"/>
      <c r="AL33" s="79"/>
      <c r="AM33" s="79"/>
      <c r="AN33" s="79"/>
      <c r="AO33" s="79"/>
      <c r="AP33" s="79"/>
      <c r="AQ33" s="79"/>
      <c r="AR33" s="152"/>
      <c r="AS33" s="152"/>
      <c r="AT33" s="152"/>
      <c r="AU33" s="152"/>
      <c r="AV33" s="152"/>
      <c r="AW33" s="152"/>
      <c r="AX33" s="152"/>
      <c r="AY33" s="152"/>
      <c r="AZ33" s="152"/>
      <c r="BA33" s="152"/>
      <c r="BB33" s="153"/>
      <c r="BC33" s="153"/>
      <c r="BD33" s="153"/>
      <c r="BE33" s="153"/>
      <c r="BF33" s="153"/>
      <c r="BG33" s="153"/>
      <c r="BH33" s="153"/>
      <c r="BO33"/>
      <c r="BP33"/>
      <c r="BQ33"/>
      <c r="BR33"/>
      <c r="BS33"/>
      <c r="BT33"/>
      <c r="BV33"/>
      <c r="BW33"/>
      <c r="BX33"/>
      <c r="BY33"/>
      <c r="CB33"/>
      <c r="CC33"/>
      <c r="CD33"/>
      <c r="CE33"/>
      <c r="CF33"/>
      <c r="CI33"/>
      <c r="CJ33"/>
      <c r="CK33"/>
      <c r="CN33"/>
      <c r="CO33"/>
      <c r="CP33"/>
      <c r="CQ33"/>
      <c r="CT33"/>
      <c r="CU33"/>
      <c r="CV33"/>
      <c r="CW33"/>
      <c r="CX33"/>
      <c r="CY33"/>
      <c r="CZ33"/>
      <c r="DA33"/>
      <c r="DC33"/>
      <c r="DD33"/>
      <c r="DE33"/>
      <c r="DJ33"/>
      <c r="DK33"/>
      <c r="DL33"/>
      <c r="DM33"/>
      <c r="DN33"/>
      <c r="DO33"/>
      <c r="DP33"/>
      <c r="DS33"/>
      <c r="DT33"/>
      <c r="DU33"/>
      <c r="DV33"/>
      <c r="DW33"/>
      <c r="DX33"/>
      <c r="DY33"/>
      <c r="EB33"/>
      <c r="EC33"/>
      <c r="ED33"/>
      <c r="EF33"/>
      <c r="EG33"/>
      <c r="EH33"/>
      <c r="EI33"/>
      <c r="EJ33"/>
      <c r="EK33"/>
      <c r="EN33"/>
      <c r="EO33"/>
      <c r="EP33"/>
      <c r="EQ33"/>
      <c r="ER33"/>
      <c r="ES33"/>
      <c r="ET33"/>
      <c r="EW33" s="103">
        <v>26</v>
      </c>
      <c r="EX33" s="105" t="e">
        <f t="shared" ca="1" si="0"/>
        <v>#REF!</v>
      </c>
    </row>
    <row r="34" spans="1:154" ht="15" x14ac:dyDescent="0.25">
      <c r="A34" s="77"/>
      <c r="B34" s="77"/>
      <c r="C34" s="78"/>
      <c r="D34" s="78"/>
      <c r="F34" s="78"/>
      <c r="G34" s="78"/>
      <c r="H34" s="78"/>
      <c r="I34" s="78"/>
      <c r="J34" s="78"/>
      <c r="K34" s="78"/>
      <c r="L34" s="78"/>
      <c r="M34" s="78"/>
      <c r="N34" s="78"/>
      <c r="O34" s="78"/>
      <c r="P34" s="78"/>
      <c r="Q34" s="78"/>
      <c r="R34" s="74"/>
      <c r="S34" s="74"/>
      <c r="T34" s="74"/>
      <c r="U34" s="74"/>
      <c r="V34" s="74"/>
      <c r="W34" s="74"/>
      <c r="X34" s="74"/>
      <c r="Y34" s="74"/>
      <c r="Z34" s="74"/>
      <c r="AA34" s="74"/>
      <c r="AB34" s="74"/>
      <c r="AC34" s="74"/>
      <c r="AD34" s="74"/>
      <c r="AE34" s="74"/>
      <c r="AF34" s="77"/>
      <c r="AG34" s="77"/>
      <c r="AH34" s="77"/>
      <c r="AI34" s="77"/>
      <c r="AJ34" s="77"/>
      <c r="AK34" s="79"/>
      <c r="AL34" s="79"/>
      <c r="AM34" s="79"/>
      <c r="AN34" s="79"/>
      <c r="AO34" s="79"/>
      <c r="AP34" s="79"/>
      <c r="AQ34" s="79"/>
      <c r="AR34" s="152"/>
      <c r="AS34" s="152"/>
      <c r="AT34" s="152"/>
      <c r="AU34" s="152"/>
      <c r="AV34" s="152"/>
      <c r="AW34" s="152"/>
      <c r="AX34" s="152"/>
      <c r="AY34" s="152"/>
      <c r="AZ34" s="152"/>
      <c r="BA34" s="152"/>
      <c r="BB34" s="153"/>
      <c r="BC34" s="153"/>
      <c r="BD34" s="153"/>
      <c r="BE34" s="153"/>
      <c r="BF34" s="153"/>
      <c r="BG34" s="153"/>
      <c r="BH34" s="153"/>
      <c r="BO34"/>
      <c r="BP34"/>
      <c r="BQ34"/>
      <c r="BR34"/>
      <c r="BS34"/>
      <c r="BT34"/>
      <c r="BV34"/>
      <c r="BW34"/>
      <c r="BX34"/>
      <c r="BY34"/>
      <c r="CB34"/>
      <c r="CC34"/>
      <c r="CD34"/>
      <c r="CE34"/>
      <c r="CF34"/>
      <c r="CI34"/>
      <c r="CJ34"/>
      <c r="CK34"/>
      <c r="CN34"/>
      <c r="CO34"/>
      <c r="CP34"/>
      <c r="CQ34"/>
      <c r="CT34"/>
      <c r="CU34"/>
      <c r="CV34"/>
      <c r="CW34"/>
      <c r="CX34"/>
      <c r="CY34"/>
      <c r="CZ34"/>
      <c r="DA34"/>
      <c r="DC34"/>
      <c r="DD34"/>
      <c r="DE34"/>
      <c r="DJ34"/>
      <c r="DK34"/>
      <c r="DL34"/>
      <c r="DM34"/>
      <c r="DN34"/>
      <c r="DO34"/>
      <c r="DP34"/>
      <c r="DS34"/>
      <c r="DT34"/>
      <c r="DU34"/>
      <c r="DV34"/>
      <c r="DW34"/>
      <c r="DX34"/>
      <c r="DY34"/>
      <c r="EB34"/>
      <c r="EC34"/>
      <c r="ED34"/>
      <c r="EF34"/>
      <c r="EG34"/>
      <c r="EH34"/>
      <c r="EI34"/>
      <c r="EJ34"/>
      <c r="EK34"/>
      <c r="EN34"/>
      <c r="EO34"/>
      <c r="EP34"/>
      <c r="EQ34"/>
      <c r="ER34"/>
      <c r="ES34"/>
      <c r="ET34"/>
      <c r="EW34" s="103">
        <v>27</v>
      </c>
      <c r="EX34" s="105" t="e">
        <f t="shared" ca="1" si="0"/>
        <v>#REF!</v>
      </c>
    </row>
    <row r="35" spans="1:154" ht="15" x14ac:dyDescent="0.25">
      <c r="A35" s="77"/>
      <c r="B35" s="77"/>
      <c r="C35" s="78"/>
      <c r="D35" s="78"/>
      <c r="F35" s="78"/>
      <c r="G35" s="78"/>
      <c r="H35" s="78"/>
      <c r="I35" s="78"/>
      <c r="J35" s="78"/>
      <c r="K35" s="78"/>
      <c r="L35" s="78"/>
      <c r="M35" s="78"/>
      <c r="N35" s="78"/>
      <c r="O35" s="78"/>
      <c r="P35" s="78"/>
      <c r="Q35" s="78"/>
      <c r="R35" s="74"/>
      <c r="S35" s="74"/>
      <c r="T35" s="74"/>
      <c r="U35" s="74"/>
      <c r="V35" s="74"/>
      <c r="W35" s="74"/>
      <c r="X35" s="74"/>
      <c r="Y35" s="74"/>
      <c r="Z35" s="74"/>
      <c r="AA35" s="74"/>
      <c r="AB35" s="74"/>
      <c r="AC35" s="74"/>
      <c r="AD35" s="74"/>
      <c r="AE35" s="74"/>
      <c r="AF35" s="77"/>
      <c r="AG35" s="77"/>
      <c r="AH35" s="77"/>
      <c r="AI35" s="77"/>
      <c r="AJ35" s="77"/>
      <c r="AK35" s="79"/>
      <c r="AL35" s="79"/>
      <c r="AM35" s="79"/>
      <c r="AN35" s="79"/>
      <c r="AO35" s="79"/>
      <c r="AP35" s="79"/>
      <c r="AQ35" s="79"/>
      <c r="AR35" s="152"/>
      <c r="AS35" s="152"/>
      <c r="AT35" s="152"/>
      <c r="AU35" s="152"/>
      <c r="AV35" s="152"/>
      <c r="AW35" s="152"/>
      <c r="AX35" s="152"/>
      <c r="AY35" s="152"/>
      <c r="AZ35" s="152"/>
      <c r="BA35" s="152"/>
      <c r="BB35" s="153"/>
      <c r="BC35" s="153"/>
      <c r="BD35" s="153"/>
      <c r="BE35" s="153"/>
      <c r="BF35" s="153"/>
      <c r="BG35" s="153"/>
      <c r="BH35" s="153"/>
      <c r="BI35" s="67"/>
      <c r="BO35"/>
      <c r="BP35"/>
      <c r="BQ35"/>
      <c r="BR35"/>
      <c r="BS35"/>
      <c r="BT35"/>
      <c r="BV35"/>
      <c r="BW35"/>
      <c r="BX35"/>
      <c r="BY35"/>
      <c r="CB35"/>
      <c r="CC35"/>
      <c r="CD35"/>
      <c r="CE35"/>
      <c r="CF35"/>
      <c r="CI35"/>
      <c r="CJ35"/>
      <c r="CK35"/>
      <c r="CN35"/>
      <c r="CO35"/>
      <c r="CP35"/>
      <c r="CQ35"/>
      <c r="CT35"/>
      <c r="CU35"/>
      <c r="CV35"/>
      <c r="CW35"/>
      <c r="CX35"/>
      <c r="CY35"/>
      <c r="CZ35"/>
      <c r="DA35"/>
      <c r="DC35"/>
      <c r="DD35"/>
      <c r="DE35"/>
      <c r="DJ35"/>
      <c r="DK35"/>
      <c r="DL35"/>
      <c r="DM35"/>
      <c r="DN35"/>
      <c r="DO35"/>
      <c r="DP35"/>
      <c r="DS35"/>
      <c r="DT35"/>
      <c r="DU35"/>
      <c r="DV35"/>
      <c r="DW35"/>
      <c r="DX35"/>
      <c r="DY35"/>
      <c r="EB35"/>
      <c r="EC35"/>
      <c r="ED35"/>
      <c r="EF35"/>
      <c r="EG35"/>
      <c r="EH35"/>
      <c r="EI35"/>
      <c r="EJ35"/>
      <c r="EK35"/>
      <c r="EN35"/>
      <c r="EO35"/>
      <c r="EP35"/>
      <c r="EQ35"/>
      <c r="ER35"/>
      <c r="ES35"/>
      <c r="ET35"/>
      <c r="EW35" s="103">
        <v>28</v>
      </c>
      <c r="EX35" s="105" t="e">
        <f t="shared" ca="1" si="0"/>
        <v>#REF!</v>
      </c>
    </row>
    <row r="36" spans="1:154" ht="15" x14ac:dyDescent="0.25">
      <c r="A36" s="77"/>
      <c r="B36" s="77"/>
      <c r="C36" s="78"/>
      <c r="D36" s="78"/>
      <c r="F36" s="78"/>
      <c r="G36" s="78"/>
      <c r="H36" s="78"/>
      <c r="I36" s="78"/>
      <c r="J36" s="78"/>
      <c r="K36" s="78"/>
      <c r="L36" s="78"/>
      <c r="M36" s="78"/>
      <c r="N36" s="78"/>
      <c r="O36" s="78"/>
      <c r="P36" s="78"/>
      <c r="Q36" s="78"/>
      <c r="R36" s="74"/>
      <c r="S36" s="74"/>
      <c r="T36" s="74"/>
      <c r="U36" s="74"/>
      <c r="V36" s="74"/>
      <c r="W36" s="74"/>
      <c r="X36" s="74"/>
      <c r="Y36" s="74"/>
      <c r="Z36" s="74"/>
      <c r="AA36" s="74"/>
      <c r="AB36" s="74"/>
      <c r="AC36" s="74"/>
      <c r="AD36" s="74"/>
      <c r="AE36" s="74"/>
      <c r="AF36" s="77"/>
      <c r="AG36" s="77"/>
      <c r="AH36" s="77"/>
      <c r="AI36" s="77"/>
      <c r="AJ36" s="77"/>
      <c r="AK36" s="79"/>
      <c r="AL36" s="79"/>
      <c r="AM36" s="79"/>
      <c r="AN36" s="79"/>
      <c r="AO36" s="79"/>
      <c r="AP36" s="79"/>
      <c r="AQ36" s="79"/>
      <c r="AR36" s="152"/>
      <c r="AS36" s="152"/>
      <c r="AT36" s="152"/>
      <c r="AU36" s="152"/>
      <c r="AV36" s="152"/>
      <c r="AW36" s="152"/>
      <c r="AX36" s="152"/>
      <c r="AY36" s="152"/>
      <c r="AZ36" s="152"/>
      <c r="BA36" s="152"/>
      <c r="BB36" s="153"/>
      <c r="BC36" s="153"/>
      <c r="BD36" s="153"/>
      <c r="BE36" s="153"/>
      <c r="BF36" s="153"/>
      <c r="BG36" s="153"/>
      <c r="BH36" s="153"/>
      <c r="BI36" s="67"/>
      <c r="BO36"/>
      <c r="BP36"/>
      <c r="BQ36"/>
      <c r="BR36"/>
      <c r="BS36"/>
      <c r="BT36"/>
      <c r="BV36"/>
      <c r="BW36"/>
      <c r="BX36"/>
      <c r="BY36"/>
      <c r="CB36"/>
      <c r="CC36"/>
      <c r="CD36"/>
      <c r="CE36"/>
      <c r="CF36"/>
      <c r="CI36"/>
      <c r="CJ36"/>
      <c r="CK36"/>
      <c r="CN36"/>
      <c r="CO36"/>
      <c r="CP36"/>
      <c r="CQ36"/>
      <c r="CT36"/>
      <c r="CU36"/>
      <c r="CV36"/>
      <c r="CW36"/>
      <c r="CX36"/>
      <c r="CY36"/>
      <c r="CZ36"/>
      <c r="DA36"/>
      <c r="DC36"/>
      <c r="DD36"/>
      <c r="DE36"/>
      <c r="DJ36"/>
      <c r="DK36"/>
      <c r="DL36"/>
      <c r="DM36"/>
      <c r="DN36"/>
      <c r="DO36"/>
      <c r="DP36"/>
      <c r="DS36"/>
      <c r="DT36"/>
      <c r="DU36"/>
      <c r="DV36"/>
      <c r="DW36"/>
      <c r="DX36"/>
      <c r="DY36"/>
      <c r="EB36"/>
      <c r="EC36"/>
      <c r="ED36"/>
      <c r="EF36"/>
      <c r="EG36"/>
      <c r="EH36"/>
      <c r="EI36"/>
      <c r="EJ36"/>
      <c r="EK36"/>
      <c r="EN36"/>
      <c r="EO36"/>
      <c r="EP36"/>
      <c r="EQ36"/>
      <c r="ER36"/>
      <c r="ES36"/>
      <c r="ET36"/>
      <c r="EW36" s="103">
        <v>29</v>
      </c>
      <c r="EX36" s="105" t="e">
        <f t="shared" ca="1" si="0"/>
        <v>#REF!</v>
      </c>
    </row>
    <row r="37" spans="1:154" ht="15" x14ac:dyDescent="0.25">
      <c r="A37" s="77"/>
      <c r="B37" s="77"/>
      <c r="C37" s="78"/>
      <c r="D37" s="78"/>
      <c r="F37" s="78"/>
      <c r="G37" s="78"/>
      <c r="H37" s="78"/>
      <c r="I37" s="78"/>
      <c r="J37" s="78"/>
      <c r="K37" s="78"/>
      <c r="L37" s="78"/>
      <c r="M37" s="78"/>
      <c r="N37" s="78"/>
      <c r="O37" s="78"/>
      <c r="P37" s="78"/>
      <c r="Q37" s="78"/>
      <c r="R37" s="74"/>
      <c r="S37" s="74"/>
      <c r="T37" s="74"/>
      <c r="U37" s="74"/>
      <c r="V37" s="74"/>
      <c r="W37" s="74"/>
      <c r="X37" s="74"/>
      <c r="Y37" s="74"/>
      <c r="Z37" s="74"/>
      <c r="AA37" s="74"/>
      <c r="AB37" s="74"/>
      <c r="AC37" s="74"/>
      <c r="AD37" s="74"/>
      <c r="AE37" s="74"/>
      <c r="AF37" s="77"/>
      <c r="AG37" s="77"/>
      <c r="AH37" s="77"/>
      <c r="AI37" s="77"/>
      <c r="AJ37" s="77"/>
      <c r="AK37" s="79"/>
      <c r="AL37" s="79"/>
      <c r="AM37" s="79"/>
      <c r="AN37" s="79"/>
      <c r="AO37" s="79"/>
      <c r="AP37" s="79"/>
      <c r="AQ37" s="79"/>
      <c r="AR37" s="152"/>
      <c r="AS37" s="152"/>
      <c r="AT37" s="152"/>
      <c r="AU37" s="152"/>
      <c r="AV37" s="152"/>
      <c r="AW37" s="152"/>
      <c r="AX37" s="152"/>
      <c r="AY37" s="152"/>
      <c r="AZ37" s="152"/>
      <c r="BA37" s="152"/>
      <c r="BB37" s="153"/>
      <c r="BC37" s="153"/>
      <c r="BD37" s="153"/>
      <c r="BE37" s="153"/>
      <c r="BF37" s="153"/>
      <c r="BG37" s="153"/>
      <c r="BH37" s="153"/>
      <c r="BI37" s="67"/>
      <c r="BO37"/>
      <c r="BP37"/>
      <c r="BQ37"/>
      <c r="BR37"/>
      <c r="BS37"/>
      <c r="BT37"/>
      <c r="BV37"/>
      <c r="BW37"/>
      <c r="BX37"/>
      <c r="BY37"/>
      <c r="CB37"/>
      <c r="CC37"/>
      <c r="CD37"/>
      <c r="CE37"/>
      <c r="CF37"/>
      <c r="CI37"/>
      <c r="CJ37"/>
      <c r="CK37"/>
      <c r="CN37"/>
      <c r="CO37"/>
      <c r="CP37"/>
      <c r="CQ37"/>
      <c r="CT37"/>
      <c r="CU37"/>
      <c r="CV37"/>
      <c r="CW37"/>
      <c r="CX37"/>
      <c r="CY37"/>
      <c r="CZ37"/>
      <c r="DA37"/>
      <c r="DC37"/>
      <c r="DD37"/>
      <c r="DE37"/>
      <c r="DJ37"/>
      <c r="DK37"/>
      <c r="DL37"/>
      <c r="DM37"/>
      <c r="DN37"/>
      <c r="DO37"/>
      <c r="DP37"/>
      <c r="DS37"/>
      <c r="DT37"/>
      <c r="DU37"/>
      <c r="DV37"/>
      <c r="DW37"/>
      <c r="DX37"/>
      <c r="DY37"/>
      <c r="EB37"/>
      <c r="EC37"/>
      <c r="ED37"/>
      <c r="EF37"/>
      <c r="EG37"/>
      <c r="EH37"/>
      <c r="EI37"/>
      <c r="EJ37"/>
      <c r="EK37"/>
      <c r="EN37"/>
      <c r="EO37"/>
      <c r="EP37"/>
      <c r="EQ37"/>
      <c r="ER37"/>
      <c r="ES37"/>
      <c r="ET37"/>
      <c r="EW37" s="103">
        <v>30</v>
      </c>
      <c r="EX37" s="105" t="e">
        <f t="shared" ca="1" si="0"/>
        <v>#REF!</v>
      </c>
    </row>
    <row r="38" spans="1:154" ht="15" x14ac:dyDescent="0.25">
      <c r="A38" s="77"/>
      <c r="B38" s="77"/>
      <c r="C38" s="78"/>
      <c r="D38" s="78"/>
      <c r="F38" s="78"/>
      <c r="G38" s="78"/>
      <c r="H38" s="78"/>
      <c r="I38" s="78"/>
      <c r="J38" s="78"/>
      <c r="K38" s="78"/>
      <c r="L38" s="78"/>
      <c r="M38" s="78"/>
      <c r="N38" s="78"/>
      <c r="O38" s="78"/>
      <c r="P38" s="78"/>
      <c r="Q38" s="78"/>
      <c r="R38" s="74"/>
      <c r="S38" s="74"/>
      <c r="T38" s="74"/>
      <c r="U38" s="74"/>
      <c r="V38" s="74"/>
      <c r="W38" s="74"/>
      <c r="X38" s="74"/>
      <c r="Y38" s="74"/>
      <c r="Z38" s="74"/>
      <c r="AA38" s="74"/>
      <c r="AB38" s="74"/>
      <c r="AC38" s="74"/>
      <c r="AD38" s="74"/>
      <c r="AE38" s="74"/>
      <c r="AF38" s="77"/>
      <c r="AG38" s="77"/>
      <c r="AH38" s="77"/>
      <c r="AI38" s="77"/>
      <c r="AJ38" s="77"/>
      <c r="AK38" s="79"/>
      <c r="AL38" s="79"/>
      <c r="AM38" s="79"/>
      <c r="AN38" s="79"/>
      <c r="AO38" s="79"/>
      <c r="AP38" s="79"/>
      <c r="AQ38" s="79"/>
      <c r="AR38" s="152"/>
      <c r="AS38" s="152"/>
      <c r="AT38" s="152"/>
      <c r="AU38" s="152"/>
      <c r="AV38" s="152"/>
      <c r="AW38" s="152"/>
      <c r="AX38" s="152"/>
      <c r="AY38" s="152"/>
      <c r="AZ38" s="152"/>
      <c r="BA38" s="152"/>
      <c r="BB38" s="153"/>
      <c r="BC38" s="153"/>
      <c r="BD38" s="153"/>
      <c r="BE38" s="153"/>
      <c r="BF38" s="153"/>
      <c r="BG38" s="153"/>
      <c r="BH38" s="153"/>
      <c r="BO38"/>
      <c r="BP38"/>
      <c r="BQ38"/>
      <c r="BR38"/>
      <c r="BS38"/>
      <c r="BT38"/>
      <c r="BV38"/>
      <c r="BW38"/>
      <c r="BX38"/>
      <c r="BY38"/>
      <c r="CB38"/>
      <c r="CC38"/>
      <c r="CD38"/>
      <c r="CE38"/>
      <c r="CF38"/>
      <c r="CI38"/>
      <c r="CJ38"/>
      <c r="CK38"/>
      <c r="CN38"/>
      <c r="CO38"/>
      <c r="CP38"/>
      <c r="CQ38"/>
      <c r="CT38"/>
      <c r="CU38"/>
      <c r="CV38"/>
      <c r="CW38"/>
      <c r="CX38"/>
      <c r="CY38"/>
      <c r="CZ38"/>
      <c r="DA38"/>
      <c r="DC38"/>
      <c r="DD38"/>
      <c r="DE38"/>
      <c r="DJ38"/>
      <c r="DK38"/>
      <c r="DL38"/>
      <c r="DM38"/>
      <c r="DN38"/>
      <c r="DO38"/>
      <c r="DP38"/>
      <c r="DS38"/>
      <c r="DT38"/>
      <c r="DU38"/>
      <c r="DV38"/>
      <c r="DW38"/>
      <c r="DX38"/>
      <c r="DY38"/>
      <c r="EB38"/>
      <c r="EC38"/>
      <c r="ED38"/>
      <c r="EF38"/>
      <c r="EG38"/>
      <c r="EH38"/>
      <c r="EI38"/>
      <c r="EJ38"/>
      <c r="EK38"/>
      <c r="EN38"/>
      <c r="EO38"/>
      <c r="EP38"/>
      <c r="EQ38"/>
      <c r="ER38"/>
      <c r="ES38"/>
      <c r="ET38"/>
      <c r="EW38" s="103">
        <v>31</v>
      </c>
      <c r="EX38" s="105" t="e">
        <f t="shared" ca="1" si="0"/>
        <v>#REF!</v>
      </c>
    </row>
    <row r="39" spans="1:154" ht="15" x14ac:dyDescent="0.25">
      <c r="A39" s="77"/>
      <c r="B39" s="77"/>
      <c r="C39" s="78"/>
      <c r="D39" s="78"/>
      <c r="F39" s="78"/>
      <c r="G39" s="78"/>
      <c r="H39" s="78"/>
      <c r="I39" s="78"/>
      <c r="J39" s="78"/>
      <c r="K39" s="78"/>
      <c r="L39" s="78"/>
      <c r="M39" s="78"/>
      <c r="N39" s="78"/>
      <c r="O39" s="78"/>
      <c r="P39" s="78"/>
      <c r="Q39" s="78"/>
      <c r="R39" s="74"/>
      <c r="S39" s="74"/>
      <c r="T39" s="74"/>
      <c r="U39" s="74"/>
      <c r="V39" s="74"/>
      <c r="W39" s="74"/>
      <c r="X39" s="74"/>
      <c r="Y39" s="74"/>
      <c r="Z39" s="74"/>
      <c r="AA39" s="74"/>
      <c r="AB39" s="74"/>
      <c r="AC39" s="74"/>
      <c r="AD39" s="74"/>
      <c r="AE39" s="74"/>
      <c r="AF39" s="77"/>
      <c r="AG39" s="77"/>
      <c r="AH39" s="77"/>
      <c r="AI39" s="77"/>
      <c r="AJ39" s="77"/>
      <c r="AK39" s="79"/>
      <c r="AL39" s="79"/>
      <c r="AM39" s="79"/>
      <c r="AN39" s="79"/>
      <c r="AO39" s="79"/>
      <c r="AP39" s="79"/>
      <c r="AQ39" s="79"/>
      <c r="AR39" s="152"/>
      <c r="AS39" s="152"/>
      <c r="AT39" s="152"/>
      <c r="AU39" s="152"/>
      <c r="AV39" s="152"/>
      <c r="AW39" s="152"/>
      <c r="AX39" s="152"/>
      <c r="AY39" s="152"/>
      <c r="AZ39" s="152"/>
      <c r="BA39" s="152"/>
      <c r="BB39" s="153"/>
      <c r="BC39" s="153"/>
      <c r="BD39" s="153"/>
      <c r="BE39" s="153"/>
      <c r="BF39" s="153"/>
      <c r="BG39" s="153"/>
      <c r="BH39" s="153"/>
      <c r="BO39"/>
      <c r="BP39"/>
      <c r="BQ39"/>
      <c r="BR39"/>
      <c r="BS39"/>
      <c r="BT39"/>
      <c r="BV39"/>
      <c r="BW39"/>
      <c r="BX39"/>
      <c r="BY39"/>
      <c r="CB39"/>
      <c r="CC39"/>
      <c r="CD39"/>
      <c r="CE39"/>
      <c r="CF39"/>
      <c r="CI39"/>
      <c r="CJ39"/>
      <c r="CK39"/>
      <c r="CN39"/>
      <c r="CO39"/>
      <c r="CP39"/>
      <c r="CQ39"/>
      <c r="CT39"/>
      <c r="CU39"/>
      <c r="CV39"/>
      <c r="CW39"/>
      <c r="CX39"/>
      <c r="CY39"/>
      <c r="CZ39"/>
      <c r="DA39"/>
      <c r="DC39"/>
      <c r="DD39"/>
      <c r="DE39"/>
      <c r="DJ39"/>
      <c r="DK39"/>
      <c r="DL39"/>
      <c r="DM39"/>
      <c r="DN39"/>
      <c r="DO39"/>
      <c r="DP39"/>
      <c r="DS39"/>
      <c r="DT39"/>
      <c r="DU39"/>
      <c r="DV39"/>
      <c r="DW39"/>
      <c r="DX39"/>
      <c r="DY39"/>
      <c r="EB39"/>
      <c r="EC39"/>
      <c r="ED39"/>
      <c r="EF39"/>
      <c r="EG39"/>
      <c r="EH39"/>
      <c r="EI39"/>
      <c r="EJ39"/>
      <c r="EK39"/>
      <c r="EN39"/>
      <c r="EO39"/>
      <c r="EP39"/>
      <c r="EQ39"/>
      <c r="ER39"/>
      <c r="ES39"/>
      <c r="ET39"/>
      <c r="EW39" s="103">
        <v>32</v>
      </c>
      <c r="EX39" s="105" t="e">
        <f t="shared" ref="EX39:EX70" ca="1" si="1">(COUNTIF(y0_SCIav,"&lt;="&amp;EW39))/(COUNTIF(y0_SCIav,"&lt;="&amp;100))</f>
        <v>#REF!</v>
      </c>
    </row>
    <row r="40" spans="1:154" ht="15" x14ac:dyDescent="0.25">
      <c r="A40" s="77"/>
      <c r="B40" s="77"/>
      <c r="C40" s="78"/>
      <c r="D40" s="78"/>
      <c r="F40" s="78"/>
      <c r="G40" s="78"/>
      <c r="H40" s="78"/>
      <c r="I40" s="78"/>
      <c r="J40" s="78"/>
      <c r="K40" s="78"/>
      <c r="L40" s="78"/>
      <c r="M40" s="78"/>
      <c r="N40" s="78"/>
      <c r="O40" s="78"/>
      <c r="P40" s="78"/>
      <c r="Q40" s="78"/>
      <c r="R40" s="74"/>
      <c r="S40" s="74"/>
      <c r="T40" s="74"/>
      <c r="U40" s="74"/>
      <c r="V40" s="74"/>
      <c r="W40" s="74"/>
      <c r="X40" s="74"/>
      <c r="Y40" s="74"/>
      <c r="Z40" s="74"/>
      <c r="AA40" s="74"/>
      <c r="AB40" s="74"/>
      <c r="AC40" s="74"/>
      <c r="AD40" s="74"/>
      <c r="AE40" s="74"/>
      <c r="AF40" s="77"/>
      <c r="AG40" s="77"/>
      <c r="AH40" s="77"/>
      <c r="AI40" s="77"/>
      <c r="AJ40" s="77"/>
      <c r="AK40" s="79"/>
      <c r="AL40" s="79"/>
      <c r="AM40" s="79"/>
      <c r="AN40" s="79"/>
      <c r="AO40" s="79"/>
      <c r="AP40" s="79"/>
      <c r="AQ40" s="79"/>
      <c r="AR40" s="152"/>
      <c r="AS40" s="152"/>
      <c r="AT40" s="152"/>
      <c r="AU40" s="152"/>
      <c r="AV40" s="152"/>
      <c r="AW40" s="152"/>
      <c r="AX40" s="152"/>
      <c r="AY40" s="152"/>
      <c r="AZ40" s="152"/>
      <c r="BA40" s="152"/>
      <c r="BB40" s="153"/>
      <c r="BC40" s="153"/>
      <c r="BD40" s="153"/>
      <c r="BE40" s="153"/>
      <c r="BF40" s="153"/>
      <c r="BG40" s="153"/>
      <c r="BH40" s="153"/>
      <c r="BI40" s="67"/>
      <c r="BO40"/>
      <c r="BP40"/>
      <c r="BQ40"/>
      <c r="BR40"/>
      <c r="BS40"/>
      <c r="BT40"/>
      <c r="BV40"/>
      <c r="BW40"/>
      <c r="BX40"/>
      <c r="BY40"/>
      <c r="CB40"/>
      <c r="CC40"/>
      <c r="CD40"/>
      <c r="CE40"/>
      <c r="CF40"/>
      <c r="CI40"/>
      <c r="CJ40"/>
      <c r="CK40"/>
      <c r="CN40"/>
      <c r="CO40"/>
      <c r="CP40"/>
      <c r="CQ40"/>
      <c r="CT40"/>
      <c r="CU40"/>
      <c r="CV40"/>
      <c r="CW40"/>
      <c r="CX40"/>
      <c r="CY40"/>
      <c r="CZ40"/>
      <c r="DA40"/>
      <c r="DC40"/>
      <c r="DD40"/>
      <c r="DE40"/>
      <c r="DJ40"/>
      <c r="DK40"/>
      <c r="DL40"/>
      <c r="DM40"/>
      <c r="DN40"/>
      <c r="DO40"/>
      <c r="DP40"/>
      <c r="DS40"/>
      <c r="DT40"/>
      <c r="DU40"/>
      <c r="DV40"/>
      <c r="DW40"/>
      <c r="DX40"/>
      <c r="DY40"/>
      <c r="EB40"/>
      <c r="EC40"/>
      <c r="ED40"/>
      <c r="EF40"/>
      <c r="EG40"/>
      <c r="EH40"/>
      <c r="EI40"/>
      <c r="EJ40"/>
      <c r="EK40"/>
      <c r="EN40"/>
      <c r="EO40"/>
      <c r="EP40"/>
      <c r="EQ40"/>
      <c r="ER40"/>
      <c r="ES40"/>
      <c r="ET40"/>
      <c r="EW40" s="103">
        <v>33</v>
      </c>
      <c r="EX40" s="105" t="e">
        <f t="shared" ca="1" si="1"/>
        <v>#REF!</v>
      </c>
    </row>
    <row r="41" spans="1:154" ht="15" x14ac:dyDescent="0.25">
      <c r="A41" s="77"/>
      <c r="B41" s="77"/>
      <c r="C41" s="78"/>
      <c r="D41" s="78"/>
      <c r="F41" s="78"/>
      <c r="G41" s="78"/>
      <c r="H41" s="78"/>
      <c r="I41" s="78"/>
      <c r="J41" s="78"/>
      <c r="K41" s="78"/>
      <c r="L41" s="78"/>
      <c r="M41" s="78"/>
      <c r="N41" s="78"/>
      <c r="O41" s="78"/>
      <c r="P41" s="78"/>
      <c r="Q41" s="78"/>
      <c r="R41" s="74"/>
      <c r="S41" s="74"/>
      <c r="T41" s="74"/>
      <c r="U41" s="74"/>
      <c r="V41" s="74"/>
      <c r="W41" s="74"/>
      <c r="X41" s="74"/>
      <c r="Y41" s="74"/>
      <c r="Z41" s="74"/>
      <c r="AA41" s="74"/>
      <c r="AB41" s="74"/>
      <c r="AC41" s="74"/>
      <c r="AD41" s="74"/>
      <c r="AE41" s="74"/>
      <c r="AF41" s="77"/>
      <c r="AG41" s="77"/>
      <c r="AH41" s="77"/>
      <c r="AI41" s="77"/>
      <c r="AJ41" s="77"/>
      <c r="AK41" s="79"/>
      <c r="AL41" s="79"/>
      <c r="AM41" s="79"/>
      <c r="AN41" s="79"/>
      <c r="AO41" s="79"/>
      <c r="AP41" s="79"/>
      <c r="AQ41" s="79"/>
      <c r="AR41" s="152"/>
      <c r="AS41" s="152"/>
      <c r="AT41" s="152"/>
      <c r="AU41" s="152"/>
      <c r="AV41" s="152"/>
      <c r="AW41" s="152"/>
      <c r="AX41" s="152"/>
      <c r="AY41" s="152"/>
      <c r="AZ41" s="152"/>
      <c r="BA41" s="152"/>
      <c r="BB41" s="153"/>
      <c r="BC41" s="153"/>
      <c r="BD41" s="153"/>
      <c r="BE41" s="153"/>
      <c r="BF41" s="153"/>
      <c r="BG41" s="153"/>
      <c r="BH41" s="153"/>
      <c r="BI41" s="67"/>
      <c r="BO41"/>
      <c r="BP41"/>
      <c r="BQ41"/>
      <c r="BR41"/>
      <c r="BS41"/>
      <c r="BT41"/>
      <c r="BV41"/>
      <c r="BW41"/>
      <c r="BX41"/>
      <c r="BY41"/>
      <c r="CB41"/>
      <c r="CC41"/>
      <c r="CD41"/>
      <c r="CE41"/>
      <c r="CF41"/>
      <c r="CI41"/>
      <c r="CJ41"/>
      <c r="CK41"/>
      <c r="CN41"/>
      <c r="CO41"/>
      <c r="CP41"/>
      <c r="CQ41"/>
      <c r="CT41"/>
      <c r="CU41"/>
      <c r="CV41"/>
      <c r="CW41"/>
      <c r="CX41"/>
      <c r="CY41"/>
      <c r="CZ41"/>
      <c r="DA41"/>
      <c r="DC41"/>
      <c r="DD41"/>
      <c r="DE41"/>
      <c r="DJ41"/>
      <c r="DK41"/>
      <c r="DL41"/>
      <c r="DM41"/>
      <c r="DN41"/>
      <c r="DO41"/>
      <c r="DP41"/>
      <c r="DS41"/>
      <c r="DT41"/>
      <c r="DU41"/>
      <c r="DV41"/>
      <c r="DW41"/>
      <c r="DX41"/>
      <c r="DY41"/>
      <c r="EB41"/>
      <c r="EC41"/>
      <c r="ED41"/>
      <c r="EF41"/>
      <c r="EG41"/>
      <c r="EH41"/>
      <c r="EI41"/>
      <c r="EJ41"/>
      <c r="EK41"/>
      <c r="EN41"/>
      <c r="EO41"/>
      <c r="EP41"/>
      <c r="EQ41"/>
      <c r="ER41"/>
      <c r="ES41"/>
      <c r="ET41"/>
      <c r="EW41" s="103">
        <v>34</v>
      </c>
      <c r="EX41" s="105" t="e">
        <f t="shared" ca="1" si="1"/>
        <v>#REF!</v>
      </c>
    </row>
    <row r="42" spans="1:154" ht="15" x14ac:dyDescent="0.25">
      <c r="A42" s="77"/>
      <c r="B42" s="77"/>
      <c r="C42" s="78"/>
      <c r="D42" s="78"/>
      <c r="F42" s="78"/>
      <c r="G42" s="78"/>
      <c r="H42" s="78"/>
      <c r="I42" s="78"/>
      <c r="J42" s="78"/>
      <c r="K42" s="78"/>
      <c r="L42" s="78"/>
      <c r="M42" s="78"/>
      <c r="N42" s="78"/>
      <c r="O42" s="78"/>
      <c r="P42" s="78"/>
      <c r="Q42" s="78"/>
      <c r="R42" s="74"/>
      <c r="S42" s="74"/>
      <c r="T42" s="74"/>
      <c r="U42" s="74"/>
      <c r="V42" s="74"/>
      <c r="W42" s="74"/>
      <c r="X42" s="74"/>
      <c r="Y42" s="74"/>
      <c r="Z42" s="74"/>
      <c r="AA42" s="74"/>
      <c r="AB42" s="74"/>
      <c r="AC42" s="74"/>
      <c r="AD42" s="74"/>
      <c r="AE42" s="74"/>
      <c r="AF42" s="77"/>
      <c r="AG42" s="77"/>
      <c r="AH42" s="77"/>
      <c r="AI42" s="77"/>
      <c r="AJ42" s="77"/>
      <c r="AK42" s="79"/>
      <c r="AL42" s="79"/>
      <c r="AM42" s="79"/>
      <c r="AN42" s="79"/>
      <c r="AO42" s="79"/>
      <c r="AP42" s="79"/>
      <c r="AQ42" s="79"/>
      <c r="AR42" s="152"/>
      <c r="AS42" s="152"/>
      <c r="AT42" s="152"/>
      <c r="AU42" s="152"/>
      <c r="AV42" s="152"/>
      <c r="AW42" s="152"/>
      <c r="AX42" s="152"/>
      <c r="AY42" s="152"/>
      <c r="AZ42" s="152"/>
      <c r="BA42" s="152"/>
      <c r="BB42" s="153"/>
      <c r="BC42" s="153"/>
      <c r="BD42" s="153"/>
      <c r="BE42" s="153"/>
      <c r="BF42" s="153"/>
      <c r="BG42" s="153"/>
      <c r="BH42" s="153"/>
      <c r="BI42" s="67"/>
      <c r="BO42"/>
      <c r="BP42"/>
      <c r="BQ42"/>
      <c r="BR42"/>
      <c r="BS42"/>
      <c r="BT42"/>
      <c r="BV42"/>
      <c r="BW42"/>
      <c r="BX42"/>
      <c r="BY42"/>
      <c r="CB42"/>
      <c r="CC42"/>
      <c r="CD42"/>
      <c r="CE42"/>
      <c r="CF42"/>
      <c r="CI42"/>
      <c r="CJ42"/>
      <c r="CK42"/>
      <c r="CN42"/>
      <c r="CO42"/>
      <c r="CP42"/>
      <c r="CQ42"/>
      <c r="CT42"/>
      <c r="CU42"/>
      <c r="CV42"/>
      <c r="CW42"/>
      <c r="CX42"/>
      <c r="CY42"/>
      <c r="CZ42"/>
      <c r="DA42"/>
      <c r="DC42"/>
      <c r="DD42"/>
      <c r="DE42"/>
      <c r="DJ42"/>
      <c r="DK42"/>
      <c r="DL42"/>
      <c r="DM42"/>
      <c r="DN42"/>
      <c r="DO42"/>
      <c r="DP42"/>
      <c r="DS42"/>
      <c r="DT42"/>
      <c r="DU42"/>
      <c r="DV42"/>
      <c r="DW42"/>
      <c r="DX42"/>
      <c r="DY42"/>
      <c r="EB42"/>
      <c r="EC42"/>
      <c r="ED42"/>
      <c r="EF42"/>
      <c r="EG42"/>
      <c r="EH42"/>
      <c r="EI42"/>
      <c r="EJ42"/>
      <c r="EK42"/>
      <c r="EN42"/>
      <c r="EO42"/>
      <c r="EP42"/>
      <c r="EQ42"/>
      <c r="ER42"/>
      <c r="ES42"/>
      <c r="ET42"/>
      <c r="EW42" s="103">
        <v>35</v>
      </c>
      <c r="EX42" s="105" t="e">
        <f t="shared" ca="1" si="1"/>
        <v>#REF!</v>
      </c>
    </row>
    <row r="43" spans="1:154" ht="15" x14ac:dyDescent="0.25">
      <c r="A43" s="77"/>
      <c r="B43" s="77"/>
      <c r="C43" s="78"/>
      <c r="D43" s="78"/>
      <c r="F43" s="78"/>
      <c r="G43" s="78"/>
      <c r="H43" s="78"/>
      <c r="I43" s="78"/>
      <c r="J43" s="78"/>
      <c r="K43" s="78"/>
      <c r="L43" s="78"/>
      <c r="M43" s="78"/>
      <c r="N43" s="78"/>
      <c r="O43" s="78"/>
      <c r="P43" s="78"/>
      <c r="Q43" s="78"/>
      <c r="R43" s="74"/>
      <c r="S43" s="74"/>
      <c r="T43" s="74"/>
      <c r="U43" s="74"/>
      <c r="V43" s="74"/>
      <c r="W43" s="74"/>
      <c r="X43" s="74"/>
      <c r="Y43" s="74"/>
      <c r="Z43" s="74"/>
      <c r="AA43" s="74"/>
      <c r="AB43" s="74"/>
      <c r="AC43" s="74"/>
      <c r="AD43" s="74"/>
      <c r="AE43" s="74"/>
      <c r="AF43" s="77"/>
      <c r="AG43" s="77"/>
      <c r="AH43" s="77"/>
      <c r="AI43" s="77"/>
      <c r="AJ43" s="77"/>
      <c r="AK43" s="79"/>
      <c r="AL43" s="79"/>
      <c r="AM43" s="79"/>
      <c r="AN43" s="79"/>
      <c r="AO43" s="79"/>
      <c r="AP43" s="79"/>
      <c r="AQ43" s="79"/>
      <c r="AR43" s="152"/>
      <c r="AS43" s="152"/>
      <c r="AT43" s="152"/>
      <c r="AU43" s="152"/>
      <c r="AV43" s="152"/>
      <c r="AW43" s="152"/>
      <c r="AX43" s="152"/>
      <c r="AY43" s="152"/>
      <c r="AZ43" s="152"/>
      <c r="BA43" s="152"/>
      <c r="BB43" s="153"/>
      <c r="BC43" s="153"/>
      <c r="BD43" s="153"/>
      <c r="BE43" s="153"/>
      <c r="BF43" s="153"/>
      <c r="BG43" s="153"/>
      <c r="BH43" s="153"/>
      <c r="BO43"/>
      <c r="BP43"/>
      <c r="BQ43"/>
      <c r="BR43"/>
      <c r="BS43"/>
      <c r="BT43"/>
      <c r="BV43"/>
      <c r="BW43"/>
      <c r="BX43"/>
      <c r="BY43"/>
      <c r="CB43"/>
      <c r="CC43"/>
      <c r="CD43"/>
      <c r="CE43"/>
      <c r="CF43"/>
      <c r="CI43"/>
      <c r="CJ43"/>
      <c r="CK43"/>
      <c r="CN43"/>
      <c r="CO43"/>
      <c r="CP43"/>
      <c r="CQ43"/>
      <c r="CT43"/>
      <c r="CU43"/>
      <c r="CV43"/>
      <c r="CW43"/>
      <c r="CX43"/>
      <c r="CY43"/>
      <c r="CZ43"/>
      <c r="DA43"/>
      <c r="DC43"/>
      <c r="DD43"/>
      <c r="DE43"/>
      <c r="DJ43"/>
      <c r="DK43"/>
      <c r="DL43"/>
      <c r="DM43"/>
      <c r="DN43"/>
      <c r="DO43"/>
      <c r="DP43"/>
      <c r="DS43"/>
      <c r="DT43"/>
      <c r="DU43"/>
      <c r="DV43"/>
      <c r="DW43"/>
      <c r="DX43"/>
      <c r="DY43"/>
      <c r="EB43"/>
      <c r="EC43"/>
      <c r="ED43"/>
      <c r="EF43"/>
      <c r="EG43"/>
      <c r="EH43"/>
      <c r="EI43"/>
      <c r="EJ43"/>
      <c r="EK43"/>
      <c r="EN43"/>
      <c r="EO43"/>
      <c r="EP43"/>
      <c r="EQ43"/>
      <c r="ER43"/>
      <c r="ES43"/>
      <c r="ET43"/>
      <c r="EW43" s="103">
        <v>36</v>
      </c>
      <c r="EX43" s="105" t="e">
        <f t="shared" ca="1" si="1"/>
        <v>#REF!</v>
      </c>
    </row>
    <row r="44" spans="1:154" ht="15" x14ac:dyDescent="0.25">
      <c r="A44" s="77"/>
      <c r="B44" s="77"/>
      <c r="C44" s="78"/>
      <c r="D44" s="78"/>
      <c r="F44" s="78"/>
      <c r="G44" s="78"/>
      <c r="H44" s="78"/>
      <c r="I44" s="78"/>
      <c r="J44" s="78"/>
      <c r="K44" s="78"/>
      <c r="L44" s="78"/>
      <c r="M44" s="78"/>
      <c r="N44" s="78"/>
      <c r="O44" s="78"/>
      <c r="P44" s="78"/>
      <c r="Q44" s="78"/>
      <c r="R44" s="74"/>
      <c r="S44" s="74"/>
      <c r="T44" s="74"/>
      <c r="U44" s="74"/>
      <c r="V44" s="74"/>
      <c r="W44" s="74"/>
      <c r="X44" s="74"/>
      <c r="Y44" s="74"/>
      <c r="Z44" s="74"/>
      <c r="AA44" s="74"/>
      <c r="AB44" s="74"/>
      <c r="AC44" s="74"/>
      <c r="AD44" s="74"/>
      <c r="AE44" s="74"/>
      <c r="AF44" s="77"/>
      <c r="AG44" s="77"/>
      <c r="AH44" s="77"/>
      <c r="AI44" s="77"/>
      <c r="AJ44" s="77"/>
      <c r="AK44" s="79"/>
      <c r="AL44" s="79"/>
      <c r="AM44" s="79"/>
      <c r="AN44" s="79"/>
      <c r="AO44" s="79"/>
      <c r="AP44" s="79"/>
      <c r="AQ44" s="79"/>
      <c r="AR44" s="152"/>
      <c r="AS44" s="152"/>
      <c r="AT44" s="152"/>
      <c r="AU44" s="152"/>
      <c r="AV44" s="152"/>
      <c r="AW44" s="152"/>
      <c r="AX44" s="152"/>
      <c r="AY44" s="152"/>
      <c r="AZ44" s="152"/>
      <c r="BA44" s="152"/>
      <c r="BB44" s="153"/>
      <c r="BC44" s="153"/>
      <c r="BD44" s="153"/>
      <c r="BE44" s="153"/>
      <c r="BF44" s="153"/>
      <c r="BG44" s="153"/>
      <c r="BH44" s="153"/>
      <c r="BO44"/>
      <c r="BP44"/>
      <c r="BQ44"/>
      <c r="BR44"/>
      <c r="BS44"/>
      <c r="BT44"/>
      <c r="BV44"/>
      <c r="BW44"/>
      <c r="BX44"/>
      <c r="BY44"/>
      <c r="CB44"/>
      <c r="CC44"/>
      <c r="CD44"/>
      <c r="CE44"/>
      <c r="CF44"/>
      <c r="CI44"/>
      <c r="CJ44"/>
      <c r="CK44"/>
      <c r="CN44"/>
      <c r="CO44"/>
      <c r="CP44"/>
      <c r="CQ44"/>
      <c r="CT44"/>
      <c r="CU44"/>
      <c r="CV44"/>
      <c r="CW44"/>
      <c r="CX44"/>
      <c r="CY44"/>
      <c r="CZ44"/>
      <c r="DA44"/>
      <c r="DC44"/>
      <c r="DD44"/>
      <c r="DE44"/>
      <c r="DJ44"/>
      <c r="DK44"/>
      <c r="DL44"/>
      <c r="DM44"/>
      <c r="DN44"/>
      <c r="DO44"/>
      <c r="DP44"/>
      <c r="DS44"/>
      <c r="DT44"/>
      <c r="DU44"/>
      <c r="DV44"/>
      <c r="DW44"/>
      <c r="DX44"/>
      <c r="DY44"/>
      <c r="EB44"/>
      <c r="EC44"/>
      <c r="ED44"/>
      <c r="EF44"/>
      <c r="EG44"/>
      <c r="EH44"/>
      <c r="EI44"/>
      <c r="EJ44"/>
      <c r="EK44"/>
      <c r="EN44"/>
      <c r="EO44"/>
      <c r="EP44"/>
      <c r="EQ44"/>
      <c r="ER44"/>
      <c r="ES44"/>
      <c r="ET44"/>
      <c r="EW44" s="103">
        <v>37</v>
      </c>
      <c r="EX44" s="105" t="e">
        <f t="shared" ca="1" si="1"/>
        <v>#REF!</v>
      </c>
    </row>
    <row r="45" spans="1:154" ht="15" x14ac:dyDescent="0.25">
      <c r="A45" s="77"/>
      <c r="B45" s="77"/>
      <c r="C45" s="78"/>
      <c r="D45" s="78"/>
      <c r="F45" s="78"/>
      <c r="G45" s="78"/>
      <c r="H45" s="78"/>
      <c r="I45" s="78"/>
      <c r="J45" s="78"/>
      <c r="K45" s="78"/>
      <c r="L45" s="78"/>
      <c r="M45" s="78"/>
      <c r="N45" s="78"/>
      <c r="O45" s="78"/>
      <c r="P45" s="78"/>
      <c r="Q45" s="78"/>
      <c r="R45" s="74"/>
      <c r="S45" s="74"/>
      <c r="T45" s="74"/>
      <c r="U45" s="74"/>
      <c r="V45" s="74"/>
      <c r="W45" s="74"/>
      <c r="X45" s="74"/>
      <c r="Y45" s="74"/>
      <c r="Z45" s="74"/>
      <c r="AA45" s="74"/>
      <c r="AB45" s="74"/>
      <c r="AC45" s="74"/>
      <c r="AD45" s="74"/>
      <c r="AE45" s="74"/>
      <c r="AF45" s="77"/>
      <c r="AG45" s="77"/>
      <c r="AH45" s="77"/>
      <c r="AI45" s="77"/>
      <c r="AJ45" s="77"/>
      <c r="AK45" s="79"/>
      <c r="AL45" s="79"/>
      <c r="AM45" s="79"/>
      <c r="AN45" s="79"/>
      <c r="AO45" s="79"/>
      <c r="AP45" s="79"/>
      <c r="AQ45" s="79"/>
      <c r="AR45" s="152"/>
      <c r="AS45" s="152"/>
      <c r="AT45" s="152"/>
      <c r="AU45" s="152"/>
      <c r="AV45" s="152"/>
      <c r="AW45" s="152"/>
      <c r="AX45" s="152"/>
      <c r="AY45" s="152"/>
      <c r="AZ45" s="152"/>
      <c r="BA45" s="152"/>
      <c r="BB45" s="153"/>
      <c r="BC45" s="153"/>
      <c r="BD45" s="153"/>
      <c r="BE45" s="153"/>
      <c r="BF45" s="153"/>
      <c r="BG45" s="153"/>
      <c r="BH45" s="153"/>
      <c r="BI45" s="67"/>
      <c r="BO45"/>
      <c r="BP45"/>
      <c r="BQ45"/>
      <c r="BR45"/>
      <c r="BS45"/>
      <c r="BT45"/>
      <c r="BV45"/>
      <c r="BW45"/>
      <c r="BX45"/>
      <c r="BY45"/>
      <c r="CB45"/>
      <c r="CC45"/>
      <c r="CD45"/>
      <c r="CE45"/>
      <c r="CF45"/>
      <c r="CI45"/>
      <c r="CJ45"/>
      <c r="CK45"/>
      <c r="CN45"/>
      <c r="CO45"/>
      <c r="CP45"/>
      <c r="CQ45"/>
      <c r="CT45"/>
      <c r="CU45"/>
      <c r="CV45"/>
      <c r="CW45"/>
      <c r="CX45"/>
      <c r="CY45"/>
      <c r="CZ45"/>
      <c r="DA45"/>
      <c r="DC45"/>
      <c r="DD45"/>
      <c r="DE45"/>
      <c r="DJ45"/>
      <c r="DK45"/>
      <c r="DL45"/>
      <c r="DM45"/>
      <c r="DN45"/>
      <c r="DO45"/>
      <c r="DP45"/>
      <c r="DS45"/>
      <c r="DT45"/>
      <c r="DU45"/>
      <c r="DV45"/>
      <c r="DW45"/>
      <c r="DX45"/>
      <c r="DY45"/>
      <c r="EB45"/>
      <c r="EC45"/>
      <c r="ED45"/>
      <c r="EF45"/>
      <c r="EG45"/>
      <c r="EH45"/>
      <c r="EI45"/>
      <c r="EJ45"/>
      <c r="EK45"/>
      <c r="EN45"/>
      <c r="EO45"/>
      <c r="EP45"/>
      <c r="EQ45"/>
      <c r="ER45"/>
      <c r="ES45"/>
      <c r="ET45"/>
      <c r="EW45" s="103">
        <v>38</v>
      </c>
      <c r="EX45" s="105" t="e">
        <f t="shared" ca="1" si="1"/>
        <v>#REF!</v>
      </c>
    </row>
    <row r="46" spans="1:154" ht="15" x14ac:dyDescent="0.25">
      <c r="A46" s="77"/>
      <c r="B46" s="77"/>
      <c r="C46" s="78"/>
      <c r="D46" s="78"/>
      <c r="F46" s="78"/>
      <c r="G46" s="78"/>
      <c r="H46" s="78"/>
      <c r="I46" s="78"/>
      <c r="J46" s="78"/>
      <c r="K46" s="78"/>
      <c r="L46" s="78"/>
      <c r="M46" s="78"/>
      <c r="N46" s="78"/>
      <c r="O46" s="78"/>
      <c r="P46" s="78"/>
      <c r="Q46" s="78"/>
      <c r="R46" s="74"/>
      <c r="S46" s="74"/>
      <c r="T46" s="74"/>
      <c r="U46" s="74"/>
      <c r="V46" s="74"/>
      <c r="W46" s="74"/>
      <c r="X46" s="74"/>
      <c r="Y46" s="74"/>
      <c r="Z46" s="74"/>
      <c r="AA46" s="74"/>
      <c r="AB46" s="74"/>
      <c r="AC46" s="74"/>
      <c r="AD46" s="74"/>
      <c r="AE46" s="74"/>
      <c r="AF46" s="77"/>
      <c r="AG46" s="77"/>
      <c r="AH46" s="77"/>
      <c r="AI46" s="77"/>
      <c r="AJ46" s="77"/>
      <c r="AK46" s="79"/>
      <c r="AL46" s="79"/>
      <c r="AM46" s="79"/>
      <c r="AN46" s="79"/>
      <c r="AO46" s="79"/>
      <c r="AP46" s="79"/>
      <c r="AQ46" s="79"/>
      <c r="AR46" s="152"/>
      <c r="AS46" s="152"/>
      <c r="AT46" s="152"/>
      <c r="AU46" s="152"/>
      <c r="AV46" s="152"/>
      <c r="AW46" s="152"/>
      <c r="AX46" s="152"/>
      <c r="AY46" s="152"/>
      <c r="AZ46" s="152"/>
      <c r="BA46" s="152"/>
      <c r="BB46" s="153"/>
      <c r="BC46" s="153"/>
      <c r="BD46" s="153"/>
      <c r="BE46" s="153"/>
      <c r="BF46" s="153"/>
      <c r="BG46" s="153"/>
      <c r="BH46" s="153"/>
      <c r="BI46" s="67"/>
      <c r="BO46"/>
      <c r="BP46"/>
      <c r="BQ46"/>
      <c r="BR46"/>
      <c r="BS46"/>
      <c r="BT46"/>
      <c r="BV46"/>
      <c r="BW46"/>
      <c r="BX46"/>
      <c r="BY46"/>
      <c r="CB46"/>
      <c r="CC46"/>
      <c r="CD46"/>
      <c r="CE46"/>
      <c r="CF46"/>
      <c r="CI46"/>
      <c r="CJ46"/>
      <c r="CK46"/>
      <c r="CN46"/>
      <c r="CO46"/>
      <c r="CP46"/>
      <c r="CQ46"/>
      <c r="CT46"/>
      <c r="CU46"/>
      <c r="CV46"/>
      <c r="CW46"/>
      <c r="CX46"/>
      <c r="CY46"/>
      <c r="CZ46"/>
      <c r="DA46"/>
      <c r="DC46"/>
      <c r="DD46"/>
      <c r="DE46"/>
      <c r="DJ46"/>
      <c r="DK46"/>
      <c r="DL46"/>
      <c r="DM46"/>
      <c r="DN46"/>
      <c r="DO46"/>
      <c r="DP46"/>
      <c r="DS46"/>
      <c r="DT46"/>
      <c r="DU46"/>
      <c r="DV46"/>
      <c r="DW46"/>
      <c r="DX46"/>
      <c r="DY46"/>
      <c r="EB46"/>
      <c r="EC46"/>
      <c r="ED46"/>
      <c r="EF46"/>
      <c r="EG46"/>
      <c r="EH46"/>
      <c r="EI46"/>
      <c r="EJ46"/>
      <c r="EK46"/>
      <c r="EN46"/>
      <c r="EO46"/>
      <c r="EP46"/>
      <c r="EQ46"/>
      <c r="ER46"/>
      <c r="ES46"/>
      <c r="ET46"/>
      <c r="EW46" s="103">
        <v>39</v>
      </c>
      <c r="EX46" s="105" t="e">
        <f t="shared" ca="1" si="1"/>
        <v>#REF!</v>
      </c>
    </row>
    <row r="47" spans="1:154" ht="15" x14ac:dyDescent="0.25">
      <c r="A47" s="77"/>
      <c r="B47" s="77"/>
      <c r="C47" s="78"/>
      <c r="D47" s="78"/>
      <c r="F47" s="78"/>
      <c r="G47" s="78"/>
      <c r="H47" s="78"/>
      <c r="I47" s="78"/>
      <c r="J47" s="78"/>
      <c r="K47" s="78"/>
      <c r="L47" s="78"/>
      <c r="M47" s="78"/>
      <c r="N47" s="78"/>
      <c r="O47" s="78"/>
      <c r="P47" s="78"/>
      <c r="Q47" s="78"/>
      <c r="R47" s="74"/>
      <c r="S47" s="74"/>
      <c r="T47" s="74"/>
      <c r="U47" s="74"/>
      <c r="V47" s="74"/>
      <c r="W47" s="74"/>
      <c r="X47" s="74"/>
      <c r="Y47" s="74"/>
      <c r="Z47" s="74"/>
      <c r="AA47" s="74"/>
      <c r="AB47" s="74"/>
      <c r="AC47" s="74"/>
      <c r="AD47" s="74"/>
      <c r="AE47" s="74"/>
      <c r="AF47" s="77"/>
      <c r="AG47" s="77"/>
      <c r="AH47" s="77"/>
      <c r="AI47" s="77"/>
      <c r="AJ47" s="77"/>
      <c r="AK47" s="79"/>
      <c r="AL47" s="79"/>
      <c r="AM47" s="79"/>
      <c r="AN47" s="79"/>
      <c r="AO47" s="79"/>
      <c r="AP47" s="79"/>
      <c r="AQ47" s="79"/>
      <c r="AR47" s="152"/>
      <c r="AS47" s="152"/>
      <c r="AT47" s="152"/>
      <c r="AU47" s="152"/>
      <c r="AV47" s="152"/>
      <c r="AW47" s="152"/>
      <c r="AX47" s="152"/>
      <c r="AY47" s="152"/>
      <c r="AZ47" s="152"/>
      <c r="BA47" s="152"/>
      <c r="BB47" s="153"/>
      <c r="BC47" s="153"/>
      <c r="BD47" s="153"/>
      <c r="BE47" s="153"/>
      <c r="BF47" s="153"/>
      <c r="BG47" s="153"/>
      <c r="BH47" s="153"/>
      <c r="BI47" s="67"/>
      <c r="BO47"/>
      <c r="BP47"/>
      <c r="BQ47"/>
      <c r="BR47"/>
      <c r="BS47"/>
      <c r="BT47"/>
      <c r="BV47"/>
      <c r="BW47"/>
      <c r="BX47"/>
      <c r="BY47"/>
      <c r="CB47"/>
      <c r="CC47"/>
      <c r="CD47"/>
      <c r="CE47"/>
      <c r="CF47"/>
      <c r="CI47"/>
      <c r="CJ47"/>
      <c r="CK47"/>
      <c r="CN47"/>
      <c r="CO47"/>
      <c r="CP47"/>
      <c r="CQ47"/>
      <c r="CT47"/>
      <c r="CU47"/>
      <c r="CV47"/>
      <c r="CW47"/>
      <c r="CX47"/>
      <c r="CY47"/>
      <c r="CZ47"/>
      <c r="DA47"/>
      <c r="DC47"/>
      <c r="DD47"/>
      <c r="DE47"/>
      <c r="DJ47"/>
      <c r="DK47"/>
      <c r="DL47"/>
      <c r="DM47"/>
      <c r="DN47"/>
      <c r="DO47"/>
      <c r="DP47"/>
      <c r="DS47"/>
      <c r="DT47"/>
      <c r="DU47"/>
      <c r="DV47"/>
      <c r="DW47"/>
      <c r="DX47"/>
      <c r="DY47"/>
      <c r="EB47"/>
      <c r="EC47"/>
      <c r="ED47"/>
      <c r="EF47"/>
      <c r="EG47"/>
      <c r="EH47"/>
      <c r="EI47"/>
      <c r="EJ47"/>
      <c r="EK47"/>
      <c r="EN47"/>
      <c r="EO47"/>
      <c r="EP47"/>
      <c r="EQ47"/>
      <c r="ER47"/>
      <c r="ES47"/>
      <c r="ET47"/>
      <c r="EW47" s="103">
        <v>40</v>
      </c>
      <c r="EX47" s="105" t="e">
        <f t="shared" ca="1" si="1"/>
        <v>#REF!</v>
      </c>
    </row>
    <row r="48" spans="1:154" ht="15" x14ac:dyDescent="0.25">
      <c r="A48" s="77"/>
      <c r="B48" s="77"/>
      <c r="C48" s="78"/>
      <c r="D48" s="78"/>
      <c r="F48" s="78"/>
      <c r="G48" s="78"/>
      <c r="H48" s="78"/>
      <c r="I48" s="78"/>
      <c r="J48" s="78"/>
      <c r="K48" s="78"/>
      <c r="L48" s="78"/>
      <c r="M48" s="78"/>
      <c r="N48" s="78"/>
      <c r="O48" s="78"/>
      <c r="P48" s="78"/>
      <c r="Q48" s="78"/>
      <c r="R48" s="74"/>
      <c r="S48" s="74"/>
      <c r="T48" s="74"/>
      <c r="U48" s="74"/>
      <c r="V48" s="74"/>
      <c r="W48" s="74"/>
      <c r="X48" s="74"/>
      <c r="Y48" s="74"/>
      <c r="Z48" s="74"/>
      <c r="AA48" s="74"/>
      <c r="AB48" s="74"/>
      <c r="AC48" s="74"/>
      <c r="AD48" s="74"/>
      <c r="AE48" s="74"/>
      <c r="AF48" s="77"/>
      <c r="AG48" s="77"/>
      <c r="AH48" s="77"/>
      <c r="AI48" s="77"/>
      <c r="AJ48" s="77"/>
      <c r="AK48" s="79"/>
      <c r="AL48" s="79"/>
      <c r="AM48" s="79"/>
      <c r="AN48" s="79"/>
      <c r="AO48" s="79"/>
      <c r="AP48" s="79"/>
      <c r="AQ48" s="79"/>
      <c r="AR48" s="152"/>
      <c r="AS48" s="152"/>
      <c r="AT48" s="152"/>
      <c r="AU48" s="152"/>
      <c r="AV48" s="152"/>
      <c r="AW48" s="152"/>
      <c r="AX48" s="152"/>
      <c r="AY48" s="152"/>
      <c r="AZ48" s="152"/>
      <c r="BA48" s="152"/>
      <c r="BB48" s="153"/>
      <c r="BC48" s="153"/>
      <c r="BD48" s="153"/>
      <c r="BE48" s="153"/>
      <c r="BF48" s="153"/>
      <c r="BG48" s="153"/>
      <c r="BH48" s="153"/>
      <c r="BO48"/>
      <c r="BP48"/>
      <c r="BQ48"/>
      <c r="BR48"/>
      <c r="BS48"/>
      <c r="BT48"/>
      <c r="BV48"/>
      <c r="BW48"/>
      <c r="BX48"/>
      <c r="BY48"/>
      <c r="CB48"/>
      <c r="CC48"/>
      <c r="CD48"/>
      <c r="CE48"/>
      <c r="CF48"/>
      <c r="CI48"/>
      <c r="CJ48"/>
      <c r="CK48"/>
      <c r="CN48"/>
      <c r="CO48"/>
      <c r="CP48"/>
      <c r="CQ48"/>
      <c r="CT48"/>
      <c r="CU48"/>
      <c r="CV48"/>
      <c r="CW48"/>
      <c r="CX48"/>
      <c r="CY48"/>
      <c r="CZ48"/>
      <c r="DA48"/>
      <c r="DC48"/>
      <c r="DD48"/>
      <c r="DE48"/>
      <c r="DJ48"/>
      <c r="DK48"/>
      <c r="DL48"/>
      <c r="DM48"/>
      <c r="DN48"/>
      <c r="DO48"/>
      <c r="DP48"/>
      <c r="DS48"/>
      <c r="DT48"/>
      <c r="DU48"/>
      <c r="DV48"/>
      <c r="DW48"/>
      <c r="DX48"/>
      <c r="DY48"/>
      <c r="EB48"/>
      <c r="EC48"/>
      <c r="ED48"/>
      <c r="EF48"/>
      <c r="EG48"/>
      <c r="EH48"/>
      <c r="EI48"/>
      <c r="EJ48"/>
      <c r="EK48"/>
      <c r="EN48"/>
      <c r="EO48"/>
      <c r="EP48"/>
      <c r="EQ48"/>
      <c r="ER48"/>
      <c r="ES48"/>
      <c r="ET48"/>
      <c r="EW48" s="103">
        <v>41</v>
      </c>
      <c r="EX48" s="105" t="e">
        <f t="shared" ca="1" si="1"/>
        <v>#REF!</v>
      </c>
    </row>
    <row r="49" spans="1:154" ht="15" x14ac:dyDescent="0.25">
      <c r="A49" s="77"/>
      <c r="B49" s="77"/>
      <c r="C49" s="78"/>
      <c r="D49" s="78"/>
      <c r="F49" s="78"/>
      <c r="G49" s="78"/>
      <c r="H49" s="78"/>
      <c r="I49" s="78"/>
      <c r="J49" s="78"/>
      <c r="K49" s="78"/>
      <c r="L49" s="78"/>
      <c r="M49" s="78"/>
      <c r="N49" s="78"/>
      <c r="O49" s="78"/>
      <c r="P49" s="78"/>
      <c r="Q49" s="78"/>
      <c r="R49" s="74"/>
      <c r="S49" s="74"/>
      <c r="T49" s="74"/>
      <c r="U49" s="74"/>
      <c r="V49" s="74"/>
      <c r="W49" s="74"/>
      <c r="X49" s="74"/>
      <c r="Y49" s="74"/>
      <c r="Z49" s="74"/>
      <c r="AA49" s="74"/>
      <c r="AB49" s="74"/>
      <c r="AC49" s="74"/>
      <c r="AD49" s="74"/>
      <c r="AE49" s="74"/>
      <c r="AF49" s="77"/>
      <c r="AG49" s="77"/>
      <c r="AH49" s="77"/>
      <c r="AI49" s="77"/>
      <c r="AJ49" s="77"/>
      <c r="AK49" s="79"/>
      <c r="AL49" s="79"/>
      <c r="AM49" s="79"/>
      <c r="AN49" s="79"/>
      <c r="AO49" s="79"/>
      <c r="AP49" s="79"/>
      <c r="AQ49" s="79"/>
      <c r="AR49" s="152"/>
      <c r="AS49" s="152"/>
      <c r="AT49" s="152"/>
      <c r="AU49" s="152"/>
      <c r="AV49" s="152"/>
      <c r="AW49" s="152"/>
      <c r="AX49" s="152"/>
      <c r="AY49" s="152"/>
      <c r="AZ49" s="152"/>
      <c r="BA49" s="152"/>
      <c r="BB49" s="153"/>
      <c r="BC49" s="153"/>
      <c r="BD49" s="153"/>
      <c r="BE49" s="153"/>
      <c r="BF49" s="153"/>
      <c r="BG49" s="153"/>
      <c r="BH49" s="153"/>
      <c r="BO49"/>
      <c r="BP49"/>
      <c r="BQ49"/>
      <c r="BR49"/>
      <c r="BS49"/>
      <c r="BT49"/>
      <c r="BV49"/>
      <c r="BW49"/>
      <c r="BX49"/>
      <c r="BY49"/>
      <c r="CB49"/>
      <c r="CC49"/>
      <c r="CD49"/>
      <c r="CE49"/>
      <c r="CF49"/>
      <c r="CI49"/>
      <c r="CJ49"/>
      <c r="CK49"/>
      <c r="CN49"/>
      <c r="CO49"/>
      <c r="CP49"/>
      <c r="CQ49"/>
      <c r="CT49"/>
      <c r="CU49"/>
      <c r="CV49"/>
      <c r="CW49"/>
      <c r="CX49"/>
      <c r="CY49"/>
      <c r="CZ49"/>
      <c r="DA49"/>
      <c r="DC49"/>
      <c r="DD49"/>
      <c r="DE49"/>
      <c r="DJ49"/>
      <c r="DK49"/>
      <c r="DL49"/>
      <c r="DM49"/>
      <c r="DN49"/>
      <c r="DO49"/>
      <c r="DP49"/>
      <c r="DS49"/>
      <c r="DT49"/>
      <c r="DU49"/>
      <c r="DV49"/>
      <c r="DW49"/>
      <c r="DX49"/>
      <c r="DY49"/>
      <c r="EB49"/>
      <c r="EC49"/>
      <c r="ED49"/>
      <c r="EF49"/>
      <c r="EG49"/>
      <c r="EH49"/>
      <c r="EI49"/>
      <c r="EJ49"/>
      <c r="EK49"/>
      <c r="EN49"/>
      <c r="EO49"/>
      <c r="EP49"/>
      <c r="EQ49"/>
      <c r="ER49"/>
      <c r="ES49"/>
      <c r="ET49"/>
      <c r="EW49" s="103">
        <v>42</v>
      </c>
      <c r="EX49" s="105" t="e">
        <f t="shared" ca="1" si="1"/>
        <v>#REF!</v>
      </c>
    </row>
    <row r="50" spans="1:154" ht="15" x14ac:dyDescent="0.25">
      <c r="A50" s="77"/>
      <c r="B50" s="77"/>
      <c r="C50" s="78"/>
      <c r="D50" s="78"/>
      <c r="F50" s="78"/>
      <c r="G50" s="78"/>
      <c r="H50" s="78"/>
      <c r="I50" s="78"/>
      <c r="J50" s="78"/>
      <c r="K50" s="78"/>
      <c r="L50" s="78"/>
      <c r="M50" s="78"/>
      <c r="N50" s="78"/>
      <c r="O50" s="78"/>
      <c r="P50" s="78"/>
      <c r="Q50" s="78"/>
      <c r="R50" s="74"/>
      <c r="S50" s="74"/>
      <c r="T50" s="74"/>
      <c r="U50" s="74"/>
      <c r="V50" s="74"/>
      <c r="W50" s="74"/>
      <c r="X50" s="74"/>
      <c r="Y50" s="74"/>
      <c r="Z50" s="74"/>
      <c r="AA50" s="74"/>
      <c r="AB50" s="74"/>
      <c r="AC50" s="74"/>
      <c r="AD50" s="74"/>
      <c r="AE50" s="74"/>
      <c r="AF50" s="77"/>
      <c r="AG50" s="77"/>
      <c r="AH50" s="77"/>
      <c r="AI50" s="77"/>
      <c r="AJ50" s="77"/>
      <c r="AK50" s="79"/>
      <c r="AL50" s="79"/>
      <c r="AM50" s="79"/>
      <c r="AN50" s="79"/>
      <c r="AO50" s="79"/>
      <c r="AP50" s="79"/>
      <c r="AQ50" s="79"/>
      <c r="AR50" s="152"/>
      <c r="AS50" s="152"/>
      <c r="AT50" s="152"/>
      <c r="AU50" s="152"/>
      <c r="AV50" s="152"/>
      <c r="AW50" s="152"/>
      <c r="AX50" s="152"/>
      <c r="AY50" s="152"/>
      <c r="AZ50" s="152"/>
      <c r="BA50" s="152"/>
      <c r="BB50" s="153"/>
      <c r="BC50" s="153"/>
      <c r="BD50" s="153"/>
      <c r="BE50" s="153"/>
      <c r="BF50" s="153"/>
      <c r="BG50" s="153"/>
      <c r="BH50" s="153"/>
      <c r="BI50" s="67"/>
      <c r="BO50"/>
      <c r="BP50"/>
      <c r="BQ50"/>
      <c r="BR50"/>
      <c r="BS50"/>
      <c r="BT50"/>
      <c r="BV50"/>
      <c r="BW50"/>
      <c r="BX50"/>
      <c r="BY50"/>
      <c r="CB50"/>
      <c r="CC50"/>
      <c r="CD50"/>
      <c r="CE50"/>
      <c r="CF50"/>
      <c r="CI50"/>
      <c r="CJ50"/>
      <c r="CK50"/>
      <c r="CN50"/>
      <c r="CO50"/>
      <c r="CP50"/>
      <c r="CQ50"/>
      <c r="CT50"/>
      <c r="CU50"/>
      <c r="CV50"/>
      <c r="CW50"/>
      <c r="CX50"/>
      <c r="CY50"/>
      <c r="CZ50"/>
      <c r="DA50"/>
      <c r="DC50"/>
      <c r="DD50"/>
      <c r="DE50"/>
      <c r="DJ50"/>
      <c r="DK50"/>
      <c r="DL50"/>
      <c r="DM50"/>
      <c r="DN50"/>
      <c r="DO50"/>
      <c r="DP50"/>
      <c r="DS50"/>
      <c r="DT50"/>
      <c r="DU50"/>
      <c r="DV50"/>
      <c r="DW50"/>
      <c r="DX50"/>
      <c r="DY50"/>
      <c r="EB50"/>
      <c r="EC50"/>
      <c r="ED50"/>
      <c r="EF50"/>
      <c r="EG50"/>
      <c r="EH50"/>
      <c r="EI50"/>
      <c r="EJ50"/>
      <c r="EK50"/>
      <c r="EN50"/>
      <c r="EO50"/>
      <c r="EP50"/>
      <c r="EQ50"/>
      <c r="ER50"/>
      <c r="ES50"/>
      <c r="ET50"/>
      <c r="EW50" s="103">
        <v>43</v>
      </c>
      <c r="EX50" s="105" t="e">
        <f t="shared" ca="1" si="1"/>
        <v>#REF!</v>
      </c>
    </row>
    <row r="51" spans="1:154" ht="15" x14ac:dyDescent="0.25">
      <c r="A51" s="77"/>
      <c r="B51" s="77"/>
      <c r="C51" s="78"/>
      <c r="D51" s="78"/>
      <c r="F51" s="78"/>
      <c r="G51" s="78"/>
      <c r="H51" s="78"/>
      <c r="I51" s="78"/>
      <c r="J51" s="78"/>
      <c r="K51" s="78"/>
      <c r="L51" s="78"/>
      <c r="M51" s="78"/>
      <c r="N51" s="78"/>
      <c r="O51" s="78"/>
      <c r="P51" s="78"/>
      <c r="Q51" s="78"/>
      <c r="R51" s="74"/>
      <c r="S51" s="74"/>
      <c r="T51" s="74"/>
      <c r="U51" s="74"/>
      <c r="V51" s="74"/>
      <c r="W51" s="74"/>
      <c r="X51" s="74"/>
      <c r="Y51" s="74"/>
      <c r="Z51" s="74"/>
      <c r="AA51" s="74"/>
      <c r="AB51" s="74"/>
      <c r="AC51" s="74"/>
      <c r="AD51" s="74"/>
      <c r="AE51" s="74"/>
      <c r="AF51" s="77"/>
      <c r="AG51" s="77"/>
      <c r="AH51" s="77"/>
      <c r="AI51" s="77"/>
      <c r="AJ51" s="77"/>
      <c r="AK51" s="79"/>
      <c r="AL51" s="79"/>
      <c r="AM51" s="79"/>
      <c r="AN51" s="79"/>
      <c r="AO51" s="79"/>
      <c r="AP51" s="79"/>
      <c r="AQ51" s="79"/>
      <c r="AR51" s="152"/>
      <c r="AS51" s="152"/>
      <c r="AT51" s="152"/>
      <c r="AU51" s="152"/>
      <c r="AV51" s="152"/>
      <c r="AW51" s="152"/>
      <c r="AX51" s="152"/>
      <c r="AY51" s="152"/>
      <c r="AZ51" s="152"/>
      <c r="BA51" s="152"/>
      <c r="BB51" s="153"/>
      <c r="BC51" s="153"/>
      <c r="BD51" s="153"/>
      <c r="BE51" s="153"/>
      <c r="BF51" s="153"/>
      <c r="BG51" s="153"/>
      <c r="BH51" s="153"/>
      <c r="BI51" s="67"/>
      <c r="BO51"/>
      <c r="BP51"/>
      <c r="BQ51"/>
      <c r="BR51"/>
      <c r="BS51"/>
      <c r="BT51"/>
      <c r="BV51"/>
      <c r="BW51"/>
      <c r="BX51"/>
      <c r="BY51"/>
      <c r="CB51"/>
      <c r="CC51"/>
      <c r="CD51"/>
      <c r="CE51"/>
      <c r="CF51"/>
      <c r="CI51"/>
      <c r="CJ51"/>
      <c r="CK51"/>
      <c r="CN51"/>
      <c r="CO51"/>
      <c r="CP51"/>
      <c r="CQ51"/>
      <c r="CT51"/>
      <c r="CU51"/>
      <c r="CV51"/>
      <c r="CW51"/>
      <c r="CX51"/>
      <c r="CY51"/>
      <c r="CZ51"/>
      <c r="DA51"/>
      <c r="DC51"/>
      <c r="DD51"/>
      <c r="DE51"/>
      <c r="DJ51"/>
      <c r="DK51"/>
      <c r="DL51"/>
      <c r="DM51"/>
      <c r="DN51"/>
      <c r="DO51"/>
      <c r="DP51"/>
      <c r="DS51"/>
      <c r="DT51"/>
      <c r="DU51"/>
      <c r="DV51"/>
      <c r="DW51"/>
      <c r="DX51"/>
      <c r="DY51"/>
      <c r="EB51"/>
      <c r="EC51"/>
      <c r="ED51"/>
      <c r="EF51"/>
      <c r="EG51"/>
      <c r="EH51"/>
      <c r="EI51"/>
      <c r="EJ51"/>
      <c r="EK51"/>
      <c r="EN51"/>
      <c r="EO51"/>
      <c r="EP51"/>
      <c r="EQ51"/>
      <c r="ER51"/>
      <c r="ES51"/>
      <c r="ET51"/>
      <c r="EW51" s="103">
        <v>44</v>
      </c>
      <c r="EX51" s="105" t="e">
        <f t="shared" ca="1" si="1"/>
        <v>#REF!</v>
      </c>
    </row>
    <row r="52" spans="1:154" ht="15" x14ac:dyDescent="0.25">
      <c r="A52" s="77"/>
      <c r="B52" s="77"/>
      <c r="C52" s="78"/>
      <c r="D52" s="78"/>
      <c r="F52" s="78"/>
      <c r="G52" s="78"/>
      <c r="H52" s="78"/>
      <c r="I52" s="78"/>
      <c r="J52" s="78"/>
      <c r="K52" s="78"/>
      <c r="L52" s="78"/>
      <c r="M52" s="78"/>
      <c r="N52" s="78"/>
      <c r="O52" s="78"/>
      <c r="P52" s="78"/>
      <c r="Q52" s="78"/>
      <c r="R52" s="74"/>
      <c r="S52" s="74"/>
      <c r="T52" s="74"/>
      <c r="U52" s="74"/>
      <c r="V52" s="74"/>
      <c r="W52" s="74"/>
      <c r="X52" s="74"/>
      <c r="Y52" s="74"/>
      <c r="Z52" s="74"/>
      <c r="AA52" s="74"/>
      <c r="AB52" s="74"/>
      <c r="AC52" s="74"/>
      <c r="AD52" s="74"/>
      <c r="AE52" s="74"/>
      <c r="AF52" s="77"/>
      <c r="AG52" s="77"/>
      <c r="AH52" s="77"/>
      <c r="AI52" s="77"/>
      <c r="AJ52" s="77"/>
      <c r="AK52" s="79"/>
      <c r="AL52" s="79"/>
      <c r="AM52" s="79"/>
      <c r="AN52" s="79"/>
      <c r="AO52" s="79"/>
      <c r="AP52" s="79"/>
      <c r="AQ52" s="79"/>
      <c r="AR52" s="152"/>
      <c r="AS52" s="152"/>
      <c r="AT52" s="152"/>
      <c r="AU52" s="152"/>
      <c r="AV52" s="152"/>
      <c r="AW52" s="152"/>
      <c r="AX52" s="152"/>
      <c r="AY52" s="152"/>
      <c r="AZ52" s="152"/>
      <c r="BA52" s="152"/>
      <c r="BB52" s="153"/>
      <c r="BC52" s="153"/>
      <c r="BD52" s="153"/>
      <c r="BE52" s="153"/>
      <c r="BF52" s="153"/>
      <c r="BG52" s="153"/>
      <c r="BH52" s="153"/>
      <c r="BI52" s="67"/>
      <c r="BO52"/>
      <c r="BP52"/>
      <c r="BQ52"/>
      <c r="BR52"/>
      <c r="BS52"/>
      <c r="BT52"/>
      <c r="BV52"/>
      <c r="BW52"/>
      <c r="BX52"/>
      <c r="BY52"/>
      <c r="CB52"/>
      <c r="CC52"/>
      <c r="CD52"/>
      <c r="CE52"/>
      <c r="CF52"/>
      <c r="CI52"/>
      <c r="CJ52"/>
      <c r="CK52"/>
      <c r="CN52"/>
      <c r="CO52"/>
      <c r="CP52"/>
      <c r="CQ52"/>
      <c r="CT52"/>
      <c r="CU52"/>
      <c r="CV52"/>
      <c r="CW52"/>
      <c r="CX52"/>
      <c r="CY52"/>
      <c r="CZ52"/>
      <c r="DA52"/>
      <c r="DC52"/>
      <c r="DD52"/>
      <c r="DE52"/>
      <c r="DJ52"/>
      <c r="DK52"/>
      <c r="DL52"/>
      <c r="DM52"/>
      <c r="DN52"/>
      <c r="DO52"/>
      <c r="DP52"/>
      <c r="DS52"/>
      <c r="DT52"/>
      <c r="DU52"/>
      <c r="DV52"/>
      <c r="DW52"/>
      <c r="DX52"/>
      <c r="DY52"/>
      <c r="EB52"/>
      <c r="EC52"/>
      <c r="ED52"/>
      <c r="EF52"/>
      <c r="EG52"/>
      <c r="EH52"/>
      <c r="EI52"/>
      <c r="EJ52"/>
      <c r="EK52"/>
      <c r="EN52"/>
      <c r="EO52"/>
      <c r="EP52"/>
      <c r="EQ52"/>
      <c r="ER52"/>
      <c r="ES52"/>
      <c r="ET52"/>
      <c r="EW52" s="103">
        <v>45</v>
      </c>
      <c r="EX52" s="105" t="e">
        <f t="shared" ca="1" si="1"/>
        <v>#REF!</v>
      </c>
    </row>
    <row r="53" spans="1:154" ht="15" x14ac:dyDescent="0.25">
      <c r="A53" s="77"/>
      <c r="B53" s="77"/>
      <c r="C53" s="78"/>
      <c r="D53" s="78"/>
      <c r="F53" s="78"/>
      <c r="G53" s="78"/>
      <c r="H53" s="78"/>
      <c r="I53" s="78"/>
      <c r="J53" s="78"/>
      <c r="K53" s="78"/>
      <c r="L53" s="78"/>
      <c r="M53" s="78"/>
      <c r="N53" s="78"/>
      <c r="O53" s="78"/>
      <c r="P53" s="78"/>
      <c r="Q53" s="78"/>
      <c r="R53" s="74"/>
      <c r="S53" s="74"/>
      <c r="T53" s="74"/>
      <c r="U53" s="74"/>
      <c r="V53" s="74"/>
      <c r="W53" s="74"/>
      <c r="X53" s="74"/>
      <c r="Y53" s="74"/>
      <c r="Z53" s="74"/>
      <c r="AA53" s="74"/>
      <c r="AB53" s="74"/>
      <c r="AC53" s="74"/>
      <c r="AD53" s="74"/>
      <c r="AE53" s="74"/>
      <c r="AF53" s="77"/>
      <c r="AG53" s="77"/>
      <c r="AH53" s="77"/>
      <c r="AI53" s="77"/>
      <c r="AJ53" s="77"/>
      <c r="AK53" s="79"/>
      <c r="AL53" s="79"/>
      <c r="AM53" s="79"/>
      <c r="AN53" s="79"/>
      <c r="AO53" s="79"/>
      <c r="AP53" s="79"/>
      <c r="AQ53" s="79"/>
      <c r="AR53" s="152"/>
      <c r="AS53" s="152"/>
      <c r="AT53" s="152"/>
      <c r="AU53" s="152"/>
      <c r="AV53" s="152"/>
      <c r="AW53" s="152"/>
      <c r="AX53" s="152"/>
      <c r="AY53" s="152"/>
      <c r="AZ53" s="152"/>
      <c r="BA53" s="152"/>
      <c r="BB53" s="153"/>
      <c r="BC53" s="153"/>
      <c r="BD53" s="153"/>
      <c r="BE53" s="153"/>
      <c r="BF53" s="153"/>
      <c r="BG53" s="153"/>
      <c r="BH53" s="153"/>
      <c r="BO53"/>
      <c r="BP53"/>
      <c r="BQ53"/>
      <c r="BR53"/>
      <c r="BS53"/>
      <c r="BT53"/>
      <c r="BV53"/>
      <c r="BW53"/>
      <c r="BX53"/>
      <c r="BY53"/>
      <c r="CB53"/>
      <c r="CC53"/>
      <c r="CD53"/>
      <c r="CE53"/>
      <c r="CF53"/>
      <c r="CI53"/>
      <c r="CJ53"/>
      <c r="CK53"/>
      <c r="CN53"/>
      <c r="CO53"/>
      <c r="CP53"/>
      <c r="CQ53"/>
      <c r="CT53"/>
      <c r="CU53"/>
      <c r="CV53"/>
      <c r="CW53"/>
      <c r="CX53"/>
      <c r="CY53"/>
      <c r="CZ53"/>
      <c r="DA53"/>
      <c r="DC53"/>
      <c r="DD53"/>
      <c r="DE53"/>
      <c r="DJ53"/>
      <c r="DK53"/>
      <c r="DL53"/>
      <c r="DM53"/>
      <c r="DN53"/>
      <c r="DO53"/>
      <c r="DP53"/>
      <c r="DS53"/>
      <c r="DT53"/>
      <c r="DU53"/>
      <c r="DV53"/>
      <c r="DW53"/>
      <c r="DX53"/>
      <c r="DY53"/>
      <c r="EB53"/>
      <c r="EC53"/>
      <c r="ED53"/>
      <c r="EF53"/>
      <c r="EG53"/>
      <c r="EH53"/>
      <c r="EI53"/>
      <c r="EJ53"/>
      <c r="EK53"/>
      <c r="EN53"/>
      <c r="EO53"/>
      <c r="EP53"/>
      <c r="EQ53"/>
      <c r="ER53"/>
      <c r="ES53"/>
      <c r="ET53"/>
      <c r="EW53" s="103">
        <v>46</v>
      </c>
      <c r="EX53" s="105" t="e">
        <f t="shared" ca="1" si="1"/>
        <v>#REF!</v>
      </c>
    </row>
    <row r="54" spans="1:154" ht="15" x14ac:dyDescent="0.25">
      <c r="A54" s="77"/>
      <c r="B54" s="77"/>
      <c r="C54" s="78"/>
      <c r="D54" s="78"/>
      <c r="F54" s="78"/>
      <c r="G54" s="78"/>
      <c r="H54" s="78"/>
      <c r="I54" s="78"/>
      <c r="J54" s="78"/>
      <c r="K54" s="78"/>
      <c r="L54" s="78"/>
      <c r="M54" s="78"/>
      <c r="N54" s="78"/>
      <c r="O54" s="78"/>
      <c r="P54" s="78"/>
      <c r="Q54" s="78"/>
      <c r="R54" s="74"/>
      <c r="S54" s="74"/>
      <c r="T54" s="74"/>
      <c r="U54" s="74"/>
      <c r="V54" s="74"/>
      <c r="W54" s="74"/>
      <c r="X54" s="74"/>
      <c r="Y54" s="74"/>
      <c r="Z54" s="74"/>
      <c r="AA54" s="74"/>
      <c r="AB54" s="74"/>
      <c r="AC54" s="74"/>
      <c r="AD54" s="74"/>
      <c r="AE54" s="74"/>
      <c r="AF54" s="77"/>
      <c r="AG54" s="77"/>
      <c r="AH54" s="77"/>
      <c r="AI54" s="77"/>
      <c r="AJ54" s="77"/>
      <c r="AK54" s="79"/>
      <c r="AL54" s="79"/>
      <c r="AM54" s="79"/>
      <c r="AN54" s="79"/>
      <c r="AO54" s="79"/>
      <c r="AP54" s="79"/>
      <c r="AQ54" s="79"/>
      <c r="AR54" s="152"/>
      <c r="AS54" s="152"/>
      <c r="AT54" s="152"/>
      <c r="AU54" s="152"/>
      <c r="AV54" s="152"/>
      <c r="AW54" s="152"/>
      <c r="AX54" s="152"/>
      <c r="AY54" s="152"/>
      <c r="AZ54" s="152"/>
      <c r="BA54" s="152"/>
      <c r="BB54" s="153"/>
      <c r="BC54" s="153"/>
      <c r="BD54" s="153"/>
      <c r="BE54" s="153"/>
      <c r="BF54" s="153"/>
      <c r="BG54" s="153"/>
      <c r="BH54" s="153"/>
      <c r="BO54"/>
      <c r="BP54"/>
      <c r="BQ54"/>
      <c r="BR54"/>
      <c r="BS54"/>
      <c r="BT54"/>
      <c r="BV54"/>
      <c r="BW54"/>
      <c r="BX54"/>
      <c r="BY54"/>
      <c r="CB54"/>
      <c r="CC54"/>
      <c r="CD54"/>
      <c r="CE54"/>
      <c r="CF54"/>
      <c r="CI54"/>
      <c r="CJ54"/>
      <c r="CK54"/>
      <c r="CN54"/>
      <c r="CO54"/>
      <c r="CP54"/>
      <c r="CQ54"/>
      <c r="CT54"/>
      <c r="CU54"/>
      <c r="CV54"/>
      <c r="CW54"/>
      <c r="CX54"/>
      <c r="CY54"/>
      <c r="CZ54"/>
      <c r="DA54"/>
      <c r="DC54"/>
      <c r="DD54"/>
      <c r="DE54"/>
      <c r="DJ54"/>
      <c r="DK54"/>
      <c r="DL54"/>
      <c r="DM54"/>
      <c r="DN54"/>
      <c r="DO54"/>
      <c r="DP54"/>
      <c r="DS54"/>
      <c r="DT54"/>
      <c r="DU54"/>
      <c r="DV54"/>
      <c r="DW54"/>
      <c r="DX54"/>
      <c r="DY54"/>
      <c r="EB54"/>
      <c r="EC54"/>
      <c r="ED54"/>
      <c r="EF54"/>
      <c r="EG54"/>
      <c r="EH54"/>
      <c r="EI54"/>
      <c r="EJ54"/>
      <c r="EK54"/>
      <c r="EN54"/>
      <c r="EO54"/>
      <c r="EP54"/>
      <c r="EQ54"/>
      <c r="ER54"/>
      <c r="ES54"/>
      <c r="ET54"/>
      <c r="EW54" s="103">
        <v>47</v>
      </c>
      <c r="EX54" s="105" t="e">
        <f t="shared" ca="1" si="1"/>
        <v>#REF!</v>
      </c>
    </row>
    <row r="55" spans="1:154" ht="15" x14ac:dyDescent="0.25">
      <c r="A55" s="77"/>
      <c r="B55" s="77"/>
      <c r="C55" s="78"/>
      <c r="D55" s="78"/>
      <c r="F55" s="78"/>
      <c r="G55" s="78"/>
      <c r="H55" s="78"/>
      <c r="I55" s="78"/>
      <c r="J55" s="78"/>
      <c r="K55" s="78"/>
      <c r="L55" s="78"/>
      <c r="M55" s="78"/>
      <c r="N55" s="78"/>
      <c r="O55" s="78"/>
      <c r="P55" s="78"/>
      <c r="Q55" s="78"/>
      <c r="R55" s="74"/>
      <c r="S55" s="74"/>
      <c r="T55" s="74"/>
      <c r="U55" s="74"/>
      <c r="V55" s="74"/>
      <c r="W55" s="74"/>
      <c r="X55" s="74"/>
      <c r="Y55" s="74"/>
      <c r="Z55" s="74"/>
      <c r="AA55" s="74"/>
      <c r="AB55" s="74"/>
      <c r="AC55" s="74"/>
      <c r="AD55" s="74"/>
      <c r="AE55" s="74"/>
      <c r="AF55" s="77"/>
      <c r="AG55" s="77"/>
      <c r="AH55" s="77"/>
      <c r="AI55" s="77"/>
      <c r="AJ55" s="77"/>
      <c r="AK55" s="79"/>
      <c r="AL55" s="79"/>
      <c r="AM55" s="79"/>
      <c r="AN55" s="79"/>
      <c r="AO55" s="79"/>
      <c r="AP55" s="79"/>
      <c r="AQ55" s="79"/>
      <c r="AR55" s="152"/>
      <c r="AS55" s="152"/>
      <c r="AT55" s="152"/>
      <c r="AU55" s="152"/>
      <c r="AV55" s="152"/>
      <c r="AW55" s="152"/>
      <c r="AX55" s="152"/>
      <c r="AY55" s="152"/>
      <c r="AZ55" s="152"/>
      <c r="BA55" s="152"/>
      <c r="BB55" s="153"/>
      <c r="BC55" s="153"/>
      <c r="BD55" s="153"/>
      <c r="BE55" s="153"/>
      <c r="BF55" s="153"/>
      <c r="BG55" s="153"/>
      <c r="BH55" s="153"/>
      <c r="BI55" s="67"/>
      <c r="BO55"/>
      <c r="BP55"/>
      <c r="BQ55"/>
      <c r="BR55"/>
      <c r="BS55"/>
      <c r="BT55"/>
      <c r="BV55"/>
      <c r="BW55"/>
      <c r="BX55"/>
      <c r="BY55"/>
      <c r="CB55"/>
      <c r="CC55"/>
      <c r="CD55"/>
      <c r="CE55"/>
      <c r="CF55"/>
      <c r="CI55"/>
      <c r="CJ55"/>
      <c r="CK55"/>
      <c r="CN55"/>
      <c r="CO55"/>
      <c r="CP55"/>
      <c r="CQ55"/>
      <c r="CT55"/>
      <c r="CU55"/>
      <c r="CV55"/>
      <c r="CW55"/>
      <c r="CX55"/>
      <c r="CY55"/>
      <c r="CZ55"/>
      <c r="DA55"/>
      <c r="DC55"/>
      <c r="DD55"/>
      <c r="DE55"/>
      <c r="DJ55"/>
      <c r="DK55"/>
      <c r="DL55"/>
      <c r="DM55"/>
      <c r="DN55"/>
      <c r="DO55"/>
      <c r="DP55"/>
      <c r="DS55"/>
      <c r="DT55"/>
      <c r="DU55"/>
      <c r="DV55"/>
      <c r="DW55"/>
      <c r="DX55"/>
      <c r="DY55"/>
      <c r="EB55"/>
      <c r="EC55"/>
      <c r="ED55"/>
      <c r="EF55"/>
      <c r="EG55"/>
      <c r="EH55"/>
      <c r="EI55"/>
      <c r="EJ55"/>
      <c r="EK55"/>
      <c r="EN55"/>
      <c r="EO55"/>
      <c r="EP55"/>
      <c r="EQ55"/>
      <c r="ER55"/>
      <c r="ES55"/>
      <c r="ET55"/>
      <c r="EW55" s="103">
        <v>48</v>
      </c>
      <c r="EX55" s="105" t="e">
        <f t="shared" ca="1" si="1"/>
        <v>#REF!</v>
      </c>
    </row>
    <row r="56" spans="1:154" ht="15" x14ac:dyDescent="0.25">
      <c r="A56" s="77"/>
      <c r="B56" s="77"/>
      <c r="C56" s="78"/>
      <c r="D56" s="78"/>
      <c r="F56" s="78"/>
      <c r="G56" s="78"/>
      <c r="H56" s="78"/>
      <c r="I56" s="78"/>
      <c r="J56" s="78"/>
      <c r="K56" s="78"/>
      <c r="L56" s="78"/>
      <c r="M56" s="78"/>
      <c r="N56" s="78"/>
      <c r="O56" s="78"/>
      <c r="P56" s="78"/>
      <c r="Q56" s="78"/>
      <c r="R56" s="74"/>
      <c r="S56" s="74"/>
      <c r="T56" s="74"/>
      <c r="U56" s="74"/>
      <c r="V56" s="74"/>
      <c r="W56" s="74"/>
      <c r="X56" s="74"/>
      <c r="Y56" s="74"/>
      <c r="Z56" s="74"/>
      <c r="AA56" s="74"/>
      <c r="AB56" s="74"/>
      <c r="AC56" s="74"/>
      <c r="AD56" s="74"/>
      <c r="AE56" s="74"/>
      <c r="AF56" s="77"/>
      <c r="AG56" s="77"/>
      <c r="AH56" s="77"/>
      <c r="AI56" s="77"/>
      <c r="AJ56" s="77"/>
      <c r="AK56" s="79"/>
      <c r="AL56" s="79"/>
      <c r="AM56" s="79"/>
      <c r="AN56" s="79"/>
      <c r="AO56" s="79"/>
      <c r="AP56" s="79"/>
      <c r="AQ56" s="79"/>
      <c r="AR56" s="152"/>
      <c r="AS56" s="152"/>
      <c r="AT56" s="152"/>
      <c r="AU56" s="152"/>
      <c r="AV56" s="152"/>
      <c r="AW56" s="152"/>
      <c r="AX56" s="152"/>
      <c r="AY56" s="152"/>
      <c r="AZ56" s="152"/>
      <c r="BA56" s="152"/>
      <c r="BB56" s="153"/>
      <c r="BC56" s="153"/>
      <c r="BD56" s="153"/>
      <c r="BE56" s="153"/>
      <c r="BF56" s="153"/>
      <c r="BG56" s="153"/>
      <c r="BH56" s="153"/>
      <c r="BI56" s="67"/>
      <c r="BO56"/>
      <c r="BP56"/>
      <c r="BQ56"/>
      <c r="BR56"/>
      <c r="BS56"/>
      <c r="BT56"/>
      <c r="BV56"/>
      <c r="BW56"/>
      <c r="BX56"/>
      <c r="BY56"/>
      <c r="CB56"/>
      <c r="CC56"/>
      <c r="CD56"/>
      <c r="CE56"/>
      <c r="CF56"/>
      <c r="CI56"/>
      <c r="CJ56"/>
      <c r="CK56"/>
      <c r="CN56"/>
      <c r="CO56"/>
      <c r="CP56"/>
      <c r="CQ56"/>
      <c r="CT56"/>
      <c r="CU56"/>
      <c r="CV56"/>
      <c r="CW56"/>
      <c r="CX56"/>
      <c r="CY56"/>
      <c r="CZ56"/>
      <c r="DA56"/>
      <c r="DC56"/>
      <c r="DD56"/>
      <c r="DE56"/>
      <c r="DJ56"/>
      <c r="DK56"/>
      <c r="DL56"/>
      <c r="DM56"/>
      <c r="DN56"/>
      <c r="DO56"/>
      <c r="DP56"/>
      <c r="DS56"/>
      <c r="DT56"/>
      <c r="DU56"/>
      <c r="DV56"/>
      <c r="DW56"/>
      <c r="DX56"/>
      <c r="DY56"/>
      <c r="EB56"/>
      <c r="EC56"/>
      <c r="ED56"/>
      <c r="EF56"/>
      <c r="EG56"/>
      <c r="EH56"/>
      <c r="EI56"/>
      <c r="EJ56"/>
      <c r="EK56"/>
      <c r="EN56"/>
      <c r="EO56"/>
      <c r="EP56"/>
      <c r="EQ56"/>
      <c r="ER56"/>
      <c r="ES56"/>
      <c r="ET56"/>
      <c r="EW56" s="103">
        <v>49</v>
      </c>
      <c r="EX56" s="105" t="e">
        <f t="shared" ca="1" si="1"/>
        <v>#REF!</v>
      </c>
    </row>
    <row r="57" spans="1:154" ht="15" x14ac:dyDescent="0.25">
      <c r="A57" s="77"/>
      <c r="B57" s="77"/>
      <c r="C57" s="78"/>
      <c r="D57" s="78"/>
      <c r="F57" s="78"/>
      <c r="G57" s="78"/>
      <c r="H57" s="78"/>
      <c r="I57" s="78"/>
      <c r="J57" s="78"/>
      <c r="K57" s="78"/>
      <c r="L57" s="78"/>
      <c r="M57" s="78"/>
      <c r="N57" s="78"/>
      <c r="O57" s="78"/>
      <c r="P57" s="78"/>
      <c r="Q57" s="78"/>
      <c r="R57" s="74"/>
      <c r="S57" s="74"/>
      <c r="T57" s="74"/>
      <c r="U57" s="74"/>
      <c r="V57" s="74"/>
      <c r="W57" s="74"/>
      <c r="X57" s="74"/>
      <c r="Y57" s="74"/>
      <c r="Z57" s="74"/>
      <c r="AA57" s="74"/>
      <c r="AB57" s="74"/>
      <c r="AC57" s="74"/>
      <c r="AD57" s="74"/>
      <c r="AE57" s="74"/>
      <c r="AF57" s="77"/>
      <c r="AG57" s="77"/>
      <c r="AH57" s="77"/>
      <c r="AI57" s="77"/>
      <c r="AJ57" s="77"/>
      <c r="AK57" s="79"/>
      <c r="AL57" s="79"/>
      <c r="AM57" s="79"/>
      <c r="AN57" s="79"/>
      <c r="AO57" s="79"/>
      <c r="AP57" s="79"/>
      <c r="AQ57" s="79"/>
      <c r="AR57" s="152"/>
      <c r="AS57" s="152"/>
      <c r="AT57" s="152"/>
      <c r="AU57" s="152"/>
      <c r="AV57" s="152"/>
      <c r="AW57" s="152"/>
      <c r="AX57" s="152"/>
      <c r="AY57" s="152"/>
      <c r="AZ57" s="152"/>
      <c r="BA57" s="152"/>
      <c r="BB57" s="153"/>
      <c r="BC57" s="153"/>
      <c r="BD57" s="153"/>
      <c r="BE57" s="153"/>
      <c r="BF57" s="153"/>
      <c r="BG57" s="153"/>
      <c r="BH57" s="153"/>
      <c r="BI57" s="67"/>
      <c r="BO57"/>
      <c r="BP57"/>
      <c r="BQ57"/>
      <c r="BR57"/>
      <c r="BS57"/>
      <c r="BT57"/>
      <c r="BV57"/>
      <c r="BW57"/>
      <c r="BX57"/>
      <c r="BY57"/>
      <c r="CB57"/>
      <c r="CC57"/>
      <c r="CD57"/>
      <c r="CE57"/>
      <c r="CF57"/>
      <c r="CI57"/>
      <c r="CJ57"/>
      <c r="CK57"/>
      <c r="CN57"/>
      <c r="CO57"/>
      <c r="CP57"/>
      <c r="CQ57"/>
      <c r="CT57"/>
      <c r="CU57"/>
      <c r="CV57"/>
      <c r="CW57"/>
      <c r="CX57"/>
      <c r="CY57"/>
      <c r="CZ57"/>
      <c r="DA57"/>
      <c r="DC57"/>
      <c r="DD57"/>
      <c r="DE57"/>
      <c r="DJ57"/>
      <c r="DK57"/>
      <c r="DL57"/>
      <c r="DM57"/>
      <c r="DN57"/>
      <c r="DO57"/>
      <c r="DP57"/>
      <c r="DS57"/>
      <c r="DT57"/>
      <c r="DU57"/>
      <c r="DV57"/>
      <c r="DW57"/>
      <c r="DX57"/>
      <c r="DY57"/>
      <c r="EB57"/>
      <c r="EC57"/>
      <c r="ED57"/>
      <c r="EF57"/>
      <c r="EG57"/>
      <c r="EH57"/>
      <c r="EI57"/>
      <c r="EJ57"/>
      <c r="EK57"/>
      <c r="EN57"/>
      <c r="EO57"/>
      <c r="EP57"/>
      <c r="EQ57"/>
      <c r="ER57"/>
      <c r="ES57"/>
      <c r="ET57"/>
      <c r="EW57" s="103">
        <v>50</v>
      </c>
      <c r="EX57" s="105" t="e">
        <f t="shared" ca="1" si="1"/>
        <v>#REF!</v>
      </c>
    </row>
    <row r="58" spans="1:154" ht="15" x14ac:dyDescent="0.25">
      <c r="A58" s="77"/>
      <c r="B58" s="77"/>
      <c r="C58" s="78"/>
      <c r="D58" s="78"/>
      <c r="F58" s="78"/>
      <c r="G58" s="78"/>
      <c r="H58" s="78"/>
      <c r="I58" s="78"/>
      <c r="J58" s="78"/>
      <c r="K58" s="78"/>
      <c r="L58" s="78"/>
      <c r="M58" s="78"/>
      <c r="N58" s="78"/>
      <c r="O58" s="78"/>
      <c r="P58" s="78"/>
      <c r="Q58" s="78"/>
      <c r="R58" s="74"/>
      <c r="S58" s="74"/>
      <c r="T58" s="74"/>
      <c r="U58" s="74"/>
      <c r="V58" s="74"/>
      <c r="W58" s="74"/>
      <c r="X58" s="74"/>
      <c r="Y58" s="74"/>
      <c r="Z58" s="74"/>
      <c r="AA58" s="74"/>
      <c r="AB58" s="74"/>
      <c r="AC58" s="74"/>
      <c r="AD58" s="74"/>
      <c r="AE58" s="74"/>
      <c r="AF58" s="77"/>
      <c r="AG58" s="77"/>
      <c r="AH58" s="77"/>
      <c r="AI58" s="77"/>
      <c r="AJ58" s="77"/>
      <c r="AK58" s="79"/>
      <c r="AL58" s="79"/>
      <c r="AM58" s="79"/>
      <c r="AN58" s="79"/>
      <c r="AO58" s="79"/>
      <c r="AP58" s="79"/>
      <c r="AQ58" s="79"/>
      <c r="AR58" s="152"/>
      <c r="AS58" s="152"/>
      <c r="AT58" s="152"/>
      <c r="AU58" s="152"/>
      <c r="AV58" s="152"/>
      <c r="AW58" s="152"/>
      <c r="AX58" s="152"/>
      <c r="AY58" s="152"/>
      <c r="AZ58" s="152"/>
      <c r="BA58" s="152"/>
      <c r="BB58" s="153"/>
      <c r="BC58" s="153"/>
      <c r="BD58" s="153"/>
      <c r="BE58" s="153"/>
      <c r="BF58" s="153"/>
      <c r="BG58" s="153"/>
      <c r="BH58" s="153"/>
      <c r="BO58"/>
      <c r="BP58"/>
      <c r="BQ58"/>
      <c r="BR58"/>
      <c r="BS58"/>
      <c r="BT58"/>
      <c r="BV58"/>
      <c r="BW58"/>
      <c r="BX58"/>
      <c r="BY58"/>
      <c r="CB58"/>
      <c r="CC58"/>
      <c r="CD58"/>
      <c r="CE58"/>
      <c r="CF58"/>
      <c r="CI58"/>
      <c r="CJ58"/>
      <c r="CK58"/>
      <c r="CN58"/>
      <c r="CO58"/>
      <c r="CP58"/>
      <c r="CQ58"/>
      <c r="CT58"/>
      <c r="CU58"/>
      <c r="CV58"/>
      <c r="CW58"/>
      <c r="CX58"/>
      <c r="CY58"/>
      <c r="CZ58"/>
      <c r="DA58"/>
      <c r="DC58"/>
      <c r="DD58"/>
      <c r="DE58"/>
      <c r="DJ58"/>
      <c r="DK58"/>
      <c r="DL58"/>
      <c r="DM58"/>
      <c r="DN58"/>
      <c r="DO58"/>
      <c r="DP58"/>
      <c r="DS58"/>
      <c r="DT58"/>
      <c r="DU58"/>
      <c r="DV58"/>
      <c r="DW58"/>
      <c r="DX58"/>
      <c r="DY58"/>
      <c r="EB58"/>
      <c r="EC58"/>
      <c r="ED58"/>
      <c r="EF58"/>
      <c r="EG58"/>
      <c r="EH58"/>
      <c r="EI58"/>
      <c r="EJ58"/>
      <c r="EK58"/>
      <c r="EN58"/>
      <c r="EO58"/>
      <c r="EP58"/>
      <c r="EQ58"/>
      <c r="ER58"/>
      <c r="ES58"/>
      <c r="ET58"/>
      <c r="EW58" s="103">
        <v>51</v>
      </c>
      <c r="EX58" s="105" t="e">
        <f t="shared" ca="1" si="1"/>
        <v>#REF!</v>
      </c>
    </row>
    <row r="59" spans="1:154" ht="15" x14ac:dyDescent="0.25">
      <c r="A59" s="77"/>
      <c r="B59" s="77"/>
      <c r="C59" s="78"/>
      <c r="D59" s="78"/>
      <c r="F59" s="78"/>
      <c r="G59" s="78"/>
      <c r="H59" s="78"/>
      <c r="I59" s="78"/>
      <c r="J59" s="78"/>
      <c r="K59" s="78"/>
      <c r="L59" s="78"/>
      <c r="M59" s="78"/>
      <c r="N59" s="78"/>
      <c r="O59" s="78"/>
      <c r="P59" s="78"/>
      <c r="Q59" s="78"/>
      <c r="R59" s="74"/>
      <c r="S59" s="74"/>
      <c r="T59" s="74"/>
      <c r="U59" s="74"/>
      <c r="V59" s="74"/>
      <c r="W59" s="74"/>
      <c r="X59" s="74"/>
      <c r="Y59" s="74"/>
      <c r="Z59" s="74"/>
      <c r="AA59" s="74"/>
      <c r="AB59" s="74"/>
      <c r="AC59" s="74"/>
      <c r="AD59" s="74"/>
      <c r="AE59" s="74"/>
      <c r="AF59" s="77"/>
      <c r="AG59" s="77"/>
      <c r="AH59" s="77"/>
      <c r="AI59" s="77"/>
      <c r="AJ59" s="77"/>
      <c r="AK59" s="79"/>
      <c r="AL59" s="79"/>
      <c r="AM59" s="79"/>
      <c r="AN59" s="79"/>
      <c r="AO59" s="79"/>
      <c r="AP59" s="79"/>
      <c r="AQ59" s="79"/>
      <c r="AR59" s="152"/>
      <c r="AS59" s="152"/>
      <c r="AT59" s="152"/>
      <c r="AU59" s="152"/>
      <c r="AV59" s="152"/>
      <c r="AW59" s="152"/>
      <c r="AX59" s="152"/>
      <c r="AY59" s="152"/>
      <c r="AZ59" s="152"/>
      <c r="BA59" s="152"/>
      <c r="BB59" s="153"/>
      <c r="BC59" s="153"/>
      <c r="BD59" s="153"/>
      <c r="BE59" s="153"/>
      <c r="BF59" s="153"/>
      <c r="BG59" s="153"/>
      <c r="BH59" s="153"/>
      <c r="BO59"/>
      <c r="BP59"/>
      <c r="BQ59"/>
      <c r="BR59"/>
      <c r="BS59"/>
      <c r="BT59"/>
      <c r="BV59"/>
      <c r="BW59"/>
      <c r="BX59"/>
      <c r="BY59"/>
      <c r="CB59"/>
      <c r="CC59"/>
      <c r="CD59"/>
      <c r="CE59"/>
      <c r="CF59"/>
      <c r="CI59"/>
      <c r="CJ59"/>
      <c r="CK59"/>
      <c r="CN59"/>
      <c r="CO59"/>
      <c r="CP59"/>
      <c r="CQ59"/>
      <c r="CT59"/>
      <c r="CU59"/>
      <c r="CV59"/>
      <c r="CW59"/>
      <c r="CX59"/>
      <c r="CY59"/>
      <c r="CZ59"/>
      <c r="DA59"/>
      <c r="DC59"/>
      <c r="DD59"/>
      <c r="DE59"/>
      <c r="DJ59"/>
      <c r="DK59"/>
      <c r="DL59"/>
      <c r="DM59"/>
      <c r="DN59"/>
      <c r="DO59"/>
      <c r="DP59"/>
      <c r="DS59"/>
      <c r="DT59"/>
      <c r="DU59"/>
      <c r="DV59"/>
      <c r="DW59"/>
      <c r="DX59"/>
      <c r="DY59"/>
      <c r="EB59"/>
      <c r="EC59"/>
      <c r="ED59"/>
      <c r="EF59"/>
      <c r="EG59"/>
      <c r="EH59"/>
      <c r="EI59"/>
      <c r="EJ59"/>
      <c r="EK59"/>
      <c r="EN59"/>
      <c r="EO59"/>
      <c r="EP59"/>
      <c r="EQ59"/>
      <c r="ER59"/>
      <c r="ES59"/>
      <c r="ET59"/>
      <c r="EW59" s="103">
        <v>52</v>
      </c>
      <c r="EX59" s="105" t="e">
        <f t="shared" ca="1" si="1"/>
        <v>#REF!</v>
      </c>
    </row>
    <row r="60" spans="1:154" ht="15" x14ac:dyDescent="0.25">
      <c r="A60" s="77"/>
      <c r="B60" s="77"/>
      <c r="C60" s="78"/>
      <c r="D60" s="78"/>
      <c r="F60" s="78"/>
      <c r="G60" s="78"/>
      <c r="H60" s="78"/>
      <c r="I60" s="78"/>
      <c r="J60" s="78"/>
      <c r="K60" s="78"/>
      <c r="L60" s="78"/>
      <c r="M60" s="78"/>
      <c r="N60" s="78"/>
      <c r="O60" s="78"/>
      <c r="P60" s="78"/>
      <c r="Q60" s="78"/>
      <c r="R60" s="74"/>
      <c r="S60" s="74"/>
      <c r="T60" s="74"/>
      <c r="U60" s="74"/>
      <c r="V60" s="74"/>
      <c r="W60" s="74"/>
      <c r="X60" s="74"/>
      <c r="Y60" s="74"/>
      <c r="Z60" s="74"/>
      <c r="AA60" s="74"/>
      <c r="AB60" s="74"/>
      <c r="AC60" s="74"/>
      <c r="AD60" s="74"/>
      <c r="AE60" s="74"/>
      <c r="AF60" s="77"/>
      <c r="AG60" s="77"/>
      <c r="AH60" s="77"/>
      <c r="AI60" s="77"/>
      <c r="AJ60" s="77"/>
      <c r="AK60" s="79"/>
      <c r="AL60" s="79"/>
      <c r="AM60" s="79"/>
      <c r="AN60" s="79"/>
      <c r="AO60" s="79"/>
      <c r="AP60" s="79"/>
      <c r="AQ60" s="79"/>
      <c r="AR60" s="152"/>
      <c r="AS60" s="152"/>
      <c r="AT60" s="152"/>
      <c r="AU60" s="152"/>
      <c r="AV60" s="152"/>
      <c r="AW60" s="152"/>
      <c r="AX60" s="152"/>
      <c r="AY60" s="152"/>
      <c r="AZ60" s="152"/>
      <c r="BA60" s="152"/>
      <c r="BB60" s="153"/>
      <c r="BC60" s="153"/>
      <c r="BD60" s="153"/>
      <c r="BE60" s="153"/>
      <c r="BF60" s="153"/>
      <c r="BG60" s="153"/>
      <c r="BH60" s="153"/>
      <c r="BI60" s="67"/>
      <c r="BO60"/>
      <c r="BP60"/>
      <c r="BQ60"/>
      <c r="BR60"/>
      <c r="BS60"/>
      <c r="BT60"/>
      <c r="BV60"/>
      <c r="BW60"/>
      <c r="BX60"/>
      <c r="BY60"/>
      <c r="CB60"/>
      <c r="CC60"/>
      <c r="CD60"/>
      <c r="CE60"/>
      <c r="CF60"/>
      <c r="CI60"/>
      <c r="CJ60"/>
      <c r="CK60"/>
      <c r="CN60"/>
      <c r="CO60"/>
      <c r="CP60"/>
      <c r="CQ60"/>
      <c r="CT60"/>
      <c r="CU60"/>
      <c r="CV60"/>
      <c r="CW60"/>
      <c r="CX60"/>
      <c r="CY60"/>
      <c r="CZ60"/>
      <c r="DA60"/>
      <c r="DC60"/>
      <c r="DD60"/>
      <c r="DE60"/>
      <c r="DJ60"/>
      <c r="DK60"/>
      <c r="DL60"/>
      <c r="DM60"/>
      <c r="DN60"/>
      <c r="DO60"/>
      <c r="DP60"/>
      <c r="DS60"/>
      <c r="DT60"/>
      <c r="DU60"/>
      <c r="DV60"/>
      <c r="DW60"/>
      <c r="DX60"/>
      <c r="DY60"/>
      <c r="EB60"/>
      <c r="EC60"/>
      <c r="ED60"/>
      <c r="EF60"/>
      <c r="EG60"/>
      <c r="EH60"/>
      <c r="EI60"/>
      <c r="EJ60"/>
      <c r="EK60"/>
      <c r="EN60"/>
      <c r="EO60"/>
      <c r="EP60"/>
      <c r="EQ60"/>
      <c r="ER60"/>
      <c r="ES60"/>
      <c r="ET60"/>
      <c r="EW60" s="103">
        <v>53</v>
      </c>
      <c r="EX60" s="105" t="e">
        <f t="shared" ca="1" si="1"/>
        <v>#REF!</v>
      </c>
    </row>
    <row r="61" spans="1:154" ht="15" x14ac:dyDescent="0.25">
      <c r="A61" s="77"/>
      <c r="B61" s="77"/>
      <c r="C61" s="78"/>
      <c r="D61" s="78"/>
      <c r="F61" s="78"/>
      <c r="G61" s="78"/>
      <c r="H61" s="78"/>
      <c r="I61" s="78"/>
      <c r="J61" s="78"/>
      <c r="K61" s="78"/>
      <c r="L61" s="78"/>
      <c r="M61" s="78"/>
      <c r="N61" s="78"/>
      <c r="O61" s="78"/>
      <c r="P61" s="78"/>
      <c r="Q61" s="78"/>
      <c r="R61" s="74"/>
      <c r="S61" s="74"/>
      <c r="T61" s="74"/>
      <c r="U61" s="74"/>
      <c r="V61" s="74"/>
      <c r="W61" s="74"/>
      <c r="X61" s="74"/>
      <c r="Y61" s="74"/>
      <c r="Z61" s="74"/>
      <c r="AA61" s="74"/>
      <c r="AB61" s="74"/>
      <c r="AC61" s="74"/>
      <c r="AD61" s="74"/>
      <c r="AE61" s="74"/>
      <c r="AF61" s="77"/>
      <c r="AG61" s="77"/>
      <c r="AH61" s="77"/>
      <c r="AI61" s="77"/>
      <c r="AJ61" s="77"/>
      <c r="AK61" s="79"/>
      <c r="AL61" s="79"/>
      <c r="AM61" s="79"/>
      <c r="AN61" s="79"/>
      <c r="AO61" s="79"/>
      <c r="AP61" s="79"/>
      <c r="AQ61" s="79"/>
      <c r="AR61" s="152"/>
      <c r="AS61" s="152"/>
      <c r="AT61" s="152"/>
      <c r="AU61" s="152"/>
      <c r="AV61" s="152"/>
      <c r="AW61" s="152"/>
      <c r="AX61" s="152"/>
      <c r="AY61" s="152"/>
      <c r="AZ61" s="152"/>
      <c r="BA61" s="152"/>
      <c r="BB61" s="153"/>
      <c r="BC61" s="153"/>
      <c r="BD61" s="153"/>
      <c r="BE61" s="153"/>
      <c r="BF61" s="153"/>
      <c r="BG61" s="153"/>
      <c r="BH61" s="153"/>
      <c r="BI61" s="67"/>
      <c r="BO61"/>
      <c r="BP61"/>
      <c r="BQ61"/>
      <c r="BR61"/>
      <c r="BS61"/>
      <c r="BT61"/>
      <c r="BV61"/>
      <c r="BW61"/>
      <c r="BX61"/>
      <c r="BY61"/>
      <c r="CB61"/>
      <c r="CC61"/>
      <c r="CD61"/>
      <c r="CE61"/>
      <c r="CF61"/>
      <c r="CI61"/>
      <c r="CJ61"/>
      <c r="CK61"/>
      <c r="CN61"/>
      <c r="CO61"/>
      <c r="CP61"/>
      <c r="CQ61"/>
      <c r="CT61"/>
      <c r="CU61"/>
      <c r="CV61"/>
      <c r="CW61"/>
      <c r="CX61"/>
      <c r="CY61"/>
      <c r="CZ61"/>
      <c r="DA61"/>
      <c r="DC61"/>
      <c r="DD61"/>
      <c r="DE61"/>
      <c r="DJ61"/>
      <c r="DK61"/>
      <c r="DL61"/>
      <c r="DM61"/>
      <c r="DN61"/>
      <c r="DO61"/>
      <c r="DP61"/>
      <c r="DS61"/>
      <c r="DT61"/>
      <c r="DU61"/>
      <c r="DV61"/>
      <c r="DW61"/>
      <c r="DX61"/>
      <c r="DY61"/>
      <c r="EB61"/>
      <c r="EC61"/>
      <c r="ED61"/>
      <c r="EF61"/>
      <c r="EG61"/>
      <c r="EH61"/>
      <c r="EI61"/>
      <c r="EJ61"/>
      <c r="EK61"/>
      <c r="EN61"/>
      <c r="EO61"/>
      <c r="EP61"/>
      <c r="EQ61"/>
      <c r="ER61"/>
      <c r="ES61"/>
      <c r="ET61"/>
      <c r="EW61" s="103">
        <v>54</v>
      </c>
      <c r="EX61" s="105" t="e">
        <f t="shared" ca="1" si="1"/>
        <v>#REF!</v>
      </c>
    </row>
    <row r="62" spans="1:154" ht="15" x14ac:dyDescent="0.25">
      <c r="A62" s="77"/>
      <c r="B62" s="77"/>
      <c r="C62" s="78"/>
      <c r="D62" s="78"/>
      <c r="F62" s="78"/>
      <c r="G62" s="78"/>
      <c r="H62" s="78"/>
      <c r="I62" s="78"/>
      <c r="J62" s="78"/>
      <c r="K62" s="78"/>
      <c r="L62" s="78"/>
      <c r="M62" s="78"/>
      <c r="N62" s="78"/>
      <c r="O62" s="78"/>
      <c r="P62" s="78"/>
      <c r="Q62" s="78"/>
      <c r="R62" s="74"/>
      <c r="S62" s="74"/>
      <c r="T62" s="74"/>
      <c r="U62" s="74"/>
      <c r="V62" s="74"/>
      <c r="W62" s="74"/>
      <c r="X62" s="74"/>
      <c r="Y62" s="74"/>
      <c r="Z62" s="74"/>
      <c r="AA62" s="74"/>
      <c r="AB62" s="74"/>
      <c r="AC62" s="74"/>
      <c r="AD62" s="74"/>
      <c r="AE62" s="74"/>
      <c r="AF62" s="77"/>
      <c r="AG62" s="77"/>
      <c r="AH62" s="77"/>
      <c r="AI62" s="77"/>
      <c r="AJ62" s="77"/>
      <c r="AK62" s="79"/>
      <c r="AL62" s="79"/>
      <c r="AM62" s="79"/>
      <c r="AN62" s="79"/>
      <c r="AO62" s="79"/>
      <c r="AP62" s="79"/>
      <c r="AQ62" s="79"/>
      <c r="AR62" s="152"/>
      <c r="AS62" s="152"/>
      <c r="AT62" s="152"/>
      <c r="AU62" s="152"/>
      <c r="AV62" s="152"/>
      <c r="AW62" s="152"/>
      <c r="AX62" s="152"/>
      <c r="AY62" s="152"/>
      <c r="AZ62" s="152"/>
      <c r="BA62" s="152"/>
      <c r="BB62" s="153"/>
      <c r="BC62" s="153"/>
      <c r="BD62" s="153"/>
      <c r="BE62" s="153"/>
      <c r="BF62" s="153"/>
      <c r="BG62" s="153"/>
      <c r="BH62" s="153"/>
      <c r="BI62" s="67"/>
      <c r="BO62"/>
      <c r="BP62"/>
      <c r="BQ62"/>
      <c r="BR62"/>
      <c r="BS62"/>
      <c r="BT62"/>
      <c r="BV62"/>
      <c r="BW62"/>
      <c r="BX62"/>
      <c r="BY62"/>
      <c r="CB62"/>
      <c r="CC62"/>
      <c r="CD62"/>
      <c r="CE62"/>
      <c r="CF62"/>
      <c r="CI62"/>
      <c r="CJ62"/>
      <c r="CK62"/>
      <c r="CN62"/>
      <c r="CO62"/>
      <c r="CP62"/>
      <c r="CQ62"/>
      <c r="CT62"/>
      <c r="CU62"/>
      <c r="CV62"/>
      <c r="CW62"/>
      <c r="CX62"/>
      <c r="CY62"/>
      <c r="CZ62"/>
      <c r="DA62"/>
      <c r="DC62"/>
      <c r="DD62"/>
      <c r="DE62"/>
      <c r="DJ62"/>
      <c r="DK62"/>
      <c r="DL62"/>
      <c r="DM62"/>
      <c r="DN62"/>
      <c r="DO62"/>
      <c r="DP62"/>
      <c r="DS62"/>
      <c r="DT62"/>
      <c r="DU62"/>
      <c r="DV62"/>
      <c r="DW62"/>
      <c r="DX62"/>
      <c r="DY62"/>
      <c r="EB62"/>
      <c r="EC62"/>
      <c r="ED62"/>
      <c r="EF62"/>
      <c r="EG62"/>
      <c r="EH62"/>
      <c r="EI62"/>
      <c r="EJ62"/>
      <c r="EK62"/>
      <c r="EN62"/>
      <c r="EO62"/>
      <c r="EP62"/>
      <c r="EQ62"/>
      <c r="ER62"/>
      <c r="ES62"/>
      <c r="ET62"/>
      <c r="EW62" s="103">
        <v>55</v>
      </c>
      <c r="EX62" s="105" t="e">
        <f t="shared" ca="1" si="1"/>
        <v>#REF!</v>
      </c>
    </row>
    <row r="63" spans="1:154" ht="15" x14ac:dyDescent="0.25">
      <c r="A63" s="77"/>
      <c r="B63" s="77"/>
      <c r="C63" s="78"/>
      <c r="D63" s="78"/>
      <c r="F63" s="78"/>
      <c r="G63" s="78"/>
      <c r="H63" s="78"/>
      <c r="I63" s="78"/>
      <c r="J63" s="78"/>
      <c r="K63" s="78"/>
      <c r="L63" s="78"/>
      <c r="M63" s="78"/>
      <c r="N63" s="78"/>
      <c r="O63" s="78"/>
      <c r="P63" s="78"/>
      <c r="Q63" s="78"/>
      <c r="R63" s="74"/>
      <c r="S63" s="74"/>
      <c r="T63" s="74"/>
      <c r="U63" s="74"/>
      <c r="V63" s="74"/>
      <c r="W63" s="74"/>
      <c r="X63" s="74"/>
      <c r="Y63" s="74"/>
      <c r="Z63" s="74"/>
      <c r="AA63" s="74"/>
      <c r="AB63" s="74"/>
      <c r="AC63" s="74"/>
      <c r="AD63" s="74"/>
      <c r="AE63" s="74"/>
      <c r="AF63" s="77"/>
      <c r="AG63" s="77"/>
      <c r="AH63" s="77"/>
      <c r="AI63" s="77"/>
      <c r="AJ63" s="77"/>
      <c r="AK63" s="79"/>
      <c r="AL63" s="79"/>
      <c r="AM63" s="79"/>
      <c r="AN63" s="79"/>
      <c r="AO63" s="79"/>
      <c r="AP63" s="79"/>
      <c r="AQ63" s="79"/>
      <c r="AR63" s="152"/>
      <c r="AS63" s="152"/>
      <c r="AT63" s="152"/>
      <c r="AU63" s="152"/>
      <c r="AV63" s="152"/>
      <c r="AW63" s="152"/>
      <c r="AX63" s="152"/>
      <c r="AY63" s="152"/>
      <c r="AZ63" s="152"/>
      <c r="BA63" s="152"/>
      <c r="BB63" s="153"/>
      <c r="BC63" s="153"/>
      <c r="BD63" s="153"/>
      <c r="BE63" s="153"/>
      <c r="BF63" s="153"/>
      <c r="BG63" s="153"/>
      <c r="BH63" s="153"/>
      <c r="BO63"/>
      <c r="BP63"/>
      <c r="BQ63"/>
      <c r="BR63"/>
      <c r="BS63"/>
      <c r="BT63"/>
      <c r="BV63"/>
      <c r="BW63"/>
      <c r="BX63"/>
      <c r="BY63"/>
      <c r="CB63"/>
      <c r="CC63"/>
      <c r="CD63"/>
      <c r="CE63"/>
      <c r="CF63"/>
      <c r="CI63"/>
      <c r="CJ63"/>
      <c r="CK63"/>
      <c r="CN63"/>
      <c r="CO63"/>
      <c r="CP63"/>
      <c r="CQ63"/>
      <c r="CT63"/>
      <c r="CU63"/>
      <c r="CV63"/>
      <c r="CW63"/>
      <c r="CX63"/>
      <c r="CY63"/>
      <c r="CZ63"/>
      <c r="DA63"/>
      <c r="DC63"/>
      <c r="DD63"/>
      <c r="DE63"/>
      <c r="DJ63"/>
      <c r="DK63"/>
      <c r="DL63"/>
      <c r="DM63"/>
      <c r="DN63"/>
      <c r="DO63"/>
      <c r="DP63"/>
      <c r="DS63"/>
      <c r="DT63"/>
      <c r="DU63"/>
      <c r="DV63"/>
      <c r="DW63"/>
      <c r="DX63"/>
      <c r="DY63"/>
      <c r="EB63"/>
      <c r="EC63"/>
      <c r="ED63"/>
      <c r="EF63"/>
      <c r="EG63"/>
      <c r="EH63"/>
      <c r="EI63"/>
      <c r="EJ63"/>
      <c r="EK63"/>
      <c r="EN63"/>
      <c r="EO63"/>
      <c r="EP63"/>
      <c r="EQ63"/>
      <c r="ER63"/>
      <c r="ES63"/>
      <c r="ET63"/>
      <c r="EW63" s="103">
        <v>56</v>
      </c>
      <c r="EX63" s="105" t="e">
        <f t="shared" ca="1" si="1"/>
        <v>#REF!</v>
      </c>
    </row>
    <row r="64" spans="1:154" ht="15" x14ac:dyDescent="0.25">
      <c r="A64" s="77"/>
      <c r="B64" s="77"/>
      <c r="C64" s="78"/>
      <c r="D64" s="78"/>
      <c r="F64" s="78"/>
      <c r="G64" s="78"/>
      <c r="H64" s="78"/>
      <c r="I64" s="78"/>
      <c r="J64" s="78"/>
      <c r="K64" s="78"/>
      <c r="L64" s="78"/>
      <c r="M64" s="78"/>
      <c r="N64" s="78"/>
      <c r="O64" s="78"/>
      <c r="P64" s="78"/>
      <c r="Q64" s="78"/>
      <c r="R64" s="74"/>
      <c r="S64" s="74"/>
      <c r="T64" s="74"/>
      <c r="U64" s="74"/>
      <c r="V64" s="74"/>
      <c r="W64" s="74"/>
      <c r="X64" s="74"/>
      <c r="Y64" s="74"/>
      <c r="Z64" s="74"/>
      <c r="AA64" s="74"/>
      <c r="AB64" s="74"/>
      <c r="AC64" s="74"/>
      <c r="AD64" s="74"/>
      <c r="AE64" s="74"/>
      <c r="AF64" s="77"/>
      <c r="AG64" s="77"/>
      <c r="AH64" s="77"/>
      <c r="AI64" s="77"/>
      <c r="AJ64" s="77"/>
      <c r="AK64" s="79"/>
      <c r="AL64" s="79"/>
      <c r="AM64" s="79"/>
      <c r="AN64" s="79"/>
      <c r="AO64" s="79"/>
      <c r="AP64" s="79"/>
      <c r="AQ64" s="79"/>
      <c r="AR64" s="152"/>
      <c r="AS64" s="152"/>
      <c r="AT64" s="152"/>
      <c r="AU64" s="152"/>
      <c r="AV64" s="152"/>
      <c r="AW64" s="152"/>
      <c r="AX64" s="152"/>
      <c r="AY64" s="152"/>
      <c r="AZ64" s="152"/>
      <c r="BA64" s="152"/>
      <c r="BB64" s="153"/>
      <c r="BC64" s="153"/>
      <c r="BD64" s="153"/>
      <c r="BE64" s="153"/>
      <c r="BF64" s="153"/>
      <c r="BG64" s="153"/>
      <c r="BH64" s="153"/>
      <c r="BO64"/>
      <c r="BP64"/>
      <c r="BQ64"/>
      <c r="BR64"/>
      <c r="BS64"/>
      <c r="BT64"/>
      <c r="BV64"/>
      <c r="BW64"/>
      <c r="BX64"/>
      <c r="BY64"/>
      <c r="CB64"/>
      <c r="CC64"/>
      <c r="CD64"/>
      <c r="CE64"/>
      <c r="CF64"/>
      <c r="CI64"/>
      <c r="CJ64"/>
      <c r="CK64"/>
      <c r="CN64"/>
      <c r="CO64"/>
      <c r="CP64"/>
      <c r="CQ64"/>
      <c r="CT64"/>
      <c r="CU64"/>
      <c r="CV64"/>
      <c r="CW64"/>
      <c r="CX64"/>
      <c r="CY64"/>
      <c r="CZ64"/>
      <c r="DA64"/>
      <c r="DC64"/>
      <c r="DD64"/>
      <c r="DE64"/>
      <c r="DJ64"/>
      <c r="DK64"/>
      <c r="DL64"/>
      <c r="DM64"/>
      <c r="DN64"/>
      <c r="DO64"/>
      <c r="DP64"/>
      <c r="DS64"/>
      <c r="DT64"/>
      <c r="DU64"/>
      <c r="DV64"/>
      <c r="DW64"/>
      <c r="DX64"/>
      <c r="DY64"/>
      <c r="EB64"/>
      <c r="EC64"/>
      <c r="ED64"/>
      <c r="EF64"/>
      <c r="EG64"/>
      <c r="EH64"/>
      <c r="EI64"/>
      <c r="EJ64"/>
      <c r="EK64"/>
      <c r="EN64"/>
      <c r="EO64"/>
      <c r="EP64"/>
      <c r="EQ64"/>
      <c r="ER64"/>
      <c r="ES64"/>
      <c r="ET64"/>
      <c r="EW64" s="103">
        <v>57</v>
      </c>
      <c r="EX64" s="105" t="e">
        <f t="shared" ca="1" si="1"/>
        <v>#REF!</v>
      </c>
    </row>
    <row r="65" spans="1:154" ht="15" x14ac:dyDescent="0.25">
      <c r="A65" s="77"/>
      <c r="B65" s="77"/>
      <c r="C65" s="78"/>
      <c r="D65" s="78"/>
      <c r="F65" s="78"/>
      <c r="G65" s="78"/>
      <c r="H65" s="78"/>
      <c r="I65" s="78"/>
      <c r="J65" s="78"/>
      <c r="K65" s="78"/>
      <c r="L65" s="78"/>
      <c r="M65" s="78"/>
      <c r="N65" s="78"/>
      <c r="O65" s="78"/>
      <c r="P65" s="78"/>
      <c r="Q65" s="78"/>
      <c r="R65" s="74"/>
      <c r="S65" s="74"/>
      <c r="T65" s="74"/>
      <c r="U65" s="74"/>
      <c r="V65" s="74"/>
      <c r="W65" s="74"/>
      <c r="X65" s="74"/>
      <c r="Y65" s="74"/>
      <c r="Z65" s="74"/>
      <c r="AA65" s="74"/>
      <c r="AB65" s="74"/>
      <c r="AC65" s="74"/>
      <c r="AD65" s="74"/>
      <c r="AE65" s="74"/>
      <c r="AF65" s="77"/>
      <c r="AG65" s="77"/>
      <c r="AH65" s="77"/>
      <c r="AI65" s="77"/>
      <c r="AJ65" s="77"/>
      <c r="AK65" s="79"/>
      <c r="AL65" s="79"/>
      <c r="AM65" s="79"/>
      <c r="AN65" s="79"/>
      <c r="AO65" s="79"/>
      <c r="AP65" s="79"/>
      <c r="AQ65" s="79"/>
      <c r="AR65" s="152"/>
      <c r="AS65" s="152"/>
      <c r="AT65" s="152"/>
      <c r="AU65" s="152"/>
      <c r="AV65" s="152"/>
      <c r="AW65" s="152"/>
      <c r="AX65" s="152"/>
      <c r="AY65" s="152"/>
      <c r="AZ65" s="152"/>
      <c r="BA65" s="152"/>
      <c r="BB65" s="153"/>
      <c r="BC65" s="153"/>
      <c r="BD65" s="153"/>
      <c r="BE65" s="153"/>
      <c r="BF65" s="153"/>
      <c r="BG65" s="153"/>
      <c r="BH65" s="153"/>
      <c r="BI65" s="67"/>
      <c r="BO65"/>
      <c r="BP65"/>
      <c r="BQ65"/>
      <c r="BR65"/>
      <c r="BS65"/>
      <c r="BT65"/>
      <c r="BV65"/>
      <c r="BW65"/>
      <c r="BX65"/>
      <c r="BY65"/>
      <c r="CB65"/>
      <c r="CC65"/>
      <c r="CD65"/>
      <c r="CE65"/>
      <c r="CF65"/>
      <c r="CI65"/>
      <c r="CJ65"/>
      <c r="CK65"/>
      <c r="CN65"/>
      <c r="CO65"/>
      <c r="CP65"/>
      <c r="CQ65"/>
      <c r="CT65"/>
      <c r="CU65"/>
      <c r="CV65"/>
      <c r="CW65"/>
      <c r="CX65"/>
      <c r="CY65"/>
      <c r="CZ65"/>
      <c r="DA65"/>
      <c r="DC65"/>
      <c r="DD65"/>
      <c r="DE65"/>
      <c r="DJ65"/>
      <c r="DK65"/>
      <c r="DL65"/>
      <c r="DM65"/>
      <c r="DN65"/>
      <c r="DO65"/>
      <c r="DP65"/>
      <c r="DS65"/>
      <c r="DT65"/>
      <c r="DU65"/>
      <c r="DV65"/>
      <c r="DW65"/>
      <c r="DX65"/>
      <c r="DY65"/>
      <c r="EB65"/>
      <c r="EC65"/>
      <c r="ED65"/>
      <c r="EF65"/>
      <c r="EG65"/>
      <c r="EH65"/>
      <c r="EI65"/>
      <c r="EJ65"/>
      <c r="EK65"/>
      <c r="EN65"/>
      <c r="EO65"/>
      <c r="EP65"/>
      <c r="EQ65"/>
      <c r="ER65"/>
      <c r="ES65"/>
      <c r="ET65"/>
      <c r="EW65" s="103">
        <v>58</v>
      </c>
      <c r="EX65" s="105" t="e">
        <f t="shared" ca="1" si="1"/>
        <v>#REF!</v>
      </c>
    </row>
    <row r="66" spans="1:154" ht="15" x14ac:dyDescent="0.25">
      <c r="A66" s="77"/>
      <c r="B66" s="77"/>
      <c r="C66" s="78"/>
      <c r="D66" s="78"/>
      <c r="F66" s="78"/>
      <c r="G66" s="78"/>
      <c r="H66" s="78"/>
      <c r="I66" s="78"/>
      <c r="J66" s="78"/>
      <c r="K66" s="78"/>
      <c r="L66" s="78"/>
      <c r="M66" s="78"/>
      <c r="N66" s="78"/>
      <c r="O66" s="78"/>
      <c r="P66" s="78"/>
      <c r="Q66" s="78"/>
      <c r="R66" s="74"/>
      <c r="S66" s="74"/>
      <c r="T66" s="74"/>
      <c r="U66" s="74"/>
      <c r="V66" s="74"/>
      <c r="W66" s="74"/>
      <c r="X66" s="74"/>
      <c r="Y66" s="74"/>
      <c r="Z66" s="74"/>
      <c r="AA66" s="74"/>
      <c r="AB66" s="74"/>
      <c r="AC66" s="74"/>
      <c r="AD66" s="74"/>
      <c r="AE66" s="74"/>
      <c r="AF66" s="77"/>
      <c r="AG66" s="77"/>
      <c r="AH66" s="77"/>
      <c r="AI66" s="77"/>
      <c r="AJ66" s="77"/>
      <c r="AK66" s="79"/>
      <c r="AL66" s="79"/>
      <c r="AM66" s="79"/>
      <c r="AN66" s="79"/>
      <c r="AO66" s="79"/>
      <c r="AP66" s="79"/>
      <c r="AQ66" s="79"/>
      <c r="AR66" s="152"/>
      <c r="AS66" s="152"/>
      <c r="AT66" s="152"/>
      <c r="AU66" s="152"/>
      <c r="AV66" s="152"/>
      <c r="AW66" s="152"/>
      <c r="AX66" s="152"/>
      <c r="AY66" s="152"/>
      <c r="AZ66" s="152"/>
      <c r="BA66" s="152"/>
      <c r="BB66" s="153"/>
      <c r="BC66" s="153"/>
      <c r="BD66" s="153"/>
      <c r="BE66" s="153"/>
      <c r="BF66" s="153"/>
      <c r="BG66" s="153"/>
      <c r="BH66" s="153"/>
      <c r="BI66" s="67"/>
      <c r="BO66"/>
      <c r="BP66"/>
      <c r="BQ66"/>
      <c r="BR66"/>
      <c r="BS66"/>
      <c r="BT66"/>
      <c r="BV66"/>
      <c r="BW66"/>
      <c r="BX66"/>
      <c r="BY66"/>
      <c r="CB66"/>
      <c r="CC66"/>
      <c r="CD66"/>
      <c r="CE66"/>
      <c r="CF66"/>
      <c r="CI66"/>
      <c r="CJ66"/>
      <c r="CK66"/>
      <c r="CN66"/>
      <c r="CO66"/>
      <c r="CP66"/>
      <c r="CQ66"/>
      <c r="CT66"/>
      <c r="CU66"/>
      <c r="CV66"/>
      <c r="CW66"/>
      <c r="CX66"/>
      <c r="CY66"/>
      <c r="CZ66"/>
      <c r="DA66"/>
      <c r="DC66"/>
      <c r="DD66"/>
      <c r="DE66"/>
      <c r="DJ66"/>
      <c r="DK66"/>
      <c r="DL66"/>
      <c r="DM66"/>
      <c r="DN66"/>
      <c r="DO66"/>
      <c r="DP66"/>
      <c r="DS66"/>
      <c r="DT66"/>
      <c r="DU66"/>
      <c r="DV66"/>
      <c r="DW66"/>
      <c r="DX66"/>
      <c r="DY66"/>
      <c r="EB66"/>
      <c r="EC66"/>
      <c r="ED66"/>
      <c r="EF66"/>
      <c r="EG66"/>
      <c r="EH66"/>
      <c r="EI66"/>
      <c r="EJ66"/>
      <c r="EK66"/>
      <c r="EN66"/>
      <c r="EO66"/>
      <c r="EP66"/>
      <c r="EQ66"/>
      <c r="ER66"/>
      <c r="ES66"/>
      <c r="ET66"/>
      <c r="EW66" s="103">
        <v>59</v>
      </c>
      <c r="EX66" s="105" t="e">
        <f t="shared" ca="1" si="1"/>
        <v>#REF!</v>
      </c>
    </row>
    <row r="67" spans="1:154" ht="15" x14ac:dyDescent="0.25">
      <c r="A67" s="77"/>
      <c r="B67" s="77"/>
      <c r="C67" s="78"/>
      <c r="D67" s="78"/>
      <c r="F67" s="78"/>
      <c r="G67" s="78"/>
      <c r="H67" s="78"/>
      <c r="I67" s="78"/>
      <c r="J67" s="78"/>
      <c r="K67" s="78"/>
      <c r="L67" s="78"/>
      <c r="M67" s="78"/>
      <c r="N67" s="78"/>
      <c r="O67" s="78"/>
      <c r="P67" s="78"/>
      <c r="Q67" s="78"/>
      <c r="R67" s="74"/>
      <c r="S67" s="74"/>
      <c r="T67" s="74"/>
      <c r="U67" s="74"/>
      <c r="V67" s="74"/>
      <c r="W67" s="74"/>
      <c r="X67" s="74"/>
      <c r="Y67" s="74"/>
      <c r="Z67" s="74"/>
      <c r="AA67" s="74"/>
      <c r="AB67" s="74"/>
      <c r="AC67" s="74"/>
      <c r="AD67" s="74"/>
      <c r="AE67" s="74"/>
      <c r="AF67" s="77"/>
      <c r="AG67" s="77"/>
      <c r="AH67" s="77"/>
      <c r="AI67" s="77"/>
      <c r="AJ67" s="77"/>
      <c r="AK67" s="79"/>
      <c r="AL67" s="79"/>
      <c r="AM67" s="79"/>
      <c r="AN67" s="79"/>
      <c r="AO67" s="79"/>
      <c r="AP67" s="79"/>
      <c r="AQ67" s="79"/>
      <c r="AR67" s="152"/>
      <c r="AS67" s="152"/>
      <c r="AT67" s="152"/>
      <c r="AU67" s="152"/>
      <c r="AV67" s="152"/>
      <c r="AW67" s="152"/>
      <c r="AX67" s="152"/>
      <c r="AY67" s="152"/>
      <c r="AZ67" s="152"/>
      <c r="BA67" s="152"/>
      <c r="BB67" s="153"/>
      <c r="BC67" s="153"/>
      <c r="BD67" s="153"/>
      <c r="BE67" s="153"/>
      <c r="BF67" s="153"/>
      <c r="BG67" s="153"/>
      <c r="BH67" s="153"/>
      <c r="BI67" s="67"/>
      <c r="BO67"/>
      <c r="BP67"/>
      <c r="BQ67"/>
      <c r="BR67"/>
      <c r="BS67"/>
      <c r="BT67"/>
      <c r="BV67"/>
      <c r="BW67"/>
      <c r="BX67"/>
      <c r="BY67"/>
      <c r="CB67"/>
      <c r="CC67"/>
      <c r="CD67"/>
      <c r="CE67"/>
      <c r="CF67"/>
      <c r="CI67"/>
      <c r="CJ67"/>
      <c r="CK67"/>
      <c r="CN67"/>
      <c r="CO67"/>
      <c r="CP67"/>
      <c r="CQ67"/>
      <c r="CT67"/>
      <c r="CU67"/>
      <c r="CV67"/>
      <c r="CW67"/>
      <c r="CX67"/>
      <c r="CY67"/>
      <c r="CZ67"/>
      <c r="DA67"/>
      <c r="DC67"/>
      <c r="DD67"/>
      <c r="DE67"/>
      <c r="DJ67"/>
      <c r="DK67"/>
      <c r="DL67"/>
      <c r="DM67"/>
      <c r="DN67"/>
      <c r="DO67"/>
      <c r="DP67"/>
      <c r="DS67"/>
      <c r="DT67"/>
      <c r="DU67"/>
      <c r="DV67"/>
      <c r="DW67"/>
      <c r="DX67"/>
      <c r="DY67"/>
      <c r="EB67"/>
      <c r="EC67"/>
      <c r="ED67"/>
      <c r="EF67"/>
      <c r="EG67"/>
      <c r="EH67"/>
      <c r="EI67"/>
      <c r="EJ67"/>
      <c r="EK67"/>
      <c r="EN67"/>
      <c r="EO67"/>
      <c r="EP67"/>
      <c r="EQ67"/>
      <c r="ER67"/>
      <c r="ES67"/>
      <c r="ET67"/>
      <c r="EW67" s="103">
        <v>60</v>
      </c>
      <c r="EX67" s="105" t="e">
        <f t="shared" ca="1" si="1"/>
        <v>#REF!</v>
      </c>
    </row>
    <row r="68" spans="1:154" ht="15" x14ac:dyDescent="0.25">
      <c r="A68" s="77"/>
      <c r="B68" s="77"/>
      <c r="C68" s="78"/>
      <c r="D68" s="78"/>
      <c r="F68" s="78"/>
      <c r="G68" s="78"/>
      <c r="H68" s="78"/>
      <c r="I68" s="78"/>
      <c r="J68" s="78"/>
      <c r="K68" s="78"/>
      <c r="L68" s="78"/>
      <c r="M68" s="78"/>
      <c r="N68" s="78"/>
      <c r="O68" s="78"/>
      <c r="P68" s="78"/>
      <c r="Q68" s="78"/>
      <c r="R68" s="74"/>
      <c r="S68" s="74"/>
      <c r="T68" s="74"/>
      <c r="U68" s="74"/>
      <c r="V68" s="74"/>
      <c r="W68" s="74"/>
      <c r="X68" s="74"/>
      <c r="Y68" s="74"/>
      <c r="Z68" s="74"/>
      <c r="AA68" s="74"/>
      <c r="AB68" s="74"/>
      <c r="AC68" s="74"/>
      <c r="AD68" s="74"/>
      <c r="AE68" s="74"/>
      <c r="AF68" s="77"/>
      <c r="AG68" s="77"/>
      <c r="AH68" s="77"/>
      <c r="AI68" s="77"/>
      <c r="AJ68" s="77"/>
      <c r="AK68" s="79"/>
      <c r="AL68" s="79"/>
      <c r="AM68" s="79"/>
      <c r="AN68" s="79"/>
      <c r="AO68" s="79"/>
      <c r="AP68" s="79"/>
      <c r="AQ68" s="79"/>
      <c r="AR68" s="152"/>
      <c r="AS68" s="152"/>
      <c r="AT68" s="152"/>
      <c r="AU68" s="152"/>
      <c r="AV68" s="152"/>
      <c r="AW68" s="152"/>
      <c r="AX68" s="152"/>
      <c r="AY68" s="152"/>
      <c r="AZ68" s="152"/>
      <c r="BA68" s="152"/>
      <c r="BB68" s="153"/>
      <c r="BC68" s="153"/>
      <c r="BD68" s="153"/>
      <c r="BE68" s="153"/>
      <c r="BF68" s="153"/>
      <c r="BG68" s="153"/>
      <c r="BH68" s="153"/>
      <c r="BO68"/>
      <c r="BP68"/>
      <c r="BQ68"/>
      <c r="BR68"/>
      <c r="BS68"/>
      <c r="BT68"/>
      <c r="BV68"/>
      <c r="BW68"/>
      <c r="BX68"/>
      <c r="BY68"/>
      <c r="CB68"/>
      <c r="CC68"/>
      <c r="CD68"/>
      <c r="CE68"/>
      <c r="CF68"/>
      <c r="CI68"/>
      <c r="CJ68"/>
      <c r="CK68"/>
      <c r="CN68"/>
      <c r="CO68"/>
      <c r="CP68"/>
      <c r="CQ68"/>
      <c r="CT68"/>
      <c r="CU68"/>
      <c r="CV68"/>
      <c r="CW68"/>
      <c r="CX68"/>
      <c r="CY68"/>
      <c r="CZ68"/>
      <c r="DA68"/>
      <c r="DC68"/>
      <c r="DD68"/>
      <c r="DE68"/>
      <c r="DJ68"/>
      <c r="DK68"/>
      <c r="DL68"/>
      <c r="DM68"/>
      <c r="DN68"/>
      <c r="DO68"/>
      <c r="DP68"/>
      <c r="DS68"/>
      <c r="DT68"/>
      <c r="DU68"/>
      <c r="DV68"/>
      <c r="DW68"/>
      <c r="DX68"/>
      <c r="DY68"/>
      <c r="EB68"/>
      <c r="EC68"/>
      <c r="ED68"/>
      <c r="EF68"/>
      <c r="EG68"/>
      <c r="EH68"/>
      <c r="EI68"/>
      <c r="EJ68"/>
      <c r="EK68"/>
      <c r="EN68"/>
      <c r="EO68"/>
      <c r="EP68"/>
      <c r="EQ68"/>
      <c r="ER68"/>
      <c r="ES68"/>
      <c r="ET68"/>
      <c r="EW68" s="103">
        <v>61</v>
      </c>
      <c r="EX68" s="105" t="e">
        <f t="shared" ca="1" si="1"/>
        <v>#REF!</v>
      </c>
    </row>
    <row r="69" spans="1:154" ht="15" x14ac:dyDescent="0.25">
      <c r="A69" s="77"/>
      <c r="B69" s="77"/>
      <c r="C69" s="78"/>
      <c r="D69" s="78"/>
      <c r="F69" s="78"/>
      <c r="G69" s="78"/>
      <c r="H69" s="78"/>
      <c r="I69" s="78"/>
      <c r="J69" s="78"/>
      <c r="K69" s="78"/>
      <c r="L69" s="78"/>
      <c r="M69" s="78"/>
      <c r="N69" s="78"/>
      <c r="O69" s="78"/>
      <c r="P69" s="78"/>
      <c r="Q69" s="78"/>
      <c r="R69" s="74"/>
      <c r="S69" s="74"/>
      <c r="T69" s="74"/>
      <c r="U69" s="74"/>
      <c r="V69" s="74"/>
      <c r="W69" s="74"/>
      <c r="X69" s="74"/>
      <c r="Y69" s="74"/>
      <c r="Z69" s="74"/>
      <c r="AA69" s="74"/>
      <c r="AB69" s="74"/>
      <c r="AC69" s="74"/>
      <c r="AD69" s="74"/>
      <c r="AE69" s="74"/>
      <c r="AF69" s="77"/>
      <c r="AG69" s="77"/>
      <c r="AH69" s="77"/>
      <c r="AI69" s="77"/>
      <c r="AJ69" s="77"/>
      <c r="AK69" s="79"/>
      <c r="AL69" s="79"/>
      <c r="AM69" s="79"/>
      <c r="AN69" s="79"/>
      <c r="AO69" s="79"/>
      <c r="AP69" s="79"/>
      <c r="AQ69" s="79"/>
      <c r="AR69" s="152"/>
      <c r="AS69" s="152"/>
      <c r="AT69" s="152"/>
      <c r="AU69" s="152"/>
      <c r="AV69" s="152"/>
      <c r="AW69" s="152"/>
      <c r="AX69" s="152"/>
      <c r="AY69" s="152"/>
      <c r="AZ69" s="152"/>
      <c r="BA69" s="152"/>
      <c r="BB69" s="153"/>
      <c r="BC69" s="153"/>
      <c r="BD69" s="153"/>
      <c r="BE69" s="153"/>
      <c r="BF69" s="153"/>
      <c r="BG69" s="153"/>
      <c r="BH69" s="153"/>
      <c r="BO69"/>
      <c r="BP69"/>
      <c r="BQ69"/>
      <c r="BR69"/>
      <c r="BS69"/>
      <c r="BT69"/>
      <c r="BV69"/>
      <c r="BW69"/>
      <c r="BX69"/>
      <c r="BY69"/>
      <c r="CB69"/>
      <c r="CC69"/>
      <c r="CD69"/>
      <c r="CE69"/>
      <c r="CF69"/>
      <c r="CI69"/>
      <c r="CJ69"/>
      <c r="CK69"/>
      <c r="CN69"/>
      <c r="CO69"/>
      <c r="CP69"/>
      <c r="CQ69"/>
      <c r="CT69"/>
      <c r="CU69"/>
      <c r="CV69"/>
      <c r="CW69"/>
      <c r="CX69"/>
      <c r="CY69"/>
      <c r="CZ69"/>
      <c r="DA69"/>
      <c r="DC69"/>
      <c r="DD69"/>
      <c r="DE69"/>
      <c r="DJ69"/>
      <c r="DK69"/>
      <c r="DL69"/>
      <c r="DM69"/>
      <c r="DN69"/>
      <c r="DO69"/>
      <c r="DP69"/>
      <c r="DS69"/>
      <c r="DT69"/>
      <c r="DU69"/>
      <c r="DV69"/>
      <c r="DW69"/>
      <c r="DX69"/>
      <c r="DY69"/>
      <c r="EB69"/>
      <c r="EC69"/>
      <c r="ED69"/>
      <c r="EF69"/>
      <c r="EG69"/>
      <c r="EH69"/>
      <c r="EI69"/>
      <c r="EJ69"/>
      <c r="EK69"/>
      <c r="EN69"/>
      <c r="EO69"/>
      <c r="EP69"/>
      <c r="EQ69"/>
      <c r="ER69"/>
      <c r="ES69"/>
      <c r="ET69"/>
      <c r="EW69" s="103">
        <v>62</v>
      </c>
      <c r="EX69" s="105" t="e">
        <f t="shared" ca="1" si="1"/>
        <v>#REF!</v>
      </c>
    </row>
    <row r="70" spans="1:154" ht="15" x14ac:dyDescent="0.25">
      <c r="A70" s="77"/>
      <c r="B70" s="77"/>
      <c r="C70" s="78"/>
      <c r="D70" s="78"/>
      <c r="F70" s="78"/>
      <c r="G70" s="78"/>
      <c r="H70" s="78"/>
      <c r="I70" s="78"/>
      <c r="J70" s="78"/>
      <c r="K70" s="78"/>
      <c r="L70" s="78"/>
      <c r="M70" s="78"/>
      <c r="N70" s="78"/>
      <c r="O70" s="78"/>
      <c r="P70" s="78"/>
      <c r="Q70" s="78"/>
      <c r="R70" s="74"/>
      <c r="S70" s="74"/>
      <c r="T70" s="74"/>
      <c r="U70" s="74"/>
      <c r="V70" s="74"/>
      <c r="W70" s="74"/>
      <c r="X70" s="74"/>
      <c r="Y70" s="74"/>
      <c r="Z70" s="74"/>
      <c r="AA70" s="74"/>
      <c r="AB70" s="74"/>
      <c r="AC70" s="74"/>
      <c r="AD70" s="74"/>
      <c r="AE70" s="74"/>
      <c r="AF70" s="77"/>
      <c r="AG70" s="77"/>
      <c r="AH70" s="77"/>
      <c r="AI70" s="77"/>
      <c r="AJ70" s="77"/>
      <c r="AK70" s="79"/>
      <c r="AL70" s="79"/>
      <c r="AM70" s="79"/>
      <c r="AN70" s="79"/>
      <c r="AO70" s="79"/>
      <c r="AP70" s="79"/>
      <c r="AQ70" s="79"/>
      <c r="AR70" s="152"/>
      <c r="AS70" s="152"/>
      <c r="AT70" s="152"/>
      <c r="AU70" s="152"/>
      <c r="AV70" s="152"/>
      <c r="AW70" s="152"/>
      <c r="AX70" s="152"/>
      <c r="AY70" s="152"/>
      <c r="AZ70" s="152"/>
      <c r="BA70" s="152"/>
      <c r="BB70" s="153"/>
      <c r="BC70" s="153"/>
      <c r="BD70" s="153"/>
      <c r="BE70" s="153"/>
      <c r="BF70" s="153"/>
      <c r="BG70" s="153"/>
      <c r="BH70" s="153"/>
      <c r="BI70" s="67"/>
      <c r="BO70"/>
      <c r="BP70"/>
      <c r="BQ70"/>
      <c r="BR70"/>
      <c r="BS70"/>
      <c r="BT70"/>
      <c r="BV70"/>
      <c r="BW70"/>
      <c r="BX70"/>
      <c r="BY70"/>
      <c r="CB70"/>
      <c r="CC70"/>
      <c r="CD70"/>
      <c r="CE70"/>
      <c r="CF70"/>
      <c r="CI70"/>
      <c r="CJ70"/>
      <c r="CK70"/>
      <c r="CN70"/>
      <c r="CO70"/>
      <c r="CP70"/>
      <c r="CQ70"/>
      <c r="CT70"/>
      <c r="CU70"/>
      <c r="CV70"/>
      <c r="CW70"/>
      <c r="CX70"/>
      <c r="CY70"/>
      <c r="CZ70"/>
      <c r="DA70"/>
      <c r="DC70"/>
      <c r="DD70"/>
      <c r="DE70"/>
      <c r="DJ70"/>
      <c r="DK70"/>
      <c r="DL70"/>
      <c r="DM70"/>
      <c r="DN70"/>
      <c r="DO70"/>
      <c r="DP70"/>
      <c r="DS70"/>
      <c r="DT70"/>
      <c r="DU70"/>
      <c r="DV70"/>
      <c r="DW70"/>
      <c r="DX70"/>
      <c r="DY70"/>
      <c r="EB70"/>
      <c r="EC70"/>
      <c r="ED70"/>
      <c r="EF70"/>
      <c r="EG70"/>
      <c r="EH70"/>
      <c r="EI70"/>
      <c r="EJ70"/>
      <c r="EK70"/>
      <c r="EN70"/>
      <c r="EO70"/>
      <c r="EP70"/>
      <c r="EQ70"/>
      <c r="ER70"/>
      <c r="ES70"/>
      <c r="ET70"/>
      <c r="EW70" s="103">
        <v>63</v>
      </c>
      <c r="EX70" s="105" t="e">
        <f t="shared" ca="1" si="1"/>
        <v>#REF!</v>
      </c>
    </row>
    <row r="71" spans="1:154" ht="15" x14ac:dyDescent="0.25">
      <c r="A71" s="77"/>
      <c r="B71" s="77"/>
      <c r="C71" s="78"/>
      <c r="D71" s="78"/>
      <c r="F71" s="78"/>
      <c r="G71" s="78"/>
      <c r="H71" s="78"/>
      <c r="I71" s="78"/>
      <c r="J71" s="78"/>
      <c r="K71" s="78"/>
      <c r="L71" s="78"/>
      <c r="M71" s="78"/>
      <c r="N71" s="78"/>
      <c r="O71" s="78"/>
      <c r="P71" s="78"/>
      <c r="Q71" s="78"/>
      <c r="R71" s="74"/>
      <c r="S71" s="74"/>
      <c r="T71" s="74"/>
      <c r="U71" s="74"/>
      <c r="V71" s="74"/>
      <c r="W71" s="74"/>
      <c r="X71" s="74"/>
      <c r="Y71" s="74"/>
      <c r="Z71" s="74"/>
      <c r="AA71" s="74"/>
      <c r="AB71" s="74"/>
      <c r="AC71" s="74"/>
      <c r="AD71" s="74"/>
      <c r="AE71" s="74"/>
      <c r="AF71" s="77"/>
      <c r="AG71" s="77"/>
      <c r="AH71" s="77"/>
      <c r="AI71" s="77"/>
      <c r="AJ71" s="77"/>
      <c r="AK71" s="79"/>
      <c r="AL71" s="79"/>
      <c r="AM71" s="79"/>
      <c r="AN71" s="79"/>
      <c r="AO71" s="79"/>
      <c r="AP71" s="79"/>
      <c r="AQ71" s="79"/>
      <c r="AR71" s="152"/>
      <c r="AS71" s="152"/>
      <c r="AT71" s="152"/>
      <c r="AU71" s="152"/>
      <c r="AV71" s="152"/>
      <c r="AW71" s="152"/>
      <c r="AX71" s="152"/>
      <c r="AY71" s="152"/>
      <c r="AZ71" s="152"/>
      <c r="BA71" s="152"/>
      <c r="BB71" s="153"/>
      <c r="BC71" s="153"/>
      <c r="BD71" s="153"/>
      <c r="BE71" s="153"/>
      <c r="BF71" s="153"/>
      <c r="BG71" s="153"/>
      <c r="BH71" s="153"/>
      <c r="BI71" s="67"/>
      <c r="BO71"/>
      <c r="BP71"/>
      <c r="BQ71"/>
      <c r="BR71"/>
      <c r="BS71"/>
      <c r="BT71"/>
      <c r="BV71"/>
      <c r="BW71"/>
      <c r="BX71"/>
      <c r="BY71"/>
      <c r="CB71"/>
      <c r="CC71"/>
      <c r="CD71"/>
      <c r="CE71"/>
      <c r="CF71"/>
      <c r="CI71"/>
      <c r="CJ71"/>
      <c r="CK71"/>
      <c r="CN71"/>
      <c r="CO71"/>
      <c r="CP71"/>
      <c r="CQ71"/>
      <c r="CT71"/>
      <c r="CU71"/>
      <c r="CV71"/>
      <c r="CW71"/>
      <c r="CX71"/>
      <c r="CY71"/>
      <c r="CZ71"/>
      <c r="DA71"/>
      <c r="DC71"/>
      <c r="DD71"/>
      <c r="DE71"/>
      <c r="DJ71"/>
      <c r="DK71"/>
      <c r="DL71"/>
      <c r="DM71"/>
      <c r="DN71"/>
      <c r="DO71"/>
      <c r="DP71"/>
      <c r="DS71"/>
      <c r="DT71"/>
      <c r="DU71"/>
      <c r="DV71"/>
      <c r="DW71"/>
      <c r="DX71"/>
      <c r="DY71"/>
      <c r="EB71"/>
      <c r="EC71"/>
      <c r="ED71"/>
      <c r="EF71"/>
      <c r="EG71"/>
      <c r="EH71"/>
      <c r="EI71"/>
      <c r="EJ71"/>
      <c r="EK71"/>
      <c r="EN71"/>
      <c r="EO71"/>
      <c r="EP71"/>
      <c r="EQ71"/>
      <c r="ER71"/>
      <c r="ES71"/>
      <c r="ET71"/>
      <c r="EW71" s="103">
        <v>64</v>
      </c>
      <c r="EX71" s="105" t="e">
        <f t="shared" ref="EX71:EX102" ca="1" si="2">(COUNTIF(y0_SCIav,"&lt;="&amp;EW71))/(COUNTIF(y0_SCIav,"&lt;="&amp;100))</f>
        <v>#REF!</v>
      </c>
    </row>
    <row r="72" spans="1:154" ht="15" x14ac:dyDescent="0.25">
      <c r="A72" s="77"/>
      <c r="B72" s="77"/>
      <c r="C72" s="78"/>
      <c r="D72" s="78"/>
      <c r="F72" s="78"/>
      <c r="G72" s="78"/>
      <c r="H72" s="78"/>
      <c r="I72" s="78"/>
      <c r="J72" s="78"/>
      <c r="K72" s="78"/>
      <c r="L72" s="78"/>
      <c r="M72" s="78"/>
      <c r="N72" s="78"/>
      <c r="O72" s="78"/>
      <c r="P72" s="78"/>
      <c r="Q72" s="78"/>
      <c r="R72" s="74"/>
      <c r="S72" s="74"/>
      <c r="T72" s="74"/>
      <c r="U72" s="74"/>
      <c r="V72" s="74"/>
      <c r="W72" s="74"/>
      <c r="X72" s="74"/>
      <c r="Y72" s="74"/>
      <c r="Z72" s="74"/>
      <c r="AA72" s="74"/>
      <c r="AB72" s="74"/>
      <c r="AC72" s="74"/>
      <c r="AD72" s="74"/>
      <c r="AE72" s="74"/>
      <c r="AF72" s="77"/>
      <c r="AG72" s="77"/>
      <c r="AH72" s="77"/>
      <c r="AI72" s="77"/>
      <c r="AJ72" s="77"/>
      <c r="AK72" s="79"/>
      <c r="AL72" s="79"/>
      <c r="AM72" s="79"/>
      <c r="AN72" s="79"/>
      <c r="AO72" s="79"/>
      <c r="AP72" s="79"/>
      <c r="AQ72" s="79"/>
      <c r="AR72" s="152"/>
      <c r="AS72" s="152"/>
      <c r="AT72" s="152"/>
      <c r="AU72" s="152"/>
      <c r="AV72" s="152"/>
      <c r="AW72" s="152"/>
      <c r="AX72" s="152"/>
      <c r="AY72" s="152"/>
      <c r="AZ72" s="152"/>
      <c r="BA72" s="152"/>
      <c r="BB72" s="153"/>
      <c r="BC72" s="153"/>
      <c r="BD72" s="153"/>
      <c r="BE72" s="153"/>
      <c r="BF72" s="153"/>
      <c r="BG72" s="153"/>
      <c r="BH72" s="153"/>
      <c r="BI72" s="67"/>
      <c r="BO72"/>
      <c r="BP72"/>
      <c r="BQ72"/>
      <c r="BR72"/>
      <c r="BS72"/>
      <c r="BT72"/>
      <c r="BV72"/>
      <c r="BW72"/>
      <c r="BX72"/>
      <c r="BY72"/>
      <c r="CB72"/>
      <c r="CC72"/>
      <c r="CD72"/>
      <c r="CE72"/>
      <c r="CF72"/>
      <c r="CI72"/>
      <c r="CJ72"/>
      <c r="CK72"/>
      <c r="CN72"/>
      <c r="CO72"/>
      <c r="CP72"/>
      <c r="CQ72"/>
      <c r="CT72"/>
      <c r="CU72"/>
      <c r="CV72"/>
      <c r="CW72"/>
      <c r="CX72"/>
      <c r="CY72"/>
      <c r="CZ72"/>
      <c r="DA72"/>
      <c r="DC72"/>
      <c r="DD72"/>
      <c r="DE72"/>
      <c r="DJ72"/>
      <c r="DK72"/>
      <c r="DL72"/>
      <c r="DM72"/>
      <c r="DN72"/>
      <c r="DO72"/>
      <c r="DP72"/>
      <c r="DS72"/>
      <c r="DT72"/>
      <c r="DU72"/>
      <c r="DV72"/>
      <c r="DW72"/>
      <c r="DX72"/>
      <c r="DY72"/>
      <c r="EB72"/>
      <c r="EC72"/>
      <c r="ED72"/>
      <c r="EF72"/>
      <c r="EG72"/>
      <c r="EH72"/>
      <c r="EI72"/>
      <c r="EJ72"/>
      <c r="EK72"/>
      <c r="EN72"/>
      <c r="EO72"/>
      <c r="EP72"/>
      <c r="EQ72"/>
      <c r="ER72"/>
      <c r="ES72"/>
      <c r="ET72"/>
      <c r="EW72" s="103">
        <v>65</v>
      </c>
      <c r="EX72" s="105" t="e">
        <f t="shared" ca="1" si="2"/>
        <v>#REF!</v>
      </c>
    </row>
    <row r="73" spans="1:154" ht="15" x14ac:dyDescent="0.25">
      <c r="A73" s="77"/>
      <c r="B73" s="77"/>
      <c r="C73" s="78"/>
      <c r="D73" s="78"/>
      <c r="F73" s="78"/>
      <c r="G73" s="78"/>
      <c r="H73" s="78"/>
      <c r="I73" s="78"/>
      <c r="J73" s="78"/>
      <c r="K73" s="78"/>
      <c r="L73" s="78"/>
      <c r="M73" s="78"/>
      <c r="N73" s="78"/>
      <c r="O73" s="78"/>
      <c r="P73" s="78"/>
      <c r="Q73" s="78"/>
      <c r="R73" s="74"/>
      <c r="S73" s="74"/>
      <c r="T73" s="74"/>
      <c r="U73" s="74"/>
      <c r="V73" s="74"/>
      <c r="W73" s="74"/>
      <c r="X73" s="74"/>
      <c r="Y73" s="74"/>
      <c r="Z73" s="74"/>
      <c r="AA73" s="74"/>
      <c r="AB73" s="74"/>
      <c r="AC73" s="74"/>
      <c r="AD73" s="74"/>
      <c r="AE73" s="74"/>
      <c r="AF73" s="77"/>
      <c r="AG73" s="77"/>
      <c r="AH73" s="77"/>
      <c r="AI73" s="77"/>
      <c r="AJ73" s="77"/>
      <c r="AK73" s="79"/>
      <c r="AL73" s="79"/>
      <c r="AM73" s="79"/>
      <c r="AN73" s="79"/>
      <c r="AO73" s="79"/>
      <c r="AP73" s="79"/>
      <c r="AQ73" s="79"/>
      <c r="AR73" s="152"/>
      <c r="AS73" s="152"/>
      <c r="AT73" s="152"/>
      <c r="AU73" s="152"/>
      <c r="AV73" s="152"/>
      <c r="AW73" s="152"/>
      <c r="AX73" s="152"/>
      <c r="AY73" s="152"/>
      <c r="AZ73" s="152"/>
      <c r="BA73" s="152"/>
      <c r="BB73" s="153"/>
      <c r="BC73" s="153"/>
      <c r="BD73" s="153"/>
      <c r="BE73" s="153"/>
      <c r="BF73" s="153"/>
      <c r="BG73" s="153"/>
      <c r="BH73" s="153"/>
      <c r="BO73"/>
      <c r="BP73"/>
      <c r="BQ73"/>
      <c r="BR73"/>
      <c r="BS73"/>
      <c r="BT73"/>
      <c r="BV73"/>
      <c r="BW73"/>
      <c r="BX73"/>
      <c r="BY73"/>
      <c r="CB73"/>
      <c r="CC73"/>
      <c r="CD73"/>
      <c r="CE73"/>
      <c r="CF73"/>
      <c r="CI73"/>
      <c r="CJ73"/>
      <c r="CK73"/>
      <c r="CN73"/>
      <c r="CO73"/>
      <c r="CP73"/>
      <c r="CQ73"/>
      <c r="CT73"/>
      <c r="CU73"/>
      <c r="CV73"/>
      <c r="CW73"/>
      <c r="CX73"/>
      <c r="CY73"/>
      <c r="CZ73"/>
      <c r="DA73"/>
      <c r="DC73"/>
      <c r="DD73"/>
      <c r="DE73"/>
      <c r="DJ73"/>
      <c r="DK73"/>
      <c r="DL73"/>
      <c r="DM73"/>
      <c r="DN73"/>
      <c r="DO73"/>
      <c r="DP73"/>
      <c r="DS73"/>
      <c r="DT73"/>
      <c r="DU73"/>
      <c r="DV73"/>
      <c r="DW73"/>
      <c r="DX73"/>
      <c r="DY73"/>
      <c r="EB73"/>
      <c r="EC73"/>
      <c r="ED73"/>
      <c r="EF73"/>
      <c r="EG73"/>
      <c r="EH73"/>
      <c r="EI73"/>
      <c r="EJ73"/>
      <c r="EK73"/>
      <c r="EN73"/>
      <c r="EO73"/>
      <c r="EP73"/>
      <c r="EQ73"/>
      <c r="ER73"/>
      <c r="ES73"/>
      <c r="ET73"/>
      <c r="EW73" s="103">
        <v>66</v>
      </c>
      <c r="EX73" s="105" t="e">
        <f t="shared" ca="1" si="2"/>
        <v>#REF!</v>
      </c>
    </row>
    <row r="74" spans="1:154" ht="15" x14ac:dyDescent="0.25">
      <c r="A74" s="77"/>
      <c r="B74" s="77"/>
      <c r="C74" s="78"/>
      <c r="D74" s="78"/>
      <c r="F74" s="78"/>
      <c r="G74" s="78"/>
      <c r="H74" s="78"/>
      <c r="I74" s="78"/>
      <c r="J74" s="78"/>
      <c r="K74" s="78"/>
      <c r="L74" s="78"/>
      <c r="M74" s="78"/>
      <c r="N74" s="78"/>
      <c r="O74" s="78"/>
      <c r="P74" s="78"/>
      <c r="Q74" s="78"/>
      <c r="R74" s="74"/>
      <c r="S74" s="74"/>
      <c r="T74" s="74"/>
      <c r="U74" s="74"/>
      <c r="V74" s="74"/>
      <c r="W74" s="74"/>
      <c r="X74" s="74"/>
      <c r="Y74" s="74"/>
      <c r="Z74" s="74"/>
      <c r="AA74" s="74"/>
      <c r="AB74" s="74"/>
      <c r="AC74" s="74"/>
      <c r="AD74" s="74"/>
      <c r="AE74" s="74"/>
      <c r="AF74" s="77"/>
      <c r="AG74" s="77"/>
      <c r="AH74" s="77"/>
      <c r="AI74" s="77"/>
      <c r="AJ74" s="77"/>
      <c r="AK74" s="79"/>
      <c r="AL74" s="79"/>
      <c r="AM74" s="79"/>
      <c r="AN74" s="79"/>
      <c r="AO74" s="79"/>
      <c r="AP74" s="79"/>
      <c r="AQ74" s="79"/>
      <c r="AR74" s="152"/>
      <c r="AS74" s="152"/>
      <c r="AT74" s="152"/>
      <c r="AU74" s="152"/>
      <c r="AV74" s="152"/>
      <c r="AW74" s="152"/>
      <c r="AX74" s="152"/>
      <c r="AY74" s="152"/>
      <c r="AZ74" s="152"/>
      <c r="BA74" s="152"/>
      <c r="BB74" s="153"/>
      <c r="BC74" s="153"/>
      <c r="BD74" s="153"/>
      <c r="BE74" s="153"/>
      <c r="BF74" s="153"/>
      <c r="BG74" s="153"/>
      <c r="BH74" s="153"/>
      <c r="BO74"/>
      <c r="BP74"/>
      <c r="BQ74"/>
      <c r="BR74"/>
      <c r="BS74"/>
      <c r="BT74"/>
      <c r="BV74"/>
      <c r="BW74"/>
      <c r="BX74"/>
      <c r="BY74"/>
      <c r="CB74"/>
      <c r="CC74"/>
      <c r="CD74"/>
      <c r="CE74"/>
      <c r="CF74"/>
      <c r="CI74"/>
      <c r="CJ74"/>
      <c r="CK74"/>
      <c r="CN74"/>
      <c r="CO74"/>
      <c r="CP74"/>
      <c r="CQ74"/>
      <c r="CT74"/>
      <c r="CU74"/>
      <c r="CV74"/>
      <c r="CW74"/>
      <c r="CX74"/>
      <c r="CY74"/>
      <c r="CZ74"/>
      <c r="DA74"/>
      <c r="DC74"/>
      <c r="DD74"/>
      <c r="DE74"/>
      <c r="DJ74"/>
      <c r="DK74"/>
      <c r="DL74"/>
      <c r="DM74"/>
      <c r="DN74"/>
      <c r="DO74"/>
      <c r="DP74"/>
      <c r="DS74"/>
      <c r="DT74"/>
      <c r="DU74"/>
      <c r="DV74"/>
      <c r="DW74"/>
      <c r="DX74"/>
      <c r="DY74"/>
      <c r="EB74"/>
      <c r="EC74"/>
      <c r="ED74"/>
      <c r="EF74"/>
      <c r="EG74"/>
      <c r="EH74"/>
      <c r="EI74"/>
      <c r="EJ74"/>
      <c r="EK74"/>
      <c r="EN74"/>
      <c r="EO74"/>
      <c r="EP74"/>
      <c r="EQ74"/>
      <c r="ER74"/>
      <c r="ES74"/>
      <c r="ET74"/>
      <c r="EW74" s="103">
        <v>67</v>
      </c>
      <c r="EX74" s="105" t="e">
        <f t="shared" ca="1" si="2"/>
        <v>#REF!</v>
      </c>
    </row>
    <row r="75" spans="1:154" ht="15" x14ac:dyDescent="0.25">
      <c r="A75" s="77"/>
      <c r="B75" s="77"/>
      <c r="C75" s="78"/>
      <c r="D75" s="78"/>
      <c r="F75" s="78"/>
      <c r="G75" s="78"/>
      <c r="H75" s="78"/>
      <c r="I75" s="78"/>
      <c r="J75" s="78"/>
      <c r="K75" s="78"/>
      <c r="L75" s="78"/>
      <c r="M75" s="78"/>
      <c r="N75" s="78"/>
      <c r="O75" s="78"/>
      <c r="P75" s="78"/>
      <c r="Q75" s="78"/>
      <c r="R75" s="74"/>
      <c r="S75" s="74"/>
      <c r="T75" s="74"/>
      <c r="U75" s="74"/>
      <c r="V75" s="74"/>
      <c r="W75" s="74"/>
      <c r="X75" s="74"/>
      <c r="Y75" s="74"/>
      <c r="Z75" s="74"/>
      <c r="AA75" s="74"/>
      <c r="AB75" s="74"/>
      <c r="AC75" s="74"/>
      <c r="AD75" s="74"/>
      <c r="AE75" s="74"/>
      <c r="AF75" s="77"/>
      <c r="AG75" s="77"/>
      <c r="AH75" s="77"/>
      <c r="AI75" s="77"/>
      <c r="AJ75" s="77"/>
      <c r="AK75" s="79"/>
      <c r="AL75" s="79"/>
      <c r="AM75" s="79"/>
      <c r="AN75" s="79"/>
      <c r="AO75" s="79"/>
      <c r="AP75" s="79"/>
      <c r="AQ75" s="79"/>
      <c r="AR75" s="152"/>
      <c r="AS75" s="152"/>
      <c r="AT75" s="152"/>
      <c r="AU75" s="152"/>
      <c r="AV75" s="152"/>
      <c r="AW75" s="152"/>
      <c r="AX75" s="152"/>
      <c r="AY75" s="152"/>
      <c r="AZ75" s="152"/>
      <c r="BA75" s="152"/>
      <c r="BB75" s="153"/>
      <c r="BC75" s="153"/>
      <c r="BD75" s="153"/>
      <c r="BE75" s="153"/>
      <c r="BF75" s="153"/>
      <c r="BG75" s="153"/>
      <c r="BH75" s="153"/>
      <c r="BI75" s="67"/>
      <c r="BO75"/>
      <c r="BP75"/>
      <c r="BQ75"/>
      <c r="BR75"/>
      <c r="BS75"/>
      <c r="BT75"/>
      <c r="BV75"/>
      <c r="BW75"/>
      <c r="BX75"/>
      <c r="BY75"/>
      <c r="CB75"/>
      <c r="CC75"/>
      <c r="CD75"/>
      <c r="CE75"/>
      <c r="CF75"/>
      <c r="CI75"/>
      <c r="CJ75"/>
      <c r="CK75"/>
      <c r="CN75"/>
      <c r="CO75"/>
      <c r="CP75"/>
      <c r="CQ75"/>
      <c r="CT75"/>
      <c r="CU75"/>
      <c r="CV75"/>
      <c r="CW75"/>
      <c r="CX75"/>
      <c r="CY75"/>
      <c r="CZ75"/>
      <c r="DA75"/>
      <c r="DC75"/>
      <c r="DD75"/>
      <c r="DE75"/>
      <c r="DJ75"/>
      <c r="DK75"/>
      <c r="DL75"/>
      <c r="DM75"/>
      <c r="DN75"/>
      <c r="DO75"/>
      <c r="DP75"/>
      <c r="DS75"/>
      <c r="DT75"/>
      <c r="DU75"/>
      <c r="DV75"/>
      <c r="DW75"/>
      <c r="DX75"/>
      <c r="DY75"/>
      <c r="EB75"/>
      <c r="EC75"/>
      <c r="ED75"/>
      <c r="EF75"/>
      <c r="EG75"/>
      <c r="EH75"/>
      <c r="EI75"/>
      <c r="EJ75"/>
      <c r="EK75"/>
      <c r="EN75"/>
      <c r="EO75"/>
      <c r="EP75"/>
      <c r="EQ75"/>
      <c r="ER75"/>
      <c r="ES75"/>
      <c r="ET75"/>
      <c r="EW75" s="103">
        <v>68</v>
      </c>
      <c r="EX75" s="105" t="e">
        <f t="shared" ca="1" si="2"/>
        <v>#REF!</v>
      </c>
    </row>
    <row r="76" spans="1:154" ht="15" x14ac:dyDescent="0.25">
      <c r="A76" s="77"/>
      <c r="B76" s="77"/>
      <c r="C76" s="78"/>
      <c r="D76" s="78"/>
      <c r="F76" s="78"/>
      <c r="G76" s="78"/>
      <c r="H76" s="78"/>
      <c r="I76" s="78"/>
      <c r="J76" s="78"/>
      <c r="K76" s="78"/>
      <c r="L76" s="78"/>
      <c r="M76" s="78"/>
      <c r="N76" s="78"/>
      <c r="O76" s="78"/>
      <c r="P76" s="78"/>
      <c r="Q76" s="78"/>
      <c r="R76" s="74"/>
      <c r="S76" s="74"/>
      <c r="T76" s="74"/>
      <c r="U76" s="74"/>
      <c r="V76" s="74"/>
      <c r="W76" s="74"/>
      <c r="X76" s="74"/>
      <c r="Y76" s="74"/>
      <c r="Z76" s="74"/>
      <c r="AA76" s="74"/>
      <c r="AB76" s="74"/>
      <c r="AC76" s="74"/>
      <c r="AD76" s="74"/>
      <c r="AE76" s="74"/>
      <c r="AF76" s="77"/>
      <c r="AG76" s="77"/>
      <c r="AH76" s="77"/>
      <c r="AI76" s="77"/>
      <c r="AJ76" s="77"/>
      <c r="AK76" s="79"/>
      <c r="AL76" s="79"/>
      <c r="AM76" s="79"/>
      <c r="AN76" s="79"/>
      <c r="AO76" s="79"/>
      <c r="AP76" s="79"/>
      <c r="AQ76" s="79"/>
      <c r="AR76" s="152"/>
      <c r="AS76" s="152"/>
      <c r="AT76" s="152"/>
      <c r="AU76" s="152"/>
      <c r="AV76" s="152"/>
      <c r="AW76" s="152"/>
      <c r="AX76" s="152"/>
      <c r="AY76" s="152"/>
      <c r="AZ76" s="152"/>
      <c r="BA76" s="152"/>
      <c r="BB76" s="153"/>
      <c r="BC76" s="153"/>
      <c r="BD76" s="153"/>
      <c r="BE76" s="153"/>
      <c r="BF76" s="153"/>
      <c r="BG76" s="153"/>
      <c r="BH76" s="153"/>
      <c r="BI76" s="67"/>
      <c r="BO76"/>
      <c r="BP76"/>
      <c r="BQ76"/>
      <c r="BR76"/>
      <c r="BS76"/>
      <c r="BT76"/>
      <c r="BV76"/>
      <c r="BW76"/>
      <c r="BX76"/>
      <c r="BY76"/>
      <c r="CB76"/>
      <c r="CC76"/>
      <c r="CD76"/>
      <c r="CE76"/>
      <c r="CF76"/>
      <c r="CI76"/>
      <c r="CJ76"/>
      <c r="CK76"/>
      <c r="CN76"/>
      <c r="CO76"/>
      <c r="CP76"/>
      <c r="CQ76"/>
      <c r="CT76"/>
      <c r="CU76"/>
      <c r="CV76"/>
      <c r="CW76"/>
      <c r="CX76"/>
      <c r="CY76"/>
      <c r="CZ76"/>
      <c r="DA76"/>
      <c r="DC76"/>
      <c r="DD76"/>
      <c r="DE76"/>
      <c r="DJ76"/>
      <c r="DK76"/>
      <c r="DL76"/>
      <c r="DM76"/>
      <c r="DN76"/>
      <c r="DO76"/>
      <c r="DP76"/>
      <c r="DS76"/>
      <c r="DT76"/>
      <c r="DU76"/>
      <c r="DV76"/>
      <c r="DW76"/>
      <c r="DX76"/>
      <c r="DY76"/>
      <c r="EB76"/>
      <c r="EC76"/>
      <c r="ED76"/>
      <c r="EF76"/>
      <c r="EG76"/>
      <c r="EH76"/>
      <c r="EI76"/>
      <c r="EJ76"/>
      <c r="EK76"/>
      <c r="EN76"/>
      <c r="EO76"/>
      <c r="EP76"/>
      <c r="EQ76"/>
      <c r="ER76"/>
      <c r="ES76"/>
      <c r="ET76"/>
      <c r="EW76" s="103">
        <v>69</v>
      </c>
      <c r="EX76" s="105" t="e">
        <f t="shared" ca="1" si="2"/>
        <v>#REF!</v>
      </c>
    </row>
    <row r="77" spans="1:154" ht="15" x14ac:dyDescent="0.25">
      <c r="A77" s="77"/>
      <c r="B77" s="77"/>
      <c r="C77" s="78"/>
      <c r="D77" s="78"/>
      <c r="F77" s="78"/>
      <c r="G77" s="78"/>
      <c r="H77" s="78"/>
      <c r="I77" s="78"/>
      <c r="J77" s="78"/>
      <c r="K77" s="78"/>
      <c r="L77" s="78"/>
      <c r="M77" s="78"/>
      <c r="N77" s="78"/>
      <c r="O77" s="78"/>
      <c r="P77" s="78"/>
      <c r="Q77" s="78"/>
      <c r="R77" s="74"/>
      <c r="S77" s="74"/>
      <c r="T77" s="74"/>
      <c r="U77" s="74"/>
      <c r="V77" s="74"/>
      <c r="W77" s="74"/>
      <c r="X77" s="74"/>
      <c r="Y77" s="74"/>
      <c r="Z77" s="74"/>
      <c r="AA77" s="74"/>
      <c r="AB77" s="74"/>
      <c r="AC77" s="74"/>
      <c r="AD77" s="74"/>
      <c r="AE77" s="74"/>
      <c r="AF77" s="77"/>
      <c r="AG77" s="77"/>
      <c r="AH77" s="77"/>
      <c r="AI77" s="77"/>
      <c r="AJ77" s="77"/>
      <c r="AK77" s="79"/>
      <c r="AL77" s="79"/>
      <c r="AM77" s="79"/>
      <c r="AN77" s="79"/>
      <c r="AO77" s="79"/>
      <c r="AP77" s="79"/>
      <c r="AQ77" s="79"/>
      <c r="AR77" s="152"/>
      <c r="AS77" s="152"/>
      <c r="AT77" s="152"/>
      <c r="AU77" s="152"/>
      <c r="AV77" s="152"/>
      <c r="AW77" s="152"/>
      <c r="AX77" s="152"/>
      <c r="AY77" s="152"/>
      <c r="AZ77" s="152"/>
      <c r="BA77" s="152"/>
      <c r="BB77" s="153"/>
      <c r="BC77" s="153"/>
      <c r="BD77" s="153"/>
      <c r="BE77" s="153"/>
      <c r="BF77" s="153"/>
      <c r="BG77" s="153"/>
      <c r="BH77" s="153"/>
      <c r="BI77" s="67"/>
      <c r="BO77"/>
      <c r="BP77"/>
      <c r="BQ77"/>
      <c r="BR77"/>
      <c r="BS77"/>
      <c r="BT77"/>
      <c r="BV77"/>
      <c r="BW77"/>
      <c r="BX77"/>
      <c r="BY77"/>
      <c r="CB77"/>
      <c r="CC77"/>
      <c r="CD77"/>
      <c r="CE77"/>
      <c r="CF77"/>
      <c r="CI77"/>
      <c r="CJ77"/>
      <c r="CK77"/>
      <c r="CN77"/>
      <c r="CO77"/>
      <c r="CP77"/>
      <c r="CQ77"/>
      <c r="CT77"/>
      <c r="CU77"/>
      <c r="CV77"/>
      <c r="CW77"/>
      <c r="CX77"/>
      <c r="CY77"/>
      <c r="CZ77"/>
      <c r="DA77"/>
      <c r="DC77"/>
      <c r="DD77"/>
      <c r="DE77"/>
      <c r="DJ77"/>
      <c r="DK77"/>
      <c r="DL77"/>
      <c r="DM77"/>
      <c r="DN77"/>
      <c r="DO77"/>
      <c r="DP77"/>
      <c r="DS77"/>
      <c r="DT77"/>
      <c r="DU77"/>
      <c r="DV77"/>
      <c r="DW77"/>
      <c r="DX77"/>
      <c r="DY77"/>
      <c r="EB77"/>
      <c r="EC77"/>
      <c r="ED77"/>
      <c r="EF77"/>
      <c r="EG77"/>
      <c r="EH77"/>
      <c r="EI77"/>
      <c r="EJ77"/>
      <c r="EK77"/>
      <c r="EN77"/>
      <c r="EO77"/>
      <c r="EP77"/>
      <c r="EQ77"/>
      <c r="ER77"/>
      <c r="ES77"/>
      <c r="ET77"/>
      <c r="EW77" s="103">
        <v>70</v>
      </c>
      <c r="EX77" s="105" t="e">
        <f t="shared" ca="1" si="2"/>
        <v>#REF!</v>
      </c>
    </row>
    <row r="78" spans="1:154" ht="15" x14ac:dyDescent="0.25">
      <c r="A78" s="77"/>
      <c r="B78" s="77"/>
      <c r="C78" s="78"/>
      <c r="D78" s="78"/>
      <c r="F78" s="78"/>
      <c r="G78" s="78"/>
      <c r="H78" s="78"/>
      <c r="I78" s="78"/>
      <c r="J78" s="78"/>
      <c r="K78" s="78"/>
      <c r="L78" s="78"/>
      <c r="M78" s="78"/>
      <c r="N78" s="78"/>
      <c r="O78" s="78"/>
      <c r="P78" s="78"/>
      <c r="Q78" s="78"/>
      <c r="R78" s="74"/>
      <c r="S78" s="74"/>
      <c r="T78" s="74"/>
      <c r="U78" s="74"/>
      <c r="V78" s="74"/>
      <c r="W78" s="74"/>
      <c r="X78" s="74"/>
      <c r="Y78" s="74"/>
      <c r="Z78" s="74"/>
      <c r="AA78" s="74"/>
      <c r="AB78" s="74"/>
      <c r="AC78" s="74"/>
      <c r="AD78" s="74"/>
      <c r="AE78" s="74"/>
      <c r="AF78" s="77"/>
      <c r="AG78" s="77"/>
      <c r="AH78" s="77"/>
      <c r="AI78" s="77"/>
      <c r="AJ78" s="77"/>
      <c r="AK78" s="79"/>
      <c r="AL78" s="79"/>
      <c r="AM78" s="79"/>
      <c r="AN78" s="79"/>
      <c r="AO78" s="79"/>
      <c r="AP78" s="79"/>
      <c r="AQ78" s="79"/>
      <c r="AR78" s="152"/>
      <c r="AS78" s="152"/>
      <c r="AT78" s="152"/>
      <c r="AU78" s="152"/>
      <c r="AV78" s="152"/>
      <c r="AW78" s="152"/>
      <c r="AX78" s="152"/>
      <c r="AY78" s="152"/>
      <c r="AZ78" s="152"/>
      <c r="BA78" s="152"/>
      <c r="BB78" s="153"/>
      <c r="BC78" s="153"/>
      <c r="BD78" s="153"/>
      <c r="BE78" s="153"/>
      <c r="BF78" s="153"/>
      <c r="BG78" s="153"/>
      <c r="BH78" s="153"/>
      <c r="BO78"/>
      <c r="BP78"/>
      <c r="BQ78"/>
      <c r="BR78"/>
      <c r="BS78"/>
      <c r="BT78"/>
      <c r="BV78"/>
      <c r="BW78"/>
      <c r="BX78"/>
      <c r="BY78"/>
      <c r="CB78"/>
      <c r="CC78"/>
      <c r="CD78"/>
      <c r="CE78"/>
      <c r="CF78"/>
      <c r="CI78"/>
      <c r="CJ78"/>
      <c r="CK78"/>
      <c r="CN78"/>
      <c r="CO78"/>
      <c r="CP78"/>
      <c r="CQ78"/>
      <c r="CT78"/>
      <c r="CU78"/>
      <c r="CV78"/>
      <c r="CW78"/>
      <c r="CX78"/>
      <c r="CY78"/>
      <c r="CZ78"/>
      <c r="DA78"/>
      <c r="DC78"/>
      <c r="DD78"/>
      <c r="DE78"/>
      <c r="DJ78"/>
      <c r="DK78"/>
      <c r="DL78"/>
      <c r="DM78"/>
      <c r="DN78"/>
      <c r="DO78"/>
      <c r="DP78"/>
      <c r="DS78"/>
      <c r="DT78"/>
      <c r="DU78"/>
      <c r="DV78"/>
      <c r="DW78"/>
      <c r="DX78"/>
      <c r="DY78"/>
      <c r="EB78"/>
      <c r="EC78"/>
      <c r="ED78"/>
      <c r="EF78"/>
      <c r="EG78"/>
      <c r="EH78"/>
      <c r="EI78"/>
      <c r="EJ78"/>
      <c r="EK78"/>
      <c r="EN78"/>
      <c r="EO78"/>
      <c r="EP78"/>
      <c r="EQ78"/>
      <c r="ER78"/>
      <c r="ES78"/>
      <c r="ET78"/>
      <c r="EW78" s="103">
        <v>71</v>
      </c>
      <c r="EX78" s="105" t="e">
        <f t="shared" ca="1" si="2"/>
        <v>#REF!</v>
      </c>
    </row>
    <row r="79" spans="1:154" ht="15" x14ac:dyDescent="0.25">
      <c r="A79" s="77"/>
      <c r="B79" s="77"/>
      <c r="C79" s="78"/>
      <c r="D79" s="78"/>
      <c r="F79" s="78"/>
      <c r="G79" s="78"/>
      <c r="H79" s="78"/>
      <c r="I79" s="78"/>
      <c r="J79" s="78"/>
      <c r="K79" s="78"/>
      <c r="L79" s="78"/>
      <c r="M79" s="78"/>
      <c r="N79" s="78"/>
      <c r="O79" s="78"/>
      <c r="P79" s="78"/>
      <c r="Q79" s="78"/>
      <c r="R79" s="74"/>
      <c r="S79" s="74"/>
      <c r="T79" s="74"/>
      <c r="U79" s="74"/>
      <c r="V79" s="74"/>
      <c r="W79" s="74"/>
      <c r="X79" s="74"/>
      <c r="Y79" s="74"/>
      <c r="Z79" s="74"/>
      <c r="AA79" s="74"/>
      <c r="AB79" s="74"/>
      <c r="AC79" s="74"/>
      <c r="AD79" s="74"/>
      <c r="AE79" s="74"/>
      <c r="AF79" s="77"/>
      <c r="AG79" s="77"/>
      <c r="AH79" s="77"/>
      <c r="AI79" s="77"/>
      <c r="AJ79" s="77"/>
      <c r="AK79" s="79"/>
      <c r="AL79" s="79"/>
      <c r="AM79" s="79"/>
      <c r="AN79" s="79"/>
      <c r="AO79" s="79"/>
      <c r="AP79" s="79"/>
      <c r="AQ79" s="79"/>
      <c r="AR79" s="152"/>
      <c r="AS79" s="152"/>
      <c r="AT79" s="152"/>
      <c r="AU79" s="152"/>
      <c r="AV79" s="152"/>
      <c r="AW79" s="152"/>
      <c r="AX79" s="152"/>
      <c r="AY79" s="152"/>
      <c r="AZ79" s="152"/>
      <c r="BA79" s="152"/>
      <c r="BB79" s="153"/>
      <c r="BC79" s="153"/>
      <c r="BD79" s="153"/>
      <c r="BE79" s="153"/>
      <c r="BF79" s="153"/>
      <c r="BG79" s="153"/>
      <c r="BH79" s="153"/>
      <c r="BO79"/>
      <c r="BP79"/>
      <c r="BQ79"/>
      <c r="BR79"/>
      <c r="BS79"/>
      <c r="BT79"/>
      <c r="BV79"/>
      <c r="BW79"/>
      <c r="BX79"/>
      <c r="BY79"/>
      <c r="CB79"/>
      <c r="CC79"/>
      <c r="CD79"/>
      <c r="CE79"/>
      <c r="CF79"/>
      <c r="CI79"/>
      <c r="CJ79"/>
      <c r="CK79"/>
      <c r="CN79"/>
      <c r="CO79"/>
      <c r="CP79"/>
      <c r="CQ79"/>
      <c r="CT79"/>
      <c r="CU79"/>
      <c r="CV79"/>
      <c r="CW79"/>
      <c r="CX79"/>
      <c r="CY79"/>
      <c r="CZ79"/>
      <c r="DA79"/>
      <c r="DC79"/>
      <c r="DD79"/>
      <c r="DE79"/>
      <c r="DJ79"/>
      <c r="DK79"/>
      <c r="DL79"/>
      <c r="DM79"/>
      <c r="DN79"/>
      <c r="DO79"/>
      <c r="DP79"/>
      <c r="DS79"/>
      <c r="DT79"/>
      <c r="DU79"/>
      <c r="DV79"/>
      <c r="DW79"/>
      <c r="DX79"/>
      <c r="DY79"/>
      <c r="EB79"/>
      <c r="EC79"/>
      <c r="ED79"/>
      <c r="EF79"/>
      <c r="EG79"/>
      <c r="EH79"/>
      <c r="EI79"/>
      <c r="EJ79"/>
      <c r="EK79"/>
      <c r="EN79"/>
      <c r="EO79"/>
      <c r="EP79"/>
      <c r="EQ79"/>
      <c r="ER79"/>
      <c r="ES79"/>
      <c r="ET79"/>
      <c r="EW79" s="103">
        <v>72</v>
      </c>
      <c r="EX79" s="105" t="e">
        <f t="shared" ca="1" si="2"/>
        <v>#REF!</v>
      </c>
    </row>
    <row r="80" spans="1:154" ht="15" x14ac:dyDescent="0.25">
      <c r="A80" s="77"/>
      <c r="B80" s="77"/>
      <c r="C80" s="78"/>
      <c r="D80" s="78"/>
      <c r="F80" s="78"/>
      <c r="G80" s="78"/>
      <c r="H80" s="78"/>
      <c r="I80" s="78"/>
      <c r="J80" s="78"/>
      <c r="K80" s="78"/>
      <c r="L80" s="78"/>
      <c r="M80" s="78"/>
      <c r="N80" s="78"/>
      <c r="O80" s="78"/>
      <c r="P80" s="78"/>
      <c r="Q80" s="78"/>
      <c r="R80" s="74"/>
      <c r="S80" s="74"/>
      <c r="T80" s="74"/>
      <c r="U80" s="74"/>
      <c r="V80" s="74"/>
      <c r="W80" s="74"/>
      <c r="X80" s="74"/>
      <c r="Y80" s="74"/>
      <c r="Z80" s="74"/>
      <c r="AA80" s="74"/>
      <c r="AB80" s="74"/>
      <c r="AC80" s="74"/>
      <c r="AD80" s="74"/>
      <c r="AE80" s="74"/>
      <c r="AF80" s="77"/>
      <c r="AG80" s="77"/>
      <c r="AH80" s="77"/>
      <c r="AI80" s="77"/>
      <c r="AJ80" s="77"/>
      <c r="AK80" s="79"/>
      <c r="AL80" s="79"/>
      <c r="AM80" s="79"/>
      <c r="AN80" s="79"/>
      <c r="AO80" s="79"/>
      <c r="AP80" s="79"/>
      <c r="AQ80" s="79"/>
      <c r="AR80" s="152"/>
      <c r="AS80" s="152"/>
      <c r="AT80" s="152"/>
      <c r="AU80" s="152"/>
      <c r="AV80" s="152"/>
      <c r="AW80" s="152"/>
      <c r="AX80" s="152"/>
      <c r="AY80" s="152"/>
      <c r="AZ80" s="152"/>
      <c r="BA80" s="152"/>
      <c r="BB80" s="153"/>
      <c r="BC80" s="153"/>
      <c r="BD80" s="153"/>
      <c r="BE80" s="153"/>
      <c r="BF80" s="153"/>
      <c r="BG80" s="153"/>
      <c r="BH80" s="153"/>
      <c r="BI80" s="67"/>
      <c r="BO80"/>
      <c r="BP80"/>
      <c r="BQ80"/>
      <c r="BR80"/>
      <c r="BS80"/>
      <c r="BT80"/>
      <c r="BV80"/>
      <c r="BW80"/>
      <c r="BX80"/>
      <c r="BY80"/>
      <c r="CB80"/>
      <c r="CC80"/>
      <c r="CD80"/>
      <c r="CE80"/>
      <c r="CF80"/>
      <c r="CI80"/>
      <c r="CJ80"/>
      <c r="CK80"/>
      <c r="CN80"/>
      <c r="CO80"/>
      <c r="CP80"/>
      <c r="CQ80"/>
      <c r="CT80"/>
      <c r="CU80"/>
      <c r="CV80"/>
      <c r="CW80"/>
      <c r="CX80"/>
      <c r="CY80"/>
      <c r="CZ80"/>
      <c r="DA80"/>
      <c r="DC80"/>
      <c r="DD80"/>
      <c r="DE80"/>
      <c r="DJ80"/>
      <c r="DK80"/>
      <c r="DL80"/>
      <c r="DM80"/>
      <c r="DN80"/>
      <c r="DO80"/>
      <c r="DP80"/>
      <c r="DS80"/>
      <c r="DT80"/>
      <c r="DU80"/>
      <c r="DV80"/>
      <c r="DW80"/>
      <c r="DX80"/>
      <c r="DY80"/>
      <c r="EB80"/>
      <c r="EC80"/>
      <c r="ED80"/>
      <c r="EF80"/>
      <c r="EG80"/>
      <c r="EH80"/>
      <c r="EI80"/>
      <c r="EJ80"/>
      <c r="EK80"/>
      <c r="EN80"/>
      <c r="EO80"/>
      <c r="EP80"/>
      <c r="EQ80"/>
      <c r="ER80"/>
      <c r="ES80"/>
      <c r="ET80"/>
      <c r="EW80" s="103">
        <v>73</v>
      </c>
      <c r="EX80" s="105" t="e">
        <f t="shared" ca="1" si="2"/>
        <v>#REF!</v>
      </c>
    </row>
    <row r="81" spans="1:154" ht="15" x14ac:dyDescent="0.25">
      <c r="A81" s="77"/>
      <c r="B81" s="77"/>
      <c r="C81" s="78"/>
      <c r="D81" s="78"/>
      <c r="F81" s="78"/>
      <c r="G81" s="78"/>
      <c r="H81" s="78"/>
      <c r="I81" s="78"/>
      <c r="J81" s="78"/>
      <c r="K81" s="78"/>
      <c r="L81" s="78"/>
      <c r="M81" s="78"/>
      <c r="N81" s="78"/>
      <c r="O81" s="78"/>
      <c r="P81" s="78"/>
      <c r="Q81" s="78"/>
      <c r="R81" s="74"/>
      <c r="S81" s="74"/>
      <c r="T81" s="74"/>
      <c r="U81" s="74"/>
      <c r="V81" s="74"/>
      <c r="W81" s="74"/>
      <c r="X81" s="74"/>
      <c r="Y81" s="74"/>
      <c r="Z81" s="74"/>
      <c r="AA81" s="74"/>
      <c r="AB81" s="74"/>
      <c r="AC81" s="74"/>
      <c r="AD81" s="74"/>
      <c r="AE81" s="74"/>
      <c r="AF81" s="77"/>
      <c r="AG81" s="77"/>
      <c r="AH81" s="77"/>
      <c r="AI81" s="77"/>
      <c r="AJ81" s="77"/>
      <c r="AK81" s="79"/>
      <c r="AL81" s="79"/>
      <c r="AM81" s="79"/>
      <c r="AN81" s="79"/>
      <c r="AO81" s="79"/>
      <c r="AP81" s="79"/>
      <c r="AQ81" s="79"/>
      <c r="AR81" s="152"/>
      <c r="AS81" s="152"/>
      <c r="AT81" s="152"/>
      <c r="AU81" s="152"/>
      <c r="AV81" s="152"/>
      <c r="AW81" s="152"/>
      <c r="AX81" s="152"/>
      <c r="AY81" s="152"/>
      <c r="AZ81" s="152"/>
      <c r="BA81" s="152"/>
      <c r="BB81" s="153"/>
      <c r="BC81" s="153"/>
      <c r="BD81" s="153"/>
      <c r="BE81" s="153"/>
      <c r="BF81" s="153"/>
      <c r="BG81" s="153"/>
      <c r="BH81" s="153"/>
      <c r="BI81" s="67"/>
      <c r="BO81"/>
      <c r="BP81"/>
      <c r="BQ81"/>
      <c r="BR81"/>
      <c r="BS81"/>
      <c r="BT81"/>
      <c r="BV81"/>
      <c r="BW81"/>
      <c r="BX81"/>
      <c r="BY81"/>
      <c r="CB81"/>
      <c r="CC81"/>
      <c r="CD81"/>
      <c r="CE81"/>
      <c r="CF81"/>
      <c r="CI81"/>
      <c r="CJ81"/>
      <c r="CK81"/>
      <c r="CN81"/>
      <c r="CO81"/>
      <c r="CP81"/>
      <c r="CQ81"/>
      <c r="CT81"/>
      <c r="CU81"/>
      <c r="CV81"/>
      <c r="CW81"/>
      <c r="CX81"/>
      <c r="CY81"/>
      <c r="CZ81"/>
      <c r="DA81"/>
      <c r="DC81"/>
      <c r="DD81"/>
      <c r="DE81"/>
      <c r="DJ81"/>
      <c r="DK81"/>
      <c r="DL81"/>
      <c r="DM81"/>
      <c r="DN81"/>
      <c r="DO81"/>
      <c r="DP81"/>
      <c r="DS81"/>
      <c r="DT81"/>
      <c r="DU81"/>
      <c r="DV81"/>
      <c r="DW81"/>
      <c r="DX81"/>
      <c r="DY81"/>
      <c r="EB81"/>
      <c r="EC81"/>
      <c r="ED81"/>
      <c r="EF81"/>
      <c r="EG81"/>
      <c r="EH81"/>
      <c r="EI81"/>
      <c r="EJ81"/>
      <c r="EK81"/>
      <c r="EN81"/>
      <c r="EO81"/>
      <c r="EP81"/>
      <c r="EQ81"/>
      <c r="ER81"/>
      <c r="ES81"/>
      <c r="ET81"/>
      <c r="EW81" s="103">
        <v>74</v>
      </c>
      <c r="EX81" s="105" t="e">
        <f t="shared" ca="1" si="2"/>
        <v>#REF!</v>
      </c>
    </row>
    <row r="82" spans="1:154" ht="15" x14ac:dyDescent="0.25">
      <c r="A82" s="77"/>
      <c r="B82" s="77"/>
      <c r="C82" s="78"/>
      <c r="D82" s="78"/>
      <c r="F82" s="78"/>
      <c r="G82" s="78"/>
      <c r="H82" s="78"/>
      <c r="I82" s="78"/>
      <c r="J82" s="78"/>
      <c r="K82" s="78"/>
      <c r="L82" s="78"/>
      <c r="M82" s="78"/>
      <c r="N82" s="78"/>
      <c r="O82" s="78"/>
      <c r="P82" s="78"/>
      <c r="Q82" s="78"/>
      <c r="R82" s="74"/>
      <c r="S82" s="74"/>
      <c r="T82" s="74"/>
      <c r="U82" s="74"/>
      <c r="V82" s="74"/>
      <c r="W82" s="74"/>
      <c r="X82" s="74"/>
      <c r="Y82" s="74"/>
      <c r="Z82" s="74"/>
      <c r="AA82" s="74"/>
      <c r="AB82" s="74"/>
      <c r="AC82" s="74"/>
      <c r="AD82" s="74"/>
      <c r="AE82" s="74"/>
      <c r="AF82" s="77"/>
      <c r="AG82" s="77"/>
      <c r="AH82" s="77"/>
      <c r="AI82" s="77"/>
      <c r="AJ82" s="77"/>
      <c r="AK82" s="79"/>
      <c r="AL82" s="79"/>
      <c r="AM82" s="79"/>
      <c r="AN82" s="79"/>
      <c r="AO82" s="79"/>
      <c r="AP82" s="79"/>
      <c r="AQ82" s="79"/>
      <c r="AR82" s="152"/>
      <c r="AS82" s="152"/>
      <c r="AT82" s="152"/>
      <c r="AU82" s="152"/>
      <c r="AV82" s="152"/>
      <c r="AW82" s="152"/>
      <c r="AX82" s="152"/>
      <c r="AY82" s="152"/>
      <c r="AZ82" s="152"/>
      <c r="BA82" s="152"/>
      <c r="BB82" s="153"/>
      <c r="BC82" s="153"/>
      <c r="BD82" s="153"/>
      <c r="BE82" s="153"/>
      <c r="BF82" s="153"/>
      <c r="BG82" s="153"/>
      <c r="BH82" s="153"/>
      <c r="BI82" s="67"/>
      <c r="BO82"/>
      <c r="BP82"/>
      <c r="BQ82"/>
      <c r="BR82"/>
      <c r="BS82"/>
      <c r="BT82"/>
      <c r="BV82"/>
      <c r="BW82"/>
      <c r="BX82"/>
      <c r="BY82"/>
      <c r="CB82"/>
      <c r="CC82"/>
      <c r="CD82"/>
      <c r="CE82"/>
      <c r="CF82"/>
      <c r="CI82"/>
      <c r="CJ82"/>
      <c r="CK82"/>
      <c r="CN82"/>
      <c r="CO82"/>
      <c r="CP82"/>
      <c r="CQ82"/>
      <c r="CT82"/>
      <c r="CU82"/>
      <c r="CV82"/>
      <c r="CW82"/>
      <c r="CX82"/>
      <c r="CY82"/>
      <c r="CZ82"/>
      <c r="DA82"/>
      <c r="DC82"/>
      <c r="DD82"/>
      <c r="DE82"/>
      <c r="DJ82"/>
      <c r="DK82"/>
      <c r="DL82"/>
      <c r="DM82"/>
      <c r="DN82"/>
      <c r="DO82"/>
      <c r="DP82"/>
      <c r="DS82"/>
      <c r="DT82"/>
      <c r="DU82"/>
      <c r="DV82"/>
      <c r="DW82"/>
      <c r="DX82"/>
      <c r="DY82"/>
      <c r="EB82"/>
      <c r="EC82"/>
      <c r="ED82"/>
      <c r="EF82"/>
      <c r="EG82"/>
      <c r="EH82"/>
      <c r="EI82"/>
      <c r="EJ82"/>
      <c r="EK82"/>
      <c r="EN82"/>
      <c r="EO82"/>
      <c r="EP82"/>
      <c r="EQ82"/>
      <c r="ER82"/>
      <c r="ES82"/>
      <c r="ET82"/>
      <c r="EW82" s="103">
        <v>75</v>
      </c>
      <c r="EX82" s="105" t="e">
        <f t="shared" ca="1" si="2"/>
        <v>#REF!</v>
      </c>
    </row>
    <row r="83" spans="1:154" ht="15" x14ac:dyDescent="0.25">
      <c r="A83" s="77"/>
      <c r="B83" s="77"/>
      <c r="C83" s="78"/>
      <c r="D83" s="78"/>
      <c r="F83" s="78"/>
      <c r="G83" s="78"/>
      <c r="H83" s="78"/>
      <c r="I83" s="78"/>
      <c r="J83" s="78"/>
      <c r="K83" s="78"/>
      <c r="L83" s="78"/>
      <c r="M83" s="78"/>
      <c r="N83" s="78"/>
      <c r="O83" s="78"/>
      <c r="P83" s="78"/>
      <c r="Q83" s="78"/>
      <c r="R83" s="74"/>
      <c r="S83" s="74"/>
      <c r="T83" s="74"/>
      <c r="U83" s="74"/>
      <c r="V83" s="74"/>
      <c r="W83" s="74"/>
      <c r="X83" s="74"/>
      <c r="Y83" s="74"/>
      <c r="Z83" s="74"/>
      <c r="AA83" s="74"/>
      <c r="AB83" s="74"/>
      <c r="AC83" s="74"/>
      <c r="AD83" s="74"/>
      <c r="AE83" s="74"/>
      <c r="AF83" s="77"/>
      <c r="AG83" s="77"/>
      <c r="AH83" s="77"/>
      <c r="AI83" s="77"/>
      <c r="AJ83" s="77"/>
      <c r="AK83" s="79"/>
      <c r="AL83" s="79"/>
      <c r="AM83" s="79"/>
      <c r="AN83" s="79"/>
      <c r="AO83" s="79"/>
      <c r="AP83" s="79"/>
      <c r="AQ83" s="79"/>
      <c r="AR83" s="152"/>
      <c r="AS83" s="152"/>
      <c r="AT83" s="152"/>
      <c r="AU83" s="152"/>
      <c r="AV83" s="152"/>
      <c r="AW83" s="152"/>
      <c r="AX83" s="152"/>
      <c r="AY83" s="152"/>
      <c r="AZ83" s="152"/>
      <c r="BA83" s="152"/>
      <c r="BB83" s="153"/>
      <c r="BC83" s="153"/>
      <c r="BD83" s="153"/>
      <c r="BE83" s="153"/>
      <c r="BF83" s="153"/>
      <c r="BG83" s="153"/>
      <c r="BH83" s="153"/>
      <c r="BO83"/>
      <c r="BP83"/>
      <c r="BQ83"/>
      <c r="BR83"/>
      <c r="BS83"/>
      <c r="BT83"/>
      <c r="BV83"/>
      <c r="BW83"/>
      <c r="BX83"/>
      <c r="BY83"/>
      <c r="CB83"/>
      <c r="CC83"/>
      <c r="CD83"/>
      <c r="CE83"/>
      <c r="CF83"/>
      <c r="CI83"/>
      <c r="CJ83"/>
      <c r="CK83"/>
      <c r="CN83"/>
      <c r="CO83"/>
      <c r="CP83"/>
      <c r="CQ83"/>
      <c r="CT83"/>
      <c r="CU83"/>
      <c r="CV83"/>
      <c r="CW83"/>
      <c r="CX83"/>
      <c r="CY83"/>
      <c r="CZ83"/>
      <c r="DA83"/>
      <c r="DC83"/>
      <c r="DD83"/>
      <c r="DE83"/>
      <c r="DJ83"/>
      <c r="DK83"/>
      <c r="DL83"/>
      <c r="DM83"/>
      <c r="DN83"/>
      <c r="DO83"/>
      <c r="DP83"/>
      <c r="DS83"/>
      <c r="DT83"/>
      <c r="DU83"/>
      <c r="DV83"/>
      <c r="DW83"/>
      <c r="DX83"/>
      <c r="DY83"/>
      <c r="EB83"/>
      <c r="EC83"/>
      <c r="ED83"/>
      <c r="EF83"/>
      <c r="EG83"/>
      <c r="EH83"/>
      <c r="EI83"/>
      <c r="EJ83"/>
      <c r="EK83"/>
      <c r="EN83"/>
      <c r="EO83"/>
      <c r="EP83"/>
      <c r="EQ83"/>
      <c r="ER83"/>
      <c r="ES83"/>
      <c r="ET83"/>
      <c r="EW83" s="103">
        <v>76</v>
      </c>
      <c r="EX83" s="105" t="e">
        <f t="shared" ca="1" si="2"/>
        <v>#REF!</v>
      </c>
    </row>
    <row r="84" spans="1:154" ht="15" x14ac:dyDescent="0.25">
      <c r="A84" s="77"/>
      <c r="B84" s="77"/>
      <c r="C84" s="78"/>
      <c r="D84" s="78"/>
      <c r="F84" s="78"/>
      <c r="G84" s="78"/>
      <c r="H84" s="78"/>
      <c r="I84" s="78"/>
      <c r="J84" s="78"/>
      <c r="K84" s="78"/>
      <c r="L84" s="78"/>
      <c r="M84" s="78"/>
      <c r="N84" s="78"/>
      <c r="O84" s="78"/>
      <c r="P84" s="78"/>
      <c r="Q84" s="78"/>
      <c r="R84" s="74"/>
      <c r="S84" s="74"/>
      <c r="T84" s="74"/>
      <c r="U84" s="74"/>
      <c r="V84" s="74"/>
      <c r="W84" s="74"/>
      <c r="X84" s="74"/>
      <c r="Y84" s="74"/>
      <c r="Z84" s="74"/>
      <c r="AA84" s="74"/>
      <c r="AB84" s="74"/>
      <c r="AC84" s="74"/>
      <c r="AD84" s="74"/>
      <c r="AE84" s="74"/>
      <c r="AF84" s="77"/>
      <c r="AG84" s="77"/>
      <c r="AH84" s="77"/>
      <c r="AI84" s="77"/>
      <c r="AJ84" s="77"/>
      <c r="AK84" s="79"/>
      <c r="AL84" s="79"/>
      <c r="AM84" s="79"/>
      <c r="AN84" s="79"/>
      <c r="AO84" s="79"/>
      <c r="AP84" s="79"/>
      <c r="AQ84" s="79"/>
      <c r="AR84" s="152"/>
      <c r="AS84" s="152"/>
      <c r="AT84" s="152"/>
      <c r="AU84" s="152"/>
      <c r="AV84" s="152"/>
      <c r="AW84" s="152"/>
      <c r="AX84" s="152"/>
      <c r="AY84" s="152"/>
      <c r="AZ84" s="152"/>
      <c r="BA84" s="152"/>
      <c r="BB84" s="153"/>
      <c r="BC84" s="153"/>
      <c r="BD84" s="153"/>
      <c r="BE84" s="153"/>
      <c r="BF84" s="153"/>
      <c r="BG84" s="153"/>
      <c r="BH84" s="153"/>
      <c r="BO84"/>
      <c r="BP84"/>
      <c r="BQ84"/>
      <c r="BR84"/>
      <c r="BS84"/>
      <c r="BT84"/>
      <c r="BV84"/>
      <c r="BW84"/>
      <c r="BX84"/>
      <c r="BY84"/>
      <c r="CB84"/>
      <c r="CC84"/>
      <c r="CD84"/>
      <c r="CE84"/>
      <c r="CF84"/>
      <c r="CI84"/>
      <c r="CJ84"/>
      <c r="CK84"/>
      <c r="CN84"/>
      <c r="CO84"/>
      <c r="CP84"/>
      <c r="CQ84"/>
      <c r="CT84"/>
      <c r="CU84"/>
      <c r="CV84"/>
      <c r="CW84"/>
      <c r="CX84"/>
      <c r="CY84"/>
      <c r="CZ84"/>
      <c r="DA84"/>
      <c r="DC84"/>
      <c r="DD84"/>
      <c r="DE84"/>
      <c r="DJ84"/>
      <c r="DK84"/>
      <c r="DL84"/>
      <c r="DM84"/>
      <c r="DN84"/>
      <c r="DO84"/>
      <c r="DP84"/>
      <c r="DS84"/>
      <c r="DT84"/>
      <c r="DU84"/>
      <c r="DV84"/>
      <c r="DW84"/>
      <c r="DX84"/>
      <c r="DY84"/>
      <c r="EB84"/>
      <c r="EC84"/>
      <c r="ED84"/>
      <c r="EF84"/>
      <c r="EG84"/>
      <c r="EH84"/>
      <c r="EI84"/>
      <c r="EJ84"/>
      <c r="EK84"/>
      <c r="EN84"/>
      <c r="EO84"/>
      <c r="EP84"/>
      <c r="EQ84"/>
      <c r="ER84"/>
      <c r="ES84"/>
      <c r="ET84"/>
      <c r="EW84" s="103">
        <v>77</v>
      </c>
      <c r="EX84" s="105" t="e">
        <f t="shared" ca="1" si="2"/>
        <v>#REF!</v>
      </c>
    </row>
    <row r="85" spans="1:154" ht="15" x14ac:dyDescent="0.25">
      <c r="A85" s="77"/>
      <c r="B85" s="77"/>
      <c r="C85" s="78"/>
      <c r="D85" s="78"/>
      <c r="F85" s="78"/>
      <c r="G85" s="78"/>
      <c r="H85" s="78"/>
      <c r="I85" s="78"/>
      <c r="J85" s="78"/>
      <c r="K85" s="78"/>
      <c r="L85" s="78"/>
      <c r="M85" s="78"/>
      <c r="N85" s="78"/>
      <c r="O85" s="78"/>
      <c r="P85" s="78"/>
      <c r="Q85" s="78"/>
      <c r="R85" s="74"/>
      <c r="S85" s="74"/>
      <c r="T85" s="74"/>
      <c r="U85" s="74"/>
      <c r="V85" s="74"/>
      <c r="W85" s="74"/>
      <c r="X85" s="74"/>
      <c r="Y85" s="74"/>
      <c r="Z85" s="74"/>
      <c r="AA85" s="74"/>
      <c r="AB85" s="74"/>
      <c r="AC85" s="74"/>
      <c r="AD85" s="74"/>
      <c r="AE85" s="74"/>
      <c r="AF85" s="77"/>
      <c r="AG85" s="77"/>
      <c r="AH85" s="77"/>
      <c r="AI85" s="77"/>
      <c r="AJ85" s="77"/>
      <c r="AK85" s="79"/>
      <c r="AL85" s="79"/>
      <c r="AM85" s="79"/>
      <c r="AN85" s="79"/>
      <c r="AO85" s="79"/>
      <c r="AP85" s="79"/>
      <c r="AQ85" s="79"/>
      <c r="AR85" s="152"/>
      <c r="AS85" s="152"/>
      <c r="AT85" s="152"/>
      <c r="AU85" s="152"/>
      <c r="AV85" s="152"/>
      <c r="AW85" s="152"/>
      <c r="AX85" s="152"/>
      <c r="AY85" s="152"/>
      <c r="AZ85" s="152"/>
      <c r="BA85" s="152"/>
      <c r="BB85" s="153"/>
      <c r="BC85" s="153"/>
      <c r="BD85" s="153"/>
      <c r="BE85" s="153"/>
      <c r="BF85" s="153"/>
      <c r="BG85" s="153"/>
      <c r="BH85" s="153"/>
      <c r="BI85" s="67"/>
      <c r="BO85"/>
      <c r="BP85"/>
      <c r="BQ85"/>
      <c r="BR85"/>
      <c r="BS85"/>
      <c r="BT85"/>
      <c r="BV85"/>
      <c r="BW85"/>
      <c r="BX85"/>
      <c r="BY85"/>
      <c r="CB85"/>
      <c r="CC85"/>
      <c r="CD85"/>
      <c r="CE85"/>
      <c r="CF85"/>
      <c r="CI85"/>
      <c r="CJ85"/>
      <c r="CK85"/>
      <c r="CN85"/>
      <c r="CO85"/>
      <c r="CP85"/>
      <c r="CQ85"/>
      <c r="CT85"/>
      <c r="CU85"/>
      <c r="CV85"/>
      <c r="CW85"/>
      <c r="CX85"/>
      <c r="CY85"/>
      <c r="CZ85"/>
      <c r="DA85"/>
      <c r="DC85"/>
      <c r="DD85"/>
      <c r="DE85"/>
      <c r="DJ85"/>
      <c r="DK85"/>
      <c r="DL85"/>
      <c r="DM85"/>
      <c r="DN85"/>
      <c r="DO85"/>
      <c r="DP85"/>
      <c r="DS85"/>
      <c r="DT85"/>
      <c r="DU85"/>
      <c r="DV85"/>
      <c r="DW85"/>
      <c r="DX85"/>
      <c r="DY85"/>
      <c r="EB85"/>
      <c r="EC85"/>
      <c r="ED85"/>
      <c r="EF85"/>
      <c r="EG85"/>
      <c r="EH85"/>
      <c r="EI85"/>
      <c r="EJ85"/>
      <c r="EK85"/>
      <c r="EN85"/>
      <c r="EO85"/>
      <c r="EP85"/>
      <c r="EQ85"/>
      <c r="ER85"/>
      <c r="ES85"/>
      <c r="ET85"/>
      <c r="EW85" s="103">
        <v>78</v>
      </c>
      <c r="EX85" s="105" t="e">
        <f t="shared" ca="1" si="2"/>
        <v>#REF!</v>
      </c>
    </row>
    <row r="86" spans="1:154" ht="15" x14ac:dyDescent="0.25">
      <c r="A86" s="77"/>
      <c r="B86" s="77"/>
      <c r="C86" s="78"/>
      <c r="D86" s="78"/>
      <c r="F86" s="78"/>
      <c r="G86" s="78"/>
      <c r="H86" s="78"/>
      <c r="I86" s="78"/>
      <c r="J86" s="78"/>
      <c r="K86" s="78"/>
      <c r="L86" s="78"/>
      <c r="M86" s="78"/>
      <c r="N86" s="78"/>
      <c r="O86" s="78"/>
      <c r="P86" s="78"/>
      <c r="Q86" s="78"/>
      <c r="R86" s="74"/>
      <c r="S86" s="74"/>
      <c r="T86" s="74"/>
      <c r="U86" s="74"/>
      <c r="V86" s="74"/>
      <c r="W86" s="74"/>
      <c r="X86" s="74"/>
      <c r="Y86" s="74"/>
      <c r="Z86" s="74"/>
      <c r="AA86" s="74"/>
      <c r="AB86" s="74"/>
      <c r="AC86" s="74"/>
      <c r="AD86" s="74"/>
      <c r="AE86" s="74"/>
      <c r="AF86" s="77"/>
      <c r="AG86" s="77"/>
      <c r="AH86" s="77"/>
      <c r="AI86" s="77"/>
      <c r="AJ86" s="77"/>
      <c r="AK86" s="79"/>
      <c r="AL86" s="79"/>
      <c r="AM86" s="79"/>
      <c r="AN86" s="79"/>
      <c r="AO86" s="79"/>
      <c r="AP86" s="79"/>
      <c r="AQ86" s="79"/>
      <c r="AR86" s="152"/>
      <c r="AS86" s="152"/>
      <c r="AT86" s="152"/>
      <c r="AU86" s="152"/>
      <c r="AV86" s="152"/>
      <c r="AW86" s="152"/>
      <c r="AX86" s="152"/>
      <c r="AY86" s="152"/>
      <c r="AZ86" s="152"/>
      <c r="BA86" s="152"/>
      <c r="BB86" s="153"/>
      <c r="BC86" s="153"/>
      <c r="BD86" s="153"/>
      <c r="BE86" s="153"/>
      <c r="BF86" s="153"/>
      <c r="BG86" s="153"/>
      <c r="BH86" s="153"/>
      <c r="BI86" s="67"/>
      <c r="BO86"/>
      <c r="BP86"/>
      <c r="BQ86"/>
      <c r="BR86"/>
      <c r="BS86"/>
      <c r="BT86"/>
      <c r="BV86"/>
      <c r="BW86"/>
      <c r="BX86"/>
      <c r="BY86"/>
      <c r="CB86"/>
      <c r="CC86"/>
      <c r="CD86"/>
      <c r="CE86"/>
      <c r="CF86"/>
      <c r="CI86"/>
      <c r="CJ86"/>
      <c r="CK86"/>
      <c r="CN86"/>
      <c r="CO86"/>
      <c r="CP86"/>
      <c r="CQ86"/>
      <c r="CT86"/>
      <c r="CU86"/>
      <c r="CV86"/>
      <c r="CW86"/>
      <c r="CX86"/>
      <c r="CY86"/>
      <c r="CZ86"/>
      <c r="DA86"/>
      <c r="DC86"/>
      <c r="DD86"/>
      <c r="DE86"/>
      <c r="DJ86"/>
      <c r="DK86"/>
      <c r="DL86"/>
      <c r="DM86"/>
      <c r="DN86"/>
      <c r="DO86"/>
      <c r="DP86"/>
      <c r="DS86"/>
      <c r="DT86"/>
      <c r="DU86"/>
      <c r="DV86"/>
      <c r="DW86"/>
      <c r="DX86"/>
      <c r="DY86"/>
      <c r="EB86"/>
      <c r="EC86"/>
      <c r="ED86"/>
      <c r="EF86"/>
      <c r="EG86"/>
      <c r="EH86"/>
      <c r="EI86"/>
      <c r="EJ86"/>
      <c r="EK86"/>
      <c r="EN86"/>
      <c r="EO86"/>
      <c r="EP86"/>
      <c r="EQ86"/>
      <c r="ER86"/>
      <c r="ES86"/>
      <c r="ET86"/>
      <c r="EW86" s="103">
        <v>79</v>
      </c>
      <c r="EX86" s="105" t="e">
        <f t="shared" ca="1" si="2"/>
        <v>#REF!</v>
      </c>
    </row>
    <row r="87" spans="1:154" ht="15" x14ac:dyDescent="0.25">
      <c r="A87" s="77"/>
      <c r="B87" s="77"/>
      <c r="C87" s="78"/>
      <c r="D87" s="78"/>
      <c r="F87" s="78"/>
      <c r="G87" s="78"/>
      <c r="H87" s="78"/>
      <c r="I87" s="78"/>
      <c r="J87" s="78"/>
      <c r="K87" s="78"/>
      <c r="L87" s="78"/>
      <c r="M87" s="78"/>
      <c r="N87" s="78"/>
      <c r="O87" s="78"/>
      <c r="P87" s="78"/>
      <c r="Q87" s="78"/>
      <c r="R87" s="74"/>
      <c r="S87" s="74"/>
      <c r="T87" s="74"/>
      <c r="U87" s="74"/>
      <c r="V87" s="74"/>
      <c r="W87" s="74"/>
      <c r="X87" s="74"/>
      <c r="Y87" s="74"/>
      <c r="Z87" s="74"/>
      <c r="AA87" s="74"/>
      <c r="AB87" s="74"/>
      <c r="AC87" s="74"/>
      <c r="AD87" s="74"/>
      <c r="AE87" s="74"/>
      <c r="AF87" s="77"/>
      <c r="AG87" s="77"/>
      <c r="AH87" s="77"/>
      <c r="AI87" s="77"/>
      <c r="AJ87" s="77"/>
      <c r="AK87" s="79"/>
      <c r="AL87" s="79"/>
      <c r="AM87" s="79"/>
      <c r="AN87" s="79"/>
      <c r="AO87" s="79"/>
      <c r="AP87" s="79"/>
      <c r="AQ87" s="79"/>
      <c r="AR87" s="152"/>
      <c r="AS87" s="152"/>
      <c r="AT87" s="152"/>
      <c r="AU87" s="152"/>
      <c r="AV87" s="152"/>
      <c r="AW87" s="152"/>
      <c r="AX87" s="152"/>
      <c r="AY87" s="152"/>
      <c r="AZ87" s="152"/>
      <c r="BA87" s="152"/>
      <c r="BB87" s="153"/>
      <c r="BC87" s="153"/>
      <c r="BD87" s="153"/>
      <c r="BE87" s="153"/>
      <c r="BF87" s="153"/>
      <c r="BG87" s="153"/>
      <c r="BH87" s="153"/>
      <c r="BI87" s="67"/>
      <c r="BO87"/>
      <c r="BP87"/>
      <c r="BQ87"/>
      <c r="BR87"/>
      <c r="BS87"/>
      <c r="BT87"/>
      <c r="BV87"/>
      <c r="BW87"/>
      <c r="BX87"/>
      <c r="BY87"/>
      <c r="CB87"/>
      <c r="CC87"/>
      <c r="CD87"/>
      <c r="CE87"/>
      <c r="CF87"/>
      <c r="CI87"/>
      <c r="CJ87"/>
      <c r="CK87"/>
      <c r="CN87"/>
      <c r="CO87"/>
      <c r="CP87"/>
      <c r="CQ87"/>
      <c r="CT87"/>
      <c r="CU87"/>
      <c r="CV87"/>
      <c r="CW87"/>
      <c r="CX87"/>
      <c r="CY87"/>
      <c r="CZ87"/>
      <c r="DA87"/>
      <c r="DC87"/>
      <c r="DD87"/>
      <c r="DE87"/>
      <c r="DJ87"/>
      <c r="DK87"/>
      <c r="DL87"/>
      <c r="DM87"/>
      <c r="DN87"/>
      <c r="DO87"/>
      <c r="DP87"/>
      <c r="DS87"/>
      <c r="DT87"/>
      <c r="DU87"/>
      <c r="DV87"/>
      <c r="DW87"/>
      <c r="DX87"/>
      <c r="DY87"/>
      <c r="EB87"/>
      <c r="EC87"/>
      <c r="ED87"/>
      <c r="EF87"/>
      <c r="EG87"/>
      <c r="EH87"/>
      <c r="EI87"/>
      <c r="EJ87"/>
      <c r="EK87"/>
      <c r="EN87"/>
      <c r="EO87"/>
      <c r="EP87"/>
      <c r="EQ87"/>
      <c r="ER87"/>
      <c r="ES87"/>
      <c r="ET87"/>
      <c r="EW87" s="103">
        <v>80</v>
      </c>
      <c r="EX87" s="105" t="e">
        <f t="shared" ca="1" si="2"/>
        <v>#REF!</v>
      </c>
    </row>
    <row r="88" spans="1:154" ht="15" x14ac:dyDescent="0.25">
      <c r="A88" s="77"/>
      <c r="B88" s="77"/>
      <c r="C88" s="78"/>
      <c r="D88" s="78"/>
      <c r="F88" s="78"/>
      <c r="G88" s="78"/>
      <c r="H88" s="78"/>
      <c r="I88" s="78"/>
      <c r="J88" s="78"/>
      <c r="K88" s="78"/>
      <c r="L88" s="78"/>
      <c r="M88" s="78"/>
      <c r="N88" s="78"/>
      <c r="O88" s="78"/>
      <c r="P88" s="78"/>
      <c r="Q88" s="78"/>
      <c r="R88" s="74"/>
      <c r="S88" s="74"/>
      <c r="T88" s="74"/>
      <c r="U88" s="74"/>
      <c r="V88" s="74"/>
      <c r="W88" s="74"/>
      <c r="X88" s="74"/>
      <c r="Y88" s="74"/>
      <c r="Z88" s="74"/>
      <c r="AA88" s="74"/>
      <c r="AB88" s="74"/>
      <c r="AC88" s="74"/>
      <c r="AD88" s="74"/>
      <c r="AE88" s="74"/>
      <c r="AF88" s="77"/>
      <c r="AG88" s="77"/>
      <c r="AH88" s="77"/>
      <c r="AI88" s="77"/>
      <c r="AJ88" s="77"/>
      <c r="AK88" s="79"/>
      <c r="AL88" s="79"/>
      <c r="AM88" s="79"/>
      <c r="AN88" s="79"/>
      <c r="AO88" s="79"/>
      <c r="AP88" s="79"/>
      <c r="AQ88" s="79"/>
      <c r="AR88" s="152"/>
      <c r="AS88" s="152"/>
      <c r="AT88" s="152"/>
      <c r="AU88" s="152"/>
      <c r="AV88" s="152"/>
      <c r="AW88" s="152"/>
      <c r="AX88" s="152"/>
      <c r="AY88" s="152"/>
      <c r="AZ88" s="152"/>
      <c r="BA88" s="152"/>
      <c r="BB88" s="153"/>
      <c r="BC88" s="153"/>
      <c r="BD88" s="153"/>
      <c r="BE88" s="153"/>
      <c r="BF88" s="153"/>
      <c r="BG88" s="153"/>
      <c r="BH88" s="153"/>
      <c r="BO88"/>
      <c r="BP88"/>
      <c r="BQ88"/>
      <c r="BR88"/>
      <c r="BS88"/>
      <c r="BT88"/>
      <c r="BV88"/>
      <c r="BW88"/>
      <c r="BX88"/>
      <c r="BY88"/>
      <c r="CB88"/>
      <c r="CC88"/>
      <c r="CD88"/>
      <c r="CE88"/>
      <c r="CF88"/>
      <c r="CI88"/>
      <c r="CJ88"/>
      <c r="CK88"/>
      <c r="CN88"/>
      <c r="CO88"/>
      <c r="CP88"/>
      <c r="CQ88"/>
      <c r="CT88"/>
      <c r="CU88"/>
      <c r="CV88"/>
      <c r="CW88"/>
      <c r="CX88"/>
      <c r="CY88"/>
      <c r="CZ88"/>
      <c r="DA88"/>
      <c r="DC88"/>
      <c r="DD88"/>
      <c r="DE88"/>
      <c r="DJ88"/>
      <c r="DK88"/>
      <c r="DL88"/>
      <c r="DM88"/>
      <c r="DN88"/>
      <c r="DO88"/>
      <c r="DP88"/>
      <c r="DS88"/>
      <c r="DT88"/>
      <c r="DU88"/>
      <c r="DV88"/>
      <c r="DW88"/>
      <c r="DX88"/>
      <c r="DY88"/>
      <c r="EB88"/>
      <c r="EC88"/>
      <c r="ED88"/>
      <c r="EF88"/>
      <c r="EG88"/>
      <c r="EH88"/>
      <c r="EI88"/>
      <c r="EJ88"/>
      <c r="EK88"/>
      <c r="EN88"/>
      <c r="EO88"/>
      <c r="EP88"/>
      <c r="EQ88"/>
      <c r="ER88"/>
      <c r="ES88"/>
      <c r="ET88"/>
      <c r="EW88" s="103">
        <v>81</v>
      </c>
      <c r="EX88" s="105" t="e">
        <f t="shared" ca="1" si="2"/>
        <v>#REF!</v>
      </c>
    </row>
    <row r="89" spans="1:154" ht="15" x14ac:dyDescent="0.25">
      <c r="A89" s="77"/>
      <c r="B89" s="77"/>
      <c r="C89" s="78"/>
      <c r="D89" s="78"/>
      <c r="F89" s="78"/>
      <c r="G89" s="78"/>
      <c r="H89" s="78"/>
      <c r="I89" s="78"/>
      <c r="J89" s="78"/>
      <c r="K89" s="78"/>
      <c r="L89" s="78"/>
      <c r="M89" s="78"/>
      <c r="N89" s="78"/>
      <c r="O89" s="78"/>
      <c r="P89" s="78"/>
      <c r="Q89" s="78"/>
      <c r="R89" s="74"/>
      <c r="S89" s="74"/>
      <c r="T89" s="74"/>
      <c r="U89" s="74"/>
      <c r="V89" s="74"/>
      <c r="W89" s="74"/>
      <c r="X89" s="74"/>
      <c r="Y89" s="74"/>
      <c r="Z89" s="74"/>
      <c r="AA89" s="74"/>
      <c r="AB89" s="74"/>
      <c r="AC89" s="74"/>
      <c r="AD89" s="74"/>
      <c r="AE89" s="74"/>
      <c r="AF89" s="77"/>
      <c r="AG89" s="77"/>
      <c r="AH89" s="77"/>
      <c r="AI89" s="77"/>
      <c r="AJ89" s="77"/>
      <c r="AK89" s="79"/>
      <c r="AL89" s="79"/>
      <c r="AM89" s="79"/>
      <c r="AN89" s="79"/>
      <c r="AO89" s="79"/>
      <c r="AP89" s="79"/>
      <c r="AQ89" s="79"/>
      <c r="AR89" s="152"/>
      <c r="AS89" s="152"/>
      <c r="AT89" s="152"/>
      <c r="AU89" s="152"/>
      <c r="AV89" s="152"/>
      <c r="AW89" s="152"/>
      <c r="AX89" s="152"/>
      <c r="AY89" s="152"/>
      <c r="AZ89" s="152"/>
      <c r="BA89" s="152"/>
      <c r="BB89" s="153"/>
      <c r="BC89" s="153"/>
      <c r="BD89" s="153"/>
      <c r="BE89" s="153"/>
      <c r="BF89" s="153"/>
      <c r="BG89" s="153"/>
      <c r="BH89" s="153"/>
      <c r="BO89"/>
      <c r="BP89"/>
      <c r="BQ89"/>
      <c r="BR89"/>
      <c r="BS89"/>
      <c r="BT89"/>
      <c r="BV89"/>
      <c r="BW89"/>
      <c r="BX89"/>
      <c r="BY89"/>
      <c r="CB89"/>
      <c r="CC89"/>
      <c r="CD89"/>
      <c r="CE89"/>
      <c r="CF89"/>
      <c r="CI89"/>
      <c r="CJ89"/>
      <c r="CK89"/>
      <c r="CN89"/>
      <c r="CO89"/>
      <c r="CP89"/>
      <c r="CQ89"/>
      <c r="CT89"/>
      <c r="CU89"/>
      <c r="CV89"/>
      <c r="CW89"/>
      <c r="CX89"/>
      <c r="CY89"/>
      <c r="CZ89"/>
      <c r="DA89"/>
      <c r="DC89"/>
      <c r="DD89"/>
      <c r="DE89"/>
      <c r="DJ89"/>
      <c r="DK89"/>
      <c r="DL89"/>
      <c r="DM89"/>
      <c r="DN89"/>
      <c r="DO89"/>
      <c r="DP89"/>
      <c r="DS89"/>
      <c r="DT89"/>
      <c r="DU89"/>
      <c r="DV89"/>
      <c r="DW89"/>
      <c r="DX89"/>
      <c r="DY89"/>
      <c r="EB89"/>
      <c r="EC89"/>
      <c r="ED89"/>
      <c r="EF89"/>
      <c r="EG89"/>
      <c r="EH89"/>
      <c r="EI89"/>
      <c r="EJ89"/>
      <c r="EK89"/>
      <c r="EN89"/>
      <c r="EO89"/>
      <c r="EP89"/>
      <c r="EQ89"/>
      <c r="ER89"/>
      <c r="ES89"/>
      <c r="ET89"/>
      <c r="EW89" s="103">
        <v>82</v>
      </c>
      <c r="EX89" s="105" t="e">
        <f t="shared" ca="1" si="2"/>
        <v>#REF!</v>
      </c>
    </row>
    <row r="90" spans="1:154" ht="15" x14ac:dyDescent="0.25">
      <c r="A90" s="77"/>
      <c r="B90" s="77"/>
      <c r="C90" s="78"/>
      <c r="D90" s="78"/>
      <c r="F90" s="78"/>
      <c r="G90" s="78"/>
      <c r="H90" s="78"/>
      <c r="I90" s="78"/>
      <c r="J90" s="78"/>
      <c r="K90" s="78"/>
      <c r="L90" s="78"/>
      <c r="M90" s="78"/>
      <c r="N90" s="78"/>
      <c r="O90" s="78"/>
      <c r="P90" s="78"/>
      <c r="Q90" s="78"/>
      <c r="R90" s="74"/>
      <c r="S90" s="74"/>
      <c r="T90" s="74"/>
      <c r="U90" s="74"/>
      <c r="V90" s="74"/>
      <c r="W90" s="74"/>
      <c r="X90" s="74"/>
      <c r="Y90" s="74"/>
      <c r="Z90" s="74"/>
      <c r="AA90" s="74"/>
      <c r="AB90" s="74"/>
      <c r="AC90" s="74"/>
      <c r="AD90" s="74"/>
      <c r="AE90" s="74"/>
      <c r="AF90" s="77"/>
      <c r="AG90" s="77"/>
      <c r="AH90" s="77"/>
      <c r="AI90" s="77"/>
      <c r="AJ90" s="77"/>
      <c r="AK90" s="79"/>
      <c r="AL90" s="79"/>
      <c r="AM90" s="79"/>
      <c r="AN90" s="79"/>
      <c r="AO90" s="79"/>
      <c r="AP90" s="79"/>
      <c r="AQ90" s="79"/>
      <c r="AR90" s="152"/>
      <c r="AS90" s="152"/>
      <c r="AT90" s="152"/>
      <c r="AU90" s="152"/>
      <c r="AV90" s="152"/>
      <c r="AW90" s="152"/>
      <c r="AX90" s="152"/>
      <c r="AY90" s="152"/>
      <c r="AZ90" s="152"/>
      <c r="BA90" s="152"/>
      <c r="BB90" s="153"/>
      <c r="BC90" s="153"/>
      <c r="BD90" s="153"/>
      <c r="BE90" s="153"/>
      <c r="BF90" s="153"/>
      <c r="BG90" s="153"/>
      <c r="BH90" s="153"/>
      <c r="BI90" s="67"/>
      <c r="BO90"/>
      <c r="BP90"/>
      <c r="BQ90"/>
      <c r="BR90"/>
      <c r="BS90"/>
      <c r="BT90"/>
      <c r="BV90"/>
      <c r="BW90"/>
      <c r="BX90"/>
      <c r="BY90"/>
      <c r="CB90"/>
      <c r="CC90"/>
      <c r="CD90"/>
      <c r="CE90"/>
      <c r="CF90"/>
      <c r="CI90"/>
      <c r="CJ90"/>
      <c r="CK90"/>
      <c r="CN90"/>
      <c r="CO90"/>
      <c r="CP90"/>
      <c r="CQ90"/>
      <c r="CT90"/>
      <c r="CU90"/>
      <c r="CV90"/>
      <c r="CW90"/>
      <c r="CX90"/>
      <c r="CY90"/>
      <c r="CZ90"/>
      <c r="DA90"/>
      <c r="DC90"/>
      <c r="DD90"/>
      <c r="DE90"/>
      <c r="DJ90"/>
      <c r="DK90"/>
      <c r="DL90"/>
      <c r="DM90"/>
      <c r="DN90"/>
      <c r="DO90"/>
      <c r="DP90"/>
      <c r="DS90"/>
      <c r="DT90"/>
      <c r="DU90"/>
      <c r="DV90"/>
      <c r="DW90"/>
      <c r="DX90"/>
      <c r="DY90"/>
      <c r="EB90"/>
      <c r="EC90"/>
      <c r="ED90"/>
      <c r="EF90"/>
      <c r="EG90"/>
      <c r="EH90"/>
      <c r="EI90"/>
      <c r="EJ90"/>
      <c r="EK90"/>
      <c r="EN90"/>
      <c r="EO90"/>
      <c r="EP90"/>
      <c r="EQ90"/>
      <c r="ER90"/>
      <c r="ES90"/>
      <c r="ET90"/>
      <c r="EW90" s="103">
        <v>83</v>
      </c>
      <c r="EX90" s="105" t="e">
        <f t="shared" ca="1" si="2"/>
        <v>#REF!</v>
      </c>
    </row>
    <row r="91" spans="1:154" ht="15" x14ac:dyDescent="0.25">
      <c r="A91" s="77"/>
      <c r="B91" s="77"/>
      <c r="C91" s="78"/>
      <c r="D91" s="78"/>
      <c r="F91" s="78"/>
      <c r="G91" s="78"/>
      <c r="H91" s="78"/>
      <c r="I91" s="78"/>
      <c r="J91" s="78"/>
      <c r="K91" s="78"/>
      <c r="L91" s="78"/>
      <c r="M91" s="78"/>
      <c r="N91" s="78"/>
      <c r="O91" s="78"/>
      <c r="P91" s="78"/>
      <c r="Q91" s="78"/>
      <c r="R91" s="74"/>
      <c r="S91" s="74"/>
      <c r="T91" s="74"/>
      <c r="U91" s="74"/>
      <c r="V91" s="74"/>
      <c r="W91" s="74"/>
      <c r="X91" s="74"/>
      <c r="Y91" s="74"/>
      <c r="Z91" s="74"/>
      <c r="AA91" s="74"/>
      <c r="AB91" s="74"/>
      <c r="AC91" s="74"/>
      <c r="AD91" s="74"/>
      <c r="AE91" s="74"/>
      <c r="AF91" s="77"/>
      <c r="AG91" s="77"/>
      <c r="AH91" s="77"/>
      <c r="AI91" s="77"/>
      <c r="AJ91" s="77"/>
      <c r="AK91" s="79"/>
      <c r="AL91" s="79"/>
      <c r="AM91" s="79"/>
      <c r="AN91" s="79"/>
      <c r="AO91" s="79"/>
      <c r="AP91" s="79"/>
      <c r="AQ91" s="79"/>
      <c r="AR91" s="152"/>
      <c r="AS91" s="152"/>
      <c r="AT91" s="152"/>
      <c r="AU91" s="152"/>
      <c r="AV91" s="152"/>
      <c r="AW91" s="152"/>
      <c r="AX91" s="152"/>
      <c r="AY91" s="152"/>
      <c r="AZ91" s="152"/>
      <c r="BA91" s="152"/>
      <c r="BB91" s="153"/>
      <c r="BC91" s="153"/>
      <c r="BD91" s="153"/>
      <c r="BE91" s="153"/>
      <c r="BF91" s="153"/>
      <c r="BG91" s="153"/>
      <c r="BH91" s="153"/>
      <c r="BI91" s="67"/>
      <c r="BO91"/>
      <c r="BP91"/>
      <c r="BQ91"/>
      <c r="BR91"/>
      <c r="BS91"/>
      <c r="BT91"/>
      <c r="BV91"/>
      <c r="BW91"/>
      <c r="BX91"/>
      <c r="BY91"/>
      <c r="CB91"/>
      <c r="CC91"/>
      <c r="CD91"/>
      <c r="CE91"/>
      <c r="CF91"/>
      <c r="CI91"/>
      <c r="CJ91"/>
      <c r="CK91"/>
      <c r="CN91"/>
      <c r="CO91"/>
      <c r="CP91"/>
      <c r="CQ91"/>
      <c r="CT91"/>
      <c r="CU91"/>
      <c r="CV91"/>
      <c r="CW91"/>
      <c r="CX91"/>
      <c r="CY91"/>
      <c r="CZ91"/>
      <c r="DA91"/>
      <c r="DC91"/>
      <c r="DD91"/>
      <c r="DE91"/>
      <c r="DJ91"/>
      <c r="DK91"/>
      <c r="DL91"/>
      <c r="DM91"/>
      <c r="DN91"/>
      <c r="DO91"/>
      <c r="DP91"/>
      <c r="DS91"/>
      <c r="DT91"/>
      <c r="DU91"/>
      <c r="DV91"/>
      <c r="DW91"/>
      <c r="DX91"/>
      <c r="DY91"/>
      <c r="EB91"/>
      <c r="EC91"/>
      <c r="ED91"/>
      <c r="EF91"/>
      <c r="EG91"/>
      <c r="EH91"/>
      <c r="EI91"/>
      <c r="EJ91"/>
      <c r="EK91"/>
      <c r="EN91"/>
      <c r="EO91"/>
      <c r="EP91"/>
      <c r="EQ91"/>
      <c r="ER91"/>
      <c r="ES91"/>
      <c r="ET91"/>
      <c r="EW91" s="103">
        <v>84</v>
      </c>
      <c r="EX91" s="105" t="e">
        <f t="shared" ca="1" si="2"/>
        <v>#REF!</v>
      </c>
    </row>
    <row r="92" spans="1:154" ht="15" x14ac:dyDescent="0.25">
      <c r="A92" s="77"/>
      <c r="B92" s="77"/>
      <c r="C92" s="78"/>
      <c r="D92" s="78"/>
      <c r="F92" s="78"/>
      <c r="G92" s="78"/>
      <c r="H92" s="78"/>
      <c r="I92" s="78"/>
      <c r="J92" s="78"/>
      <c r="K92" s="78"/>
      <c r="L92" s="78"/>
      <c r="M92" s="78"/>
      <c r="N92" s="78"/>
      <c r="O92" s="78"/>
      <c r="P92" s="78"/>
      <c r="Q92" s="78"/>
      <c r="R92" s="74"/>
      <c r="S92" s="74"/>
      <c r="T92" s="74"/>
      <c r="U92" s="74"/>
      <c r="V92" s="74"/>
      <c r="W92" s="74"/>
      <c r="X92" s="74"/>
      <c r="Y92" s="74"/>
      <c r="Z92" s="74"/>
      <c r="AA92" s="74"/>
      <c r="AB92" s="74"/>
      <c r="AC92" s="74"/>
      <c r="AD92" s="74"/>
      <c r="AE92" s="74"/>
      <c r="AF92" s="77"/>
      <c r="AG92" s="77"/>
      <c r="AH92" s="77"/>
      <c r="AI92" s="77"/>
      <c r="AJ92" s="77"/>
      <c r="AK92" s="79"/>
      <c r="AL92" s="79"/>
      <c r="AM92" s="79"/>
      <c r="AN92" s="79"/>
      <c r="AO92" s="79"/>
      <c r="AP92" s="79"/>
      <c r="AQ92" s="79"/>
      <c r="AR92" s="152"/>
      <c r="AS92" s="152"/>
      <c r="AT92" s="152"/>
      <c r="AU92" s="152"/>
      <c r="AV92" s="152"/>
      <c r="AW92" s="152"/>
      <c r="AX92" s="152"/>
      <c r="AY92" s="152"/>
      <c r="AZ92" s="152"/>
      <c r="BA92" s="152"/>
      <c r="BB92" s="153"/>
      <c r="BC92" s="153"/>
      <c r="BD92" s="153"/>
      <c r="BE92" s="153"/>
      <c r="BF92" s="153"/>
      <c r="BG92" s="153"/>
      <c r="BH92" s="153"/>
      <c r="BI92" s="67"/>
      <c r="BO92"/>
      <c r="BP92"/>
      <c r="BQ92"/>
      <c r="BR92"/>
      <c r="BS92"/>
      <c r="BT92"/>
      <c r="BV92"/>
      <c r="BW92"/>
      <c r="BX92"/>
      <c r="BY92"/>
      <c r="CB92"/>
      <c r="CC92"/>
      <c r="CD92"/>
      <c r="CE92"/>
      <c r="CF92"/>
      <c r="CI92"/>
      <c r="CJ92"/>
      <c r="CK92"/>
      <c r="CN92"/>
      <c r="CO92"/>
      <c r="CP92"/>
      <c r="CQ92"/>
      <c r="CT92"/>
      <c r="CU92"/>
      <c r="CV92"/>
      <c r="CW92"/>
      <c r="CX92"/>
      <c r="CY92"/>
      <c r="CZ92"/>
      <c r="DA92"/>
      <c r="DC92"/>
      <c r="DD92"/>
      <c r="DE92"/>
      <c r="DJ92"/>
      <c r="DK92"/>
      <c r="DL92"/>
      <c r="DM92"/>
      <c r="DN92"/>
      <c r="DO92"/>
      <c r="DP92"/>
      <c r="DS92"/>
      <c r="DT92"/>
      <c r="DU92"/>
      <c r="DV92"/>
      <c r="DW92"/>
      <c r="DX92"/>
      <c r="DY92"/>
      <c r="EB92"/>
      <c r="EC92"/>
      <c r="ED92"/>
      <c r="EF92"/>
      <c r="EG92"/>
      <c r="EH92"/>
      <c r="EI92"/>
      <c r="EJ92"/>
      <c r="EK92"/>
      <c r="EN92"/>
      <c r="EO92"/>
      <c r="EP92"/>
      <c r="EQ92"/>
      <c r="ER92"/>
      <c r="ES92"/>
      <c r="ET92"/>
      <c r="EW92" s="103">
        <v>85</v>
      </c>
      <c r="EX92" s="105" t="e">
        <f t="shared" ca="1" si="2"/>
        <v>#REF!</v>
      </c>
    </row>
    <row r="93" spans="1:154" ht="15" x14ac:dyDescent="0.25">
      <c r="A93" s="77"/>
      <c r="B93" s="77"/>
      <c r="C93" s="78"/>
      <c r="D93" s="78"/>
      <c r="F93" s="78"/>
      <c r="G93" s="78"/>
      <c r="H93" s="78"/>
      <c r="I93" s="78"/>
      <c r="J93" s="78"/>
      <c r="K93" s="78"/>
      <c r="L93" s="78"/>
      <c r="M93" s="78"/>
      <c r="N93" s="78"/>
      <c r="O93" s="78"/>
      <c r="P93" s="78"/>
      <c r="Q93" s="78"/>
      <c r="R93" s="74"/>
      <c r="S93" s="74"/>
      <c r="T93" s="74"/>
      <c r="U93" s="74"/>
      <c r="V93" s="74"/>
      <c r="W93" s="74"/>
      <c r="X93" s="74"/>
      <c r="Y93" s="74"/>
      <c r="Z93" s="74"/>
      <c r="AA93" s="74"/>
      <c r="AB93" s="74"/>
      <c r="AC93" s="74"/>
      <c r="AD93" s="74"/>
      <c r="AE93" s="74"/>
      <c r="AF93" s="77"/>
      <c r="AG93" s="77"/>
      <c r="AH93" s="77"/>
      <c r="AI93" s="77"/>
      <c r="AJ93" s="77"/>
      <c r="AK93" s="79"/>
      <c r="AL93" s="79"/>
      <c r="AM93" s="79"/>
      <c r="AN93" s="79"/>
      <c r="AO93" s="79"/>
      <c r="AP93" s="79"/>
      <c r="AQ93" s="79"/>
      <c r="AR93" s="152"/>
      <c r="AS93" s="152"/>
      <c r="AT93" s="152"/>
      <c r="AU93" s="152"/>
      <c r="AV93" s="152"/>
      <c r="AW93" s="152"/>
      <c r="AX93" s="152"/>
      <c r="AY93" s="152"/>
      <c r="AZ93" s="152"/>
      <c r="BA93" s="152"/>
      <c r="BB93" s="153"/>
      <c r="BC93" s="153"/>
      <c r="BD93" s="153"/>
      <c r="BE93" s="153"/>
      <c r="BF93" s="153"/>
      <c r="BG93" s="153"/>
      <c r="BH93" s="153"/>
      <c r="BO93"/>
      <c r="BP93"/>
      <c r="BQ93"/>
      <c r="BR93"/>
      <c r="BS93"/>
      <c r="BT93"/>
      <c r="BV93"/>
      <c r="BW93"/>
      <c r="BX93"/>
      <c r="BY93"/>
      <c r="CB93"/>
      <c r="CC93"/>
      <c r="CD93"/>
      <c r="CE93"/>
      <c r="CF93"/>
      <c r="CI93"/>
      <c r="CJ93"/>
      <c r="CK93"/>
      <c r="CN93"/>
      <c r="CO93"/>
      <c r="CP93"/>
      <c r="CQ93"/>
      <c r="CT93"/>
      <c r="CU93"/>
      <c r="CV93"/>
      <c r="CW93"/>
      <c r="CX93"/>
      <c r="CY93"/>
      <c r="CZ93"/>
      <c r="DA93"/>
      <c r="DC93"/>
      <c r="DD93"/>
      <c r="DE93"/>
      <c r="DJ93"/>
      <c r="DK93"/>
      <c r="DL93"/>
      <c r="DM93"/>
      <c r="DN93"/>
      <c r="DO93"/>
      <c r="DP93"/>
      <c r="DS93"/>
      <c r="DT93"/>
      <c r="DU93"/>
      <c r="DV93"/>
      <c r="DW93"/>
      <c r="DX93"/>
      <c r="DY93"/>
      <c r="EB93"/>
      <c r="EC93"/>
      <c r="ED93"/>
      <c r="EF93"/>
      <c r="EG93"/>
      <c r="EH93"/>
      <c r="EI93"/>
      <c r="EJ93"/>
      <c r="EK93"/>
      <c r="EN93"/>
      <c r="EO93"/>
      <c r="EP93"/>
      <c r="EQ93"/>
      <c r="ER93"/>
      <c r="ES93"/>
      <c r="ET93"/>
      <c r="EW93" s="103">
        <v>86</v>
      </c>
      <c r="EX93" s="105" t="e">
        <f t="shared" ca="1" si="2"/>
        <v>#REF!</v>
      </c>
    </row>
    <row r="94" spans="1:154" ht="15" x14ac:dyDescent="0.25">
      <c r="A94" s="77"/>
      <c r="B94" s="77"/>
      <c r="C94" s="78"/>
      <c r="D94" s="78"/>
      <c r="F94" s="78"/>
      <c r="G94" s="78"/>
      <c r="H94" s="78"/>
      <c r="I94" s="78"/>
      <c r="J94" s="78"/>
      <c r="K94" s="78"/>
      <c r="L94" s="78"/>
      <c r="M94" s="78"/>
      <c r="N94" s="78"/>
      <c r="O94" s="78"/>
      <c r="P94" s="78"/>
      <c r="Q94" s="78"/>
      <c r="R94" s="74"/>
      <c r="S94" s="74"/>
      <c r="T94" s="74"/>
      <c r="U94" s="74"/>
      <c r="V94" s="74"/>
      <c r="W94" s="74"/>
      <c r="X94" s="74"/>
      <c r="Y94" s="74"/>
      <c r="Z94" s="74"/>
      <c r="AA94" s="74"/>
      <c r="AB94" s="74"/>
      <c r="AC94" s="74"/>
      <c r="AD94" s="74"/>
      <c r="AE94" s="74"/>
      <c r="AF94" s="77"/>
      <c r="AG94" s="77"/>
      <c r="AH94" s="77"/>
      <c r="AI94" s="77"/>
      <c r="AJ94" s="77"/>
      <c r="AK94" s="79"/>
      <c r="AL94" s="79"/>
      <c r="AM94" s="79"/>
      <c r="AN94" s="79"/>
      <c r="AO94" s="79"/>
      <c r="AP94" s="79"/>
      <c r="AQ94" s="79"/>
      <c r="AR94" s="152"/>
      <c r="AS94" s="152"/>
      <c r="AT94" s="152"/>
      <c r="AU94" s="152"/>
      <c r="AV94" s="152"/>
      <c r="AW94" s="152"/>
      <c r="AX94" s="152"/>
      <c r="AY94" s="152"/>
      <c r="AZ94" s="152"/>
      <c r="BA94" s="152"/>
      <c r="BB94" s="153"/>
      <c r="BC94" s="153"/>
      <c r="BD94" s="153"/>
      <c r="BE94" s="153"/>
      <c r="BF94" s="153"/>
      <c r="BG94" s="153"/>
      <c r="BH94" s="153"/>
      <c r="BO94"/>
      <c r="BP94"/>
      <c r="BQ94"/>
      <c r="BR94"/>
      <c r="BS94"/>
      <c r="BT94"/>
      <c r="BV94"/>
      <c r="BW94"/>
      <c r="BX94"/>
      <c r="BY94"/>
      <c r="CB94"/>
      <c r="CC94"/>
      <c r="CD94"/>
      <c r="CE94"/>
      <c r="CF94"/>
      <c r="CI94"/>
      <c r="CJ94"/>
      <c r="CK94"/>
      <c r="CN94"/>
      <c r="CO94"/>
      <c r="CP94"/>
      <c r="CQ94"/>
      <c r="CT94"/>
      <c r="CU94"/>
      <c r="CV94"/>
      <c r="CW94"/>
      <c r="CX94"/>
      <c r="CY94"/>
      <c r="CZ94"/>
      <c r="DA94"/>
      <c r="DC94"/>
      <c r="DD94"/>
      <c r="DE94"/>
      <c r="DJ94"/>
      <c r="DK94"/>
      <c r="DL94"/>
      <c r="DM94"/>
      <c r="DN94"/>
      <c r="DO94"/>
      <c r="DP94"/>
      <c r="DS94"/>
      <c r="DT94"/>
      <c r="DU94"/>
      <c r="DV94"/>
      <c r="DW94"/>
      <c r="DX94"/>
      <c r="DY94"/>
      <c r="EB94"/>
      <c r="EC94"/>
      <c r="ED94"/>
      <c r="EF94"/>
      <c r="EG94"/>
      <c r="EH94"/>
      <c r="EI94"/>
      <c r="EJ94"/>
      <c r="EK94"/>
      <c r="EN94"/>
      <c r="EO94"/>
      <c r="EP94"/>
      <c r="EQ94"/>
      <c r="ER94"/>
      <c r="ES94"/>
      <c r="ET94"/>
      <c r="EW94" s="103">
        <v>87</v>
      </c>
      <c r="EX94" s="105" t="e">
        <f t="shared" ca="1" si="2"/>
        <v>#REF!</v>
      </c>
    </row>
    <row r="95" spans="1:154" ht="15" x14ac:dyDescent="0.25">
      <c r="A95" s="77"/>
      <c r="B95" s="77"/>
      <c r="C95" s="78"/>
      <c r="D95" s="78"/>
      <c r="F95" s="78"/>
      <c r="G95" s="78"/>
      <c r="H95" s="78"/>
      <c r="I95" s="78"/>
      <c r="J95" s="78"/>
      <c r="K95" s="78"/>
      <c r="L95" s="78"/>
      <c r="M95" s="78"/>
      <c r="N95" s="78"/>
      <c r="O95" s="78"/>
      <c r="P95" s="78"/>
      <c r="Q95" s="78"/>
      <c r="R95" s="74"/>
      <c r="S95" s="74"/>
      <c r="T95" s="74"/>
      <c r="U95" s="74"/>
      <c r="V95" s="74"/>
      <c r="W95" s="74"/>
      <c r="X95" s="74"/>
      <c r="Y95" s="74"/>
      <c r="Z95" s="74"/>
      <c r="AA95" s="74"/>
      <c r="AB95" s="74"/>
      <c r="AC95" s="74"/>
      <c r="AD95" s="74"/>
      <c r="AE95" s="74"/>
      <c r="AF95" s="77"/>
      <c r="AG95" s="77"/>
      <c r="AH95" s="77"/>
      <c r="AI95" s="77"/>
      <c r="AJ95" s="77"/>
      <c r="AK95" s="79"/>
      <c r="AL95" s="79"/>
      <c r="AM95" s="79"/>
      <c r="AN95" s="79"/>
      <c r="AO95" s="79"/>
      <c r="AP95" s="79"/>
      <c r="AQ95" s="79"/>
      <c r="AR95" s="152"/>
      <c r="AS95" s="152"/>
      <c r="AT95" s="152"/>
      <c r="AU95" s="152"/>
      <c r="AV95" s="152"/>
      <c r="AW95" s="152"/>
      <c r="AX95" s="152"/>
      <c r="AY95" s="152"/>
      <c r="AZ95" s="152"/>
      <c r="BA95" s="152"/>
      <c r="BB95" s="153"/>
      <c r="BC95" s="153"/>
      <c r="BD95" s="153"/>
      <c r="BE95" s="153"/>
      <c r="BF95" s="153"/>
      <c r="BG95" s="153"/>
      <c r="BH95" s="153"/>
      <c r="BI95" s="67"/>
      <c r="BO95"/>
      <c r="BP95"/>
      <c r="BQ95"/>
      <c r="BR95"/>
      <c r="BS95"/>
      <c r="BT95"/>
      <c r="BV95"/>
      <c r="BW95"/>
      <c r="BX95"/>
      <c r="BY95"/>
      <c r="CB95"/>
      <c r="CC95"/>
      <c r="CD95"/>
      <c r="CE95"/>
      <c r="CF95"/>
      <c r="CI95"/>
      <c r="CJ95"/>
      <c r="CK95"/>
      <c r="CN95"/>
      <c r="CO95"/>
      <c r="CP95"/>
      <c r="CQ95"/>
      <c r="CT95"/>
      <c r="CU95"/>
      <c r="CV95"/>
      <c r="CW95"/>
      <c r="CX95"/>
      <c r="CY95"/>
      <c r="CZ95"/>
      <c r="DA95"/>
      <c r="DC95"/>
      <c r="DD95"/>
      <c r="DE95"/>
      <c r="DJ95"/>
      <c r="DK95"/>
      <c r="DL95"/>
      <c r="DM95"/>
      <c r="DN95"/>
      <c r="DO95"/>
      <c r="DP95"/>
      <c r="DS95"/>
      <c r="DT95"/>
      <c r="DU95"/>
      <c r="DV95"/>
      <c r="DW95"/>
      <c r="DX95"/>
      <c r="DY95"/>
      <c r="EB95"/>
      <c r="EC95"/>
      <c r="ED95"/>
      <c r="EF95"/>
      <c r="EG95"/>
      <c r="EH95"/>
      <c r="EI95"/>
      <c r="EJ95"/>
      <c r="EK95"/>
      <c r="EN95"/>
      <c r="EO95"/>
      <c r="EP95"/>
      <c r="EQ95"/>
      <c r="ER95"/>
      <c r="ES95"/>
      <c r="ET95"/>
      <c r="EW95" s="103">
        <v>88</v>
      </c>
      <c r="EX95" s="105" t="e">
        <f t="shared" ca="1" si="2"/>
        <v>#REF!</v>
      </c>
    </row>
    <row r="96" spans="1:154" ht="15" x14ac:dyDescent="0.25">
      <c r="A96" s="77"/>
      <c r="B96" s="77"/>
      <c r="C96" s="78"/>
      <c r="D96" s="78"/>
      <c r="F96" s="78"/>
      <c r="G96" s="78"/>
      <c r="H96" s="78"/>
      <c r="I96" s="78"/>
      <c r="J96" s="78"/>
      <c r="K96" s="78"/>
      <c r="L96" s="78"/>
      <c r="M96" s="78"/>
      <c r="N96" s="78"/>
      <c r="O96" s="78"/>
      <c r="P96" s="78"/>
      <c r="Q96" s="78"/>
      <c r="R96" s="74"/>
      <c r="S96" s="74"/>
      <c r="T96" s="74"/>
      <c r="U96" s="74"/>
      <c r="V96" s="74"/>
      <c r="W96" s="74"/>
      <c r="X96" s="74"/>
      <c r="Y96" s="74"/>
      <c r="Z96" s="74"/>
      <c r="AA96" s="74"/>
      <c r="AB96" s="74"/>
      <c r="AC96" s="74"/>
      <c r="AD96" s="74"/>
      <c r="AE96" s="74"/>
      <c r="AF96" s="77"/>
      <c r="AG96" s="77"/>
      <c r="AH96" s="77"/>
      <c r="AI96" s="77"/>
      <c r="AJ96" s="77"/>
      <c r="AK96" s="79"/>
      <c r="AL96" s="79"/>
      <c r="AM96" s="79"/>
      <c r="AN96" s="79"/>
      <c r="AO96" s="79"/>
      <c r="AP96" s="79"/>
      <c r="AQ96" s="79"/>
      <c r="AR96" s="152"/>
      <c r="AS96" s="152"/>
      <c r="AT96" s="152"/>
      <c r="AU96" s="152"/>
      <c r="AV96" s="152"/>
      <c r="AW96" s="152"/>
      <c r="AX96" s="152"/>
      <c r="AY96" s="152"/>
      <c r="AZ96" s="152"/>
      <c r="BA96" s="152"/>
      <c r="BB96" s="153"/>
      <c r="BC96" s="153"/>
      <c r="BD96" s="153"/>
      <c r="BE96" s="153"/>
      <c r="BF96" s="153"/>
      <c r="BG96" s="153"/>
      <c r="BH96" s="153"/>
      <c r="BI96" s="67"/>
      <c r="BO96"/>
      <c r="BP96"/>
      <c r="BQ96"/>
      <c r="BR96"/>
      <c r="BS96"/>
      <c r="BT96"/>
      <c r="BV96"/>
      <c r="BW96"/>
      <c r="BX96"/>
      <c r="BY96"/>
      <c r="CB96"/>
      <c r="CC96"/>
      <c r="CD96"/>
      <c r="CE96"/>
      <c r="CF96"/>
      <c r="CI96"/>
      <c r="CJ96"/>
      <c r="CK96"/>
      <c r="CN96"/>
      <c r="CO96"/>
      <c r="CP96"/>
      <c r="CQ96"/>
      <c r="CT96"/>
      <c r="CU96"/>
      <c r="CV96"/>
      <c r="CW96"/>
      <c r="CX96"/>
      <c r="CY96"/>
      <c r="CZ96"/>
      <c r="DA96"/>
      <c r="DC96"/>
      <c r="DD96"/>
      <c r="DE96"/>
      <c r="DJ96"/>
      <c r="DK96"/>
      <c r="DL96"/>
      <c r="DM96"/>
      <c r="DN96"/>
      <c r="DO96"/>
      <c r="DP96"/>
      <c r="DS96"/>
      <c r="DT96"/>
      <c r="DU96"/>
      <c r="DV96"/>
      <c r="DW96"/>
      <c r="DX96"/>
      <c r="DY96"/>
      <c r="EB96"/>
      <c r="EC96"/>
      <c r="ED96"/>
      <c r="EF96"/>
      <c r="EG96"/>
      <c r="EH96"/>
      <c r="EI96"/>
      <c r="EJ96"/>
      <c r="EK96"/>
      <c r="EN96"/>
      <c r="EO96"/>
      <c r="EP96"/>
      <c r="EQ96"/>
      <c r="ER96"/>
      <c r="ES96"/>
      <c r="ET96"/>
      <c r="EW96" s="103">
        <v>89</v>
      </c>
      <c r="EX96" s="105" t="e">
        <f t="shared" ca="1" si="2"/>
        <v>#REF!</v>
      </c>
    </row>
    <row r="97" spans="1:154" ht="15" x14ac:dyDescent="0.25">
      <c r="A97" s="77"/>
      <c r="B97" s="77"/>
      <c r="C97" s="78"/>
      <c r="D97" s="78"/>
      <c r="F97" s="78"/>
      <c r="G97" s="78"/>
      <c r="H97" s="78"/>
      <c r="I97" s="78"/>
      <c r="J97" s="78"/>
      <c r="K97" s="78"/>
      <c r="L97" s="78"/>
      <c r="M97" s="78"/>
      <c r="N97" s="78"/>
      <c r="O97" s="78"/>
      <c r="P97" s="78"/>
      <c r="Q97" s="78"/>
      <c r="R97" s="74"/>
      <c r="S97" s="74"/>
      <c r="T97" s="74"/>
      <c r="U97" s="74"/>
      <c r="V97" s="74"/>
      <c r="W97" s="74"/>
      <c r="X97" s="74"/>
      <c r="Y97" s="74"/>
      <c r="Z97" s="74"/>
      <c r="AA97" s="74"/>
      <c r="AB97" s="74"/>
      <c r="AC97" s="74"/>
      <c r="AD97" s="74"/>
      <c r="AE97" s="74"/>
      <c r="AF97" s="77"/>
      <c r="AG97" s="77"/>
      <c r="AH97" s="77"/>
      <c r="AI97" s="77"/>
      <c r="AJ97" s="77"/>
      <c r="AK97" s="79"/>
      <c r="AL97" s="79"/>
      <c r="AM97" s="79"/>
      <c r="AN97" s="79"/>
      <c r="AO97" s="79"/>
      <c r="AP97" s="79"/>
      <c r="AQ97" s="79"/>
      <c r="AR97" s="152"/>
      <c r="AS97" s="152"/>
      <c r="AT97" s="152"/>
      <c r="AU97" s="152"/>
      <c r="AV97" s="152"/>
      <c r="AW97" s="152"/>
      <c r="AX97" s="152"/>
      <c r="AY97" s="152"/>
      <c r="AZ97" s="152"/>
      <c r="BA97" s="152"/>
      <c r="BB97" s="153"/>
      <c r="BC97" s="153"/>
      <c r="BD97" s="153"/>
      <c r="BE97" s="153"/>
      <c r="BF97" s="153"/>
      <c r="BG97" s="153"/>
      <c r="BH97" s="153"/>
      <c r="BI97" s="67"/>
      <c r="BO97"/>
      <c r="BP97"/>
      <c r="BQ97"/>
      <c r="BR97"/>
      <c r="BS97"/>
      <c r="BT97"/>
      <c r="BV97"/>
      <c r="BW97"/>
      <c r="BX97"/>
      <c r="BY97"/>
      <c r="CB97"/>
      <c r="CC97"/>
      <c r="CD97"/>
      <c r="CE97"/>
      <c r="CF97"/>
      <c r="CI97"/>
      <c r="CJ97"/>
      <c r="CK97"/>
      <c r="CN97"/>
      <c r="CO97"/>
      <c r="CP97"/>
      <c r="CQ97"/>
      <c r="CT97"/>
      <c r="CU97"/>
      <c r="CV97"/>
      <c r="CW97"/>
      <c r="CX97"/>
      <c r="CY97"/>
      <c r="CZ97"/>
      <c r="DA97"/>
      <c r="DC97"/>
      <c r="DD97"/>
      <c r="DE97"/>
      <c r="DJ97"/>
      <c r="DK97"/>
      <c r="DL97"/>
      <c r="DM97"/>
      <c r="DN97"/>
      <c r="DO97"/>
      <c r="DP97"/>
      <c r="DS97"/>
      <c r="DT97"/>
      <c r="DU97"/>
      <c r="DV97"/>
      <c r="DW97"/>
      <c r="DX97"/>
      <c r="DY97"/>
      <c r="EB97"/>
      <c r="EC97"/>
      <c r="ED97"/>
      <c r="EF97"/>
      <c r="EG97"/>
      <c r="EH97"/>
      <c r="EI97"/>
      <c r="EJ97"/>
      <c r="EK97"/>
      <c r="EN97"/>
      <c r="EO97"/>
      <c r="EP97"/>
      <c r="EQ97"/>
      <c r="ER97"/>
      <c r="ES97"/>
      <c r="ET97"/>
      <c r="EW97" s="103">
        <v>90</v>
      </c>
      <c r="EX97" s="105" t="e">
        <f t="shared" ca="1" si="2"/>
        <v>#REF!</v>
      </c>
    </row>
    <row r="98" spans="1:154" ht="15" x14ac:dyDescent="0.25">
      <c r="A98" s="77"/>
      <c r="B98" s="77"/>
      <c r="C98" s="78"/>
      <c r="D98" s="78"/>
      <c r="F98" s="78"/>
      <c r="G98" s="78"/>
      <c r="H98" s="78"/>
      <c r="I98" s="78"/>
      <c r="J98" s="78"/>
      <c r="K98" s="78"/>
      <c r="L98" s="78"/>
      <c r="M98" s="78"/>
      <c r="N98" s="78"/>
      <c r="O98" s="78"/>
      <c r="P98" s="78"/>
      <c r="Q98" s="78"/>
      <c r="R98" s="74"/>
      <c r="S98" s="74"/>
      <c r="T98" s="74"/>
      <c r="U98" s="74"/>
      <c r="V98" s="74"/>
      <c r="W98" s="74"/>
      <c r="X98" s="74"/>
      <c r="Y98" s="74"/>
      <c r="Z98" s="74"/>
      <c r="AA98" s="74"/>
      <c r="AB98" s="74"/>
      <c r="AC98" s="74"/>
      <c r="AD98" s="74"/>
      <c r="AE98" s="74"/>
      <c r="AF98" s="77"/>
      <c r="AG98" s="77"/>
      <c r="AH98" s="77"/>
      <c r="AI98" s="77"/>
      <c r="AJ98" s="77"/>
      <c r="AK98" s="79"/>
      <c r="AL98" s="79"/>
      <c r="AM98" s="79"/>
      <c r="AN98" s="79"/>
      <c r="AO98" s="79"/>
      <c r="AP98" s="79"/>
      <c r="AQ98" s="79"/>
      <c r="AR98" s="152"/>
      <c r="AS98" s="152"/>
      <c r="AT98" s="152"/>
      <c r="AU98" s="152"/>
      <c r="AV98" s="152"/>
      <c r="AW98" s="152"/>
      <c r="AX98" s="152"/>
      <c r="AY98" s="152"/>
      <c r="AZ98" s="152"/>
      <c r="BA98" s="152"/>
      <c r="BB98" s="153"/>
      <c r="BC98" s="153"/>
      <c r="BD98" s="153"/>
      <c r="BE98" s="153"/>
      <c r="BF98" s="153"/>
      <c r="BG98" s="153"/>
      <c r="BH98" s="153"/>
      <c r="BO98"/>
      <c r="BP98"/>
      <c r="BQ98"/>
      <c r="BR98"/>
      <c r="BS98"/>
      <c r="BT98"/>
      <c r="BV98"/>
      <c r="BW98"/>
      <c r="BX98"/>
      <c r="BY98"/>
      <c r="CB98"/>
      <c r="CC98"/>
      <c r="CD98"/>
      <c r="CE98"/>
      <c r="CF98"/>
      <c r="CI98"/>
      <c r="CJ98"/>
      <c r="CK98"/>
      <c r="CN98"/>
      <c r="CO98"/>
      <c r="CP98"/>
      <c r="CQ98"/>
      <c r="CT98"/>
      <c r="CU98"/>
      <c r="CV98"/>
      <c r="CW98"/>
      <c r="CX98"/>
      <c r="CY98"/>
      <c r="CZ98"/>
      <c r="DA98"/>
      <c r="DC98"/>
      <c r="DD98"/>
      <c r="DE98"/>
      <c r="DJ98"/>
      <c r="DK98"/>
      <c r="DL98"/>
      <c r="DM98"/>
      <c r="DN98"/>
      <c r="DO98"/>
      <c r="DP98"/>
      <c r="DS98"/>
      <c r="DT98"/>
      <c r="DU98"/>
      <c r="DV98"/>
      <c r="DW98"/>
      <c r="DX98"/>
      <c r="DY98"/>
      <c r="EB98"/>
      <c r="EC98"/>
      <c r="ED98"/>
      <c r="EF98"/>
      <c r="EG98"/>
      <c r="EH98"/>
      <c r="EI98"/>
      <c r="EJ98"/>
      <c r="EK98"/>
      <c r="EN98"/>
      <c r="EO98"/>
      <c r="EP98"/>
      <c r="EQ98"/>
      <c r="ER98"/>
      <c r="ES98"/>
      <c r="ET98"/>
      <c r="EW98" s="103">
        <v>91</v>
      </c>
      <c r="EX98" s="105" t="e">
        <f t="shared" ca="1" si="2"/>
        <v>#REF!</v>
      </c>
    </row>
    <row r="99" spans="1:154" ht="15" x14ac:dyDescent="0.25">
      <c r="A99" s="77"/>
      <c r="B99" s="77"/>
      <c r="C99" s="78"/>
      <c r="D99" s="78"/>
      <c r="F99" s="78"/>
      <c r="G99" s="78"/>
      <c r="H99" s="78"/>
      <c r="I99" s="78"/>
      <c r="J99" s="78"/>
      <c r="K99" s="78"/>
      <c r="L99" s="78"/>
      <c r="M99" s="78"/>
      <c r="N99" s="78"/>
      <c r="O99" s="78"/>
      <c r="P99" s="78"/>
      <c r="Q99" s="78"/>
      <c r="R99" s="74"/>
      <c r="S99" s="74"/>
      <c r="T99" s="74"/>
      <c r="U99" s="74"/>
      <c r="V99" s="74"/>
      <c r="W99" s="74"/>
      <c r="X99" s="74"/>
      <c r="Y99" s="74"/>
      <c r="Z99" s="74"/>
      <c r="AA99" s="74"/>
      <c r="AB99" s="74"/>
      <c r="AC99" s="74"/>
      <c r="AD99" s="74"/>
      <c r="AE99" s="74"/>
      <c r="AF99" s="77"/>
      <c r="AG99" s="77"/>
      <c r="AH99" s="77"/>
      <c r="AI99" s="77"/>
      <c r="AJ99" s="77"/>
      <c r="AK99" s="79"/>
      <c r="AL99" s="79"/>
      <c r="AM99" s="79"/>
      <c r="AN99" s="79"/>
      <c r="AO99" s="79"/>
      <c r="AP99" s="79"/>
      <c r="AQ99" s="79"/>
      <c r="AR99" s="152"/>
      <c r="AS99" s="152"/>
      <c r="AT99" s="152"/>
      <c r="AU99" s="152"/>
      <c r="AV99" s="152"/>
      <c r="AW99" s="152"/>
      <c r="AX99" s="152"/>
      <c r="AY99" s="152"/>
      <c r="AZ99" s="152"/>
      <c r="BA99" s="152"/>
      <c r="BB99" s="153"/>
      <c r="BC99" s="153"/>
      <c r="BD99" s="153"/>
      <c r="BE99" s="153"/>
      <c r="BF99" s="153"/>
      <c r="BG99" s="153"/>
      <c r="BH99" s="153"/>
      <c r="BO99"/>
      <c r="BP99"/>
      <c r="BQ99"/>
      <c r="BR99"/>
      <c r="BS99"/>
      <c r="BT99"/>
      <c r="BV99"/>
      <c r="BW99"/>
      <c r="BX99"/>
      <c r="BY99"/>
      <c r="CB99"/>
      <c r="CC99"/>
      <c r="CD99"/>
      <c r="CE99"/>
      <c r="CF99"/>
      <c r="CI99"/>
      <c r="CJ99"/>
      <c r="CK99"/>
      <c r="CN99"/>
      <c r="CO99"/>
      <c r="CP99"/>
      <c r="CQ99"/>
      <c r="CT99"/>
      <c r="CU99"/>
      <c r="CV99"/>
      <c r="CW99"/>
      <c r="CX99"/>
      <c r="CY99"/>
      <c r="CZ99"/>
      <c r="DA99"/>
      <c r="DC99"/>
      <c r="DD99"/>
      <c r="DE99"/>
      <c r="DJ99"/>
      <c r="DK99"/>
      <c r="DL99"/>
      <c r="DM99"/>
      <c r="DN99"/>
      <c r="DO99"/>
      <c r="DP99"/>
      <c r="DS99"/>
      <c r="DT99"/>
      <c r="DU99"/>
      <c r="DV99"/>
      <c r="DW99"/>
      <c r="DX99"/>
      <c r="DY99"/>
      <c r="EB99"/>
      <c r="EC99"/>
      <c r="ED99"/>
      <c r="EF99"/>
      <c r="EG99"/>
      <c r="EH99"/>
      <c r="EI99"/>
      <c r="EJ99"/>
      <c r="EK99"/>
      <c r="EN99"/>
      <c r="EO99"/>
      <c r="EP99"/>
      <c r="EQ99"/>
      <c r="ER99"/>
      <c r="ES99"/>
      <c r="ET99"/>
      <c r="EW99" s="103">
        <v>92</v>
      </c>
      <c r="EX99" s="105" t="e">
        <f t="shared" ca="1" si="2"/>
        <v>#REF!</v>
      </c>
    </row>
    <row r="100" spans="1:154" ht="15" x14ac:dyDescent="0.25">
      <c r="A100" s="77"/>
      <c r="B100" s="77"/>
      <c r="C100" s="78"/>
      <c r="D100" s="78"/>
      <c r="F100" s="78"/>
      <c r="G100" s="78"/>
      <c r="H100" s="78"/>
      <c r="I100" s="78"/>
      <c r="J100" s="78"/>
      <c r="K100" s="78"/>
      <c r="L100" s="78"/>
      <c r="M100" s="78"/>
      <c r="N100" s="78"/>
      <c r="O100" s="78"/>
      <c r="P100" s="78"/>
      <c r="Q100" s="78"/>
      <c r="R100" s="74"/>
      <c r="S100" s="74"/>
      <c r="T100" s="74"/>
      <c r="U100" s="74"/>
      <c r="V100" s="74"/>
      <c r="W100" s="74"/>
      <c r="X100" s="74"/>
      <c r="Y100" s="74"/>
      <c r="Z100" s="74"/>
      <c r="AA100" s="74"/>
      <c r="AB100" s="74"/>
      <c r="AC100" s="74"/>
      <c r="AD100" s="74"/>
      <c r="AE100" s="74"/>
      <c r="AF100" s="77"/>
      <c r="AG100" s="77"/>
      <c r="AH100" s="77"/>
      <c r="AI100" s="77"/>
      <c r="AJ100" s="77"/>
      <c r="AK100" s="79"/>
      <c r="AL100" s="79"/>
      <c r="AM100" s="79"/>
      <c r="AN100" s="79"/>
      <c r="AO100" s="79"/>
      <c r="AP100" s="79"/>
      <c r="AQ100" s="79"/>
      <c r="AR100" s="152"/>
      <c r="AS100" s="152"/>
      <c r="AT100" s="152"/>
      <c r="AU100" s="152"/>
      <c r="AV100" s="152"/>
      <c r="AW100" s="152"/>
      <c r="AX100" s="152"/>
      <c r="AY100" s="152"/>
      <c r="AZ100" s="152"/>
      <c r="BA100" s="152"/>
      <c r="BB100" s="153"/>
      <c r="BC100" s="153"/>
      <c r="BD100" s="153"/>
      <c r="BE100" s="153"/>
      <c r="BF100" s="153"/>
      <c r="BG100" s="153"/>
      <c r="BH100" s="153"/>
      <c r="BI100" s="67"/>
      <c r="BO100"/>
      <c r="BP100"/>
      <c r="BQ100"/>
      <c r="BR100"/>
      <c r="BS100"/>
      <c r="BT100"/>
      <c r="BV100"/>
      <c r="BW100"/>
      <c r="BX100"/>
      <c r="BY100"/>
      <c r="CB100"/>
      <c r="CC100"/>
      <c r="CD100"/>
      <c r="CE100"/>
      <c r="CF100"/>
      <c r="CI100"/>
      <c r="CJ100"/>
      <c r="CK100"/>
      <c r="CN100"/>
      <c r="CO100"/>
      <c r="CP100"/>
      <c r="CQ100"/>
      <c r="CT100"/>
      <c r="CU100"/>
      <c r="CV100"/>
      <c r="CW100"/>
      <c r="CX100"/>
      <c r="CY100"/>
      <c r="CZ100"/>
      <c r="DA100"/>
      <c r="DC100"/>
      <c r="DD100"/>
      <c r="DE100"/>
      <c r="DJ100"/>
      <c r="DK100"/>
      <c r="DL100"/>
      <c r="DM100"/>
      <c r="DN100"/>
      <c r="DO100"/>
      <c r="DP100"/>
      <c r="DS100"/>
      <c r="DT100"/>
      <c r="DU100"/>
      <c r="DV100"/>
      <c r="DW100"/>
      <c r="DX100"/>
      <c r="DY100"/>
      <c r="EB100"/>
      <c r="EC100"/>
      <c r="ED100"/>
      <c r="EF100"/>
      <c r="EG100"/>
      <c r="EH100"/>
      <c r="EI100"/>
      <c r="EJ100"/>
      <c r="EK100"/>
      <c r="EN100"/>
      <c r="EO100"/>
      <c r="EP100"/>
      <c r="EQ100"/>
      <c r="ER100"/>
      <c r="ES100"/>
      <c r="ET100"/>
      <c r="EW100" s="103">
        <v>93</v>
      </c>
      <c r="EX100" s="105" t="e">
        <f t="shared" ca="1" si="2"/>
        <v>#REF!</v>
      </c>
    </row>
    <row r="101" spans="1:154" ht="15" x14ac:dyDescent="0.25">
      <c r="A101" s="77"/>
      <c r="B101" s="77"/>
      <c r="C101" s="78"/>
      <c r="D101" s="78"/>
      <c r="F101" s="78"/>
      <c r="G101" s="78"/>
      <c r="H101" s="78"/>
      <c r="I101" s="78"/>
      <c r="J101" s="78"/>
      <c r="K101" s="78"/>
      <c r="L101" s="78"/>
      <c r="M101" s="78"/>
      <c r="N101" s="78"/>
      <c r="O101" s="78"/>
      <c r="P101" s="78"/>
      <c r="Q101" s="78"/>
      <c r="R101" s="74"/>
      <c r="S101" s="74"/>
      <c r="T101" s="74"/>
      <c r="U101" s="74"/>
      <c r="V101" s="74"/>
      <c r="W101" s="74"/>
      <c r="X101" s="74"/>
      <c r="Y101" s="74"/>
      <c r="Z101" s="74"/>
      <c r="AA101" s="74"/>
      <c r="AB101" s="74"/>
      <c r="AC101" s="74"/>
      <c r="AD101" s="74"/>
      <c r="AE101" s="74"/>
      <c r="AF101" s="77"/>
      <c r="AG101" s="77"/>
      <c r="AH101" s="77"/>
      <c r="AI101" s="77"/>
      <c r="AJ101" s="77"/>
      <c r="AK101" s="79"/>
      <c r="AL101" s="79"/>
      <c r="AM101" s="79"/>
      <c r="AN101" s="79"/>
      <c r="AO101" s="79"/>
      <c r="AP101" s="79"/>
      <c r="AQ101" s="79"/>
      <c r="AR101" s="152"/>
      <c r="AS101" s="152"/>
      <c r="AT101" s="152"/>
      <c r="AU101" s="152"/>
      <c r="AV101" s="152"/>
      <c r="AW101" s="152"/>
      <c r="AX101" s="152"/>
      <c r="AY101" s="152"/>
      <c r="AZ101" s="152"/>
      <c r="BA101" s="152"/>
      <c r="BB101" s="153"/>
      <c r="BC101" s="153"/>
      <c r="BD101" s="153"/>
      <c r="BE101" s="153"/>
      <c r="BF101" s="153"/>
      <c r="BG101" s="153"/>
      <c r="BH101" s="153"/>
      <c r="BI101" s="67"/>
      <c r="BO101"/>
      <c r="BP101"/>
      <c r="BQ101"/>
      <c r="BR101"/>
      <c r="BS101"/>
      <c r="BT101"/>
      <c r="BV101"/>
      <c r="BW101"/>
      <c r="BX101"/>
      <c r="BY101"/>
      <c r="CB101"/>
      <c r="CC101"/>
      <c r="CD101"/>
      <c r="CE101"/>
      <c r="CF101"/>
      <c r="CI101"/>
      <c r="CJ101"/>
      <c r="CK101"/>
      <c r="CN101"/>
      <c r="CO101"/>
      <c r="CP101"/>
      <c r="CQ101"/>
      <c r="CT101"/>
      <c r="CU101"/>
      <c r="CV101"/>
      <c r="CW101"/>
      <c r="CX101"/>
      <c r="CY101"/>
      <c r="CZ101"/>
      <c r="DA101"/>
      <c r="DC101"/>
      <c r="DD101"/>
      <c r="DE101"/>
      <c r="DJ101"/>
      <c r="DK101"/>
      <c r="DL101"/>
      <c r="DM101"/>
      <c r="DN101"/>
      <c r="DO101"/>
      <c r="DP101"/>
      <c r="DS101"/>
      <c r="DT101"/>
      <c r="DU101"/>
      <c r="DV101"/>
      <c r="DW101"/>
      <c r="DX101"/>
      <c r="DY101"/>
      <c r="EB101"/>
      <c r="EC101"/>
      <c r="ED101"/>
      <c r="EF101"/>
      <c r="EG101"/>
      <c r="EH101"/>
      <c r="EI101"/>
      <c r="EJ101"/>
      <c r="EK101"/>
      <c r="EN101"/>
      <c r="EO101"/>
      <c r="EP101"/>
      <c r="EQ101"/>
      <c r="ER101"/>
      <c r="ES101"/>
      <c r="ET101"/>
      <c r="EW101" s="103">
        <v>94</v>
      </c>
      <c r="EX101" s="105" t="e">
        <f t="shared" ca="1" si="2"/>
        <v>#REF!</v>
      </c>
    </row>
    <row r="102" spans="1:154" ht="15" x14ac:dyDescent="0.25">
      <c r="A102" s="77"/>
      <c r="B102" s="77"/>
      <c r="C102" s="78"/>
      <c r="D102" s="78"/>
      <c r="F102" s="78"/>
      <c r="G102" s="78"/>
      <c r="H102" s="78"/>
      <c r="I102" s="78"/>
      <c r="J102" s="78"/>
      <c r="K102" s="78"/>
      <c r="L102" s="78"/>
      <c r="M102" s="78"/>
      <c r="N102" s="78"/>
      <c r="O102" s="78"/>
      <c r="P102" s="78"/>
      <c r="Q102" s="78"/>
      <c r="R102" s="74"/>
      <c r="S102" s="74"/>
      <c r="T102" s="74"/>
      <c r="U102" s="74"/>
      <c r="V102" s="74"/>
      <c r="W102" s="74"/>
      <c r="X102" s="74"/>
      <c r="Y102" s="74"/>
      <c r="Z102" s="74"/>
      <c r="AA102" s="74"/>
      <c r="AB102" s="74"/>
      <c r="AC102" s="74"/>
      <c r="AD102" s="74"/>
      <c r="AE102" s="74"/>
      <c r="AF102" s="77"/>
      <c r="AG102" s="77"/>
      <c r="AH102" s="77"/>
      <c r="AI102" s="77"/>
      <c r="AJ102" s="77"/>
      <c r="AK102" s="79"/>
      <c r="AL102" s="79"/>
      <c r="AM102" s="79"/>
      <c r="AN102" s="79"/>
      <c r="AO102" s="79"/>
      <c r="AP102" s="79"/>
      <c r="AQ102" s="79"/>
      <c r="AR102" s="152"/>
      <c r="AS102" s="152"/>
      <c r="AT102" s="152"/>
      <c r="AU102" s="152"/>
      <c r="AV102" s="152"/>
      <c r="AW102" s="152"/>
      <c r="AX102" s="152"/>
      <c r="AY102" s="152"/>
      <c r="AZ102" s="152"/>
      <c r="BA102" s="152"/>
      <c r="BB102" s="153"/>
      <c r="BC102" s="153"/>
      <c r="BD102" s="153"/>
      <c r="BE102" s="153"/>
      <c r="BF102" s="153"/>
      <c r="BG102" s="153"/>
      <c r="BH102" s="153"/>
      <c r="BI102" s="67"/>
      <c r="BO102"/>
      <c r="BP102"/>
      <c r="BQ102"/>
      <c r="BR102"/>
      <c r="BS102"/>
      <c r="BT102"/>
      <c r="BV102"/>
      <c r="BW102"/>
      <c r="BX102"/>
      <c r="BY102"/>
      <c r="CB102"/>
      <c r="CC102"/>
      <c r="CD102"/>
      <c r="CE102"/>
      <c r="CF102"/>
      <c r="CI102"/>
      <c r="CJ102"/>
      <c r="CK102"/>
      <c r="CN102"/>
      <c r="CO102"/>
      <c r="CP102"/>
      <c r="CQ102"/>
      <c r="CT102"/>
      <c r="CU102"/>
      <c r="CV102"/>
      <c r="CW102"/>
      <c r="CX102"/>
      <c r="CY102"/>
      <c r="CZ102"/>
      <c r="DA102"/>
      <c r="DC102"/>
      <c r="DD102"/>
      <c r="DE102"/>
      <c r="DJ102"/>
      <c r="DK102"/>
      <c r="DL102"/>
      <c r="DM102"/>
      <c r="DN102"/>
      <c r="DO102"/>
      <c r="DP102"/>
      <c r="DS102"/>
      <c r="DT102"/>
      <c r="DU102"/>
      <c r="DV102"/>
      <c r="DW102"/>
      <c r="DX102"/>
      <c r="DY102"/>
      <c r="EB102"/>
      <c r="EC102"/>
      <c r="ED102"/>
      <c r="EF102"/>
      <c r="EG102"/>
      <c r="EH102"/>
      <c r="EI102"/>
      <c r="EJ102"/>
      <c r="EK102"/>
      <c r="EN102"/>
      <c r="EO102"/>
      <c r="EP102"/>
      <c r="EQ102"/>
      <c r="ER102"/>
      <c r="ES102"/>
      <c r="ET102"/>
      <c r="EW102" s="103">
        <v>95</v>
      </c>
      <c r="EX102" s="105" t="e">
        <f t="shared" ca="1" si="2"/>
        <v>#REF!</v>
      </c>
    </row>
    <row r="103" spans="1:154" ht="15" x14ac:dyDescent="0.25">
      <c r="A103" s="77"/>
      <c r="B103" s="77"/>
      <c r="C103" s="78"/>
      <c r="D103" s="78"/>
      <c r="F103" s="78"/>
      <c r="G103" s="78"/>
      <c r="H103" s="78"/>
      <c r="I103" s="78"/>
      <c r="J103" s="78"/>
      <c r="K103" s="78"/>
      <c r="L103" s="78"/>
      <c r="M103" s="78"/>
      <c r="N103" s="78"/>
      <c r="O103" s="78"/>
      <c r="P103" s="78"/>
      <c r="Q103" s="78"/>
      <c r="R103" s="74"/>
      <c r="S103" s="74"/>
      <c r="T103" s="74"/>
      <c r="U103" s="74"/>
      <c r="V103" s="74"/>
      <c r="W103" s="74"/>
      <c r="X103" s="74"/>
      <c r="Y103" s="74"/>
      <c r="Z103" s="74"/>
      <c r="AA103" s="74"/>
      <c r="AB103" s="74"/>
      <c r="AC103" s="74"/>
      <c r="AD103" s="74"/>
      <c r="AE103" s="74"/>
      <c r="AF103" s="77"/>
      <c r="AG103" s="77"/>
      <c r="AH103" s="77"/>
      <c r="AI103" s="77"/>
      <c r="AJ103" s="77"/>
      <c r="AK103" s="79"/>
      <c r="AL103" s="79"/>
      <c r="AM103" s="79"/>
      <c r="AN103" s="79"/>
      <c r="AO103" s="79"/>
      <c r="AP103" s="79"/>
      <c r="AQ103" s="79"/>
      <c r="AR103" s="152"/>
      <c r="AS103" s="152"/>
      <c r="AT103" s="152"/>
      <c r="AU103" s="152"/>
      <c r="AV103" s="152"/>
      <c r="AW103" s="152"/>
      <c r="AX103" s="152"/>
      <c r="AY103" s="152"/>
      <c r="AZ103" s="152"/>
      <c r="BA103" s="152"/>
      <c r="BB103" s="153"/>
      <c r="BC103" s="153"/>
      <c r="BD103" s="153"/>
      <c r="BE103" s="153"/>
      <c r="BF103" s="153"/>
      <c r="BG103" s="153"/>
      <c r="BH103" s="153"/>
      <c r="BO103"/>
      <c r="BP103"/>
      <c r="BQ103"/>
      <c r="BR103"/>
      <c r="BS103"/>
      <c r="BT103"/>
      <c r="BV103"/>
      <c r="BW103"/>
      <c r="BX103"/>
      <c r="BY103"/>
      <c r="CB103"/>
      <c r="CC103"/>
      <c r="CD103"/>
      <c r="CE103"/>
      <c r="CF103"/>
      <c r="CI103"/>
      <c r="CJ103"/>
      <c r="CK103"/>
      <c r="CN103"/>
      <c r="CO103"/>
      <c r="CP103"/>
      <c r="CQ103"/>
      <c r="CT103"/>
      <c r="CU103"/>
      <c r="CV103"/>
      <c r="CW103"/>
      <c r="CX103"/>
      <c r="CY103"/>
      <c r="CZ103"/>
      <c r="DA103"/>
      <c r="DC103"/>
      <c r="DD103"/>
      <c r="DE103"/>
      <c r="DJ103"/>
      <c r="DK103"/>
      <c r="DL103"/>
      <c r="DM103"/>
      <c r="DN103"/>
      <c r="DO103"/>
      <c r="DP103"/>
      <c r="DS103"/>
      <c r="DT103"/>
      <c r="DU103"/>
      <c r="DV103"/>
      <c r="DW103"/>
      <c r="DX103"/>
      <c r="DY103"/>
      <c r="EB103"/>
      <c r="EC103"/>
      <c r="ED103"/>
      <c r="EF103"/>
      <c r="EG103"/>
      <c r="EH103"/>
      <c r="EI103"/>
      <c r="EJ103"/>
      <c r="EK103"/>
      <c r="EN103"/>
      <c r="EO103"/>
      <c r="EP103"/>
      <c r="EQ103"/>
      <c r="ER103"/>
      <c r="ES103"/>
      <c r="ET103"/>
      <c r="EW103" s="103">
        <v>96</v>
      </c>
      <c r="EX103" s="105" t="e">
        <f ca="1">(COUNTIF(y0_SCIav,"&lt;="&amp;EW103))/(COUNTIF(y0_SCIav,"&lt;="&amp;100))</f>
        <v>#REF!</v>
      </c>
    </row>
    <row r="104" spans="1:154" ht="15" x14ac:dyDescent="0.25">
      <c r="A104" s="77"/>
      <c r="B104" s="77"/>
      <c r="C104" s="78"/>
      <c r="D104" s="78"/>
      <c r="F104" s="78"/>
      <c r="G104" s="78"/>
      <c r="H104" s="78"/>
      <c r="I104" s="78"/>
      <c r="J104" s="78"/>
      <c r="K104" s="78"/>
      <c r="L104" s="78"/>
      <c r="M104" s="78"/>
      <c r="N104" s="78"/>
      <c r="O104" s="78"/>
      <c r="P104" s="78"/>
      <c r="Q104" s="78"/>
      <c r="R104" s="74"/>
      <c r="S104" s="74"/>
      <c r="T104" s="74"/>
      <c r="U104" s="74"/>
      <c r="V104" s="74"/>
      <c r="W104" s="74"/>
      <c r="X104" s="74"/>
      <c r="Y104" s="74"/>
      <c r="Z104" s="74"/>
      <c r="AA104" s="74"/>
      <c r="AB104" s="74"/>
      <c r="AC104" s="74"/>
      <c r="AD104" s="74"/>
      <c r="AE104" s="74"/>
      <c r="AF104" s="77"/>
      <c r="AG104" s="77"/>
      <c r="AH104" s="77"/>
      <c r="AI104" s="77"/>
      <c r="AJ104" s="77"/>
      <c r="AK104" s="79"/>
      <c r="AL104" s="79"/>
      <c r="AM104" s="79"/>
      <c r="AN104" s="79"/>
      <c r="AO104" s="79"/>
      <c r="AP104" s="79"/>
      <c r="AQ104" s="79"/>
      <c r="AR104" s="152"/>
      <c r="AS104" s="152"/>
      <c r="AT104" s="152"/>
      <c r="AU104" s="152"/>
      <c r="AV104" s="152"/>
      <c r="AW104" s="152"/>
      <c r="AX104" s="152"/>
      <c r="AY104" s="152"/>
      <c r="AZ104" s="152"/>
      <c r="BA104" s="152"/>
      <c r="BB104" s="153"/>
      <c r="BC104" s="153"/>
      <c r="BD104" s="153"/>
      <c r="BE104" s="153"/>
      <c r="BF104" s="153"/>
      <c r="BG104" s="153"/>
      <c r="BH104" s="153"/>
      <c r="BO104"/>
      <c r="BP104"/>
      <c r="BQ104"/>
      <c r="BR104"/>
      <c r="BS104"/>
      <c r="BT104"/>
      <c r="BV104"/>
      <c r="BW104"/>
      <c r="BX104"/>
      <c r="BY104"/>
      <c r="CB104"/>
      <c r="CC104"/>
      <c r="CD104"/>
      <c r="CE104"/>
      <c r="CF104"/>
      <c r="CI104"/>
      <c r="CJ104"/>
      <c r="CK104"/>
      <c r="CN104"/>
      <c r="CO104"/>
      <c r="CP104"/>
      <c r="CQ104"/>
      <c r="CT104"/>
      <c r="CU104"/>
      <c r="CV104"/>
      <c r="CW104"/>
      <c r="CX104"/>
      <c r="CY104"/>
      <c r="CZ104"/>
      <c r="DA104"/>
      <c r="DC104"/>
      <c r="DD104"/>
      <c r="DE104"/>
      <c r="DJ104"/>
      <c r="DK104"/>
      <c r="DL104"/>
      <c r="DM104"/>
      <c r="DN104"/>
      <c r="DO104"/>
      <c r="DP104"/>
      <c r="DS104"/>
      <c r="DT104"/>
      <c r="DU104"/>
      <c r="DV104"/>
      <c r="DW104"/>
      <c r="DX104"/>
      <c r="DY104"/>
      <c r="EB104"/>
      <c r="EC104"/>
      <c r="ED104"/>
      <c r="EF104"/>
      <c r="EG104"/>
      <c r="EH104"/>
      <c r="EI104"/>
      <c r="EJ104"/>
      <c r="EK104"/>
      <c r="EN104"/>
      <c r="EO104"/>
      <c r="EP104"/>
      <c r="EQ104"/>
      <c r="ER104"/>
      <c r="ES104"/>
      <c r="ET104"/>
      <c r="EW104" s="103">
        <v>97</v>
      </c>
      <c r="EX104" s="105" t="e">
        <f ca="1">(COUNTIF(y0_SCIav,"&lt;="&amp;EW104))/(COUNTIF(y0_SCIav,"&lt;="&amp;100))</f>
        <v>#REF!</v>
      </c>
    </row>
    <row r="105" spans="1:154" ht="15" x14ac:dyDescent="0.25">
      <c r="A105" s="77"/>
      <c r="B105" s="77"/>
      <c r="C105" s="78"/>
      <c r="D105" s="78"/>
      <c r="F105" s="78"/>
      <c r="G105" s="78"/>
      <c r="H105" s="78"/>
      <c r="I105" s="78"/>
      <c r="J105" s="78"/>
      <c r="K105" s="78"/>
      <c r="L105" s="78"/>
      <c r="M105" s="78"/>
      <c r="N105" s="78"/>
      <c r="O105" s="78"/>
      <c r="P105" s="78"/>
      <c r="Q105" s="78"/>
      <c r="R105" s="74"/>
      <c r="S105" s="74"/>
      <c r="T105" s="74"/>
      <c r="U105" s="74"/>
      <c r="V105" s="74"/>
      <c r="W105" s="74"/>
      <c r="X105" s="74"/>
      <c r="Y105" s="74"/>
      <c r="Z105" s="74"/>
      <c r="AA105" s="74"/>
      <c r="AB105" s="74"/>
      <c r="AC105" s="74"/>
      <c r="AD105" s="74"/>
      <c r="AE105" s="74"/>
      <c r="AF105" s="77"/>
      <c r="AG105" s="77"/>
      <c r="AH105" s="77"/>
      <c r="AI105" s="77"/>
      <c r="AJ105" s="77"/>
      <c r="AK105" s="79"/>
      <c r="AL105" s="79"/>
      <c r="AM105" s="79"/>
      <c r="AN105" s="79"/>
      <c r="AO105" s="79"/>
      <c r="AP105" s="79"/>
      <c r="AQ105" s="79"/>
      <c r="AR105" s="152"/>
      <c r="AS105" s="152"/>
      <c r="AT105" s="152"/>
      <c r="AU105" s="152"/>
      <c r="AV105" s="152"/>
      <c r="AW105" s="152"/>
      <c r="AX105" s="152"/>
      <c r="AY105" s="152"/>
      <c r="AZ105" s="152"/>
      <c r="BA105" s="152"/>
      <c r="BB105" s="153"/>
      <c r="BC105" s="153"/>
      <c r="BD105" s="153"/>
      <c r="BE105" s="153"/>
      <c r="BF105" s="153"/>
      <c r="BG105" s="153"/>
      <c r="BH105" s="153"/>
      <c r="BI105" s="67"/>
      <c r="BO105"/>
      <c r="BP105"/>
      <c r="BQ105"/>
      <c r="BR105"/>
      <c r="BS105"/>
      <c r="BT105"/>
      <c r="BV105"/>
      <c r="BW105"/>
      <c r="BX105"/>
      <c r="BY105"/>
      <c r="CB105"/>
      <c r="CC105"/>
      <c r="CD105"/>
      <c r="CE105"/>
      <c r="CF105"/>
      <c r="CI105"/>
      <c r="CJ105"/>
      <c r="CK105"/>
      <c r="CN105"/>
      <c r="CO105"/>
      <c r="CP105"/>
      <c r="CQ105"/>
      <c r="CT105"/>
      <c r="CU105"/>
      <c r="CV105"/>
      <c r="CW105"/>
      <c r="CX105"/>
      <c r="CY105"/>
      <c r="CZ105"/>
      <c r="DA105"/>
      <c r="DC105"/>
      <c r="DD105"/>
      <c r="DE105"/>
      <c r="DJ105"/>
      <c r="DK105"/>
      <c r="DL105"/>
      <c r="DM105"/>
      <c r="DN105"/>
      <c r="DO105"/>
      <c r="DP105"/>
      <c r="DS105"/>
      <c r="DT105"/>
      <c r="DU105"/>
      <c r="DV105"/>
      <c r="DW105"/>
      <c r="DX105"/>
      <c r="DY105"/>
      <c r="EB105"/>
      <c r="EC105"/>
      <c r="ED105"/>
      <c r="EF105"/>
      <c r="EG105"/>
      <c r="EH105"/>
      <c r="EI105"/>
      <c r="EJ105"/>
      <c r="EK105"/>
      <c r="EN105"/>
      <c r="EO105"/>
      <c r="EP105"/>
      <c r="EQ105"/>
      <c r="ER105"/>
      <c r="ES105"/>
      <c r="ET105"/>
      <c r="EW105" s="103">
        <v>98</v>
      </c>
      <c r="EX105" s="105" t="e">
        <f ca="1">(COUNTIF(y0_SCIav,"&lt;="&amp;EW105))/(COUNTIF(y0_SCIav,"&lt;="&amp;100))</f>
        <v>#REF!</v>
      </c>
    </row>
    <row r="106" spans="1:154" ht="15" x14ac:dyDescent="0.25">
      <c r="A106" s="77"/>
      <c r="B106" s="77"/>
      <c r="C106" s="78"/>
      <c r="D106" s="78"/>
      <c r="F106" s="78"/>
      <c r="G106" s="78"/>
      <c r="H106" s="78"/>
      <c r="I106" s="78"/>
      <c r="J106" s="78"/>
      <c r="K106" s="78"/>
      <c r="L106" s="78"/>
      <c r="M106" s="78"/>
      <c r="N106" s="78"/>
      <c r="O106" s="78"/>
      <c r="P106" s="78"/>
      <c r="Q106" s="78"/>
      <c r="R106" s="74"/>
      <c r="S106" s="74"/>
      <c r="T106" s="74"/>
      <c r="U106" s="74"/>
      <c r="V106" s="74"/>
      <c r="W106" s="74"/>
      <c r="X106" s="74"/>
      <c r="Y106" s="74"/>
      <c r="Z106" s="74"/>
      <c r="AA106" s="74"/>
      <c r="AB106" s="74"/>
      <c r="AC106" s="74"/>
      <c r="AD106" s="74"/>
      <c r="AE106" s="74"/>
      <c r="AF106" s="77"/>
      <c r="AG106" s="77"/>
      <c r="AH106" s="77"/>
      <c r="AI106" s="77"/>
      <c r="AJ106" s="77"/>
      <c r="AK106" s="79"/>
      <c r="AL106" s="79"/>
      <c r="AM106" s="79"/>
      <c r="AN106" s="79"/>
      <c r="AO106" s="79"/>
      <c r="AP106" s="79"/>
      <c r="AQ106" s="79"/>
      <c r="AR106" s="152"/>
      <c r="AS106" s="152"/>
      <c r="AT106" s="152"/>
      <c r="AU106" s="152"/>
      <c r="AV106" s="152"/>
      <c r="AW106" s="152"/>
      <c r="AX106" s="152"/>
      <c r="AY106" s="152"/>
      <c r="AZ106" s="152"/>
      <c r="BA106" s="152"/>
      <c r="BB106" s="153"/>
      <c r="BC106" s="153"/>
      <c r="BD106" s="153"/>
      <c r="BE106" s="153"/>
      <c r="BF106" s="153"/>
      <c r="BG106" s="153"/>
      <c r="BH106" s="153"/>
      <c r="BI106" s="67"/>
      <c r="BO106"/>
      <c r="BP106"/>
      <c r="BQ106"/>
      <c r="BR106"/>
      <c r="BS106"/>
      <c r="BT106"/>
      <c r="BV106"/>
      <c r="BW106"/>
      <c r="BX106"/>
      <c r="BY106"/>
      <c r="CB106"/>
      <c r="CC106"/>
      <c r="CD106"/>
      <c r="CE106"/>
      <c r="CF106"/>
      <c r="CI106"/>
      <c r="CJ106"/>
      <c r="CK106"/>
      <c r="CN106"/>
      <c r="CO106"/>
      <c r="CP106"/>
      <c r="CQ106"/>
      <c r="CT106"/>
      <c r="CU106"/>
      <c r="CV106"/>
      <c r="CW106"/>
      <c r="CX106"/>
      <c r="CY106"/>
      <c r="CZ106"/>
      <c r="DA106"/>
      <c r="DC106"/>
      <c r="DD106"/>
      <c r="DE106"/>
      <c r="DJ106"/>
      <c r="DK106"/>
      <c r="DL106"/>
      <c r="DM106"/>
      <c r="DN106"/>
      <c r="DO106"/>
      <c r="DP106"/>
      <c r="DS106"/>
      <c r="DT106"/>
      <c r="DU106"/>
      <c r="DV106"/>
      <c r="DW106"/>
      <c r="DX106"/>
      <c r="DY106"/>
      <c r="EB106"/>
      <c r="EC106"/>
      <c r="ED106"/>
      <c r="EF106"/>
      <c r="EG106"/>
      <c r="EH106"/>
      <c r="EI106"/>
      <c r="EJ106"/>
      <c r="EK106"/>
      <c r="EN106"/>
      <c r="EO106"/>
      <c r="EP106"/>
      <c r="EQ106"/>
      <c r="ER106"/>
      <c r="ES106"/>
      <c r="ET106"/>
      <c r="EW106" s="103">
        <v>99</v>
      </c>
      <c r="EX106" s="105" t="e">
        <f ca="1">(COUNTIF(y0_SCIav,"&lt;="&amp;EW106))/(COUNTIF(y0_SCIav,"&lt;="&amp;100))</f>
        <v>#REF!</v>
      </c>
    </row>
    <row r="107" spans="1:154" ht="15" x14ac:dyDescent="0.25">
      <c r="A107" s="77"/>
      <c r="B107" s="77"/>
      <c r="C107" s="78"/>
      <c r="D107" s="78"/>
      <c r="F107" s="78"/>
      <c r="G107" s="78"/>
      <c r="H107" s="78"/>
      <c r="I107" s="78"/>
      <c r="J107" s="78"/>
      <c r="K107" s="78"/>
      <c r="L107" s="78"/>
      <c r="M107" s="78"/>
      <c r="N107" s="78"/>
      <c r="O107" s="78"/>
      <c r="P107" s="78"/>
      <c r="Q107" s="78"/>
      <c r="R107" s="74"/>
      <c r="S107" s="74"/>
      <c r="T107" s="74"/>
      <c r="U107" s="74"/>
      <c r="V107" s="74"/>
      <c r="W107" s="74"/>
      <c r="X107" s="74"/>
      <c r="Y107" s="74"/>
      <c r="Z107" s="74"/>
      <c r="AA107" s="74"/>
      <c r="AB107" s="74"/>
      <c r="AC107" s="74"/>
      <c r="AD107" s="74"/>
      <c r="AE107" s="74"/>
      <c r="AF107" s="77"/>
      <c r="AG107" s="77"/>
      <c r="AH107" s="77"/>
      <c r="AI107" s="77"/>
      <c r="AJ107" s="77"/>
      <c r="AK107" s="79"/>
      <c r="AL107" s="79"/>
      <c r="AM107" s="79"/>
      <c r="AN107" s="79"/>
      <c r="AO107" s="79"/>
      <c r="AP107" s="79"/>
      <c r="AQ107" s="79"/>
      <c r="AR107" s="152"/>
      <c r="AS107" s="152"/>
      <c r="AT107" s="152"/>
      <c r="AU107" s="152"/>
      <c r="AV107" s="152"/>
      <c r="AW107" s="152"/>
      <c r="AX107" s="152"/>
      <c r="AY107" s="152"/>
      <c r="AZ107" s="152"/>
      <c r="BA107" s="152"/>
      <c r="BB107" s="153"/>
      <c r="BC107" s="153"/>
      <c r="BD107" s="153"/>
      <c r="BE107" s="153"/>
      <c r="BF107" s="153"/>
      <c r="BG107" s="153"/>
      <c r="BH107" s="153"/>
      <c r="BI107" s="67"/>
      <c r="BO107"/>
      <c r="BP107"/>
      <c r="BQ107"/>
      <c r="BR107"/>
      <c r="BS107"/>
      <c r="BT107"/>
      <c r="BV107"/>
      <c r="BW107"/>
      <c r="BX107"/>
      <c r="BY107"/>
      <c r="CB107"/>
      <c r="CC107"/>
      <c r="CD107"/>
      <c r="CE107"/>
      <c r="CF107"/>
      <c r="CI107"/>
      <c r="CJ107"/>
      <c r="CK107"/>
      <c r="CN107"/>
      <c r="CO107"/>
      <c r="CP107"/>
      <c r="CQ107"/>
      <c r="CT107"/>
      <c r="CU107"/>
      <c r="CV107"/>
      <c r="CW107"/>
      <c r="CX107"/>
      <c r="CY107"/>
      <c r="CZ107"/>
      <c r="DA107"/>
      <c r="DC107"/>
      <c r="DD107"/>
      <c r="DE107"/>
      <c r="DJ107"/>
      <c r="DK107"/>
      <c r="DL107"/>
      <c r="DM107"/>
      <c r="DN107"/>
      <c r="DO107"/>
      <c r="DP107"/>
      <c r="DS107"/>
      <c r="DT107"/>
      <c r="DU107"/>
      <c r="DV107"/>
      <c r="DW107"/>
      <c r="DX107"/>
      <c r="DY107"/>
      <c r="EB107"/>
      <c r="EC107"/>
      <c r="ED107"/>
      <c r="EF107"/>
      <c r="EG107"/>
      <c r="EH107"/>
      <c r="EI107"/>
      <c r="EJ107"/>
      <c r="EK107"/>
      <c r="EN107"/>
      <c r="EO107"/>
      <c r="EP107"/>
      <c r="EQ107"/>
      <c r="ER107"/>
      <c r="ES107"/>
      <c r="ET107"/>
      <c r="EW107" s="103">
        <v>100</v>
      </c>
      <c r="EX107" s="105" t="e">
        <f ca="1">(COUNTIF(y0_SCIav,"&lt;="&amp;EW107))/(COUNTIF(y0_SCIav,"&lt;="&amp;100))</f>
        <v>#REF!</v>
      </c>
    </row>
    <row r="108" spans="1:154" ht="15" x14ac:dyDescent="0.25">
      <c r="A108" s="77"/>
      <c r="B108" s="77"/>
      <c r="C108" s="78"/>
      <c r="D108" s="78"/>
      <c r="F108" s="78"/>
      <c r="G108" s="78"/>
      <c r="H108" s="78"/>
      <c r="I108" s="78"/>
      <c r="J108" s="78"/>
      <c r="K108" s="78"/>
      <c r="L108" s="78"/>
      <c r="M108" s="78"/>
      <c r="N108" s="78"/>
      <c r="O108" s="78"/>
      <c r="P108" s="78"/>
      <c r="Q108" s="78"/>
      <c r="R108" s="74"/>
      <c r="S108" s="74"/>
      <c r="T108" s="74"/>
      <c r="U108" s="74"/>
      <c r="V108" s="74"/>
      <c r="W108" s="74"/>
      <c r="X108" s="74"/>
      <c r="Y108" s="74"/>
      <c r="Z108" s="74"/>
      <c r="AA108" s="74"/>
      <c r="AB108" s="74"/>
      <c r="AC108" s="74"/>
      <c r="AD108" s="74"/>
      <c r="AE108" s="74"/>
      <c r="AF108" s="77"/>
      <c r="AG108" s="77"/>
      <c r="AH108" s="77"/>
      <c r="AI108" s="77"/>
      <c r="AJ108" s="77"/>
      <c r="AK108" s="79"/>
      <c r="AL108" s="79"/>
      <c r="AM108" s="79"/>
      <c r="AN108" s="79"/>
      <c r="AO108" s="79"/>
      <c r="AP108" s="79"/>
      <c r="AQ108" s="79"/>
      <c r="AR108" s="152"/>
      <c r="AS108" s="152"/>
      <c r="AT108" s="152"/>
      <c r="AU108" s="152"/>
      <c r="AV108" s="152"/>
      <c r="AW108" s="152"/>
      <c r="AX108" s="152"/>
      <c r="AY108" s="152"/>
      <c r="AZ108" s="152"/>
      <c r="BA108" s="152"/>
      <c r="BB108" s="153"/>
      <c r="BC108" s="153"/>
      <c r="BD108" s="153"/>
      <c r="BE108" s="153"/>
      <c r="BF108" s="153"/>
      <c r="BG108" s="153"/>
      <c r="BH108" s="153"/>
      <c r="BO108"/>
      <c r="BP108"/>
      <c r="BQ108"/>
      <c r="BR108"/>
      <c r="BS108"/>
      <c r="BT108"/>
      <c r="BV108"/>
      <c r="BW108"/>
      <c r="BX108"/>
      <c r="BY108"/>
      <c r="CB108"/>
      <c r="CC108"/>
      <c r="CD108"/>
      <c r="CE108"/>
      <c r="CF108"/>
      <c r="CI108"/>
      <c r="CJ108"/>
      <c r="CK108"/>
      <c r="CN108"/>
      <c r="CO108"/>
      <c r="CP108"/>
      <c r="CQ108"/>
      <c r="CT108"/>
      <c r="CU108"/>
      <c r="CV108"/>
      <c r="CW108"/>
      <c r="CX108"/>
      <c r="CY108"/>
      <c r="CZ108"/>
      <c r="DA108"/>
      <c r="DC108"/>
      <c r="DD108"/>
      <c r="DE108"/>
      <c r="DJ108"/>
      <c r="DK108"/>
      <c r="DL108"/>
      <c r="DM108"/>
      <c r="DN108"/>
      <c r="DO108"/>
      <c r="DP108"/>
      <c r="DS108"/>
      <c r="DT108"/>
      <c r="DU108"/>
      <c r="DV108"/>
      <c r="DW108"/>
      <c r="DX108"/>
      <c r="DY108"/>
      <c r="EB108"/>
      <c r="EC108"/>
      <c r="ED108"/>
      <c r="EF108"/>
      <c r="EG108"/>
      <c r="EH108"/>
      <c r="EI108"/>
      <c r="EJ108"/>
      <c r="EK108"/>
      <c r="EN108"/>
      <c r="EO108"/>
      <c r="EP108"/>
      <c r="EQ108"/>
      <c r="ER108"/>
      <c r="ES108"/>
      <c r="ET108"/>
    </row>
    <row r="109" spans="1:154" ht="15" x14ac:dyDescent="0.25">
      <c r="A109" s="77"/>
      <c r="B109" s="77"/>
      <c r="C109" s="78"/>
      <c r="D109" s="78"/>
      <c r="F109" s="78"/>
      <c r="G109" s="78"/>
      <c r="H109" s="78"/>
      <c r="I109" s="78"/>
      <c r="J109" s="78"/>
      <c r="K109" s="78"/>
      <c r="L109" s="78"/>
      <c r="M109" s="78"/>
      <c r="N109" s="78"/>
      <c r="O109" s="78"/>
      <c r="P109" s="78"/>
      <c r="Q109" s="78"/>
      <c r="R109" s="74"/>
      <c r="S109" s="74"/>
      <c r="T109" s="74"/>
      <c r="U109" s="74"/>
      <c r="V109" s="74"/>
      <c r="W109" s="74"/>
      <c r="X109" s="74"/>
      <c r="Y109" s="74"/>
      <c r="Z109" s="74"/>
      <c r="AA109" s="74"/>
      <c r="AB109" s="74"/>
      <c r="AC109" s="74"/>
      <c r="AD109" s="74"/>
      <c r="AE109" s="74"/>
      <c r="AF109" s="77"/>
      <c r="AG109" s="77"/>
      <c r="AH109" s="77"/>
      <c r="AI109" s="77"/>
      <c r="AJ109" s="77"/>
      <c r="AK109" s="79"/>
      <c r="AL109" s="79"/>
      <c r="AM109" s="79"/>
      <c r="AN109" s="79"/>
      <c r="AO109" s="79"/>
      <c r="AP109" s="79"/>
      <c r="AQ109" s="79"/>
      <c r="AR109" s="152"/>
      <c r="AS109" s="152"/>
      <c r="AT109" s="152"/>
      <c r="AU109" s="152"/>
      <c r="AV109" s="152"/>
      <c r="AW109" s="152"/>
      <c r="AX109" s="152"/>
      <c r="AY109" s="152"/>
      <c r="AZ109" s="152"/>
      <c r="BA109" s="152"/>
      <c r="BB109" s="153"/>
      <c r="BC109" s="153"/>
      <c r="BD109" s="153"/>
      <c r="BE109" s="153"/>
      <c r="BF109" s="153"/>
      <c r="BG109" s="153"/>
      <c r="BH109" s="153"/>
      <c r="BO109"/>
      <c r="BP109"/>
      <c r="BQ109"/>
      <c r="BR109"/>
      <c r="BS109"/>
      <c r="BT109"/>
      <c r="BV109"/>
      <c r="BW109"/>
      <c r="BX109"/>
      <c r="BY109"/>
      <c r="CB109"/>
      <c r="CC109"/>
      <c r="CD109"/>
      <c r="CE109"/>
      <c r="CF109"/>
      <c r="CI109"/>
      <c r="CJ109"/>
      <c r="CK109"/>
      <c r="CN109"/>
      <c r="CO109"/>
      <c r="CP109"/>
      <c r="CQ109"/>
      <c r="CT109"/>
      <c r="CU109"/>
      <c r="CV109"/>
      <c r="CW109"/>
      <c r="CX109"/>
      <c r="CY109"/>
      <c r="CZ109"/>
      <c r="DA109"/>
      <c r="DC109"/>
      <c r="DD109"/>
      <c r="DE109"/>
      <c r="DJ109"/>
      <c r="DK109"/>
      <c r="DL109"/>
      <c r="DM109"/>
      <c r="DN109"/>
      <c r="DO109"/>
      <c r="DP109"/>
      <c r="DS109"/>
      <c r="DT109"/>
      <c r="DU109"/>
      <c r="DV109"/>
      <c r="DW109"/>
      <c r="DX109"/>
      <c r="DY109"/>
      <c r="EB109"/>
      <c r="EC109"/>
      <c r="ED109"/>
      <c r="EF109"/>
      <c r="EG109"/>
      <c r="EH109"/>
      <c r="EI109"/>
      <c r="EJ109"/>
      <c r="EK109"/>
      <c r="EN109"/>
      <c r="EO109"/>
      <c r="EP109"/>
      <c r="EQ109"/>
      <c r="ER109"/>
      <c r="ES109"/>
      <c r="ET109"/>
    </row>
    <row r="110" spans="1:154" ht="15" x14ac:dyDescent="0.25">
      <c r="A110" s="77"/>
      <c r="B110" s="77"/>
      <c r="C110" s="78"/>
      <c r="D110" s="78"/>
      <c r="F110" s="78"/>
      <c r="G110" s="78"/>
      <c r="H110" s="78"/>
      <c r="I110" s="78"/>
      <c r="J110" s="78"/>
      <c r="K110" s="78"/>
      <c r="L110" s="78"/>
      <c r="M110" s="78"/>
      <c r="N110" s="78"/>
      <c r="O110" s="78"/>
      <c r="P110" s="78"/>
      <c r="Q110" s="78"/>
      <c r="R110" s="74"/>
      <c r="S110" s="74"/>
      <c r="T110" s="74"/>
      <c r="U110" s="74"/>
      <c r="V110" s="74"/>
      <c r="W110" s="74"/>
      <c r="X110" s="74"/>
      <c r="Y110" s="74"/>
      <c r="Z110" s="74"/>
      <c r="AA110" s="74"/>
      <c r="AB110" s="74"/>
      <c r="AC110" s="74"/>
      <c r="AD110" s="74"/>
      <c r="AE110" s="74"/>
      <c r="AF110" s="77"/>
      <c r="AG110" s="77"/>
      <c r="AH110" s="77"/>
      <c r="AI110" s="77"/>
      <c r="AJ110" s="77"/>
      <c r="AK110" s="79"/>
      <c r="AL110" s="79"/>
      <c r="AM110" s="79"/>
      <c r="AN110" s="79"/>
      <c r="AO110" s="79"/>
      <c r="AP110" s="79"/>
      <c r="AQ110" s="79"/>
      <c r="AR110" s="152"/>
      <c r="AS110" s="152"/>
      <c r="AT110" s="152"/>
      <c r="AU110" s="152"/>
      <c r="AV110" s="152"/>
      <c r="AW110" s="152"/>
      <c r="AX110" s="152"/>
      <c r="AY110" s="152"/>
      <c r="AZ110" s="152"/>
      <c r="BA110" s="152"/>
      <c r="BB110" s="153"/>
      <c r="BC110" s="153"/>
      <c r="BD110" s="153"/>
      <c r="BE110" s="153"/>
      <c r="BF110" s="153"/>
      <c r="BG110" s="153"/>
      <c r="BH110" s="153"/>
      <c r="BI110" s="67"/>
      <c r="BO110"/>
      <c r="BP110"/>
      <c r="BQ110"/>
      <c r="BR110"/>
      <c r="BS110"/>
      <c r="BT110"/>
      <c r="BV110"/>
      <c r="BW110"/>
      <c r="BX110"/>
      <c r="BY110"/>
      <c r="CB110"/>
      <c r="CC110"/>
      <c r="CD110"/>
      <c r="CE110"/>
      <c r="CF110"/>
      <c r="CI110"/>
      <c r="CJ110"/>
      <c r="CK110"/>
      <c r="CN110"/>
      <c r="CO110"/>
      <c r="CP110"/>
      <c r="CQ110"/>
      <c r="CT110"/>
      <c r="CU110"/>
      <c r="CV110"/>
      <c r="CW110"/>
      <c r="CX110"/>
      <c r="CY110"/>
      <c r="CZ110"/>
      <c r="DA110"/>
      <c r="DC110"/>
      <c r="DD110"/>
      <c r="DE110"/>
      <c r="DJ110"/>
      <c r="DK110"/>
      <c r="DL110"/>
      <c r="DM110"/>
      <c r="DN110"/>
      <c r="DO110"/>
      <c r="DP110"/>
      <c r="DS110"/>
      <c r="DT110"/>
      <c r="DU110"/>
      <c r="DV110"/>
      <c r="DW110"/>
      <c r="DX110"/>
      <c r="DY110"/>
      <c r="EB110"/>
      <c r="EC110"/>
      <c r="ED110"/>
      <c r="EF110"/>
      <c r="EG110"/>
      <c r="EH110"/>
      <c r="EI110"/>
      <c r="EJ110"/>
      <c r="EK110"/>
      <c r="EN110"/>
      <c r="EO110"/>
      <c r="EP110"/>
      <c r="EQ110"/>
      <c r="ER110"/>
      <c r="ES110"/>
      <c r="ET110"/>
    </row>
    <row r="111" spans="1:154" ht="15" x14ac:dyDescent="0.25">
      <c r="A111" s="77"/>
      <c r="B111" s="77"/>
      <c r="C111" s="78"/>
      <c r="D111" s="78"/>
      <c r="F111" s="78"/>
      <c r="G111" s="78"/>
      <c r="H111" s="78"/>
      <c r="I111" s="78"/>
      <c r="J111" s="78"/>
      <c r="K111" s="78"/>
      <c r="L111" s="78"/>
      <c r="M111" s="78"/>
      <c r="N111" s="78"/>
      <c r="O111" s="78"/>
      <c r="P111" s="78"/>
      <c r="Q111" s="78"/>
      <c r="R111" s="74"/>
      <c r="S111" s="74"/>
      <c r="T111" s="74"/>
      <c r="U111" s="74"/>
      <c r="V111" s="74"/>
      <c r="W111" s="74"/>
      <c r="X111" s="74"/>
      <c r="Y111" s="74"/>
      <c r="Z111" s="74"/>
      <c r="AA111" s="74"/>
      <c r="AB111" s="74"/>
      <c r="AC111" s="74"/>
      <c r="AD111" s="74"/>
      <c r="AE111" s="74"/>
      <c r="AF111" s="77"/>
      <c r="AG111" s="77"/>
      <c r="AH111" s="77"/>
      <c r="AI111" s="77"/>
      <c r="AJ111" s="77"/>
      <c r="AK111" s="79"/>
      <c r="AL111" s="79"/>
      <c r="AM111" s="79"/>
      <c r="AN111" s="79"/>
      <c r="AO111" s="79"/>
      <c r="AP111" s="79"/>
      <c r="AQ111" s="79"/>
      <c r="AR111" s="152"/>
      <c r="AS111" s="152"/>
      <c r="AT111" s="152"/>
      <c r="AU111" s="152"/>
      <c r="AV111" s="152"/>
      <c r="AW111" s="152"/>
      <c r="AX111" s="152"/>
      <c r="AY111" s="152"/>
      <c r="AZ111" s="152"/>
      <c r="BA111" s="152"/>
      <c r="BB111" s="153"/>
      <c r="BC111" s="153"/>
      <c r="BD111" s="153"/>
      <c r="BE111" s="153"/>
      <c r="BF111" s="153"/>
      <c r="BG111" s="153"/>
      <c r="BH111" s="153"/>
      <c r="BI111" s="67"/>
      <c r="BO111"/>
      <c r="BP111"/>
      <c r="BQ111"/>
      <c r="BR111"/>
      <c r="BS111"/>
      <c r="BT111"/>
      <c r="BV111"/>
      <c r="BW111"/>
      <c r="BX111"/>
      <c r="BY111"/>
      <c r="CB111"/>
      <c r="CC111"/>
      <c r="CD111"/>
      <c r="CE111"/>
      <c r="CF111"/>
      <c r="CI111"/>
      <c r="CJ111"/>
      <c r="CK111"/>
      <c r="CN111"/>
      <c r="CO111"/>
      <c r="CP111"/>
      <c r="CQ111"/>
      <c r="CT111"/>
      <c r="CU111"/>
      <c r="CV111"/>
      <c r="CW111"/>
      <c r="CX111"/>
      <c r="CY111"/>
      <c r="CZ111"/>
      <c r="DA111"/>
      <c r="DC111"/>
      <c r="DD111"/>
      <c r="DE111"/>
      <c r="DJ111"/>
      <c r="DK111"/>
      <c r="DL111"/>
      <c r="DM111"/>
      <c r="DN111"/>
      <c r="DO111"/>
      <c r="DP111"/>
      <c r="DS111"/>
      <c r="DT111"/>
      <c r="DU111"/>
      <c r="DV111"/>
      <c r="DW111"/>
      <c r="DX111"/>
      <c r="DY111"/>
      <c r="EB111"/>
      <c r="EC111"/>
      <c r="ED111"/>
      <c r="EF111"/>
      <c r="EG111"/>
      <c r="EH111"/>
      <c r="EI111"/>
      <c r="EJ111"/>
      <c r="EK111"/>
      <c r="EN111"/>
      <c r="EO111"/>
      <c r="EP111"/>
      <c r="EQ111"/>
      <c r="ER111"/>
      <c r="ES111"/>
      <c r="ET111"/>
    </row>
    <row r="112" spans="1:154" ht="15" x14ac:dyDescent="0.25">
      <c r="A112" s="77"/>
      <c r="B112" s="77"/>
      <c r="C112" s="78"/>
      <c r="D112" s="78"/>
      <c r="F112" s="78"/>
      <c r="G112" s="78"/>
      <c r="H112" s="78"/>
      <c r="I112" s="78"/>
      <c r="J112" s="78"/>
      <c r="K112" s="78"/>
      <c r="L112" s="78"/>
      <c r="M112" s="78"/>
      <c r="N112" s="78"/>
      <c r="O112" s="78"/>
      <c r="P112" s="78"/>
      <c r="Q112" s="78"/>
      <c r="R112" s="74"/>
      <c r="S112" s="74"/>
      <c r="T112" s="74"/>
      <c r="U112" s="74"/>
      <c r="V112" s="74"/>
      <c r="W112" s="74"/>
      <c r="X112" s="74"/>
      <c r="Y112" s="74"/>
      <c r="Z112" s="74"/>
      <c r="AA112" s="74"/>
      <c r="AB112" s="74"/>
      <c r="AC112" s="74"/>
      <c r="AD112" s="74"/>
      <c r="AE112" s="74"/>
      <c r="AF112" s="77"/>
      <c r="AG112" s="77"/>
      <c r="AH112" s="77"/>
      <c r="AI112" s="77"/>
      <c r="AJ112" s="77"/>
      <c r="AK112" s="79"/>
      <c r="AL112" s="79"/>
      <c r="AM112" s="79"/>
      <c r="AN112" s="79"/>
      <c r="AO112" s="79"/>
      <c r="AP112" s="79"/>
      <c r="AQ112" s="79"/>
      <c r="AR112" s="152"/>
      <c r="AS112" s="152"/>
      <c r="AT112" s="152"/>
      <c r="AU112" s="152"/>
      <c r="AV112" s="152"/>
      <c r="AW112" s="152"/>
      <c r="AX112" s="152"/>
      <c r="AY112" s="152"/>
      <c r="AZ112" s="152"/>
      <c r="BA112" s="152"/>
      <c r="BB112" s="153"/>
      <c r="BC112" s="153"/>
      <c r="BD112" s="153"/>
      <c r="BE112" s="153"/>
      <c r="BF112" s="153"/>
      <c r="BG112" s="153"/>
      <c r="BH112" s="153"/>
      <c r="BI112" s="67"/>
      <c r="BO112"/>
      <c r="BP112"/>
      <c r="BQ112"/>
      <c r="BR112"/>
      <c r="BS112"/>
      <c r="BT112"/>
      <c r="BV112"/>
      <c r="BW112"/>
      <c r="BX112"/>
      <c r="BY112"/>
      <c r="CB112"/>
      <c r="CC112"/>
      <c r="CD112"/>
      <c r="CE112"/>
      <c r="CF112"/>
      <c r="CI112"/>
      <c r="CJ112"/>
      <c r="CK112"/>
      <c r="CN112"/>
      <c r="CO112"/>
      <c r="CP112"/>
      <c r="CQ112"/>
      <c r="CT112"/>
      <c r="CU112"/>
      <c r="CV112"/>
      <c r="CW112"/>
      <c r="CX112"/>
      <c r="CY112"/>
      <c r="CZ112"/>
      <c r="DA112"/>
      <c r="DC112"/>
      <c r="DD112"/>
      <c r="DE112"/>
      <c r="DJ112"/>
      <c r="DK112"/>
      <c r="DL112"/>
      <c r="DM112"/>
      <c r="DN112"/>
      <c r="DO112"/>
      <c r="DP112"/>
      <c r="DS112"/>
      <c r="DT112"/>
      <c r="DU112"/>
      <c r="DV112"/>
      <c r="DW112"/>
      <c r="DX112"/>
      <c r="DY112"/>
      <c r="EB112"/>
      <c r="EC112"/>
      <c r="ED112"/>
      <c r="EF112"/>
      <c r="EG112"/>
      <c r="EH112"/>
      <c r="EI112"/>
      <c r="EJ112"/>
      <c r="EK112"/>
      <c r="EN112"/>
      <c r="EO112"/>
      <c r="EP112"/>
      <c r="EQ112"/>
      <c r="ER112"/>
      <c r="ES112"/>
      <c r="ET112"/>
    </row>
    <row r="113" spans="1:150" ht="15" x14ac:dyDescent="0.25">
      <c r="A113" s="77"/>
      <c r="B113" s="77"/>
      <c r="C113" s="78"/>
      <c r="D113" s="78"/>
      <c r="F113" s="78"/>
      <c r="G113" s="78"/>
      <c r="H113" s="78"/>
      <c r="I113" s="78"/>
      <c r="J113" s="78"/>
      <c r="K113" s="78"/>
      <c r="L113" s="78"/>
      <c r="M113" s="78"/>
      <c r="N113" s="78"/>
      <c r="O113" s="78"/>
      <c r="P113" s="78"/>
      <c r="Q113" s="78"/>
      <c r="R113" s="74"/>
      <c r="S113" s="74"/>
      <c r="T113" s="74"/>
      <c r="U113" s="74"/>
      <c r="V113" s="74"/>
      <c r="W113" s="74"/>
      <c r="X113" s="74"/>
      <c r="Y113" s="74"/>
      <c r="Z113" s="74"/>
      <c r="AA113" s="74"/>
      <c r="AB113" s="74"/>
      <c r="AC113" s="74"/>
      <c r="AD113" s="74"/>
      <c r="AE113" s="74"/>
      <c r="AF113" s="77"/>
      <c r="AG113" s="77"/>
      <c r="AH113" s="77"/>
      <c r="AI113" s="77"/>
      <c r="AJ113" s="77"/>
      <c r="AK113" s="79"/>
      <c r="AL113" s="79"/>
      <c r="AM113" s="79"/>
      <c r="AN113" s="79"/>
      <c r="AO113" s="79"/>
      <c r="AP113" s="79"/>
      <c r="AQ113" s="79"/>
      <c r="AR113" s="152"/>
      <c r="AS113" s="152"/>
      <c r="AT113" s="152"/>
      <c r="AU113" s="152"/>
      <c r="AV113" s="152"/>
      <c r="AW113" s="152"/>
      <c r="AX113" s="152"/>
      <c r="AY113" s="152"/>
      <c r="AZ113" s="152"/>
      <c r="BA113" s="152"/>
      <c r="BB113" s="153"/>
      <c r="BC113" s="153"/>
      <c r="BD113" s="153"/>
      <c r="BE113" s="153"/>
      <c r="BF113" s="153"/>
      <c r="BG113" s="153"/>
      <c r="BH113" s="153"/>
      <c r="BO113"/>
      <c r="BP113"/>
      <c r="BQ113"/>
      <c r="BR113"/>
      <c r="BS113"/>
      <c r="BT113"/>
      <c r="BV113"/>
      <c r="BW113"/>
      <c r="BX113"/>
      <c r="BY113"/>
      <c r="CB113"/>
      <c r="CC113"/>
      <c r="CD113"/>
      <c r="CE113"/>
      <c r="CF113"/>
      <c r="CI113"/>
      <c r="CJ113"/>
      <c r="CK113"/>
      <c r="CN113"/>
      <c r="CO113"/>
      <c r="CP113"/>
      <c r="CQ113"/>
      <c r="CT113"/>
      <c r="CU113"/>
      <c r="CV113"/>
      <c r="CW113"/>
      <c r="CX113"/>
      <c r="CY113"/>
      <c r="CZ113"/>
      <c r="DA113"/>
      <c r="DC113"/>
      <c r="DD113"/>
      <c r="DE113"/>
      <c r="DJ113"/>
      <c r="DK113"/>
      <c r="DL113"/>
      <c r="DM113"/>
      <c r="DN113"/>
      <c r="DO113"/>
      <c r="DP113"/>
      <c r="DS113"/>
      <c r="DT113"/>
      <c r="DU113"/>
      <c r="DV113"/>
      <c r="DW113"/>
      <c r="DX113"/>
      <c r="DY113"/>
      <c r="EB113"/>
      <c r="EC113"/>
      <c r="ED113"/>
      <c r="EF113"/>
      <c r="EG113"/>
      <c r="EH113"/>
      <c r="EI113"/>
      <c r="EJ113"/>
      <c r="EK113"/>
      <c r="EN113"/>
      <c r="EO113"/>
      <c r="EP113"/>
      <c r="EQ113"/>
      <c r="ER113"/>
      <c r="ES113"/>
      <c r="ET113"/>
    </row>
    <row r="114" spans="1:150" ht="15" x14ac:dyDescent="0.25">
      <c r="A114" s="77"/>
      <c r="B114" s="77"/>
      <c r="C114" s="78"/>
      <c r="D114" s="78"/>
      <c r="F114" s="78"/>
      <c r="G114" s="78"/>
      <c r="H114" s="78"/>
      <c r="I114" s="78"/>
      <c r="J114" s="78"/>
      <c r="K114" s="78"/>
      <c r="L114" s="78"/>
      <c r="M114" s="78"/>
      <c r="N114" s="78"/>
      <c r="O114" s="78"/>
      <c r="P114" s="78"/>
      <c r="Q114" s="78"/>
      <c r="R114" s="74"/>
      <c r="S114" s="74"/>
      <c r="T114" s="74"/>
      <c r="U114" s="74"/>
      <c r="V114" s="74"/>
      <c r="W114" s="74"/>
      <c r="X114" s="74"/>
      <c r="Y114" s="74"/>
      <c r="Z114" s="74"/>
      <c r="AA114" s="74"/>
      <c r="AB114" s="74"/>
      <c r="AC114" s="74"/>
      <c r="AD114" s="74"/>
      <c r="AE114" s="74"/>
      <c r="AF114" s="77"/>
      <c r="AG114" s="77"/>
      <c r="AH114" s="77"/>
      <c r="AI114" s="77"/>
      <c r="AJ114" s="77"/>
      <c r="AK114" s="79"/>
      <c r="AL114" s="79"/>
      <c r="AM114" s="79"/>
      <c r="AN114" s="79"/>
      <c r="AO114" s="79"/>
      <c r="AP114" s="79"/>
      <c r="AQ114" s="79"/>
      <c r="AR114" s="152"/>
      <c r="AS114" s="152"/>
      <c r="AT114" s="152"/>
      <c r="AU114" s="152"/>
      <c r="AV114" s="152"/>
      <c r="AW114" s="152"/>
      <c r="AX114" s="152"/>
      <c r="AY114" s="152"/>
      <c r="AZ114" s="152"/>
      <c r="BA114" s="152"/>
      <c r="BB114" s="153"/>
      <c r="BC114" s="153"/>
      <c r="BD114" s="153"/>
      <c r="BE114" s="153"/>
      <c r="BF114" s="153"/>
      <c r="BG114" s="153"/>
      <c r="BH114" s="153"/>
      <c r="BO114"/>
      <c r="BP114"/>
      <c r="BQ114"/>
      <c r="BR114"/>
      <c r="BS114"/>
      <c r="BT114"/>
      <c r="BV114"/>
      <c r="BW114"/>
      <c r="BX114"/>
      <c r="BY114"/>
      <c r="CB114"/>
      <c r="CC114"/>
      <c r="CD114"/>
      <c r="CE114"/>
      <c r="CF114"/>
      <c r="CI114"/>
      <c r="CJ114"/>
      <c r="CK114"/>
      <c r="CN114"/>
      <c r="CO114"/>
      <c r="CP114"/>
      <c r="CQ114"/>
      <c r="CT114"/>
      <c r="CU114"/>
      <c r="CV114"/>
      <c r="CW114"/>
      <c r="CX114"/>
      <c r="CY114"/>
      <c r="CZ114"/>
      <c r="DA114"/>
      <c r="DC114"/>
      <c r="DD114"/>
      <c r="DE114"/>
      <c r="DJ114"/>
      <c r="DK114"/>
      <c r="DL114"/>
      <c r="DM114"/>
      <c r="DN114"/>
      <c r="DO114"/>
      <c r="DP114"/>
      <c r="DS114"/>
      <c r="DT114"/>
      <c r="DU114"/>
      <c r="DV114"/>
      <c r="DW114"/>
      <c r="DX114"/>
      <c r="DY114"/>
      <c r="EB114"/>
      <c r="EC114"/>
      <c r="ED114"/>
      <c r="EF114"/>
      <c r="EG114"/>
      <c r="EH114"/>
      <c r="EI114"/>
      <c r="EJ114"/>
      <c r="EK114"/>
      <c r="EN114"/>
      <c r="EO114"/>
      <c r="EP114"/>
      <c r="EQ114"/>
      <c r="ER114"/>
      <c r="ES114"/>
      <c r="ET114"/>
    </row>
    <row r="115" spans="1:150" ht="15" x14ac:dyDescent="0.25">
      <c r="A115" s="77"/>
      <c r="B115" s="77"/>
      <c r="C115" s="78"/>
      <c r="D115" s="78"/>
      <c r="F115" s="78"/>
      <c r="G115" s="78"/>
      <c r="H115" s="78"/>
      <c r="I115" s="78"/>
      <c r="J115" s="78"/>
      <c r="K115" s="78"/>
      <c r="L115" s="78"/>
      <c r="M115" s="78"/>
      <c r="N115" s="78"/>
      <c r="O115" s="78"/>
      <c r="P115" s="78"/>
      <c r="Q115" s="78"/>
      <c r="R115" s="74"/>
      <c r="S115" s="74"/>
      <c r="T115" s="74"/>
      <c r="U115" s="74"/>
      <c r="V115" s="74"/>
      <c r="W115" s="74"/>
      <c r="X115" s="74"/>
      <c r="Y115" s="74"/>
      <c r="Z115" s="74"/>
      <c r="AA115" s="74"/>
      <c r="AB115" s="74"/>
      <c r="AC115" s="74"/>
      <c r="AD115" s="74"/>
      <c r="AE115" s="74"/>
      <c r="AF115" s="77"/>
      <c r="AG115" s="77"/>
      <c r="AH115" s="77"/>
      <c r="AI115" s="77"/>
      <c r="AJ115" s="77"/>
      <c r="AK115" s="79"/>
      <c r="AL115" s="79"/>
      <c r="AM115" s="79"/>
      <c r="AN115" s="79"/>
      <c r="AO115" s="79"/>
      <c r="AP115" s="79"/>
      <c r="AQ115" s="79"/>
      <c r="AR115" s="152"/>
      <c r="AS115" s="152"/>
      <c r="AT115" s="152"/>
      <c r="AU115" s="152"/>
      <c r="AV115" s="152"/>
      <c r="AW115" s="152"/>
      <c r="AX115" s="152"/>
      <c r="AY115" s="152"/>
      <c r="AZ115" s="152"/>
      <c r="BA115" s="152"/>
      <c r="BB115" s="153"/>
      <c r="BC115" s="153"/>
      <c r="BD115" s="153"/>
      <c r="BE115" s="153"/>
      <c r="BF115" s="153"/>
      <c r="BG115" s="153"/>
      <c r="BH115" s="153"/>
      <c r="BI115" s="67"/>
      <c r="BO115"/>
      <c r="BP115"/>
      <c r="BQ115"/>
      <c r="BR115"/>
      <c r="BS115"/>
      <c r="BT115"/>
      <c r="BV115"/>
      <c r="BW115"/>
      <c r="BX115"/>
      <c r="BY115"/>
      <c r="CB115"/>
      <c r="CC115"/>
      <c r="CD115"/>
      <c r="CE115"/>
      <c r="CF115"/>
      <c r="CI115"/>
      <c r="CJ115"/>
      <c r="CK115"/>
      <c r="CN115"/>
      <c r="CO115"/>
      <c r="CP115"/>
      <c r="CQ115"/>
      <c r="CT115"/>
      <c r="CU115"/>
      <c r="CV115"/>
      <c r="CW115"/>
      <c r="CX115"/>
      <c r="CY115"/>
      <c r="CZ115"/>
      <c r="DA115"/>
      <c r="DC115"/>
      <c r="DD115"/>
      <c r="DE115"/>
      <c r="DJ115"/>
      <c r="DK115"/>
      <c r="DL115"/>
      <c r="DM115"/>
      <c r="DN115"/>
      <c r="DO115"/>
      <c r="DP115"/>
      <c r="DS115"/>
      <c r="DT115"/>
      <c r="DU115"/>
      <c r="DV115"/>
      <c r="DW115"/>
      <c r="DX115"/>
      <c r="DY115"/>
      <c r="EB115"/>
      <c r="EC115"/>
      <c r="ED115"/>
      <c r="EF115"/>
      <c r="EG115"/>
      <c r="EH115"/>
      <c r="EI115"/>
      <c r="EJ115"/>
      <c r="EK115"/>
      <c r="EN115"/>
      <c r="EO115"/>
      <c r="EP115"/>
      <c r="EQ115"/>
      <c r="ER115"/>
      <c r="ES115"/>
      <c r="ET115"/>
    </row>
    <row r="116" spans="1:150" ht="15" x14ac:dyDescent="0.25">
      <c r="A116" s="77"/>
      <c r="B116" s="77"/>
      <c r="C116" s="78"/>
      <c r="D116" s="78"/>
      <c r="F116" s="78"/>
      <c r="G116" s="78"/>
      <c r="H116" s="78"/>
      <c r="I116" s="78"/>
      <c r="J116" s="78"/>
      <c r="K116" s="78"/>
      <c r="L116" s="78"/>
      <c r="M116" s="78"/>
      <c r="N116" s="78"/>
      <c r="O116" s="78"/>
      <c r="P116" s="78"/>
      <c r="Q116" s="78"/>
      <c r="R116" s="74"/>
      <c r="S116" s="74"/>
      <c r="T116" s="74"/>
      <c r="U116" s="74"/>
      <c r="V116" s="74"/>
      <c r="W116" s="74"/>
      <c r="X116" s="74"/>
      <c r="Y116" s="74"/>
      <c r="Z116" s="74"/>
      <c r="AA116" s="74"/>
      <c r="AB116" s="74"/>
      <c r="AC116" s="74"/>
      <c r="AD116" s="74"/>
      <c r="AE116" s="74"/>
      <c r="AF116" s="77"/>
      <c r="AG116" s="77"/>
      <c r="AH116" s="77"/>
      <c r="AI116" s="77"/>
      <c r="AJ116" s="77"/>
      <c r="AK116" s="79"/>
      <c r="AL116" s="79"/>
      <c r="AM116" s="79"/>
      <c r="AN116" s="79"/>
      <c r="AO116" s="79"/>
      <c r="AP116" s="79"/>
      <c r="AQ116" s="79"/>
      <c r="AR116" s="152"/>
      <c r="AS116" s="152"/>
      <c r="AT116" s="152"/>
      <c r="AU116" s="152"/>
      <c r="AV116" s="152"/>
      <c r="AW116" s="152"/>
      <c r="AX116" s="152"/>
      <c r="AY116" s="152"/>
      <c r="AZ116" s="152"/>
      <c r="BA116" s="152"/>
      <c r="BB116" s="153"/>
      <c r="BC116" s="153"/>
      <c r="BD116" s="153"/>
      <c r="BE116" s="153"/>
      <c r="BF116" s="153"/>
      <c r="BG116" s="153"/>
      <c r="BH116" s="153"/>
      <c r="BI116" s="67"/>
      <c r="BO116"/>
      <c r="BP116"/>
      <c r="BQ116"/>
      <c r="BR116"/>
      <c r="BS116"/>
      <c r="BT116"/>
      <c r="BV116"/>
      <c r="BW116"/>
      <c r="BX116"/>
      <c r="BY116"/>
      <c r="CB116"/>
      <c r="CC116"/>
      <c r="CD116"/>
      <c r="CE116"/>
      <c r="CF116"/>
      <c r="CI116"/>
      <c r="CJ116"/>
      <c r="CK116"/>
      <c r="CN116"/>
      <c r="CO116"/>
      <c r="CP116"/>
      <c r="CQ116"/>
      <c r="CT116"/>
      <c r="CU116"/>
      <c r="CV116"/>
      <c r="CW116"/>
      <c r="CX116"/>
      <c r="CY116"/>
      <c r="CZ116"/>
      <c r="DA116"/>
      <c r="DC116"/>
      <c r="DD116"/>
      <c r="DE116"/>
      <c r="DJ116"/>
      <c r="DK116"/>
      <c r="DL116"/>
      <c r="DM116"/>
      <c r="DN116"/>
      <c r="DO116"/>
      <c r="DP116"/>
      <c r="DS116"/>
      <c r="DT116"/>
      <c r="DU116"/>
      <c r="DV116"/>
      <c r="DW116"/>
      <c r="DX116"/>
      <c r="DY116"/>
      <c r="EB116"/>
      <c r="EC116"/>
      <c r="ED116"/>
      <c r="EF116"/>
      <c r="EG116"/>
      <c r="EH116"/>
      <c r="EI116"/>
      <c r="EJ116"/>
      <c r="EK116"/>
      <c r="EN116"/>
      <c r="EO116"/>
      <c r="EP116"/>
      <c r="EQ116"/>
      <c r="ER116"/>
      <c r="ES116"/>
      <c r="ET116"/>
    </row>
    <row r="117" spans="1:150" ht="15" x14ac:dyDescent="0.25">
      <c r="A117" s="77"/>
      <c r="B117" s="77"/>
      <c r="C117" s="78"/>
      <c r="D117" s="78"/>
      <c r="F117" s="78"/>
      <c r="G117" s="78"/>
      <c r="H117" s="78"/>
      <c r="I117" s="78"/>
      <c r="J117" s="78"/>
      <c r="K117" s="78"/>
      <c r="L117" s="78"/>
      <c r="M117" s="78"/>
      <c r="N117" s="78"/>
      <c r="O117" s="78"/>
      <c r="P117" s="78"/>
      <c r="Q117" s="78"/>
      <c r="R117" s="74"/>
      <c r="S117" s="74"/>
      <c r="T117" s="74"/>
      <c r="U117" s="74"/>
      <c r="V117" s="74"/>
      <c r="W117" s="74"/>
      <c r="X117" s="74"/>
      <c r="Y117" s="74"/>
      <c r="Z117" s="74"/>
      <c r="AA117" s="74"/>
      <c r="AB117" s="74"/>
      <c r="AC117" s="74"/>
      <c r="AD117" s="74"/>
      <c r="AE117" s="74"/>
      <c r="AF117" s="77"/>
      <c r="AG117" s="77"/>
      <c r="AH117" s="77"/>
      <c r="AI117" s="77"/>
      <c r="AJ117" s="77"/>
      <c r="AK117" s="79"/>
      <c r="AL117" s="79"/>
      <c r="AM117" s="79"/>
      <c r="AN117" s="79"/>
      <c r="AO117" s="79"/>
      <c r="AP117" s="79"/>
      <c r="AQ117" s="79"/>
      <c r="AR117" s="152"/>
      <c r="AS117" s="152"/>
      <c r="AT117" s="152"/>
      <c r="AU117" s="152"/>
      <c r="AV117" s="152"/>
      <c r="AW117" s="152"/>
      <c r="AX117" s="152"/>
      <c r="AY117" s="152"/>
      <c r="AZ117" s="152"/>
      <c r="BA117" s="152"/>
      <c r="BB117" s="153"/>
      <c r="BC117" s="153"/>
      <c r="BD117" s="153"/>
      <c r="BE117" s="153"/>
      <c r="BF117" s="153"/>
      <c r="BG117" s="153"/>
      <c r="BH117" s="153"/>
      <c r="BI117" s="67"/>
      <c r="BO117"/>
      <c r="BP117"/>
      <c r="BQ117"/>
      <c r="BR117"/>
      <c r="BS117"/>
      <c r="BT117"/>
      <c r="BV117"/>
      <c r="BW117"/>
      <c r="BX117"/>
      <c r="BY117"/>
      <c r="CB117"/>
      <c r="CC117"/>
      <c r="CD117"/>
      <c r="CE117"/>
      <c r="CF117"/>
      <c r="CI117"/>
      <c r="CJ117"/>
      <c r="CK117"/>
      <c r="CN117"/>
      <c r="CO117"/>
      <c r="CP117"/>
      <c r="CQ117"/>
      <c r="CT117"/>
      <c r="CU117"/>
      <c r="CV117"/>
      <c r="CW117"/>
      <c r="CX117"/>
      <c r="CY117"/>
      <c r="CZ117"/>
      <c r="DA117"/>
      <c r="DC117"/>
      <c r="DD117"/>
      <c r="DE117"/>
      <c r="DJ117"/>
      <c r="DK117"/>
      <c r="DL117"/>
      <c r="DM117"/>
      <c r="DN117"/>
      <c r="DO117"/>
      <c r="DP117"/>
      <c r="DS117"/>
      <c r="DT117"/>
      <c r="DU117"/>
      <c r="DV117"/>
      <c r="DW117"/>
      <c r="DX117"/>
      <c r="DY117"/>
      <c r="EB117"/>
      <c r="EC117"/>
      <c r="ED117"/>
      <c r="EF117"/>
      <c r="EG117"/>
      <c r="EH117"/>
      <c r="EI117"/>
      <c r="EJ117"/>
      <c r="EK117"/>
      <c r="EN117"/>
      <c r="EO117"/>
      <c r="EP117"/>
      <c r="EQ117"/>
      <c r="ER117"/>
      <c r="ES117"/>
      <c r="ET117"/>
    </row>
    <row r="118" spans="1:150" ht="15" x14ac:dyDescent="0.25">
      <c r="A118" s="77"/>
      <c r="B118" s="77"/>
      <c r="C118" s="78"/>
      <c r="D118" s="78"/>
      <c r="F118" s="78"/>
      <c r="G118" s="78"/>
      <c r="H118" s="78"/>
      <c r="I118" s="78"/>
      <c r="J118" s="78"/>
      <c r="K118" s="78"/>
      <c r="L118" s="78"/>
      <c r="M118" s="78"/>
      <c r="N118" s="78"/>
      <c r="O118" s="78"/>
      <c r="P118" s="78"/>
      <c r="Q118" s="78"/>
      <c r="R118" s="74"/>
      <c r="S118" s="74"/>
      <c r="T118" s="74"/>
      <c r="U118" s="74"/>
      <c r="V118" s="74"/>
      <c r="W118" s="74"/>
      <c r="X118" s="74"/>
      <c r="Y118" s="74"/>
      <c r="Z118" s="74"/>
      <c r="AA118" s="74"/>
      <c r="AB118" s="74"/>
      <c r="AC118" s="74"/>
      <c r="AD118" s="74"/>
      <c r="AE118" s="74"/>
      <c r="AF118" s="77"/>
      <c r="AG118" s="77"/>
      <c r="AH118" s="77"/>
      <c r="AI118" s="77"/>
      <c r="AJ118" s="77"/>
      <c r="AK118" s="79"/>
      <c r="AL118" s="79"/>
      <c r="AM118" s="79"/>
      <c r="AN118" s="79"/>
      <c r="AO118" s="79"/>
      <c r="AP118" s="79"/>
      <c r="AQ118" s="79"/>
      <c r="AR118" s="152"/>
      <c r="AS118" s="152"/>
      <c r="AT118" s="152"/>
      <c r="AU118" s="152"/>
      <c r="AV118" s="152"/>
      <c r="AW118" s="152"/>
      <c r="AX118" s="152"/>
      <c r="AY118" s="152"/>
      <c r="AZ118" s="152"/>
      <c r="BA118" s="152"/>
      <c r="BB118" s="153"/>
      <c r="BC118" s="153"/>
      <c r="BD118" s="153"/>
      <c r="BE118" s="153"/>
      <c r="BF118" s="153"/>
      <c r="BG118" s="153"/>
      <c r="BH118" s="153"/>
      <c r="BO118"/>
      <c r="BP118"/>
      <c r="BQ118"/>
      <c r="BR118"/>
      <c r="BS118"/>
      <c r="BT118"/>
      <c r="BV118"/>
      <c r="BW118"/>
      <c r="BX118"/>
      <c r="BY118"/>
      <c r="CB118"/>
      <c r="CC118"/>
      <c r="CD118"/>
      <c r="CE118"/>
      <c r="CF118"/>
      <c r="CI118"/>
      <c r="CJ118"/>
      <c r="CK118"/>
      <c r="CN118"/>
      <c r="CO118"/>
      <c r="CP118"/>
      <c r="CQ118"/>
      <c r="CT118"/>
      <c r="CU118"/>
      <c r="CV118"/>
      <c r="CW118"/>
      <c r="CX118"/>
      <c r="CY118"/>
      <c r="CZ118"/>
      <c r="DA118"/>
      <c r="DC118"/>
      <c r="DD118"/>
      <c r="DE118"/>
      <c r="DJ118"/>
      <c r="DK118"/>
      <c r="DL118"/>
      <c r="DM118"/>
      <c r="DN118"/>
      <c r="DO118"/>
      <c r="DP118"/>
      <c r="DS118"/>
      <c r="DT118"/>
      <c r="DU118"/>
      <c r="DV118"/>
      <c r="DW118"/>
      <c r="DX118"/>
      <c r="DY118"/>
      <c r="EB118"/>
      <c r="EC118"/>
      <c r="ED118"/>
      <c r="EF118"/>
      <c r="EG118"/>
      <c r="EH118"/>
      <c r="EI118"/>
      <c r="EJ118"/>
      <c r="EK118"/>
      <c r="EN118"/>
      <c r="EO118"/>
      <c r="EP118"/>
      <c r="EQ118"/>
      <c r="ER118"/>
      <c r="ES118"/>
      <c r="ET118"/>
    </row>
    <row r="119" spans="1:150" ht="15" x14ac:dyDescent="0.25">
      <c r="A119" s="77"/>
      <c r="B119" s="77"/>
      <c r="C119" s="78"/>
      <c r="D119" s="78"/>
      <c r="F119" s="78"/>
      <c r="G119" s="78"/>
      <c r="H119" s="78"/>
      <c r="I119" s="78"/>
      <c r="J119" s="78"/>
      <c r="K119" s="78"/>
      <c r="L119" s="78"/>
      <c r="M119" s="78"/>
      <c r="N119" s="78"/>
      <c r="O119" s="78"/>
      <c r="P119" s="78"/>
      <c r="Q119" s="78"/>
      <c r="R119" s="74"/>
      <c r="S119" s="74"/>
      <c r="T119" s="74"/>
      <c r="U119" s="74"/>
      <c r="V119" s="74"/>
      <c r="W119" s="74"/>
      <c r="X119" s="74"/>
      <c r="Y119" s="74"/>
      <c r="Z119" s="74"/>
      <c r="AA119" s="74"/>
      <c r="AB119" s="74"/>
      <c r="AC119" s="74"/>
      <c r="AD119" s="74"/>
      <c r="AE119" s="74"/>
      <c r="AF119" s="77"/>
      <c r="AG119" s="77"/>
      <c r="AH119" s="77"/>
      <c r="AI119" s="77"/>
      <c r="AJ119" s="77"/>
      <c r="AK119" s="79"/>
      <c r="AL119" s="79"/>
      <c r="AM119" s="79"/>
      <c r="AN119" s="79"/>
      <c r="AO119" s="79"/>
      <c r="AP119" s="79"/>
      <c r="AQ119" s="79"/>
      <c r="AR119" s="152"/>
      <c r="AS119" s="152"/>
      <c r="AT119" s="152"/>
      <c r="AU119" s="152"/>
      <c r="AV119" s="152"/>
      <c r="AW119" s="152"/>
      <c r="AX119" s="152"/>
      <c r="AY119" s="152"/>
      <c r="AZ119" s="152"/>
      <c r="BA119" s="152"/>
      <c r="BB119" s="153"/>
      <c r="BC119" s="153"/>
      <c r="BD119" s="153"/>
      <c r="BE119" s="153"/>
      <c r="BF119" s="153"/>
      <c r="BG119" s="153"/>
      <c r="BH119" s="153"/>
      <c r="BO119"/>
      <c r="BP119"/>
      <c r="BQ119"/>
      <c r="BR119"/>
      <c r="BS119"/>
      <c r="BT119"/>
      <c r="BV119"/>
      <c r="BW119"/>
      <c r="BX119"/>
      <c r="BY119"/>
      <c r="CB119"/>
      <c r="CC119"/>
      <c r="CD119"/>
      <c r="CE119"/>
      <c r="CF119"/>
      <c r="CI119"/>
      <c r="CJ119"/>
      <c r="CK119"/>
      <c r="CN119"/>
      <c r="CO119"/>
      <c r="CP119"/>
      <c r="CQ119"/>
      <c r="CT119"/>
      <c r="CU119"/>
      <c r="CV119"/>
      <c r="CW119"/>
      <c r="CX119"/>
      <c r="CY119"/>
      <c r="CZ119"/>
      <c r="DA119"/>
      <c r="DC119"/>
      <c r="DD119"/>
      <c r="DE119"/>
      <c r="DJ119"/>
      <c r="DK119"/>
      <c r="DL119"/>
      <c r="DM119"/>
      <c r="DN119"/>
      <c r="DO119"/>
      <c r="DP119"/>
      <c r="DS119"/>
      <c r="DT119"/>
      <c r="DU119"/>
      <c r="DV119"/>
      <c r="DW119"/>
      <c r="DX119"/>
      <c r="DY119"/>
      <c r="EB119"/>
      <c r="EC119"/>
      <c r="ED119"/>
      <c r="EF119"/>
      <c r="EG119"/>
      <c r="EH119"/>
      <c r="EI119"/>
      <c r="EJ119"/>
      <c r="EK119"/>
      <c r="EN119"/>
      <c r="EO119"/>
      <c r="EP119"/>
      <c r="EQ119"/>
      <c r="ER119"/>
      <c r="ES119"/>
      <c r="ET119"/>
    </row>
    <row r="120" spans="1:150" ht="15" x14ac:dyDescent="0.25">
      <c r="A120" s="77"/>
      <c r="B120" s="77"/>
      <c r="C120" s="78"/>
      <c r="D120" s="78"/>
      <c r="F120" s="78"/>
      <c r="G120" s="78"/>
      <c r="H120" s="78"/>
      <c r="I120" s="78"/>
      <c r="J120" s="78"/>
      <c r="K120" s="78"/>
      <c r="L120" s="78"/>
      <c r="M120" s="78"/>
      <c r="N120" s="78"/>
      <c r="O120" s="78"/>
      <c r="P120" s="78"/>
      <c r="Q120" s="78"/>
      <c r="R120" s="74"/>
      <c r="S120" s="74"/>
      <c r="T120" s="74"/>
      <c r="U120" s="74"/>
      <c r="V120" s="74"/>
      <c r="W120" s="74"/>
      <c r="X120" s="74"/>
      <c r="Y120" s="74"/>
      <c r="Z120" s="74"/>
      <c r="AA120" s="74"/>
      <c r="AB120" s="74"/>
      <c r="AC120" s="74"/>
      <c r="AD120" s="74"/>
      <c r="AE120" s="74"/>
      <c r="AF120" s="77"/>
      <c r="AG120" s="77"/>
      <c r="AH120" s="77"/>
      <c r="AI120" s="77"/>
      <c r="AJ120" s="77"/>
      <c r="AK120" s="79"/>
      <c r="AL120" s="79"/>
      <c r="AM120" s="79"/>
      <c r="AN120" s="79"/>
      <c r="AO120" s="79"/>
      <c r="AP120" s="79"/>
      <c r="AQ120" s="79"/>
      <c r="AR120" s="152"/>
      <c r="AS120" s="152"/>
      <c r="AT120" s="152"/>
      <c r="AU120" s="152"/>
      <c r="AV120" s="152"/>
      <c r="AW120" s="152"/>
      <c r="AX120" s="152"/>
      <c r="AY120" s="152"/>
      <c r="AZ120" s="152"/>
      <c r="BA120" s="152"/>
      <c r="BB120" s="153"/>
      <c r="BC120" s="153"/>
      <c r="BD120" s="153"/>
      <c r="BE120" s="153"/>
      <c r="BF120" s="153"/>
      <c r="BG120" s="153"/>
      <c r="BH120" s="153"/>
      <c r="BI120" s="67"/>
      <c r="BO120"/>
      <c r="BP120"/>
      <c r="BQ120"/>
      <c r="BR120"/>
      <c r="BS120"/>
      <c r="BT120"/>
      <c r="BV120"/>
      <c r="BW120"/>
      <c r="BX120"/>
      <c r="BY120"/>
      <c r="CB120"/>
      <c r="CC120"/>
      <c r="CD120"/>
      <c r="CE120"/>
      <c r="CF120"/>
      <c r="CI120"/>
      <c r="CJ120"/>
      <c r="CK120"/>
      <c r="CN120"/>
      <c r="CO120"/>
      <c r="CP120"/>
      <c r="CQ120"/>
      <c r="CT120"/>
      <c r="CU120"/>
      <c r="CV120"/>
      <c r="CW120"/>
      <c r="CX120"/>
      <c r="CY120"/>
      <c r="CZ120"/>
      <c r="DA120"/>
      <c r="DC120"/>
      <c r="DD120"/>
      <c r="DE120"/>
      <c r="DJ120"/>
      <c r="DK120"/>
      <c r="DL120"/>
      <c r="DM120"/>
      <c r="DN120"/>
      <c r="DO120"/>
      <c r="DP120"/>
      <c r="DS120"/>
      <c r="DT120"/>
      <c r="DU120"/>
      <c r="DV120"/>
      <c r="DW120"/>
      <c r="DX120"/>
      <c r="DY120"/>
      <c r="EB120"/>
      <c r="EC120"/>
      <c r="ED120"/>
      <c r="EF120"/>
      <c r="EG120"/>
      <c r="EH120"/>
      <c r="EI120"/>
      <c r="EJ120"/>
      <c r="EK120"/>
      <c r="EN120"/>
      <c r="EO120"/>
      <c r="EP120"/>
      <c r="EQ120"/>
      <c r="ER120"/>
      <c r="ES120"/>
      <c r="ET120"/>
    </row>
    <row r="121" spans="1:150" ht="15" x14ac:dyDescent="0.25">
      <c r="A121" s="77"/>
      <c r="B121" s="77"/>
      <c r="C121" s="78"/>
      <c r="D121" s="78"/>
      <c r="F121" s="78"/>
      <c r="G121" s="78"/>
      <c r="H121" s="78"/>
      <c r="I121" s="78"/>
      <c r="J121" s="78"/>
      <c r="K121" s="78"/>
      <c r="L121" s="78"/>
      <c r="M121" s="78"/>
      <c r="N121" s="78"/>
      <c r="O121" s="78"/>
      <c r="P121" s="78"/>
      <c r="Q121" s="78"/>
      <c r="R121" s="74"/>
      <c r="S121" s="74"/>
      <c r="T121" s="74"/>
      <c r="U121" s="74"/>
      <c r="V121" s="74"/>
      <c r="W121" s="74"/>
      <c r="X121" s="74"/>
      <c r="Y121" s="74"/>
      <c r="Z121" s="74"/>
      <c r="AA121" s="74"/>
      <c r="AB121" s="74"/>
      <c r="AC121" s="74"/>
      <c r="AD121" s="74"/>
      <c r="AE121" s="74"/>
      <c r="AF121" s="77"/>
      <c r="AG121" s="77"/>
      <c r="AH121" s="77"/>
      <c r="AI121" s="77"/>
      <c r="AJ121" s="77"/>
      <c r="AK121" s="79"/>
      <c r="AL121" s="79"/>
      <c r="AM121" s="79"/>
      <c r="AN121" s="79"/>
      <c r="AO121" s="79"/>
      <c r="AP121" s="79"/>
      <c r="AQ121" s="79"/>
      <c r="AR121" s="152"/>
      <c r="AS121" s="152"/>
      <c r="AT121" s="152"/>
      <c r="AU121" s="152"/>
      <c r="AV121" s="152"/>
      <c r="AW121" s="152"/>
      <c r="AX121" s="152"/>
      <c r="AY121" s="152"/>
      <c r="AZ121" s="152"/>
      <c r="BA121" s="152"/>
      <c r="BB121" s="153"/>
      <c r="BC121" s="153"/>
      <c r="BD121" s="153"/>
      <c r="BE121" s="153"/>
      <c r="BF121" s="153"/>
      <c r="BG121" s="153"/>
      <c r="BH121" s="153"/>
      <c r="BI121" s="67"/>
      <c r="BO121"/>
      <c r="BP121"/>
      <c r="BQ121"/>
      <c r="BR121"/>
      <c r="BS121"/>
      <c r="BT121"/>
      <c r="BV121"/>
      <c r="BW121"/>
      <c r="BX121"/>
      <c r="BY121"/>
      <c r="CB121"/>
      <c r="CC121"/>
      <c r="CD121"/>
      <c r="CE121"/>
      <c r="CF121"/>
      <c r="CI121"/>
      <c r="CJ121"/>
      <c r="CK121"/>
      <c r="CN121"/>
      <c r="CO121"/>
      <c r="CP121"/>
      <c r="CQ121"/>
      <c r="CT121"/>
      <c r="CU121"/>
      <c r="CV121"/>
      <c r="CW121"/>
      <c r="CX121"/>
      <c r="CY121"/>
      <c r="CZ121"/>
      <c r="DA121"/>
      <c r="DC121"/>
      <c r="DD121"/>
      <c r="DE121"/>
      <c r="DJ121"/>
      <c r="DK121"/>
      <c r="DL121"/>
      <c r="DM121"/>
      <c r="DN121"/>
      <c r="DO121"/>
      <c r="DP121"/>
      <c r="DS121"/>
      <c r="DT121"/>
      <c r="DU121"/>
      <c r="DV121"/>
      <c r="DW121"/>
      <c r="DX121"/>
      <c r="DY121"/>
      <c r="EB121"/>
      <c r="EC121"/>
      <c r="ED121"/>
      <c r="EF121"/>
      <c r="EG121"/>
      <c r="EH121"/>
      <c r="EI121"/>
      <c r="EJ121"/>
      <c r="EK121"/>
      <c r="EN121"/>
      <c r="EO121"/>
      <c r="EP121"/>
      <c r="EQ121"/>
      <c r="ER121"/>
      <c r="ES121"/>
      <c r="ET121"/>
    </row>
    <row r="122" spans="1:150" ht="15" x14ac:dyDescent="0.25">
      <c r="A122" s="77"/>
      <c r="B122" s="77"/>
      <c r="C122" s="78"/>
      <c r="D122" s="78"/>
      <c r="F122" s="78"/>
      <c r="G122" s="78"/>
      <c r="H122" s="78"/>
      <c r="I122" s="78"/>
      <c r="J122" s="78"/>
      <c r="K122" s="78"/>
      <c r="L122" s="78"/>
      <c r="M122" s="78"/>
      <c r="N122" s="78"/>
      <c r="O122" s="78"/>
      <c r="P122" s="78"/>
      <c r="Q122" s="78"/>
      <c r="R122" s="74"/>
      <c r="S122" s="74"/>
      <c r="T122" s="74"/>
      <c r="U122" s="74"/>
      <c r="V122" s="74"/>
      <c r="W122" s="74"/>
      <c r="X122" s="74"/>
      <c r="Y122" s="74"/>
      <c r="Z122" s="74"/>
      <c r="AA122" s="74"/>
      <c r="AB122" s="74"/>
      <c r="AC122" s="74"/>
      <c r="AD122" s="74"/>
      <c r="AE122" s="74"/>
      <c r="AF122" s="77"/>
      <c r="AG122" s="77"/>
      <c r="AH122" s="77"/>
      <c r="AI122" s="77"/>
      <c r="AJ122" s="77"/>
      <c r="AK122" s="79"/>
      <c r="AL122" s="79"/>
      <c r="AM122" s="79"/>
      <c r="AN122" s="79"/>
      <c r="AO122" s="79"/>
      <c r="AP122" s="79"/>
      <c r="AQ122" s="79"/>
      <c r="AR122" s="152"/>
      <c r="AS122" s="152"/>
      <c r="AT122" s="152"/>
      <c r="AU122" s="152"/>
      <c r="AV122" s="152"/>
      <c r="AW122" s="152"/>
      <c r="AX122" s="152"/>
      <c r="AY122" s="152"/>
      <c r="AZ122" s="152"/>
      <c r="BA122" s="152"/>
      <c r="BB122" s="153"/>
      <c r="BC122" s="153"/>
      <c r="BD122" s="153"/>
      <c r="BE122" s="153"/>
      <c r="BF122" s="153"/>
      <c r="BG122" s="153"/>
      <c r="BH122" s="153"/>
      <c r="BI122" s="67"/>
      <c r="BO122"/>
      <c r="BP122"/>
      <c r="BQ122"/>
      <c r="BR122"/>
      <c r="BS122"/>
      <c r="BT122"/>
      <c r="BV122"/>
      <c r="BW122"/>
      <c r="BX122"/>
      <c r="BY122"/>
      <c r="CB122"/>
      <c r="CC122"/>
      <c r="CD122"/>
      <c r="CE122"/>
      <c r="CF122"/>
      <c r="CI122"/>
      <c r="CJ122"/>
      <c r="CK122"/>
      <c r="CN122"/>
      <c r="CO122"/>
      <c r="CP122"/>
      <c r="CQ122"/>
      <c r="CT122"/>
      <c r="CU122"/>
      <c r="CV122"/>
      <c r="CW122"/>
      <c r="CX122"/>
      <c r="CY122"/>
      <c r="CZ122"/>
      <c r="DA122"/>
      <c r="DC122"/>
      <c r="DD122"/>
      <c r="DE122"/>
      <c r="DJ122"/>
      <c r="DK122"/>
      <c r="DL122"/>
      <c r="DM122"/>
      <c r="DN122"/>
      <c r="DO122"/>
      <c r="DP122"/>
      <c r="DS122"/>
      <c r="DT122"/>
      <c r="DU122"/>
      <c r="DV122"/>
      <c r="DW122"/>
      <c r="DX122"/>
      <c r="DY122"/>
      <c r="EB122"/>
      <c r="EC122"/>
      <c r="ED122"/>
      <c r="EF122"/>
      <c r="EG122"/>
      <c r="EH122"/>
      <c r="EI122"/>
      <c r="EJ122"/>
      <c r="EK122"/>
      <c r="EN122"/>
      <c r="EO122"/>
      <c r="EP122"/>
      <c r="EQ122"/>
      <c r="ER122"/>
      <c r="ES122"/>
      <c r="ET122"/>
    </row>
    <row r="123" spans="1:150" ht="15" x14ac:dyDescent="0.25">
      <c r="A123" s="77"/>
      <c r="B123" s="77"/>
      <c r="C123" s="78"/>
      <c r="D123" s="78"/>
      <c r="F123" s="78"/>
      <c r="G123" s="78"/>
      <c r="H123" s="78"/>
      <c r="I123" s="78"/>
      <c r="J123" s="78"/>
      <c r="K123" s="78"/>
      <c r="L123" s="78"/>
      <c r="M123" s="78"/>
      <c r="N123" s="78"/>
      <c r="O123" s="78"/>
      <c r="P123" s="78"/>
      <c r="Q123" s="78"/>
      <c r="R123" s="74"/>
      <c r="S123" s="74"/>
      <c r="T123" s="74"/>
      <c r="U123" s="74"/>
      <c r="V123" s="74"/>
      <c r="W123" s="74"/>
      <c r="X123" s="74"/>
      <c r="Y123" s="74"/>
      <c r="Z123" s="74"/>
      <c r="AA123" s="74"/>
      <c r="AB123" s="74"/>
      <c r="AC123" s="74"/>
      <c r="AD123" s="74"/>
      <c r="AE123" s="74"/>
      <c r="AF123" s="77"/>
      <c r="AG123" s="77"/>
      <c r="AH123" s="77"/>
      <c r="AI123" s="77"/>
      <c r="AJ123" s="77"/>
      <c r="AK123" s="79"/>
      <c r="AL123" s="79"/>
      <c r="AM123" s="79"/>
      <c r="AN123" s="79"/>
      <c r="AO123" s="79"/>
      <c r="AP123" s="79"/>
      <c r="AQ123" s="79"/>
      <c r="AR123" s="152"/>
      <c r="AS123" s="152"/>
      <c r="AT123" s="152"/>
      <c r="AU123" s="152"/>
      <c r="AV123" s="152"/>
      <c r="AW123" s="152"/>
      <c r="AX123" s="152"/>
      <c r="AY123" s="152"/>
      <c r="AZ123" s="152"/>
      <c r="BA123" s="152"/>
      <c r="BB123" s="153"/>
      <c r="BC123" s="153"/>
      <c r="BD123" s="153"/>
      <c r="BE123" s="153"/>
      <c r="BF123" s="153"/>
      <c r="BG123" s="153"/>
      <c r="BH123" s="153"/>
      <c r="BO123"/>
      <c r="BP123"/>
      <c r="BQ123"/>
      <c r="BR123"/>
      <c r="BS123"/>
      <c r="BT123"/>
      <c r="BV123"/>
      <c r="BW123"/>
      <c r="BX123"/>
      <c r="BY123"/>
      <c r="CB123"/>
      <c r="CC123"/>
      <c r="CD123"/>
      <c r="CE123"/>
      <c r="CF123"/>
      <c r="CI123"/>
      <c r="CJ123"/>
      <c r="CK123"/>
      <c r="CN123"/>
      <c r="CO123"/>
      <c r="CP123"/>
      <c r="CQ123"/>
      <c r="CT123"/>
      <c r="CU123"/>
      <c r="CV123"/>
      <c r="CW123"/>
      <c r="CX123"/>
      <c r="CY123"/>
      <c r="CZ123"/>
      <c r="DA123"/>
      <c r="DC123"/>
      <c r="DD123"/>
      <c r="DE123"/>
      <c r="DJ123"/>
      <c r="DK123"/>
      <c r="DL123"/>
      <c r="DM123"/>
      <c r="DN123"/>
      <c r="DO123"/>
      <c r="DP123"/>
      <c r="DS123"/>
      <c r="DT123"/>
      <c r="DU123"/>
      <c r="DV123"/>
      <c r="DW123"/>
      <c r="DX123"/>
      <c r="DY123"/>
      <c r="EB123"/>
      <c r="EC123"/>
      <c r="ED123"/>
      <c r="EF123"/>
      <c r="EG123"/>
      <c r="EH123"/>
      <c r="EI123"/>
      <c r="EJ123"/>
      <c r="EK123"/>
      <c r="EN123"/>
      <c r="EO123"/>
      <c r="EP123"/>
      <c r="EQ123"/>
      <c r="ER123"/>
      <c r="ES123"/>
      <c r="ET123"/>
    </row>
    <row r="124" spans="1:150" ht="15" x14ac:dyDescent="0.25">
      <c r="A124" s="77"/>
      <c r="B124" s="77"/>
      <c r="C124" s="78"/>
      <c r="D124" s="78"/>
      <c r="F124" s="78"/>
      <c r="G124" s="78"/>
      <c r="H124" s="78"/>
      <c r="I124" s="78"/>
      <c r="J124" s="78"/>
      <c r="K124" s="78"/>
      <c r="L124" s="78"/>
      <c r="M124" s="78"/>
      <c r="N124" s="78"/>
      <c r="O124" s="78"/>
      <c r="P124" s="78"/>
      <c r="Q124" s="78"/>
      <c r="R124" s="74"/>
      <c r="S124" s="74"/>
      <c r="T124" s="74"/>
      <c r="U124" s="74"/>
      <c r="V124" s="74"/>
      <c r="W124" s="74"/>
      <c r="X124" s="74"/>
      <c r="Y124" s="74"/>
      <c r="Z124" s="74"/>
      <c r="AA124" s="74"/>
      <c r="AB124" s="74"/>
      <c r="AC124" s="74"/>
      <c r="AD124" s="74"/>
      <c r="AE124" s="74"/>
      <c r="AF124" s="77"/>
      <c r="AG124" s="77"/>
      <c r="AH124" s="77"/>
      <c r="AI124" s="77"/>
      <c r="AJ124" s="77"/>
      <c r="AK124" s="79"/>
      <c r="AL124" s="79"/>
      <c r="AM124" s="79"/>
      <c r="AN124" s="79"/>
      <c r="AO124" s="79"/>
      <c r="AP124" s="79"/>
      <c r="AQ124" s="79"/>
      <c r="AR124" s="152"/>
      <c r="AS124" s="152"/>
      <c r="AT124" s="152"/>
      <c r="AU124" s="152"/>
      <c r="AV124" s="152"/>
      <c r="AW124" s="152"/>
      <c r="AX124" s="152"/>
      <c r="AY124" s="152"/>
      <c r="AZ124" s="152"/>
      <c r="BA124" s="152"/>
      <c r="BB124" s="153"/>
      <c r="BC124" s="153"/>
      <c r="BD124" s="153"/>
      <c r="BE124" s="153"/>
      <c r="BF124" s="153"/>
      <c r="BG124" s="153"/>
      <c r="BH124" s="153"/>
      <c r="BO124"/>
      <c r="BP124"/>
      <c r="BQ124"/>
      <c r="BR124"/>
      <c r="BS124"/>
      <c r="BT124"/>
      <c r="BV124"/>
      <c r="BW124"/>
      <c r="BX124"/>
      <c r="BY124"/>
      <c r="CB124"/>
      <c r="CC124"/>
      <c r="CD124"/>
      <c r="CE124"/>
      <c r="CF124"/>
      <c r="CI124"/>
      <c r="CJ124"/>
      <c r="CK124"/>
      <c r="CN124"/>
      <c r="CO124"/>
      <c r="CP124"/>
      <c r="CQ124"/>
      <c r="CT124"/>
      <c r="CU124"/>
      <c r="CV124"/>
      <c r="CW124"/>
      <c r="CX124"/>
      <c r="CY124"/>
      <c r="CZ124"/>
      <c r="DA124"/>
      <c r="DC124"/>
      <c r="DD124"/>
      <c r="DE124"/>
      <c r="DJ124"/>
      <c r="DK124"/>
      <c r="DL124"/>
      <c r="DM124"/>
      <c r="DN124"/>
      <c r="DO124"/>
      <c r="DP124"/>
      <c r="DS124"/>
      <c r="DT124"/>
      <c r="DU124"/>
      <c r="DV124"/>
      <c r="DW124"/>
      <c r="DX124"/>
      <c r="DY124"/>
      <c r="EB124"/>
      <c r="EC124"/>
      <c r="ED124"/>
      <c r="EF124"/>
      <c r="EG124"/>
      <c r="EH124"/>
      <c r="EI124"/>
      <c r="EJ124"/>
      <c r="EK124"/>
      <c r="EN124"/>
      <c r="EO124"/>
      <c r="EP124"/>
      <c r="EQ124"/>
      <c r="ER124"/>
      <c r="ES124"/>
      <c r="ET124"/>
    </row>
    <row r="125" spans="1:150" ht="15" x14ac:dyDescent="0.25">
      <c r="A125" s="77"/>
      <c r="B125" s="77"/>
      <c r="C125" s="78"/>
      <c r="D125" s="78"/>
      <c r="F125" s="78"/>
      <c r="G125" s="78"/>
      <c r="H125" s="78"/>
      <c r="I125" s="78"/>
      <c r="J125" s="78"/>
      <c r="K125" s="78"/>
      <c r="L125" s="78"/>
      <c r="M125" s="78"/>
      <c r="N125" s="78"/>
      <c r="O125" s="78"/>
      <c r="P125" s="78"/>
      <c r="Q125" s="78"/>
      <c r="R125" s="74"/>
      <c r="S125" s="74"/>
      <c r="T125" s="74"/>
      <c r="U125" s="74"/>
      <c r="V125" s="74"/>
      <c r="W125" s="74"/>
      <c r="X125" s="74"/>
      <c r="Y125" s="74"/>
      <c r="Z125" s="74"/>
      <c r="AA125" s="74"/>
      <c r="AB125" s="74"/>
      <c r="AC125" s="74"/>
      <c r="AD125" s="74"/>
      <c r="AE125" s="74"/>
      <c r="AF125" s="77"/>
      <c r="AG125" s="77"/>
      <c r="AH125" s="77"/>
      <c r="AI125" s="77"/>
      <c r="AJ125" s="77"/>
      <c r="AK125" s="79"/>
      <c r="AL125" s="79"/>
      <c r="AM125" s="79"/>
      <c r="AN125" s="79"/>
      <c r="AO125" s="79"/>
      <c r="AP125" s="79"/>
      <c r="AQ125" s="79"/>
      <c r="AR125" s="152"/>
      <c r="AS125" s="152"/>
      <c r="AT125" s="152"/>
      <c r="AU125" s="152"/>
      <c r="AV125" s="152"/>
      <c r="AW125" s="152"/>
      <c r="AX125" s="152"/>
      <c r="AY125" s="152"/>
      <c r="AZ125" s="152"/>
      <c r="BA125" s="152"/>
      <c r="BB125" s="153"/>
      <c r="BC125" s="153"/>
      <c r="BD125" s="153"/>
      <c r="BE125" s="153"/>
      <c r="BF125" s="153"/>
      <c r="BG125" s="153"/>
      <c r="BH125" s="153"/>
      <c r="BI125" s="155"/>
      <c r="BO125"/>
      <c r="BP125"/>
      <c r="BQ125"/>
      <c r="BR125"/>
      <c r="BS125"/>
      <c r="BT125"/>
      <c r="BV125"/>
      <c r="BW125"/>
      <c r="BX125"/>
      <c r="BY125"/>
      <c r="CB125"/>
      <c r="CC125"/>
      <c r="CD125"/>
      <c r="CE125"/>
      <c r="CF125"/>
      <c r="CI125"/>
      <c r="CJ125"/>
      <c r="CK125"/>
      <c r="CN125"/>
      <c r="CO125"/>
      <c r="CP125"/>
      <c r="CQ125"/>
      <c r="CT125"/>
      <c r="CU125"/>
      <c r="CV125"/>
      <c r="CW125"/>
      <c r="CX125"/>
      <c r="CY125"/>
      <c r="CZ125"/>
      <c r="DA125"/>
      <c r="DC125"/>
      <c r="DD125"/>
      <c r="DE125"/>
      <c r="DJ125"/>
      <c r="DK125"/>
      <c r="DL125"/>
      <c r="DM125"/>
      <c r="DN125"/>
      <c r="DO125"/>
      <c r="DP125"/>
      <c r="DS125"/>
      <c r="DT125"/>
      <c r="DU125"/>
      <c r="DV125"/>
      <c r="DW125"/>
      <c r="DX125"/>
      <c r="DY125"/>
      <c r="EB125"/>
      <c r="EC125"/>
      <c r="ED125"/>
      <c r="EF125"/>
      <c r="EG125"/>
      <c r="EH125"/>
      <c r="EI125"/>
      <c r="EJ125"/>
      <c r="EK125"/>
      <c r="EN125"/>
      <c r="EO125"/>
      <c r="EP125"/>
      <c r="EQ125"/>
      <c r="ER125"/>
      <c r="ES125"/>
      <c r="ET125"/>
    </row>
    <row r="126" spans="1:150" ht="15" x14ac:dyDescent="0.25">
      <c r="A126" s="77"/>
      <c r="B126" s="77"/>
      <c r="C126" s="78"/>
      <c r="D126" s="78"/>
      <c r="F126" s="78"/>
      <c r="G126" s="78"/>
      <c r="H126" s="78"/>
      <c r="I126" s="78"/>
      <c r="J126" s="78"/>
      <c r="K126" s="78"/>
      <c r="L126" s="78"/>
      <c r="M126" s="78"/>
      <c r="N126" s="78"/>
      <c r="O126" s="78"/>
      <c r="P126" s="78"/>
      <c r="Q126" s="78"/>
      <c r="R126" s="74"/>
      <c r="S126" s="74"/>
      <c r="T126" s="74"/>
      <c r="U126" s="74"/>
      <c r="V126" s="74"/>
      <c r="W126" s="74"/>
      <c r="X126" s="74"/>
      <c r="Y126" s="74"/>
      <c r="Z126" s="74"/>
      <c r="AA126" s="74"/>
      <c r="AB126" s="74"/>
      <c r="AC126" s="74"/>
      <c r="AD126" s="74"/>
      <c r="AE126" s="74"/>
      <c r="AF126" s="77"/>
      <c r="AG126" s="77"/>
      <c r="AH126" s="77"/>
      <c r="AI126" s="77"/>
      <c r="AJ126" s="77"/>
      <c r="AK126" s="79"/>
      <c r="AL126" s="79"/>
      <c r="AM126" s="79"/>
      <c r="AN126" s="79"/>
      <c r="AO126" s="79"/>
      <c r="AP126" s="79"/>
      <c r="AQ126" s="79"/>
      <c r="AR126" s="152"/>
      <c r="AS126" s="152"/>
      <c r="AT126" s="152"/>
      <c r="AU126" s="152"/>
      <c r="AV126" s="152"/>
      <c r="AW126" s="152"/>
      <c r="AX126" s="152"/>
      <c r="AY126" s="152"/>
      <c r="AZ126" s="152"/>
      <c r="BA126" s="152"/>
      <c r="BB126" s="153"/>
      <c r="BC126" s="153"/>
      <c r="BD126" s="153"/>
      <c r="BE126" s="153"/>
      <c r="BF126" s="153"/>
      <c r="BG126" s="153"/>
      <c r="BH126" s="153"/>
      <c r="BO126"/>
      <c r="BP126"/>
      <c r="BQ126"/>
      <c r="BR126"/>
      <c r="BS126"/>
      <c r="BT126"/>
      <c r="BV126"/>
      <c r="BW126"/>
      <c r="BX126"/>
      <c r="BY126"/>
      <c r="CB126"/>
      <c r="CC126"/>
      <c r="CD126"/>
      <c r="CE126"/>
      <c r="CF126"/>
      <c r="CI126"/>
      <c r="CJ126"/>
      <c r="CK126"/>
      <c r="CN126"/>
      <c r="CO126"/>
      <c r="CP126"/>
      <c r="CQ126"/>
      <c r="CT126"/>
      <c r="CU126"/>
      <c r="CV126"/>
      <c r="CW126"/>
      <c r="CX126"/>
      <c r="CY126"/>
      <c r="CZ126"/>
      <c r="DA126"/>
      <c r="DC126"/>
      <c r="DD126"/>
      <c r="DE126"/>
      <c r="DJ126"/>
      <c r="DK126"/>
      <c r="DL126"/>
      <c r="DM126"/>
      <c r="DN126"/>
      <c r="DO126"/>
      <c r="DP126"/>
      <c r="DS126"/>
      <c r="DT126"/>
      <c r="DU126"/>
      <c r="DV126"/>
      <c r="DW126"/>
      <c r="DX126"/>
      <c r="DY126"/>
      <c r="EB126"/>
      <c r="EC126"/>
      <c r="ED126"/>
      <c r="EF126"/>
      <c r="EG126"/>
      <c r="EH126"/>
      <c r="EI126"/>
      <c r="EJ126"/>
      <c r="EK126"/>
      <c r="EN126"/>
      <c r="EO126"/>
      <c r="EP126"/>
      <c r="EQ126"/>
      <c r="ER126"/>
      <c r="ES126"/>
      <c r="ET126"/>
    </row>
    <row r="127" spans="1:150" ht="15" x14ac:dyDescent="0.25">
      <c r="A127" s="68"/>
      <c r="B127" s="69"/>
      <c r="C127" s="69"/>
      <c r="D127" s="69"/>
      <c r="E127" s="73"/>
      <c r="F127" s="73"/>
      <c r="G127" s="73"/>
      <c r="H127" s="73"/>
      <c r="I127" s="73"/>
      <c r="J127" s="73"/>
      <c r="K127" s="70"/>
      <c r="L127" s="71"/>
      <c r="M127" s="71"/>
      <c r="N127" s="72"/>
      <c r="O127" s="73"/>
      <c r="P127" s="72"/>
      <c r="Q127" s="72"/>
      <c r="R127" s="72"/>
      <c r="S127" s="72"/>
      <c r="T127" s="71"/>
      <c r="U127" s="71"/>
      <c r="V127" s="71"/>
      <c r="W127" s="71"/>
      <c r="X127" s="71"/>
      <c r="Y127" s="71"/>
      <c r="Z127" s="71"/>
      <c r="AA127" s="71"/>
      <c r="AB127" s="71"/>
      <c r="AC127" s="71"/>
      <c r="AD127" s="71"/>
      <c r="AE127" s="71"/>
      <c r="AF127" s="72"/>
      <c r="AG127" s="72"/>
      <c r="AH127" s="72"/>
      <c r="AI127" s="72"/>
      <c r="AJ127" s="72"/>
      <c r="AK127" s="72"/>
      <c r="BO127"/>
      <c r="BP127"/>
      <c r="BQ127"/>
      <c r="BR127"/>
      <c r="BS127"/>
      <c r="BT127"/>
      <c r="BV127"/>
      <c r="BW127"/>
      <c r="BX127"/>
      <c r="BY127"/>
      <c r="CB127"/>
      <c r="CC127"/>
      <c r="CD127"/>
      <c r="CE127"/>
      <c r="CF127"/>
      <c r="CI127"/>
      <c r="CJ127"/>
      <c r="CK127"/>
      <c r="CN127"/>
      <c r="CO127"/>
      <c r="CP127"/>
      <c r="CQ127"/>
      <c r="CT127"/>
      <c r="CU127"/>
      <c r="CV127"/>
      <c r="CW127"/>
      <c r="CX127"/>
      <c r="CY127"/>
      <c r="CZ127"/>
      <c r="DA127"/>
      <c r="DC127"/>
      <c r="DD127"/>
      <c r="DE127"/>
      <c r="DJ127"/>
      <c r="DK127"/>
      <c r="DL127"/>
      <c r="DM127"/>
      <c r="DN127"/>
      <c r="DO127"/>
      <c r="DP127"/>
      <c r="DS127"/>
      <c r="DT127"/>
      <c r="DU127"/>
      <c r="DV127"/>
      <c r="DW127"/>
      <c r="DX127"/>
      <c r="DY127"/>
      <c r="EB127"/>
      <c r="EC127"/>
      <c r="ED127"/>
      <c r="EF127"/>
      <c r="EG127"/>
      <c r="EH127"/>
      <c r="EI127"/>
      <c r="EJ127"/>
      <c r="EK127"/>
      <c r="EN127"/>
      <c r="EO127"/>
      <c r="EP127"/>
      <c r="EQ127"/>
      <c r="ER127"/>
      <c r="ES127"/>
      <c r="ET127"/>
    </row>
    <row r="128" spans="1:150" ht="15" x14ac:dyDescent="0.25">
      <c r="A128" s="67"/>
      <c r="B128" s="67"/>
      <c r="C128" s="67"/>
      <c r="D128" s="67"/>
      <c r="E128" s="67"/>
      <c r="F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BO128"/>
      <c r="BP128"/>
      <c r="BQ128"/>
      <c r="BR128"/>
      <c r="BS128"/>
      <c r="BV128"/>
      <c r="BW128"/>
      <c r="BX128"/>
      <c r="BY128"/>
      <c r="CB128"/>
      <c r="CC128"/>
      <c r="CD128"/>
      <c r="CE128"/>
      <c r="CF128"/>
      <c r="CI128"/>
      <c r="CJ128"/>
      <c r="CK128"/>
      <c r="CN128"/>
      <c r="CO128"/>
      <c r="CP128"/>
      <c r="CQ128"/>
      <c r="CT128"/>
      <c r="CU128"/>
      <c r="CV128"/>
      <c r="CW128"/>
      <c r="CX128"/>
      <c r="CY128"/>
      <c r="CZ128"/>
      <c r="DA128"/>
      <c r="DC128"/>
      <c r="DD128"/>
      <c r="DE128"/>
      <c r="DJ128"/>
      <c r="DK128"/>
      <c r="DL128"/>
      <c r="DM128"/>
      <c r="DN128"/>
      <c r="DO128"/>
      <c r="DP128"/>
      <c r="DS128"/>
      <c r="DT128"/>
      <c r="DU128"/>
      <c r="DV128"/>
      <c r="DW128"/>
      <c r="DX128"/>
      <c r="DY128"/>
      <c r="EB128"/>
      <c r="EC128"/>
      <c r="ED128"/>
      <c r="EF128"/>
      <c r="EG128"/>
      <c r="EH128"/>
      <c r="EI128"/>
      <c r="EJ128"/>
      <c r="EK128"/>
      <c r="EN128"/>
      <c r="EO128"/>
      <c r="EP128"/>
      <c r="EQ128"/>
      <c r="ER128"/>
      <c r="ES128"/>
      <c r="ET128"/>
    </row>
    <row r="129" spans="1:134" ht="15" x14ac:dyDescent="0.25">
      <c r="A129" s="67"/>
      <c r="D129" s="67"/>
      <c r="E129" s="67"/>
      <c r="F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BO129"/>
      <c r="BP129"/>
      <c r="BQ129"/>
      <c r="BR129"/>
      <c r="BS129"/>
      <c r="CN129"/>
      <c r="CO129"/>
      <c r="CP129"/>
      <c r="CQ129"/>
      <c r="CT129"/>
      <c r="CU129"/>
      <c r="CV129"/>
      <c r="CW129"/>
      <c r="CX129"/>
      <c r="CY129"/>
      <c r="CZ129"/>
      <c r="DA129"/>
      <c r="DC129"/>
      <c r="DD129"/>
      <c r="DE129"/>
      <c r="EB129"/>
      <c r="EC129"/>
      <c r="ED129"/>
    </row>
    <row r="130" spans="1:134" ht="15" x14ac:dyDescent="0.25">
      <c r="A130" s="67"/>
      <c r="D130" s="67"/>
      <c r="E130" s="67"/>
      <c r="F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BO130"/>
      <c r="BP130"/>
      <c r="BQ130"/>
      <c r="BR130"/>
      <c r="BS130"/>
      <c r="CN130"/>
      <c r="CO130"/>
      <c r="CP130"/>
      <c r="CQ130"/>
      <c r="CT130"/>
      <c r="CU130"/>
      <c r="CV130"/>
      <c r="CW130"/>
      <c r="CX130"/>
      <c r="CY130"/>
      <c r="CZ130"/>
      <c r="DC130"/>
      <c r="DD130"/>
      <c r="DE130"/>
    </row>
    <row r="131" spans="1:134" x14ac:dyDescent="0.2">
      <c r="A131" s="67"/>
      <c r="D131" s="67"/>
      <c r="E131" s="67"/>
      <c r="F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row>
    <row r="132" spans="1:134" x14ac:dyDescent="0.2">
      <c r="A132" s="67"/>
      <c r="D132" s="67"/>
      <c r="E132" s="67"/>
      <c r="F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row>
    <row r="134" spans="1:134" ht="12.75" customHeight="1" x14ac:dyDescent="0.2">
      <c r="A134" s="22"/>
      <c r="B134" s="22"/>
      <c r="C134" s="22"/>
      <c r="D134" s="22"/>
      <c r="E134" s="22"/>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row>
    <row r="135" spans="1:134" ht="12.75" customHeight="1" x14ac:dyDescent="0.2">
      <c r="A135" s="22"/>
      <c r="B135" s="22"/>
      <c r="C135" s="22"/>
      <c r="D135" s="22"/>
      <c r="E135" s="22"/>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row>
    <row r="136" spans="1:134" ht="12.75" customHeight="1" x14ac:dyDescent="0.2">
      <c r="A136" s="22"/>
      <c r="B136" s="22"/>
      <c r="C136" s="22"/>
      <c r="D136" s="22"/>
      <c r="E136" s="22"/>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row>
    <row r="137" spans="1:134" ht="12.75" customHeight="1" x14ac:dyDescent="0.2">
      <c r="A137" s="22"/>
      <c r="B137" s="22"/>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row>
    <row r="138" spans="1:134" ht="12.75" customHeight="1" x14ac:dyDescent="0.2">
      <c r="A138" s="22"/>
      <c r="B138" s="22"/>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row>
    <row r="139" spans="1:134" ht="12.75" customHeight="1" x14ac:dyDescent="0.2">
      <c r="A139" s="22"/>
      <c r="B139" s="22"/>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row>
    <row r="140" spans="1:134" ht="12.75" customHeight="1" x14ac:dyDescent="0.2">
      <c r="A140" s="22"/>
      <c r="B140" s="22"/>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row>
    <row r="141" spans="1:134" ht="12.75" customHeight="1" x14ac:dyDescent="0.2">
      <c r="A141" s="22"/>
      <c r="B141" s="22"/>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row>
    <row r="142" spans="1:134" ht="12.75" customHeight="1" x14ac:dyDescent="0.2">
      <c r="A142" s="22"/>
      <c r="B142" s="22"/>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row>
    <row r="143" spans="1:134" ht="12.75" customHeight="1" x14ac:dyDescent="0.2">
      <c r="A143" s="22"/>
      <c r="B143" s="22"/>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row>
    <row r="144" spans="1:134" ht="12.75" customHeight="1" x14ac:dyDescent="0.2">
      <c r="AA144" s="22"/>
      <c r="AB144" s="22"/>
      <c r="AC144" s="22"/>
      <c r="AD144" s="22"/>
      <c r="AE144" s="22"/>
      <c r="AF144" s="22"/>
      <c r="AG144" s="22"/>
      <c r="AH144" s="22"/>
    </row>
    <row r="149" spans="27:32" ht="12.75" customHeight="1" x14ac:dyDescent="0.25">
      <c r="AA149"/>
      <c r="AB149"/>
      <c r="AC149"/>
      <c r="AD149"/>
      <c r="AE149"/>
      <c r="AF149"/>
    </row>
    <row r="150" spans="27:32" ht="12.75" customHeight="1" x14ac:dyDescent="0.25">
      <c r="AA150"/>
      <c r="AB150"/>
      <c r="AC150"/>
      <c r="AD150"/>
      <c r="AE150"/>
      <c r="AF150"/>
    </row>
    <row r="151" spans="27:32" ht="12.75" customHeight="1" x14ac:dyDescent="0.25">
      <c r="AA151"/>
      <c r="AB151"/>
      <c r="AC151"/>
      <c r="AD151"/>
      <c r="AE151"/>
      <c r="AF151"/>
    </row>
    <row r="152" spans="27:32" ht="12.75" customHeight="1" x14ac:dyDescent="0.25">
      <c r="AA152"/>
      <c r="AB152"/>
      <c r="AC152"/>
      <c r="AD152"/>
      <c r="AE152"/>
      <c r="AF152"/>
    </row>
    <row r="153" spans="27:32" ht="12.75" customHeight="1" x14ac:dyDescent="0.25">
      <c r="AA153"/>
      <c r="AB153"/>
      <c r="AC153"/>
      <c r="AD153"/>
      <c r="AE153"/>
      <c r="AF153"/>
    </row>
    <row r="154" spans="27:32" ht="12.75" customHeight="1" x14ac:dyDescent="0.25">
      <c r="AA154"/>
      <c r="AB154"/>
      <c r="AC154"/>
      <c r="AD154"/>
      <c r="AE154"/>
      <c r="AF154"/>
    </row>
    <row r="155" spans="27:32" ht="12.75" customHeight="1" x14ac:dyDescent="0.25">
      <c r="AA155"/>
      <c r="AB155"/>
      <c r="AC155"/>
      <c r="AD155"/>
      <c r="AE155"/>
      <c r="AF155"/>
    </row>
    <row r="156" spans="27:32" ht="12.75" customHeight="1" x14ac:dyDescent="0.25">
      <c r="AA156"/>
      <c r="AB156"/>
      <c r="AC156"/>
      <c r="AD156"/>
      <c r="AE156"/>
      <c r="AF156"/>
    </row>
    <row r="157" spans="27:32" ht="15" x14ac:dyDescent="0.25">
      <c r="AA157"/>
      <c r="AB157"/>
      <c r="AC157"/>
      <c r="AD157"/>
      <c r="AE157"/>
      <c r="AF157"/>
    </row>
    <row r="158" spans="27:32" ht="15" x14ac:dyDescent="0.25">
      <c r="AA158"/>
      <c r="AB158"/>
      <c r="AC158"/>
      <c r="AD158"/>
      <c r="AE158"/>
      <c r="AF158"/>
    </row>
    <row r="159" spans="27:32" ht="12.75" customHeight="1" x14ac:dyDescent="0.25">
      <c r="AA159"/>
      <c r="AB159"/>
      <c r="AC159"/>
      <c r="AD159"/>
      <c r="AE159"/>
      <c r="AF159"/>
    </row>
    <row r="160" spans="27:32" ht="12.75" customHeight="1" x14ac:dyDescent="0.25">
      <c r="AA160"/>
      <c r="AB160"/>
      <c r="AC160"/>
      <c r="AD160"/>
      <c r="AE160"/>
      <c r="AF160"/>
    </row>
    <row r="161" spans="1:40" ht="12.75" customHeight="1" x14ac:dyDescent="0.2">
      <c r="AA161" s="22"/>
      <c r="AB161" s="22"/>
    </row>
    <row r="162" spans="1:40" ht="12.75" customHeight="1" x14ac:dyDescent="0.2">
      <c r="AA162" s="22"/>
      <c r="AB162" s="22"/>
    </row>
    <row r="164" spans="1:40" ht="12.75" customHeight="1" x14ac:dyDescent="0.25">
      <c r="AD164"/>
      <c r="AE164"/>
      <c r="AF164"/>
    </row>
    <row r="165" spans="1:40" ht="12.75" customHeight="1" x14ac:dyDescent="0.25">
      <c r="AD165"/>
      <c r="AE165"/>
      <c r="AF165"/>
    </row>
    <row r="166" spans="1:40" ht="12.75" customHeight="1" x14ac:dyDescent="0.25">
      <c r="AD166"/>
      <c r="AE166"/>
      <c r="AF166"/>
    </row>
    <row r="167" spans="1:40" ht="12.75" customHeight="1" x14ac:dyDescent="0.25">
      <c r="A167"/>
      <c r="B167"/>
      <c r="C167"/>
      <c r="D167"/>
      <c r="E167"/>
      <c r="J167"/>
      <c r="K167"/>
      <c r="L167"/>
      <c r="M167"/>
      <c r="N167"/>
    </row>
    <row r="168" spans="1:40" ht="12.75" customHeight="1" x14ac:dyDescent="0.25">
      <c r="A168"/>
      <c r="B168"/>
      <c r="C168"/>
      <c r="D168"/>
      <c r="E168"/>
      <c r="J168"/>
      <c r="K168"/>
      <c r="L168"/>
      <c r="M168"/>
      <c r="N168"/>
      <c r="AM168"/>
      <c r="AN168"/>
    </row>
    <row r="169" spans="1:40" ht="12.75" customHeight="1" x14ac:dyDescent="0.25">
      <c r="A169"/>
      <c r="B169"/>
      <c r="C169"/>
      <c r="D169"/>
      <c r="E169"/>
      <c r="J169"/>
      <c r="K169"/>
      <c r="L169"/>
      <c r="M169"/>
      <c r="N169"/>
      <c r="AM169"/>
      <c r="AN169"/>
    </row>
    <row r="170" spans="1:40" ht="12.75" customHeight="1" x14ac:dyDescent="0.25">
      <c r="A170"/>
      <c r="B170"/>
      <c r="C170"/>
      <c r="D170"/>
      <c r="E170"/>
      <c r="J170"/>
      <c r="K170"/>
      <c r="L170"/>
      <c r="M170"/>
      <c r="N170"/>
      <c r="AM170"/>
      <c r="AN170"/>
    </row>
    <row r="171" spans="1:40" ht="12.75" customHeight="1" x14ac:dyDescent="0.25">
      <c r="A171"/>
      <c r="B171"/>
      <c r="C171"/>
      <c r="D171"/>
      <c r="E171"/>
      <c r="J171"/>
      <c r="K171"/>
      <c r="L171"/>
      <c r="M171"/>
      <c r="N171"/>
      <c r="AM171"/>
      <c r="AN171"/>
    </row>
    <row r="172" spans="1:40" ht="12.75" customHeight="1" x14ac:dyDescent="0.25">
      <c r="A172"/>
      <c r="B172"/>
      <c r="C172"/>
      <c r="D172"/>
      <c r="E172"/>
      <c r="J172"/>
      <c r="K172"/>
      <c r="L172"/>
      <c r="M172"/>
      <c r="N172"/>
      <c r="AM172"/>
      <c r="AN172"/>
    </row>
    <row r="173" spans="1:40" ht="12.75" customHeight="1" x14ac:dyDescent="0.25">
      <c r="A173"/>
      <c r="B173"/>
      <c r="C173"/>
      <c r="D173"/>
      <c r="E173"/>
      <c r="J173"/>
      <c r="K173"/>
      <c r="L173"/>
      <c r="M173"/>
      <c r="N173"/>
      <c r="AM173"/>
      <c r="AN173"/>
    </row>
    <row r="174" spans="1:40" ht="12.75" customHeight="1" x14ac:dyDescent="0.25">
      <c r="A174"/>
      <c r="B174"/>
      <c r="C174"/>
      <c r="D174"/>
      <c r="E174"/>
      <c r="J174"/>
      <c r="K174"/>
      <c r="L174"/>
      <c r="M174"/>
      <c r="N174"/>
      <c r="AM174"/>
      <c r="AN174"/>
    </row>
    <row r="175" spans="1:40" ht="12.75" customHeight="1" x14ac:dyDescent="0.25">
      <c r="A175"/>
      <c r="B175"/>
      <c r="C175"/>
      <c r="D175"/>
      <c r="E175"/>
      <c r="J175"/>
      <c r="K175"/>
      <c r="L175"/>
      <c r="M175"/>
      <c r="N175"/>
      <c r="X175"/>
      <c r="Y175"/>
      <c r="Z175"/>
      <c r="AM175"/>
      <c r="AN175"/>
    </row>
    <row r="176" spans="1:40" ht="12.75" customHeight="1" x14ac:dyDescent="0.25">
      <c r="A176"/>
      <c r="B176"/>
      <c r="C176"/>
      <c r="D176"/>
      <c r="E176"/>
      <c r="J176"/>
      <c r="K176"/>
      <c r="L176"/>
      <c r="M176"/>
      <c r="N176"/>
      <c r="X176"/>
      <c r="Y176"/>
      <c r="Z176"/>
      <c r="AM176"/>
      <c r="AN176"/>
    </row>
    <row r="177" spans="1:72" ht="12.75" customHeight="1" x14ac:dyDescent="0.25">
      <c r="A177"/>
      <c r="B177"/>
      <c r="C177"/>
      <c r="D177"/>
      <c r="E177"/>
      <c r="J177"/>
      <c r="K177"/>
      <c r="L177"/>
      <c r="M177"/>
      <c r="N177"/>
      <c r="X177"/>
      <c r="Y177"/>
      <c r="Z177"/>
      <c r="AM177"/>
      <c r="AN177"/>
    </row>
    <row r="178" spans="1:72" ht="12.75" customHeight="1" x14ac:dyDescent="0.25">
      <c r="A178"/>
      <c r="B178"/>
      <c r="C178"/>
      <c r="D178"/>
      <c r="E178"/>
      <c r="J178"/>
      <c r="K178"/>
      <c r="L178"/>
      <c r="M178"/>
      <c r="N178"/>
      <c r="X178"/>
      <c r="Y178"/>
      <c r="Z178"/>
      <c r="AM178"/>
      <c r="AN178"/>
    </row>
    <row r="179" spans="1:72" ht="12.75" customHeight="1" x14ac:dyDescent="0.25">
      <c r="A179"/>
      <c r="B179"/>
      <c r="C179"/>
      <c r="D179"/>
      <c r="E179"/>
      <c r="J179"/>
      <c r="K179"/>
      <c r="L179"/>
      <c r="M179"/>
      <c r="N179"/>
      <c r="X179"/>
      <c r="Y179"/>
      <c r="Z179"/>
      <c r="AM179"/>
      <c r="AN179"/>
    </row>
    <row r="180" spans="1:72" ht="12.75" customHeight="1" x14ac:dyDescent="0.25">
      <c r="A180"/>
      <c r="B180"/>
      <c r="C180"/>
      <c r="D180"/>
      <c r="E180"/>
      <c r="X180"/>
      <c r="Y180"/>
      <c r="Z180"/>
      <c r="AM180"/>
      <c r="AN180"/>
    </row>
    <row r="181" spans="1:72" ht="12.75" customHeight="1" x14ac:dyDescent="0.25">
      <c r="X181"/>
      <c r="Y181"/>
      <c r="Z181"/>
      <c r="AM181"/>
      <c r="AN181"/>
    </row>
    <row r="182" spans="1:72" ht="12.75" customHeight="1" x14ac:dyDescent="0.25">
      <c r="X182"/>
      <c r="Y182"/>
      <c r="AM182"/>
      <c r="AN182"/>
      <c r="BP182"/>
      <c r="BQ182"/>
      <c r="BR182"/>
      <c r="BS182"/>
      <c r="BT182"/>
    </row>
    <row r="183" spans="1:72" ht="12.75" customHeight="1" x14ac:dyDescent="0.25">
      <c r="X183"/>
      <c r="Y183"/>
      <c r="AM183"/>
      <c r="AN183"/>
      <c r="BO183"/>
      <c r="BP183"/>
      <c r="BQ183"/>
      <c r="BR183"/>
      <c r="BS183"/>
      <c r="BT183"/>
    </row>
    <row r="184" spans="1:72" ht="12.75" customHeight="1" x14ac:dyDescent="0.25">
      <c r="X184"/>
      <c r="Y184"/>
      <c r="AM184"/>
      <c r="AN184"/>
      <c r="BO184"/>
      <c r="BP184"/>
      <c r="BQ184"/>
      <c r="BR184"/>
      <c r="BS184"/>
      <c r="BT184"/>
    </row>
    <row r="185" spans="1:72" ht="12.75" customHeight="1" x14ac:dyDescent="0.25">
      <c r="X185"/>
      <c r="Y185"/>
      <c r="AM185"/>
      <c r="AN185"/>
      <c r="BO185"/>
      <c r="BP185"/>
      <c r="BQ185"/>
      <c r="BR185"/>
      <c r="BS185"/>
      <c r="BT185"/>
    </row>
    <row r="186" spans="1:72" ht="12.75" customHeight="1" x14ac:dyDescent="0.25">
      <c r="X186"/>
      <c r="Y186"/>
      <c r="AM186"/>
      <c r="AN186"/>
      <c r="BO186"/>
      <c r="BP186"/>
      <c r="BQ186"/>
      <c r="BR186"/>
      <c r="BS186"/>
      <c r="BT186"/>
    </row>
    <row r="187" spans="1:72" ht="12.75" customHeight="1" x14ac:dyDescent="0.25">
      <c r="X187"/>
      <c r="Y187"/>
      <c r="AM187"/>
      <c r="AN187"/>
      <c r="BO187"/>
      <c r="BP187"/>
      <c r="BQ187"/>
      <c r="BR187"/>
      <c r="BS187"/>
      <c r="BT187"/>
    </row>
    <row r="188" spans="1:72" ht="12.75" customHeight="1" x14ac:dyDescent="0.25">
      <c r="X188"/>
      <c r="Y188"/>
      <c r="AM188"/>
      <c r="BO188"/>
      <c r="BP188"/>
      <c r="BQ188"/>
      <c r="BR188"/>
      <c r="BS188"/>
      <c r="BT188"/>
    </row>
    <row r="189" spans="1:72" ht="12.75" customHeight="1" x14ac:dyDescent="0.25">
      <c r="X189"/>
      <c r="Y189"/>
      <c r="AM189"/>
      <c r="BO189"/>
      <c r="BP189"/>
      <c r="BQ189"/>
      <c r="BR189"/>
      <c r="BS189"/>
      <c r="BT189"/>
    </row>
    <row r="190" spans="1:72" ht="12.75" customHeight="1" x14ac:dyDescent="0.25">
      <c r="X190"/>
      <c r="Y190"/>
      <c r="AM190"/>
      <c r="BO190"/>
      <c r="BP190"/>
      <c r="BQ190"/>
      <c r="BR190"/>
      <c r="BS190"/>
      <c r="BT190"/>
    </row>
    <row r="191" spans="1:72" ht="12.75" customHeight="1" x14ac:dyDescent="0.25">
      <c r="X191"/>
      <c r="Y191"/>
      <c r="AM191"/>
      <c r="BO191"/>
      <c r="BP191"/>
      <c r="BQ191"/>
      <c r="BR191"/>
      <c r="BS191"/>
      <c r="BT191"/>
    </row>
    <row r="192" spans="1:72" ht="12.75" customHeight="1" x14ac:dyDescent="0.25">
      <c r="X192"/>
      <c r="Y192"/>
      <c r="AM192"/>
      <c r="BO192"/>
      <c r="BP192"/>
      <c r="BQ192"/>
      <c r="BR192"/>
      <c r="BS192"/>
      <c r="BT192"/>
    </row>
    <row r="193" spans="24:72" ht="12.75" customHeight="1" x14ac:dyDescent="0.25">
      <c r="X193"/>
      <c r="Y193"/>
      <c r="AM193"/>
      <c r="BO193"/>
      <c r="BP193"/>
      <c r="BQ193"/>
      <c r="BR193"/>
      <c r="BS193"/>
      <c r="BT193"/>
    </row>
    <row r="194" spans="24:72" ht="12.75" customHeight="1" x14ac:dyDescent="0.25">
      <c r="X194"/>
      <c r="Y194"/>
      <c r="AM194"/>
      <c r="BO194"/>
      <c r="BP194"/>
      <c r="BQ194"/>
      <c r="BR194"/>
      <c r="BS194"/>
      <c r="BT194"/>
    </row>
    <row r="195" spans="24:72" ht="12.75" customHeight="1" x14ac:dyDescent="0.25">
      <c r="X195"/>
      <c r="Y195"/>
      <c r="AM195"/>
      <c r="BO195"/>
      <c r="BP195"/>
      <c r="BQ195"/>
      <c r="BR195"/>
      <c r="BS195"/>
      <c r="BT195"/>
    </row>
    <row r="196" spans="24:72" ht="12.75" customHeight="1" x14ac:dyDescent="0.25">
      <c r="X196"/>
      <c r="Y196"/>
      <c r="AM196"/>
      <c r="BO196"/>
      <c r="BP196"/>
      <c r="BQ196"/>
      <c r="BR196"/>
      <c r="BS196"/>
      <c r="BT196"/>
    </row>
    <row r="197" spans="24:72" ht="12.75" customHeight="1" x14ac:dyDescent="0.25">
      <c r="X197"/>
      <c r="Y197"/>
      <c r="AM197"/>
      <c r="BO197"/>
      <c r="BP197"/>
      <c r="BQ197"/>
      <c r="BR197"/>
      <c r="BS197"/>
      <c r="BT197"/>
    </row>
    <row r="198" spans="24:72" ht="12.75" customHeight="1" x14ac:dyDescent="0.25">
      <c r="X198"/>
      <c r="Y198"/>
      <c r="AM198"/>
      <c r="BO198"/>
      <c r="BP198"/>
      <c r="BQ198"/>
      <c r="BR198"/>
      <c r="BS198"/>
      <c r="BT198"/>
    </row>
    <row r="199" spans="24:72" ht="12.75" customHeight="1" x14ac:dyDescent="0.25">
      <c r="X199"/>
      <c r="Y199"/>
      <c r="AM199"/>
      <c r="BO199"/>
      <c r="BP199"/>
      <c r="BQ199"/>
      <c r="BR199"/>
      <c r="BS199"/>
      <c r="BT199"/>
    </row>
    <row r="200" spans="24:72" ht="12.75" customHeight="1" x14ac:dyDescent="0.25">
      <c r="X200"/>
      <c r="Y200"/>
      <c r="AM200"/>
      <c r="BO200"/>
      <c r="BP200"/>
      <c r="BQ200"/>
      <c r="BR200"/>
      <c r="BS200"/>
      <c r="BT200"/>
    </row>
    <row r="201" spans="24:72" ht="12.75" customHeight="1" x14ac:dyDescent="0.25">
      <c r="X201"/>
      <c r="Y201"/>
      <c r="AM201"/>
      <c r="BO201"/>
      <c r="BP201"/>
      <c r="BQ201"/>
      <c r="BR201"/>
      <c r="BS201"/>
      <c r="BT201"/>
    </row>
    <row r="202" spans="24:72" ht="12.75" customHeight="1" x14ac:dyDescent="0.25">
      <c r="X202"/>
      <c r="Y202"/>
      <c r="AM202"/>
      <c r="BO202"/>
      <c r="BP202"/>
      <c r="BQ202"/>
      <c r="BR202"/>
      <c r="BS202"/>
      <c r="BT202"/>
    </row>
    <row r="203" spans="24:72" ht="12.75" customHeight="1" x14ac:dyDescent="0.25">
      <c r="AM203"/>
    </row>
    <row r="204" spans="24:72" ht="12.75" customHeight="1" x14ac:dyDescent="0.25">
      <c r="AM204"/>
    </row>
    <row r="205" spans="24:72" ht="12.75" customHeight="1" x14ac:dyDescent="0.25">
      <c r="AM205"/>
    </row>
  </sheetData>
  <autoFilter ref="A4:BH4" xr:uid="{4B5969E3-45A7-478B-A588-102F0AC63816}"/>
  <mergeCells count="7">
    <mergeCell ref="AY3:BA3"/>
    <mergeCell ref="BB3:BH3"/>
    <mergeCell ref="R3:X3"/>
    <mergeCell ref="Y3:AE3"/>
    <mergeCell ref="AF3:AJ3"/>
    <mergeCell ref="AK3:AQ3"/>
    <mergeCell ref="AR3:AX3"/>
  </mergeCells>
  <pageMargins left="0.74803149606299213" right="0.74803149606299213" top="0.98425196850393704" bottom="0.98425196850393704" header="0.51181102362204722" footer="0.51181102362204722"/>
  <pageSetup paperSize="8" orientation="landscape" r:id="rId13"/>
  <headerFooter alignWithMargins="0">
    <oddHeader>&amp;LStructures Asset Management Planning Toolkit</oddHeader>
    <oddFooter>&amp;L&amp;A&amp;R&amp;P of &amp;N</oddFooter>
  </headerFooter>
  <colBreaks count="4" manualBreakCount="4">
    <brk id="10" max="1048575" man="1"/>
    <brk id="15" max="1048575" man="1"/>
    <brk id="18" max="1048575" man="1"/>
    <brk id="31" max="1048575" man="1"/>
  </colBreaks>
  <drawing r:id="rId1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_ECSProfile">
    <tabColor rgb="FFE0C1FF"/>
  </sheetPr>
  <dimension ref="A1:DW4"/>
  <sheetViews>
    <sheetView showGridLines="0" topLeftCell="A2" zoomScale="70" zoomScaleNormal="70" workbookViewId="0">
      <selection activeCell="B5" sqref="B5"/>
    </sheetView>
  </sheetViews>
  <sheetFormatPr defaultColWidth="9.140625" defaultRowHeight="12.75" customHeight="1" x14ac:dyDescent="0.2"/>
  <cols>
    <col min="1" max="1" width="20.140625" style="19" customWidth="1"/>
    <col min="2" max="2" width="18.5703125" style="19" customWidth="1"/>
    <col min="3" max="3" width="20.140625" style="19" customWidth="1"/>
    <col min="4" max="4" width="38.85546875" style="19" customWidth="1"/>
    <col min="5" max="6" width="4.5703125" style="19" customWidth="1"/>
    <col min="7" max="7" width="4.42578125" style="74" customWidth="1"/>
    <col min="8" max="126" width="4.5703125" style="74" customWidth="1"/>
    <col min="127" max="127" width="4.5703125" style="19" customWidth="1"/>
    <col min="128" max="16384" width="9.140625" style="19"/>
  </cols>
  <sheetData>
    <row r="1" spans="1:127" hidden="1" x14ac:dyDescent="0.2">
      <c r="A1" s="19">
        <f>Elements!A1</f>
        <v>0</v>
      </c>
      <c r="B1" s="22" t="str">
        <f>Elements!N1</f>
        <v/>
      </c>
      <c r="C1" s="19">
        <f>Elements!B1</f>
        <v>0</v>
      </c>
      <c r="D1" s="19">
        <f>Elements!C1</f>
        <v>0</v>
      </c>
      <c r="E1" s="75">
        <f>Y0!H1</f>
        <v>0</v>
      </c>
      <c r="F1" s="75">
        <f>Y0!C1</f>
        <v>0</v>
      </c>
      <c r="G1" s="75"/>
      <c r="H1" s="75"/>
      <c r="I1" s="75"/>
      <c r="J1" s="75"/>
      <c r="K1" s="75"/>
      <c r="L1" s="75"/>
      <c r="M1" s="75"/>
      <c r="N1" s="75"/>
      <c r="O1" s="75"/>
      <c r="P1" s="75"/>
      <c r="Q1" s="75"/>
      <c r="R1" s="75"/>
      <c r="S1" s="75"/>
      <c r="T1" s="75"/>
      <c r="U1" s="75"/>
      <c r="V1" s="75"/>
      <c r="W1" s="75"/>
      <c r="X1" s="75"/>
      <c r="Y1" s="75"/>
      <c r="Z1" s="75"/>
      <c r="AA1" s="75"/>
      <c r="AB1" s="75"/>
      <c r="AC1" s="75"/>
      <c r="AD1" s="75"/>
      <c r="AE1" s="75"/>
      <c r="AF1" s="75"/>
      <c r="AG1" s="75"/>
      <c r="AH1" s="75"/>
      <c r="AI1" s="75"/>
      <c r="AJ1" s="75"/>
      <c r="AK1" s="75"/>
      <c r="AL1" s="75"/>
      <c r="AM1" s="75"/>
      <c r="AN1" s="75"/>
      <c r="AO1" s="75"/>
      <c r="AP1" s="75"/>
      <c r="AQ1" s="75"/>
      <c r="AR1" s="75"/>
      <c r="AS1" s="75"/>
      <c r="AT1" s="75"/>
      <c r="AU1" s="75"/>
      <c r="AV1" s="75"/>
      <c r="AW1" s="75"/>
      <c r="AX1" s="75"/>
      <c r="AY1" s="75"/>
      <c r="AZ1" s="75"/>
      <c r="BA1" s="75"/>
      <c r="BB1" s="75"/>
      <c r="BC1" s="75"/>
      <c r="BD1" s="75"/>
      <c r="BE1" s="75"/>
      <c r="BF1" s="75"/>
      <c r="BG1" s="75"/>
      <c r="BH1" s="75"/>
      <c r="BI1" s="75"/>
      <c r="BJ1" s="75"/>
      <c r="BK1" s="75"/>
      <c r="BL1" s="75"/>
      <c r="BM1" s="75"/>
      <c r="BN1" s="75"/>
      <c r="BO1" s="75"/>
      <c r="BP1" s="75"/>
      <c r="BQ1" s="75"/>
      <c r="BR1" s="75"/>
      <c r="BS1" s="75"/>
      <c r="BT1" s="75"/>
      <c r="BU1" s="75"/>
      <c r="BV1" s="75"/>
      <c r="BW1" s="75"/>
      <c r="BX1" s="75"/>
      <c r="BY1" s="75"/>
      <c r="BZ1" s="75"/>
      <c r="CA1" s="75"/>
      <c r="CB1" s="75"/>
      <c r="CC1" s="75"/>
      <c r="CD1" s="75"/>
      <c r="CE1" s="75"/>
      <c r="CF1" s="75"/>
      <c r="CG1" s="75"/>
      <c r="CH1" s="75"/>
      <c r="CI1" s="75"/>
      <c r="CJ1" s="75"/>
      <c r="CK1" s="75"/>
      <c r="CL1" s="75"/>
      <c r="CM1" s="75"/>
      <c r="CN1" s="75"/>
      <c r="CO1" s="75"/>
      <c r="CP1" s="75"/>
      <c r="CQ1" s="75"/>
      <c r="CR1" s="75"/>
      <c r="CS1" s="75"/>
      <c r="CT1" s="75"/>
      <c r="CU1" s="75"/>
      <c r="CV1" s="75"/>
      <c r="CW1" s="75"/>
      <c r="CX1" s="75"/>
      <c r="CY1" s="75"/>
      <c r="CZ1" s="75"/>
      <c r="DA1" s="75"/>
      <c r="DB1" s="75"/>
      <c r="DC1" s="75"/>
      <c r="DD1" s="75"/>
      <c r="DE1" s="75"/>
      <c r="DF1" s="75"/>
      <c r="DG1" s="75"/>
      <c r="DH1" s="75"/>
      <c r="DI1" s="75"/>
      <c r="DJ1" s="75"/>
      <c r="DK1" s="75"/>
      <c r="DL1" s="75"/>
      <c r="DM1" s="75"/>
      <c r="DN1" s="75"/>
      <c r="DO1" s="75"/>
      <c r="DP1" s="75"/>
      <c r="DQ1" s="75"/>
      <c r="DR1" s="75"/>
      <c r="DS1" s="75"/>
      <c r="DT1" s="75"/>
      <c r="DU1" s="75"/>
      <c r="DV1" s="75"/>
    </row>
    <row r="2" spans="1:127" x14ac:dyDescent="0.2">
      <c r="H2" s="75"/>
      <c r="I2" s="75"/>
      <c r="J2" s="75"/>
      <c r="K2" s="75"/>
      <c r="L2" s="75"/>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5"/>
      <c r="BK2" s="75"/>
      <c r="BL2" s="75"/>
      <c r="BM2" s="75"/>
      <c r="BN2" s="75"/>
      <c r="BO2" s="75"/>
      <c r="BP2" s="75"/>
      <c r="BQ2" s="75"/>
      <c r="BR2" s="75"/>
      <c r="BS2" s="75"/>
      <c r="BT2" s="75"/>
      <c r="BU2" s="75"/>
      <c r="BV2" s="75"/>
      <c r="BW2" s="75"/>
      <c r="BX2" s="75"/>
      <c r="BY2" s="75"/>
      <c r="BZ2" s="75"/>
      <c r="CA2" s="75"/>
      <c r="CB2" s="75"/>
      <c r="CC2" s="75"/>
      <c r="CD2" s="75"/>
      <c r="CE2" s="75"/>
      <c r="CF2" s="75"/>
      <c r="CG2" s="75"/>
      <c r="CH2" s="75"/>
      <c r="CI2" s="75"/>
      <c r="CJ2" s="75"/>
      <c r="CK2" s="75"/>
      <c r="CL2" s="75"/>
      <c r="CM2" s="75"/>
      <c r="CN2" s="75"/>
      <c r="CO2" s="75"/>
      <c r="CP2" s="75"/>
      <c r="CQ2" s="75"/>
      <c r="CR2" s="75"/>
      <c r="CS2" s="75"/>
      <c r="CT2" s="75"/>
      <c r="CU2" s="75"/>
      <c r="CV2" s="75"/>
      <c r="CW2" s="75"/>
      <c r="CX2" s="75"/>
      <c r="CY2" s="75"/>
      <c r="CZ2" s="75"/>
      <c r="DA2" s="75"/>
      <c r="DB2" s="75"/>
      <c r="DC2" s="75"/>
      <c r="DD2" s="75"/>
      <c r="DE2" s="75"/>
      <c r="DF2" s="75"/>
      <c r="DG2" s="75"/>
      <c r="DH2" s="75"/>
      <c r="DI2" s="75"/>
      <c r="DJ2" s="75"/>
      <c r="DK2" s="75"/>
      <c r="DL2" s="75"/>
      <c r="DM2" s="75"/>
      <c r="DN2" s="75"/>
      <c r="DO2" s="75"/>
      <c r="DP2" s="75"/>
      <c r="DQ2" s="75"/>
      <c r="DR2" s="75"/>
      <c r="DS2" s="75"/>
      <c r="DT2" s="75"/>
      <c r="DU2" s="75"/>
      <c r="DV2" s="75"/>
    </row>
    <row r="3" spans="1:127" x14ac:dyDescent="0.2">
      <c r="F3" s="573" t="s">
        <v>1237</v>
      </c>
      <c r="G3" s="574"/>
      <c r="H3" s="574"/>
      <c r="I3" s="574"/>
      <c r="J3" s="574"/>
      <c r="K3" s="574"/>
      <c r="L3" s="574"/>
      <c r="M3" s="574"/>
      <c r="N3" s="574"/>
      <c r="O3" s="574"/>
      <c r="P3" s="574"/>
      <c r="Q3" s="574"/>
      <c r="R3" s="574"/>
      <c r="S3" s="574"/>
      <c r="T3" s="574"/>
      <c r="U3" s="574"/>
      <c r="V3" s="574"/>
      <c r="W3" s="574"/>
      <c r="X3" s="574"/>
      <c r="Y3" s="574"/>
      <c r="Z3" s="574"/>
      <c r="AA3" s="574"/>
      <c r="AB3" s="574"/>
      <c r="AC3" s="574"/>
      <c r="AD3" s="574"/>
      <c r="AE3" s="574"/>
      <c r="AF3" s="574"/>
      <c r="AG3" s="574"/>
      <c r="AH3" s="574"/>
      <c r="AI3" s="574"/>
      <c r="AJ3" s="574"/>
      <c r="AK3" s="574"/>
      <c r="AL3" s="574"/>
      <c r="AM3" s="574"/>
      <c r="AN3" s="574"/>
      <c r="AO3" s="574"/>
      <c r="AP3" s="574"/>
      <c r="AQ3" s="574"/>
      <c r="AR3" s="574"/>
      <c r="AS3" s="574"/>
      <c r="AT3" s="574"/>
      <c r="AU3" s="574"/>
      <c r="AV3" s="574"/>
      <c r="AW3" s="574"/>
      <c r="AX3" s="574"/>
      <c r="AY3" s="574"/>
      <c r="AZ3" s="574"/>
      <c r="BA3" s="574"/>
      <c r="BB3" s="574"/>
      <c r="BC3" s="574"/>
      <c r="BD3" s="574"/>
      <c r="BE3" s="574"/>
      <c r="BF3" s="574"/>
      <c r="BG3" s="574"/>
      <c r="BH3" s="574"/>
      <c r="BI3" s="574"/>
      <c r="BJ3" s="574"/>
      <c r="BK3" s="574"/>
      <c r="BL3" s="574"/>
      <c r="BM3" s="574"/>
      <c r="BN3" s="574"/>
      <c r="BO3" s="574"/>
      <c r="BP3" s="574"/>
      <c r="BQ3" s="574"/>
      <c r="BR3" s="574"/>
      <c r="BS3" s="574"/>
      <c r="BT3" s="574"/>
      <c r="BU3" s="574"/>
      <c r="BV3" s="574"/>
      <c r="BW3" s="574"/>
      <c r="BX3" s="574"/>
      <c r="BY3" s="574"/>
      <c r="BZ3" s="574"/>
      <c r="CA3" s="574"/>
      <c r="CB3" s="574"/>
      <c r="CC3" s="574"/>
      <c r="CD3" s="574"/>
      <c r="CE3" s="574"/>
      <c r="CF3" s="574"/>
      <c r="CG3" s="574"/>
      <c r="CH3" s="574"/>
      <c r="CI3" s="574"/>
      <c r="CJ3" s="574"/>
      <c r="CK3" s="574"/>
      <c r="CL3" s="574"/>
      <c r="CM3" s="574"/>
      <c r="CN3" s="574"/>
      <c r="CO3" s="574"/>
      <c r="CP3" s="574"/>
      <c r="CQ3" s="574"/>
      <c r="CR3" s="574"/>
      <c r="CS3" s="574"/>
      <c r="CT3" s="574"/>
      <c r="CU3" s="574"/>
      <c r="CV3" s="574"/>
      <c r="CW3" s="574"/>
      <c r="CX3" s="574"/>
      <c r="CY3" s="574"/>
      <c r="CZ3" s="574"/>
      <c r="DA3" s="574"/>
      <c r="DB3" s="574"/>
      <c r="DC3" s="574"/>
      <c r="DD3" s="574"/>
      <c r="DE3" s="574"/>
      <c r="DF3" s="574"/>
      <c r="DG3" s="574"/>
      <c r="DH3" s="574"/>
      <c r="DI3" s="574"/>
      <c r="DJ3" s="574"/>
      <c r="DK3" s="574"/>
      <c r="DL3" s="574"/>
      <c r="DM3" s="574"/>
      <c r="DN3" s="574"/>
      <c r="DO3" s="574"/>
      <c r="DP3" s="574"/>
      <c r="DQ3" s="574"/>
      <c r="DR3" s="574"/>
      <c r="DS3" s="574"/>
      <c r="DT3" s="574"/>
      <c r="DU3" s="574"/>
      <c r="DV3" s="575"/>
    </row>
    <row r="4" spans="1:127" ht="51" x14ac:dyDescent="0.2">
      <c r="A4" s="262" t="s">
        <v>1851</v>
      </c>
      <c r="B4" s="262" t="s">
        <v>54</v>
      </c>
      <c r="C4" s="262" t="s">
        <v>1868</v>
      </c>
      <c r="D4" s="262" t="s">
        <v>169</v>
      </c>
      <c r="E4" s="271" t="s">
        <v>188</v>
      </c>
      <c r="F4" s="307">
        <v>0</v>
      </c>
      <c r="G4" s="307">
        <v>1</v>
      </c>
      <c r="H4" s="307">
        <v>2</v>
      </c>
      <c r="I4" s="307">
        <v>3</v>
      </c>
      <c r="J4" s="307">
        <v>4</v>
      </c>
      <c r="K4" s="307">
        <v>5</v>
      </c>
      <c r="L4" s="307">
        <v>6</v>
      </c>
      <c r="M4" s="307">
        <v>7</v>
      </c>
      <c r="N4" s="307">
        <v>8</v>
      </c>
      <c r="O4" s="307">
        <v>9</v>
      </c>
      <c r="P4" s="307">
        <v>10</v>
      </c>
      <c r="Q4" s="307">
        <v>11</v>
      </c>
      <c r="R4" s="307">
        <v>12</v>
      </c>
      <c r="S4" s="307">
        <v>13</v>
      </c>
      <c r="T4" s="307">
        <v>14</v>
      </c>
      <c r="U4" s="307">
        <v>15</v>
      </c>
      <c r="V4" s="307">
        <v>16</v>
      </c>
      <c r="W4" s="307">
        <v>17</v>
      </c>
      <c r="X4" s="307">
        <v>18</v>
      </c>
      <c r="Y4" s="307">
        <v>19</v>
      </c>
      <c r="Z4" s="307">
        <v>20</v>
      </c>
      <c r="AA4" s="307">
        <v>21</v>
      </c>
      <c r="AB4" s="307">
        <v>22</v>
      </c>
      <c r="AC4" s="307">
        <v>23</v>
      </c>
      <c r="AD4" s="307">
        <v>24</v>
      </c>
      <c r="AE4" s="307">
        <v>25</v>
      </c>
      <c r="AF4" s="307">
        <v>26</v>
      </c>
      <c r="AG4" s="307">
        <v>27</v>
      </c>
      <c r="AH4" s="307">
        <v>28</v>
      </c>
      <c r="AI4" s="307">
        <v>29</v>
      </c>
      <c r="AJ4" s="307">
        <v>30</v>
      </c>
      <c r="AK4" s="307">
        <v>31</v>
      </c>
      <c r="AL4" s="307">
        <v>32</v>
      </c>
      <c r="AM4" s="307">
        <v>33</v>
      </c>
      <c r="AN4" s="307">
        <v>34</v>
      </c>
      <c r="AO4" s="307">
        <v>35</v>
      </c>
      <c r="AP4" s="307">
        <v>36</v>
      </c>
      <c r="AQ4" s="307">
        <v>37</v>
      </c>
      <c r="AR4" s="307">
        <v>38</v>
      </c>
      <c r="AS4" s="307">
        <v>39</v>
      </c>
      <c r="AT4" s="307">
        <v>40</v>
      </c>
      <c r="AU4" s="307">
        <v>41</v>
      </c>
      <c r="AV4" s="307">
        <v>42</v>
      </c>
      <c r="AW4" s="307">
        <v>43</v>
      </c>
      <c r="AX4" s="307">
        <v>44</v>
      </c>
      <c r="AY4" s="307">
        <v>45</v>
      </c>
      <c r="AZ4" s="307">
        <v>46</v>
      </c>
      <c r="BA4" s="307">
        <v>47</v>
      </c>
      <c r="BB4" s="307">
        <v>48</v>
      </c>
      <c r="BC4" s="307">
        <v>49</v>
      </c>
      <c r="BD4" s="307">
        <v>50</v>
      </c>
      <c r="BE4" s="307">
        <v>51</v>
      </c>
      <c r="BF4" s="307">
        <v>52</v>
      </c>
      <c r="BG4" s="307">
        <v>53</v>
      </c>
      <c r="BH4" s="307">
        <v>54</v>
      </c>
      <c r="BI4" s="307">
        <v>55</v>
      </c>
      <c r="BJ4" s="307">
        <v>56</v>
      </c>
      <c r="BK4" s="307">
        <v>57</v>
      </c>
      <c r="BL4" s="307">
        <v>58</v>
      </c>
      <c r="BM4" s="307">
        <v>59</v>
      </c>
      <c r="BN4" s="307">
        <v>60</v>
      </c>
      <c r="BO4" s="307">
        <v>61</v>
      </c>
      <c r="BP4" s="307">
        <v>62</v>
      </c>
      <c r="BQ4" s="307">
        <v>63</v>
      </c>
      <c r="BR4" s="307">
        <v>64</v>
      </c>
      <c r="BS4" s="307">
        <v>65</v>
      </c>
      <c r="BT4" s="307">
        <v>66</v>
      </c>
      <c r="BU4" s="307">
        <v>67</v>
      </c>
      <c r="BV4" s="307">
        <v>68</v>
      </c>
      <c r="BW4" s="307">
        <v>69</v>
      </c>
      <c r="BX4" s="307">
        <v>70</v>
      </c>
      <c r="BY4" s="307">
        <v>71</v>
      </c>
      <c r="BZ4" s="307">
        <v>72</v>
      </c>
      <c r="CA4" s="307">
        <v>73</v>
      </c>
      <c r="CB4" s="307">
        <v>74</v>
      </c>
      <c r="CC4" s="307">
        <v>75</v>
      </c>
      <c r="CD4" s="307">
        <v>76</v>
      </c>
      <c r="CE4" s="307">
        <v>77</v>
      </c>
      <c r="CF4" s="307">
        <v>78</v>
      </c>
      <c r="CG4" s="307">
        <v>79</v>
      </c>
      <c r="CH4" s="307">
        <v>80</v>
      </c>
      <c r="CI4" s="307">
        <v>81</v>
      </c>
      <c r="CJ4" s="307">
        <v>82</v>
      </c>
      <c r="CK4" s="307">
        <v>83</v>
      </c>
      <c r="CL4" s="307">
        <v>84</v>
      </c>
      <c r="CM4" s="307">
        <v>85</v>
      </c>
      <c r="CN4" s="307">
        <v>86</v>
      </c>
      <c r="CO4" s="307">
        <v>87</v>
      </c>
      <c r="CP4" s="307">
        <v>88</v>
      </c>
      <c r="CQ4" s="307">
        <v>89</v>
      </c>
      <c r="CR4" s="307">
        <v>90</v>
      </c>
      <c r="CS4" s="307">
        <v>91</v>
      </c>
      <c r="CT4" s="307">
        <v>92</v>
      </c>
      <c r="CU4" s="307">
        <v>93</v>
      </c>
      <c r="CV4" s="307">
        <v>94</v>
      </c>
      <c r="CW4" s="307">
        <v>95</v>
      </c>
      <c r="CX4" s="307">
        <v>96</v>
      </c>
      <c r="CY4" s="307">
        <v>97</v>
      </c>
      <c r="CZ4" s="307">
        <v>98</v>
      </c>
      <c r="DA4" s="307">
        <v>99</v>
      </c>
      <c r="DB4" s="307">
        <v>100</v>
      </c>
      <c r="DC4" s="307">
        <v>101</v>
      </c>
      <c r="DD4" s="307">
        <v>102</v>
      </c>
      <c r="DE4" s="307">
        <v>103</v>
      </c>
      <c r="DF4" s="307">
        <v>104</v>
      </c>
      <c r="DG4" s="307">
        <v>105</v>
      </c>
      <c r="DH4" s="307">
        <v>106</v>
      </c>
      <c r="DI4" s="307">
        <v>107</v>
      </c>
      <c r="DJ4" s="307">
        <v>108</v>
      </c>
      <c r="DK4" s="307">
        <v>109</v>
      </c>
      <c r="DL4" s="307">
        <v>110</v>
      </c>
      <c r="DM4" s="307">
        <v>111</v>
      </c>
      <c r="DN4" s="307">
        <v>112</v>
      </c>
      <c r="DO4" s="307">
        <v>113</v>
      </c>
      <c r="DP4" s="307">
        <v>114</v>
      </c>
      <c r="DQ4" s="307">
        <v>115</v>
      </c>
      <c r="DR4" s="307">
        <v>116</v>
      </c>
      <c r="DS4" s="307">
        <v>117</v>
      </c>
      <c r="DT4" s="307">
        <v>118</v>
      </c>
      <c r="DU4" s="307">
        <v>119</v>
      </c>
      <c r="DV4" s="307">
        <v>120</v>
      </c>
      <c r="DW4" s="158">
        <v>121</v>
      </c>
    </row>
  </sheetData>
  <protectedRanges>
    <protectedRange sqref="C4" name="Range1_2"/>
  </protectedRanges>
  <autoFilter ref="A4:DW4" xr:uid="{06513A0C-FD4A-4AD0-9E5D-5A0B20BBEAF6}"/>
  <mergeCells count="1">
    <mergeCell ref="F3:DV3"/>
  </mergeCells>
  <conditionalFormatting sqref="F1:DV1">
    <cfRule type="cellIs" dxfId="4" priority="12566" operator="between">
      <formula>0.00000000001</formula>
      <formula>1.99999999</formula>
    </cfRule>
    <cfRule type="cellIs" dxfId="3" priority="12567" operator="between">
      <formula>2</formula>
      <formula>2.999999999</formula>
    </cfRule>
    <cfRule type="cellIs" dxfId="2" priority="12568" operator="between">
      <formula>3</formula>
      <formula>3.9999999999</formula>
    </cfRule>
    <cfRule type="cellIs" dxfId="1" priority="12569" operator="greaterThanOrEqual">
      <formula>5</formula>
    </cfRule>
    <cfRule type="cellIs" dxfId="0" priority="12574" operator="between">
      <formula>4</formula>
      <formula>4.99999999999999</formula>
    </cfRule>
  </conditionalFormatting>
  <pageMargins left="0.74803149606299213" right="0.74803149606299213" top="0.98425196850393704" bottom="0.98425196850393704" header="0.51181102362204722" footer="0.51181102362204722"/>
  <pageSetup paperSize="8" orientation="landscape" r:id="rId1"/>
  <headerFooter alignWithMargins="0">
    <oddHeader>&amp;LStructures Asset Management Planning Toolkit</oddHeader>
    <oddFooter>&amp;L&amp;A&amp;R&amp;P of &amp;N</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_Ref00">
    <tabColor rgb="FFFFFF85"/>
  </sheetPr>
  <dimension ref="B2:H49"/>
  <sheetViews>
    <sheetView showGridLines="0" zoomScale="70" zoomScaleNormal="70" workbookViewId="0">
      <selection activeCell="B5" sqref="B5"/>
    </sheetView>
  </sheetViews>
  <sheetFormatPr defaultColWidth="9.140625" defaultRowHeight="12.75" customHeight="1" x14ac:dyDescent="0.2"/>
  <cols>
    <col min="1" max="1" width="3.7109375" style="19" customWidth="1"/>
    <col min="2" max="2" width="52.140625" style="19" bestFit="1" customWidth="1"/>
    <col min="3" max="3" width="36.5703125" style="19" customWidth="1"/>
    <col min="4" max="7" width="10.85546875" style="19" customWidth="1"/>
    <col min="8" max="8" width="11.7109375" style="19" customWidth="1"/>
    <col min="9" max="16384" width="9.140625" style="19"/>
  </cols>
  <sheetData>
    <row r="2" spans="2:8" x14ac:dyDescent="0.2">
      <c r="B2" s="310" t="s">
        <v>216</v>
      </c>
      <c r="C2" s="310" t="s">
        <v>215</v>
      </c>
    </row>
    <row r="3" spans="2:8" x14ac:dyDescent="0.2">
      <c r="B3" s="309" t="s">
        <v>214</v>
      </c>
      <c r="C3" s="309">
        <v>1</v>
      </c>
    </row>
    <row r="4" spans="2:8" x14ac:dyDescent="0.2">
      <c r="B4" s="309" t="s">
        <v>20</v>
      </c>
      <c r="C4" s="309">
        <v>2</v>
      </c>
    </row>
    <row r="5" spans="2:8" x14ac:dyDescent="0.2">
      <c r="B5" s="309" t="s">
        <v>15</v>
      </c>
      <c r="C5" s="309">
        <v>3</v>
      </c>
    </row>
    <row r="7" spans="2:8" ht="25.5" x14ac:dyDescent="0.2">
      <c r="B7" s="310" t="s">
        <v>213</v>
      </c>
      <c r="C7" s="310" t="s">
        <v>212</v>
      </c>
    </row>
    <row r="8" spans="2:8" x14ac:dyDescent="0.2">
      <c r="B8" s="309" t="s">
        <v>55</v>
      </c>
      <c r="C8" s="309">
        <v>1</v>
      </c>
    </row>
    <row r="9" spans="2:8" x14ac:dyDescent="0.2">
      <c r="B9" s="309" t="s">
        <v>59</v>
      </c>
      <c r="C9" s="309">
        <v>0</v>
      </c>
    </row>
    <row r="11" spans="2:8" x14ac:dyDescent="0.2">
      <c r="B11" s="576" t="s">
        <v>211</v>
      </c>
      <c r="C11" s="576"/>
      <c r="D11" s="577" t="s">
        <v>210</v>
      </c>
      <c r="E11" s="577"/>
      <c r="F11" s="577"/>
      <c r="G11" s="577"/>
    </row>
    <row r="12" spans="2:8" ht="25.5" x14ac:dyDescent="0.2">
      <c r="B12" s="313" t="s">
        <v>209</v>
      </c>
      <c r="C12" s="313" t="s">
        <v>208</v>
      </c>
      <c r="D12" s="313" t="s">
        <v>207</v>
      </c>
      <c r="E12" s="313" t="s">
        <v>206</v>
      </c>
      <c r="F12" s="313" t="s">
        <v>205</v>
      </c>
      <c r="G12" s="313" t="s">
        <v>204</v>
      </c>
      <c r="H12" s="310" t="s">
        <v>203</v>
      </c>
    </row>
    <row r="13" spans="2:8" x14ac:dyDescent="0.2">
      <c r="B13" s="309" t="s">
        <v>66</v>
      </c>
      <c r="C13" s="309">
        <v>1</v>
      </c>
      <c r="D13" s="309"/>
      <c r="E13" s="309"/>
      <c r="F13" s="309"/>
      <c r="G13" s="309"/>
      <c r="H13" s="309">
        <v>1E-3</v>
      </c>
    </row>
    <row r="14" spans="2:8" x14ac:dyDescent="0.2">
      <c r="B14" s="309" t="s">
        <v>56</v>
      </c>
      <c r="C14" s="309">
        <v>2</v>
      </c>
      <c r="D14" s="309">
        <v>2.5000000000000001E-2</v>
      </c>
      <c r="E14" s="309"/>
      <c r="F14" s="309"/>
      <c r="G14" s="309"/>
      <c r="H14" s="309">
        <v>2.5000000000000001E-2</v>
      </c>
    </row>
    <row r="15" spans="2:8" x14ac:dyDescent="0.2">
      <c r="B15" s="309" t="s">
        <v>72</v>
      </c>
      <c r="C15" s="309">
        <v>2.1</v>
      </c>
      <c r="D15" s="309">
        <v>7.4999999999999997E-2</v>
      </c>
      <c r="E15" s="309"/>
      <c r="F15" s="309"/>
      <c r="G15" s="309"/>
      <c r="H15" s="309">
        <v>7.4999999999999997E-2</v>
      </c>
    </row>
    <row r="16" spans="2:8" x14ac:dyDescent="0.2">
      <c r="B16" s="309" t="s">
        <v>99</v>
      </c>
      <c r="C16" s="309">
        <v>2.2999999999999998</v>
      </c>
      <c r="D16" s="309">
        <v>0.125</v>
      </c>
      <c r="E16" s="309"/>
      <c r="F16" s="309"/>
      <c r="G16" s="309"/>
      <c r="H16" s="309">
        <v>0.125</v>
      </c>
    </row>
    <row r="17" spans="2:8" x14ac:dyDescent="0.2">
      <c r="B17" s="309" t="s">
        <v>60</v>
      </c>
      <c r="C17" s="309">
        <v>2.7</v>
      </c>
      <c r="D17" s="309">
        <v>0.15</v>
      </c>
      <c r="E17" s="309"/>
      <c r="F17" s="309"/>
      <c r="G17" s="309"/>
      <c r="H17" s="309">
        <v>0.15</v>
      </c>
    </row>
    <row r="18" spans="2:8" x14ac:dyDescent="0.2">
      <c r="B18" s="309" t="s">
        <v>94</v>
      </c>
      <c r="C18" s="309">
        <v>3</v>
      </c>
      <c r="D18" s="309">
        <v>0.125</v>
      </c>
      <c r="E18" s="309">
        <v>2.5000000000000001E-2</v>
      </c>
      <c r="F18" s="309"/>
      <c r="G18" s="309"/>
      <c r="H18" s="309">
        <v>0.15</v>
      </c>
    </row>
    <row r="19" spans="2:8" x14ac:dyDescent="0.2">
      <c r="B19" s="309" t="s">
        <v>84</v>
      </c>
      <c r="C19" s="309">
        <v>3.1</v>
      </c>
      <c r="D19" s="309">
        <v>0.125</v>
      </c>
      <c r="E19" s="309">
        <v>7.4999999999999997E-2</v>
      </c>
      <c r="F19" s="309"/>
      <c r="G19" s="309"/>
      <c r="H19" s="309">
        <v>0.2</v>
      </c>
    </row>
    <row r="20" spans="2:8" x14ac:dyDescent="0.2">
      <c r="B20" s="309" t="s">
        <v>123</v>
      </c>
      <c r="C20" s="309">
        <v>3.3</v>
      </c>
      <c r="D20" s="309">
        <v>0.1</v>
      </c>
      <c r="E20" s="309">
        <v>0.125</v>
      </c>
      <c r="F20" s="309"/>
      <c r="G20" s="309"/>
      <c r="H20" s="309">
        <v>0.22500000000000001</v>
      </c>
    </row>
    <row r="21" spans="2:8" x14ac:dyDescent="0.2">
      <c r="B21" s="309" t="s">
        <v>75</v>
      </c>
      <c r="C21" s="309">
        <v>3.7</v>
      </c>
      <c r="D21" s="309">
        <v>0.1</v>
      </c>
      <c r="E21" s="309">
        <v>0.15</v>
      </c>
      <c r="F21" s="309"/>
      <c r="G21" s="309"/>
      <c r="H21" s="309">
        <v>0.25</v>
      </c>
    </row>
    <row r="22" spans="2:8" x14ac:dyDescent="0.2">
      <c r="B22" s="309" t="s">
        <v>63</v>
      </c>
      <c r="C22" s="309">
        <v>4</v>
      </c>
      <c r="D22" s="309">
        <v>0.1</v>
      </c>
      <c r="E22" s="309">
        <v>0.125</v>
      </c>
      <c r="F22" s="309">
        <v>2.5000000000000001E-2</v>
      </c>
      <c r="G22" s="309"/>
      <c r="H22" s="309">
        <v>0.25</v>
      </c>
    </row>
    <row r="23" spans="2:8" x14ac:dyDescent="0.2">
      <c r="B23" s="309" t="s">
        <v>140</v>
      </c>
      <c r="C23" s="309">
        <v>4.0999999999999996</v>
      </c>
      <c r="D23" s="309">
        <v>0.1</v>
      </c>
      <c r="E23" s="309">
        <v>0.125</v>
      </c>
      <c r="F23" s="309">
        <v>7.4999999999999997E-2</v>
      </c>
      <c r="G23" s="309"/>
      <c r="H23" s="309">
        <v>0.3</v>
      </c>
    </row>
    <row r="24" spans="2:8" x14ac:dyDescent="0.2">
      <c r="B24" s="309" t="s">
        <v>121</v>
      </c>
      <c r="C24" s="309">
        <v>4.3</v>
      </c>
      <c r="D24" s="309">
        <v>0.1</v>
      </c>
      <c r="E24" s="309">
        <v>0.125</v>
      </c>
      <c r="F24" s="309">
        <v>0.125</v>
      </c>
      <c r="G24" s="309"/>
      <c r="H24" s="309">
        <v>0.35</v>
      </c>
    </row>
    <row r="25" spans="2:8" x14ac:dyDescent="0.2">
      <c r="B25" s="309" t="s">
        <v>87</v>
      </c>
      <c r="C25" s="309">
        <v>4.7</v>
      </c>
      <c r="D25" s="309">
        <v>0.1</v>
      </c>
      <c r="E25" s="309">
        <v>0.125</v>
      </c>
      <c r="F25" s="309">
        <v>0.15</v>
      </c>
      <c r="G25" s="309"/>
      <c r="H25" s="309">
        <v>0.375</v>
      </c>
    </row>
    <row r="26" spans="2:8" x14ac:dyDescent="0.2">
      <c r="B26" s="309" t="s">
        <v>125</v>
      </c>
      <c r="C26" s="309">
        <v>5</v>
      </c>
      <c r="D26" s="309">
        <v>0.1</v>
      </c>
      <c r="E26" s="309">
        <v>0.125</v>
      </c>
      <c r="F26" s="309">
        <v>0.125</v>
      </c>
      <c r="G26" s="309">
        <v>2.5000000000000001E-2</v>
      </c>
      <c r="H26" s="309">
        <v>0.375</v>
      </c>
    </row>
    <row r="27" spans="2:8" x14ac:dyDescent="0.2">
      <c r="B27" s="309" t="s">
        <v>134</v>
      </c>
      <c r="C27" s="309">
        <v>5.0000000000010001</v>
      </c>
      <c r="D27" s="309">
        <v>0.1</v>
      </c>
      <c r="E27" s="309">
        <v>0.125</v>
      </c>
      <c r="F27" s="309">
        <v>0.125</v>
      </c>
      <c r="G27" s="309">
        <v>7.4999999999999997E-2</v>
      </c>
      <c r="H27" s="309">
        <v>0.42499999999999999</v>
      </c>
    </row>
    <row r="28" spans="2:8" x14ac:dyDescent="0.2">
      <c r="B28" s="309" t="s">
        <v>141</v>
      </c>
      <c r="C28" s="309">
        <v>5.0000000000020002</v>
      </c>
      <c r="D28" s="309">
        <v>0.125</v>
      </c>
      <c r="E28" s="309">
        <v>0.125</v>
      </c>
      <c r="F28" s="309">
        <v>0.125</v>
      </c>
      <c r="G28" s="309">
        <v>0.2</v>
      </c>
      <c r="H28" s="309">
        <v>0.57499999999999996</v>
      </c>
    </row>
    <row r="29" spans="2:8" x14ac:dyDescent="0.2">
      <c r="B29" s="309" t="s">
        <v>69</v>
      </c>
      <c r="C29" s="309">
        <v>5.0000000000030003</v>
      </c>
      <c r="D29" s="309"/>
      <c r="E29" s="309"/>
      <c r="F29" s="309">
        <v>0.2</v>
      </c>
      <c r="G29" s="309">
        <v>0.5</v>
      </c>
      <c r="H29" s="309">
        <v>0.7</v>
      </c>
    </row>
    <row r="31" spans="2:8" x14ac:dyDescent="0.2">
      <c r="B31" s="310" t="s">
        <v>202</v>
      </c>
      <c r="C31" s="310" t="s">
        <v>188</v>
      </c>
    </row>
    <row r="32" spans="2:8" x14ac:dyDescent="0.2">
      <c r="B32" s="309" t="s">
        <v>13</v>
      </c>
      <c r="C32" s="309">
        <v>1</v>
      </c>
    </row>
    <row r="33" spans="2:3" x14ac:dyDescent="0.2">
      <c r="B33" s="309" t="s">
        <v>201</v>
      </c>
      <c r="C33" s="309">
        <v>1.2</v>
      </c>
    </row>
    <row r="34" spans="2:3" x14ac:dyDescent="0.2">
      <c r="B34" s="309" t="s">
        <v>30</v>
      </c>
      <c r="C34" s="309">
        <v>1.5</v>
      </c>
    </row>
    <row r="35" spans="2:3" x14ac:dyDescent="0.2">
      <c r="B35" s="309" t="s">
        <v>200</v>
      </c>
      <c r="C35" s="309">
        <v>2</v>
      </c>
    </row>
    <row r="37" spans="2:3" x14ac:dyDescent="0.2">
      <c r="B37" s="310" t="s">
        <v>199</v>
      </c>
    </row>
    <row r="38" spans="2:3" x14ac:dyDescent="0.2">
      <c r="B38" s="309" t="s">
        <v>198</v>
      </c>
    </row>
    <row r="39" spans="2:3" x14ac:dyDescent="0.2">
      <c r="B39" s="309" t="s">
        <v>197</v>
      </c>
    </row>
    <row r="40" spans="2:3" x14ac:dyDescent="0.2">
      <c r="B40" s="309" t="s">
        <v>196</v>
      </c>
    </row>
    <row r="42" spans="2:3" x14ac:dyDescent="0.2">
      <c r="B42" s="310" t="s">
        <v>195</v>
      </c>
    </row>
    <row r="43" spans="2:3" x14ac:dyDescent="0.2">
      <c r="B43" s="309" t="s">
        <v>194</v>
      </c>
    </row>
    <row r="44" spans="2:3" x14ac:dyDescent="0.2">
      <c r="B44" s="309" t="s">
        <v>193</v>
      </c>
    </row>
    <row r="45" spans="2:3" x14ac:dyDescent="0.2">
      <c r="B45" s="309" t="s">
        <v>192</v>
      </c>
    </row>
    <row r="47" spans="2:3" x14ac:dyDescent="0.2">
      <c r="B47" s="310" t="s">
        <v>191</v>
      </c>
    </row>
    <row r="48" spans="2:3" x14ac:dyDescent="0.2">
      <c r="B48" s="309" t="s">
        <v>190</v>
      </c>
    </row>
    <row r="49" spans="2:2" x14ac:dyDescent="0.2">
      <c r="B49" s="309" t="s">
        <v>189</v>
      </c>
    </row>
  </sheetData>
  <mergeCells count="2">
    <mergeCell ref="B11:C11"/>
    <mergeCell ref="D11:G11"/>
  </mergeCells>
  <pageMargins left="0.7" right="0.7" top="0.75" bottom="0.75" header="0.3" footer="0.3"/>
  <pageSetup paperSize="8" orientation="landscape" r:id="rId1"/>
  <headerFooter>
    <oddHeader>&amp;LStructures Asset Management Planning Toolkit</oddHeader>
    <oddFooter>&amp;L&amp;A&amp;R&amp;P of &amp;N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_Ref02i">
    <tabColor rgb="FFFFFF85"/>
    <pageSetUpPr fitToPage="1"/>
  </sheetPr>
  <dimension ref="A1:W78"/>
  <sheetViews>
    <sheetView showGridLines="0" zoomScale="70" zoomScaleNormal="70" workbookViewId="0">
      <selection activeCell="B5" sqref="B5"/>
    </sheetView>
  </sheetViews>
  <sheetFormatPr defaultColWidth="9.140625" defaultRowHeight="12.75" customHeight="1" x14ac:dyDescent="0.2"/>
  <cols>
    <col min="1" max="1" width="63.140625" style="19" bestFit="1" customWidth="1"/>
    <col min="2" max="2" width="27.140625" style="19" bestFit="1" customWidth="1"/>
    <col min="3" max="3" width="19.42578125" style="19" bestFit="1" customWidth="1"/>
    <col min="4" max="5" width="18.28515625" style="19" bestFit="1" customWidth="1"/>
    <col min="6" max="6" width="17.140625" style="19" bestFit="1" customWidth="1"/>
    <col min="7" max="7" width="16.140625" style="19" customWidth="1"/>
    <col min="8" max="8" width="16.42578125" style="19" customWidth="1"/>
    <col min="9" max="11" width="20.28515625" style="19" customWidth="1"/>
    <col min="12" max="12" width="14.5703125" style="19" customWidth="1"/>
    <col min="13" max="13" width="16.140625" style="19" customWidth="1"/>
    <col min="14" max="14" width="12.7109375" style="19" customWidth="1"/>
    <col min="15" max="15" width="18.85546875" style="19" customWidth="1"/>
    <col min="16" max="16" width="16.5703125" style="19" customWidth="1"/>
    <col min="17" max="17" width="14.140625" style="19" customWidth="1"/>
    <col min="18" max="18" width="23.28515625" style="19" customWidth="1"/>
    <col min="19" max="19" width="22.140625" style="19" customWidth="1"/>
    <col min="20" max="20" width="18.140625" style="19" customWidth="1"/>
    <col min="21" max="21" width="15.5703125" style="19" customWidth="1"/>
    <col min="22" max="22" width="18.140625" style="19" customWidth="1"/>
    <col min="23" max="23" width="27.5703125" style="19" customWidth="1"/>
    <col min="24" max="16384" width="9.140625" style="19"/>
  </cols>
  <sheetData>
    <row r="1" spans="1:23" ht="54" customHeight="1" x14ac:dyDescent="0.2">
      <c r="A1" s="579" t="s">
        <v>234</v>
      </c>
      <c r="B1" s="579"/>
      <c r="C1" s="578" t="s">
        <v>1089</v>
      </c>
      <c r="D1" s="578"/>
      <c r="E1" s="578"/>
      <c r="F1" s="578"/>
      <c r="G1" s="578"/>
      <c r="H1" s="578"/>
      <c r="I1" s="578"/>
      <c r="J1" s="578"/>
      <c r="K1" s="578"/>
      <c r="L1" s="578"/>
      <c r="M1" s="578"/>
      <c r="N1" s="578"/>
      <c r="O1" s="578"/>
      <c r="P1" s="578"/>
      <c r="Q1" s="578" t="s">
        <v>1090</v>
      </c>
      <c r="R1" s="578"/>
      <c r="S1" s="578"/>
      <c r="T1" s="578"/>
      <c r="U1" s="578"/>
      <c r="V1" s="578"/>
      <c r="W1" s="578"/>
    </row>
    <row r="2" spans="1:23" ht="63.75" x14ac:dyDescent="0.2">
      <c r="A2" s="316" t="s">
        <v>169</v>
      </c>
      <c r="B2" s="316" t="s">
        <v>233</v>
      </c>
      <c r="C2" s="316" t="s">
        <v>116</v>
      </c>
      <c r="D2" s="316" t="s">
        <v>92</v>
      </c>
      <c r="E2" s="316" t="s">
        <v>115</v>
      </c>
      <c r="F2" s="316" t="s">
        <v>90</v>
      </c>
      <c r="G2" s="316" t="s">
        <v>120</v>
      </c>
      <c r="H2" s="316" t="s">
        <v>71</v>
      </c>
      <c r="I2" s="316" t="s">
        <v>158</v>
      </c>
      <c r="J2" s="316" t="s">
        <v>89</v>
      </c>
      <c r="K2" s="316" t="s">
        <v>128</v>
      </c>
      <c r="L2" s="316" t="s">
        <v>126</v>
      </c>
      <c r="M2" s="316" t="s">
        <v>102</v>
      </c>
      <c r="N2" s="316" t="s">
        <v>147</v>
      </c>
      <c r="O2" s="316" t="s">
        <v>146</v>
      </c>
      <c r="P2" s="316" t="s">
        <v>156</v>
      </c>
      <c r="Q2" s="316" t="s">
        <v>232</v>
      </c>
      <c r="R2" s="316" t="s">
        <v>231</v>
      </c>
      <c r="S2" s="316" t="s">
        <v>230</v>
      </c>
      <c r="T2" s="316" t="s">
        <v>229</v>
      </c>
      <c r="U2" s="316" t="s">
        <v>228</v>
      </c>
      <c r="V2" s="316" t="s">
        <v>227</v>
      </c>
      <c r="W2" s="316" t="s">
        <v>226</v>
      </c>
    </row>
    <row r="3" spans="1:23" ht="12.75" customHeight="1" x14ac:dyDescent="0.2">
      <c r="A3" s="314" t="s">
        <v>88</v>
      </c>
      <c r="B3" s="311">
        <v>1</v>
      </c>
      <c r="C3" s="311">
        <v>0</v>
      </c>
      <c r="D3" s="311">
        <v>1</v>
      </c>
      <c r="E3" s="311">
        <v>1</v>
      </c>
      <c r="F3" s="311">
        <v>1</v>
      </c>
      <c r="G3" s="311">
        <v>0</v>
      </c>
      <c r="H3" s="311">
        <v>0</v>
      </c>
      <c r="I3" s="311">
        <v>0</v>
      </c>
      <c r="J3" s="311">
        <v>0</v>
      </c>
      <c r="K3" s="311">
        <v>0</v>
      </c>
      <c r="L3" s="311">
        <v>0</v>
      </c>
      <c r="M3" s="311">
        <v>0</v>
      </c>
      <c r="N3" s="311">
        <v>0</v>
      </c>
      <c r="O3" s="311">
        <v>0</v>
      </c>
      <c r="P3" s="311">
        <v>0</v>
      </c>
      <c r="Q3" s="311">
        <v>0</v>
      </c>
      <c r="R3" s="311">
        <v>1</v>
      </c>
      <c r="S3" s="311">
        <v>0</v>
      </c>
      <c r="T3" s="311">
        <v>0</v>
      </c>
      <c r="U3" s="311">
        <v>1</v>
      </c>
      <c r="V3" s="311">
        <v>1</v>
      </c>
      <c r="W3" s="311">
        <v>1</v>
      </c>
    </row>
    <row r="4" spans="1:23" ht="12.75" customHeight="1" x14ac:dyDescent="0.2">
      <c r="A4" s="314" t="s">
        <v>117</v>
      </c>
      <c r="B4" s="311">
        <v>1</v>
      </c>
      <c r="C4" s="311">
        <v>0</v>
      </c>
      <c r="D4" s="311">
        <v>1</v>
      </c>
      <c r="E4" s="311">
        <v>1</v>
      </c>
      <c r="F4" s="311">
        <v>1</v>
      </c>
      <c r="G4" s="311">
        <v>0</v>
      </c>
      <c r="H4" s="311">
        <v>0</v>
      </c>
      <c r="I4" s="311">
        <v>0</v>
      </c>
      <c r="J4" s="311">
        <v>0</v>
      </c>
      <c r="K4" s="311">
        <v>0</v>
      </c>
      <c r="L4" s="311">
        <v>0</v>
      </c>
      <c r="M4" s="311">
        <v>0</v>
      </c>
      <c r="N4" s="311">
        <v>0</v>
      </c>
      <c r="O4" s="311">
        <v>0</v>
      </c>
      <c r="P4" s="311">
        <v>0</v>
      </c>
      <c r="Q4" s="311">
        <v>0</v>
      </c>
      <c r="R4" s="311">
        <v>1</v>
      </c>
      <c r="S4" s="311">
        <v>0</v>
      </c>
      <c r="T4" s="311">
        <v>0</v>
      </c>
      <c r="U4" s="311">
        <v>1</v>
      </c>
      <c r="V4" s="311">
        <v>1</v>
      </c>
      <c r="W4" s="311">
        <v>1</v>
      </c>
    </row>
    <row r="5" spans="1:23" ht="12.75" customHeight="1" x14ac:dyDescent="0.2">
      <c r="A5" s="314" t="s">
        <v>86</v>
      </c>
      <c r="B5" s="311">
        <v>1</v>
      </c>
      <c r="C5" s="311">
        <v>0</v>
      </c>
      <c r="D5" s="311">
        <v>1</v>
      </c>
      <c r="E5" s="311">
        <v>1</v>
      </c>
      <c r="F5" s="311">
        <v>1</v>
      </c>
      <c r="G5" s="311">
        <v>0</v>
      </c>
      <c r="H5" s="311">
        <v>0</v>
      </c>
      <c r="I5" s="311">
        <v>0</v>
      </c>
      <c r="J5" s="311">
        <v>0</v>
      </c>
      <c r="K5" s="311">
        <v>0</v>
      </c>
      <c r="L5" s="311">
        <v>0</v>
      </c>
      <c r="M5" s="311">
        <v>0</v>
      </c>
      <c r="N5" s="311">
        <v>0</v>
      </c>
      <c r="O5" s="311">
        <v>0</v>
      </c>
      <c r="P5" s="311">
        <v>0</v>
      </c>
      <c r="Q5" s="311">
        <v>0</v>
      </c>
      <c r="R5" s="311">
        <v>1</v>
      </c>
      <c r="S5" s="311">
        <v>0</v>
      </c>
      <c r="T5" s="311">
        <v>0</v>
      </c>
      <c r="U5" s="311">
        <v>1</v>
      </c>
      <c r="V5" s="311">
        <v>1</v>
      </c>
      <c r="W5" s="311">
        <v>1</v>
      </c>
    </row>
    <row r="6" spans="1:23" ht="12.75" customHeight="1" x14ac:dyDescent="0.2">
      <c r="A6" s="314" t="s">
        <v>159</v>
      </c>
      <c r="B6" s="311">
        <v>2</v>
      </c>
      <c r="C6" s="311">
        <v>0</v>
      </c>
      <c r="D6" s="311">
        <v>1</v>
      </c>
      <c r="E6" s="311">
        <v>1</v>
      </c>
      <c r="F6" s="311">
        <v>0</v>
      </c>
      <c r="G6" s="311">
        <v>0</v>
      </c>
      <c r="H6" s="311">
        <v>0</v>
      </c>
      <c r="I6" s="311">
        <v>0</v>
      </c>
      <c r="J6" s="311">
        <v>0</v>
      </c>
      <c r="K6" s="311">
        <v>0</v>
      </c>
      <c r="L6" s="311">
        <v>0</v>
      </c>
      <c r="M6" s="311">
        <v>0</v>
      </c>
      <c r="N6" s="311">
        <v>0</v>
      </c>
      <c r="O6" s="311">
        <v>0</v>
      </c>
      <c r="P6" s="311">
        <v>0</v>
      </c>
      <c r="Q6" s="311">
        <v>0</v>
      </c>
      <c r="R6" s="311">
        <v>1</v>
      </c>
      <c r="S6" s="311">
        <v>0</v>
      </c>
      <c r="T6" s="311">
        <v>0</v>
      </c>
      <c r="U6" s="311">
        <v>0</v>
      </c>
      <c r="V6" s="311">
        <v>0</v>
      </c>
      <c r="W6" s="311">
        <v>0</v>
      </c>
    </row>
    <row r="7" spans="1:23" ht="12.75" customHeight="1" x14ac:dyDescent="0.2">
      <c r="A7" s="314" t="s">
        <v>83</v>
      </c>
      <c r="B7" s="311">
        <v>1</v>
      </c>
      <c r="C7" s="311">
        <v>0</v>
      </c>
      <c r="D7" s="311">
        <v>1</v>
      </c>
      <c r="E7" s="311">
        <v>1</v>
      </c>
      <c r="F7" s="311">
        <v>1</v>
      </c>
      <c r="G7" s="311">
        <v>0</v>
      </c>
      <c r="H7" s="311">
        <v>0</v>
      </c>
      <c r="I7" s="311">
        <v>0</v>
      </c>
      <c r="J7" s="311">
        <v>0</v>
      </c>
      <c r="K7" s="311">
        <v>0</v>
      </c>
      <c r="L7" s="311">
        <v>0</v>
      </c>
      <c r="M7" s="311">
        <v>0</v>
      </c>
      <c r="N7" s="311">
        <v>0</v>
      </c>
      <c r="O7" s="311">
        <v>0</v>
      </c>
      <c r="P7" s="311">
        <v>0</v>
      </c>
      <c r="Q7" s="311">
        <v>0</v>
      </c>
      <c r="R7" s="311">
        <v>1</v>
      </c>
      <c r="S7" s="311">
        <v>0</v>
      </c>
      <c r="T7" s="311">
        <v>0</v>
      </c>
      <c r="U7" s="311">
        <v>1</v>
      </c>
      <c r="V7" s="311">
        <v>1</v>
      </c>
      <c r="W7" s="311">
        <v>1</v>
      </c>
    </row>
    <row r="8" spans="1:23" ht="12.75" customHeight="1" x14ac:dyDescent="0.2">
      <c r="A8" s="314" t="s">
        <v>129</v>
      </c>
      <c r="B8" s="311">
        <v>1</v>
      </c>
      <c r="C8" s="311">
        <v>0</v>
      </c>
      <c r="D8" s="311">
        <v>1</v>
      </c>
      <c r="E8" s="311">
        <v>1</v>
      </c>
      <c r="F8" s="311">
        <v>1</v>
      </c>
      <c r="G8" s="311">
        <v>0</v>
      </c>
      <c r="H8" s="311">
        <v>0</v>
      </c>
      <c r="I8" s="311">
        <v>0</v>
      </c>
      <c r="J8" s="311">
        <v>0</v>
      </c>
      <c r="K8" s="311">
        <v>0</v>
      </c>
      <c r="L8" s="311">
        <v>0</v>
      </c>
      <c r="M8" s="311">
        <v>0</v>
      </c>
      <c r="N8" s="311">
        <v>0</v>
      </c>
      <c r="O8" s="311">
        <v>0</v>
      </c>
      <c r="P8" s="311">
        <v>0</v>
      </c>
      <c r="Q8" s="311">
        <v>0</v>
      </c>
      <c r="R8" s="311">
        <v>1</v>
      </c>
      <c r="S8" s="311">
        <v>0</v>
      </c>
      <c r="T8" s="311">
        <v>0</v>
      </c>
      <c r="U8" s="311">
        <v>1</v>
      </c>
      <c r="V8" s="311">
        <v>1</v>
      </c>
      <c r="W8" s="311">
        <v>1</v>
      </c>
    </row>
    <row r="9" spans="1:23" ht="12.75" customHeight="1" x14ac:dyDescent="0.2">
      <c r="A9" s="314" t="s">
        <v>130</v>
      </c>
      <c r="B9" s="311">
        <v>1</v>
      </c>
      <c r="C9" s="311">
        <v>0</v>
      </c>
      <c r="D9" s="311">
        <v>1</v>
      </c>
      <c r="E9" s="311">
        <v>1</v>
      </c>
      <c r="F9" s="311">
        <v>1</v>
      </c>
      <c r="G9" s="311">
        <v>0</v>
      </c>
      <c r="H9" s="311">
        <v>0</v>
      </c>
      <c r="I9" s="311">
        <v>0</v>
      </c>
      <c r="J9" s="311">
        <v>0</v>
      </c>
      <c r="K9" s="311">
        <v>0</v>
      </c>
      <c r="L9" s="311">
        <v>0</v>
      </c>
      <c r="M9" s="311">
        <v>0</v>
      </c>
      <c r="N9" s="311">
        <v>0</v>
      </c>
      <c r="O9" s="311">
        <v>0</v>
      </c>
      <c r="P9" s="311">
        <v>0</v>
      </c>
      <c r="Q9" s="311">
        <v>0</v>
      </c>
      <c r="R9" s="311">
        <v>1</v>
      </c>
      <c r="S9" s="311">
        <v>0</v>
      </c>
      <c r="T9" s="311">
        <v>0</v>
      </c>
      <c r="U9" s="311">
        <v>1</v>
      </c>
      <c r="V9" s="311">
        <v>1</v>
      </c>
      <c r="W9" s="311">
        <v>1</v>
      </c>
    </row>
    <row r="10" spans="1:23" ht="12.75" customHeight="1" x14ac:dyDescent="0.2">
      <c r="A10" s="314" t="s">
        <v>81</v>
      </c>
      <c r="B10" s="311">
        <v>6</v>
      </c>
      <c r="C10" s="311">
        <v>0</v>
      </c>
      <c r="D10" s="311">
        <v>0</v>
      </c>
      <c r="E10" s="311">
        <v>0</v>
      </c>
      <c r="F10" s="311">
        <v>0</v>
      </c>
      <c r="G10" s="311">
        <v>0</v>
      </c>
      <c r="H10" s="311">
        <v>0</v>
      </c>
      <c r="I10" s="311">
        <v>0</v>
      </c>
      <c r="J10" s="311">
        <v>0</v>
      </c>
      <c r="K10" s="311">
        <v>0</v>
      </c>
      <c r="L10" s="311">
        <v>0</v>
      </c>
      <c r="M10" s="311">
        <v>0</v>
      </c>
      <c r="N10" s="311">
        <v>0</v>
      </c>
      <c r="O10" s="311">
        <v>0</v>
      </c>
      <c r="P10" s="311">
        <v>0</v>
      </c>
      <c r="Q10" s="311">
        <v>0</v>
      </c>
      <c r="R10" s="311">
        <v>0</v>
      </c>
      <c r="S10" s="311">
        <v>0</v>
      </c>
      <c r="T10" s="311">
        <v>0</v>
      </c>
      <c r="U10" s="311">
        <v>0</v>
      </c>
      <c r="V10" s="311">
        <v>0</v>
      </c>
      <c r="W10" s="311">
        <v>0</v>
      </c>
    </row>
    <row r="11" spans="1:23" ht="12.75" customHeight="1" x14ac:dyDescent="0.2">
      <c r="A11" s="314" t="s">
        <v>79</v>
      </c>
      <c r="B11" s="311">
        <v>3</v>
      </c>
      <c r="C11" s="311">
        <v>0</v>
      </c>
      <c r="D11" s="311">
        <v>1</v>
      </c>
      <c r="E11" s="311">
        <v>1</v>
      </c>
      <c r="F11" s="311">
        <v>0</v>
      </c>
      <c r="G11" s="311">
        <v>1</v>
      </c>
      <c r="H11" s="311">
        <v>0</v>
      </c>
      <c r="I11" s="311">
        <v>1</v>
      </c>
      <c r="J11" s="311">
        <v>1</v>
      </c>
      <c r="K11" s="311">
        <v>1</v>
      </c>
      <c r="L11" s="311">
        <v>0</v>
      </c>
      <c r="M11" s="311">
        <v>0</v>
      </c>
      <c r="N11" s="311">
        <v>0</v>
      </c>
      <c r="O11" s="311">
        <v>0</v>
      </c>
      <c r="P11" s="311">
        <v>0</v>
      </c>
      <c r="Q11" s="311">
        <v>0</v>
      </c>
      <c r="R11" s="311">
        <v>1</v>
      </c>
      <c r="S11" s="311">
        <v>0</v>
      </c>
      <c r="T11" s="311">
        <v>1</v>
      </c>
      <c r="U11" s="311">
        <v>1</v>
      </c>
      <c r="V11" s="311">
        <v>1</v>
      </c>
      <c r="W11" s="311">
        <v>1</v>
      </c>
    </row>
    <row r="12" spans="1:23" ht="12.75" customHeight="1" x14ac:dyDescent="0.2">
      <c r="A12" s="314" t="s">
        <v>98</v>
      </c>
      <c r="B12" s="311">
        <v>2</v>
      </c>
      <c r="C12" s="311">
        <v>0</v>
      </c>
      <c r="D12" s="311">
        <v>1</v>
      </c>
      <c r="E12" s="311">
        <v>1</v>
      </c>
      <c r="F12" s="311">
        <v>0</v>
      </c>
      <c r="G12" s="311">
        <v>0</v>
      </c>
      <c r="H12" s="311">
        <v>0</v>
      </c>
      <c r="I12" s="311">
        <v>0</v>
      </c>
      <c r="J12" s="311">
        <v>0</v>
      </c>
      <c r="K12" s="311">
        <v>0</v>
      </c>
      <c r="L12" s="311">
        <v>0</v>
      </c>
      <c r="M12" s="311">
        <v>0</v>
      </c>
      <c r="N12" s="311">
        <v>0</v>
      </c>
      <c r="O12" s="311">
        <v>0</v>
      </c>
      <c r="P12" s="311">
        <v>0</v>
      </c>
      <c r="Q12" s="311">
        <v>0</v>
      </c>
      <c r="R12" s="311">
        <v>1</v>
      </c>
      <c r="S12" s="311">
        <v>0</v>
      </c>
      <c r="T12" s="311">
        <v>0</v>
      </c>
      <c r="U12" s="311">
        <v>0</v>
      </c>
      <c r="V12" s="311">
        <v>0</v>
      </c>
      <c r="W12" s="311">
        <v>0</v>
      </c>
    </row>
    <row r="13" spans="1:23" ht="12.75" customHeight="1" x14ac:dyDescent="0.2">
      <c r="A13" s="314" t="s">
        <v>112</v>
      </c>
      <c r="B13" s="311">
        <v>3</v>
      </c>
      <c r="C13" s="311">
        <v>0</v>
      </c>
      <c r="D13" s="311">
        <v>1</v>
      </c>
      <c r="E13" s="311">
        <v>1</v>
      </c>
      <c r="F13" s="311">
        <v>0</v>
      </c>
      <c r="G13" s="311">
        <v>1</v>
      </c>
      <c r="H13" s="311">
        <v>0</v>
      </c>
      <c r="I13" s="311">
        <v>1</v>
      </c>
      <c r="J13" s="311">
        <v>1</v>
      </c>
      <c r="K13" s="311">
        <v>1</v>
      </c>
      <c r="L13" s="311">
        <v>0</v>
      </c>
      <c r="M13" s="311">
        <v>0</v>
      </c>
      <c r="N13" s="311">
        <v>0</v>
      </c>
      <c r="O13" s="311">
        <v>0</v>
      </c>
      <c r="P13" s="311">
        <v>0</v>
      </c>
      <c r="Q13" s="311">
        <v>0</v>
      </c>
      <c r="R13" s="311">
        <v>1</v>
      </c>
      <c r="S13" s="311">
        <v>0</v>
      </c>
      <c r="T13" s="311">
        <v>1</v>
      </c>
      <c r="U13" s="311">
        <v>1</v>
      </c>
      <c r="V13" s="311">
        <v>1</v>
      </c>
      <c r="W13" s="311">
        <v>1</v>
      </c>
    </row>
    <row r="14" spans="1:23" ht="12.75" customHeight="1" x14ac:dyDescent="0.2">
      <c r="A14" s="314" t="s">
        <v>131</v>
      </c>
      <c r="B14" s="311">
        <v>2</v>
      </c>
      <c r="C14" s="311">
        <v>0</v>
      </c>
      <c r="D14" s="311">
        <v>1</v>
      </c>
      <c r="E14" s="311">
        <v>1</v>
      </c>
      <c r="F14" s="311">
        <v>0</v>
      </c>
      <c r="G14" s="311">
        <v>0</v>
      </c>
      <c r="H14" s="311">
        <v>0</v>
      </c>
      <c r="I14" s="311">
        <v>0</v>
      </c>
      <c r="J14" s="311">
        <v>0</v>
      </c>
      <c r="K14" s="311">
        <v>0</v>
      </c>
      <c r="L14" s="311">
        <v>0</v>
      </c>
      <c r="M14" s="311">
        <v>0</v>
      </c>
      <c r="N14" s="311">
        <v>0</v>
      </c>
      <c r="O14" s="311">
        <v>0</v>
      </c>
      <c r="P14" s="311">
        <v>0</v>
      </c>
      <c r="Q14" s="311">
        <v>0</v>
      </c>
      <c r="R14" s="311">
        <v>1</v>
      </c>
      <c r="S14" s="311">
        <v>0</v>
      </c>
      <c r="T14" s="311">
        <v>0</v>
      </c>
      <c r="U14" s="311">
        <v>0</v>
      </c>
      <c r="V14" s="311">
        <v>0</v>
      </c>
      <c r="W14" s="311">
        <v>0</v>
      </c>
    </row>
    <row r="15" spans="1:23" ht="12.75" customHeight="1" x14ac:dyDescent="0.2">
      <c r="A15" s="314" t="s">
        <v>77</v>
      </c>
      <c r="B15" s="311">
        <v>4</v>
      </c>
      <c r="C15" s="311">
        <v>0</v>
      </c>
      <c r="D15" s="311">
        <v>0</v>
      </c>
      <c r="E15" s="311">
        <v>1</v>
      </c>
      <c r="F15" s="311">
        <v>0</v>
      </c>
      <c r="G15" s="311">
        <v>0</v>
      </c>
      <c r="H15" s="311">
        <v>0</v>
      </c>
      <c r="I15" s="311">
        <v>0</v>
      </c>
      <c r="J15" s="311">
        <v>0</v>
      </c>
      <c r="K15" s="311">
        <v>0</v>
      </c>
      <c r="L15" s="311">
        <v>0</v>
      </c>
      <c r="M15" s="311">
        <v>0</v>
      </c>
      <c r="N15" s="311">
        <v>0</v>
      </c>
      <c r="O15" s="311">
        <v>0</v>
      </c>
      <c r="P15" s="311">
        <v>0</v>
      </c>
      <c r="Q15" s="311">
        <v>0</v>
      </c>
      <c r="R15" s="311">
        <v>1</v>
      </c>
      <c r="S15" s="311">
        <v>0</v>
      </c>
      <c r="T15" s="311">
        <v>0</v>
      </c>
      <c r="U15" s="311">
        <v>0</v>
      </c>
      <c r="V15" s="311">
        <v>0</v>
      </c>
      <c r="W15" s="311">
        <v>0</v>
      </c>
    </row>
    <row r="16" spans="1:23" ht="12.75" customHeight="1" x14ac:dyDescent="0.2">
      <c r="A16" s="314" t="s">
        <v>74</v>
      </c>
      <c r="B16" s="311">
        <v>4</v>
      </c>
      <c r="C16" s="311">
        <v>0</v>
      </c>
      <c r="D16" s="311">
        <v>0</v>
      </c>
      <c r="E16" s="311">
        <v>1</v>
      </c>
      <c r="F16" s="311">
        <v>0</v>
      </c>
      <c r="G16" s="311">
        <v>0</v>
      </c>
      <c r="H16" s="311">
        <v>0</v>
      </c>
      <c r="I16" s="311">
        <v>0</v>
      </c>
      <c r="J16" s="311">
        <v>0</v>
      </c>
      <c r="K16" s="311">
        <v>0</v>
      </c>
      <c r="L16" s="311">
        <v>0</v>
      </c>
      <c r="M16" s="311">
        <v>0</v>
      </c>
      <c r="N16" s="311">
        <v>0</v>
      </c>
      <c r="O16" s="311">
        <v>0</v>
      </c>
      <c r="P16" s="311">
        <v>0</v>
      </c>
      <c r="Q16" s="311">
        <v>0</v>
      </c>
      <c r="R16" s="311">
        <v>1</v>
      </c>
      <c r="S16" s="311">
        <v>0</v>
      </c>
      <c r="T16" s="311">
        <v>0</v>
      </c>
      <c r="U16" s="311">
        <v>0</v>
      </c>
      <c r="V16" s="311">
        <v>0</v>
      </c>
      <c r="W16" s="311">
        <v>0</v>
      </c>
    </row>
    <row r="17" spans="1:23" ht="12.75" customHeight="1" x14ac:dyDescent="0.2">
      <c r="A17" s="314" t="s">
        <v>124</v>
      </c>
      <c r="B17" s="311">
        <v>5</v>
      </c>
      <c r="C17" s="311">
        <v>0</v>
      </c>
      <c r="D17" s="311">
        <v>0</v>
      </c>
      <c r="E17" s="311">
        <v>0</v>
      </c>
      <c r="F17" s="311">
        <v>0</v>
      </c>
      <c r="G17" s="311">
        <v>0</v>
      </c>
      <c r="H17" s="311">
        <v>0</v>
      </c>
      <c r="I17" s="311">
        <v>0</v>
      </c>
      <c r="J17" s="311">
        <v>0</v>
      </c>
      <c r="K17" s="311">
        <v>0</v>
      </c>
      <c r="L17" s="311">
        <v>0</v>
      </c>
      <c r="M17" s="311">
        <v>0</v>
      </c>
      <c r="N17" s="311">
        <v>0</v>
      </c>
      <c r="O17" s="311">
        <v>0</v>
      </c>
      <c r="P17" s="311">
        <v>0</v>
      </c>
      <c r="Q17" s="311">
        <v>0</v>
      </c>
      <c r="R17" s="311">
        <v>1</v>
      </c>
      <c r="S17" s="311">
        <v>0</v>
      </c>
      <c r="T17" s="311">
        <v>1</v>
      </c>
      <c r="U17" s="311">
        <v>0</v>
      </c>
      <c r="V17" s="311">
        <v>0</v>
      </c>
      <c r="W17" s="311">
        <v>0</v>
      </c>
    </row>
    <row r="18" spans="1:23" ht="12.75" customHeight="1" x14ac:dyDescent="0.2">
      <c r="A18" s="314" t="s">
        <v>116</v>
      </c>
      <c r="B18" s="311">
        <v>5</v>
      </c>
      <c r="C18" s="311">
        <v>0</v>
      </c>
      <c r="D18" s="311">
        <v>0</v>
      </c>
      <c r="E18" s="311">
        <v>0</v>
      </c>
      <c r="F18" s="311">
        <v>0</v>
      </c>
      <c r="G18" s="311">
        <v>0</v>
      </c>
      <c r="H18" s="311">
        <v>0</v>
      </c>
      <c r="I18" s="311">
        <v>0</v>
      </c>
      <c r="J18" s="311">
        <v>0</v>
      </c>
      <c r="K18" s="311">
        <v>0</v>
      </c>
      <c r="L18" s="311">
        <v>0</v>
      </c>
      <c r="M18" s="311">
        <v>0</v>
      </c>
      <c r="N18" s="311">
        <v>0</v>
      </c>
      <c r="O18" s="311">
        <v>0</v>
      </c>
      <c r="P18" s="311">
        <v>0</v>
      </c>
      <c r="Q18" s="311">
        <v>0</v>
      </c>
      <c r="R18" s="311">
        <v>1</v>
      </c>
      <c r="S18" s="311">
        <v>0</v>
      </c>
      <c r="T18" s="311">
        <v>1</v>
      </c>
      <c r="U18" s="311">
        <v>0</v>
      </c>
      <c r="V18" s="311">
        <v>0</v>
      </c>
      <c r="W18" s="311">
        <v>0</v>
      </c>
    </row>
    <row r="19" spans="1:23" ht="12.75" customHeight="1" x14ac:dyDescent="0.2">
      <c r="A19" s="314" t="s">
        <v>92</v>
      </c>
      <c r="B19" s="311">
        <v>6</v>
      </c>
      <c r="C19" s="311">
        <v>0</v>
      </c>
      <c r="D19" s="311">
        <v>0</v>
      </c>
      <c r="E19" s="311">
        <v>0</v>
      </c>
      <c r="F19" s="311">
        <v>0</v>
      </c>
      <c r="G19" s="311">
        <v>0</v>
      </c>
      <c r="H19" s="311">
        <v>0</v>
      </c>
      <c r="I19" s="311">
        <v>0</v>
      </c>
      <c r="J19" s="311">
        <v>0</v>
      </c>
      <c r="K19" s="311">
        <v>0</v>
      </c>
      <c r="L19" s="311">
        <v>0</v>
      </c>
      <c r="M19" s="311">
        <v>0</v>
      </c>
      <c r="N19" s="311">
        <v>0</v>
      </c>
      <c r="O19" s="311">
        <v>0</v>
      </c>
      <c r="P19" s="311">
        <v>0</v>
      </c>
      <c r="Q19" s="311">
        <v>0</v>
      </c>
      <c r="R19" s="311">
        <v>0</v>
      </c>
      <c r="S19" s="311">
        <v>0</v>
      </c>
      <c r="T19" s="311">
        <v>0</v>
      </c>
      <c r="U19" s="311">
        <v>0</v>
      </c>
      <c r="V19" s="311">
        <v>0</v>
      </c>
      <c r="W19" s="311">
        <v>0</v>
      </c>
    </row>
    <row r="20" spans="1:23" ht="12.75" customHeight="1" x14ac:dyDescent="0.2">
      <c r="A20" s="314" t="s">
        <v>115</v>
      </c>
      <c r="B20" s="311">
        <v>7</v>
      </c>
      <c r="C20" s="311">
        <v>0</v>
      </c>
      <c r="D20" s="311">
        <v>0</v>
      </c>
      <c r="E20" s="311">
        <v>0</v>
      </c>
      <c r="F20" s="311">
        <v>0</v>
      </c>
      <c r="G20" s="311">
        <v>0</v>
      </c>
      <c r="H20" s="311">
        <v>0</v>
      </c>
      <c r="I20" s="311">
        <v>0</v>
      </c>
      <c r="J20" s="311">
        <v>0</v>
      </c>
      <c r="K20" s="311">
        <v>0</v>
      </c>
      <c r="L20" s="311">
        <v>0</v>
      </c>
      <c r="M20" s="311">
        <v>0</v>
      </c>
      <c r="N20" s="311">
        <v>0</v>
      </c>
      <c r="O20" s="311">
        <v>0</v>
      </c>
      <c r="P20" s="311">
        <v>0</v>
      </c>
      <c r="Q20" s="311">
        <v>0</v>
      </c>
      <c r="R20" s="311">
        <v>0</v>
      </c>
      <c r="S20" s="311">
        <v>1</v>
      </c>
      <c r="T20" s="311">
        <v>0</v>
      </c>
      <c r="U20" s="311">
        <v>0</v>
      </c>
      <c r="V20" s="311">
        <v>0</v>
      </c>
      <c r="W20" s="311">
        <v>0</v>
      </c>
    </row>
    <row r="21" spans="1:23" ht="12.75" customHeight="1" x14ac:dyDescent="0.2">
      <c r="A21" s="314" t="s">
        <v>90</v>
      </c>
      <c r="B21" s="311">
        <v>5</v>
      </c>
      <c r="C21" s="311">
        <v>0</v>
      </c>
      <c r="D21" s="311">
        <v>0</v>
      </c>
      <c r="E21" s="311">
        <v>0</v>
      </c>
      <c r="F21" s="311">
        <v>0</v>
      </c>
      <c r="G21" s="311">
        <v>0</v>
      </c>
      <c r="H21" s="311">
        <v>0</v>
      </c>
      <c r="I21" s="311">
        <v>0</v>
      </c>
      <c r="J21" s="311">
        <v>0</v>
      </c>
      <c r="K21" s="311">
        <v>0</v>
      </c>
      <c r="L21" s="311">
        <v>0</v>
      </c>
      <c r="M21" s="311">
        <v>0</v>
      </c>
      <c r="N21" s="311">
        <v>0</v>
      </c>
      <c r="O21" s="311">
        <v>0</v>
      </c>
      <c r="P21" s="311">
        <v>0</v>
      </c>
      <c r="Q21" s="311">
        <v>0</v>
      </c>
      <c r="R21" s="311">
        <v>1</v>
      </c>
      <c r="S21" s="311">
        <v>0</v>
      </c>
      <c r="T21" s="311">
        <v>1</v>
      </c>
      <c r="U21" s="311">
        <v>0</v>
      </c>
      <c r="V21" s="311">
        <v>0</v>
      </c>
      <c r="W21" s="311">
        <v>0</v>
      </c>
    </row>
    <row r="22" spans="1:23" ht="12.75" customHeight="1" x14ac:dyDescent="0.2">
      <c r="A22" s="314" t="s">
        <v>120</v>
      </c>
      <c r="B22" s="311">
        <v>5</v>
      </c>
      <c r="C22" s="311">
        <v>0</v>
      </c>
      <c r="D22" s="311">
        <v>0</v>
      </c>
      <c r="E22" s="311">
        <v>0</v>
      </c>
      <c r="F22" s="311">
        <v>0</v>
      </c>
      <c r="G22" s="311">
        <v>0</v>
      </c>
      <c r="H22" s="311">
        <v>0</v>
      </c>
      <c r="I22" s="311">
        <v>0</v>
      </c>
      <c r="J22" s="311">
        <v>0</v>
      </c>
      <c r="K22" s="311">
        <v>0</v>
      </c>
      <c r="L22" s="311">
        <v>0</v>
      </c>
      <c r="M22" s="311">
        <v>0</v>
      </c>
      <c r="N22" s="311">
        <v>0</v>
      </c>
      <c r="O22" s="311">
        <v>0</v>
      </c>
      <c r="P22" s="311">
        <v>0</v>
      </c>
      <c r="Q22" s="311">
        <v>0</v>
      </c>
      <c r="R22" s="311">
        <v>1</v>
      </c>
      <c r="S22" s="311">
        <v>0</v>
      </c>
      <c r="T22" s="311">
        <v>1</v>
      </c>
      <c r="U22" s="311">
        <v>0</v>
      </c>
      <c r="V22" s="311">
        <v>0</v>
      </c>
      <c r="W22" s="311">
        <v>0</v>
      </c>
    </row>
    <row r="23" spans="1:23" ht="12.75" customHeight="1" x14ac:dyDescent="0.2">
      <c r="A23" s="314" t="s">
        <v>71</v>
      </c>
      <c r="B23" s="311">
        <v>5</v>
      </c>
      <c r="C23" s="311">
        <v>0</v>
      </c>
      <c r="D23" s="311">
        <v>0</v>
      </c>
      <c r="E23" s="311">
        <v>0</v>
      </c>
      <c r="F23" s="311">
        <v>0</v>
      </c>
      <c r="G23" s="311">
        <v>0</v>
      </c>
      <c r="H23" s="311">
        <v>0</v>
      </c>
      <c r="I23" s="311">
        <v>0</v>
      </c>
      <c r="J23" s="311">
        <v>0</v>
      </c>
      <c r="K23" s="311">
        <v>0</v>
      </c>
      <c r="L23" s="311">
        <v>0</v>
      </c>
      <c r="M23" s="311">
        <v>0</v>
      </c>
      <c r="N23" s="311">
        <v>0</v>
      </c>
      <c r="O23" s="311">
        <v>0</v>
      </c>
      <c r="P23" s="311">
        <v>0</v>
      </c>
      <c r="Q23" s="311">
        <v>0</v>
      </c>
      <c r="R23" s="311">
        <v>1</v>
      </c>
      <c r="S23" s="311">
        <v>0</v>
      </c>
      <c r="T23" s="311">
        <v>1</v>
      </c>
      <c r="U23" s="311">
        <v>0</v>
      </c>
      <c r="V23" s="311">
        <v>0</v>
      </c>
      <c r="W23" s="311">
        <v>0</v>
      </c>
    </row>
    <row r="24" spans="1:23" ht="12.75" customHeight="1" x14ac:dyDescent="0.2">
      <c r="A24" s="314" t="s">
        <v>68</v>
      </c>
      <c r="B24" s="311">
        <v>8</v>
      </c>
      <c r="C24" s="311">
        <v>0</v>
      </c>
      <c r="D24" s="311">
        <v>0</v>
      </c>
      <c r="E24" s="311">
        <v>0</v>
      </c>
      <c r="F24" s="311">
        <v>1</v>
      </c>
      <c r="G24" s="311">
        <v>0</v>
      </c>
      <c r="H24" s="311">
        <v>0</v>
      </c>
      <c r="I24" s="311">
        <v>0</v>
      </c>
      <c r="J24" s="311">
        <v>0</v>
      </c>
      <c r="K24" s="311">
        <v>0</v>
      </c>
      <c r="L24" s="311">
        <v>0</v>
      </c>
      <c r="M24" s="311">
        <v>0</v>
      </c>
      <c r="N24" s="311">
        <v>0</v>
      </c>
      <c r="O24" s="311">
        <v>0</v>
      </c>
      <c r="P24" s="311">
        <v>0</v>
      </c>
      <c r="Q24" s="311">
        <v>0</v>
      </c>
      <c r="R24" s="311">
        <v>1</v>
      </c>
      <c r="S24" s="311">
        <v>0</v>
      </c>
      <c r="T24" s="311">
        <v>0</v>
      </c>
      <c r="U24" s="311">
        <v>1</v>
      </c>
      <c r="V24" s="311">
        <v>1</v>
      </c>
      <c r="W24" s="311">
        <v>1</v>
      </c>
    </row>
    <row r="25" spans="1:23" ht="12.75" customHeight="1" x14ac:dyDescent="0.2">
      <c r="A25" s="314" t="s">
        <v>65</v>
      </c>
      <c r="B25" s="311">
        <v>9</v>
      </c>
      <c r="C25" s="311">
        <v>0</v>
      </c>
      <c r="D25" s="311">
        <v>0</v>
      </c>
      <c r="E25" s="311">
        <v>0</v>
      </c>
      <c r="F25" s="311">
        <v>0</v>
      </c>
      <c r="G25" s="311">
        <v>0</v>
      </c>
      <c r="H25" s="311">
        <v>1</v>
      </c>
      <c r="I25" s="311">
        <v>0</v>
      </c>
      <c r="J25" s="311">
        <v>0</v>
      </c>
      <c r="K25" s="311">
        <v>0</v>
      </c>
      <c r="L25" s="311">
        <v>0</v>
      </c>
      <c r="M25" s="311">
        <v>0</v>
      </c>
      <c r="N25" s="311">
        <v>0</v>
      </c>
      <c r="O25" s="311">
        <v>0</v>
      </c>
      <c r="P25" s="311">
        <v>0</v>
      </c>
      <c r="Q25" s="311">
        <v>0</v>
      </c>
      <c r="R25" s="311">
        <v>1</v>
      </c>
      <c r="S25" s="311">
        <v>0</v>
      </c>
      <c r="T25" s="311">
        <v>0</v>
      </c>
      <c r="U25" s="311">
        <v>0</v>
      </c>
      <c r="V25" s="311">
        <v>0</v>
      </c>
      <c r="W25" s="311">
        <v>1</v>
      </c>
    </row>
    <row r="26" spans="1:23" ht="12.75" customHeight="1" x14ac:dyDescent="0.2">
      <c r="A26" s="314" t="s">
        <v>109</v>
      </c>
      <c r="B26" s="311">
        <v>7</v>
      </c>
      <c r="C26" s="311">
        <v>0</v>
      </c>
      <c r="D26" s="311">
        <v>0</v>
      </c>
      <c r="E26" s="311">
        <v>0</v>
      </c>
      <c r="F26" s="311">
        <v>0</v>
      </c>
      <c r="G26" s="311">
        <v>0</v>
      </c>
      <c r="H26" s="311">
        <v>0</v>
      </c>
      <c r="I26" s="311">
        <v>0</v>
      </c>
      <c r="J26" s="311">
        <v>0</v>
      </c>
      <c r="K26" s="311">
        <v>0</v>
      </c>
      <c r="L26" s="311">
        <v>0</v>
      </c>
      <c r="M26" s="311">
        <v>0</v>
      </c>
      <c r="N26" s="311">
        <v>0</v>
      </c>
      <c r="O26" s="311">
        <v>0</v>
      </c>
      <c r="P26" s="311">
        <v>0</v>
      </c>
      <c r="Q26" s="311">
        <v>0</v>
      </c>
      <c r="R26" s="311">
        <v>0</v>
      </c>
      <c r="S26" s="311">
        <v>1</v>
      </c>
      <c r="T26" s="311">
        <v>0</v>
      </c>
      <c r="U26" s="311">
        <v>0</v>
      </c>
      <c r="V26" s="311">
        <v>0</v>
      </c>
      <c r="W26" s="311">
        <v>0</v>
      </c>
    </row>
    <row r="27" spans="1:23" ht="12.75" customHeight="1" x14ac:dyDescent="0.2">
      <c r="A27" s="314" t="s">
        <v>96</v>
      </c>
      <c r="B27" s="311">
        <v>5</v>
      </c>
      <c r="C27" s="311">
        <v>0</v>
      </c>
      <c r="D27" s="311">
        <v>0</v>
      </c>
      <c r="E27" s="311">
        <v>0</v>
      </c>
      <c r="F27" s="311">
        <v>0</v>
      </c>
      <c r="G27" s="311">
        <v>0</v>
      </c>
      <c r="H27" s="311">
        <v>0</v>
      </c>
      <c r="I27" s="311">
        <v>0</v>
      </c>
      <c r="J27" s="311">
        <v>0</v>
      </c>
      <c r="K27" s="311">
        <v>0</v>
      </c>
      <c r="L27" s="311">
        <v>0</v>
      </c>
      <c r="M27" s="311">
        <v>0</v>
      </c>
      <c r="N27" s="311">
        <v>0</v>
      </c>
      <c r="O27" s="311">
        <v>0</v>
      </c>
      <c r="P27" s="311">
        <v>0</v>
      </c>
      <c r="Q27" s="311">
        <v>0</v>
      </c>
      <c r="R27" s="311">
        <v>1</v>
      </c>
      <c r="S27" s="311">
        <v>0</v>
      </c>
      <c r="T27" s="311">
        <v>1</v>
      </c>
      <c r="U27" s="311">
        <v>0</v>
      </c>
      <c r="V27" s="311">
        <v>0</v>
      </c>
      <c r="W27" s="311">
        <v>0</v>
      </c>
    </row>
    <row r="28" spans="1:23" ht="12.75" customHeight="1" x14ac:dyDescent="0.2">
      <c r="A28" s="314" t="s">
        <v>62</v>
      </c>
      <c r="B28" s="311">
        <v>10</v>
      </c>
      <c r="C28" s="311">
        <v>0</v>
      </c>
      <c r="D28" s="311">
        <v>0</v>
      </c>
      <c r="E28" s="311">
        <v>0</v>
      </c>
      <c r="F28" s="311">
        <v>0</v>
      </c>
      <c r="G28" s="311">
        <v>0</v>
      </c>
      <c r="H28" s="311">
        <v>0</v>
      </c>
      <c r="I28" s="311">
        <v>0</v>
      </c>
      <c r="J28" s="311">
        <v>0</v>
      </c>
      <c r="K28" s="311">
        <v>0</v>
      </c>
      <c r="L28" s="311">
        <v>0</v>
      </c>
      <c r="M28" s="311">
        <v>0</v>
      </c>
      <c r="N28" s="311">
        <v>0</v>
      </c>
      <c r="O28" s="311">
        <v>0</v>
      </c>
      <c r="P28" s="311">
        <v>0</v>
      </c>
      <c r="Q28" s="311">
        <v>0</v>
      </c>
      <c r="R28" s="311">
        <v>0</v>
      </c>
      <c r="S28" s="311">
        <v>0</v>
      </c>
      <c r="T28" s="311">
        <v>1</v>
      </c>
      <c r="U28" s="311">
        <v>0</v>
      </c>
      <c r="V28" s="311">
        <v>0</v>
      </c>
      <c r="W28" s="311">
        <v>0</v>
      </c>
    </row>
    <row r="29" spans="1:23" ht="12.75" customHeight="1" x14ac:dyDescent="0.2">
      <c r="A29" s="314" t="s">
        <v>136</v>
      </c>
      <c r="B29" s="311">
        <v>10</v>
      </c>
      <c r="C29" s="311">
        <v>0</v>
      </c>
      <c r="D29" s="311">
        <v>0</v>
      </c>
      <c r="E29" s="311">
        <v>0</v>
      </c>
      <c r="F29" s="311">
        <v>0</v>
      </c>
      <c r="G29" s="311">
        <v>0</v>
      </c>
      <c r="H29" s="311">
        <v>0</v>
      </c>
      <c r="I29" s="311">
        <v>0</v>
      </c>
      <c r="J29" s="311">
        <v>0</v>
      </c>
      <c r="K29" s="311">
        <v>0</v>
      </c>
      <c r="L29" s="311">
        <v>0</v>
      </c>
      <c r="M29" s="311">
        <v>0</v>
      </c>
      <c r="N29" s="311">
        <v>0</v>
      </c>
      <c r="O29" s="311">
        <v>0</v>
      </c>
      <c r="P29" s="311">
        <v>0</v>
      </c>
      <c r="Q29" s="311">
        <v>0</v>
      </c>
      <c r="R29" s="311">
        <v>0</v>
      </c>
      <c r="S29" s="311">
        <v>0</v>
      </c>
      <c r="T29" s="311">
        <v>1</v>
      </c>
      <c r="U29" s="311">
        <v>0</v>
      </c>
      <c r="V29" s="311">
        <v>0</v>
      </c>
      <c r="W29" s="311">
        <v>0</v>
      </c>
    </row>
    <row r="30" spans="1:23" ht="12.75" customHeight="1" x14ac:dyDescent="0.2">
      <c r="A30" s="314" t="s">
        <v>158</v>
      </c>
      <c r="B30" s="311">
        <v>11</v>
      </c>
      <c r="C30" s="311">
        <v>0</v>
      </c>
      <c r="D30" s="311">
        <v>0</v>
      </c>
      <c r="E30" s="311">
        <v>0</v>
      </c>
      <c r="F30" s="311">
        <v>0</v>
      </c>
      <c r="G30" s="311">
        <v>0</v>
      </c>
      <c r="H30" s="311">
        <v>0</v>
      </c>
      <c r="I30" s="311">
        <v>0</v>
      </c>
      <c r="J30" s="311">
        <v>0</v>
      </c>
      <c r="K30" s="311">
        <v>0</v>
      </c>
      <c r="L30" s="311">
        <v>0</v>
      </c>
      <c r="M30" s="311">
        <v>0</v>
      </c>
      <c r="N30" s="311">
        <v>0</v>
      </c>
      <c r="O30" s="311">
        <v>0</v>
      </c>
      <c r="P30" s="311">
        <v>0</v>
      </c>
      <c r="Q30" s="311">
        <v>0</v>
      </c>
      <c r="R30" s="311">
        <v>0</v>
      </c>
      <c r="S30" s="311">
        <v>0</v>
      </c>
      <c r="T30" s="311">
        <v>1</v>
      </c>
      <c r="U30" s="311">
        <v>1</v>
      </c>
      <c r="V30" s="311">
        <v>1</v>
      </c>
      <c r="W30" s="311">
        <v>0</v>
      </c>
    </row>
    <row r="31" spans="1:23" ht="12.75" customHeight="1" x14ac:dyDescent="0.2">
      <c r="A31" s="314" t="s">
        <v>89</v>
      </c>
      <c r="B31" s="311">
        <v>11</v>
      </c>
      <c r="C31" s="311">
        <v>0</v>
      </c>
      <c r="D31" s="311">
        <v>0</v>
      </c>
      <c r="E31" s="311">
        <v>0</v>
      </c>
      <c r="F31" s="311">
        <v>0</v>
      </c>
      <c r="G31" s="311">
        <v>0</v>
      </c>
      <c r="H31" s="311">
        <v>0</v>
      </c>
      <c r="I31" s="311">
        <v>0</v>
      </c>
      <c r="J31" s="311">
        <v>0</v>
      </c>
      <c r="K31" s="311">
        <v>0</v>
      </c>
      <c r="L31" s="311">
        <v>0</v>
      </c>
      <c r="M31" s="311">
        <v>0</v>
      </c>
      <c r="N31" s="311">
        <v>0</v>
      </c>
      <c r="O31" s="311">
        <v>0</v>
      </c>
      <c r="P31" s="311">
        <v>0</v>
      </c>
      <c r="Q31" s="311">
        <v>0</v>
      </c>
      <c r="R31" s="311">
        <v>0</v>
      </c>
      <c r="S31" s="311">
        <v>0</v>
      </c>
      <c r="T31" s="311">
        <v>1</v>
      </c>
      <c r="U31" s="311">
        <v>1</v>
      </c>
      <c r="V31" s="311">
        <v>1</v>
      </c>
      <c r="W31" s="311">
        <v>0</v>
      </c>
    </row>
    <row r="32" spans="1:23" ht="12.75" customHeight="1" x14ac:dyDescent="0.2">
      <c r="A32" s="314" t="s">
        <v>128</v>
      </c>
      <c r="B32" s="311">
        <v>11</v>
      </c>
      <c r="C32" s="311">
        <v>0</v>
      </c>
      <c r="D32" s="311">
        <v>0</v>
      </c>
      <c r="E32" s="311">
        <v>0</v>
      </c>
      <c r="F32" s="311">
        <v>0</v>
      </c>
      <c r="G32" s="311">
        <v>0</v>
      </c>
      <c r="H32" s="311">
        <v>0</v>
      </c>
      <c r="I32" s="311">
        <v>0</v>
      </c>
      <c r="J32" s="311">
        <v>0</v>
      </c>
      <c r="K32" s="311">
        <v>0</v>
      </c>
      <c r="L32" s="311">
        <v>0</v>
      </c>
      <c r="M32" s="311">
        <v>0</v>
      </c>
      <c r="N32" s="311">
        <v>0</v>
      </c>
      <c r="O32" s="311">
        <v>0</v>
      </c>
      <c r="P32" s="311">
        <v>0</v>
      </c>
      <c r="Q32" s="311">
        <v>0</v>
      </c>
      <c r="R32" s="311">
        <v>0</v>
      </c>
      <c r="S32" s="311">
        <v>0</v>
      </c>
      <c r="T32" s="311">
        <v>1</v>
      </c>
      <c r="U32" s="311">
        <v>1</v>
      </c>
      <c r="V32" s="311">
        <v>1</v>
      </c>
      <c r="W32" s="311">
        <v>0</v>
      </c>
    </row>
    <row r="33" spans="1:23" ht="12.75" customHeight="1" x14ac:dyDescent="0.2">
      <c r="A33" s="314" t="s">
        <v>93</v>
      </c>
      <c r="B33" s="311">
        <v>12</v>
      </c>
      <c r="C33" s="311">
        <v>1</v>
      </c>
      <c r="D33" s="311">
        <v>0</v>
      </c>
      <c r="E33" s="311">
        <v>0</v>
      </c>
      <c r="F33" s="311">
        <v>0</v>
      </c>
      <c r="G33" s="311">
        <v>1</v>
      </c>
      <c r="H33" s="311">
        <v>0</v>
      </c>
      <c r="I33" s="311">
        <v>1</v>
      </c>
      <c r="J33" s="311">
        <v>1</v>
      </c>
      <c r="K33" s="311">
        <v>1</v>
      </c>
      <c r="L33" s="311">
        <v>0</v>
      </c>
      <c r="M33" s="311">
        <v>0</v>
      </c>
      <c r="N33" s="311">
        <v>0</v>
      </c>
      <c r="O33" s="311">
        <v>0</v>
      </c>
      <c r="P33" s="311">
        <v>0</v>
      </c>
      <c r="Q33" s="311">
        <v>0</v>
      </c>
      <c r="R33" s="311">
        <v>0</v>
      </c>
      <c r="S33" s="311">
        <v>0</v>
      </c>
      <c r="T33" s="311">
        <v>1</v>
      </c>
      <c r="U33" s="311">
        <v>1</v>
      </c>
      <c r="V33" s="311">
        <v>1</v>
      </c>
      <c r="W33" s="311">
        <v>1</v>
      </c>
    </row>
    <row r="34" spans="1:23" ht="12.75" customHeight="1" x14ac:dyDescent="0.2">
      <c r="A34" s="314" t="s">
        <v>111</v>
      </c>
      <c r="B34" s="311">
        <v>13</v>
      </c>
      <c r="C34" s="311">
        <v>0</v>
      </c>
      <c r="D34" s="311">
        <v>0</v>
      </c>
      <c r="E34" s="311">
        <v>0</v>
      </c>
      <c r="F34" s="311">
        <v>0</v>
      </c>
      <c r="G34" s="311">
        <v>1</v>
      </c>
      <c r="H34" s="311">
        <v>0</v>
      </c>
      <c r="I34" s="311">
        <v>1</v>
      </c>
      <c r="J34" s="311">
        <v>1</v>
      </c>
      <c r="K34" s="311">
        <v>1</v>
      </c>
      <c r="L34" s="311">
        <v>0</v>
      </c>
      <c r="M34" s="311">
        <v>0</v>
      </c>
      <c r="N34" s="311">
        <v>0</v>
      </c>
      <c r="O34" s="311">
        <v>0</v>
      </c>
      <c r="P34" s="311">
        <v>0</v>
      </c>
      <c r="Q34" s="311">
        <v>0</v>
      </c>
      <c r="R34" s="311">
        <v>0</v>
      </c>
      <c r="S34" s="311">
        <v>0</v>
      </c>
      <c r="T34" s="311">
        <v>1</v>
      </c>
      <c r="U34" s="311">
        <v>1</v>
      </c>
      <c r="V34" s="311">
        <v>1</v>
      </c>
      <c r="W34" s="311">
        <v>1</v>
      </c>
    </row>
    <row r="35" spans="1:23" ht="12.75" customHeight="1" x14ac:dyDescent="0.2">
      <c r="A35" s="314" t="s">
        <v>58</v>
      </c>
      <c r="B35" s="311">
        <v>13</v>
      </c>
      <c r="C35" s="311">
        <v>0</v>
      </c>
      <c r="D35" s="311">
        <v>0</v>
      </c>
      <c r="E35" s="311">
        <v>0</v>
      </c>
      <c r="F35" s="311">
        <v>0</v>
      </c>
      <c r="G35" s="311">
        <v>1</v>
      </c>
      <c r="H35" s="311">
        <v>0</v>
      </c>
      <c r="I35" s="311">
        <v>1</v>
      </c>
      <c r="J35" s="311">
        <v>1</v>
      </c>
      <c r="K35" s="311">
        <v>1</v>
      </c>
      <c r="L35" s="311">
        <v>0</v>
      </c>
      <c r="M35" s="311">
        <v>0</v>
      </c>
      <c r="N35" s="311">
        <v>0</v>
      </c>
      <c r="O35" s="311">
        <v>0</v>
      </c>
      <c r="P35" s="311">
        <v>0</v>
      </c>
      <c r="Q35" s="311">
        <v>0</v>
      </c>
      <c r="R35" s="311">
        <v>0</v>
      </c>
      <c r="S35" s="311">
        <v>0</v>
      </c>
      <c r="T35" s="311">
        <v>1</v>
      </c>
      <c r="U35" s="311">
        <v>1</v>
      </c>
      <c r="V35" s="311">
        <v>1</v>
      </c>
      <c r="W35" s="311">
        <v>1</v>
      </c>
    </row>
    <row r="36" spans="1:23" ht="12.75" customHeight="1" x14ac:dyDescent="0.2">
      <c r="A36" s="314" t="s">
        <v>113</v>
      </c>
      <c r="B36" s="311">
        <v>9</v>
      </c>
      <c r="C36" s="311">
        <v>0</v>
      </c>
      <c r="D36" s="311">
        <v>0</v>
      </c>
      <c r="E36" s="311">
        <v>0</v>
      </c>
      <c r="F36" s="311">
        <v>0</v>
      </c>
      <c r="G36" s="311">
        <v>0</v>
      </c>
      <c r="H36" s="311">
        <v>1</v>
      </c>
      <c r="I36" s="311">
        <v>0</v>
      </c>
      <c r="J36" s="311">
        <v>0</v>
      </c>
      <c r="K36" s="311">
        <v>0</v>
      </c>
      <c r="L36" s="311">
        <v>0</v>
      </c>
      <c r="M36" s="311">
        <v>0</v>
      </c>
      <c r="N36" s="311">
        <v>0</v>
      </c>
      <c r="O36" s="311">
        <v>0</v>
      </c>
      <c r="P36" s="311">
        <v>0</v>
      </c>
      <c r="Q36" s="311">
        <v>0</v>
      </c>
      <c r="R36" s="311">
        <v>1</v>
      </c>
      <c r="S36" s="311">
        <v>0</v>
      </c>
      <c r="T36" s="311">
        <v>0</v>
      </c>
      <c r="U36" s="311">
        <v>0</v>
      </c>
      <c r="V36" s="311">
        <v>0</v>
      </c>
      <c r="W36" s="311">
        <v>1</v>
      </c>
    </row>
    <row r="37" spans="1:23" ht="12.75" customHeight="1" x14ac:dyDescent="0.2">
      <c r="A37" s="314" t="s">
        <v>119</v>
      </c>
      <c r="B37" s="311">
        <v>5</v>
      </c>
      <c r="C37" s="311">
        <v>0</v>
      </c>
      <c r="D37" s="311">
        <v>0</v>
      </c>
      <c r="E37" s="311">
        <v>0</v>
      </c>
      <c r="F37" s="311">
        <v>0</v>
      </c>
      <c r="G37" s="311">
        <v>0</v>
      </c>
      <c r="H37" s="311">
        <v>0</v>
      </c>
      <c r="I37" s="311">
        <v>0</v>
      </c>
      <c r="J37" s="311">
        <v>0</v>
      </c>
      <c r="K37" s="311">
        <v>0</v>
      </c>
      <c r="L37" s="311">
        <v>0</v>
      </c>
      <c r="M37" s="311">
        <v>0</v>
      </c>
      <c r="N37" s="311">
        <v>0</v>
      </c>
      <c r="O37" s="311">
        <v>0</v>
      </c>
      <c r="P37" s="311">
        <v>0</v>
      </c>
      <c r="Q37" s="311">
        <v>0</v>
      </c>
      <c r="R37" s="311">
        <v>1</v>
      </c>
      <c r="S37" s="311">
        <v>0</v>
      </c>
      <c r="T37" s="311">
        <v>1</v>
      </c>
      <c r="U37" s="311">
        <v>0</v>
      </c>
      <c r="V37" s="311">
        <v>0</v>
      </c>
      <c r="W37" s="311">
        <v>0</v>
      </c>
    </row>
    <row r="38" spans="1:23" ht="12.75" customHeight="1" x14ac:dyDescent="0.2">
      <c r="A38" s="314" t="s">
        <v>108</v>
      </c>
      <c r="B38" s="311">
        <v>6</v>
      </c>
      <c r="C38" s="311">
        <v>0</v>
      </c>
      <c r="D38" s="311">
        <v>0</v>
      </c>
      <c r="E38" s="311">
        <v>0</v>
      </c>
      <c r="F38" s="311">
        <v>0</v>
      </c>
      <c r="G38" s="311">
        <v>0</v>
      </c>
      <c r="H38" s="311">
        <v>0</v>
      </c>
      <c r="I38" s="311">
        <v>0</v>
      </c>
      <c r="J38" s="311">
        <v>0</v>
      </c>
      <c r="K38" s="311">
        <v>0</v>
      </c>
      <c r="L38" s="311">
        <v>0</v>
      </c>
      <c r="M38" s="311">
        <v>0</v>
      </c>
      <c r="N38" s="311">
        <v>0</v>
      </c>
      <c r="O38" s="311">
        <v>0</v>
      </c>
      <c r="P38" s="311">
        <v>0</v>
      </c>
      <c r="Q38" s="311">
        <v>0</v>
      </c>
      <c r="R38" s="311">
        <v>0</v>
      </c>
      <c r="S38" s="311">
        <v>0</v>
      </c>
      <c r="T38" s="311">
        <v>0</v>
      </c>
      <c r="U38" s="311">
        <v>0</v>
      </c>
      <c r="V38" s="311">
        <v>0</v>
      </c>
      <c r="W38" s="311">
        <v>0</v>
      </c>
    </row>
    <row r="39" spans="1:23" ht="12.75" customHeight="1" x14ac:dyDescent="0.2">
      <c r="A39" s="314" t="s">
        <v>106</v>
      </c>
      <c r="B39" s="311">
        <v>14</v>
      </c>
      <c r="C39" s="311">
        <v>0</v>
      </c>
      <c r="D39" s="311">
        <v>0</v>
      </c>
      <c r="E39" s="311">
        <v>0</v>
      </c>
      <c r="F39" s="311">
        <v>0</v>
      </c>
      <c r="G39" s="311">
        <v>0</v>
      </c>
      <c r="H39" s="311">
        <v>0</v>
      </c>
      <c r="I39" s="311">
        <v>0</v>
      </c>
      <c r="J39" s="311">
        <v>0</v>
      </c>
      <c r="K39" s="311">
        <v>0</v>
      </c>
      <c r="L39" s="311">
        <v>1</v>
      </c>
      <c r="M39" s="311">
        <v>0</v>
      </c>
      <c r="N39" s="311">
        <v>0</v>
      </c>
      <c r="O39" s="311">
        <v>0</v>
      </c>
      <c r="P39" s="311">
        <v>0</v>
      </c>
      <c r="Q39" s="311">
        <v>0</v>
      </c>
      <c r="R39" s="311">
        <v>1</v>
      </c>
      <c r="S39" s="311">
        <v>0</v>
      </c>
      <c r="T39" s="311">
        <v>0</v>
      </c>
      <c r="U39" s="311">
        <v>1</v>
      </c>
      <c r="V39" s="311">
        <v>1</v>
      </c>
      <c r="W39" s="311">
        <v>1</v>
      </c>
    </row>
    <row r="40" spans="1:23" ht="12.75" customHeight="1" x14ac:dyDescent="0.2">
      <c r="A40" s="314" t="s">
        <v>150</v>
      </c>
      <c r="B40" s="311">
        <v>14</v>
      </c>
      <c r="C40" s="311">
        <v>0</v>
      </c>
      <c r="D40" s="311">
        <v>0</v>
      </c>
      <c r="E40" s="311">
        <v>0</v>
      </c>
      <c r="F40" s="311">
        <v>0</v>
      </c>
      <c r="G40" s="311">
        <v>0</v>
      </c>
      <c r="H40" s="311">
        <v>0</v>
      </c>
      <c r="I40" s="311">
        <v>0</v>
      </c>
      <c r="J40" s="311">
        <v>0</v>
      </c>
      <c r="K40" s="311">
        <v>0</v>
      </c>
      <c r="L40" s="311">
        <v>1</v>
      </c>
      <c r="M40" s="311">
        <v>0</v>
      </c>
      <c r="N40" s="311">
        <v>0</v>
      </c>
      <c r="O40" s="311">
        <v>0</v>
      </c>
      <c r="P40" s="311">
        <v>0</v>
      </c>
      <c r="Q40" s="311">
        <v>0</v>
      </c>
      <c r="R40" s="311">
        <v>1</v>
      </c>
      <c r="S40" s="311">
        <v>0</v>
      </c>
      <c r="T40" s="311">
        <v>0</v>
      </c>
      <c r="U40" s="311">
        <v>1</v>
      </c>
      <c r="V40" s="311">
        <v>1</v>
      </c>
      <c r="W40" s="311">
        <v>1</v>
      </c>
    </row>
    <row r="41" spans="1:23" ht="12.75" customHeight="1" x14ac:dyDescent="0.2">
      <c r="A41" s="314" t="s">
        <v>105</v>
      </c>
      <c r="B41" s="311">
        <v>14</v>
      </c>
      <c r="C41" s="311">
        <v>0</v>
      </c>
      <c r="D41" s="311">
        <v>0</v>
      </c>
      <c r="E41" s="311">
        <v>0</v>
      </c>
      <c r="F41" s="311">
        <v>0</v>
      </c>
      <c r="G41" s="311">
        <v>0</v>
      </c>
      <c r="H41" s="311">
        <v>0</v>
      </c>
      <c r="I41" s="311">
        <v>0</v>
      </c>
      <c r="J41" s="311">
        <v>0</v>
      </c>
      <c r="K41" s="311">
        <v>0</v>
      </c>
      <c r="L41" s="311">
        <v>1</v>
      </c>
      <c r="M41" s="311">
        <v>0</v>
      </c>
      <c r="N41" s="311">
        <v>0</v>
      </c>
      <c r="O41" s="311">
        <v>0</v>
      </c>
      <c r="P41" s="311">
        <v>0</v>
      </c>
      <c r="Q41" s="311">
        <v>0</v>
      </c>
      <c r="R41" s="311">
        <v>1</v>
      </c>
      <c r="S41" s="311">
        <v>0</v>
      </c>
      <c r="T41" s="311">
        <v>0</v>
      </c>
      <c r="U41" s="311">
        <v>1</v>
      </c>
      <c r="V41" s="311">
        <v>1</v>
      </c>
      <c r="W41" s="311">
        <v>1</v>
      </c>
    </row>
    <row r="42" spans="1:23" ht="12.75" customHeight="1" x14ac:dyDescent="0.2">
      <c r="A42" s="314" t="s">
        <v>104</v>
      </c>
      <c r="B42" s="311">
        <v>24</v>
      </c>
      <c r="C42" s="311">
        <v>0</v>
      </c>
      <c r="D42" s="311">
        <v>0</v>
      </c>
      <c r="E42" s="311">
        <v>0</v>
      </c>
      <c r="F42" s="311">
        <v>0</v>
      </c>
      <c r="G42" s="311">
        <v>0</v>
      </c>
      <c r="H42" s="311">
        <v>0</v>
      </c>
      <c r="I42" s="311">
        <v>0</v>
      </c>
      <c r="J42" s="311">
        <v>0</v>
      </c>
      <c r="K42" s="311">
        <v>0</v>
      </c>
      <c r="L42" s="311">
        <v>0</v>
      </c>
      <c r="M42" s="311">
        <v>0</v>
      </c>
      <c r="N42" s="311">
        <v>0</v>
      </c>
      <c r="O42" s="311">
        <v>0</v>
      </c>
      <c r="P42" s="311">
        <v>0</v>
      </c>
      <c r="Q42" s="311">
        <v>0</v>
      </c>
      <c r="R42" s="311">
        <v>1</v>
      </c>
      <c r="S42" s="311">
        <v>0</v>
      </c>
      <c r="T42" s="311">
        <v>1</v>
      </c>
      <c r="U42" s="311">
        <v>0</v>
      </c>
      <c r="V42" s="311">
        <v>1</v>
      </c>
      <c r="W42" s="311">
        <v>0</v>
      </c>
    </row>
    <row r="43" spans="1:23" ht="12.75" customHeight="1" x14ac:dyDescent="0.2">
      <c r="A43" s="314" t="s">
        <v>133</v>
      </c>
      <c r="B43" s="311">
        <v>25</v>
      </c>
      <c r="C43" s="311">
        <v>0</v>
      </c>
      <c r="D43" s="311">
        <v>0</v>
      </c>
      <c r="E43" s="311">
        <v>0</v>
      </c>
      <c r="F43" s="311">
        <v>0</v>
      </c>
      <c r="G43" s="311">
        <v>0</v>
      </c>
      <c r="H43" s="311">
        <v>0</v>
      </c>
      <c r="I43" s="311">
        <v>0</v>
      </c>
      <c r="J43" s="311">
        <v>0</v>
      </c>
      <c r="K43" s="311">
        <v>0</v>
      </c>
      <c r="L43" s="311">
        <v>0</v>
      </c>
      <c r="M43" s="311">
        <v>0</v>
      </c>
      <c r="N43" s="311">
        <v>0</v>
      </c>
      <c r="O43" s="311">
        <v>0</v>
      </c>
      <c r="P43" s="311">
        <v>0</v>
      </c>
      <c r="Q43" s="311">
        <v>0</v>
      </c>
      <c r="R43" s="311">
        <v>1</v>
      </c>
      <c r="S43" s="311">
        <v>0</v>
      </c>
      <c r="T43" s="311">
        <v>1</v>
      </c>
      <c r="U43" s="311">
        <v>1</v>
      </c>
      <c r="V43" s="311">
        <v>1</v>
      </c>
      <c r="W43" s="311">
        <v>0</v>
      </c>
    </row>
    <row r="44" spans="1:23" ht="12.75" customHeight="1" x14ac:dyDescent="0.2">
      <c r="A44" s="314" t="s">
        <v>126</v>
      </c>
      <c r="B44" s="311">
        <v>25</v>
      </c>
      <c r="C44" s="311">
        <v>0</v>
      </c>
      <c r="D44" s="311">
        <v>0</v>
      </c>
      <c r="E44" s="311">
        <v>0</v>
      </c>
      <c r="F44" s="311">
        <v>0</v>
      </c>
      <c r="G44" s="311">
        <v>0</v>
      </c>
      <c r="H44" s="311">
        <v>0</v>
      </c>
      <c r="I44" s="311">
        <v>0</v>
      </c>
      <c r="J44" s="311">
        <v>0</v>
      </c>
      <c r="K44" s="311">
        <v>0</v>
      </c>
      <c r="L44" s="311">
        <v>0</v>
      </c>
      <c r="M44" s="311">
        <v>0</v>
      </c>
      <c r="N44" s="311">
        <v>0</v>
      </c>
      <c r="O44" s="311">
        <v>0</v>
      </c>
      <c r="P44" s="311">
        <v>0</v>
      </c>
      <c r="Q44" s="311">
        <v>0</v>
      </c>
      <c r="R44" s="311">
        <v>1</v>
      </c>
      <c r="S44" s="311">
        <v>0</v>
      </c>
      <c r="T44" s="311">
        <v>1</v>
      </c>
      <c r="U44" s="311">
        <v>1</v>
      </c>
      <c r="V44" s="311">
        <v>1</v>
      </c>
      <c r="W44" s="311">
        <v>0</v>
      </c>
    </row>
    <row r="45" spans="1:23" ht="12.75" customHeight="1" x14ac:dyDescent="0.2">
      <c r="A45" s="314" t="s">
        <v>102</v>
      </c>
      <c r="B45" s="311">
        <v>25</v>
      </c>
      <c r="C45" s="311">
        <v>0</v>
      </c>
      <c r="D45" s="311">
        <v>0</v>
      </c>
      <c r="E45" s="311">
        <v>0</v>
      </c>
      <c r="F45" s="311">
        <v>0</v>
      </c>
      <c r="G45" s="311">
        <v>0</v>
      </c>
      <c r="H45" s="311">
        <v>0</v>
      </c>
      <c r="I45" s="311">
        <v>0</v>
      </c>
      <c r="J45" s="311">
        <v>0</v>
      </c>
      <c r="K45" s="311">
        <v>0</v>
      </c>
      <c r="L45" s="311">
        <v>0</v>
      </c>
      <c r="M45" s="311">
        <v>0</v>
      </c>
      <c r="N45" s="311">
        <v>0</v>
      </c>
      <c r="O45" s="311">
        <v>0</v>
      </c>
      <c r="P45" s="311">
        <v>0</v>
      </c>
      <c r="Q45" s="311">
        <v>0</v>
      </c>
      <c r="R45" s="311">
        <v>1</v>
      </c>
      <c r="S45" s="311">
        <v>0</v>
      </c>
      <c r="T45" s="311">
        <v>1</v>
      </c>
      <c r="U45" s="311">
        <v>1</v>
      </c>
      <c r="V45" s="311">
        <v>1</v>
      </c>
      <c r="W45" s="311">
        <v>0</v>
      </c>
    </row>
    <row r="46" spans="1:23" ht="12.75" customHeight="1" x14ac:dyDescent="0.2">
      <c r="A46" s="314" t="s">
        <v>110</v>
      </c>
      <c r="B46" s="311">
        <v>15</v>
      </c>
      <c r="C46" s="311">
        <v>0</v>
      </c>
      <c r="D46" s="311">
        <v>0</v>
      </c>
      <c r="E46" s="311">
        <v>0</v>
      </c>
      <c r="F46" s="311">
        <v>0</v>
      </c>
      <c r="G46" s="311">
        <v>0</v>
      </c>
      <c r="H46" s="311">
        <v>0</v>
      </c>
      <c r="I46" s="311">
        <v>0</v>
      </c>
      <c r="J46" s="311">
        <v>0</v>
      </c>
      <c r="K46" s="311">
        <v>0</v>
      </c>
      <c r="L46" s="311">
        <v>0</v>
      </c>
      <c r="M46" s="311">
        <v>1</v>
      </c>
      <c r="N46" s="311">
        <v>0</v>
      </c>
      <c r="O46" s="311">
        <v>0</v>
      </c>
      <c r="P46" s="311">
        <v>0</v>
      </c>
      <c r="Q46" s="311">
        <v>0</v>
      </c>
      <c r="R46" s="311">
        <v>1</v>
      </c>
      <c r="S46" s="311">
        <v>0</v>
      </c>
      <c r="T46" s="311">
        <v>0</v>
      </c>
      <c r="U46" s="311">
        <v>1</v>
      </c>
      <c r="V46" s="311">
        <v>1</v>
      </c>
      <c r="W46" s="311">
        <v>1</v>
      </c>
    </row>
    <row r="47" spans="1:23" ht="12.75" customHeight="1" x14ac:dyDescent="0.2">
      <c r="A47" s="314" t="s">
        <v>1821</v>
      </c>
      <c r="B47" s="311">
        <v>7</v>
      </c>
      <c r="C47" s="311">
        <v>0</v>
      </c>
      <c r="D47" s="311">
        <v>0</v>
      </c>
      <c r="E47" s="311">
        <v>0</v>
      </c>
      <c r="F47" s="311">
        <v>0</v>
      </c>
      <c r="G47" s="311">
        <v>0</v>
      </c>
      <c r="H47" s="311">
        <v>0</v>
      </c>
      <c r="I47" s="311">
        <v>0</v>
      </c>
      <c r="J47" s="311">
        <v>0</v>
      </c>
      <c r="K47" s="311">
        <v>0</v>
      </c>
      <c r="L47" s="311">
        <v>0</v>
      </c>
      <c r="M47" s="311">
        <v>0</v>
      </c>
      <c r="N47" s="311">
        <v>0</v>
      </c>
      <c r="O47" s="311">
        <v>0</v>
      </c>
      <c r="P47" s="311">
        <v>0</v>
      </c>
      <c r="Q47" s="311">
        <v>0</v>
      </c>
      <c r="R47" s="311">
        <v>0</v>
      </c>
      <c r="S47" s="311">
        <v>1</v>
      </c>
      <c r="T47" s="311">
        <v>0</v>
      </c>
      <c r="U47" s="311">
        <v>0</v>
      </c>
      <c r="V47" s="311">
        <v>0</v>
      </c>
      <c r="W47" s="311">
        <v>0</v>
      </c>
    </row>
    <row r="48" spans="1:23" ht="12.75" customHeight="1" x14ac:dyDescent="0.2">
      <c r="A48" s="314" t="s">
        <v>1824</v>
      </c>
      <c r="B48" s="311">
        <v>7</v>
      </c>
      <c r="C48" s="311">
        <v>0</v>
      </c>
      <c r="D48" s="311">
        <v>0</v>
      </c>
      <c r="E48" s="311">
        <v>0</v>
      </c>
      <c r="F48" s="311">
        <v>0</v>
      </c>
      <c r="G48" s="311">
        <v>0</v>
      </c>
      <c r="H48" s="311">
        <v>0</v>
      </c>
      <c r="I48" s="311">
        <v>0</v>
      </c>
      <c r="J48" s="311">
        <v>0</v>
      </c>
      <c r="K48" s="311">
        <v>0</v>
      </c>
      <c r="L48" s="311">
        <v>0</v>
      </c>
      <c r="M48" s="311">
        <v>0</v>
      </c>
      <c r="N48" s="311">
        <v>0</v>
      </c>
      <c r="O48" s="311">
        <v>0</v>
      </c>
      <c r="P48" s="311">
        <v>0</v>
      </c>
      <c r="Q48" s="311">
        <v>0</v>
      </c>
      <c r="R48" s="311">
        <v>0</v>
      </c>
      <c r="S48" s="311">
        <v>1</v>
      </c>
      <c r="T48" s="311">
        <v>0</v>
      </c>
      <c r="U48" s="311">
        <v>0</v>
      </c>
      <c r="V48" s="311">
        <v>0</v>
      </c>
      <c r="W48" s="311">
        <v>0</v>
      </c>
    </row>
    <row r="49" spans="1:23" ht="12.75" customHeight="1" x14ac:dyDescent="0.2">
      <c r="A49" s="314" t="s">
        <v>1822</v>
      </c>
      <c r="B49" s="311">
        <v>25</v>
      </c>
      <c r="C49" s="311">
        <v>0</v>
      </c>
      <c r="D49" s="311">
        <v>0</v>
      </c>
      <c r="E49" s="311">
        <v>0</v>
      </c>
      <c r="F49" s="311">
        <v>0</v>
      </c>
      <c r="G49" s="311">
        <v>0</v>
      </c>
      <c r="H49" s="311">
        <v>0</v>
      </c>
      <c r="I49" s="311">
        <v>0</v>
      </c>
      <c r="J49" s="311">
        <v>0</v>
      </c>
      <c r="K49" s="311">
        <v>0</v>
      </c>
      <c r="L49" s="311">
        <v>0</v>
      </c>
      <c r="M49" s="311">
        <v>0</v>
      </c>
      <c r="N49" s="311">
        <v>0</v>
      </c>
      <c r="O49" s="311">
        <v>0</v>
      </c>
      <c r="P49" s="311">
        <v>0</v>
      </c>
      <c r="Q49" s="311">
        <v>0</v>
      </c>
      <c r="R49" s="311">
        <v>1</v>
      </c>
      <c r="S49" s="311">
        <v>0</v>
      </c>
      <c r="T49" s="311">
        <v>1</v>
      </c>
      <c r="U49" s="311">
        <v>1</v>
      </c>
      <c r="V49" s="311">
        <v>1</v>
      </c>
      <c r="W49" s="311">
        <v>0</v>
      </c>
    </row>
    <row r="50" spans="1:23" ht="12.75" customHeight="1" x14ac:dyDescent="0.2">
      <c r="A50" s="314" t="s">
        <v>1825</v>
      </c>
      <c r="B50" s="311">
        <v>25</v>
      </c>
      <c r="C50" s="311">
        <v>0</v>
      </c>
      <c r="D50" s="311">
        <v>0</v>
      </c>
      <c r="E50" s="311">
        <v>0</v>
      </c>
      <c r="F50" s="311">
        <v>0</v>
      </c>
      <c r="G50" s="311">
        <v>0</v>
      </c>
      <c r="H50" s="311">
        <v>0</v>
      </c>
      <c r="I50" s="311">
        <v>0</v>
      </c>
      <c r="J50" s="311">
        <v>0</v>
      </c>
      <c r="K50" s="311">
        <v>0</v>
      </c>
      <c r="L50" s="311">
        <v>0</v>
      </c>
      <c r="M50" s="311">
        <v>0</v>
      </c>
      <c r="N50" s="311">
        <v>0</v>
      </c>
      <c r="O50" s="311">
        <v>0</v>
      </c>
      <c r="P50" s="311">
        <v>0</v>
      </c>
      <c r="Q50" s="311">
        <v>0</v>
      </c>
      <c r="R50" s="311">
        <v>1</v>
      </c>
      <c r="S50" s="311">
        <v>0</v>
      </c>
      <c r="T50" s="311">
        <v>1</v>
      </c>
      <c r="U50" s="311">
        <v>1</v>
      </c>
      <c r="V50" s="311">
        <v>1</v>
      </c>
      <c r="W50" s="311">
        <v>0</v>
      </c>
    </row>
    <row r="51" spans="1:23" ht="12.75" customHeight="1" x14ac:dyDescent="0.2">
      <c r="A51" s="314" t="s">
        <v>1823</v>
      </c>
      <c r="B51" s="311">
        <v>25</v>
      </c>
      <c r="C51" s="311">
        <v>0</v>
      </c>
      <c r="D51" s="311">
        <v>0</v>
      </c>
      <c r="E51" s="311">
        <v>0</v>
      </c>
      <c r="F51" s="311">
        <v>0</v>
      </c>
      <c r="G51" s="311">
        <v>0</v>
      </c>
      <c r="H51" s="311">
        <v>0</v>
      </c>
      <c r="I51" s="311">
        <v>0</v>
      </c>
      <c r="J51" s="311">
        <v>0</v>
      </c>
      <c r="K51" s="311">
        <v>0</v>
      </c>
      <c r="L51" s="311">
        <v>0</v>
      </c>
      <c r="M51" s="311">
        <v>0</v>
      </c>
      <c r="N51" s="311">
        <v>0</v>
      </c>
      <c r="O51" s="311">
        <v>0</v>
      </c>
      <c r="P51" s="311">
        <v>0</v>
      </c>
      <c r="Q51" s="311">
        <v>0</v>
      </c>
      <c r="R51" s="311">
        <v>1</v>
      </c>
      <c r="S51" s="311">
        <v>0</v>
      </c>
      <c r="T51" s="311">
        <v>1</v>
      </c>
      <c r="U51" s="311">
        <v>1</v>
      </c>
      <c r="V51" s="311">
        <v>1</v>
      </c>
      <c r="W51" s="311">
        <v>0</v>
      </c>
    </row>
    <row r="52" spans="1:23" ht="12.75" customHeight="1" x14ac:dyDescent="0.2">
      <c r="A52" s="314" t="s">
        <v>1826</v>
      </c>
      <c r="B52" s="311">
        <v>25</v>
      </c>
      <c r="C52" s="311">
        <v>0</v>
      </c>
      <c r="D52" s="311">
        <v>0</v>
      </c>
      <c r="E52" s="311">
        <v>0</v>
      </c>
      <c r="F52" s="311">
        <v>0</v>
      </c>
      <c r="G52" s="311">
        <v>0</v>
      </c>
      <c r="H52" s="311">
        <v>0</v>
      </c>
      <c r="I52" s="311">
        <v>0</v>
      </c>
      <c r="J52" s="311">
        <v>0</v>
      </c>
      <c r="K52" s="311">
        <v>0</v>
      </c>
      <c r="L52" s="311">
        <v>0</v>
      </c>
      <c r="M52" s="311">
        <v>0</v>
      </c>
      <c r="N52" s="311">
        <v>0</v>
      </c>
      <c r="O52" s="311">
        <v>0</v>
      </c>
      <c r="P52" s="311">
        <v>0</v>
      </c>
      <c r="Q52" s="311">
        <v>0</v>
      </c>
      <c r="R52" s="311">
        <v>1</v>
      </c>
      <c r="S52" s="311">
        <v>0</v>
      </c>
      <c r="T52" s="311">
        <v>1</v>
      </c>
      <c r="U52" s="311">
        <v>1</v>
      </c>
      <c r="V52" s="311">
        <v>1</v>
      </c>
      <c r="W52" s="311">
        <v>0</v>
      </c>
    </row>
    <row r="53" spans="1:23" ht="12.75" customHeight="1" x14ac:dyDescent="0.2">
      <c r="A53" s="314" t="s">
        <v>100</v>
      </c>
      <c r="B53" s="311">
        <v>10</v>
      </c>
      <c r="C53" s="311">
        <v>0</v>
      </c>
      <c r="D53" s="311">
        <v>0</v>
      </c>
      <c r="E53" s="311">
        <v>0</v>
      </c>
      <c r="F53" s="311">
        <v>0</v>
      </c>
      <c r="G53" s="311">
        <v>0</v>
      </c>
      <c r="H53" s="311">
        <v>0</v>
      </c>
      <c r="I53" s="311">
        <v>0</v>
      </c>
      <c r="J53" s="311">
        <v>0</v>
      </c>
      <c r="K53" s="311">
        <v>0</v>
      </c>
      <c r="L53" s="311">
        <v>0</v>
      </c>
      <c r="M53" s="311">
        <v>0</v>
      </c>
      <c r="N53" s="311">
        <v>0</v>
      </c>
      <c r="O53" s="311">
        <v>0</v>
      </c>
      <c r="P53" s="311">
        <v>0</v>
      </c>
      <c r="Q53" s="311">
        <v>0</v>
      </c>
      <c r="R53" s="311">
        <v>0</v>
      </c>
      <c r="S53" s="311">
        <v>0</v>
      </c>
      <c r="T53" s="311">
        <v>1</v>
      </c>
      <c r="U53" s="311">
        <v>0</v>
      </c>
      <c r="V53" s="311">
        <v>0</v>
      </c>
      <c r="W53" s="311">
        <v>0</v>
      </c>
    </row>
    <row r="54" spans="1:23" ht="12.75" customHeight="1" x14ac:dyDescent="0.2">
      <c r="A54" s="314" t="s">
        <v>225</v>
      </c>
      <c r="B54" s="311">
        <v>10</v>
      </c>
      <c r="C54" s="311">
        <v>0</v>
      </c>
      <c r="D54" s="311">
        <v>0</v>
      </c>
      <c r="E54" s="311">
        <v>0</v>
      </c>
      <c r="F54" s="311">
        <v>0</v>
      </c>
      <c r="G54" s="311">
        <v>0</v>
      </c>
      <c r="H54" s="311">
        <v>0</v>
      </c>
      <c r="I54" s="311">
        <v>0</v>
      </c>
      <c r="J54" s="311">
        <v>0</v>
      </c>
      <c r="K54" s="311">
        <v>0</v>
      </c>
      <c r="L54" s="311">
        <v>0</v>
      </c>
      <c r="M54" s="311">
        <v>0</v>
      </c>
      <c r="N54" s="311">
        <v>0</v>
      </c>
      <c r="O54" s="311">
        <v>0</v>
      </c>
      <c r="P54" s="311">
        <v>0</v>
      </c>
      <c r="Q54" s="311">
        <v>0</v>
      </c>
      <c r="R54" s="311">
        <v>0</v>
      </c>
      <c r="S54" s="311">
        <v>0</v>
      </c>
      <c r="T54" s="311">
        <v>1</v>
      </c>
      <c r="U54" s="311">
        <v>0</v>
      </c>
      <c r="V54" s="311">
        <v>0</v>
      </c>
      <c r="W54" s="311">
        <v>0</v>
      </c>
    </row>
    <row r="55" spans="1:23" ht="12.75" customHeight="1" x14ac:dyDescent="0.2">
      <c r="A55" s="314" t="s">
        <v>720</v>
      </c>
      <c r="B55" s="311">
        <v>5</v>
      </c>
      <c r="C55" s="311">
        <v>0</v>
      </c>
      <c r="D55" s="311">
        <v>0</v>
      </c>
      <c r="E55" s="311">
        <v>0</v>
      </c>
      <c r="F55" s="311">
        <v>0</v>
      </c>
      <c r="G55" s="311">
        <v>0</v>
      </c>
      <c r="H55" s="311">
        <v>0</v>
      </c>
      <c r="I55" s="311">
        <v>0</v>
      </c>
      <c r="J55" s="311">
        <v>0</v>
      </c>
      <c r="K55" s="311">
        <v>0</v>
      </c>
      <c r="L55" s="311">
        <v>0</v>
      </c>
      <c r="M55" s="311">
        <v>0</v>
      </c>
      <c r="N55" s="311">
        <v>0</v>
      </c>
      <c r="O55" s="311">
        <v>0</v>
      </c>
      <c r="P55" s="311">
        <v>0</v>
      </c>
      <c r="Q55" s="311">
        <v>0</v>
      </c>
      <c r="R55" s="311">
        <v>1</v>
      </c>
      <c r="S55" s="311">
        <v>0</v>
      </c>
      <c r="T55" s="311">
        <v>1</v>
      </c>
      <c r="U55" s="311">
        <v>0</v>
      </c>
      <c r="V55" s="311">
        <v>0</v>
      </c>
      <c r="W55" s="311">
        <v>0</v>
      </c>
    </row>
    <row r="56" spans="1:23" ht="12.75" customHeight="1" x14ac:dyDescent="0.2">
      <c r="A56" s="314" t="s">
        <v>721</v>
      </c>
      <c r="B56" s="311">
        <v>6</v>
      </c>
      <c r="C56" s="311">
        <v>0</v>
      </c>
      <c r="D56" s="311">
        <v>0</v>
      </c>
      <c r="E56" s="311">
        <v>0</v>
      </c>
      <c r="F56" s="311">
        <v>0</v>
      </c>
      <c r="G56" s="311">
        <v>0</v>
      </c>
      <c r="H56" s="311">
        <v>0</v>
      </c>
      <c r="I56" s="311">
        <v>0</v>
      </c>
      <c r="J56" s="311">
        <v>0</v>
      </c>
      <c r="K56" s="311">
        <v>0</v>
      </c>
      <c r="L56" s="311">
        <v>0</v>
      </c>
      <c r="M56" s="311">
        <v>0</v>
      </c>
      <c r="N56" s="311">
        <v>0</v>
      </c>
      <c r="O56" s="311">
        <v>0</v>
      </c>
      <c r="P56" s="311">
        <v>0</v>
      </c>
      <c r="Q56" s="311">
        <v>0</v>
      </c>
      <c r="R56" s="311">
        <v>0</v>
      </c>
      <c r="S56" s="311">
        <v>0</v>
      </c>
      <c r="T56" s="311">
        <v>0</v>
      </c>
      <c r="U56" s="311">
        <v>0</v>
      </c>
      <c r="V56" s="311">
        <v>0</v>
      </c>
      <c r="W56" s="311">
        <v>0</v>
      </c>
    </row>
    <row r="57" spans="1:23" ht="12.75" customHeight="1" x14ac:dyDescent="0.2">
      <c r="A57" s="314" t="s">
        <v>149</v>
      </c>
      <c r="B57" s="311">
        <v>16</v>
      </c>
      <c r="C57" s="311">
        <v>0</v>
      </c>
      <c r="D57" s="311">
        <v>0</v>
      </c>
      <c r="E57" s="311">
        <v>0</v>
      </c>
      <c r="F57" s="311">
        <v>0</v>
      </c>
      <c r="G57" s="311">
        <v>0</v>
      </c>
      <c r="H57" s="311">
        <v>0</v>
      </c>
      <c r="I57" s="311">
        <v>0</v>
      </c>
      <c r="J57" s="311">
        <v>0</v>
      </c>
      <c r="K57" s="311">
        <v>0</v>
      </c>
      <c r="L57" s="311">
        <v>0</v>
      </c>
      <c r="M57" s="311">
        <v>0</v>
      </c>
      <c r="N57" s="311">
        <v>1</v>
      </c>
      <c r="O57" s="311">
        <v>0</v>
      </c>
      <c r="P57" s="311">
        <v>0</v>
      </c>
      <c r="Q57" s="311">
        <v>0</v>
      </c>
      <c r="R57" s="311">
        <v>1</v>
      </c>
      <c r="S57" s="311">
        <v>0</v>
      </c>
      <c r="T57" s="311">
        <v>0</v>
      </c>
      <c r="U57" s="311">
        <v>0</v>
      </c>
      <c r="V57" s="311">
        <v>1</v>
      </c>
      <c r="W57" s="311">
        <v>1</v>
      </c>
    </row>
    <row r="58" spans="1:23" ht="12.75" customHeight="1" x14ac:dyDescent="0.2">
      <c r="A58" s="314" t="s">
        <v>157</v>
      </c>
      <c r="B58" s="311">
        <v>16</v>
      </c>
      <c r="C58" s="311">
        <v>0</v>
      </c>
      <c r="D58" s="311">
        <v>0</v>
      </c>
      <c r="E58" s="311">
        <v>0</v>
      </c>
      <c r="F58" s="311">
        <v>0</v>
      </c>
      <c r="G58" s="311">
        <v>0</v>
      </c>
      <c r="H58" s="311">
        <v>0</v>
      </c>
      <c r="I58" s="311">
        <v>0</v>
      </c>
      <c r="J58" s="311">
        <v>0</v>
      </c>
      <c r="K58" s="311">
        <v>0</v>
      </c>
      <c r="L58" s="311">
        <v>0</v>
      </c>
      <c r="M58" s="311">
        <v>0</v>
      </c>
      <c r="N58" s="311">
        <v>1</v>
      </c>
      <c r="O58" s="311">
        <v>0</v>
      </c>
      <c r="P58" s="311">
        <v>0</v>
      </c>
      <c r="Q58" s="311">
        <v>0</v>
      </c>
      <c r="R58" s="311">
        <v>1</v>
      </c>
      <c r="S58" s="311">
        <v>0</v>
      </c>
      <c r="T58" s="311">
        <v>0</v>
      </c>
      <c r="U58" s="311">
        <v>0</v>
      </c>
      <c r="V58" s="311">
        <v>1</v>
      </c>
      <c r="W58" s="311">
        <v>1</v>
      </c>
    </row>
    <row r="59" spans="1:23" ht="12.75" customHeight="1" x14ac:dyDescent="0.2">
      <c r="A59" s="314" t="s">
        <v>148</v>
      </c>
      <c r="B59" s="311">
        <v>17</v>
      </c>
      <c r="C59" s="311">
        <v>0</v>
      </c>
      <c r="D59" s="311">
        <v>0</v>
      </c>
      <c r="E59" s="311">
        <v>0</v>
      </c>
      <c r="F59" s="311">
        <v>0</v>
      </c>
      <c r="G59" s="311">
        <v>0</v>
      </c>
      <c r="H59" s="311">
        <v>0</v>
      </c>
      <c r="I59" s="311">
        <v>0</v>
      </c>
      <c r="J59" s="311">
        <v>0</v>
      </c>
      <c r="K59" s="311">
        <v>0</v>
      </c>
      <c r="L59" s="311">
        <v>0</v>
      </c>
      <c r="M59" s="311">
        <v>0</v>
      </c>
      <c r="N59" s="311">
        <v>0</v>
      </c>
      <c r="O59" s="311">
        <v>1</v>
      </c>
      <c r="P59" s="311">
        <v>0</v>
      </c>
      <c r="Q59" s="311">
        <v>0</v>
      </c>
      <c r="R59" s="311">
        <v>1</v>
      </c>
      <c r="S59" s="311">
        <v>0</v>
      </c>
      <c r="T59" s="311">
        <v>0</v>
      </c>
      <c r="U59" s="311">
        <v>0</v>
      </c>
      <c r="V59" s="311">
        <v>1</v>
      </c>
      <c r="W59" s="311">
        <v>1</v>
      </c>
    </row>
    <row r="60" spans="1:23" ht="12.75" customHeight="1" x14ac:dyDescent="0.2">
      <c r="A60" s="314" t="s">
        <v>147</v>
      </c>
      <c r="B60" s="311">
        <v>18</v>
      </c>
      <c r="C60" s="311">
        <v>0</v>
      </c>
      <c r="D60" s="311">
        <v>0</v>
      </c>
      <c r="E60" s="311">
        <v>0</v>
      </c>
      <c r="F60" s="311">
        <v>0</v>
      </c>
      <c r="G60" s="311">
        <v>0</v>
      </c>
      <c r="H60" s="311">
        <v>0</v>
      </c>
      <c r="I60" s="311">
        <v>0</v>
      </c>
      <c r="J60" s="311">
        <v>0</v>
      </c>
      <c r="K60" s="311">
        <v>0</v>
      </c>
      <c r="L60" s="311">
        <v>0</v>
      </c>
      <c r="M60" s="311">
        <v>0</v>
      </c>
      <c r="N60" s="311">
        <v>0</v>
      </c>
      <c r="O60" s="311">
        <v>0</v>
      </c>
      <c r="P60" s="311">
        <v>0</v>
      </c>
      <c r="Q60" s="311">
        <v>0</v>
      </c>
      <c r="R60" s="311">
        <v>1</v>
      </c>
      <c r="S60" s="311">
        <v>0</v>
      </c>
      <c r="T60" s="311">
        <v>0</v>
      </c>
      <c r="U60" s="311">
        <v>0</v>
      </c>
      <c r="V60" s="311">
        <v>1</v>
      </c>
      <c r="W60" s="311">
        <v>0</v>
      </c>
    </row>
    <row r="61" spans="1:23" ht="12.75" customHeight="1" x14ac:dyDescent="0.2">
      <c r="A61" s="314" t="s">
        <v>146</v>
      </c>
      <c r="B61" s="311">
        <v>18</v>
      </c>
      <c r="C61" s="311">
        <v>0</v>
      </c>
      <c r="D61" s="311">
        <v>0</v>
      </c>
      <c r="E61" s="311">
        <v>0</v>
      </c>
      <c r="F61" s="311">
        <v>0</v>
      </c>
      <c r="G61" s="311">
        <v>0</v>
      </c>
      <c r="H61" s="311">
        <v>0</v>
      </c>
      <c r="I61" s="311">
        <v>0</v>
      </c>
      <c r="J61" s="311">
        <v>0</v>
      </c>
      <c r="K61" s="311">
        <v>0</v>
      </c>
      <c r="L61" s="311">
        <v>0</v>
      </c>
      <c r="M61" s="311">
        <v>0</v>
      </c>
      <c r="N61" s="311">
        <v>0</v>
      </c>
      <c r="O61" s="311">
        <v>0</v>
      </c>
      <c r="P61" s="311">
        <v>0</v>
      </c>
      <c r="Q61" s="311">
        <v>0</v>
      </c>
      <c r="R61" s="311">
        <v>1</v>
      </c>
      <c r="S61" s="311">
        <v>0</v>
      </c>
      <c r="T61" s="311">
        <v>0</v>
      </c>
      <c r="U61" s="311">
        <v>0</v>
      </c>
      <c r="V61" s="311">
        <v>1</v>
      </c>
      <c r="W61" s="311">
        <v>0</v>
      </c>
    </row>
    <row r="62" spans="1:23" ht="12.75" customHeight="1" x14ac:dyDescent="0.2">
      <c r="A62" s="314" t="s">
        <v>156</v>
      </c>
      <c r="B62" s="311">
        <v>18</v>
      </c>
      <c r="C62" s="311">
        <v>0</v>
      </c>
      <c r="D62" s="311">
        <v>0</v>
      </c>
      <c r="E62" s="311">
        <v>0</v>
      </c>
      <c r="F62" s="311">
        <v>0</v>
      </c>
      <c r="G62" s="311">
        <v>0</v>
      </c>
      <c r="H62" s="311">
        <v>0</v>
      </c>
      <c r="I62" s="311">
        <v>0</v>
      </c>
      <c r="J62" s="311">
        <v>0</v>
      </c>
      <c r="K62" s="311">
        <v>0</v>
      </c>
      <c r="L62" s="311">
        <v>0</v>
      </c>
      <c r="M62" s="311">
        <v>0</v>
      </c>
      <c r="N62" s="311">
        <v>0</v>
      </c>
      <c r="O62" s="311">
        <v>0</v>
      </c>
      <c r="P62" s="311">
        <v>0</v>
      </c>
      <c r="Q62" s="311">
        <v>0</v>
      </c>
      <c r="R62" s="311">
        <v>1</v>
      </c>
      <c r="S62" s="311">
        <v>0</v>
      </c>
      <c r="T62" s="311">
        <v>0</v>
      </c>
      <c r="U62" s="311">
        <v>0</v>
      </c>
      <c r="V62" s="311">
        <v>1</v>
      </c>
      <c r="W62" s="311">
        <v>0</v>
      </c>
    </row>
    <row r="63" spans="1:23" ht="12.75" customHeight="1" x14ac:dyDescent="0.2">
      <c r="A63" s="314" t="s">
        <v>155</v>
      </c>
      <c r="B63" s="311">
        <v>16</v>
      </c>
      <c r="C63" s="311">
        <v>0</v>
      </c>
      <c r="D63" s="311">
        <v>0</v>
      </c>
      <c r="E63" s="311">
        <v>0</v>
      </c>
      <c r="F63" s="311">
        <v>0</v>
      </c>
      <c r="G63" s="311">
        <v>0</v>
      </c>
      <c r="H63" s="311">
        <v>0</v>
      </c>
      <c r="I63" s="311">
        <v>0</v>
      </c>
      <c r="J63" s="311">
        <v>0</v>
      </c>
      <c r="K63" s="311">
        <v>0</v>
      </c>
      <c r="L63" s="311">
        <v>0</v>
      </c>
      <c r="M63" s="311">
        <v>0</v>
      </c>
      <c r="N63" s="311">
        <v>1</v>
      </c>
      <c r="O63" s="311">
        <v>0</v>
      </c>
      <c r="P63" s="311">
        <v>0</v>
      </c>
      <c r="Q63" s="311">
        <v>0</v>
      </c>
      <c r="R63" s="311">
        <v>1</v>
      </c>
      <c r="S63" s="311">
        <v>0</v>
      </c>
      <c r="T63" s="311">
        <v>0</v>
      </c>
      <c r="U63" s="311">
        <v>0</v>
      </c>
      <c r="V63" s="311">
        <v>1</v>
      </c>
      <c r="W63" s="311">
        <v>1</v>
      </c>
    </row>
    <row r="64" spans="1:23" ht="12.75" customHeight="1" x14ac:dyDescent="0.2">
      <c r="A64" s="314" t="s">
        <v>154</v>
      </c>
      <c r="B64" s="311">
        <v>16</v>
      </c>
      <c r="C64" s="311">
        <v>0</v>
      </c>
      <c r="D64" s="311">
        <v>0</v>
      </c>
      <c r="E64" s="311">
        <v>0</v>
      </c>
      <c r="F64" s="311">
        <v>0</v>
      </c>
      <c r="G64" s="311">
        <v>0</v>
      </c>
      <c r="H64" s="311">
        <v>0</v>
      </c>
      <c r="I64" s="311">
        <v>0</v>
      </c>
      <c r="J64" s="311">
        <v>0</v>
      </c>
      <c r="K64" s="311">
        <v>0</v>
      </c>
      <c r="L64" s="311">
        <v>0</v>
      </c>
      <c r="M64" s="311">
        <v>0</v>
      </c>
      <c r="N64" s="311">
        <v>1</v>
      </c>
      <c r="O64" s="311">
        <v>0</v>
      </c>
      <c r="P64" s="311">
        <v>0</v>
      </c>
      <c r="Q64" s="311">
        <v>0</v>
      </c>
      <c r="R64" s="311">
        <v>1</v>
      </c>
      <c r="S64" s="311">
        <v>0</v>
      </c>
      <c r="T64" s="311">
        <v>0</v>
      </c>
      <c r="U64" s="311">
        <v>0</v>
      </c>
      <c r="V64" s="311">
        <v>1</v>
      </c>
      <c r="W64" s="311">
        <v>1</v>
      </c>
    </row>
    <row r="65" spans="1:23" ht="12.75" customHeight="1" x14ac:dyDescent="0.2">
      <c r="A65" s="314" t="s">
        <v>153</v>
      </c>
      <c r="B65" s="311">
        <v>19</v>
      </c>
      <c r="C65" s="311">
        <v>0</v>
      </c>
      <c r="D65" s="311">
        <v>0</v>
      </c>
      <c r="E65" s="311">
        <v>0</v>
      </c>
      <c r="F65" s="311">
        <v>0</v>
      </c>
      <c r="G65" s="311">
        <v>0</v>
      </c>
      <c r="H65" s="311">
        <v>0</v>
      </c>
      <c r="I65" s="311">
        <v>0</v>
      </c>
      <c r="J65" s="311">
        <v>0</v>
      </c>
      <c r="K65" s="311">
        <v>0</v>
      </c>
      <c r="L65" s="311">
        <v>0</v>
      </c>
      <c r="M65" s="311">
        <v>0</v>
      </c>
      <c r="N65" s="311">
        <v>0</v>
      </c>
      <c r="O65" s="311">
        <v>0</v>
      </c>
      <c r="P65" s="311">
        <v>1</v>
      </c>
      <c r="Q65" s="311">
        <v>0</v>
      </c>
      <c r="R65" s="311">
        <v>1</v>
      </c>
      <c r="S65" s="311">
        <v>0</v>
      </c>
      <c r="T65" s="311">
        <v>0</v>
      </c>
      <c r="U65" s="311">
        <v>0</v>
      </c>
      <c r="V65" s="311">
        <v>1</v>
      </c>
      <c r="W65" s="311">
        <v>1</v>
      </c>
    </row>
    <row r="66" spans="1:23" ht="12.75" customHeight="1" x14ac:dyDescent="0.2">
      <c r="A66" s="314" t="s">
        <v>145</v>
      </c>
      <c r="B66" s="311">
        <v>18</v>
      </c>
      <c r="C66" s="311">
        <v>0</v>
      </c>
      <c r="D66" s="311">
        <v>0</v>
      </c>
      <c r="E66" s="311">
        <v>0</v>
      </c>
      <c r="F66" s="311">
        <v>0</v>
      </c>
      <c r="G66" s="311">
        <v>0</v>
      </c>
      <c r="H66" s="311">
        <v>0</v>
      </c>
      <c r="I66" s="311">
        <v>0</v>
      </c>
      <c r="J66" s="311">
        <v>0</v>
      </c>
      <c r="K66" s="311">
        <v>0</v>
      </c>
      <c r="L66" s="311">
        <v>0</v>
      </c>
      <c r="M66" s="311">
        <v>0</v>
      </c>
      <c r="N66" s="311">
        <v>0</v>
      </c>
      <c r="O66" s="311">
        <v>0</v>
      </c>
      <c r="P66" s="311">
        <v>0</v>
      </c>
      <c r="Q66" s="311">
        <v>0</v>
      </c>
      <c r="R66" s="311">
        <v>1</v>
      </c>
      <c r="S66" s="311">
        <v>0</v>
      </c>
      <c r="T66" s="311">
        <v>0</v>
      </c>
      <c r="U66" s="311">
        <v>0</v>
      </c>
      <c r="V66" s="311">
        <v>1</v>
      </c>
      <c r="W66" s="311">
        <v>0</v>
      </c>
    </row>
    <row r="67" spans="1:23" ht="12.75" customHeight="1" x14ac:dyDescent="0.2">
      <c r="A67" s="314" t="s">
        <v>143</v>
      </c>
      <c r="B67" s="311">
        <v>17</v>
      </c>
      <c r="C67" s="311">
        <v>0</v>
      </c>
      <c r="D67" s="311">
        <v>0</v>
      </c>
      <c r="E67" s="311">
        <v>0</v>
      </c>
      <c r="F67" s="311">
        <v>0</v>
      </c>
      <c r="G67" s="311">
        <v>0</v>
      </c>
      <c r="H67" s="311">
        <v>0</v>
      </c>
      <c r="I67" s="311">
        <v>0</v>
      </c>
      <c r="J67" s="311">
        <v>0</v>
      </c>
      <c r="K67" s="311">
        <v>0</v>
      </c>
      <c r="L67" s="311">
        <v>0</v>
      </c>
      <c r="M67" s="311">
        <v>0</v>
      </c>
      <c r="N67" s="311">
        <v>0</v>
      </c>
      <c r="O67" s="311">
        <v>1</v>
      </c>
      <c r="P67" s="311">
        <v>0</v>
      </c>
      <c r="Q67" s="311">
        <v>0</v>
      </c>
      <c r="R67" s="311">
        <v>1</v>
      </c>
      <c r="S67" s="311">
        <v>0</v>
      </c>
      <c r="T67" s="311">
        <v>0</v>
      </c>
      <c r="U67" s="311">
        <v>0</v>
      </c>
      <c r="V67" s="311">
        <v>1</v>
      </c>
      <c r="W67" s="311">
        <v>1</v>
      </c>
    </row>
    <row r="68" spans="1:23" ht="12.75" customHeight="1" x14ac:dyDescent="0.2">
      <c r="A68" s="314" t="s">
        <v>142</v>
      </c>
      <c r="B68" s="311">
        <v>17</v>
      </c>
      <c r="C68" s="311">
        <v>0</v>
      </c>
      <c r="D68" s="311">
        <v>0</v>
      </c>
      <c r="E68" s="311">
        <v>0</v>
      </c>
      <c r="F68" s="311">
        <v>0</v>
      </c>
      <c r="G68" s="311">
        <v>0</v>
      </c>
      <c r="H68" s="311">
        <v>0</v>
      </c>
      <c r="I68" s="311">
        <v>0</v>
      </c>
      <c r="J68" s="311">
        <v>0</v>
      </c>
      <c r="K68" s="311">
        <v>0</v>
      </c>
      <c r="L68" s="311">
        <v>0</v>
      </c>
      <c r="M68" s="311">
        <v>0</v>
      </c>
      <c r="N68" s="311">
        <v>0</v>
      </c>
      <c r="O68" s="311">
        <v>1</v>
      </c>
      <c r="P68" s="311">
        <v>0</v>
      </c>
      <c r="Q68" s="311">
        <v>0</v>
      </c>
      <c r="R68" s="311">
        <v>1</v>
      </c>
      <c r="S68" s="311">
        <v>0</v>
      </c>
      <c r="T68" s="311">
        <v>0</v>
      </c>
      <c r="U68" s="311">
        <v>0</v>
      </c>
      <c r="V68" s="311">
        <v>1</v>
      </c>
      <c r="W68" s="311">
        <v>1</v>
      </c>
    </row>
    <row r="69" spans="1:23" ht="12.75" customHeight="1" x14ac:dyDescent="0.2">
      <c r="A69" s="314" t="s">
        <v>224</v>
      </c>
      <c r="B69" s="311">
        <v>20</v>
      </c>
      <c r="C69" s="311">
        <v>0</v>
      </c>
      <c r="D69" s="311">
        <v>0</v>
      </c>
      <c r="E69" s="311">
        <v>0</v>
      </c>
      <c r="F69" s="311">
        <v>0</v>
      </c>
      <c r="G69" s="311">
        <v>0</v>
      </c>
      <c r="H69" s="311">
        <v>0</v>
      </c>
      <c r="I69" s="311">
        <v>0</v>
      </c>
      <c r="J69" s="311">
        <v>0</v>
      </c>
      <c r="K69" s="311">
        <v>0</v>
      </c>
      <c r="L69" s="311">
        <v>0</v>
      </c>
      <c r="M69" s="311">
        <v>0</v>
      </c>
      <c r="N69" s="311">
        <v>0</v>
      </c>
      <c r="O69" s="311">
        <v>0</v>
      </c>
      <c r="P69" s="311">
        <v>0</v>
      </c>
      <c r="Q69" s="311">
        <v>1</v>
      </c>
      <c r="R69" s="311">
        <v>1</v>
      </c>
      <c r="S69" s="311">
        <v>0</v>
      </c>
      <c r="T69" s="311">
        <v>0</v>
      </c>
      <c r="U69" s="311">
        <v>0</v>
      </c>
      <c r="V69" s="311">
        <v>1</v>
      </c>
      <c r="W69" s="311">
        <v>0</v>
      </c>
    </row>
    <row r="70" spans="1:23" ht="12.75" customHeight="1" x14ac:dyDescent="0.2">
      <c r="A70" s="314" t="s">
        <v>223</v>
      </c>
      <c r="B70" s="311">
        <v>21</v>
      </c>
      <c r="C70" s="311">
        <v>0</v>
      </c>
      <c r="D70" s="311">
        <v>0</v>
      </c>
      <c r="E70" s="311">
        <v>0</v>
      </c>
      <c r="F70" s="311">
        <v>0</v>
      </c>
      <c r="G70" s="311">
        <v>0</v>
      </c>
      <c r="H70" s="311">
        <v>0</v>
      </c>
      <c r="I70" s="311">
        <v>0</v>
      </c>
      <c r="J70" s="311">
        <v>0</v>
      </c>
      <c r="K70" s="311">
        <v>0</v>
      </c>
      <c r="L70" s="311">
        <v>0</v>
      </c>
      <c r="M70" s="311">
        <v>0</v>
      </c>
      <c r="N70" s="311">
        <v>0</v>
      </c>
      <c r="O70" s="311">
        <v>0</v>
      </c>
      <c r="P70" s="311">
        <v>0</v>
      </c>
      <c r="Q70" s="311">
        <v>0</v>
      </c>
      <c r="R70" s="311">
        <v>0</v>
      </c>
      <c r="S70" s="311">
        <v>0</v>
      </c>
      <c r="T70" s="311">
        <v>0</v>
      </c>
      <c r="U70" s="311">
        <v>0</v>
      </c>
      <c r="V70" s="311">
        <v>0</v>
      </c>
      <c r="W70" s="311">
        <v>0</v>
      </c>
    </row>
    <row r="71" spans="1:23" ht="12.75" customHeight="1" x14ac:dyDescent="0.2">
      <c r="A71" s="314" t="s">
        <v>222</v>
      </c>
      <c r="B71" s="311">
        <v>22</v>
      </c>
      <c r="C71" s="311">
        <v>0</v>
      </c>
      <c r="D71" s="311">
        <v>0</v>
      </c>
      <c r="E71" s="311">
        <v>0</v>
      </c>
      <c r="F71" s="311">
        <v>0</v>
      </c>
      <c r="G71" s="311">
        <v>0</v>
      </c>
      <c r="H71" s="311">
        <v>0</v>
      </c>
      <c r="I71" s="311">
        <v>0</v>
      </c>
      <c r="J71" s="311">
        <v>0</v>
      </c>
      <c r="K71" s="311">
        <v>0</v>
      </c>
      <c r="L71" s="311">
        <v>0</v>
      </c>
      <c r="M71" s="311">
        <v>0</v>
      </c>
      <c r="N71" s="311">
        <v>0</v>
      </c>
      <c r="O71" s="311">
        <v>0</v>
      </c>
      <c r="P71" s="311">
        <v>0</v>
      </c>
      <c r="Q71" s="311">
        <v>0</v>
      </c>
      <c r="R71" s="311">
        <v>0</v>
      </c>
      <c r="S71" s="311">
        <v>0</v>
      </c>
      <c r="T71" s="311">
        <v>0</v>
      </c>
      <c r="U71" s="311">
        <v>0</v>
      </c>
      <c r="V71" s="311">
        <v>0</v>
      </c>
      <c r="W71" s="311">
        <v>0</v>
      </c>
    </row>
    <row r="72" spans="1:23" ht="12.75" customHeight="1" x14ac:dyDescent="0.2">
      <c r="A72" s="314" t="s">
        <v>221</v>
      </c>
      <c r="B72" s="311">
        <v>20</v>
      </c>
      <c r="C72" s="311">
        <v>0</v>
      </c>
      <c r="D72" s="311">
        <v>0</v>
      </c>
      <c r="E72" s="311">
        <v>0</v>
      </c>
      <c r="F72" s="311">
        <v>0</v>
      </c>
      <c r="G72" s="311">
        <v>0</v>
      </c>
      <c r="H72" s="311">
        <v>0</v>
      </c>
      <c r="I72" s="311">
        <v>0</v>
      </c>
      <c r="J72" s="311">
        <v>0</v>
      </c>
      <c r="K72" s="311">
        <v>0</v>
      </c>
      <c r="L72" s="311">
        <v>0</v>
      </c>
      <c r="M72" s="311">
        <v>0</v>
      </c>
      <c r="N72" s="311">
        <v>0</v>
      </c>
      <c r="O72" s="311">
        <v>0</v>
      </c>
      <c r="P72" s="311">
        <v>0</v>
      </c>
      <c r="Q72" s="311">
        <v>1</v>
      </c>
      <c r="R72" s="311">
        <v>1</v>
      </c>
      <c r="S72" s="311">
        <v>0</v>
      </c>
      <c r="T72" s="311">
        <v>0</v>
      </c>
      <c r="U72" s="311">
        <v>0</v>
      </c>
      <c r="V72" s="311">
        <v>1</v>
      </c>
      <c r="W72" s="311">
        <v>0</v>
      </c>
    </row>
    <row r="73" spans="1:23" ht="12.75" customHeight="1" x14ac:dyDescent="0.2">
      <c r="A73" s="314" t="s">
        <v>220</v>
      </c>
      <c r="B73" s="311">
        <v>23</v>
      </c>
      <c r="C73" s="311">
        <v>0</v>
      </c>
      <c r="D73" s="311">
        <v>0</v>
      </c>
      <c r="E73" s="311">
        <v>0</v>
      </c>
      <c r="F73" s="311">
        <v>0</v>
      </c>
      <c r="G73" s="311">
        <v>0</v>
      </c>
      <c r="H73" s="311">
        <v>0</v>
      </c>
      <c r="I73" s="311">
        <v>0</v>
      </c>
      <c r="J73" s="311">
        <v>0</v>
      </c>
      <c r="K73" s="311">
        <v>0</v>
      </c>
      <c r="L73" s="311">
        <v>0</v>
      </c>
      <c r="M73" s="311">
        <v>0</v>
      </c>
      <c r="N73" s="311">
        <v>0</v>
      </c>
      <c r="O73" s="311">
        <v>0</v>
      </c>
      <c r="P73" s="311">
        <v>0</v>
      </c>
      <c r="Q73" s="311">
        <v>1</v>
      </c>
      <c r="R73" s="311">
        <v>1</v>
      </c>
      <c r="S73" s="311">
        <v>0</v>
      </c>
      <c r="T73" s="311">
        <v>0</v>
      </c>
      <c r="U73" s="311">
        <v>1</v>
      </c>
      <c r="V73" s="311">
        <v>1</v>
      </c>
      <c r="W73" s="311">
        <v>0</v>
      </c>
    </row>
    <row r="74" spans="1:23" ht="12.75" customHeight="1" x14ac:dyDescent="0.2">
      <c r="A74" s="314" t="s">
        <v>219</v>
      </c>
      <c r="B74" s="311">
        <v>20</v>
      </c>
      <c r="C74" s="311">
        <v>0</v>
      </c>
      <c r="D74" s="311">
        <v>0</v>
      </c>
      <c r="E74" s="311">
        <v>0</v>
      </c>
      <c r="F74" s="311">
        <v>0</v>
      </c>
      <c r="G74" s="311">
        <v>0</v>
      </c>
      <c r="H74" s="311">
        <v>0</v>
      </c>
      <c r="I74" s="311">
        <v>0</v>
      </c>
      <c r="J74" s="311">
        <v>0</v>
      </c>
      <c r="K74" s="311">
        <v>0</v>
      </c>
      <c r="L74" s="311">
        <v>0</v>
      </c>
      <c r="M74" s="311">
        <v>0</v>
      </c>
      <c r="N74" s="311">
        <v>0</v>
      </c>
      <c r="O74" s="311">
        <v>0</v>
      </c>
      <c r="P74" s="311">
        <v>0</v>
      </c>
      <c r="Q74" s="311">
        <v>1</v>
      </c>
      <c r="R74" s="311">
        <v>1</v>
      </c>
      <c r="S74" s="311">
        <v>0</v>
      </c>
      <c r="T74" s="311">
        <v>0</v>
      </c>
      <c r="U74" s="311">
        <v>0</v>
      </c>
      <c r="V74" s="311">
        <v>1</v>
      </c>
      <c r="W74" s="311">
        <v>0</v>
      </c>
    </row>
    <row r="75" spans="1:23" ht="12.75" customHeight="1" x14ac:dyDescent="0.2">
      <c r="A75" s="314" t="s">
        <v>218</v>
      </c>
      <c r="B75" s="311">
        <v>23</v>
      </c>
      <c r="C75" s="311">
        <v>0</v>
      </c>
      <c r="D75" s="311">
        <v>0</v>
      </c>
      <c r="E75" s="311">
        <v>0</v>
      </c>
      <c r="F75" s="311">
        <v>0</v>
      </c>
      <c r="G75" s="311">
        <v>0</v>
      </c>
      <c r="H75" s="311">
        <v>0</v>
      </c>
      <c r="I75" s="311">
        <v>0</v>
      </c>
      <c r="J75" s="311">
        <v>0</v>
      </c>
      <c r="K75" s="311">
        <v>0</v>
      </c>
      <c r="L75" s="311">
        <v>0</v>
      </c>
      <c r="M75" s="311">
        <v>0</v>
      </c>
      <c r="N75" s="311">
        <v>0</v>
      </c>
      <c r="O75" s="311">
        <v>0</v>
      </c>
      <c r="P75" s="311">
        <v>0</v>
      </c>
      <c r="Q75" s="311">
        <v>1</v>
      </c>
      <c r="R75" s="311">
        <v>1</v>
      </c>
      <c r="S75" s="311">
        <v>0</v>
      </c>
      <c r="T75" s="311">
        <v>0</v>
      </c>
      <c r="U75" s="311">
        <v>1</v>
      </c>
      <c r="V75" s="311">
        <v>1</v>
      </c>
      <c r="W75" s="311">
        <v>0</v>
      </c>
    </row>
    <row r="76" spans="1:23" ht="13.5" customHeight="1" x14ac:dyDescent="0.2">
      <c r="A76" s="315" t="s">
        <v>217</v>
      </c>
      <c r="B76" s="311">
        <v>22</v>
      </c>
      <c r="C76" s="311">
        <v>0</v>
      </c>
      <c r="D76" s="311">
        <v>0</v>
      </c>
      <c r="E76" s="311">
        <v>0</v>
      </c>
      <c r="F76" s="311">
        <v>0</v>
      </c>
      <c r="G76" s="311">
        <v>0</v>
      </c>
      <c r="H76" s="311">
        <v>0</v>
      </c>
      <c r="I76" s="311">
        <v>0</v>
      </c>
      <c r="J76" s="311">
        <v>0</v>
      </c>
      <c r="K76" s="311">
        <v>0</v>
      </c>
      <c r="L76" s="311">
        <v>0</v>
      </c>
      <c r="M76" s="311">
        <v>0</v>
      </c>
      <c r="N76" s="311">
        <v>0</v>
      </c>
      <c r="O76" s="311">
        <v>0</v>
      </c>
      <c r="P76" s="311">
        <v>0</v>
      </c>
      <c r="Q76" s="311">
        <v>0</v>
      </c>
      <c r="R76" s="311">
        <v>0</v>
      </c>
      <c r="S76" s="311">
        <v>0</v>
      </c>
      <c r="T76" s="311">
        <v>0</v>
      </c>
      <c r="U76" s="311">
        <v>0</v>
      </c>
      <c r="V76" s="311">
        <v>0</v>
      </c>
      <c r="W76" s="311">
        <v>0</v>
      </c>
    </row>
    <row r="77" spans="1:23" x14ac:dyDescent="0.2">
      <c r="A77" s="579" t="s">
        <v>1091</v>
      </c>
      <c r="B77" s="579">
        <v>30320356737</v>
      </c>
      <c r="C77" s="312">
        <v>8880626881</v>
      </c>
      <c r="D77" s="312">
        <v>2601075393</v>
      </c>
      <c r="E77" s="312">
        <v>761837345</v>
      </c>
      <c r="F77" s="312">
        <v>223136993</v>
      </c>
      <c r="G77" s="312">
        <v>65355313</v>
      </c>
      <c r="H77" s="312">
        <v>19142129</v>
      </c>
      <c r="I77" s="312">
        <v>5606601</v>
      </c>
      <c r="J77" s="312">
        <v>1642137</v>
      </c>
      <c r="K77" s="312">
        <v>480973</v>
      </c>
      <c r="L77" s="312">
        <v>140877</v>
      </c>
      <c r="M77" s="312">
        <v>41267</v>
      </c>
      <c r="N77" s="312">
        <v>12095</v>
      </c>
      <c r="O77" s="312">
        <v>3556</v>
      </c>
      <c r="P77" s="312">
        <v>1064</v>
      </c>
      <c r="Q77" s="312">
        <v>233</v>
      </c>
      <c r="R77" s="312">
        <v>100</v>
      </c>
      <c r="S77" s="312">
        <v>22</v>
      </c>
      <c r="T77" s="312">
        <v>9</v>
      </c>
      <c r="U77" s="312">
        <v>4</v>
      </c>
      <c r="V77" s="312">
        <v>2</v>
      </c>
      <c r="W77" s="312">
        <v>1</v>
      </c>
    </row>
    <row r="78" spans="1:23" x14ac:dyDescent="0.2">
      <c r="B78" s="109"/>
      <c r="C78" s="109"/>
      <c r="D78" s="109"/>
      <c r="E78" s="109"/>
      <c r="F78" s="109"/>
      <c r="G78" s="109"/>
      <c r="H78" s="109"/>
      <c r="I78" s="109"/>
      <c r="J78" s="109"/>
      <c r="K78" s="109"/>
      <c r="L78" s="109"/>
      <c r="M78" s="109"/>
      <c r="N78" s="109"/>
      <c r="O78" s="109"/>
      <c r="P78" s="109"/>
      <c r="Q78" s="109"/>
      <c r="R78" s="109"/>
      <c r="S78" s="109"/>
      <c r="T78" s="109"/>
      <c r="U78" s="109"/>
    </row>
  </sheetData>
  <mergeCells count="4">
    <mergeCell ref="Q1:W1"/>
    <mergeCell ref="C1:P1"/>
    <mergeCell ref="A1:B1"/>
    <mergeCell ref="A77:B77"/>
  </mergeCells>
  <pageMargins left="0.70866141732283472" right="0.70866141732283472" top="0.74803149606299213" bottom="0.74803149606299213" header="0.31496062992125984" footer="0.31496062992125984"/>
  <pageSetup paperSize="8" fitToWidth="3" fitToHeight="0" orientation="landscape" r:id="rId1"/>
  <headerFooter>
    <oddHeader>&amp;LStructures Asset Management Planning Toolkit</oddHeader>
    <oddFooter>&amp;L&amp;A&amp;R&amp;P of &amp;N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_Ref02ii">
    <tabColor rgb="FFFFFF85"/>
    <pageSetUpPr fitToPage="1"/>
  </sheetPr>
  <dimension ref="A1:B29283"/>
  <sheetViews>
    <sheetView showGridLines="0" zoomScale="70" zoomScaleNormal="70" workbookViewId="0">
      <selection activeCell="B5" sqref="B5"/>
    </sheetView>
  </sheetViews>
  <sheetFormatPr defaultColWidth="9.140625" defaultRowHeight="12.75" customHeight="1" x14ac:dyDescent="0.2"/>
  <cols>
    <col min="1" max="1" width="39.42578125" style="1" customWidth="1"/>
    <col min="2" max="16384" width="9.140625" style="1"/>
  </cols>
  <sheetData>
    <row r="1" spans="1:2" ht="82.5" customHeight="1" x14ac:dyDescent="0.2">
      <c r="A1" s="581" t="s">
        <v>234</v>
      </c>
      <c r="B1" s="581"/>
    </row>
    <row r="2" spans="1:2" ht="14.25" customHeight="1" x14ac:dyDescent="0.2">
      <c r="A2" s="580" t="s">
        <v>1796</v>
      </c>
      <c r="B2" s="580" t="s">
        <v>238</v>
      </c>
    </row>
    <row r="3" spans="1:2" ht="14.25" customHeight="1" x14ac:dyDescent="0.2">
      <c r="A3" s="580"/>
      <c r="B3" s="580"/>
    </row>
    <row r="4" spans="1:2" ht="12.75" customHeight="1" x14ac:dyDescent="0.25">
      <c r="A4" s="317">
        <v>30320356737</v>
      </c>
      <c r="B4" s="317" t="s">
        <v>23</v>
      </c>
    </row>
    <row r="5" spans="1:2" ht="12.75" customHeight="1" x14ac:dyDescent="0.25">
      <c r="A5" s="318">
        <v>30320356738</v>
      </c>
      <c r="B5" s="318" t="s">
        <v>23</v>
      </c>
    </row>
    <row r="6" spans="1:2" ht="12.75" customHeight="1" x14ac:dyDescent="0.25">
      <c r="A6" s="318">
        <v>30320356739</v>
      </c>
      <c r="B6" s="318" t="s">
        <v>23</v>
      </c>
    </row>
    <row r="7" spans="1:2" ht="12.75" customHeight="1" x14ac:dyDescent="0.25">
      <c r="A7" s="318">
        <v>30320356740</v>
      </c>
      <c r="B7" s="318" t="s">
        <v>23</v>
      </c>
    </row>
    <row r="8" spans="1:2" ht="12.75" customHeight="1" x14ac:dyDescent="0.25">
      <c r="A8" s="318">
        <v>30320356741</v>
      </c>
      <c r="B8" s="318" t="s">
        <v>23</v>
      </c>
    </row>
    <row r="9" spans="1:2" ht="12.75" customHeight="1" x14ac:dyDescent="0.25">
      <c r="A9" s="318">
        <v>30320356742</v>
      </c>
      <c r="B9" s="318" t="s">
        <v>23</v>
      </c>
    </row>
    <row r="10" spans="1:2" ht="12.75" customHeight="1" x14ac:dyDescent="0.25">
      <c r="A10" s="318">
        <v>30320356743</v>
      </c>
      <c r="B10" s="318" t="s">
        <v>23</v>
      </c>
    </row>
    <row r="11" spans="1:2" ht="12.75" customHeight="1" x14ac:dyDescent="0.25">
      <c r="A11" s="318">
        <v>30320356744</v>
      </c>
      <c r="B11" s="318" t="s">
        <v>237</v>
      </c>
    </row>
    <row r="12" spans="1:2" ht="12.75" customHeight="1" x14ac:dyDescent="0.25">
      <c r="A12" s="318">
        <v>30320356837</v>
      </c>
      <c r="B12" s="318" t="s">
        <v>237</v>
      </c>
    </row>
    <row r="13" spans="1:2" ht="12.75" customHeight="1" x14ac:dyDescent="0.25">
      <c r="A13" s="318">
        <v>30320356838</v>
      </c>
      <c r="B13" s="318" t="s">
        <v>237</v>
      </c>
    </row>
    <row r="14" spans="1:2" ht="12.75" customHeight="1" x14ac:dyDescent="0.25">
      <c r="A14" s="318">
        <v>30320356839</v>
      </c>
      <c r="B14" s="318" t="s">
        <v>237</v>
      </c>
    </row>
    <row r="15" spans="1:2" ht="12.75" customHeight="1" x14ac:dyDescent="0.25">
      <c r="A15" s="318">
        <v>30320356840</v>
      </c>
      <c r="B15" s="318" t="s">
        <v>237</v>
      </c>
    </row>
    <row r="16" spans="1:2" ht="12.75" customHeight="1" x14ac:dyDescent="0.25">
      <c r="A16" s="318">
        <v>30320356841</v>
      </c>
      <c r="B16" s="318" t="s">
        <v>237</v>
      </c>
    </row>
    <row r="17" spans="1:2" ht="12.75" customHeight="1" x14ac:dyDescent="0.25">
      <c r="A17" s="318">
        <v>30320356842</v>
      </c>
      <c r="B17" s="318" t="s">
        <v>237</v>
      </c>
    </row>
    <row r="18" spans="1:2" ht="12.75" customHeight="1" x14ac:dyDescent="0.25">
      <c r="A18" s="318">
        <v>30320356843</v>
      </c>
      <c r="B18" s="318" t="s">
        <v>237</v>
      </c>
    </row>
    <row r="19" spans="1:2" ht="12.75" customHeight="1" x14ac:dyDescent="0.25">
      <c r="A19" s="318">
        <v>30320356844</v>
      </c>
      <c r="B19" s="318" t="s">
        <v>237</v>
      </c>
    </row>
    <row r="20" spans="1:2" ht="12.75" customHeight="1" x14ac:dyDescent="0.25">
      <c r="A20" s="318">
        <v>30543493730</v>
      </c>
      <c r="B20" s="318" t="s">
        <v>23</v>
      </c>
    </row>
    <row r="21" spans="1:2" ht="12.75" customHeight="1" x14ac:dyDescent="0.25">
      <c r="A21" s="318">
        <v>30543493731</v>
      </c>
      <c r="B21" s="318" t="s">
        <v>23</v>
      </c>
    </row>
    <row r="22" spans="1:2" ht="12.75" customHeight="1" x14ac:dyDescent="0.25">
      <c r="A22" s="318">
        <v>30543493732</v>
      </c>
      <c r="B22" s="318" t="s">
        <v>23</v>
      </c>
    </row>
    <row r="23" spans="1:2" ht="12.75" customHeight="1" x14ac:dyDescent="0.25">
      <c r="A23" s="318">
        <v>30543493733</v>
      </c>
      <c r="B23" s="318" t="s">
        <v>23</v>
      </c>
    </row>
    <row r="24" spans="1:2" ht="12.75" customHeight="1" x14ac:dyDescent="0.25">
      <c r="A24" s="318">
        <v>30543493734</v>
      </c>
      <c r="B24" s="318" t="s">
        <v>23</v>
      </c>
    </row>
    <row r="25" spans="1:2" ht="12.75" customHeight="1" x14ac:dyDescent="0.25">
      <c r="A25" s="318">
        <v>30543493735</v>
      </c>
      <c r="B25" s="318" t="s">
        <v>23</v>
      </c>
    </row>
    <row r="26" spans="1:2" ht="12.75" customHeight="1" x14ac:dyDescent="0.25">
      <c r="A26" s="318">
        <v>30543493736</v>
      </c>
      <c r="B26" s="318" t="s">
        <v>237</v>
      </c>
    </row>
    <row r="27" spans="1:2" ht="12.75" customHeight="1" x14ac:dyDescent="0.25">
      <c r="A27" s="318">
        <v>30543493737</v>
      </c>
      <c r="B27" s="318" t="s">
        <v>237</v>
      </c>
    </row>
    <row r="28" spans="1:2" ht="12.75" customHeight="1" x14ac:dyDescent="0.25">
      <c r="A28" s="318">
        <v>30543493830</v>
      </c>
      <c r="B28" s="318" t="s">
        <v>237</v>
      </c>
    </row>
    <row r="29" spans="1:2" ht="12.75" customHeight="1" x14ac:dyDescent="0.25">
      <c r="A29" s="318">
        <v>30543493831</v>
      </c>
      <c r="B29" s="318" t="s">
        <v>237</v>
      </c>
    </row>
    <row r="30" spans="1:2" ht="12.75" customHeight="1" x14ac:dyDescent="0.25">
      <c r="A30" s="318">
        <v>30543493832</v>
      </c>
      <c r="B30" s="318" t="s">
        <v>237</v>
      </c>
    </row>
    <row r="31" spans="1:2" ht="12.75" customHeight="1" x14ac:dyDescent="0.25">
      <c r="A31" s="318">
        <v>30543493833</v>
      </c>
      <c r="B31" s="318" t="s">
        <v>237</v>
      </c>
    </row>
    <row r="32" spans="1:2" ht="12.75" customHeight="1" x14ac:dyDescent="0.25">
      <c r="A32" s="318">
        <v>30543493834</v>
      </c>
      <c r="B32" s="318" t="s">
        <v>237</v>
      </c>
    </row>
    <row r="33" spans="1:2" ht="12.75" customHeight="1" x14ac:dyDescent="0.25">
      <c r="A33" s="318">
        <v>30543493835</v>
      </c>
      <c r="B33" s="318" t="s">
        <v>237</v>
      </c>
    </row>
    <row r="34" spans="1:2" ht="12.75" customHeight="1" x14ac:dyDescent="0.25">
      <c r="A34" s="318">
        <v>30543493836</v>
      </c>
      <c r="B34" s="318" t="s">
        <v>237</v>
      </c>
    </row>
    <row r="35" spans="1:2" ht="12.75" customHeight="1" x14ac:dyDescent="0.25">
      <c r="A35" s="318">
        <v>30543493837</v>
      </c>
      <c r="B35" s="318" t="s">
        <v>237</v>
      </c>
    </row>
    <row r="36" spans="1:2" ht="12.75" customHeight="1" x14ac:dyDescent="0.25">
      <c r="A36" s="318">
        <v>30766630723</v>
      </c>
      <c r="B36" s="318" t="s">
        <v>23</v>
      </c>
    </row>
    <row r="37" spans="1:2" ht="12.75" customHeight="1" x14ac:dyDescent="0.25">
      <c r="A37" s="318">
        <v>30766630724</v>
      </c>
      <c r="B37" s="318" t="s">
        <v>23</v>
      </c>
    </row>
    <row r="38" spans="1:2" ht="12.75" customHeight="1" x14ac:dyDescent="0.25">
      <c r="A38" s="318">
        <v>30766630725</v>
      </c>
      <c r="B38" s="318" t="s">
        <v>23</v>
      </c>
    </row>
    <row r="39" spans="1:2" ht="12.75" customHeight="1" x14ac:dyDescent="0.25">
      <c r="A39" s="318">
        <v>30766630726</v>
      </c>
      <c r="B39" s="318" t="s">
        <v>23</v>
      </c>
    </row>
    <row r="40" spans="1:2" ht="12.75" customHeight="1" x14ac:dyDescent="0.25">
      <c r="A40" s="318">
        <v>30766630727</v>
      </c>
      <c r="B40" s="318" t="s">
        <v>23</v>
      </c>
    </row>
    <row r="41" spans="1:2" ht="12.75" customHeight="1" x14ac:dyDescent="0.25">
      <c r="A41" s="318">
        <v>30766630728</v>
      </c>
      <c r="B41" s="318" t="s">
        <v>23</v>
      </c>
    </row>
    <row r="42" spans="1:2" ht="12.75" customHeight="1" x14ac:dyDescent="0.25">
      <c r="A42" s="318">
        <v>30766630729</v>
      </c>
      <c r="B42" s="318" t="s">
        <v>23</v>
      </c>
    </row>
    <row r="43" spans="1:2" ht="12.75" customHeight="1" x14ac:dyDescent="0.25">
      <c r="A43" s="318">
        <v>30766630730</v>
      </c>
      <c r="B43" s="318" t="s">
        <v>23</v>
      </c>
    </row>
    <row r="44" spans="1:2" ht="12.75" customHeight="1" x14ac:dyDescent="0.25">
      <c r="A44" s="318">
        <v>30766630823</v>
      </c>
      <c r="B44" s="318" t="s">
        <v>237</v>
      </c>
    </row>
    <row r="45" spans="1:2" ht="12.75" customHeight="1" x14ac:dyDescent="0.25">
      <c r="A45" s="318">
        <v>30766630824</v>
      </c>
      <c r="B45" s="318" t="s">
        <v>237</v>
      </c>
    </row>
    <row r="46" spans="1:2" ht="12.75" customHeight="1" x14ac:dyDescent="0.25">
      <c r="A46" s="318">
        <v>30766630825</v>
      </c>
      <c r="B46" s="318" t="s">
        <v>237</v>
      </c>
    </row>
    <row r="47" spans="1:2" ht="12.75" customHeight="1" x14ac:dyDescent="0.25">
      <c r="A47" s="318">
        <v>30766630826</v>
      </c>
      <c r="B47" s="318" t="s">
        <v>237</v>
      </c>
    </row>
    <row r="48" spans="1:2" ht="12.75" customHeight="1" x14ac:dyDescent="0.25">
      <c r="A48" s="318">
        <v>30766630827</v>
      </c>
      <c r="B48" s="318" t="s">
        <v>237</v>
      </c>
    </row>
    <row r="49" spans="1:2" ht="12.75" customHeight="1" x14ac:dyDescent="0.25">
      <c r="A49" s="318">
        <v>30766630828</v>
      </c>
      <c r="B49" s="318" t="s">
        <v>237</v>
      </c>
    </row>
    <row r="50" spans="1:2" ht="12.75" customHeight="1" x14ac:dyDescent="0.25">
      <c r="A50" s="318">
        <v>30766630829</v>
      </c>
      <c r="B50" s="318" t="s">
        <v>237</v>
      </c>
    </row>
    <row r="51" spans="1:2" ht="12.75" customHeight="1" x14ac:dyDescent="0.25">
      <c r="A51" s="318">
        <v>30766630830</v>
      </c>
      <c r="B51" s="318" t="s">
        <v>237</v>
      </c>
    </row>
    <row r="52" spans="1:2" ht="12.75" customHeight="1" x14ac:dyDescent="0.25">
      <c r="A52" s="318">
        <v>31082194082</v>
      </c>
      <c r="B52" s="318" t="s">
        <v>23</v>
      </c>
    </row>
    <row r="53" spans="1:2" ht="12.75" customHeight="1" x14ac:dyDescent="0.25">
      <c r="A53" s="318">
        <v>31082194083</v>
      </c>
      <c r="B53" s="318" t="s">
        <v>23</v>
      </c>
    </row>
    <row r="54" spans="1:2" ht="12.75" customHeight="1" x14ac:dyDescent="0.25">
      <c r="A54" s="318">
        <v>31082194084</v>
      </c>
      <c r="B54" s="318" t="s">
        <v>23</v>
      </c>
    </row>
    <row r="55" spans="1:2" ht="12.75" customHeight="1" x14ac:dyDescent="0.25">
      <c r="A55" s="318">
        <v>31082194085</v>
      </c>
      <c r="B55" s="318" t="s">
        <v>23</v>
      </c>
    </row>
    <row r="56" spans="1:2" ht="12.75" customHeight="1" x14ac:dyDescent="0.25">
      <c r="A56" s="318">
        <v>31082194086</v>
      </c>
      <c r="B56" s="318" t="s">
        <v>23</v>
      </c>
    </row>
    <row r="57" spans="1:2" ht="12.75" customHeight="1" x14ac:dyDescent="0.25">
      <c r="A57" s="318">
        <v>31082194087</v>
      </c>
      <c r="B57" s="318" t="s">
        <v>23</v>
      </c>
    </row>
    <row r="58" spans="1:2" ht="12.75" customHeight="1" x14ac:dyDescent="0.25">
      <c r="A58" s="318">
        <v>31082194088</v>
      </c>
      <c r="B58" s="318" t="s">
        <v>23</v>
      </c>
    </row>
    <row r="59" spans="1:2" ht="12.75" customHeight="1" x14ac:dyDescent="0.25">
      <c r="A59" s="318">
        <v>31082194089</v>
      </c>
      <c r="B59" s="318" t="s">
        <v>237</v>
      </c>
    </row>
    <row r="60" spans="1:2" ht="12.75" customHeight="1" x14ac:dyDescent="0.25">
      <c r="A60" s="318">
        <v>31082194182</v>
      </c>
      <c r="B60" s="318" t="s">
        <v>237</v>
      </c>
    </row>
    <row r="61" spans="1:2" ht="12.75" customHeight="1" x14ac:dyDescent="0.25">
      <c r="A61" s="318">
        <v>31082194183</v>
      </c>
      <c r="B61" s="318" t="s">
        <v>237</v>
      </c>
    </row>
    <row r="62" spans="1:2" ht="12.75" customHeight="1" x14ac:dyDescent="0.25">
      <c r="A62" s="318">
        <v>31082194184</v>
      </c>
      <c r="B62" s="318" t="s">
        <v>237</v>
      </c>
    </row>
    <row r="63" spans="1:2" ht="12.75" customHeight="1" x14ac:dyDescent="0.25">
      <c r="A63" s="318">
        <v>31082194185</v>
      </c>
      <c r="B63" s="318" t="s">
        <v>237</v>
      </c>
    </row>
    <row r="64" spans="1:2" ht="12.75" customHeight="1" x14ac:dyDescent="0.25">
      <c r="A64" s="318">
        <v>31082194186</v>
      </c>
      <c r="B64" s="318" t="s">
        <v>237</v>
      </c>
    </row>
    <row r="65" spans="1:2" ht="12.75" customHeight="1" x14ac:dyDescent="0.25">
      <c r="A65" s="318">
        <v>31082194187</v>
      </c>
      <c r="B65" s="318" t="s">
        <v>237</v>
      </c>
    </row>
    <row r="66" spans="1:2" ht="12.75" customHeight="1" x14ac:dyDescent="0.25">
      <c r="A66" s="318">
        <v>31082194188</v>
      </c>
      <c r="B66" s="318" t="s">
        <v>237</v>
      </c>
    </row>
    <row r="67" spans="1:2" ht="12.75" customHeight="1" x14ac:dyDescent="0.25">
      <c r="A67" s="318">
        <v>31082194189</v>
      </c>
      <c r="B67" s="318" t="s">
        <v>237</v>
      </c>
    </row>
    <row r="68" spans="1:2" ht="12.75" customHeight="1" x14ac:dyDescent="0.25">
      <c r="A68" s="318">
        <v>31305331075</v>
      </c>
      <c r="B68" s="318" t="s">
        <v>23</v>
      </c>
    </row>
    <row r="69" spans="1:2" ht="12.75" customHeight="1" x14ac:dyDescent="0.25">
      <c r="A69" s="318">
        <v>31305331076</v>
      </c>
      <c r="B69" s="318" t="s">
        <v>23</v>
      </c>
    </row>
    <row r="70" spans="1:2" ht="12.75" customHeight="1" x14ac:dyDescent="0.25">
      <c r="A70" s="318">
        <v>31305331077</v>
      </c>
      <c r="B70" s="318" t="s">
        <v>23</v>
      </c>
    </row>
    <row r="71" spans="1:2" ht="12.75" customHeight="1" x14ac:dyDescent="0.25">
      <c r="A71" s="318">
        <v>31305331078</v>
      </c>
      <c r="B71" s="318" t="s">
        <v>23</v>
      </c>
    </row>
    <row r="72" spans="1:2" ht="12.75" customHeight="1" x14ac:dyDescent="0.25">
      <c r="A72" s="318">
        <v>31305331079</v>
      </c>
      <c r="B72" s="318" t="s">
        <v>23</v>
      </c>
    </row>
    <row r="73" spans="1:2" ht="12.75" customHeight="1" x14ac:dyDescent="0.25">
      <c r="A73" s="318">
        <v>31305331080</v>
      </c>
      <c r="B73" s="318" t="s">
        <v>23</v>
      </c>
    </row>
    <row r="74" spans="1:2" ht="12.75" customHeight="1" x14ac:dyDescent="0.25">
      <c r="A74" s="318">
        <v>31305331081</v>
      </c>
      <c r="B74" s="318" t="s">
        <v>237</v>
      </c>
    </row>
    <row r="75" spans="1:2" ht="12.75" customHeight="1" x14ac:dyDescent="0.25">
      <c r="A75" s="318">
        <v>31305331082</v>
      </c>
      <c r="B75" s="318" t="s">
        <v>237</v>
      </c>
    </row>
    <row r="76" spans="1:2" ht="12.75" customHeight="1" x14ac:dyDescent="0.25">
      <c r="A76" s="318">
        <v>31305331175</v>
      </c>
      <c r="B76" s="318" t="s">
        <v>237</v>
      </c>
    </row>
    <row r="77" spans="1:2" ht="12.75" customHeight="1" x14ac:dyDescent="0.25">
      <c r="A77" s="318">
        <v>31305331176</v>
      </c>
      <c r="B77" s="318" t="s">
        <v>237</v>
      </c>
    </row>
    <row r="78" spans="1:2" ht="12.75" customHeight="1" x14ac:dyDescent="0.25">
      <c r="A78" s="318">
        <v>31305331177</v>
      </c>
      <c r="B78" s="318" t="s">
        <v>237</v>
      </c>
    </row>
    <row r="79" spans="1:2" ht="12.75" customHeight="1" x14ac:dyDescent="0.25">
      <c r="A79" s="318">
        <v>31305331178</v>
      </c>
      <c r="B79" s="318" t="s">
        <v>237</v>
      </c>
    </row>
    <row r="80" spans="1:2" ht="12.75" customHeight="1" x14ac:dyDescent="0.25">
      <c r="A80" s="318">
        <v>31305331179</v>
      </c>
      <c r="B80" s="318" t="s">
        <v>237</v>
      </c>
    </row>
    <row r="81" spans="1:2" ht="12.75" customHeight="1" x14ac:dyDescent="0.25">
      <c r="A81" s="318">
        <v>31305331180</v>
      </c>
      <c r="B81" s="318" t="s">
        <v>237</v>
      </c>
    </row>
    <row r="82" spans="1:2" ht="12.75" customHeight="1" x14ac:dyDescent="0.25">
      <c r="A82" s="318">
        <v>31305331181</v>
      </c>
      <c r="B82" s="318" t="s">
        <v>237</v>
      </c>
    </row>
    <row r="83" spans="1:2" ht="12.75" customHeight="1" x14ac:dyDescent="0.25">
      <c r="A83" s="318">
        <v>31305331182</v>
      </c>
      <c r="B83" s="318" t="s">
        <v>237</v>
      </c>
    </row>
    <row r="84" spans="1:2" ht="12.75" customHeight="1" x14ac:dyDescent="0.25">
      <c r="A84" s="318">
        <v>31528468068</v>
      </c>
      <c r="B84" s="318" t="s">
        <v>23</v>
      </c>
    </row>
    <row r="85" spans="1:2" ht="12.75" customHeight="1" x14ac:dyDescent="0.25">
      <c r="A85" s="318">
        <v>31528468069</v>
      </c>
      <c r="B85" s="318" t="s">
        <v>23</v>
      </c>
    </row>
    <row r="86" spans="1:2" ht="12.75" customHeight="1" x14ac:dyDescent="0.25">
      <c r="A86" s="318">
        <v>31528468070</v>
      </c>
      <c r="B86" s="318" t="s">
        <v>23</v>
      </c>
    </row>
    <row r="87" spans="1:2" ht="12.75" customHeight="1" x14ac:dyDescent="0.25">
      <c r="A87" s="318">
        <v>31528468071</v>
      </c>
      <c r="B87" s="318" t="s">
        <v>23</v>
      </c>
    </row>
    <row r="88" spans="1:2" ht="12.75" customHeight="1" x14ac:dyDescent="0.25">
      <c r="A88" s="318">
        <v>31528468072</v>
      </c>
      <c r="B88" s="318" t="s">
        <v>23</v>
      </c>
    </row>
    <row r="89" spans="1:2" ht="12.75" customHeight="1" x14ac:dyDescent="0.25">
      <c r="A89" s="318">
        <v>31528468073</v>
      </c>
      <c r="B89" s="318" t="s">
        <v>23</v>
      </c>
    </row>
    <row r="90" spans="1:2" ht="12.75" customHeight="1" x14ac:dyDescent="0.25">
      <c r="A90" s="318">
        <v>31528468074</v>
      </c>
      <c r="B90" s="318" t="s">
        <v>23</v>
      </c>
    </row>
    <row r="91" spans="1:2" ht="12.75" customHeight="1" x14ac:dyDescent="0.25">
      <c r="A91" s="318">
        <v>31528468075</v>
      </c>
      <c r="B91" s="318" t="s">
        <v>23</v>
      </c>
    </row>
    <row r="92" spans="1:2" ht="12.75" customHeight="1" x14ac:dyDescent="0.25">
      <c r="A92" s="318">
        <v>31528468168</v>
      </c>
      <c r="B92" s="318" t="s">
        <v>237</v>
      </c>
    </row>
    <row r="93" spans="1:2" ht="12.75" customHeight="1" x14ac:dyDescent="0.25">
      <c r="A93" s="318">
        <v>31528468169</v>
      </c>
      <c r="B93" s="318" t="s">
        <v>237</v>
      </c>
    </row>
    <row r="94" spans="1:2" ht="12.75" customHeight="1" x14ac:dyDescent="0.25">
      <c r="A94" s="318">
        <v>31528468170</v>
      </c>
      <c r="B94" s="318" t="s">
        <v>237</v>
      </c>
    </row>
    <row r="95" spans="1:2" ht="12.75" customHeight="1" x14ac:dyDescent="0.25">
      <c r="A95" s="318">
        <v>31528468171</v>
      </c>
      <c r="B95" s="318" t="s">
        <v>237</v>
      </c>
    </row>
    <row r="96" spans="1:2" ht="12.75" customHeight="1" x14ac:dyDescent="0.25">
      <c r="A96" s="318">
        <v>31528468172</v>
      </c>
      <c r="B96" s="318" t="s">
        <v>237</v>
      </c>
    </row>
    <row r="97" spans="1:2" ht="12.75" customHeight="1" x14ac:dyDescent="0.25">
      <c r="A97" s="318">
        <v>31528468173</v>
      </c>
      <c r="B97" s="318" t="s">
        <v>237</v>
      </c>
    </row>
    <row r="98" spans="1:2" ht="12.75" customHeight="1" x14ac:dyDescent="0.25">
      <c r="A98" s="318">
        <v>31528468174</v>
      </c>
      <c r="B98" s="318" t="s">
        <v>237</v>
      </c>
    </row>
    <row r="99" spans="1:2" ht="12.75" customHeight="1" x14ac:dyDescent="0.25">
      <c r="A99" s="318">
        <v>31528468175</v>
      </c>
      <c r="B99" s="318" t="s">
        <v>237</v>
      </c>
    </row>
    <row r="100" spans="1:2" ht="12.75" customHeight="1" x14ac:dyDescent="0.25">
      <c r="A100" s="318">
        <v>31844031427</v>
      </c>
      <c r="B100" s="318" t="s">
        <v>23</v>
      </c>
    </row>
    <row r="101" spans="1:2" ht="12.75" customHeight="1" x14ac:dyDescent="0.25">
      <c r="A101" s="318">
        <v>31844031428</v>
      </c>
      <c r="B101" s="318" t="s">
        <v>23</v>
      </c>
    </row>
    <row r="102" spans="1:2" ht="12.75" customHeight="1" x14ac:dyDescent="0.25">
      <c r="A102" s="318">
        <v>31844031429</v>
      </c>
      <c r="B102" s="318" t="s">
        <v>23</v>
      </c>
    </row>
    <row r="103" spans="1:2" ht="12.75" customHeight="1" x14ac:dyDescent="0.25">
      <c r="A103" s="318">
        <v>31844031430</v>
      </c>
      <c r="B103" s="318" t="s">
        <v>23</v>
      </c>
    </row>
    <row r="104" spans="1:2" ht="12.75" customHeight="1" x14ac:dyDescent="0.25">
      <c r="A104" s="318">
        <v>31844031431</v>
      </c>
      <c r="B104" s="318" t="s">
        <v>23</v>
      </c>
    </row>
    <row r="105" spans="1:2" ht="12.75" customHeight="1" x14ac:dyDescent="0.25">
      <c r="A105" s="318">
        <v>31844031432</v>
      </c>
      <c r="B105" s="318" t="s">
        <v>23</v>
      </c>
    </row>
    <row r="106" spans="1:2" ht="12.75" customHeight="1" x14ac:dyDescent="0.25">
      <c r="A106" s="318">
        <v>31844031433</v>
      </c>
      <c r="B106" s="318" t="s">
        <v>23</v>
      </c>
    </row>
    <row r="107" spans="1:2" ht="12.75" customHeight="1" x14ac:dyDescent="0.25">
      <c r="A107" s="318">
        <v>31844031434</v>
      </c>
      <c r="B107" s="318" t="s">
        <v>237</v>
      </c>
    </row>
    <row r="108" spans="1:2" ht="12.75" customHeight="1" x14ac:dyDescent="0.25">
      <c r="A108" s="318">
        <v>31844031527</v>
      </c>
      <c r="B108" s="318" t="s">
        <v>237</v>
      </c>
    </row>
    <row r="109" spans="1:2" ht="12.75" customHeight="1" x14ac:dyDescent="0.25">
      <c r="A109" s="318">
        <v>31844031528</v>
      </c>
      <c r="B109" s="318" t="s">
        <v>237</v>
      </c>
    </row>
    <row r="110" spans="1:2" ht="12.75" customHeight="1" x14ac:dyDescent="0.25">
      <c r="A110" s="318">
        <v>31844031529</v>
      </c>
      <c r="B110" s="318" t="s">
        <v>237</v>
      </c>
    </row>
    <row r="111" spans="1:2" ht="12.75" customHeight="1" x14ac:dyDescent="0.25">
      <c r="A111" s="318">
        <v>31844031530</v>
      </c>
      <c r="B111" s="318" t="s">
        <v>237</v>
      </c>
    </row>
    <row r="112" spans="1:2" ht="12.75" customHeight="1" x14ac:dyDescent="0.25">
      <c r="A112" s="318">
        <v>31844031531</v>
      </c>
      <c r="B112" s="318" t="s">
        <v>237</v>
      </c>
    </row>
    <row r="113" spans="1:2" ht="12.75" customHeight="1" x14ac:dyDescent="0.25">
      <c r="A113" s="318">
        <v>31844031532</v>
      </c>
      <c r="B113" s="318" t="s">
        <v>237</v>
      </c>
    </row>
    <row r="114" spans="1:2" ht="12.75" customHeight="1" x14ac:dyDescent="0.25">
      <c r="A114" s="318">
        <v>31844031533</v>
      </c>
      <c r="B114" s="318" t="s">
        <v>237</v>
      </c>
    </row>
    <row r="115" spans="1:2" ht="12.75" customHeight="1" x14ac:dyDescent="0.25">
      <c r="A115" s="318">
        <v>31844031534</v>
      </c>
      <c r="B115" s="318" t="s">
        <v>237</v>
      </c>
    </row>
    <row r="116" spans="1:2" ht="12.75" customHeight="1" x14ac:dyDescent="0.25">
      <c r="A116" s="318">
        <v>32067168420</v>
      </c>
      <c r="B116" s="318" t="s">
        <v>23</v>
      </c>
    </row>
    <row r="117" spans="1:2" ht="12.75" customHeight="1" x14ac:dyDescent="0.25">
      <c r="A117" s="318">
        <v>32067168421</v>
      </c>
      <c r="B117" s="318" t="s">
        <v>23</v>
      </c>
    </row>
    <row r="118" spans="1:2" ht="12.75" customHeight="1" x14ac:dyDescent="0.25">
      <c r="A118" s="318">
        <v>32067168422</v>
      </c>
      <c r="B118" s="318" t="s">
        <v>23</v>
      </c>
    </row>
    <row r="119" spans="1:2" ht="12.75" customHeight="1" x14ac:dyDescent="0.25">
      <c r="A119" s="318">
        <v>32067168423</v>
      </c>
      <c r="B119" s="318" t="s">
        <v>23</v>
      </c>
    </row>
    <row r="120" spans="1:2" ht="12.75" customHeight="1" x14ac:dyDescent="0.25">
      <c r="A120" s="318">
        <v>32067168424</v>
      </c>
      <c r="B120" s="318" t="s">
        <v>23</v>
      </c>
    </row>
    <row r="121" spans="1:2" ht="12.75" customHeight="1" x14ac:dyDescent="0.25">
      <c r="A121" s="318">
        <v>32067168425</v>
      </c>
      <c r="B121" s="318" t="s">
        <v>23</v>
      </c>
    </row>
    <row r="122" spans="1:2" ht="12.75" customHeight="1" x14ac:dyDescent="0.25">
      <c r="A122" s="318">
        <v>32067168426</v>
      </c>
      <c r="B122" s="318" t="s">
        <v>237</v>
      </c>
    </row>
    <row r="123" spans="1:2" ht="12.75" customHeight="1" x14ac:dyDescent="0.25">
      <c r="A123" s="318">
        <v>32067168427</v>
      </c>
      <c r="B123" s="318" t="s">
        <v>237</v>
      </c>
    </row>
    <row r="124" spans="1:2" ht="12.75" customHeight="1" x14ac:dyDescent="0.25">
      <c r="A124" s="318">
        <v>32067168520</v>
      </c>
      <c r="B124" s="318" t="s">
        <v>237</v>
      </c>
    </row>
    <row r="125" spans="1:2" ht="12.75" customHeight="1" x14ac:dyDescent="0.25">
      <c r="A125" s="318">
        <v>32067168521</v>
      </c>
      <c r="B125" s="318" t="s">
        <v>237</v>
      </c>
    </row>
    <row r="126" spans="1:2" ht="12.75" customHeight="1" x14ac:dyDescent="0.25">
      <c r="A126" s="318">
        <v>32067168522</v>
      </c>
      <c r="B126" s="318" t="s">
        <v>237</v>
      </c>
    </row>
    <row r="127" spans="1:2" ht="12.75" customHeight="1" x14ac:dyDescent="0.25">
      <c r="A127" s="318">
        <v>32067168523</v>
      </c>
      <c r="B127" s="318" t="s">
        <v>237</v>
      </c>
    </row>
    <row r="128" spans="1:2" ht="12.75" customHeight="1" x14ac:dyDescent="0.25">
      <c r="A128" s="318">
        <v>32067168524</v>
      </c>
      <c r="B128" s="318" t="s">
        <v>237</v>
      </c>
    </row>
    <row r="129" spans="1:2" ht="12.75" customHeight="1" x14ac:dyDescent="0.25">
      <c r="A129" s="318">
        <v>32067168525</v>
      </c>
      <c r="B129" s="318" t="s">
        <v>237</v>
      </c>
    </row>
    <row r="130" spans="1:2" ht="12.75" customHeight="1" x14ac:dyDescent="0.25">
      <c r="A130" s="318">
        <v>32067168526</v>
      </c>
      <c r="B130" s="318" t="s">
        <v>237</v>
      </c>
    </row>
    <row r="131" spans="1:2" ht="12.75" customHeight="1" x14ac:dyDescent="0.25">
      <c r="A131" s="318">
        <v>32067168527</v>
      </c>
      <c r="B131" s="318" t="s">
        <v>237</v>
      </c>
    </row>
    <row r="132" spans="1:2" ht="12.75" customHeight="1" x14ac:dyDescent="0.25">
      <c r="A132" s="318">
        <v>32290305413</v>
      </c>
      <c r="B132" s="318" t="s">
        <v>23</v>
      </c>
    </row>
    <row r="133" spans="1:2" ht="12.75" customHeight="1" x14ac:dyDescent="0.25">
      <c r="A133" s="318">
        <v>32290305414</v>
      </c>
      <c r="B133" s="318" t="s">
        <v>23</v>
      </c>
    </row>
    <row r="134" spans="1:2" ht="12.75" customHeight="1" x14ac:dyDescent="0.25">
      <c r="A134" s="318">
        <v>32290305415</v>
      </c>
      <c r="B134" s="318" t="s">
        <v>23</v>
      </c>
    </row>
    <row r="135" spans="1:2" ht="12.75" customHeight="1" x14ac:dyDescent="0.25">
      <c r="A135" s="318">
        <v>32290305416</v>
      </c>
      <c r="B135" s="318" t="s">
        <v>23</v>
      </c>
    </row>
    <row r="136" spans="1:2" ht="12.75" customHeight="1" x14ac:dyDescent="0.25">
      <c r="A136" s="318">
        <v>32290305417</v>
      </c>
      <c r="B136" s="318" t="s">
        <v>23</v>
      </c>
    </row>
    <row r="137" spans="1:2" ht="12.75" customHeight="1" x14ac:dyDescent="0.25">
      <c r="A137" s="318">
        <v>32290305418</v>
      </c>
      <c r="B137" s="318" t="s">
        <v>23</v>
      </c>
    </row>
    <row r="138" spans="1:2" ht="12.75" customHeight="1" x14ac:dyDescent="0.25">
      <c r="A138" s="318">
        <v>32290305419</v>
      </c>
      <c r="B138" s="318" t="s">
        <v>23</v>
      </c>
    </row>
    <row r="139" spans="1:2" ht="12.75" customHeight="1" x14ac:dyDescent="0.25">
      <c r="A139" s="318">
        <v>32290305420</v>
      </c>
      <c r="B139" s="318" t="s">
        <v>23</v>
      </c>
    </row>
    <row r="140" spans="1:2" ht="12.75" customHeight="1" x14ac:dyDescent="0.25">
      <c r="A140" s="318">
        <v>32290305513</v>
      </c>
      <c r="B140" s="318" t="s">
        <v>237</v>
      </c>
    </row>
    <row r="141" spans="1:2" ht="12.75" customHeight="1" x14ac:dyDescent="0.25">
      <c r="A141" s="318">
        <v>32290305514</v>
      </c>
      <c r="B141" s="318" t="s">
        <v>237</v>
      </c>
    </row>
    <row r="142" spans="1:2" ht="12.75" customHeight="1" x14ac:dyDescent="0.25">
      <c r="A142" s="318">
        <v>32290305515</v>
      </c>
      <c r="B142" s="318" t="s">
        <v>237</v>
      </c>
    </row>
    <row r="143" spans="1:2" ht="12.75" customHeight="1" x14ac:dyDescent="0.25">
      <c r="A143" s="318">
        <v>32290305516</v>
      </c>
      <c r="B143" s="318" t="s">
        <v>237</v>
      </c>
    </row>
    <row r="144" spans="1:2" ht="12.75" customHeight="1" x14ac:dyDescent="0.25">
      <c r="A144" s="318">
        <v>32290305517</v>
      </c>
      <c r="B144" s="318" t="s">
        <v>237</v>
      </c>
    </row>
    <row r="145" spans="1:2" ht="12.75" customHeight="1" x14ac:dyDescent="0.25">
      <c r="A145" s="318">
        <v>32290305518</v>
      </c>
      <c r="B145" s="318" t="s">
        <v>237</v>
      </c>
    </row>
    <row r="146" spans="1:2" ht="12.75" customHeight="1" x14ac:dyDescent="0.25">
      <c r="A146" s="318">
        <v>32290305519</v>
      </c>
      <c r="B146" s="318" t="s">
        <v>237</v>
      </c>
    </row>
    <row r="147" spans="1:2" ht="12.75" customHeight="1" x14ac:dyDescent="0.25">
      <c r="A147" s="318">
        <v>32290305520</v>
      </c>
      <c r="B147" s="318" t="s">
        <v>237</v>
      </c>
    </row>
    <row r="148" spans="1:2" ht="12.75" customHeight="1" x14ac:dyDescent="0.25">
      <c r="A148" s="318">
        <v>32921432130</v>
      </c>
      <c r="B148" s="318" t="s">
        <v>23</v>
      </c>
    </row>
    <row r="149" spans="1:2" ht="12.75" customHeight="1" x14ac:dyDescent="0.25">
      <c r="A149" s="318">
        <v>32921432131</v>
      </c>
      <c r="B149" s="318" t="s">
        <v>23</v>
      </c>
    </row>
    <row r="150" spans="1:2" ht="12.75" customHeight="1" x14ac:dyDescent="0.25">
      <c r="A150" s="318">
        <v>32921432132</v>
      </c>
      <c r="B150" s="318" t="s">
        <v>23</v>
      </c>
    </row>
    <row r="151" spans="1:2" ht="12.75" customHeight="1" x14ac:dyDescent="0.25">
      <c r="A151" s="318">
        <v>32921432133</v>
      </c>
      <c r="B151" s="318" t="s">
        <v>23</v>
      </c>
    </row>
    <row r="152" spans="1:2" ht="12.75" customHeight="1" x14ac:dyDescent="0.25">
      <c r="A152" s="318">
        <v>32921432134</v>
      </c>
      <c r="B152" s="318" t="s">
        <v>23</v>
      </c>
    </row>
    <row r="153" spans="1:2" ht="12.75" customHeight="1" x14ac:dyDescent="0.25">
      <c r="A153" s="318">
        <v>32921432135</v>
      </c>
      <c r="B153" s="318" t="s">
        <v>23</v>
      </c>
    </row>
    <row r="154" spans="1:2" ht="12.75" customHeight="1" x14ac:dyDescent="0.25">
      <c r="A154" s="318">
        <v>32921432136</v>
      </c>
      <c r="B154" s="318" t="s">
        <v>23</v>
      </c>
    </row>
    <row r="155" spans="1:2" ht="12.75" customHeight="1" x14ac:dyDescent="0.25">
      <c r="A155" s="318">
        <v>32921432137</v>
      </c>
      <c r="B155" s="318" t="s">
        <v>237</v>
      </c>
    </row>
    <row r="156" spans="1:2" ht="12.75" customHeight="1" x14ac:dyDescent="0.25">
      <c r="A156" s="318">
        <v>32921432230</v>
      </c>
      <c r="B156" s="318" t="s">
        <v>237</v>
      </c>
    </row>
    <row r="157" spans="1:2" ht="12.75" customHeight="1" x14ac:dyDescent="0.25">
      <c r="A157" s="318">
        <v>32921432231</v>
      </c>
      <c r="B157" s="318" t="s">
        <v>237</v>
      </c>
    </row>
    <row r="158" spans="1:2" ht="12.75" customHeight="1" x14ac:dyDescent="0.25">
      <c r="A158" s="318">
        <v>32921432232</v>
      </c>
      <c r="B158" s="318" t="s">
        <v>237</v>
      </c>
    </row>
    <row r="159" spans="1:2" ht="12.75" customHeight="1" x14ac:dyDescent="0.25">
      <c r="A159" s="318">
        <v>32921432233</v>
      </c>
      <c r="B159" s="318" t="s">
        <v>237</v>
      </c>
    </row>
    <row r="160" spans="1:2" ht="12.75" customHeight="1" x14ac:dyDescent="0.25">
      <c r="A160" s="318">
        <v>32921432234</v>
      </c>
      <c r="B160" s="318" t="s">
        <v>237</v>
      </c>
    </row>
    <row r="161" spans="1:2" ht="12.75" customHeight="1" x14ac:dyDescent="0.25">
      <c r="A161" s="318">
        <v>32921432235</v>
      </c>
      <c r="B161" s="318" t="s">
        <v>237</v>
      </c>
    </row>
    <row r="162" spans="1:2" ht="12.75" customHeight="1" x14ac:dyDescent="0.25">
      <c r="A162" s="318">
        <v>32921432236</v>
      </c>
      <c r="B162" s="318" t="s">
        <v>237</v>
      </c>
    </row>
    <row r="163" spans="1:2" ht="12.75" customHeight="1" x14ac:dyDescent="0.25">
      <c r="A163" s="318">
        <v>32921432237</v>
      </c>
      <c r="B163" s="318" t="s">
        <v>237</v>
      </c>
    </row>
    <row r="164" spans="1:2" ht="12.75" customHeight="1" x14ac:dyDescent="0.25">
      <c r="A164" s="318">
        <v>33144569123</v>
      </c>
      <c r="B164" s="318" t="s">
        <v>23</v>
      </c>
    </row>
    <row r="165" spans="1:2" ht="12.75" customHeight="1" x14ac:dyDescent="0.25">
      <c r="A165" s="318">
        <v>33144569124</v>
      </c>
      <c r="B165" s="318" t="s">
        <v>23</v>
      </c>
    </row>
    <row r="166" spans="1:2" ht="12.75" customHeight="1" x14ac:dyDescent="0.25">
      <c r="A166" s="318">
        <v>33144569125</v>
      </c>
      <c r="B166" s="318" t="s">
        <v>23</v>
      </c>
    </row>
    <row r="167" spans="1:2" ht="12.75" customHeight="1" x14ac:dyDescent="0.25">
      <c r="A167" s="318">
        <v>33144569126</v>
      </c>
      <c r="B167" s="318" t="s">
        <v>23</v>
      </c>
    </row>
    <row r="168" spans="1:2" ht="12.75" customHeight="1" x14ac:dyDescent="0.25">
      <c r="A168" s="318">
        <v>33144569127</v>
      </c>
      <c r="B168" s="318" t="s">
        <v>23</v>
      </c>
    </row>
    <row r="169" spans="1:2" ht="12.75" customHeight="1" x14ac:dyDescent="0.25">
      <c r="A169" s="318">
        <v>33144569128</v>
      </c>
      <c r="B169" s="318" t="s">
        <v>23</v>
      </c>
    </row>
    <row r="170" spans="1:2" ht="12.75" customHeight="1" x14ac:dyDescent="0.25">
      <c r="A170" s="318">
        <v>33144569129</v>
      </c>
      <c r="B170" s="318" t="s">
        <v>237</v>
      </c>
    </row>
    <row r="171" spans="1:2" ht="12.75" customHeight="1" x14ac:dyDescent="0.25">
      <c r="A171" s="318">
        <v>33144569130</v>
      </c>
      <c r="B171" s="318" t="s">
        <v>237</v>
      </c>
    </row>
    <row r="172" spans="1:2" ht="12.75" customHeight="1" x14ac:dyDescent="0.25">
      <c r="A172" s="318">
        <v>33144569223</v>
      </c>
      <c r="B172" s="318" t="s">
        <v>237</v>
      </c>
    </row>
    <row r="173" spans="1:2" ht="12.75" customHeight="1" x14ac:dyDescent="0.25">
      <c r="A173" s="318">
        <v>33144569224</v>
      </c>
      <c r="B173" s="318" t="s">
        <v>237</v>
      </c>
    </row>
    <row r="174" spans="1:2" ht="12.75" customHeight="1" x14ac:dyDescent="0.25">
      <c r="A174" s="318">
        <v>33144569225</v>
      </c>
      <c r="B174" s="318" t="s">
        <v>237</v>
      </c>
    </row>
    <row r="175" spans="1:2" ht="12.75" customHeight="1" x14ac:dyDescent="0.25">
      <c r="A175" s="318">
        <v>33144569226</v>
      </c>
      <c r="B175" s="318" t="s">
        <v>237</v>
      </c>
    </row>
    <row r="176" spans="1:2" ht="12.75" customHeight="1" x14ac:dyDescent="0.25">
      <c r="A176" s="318">
        <v>33144569227</v>
      </c>
      <c r="B176" s="318" t="s">
        <v>237</v>
      </c>
    </row>
    <row r="177" spans="1:2" ht="12.75" customHeight="1" x14ac:dyDescent="0.25">
      <c r="A177" s="318">
        <v>33144569228</v>
      </c>
      <c r="B177" s="318" t="s">
        <v>237</v>
      </c>
    </row>
    <row r="178" spans="1:2" ht="12.75" customHeight="1" x14ac:dyDescent="0.25">
      <c r="A178" s="318">
        <v>33144569229</v>
      </c>
      <c r="B178" s="318" t="s">
        <v>237</v>
      </c>
    </row>
    <row r="179" spans="1:2" ht="12.75" customHeight="1" x14ac:dyDescent="0.25">
      <c r="A179" s="318">
        <v>33144569230</v>
      </c>
      <c r="B179" s="318" t="s">
        <v>237</v>
      </c>
    </row>
    <row r="180" spans="1:2" ht="12.75" customHeight="1" x14ac:dyDescent="0.25">
      <c r="A180" s="318">
        <v>33367706116</v>
      </c>
      <c r="B180" s="318" t="s">
        <v>23</v>
      </c>
    </row>
    <row r="181" spans="1:2" ht="12.75" customHeight="1" x14ac:dyDescent="0.25">
      <c r="A181" s="318">
        <v>33367706117</v>
      </c>
      <c r="B181" s="318" t="s">
        <v>23</v>
      </c>
    </row>
    <row r="182" spans="1:2" ht="12.75" customHeight="1" x14ac:dyDescent="0.25">
      <c r="A182" s="318">
        <v>33367706118</v>
      </c>
      <c r="B182" s="318" t="s">
        <v>23</v>
      </c>
    </row>
    <row r="183" spans="1:2" ht="12.75" customHeight="1" x14ac:dyDescent="0.25">
      <c r="A183" s="318">
        <v>33367706119</v>
      </c>
      <c r="B183" s="318" t="s">
        <v>23</v>
      </c>
    </row>
    <row r="184" spans="1:2" ht="12.75" customHeight="1" x14ac:dyDescent="0.25">
      <c r="A184" s="318">
        <v>33367706120</v>
      </c>
      <c r="B184" s="318" t="s">
        <v>23</v>
      </c>
    </row>
    <row r="185" spans="1:2" ht="12.75" customHeight="1" x14ac:dyDescent="0.25">
      <c r="A185" s="318">
        <v>33367706121</v>
      </c>
      <c r="B185" s="318" t="s">
        <v>23</v>
      </c>
    </row>
    <row r="186" spans="1:2" ht="12.75" customHeight="1" x14ac:dyDescent="0.25">
      <c r="A186" s="318">
        <v>33367706122</v>
      </c>
      <c r="B186" s="318" t="s">
        <v>23</v>
      </c>
    </row>
    <row r="187" spans="1:2" ht="12.75" customHeight="1" x14ac:dyDescent="0.25">
      <c r="A187" s="318">
        <v>33367706123</v>
      </c>
      <c r="B187" s="318" t="s">
        <v>23</v>
      </c>
    </row>
    <row r="188" spans="1:2" ht="12.75" customHeight="1" x14ac:dyDescent="0.25">
      <c r="A188" s="318">
        <v>33367706216</v>
      </c>
      <c r="B188" s="318" t="s">
        <v>237</v>
      </c>
    </row>
    <row r="189" spans="1:2" ht="12.75" customHeight="1" x14ac:dyDescent="0.25">
      <c r="A189" s="318">
        <v>33367706217</v>
      </c>
      <c r="B189" s="318" t="s">
        <v>237</v>
      </c>
    </row>
    <row r="190" spans="1:2" ht="12.75" customHeight="1" x14ac:dyDescent="0.25">
      <c r="A190" s="318">
        <v>33367706218</v>
      </c>
      <c r="B190" s="318" t="s">
        <v>237</v>
      </c>
    </row>
    <row r="191" spans="1:2" ht="12.75" customHeight="1" x14ac:dyDescent="0.25">
      <c r="A191" s="318">
        <v>33367706219</v>
      </c>
      <c r="B191" s="318" t="s">
        <v>237</v>
      </c>
    </row>
    <row r="192" spans="1:2" ht="12.75" customHeight="1" x14ac:dyDescent="0.25">
      <c r="A192" s="318">
        <v>33367706220</v>
      </c>
      <c r="B192" s="318" t="s">
        <v>237</v>
      </c>
    </row>
    <row r="193" spans="1:2" ht="12.75" customHeight="1" x14ac:dyDescent="0.25">
      <c r="A193" s="318">
        <v>33367706221</v>
      </c>
      <c r="B193" s="318" t="s">
        <v>237</v>
      </c>
    </row>
    <row r="194" spans="1:2" ht="12.75" customHeight="1" x14ac:dyDescent="0.25">
      <c r="A194" s="318">
        <v>33367706222</v>
      </c>
      <c r="B194" s="318" t="s">
        <v>237</v>
      </c>
    </row>
    <row r="195" spans="1:2" ht="12.75" customHeight="1" x14ac:dyDescent="0.25">
      <c r="A195" s="318">
        <v>33367706223</v>
      </c>
      <c r="B195" s="318" t="s">
        <v>237</v>
      </c>
    </row>
    <row r="196" spans="1:2" ht="12.75" customHeight="1" x14ac:dyDescent="0.25">
      <c r="A196" s="318">
        <v>33683269475</v>
      </c>
      <c r="B196" s="318" t="s">
        <v>23</v>
      </c>
    </row>
    <row r="197" spans="1:2" ht="12.75" customHeight="1" x14ac:dyDescent="0.25">
      <c r="A197" s="318">
        <v>33683269476</v>
      </c>
      <c r="B197" s="318" t="s">
        <v>23</v>
      </c>
    </row>
    <row r="198" spans="1:2" ht="12.75" customHeight="1" x14ac:dyDescent="0.25">
      <c r="A198" s="318">
        <v>33683269477</v>
      </c>
      <c r="B198" s="318" t="s">
        <v>23</v>
      </c>
    </row>
    <row r="199" spans="1:2" ht="12.75" customHeight="1" x14ac:dyDescent="0.25">
      <c r="A199" s="318">
        <v>33683269478</v>
      </c>
      <c r="B199" s="318" t="s">
        <v>23</v>
      </c>
    </row>
    <row r="200" spans="1:2" ht="12.75" customHeight="1" x14ac:dyDescent="0.25">
      <c r="A200" s="318">
        <v>33683269479</v>
      </c>
      <c r="B200" s="318" t="s">
        <v>23</v>
      </c>
    </row>
    <row r="201" spans="1:2" ht="12.75" customHeight="1" x14ac:dyDescent="0.25">
      <c r="A201" s="318">
        <v>33683269480</v>
      </c>
      <c r="B201" s="318" t="s">
        <v>23</v>
      </c>
    </row>
    <row r="202" spans="1:2" ht="12.75" customHeight="1" x14ac:dyDescent="0.25">
      <c r="A202" s="318">
        <v>33683269481</v>
      </c>
      <c r="B202" s="318" t="s">
        <v>23</v>
      </c>
    </row>
    <row r="203" spans="1:2" ht="12.75" customHeight="1" x14ac:dyDescent="0.25">
      <c r="A203" s="318">
        <v>33683269482</v>
      </c>
      <c r="B203" s="318" t="s">
        <v>237</v>
      </c>
    </row>
    <row r="204" spans="1:2" ht="12.75" customHeight="1" x14ac:dyDescent="0.25">
      <c r="A204" s="318">
        <v>33683269575</v>
      </c>
      <c r="B204" s="318" t="s">
        <v>237</v>
      </c>
    </row>
    <row r="205" spans="1:2" ht="12.75" customHeight="1" x14ac:dyDescent="0.25">
      <c r="A205" s="318">
        <v>33683269576</v>
      </c>
      <c r="B205" s="318" t="s">
        <v>237</v>
      </c>
    </row>
    <row r="206" spans="1:2" ht="12.75" customHeight="1" x14ac:dyDescent="0.25">
      <c r="A206" s="318">
        <v>33683269577</v>
      </c>
      <c r="B206" s="318" t="s">
        <v>237</v>
      </c>
    </row>
    <row r="207" spans="1:2" ht="12.75" customHeight="1" x14ac:dyDescent="0.25">
      <c r="A207" s="318">
        <v>33683269578</v>
      </c>
      <c r="B207" s="318" t="s">
        <v>237</v>
      </c>
    </row>
    <row r="208" spans="1:2" ht="12.75" customHeight="1" x14ac:dyDescent="0.25">
      <c r="A208" s="318">
        <v>33683269579</v>
      </c>
      <c r="B208" s="318" t="s">
        <v>237</v>
      </c>
    </row>
    <row r="209" spans="1:2" ht="12.75" customHeight="1" x14ac:dyDescent="0.25">
      <c r="A209" s="318">
        <v>33683269580</v>
      </c>
      <c r="B209" s="318" t="s">
        <v>237</v>
      </c>
    </row>
    <row r="210" spans="1:2" ht="12.75" customHeight="1" x14ac:dyDescent="0.25">
      <c r="A210" s="318">
        <v>33683269581</v>
      </c>
      <c r="B210" s="318" t="s">
        <v>237</v>
      </c>
    </row>
    <row r="211" spans="1:2" ht="12.75" customHeight="1" x14ac:dyDescent="0.25">
      <c r="A211" s="318">
        <v>33683269582</v>
      </c>
      <c r="B211" s="318" t="s">
        <v>237</v>
      </c>
    </row>
    <row r="212" spans="1:2" ht="12.75" customHeight="1" x14ac:dyDescent="0.25">
      <c r="A212" s="318">
        <v>33906406468</v>
      </c>
      <c r="B212" s="318" t="s">
        <v>23</v>
      </c>
    </row>
    <row r="213" spans="1:2" ht="12.75" customHeight="1" x14ac:dyDescent="0.25">
      <c r="A213" s="318">
        <v>33906406469</v>
      </c>
      <c r="B213" s="318" t="s">
        <v>23</v>
      </c>
    </row>
    <row r="214" spans="1:2" ht="12.75" customHeight="1" x14ac:dyDescent="0.25">
      <c r="A214" s="318">
        <v>33906406470</v>
      </c>
      <c r="B214" s="318" t="s">
        <v>23</v>
      </c>
    </row>
    <row r="215" spans="1:2" ht="12.75" customHeight="1" x14ac:dyDescent="0.25">
      <c r="A215" s="318">
        <v>33906406471</v>
      </c>
      <c r="B215" s="318" t="s">
        <v>23</v>
      </c>
    </row>
    <row r="216" spans="1:2" ht="12.75" customHeight="1" x14ac:dyDescent="0.25">
      <c r="A216" s="318">
        <v>33906406472</v>
      </c>
      <c r="B216" s="318" t="s">
        <v>23</v>
      </c>
    </row>
    <row r="217" spans="1:2" ht="12.75" customHeight="1" x14ac:dyDescent="0.25">
      <c r="A217" s="318">
        <v>33906406473</v>
      </c>
      <c r="B217" s="318" t="s">
        <v>23</v>
      </c>
    </row>
    <row r="218" spans="1:2" ht="12.75" customHeight="1" x14ac:dyDescent="0.25">
      <c r="A218" s="318">
        <v>33906406474</v>
      </c>
      <c r="B218" s="318" t="s">
        <v>237</v>
      </c>
    </row>
    <row r="219" spans="1:2" ht="12.75" customHeight="1" x14ac:dyDescent="0.25">
      <c r="A219" s="318">
        <v>33906406475</v>
      </c>
      <c r="B219" s="318" t="s">
        <v>237</v>
      </c>
    </row>
    <row r="220" spans="1:2" ht="12.75" customHeight="1" x14ac:dyDescent="0.25">
      <c r="A220" s="318">
        <v>33906406568</v>
      </c>
      <c r="B220" s="318" t="s">
        <v>237</v>
      </c>
    </row>
    <row r="221" spans="1:2" ht="12.75" customHeight="1" x14ac:dyDescent="0.25">
      <c r="A221" s="318">
        <v>33906406569</v>
      </c>
      <c r="B221" s="318" t="s">
        <v>237</v>
      </c>
    </row>
    <row r="222" spans="1:2" ht="12.75" customHeight="1" x14ac:dyDescent="0.25">
      <c r="A222" s="318">
        <v>33906406570</v>
      </c>
      <c r="B222" s="318" t="s">
        <v>237</v>
      </c>
    </row>
    <row r="223" spans="1:2" ht="12.75" customHeight="1" x14ac:dyDescent="0.25">
      <c r="A223" s="318">
        <v>33906406571</v>
      </c>
      <c r="B223" s="318" t="s">
        <v>237</v>
      </c>
    </row>
    <row r="224" spans="1:2" ht="12.75" customHeight="1" x14ac:dyDescent="0.25">
      <c r="A224" s="318">
        <v>33906406572</v>
      </c>
      <c r="B224" s="318" t="s">
        <v>237</v>
      </c>
    </row>
    <row r="225" spans="1:2" ht="12.75" customHeight="1" x14ac:dyDescent="0.25">
      <c r="A225" s="318">
        <v>33906406573</v>
      </c>
      <c r="B225" s="318" t="s">
        <v>237</v>
      </c>
    </row>
    <row r="226" spans="1:2" ht="12.75" customHeight="1" x14ac:dyDescent="0.25">
      <c r="A226" s="318">
        <v>33906406574</v>
      </c>
      <c r="B226" s="318" t="s">
        <v>237</v>
      </c>
    </row>
    <row r="227" spans="1:2" ht="12.75" customHeight="1" x14ac:dyDescent="0.25">
      <c r="A227" s="318">
        <v>33906406575</v>
      </c>
      <c r="B227" s="318" t="s">
        <v>237</v>
      </c>
    </row>
    <row r="228" spans="1:2" ht="12.75" customHeight="1" x14ac:dyDescent="0.25">
      <c r="A228" s="318">
        <v>34129543461</v>
      </c>
      <c r="B228" s="318" t="s">
        <v>23</v>
      </c>
    </row>
    <row r="229" spans="1:2" ht="12.75" customHeight="1" x14ac:dyDescent="0.25">
      <c r="A229" s="318">
        <v>34129543462</v>
      </c>
      <c r="B229" s="318" t="s">
        <v>23</v>
      </c>
    </row>
    <row r="230" spans="1:2" ht="12.75" customHeight="1" x14ac:dyDescent="0.25">
      <c r="A230" s="318">
        <v>34129543463</v>
      </c>
      <c r="B230" s="318" t="s">
        <v>23</v>
      </c>
    </row>
    <row r="231" spans="1:2" ht="12.75" customHeight="1" x14ac:dyDescent="0.25">
      <c r="A231" s="318">
        <v>34129543464</v>
      </c>
      <c r="B231" s="318" t="s">
        <v>23</v>
      </c>
    </row>
    <row r="232" spans="1:2" ht="12.75" customHeight="1" x14ac:dyDescent="0.25">
      <c r="A232" s="318">
        <v>34129543465</v>
      </c>
      <c r="B232" s="318" t="s">
        <v>23</v>
      </c>
    </row>
    <row r="233" spans="1:2" ht="12.75" customHeight="1" x14ac:dyDescent="0.25">
      <c r="A233" s="318">
        <v>34129543466</v>
      </c>
      <c r="B233" s="318" t="s">
        <v>23</v>
      </c>
    </row>
    <row r="234" spans="1:2" ht="12.75" customHeight="1" x14ac:dyDescent="0.25">
      <c r="A234" s="318">
        <v>34129543467</v>
      </c>
      <c r="B234" s="318" t="s">
        <v>23</v>
      </c>
    </row>
    <row r="235" spans="1:2" ht="12.75" customHeight="1" x14ac:dyDescent="0.25">
      <c r="A235" s="318">
        <v>34129543468</v>
      </c>
      <c r="B235" s="318" t="s">
        <v>23</v>
      </c>
    </row>
    <row r="236" spans="1:2" ht="12.75" customHeight="1" x14ac:dyDescent="0.25">
      <c r="A236" s="318">
        <v>34129543561</v>
      </c>
      <c r="B236" s="318" t="s">
        <v>237</v>
      </c>
    </row>
    <row r="237" spans="1:2" ht="12.75" customHeight="1" x14ac:dyDescent="0.25">
      <c r="A237" s="318">
        <v>34129543562</v>
      </c>
      <c r="B237" s="318" t="s">
        <v>237</v>
      </c>
    </row>
    <row r="238" spans="1:2" ht="12.75" customHeight="1" x14ac:dyDescent="0.25">
      <c r="A238" s="318">
        <v>34129543563</v>
      </c>
      <c r="B238" s="318" t="s">
        <v>237</v>
      </c>
    </row>
    <row r="239" spans="1:2" ht="12.75" customHeight="1" x14ac:dyDescent="0.25">
      <c r="A239" s="318">
        <v>34129543564</v>
      </c>
      <c r="B239" s="318" t="s">
        <v>237</v>
      </c>
    </row>
    <row r="240" spans="1:2" ht="12.75" customHeight="1" x14ac:dyDescent="0.25">
      <c r="A240" s="318">
        <v>34129543565</v>
      </c>
      <c r="B240" s="318" t="s">
        <v>237</v>
      </c>
    </row>
    <row r="241" spans="1:2" ht="12.75" customHeight="1" x14ac:dyDescent="0.25">
      <c r="A241" s="318">
        <v>34129543566</v>
      </c>
      <c r="B241" s="318" t="s">
        <v>237</v>
      </c>
    </row>
    <row r="242" spans="1:2" ht="12.75" customHeight="1" x14ac:dyDescent="0.25">
      <c r="A242" s="318">
        <v>34129543567</v>
      </c>
      <c r="B242" s="318" t="s">
        <v>237</v>
      </c>
    </row>
    <row r="243" spans="1:2" ht="12.75" customHeight="1" x14ac:dyDescent="0.25">
      <c r="A243" s="318">
        <v>34129543568</v>
      </c>
      <c r="B243" s="318" t="s">
        <v>237</v>
      </c>
    </row>
    <row r="244" spans="1:2" ht="12.75" customHeight="1" x14ac:dyDescent="0.25">
      <c r="A244" s="318">
        <v>34445106820</v>
      </c>
      <c r="B244" s="318" t="s">
        <v>23</v>
      </c>
    </row>
    <row r="245" spans="1:2" ht="12.75" customHeight="1" x14ac:dyDescent="0.25">
      <c r="A245" s="318">
        <v>34445106821</v>
      </c>
      <c r="B245" s="318" t="s">
        <v>23</v>
      </c>
    </row>
    <row r="246" spans="1:2" ht="12.75" customHeight="1" x14ac:dyDescent="0.25">
      <c r="A246" s="318">
        <v>34445106822</v>
      </c>
      <c r="B246" s="318" t="s">
        <v>23</v>
      </c>
    </row>
    <row r="247" spans="1:2" ht="12.75" customHeight="1" x14ac:dyDescent="0.25">
      <c r="A247" s="318">
        <v>34445106823</v>
      </c>
      <c r="B247" s="318" t="s">
        <v>23</v>
      </c>
    </row>
    <row r="248" spans="1:2" ht="12.75" customHeight="1" x14ac:dyDescent="0.25">
      <c r="A248" s="318">
        <v>34445106824</v>
      </c>
      <c r="B248" s="318" t="s">
        <v>23</v>
      </c>
    </row>
    <row r="249" spans="1:2" ht="12.75" customHeight="1" x14ac:dyDescent="0.25">
      <c r="A249" s="318">
        <v>34445106825</v>
      </c>
      <c r="B249" s="318" t="s">
        <v>23</v>
      </c>
    </row>
    <row r="250" spans="1:2" ht="12.75" customHeight="1" x14ac:dyDescent="0.25">
      <c r="A250" s="318">
        <v>34445106826</v>
      </c>
      <c r="B250" s="318" t="s">
        <v>23</v>
      </c>
    </row>
    <row r="251" spans="1:2" ht="12.75" customHeight="1" x14ac:dyDescent="0.25">
      <c r="A251" s="318">
        <v>34445106827</v>
      </c>
      <c r="B251" s="318" t="s">
        <v>237</v>
      </c>
    </row>
    <row r="252" spans="1:2" ht="12.75" customHeight="1" x14ac:dyDescent="0.25">
      <c r="A252" s="318">
        <v>34445106920</v>
      </c>
      <c r="B252" s="318" t="s">
        <v>237</v>
      </c>
    </row>
    <row r="253" spans="1:2" ht="12.75" customHeight="1" x14ac:dyDescent="0.25">
      <c r="A253" s="318">
        <v>34445106921</v>
      </c>
      <c r="B253" s="318" t="s">
        <v>237</v>
      </c>
    </row>
    <row r="254" spans="1:2" ht="12.75" customHeight="1" x14ac:dyDescent="0.25">
      <c r="A254" s="318">
        <v>34445106922</v>
      </c>
      <c r="B254" s="318" t="s">
        <v>237</v>
      </c>
    </row>
    <row r="255" spans="1:2" ht="12.75" customHeight="1" x14ac:dyDescent="0.25">
      <c r="A255" s="318">
        <v>34445106923</v>
      </c>
      <c r="B255" s="318" t="s">
        <v>237</v>
      </c>
    </row>
    <row r="256" spans="1:2" ht="12.75" customHeight="1" x14ac:dyDescent="0.25">
      <c r="A256" s="318">
        <v>34445106924</v>
      </c>
      <c r="B256" s="318" t="s">
        <v>237</v>
      </c>
    </row>
    <row r="257" spans="1:2" ht="12.75" customHeight="1" x14ac:dyDescent="0.25">
      <c r="A257" s="318">
        <v>34445106925</v>
      </c>
      <c r="B257" s="318" t="s">
        <v>237</v>
      </c>
    </row>
    <row r="258" spans="1:2" ht="12.75" customHeight="1" x14ac:dyDescent="0.25">
      <c r="A258" s="318">
        <v>34445106926</v>
      </c>
      <c r="B258" s="318" t="s">
        <v>237</v>
      </c>
    </row>
    <row r="259" spans="1:2" ht="12.75" customHeight="1" x14ac:dyDescent="0.25">
      <c r="A259" s="318">
        <v>34445106927</v>
      </c>
      <c r="B259" s="318" t="s">
        <v>237</v>
      </c>
    </row>
    <row r="260" spans="1:2" ht="12.75" customHeight="1" x14ac:dyDescent="0.25">
      <c r="A260" s="318">
        <v>34668243813</v>
      </c>
      <c r="B260" s="318" t="s">
        <v>23</v>
      </c>
    </row>
    <row r="261" spans="1:2" ht="12.75" customHeight="1" x14ac:dyDescent="0.25">
      <c r="A261" s="318">
        <v>34668243814</v>
      </c>
      <c r="B261" s="318" t="s">
        <v>23</v>
      </c>
    </row>
    <row r="262" spans="1:2" ht="12.75" customHeight="1" x14ac:dyDescent="0.25">
      <c r="A262" s="318">
        <v>34668243815</v>
      </c>
      <c r="B262" s="318" t="s">
        <v>23</v>
      </c>
    </row>
    <row r="263" spans="1:2" ht="12.75" customHeight="1" x14ac:dyDescent="0.25">
      <c r="A263" s="318">
        <v>34668243816</v>
      </c>
      <c r="B263" s="318" t="s">
        <v>23</v>
      </c>
    </row>
    <row r="264" spans="1:2" ht="12.75" customHeight="1" x14ac:dyDescent="0.25">
      <c r="A264" s="318">
        <v>34668243817</v>
      </c>
      <c r="B264" s="318" t="s">
        <v>23</v>
      </c>
    </row>
    <row r="265" spans="1:2" ht="12.75" customHeight="1" x14ac:dyDescent="0.25">
      <c r="A265" s="318">
        <v>34668243818</v>
      </c>
      <c r="B265" s="318" t="s">
        <v>23</v>
      </c>
    </row>
    <row r="266" spans="1:2" ht="12.75" customHeight="1" x14ac:dyDescent="0.25">
      <c r="A266" s="318">
        <v>34668243819</v>
      </c>
      <c r="B266" s="318" t="s">
        <v>237</v>
      </c>
    </row>
    <row r="267" spans="1:2" ht="12.75" customHeight="1" x14ac:dyDescent="0.25">
      <c r="A267" s="318">
        <v>34668243820</v>
      </c>
      <c r="B267" s="318" t="s">
        <v>237</v>
      </c>
    </row>
    <row r="268" spans="1:2" ht="12.75" customHeight="1" x14ac:dyDescent="0.25">
      <c r="A268" s="318">
        <v>34668243913</v>
      </c>
      <c r="B268" s="318" t="s">
        <v>237</v>
      </c>
    </row>
    <row r="269" spans="1:2" ht="12.75" customHeight="1" x14ac:dyDescent="0.25">
      <c r="A269" s="318">
        <v>34668243914</v>
      </c>
      <c r="B269" s="318" t="s">
        <v>237</v>
      </c>
    </row>
    <row r="270" spans="1:2" ht="12.75" customHeight="1" x14ac:dyDescent="0.25">
      <c r="A270" s="318">
        <v>34668243915</v>
      </c>
      <c r="B270" s="318" t="s">
        <v>237</v>
      </c>
    </row>
    <row r="271" spans="1:2" ht="12.75" customHeight="1" x14ac:dyDescent="0.25">
      <c r="A271" s="318">
        <v>34668243916</v>
      </c>
      <c r="B271" s="318" t="s">
        <v>237</v>
      </c>
    </row>
    <row r="272" spans="1:2" ht="12.75" customHeight="1" x14ac:dyDescent="0.25">
      <c r="A272" s="318">
        <v>34668243917</v>
      </c>
      <c r="B272" s="318" t="s">
        <v>237</v>
      </c>
    </row>
    <row r="273" spans="1:2" ht="12.75" customHeight="1" x14ac:dyDescent="0.25">
      <c r="A273" s="318">
        <v>34668243918</v>
      </c>
      <c r="B273" s="318" t="s">
        <v>237</v>
      </c>
    </row>
    <row r="274" spans="1:2" ht="12.75" customHeight="1" x14ac:dyDescent="0.25">
      <c r="A274" s="318">
        <v>34668243919</v>
      </c>
      <c r="B274" s="318" t="s">
        <v>237</v>
      </c>
    </row>
    <row r="275" spans="1:2" ht="12.75" customHeight="1" x14ac:dyDescent="0.25">
      <c r="A275" s="318">
        <v>34668243920</v>
      </c>
      <c r="B275" s="318" t="s">
        <v>237</v>
      </c>
    </row>
    <row r="276" spans="1:2" ht="12.75" customHeight="1" x14ac:dyDescent="0.25">
      <c r="A276" s="318">
        <v>34891380806</v>
      </c>
      <c r="B276" s="318" t="s">
        <v>23</v>
      </c>
    </row>
    <row r="277" spans="1:2" ht="12.75" customHeight="1" x14ac:dyDescent="0.25">
      <c r="A277" s="318">
        <v>34891380807</v>
      </c>
      <c r="B277" s="318" t="s">
        <v>23</v>
      </c>
    </row>
    <row r="278" spans="1:2" ht="12.75" customHeight="1" x14ac:dyDescent="0.25">
      <c r="A278" s="318">
        <v>34891380808</v>
      </c>
      <c r="B278" s="318" t="s">
        <v>23</v>
      </c>
    </row>
    <row r="279" spans="1:2" ht="12.75" customHeight="1" x14ac:dyDescent="0.25">
      <c r="A279" s="318">
        <v>34891380809</v>
      </c>
      <c r="B279" s="318" t="s">
        <v>23</v>
      </c>
    </row>
    <row r="280" spans="1:2" ht="12.75" customHeight="1" x14ac:dyDescent="0.25">
      <c r="A280" s="318">
        <v>34891380810</v>
      </c>
      <c r="B280" s="318" t="s">
        <v>23</v>
      </c>
    </row>
    <row r="281" spans="1:2" ht="12.75" customHeight="1" x14ac:dyDescent="0.25">
      <c r="A281" s="318">
        <v>34891380811</v>
      </c>
      <c r="B281" s="318" t="s">
        <v>23</v>
      </c>
    </row>
    <row r="282" spans="1:2" ht="12.75" customHeight="1" x14ac:dyDescent="0.25">
      <c r="A282" s="318">
        <v>34891380812</v>
      </c>
      <c r="B282" s="318" t="s">
        <v>23</v>
      </c>
    </row>
    <row r="283" spans="1:2" ht="12.75" customHeight="1" x14ac:dyDescent="0.25">
      <c r="A283" s="318">
        <v>34891380813</v>
      </c>
      <c r="B283" s="318" t="s">
        <v>23</v>
      </c>
    </row>
    <row r="284" spans="1:2" ht="12.75" customHeight="1" x14ac:dyDescent="0.25">
      <c r="A284" s="318">
        <v>34891380906</v>
      </c>
      <c r="B284" s="318" t="s">
        <v>237</v>
      </c>
    </row>
    <row r="285" spans="1:2" ht="12.75" customHeight="1" x14ac:dyDescent="0.25">
      <c r="A285" s="318">
        <v>34891380907</v>
      </c>
      <c r="B285" s="318" t="s">
        <v>237</v>
      </c>
    </row>
    <row r="286" spans="1:2" ht="12.75" customHeight="1" x14ac:dyDescent="0.25">
      <c r="A286" s="318">
        <v>34891380908</v>
      </c>
      <c r="B286" s="318" t="s">
        <v>237</v>
      </c>
    </row>
    <row r="287" spans="1:2" ht="12.75" customHeight="1" x14ac:dyDescent="0.25">
      <c r="A287" s="318">
        <v>34891380909</v>
      </c>
      <c r="B287" s="318" t="s">
        <v>237</v>
      </c>
    </row>
    <row r="288" spans="1:2" ht="12.75" customHeight="1" x14ac:dyDescent="0.25">
      <c r="A288" s="318">
        <v>34891380910</v>
      </c>
      <c r="B288" s="318" t="s">
        <v>237</v>
      </c>
    </row>
    <row r="289" spans="1:2" ht="12.75" customHeight="1" x14ac:dyDescent="0.25">
      <c r="A289" s="318">
        <v>34891380911</v>
      </c>
      <c r="B289" s="318" t="s">
        <v>237</v>
      </c>
    </row>
    <row r="290" spans="1:2" ht="12.75" customHeight="1" x14ac:dyDescent="0.25">
      <c r="A290" s="318">
        <v>34891380912</v>
      </c>
      <c r="B290" s="318" t="s">
        <v>237</v>
      </c>
    </row>
    <row r="291" spans="1:2" ht="12.75" customHeight="1" x14ac:dyDescent="0.25">
      <c r="A291" s="318">
        <v>34891380913</v>
      </c>
      <c r="B291" s="318" t="s">
        <v>237</v>
      </c>
    </row>
    <row r="292" spans="1:2" ht="12.75" customHeight="1" x14ac:dyDescent="0.25">
      <c r="A292" s="318">
        <v>35522507523</v>
      </c>
      <c r="B292" s="318" t="s">
        <v>236</v>
      </c>
    </row>
    <row r="293" spans="1:2" ht="12.75" customHeight="1" x14ac:dyDescent="0.25">
      <c r="A293" s="318">
        <v>35522507524</v>
      </c>
      <c r="B293" s="318" t="s">
        <v>23</v>
      </c>
    </row>
    <row r="294" spans="1:2" ht="12.75" customHeight="1" x14ac:dyDescent="0.25">
      <c r="A294" s="318">
        <v>35522507525</v>
      </c>
      <c r="B294" s="318" t="s">
        <v>236</v>
      </c>
    </row>
    <row r="295" spans="1:2" ht="12.75" customHeight="1" x14ac:dyDescent="0.25">
      <c r="A295" s="318">
        <v>35522507526</v>
      </c>
      <c r="B295" s="318" t="s">
        <v>23</v>
      </c>
    </row>
    <row r="296" spans="1:2" ht="12.75" customHeight="1" x14ac:dyDescent="0.25">
      <c r="A296" s="318">
        <v>35522507527</v>
      </c>
      <c r="B296" s="318" t="s">
        <v>236</v>
      </c>
    </row>
    <row r="297" spans="1:2" ht="12.75" customHeight="1" x14ac:dyDescent="0.25">
      <c r="A297" s="318">
        <v>35522507528</v>
      </c>
      <c r="B297" s="318" t="s">
        <v>23</v>
      </c>
    </row>
    <row r="298" spans="1:2" ht="12.75" customHeight="1" x14ac:dyDescent="0.25">
      <c r="A298" s="318">
        <v>35522507529</v>
      </c>
      <c r="B298" s="318" t="s">
        <v>236</v>
      </c>
    </row>
    <row r="299" spans="1:2" ht="12.75" customHeight="1" x14ac:dyDescent="0.25">
      <c r="A299" s="318">
        <v>35522507530</v>
      </c>
      <c r="B299" s="318" t="s">
        <v>237</v>
      </c>
    </row>
    <row r="300" spans="1:2" ht="12.75" customHeight="1" x14ac:dyDescent="0.25">
      <c r="A300" s="318">
        <v>35522507623</v>
      </c>
      <c r="B300" s="318" t="s">
        <v>236</v>
      </c>
    </row>
    <row r="301" spans="1:2" ht="12.75" customHeight="1" x14ac:dyDescent="0.25">
      <c r="A301" s="318">
        <v>35522507624</v>
      </c>
      <c r="B301" s="318" t="s">
        <v>237</v>
      </c>
    </row>
    <row r="302" spans="1:2" ht="12.75" customHeight="1" x14ac:dyDescent="0.25">
      <c r="A302" s="318">
        <v>35522507625</v>
      </c>
      <c r="B302" s="318" t="s">
        <v>236</v>
      </c>
    </row>
    <row r="303" spans="1:2" ht="12.75" customHeight="1" x14ac:dyDescent="0.25">
      <c r="A303" s="318">
        <v>35522507626</v>
      </c>
      <c r="B303" s="318" t="s">
        <v>237</v>
      </c>
    </row>
    <row r="304" spans="1:2" ht="12.75" customHeight="1" x14ac:dyDescent="0.25">
      <c r="A304" s="318">
        <v>35522507627</v>
      </c>
      <c r="B304" s="318" t="s">
        <v>236</v>
      </c>
    </row>
    <row r="305" spans="1:2" ht="12.75" customHeight="1" x14ac:dyDescent="0.25">
      <c r="A305" s="318">
        <v>35522507628</v>
      </c>
      <c r="B305" s="318" t="s">
        <v>237</v>
      </c>
    </row>
    <row r="306" spans="1:2" ht="12.75" customHeight="1" x14ac:dyDescent="0.25">
      <c r="A306" s="318">
        <v>35522507629</v>
      </c>
      <c r="B306" s="318" t="s">
        <v>236</v>
      </c>
    </row>
    <row r="307" spans="1:2" ht="12.75" customHeight="1" x14ac:dyDescent="0.25">
      <c r="A307" s="318">
        <v>35522507630</v>
      </c>
      <c r="B307" s="318" t="s">
        <v>237</v>
      </c>
    </row>
    <row r="308" spans="1:2" ht="12.75" customHeight="1" x14ac:dyDescent="0.25">
      <c r="A308" s="318">
        <v>35745644516</v>
      </c>
      <c r="B308" s="318" t="s">
        <v>23</v>
      </c>
    </row>
    <row r="309" spans="1:2" ht="12.75" customHeight="1" x14ac:dyDescent="0.25">
      <c r="A309" s="318">
        <v>35745644517</v>
      </c>
      <c r="B309" s="318" t="s">
        <v>23</v>
      </c>
    </row>
    <row r="310" spans="1:2" ht="12.75" customHeight="1" x14ac:dyDescent="0.25">
      <c r="A310" s="318">
        <v>35745644518</v>
      </c>
      <c r="B310" s="318" t="s">
        <v>23</v>
      </c>
    </row>
    <row r="311" spans="1:2" ht="12.75" customHeight="1" x14ac:dyDescent="0.25">
      <c r="A311" s="318">
        <v>35745644519</v>
      </c>
      <c r="B311" s="318" t="s">
        <v>23</v>
      </c>
    </row>
    <row r="312" spans="1:2" ht="12.75" customHeight="1" x14ac:dyDescent="0.25">
      <c r="A312" s="318">
        <v>35745644520</v>
      </c>
      <c r="B312" s="318" t="s">
        <v>23</v>
      </c>
    </row>
    <row r="313" spans="1:2" ht="12.75" customHeight="1" x14ac:dyDescent="0.25">
      <c r="A313" s="318">
        <v>35745644521</v>
      </c>
      <c r="B313" s="318" t="s">
        <v>23</v>
      </c>
    </row>
    <row r="314" spans="1:2" ht="12.75" customHeight="1" x14ac:dyDescent="0.25">
      <c r="A314" s="318">
        <v>35745644522</v>
      </c>
      <c r="B314" s="318" t="s">
        <v>237</v>
      </c>
    </row>
    <row r="315" spans="1:2" ht="12.75" customHeight="1" x14ac:dyDescent="0.25">
      <c r="A315" s="318">
        <v>35745644523</v>
      </c>
      <c r="B315" s="318" t="s">
        <v>237</v>
      </c>
    </row>
    <row r="316" spans="1:2" ht="12.75" customHeight="1" x14ac:dyDescent="0.25">
      <c r="A316" s="318">
        <v>35745644616</v>
      </c>
      <c r="B316" s="318" t="s">
        <v>237</v>
      </c>
    </row>
    <row r="317" spans="1:2" ht="12.75" customHeight="1" x14ac:dyDescent="0.25">
      <c r="A317" s="318">
        <v>35745644617</v>
      </c>
      <c r="B317" s="318" t="s">
        <v>237</v>
      </c>
    </row>
    <row r="318" spans="1:2" ht="12.75" customHeight="1" x14ac:dyDescent="0.25">
      <c r="A318" s="318">
        <v>35745644618</v>
      </c>
      <c r="B318" s="318" t="s">
        <v>237</v>
      </c>
    </row>
    <row r="319" spans="1:2" ht="12.75" customHeight="1" x14ac:dyDescent="0.25">
      <c r="A319" s="318">
        <v>35745644619</v>
      </c>
      <c r="B319" s="318" t="s">
        <v>237</v>
      </c>
    </row>
    <row r="320" spans="1:2" ht="12.75" customHeight="1" x14ac:dyDescent="0.25">
      <c r="A320" s="318">
        <v>35745644620</v>
      </c>
      <c r="B320" s="318" t="s">
        <v>237</v>
      </c>
    </row>
    <row r="321" spans="1:2" ht="12.75" customHeight="1" x14ac:dyDescent="0.25">
      <c r="A321" s="318">
        <v>35745644621</v>
      </c>
      <c r="B321" s="318" t="s">
        <v>237</v>
      </c>
    </row>
    <row r="322" spans="1:2" ht="12.75" customHeight="1" x14ac:dyDescent="0.25">
      <c r="A322" s="318">
        <v>35745644622</v>
      </c>
      <c r="B322" s="318" t="s">
        <v>237</v>
      </c>
    </row>
    <row r="323" spans="1:2" ht="12.75" customHeight="1" x14ac:dyDescent="0.25">
      <c r="A323" s="318">
        <v>35745644623</v>
      </c>
      <c r="B323" s="318" t="s">
        <v>237</v>
      </c>
    </row>
    <row r="324" spans="1:2" ht="12.75" customHeight="1" x14ac:dyDescent="0.25">
      <c r="A324" s="318">
        <v>35968781509</v>
      </c>
      <c r="B324" s="318" t="s">
        <v>236</v>
      </c>
    </row>
    <row r="325" spans="1:2" ht="12.75" customHeight="1" x14ac:dyDescent="0.25">
      <c r="A325" s="318">
        <v>35968781510</v>
      </c>
      <c r="B325" s="318" t="s">
        <v>235</v>
      </c>
    </row>
    <row r="326" spans="1:2" ht="12.75" customHeight="1" x14ac:dyDescent="0.25">
      <c r="A326" s="318">
        <v>35968781511</v>
      </c>
      <c r="B326" s="318" t="s">
        <v>236</v>
      </c>
    </row>
    <row r="327" spans="1:2" ht="12.75" customHeight="1" x14ac:dyDescent="0.25">
      <c r="A327" s="318">
        <v>35968781512</v>
      </c>
      <c r="B327" s="318" t="s">
        <v>235</v>
      </c>
    </row>
    <row r="328" spans="1:2" ht="12.75" customHeight="1" x14ac:dyDescent="0.25">
      <c r="A328" s="318">
        <v>35968781513</v>
      </c>
      <c r="B328" s="318" t="s">
        <v>236</v>
      </c>
    </row>
    <row r="329" spans="1:2" ht="12.75" customHeight="1" x14ac:dyDescent="0.25">
      <c r="A329" s="318">
        <v>35968781514</v>
      </c>
      <c r="B329" s="318" t="s">
        <v>235</v>
      </c>
    </row>
    <row r="330" spans="1:2" ht="12.75" customHeight="1" x14ac:dyDescent="0.25">
      <c r="A330" s="318">
        <v>35968781515</v>
      </c>
      <c r="B330" s="318" t="s">
        <v>236</v>
      </c>
    </row>
    <row r="331" spans="1:2" ht="12.75" customHeight="1" x14ac:dyDescent="0.25">
      <c r="A331" s="318">
        <v>35968781516</v>
      </c>
      <c r="B331" s="318" t="s">
        <v>235</v>
      </c>
    </row>
    <row r="332" spans="1:2" ht="12.75" customHeight="1" x14ac:dyDescent="0.25">
      <c r="A332" s="318">
        <v>35968781609</v>
      </c>
      <c r="B332" s="318" t="s">
        <v>236</v>
      </c>
    </row>
    <row r="333" spans="1:2" ht="12.75" customHeight="1" x14ac:dyDescent="0.25">
      <c r="A333" s="318">
        <v>35968781610</v>
      </c>
      <c r="B333" s="318" t="s">
        <v>235</v>
      </c>
    </row>
    <row r="334" spans="1:2" ht="12.75" customHeight="1" x14ac:dyDescent="0.25">
      <c r="A334" s="318">
        <v>35968781611</v>
      </c>
      <c r="B334" s="318" t="s">
        <v>236</v>
      </c>
    </row>
    <row r="335" spans="1:2" ht="12.75" customHeight="1" x14ac:dyDescent="0.25">
      <c r="A335" s="318">
        <v>35968781612</v>
      </c>
      <c r="B335" s="318" t="s">
        <v>235</v>
      </c>
    </row>
    <row r="336" spans="1:2" ht="12.75" customHeight="1" x14ac:dyDescent="0.25">
      <c r="A336" s="318">
        <v>35968781613</v>
      </c>
      <c r="B336" s="318" t="s">
        <v>236</v>
      </c>
    </row>
    <row r="337" spans="1:2" ht="12.75" customHeight="1" x14ac:dyDescent="0.25">
      <c r="A337" s="318">
        <v>35968781614</v>
      </c>
      <c r="B337" s="318" t="s">
        <v>235</v>
      </c>
    </row>
    <row r="338" spans="1:2" ht="12.75" customHeight="1" x14ac:dyDescent="0.25">
      <c r="A338" s="318">
        <v>35968781615</v>
      </c>
      <c r="B338" s="318" t="s">
        <v>236</v>
      </c>
    </row>
    <row r="339" spans="1:2" ht="12.75" customHeight="1" x14ac:dyDescent="0.25">
      <c r="A339" s="318">
        <v>35968781616</v>
      </c>
      <c r="B339" s="318" t="s">
        <v>235</v>
      </c>
    </row>
    <row r="340" spans="1:2" ht="12.75" customHeight="1" x14ac:dyDescent="0.25">
      <c r="A340" s="318">
        <v>36284344868</v>
      </c>
      <c r="B340" s="318" t="s">
        <v>23</v>
      </c>
    </row>
    <row r="341" spans="1:2" ht="12.75" customHeight="1" x14ac:dyDescent="0.25">
      <c r="A341" s="318">
        <v>36284344869</v>
      </c>
      <c r="B341" s="318" t="s">
        <v>23</v>
      </c>
    </row>
    <row r="342" spans="1:2" ht="12.75" customHeight="1" x14ac:dyDescent="0.25">
      <c r="A342" s="318">
        <v>36284344870</v>
      </c>
      <c r="B342" s="318" t="s">
        <v>23</v>
      </c>
    </row>
    <row r="343" spans="1:2" ht="12.75" customHeight="1" x14ac:dyDescent="0.25">
      <c r="A343" s="318">
        <v>36284344871</v>
      </c>
      <c r="B343" s="318" t="s">
        <v>23</v>
      </c>
    </row>
    <row r="344" spans="1:2" ht="12.75" customHeight="1" x14ac:dyDescent="0.25">
      <c r="A344" s="318">
        <v>36284344872</v>
      </c>
      <c r="B344" s="318" t="s">
        <v>23</v>
      </c>
    </row>
    <row r="345" spans="1:2" ht="12.75" customHeight="1" x14ac:dyDescent="0.25">
      <c r="A345" s="318">
        <v>36284344873</v>
      </c>
      <c r="B345" s="318" t="s">
        <v>23</v>
      </c>
    </row>
    <row r="346" spans="1:2" ht="12.75" customHeight="1" x14ac:dyDescent="0.25">
      <c r="A346" s="318">
        <v>36284344874</v>
      </c>
      <c r="B346" s="318" t="s">
        <v>23</v>
      </c>
    </row>
    <row r="347" spans="1:2" ht="12.75" customHeight="1" x14ac:dyDescent="0.25">
      <c r="A347" s="318">
        <v>36284344875</v>
      </c>
      <c r="B347" s="318" t="s">
        <v>237</v>
      </c>
    </row>
    <row r="348" spans="1:2" ht="12.75" customHeight="1" x14ac:dyDescent="0.25">
      <c r="A348" s="318">
        <v>36284344968</v>
      </c>
      <c r="B348" s="318" t="s">
        <v>237</v>
      </c>
    </row>
    <row r="349" spans="1:2" ht="12.75" customHeight="1" x14ac:dyDescent="0.25">
      <c r="A349" s="318">
        <v>36284344969</v>
      </c>
      <c r="B349" s="318" t="s">
        <v>237</v>
      </c>
    </row>
    <row r="350" spans="1:2" ht="12.75" customHeight="1" x14ac:dyDescent="0.25">
      <c r="A350" s="318">
        <v>36284344970</v>
      </c>
      <c r="B350" s="318" t="s">
        <v>237</v>
      </c>
    </row>
    <row r="351" spans="1:2" ht="12.75" customHeight="1" x14ac:dyDescent="0.25">
      <c r="A351" s="318">
        <v>36284344971</v>
      </c>
      <c r="B351" s="318" t="s">
        <v>237</v>
      </c>
    </row>
    <row r="352" spans="1:2" ht="12.75" customHeight="1" x14ac:dyDescent="0.25">
      <c r="A352" s="318">
        <v>36284344972</v>
      </c>
      <c r="B352" s="318" t="s">
        <v>237</v>
      </c>
    </row>
    <row r="353" spans="1:2" ht="12.75" customHeight="1" x14ac:dyDescent="0.25">
      <c r="A353" s="318">
        <v>36284344973</v>
      </c>
      <c r="B353" s="318" t="s">
        <v>237</v>
      </c>
    </row>
    <row r="354" spans="1:2" ht="12.75" customHeight="1" x14ac:dyDescent="0.25">
      <c r="A354" s="318">
        <v>36284344974</v>
      </c>
      <c r="B354" s="318" t="s">
        <v>237</v>
      </c>
    </row>
    <row r="355" spans="1:2" ht="12.75" customHeight="1" x14ac:dyDescent="0.25">
      <c r="A355" s="318">
        <v>36284344975</v>
      </c>
      <c r="B355" s="318" t="s">
        <v>237</v>
      </c>
    </row>
    <row r="356" spans="1:2" ht="12.75" customHeight="1" x14ac:dyDescent="0.25">
      <c r="A356" s="318">
        <v>36507481861</v>
      </c>
      <c r="B356" s="318" t="s">
        <v>23</v>
      </c>
    </row>
    <row r="357" spans="1:2" ht="12.75" customHeight="1" x14ac:dyDescent="0.25">
      <c r="A357" s="318">
        <v>36507481862</v>
      </c>
      <c r="B357" s="318" t="s">
        <v>23</v>
      </c>
    </row>
    <row r="358" spans="1:2" ht="12.75" customHeight="1" x14ac:dyDescent="0.25">
      <c r="A358" s="318">
        <v>36507481863</v>
      </c>
      <c r="B358" s="318" t="s">
        <v>23</v>
      </c>
    </row>
    <row r="359" spans="1:2" ht="12.75" customHeight="1" x14ac:dyDescent="0.25">
      <c r="A359" s="318">
        <v>36507481864</v>
      </c>
      <c r="B359" s="318" t="s">
        <v>23</v>
      </c>
    </row>
    <row r="360" spans="1:2" ht="12.75" customHeight="1" x14ac:dyDescent="0.25">
      <c r="A360" s="318">
        <v>36507481865</v>
      </c>
      <c r="B360" s="318" t="s">
        <v>23</v>
      </c>
    </row>
    <row r="361" spans="1:2" ht="12.75" customHeight="1" x14ac:dyDescent="0.25">
      <c r="A361" s="318">
        <v>36507481866</v>
      </c>
      <c r="B361" s="318" t="s">
        <v>23</v>
      </c>
    </row>
    <row r="362" spans="1:2" ht="12.75" customHeight="1" x14ac:dyDescent="0.25">
      <c r="A362" s="318">
        <v>36507481867</v>
      </c>
      <c r="B362" s="318" t="s">
        <v>237</v>
      </c>
    </row>
    <row r="363" spans="1:2" ht="12.75" customHeight="1" x14ac:dyDescent="0.25">
      <c r="A363" s="318">
        <v>36507481868</v>
      </c>
      <c r="B363" s="318" t="s">
        <v>237</v>
      </c>
    </row>
    <row r="364" spans="1:2" ht="12.75" customHeight="1" x14ac:dyDescent="0.25">
      <c r="A364" s="318">
        <v>36507481961</v>
      </c>
      <c r="B364" s="318" t="s">
        <v>237</v>
      </c>
    </row>
    <row r="365" spans="1:2" ht="12.75" customHeight="1" x14ac:dyDescent="0.25">
      <c r="A365" s="318">
        <v>36507481962</v>
      </c>
      <c r="B365" s="318" t="s">
        <v>237</v>
      </c>
    </row>
    <row r="366" spans="1:2" ht="12.75" customHeight="1" x14ac:dyDescent="0.25">
      <c r="A366" s="318">
        <v>36507481963</v>
      </c>
      <c r="B366" s="318" t="s">
        <v>237</v>
      </c>
    </row>
    <row r="367" spans="1:2" ht="12.75" customHeight="1" x14ac:dyDescent="0.25">
      <c r="A367" s="318">
        <v>36507481964</v>
      </c>
      <c r="B367" s="318" t="s">
        <v>237</v>
      </c>
    </row>
    <row r="368" spans="1:2" ht="12.75" customHeight="1" x14ac:dyDescent="0.25">
      <c r="A368" s="318">
        <v>36507481965</v>
      </c>
      <c r="B368" s="318" t="s">
        <v>237</v>
      </c>
    </row>
    <row r="369" spans="1:2" ht="12.75" customHeight="1" x14ac:dyDescent="0.25">
      <c r="A369" s="318">
        <v>36507481966</v>
      </c>
      <c r="B369" s="318" t="s">
        <v>237</v>
      </c>
    </row>
    <row r="370" spans="1:2" ht="12.75" customHeight="1" x14ac:dyDescent="0.25">
      <c r="A370" s="318">
        <v>36507481967</v>
      </c>
      <c r="B370" s="318" t="s">
        <v>237</v>
      </c>
    </row>
    <row r="371" spans="1:2" ht="12.75" customHeight="1" x14ac:dyDescent="0.25">
      <c r="A371" s="318">
        <v>36507481968</v>
      </c>
      <c r="B371" s="318" t="s">
        <v>237</v>
      </c>
    </row>
    <row r="372" spans="1:2" ht="12.75" customHeight="1" x14ac:dyDescent="0.25">
      <c r="A372" s="318">
        <v>36730618854</v>
      </c>
      <c r="B372" s="318" t="s">
        <v>23</v>
      </c>
    </row>
    <row r="373" spans="1:2" ht="12.75" customHeight="1" x14ac:dyDescent="0.25">
      <c r="A373" s="318">
        <v>36730618855</v>
      </c>
      <c r="B373" s="318" t="s">
        <v>23</v>
      </c>
    </row>
    <row r="374" spans="1:2" ht="12.75" customHeight="1" x14ac:dyDescent="0.25">
      <c r="A374" s="318">
        <v>36730618856</v>
      </c>
      <c r="B374" s="318" t="s">
        <v>23</v>
      </c>
    </row>
    <row r="375" spans="1:2" ht="12.75" customHeight="1" x14ac:dyDescent="0.25">
      <c r="A375" s="318">
        <v>36730618857</v>
      </c>
      <c r="B375" s="318" t="s">
        <v>23</v>
      </c>
    </row>
    <row r="376" spans="1:2" ht="12.75" customHeight="1" x14ac:dyDescent="0.25">
      <c r="A376" s="318">
        <v>36730618858</v>
      </c>
      <c r="B376" s="318" t="s">
        <v>23</v>
      </c>
    </row>
    <row r="377" spans="1:2" ht="12.75" customHeight="1" x14ac:dyDescent="0.25">
      <c r="A377" s="318">
        <v>36730618859</v>
      </c>
      <c r="B377" s="318" t="s">
        <v>23</v>
      </c>
    </row>
    <row r="378" spans="1:2" ht="12.75" customHeight="1" x14ac:dyDescent="0.25">
      <c r="A378" s="318">
        <v>36730618860</v>
      </c>
      <c r="B378" s="318" t="s">
        <v>23</v>
      </c>
    </row>
    <row r="379" spans="1:2" ht="12.75" customHeight="1" x14ac:dyDescent="0.25">
      <c r="A379" s="318">
        <v>36730618861</v>
      </c>
      <c r="B379" s="318" t="s">
        <v>23</v>
      </c>
    </row>
    <row r="380" spans="1:2" ht="12.75" customHeight="1" x14ac:dyDescent="0.25">
      <c r="A380" s="318">
        <v>36730618954</v>
      </c>
      <c r="B380" s="318" t="s">
        <v>237</v>
      </c>
    </row>
    <row r="381" spans="1:2" ht="12.75" customHeight="1" x14ac:dyDescent="0.25">
      <c r="A381" s="318">
        <v>36730618955</v>
      </c>
      <c r="B381" s="318" t="s">
        <v>237</v>
      </c>
    </row>
    <row r="382" spans="1:2" ht="12.75" customHeight="1" x14ac:dyDescent="0.25">
      <c r="A382" s="318">
        <v>36730618956</v>
      </c>
      <c r="B382" s="318" t="s">
        <v>237</v>
      </c>
    </row>
    <row r="383" spans="1:2" ht="12.75" customHeight="1" x14ac:dyDescent="0.25">
      <c r="A383" s="318">
        <v>36730618957</v>
      </c>
      <c r="B383" s="318" t="s">
        <v>237</v>
      </c>
    </row>
    <row r="384" spans="1:2" ht="12.75" customHeight="1" x14ac:dyDescent="0.25">
      <c r="A384" s="318">
        <v>36730618958</v>
      </c>
      <c r="B384" s="318" t="s">
        <v>237</v>
      </c>
    </row>
    <row r="385" spans="1:2" ht="12.75" customHeight="1" x14ac:dyDescent="0.25">
      <c r="A385" s="318">
        <v>36730618959</v>
      </c>
      <c r="B385" s="318" t="s">
        <v>237</v>
      </c>
    </row>
    <row r="386" spans="1:2" ht="12.75" customHeight="1" x14ac:dyDescent="0.25">
      <c r="A386" s="318">
        <v>36730618960</v>
      </c>
      <c r="B386" s="318" t="s">
        <v>237</v>
      </c>
    </row>
    <row r="387" spans="1:2" ht="12.75" customHeight="1" x14ac:dyDescent="0.25">
      <c r="A387" s="318">
        <v>36730618961</v>
      </c>
      <c r="B387" s="318" t="s">
        <v>237</v>
      </c>
    </row>
    <row r="388" spans="1:2" ht="12.75" customHeight="1" x14ac:dyDescent="0.25">
      <c r="A388" s="318">
        <v>37046182213</v>
      </c>
      <c r="B388" s="318" t="s">
        <v>236</v>
      </c>
    </row>
    <row r="389" spans="1:2" ht="12.75" customHeight="1" x14ac:dyDescent="0.25">
      <c r="A389" s="318">
        <v>37046182214</v>
      </c>
      <c r="B389" s="318" t="s">
        <v>23</v>
      </c>
    </row>
    <row r="390" spans="1:2" ht="12.75" customHeight="1" x14ac:dyDescent="0.25">
      <c r="A390" s="318">
        <v>37046182215</v>
      </c>
      <c r="B390" s="318" t="s">
        <v>236</v>
      </c>
    </row>
    <row r="391" spans="1:2" ht="12.75" customHeight="1" x14ac:dyDescent="0.25">
      <c r="A391" s="318">
        <v>37046182216</v>
      </c>
      <c r="B391" s="318" t="s">
        <v>23</v>
      </c>
    </row>
    <row r="392" spans="1:2" ht="12.75" customHeight="1" x14ac:dyDescent="0.25">
      <c r="A392" s="318">
        <v>37046182217</v>
      </c>
      <c r="B392" s="318" t="s">
        <v>236</v>
      </c>
    </row>
    <row r="393" spans="1:2" ht="12.75" customHeight="1" x14ac:dyDescent="0.25">
      <c r="A393" s="318">
        <v>37046182218</v>
      </c>
      <c r="B393" s="318" t="s">
        <v>23</v>
      </c>
    </row>
    <row r="394" spans="1:2" ht="12.75" customHeight="1" x14ac:dyDescent="0.25">
      <c r="A394" s="318">
        <v>37046182219</v>
      </c>
      <c r="B394" s="318" t="s">
        <v>236</v>
      </c>
    </row>
    <row r="395" spans="1:2" ht="12.75" customHeight="1" x14ac:dyDescent="0.25">
      <c r="A395" s="318">
        <v>37046182220</v>
      </c>
      <c r="B395" s="318" t="s">
        <v>237</v>
      </c>
    </row>
    <row r="396" spans="1:2" ht="12.75" customHeight="1" x14ac:dyDescent="0.25">
      <c r="A396" s="318">
        <v>37046182313</v>
      </c>
      <c r="B396" s="318" t="s">
        <v>236</v>
      </c>
    </row>
    <row r="397" spans="1:2" ht="12.75" customHeight="1" x14ac:dyDescent="0.25">
      <c r="A397" s="318">
        <v>37046182314</v>
      </c>
      <c r="B397" s="318" t="s">
        <v>237</v>
      </c>
    </row>
    <row r="398" spans="1:2" ht="12.75" customHeight="1" x14ac:dyDescent="0.25">
      <c r="A398" s="318">
        <v>37046182315</v>
      </c>
      <c r="B398" s="318" t="s">
        <v>236</v>
      </c>
    </row>
    <row r="399" spans="1:2" ht="12.75" customHeight="1" x14ac:dyDescent="0.25">
      <c r="A399" s="318">
        <v>37046182316</v>
      </c>
      <c r="B399" s="318" t="s">
        <v>237</v>
      </c>
    </row>
    <row r="400" spans="1:2" ht="12.75" customHeight="1" x14ac:dyDescent="0.25">
      <c r="A400" s="318">
        <v>37046182317</v>
      </c>
      <c r="B400" s="318" t="s">
        <v>236</v>
      </c>
    </row>
    <row r="401" spans="1:2" ht="12.75" customHeight="1" x14ac:dyDescent="0.25">
      <c r="A401" s="318">
        <v>37046182318</v>
      </c>
      <c r="B401" s="318" t="s">
        <v>237</v>
      </c>
    </row>
    <row r="402" spans="1:2" ht="12.75" customHeight="1" x14ac:dyDescent="0.25">
      <c r="A402" s="318">
        <v>37046182319</v>
      </c>
      <c r="B402" s="318" t="s">
        <v>236</v>
      </c>
    </row>
    <row r="403" spans="1:2" ht="12.75" customHeight="1" x14ac:dyDescent="0.25">
      <c r="A403" s="318">
        <v>37046182320</v>
      </c>
      <c r="B403" s="318" t="s">
        <v>237</v>
      </c>
    </row>
    <row r="404" spans="1:2" ht="12.75" customHeight="1" x14ac:dyDescent="0.25">
      <c r="A404" s="318">
        <v>37269319206</v>
      </c>
      <c r="B404" s="318" t="s">
        <v>23</v>
      </c>
    </row>
    <row r="405" spans="1:2" ht="12.75" customHeight="1" x14ac:dyDescent="0.25">
      <c r="A405" s="318">
        <v>37269319207</v>
      </c>
      <c r="B405" s="318" t="s">
        <v>23</v>
      </c>
    </row>
    <row r="406" spans="1:2" ht="12.75" customHeight="1" x14ac:dyDescent="0.25">
      <c r="A406" s="318">
        <v>37269319208</v>
      </c>
      <c r="B406" s="318" t="s">
        <v>23</v>
      </c>
    </row>
    <row r="407" spans="1:2" ht="12.75" customHeight="1" x14ac:dyDescent="0.25">
      <c r="A407" s="318">
        <v>37269319209</v>
      </c>
      <c r="B407" s="318" t="s">
        <v>23</v>
      </c>
    </row>
    <row r="408" spans="1:2" ht="12.75" customHeight="1" x14ac:dyDescent="0.25">
      <c r="A408" s="318">
        <v>37269319210</v>
      </c>
      <c r="B408" s="318" t="s">
        <v>23</v>
      </c>
    </row>
    <row r="409" spans="1:2" ht="12.75" customHeight="1" x14ac:dyDescent="0.25">
      <c r="A409" s="318">
        <v>37269319211</v>
      </c>
      <c r="B409" s="318" t="s">
        <v>23</v>
      </c>
    </row>
    <row r="410" spans="1:2" ht="12.75" customHeight="1" x14ac:dyDescent="0.25">
      <c r="A410" s="318">
        <v>37269319212</v>
      </c>
      <c r="B410" s="318" t="s">
        <v>237</v>
      </c>
    </row>
    <row r="411" spans="1:2" ht="12.75" customHeight="1" x14ac:dyDescent="0.25">
      <c r="A411" s="318">
        <v>37269319213</v>
      </c>
      <c r="B411" s="318" t="s">
        <v>237</v>
      </c>
    </row>
    <row r="412" spans="1:2" ht="12.75" customHeight="1" x14ac:dyDescent="0.25">
      <c r="A412" s="318">
        <v>37269319306</v>
      </c>
      <c r="B412" s="318" t="s">
        <v>237</v>
      </c>
    </row>
    <row r="413" spans="1:2" ht="12.75" customHeight="1" x14ac:dyDescent="0.25">
      <c r="A413" s="318">
        <v>37269319307</v>
      </c>
      <c r="B413" s="318" t="s">
        <v>237</v>
      </c>
    </row>
    <row r="414" spans="1:2" ht="12.75" customHeight="1" x14ac:dyDescent="0.25">
      <c r="A414" s="318">
        <v>37269319308</v>
      </c>
      <c r="B414" s="318" t="s">
        <v>237</v>
      </c>
    </row>
    <row r="415" spans="1:2" ht="12.75" customHeight="1" x14ac:dyDescent="0.25">
      <c r="A415" s="318">
        <v>37269319309</v>
      </c>
      <c r="B415" s="318" t="s">
        <v>237</v>
      </c>
    </row>
    <row r="416" spans="1:2" ht="12.75" customHeight="1" x14ac:dyDescent="0.25">
      <c r="A416" s="318">
        <v>37269319310</v>
      </c>
      <c r="B416" s="318" t="s">
        <v>237</v>
      </c>
    </row>
    <row r="417" spans="1:2" ht="12.75" customHeight="1" x14ac:dyDescent="0.25">
      <c r="A417" s="318">
        <v>37269319311</v>
      </c>
      <c r="B417" s="318" t="s">
        <v>237</v>
      </c>
    </row>
    <row r="418" spans="1:2" ht="12.75" customHeight="1" x14ac:dyDescent="0.25">
      <c r="A418" s="318">
        <v>37269319312</v>
      </c>
      <c r="B418" s="318" t="s">
        <v>237</v>
      </c>
    </row>
    <row r="419" spans="1:2" ht="12.75" customHeight="1" x14ac:dyDescent="0.25">
      <c r="A419" s="318">
        <v>37269319313</v>
      </c>
      <c r="B419" s="318" t="s">
        <v>237</v>
      </c>
    </row>
    <row r="420" spans="1:2" ht="12.75" customHeight="1" x14ac:dyDescent="0.25">
      <c r="A420" s="318">
        <v>37492456199</v>
      </c>
      <c r="B420" s="318" t="s">
        <v>236</v>
      </c>
    </row>
    <row r="421" spans="1:2" ht="12.75" customHeight="1" x14ac:dyDescent="0.25">
      <c r="A421" s="318">
        <v>37492456200</v>
      </c>
      <c r="B421" s="318" t="s">
        <v>235</v>
      </c>
    </row>
    <row r="422" spans="1:2" ht="12.75" customHeight="1" x14ac:dyDescent="0.25">
      <c r="A422" s="318">
        <v>37492456201</v>
      </c>
      <c r="B422" s="318" t="s">
        <v>236</v>
      </c>
    </row>
    <row r="423" spans="1:2" ht="12.75" customHeight="1" x14ac:dyDescent="0.25">
      <c r="A423" s="318">
        <v>37492456202</v>
      </c>
      <c r="B423" s="318" t="s">
        <v>235</v>
      </c>
    </row>
    <row r="424" spans="1:2" ht="12.75" customHeight="1" x14ac:dyDescent="0.25">
      <c r="A424" s="318">
        <v>37492456203</v>
      </c>
      <c r="B424" s="318" t="s">
        <v>236</v>
      </c>
    </row>
    <row r="425" spans="1:2" ht="12.75" customHeight="1" x14ac:dyDescent="0.25">
      <c r="A425" s="318">
        <v>37492456204</v>
      </c>
      <c r="B425" s="318" t="s">
        <v>235</v>
      </c>
    </row>
    <row r="426" spans="1:2" ht="12.75" customHeight="1" x14ac:dyDescent="0.25">
      <c r="A426" s="318">
        <v>37492456205</v>
      </c>
      <c r="B426" s="318" t="s">
        <v>236</v>
      </c>
    </row>
    <row r="427" spans="1:2" ht="12.75" customHeight="1" x14ac:dyDescent="0.25">
      <c r="A427" s="318">
        <v>37492456206</v>
      </c>
      <c r="B427" s="318" t="s">
        <v>235</v>
      </c>
    </row>
    <row r="428" spans="1:2" ht="12.75" customHeight="1" x14ac:dyDescent="0.25">
      <c r="A428" s="318">
        <v>37492456299</v>
      </c>
      <c r="B428" s="318" t="s">
        <v>236</v>
      </c>
    </row>
    <row r="429" spans="1:2" ht="12.75" customHeight="1" x14ac:dyDescent="0.25">
      <c r="A429" s="318">
        <v>37492456300</v>
      </c>
      <c r="B429" s="318" t="s">
        <v>235</v>
      </c>
    </row>
    <row r="430" spans="1:2" ht="12.75" customHeight="1" x14ac:dyDescent="0.25">
      <c r="A430" s="318">
        <v>37492456301</v>
      </c>
      <c r="B430" s="318" t="s">
        <v>236</v>
      </c>
    </row>
    <row r="431" spans="1:2" ht="12.75" customHeight="1" x14ac:dyDescent="0.25">
      <c r="A431" s="318">
        <v>37492456302</v>
      </c>
      <c r="B431" s="318" t="s">
        <v>235</v>
      </c>
    </row>
    <row r="432" spans="1:2" ht="12.75" customHeight="1" x14ac:dyDescent="0.25">
      <c r="A432" s="318">
        <v>37492456303</v>
      </c>
      <c r="B432" s="318" t="s">
        <v>236</v>
      </c>
    </row>
    <row r="433" spans="1:2" ht="12.75" customHeight="1" x14ac:dyDescent="0.25">
      <c r="A433" s="318">
        <v>37492456304</v>
      </c>
      <c r="B433" s="318" t="s">
        <v>235</v>
      </c>
    </row>
    <row r="434" spans="1:2" ht="12.75" customHeight="1" x14ac:dyDescent="0.25">
      <c r="A434" s="318">
        <v>37492456305</v>
      </c>
      <c r="B434" s="318" t="s">
        <v>236</v>
      </c>
    </row>
    <row r="435" spans="1:2" ht="12.75" customHeight="1" x14ac:dyDescent="0.25">
      <c r="A435" s="318">
        <v>37492456306</v>
      </c>
      <c r="B435" s="318" t="s">
        <v>235</v>
      </c>
    </row>
    <row r="436" spans="1:2" ht="12.75" customHeight="1" x14ac:dyDescent="0.25">
      <c r="A436" s="318">
        <v>60640713474</v>
      </c>
      <c r="B436" s="318" t="s">
        <v>23</v>
      </c>
    </row>
    <row r="437" spans="1:2" ht="12.75" customHeight="1" x14ac:dyDescent="0.25">
      <c r="A437" s="318">
        <v>60640713574</v>
      </c>
      <c r="B437" s="318" t="s">
        <v>237</v>
      </c>
    </row>
    <row r="438" spans="1:2" ht="12.75" customHeight="1" x14ac:dyDescent="0.25">
      <c r="A438" s="318">
        <v>61402550819</v>
      </c>
      <c r="B438" s="318" t="s">
        <v>23</v>
      </c>
    </row>
    <row r="439" spans="1:2" ht="12.75" customHeight="1" x14ac:dyDescent="0.25">
      <c r="A439" s="318">
        <v>61402550919</v>
      </c>
      <c r="B439" s="318" t="s">
        <v>237</v>
      </c>
    </row>
    <row r="440" spans="1:2" ht="12.75" customHeight="1" x14ac:dyDescent="0.25">
      <c r="A440" s="318">
        <v>62164388164</v>
      </c>
      <c r="B440" s="318" t="s">
        <v>23</v>
      </c>
    </row>
    <row r="441" spans="1:2" ht="12.75" customHeight="1" x14ac:dyDescent="0.25">
      <c r="A441" s="318">
        <v>62164388264</v>
      </c>
      <c r="B441" s="318" t="s">
        <v>237</v>
      </c>
    </row>
    <row r="442" spans="1:2" ht="12.75" customHeight="1" x14ac:dyDescent="0.25">
      <c r="A442" s="318">
        <v>63241788867</v>
      </c>
      <c r="B442" s="318" t="s">
        <v>23</v>
      </c>
    </row>
    <row r="443" spans="1:2" ht="12.75" customHeight="1" x14ac:dyDescent="0.25">
      <c r="A443" s="318">
        <v>63241788967</v>
      </c>
      <c r="B443" s="318" t="s">
        <v>237</v>
      </c>
    </row>
    <row r="444" spans="1:2" ht="12.75" customHeight="1" x14ac:dyDescent="0.25">
      <c r="A444" s="318">
        <v>64003626212</v>
      </c>
      <c r="B444" s="318" t="s">
        <v>23</v>
      </c>
    </row>
    <row r="445" spans="1:2" ht="12.75" customHeight="1" x14ac:dyDescent="0.25">
      <c r="A445" s="318">
        <v>64003626312</v>
      </c>
      <c r="B445" s="318" t="s">
        <v>237</v>
      </c>
    </row>
    <row r="446" spans="1:2" ht="12.75" customHeight="1" x14ac:dyDescent="0.25">
      <c r="A446" s="318">
        <v>64765463557</v>
      </c>
      <c r="B446" s="318" t="s">
        <v>23</v>
      </c>
    </row>
    <row r="447" spans="1:2" ht="12.75" customHeight="1" x14ac:dyDescent="0.25">
      <c r="A447" s="318">
        <v>64765463657</v>
      </c>
      <c r="B447" s="318" t="s">
        <v>237</v>
      </c>
    </row>
    <row r="448" spans="1:2" ht="12.75" customHeight="1" x14ac:dyDescent="0.25">
      <c r="A448" s="318">
        <v>65842864260</v>
      </c>
      <c r="B448" s="318" t="s">
        <v>23</v>
      </c>
    </row>
    <row r="449" spans="1:2" ht="12.75" customHeight="1" x14ac:dyDescent="0.25">
      <c r="A449" s="318">
        <v>65842864360</v>
      </c>
      <c r="B449" s="318" t="s">
        <v>237</v>
      </c>
    </row>
    <row r="450" spans="1:2" ht="12.75" customHeight="1" x14ac:dyDescent="0.25">
      <c r="A450" s="318">
        <v>66604701605</v>
      </c>
      <c r="B450" s="318" t="s">
        <v>23</v>
      </c>
    </row>
    <row r="451" spans="1:2" ht="12.75" customHeight="1" x14ac:dyDescent="0.25">
      <c r="A451" s="318">
        <v>66604701705</v>
      </c>
      <c r="B451" s="318" t="s">
        <v>237</v>
      </c>
    </row>
    <row r="452" spans="1:2" ht="12.75" customHeight="1" x14ac:dyDescent="0.25">
      <c r="A452" s="318">
        <v>67366538950</v>
      </c>
      <c r="B452" s="318" t="s">
        <v>23</v>
      </c>
    </row>
    <row r="453" spans="1:2" ht="12.75" customHeight="1" x14ac:dyDescent="0.25">
      <c r="A453" s="318">
        <v>67366539050</v>
      </c>
      <c r="B453" s="318" t="s">
        <v>237</v>
      </c>
    </row>
    <row r="454" spans="1:2" ht="12.75" customHeight="1" x14ac:dyDescent="0.25">
      <c r="A454" s="318">
        <v>90961070211</v>
      </c>
      <c r="B454" s="318" t="s">
        <v>23</v>
      </c>
    </row>
    <row r="455" spans="1:2" ht="12.75" customHeight="1" x14ac:dyDescent="0.25">
      <c r="A455" s="318">
        <v>90961070212</v>
      </c>
      <c r="B455" s="318" t="s">
        <v>23</v>
      </c>
    </row>
    <row r="456" spans="1:2" ht="12.75" customHeight="1" x14ac:dyDescent="0.25">
      <c r="A456" s="318">
        <v>90961070213</v>
      </c>
      <c r="B456" s="318" t="s">
        <v>23</v>
      </c>
    </row>
    <row r="457" spans="1:2" ht="12.75" customHeight="1" x14ac:dyDescent="0.25">
      <c r="A457" s="318">
        <v>90961070214</v>
      </c>
      <c r="B457" s="318" t="s">
        <v>23</v>
      </c>
    </row>
    <row r="458" spans="1:2" ht="12.75" customHeight="1" x14ac:dyDescent="0.25">
      <c r="A458" s="318">
        <v>90961070215</v>
      </c>
      <c r="B458" s="318" t="s">
        <v>23</v>
      </c>
    </row>
    <row r="459" spans="1:2" ht="12.75" customHeight="1" x14ac:dyDescent="0.25">
      <c r="A459" s="318">
        <v>90961070216</v>
      </c>
      <c r="B459" s="318" t="s">
        <v>23</v>
      </c>
    </row>
    <row r="460" spans="1:2" ht="12.75" customHeight="1" x14ac:dyDescent="0.25">
      <c r="A460" s="318">
        <v>90961070217</v>
      </c>
      <c r="B460" s="318" t="s">
        <v>23</v>
      </c>
    </row>
    <row r="461" spans="1:2" ht="12.75" customHeight="1" x14ac:dyDescent="0.25">
      <c r="A461" s="318">
        <v>90961070218</v>
      </c>
      <c r="B461" s="318" t="s">
        <v>237</v>
      </c>
    </row>
    <row r="462" spans="1:2" ht="12.75" customHeight="1" x14ac:dyDescent="0.25">
      <c r="A462" s="318">
        <v>90961070220</v>
      </c>
      <c r="B462" s="318" t="s">
        <v>237</v>
      </c>
    </row>
    <row r="463" spans="1:2" ht="12.75" customHeight="1" x14ac:dyDescent="0.25">
      <c r="A463" s="318">
        <v>90961070221</v>
      </c>
      <c r="B463" s="318" t="s">
        <v>237</v>
      </c>
    </row>
    <row r="464" spans="1:2" ht="12.75" customHeight="1" x14ac:dyDescent="0.25">
      <c r="A464" s="318">
        <v>90961070222</v>
      </c>
      <c r="B464" s="318" t="s">
        <v>237</v>
      </c>
    </row>
    <row r="465" spans="1:2" ht="12.75" customHeight="1" x14ac:dyDescent="0.25">
      <c r="A465" s="318">
        <v>90961070223</v>
      </c>
      <c r="B465" s="318" t="s">
        <v>237</v>
      </c>
    </row>
    <row r="466" spans="1:2" ht="12.75" customHeight="1" x14ac:dyDescent="0.25">
      <c r="A466" s="318">
        <v>90961070224</v>
      </c>
      <c r="B466" s="318" t="s">
        <v>237</v>
      </c>
    </row>
    <row r="467" spans="1:2" ht="12.75" customHeight="1" x14ac:dyDescent="0.25">
      <c r="A467" s="318">
        <v>90961070225</v>
      </c>
      <c r="B467" s="318" t="s">
        <v>237</v>
      </c>
    </row>
    <row r="468" spans="1:2" ht="12.75" customHeight="1" x14ac:dyDescent="0.25">
      <c r="A468" s="318">
        <v>90961070226</v>
      </c>
      <c r="B468" s="318" t="s">
        <v>237</v>
      </c>
    </row>
    <row r="469" spans="1:2" ht="12.75" customHeight="1" x14ac:dyDescent="0.25">
      <c r="A469" s="318">
        <v>90961070227</v>
      </c>
      <c r="B469" s="318" t="s">
        <v>237</v>
      </c>
    </row>
    <row r="470" spans="1:2" ht="12.75" customHeight="1" x14ac:dyDescent="0.25">
      <c r="A470" s="318">
        <v>90961070311</v>
      </c>
      <c r="B470" s="318" t="s">
        <v>237</v>
      </c>
    </row>
    <row r="471" spans="1:2" ht="12.75" customHeight="1" x14ac:dyDescent="0.25">
      <c r="A471" s="318">
        <v>90961070312</v>
      </c>
      <c r="B471" s="318" t="s">
        <v>237</v>
      </c>
    </row>
    <row r="472" spans="1:2" ht="12.75" customHeight="1" x14ac:dyDescent="0.25">
      <c r="A472" s="318">
        <v>90961070313</v>
      </c>
      <c r="B472" s="318" t="s">
        <v>237</v>
      </c>
    </row>
    <row r="473" spans="1:2" ht="12.75" customHeight="1" x14ac:dyDescent="0.25">
      <c r="A473" s="318">
        <v>90961070314</v>
      </c>
      <c r="B473" s="318" t="s">
        <v>237</v>
      </c>
    </row>
    <row r="474" spans="1:2" ht="12.75" customHeight="1" x14ac:dyDescent="0.25">
      <c r="A474" s="318">
        <v>90961070315</v>
      </c>
      <c r="B474" s="318" t="s">
        <v>237</v>
      </c>
    </row>
    <row r="475" spans="1:2" ht="12.75" customHeight="1" x14ac:dyDescent="0.25">
      <c r="A475" s="318">
        <v>90961070316</v>
      </c>
      <c r="B475" s="318" t="s">
        <v>237</v>
      </c>
    </row>
    <row r="476" spans="1:2" ht="12.75" customHeight="1" x14ac:dyDescent="0.25">
      <c r="A476" s="318">
        <v>90961070317</v>
      </c>
      <c r="B476" s="318" t="s">
        <v>237</v>
      </c>
    </row>
    <row r="477" spans="1:2" ht="12.75" customHeight="1" x14ac:dyDescent="0.25">
      <c r="A477" s="318">
        <v>90961070318</v>
      </c>
      <c r="B477" s="318" t="s">
        <v>237</v>
      </c>
    </row>
    <row r="478" spans="1:2" ht="12.75" customHeight="1" x14ac:dyDescent="0.25">
      <c r="A478" s="318">
        <v>90961070320</v>
      </c>
      <c r="B478" s="318" t="s">
        <v>237</v>
      </c>
    </row>
    <row r="479" spans="1:2" ht="12.75" customHeight="1" x14ac:dyDescent="0.25">
      <c r="A479" s="318">
        <v>90961070321</v>
      </c>
      <c r="B479" s="318" t="s">
        <v>237</v>
      </c>
    </row>
    <row r="480" spans="1:2" ht="12.75" customHeight="1" x14ac:dyDescent="0.25">
      <c r="A480" s="318">
        <v>90961070322</v>
      </c>
      <c r="B480" s="318" t="s">
        <v>237</v>
      </c>
    </row>
    <row r="481" spans="1:2" ht="12.75" customHeight="1" x14ac:dyDescent="0.25">
      <c r="A481" s="318">
        <v>90961070323</v>
      </c>
      <c r="B481" s="318" t="s">
        <v>237</v>
      </c>
    </row>
    <row r="482" spans="1:2" ht="12.75" customHeight="1" x14ac:dyDescent="0.25">
      <c r="A482" s="318">
        <v>90961070324</v>
      </c>
      <c r="B482" s="318" t="s">
        <v>237</v>
      </c>
    </row>
    <row r="483" spans="1:2" ht="12.75" customHeight="1" x14ac:dyDescent="0.25">
      <c r="A483" s="318">
        <v>90961070325</v>
      </c>
      <c r="B483" s="318" t="s">
        <v>237</v>
      </c>
    </row>
    <row r="484" spans="1:2" ht="12.75" customHeight="1" x14ac:dyDescent="0.25">
      <c r="A484" s="318">
        <v>90961070326</v>
      </c>
      <c r="B484" s="318" t="s">
        <v>237</v>
      </c>
    </row>
    <row r="485" spans="1:2" ht="12.75" customHeight="1" x14ac:dyDescent="0.25">
      <c r="A485" s="318">
        <v>90961070327</v>
      </c>
      <c r="B485" s="318" t="s">
        <v>237</v>
      </c>
    </row>
    <row r="486" spans="1:2" ht="12.75" customHeight="1" x14ac:dyDescent="0.25">
      <c r="A486" s="318">
        <v>90961551184</v>
      </c>
      <c r="B486" s="318" t="s">
        <v>23</v>
      </c>
    </row>
    <row r="487" spans="1:2" ht="12.75" customHeight="1" x14ac:dyDescent="0.25">
      <c r="A487" s="318">
        <v>90961551185</v>
      </c>
      <c r="B487" s="318" t="s">
        <v>23</v>
      </c>
    </row>
    <row r="488" spans="1:2" ht="12.75" customHeight="1" x14ac:dyDescent="0.25">
      <c r="A488" s="318">
        <v>90961551186</v>
      </c>
      <c r="B488" s="318" t="s">
        <v>23</v>
      </c>
    </row>
    <row r="489" spans="1:2" ht="12.75" customHeight="1" x14ac:dyDescent="0.25">
      <c r="A489" s="318">
        <v>90961551187</v>
      </c>
      <c r="B489" s="318" t="s">
        <v>23</v>
      </c>
    </row>
    <row r="490" spans="1:2" ht="12.75" customHeight="1" x14ac:dyDescent="0.25">
      <c r="A490" s="318">
        <v>90961551188</v>
      </c>
      <c r="B490" s="318" t="s">
        <v>23</v>
      </c>
    </row>
    <row r="491" spans="1:2" ht="12.75" customHeight="1" x14ac:dyDescent="0.25">
      <c r="A491" s="318">
        <v>90961551189</v>
      </c>
      <c r="B491" s="318" t="s">
        <v>23</v>
      </c>
    </row>
    <row r="492" spans="1:2" ht="12.75" customHeight="1" x14ac:dyDescent="0.25">
      <c r="A492" s="318">
        <v>90961551190</v>
      </c>
      <c r="B492" s="318" t="s">
        <v>23</v>
      </c>
    </row>
    <row r="493" spans="1:2" ht="12.75" customHeight="1" x14ac:dyDescent="0.25">
      <c r="A493" s="318">
        <v>90961551191</v>
      </c>
      <c r="B493" s="318" t="s">
        <v>237</v>
      </c>
    </row>
    <row r="494" spans="1:2" ht="12.75" customHeight="1" x14ac:dyDescent="0.25">
      <c r="A494" s="318">
        <v>90961551193</v>
      </c>
      <c r="B494" s="318" t="s">
        <v>237</v>
      </c>
    </row>
    <row r="495" spans="1:2" ht="12.75" customHeight="1" x14ac:dyDescent="0.25">
      <c r="A495" s="318">
        <v>90961551194</v>
      </c>
      <c r="B495" s="318" t="s">
        <v>237</v>
      </c>
    </row>
    <row r="496" spans="1:2" ht="12.75" customHeight="1" x14ac:dyDescent="0.25">
      <c r="A496" s="318">
        <v>90961551195</v>
      </c>
      <c r="B496" s="318" t="s">
        <v>237</v>
      </c>
    </row>
    <row r="497" spans="1:2" ht="12.75" customHeight="1" x14ac:dyDescent="0.25">
      <c r="A497" s="318">
        <v>90961551196</v>
      </c>
      <c r="B497" s="318" t="s">
        <v>237</v>
      </c>
    </row>
    <row r="498" spans="1:2" ht="12.75" customHeight="1" x14ac:dyDescent="0.25">
      <c r="A498" s="318">
        <v>90961551197</v>
      </c>
      <c r="B498" s="318" t="s">
        <v>237</v>
      </c>
    </row>
    <row r="499" spans="1:2" ht="12.75" customHeight="1" x14ac:dyDescent="0.25">
      <c r="A499" s="318">
        <v>90961551198</v>
      </c>
      <c r="B499" s="318" t="s">
        <v>237</v>
      </c>
    </row>
    <row r="500" spans="1:2" ht="12.75" customHeight="1" x14ac:dyDescent="0.25">
      <c r="A500" s="318">
        <v>90961551199</v>
      </c>
      <c r="B500" s="318" t="s">
        <v>237</v>
      </c>
    </row>
    <row r="501" spans="1:2" ht="12.75" customHeight="1" x14ac:dyDescent="0.25">
      <c r="A501" s="318">
        <v>90961551200</v>
      </c>
      <c r="B501" s="318" t="s">
        <v>237</v>
      </c>
    </row>
    <row r="502" spans="1:2" ht="12.75" customHeight="1" x14ac:dyDescent="0.25">
      <c r="A502" s="318">
        <v>90961551284</v>
      </c>
      <c r="B502" s="318" t="s">
        <v>237</v>
      </c>
    </row>
    <row r="503" spans="1:2" ht="12.75" customHeight="1" x14ac:dyDescent="0.25">
      <c r="A503" s="318">
        <v>90961551285</v>
      </c>
      <c r="B503" s="318" t="s">
        <v>237</v>
      </c>
    </row>
    <row r="504" spans="1:2" ht="12.75" customHeight="1" x14ac:dyDescent="0.25">
      <c r="A504" s="318">
        <v>90961551286</v>
      </c>
      <c r="B504" s="318" t="s">
        <v>237</v>
      </c>
    </row>
    <row r="505" spans="1:2" ht="12.75" customHeight="1" x14ac:dyDescent="0.25">
      <c r="A505" s="318">
        <v>90961551287</v>
      </c>
      <c r="B505" s="318" t="s">
        <v>237</v>
      </c>
    </row>
    <row r="506" spans="1:2" ht="12.75" customHeight="1" x14ac:dyDescent="0.25">
      <c r="A506" s="318">
        <v>90961551288</v>
      </c>
      <c r="B506" s="318" t="s">
        <v>237</v>
      </c>
    </row>
    <row r="507" spans="1:2" ht="12.75" customHeight="1" x14ac:dyDescent="0.25">
      <c r="A507" s="318">
        <v>90961551289</v>
      </c>
      <c r="B507" s="318" t="s">
        <v>237</v>
      </c>
    </row>
    <row r="508" spans="1:2" ht="12.75" customHeight="1" x14ac:dyDescent="0.25">
      <c r="A508" s="318">
        <v>90961551290</v>
      </c>
      <c r="B508" s="318" t="s">
        <v>237</v>
      </c>
    </row>
    <row r="509" spans="1:2" ht="12.75" customHeight="1" x14ac:dyDescent="0.25">
      <c r="A509" s="318">
        <v>90961551291</v>
      </c>
      <c r="B509" s="318" t="s">
        <v>237</v>
      </c>
    </row>
    <row r="510" spans="1:2" ht="12.75" customHeight="1" x14ac:dyDescent="0.25">
      <c r="A510" s="318">
        <v>90961551293</v>
      </c>
      <c r="B510" s="318" t="s">
        <v>237</v>
      </c>
    </row>
    <row r="511" spans="1:2" ht="12.75" customHeight="1" x14ac:dyDescent="0.25">
      <c r="A511" s="318">
        <v>90961551294</v>
      </c>
      <c r="B511" s="318" t="s">
        <v>237</v>
      </c>
    </row>
    <row r="512" spans="1:2" ht="12.75" customHeight="1" x14ac:dyDescent="0.25">
      <c r="A512" s="318">
        <v>90961551295</v>
      </c>
      <c r="B512" s="318" t="s">
        <v>237</v>
      </c>
    </row>
    <row r="513" spans="1:2" ht="12.75" customHeight="1" x14ac:dyDescent="0.25">
      <c r="A513" s="318">
        <v>90961551296</v>
      </c>
      <c r="B513" s="318" t="s">
        <v>237</v>
      </c>
    </row>
    <row r="514" spans="1:2" ht="12.75" customHeight="1" x14ac:dyDescent="0.25">
      <c r="A514" s="318">
        <v>90961551297</v>
      </c>
      <c r="B514" s="318" t="s">
        <v>237</v>
      </c>
    </row>
    <row r="515" spans="1:2" ht="12.75" customHeight="1" x14ac:dyDescent="0.25">
      <c r="A515" s="318">
        <v>90961551298</v>
      </c>
      <c r="B515" s="318" t="s">
        <v>237</v>
      </c>
    </row>
    <row r="516" spans="1:2" ht="12.75" customHeight="1" x14ac:dyDescent="0.25">
      <c r="A516" s="318">
        <v>90961551299</v>
      </c>
      <c r="B516" s="318" t="s">
        <v>237</v>
      </c>
    </row>
    <row r="517" spans="1:2" ht="12.75" customHeight="1" x14ac:dyDescent="0.25">
      <c r="A517" s="318">
        <v>90961551300</v>
      </c>
      <c r="B517" s="318" t="s">
        <v>237</v>
      </c>
    </row>
    <row r="518" spans="1:2" ht="12.75" customHeight="1" x14ac:dyDescent="0.25">
      <c r="A518" s="318">
        <v>90962032157</v>
      </c>
      <c r="B518" s="318" t="s">
        <v>23</v>
      </c>
    </row>
    <row r="519" spans="1:2" ht="12.75" customHeight="1" x14ac:dyDescent="0.25">
      <c r="A519" s="318">
        <v>90962032158</v>
      </c>
      <c r="B519" s="318" t="s">
        <v>23</v>
      </c>
    </row>
    <row r="520" spans="1:2" ht="12.75" customHeight="1" x14ac:dyDescent="0.25">
      <c r="A520" s="318">
        <v>90962032159</v>
      </c>
      <c r="B520" s="318" t="s">
        <v>23</v>
      </c>
    </row>
    <row r="521" spans="1:2" ht="12.75" customHeight="1" x14ac:dyDescent="0.25">
      <c r="A521" s="318">
        <v>90962032160</v>
      </c>
      <c r="B521" s="318" t="s">
        <v>23</v>
      </c>
    </row>
    <row r="522" spans="1:2" ht="12.75" customHeight="1" x14ac:dyDescent="0.25">
      <c r="A522" s="318">
        <v>90962032161</v>
      </c>
      <c r="B522" s="318" t="s">
        <v>23</v>
      </c>
    </row>
    <row r="523" spans="1:2" ht="12.75" customHeight="1" x14ac:dyDescent="0.25">
      <c r="A523" s="318">
        <v>90962032162</v>
      </c>
      <c r="B523" s="318" t="s">
        <v>23</v>
      </c>
    </row>
    <row r="524" spans="1:2" ht="12.75" customHeight="1" x14ac:dyDescent="0.25">
      <c r="A524" s="318">
        <v>90962032163</v>
      </c>
      <c r="B524" s="318" t="s">
        <v>23</v>
      </c>
    </row>
    <row r="525" spans="1:2" ht="12.75" customHeight="1" x14ac:dyDescent="0.25">
      <c r="A525" s="318">
        <v>90962032164</v>
      </c>
      <c r="B525" s="318" t="s">
        <v>237</v>
      </c>
    </row>
    <row r="526" spans="1:2" ht="12.75" customHeight="1" x14ac:dyDescent="0.25">
      <c r="A526" s="318">
        <v>90962032166</v>
      </c>
      <c r="B526" s="318" t="s">
        <v>23</v>
      </c>
    </row>
    <row r="527" spans="1:2" ht="12.75" customHeight="1" x14ac:dyDescent="0.25">
      <c r="A527" s="318">
        <v>90962032167</v>
      </c>
      <c r="B527" s="318" t="s">
        <v>237</v>
      </c>
    </row>
    <row r="528" spans="1:2" ht="12.75" customHeight="1" x14ac:dyDescent="0.25">
      <c r="A528" s="318">
        <v>90962032168</v>
      </c>
      <c r="B528" s="318" t="s">
        <v>23</v>
      </c>
    </row>
    <row r="529" spans="1:2" ht="12.75" customHeight="1" x14ac:dyDescent="0.25">
      <c r="A529" s="318">
        <v>90962032169</v>
      </c>
      <c r="B529" s="318" t="s">
        <v>237</v>
      </c>
    </row>
    <row r="530" spans="1:2" ht="12.75" customHeight="1" x14ac:dyDescent="0.25">
      <c r="A530" s="318">
        <v>90962032170</v>
      </c>
      <c r="B530" s="318" t="s">
        <v>23</v>
      </c>
    </row>
    <row r="531" spans="1:2" ht="12.75" customHeight="1" x14ac:dyDescent="0.25">
      <c r="A531" s="318">
        <v>90962032171</v>
      </c>
      <c r="B531" s="318" t="s">
        <v>237</v>
      </c>
    </row>
    <row r="532" spans="1:2" ht="12.75" customHeight="1" x14ac:dyDescent="0.25">
      <c r="A532" s="318">
        <v>90962032172</v>
      </c>
      <c r="B532" s="318" t="s">
        <v>23</v>
      </c>
    </row>
    <row r="533" spans="1:2" ht="12.75" customHeight="1" x14ac:dyDescent="0.25">
      <c r="A533" s="318">
        <v>90962032173</v>
      </c>
      <c r="B533" s="318" t="s">
        <v>237</v>
      </c>
    </row>
    <row r="534" spans="1:2" ht="12.75" customHeight="1" x14ac:dyDescent="0.25">
      <c r="A534" s="318">
        <v>90962032257</v>
      </c>
      <c r="B534" s="318" t="s">
        <v>237</v>
      </c>
    </row>
    <row r="535" spans="1:2" ht="12.75" customHeight="1" x14ac:dyDescent="0.25">
      <c r="A535" s="318">
        <v>90962032258</v>
      </c>
      <c r="B535" s="318" t="s">
        <v>237</v>
      </c>
    </row>
    <row r="536" spans="1:2" ht="12.75" customHeight="1" x14ac:dyDescent="0.25">
      <c r="A536" s="318">
        <v>90962032259</v>
      </c>
      <c r="B536" s="318" t="s">
        <v>237</v>
      </c>
    </row>
    <row r="537" spans="1:2" ht="12.75" customHeight="1" x14ac:dyDescent="0.25">
      <c r="A537" s="318">
        <v>90962032260</v>
      </c>
      <c r="B537" s="318" t="s">
        <v>237</v>
      </c>
    </row>
    <row r="538" spans="1:2" ht="12.75" customHeight="1" x14ac:dyDescent="0.25">
      <c r="A538" s="318">
        <v>90962032261</v>
      </c>
      <c r="B538" s="318" t="s">
        <v>237</v>
      </c>
    </row>
    <row r="539" spans="1:2" ht="12.75" customHeight="1" x14ac:dyDescent="0.25">
      <c r="A539" s="318">
        <v>90962032262</v>
      </c>
      <c r="B539" s="318" t="s">
        <v>237</v>
      </c>
    </row>
    <row r="540" spans="1:2" ht="12.75" customHeight="1" x14ac:dyDescent="0.25">
      <c r="A540" s="318">
        <v>90962032263</v>
      </c>
      <c r="B540" s="318" t="s">
        <v>237</v>
      </c>
    </row>
    <row r="541" spans="1:2" ht="12.75" customHeight="1" x14ac:dyDescent="0.25">
      <c r="A541" s="318">
        <v>90962032264</v>
      </c>
      <c r="B541" s="318" t="s">
        <v>237</v>
      </c>
    </row>
    <row r="542" spans="1:2" ht="12.75" customHeight="1" x14ac:dyDescent="0.25">
      <c r="A542" s="318">
        <v>90962032266</v>
      </c>
      <c r="B542" s="318" t="s">
        <v>237</v>
      </c>
    </row>
    <row r="543" spans="1:2" ht="12.75" customHeight="1" x14ac:dyDescent="0.25">
      <c r="A543" s="318">
        <v>90962032267</v>
      </c>
      <c r="B543" s="318" t="s">
        <v>237</v>
      </c>
    </row>
    <row r="544" spans="1:2" ht="12.75" customHeight="1" x14ac:dyDescent="0.25">
      <c r="A544" s="318">
        <v>90962032268</v>
      </c>
      <c r="B544" s="318" t="s">
        <v>237</v>
      </c>
    </row>
    <row r="545" spans="1:2" ht="12.75" customHeight="1" x14ac:dyDescent="0.25">
      <c r="A545" s="318">
        <v>90962032269</v>
      </c>
      <c r="B545" s="318" t="s">
        <v>237</v>
      </c>
    </row>
    <row r="546" spans="1:2" ht="12.75" customHeight="1" x14ac:dyDescent="0.25">
      <c r="A546" s="318">
        <v>90962032270</v>
      </c>
      <c r="B546" s="318" t="s">
        <v>237</v>
      </c>
    </row>
    <row r="547" spans="1:2" ht="12.75" customHeight="1" x14ac:dyDescent="0.25">
      <c r="A547" s="318">
        <v>90962032271</v>
      </c>
      <c r="B547" s="318" t="s">
        <v>237</v>
      </c>
    </row>
    <row r="548" spans="1:2" ht="12.75" customHeight="1" x14ac:dyDescent="0.25">
      <c r="A548" s="318">
        <v>90962032272</v>
      </c>
      <c r="B548" s="318" t="s">
        <v>237</v>
      </c>
    </row>
    <row r="549" spans="1:2" ht="12.75" customHeight="1" x14ac:dyDescent="0.25">
      <c r="A549" s="318">
        <v>90962032273</v>
      </c>
      <c r="B549" s="318" t="s">
        <v>237</v>
      </c>
    </row>
    <row r="550" spans="1:2" ht="12.75" customHeight="1" x14ac:dyDescent="0.25">
      <c r="A550" s="318">
        <v>90962712348</v>
      </c>
      <c r="B550" s="318" t="s">
        <v>23</v>
      </c>
    </row>
    <row r="551" spans="1:2" ht="12.75" customHeight="1" x14ac:dyDescent="0.25">
      <c r="A551" s="318">
        <v>90962712349</v>
      </c>
      <c r="B551" s="318" t="s">
        <v>23</v>
      </c>
    </row>
    <row r="552" spans="1:2" ht="12.75" customHeight="1" x14ac:dyDescent="0.25">
      <c r="A552" s="318">
        <v>90962712350</v>
      </c>
      <c r="B552" s="318" t="s">
        <v>23</v>
      </c>
    </row>
    <row r="553" spans="1:2" ht="12.75" customHeight="1" x14ac:dyDescent="0.25">
      <c r="A553" s="318">
        <v>90962712351</v>
      </c>
      <c r="B553" s="318" t="s">
        <v>23</v>
      </c>
    </row>
    <row r="554" spans="1:2" ht="12.75" customHeight="1" x14ac:dyDescent="0.25">
      <c r="A554" s="318">
        <v>90962712352</v>
      </c>
      <c r="B554" s="318" t="s">
        <v>23</v>
      </c>
    </row>
    <row r="555" spans="1:2" ht="12.75" customHeight="1" x14ac:dyDescent="0.25">
      <c r="A555" s="318">
        <v>90962712353</v>
      </c>
      <c r="B555" s="318" t="s">
        <v>23</v>
      </c>
    </row>
    <row r="556" spans="1:2" ht="12.75" customHeight="1" x14ac:dyDescent="0.25">
      <c r="A556" s="318">
        <v>90962712354</v>
      </c>
      <c r="B556" s="318" t="s">
        <v>23</v>
      </c>
    </row>
    <row r="557" spans="1:2" ht="12.75" customHeight="1" x14ac:dyDescent="0.25">
      <c r="A557" s="318">
        <v>90962712355</v>
      </c>
      <c r="B557" s="318" t="s">
        <v>237</v>
      </c>
    </row>
    <row r="558" spans="1:2" ht="12.75" customHeight="1" x14ac:dyDescent="0.25">
      <c r="A558" s="318">
        <v>90962712357</v>
      </c>
      <c r="B558" s="318" t="s">
        <v>237</v>
      </c>
    </row>
    <row r="559" spans="1:2" ht="12.75" customHeight="1" x14ac:dyDescent="0.25">
      <c r="A559" s="318">
        <v>90962712358</v>
      </c>
      <c r="B559" s="318" t="s">
        <v>237</v>
      </c>
    </row>
    <row r="560" spans="1:2" ht="12.75" customHeight="1" x14ac:dyDescent="0.25">
      <c r="A560" s="318">
        <v>90962712359</v>
      </c>
      <c r="B560" s="318" t="s">
        <v>237</v>
      </c>
    </row>
    <row r="561" spans="1:2" ht="12.75" customHeight="1" x14ac:dyDescent="0.25">
      <c r="A561" s="318">
        <v>90962712360</v>
      </c>
      <c r="B561" s="318" t="s">
        <v>237</v>
      </c>
    </row>
    <row r="562" spans="1:2" ht="12.75" customHeight="1" x14ac:dyDescent="0.25">
      <c r="A562" s="318">
        <v>90962712361</v>
      </c>
      <c r="B562" s="318" t="s">
        <v>237</v>
      </c>
    </row>
    <row r="563" spans="1:2" ht="12.75" customHeight="1" x14ac:dyDescent="0.25">
      <c r="A563" s="318">
        <v>90962712362</v>
      </c>
      <c r="B563" s="318" t="s">
        <v>237</v>
      </c>
    </row>
    <row r="564" spans="1:2" ht="12.75" customHeight="1" x14ac:dyDescent="0.25">
      <c r="A564" s="318">
        <v>90962712363</v>
      </c>
      <c r="B564" s="318" t="s">
        <v>237</v>
      </c>
    </row>
    <row r="565" spans="1:2" ht="12.75" customHeight="1" x14ac:dyDescent="0.25">
      <c r="A565" s="318">
        <v>90962712364</v>
      </c>
      <c r="B565" s="318" t="s">
        <v>237</v>
      </c>
    </row>
    <row r="566" spans="1:2" ht="12.75" customHeight="1" x14ac:dyDescent="0.25">
      <c r="A566" s="318">
        <v>90962712448</v>
      </c>
      <c r="B566" s="318" t="s">
        <v>237</v>
      </c>
    </row>
    <row r="567" spans="1:2" ht="12.75" customHeight="1" x14ac:dyDescent="0.25">
      <c r="A567" s="318">
        <v>90962712449</v>
      </c>
      <c r="B567" s="318" t="s">
        <v>237</v>
      </c>
    </row>
    <row r="568" spans="1:2" ht="12.75" customHeight="1" x14ac:dyDescent="0.25">
      <c r="A568" s="318">
        <v>90962712450</v>
      </c>
      <c r="B568" s="318" t="s">
        <v>237</v>
      </c>
    </row>
    <row r="569" spans="1:2" ht="12.75" customHeight="1" x14ac:dyDescent="0.25">
      <c r="A569" s="318">
        <v>90962712451</v>
      </c>
      <c r="B569" s="318" t="s">
        <v>237</v>
      </c>
    </row>
    <row r="570" spans="1:2" ht="12.75" customHeight="1" x14ac:dyDescent="0.25">
      <c r="A570" s="318">
        <v>90962712452</v>
      </c>
      <c r="B570" s="318" t="s">
        <v>237</v>
      </c>
    </row>
    <row r="571" spans="1:2" ht="12.75" customHeight="1" x14ac:dyDescent="0.25">
      <c r="A571" s="318">
        <v>90962712453</v>
      </c>
      <c r="B571" s="318" t="s">
        <v>237</v>
      </c>
    </row>
    <row r="572" spans="1:2" ht="12.75" customHeight="1" x14ac:dyDescent="0.25">
      <c r="A572" s="318">
        <v>90962712454</v>
      </c>
      <c r="B572" s="318" t="s">
        <v>237</v>
      </c>
    </row>
    <row r="573" spans="1:2" ht="12.75" customHeight="1" x14ac:dyDescent="0.25">
      <c r="A573" s="318">
        <v>90962712455</v>
      </c>
      <c r="B573" s="318" t="s">
        <v>237</v>
      </c>
    </row>
    <row r="574" spans="1:2" ht="12.75" customHeight="1" x14ac:dyDescent="0.25">
      <c r="A574" s="318">
        <v>90962712457</v>
      </c>
      <c r="B574" s="318" t="s">
        <v>237</v>
      </c>
    </row>
    <row r="575" spans="1:2" ht="12.75" customHeight="1" x14ac:dyDescent="0.25">
      <c r="A575" s="318">
        <v>90962712458</v>
      </c>
      <c r="B575" s="318" t="s">
        <v>237</v>
      </c>
    </row>
    <row r="576" spans="1:2" ht="12.75" customHeight="1" x14ac:dyDescent="0.25">
      <c r="A576" s="318">
        <v>90962712459</v>
      </c>
      <c r="B576" s="318" t="s">
        <v>237</v>
      </c>
    </row>
    <row r="577" spans="1:2" ht="12.75" customHeight="1" x14ac:dyDescent="0.25">
      <c r="A577" s="318">
        <v>90962712460</v>
      </c>
      <c r="B577" s="318" t="s">
        <v>237</v>
      </c>
    </row>
    <row r="578" spans="1:2" ht="12.75" customHeight="1" x14ac:dyDescent="0.25">
      <c r="A578" s="318">
        <v>90962712461</v>
      </c>
      <c r="B578" s="318" t="s">
        <v>237</v>
      </c>
    </row>
    <row r="579" spans="1:2" ht="12.75" customHeight="1" x14ac:dyDescent="0.25">
      <c r="A579" s="318">
        <v>90962712462</v>
      </c>
      <c r="B579" s="318" t="s">
        <v>237</v>
      </c>
    </row>
    <row r="580" spans="1:2" ht="12.75" customHeight="1" x14ac:dyDescent="0.25">
      <c r="A580" s="318">
        <v>90962712463</v>
      </c>
      <c r="B580" s="318" t="s">
        <v>237</v>
      </c>
    </row>
    <row r="581" spans="1:2" ht="12.75" customHeight="1" x14ac:dyDescent="0.25">
      <c r="A581" s="318">
        <v>90962712464</v>
      </c>
      <c r="B581" s="318" t="s">
        <v>237</v>
      </c>
    </row>
    <row r="582" spans="1:2" ht="12.75" customHeight="1" x14ac:dyDescent="0.25">
      <c r="A582" s="318">
        <v>90963193321</v>
      </c>
      <c r="B582" s="318" t="s">
        <v>23</v>
      </c>
    </row>
    <row r="583" spans="1:2" ht="12.75" customHeight="1" x14ac:dyDescent="0.25">
      <c r="A583" s="318">
        <v>90963193322</v>
      </c>
      <c r="B583" s="318" t="s">
        <v>23</v>
      </c>
    </row>
    <row r="584" spans="1:2" ht="12.75" customHeight="1" x14ac:dyDescent="0.25">
      <c r="A584" s="318">
        <v>90963193323</v>
      </c>
      <c r="B584" s="318" t="s">
        <v>23</v>
      </c>
    </row>
    <row r="585" spans="1:2" ht="12.75" customHeight="1" x14ac:dyDescent="0.25">
      <c r="A585" s="318">
        <v>90963193324</v>
      </c>
      <c r="B585" s="318" t="s">
        <v>23</v>
      </c>
    </row>
    <row r="586" spans="1:2" ht="12.75" customHeight="1" x14ac:dyDescent="0.25">
      <c r="A586" s="318">
        <v>90963193325</v>
      </c>
      <c r="B586" s="318" t="s">
        <v>23</v>
      </c>
    </row>
    <row r="587" spans="1:2" ht="12.75" customHeight="1" x14ac:dyDescent="0.25">
      <c r="A587" s="318">
        <v>90963193326</v>
      </c>
      <c r="B587" s="318" t="s">
        <v>23</v>
      </c>
    </row>
    <row r="588" spans="1:2" ht="12.75" customHeight="1" x14ac:dyDescent="0.25">
      <c r="A588" s="318">
        <v>90963193327</v>
      </c>
      <c r="B588" s="318" t="s">
        <v>23</v>
      </c>
    </row>
    <row r="589" spans="1:2" ht="12.75" customHeight="1" x14ac:dyDescent="0.25">
      <c r="A589" s="318">
        <v>90963193328</v>
      </c>
      <c r="B589" s="318" t="s">
        <v>237</v>
      </c>
    </row>
    <row r="590" spans="1:2" ht="12.75" customHeight="1" x14ac:dyDescent="0.25">
      <c r="A590" s="318">
        <v>90963193330</v>
      </c>
      <c r="B590" s="318" t="s">
        <v>237</v>
      </c>
    </row>
    <row r="591" spans="1:2" ht="12.75" customHeight="1" x14ac:dyDescent="0.25">
      <c r="A591" s="318">
        <v>90963193331</v>
      </c>
      <c r="B591" s="318" t="s">
        <v>237</v>
      </c>
    </row>
    <row r="592" spans="1:2" ht="12.75" customHeight="1" x14ac:dyDescent="0.25">
      <c r="A592" s="318">
        <v>90963193332</v>
      </c>
      <c r="B592" s="318" t="s">
        <v>237</v>
      </c>
    </row>
    <row r="593" spans="1:2" ht="12.75" customHeight="1" x14ac:dyDescent="0.25">
      <c r="A593" s="318">
        <v>90963193333</v>
      </c>
      <c r="B593" s="318" t="s">
        <v>237</v>
      </c>
    </row>
    <row r="594" spans="1:2" ht="12.75" customHeight="1" x14ac:dyDescent="0.25">
      <c r="A594" s="318">
        <v>90963193334</v>
      </c>
      <c r="B594" s="318" t="s">
        <v>237</v>
      </c>
    </row>
    <row r="595" spans="1:2" ht="12.75" customHeight="1" x14ac:dyDescent="0.25">
      <c r="A595" s="318">
        <v>90963193335</v>
      </c>
      <c r="B595" s="318" t="s">
        <v>237</v>
      </c>
    </row>
    <row r="596" spans="1:2" ht="12.75" customHeight="1" x14ac:dyDescent="0.25">
      <c r="A596" s="318">
        <v>90963193336</v>
      </c>
      <c r="B596" s="318" t="s">
        <v>237</v>
      </c>
    </row>
    <row r="597" spans="1:2" ht="12.75" customHeight="1" x14ac:dyDescent="0.25">
      <c r="A597" s="318">
        <v>90963193337</v>
      </c>
      <c r="B597" s="318" t="s">
        <v>237</v>
      </c>
    </row>
    <row r="598" spans="1:2" ht="12.75" customHeight="1" x14ac:dyDescent="0.25">
      <c r="A598" s="318">
        <v>90963193421</v>
      </c>
      <c r="B598" s="318" t="s">
        <v>237</v>
      </c>
    </row>
    <row r="599" spans="1:2" ht="12.75" customHeight="1" x14ac:dyDescent="0.25">
      <c r="A599" s="318">
        <v>90963193422</v>
      </c>
      <c r="B599" s="318" t="s">
        <v>237</v>
      </c>
    </row>
    <row r="600" spans="1:2" ht="12.75" customHeight="1" x14ac:dyDescent="0.25">
      <c r="A600" s="318">
        <v>90963193423</v>
      </c>
      <c r="B600" s="318" t="s">
        <v>237</v>
      </c>
    </row>
    <row r="601" spans="1:2" ht="12.75" customHeight="1" x14ac:dyDescent="0.25">
      <c r="A601" s="318">
        <v>90963193424</v>
      </c>
      <c r="B601" s="318" t="s">
        <v>237</v>
      </c>
    </row>
    <row r="602" spans="1:2" ht="12.75" customHeight="1" x14ac:dyDescent="0.25">
      <c r="A602" s="318">
        <v>90963193425</v>
      </c>
      <c r="B602" s="318" t="s">
        <v>237</v>
      </c>
    </row>
    <row r="603" spans="1:2" ht="12.75" customHeight="1" x14ac:dyDescent="0.25">
      <c r="A603" s="318">
        <v>90963193426</v>
      </c>
      <c r="B603" s="318" t="s">
        <v>237</v>
      </c>
    </row>
    <row r="604" spans="1:2" ht="12.75" customHeight="1" x14ac:dyDescent="0.25">
      <c r="A604" s="318">
        <v>90963193427</v>
      </c>
      <c r="B604" s="318" t="s">
        <v>237</v>
      </c>
    </row>
    <row r="605" spans="1:2" ht="12.75" customHeight="1" x14ac:dyDescent="0.25">
      <c r="A605" s="318">
        <v>90963193428</v>
      </c>
      <c r="B605" s="318" t="s">
        <v>237</v>
      </c>
    </row>
    <row r="606" spans="1:2" ht="12.75" customHeight="1" x14ac:dyDescent="0.25">
      <c r="A606" s="318">
        <v>90963193430</v>
      </c>
      <c r="B606" s="318" t="s">
        <v>237</v>
      </c>
    </row>
    <row r="607" spans="1:2" ht="12.75" customHeight="1" x14ac:dyDescent="0.25">
      <c r="A607" s="318">
        <v>90963193431</v>
      </c>
      <c r="B607" s="318" t="s">
        <v>237</v>
      </c>
    </row>
    <row r="608" spans="1:2" ht="12.75" customHeight="1" x14ac:dyDescent="0.25">
      <c r="A608" s="318">
        <v>90963193432</v>
      </c>
      <c r="B608" s="318" t="s">
        <v>237</v>
      </c>
    </row>
    <row r="609" spans="1:2" ht="12.75" customHeight="1" x14ac:dyDescent="0.25">
      <c r="A609" s="318">
        <v>90963193433</v>
      </c>
      <c r="B609" s="318" t="s">
        <v>237</v>
      </c>
    </row>
    <row r="610" spans="1:2" ht="12.75" customHeight="1" x14ac:dyDescent="0.25">
      <c r="A610" s="318">
        <v>90963193434</v>
      </c>
      <c r="B610" s="318" t="s">
        <v>237</v>
      </c>
    </row>
    <row r="611" spans="1:2" ht="12.75" customHeight="1" x14ac:dyDescent="0.25">
      <c r="A611" s="318">
        <v>90963193435</v>
      </c>
      <c r="B611" s="318" t="s">
        <v>237</v>
      </c>
    </row>
    <row r="612" spans="1:2" ht="12.75" customHeight="1" x14ac:dyDescent="0.25">
      <c r="A612" s="318">
        <v>90963193436</v>
      </c>
      <c r="B612" s="318" t="s">
        <v>237</v>
      </c>
    </row>
    <row r="613" spans="1:2" ht="12.75" customHeight="1" x14ac:dyDescent="0.25">
      <c r="A613" s="318">
        <v>90963193437</v>
      </c>
      <c r="B613" s="318" t="s">
        <v>237</v>
      </c>
    </row>
    <row r="614" spans="1:2" ht="12.75" customHeight="1" x14ac:dyDescent="0.25">
      <c r="A614" s="318">
        <v>90963674294</v>
      </c>
      <c r="B614" s="318" t="s">
        <v>23</v>
      </c>
    </row>
    <row r="615" spans="1:2" ht="12.75" customHeight="1" x14ac:dyDescent="0.25">
      <c r="A615" s="318">
        <v>90963674295</v>
      </c>
      <c r="B615" s="318" t="s">
        <v>23</v>
      </c>
    </row>
    <row r="616" spans="1:2" ht="12.75" customHeight="1" x14ac:dyDescent="0.25">
      <c r="A616" s="318">
        <v>90963674296</v>
      </c>
      <c r="B616" s="318" t="s">
        <v>23</v>
      </c>
    </row>
    <row r="617" spans="1:2" ht="12.75" customHeight="1" x14ac:dyDescent="0.25">
      <c r="A617" s="318">
        <v>90963674297</v>
      </c>
      <c r="B617" s="318" t="s">
        <v>23</v>
      </c>
    </row>
    <row r="618" spans="1:2" ht="12.75" customHeight="1" x14ac:dyDescent="0.25">
      <c r="A618" s="318">
        <v>90963674298</v>
      </c>
      <c r="B618" s="318" t="s">
        <v>23</v>
      </c>
    </row>
    <row r="619" spans="1:2" ht="12.75" customHeight="1" x14ac:dyDescent="0.25">
      <c r="A619" s="318">
        <v>90963674299</v>
      </c>
      <c r="B619" s="318" t="s">
        <v>23</v>
      </c>
    </row>
    <row r="620" spans="1:2" ht="12.75" customHeight="1" x14ac:dyDescent="0.25">
      <c r="A620" s="318">
        <v>90963674300</v>
      </c>
      <c r="B620" s="318" t="s">
        <v>23</v>
      </c>
    </row>
    <row r="621" spans="1:2" ht="12.75" customHeight="1" x14ac:dyDescent="0.25">
      <c r="A621" s="318">
        <v>90963674301</v>
      </c>
      <c r="B621" s="318" t="s">
        <v>237</v>
      </c>
    </row>
    <row r="622" spans="1:2" ht="12.75" customHeight="1" x14ac:dyDescent="0.25">
      <c r="A622" s="318">
        <v>90963674303</v>
      </c>
      <c r="B622" s="318" t="s">
        <v>23</v>
      </c>
    </row>
    <row r="623" spans="1:2" ht="12.75" customHeight="1" x14ac:dyDescent="0.25">
      <c r="A623" s="318">
        <v>90963674304</v>
      </c>
      <c r="B623" s="318" t="s">
        <v>237</v>
      </c>
    </row>
    <row r="624" spans="1:2" ht="12.75" customHeight="1" x14ac:dyDescent="0.25">
      <c r="A624" s="318">
        <v>90963674305</v>
      </c>
      <c r="B624" s="318" t="s">
        <v>23</v>
      </c>
    </row>
    <row r="625" spans="1:2" ht="12.75" customHeight="1" x14ac:dyDescent="0.25">
      <c r="A625" s="318">
        <v>90963674306</v>
      </c>
      <c r="B625" s="318" t="s">
        <v>237</v>
      </c>
    </row>
    <row r="626" spans="1:2" ht="12.75" customHeight="1" x14ac:dyDescent="0.25">
      <c r="A626" s="318">
        <v>90963674307</v>
      </c>
      <c r="B626" s="318" t="s">
        <v>23</v>
      </c>
    </row>
    <row r="627" spans="1:2" ht="12.75" customHeight="1" x14ac:dyDescent="0.25">
      <c r="A627" s="318">
        <v>90963674308</v>
      </c>
      <c r="B627" s="318" t="s">
        <v>237</v>
      </c>
    </row>
    <row r="628" spans="1:2" ht="12.75" customHeight="1" x14ac:dyDescent="0.25">
      <c r="A628" s="318">
        <v>90963674309</v>
      </c>
      <c r="B628" s="318" t="s">
        <v>23</v>
      </c>
    </row>
    <row r="629" spans="1:2" ht="12.75" customHeight="1" x14ac:dyDescent="0.25">
      <c r="A629" s="318">
        <v>90963674310</v>
      </c>
      <c r="B629" s="318" t="s">
        <v>237</v>
      </c>
    </row>
    <row r="630" spans="1:2" ht="12.75" customHeight="1" x14ac:dyDescent="0.25">
      <c r="A630" s="318">
        <v>90963674394</v>
      </c>
      <c r="B630" s="318" t="s">
        <v>237</v>
      </c>
    </row>
    <row r="631" spans="1:2" ht="12.75" customHeight="1" x14ac:dyDescent="0.25">
      <c r="A631" s="318">
        <v>90963674395</v>
      </c>
      <c r="B631" s="318" t="s">
        <v>237</v>
      </c>
    </row>
    <row r="632" spans="1:2" ht="12.75" customHeight="1" x14ac:dyDescent="0.25">
      <c r="A632" s="318">
        <v>90963674396</v>
      </c>
      <c r="B632" s="318" t="s">
        <v>237</v>
      </c>
    </row>
    <row r="633" spans="1:2" ht="12.75" customHeight="1" x14ac:dyDescent="0.25">
      <c r="A633" s="318">
        <v>90963674397</v>
      </c>
      <c r="B633" s="318" t="s">
        <v>237</v>
      </c>
    </row>
    <row r="634" spans="1:2" ht="12.75" customHeight="1" x14ac:dyDescent="0.25">
      <c r="A634" s="318">
        <v>90963674398</v>
      </c>
      <c r="B634" s="318" t="s">
        <v>237</v>
      </c>
    </row>
    <row r="635" spans="1:2" ht="12.75" customHeight="1" x14ac:dyDescent="0.25">
      <c r="A635" s="318">
        <v>90963674399</v>
      </c>
      <c r="B635" s="318" t="s">
        <v>237</v>
      </c>
    </row>
    <row r="636" spans="1:2" ht="12.75" customHeight="1" x14ac:dyDescent="0.25">
      <c r="A636" s="318">
        <v>90963674400</v>
      </c>
      <c r="B636" s="318" t="s">
        <v>237</v>
      </c>
    </row>
    <row r="637" spans="1:2" ht="12.75" customHeight="1" x14ac:dyDescent="0.25">
      <c r="A637" s="318">
        <v>90963674401</v>
      </c>
      <c r="B637" s="318" t="s">
        <v>237</v>
      </c>
    </row>
    <row r="638" spans="1:2" ht="12.75" customHeight="1" x14ac:dyDescent="0.25">
      <c r="A638" s="318">
        <v>90963674403</v>
      </c>
      <c r="B638" s="318" t="s">
        <v>237</v>
      </c>
    </row>
    <row r="639" spans="1:2" ht="12.75" customHeight="1" x14ac:dyDescent="0.25">
      <c r="A639" s="318">
        <v>90963674404</v>
      </c>
      <c r="B639" s="318" t="s">
        <v>237</v>
      </c>
    </row>
    <row r="640" spans="1:2" ht="12.75" customHeight="1" x14ac:dyDescent="0.25">
      <c r="A640" s="318">
        <v>90963674405</v>
      </c>
      <c r="B640" s="318" t="s">
        <v>237</v>
      </c>
    </row>
    <row r="641" spans="1:2" ht="12.75" customHeight="1" x14ac:dyDescent="0.25">
      <c r="A641" s="318">
        <v>90963674406</v>
      </c>
      <c r="B641" s="318" t="s">
        <v>237</v>
      </c>
    </row>
    <row r="642" spans="1:2" ht="12.75" customHeight="1" x14ac:dyDescent="0.25">
      <c r="A642" s="318">
        <v>90963674407</v>
      </c>
      <c r="B642" s="318" t="s">
        <v>237</v>
      </c>
    </row>
    <row r="643" spans="1:2" ht="12.75" customHeight="1" x14ac:dyDescent="0.25">
      <c r="A643" s="318">
        <v>90963674408</v>
      </c>
      <c r="B643" s="318" t="s">
        <v>237</v>
      </c>
    </row>
    <row r="644" spans="1:2" ht="12.75" customHeight="1" x14ac:dyDescent="0.25">
      <c r="A644" s="318">
        <v>90963674409</v>
      </c>
      <c r="B644" s="318" t="s">
        <v>237</v>
      </c>
    </row>
    <row r="645" spans="1:2" ht="12.75" customHeight="1" x14ac:dyDescent="0.25">
      <c r="A645" s="318">
        <v>90963674410</v>
      </c>
      <c r="B645" s="318" t="s">
        <v>237</v>
      </c>
    </row>
    <row r="646" spans="1:2" ht="12.75" customHeight="1" x14ac:dyDescent="0.25">
      <c r="A646" s="318">
        <v>90964354485</v>
      </c>
      <c r="B646" s="318" t="s">
        <v>23</v>
      </c>
    </row>
    <row r="647" spans="1:2" ht="12.75" customHeight="1" x14ac:dyDescent="0.25">
      <c r="A647" s="318">
        <v>90964354486</v>
      </c>
      <c r="B647" s="318" t="s">
        <v>23</v>
      </c>
    </row>
    <row r="648" spans="1:2" ht="12.75" customHeight="1" x14ac:dyDescent="0.25">
      <c r="A648" s="318">
        <v>90964354487</v>
      </c>
      <c r="B648" s="318" t="s">
        <v>23</v>
      </c>
    </row>
    <row r="649" spans="1:2" ht="12.75" customHeight="1" x14ac:dyDescent="0.25">
      <c r="A649" s="318">
        <v>90964354488</v>
      </c>
      <c r="B649" s="318" t="s">
        <v>23</v>
      </c>
    </row>
    <row r="650" spans="1:2" ht="12.75" customHeight="1" x14ac:dyDescent="0.25">
      <c r="A650" s="318">
        <v>90964354489</v>
      </c>
      <c r="B650" s="318" t="s">
        <v>23</v>
      </c>
    </row>
    <row r="651" spans="1:2" ht="12.75" customHeight="1" x14ac:dyDescent="0.25">
      <c r="A651" s="318">
        <v>90964354490</v>
      </c>
      <c r="B651" s="318" t="s">
        <v>23</v>
      </c>
    </row>
    <row r="652" spans="1:2" ht="12.75" customHeight="1" x14ac:dyDescent="0.25">
      <c r="A652" s="318">
        <v>90964354491</v>
      </c>
      <c r="B652" s="318" t="s">
        <v>23</v>
      </c>
    </row>
    <row r="653" spans="1:2" ht="12.75" customHeight="1" x14ac:dyDescent="0.25">
      <c r="A653" s="318">
        <v>90964354492</v>
      </c>
      <c r="B653" s="318" t="s">
        <v>237</v>
      </c>
    </row>
    <row r="654" spans="1:2" ht="12.75" customHeight="1" x14ac:dyDescent="0.25">
      <c r="A654" s="318">
        <v>90964354494</v>
      </c>
      <c r="B654" s="318" t="s">
        <v>23</v>
      </c>
    </row>
    <row r="655" spans="1:2" ht="12.75" customHeight="1" x14ac:dyDescent="0.25">
      <c r="A655" s="318">
        <v>90964354495</v>
      </c>
      <c r="B655" s="318" t="s">
        <v>237</v>
      </c>
    </row>
    <row r="656" spans="1:2" ht="12.75" customHeight="1" x14ac:dyDescent="0.25">
      <c r="A656" s="318">
        <v>90964354496</v>
      </c>
      <c r="B656" s="318" t="s">
        <v>23</v>
      </c>
    </row>
    <row r="657" spans="1:2" ht="12.75" customHeight="1" x14ac:dyDescent="0.25">
      <c r="A657" s="318">
        <v>90964354497</v>
      </c>
      <c r="B657" s="318" t="s">
        <v>237</v>
      </c>
    </row>
    <row r="658" spans="1:2" ht="12.75" customHeight="1" x14ac:dyDescent="0.25">
      <c r="A658" s="318">
        <v>90964354498</v>
      </c>
      <c r="B658" s="318" t="s">
        <v>23</v>
      </c>
    </row>
    <row r="659" spans="1:2" ht="12.75" customHeight="1" x14ac:dyDescent="0.25">
      <c r="A659" s="318">
        <v>90964354499</v>
      </c>
      <c r="B659" s="318" t="s">
        <v>237</v>
      </c>
    </row>
    <row r="660" spans="1:2" ht="12.75" customHeight="1" x14ac:dyDescent="0.25">
      <c r="A660" s="318">
        <v>90964354500</v>
      </c>
      <c r="B660" s="318" t="s">
        <v>23</v>
      </c>
    </row>
    <row r="661" spans="1:2" ht="12.75" customHeight="1" x14ac:dyDescent="0.25">
      <c r="A661" s="318">
        <v>90964354501</v>
      </c>
      <c r="B661" s="318" t="s">
        <v>237</v>
      </c>
    </row>
    <row r="662" spans="1:2" ht="12.75" customHeight="1" x14ac:dyDescent="0.25">
      <c r="A662" s="318">
        <v>90964354585</v>
      </c>
      <c r="B662" s="318" t="s">
        <v>237</v>
      </c>
    </row>
    <row r="663" spans="1:2" ht="12.75" customHeight="1" x14ac:dyDescent="0.25">
      <c r="A663" s="318">
        <v>90964354586</v>
      </c>
      <c r="B663" s="318" t="s">
        <v>237</v>
      </c>
    </row>
    <row r="664" spans="1:2" ht="12.75" customHeight="1" x14ac:dyDescent="0.25">
      <c r="A664" s="318">
        <v>90964354587</v>
      </c>
      <c r="B664" s="318" t="s">
        <v>237</v>
      </c>
    </row>
    <row r="665" spans="1:2" ht="12.75" customHeight="1" x14ac:dyDescent="0.25">
      <c r="A665" s="318">
        <v>90964354588</v>
      </c>
      <c r="B665" s="318" t="s">
        <v>237</v>
      </c>
    </row>
    <row r="666" spans="1:2" ht="12.75" customHeight="1" x14ac:dyDescent="0.25">
      <c r="A666" s="318">
        <v>90964354589</v>
      </c>
      <c r="B666" s="318" t="s">
        <v>237</v>
      </c>
    </row>
    <row r="667" spans="1:2" ht="12.75" customHeight="1" x14ac:dyDescent="0.25">
      <c r="A667" s="318">
        <v>90964354590</v>
      </c>
      <c r="B667" s="318" t="s">
        <v>237</v>
      </c>
    </row>
    <row r="668" spans="1:2" ht="12.75" customHeight="1" x14ac:dyDescent="0.25">
      <c r="A668" s="318">
        <v>90964354591</v>
      </c>
      <c r="B668" s="318" t="s">
        <v>237</v>
      </c>
    </row>
    <row r="669" spans="1:2" ht="12.75" customHeight="1" x14ac:dyDescent="0.25">
      <c r="A669" s="318">
        <v>90964354592</v>
      </c>
      <c r="B669" s="318" t="s">
        <v>237</v>
      </c>
    </row>
    <row r="670" spans="1:2" ht="12.75" customHeight="1" x14ac:dyDescent="0.25">
      <c r="A670" s="318">
        <v>90964354594</v>
      </c>
      <c r="B670" s="318" t="s">
        <v>237</v>
      </c>
    </row>
    <row r="671" spans="1:2" ht="12.75" customHeight="1" x14ac:dyDescent="0.25">
      <c r="A671" s="318">
        <v>90964354595</v>
      </c>
      <c r="B671" s="318" t="s">
        <v>237</v>
      </c>
    </row>
    <row r="672" spans="1:2" ht="12.75" customHeight="1" x14ac:dyDescent="0.25">
      <c r="A672" s="318">
        <v>90964354596</v>
      </c>
      <c r="B672" s="318" t="s">
        <v>237</v>
      </c>
    </row>
    <row r="673" spans="1:2" ht="12.75" customHeight="1" x14ac:dyDescent="0.25">
      <c r="A673" s="318">
        <v>90964354597</v>
      </c>
      <c r="B673" s="318" t="s">
        <v>237</v>
      </c>
    </row>
    <row r="674" spans="1:2" ht="12.75" customHeight="1" x14ac:dyDescent="0.25">
      <c r="A674" s="318">
        <v>90964354598</v>
      </c>
      <c r="B674" s="318" t="s">
        <v>237</v>
      </c>
    </row>
    <row r="675" spans="1:2" ht="12.75" customHeight="1" x14ac:dyDescent="0.25">
      <c r="A675" s="318">
        <v>90964354599</v>
      </c>
      <c r="B675" s="318" t="s">
        <v>237</v>
      </c>
    </row>
    <row r="676" spans="1:2" ht="12.75" customHeight="1" x14ac:dyDescent="0.25">
      <c r="A676" s="318">
        <v>90964354600</v>
      </c>
      <c r="B676" s="318" t="s">
        <v>237</v>
      </c>
    </row>
    <row r="677" spans="1:2" ht="12.75" customHeight="1" x14ac:dyDescent="0.25">
      <c r="A677" s="318">
        <v>90964354601</v>
      </c>
      <c r="B677" s="318" t="s">
        <v>237</v>
      </c>
    </row>
    <row r="678" spans="1:2" ht="12.75" customHeight="1" x14ac:dyDescent="0.25">
      <c r="A678" s="318">
        <v>90964835458</v>
      </c>
      <c r="B678" s="318" t="s">
        <v>23</v>
      </c>
    </row>
    <row r="679" spans="1:2" ht="12.75" customHeight="1" x14ac:dyDescent="0.25">
      <c r="A679" s="318">
        <v>90964835459</v>
      </c>
      <c r="B679" s="318" t="s">
        <v>23</v>
      </c>
    </row>
    <row r="680" spans="1:2" ht="12.75" customHeight="1" x14ac:dyDescent="0.25">
      <c r="A680" s="318">
        <v>90964835460</v>
      </c>
      <c r="B680" s="318" t="s">
        <v>23</v>
      </c>
    </row>
    <row r="681" spans="1:2" ht="12.75" customHeight="1" x14ac:dyDescent="0.25">
      <c r="A681" s="318">
        <v>90964835461</v>
      </c>
      <c r="B681" s="318" t="s">
        <v>23</v>
      </c>
    </row>
    <row r="682" spans="1:2" ht="12.75" customHeight="1" x14ac:dyDescent="0.25">
      <c r="A682" s="318">
        <v>90964835462</v>
      </c>
      <c r="B682" s="318" t="s">
        <v>23</v>
      </c>
    </row>
    <row r="683" spans="1:2" ht="12.75" customHeight="1" x14ac:dyDescent="0.25">
      <c r="A683" s="318">
        <v>90964835463</v>
      </c>
      <c r="B683" s="318" t="s">
        <v>23</v>
      </c>
    </row>
    <row r="684" spans="1:2" ht="12.75" customHeight="1" x14ac:dyDescent="0.25">
      <c r="A684" s="318">
        <v>90964835464</v>
      </c>
      <c r="B684" s="318" t="s">
        <v>23</v>
      </c>
    </row>
    <row r="685" spans="1:2" ht="12.75" customHeight="1" x14ac:dyDescent="0.25">
      <c r="A685" s="318">
        <v>90964835465</v>
      </c>
      <c r="B685" s="318" t="s">
        <v>237</v>
      </c>
    </row>
    <row r="686" spans="1:2" ht="12.75" customHeight="1" x14ac:dyDescent="0.25">
      <c r="A686" s="318">
        <v>90964835467</v>
      </c>
      <c r="B686" s="318" t="s">
        <v>23</v>
      </c>
    </row>
    <row r="687" spans="1:2" ht="12.75" customHeight="1" x14ac:dyDescent="0.25">
      <c r="A687" s="318">
        <v>90964835468</v>
      </c>
      <c r="B687" s="318" t="s">
        <v>237</v>
      </c>
    </row>
    <row r="688" spans="1:2" ht="12.75" customHeight="1" x14ac:dyDescent="0.25">
      <c r="A688" s="318">
        <v>90964835469</v>
      </c>
      <c r="B688" s="318" t="s">
        <v>23</v>
      </c>
    </row>
    <row r="689" spans="1:2" ht="12.75" customHeight="1" x14ac:dyDescent="0.25">
      <c r="A689" s="318">
        <v>90964835470</v>
      </c>
      <c r="B689" s="318" t="s">
        <v>237</v>
      </c>
    </row>
    <row r="690" spans="1:2" ht="12.75" customHeight="1" x14ac:dyDescent="0.25">
      <c r="A690" s="318">
        <v>90964835471</v>
      </c>
      <c r="B690" s="318" t="s">
        <v>23</v>
      </c>
    </row>
    <row r="691" spans="1:2" ht="12.75" customHeight="1" x14ac:dyDescent="0.25">
      <c r="A691" s="318">
        <v>90964835472</v>
      </c>
      <c r="B691" s="318" t="s">
        <v>237</v>
      </c>
    </row>
    <row r="692" spans="1:2" ht="12.75" customHeight="1" x14ac:dyDescent="0.25">
      <c r="A692" s="318">
        <v>90964835473</v>
      </c>
      <c r="B692" s="318" t="s">
        <v>23</v>
      </c>
    </row>
    <row r="693" spans="1:2" ht="12.75" customHeight="1" x14ac:dyDescent="0.25">
      <c r="A693" s="318">
        <v>90964835474</v>
      </c>
      <c r="B693" s="318" t="s">
        <v>237</v>
      </c>
    </row>
    <row r="694" spans="1:2" ht="12.75" customHeight="1" x14ac:dyDescent="0.25">
      <c r="A694" s="318">
        <v>90964835558</v>
      </c>
      <c r="B694" s="318" t="s">
        <v>237</v>
      </c>
    </row>
    <row r="695" spans="1:2" ht="12.75" customHeight="1" x14ac:dyDescent="0.25">
      <c r="A695" s="318">
        <v>90964835559</v>
      </c>
      <c r="B695" s="318" t="s">
        <v>237</v>
      </c>
    </row>
    <row r="696" spans="1:2" ht="12.75" customHeight="1" x14ac:dyDescent="0.25">
      <c r="A696" s="318">
        <v>90964835560</v>
      </c>
      <c r="B696" s="318" t="s">
        <v>237</v>
      </c>
    </row>
    <row r="697" spans="1:2" ht="12.75" customHeight="1" x14ac:dyDescent="0.25">
      <c r="A697" s="318">
        <v>90964835561</v>
      </c>
      <c r="B697" s="318" t="s">
        <v>237</v>
      </c>
    </row>
    <row r="698" spans="1:2" ht="12.75" customHeight="1" x14ac:dyDescent="0.25">
      <c r="A698" s="318">
        <v>90964835562</v>
      </c>
      <c r="B698" s="318" t="s">
        <v>237</v>
      </c>
    </row>
    <row r="699" spans="1:2" ht="12.75" customHeight="1" x14ac:dyDescent="0.25">
      <c r="A699" s="318">
        <v>90964835563</v>
      </c>
      <c r="B699" s="318" t="s">
        <v>237</v>
      </c>
    </row>
    <row r="700" spans="1:2" ht="12.75" customHeight="1" x14ac:dyDescent="0.25">
      <c r="A700" s="318">
        <v>90964835564</v>
      </c>
      <c r="B700" s="318" t="s">
        <v>237</v>
      </c>
    </row>
    <row r="701" spans="1:2" ht="12.75" customHeight="1" x14ac:dyDescent="0.25">
      <c r="A701" s="318">
        <v>90964835565</v>
      </c>
      <c r="B701" s="318" t="s">
        <v>237</v>
      </c>
    </row>
    <row r="702" spans="1:2" ht="12.75" customHeight="1" x14ac:dyDescent="0.25">
      <c r="A702" s="318">
        <v>90964835567</v>
      </c>
      <c r="B702" s="318" t="s">
        <v>237</v>
      </c>
    </row>
    <row r="703" spans="1:2" ht="12.75" customHeight="1" x14ac:dyDescent="0.25">
      <c r="A703" s="318">
        <v>90964835568</v>
      </c>
      <c r="B703" s="318" t="s">
        <v>237</v>
      </c>
    </row>
    <row r="704" spans="1:2" ht="12.75" customHeight="1" x14ac:dyDescent="0.25">
      <c r="A704" s="318">
        <v>90964835569</v>
      </c>
      <c r="B704" s="318" t="s">
        <v>237</v>
      </c>
    </row>
    <row r="705" spans="1:2" ht="12.75" customHeight="1" x14ac:dyDescent="0.25">
      <c r="A705" s="318">
        <v>90964835570</v>
      </c>
      <c r="B705" s="318" t="s">
        <v>237</v>
      </c>
    </row>
    <row r="706" spans="1:2" ht="12.75" customHeight="1" x14ac:dyDescent="0.25">
      <c r="A706" s="318">
        <v>90964835571</v>
      </c>
      <c r="B706" s="318" t="s">
        <v>237</v>
      </c>
    </row>
    <row r="707" spans="1:2" ht="12.75" customHeight="1" x14ac:dyDescent="0.25">
      <c r="A707" s="318">
        <v>90964835572</v>
      </c>
      <c r="B707" s="318" t="s">
        <v>237</v>
      </c>
    </row>
    <row r="708" spans="1:2" ht="12.75" customHeight="1" x14ac:dyDescent="0.25">
      <c r="A708" s="318">
        <v>90964835573</v>
      </c>
      <c r="B708" s="318" t="s">
        <v>237</v>
      </c>
    </row>
    <row r="709" spans="1:2" ht="12.75" customHeight="1" x14ac:dyDescent="0.25">
      <c r="A709" s="318">
        <v>90964835574</v>
      </c>
      <c r="B709" s="318" t="s">
        <v>237</v>
      </c>
    </row>
    <row r="710" spans="1:2" ht="12.75" customHeight="1" x14ac:dyDescent="0.25">
      <c r="A710" s="318">
        <v>90965316431</v>
      </c>
      <c r="B710" s="318" t="s">
        <v>23</v>
      </c>
    </row>
    <row r="711" spans="1:2" ht="12.75" customHeight="1" x14ac:dyDescent="0.25">
      <c r="A711" s="318">
        <v>90965316432</v>
      </c>
      <c r="B711" s="318" t="s">
        <v>23</v>
      </c>
    </row>
    <row r="712" spans="1:2" ht="12.75" customHeight="1" x14ac:dyDescent="0.25">
      <c r="A712" s="318">
        <v>90965316433</v>
      </c>
      <c r="B712" s="318" t="s">
        <v>23</v>
      </c>
    </row>
    <row r="713" spans="1:2" ht="12.75" customHeight="1" x14ac:dyDescent="0.25">
      <c r="A713" s="318">
        <v>90965316434</v>
      </c>
      <c r="B713" s="318" t="s">
        <v>23</v>
      </c>
    </row>
    <row r="714" spans="1:2" ht="12.75" customHeight="1" x14ac:dyDescent="0.25">
      <c r="A714" s="318">
        <v>90965316435</v>
      </c>
      <c r="B714" s="318" t="s">
        <v>23</v>
      </c>
    </row>
    <row r="715" spans="1:2" ht="12.75" customHeight="1" x14ac:dyDescent="0.25">
      <c r="A715" s="318">
        <v>90965316436</v>
      </c>
      <c r="B715" s="318" t="s">
        <v>23</v>
      </c>
    </row>
    <row r="716" spans="1:2" ht="12.75" customHeight="1" x14ac:dyDescent="0.25">
      <c r="A716" s="318">
        <v>90965316437</v>
      </c>
      <c r="B716" s="318" t="s">
        <v>23</v>
      </c>
    </row>
    <row r="717" spans="1:2" ht="12.75" customHeight="1" x14ac:dyDescent="0.25">
      <c r="A717" s="318">
        <v>90965316438</v>
      </c>
      <c r="B717" s="318" t="s">
        <v>237</v>
      </c>
    </row>
    <row r="718" spans="1:2" ht="12.75" customHeight="1" x14ac:dyDescent="0.25">
      <c r="A718" s="318">
        <v>90965316440</v>
      </c>
      <c r="B718" s="318" t="s">
        <v>23</v>
      </c>
    </row>
    <row r="719" spans="1:2" ht="12.75" customHeight="1" x14ac:dyDescent="0.25">
      <c r="A719" s="318">
        <v>90965316441</v>
      </c>
      <c r="B719" s="318" t="s">
        <v>237</v>
      </c>
    </row>
    <row r="720" spans="1:2" ht="12.75" customHeight="1" x14ac:dyDescent="0.25">
      <c r="A720" s="318">
        <v>90965316442</v>
      </c>
      <c r="B720" s="318" t="s">
        <v>23</v>
      </c>
    </row>
    <row r="721" spans="1:2" ht="12.75" customHeight="1" x14ac:dyDescent="0.25">
      <c r="A721" s="318">
        <v>90965316443</v>
      </c>
      <c r="B721" s="318" t="s">
        <v>237</v>
      </c>
    </row>
    <row r="722" spans="1:2" ht="12.75" customHeight="1" x14ac:dyDescent="0.25">
      <c r="A722" s="318">
        <v>90965316444</v>
      </c>
      <c r="B722" s="318" t="s">
        <v>23</v>
      </c>
    </row>
    <row r="723" spans="1:2" ht="12.75" customHeight="1" x14ac:dyDescent="0.25">
      <c r="A723" s="318">
        <v>90965316445</v>
      </c>
      <c r="B723" s="318" t="s">
        <v>237</v>
      </c>
    </row>
    <row r="724" spans="1:2" ht="12.75" customHeight="1" x14ac:dyDescent="0.25">
      <c r="A724" s="318">
        <v>90965316446</v>
      </c>
      <c r="B724" s="318" t="s">
        <v>23</v>
      </c>
    </row>
    <row r="725" spans="1:2" ht="12.75" customHeight="1" x14ac:dyDescent="0.25">
      <c r="A725" s="318">
        <v>90965316447</v>
      </c>
      <c r="B725" s="318" t="s">
        <v>237</v>
      </c>
    </row>
    <row r="726" spans="1:2" ht="12.75" customHeight="1" x14ac:dyDescent="0.25">
      <c r="A726" s="318">
        <v>90965316531</v>
      </c>
      <c r="B726" s="318" t="s">
        <v>237</v>
      </c>
    </row>
    <row r="727" spans="1:2" ht="12.75" customHeight="1" x14ac:dyDescent="0.25">
      <c r="A727" s="318">
        <v>90965316532</v>
      </c>
      <c r="B727" s="318" t="s">
        <v>237</v>
      </c>
    </row>
    <row r="728" spans="1:2" ht="12.75" customHeight="1" x14ac:dyDescent="0.25">
      <c r="A728" s="318">
        <v>90965316533</v>
      </c>
      <c r="B728" s="318" t="s">
        <v>237</v>
      </c>
    </row>
    <row r="729" spans="1:2" ht="12.75" customHeight="1" x14ac:dyDescent="0.25">
      <c r="A729" s="318">
        <v>90965316534</v>
      </c>
      <c r="B729" s="318" t="s">
        <v>237</v>
      </c>
    </row>
    <row r="730" spans="1:2" ht="12.75" customHeight="1" x14ac:dyDescent="0.25">
      <c r="A730" s="318">
        <v>90965316535</v>
      </c>
      <c r="B730" s="318" t="s">
        <v>237</v>
      </c>
    </row>
    <row r="731" spans="1:2" ht="12.75" customHeight="1" x14ac:dyDescent="0.25">
      <c r="A731" s="318">
        <v>90965316536</v>
      </c>
      <c r="B731" s="318" t="s">
        <v>237</v>
      </c>
    </row>
    <row r="732" spans="1:2" ht="12.75" customHeight="1" x14ac:dyDescent="0.25">
      <c r="A732" s="318">
        <v>90965316537</v>
      </c>
      <c r="B732" s="318" t="s">
        <v>237</v>
      </c>
    </row>
    <row r="733" spans="1:2" ht="12.75" customHeight="1" x14ac:dyDescent="0.25">
      <c r="A733" s="318">
        <v>90965316538</v>
      </c>
      <c r="B733" s="318" t="s">
        <v>237</v>
      </c>
    </row>
    <row r="734" spans="1:2" ht="12.75" customHeight="1" x14ac:dyDescent="0.25">
      <c r="A734" s="318">
        <v>90965316540</v>
      </c>
      <c r="B734" s="318" t="s">
        <v>237</v>
      </c>
    </row>
    <row r="735" spans="1:2" ht="12.75" customHeight="1" x14ac:dyDescent="0.25">
      <c r="A735" s="318">
        <v>90965316541</v>
      </c>
      <c r="B735" s="318" t="s">
        <v>237</v>
      </c>
    </row>
    <row r="736" spans="1:2" ht="12.75" customHeight="1" x14ac:dyDescent="0.25">
      <c r="A736" s="318">
        <v>90965316542</v>
      </c>
      <c r="B736" s="318" t="s">
        <v>237</v>
      </c>
    </row>
    <row r="737" spans="1:2" ht="12.75" customHeight="1" x14ac:dyDescent="0.25">
      <c r="A737" s="318">
        <v>90965316543</v>
      </c>
      <c r="B737" s="318" t="s">
        <v>237</v>
      </c>
    </row>
    <row r="738" spans="1:2" ht="12.75" customHeight="1" x14ac:dyDescent="0.25">
      <c r="A738" s="318">
        <v>90965316544</v>
      </c>
      <c r="B738" s="318" t="s">
        <v>237</v>
      </c>
    </row>
    <row r="739" spans="1:2" ht="12.75" customHeight="1" x14ac:dyDescent="0.25">
      <c r="A739" s="318">
        <v>90965316545</v>
      </c>
      <c r="B739" s="318" t="s">
        <v>237</v>
      </c>
    </row>
    <row r="740" spans="1:2" ht="12.75" customHeight="1" x14ac:dyDescent="0.25">
      <c r="A740" s="318">
        <v>90965316546</v>
      </c>
      <c r="B740" s="318" t="s">
        <v>237</v>
      </c>
    </row>
    <row r="741" spans="1:2" ht="12.75" customHeight="1" x14ac:dyDescent="0.25">
      <c r="A741" s="318">
        <v>90965316547</v>
      </c>
      <c r="B741" s="318" t="s">
        <v>237</v>
      </c>
    </row>
    <row r="742" spans="1:2" ht="12.75" customHeight="1" x14ac:dyDescent="0.25">
      <c r="A742" s="318">
        <v>90966676812</v>
      </c>
      <c r="B742" s="318" t="s">
        <v>23</v>
      </c>
    </row>
    <row r="743" spans="1:2" ht="12.75" customHeight="1" x14ac:dyDescent="0.25">
      <c r="A743" s="318">
        <v>90966676813</v>
      </c>
      <c r="B743" s="318" t="s">
        <v>23</v>
      </c>
    </row>
    <row r="744" spans="1:2" ht="12.75" customHeight="1" x14ac:dyDescent="0.25">
      <c r="A744" s="318">
        <v>90966676814</v>
      </c>
      <c r="B744" s="318" t="s">
        <v>23</v>
      </c>
    </row>
    <row r="745" spans="1:2" ht="12.75" customHeight="1" x14ac:dyDescent="0.25">
      <c r="A745" s="318">
        <v>90966676815</v>
      </c>
      <c r="B745" s="318" t="s">
        <v>23</v>
      </c>
    </row>
    <row r="746" spans="1:2" ht="12.75" customHeight="1" x14ac:dyDescent="0.25">
      <c r="A746" s="318">
        <v>90966676816</v>
      </c>
      <c r="B746" s="318" t="s">
        <v>23</v>
      </c>
    </row>
    <row r="747" spans="1:2" ht="12.75" customHeight="1" x14ac:dyDescent="0.25">
      <c r="A747" s="318">
        <v>90966676817</v>
      </c>
      <c r="B747" s="318" t="s">
        <v>23</v>
      </c>
    </row>
    <row r="748" spans="1:2" ht="12.75" customHeight="1" x14ac:dyDescent="0.25">
      <c r="A748" s="318">
        <v>90966676818</v>
      </c>
      <c r="B748" s="318" t="s">
        <v>23</v>
      </c>
    </row>
    <row r="749" spans="1:2" ht="12.75" customHeight="1" x14ac:dyDescent="0.25">
      <c r="A749" s="318">
        <v>90966676819</v>
      </c>
      <c r="B749" s="318" t="s">
        <v>237</v>
      </c>
    </row>
    <row r="750" spans="1:2" ht="12.75" customHeight="1" x14ac:dyDescent="0.25">
      <c r="A750" s="318">
        <v>90966676821</v>
      </c>
      <c r="B750" s="318" t="s">
        <v>237</v>
      </c>
    </row>
    <row r="751" spans="1:2" ht="12.75" customHeight="1" x14ac:dyDescent="0.25">
      <c r="A751" s="318">
        <v>90966676822</v>
      </c>
      <c r="B751" s="318" t="s">
        <v>237</v>
      </c>
    </row>
    <row r="752" spans="1:2" ht="12.75" customHeight="1" x14ac:dyDescent="0.25">
      <c r="A752" s="318">
        <v>90966676823</v>
      </c>
      <c r="B752" s="318" t="s">
        <v>237</v>
      </c>
    </row>
    <row r="753" spans="1:2" ht="12.75" customHeight="1" x14ac:dyDescent="0.25">
      <c r="A753" s="318">
        <v>90966676824</v>
      </c>
      <c r="B753" s="318" t="s">
        <v>237</v>
      </c>
    </row>
    <row r="754" spans="1:2" ht="12.75" customHeight="1" x14ac:dyDescent="0.25">
      <c r="A754" s="318">
        <v>90966676825</v>
      </c>
      <c r="B754" s="318" t="s">
        <v>237</v>
      </c>
    </row>
    <row r="755" spans="1:2" ht="12.75" customHeight="1" x14ac:dyDescent="0.25">
      <c r="A755" s="318">
        <v>90966676826</v>
      </c>
      <c r="B755" s="318" t="s">
        <v>237</v>
      </c>
    </row>
    <row r="756" spans="1:2" ht="12.75" customHeight="1" x14ac:dyDescent="0.25">
      <c r="A756" s="318">
        <v>90966676827</v>
      </c>
      <c r="B756" s="318" t="s">
        <v>237</v>
      </c>
    </row>
    <row r="757" spans="1:2" ht="12.75" customHeight="1" x14ac:dyDescent="0.25">
      <c r="A757" s="318">
        <v>90966676828</v>
      </c>
      <c r="B757" s="318" t="s">
        <v>237</v>
      </c>
    </row>
    <row r="758" spans="1:2" ht="12.75" customHeight="1" x14ac:dyDescent="0.25">
      <c r="A758" s="318">
        <v>90966676912</v>
      </c>
      <c r="B758" s="318" t="s">
        <v>237</v>
      </c>
    </row>
    <row r="759" spans="1:2" ht="12.75" customHeight="1" x14ac:dyDescent="0.25">
      <c r="A759" s="318">
        <v>90966676913</v>
      </c>
      <c r="B759" s="318" t="s">
        <v>237</v>
      </c>
    </row>
    <row r="760" spans="1:2" ht="12.75" customHeight="1" x14ac:dyDescent="0.25">
      <c r="A760" s="318">
        <v>90966676914</v>
      </c>
      <c r="B760" s="318" t="s">
        <v>237</v>
      </c>
    </row>
    <row r="761" spans="1:2" ht="12.75" customHeight="1" x14ac:dyDescent="0.25">
      <c r="A761" s="318">
        <v>90966676915</v>
      </c>
      <c r="B761" s="318" t="s">
        <v>237</v>
      </c>
    </row>
    <row r="762" spans="1:2" ht="12.75" customHeight="1" x14ac:dyDescent="0.25">
      <c r="A762" s="318">
        <v>90966676916</v>
      </c>
      <c r="B762" s="318" t="s">
        <v>237</v>
      </c>
    </row>
    <row r="763" spans="1:2" ht="12.75" customHeight="1" x14ac:dyDescent="0.25">
      <c r="A763" s="318">
        <v>90966676917</v>
      </c>
      <c r="B763" s="318" t="s">
        <v>237</v>
      </c>
    </row>
    <row r="764" spans="1:2" ht="12.75" customHeight="1" x14ac:dyDescent="0.25">
      <c r="A764" s="318">
        <v>90966676918</v>
      </c>
      <c r="B764" s="318" t="s">
        <v>237</v>
      </c>
    </row>
    <row r="765" spans="1:2" ht="12.75" customHeight="1" x14ac:dyDescent="0.25">
      <c r="A765" s="318">
        <v>90966676919</v>
      </c>
      <c r="B765" s="318" t="s">
        <v>237</v>
      </c>
    </row>
    <row r="766" spans="1:2" ht="12.75" customHeight="1" x14ac:dyDescent="0.25">
      <c r="A766" s="318">
        <v>90966676921</v>
      </c>
      <c r="B766" s="318" t="s">
        <v>237</v>
      </c>
    </row>
    <row r="767" spans="1:2" ht="12.75" customHeight="1" x14ac:dyDescent="0.25">
      <c r="A767" s="318">
        <v>90966676922</v>
      </c>
      <c r="B767" s="318" t="s">
        <v>237</v>
      </c>
    </row>
    <row r="768" spans="1:2" ht="12.75" customHeight="1" x14ac:dyDescent="0.25">
      <c r="A768" s="318">
        <v>90966676923</v>
      </c>
      <c r="B768" s="318" t="s">
        <v>237</v>
      </c>
    </row>
    <row r="769" spans="1:2" ht="12.75" customHeight="1" x14ac:dyDescent="0.25">
      <c r="A769" s="318">
        <v>90966676924</v>
      </c>
      <c r="B769" s="318" t="s">
        <v>237</v>
      </c>
    </row>
    <row r="770" spans="1:2" ht="12.75" customHeight="1" x14ac:dyDescent="0.25">
      <c r="A770" s="318">
        <v>90966676925</v>
      </c>
      <c r="B770" s="318" t="s">
        <v>237</v>
      </c>
    </row>
    <row r="771" spans="1:2" ht="12.75" customHeight="1" x14ac:dyDescent="0.25">
      <c r="A771" s="318">
        <v>90966676926</v>
      </c>
      <c r="B771" s="318" t="s">
        <v>237</v>
      </c>
    </row>
    <row r="772" spans="1:2" ht="12.75" customHeight="1" x14ac:dyDescent="0.25">
      <c r="A772" s="318">
        <v>90966676927</v>
      </c>
      <c r="B772" s="318" t="s">
        <v>237</v>
      </c>
    </row>
    <row r="773" spans="1:2" ht="12.75" customHeight="1" x14ac:dyDescent="0.25">
      <c r="A773" s="318">
        <v>90966676928</v>
      </c>
      <c r="B773" s="318" t="s">
        <v>237</v>
      </c>
    </row>
    <row r="774" spans="1:2" ht="12.75" customHeight="1" x14ac:dyDescent="0.25">
      <c r="A774" s="318">
        <v>90967157785</v>
      </c>
      <c r="B774" s="318" t="s">
        <v>23</v>
      </c>
    </row>
    <row r="775" spans="1:2" ht="12.75" customHeight="1" x14ac:dyDescent="0.25">
      <c r="A775" s="318">
        <v>90967157786</v>
      </c>
      <c r="B775" s="318" t="s">
        <v>23</v>
      </c>
    </row>
    <row r="776" spans="1:2" ht="12.75" customHeight="1" x14ac:dyDescent="0.25">
      <c r="A776" s="318">
        <v>90967157787</v>
      </c>
      <c r="B776" s="318" t="s">
        <v>23</v>
      </c>
    </row>
    <row r="777" spans="1:2" ht="12.75" customHeight="1" x14ac:dyDescent="0.25">
      <c r="A777" s="318">
        <v>90967157788</v>
      </c>
      <c r="B777" s="318" t="s">
        <v>23</v>
      </c>
    </row>
    <row r="778" spans="1:2" ht="12.75" customHeight="1" x14ac:dyDescent="0.25">
      <c r="A778" s="318">
        <v>90967157789</v>
      </c>
      <c r="B778" s="318" t="s">
        <v>23</v>
      </c>
    </row>
    <row r="779" spans="1:2" ht="12.75" customHeight="1" x14ac:dyDescent="0.25">
      <c r="A779" s="318">
        <v>90967157790</v>
      </c>
      <c r="B779" s="318" t="s">
        <v>23</v>
      </c>
    </row>
    <row r="780" spans="1:2" ht="12.75" customHeight="1" x14ac:dyDescent="0.25">
      <c r="A780" s="318">
        <v>90967157791</v>
      </c>
      <c r="B780" s="318" t="s">
        <v>23</v>
      </c>
    </row>
    <row r="781" spans="1:2" ht="12.75" customHeight="1" x14ac:dyDescent="0.25">
      <c r="A781" s="318">
        <v>90967157792</v>
      </c>
      <c r="B781" s="318" t="s">
        <v>237</v>
      </c>
    </row>
    <row r="782" spans="1:2" ht="12.75" customHeight="1" x14ac:dyDescent="0.25">
      <c r="A782" s="318">
        <v>90967157794</v>
      </c>
      <c r="B782" s="318" t="s">
        <v>237</v>
      </c>
    </row>
    <row r="783" spans="1:2" ht="12.75" customHeight="1" x14ac:dyDescent="0.25">
      <c r="A783" s="318">
        <v>90967157795</v>
      </c>
      <c r="B783" s="318" t="s">
        <v>237</v>
      </c>
    </row>
    <row r="784" spans="1:2" ht="12.75" customHeight="1" x14ac:dyDescent="0.25">
      <c r="A784" s="318">
        <v>90967157796</v>
      </c>
      <c r="B784" s="318" t="s">
        <v>237</v>
      </c>
    </row>
    <row r="785" spans="1:2" ht="12.75" customHeight="1" x14ac:dyDescent="0.25">
      <c r="A785" s="318">
        <v>90967157797</v>
      </c>
      <c r="B785" s="318" t="s">
        <v>237</v>
      </c>
    </row>
    <row r="786" spans="1:2" ht="12.75" customHeight="1" x14ac:dyDescent="0.25">
      <c r="A786" s="318">
        <v>90967157798</v>
      </c>
      <c r="B786" s="318" t="s">
        <v>237</v>
      </c>
    </row>
    <row r="787" spans="1:2" ht="12.75" customHeight="1" x14ac:dyDescent="0.25">
      <c r="A787" s="318">
        <v>90967157799</v>
      </c>
      <c r="B787" s="318" t="s">
        <v>237</v>
      </c>
    </row>
    <row r="788" spans="1:2" ht="12.75" customHeight="1" x14ac:dyDescent="0.25">
      <c r="A788" s="318">
        <v>90967157800</v>
      </c>
      <c r="B788" s="318" t="s">
        <v>237</v>
      </c>
    </row>
    <row r="789" spans="1:2" ht="12.75" customHeight="1" x14ac:dyDescent="0.25">
      <c r="A789" s="318">
        <v>90967157801</v>
      </c>
      <c r="B789" s="318" t="s">
        <v>237</v>
      </c>
    </row>
    <row r="790" spans="1:2" ht="12.75" customHeight="1" x14ac:dyDescent="0.25">
      <c r="A790" s="318">
        <v>90967157885</v>
      </c>
      <c r="B790" s="318" t="s">
        <v>237</v>
      </c>
    </row>
    <row r="791" spans="1:2" ht="12.75" customHeight="1" x14ac:dyDescent="0.25">
      <c r="A791" s="318">
        <v>90967157886</v>
      </c>
      <c r="B791" s="318" t="s">
        <v>237</v>
      </c>
    </row>
    <row r="792" spans="1:2" ht="12.75" customHeight="1" x14ac:dyDescent="0.25">
      <c r="A792" s="318">
        <v>90967157887</v>
      </c>
      <c r="B792" s="318" t="s">
        <v>237</v>
      </c>
    </row>
    <row r="793" spans="1:2" ht="12.75" customHeight="1" x14ac:dyDescent="0.25">
      <c r="A793" s="318">
        <v>90967157888</v>
      </c>
      <c r="B793" s="318" t="s">
        <v>237</v>
      </c>
    </row>
    <row r="794" spans="1:2" ht="12.75" customHeight="1" x14ac:dyDescent="0.25">
      <c r="A794" s="318">
        <v>90967157889</v>
      </c>
      <c r="B794" s="318" t="s">
        <v>237</v>
      </c>
    </row>
    <row r="795" spans="1:2" ht="12.75" customHeight="1" x14ac:dyDescent="0.25">
      <c r="A795" s="318">
        <v>90967157890</v>
      </c>
      <c r="B795" s="318" t="s">
        <v>237</v>
      </c>
    </row>
    <row r="796" spans="1:2" ht="12.75" customHeight="1" x14ac:dyDescent="0.25">
      <c r="A796" s="318">
        <v>90967157891</v>
      </c>
      <c r="B796" s="318" t="s">
        <v>237</v>
      </c>
    </row>
    <row r="797" spans="1:2" ht="12.75" customHeight="1" x14ac:dyDescent="0.25">
      <c r="A797" s="318">
        <v>90967157892</v>
      </c>
      <c r="B797" s="318" t="s">
        <v>237</v>
      </c>
    </row>
    <row r="798" spans="1:2" ht="12.75" customHeight="1" x14ac:dyDescent="0.25">
      <c r="A798" s="318">
        <v>90967157894</v>
      </c>
      <c r="B798" s="318" t="s">
        <v>237</v>
      </c>
    </row>
    <row r="799" spans="1:2" ht="12.75" customHeight="1" x14ac:dyDescent="0.25">
      <c r="A799" s="318">
        <v>90967157895</v>
      </c>
      <c r="B799" s="318" t="s">
        <v>237</v>
      </c>
    </row>
    <row r="800" spans="1:2" ht="12.75" customHeight="1" x14ac:dyDescent="0.25">
      <c r="A800" s="318">
        <v>90967157896</v>
      </c>
      <c r="B800" s="318" t="s">
        <v>237</v>
      </c>
    </row>
    <row r="801" spans="1:2" ht="12.75" customHeight="1" x14ac:dyDescent="0.25">
      <c r="A801" s="318">
        <v>90967157897</v>
      </c>
      <c r="B801" s="318" t="s">
        <v>237</v>
      </c>
    </row>
    <row r="802" spans="1:2" ht="12.75" customHeight="1" x14ac:dyDescent="0.25">
      <c r="A802" s="318">
        <v>90967157898</v>
      </c>
      <c r="B802" s="318" t="s">
        <v>237</v>
      </c>
    </row>
    <row r="803" spans="1:2" ht="12.75" customHeight="1" x14ac:dyDescent="0.25">
      <c r="A803" s="318">
        <v>90967157899</v>
      </c>
      <c r="B803" s="318" t="s">
        <v>237</v>
      </c>
    </row>
    <row r="804" spans="1:2" ht="12.75" customHeight="1" x14ac:dyDescent="0.25">
      <c r="A804" s="318">
        <v>90967157900</v>
      </c>
      <c r="B804" s="318" t="s">
        <v>237</v>
      </c>
    </row>
    <row r="805" spans="1:2" ht="12.75" customHeight="1" x14ac:dyDescent="0.25">
      <c r="A805" s="318">
        <v>90967157901</v>
      </c>
      <c r="B805" s="318" t="s">
        <v>237</v>
      </c>
    </row>
    <row r="806" spans="1:2" ht="12.75" customHeight="1" x14ac:dyDescent="0.25">
      <c r="A806" s="318">
        <v>90967638758</v>
      </c>
      <c r="B806" s="318" t="s">
        <v>23</v>
      </c>
    </row>
    <row r="807" spans="1:2" ht="12.75" customHeight="1" x14ac:dyDescent="0.25">
      <c r="A807" s="318">
        <v>90967638759</v>
      </c>
      <c r="B807" s="318" t="s">
        <v>23</v>
      </c>
    </row>
    <row r="808" spans="1:2" ht="12.75" customHeight="1" x14ac:dyDescent="0.25">
      <c r="A808" s="318">
        <v>90967638760</v>
      </c>
      <c r="B808" s="318" t="s">
        <v>23</v>
      </c>
    </row>
    <row r="809" spans="1:2" ht="12.75" customHeight="1" x14ac:dyDescent="0.25">
      <c r="A809" s="318">
        <v>90967638761</v>
      </c>
      <c r="B809" s="318" t="s">
        <v>23</v>
      </c>
    </row>
    <row r="810" spans="1:2" ht="12.75" customHeight="1" x14ac:dyDescent="0.25">
      <c r="A810" s="318">
        <v>90967638762</v>
      </c>
      <c r="B810" s="318" t="s">
        <v>23</v>
      </c>
    </row>
    <row r="811" spans="1:2" ht="12.75" customHeight="1" x14ac:dyDescent="0.25">
      <c r="A811" s="318">
        <v>90967638763</v>
      </c>
      <c r="B811" s="318" t="s">
        <v>23</v>
      </c>
    </row>
    <row r="812" spans="1:2" ht="12.75" customHeight="1" x14ac:dyDescent="0.25">
      <c r="A812" s="318">
        <v>90967638764</v>
      </c>
      <c r="B812" s="318" t="s">
        <v>23</v>
      </c>
    </row>
    <row r="813" spans="1:2" ht="12.75" customHeight="1" x14ac:dyDescent="0.25">
      <c r="A813" s="318">
        <v>90967638765</v>
      </c>
      <c r="B813" s="318" t="s">
        <v>237</v>
      </c>
    </row>
    <row r="814" spans="1:2" ht="12.75" customHeight="1" x14ac:dyDescent="0.25">
      <c r="A814" s="318">
        <v>90967638767</v>
      </c>
      <c r="B814" s="318" t="s">
        <v>23</v>
      </c>
    </row>
    <row r="815" spans="1:2" ht="12.75" customHeight="1" x14ac:dyDescent="0.25">
      <c r="A815" s="318">
        <v>90967638768</v>
      </c>
      <c r="B815" s="318" t="s">
        <v>237</v>
      </c>
    </row>
    <row r="816" spans="1:2" ht="12.75" customHeight="1" x14ac:dyDescent="0.25">
      <c r="A816" s="318">
        <v>90967638769</v>
      </c>
      <c r="B816" s="318" t="s">
        <v>23</v>
      </c>
    </row>
    <row r="817" spans="1:2" ht="12.75" customHeight="1" x14ac:dyDescent="0.25">
      <c r="A817" s="318">
        <v>90967638770</v>
      </c>
      <c r="B817" s="318" t="s">
        <v>237</v>
      </c>
    </row>
    <row r="818" spans="1:2" ht="12.75" customHeight="1" x14ac:dyDescent="0.25">
      <c r="A818" s="318">
        <v>90967638771</v>
      </c>
      <c r="B818" s="318" t="s">
        <v>23</v>
      </c>
    </row>
    <row r="819" spans="1:2" ht="12.75" customHeight="1" x14ac:dyDescent="0.25">
      <c r="A819" s="318">
        <v>90967638772</v>
      </c>
      <c r="B819" s="318" t="s">
        <v>237</v>
      </c>
    </row>
    <row r="820" spans="1:2" ht="12.75" customHeight="1" x14ac:dyDescent="0.25">
      <c r="A820" s="318">
        <v>90967638773</v>
      </c>
      <c r="B820" s="318" t="s">
        <v>23</v>
      </c>
    </row>
    <row r="821" spans="1:2" ht="12.75" customHeight="1" x14ac:dyDescent="0.25">
      <c r="A821" s="318">
        <v>90967638774</v>
      </c>
      <c r="B821" s="318" t="s">
        <v>237</v>
      </c>
    </row>
    <row r="822" spans="1:2" ht="12.75" customHeight="1" x14ac:dyDescent="0.25">
      <c r="A822" s="318">
        <v>90967638858</v>
      </c>
      <c r="B822" s="318" t="s">
        <v>237</v>
      </c>
    </row>
    <row r="823" spans="1:2" ht="12.75" customHeight="1" x14ac:dyDescent="0.25">
      <c r="A823" s="318">
        <v>90967638859</v>
      </c>
      <c r="B823" s="318" t="s">
        <v>237</v>
      </c>
    </row>
    <row r="824" spans="1:2" ht="12.75" customHeight="1" x14ac:dyDescent="0.25">
      <c r="A824" s="318">
        <v>90967638860</v>
      </c>
      <c r="B824" s="318" t="s">
        <v>237</v>
      </c>
    </row>
    <row r="825" spans="1:2" ht="12.75" customHeight="1" x14ac:dyDescent="0.25">
      <c r="A825" s="318">
        <v>90967638861</v>
      </c>
      <c r="B825" s="318" t="s">
        <v>237</v>
      </c>
    </row>
    <row r="826" spans="1:2" ht="12.75" customHeight="1" x14ac:dyDescent="0.25">
      <c r="A826" s="318">
        <v>90967638862</v>
      </c>
      <c r="B826" s="318" t="s">
        <v>237</v>
      </c>
    </row>
    <row r="827" spans="1:2" ht="12.75" customHeight="1" x14ac:dyDescent="0.25">
      <c r="A827" s="318">
        <v>90967638863</v>
      </c>
      <c r="B827" s="318" t="s">
        <v>237</v>
      </c>
    </row>
    <row r="828" spans="1:2" ht="12.75" customHeight="1" x14ac:dyDescent="0.25">
      <c r="A828" s="318">
        <v>90967638864</v>
      </c>
      <c r="B828" s="318" t="s">
        <v>237</v>
      </c>
    </row>
    <row r="829" spans="1:2" ht="12.75" customHeight="1" x14ac:dyDescent="0.25">
      <c r="A829" s="318">
        <v>90967638865</v>
      </c>
      <c r="B829" s="318" t="s">
        <v>237</v>
      </c>
    </row>
    <row r="830" spans="1:2" ht="12.75" customHeight="1" x14ac:dyDescent="0.25">
      <c r="A830" s="318">
        <v>90967638867</v>
      </c>
      <c r="B830" s="318" t="s">
        <v>237</v>
      </c>
    </row>
    <row r="831" spans="1:2" ht="12.75" customHeight="1" x14ac:dyDescent="0.25">
      <c r="A831" s="318">
        <v>90967638868</v>
      </c>
      <c r="B831" s="318" t="s">
        <v>237</v>
      </c>
    </row>
    <row r="832" spans="1:2" ht="12.75" customHeight="1" x14ac:dyDescent="0.25">
      <c r="A832" s="318">
        <v>90967638869</v>
      </c>
      <c r="B832" s="318" t="s">
        <v>237</v>
      </c>
    </row>
    <row r="833" spans="1:2" ht="12.75" customHeight="1" x14ac:dyDescent="0.25">
      <c r="A833" s="318">
        <v>90967638870</v>
      </c>
      <c r="B833" s="318" t="s">
        <v>237</v>
      </c>
    </row>
    <row r="834" spans="1:2" ht="12.75" customHeight="1" x14ac:dyDescent="0.25">
      <c r="A834" s="318">
        <v>90967638871</v>
      </c>
      <c r="B834" s="318" t="s">
        <v>237</v>
      </c>
    </row>
    <row r="835" spans="1:2" ht="12.75" customHeight="1" x14ac:dyDescent="0.25">
      <c r="A835" s="318">
        <v>90967638872</v>
      </c>
      <c r="B835" s="318" t="s">
        <v>237</v>
      </c>
    </row>
    <row r="836" spans="1:2" ht="12.75" customHeight="1" x14ac:dyDescent="0.25">
      <c r="A836" s="318">
        <v>90967638873</v>
      </c>
      <c r="B836" s="318" t="s">
        <v>237</v>
      </c>
    </row>
    <row r="837" spans="1:2" ht="12.75" customHeight="1" x14ac:dyDescent="0.25">
      <c r="A837" s="318">
        <v>90967638874</v>
      </c>
      <c r="B837" s="318" t="s">
        <v>237</v>
      </c>
    </row>
    <row r="838" spans="1:2" ht="12.75" customHeight="1" x14ac:dyDescent="0.25">
      <c r="A838" s="318">
        <v>90968318949</v>
      </c>
      <c r="B838" s="318" t="s">
        <v>23</v>
      </c>
    </row>
    <row r="839" spans="1:2" ht="12.75" customHeight="1" x14ac:dyDescent="0.25">
      <c r="A839" s="318">
        <v>90968318950</v>
      </c>
      <c r="B839" s="318" t="s">
        <v>23</v>
      </c>
    </row>
    <row r="840" spans="1:2" ht="12.75" customHeight="1" x14ac:dyDescent="0.25">
      <c r="A840" s="318">
        <v>90968318951</v>
      </c>
      <c r="B840" s="318" t="s">
        <v>23</v>
      </c>
    </row>
    <row r="841" spans="1:2" ht="12.75" customHeight="1" x14ac:dyDescent="0.25">
      <c r="A841" s="318">
        <v>90968318952</v>
      </c>
      <c r="B841" s="318" t="s">
        <v>23</v>
      </c>
    </row>
    <row r="842" spans="1:2" ht="12.75" customHeight="1" x14ac:dyDescent="0.25">
      <c r="A842" s="318">
        <v>90968318953</v>
      </c>
      <c r="B842" s="318" t="s">
        <v>23</v>
      </c>
    </row>
    <row r="843" spans="1:2" ht="12.75" customHeight="1" x14ac:dyDescent="0.25">
      <c r="A843" s="318">
        <v>90968318954</v>
      </c>
      <c r="B843" s="318" t="s">
        <v>23</v>
      </c>
    </row>
    <row r="844" spans="1:2" ht="12.75" customHeight="1" x14ac:dyDescent="0.25">
      <c r="A844" s="318">
        <v>90968318955</v>
      </c>
      <c r="B844" s="318" t="s">
        <v>23</v>
      </c>
    </row>
    <row r="845" spans="1:2" ht="12.75" customHeight="1" x14ac:dyDescent="0.25">
      <c r="A845" s="318">
        <v>90968318956</v>
      </c>
      <c r="B845" s="318" t="s">
        <v>237</v>
      </c>
    </row>
    <row r="846" spans="1:2" ht="12.75" customHeight="1" x14ac:dyDescent="0.25">
      <c r="A846" s="318">
        <v>90968318958</v>
      </c>
      <c r="B846" s="318" t="s">
        <v>237</v>
      </c>
    </row>
    <row r="847" spans="1:2" ht="12.75" customHeight="1" x14ac:dyDescent="0.25">
      <c r="A847" s="318">
        <v>90968318959</v>
      </c>
      <c r="B847" s="318" t="s">
        <v>237</v>
      </c>
    </row>
    <row r="848" spans="1:2" ht="12.75" customHeight="1" x14ac:dyDescent="0.25">
      <c r="A848" s="318">
        <v>90968318960</v>
      </c>
      <c r="B848" s="318" t="s">
        <v>237</v>
      </c>
    </row>
    <row r="849" spans="1:2" ht="12.75" customHeight="1" x14ac:dyDescent="0.25">
      <c r="A849" s="318">
        <v>90968318961</v>
      </c>
      <c r="B849" s="318" t="s">
        <v>237</v>
      </c>
    </row>
    <row r="850" spans="1:2" ht="12.75" customHeight="1" x14ac:dyDescent="0.25">
      <c r="A850" s="318">
        <v>90968318962</v>
      </c>
      <c r="B850" s="318" t="s">
        <v>237</v>
      </c>
    </row>
    <row r="851" spans="1:2" ht="12.75" customHeight="1" x14ac:dyDescent="0.25">
      <c r="A851" s="318">
        <v>90968318963</v>
      </c>
      <c r="B851" s="318" t="s">
        <v>237</v>
      </c>
    </row>
    <row r="852" spans="1:2" ht="12.75" customHeight="1" x14ac:dyDescent="0.25">
      <c r="A852" s="318">
        <v>90968318964</v>
      </c>
      <c r="B852" s="318" t="s">
        <v>237</v>
      </c>
    </row>
    <row r="853" spans="1:2" ht="12.75" customHeight="1" x14ac:dyDescent="0.25">
      <c r="A853" s="318">
        <v>90968318965</v>
      </c>
      <c r="B853" s="318" t="s">
        <v>237</v>
      </c>
    </row>
    <row r="854" spans="1:2" ht="12.75" customHeight="1" x14ac:dyDescent="0.25">
      <c r="A854" s="318">
        <v>90968319049</v>
      </c>
      <c r="B854" s="318" t="s">
        <v>237</v>
      </c>
    </row>
    <row r="855" spans="1:2" ht="12.75" customHeight="1" x14ac:dyDescent="0.25">
      <c r="A855" s="318">
        <v>90968319050</v>
      </c>
      <c r="B855" s="318" t="s">
        <v>237</v>
      </c>
    </row>
    <row r="856" spans="1:2" ht="12.75" customHeight="1" x14ac:dyDescent="0.25">
      <c r="A856" s="318">
        <v>90968319051</v>
      </c>
      <c r="B856" s="318" t="s">
        <v>237</v>
      </c>
    </row>
    <row r="857" spans="1:2" ht="12.75" customHeight="1" x14ac:dyDescent="0.25">
      <c r="A857" s="318">
        <v>90968319052</v>
      </c>
      <c r="B857" s="318" t="s">
        <v>237</v>
      </c>
    </row>
    <row r="858" spans="1:2" ht="12.75" customHeight="1" x14ac:dyDescent="0.25">
      <c r="A858" s="318">
        <v>90968319053</v>
      </c>
      <c r="B858" s="318" t="s">
        <v>237</v>
      </c>
    </row>
    <row r="859" spans="1:2" ht="12.75" customHeight="1" x14ac:dyDescent="0.25">
      <c r="A859" s="318">
        <v>90968319054</v>
      </c>
      <c r="B859" s="318" t="s">
        <v>237</v>
      </c>
    </row>
    <row r="860" spans="1:2" ht="12.75" customHeight="1" x14ac:dyDescent="0.25">
      <c r="A860" s="318">
        <v>90968319055</v>
      </c>
      <c r="B860" s="318" t="s">
        <v>237</v>
      </c>
    </row>
    <row r="861" spans="1:2" ht="12.75" customHeight="1" x14ac:dyDescent="0.25">
      <c r="A861" s="318">
        <v>90968319056</v>
      </c>
      <c r="B861" s="318" t="s">
        <v>237</v>
      </c>
    </row>
    <row r="862" spans="1:2" ht="12.75" customHeight="1" x14ac:dyDescent="0.25">
      <c r="A862" s="318">
        <v>90968319058</v>
      </c>
      <c r="B862" s="318" t="s">
        <v>237</v>
      </c>
    </row>
    <row r="863" spans="1:2" ht="12.75" customHeight="1" x14ac:dyDescent="0.25">
      <c r="A863" s="318">
        <v>90968319059</v>
      </c>
      <c r="B863" s="318" t="s">
        <v>237</v>
      </c>
    </row>
    <row r="864" spans="1:2" ht="12.75" customHeight="1" x14ac:dyDescent="0.25">
      <c r="A864" s="318">
        <v>90968319060</v>
      </c>
      <c r="B864" s="318" t="s">
        <v>237</v>
      </c>
    </row>
    <row r="865" spans="1:2" ht="12.75" customHeight="1" x14ac:dyDescent="0.25">
      <c r="A865" s="318">
        <v>90968319061</v>
      </c>
      <c r="B865" s="318" t="s">
        <v>237</v>
      </c>
    </row>
    <row r="866" spans="1:2" ht="12.75" customHeight="1" x14ac:dyDescent="0.25">
      <c r="A866" s="318">
        <v>90968319062</v>
      </c>
      <c r="B866" s="318" t="s">
        <v>237</v>
      </c>
    </row>
    <row r="867" spans="1:2" ht="12.75" customHeight="1" x14ac:dyDescent="0.25">
      <c r="A867" s="318">
        <v>90968319063</v>
      </c>
      <c r="B867" s="318" t="s">
        <v>237</v>
      </c>
    </row>
    <row r="868" spans="1:2" ht="12.75" customHeight="1" x14ac:dyDescent="0.25">
      <c r="A868" s="318">
        <v>90968319064</v>
      </c>
      <c r="B868" s="318" t="s">
        <v>237</v>
      </c>
    </row>
    <row r="869" spans="1:2" ht="12.75" customHeight="1" x14ac:dyDescent="0.25">
      <c r="A869" s="318">
        <v>90968319065</v>
      </c>
      <c r="B869" s="318" t="s">
        <v>237</v>
      </c>
    </row>
    <row r="870" spans="1:2" ht="12.75" customHeight="1" x14ac:dyDescent="0.25">
      <c r="A870" s="318">
        <v>90968799922</v>
      </c>
      <c r="B870" s="318" t="s">
        <v>23</v>
      </c>
    </row>
    <row r="871" spans="1:2" ht="12.75" customHeight="1" x14ac:dyDescent="0.25">
      <c r="A871" s="318">
        <v>90968799923</v>
      </c>
      <c r="B871" s="318" t="s">
        <v>23</v>
      </c>
    </row>
    <row r="872" spans="1:2" ht="12.75" customHeight="1" x14ac:dyDescent="0.25">
      <c r="A872" s="318">
        <v>90968799924</v>
      </c>
      <c r="B872" s="318" t="s">
        <v>23</v>
      </c>
    </row>
    <row r="873" spans="1:2" ht="12.75" customHeight="1" x14ac:dyDescent="0.25">
      <c r="A873" s="318">
        <v>90968799925</v>
      </c>
      <c r="B873" s="318" t="s">
        <v>23</v>
      </c>
    </row>
    <row r="874" spans="1:2" ht="12.75" customHeight="1" x14ac:dyDescent="0.25">
      <c r="A874" s="318">
        <v>90968799926</v>
      </c>
      <c r="B874" s="318" t="s">
        <v>23</v>
      </c>
    </row>
    <row r="875" spans="1:2" ht="12.75" customHeight="1" x14ac:dyDescent="0.25">
      <c r="A875" s="318">
        <v>90968799927</v>
      </c>
      <c r="B875" s="318" t="s">
        <v>23</v>
      </c>
    </row>
    <row r="876" spans="1:2" ht="12.75" customHeight="1" x14ac:dyDescent="0.25">
      <c r="A876" s="318">
        <v>90968799928</v>
      </c>
      <c r="B876" s="318" t="s">
        <v>23</v>
      </c>
    </row>
    <row r="877" spans="1:2" ht="12.75" customHeight="1" x14ac:dyDescent="0.25">
      <c r="A877" s="318">
        <v>90968799929</v>
      </c>
      <c r="B877" s="318" t="s">
        <v>237</v>
      </c>
    </row>
    <row r="878" spans="1:2" ht="12.75" customHeight="1" x14ac:dyDescent="0.25">
      <c r="A878" s="318">
        <v>90968799931</v>
      </c>
      <c r="B878" s="318" t="s">
        <v>237</v>
      </c>
    </row>
    <row r="879" spans="1:2" ht="12.75" customHeight="1" x14ac:dyDescent="0.25">
      <c r="A879" s="318">
        <v>90968799932</v>
      </c>
      <c r="B879" s="318" t="s">
        <v>237</v>
      </c>
    </row>
    <row r="880" spans="1:2" ht="12.75" customHeight="1" x14ac:dyDescent="0.25">
      <c r="A880" s="318">
        <v>90968799933</v>
      </c>
      <c r="B880" s="318" t="s">
        <v>237</v>
      </c>
    </row>
    <row r="881" spans="1:2" ht="12.75" customHeight="1" x14ac:dyDescent="0.25">
      <c r="A881" s="318">
        <v>90968799934</v>
      </c>
      <c r="B881" s="318" t="s">
        <v>237</v>
      </c>
    </row>
    <row r="882" spans="1:2" ht="12.75" customHeight="1" x14ac:dyDescent="0.25">
      <c r="A882" s="318">
        <v>90968799935</v>
      </c>
      <c r="B882" s="318" t="s">
        <v>237</v>
      </c>
    </row>
    <row r="883" spans="1:2" ht="12.75" customHeight="1" x14ac:dyDescent="0.25">
      <c r="A883" s="318">
        <v>90968799936</v>
      </c>
      <c r="B883" s="318" t="s">
        <v>237</v>
      </c>
    </row>
    <row r="884" spans="1:2" ht="12.75" customHeight="1" x14ac:dyDescent="0.25">
      <c r="A884" s="318">
        <v>90968799937</v>
      </c>
      <c r="B884" s="318" t="s">
        <v>237</v>
      </c>
    </row>
    <row r="885" spans="1:2" ht="12.75" customHeight="1" x14ac:dyDescent="0.25">
      <c r="A885" s="318">
        <v>90968799938</v>
      </c>
      <c r="B885" s="318" t="s">
        <v>237</v>
      </c>
    </row>
    <row r="886" spans="1:2" ht="12.75" customHeight="1" x14ac:dyDescent="0.25">
      <c r="A886" s="318">
        <v>90968800022</v>
      </c>
      <c r="B886" s="318" t="s">
        <v>237</v>
      </c>
    </row>
    <row r="887" spans="1:2" ht="12.75" customHeight="1" x14ac:dyDescent="0.25">
      <c r="A887" s="318">
        <v>90968800023</v>
      </c>
      <c r="B887" s="318" t="s">
        <v>237</v>
      </c>
    </row>
    <row r="888" spans="1:2" ht="12.75" customHeight="1" x14ac:dyDescent="0.25">
      <c r="A888" s="318">
        <v>90968800024</v>
      </c>
      <c r="B888" s="318" t="s">
        <v>237</v>
      </c>
    </row>
    <row r="889" spans="1:2" ht="12.75" customHeight="1" x14ac:dyDescent="0.25">
      <c r="A889" s="318">
        <v>90968800025</v>
      </c>
      <c r="B889" s="318" t="s">
        <v>237</v>
      </c>
    </row>
    <row r="890" spans="1:2" ht="12.75" customHeight="1" x14ac:dyDescent="0.25">
      <c r="A890" s="318">
        <v>90968800026</v>
      </c>
      <c r="B890" s="318" t="s">
        <v>237</v>
      </c>
    </row>
    <row r="891" spans="1:2" ht="12.75" customHeight="1" x14ac:dyDescent="0.25">
      <c r="A891" s="318">
        <v>90968800027</v>
      </c>
      <c r="B891" s="318" t="s">
        <v>237</v>
      </c>
    </row>
    <row r="892" spans="1:2" ht="12.75" customHeight="1" x14ac:dyDescent="0.25">
      <c r="A892" s="318">
        <v>90968800028</v>
      </c>
      <c r="B892" s="318" t="s">
        <v>237</v>
      </c>
    </row>
    <row r="893" spans="1:2" ht="12.75" customHeight="1" x14ac:dyDescent="0.25">
      <c r="A893" s="318">
        <v>90968800029</v>
      </c>
      <c r="B893" s="318" t="s">
        <v>237</v>
      </c>
    </row>
    <row r="894" spans="1:2" ht="12.75" customHeight="1" x14ac:dyDescent="0.25">
      <c r="A894" s="318">
        <v>90968800031</v>
      </c>
      <c r="B894" s="318" t="s">
        <v>237</v>
      </c>
    </row>
    <row r="895" spans="1:2" ht="12.75" customHeight="1" x14ac:dyDescent="0.25">
      <c r="A895" s="318">
        <v>90968800032</v>
      </c>
      <c r="B895" s="318" t="s">
        <v>237</v>
      </c>
    </row>
    <row r="896" spans="1:2" ht="12.75" customHeight="1" x14ac:dyDescent="0.25">
      <c r="A896" s="318">
        <v>90968800033</v>
      </c>
      <c r="B896" s="318" t="s">
        <v>237</v>
      </c>
    </row>
    <row r="897" spans="1:2" ht="12.75" customHeight="1" x14ac:dyDescent="0.25">
      <c r="A897" s="318">
        <v>90968800034</v>
      </c>
      <c r="B897" s="318" t="s">
        <v>237</v>
      </c>
    </row>
    <row r="898" spans="1:2" ht="12.75" customHeight="1" x14ac:dyDescent="0.25">
      <c r="A898" s="318">
        <v>90968800035</v>
      </c>
      <c r="B898" s="318" t="s">
        <v>237</v>
      </c>
    </row>
    <row r="899" spans="1:2" ht="12.75" customHeight="1" x14ac:dyDescent="0.25">
      <c r="A899" s="318">
        <v>90968800036</v>
      </c>
      <c r="B899" s="318" t="s">
        <v>237</v>
      </c>
    </row>
    <row r="900" spans="1:2" ht="12.75" customHeight="1" x14ac:dyDescent="0.25">
      <c r="A900" s="318">
        <v>90968800037</v>
      </c>
      <c r="B900" s="318" t="s">
        <v>237</v>
      </c>
    </row>
    <row r="901" spans="1:2" ht="12.75" customHeight="1" x14ac:dyDescent="0.25">
      <c r="A901" s="318">
        <v>90968800038</v>
      </c>
      <c r="B901" s="318" t="s">
        <v>237</v>
      </c>
    </row>
    <row r="902" spans="1:2" ht="12.75" customHeight="1" x14ac:dyDescent="0.25">
      <c r="A902" s="318">
        <v>90969280895</v>
      </c>
      <c r="B902" s="318" t="s">
        <v>23</v>
      </c>
    </row>
    <row r="903" spans="1:2" ht="12.75" customHeight="1" x14ac:dyDescent="0.25">
      <c r="A903" s="318">
        <v>90969280896</v>
      </c>
      <c r="B903" s="318" t="s">
        <v>23</v>
      </c>
    </row>
    <row r="904" spans="1:2" ht="12.75" customHeight="1" x14ac:dyDescent="0.25">
      <c r="A904" s="318">
        <v>90969280897</v>
      </c>
      <c r="B904" s="318" t="s">
        <v>23</v>
      </c>
    </row>
    <row r="905" spans="1:2" ht="12.75" customHeight="1" x14ac:dyDescent="0.25">
      <c r="A905" s="318">
        <v>90969280898</v>
      </c>
      <c r="B905" s="318" t="s">
        <v>23</v>
      </c>
    </row>
    <row r="906" spans="1:2" ht="12.75" customHeight="1" x14ac:dyDescent="0.25">
      <c r="A906" s="318">
        <v>90969280899</v>
      </c>
      <c r="B906" s="318" t="s">
        <v>23</v>
      </c>
    </row>
    <row r="907" spans="1:2" ht="12.75" customHeight="1" x14ac:dyDescent="0.25">
      <c r="A907" s="318">
        <v>90969280900</v>
      </c>
      <c r="B907" s="318" t="s">
        <v>23</v>
      </c>
    </row>
    <row r="908" spans="1:2" ht="12.75" customHeight="1" x14ac:dyDescent="0.25">
      <c r="A908" s="318">
        <v>90969280901</v>
      </c>
      <c r="B908" s="318" t="s">
        <v>23</v>
      </c>
    </row>
    <row r="909" spans="1:2" ht="12.75" customHeight="1" x14ac:dyDescent="0.25">
      <c r="A909" s="318">
        <v>90969280902</v>
      </c>
      <c r="B909" s="318" t="s">
        <v>237</v>
      </c>
    </row>
    <row r="910" spans="1:2" ht="12.75" customHeight="1" x14ac:dyDescent="0.25">
      <c r="A910" s="318">
        <v>90969280904</v>
      </c>
      <c r="B910" s="318" t="s">
        <v>23</v>
      </c>
    </row>
    <row r="911" spans="1:2" ht="12.75" customHeight="1" x14ac:dyDescent="0.25">
      <c r="A911" s="318">
        <v>90969280905</v>
      </c>
      <c r="B911" s="318" t="s">
        <v>237</v>
      </c>
    </row>
    <row r="912" spans="1:2" ht="12.75" customHeight="1" x14ac:dyDescent="0.25">
      <c r="A912" s="318">
        <v>90969280906</v>
      </c>
      <c r="B912" s="318" t="s">
        <v>23</v>
      </c>
    </row>
    <row r="913" spans="1:2" ht="12.75" customHeight="1" x14ac:dyDescent="0.25">
      <c r="A913" s="318">
        <v>90969280907</v>
      </c>
      <c r="B913" s="318" t="s">
        <v>237</v>
      </c>
    </row>
    <row r="914" spans="1:2" ht="12.75" customHeight="1" x14ac:dyDescent="0.25">
      <c r="A914" s="318">
        <v>90969280908</v>
      </c>
      <c r="B914" s="318" t="s">
        <v>23</v>
      </c>
    </row>
    <row r="915" spans="1:2" ht="12.75" customHeight="1" x14ac:dyDescent="0.25">
      <c r="A915" s="318">
        <v>90969280909</v>
      </c>
      <c r="B915" s="318" t="s">
        <v>237</v>
      </c>
    </row>
    <row r="916" spans="1:2" ht="12.75" customHeight="1" x14ac:dyDescent="0.25">
      <c r="A916" s="318">
        <v>90969280910</v>
      </c>
      <c r="B916" s="318" t="s">
        <v>23</v>
      </c>
    </row>
    <row r="917" spans="1:2" ht="12.75" customHeight="1" x14ac:dyDescent="0.25">
      <c r="A917" s="318">
        <v>90969280911</v>
      </c>
      <c r="B917" s="318" t="s">
        <v>237</v>
      </c>
    </row>
    <row r="918" spans="1:2" ht="12.75" customHeight="1" x14ac:dyDescent="0.25">
      <c r="A918" s="318">
        <v>90969280995</v>
      </c>
      <c r="B918" s="318" t="s">
        <v>237</v>
      </c>
    </row>
    <row r="919" spans="1:2" ht="12.75" customHeight="1" x14ac:dyDescent="0.25">
      <c r="A919" s="318">
        <v>90969280996</v>
      </c>
      <c r="B919" s="318" t="s">
        <v>237</v>
      </c>
    </row>
    <row r="920" spans="1:2" ht="12.75" customHeight="1" x14ac:dyDescent="0.25">
      <c r="A920" s="318">
        <v>90969280997</v>
      </c>
      <c r="B920" s="318" t="s">
        <v>237</v>
      </c>
    </row>
    <row r="921" spans="1:2" ht="12.75" customHeight="1" x14ac:dyDescent="0.25">
      <c r="A921" s="318">
        <v>90969280998</v>
      </c>
      <c r="B921" s="318" t="s">
        <v>237</v>
      </c>
    </row>
    <row r="922" spans="1:2" ht="12.75" customHeight="1" x14ac:dyDescent="0.25">
      <c r="A922" s="318">
        <v>90969280999</v>
      </c>
      <c r="B922" s="318" t="s">
        <v>237</v>
      </c>
    </row>
    <row r="923" spans="1:2" ht="12.75" customHeight="1" x14ac:dyDescent="0.25">
      <c r="A923" s="318">
        <v>90969281000</v>
      </c>
      <c r="B923" s="318" t="s">
        <v>237</v>
      </c>
    </row>
    <row r="924" spans="1:2" ht="12.75" customHeight="1" x14ac:dyDescent="0.25">
      <c r="A924" s="318">
        <v>90969281001</v>
      </c>
      <c r="B924" s="318" t="s">
        <v>237</v>
      </c>
    </row>
    <row r="925" spans="1:2" ht="12.75" customHeight="1" x14ac:dyDescent="0.25">
      <c r="A925" s="318">
        <v>90969281002</v>
      </c>
      <c r="B925" s="318" t="s">
        <v>237</v>
      </c>
    </row>
    <row r="926" spans="1:2" ht="12.75" customHeight="1" x14ac:dyDescent="0.25">
      <c r="A926" s="318">
        <v>90969281004</v>
      </c>
      <c r="B926" s="318" t="s">
        <v>237</v>
      </c>
    </row>
    <row r="927" spans="1:2" ht="12.75" customHeight="1" x14ac:dyDescent="0.25">
      <c r="A927" s="318">
        <v>90969281005</v>
      </c>
      <c r="B927" s="318" t="s">
        <v>237</v>
      </c>
    </row>
    <row r="928" spans="1:2" ht="12.75" customHeight="1" x14ac:dyDescent="0.25">
      <c r="A928" s="318">
        <v>90969281006</v>
      </c>
      <c r="B928" s="318" t="s">
        <v>237</v>
      </c>
    </row>
    <row r="929" spans="1:2" ht="12.75" customHeight="1" x14ac:dyDescent="0.25">
      <c r="A929" s="318">
        <v>90969281007</v>
      </c>
      <c r="B929" s="318" t="s">
        <v>237</v>
      </c>
    </row>
    <row r="930" spans="1:2" ht="12.75" customHeight="1" x14ac:dyDescent="0.25">
      <c r="A930" s="318">
        <v>90969281008</v>
      </c>
      <c r="B930" s="318" t="s">
        <v>237</v>
      </c>
    </row>
    <row r="931" spans="1:2" ht="12.75" customHeight="1" x14ac:dyDescent="0.25">
      <c r="A931" s="318">
        <v>90969281009</v>
      </c>
      <c r="B931" s="318" t="s">
        <v>237</v>
      </c>
    </row>
    <row r="932" spans="1:2" ht="12.75" customHeight="1" x14ac:dyDescent="0.25">
      <c r="A932" s="318">
        <v>90969281010</v>
      </c>
      <c r="B932" s="318" t="s">
        <v>237</v>
      </c>
    </row>
    <row r="933" spans="1:2" ht="12.75" customHeight="1" x14ac:dyDescent="0.25">
      <c r="A933" s="318">
        <v>90969281011</v>
      </c>
      <c r="B933" s="318" t="s">
        <v>237</v>
      </c>
    </row>
    <row r="934" spans="1:2" ht="12.75" customHeight="1" x14ac:dyDescent="0.25">
      <c r="A934" s="318">
        <v>90969961086</v>
      </c>
      <c r="B934" s="318" t="s">
        <v>23</v>
      </c>
    </row>
    <row r="935" spans="1:2" ht="12.75" customHeight="1" x14ac:dyDescent="0.25">
      <c r="A935" s="318">
        <v>90969961087</v>
      </c>
      <c r="B935" s="318" t="s">
        <v>23</v>
      </c>
    </row>
    <row r="936" spans="1:2" ht="12.75" customHeight="1" x14ac:dyDescent="0.25">
      <c r="A936" s="318">
        <v>90969961088</v>
      </c>
      <c r="B936" s="318" t="s">
        <v>23</v>
      </c>
    </row>
    <row r="937" spans="1:2" ht="12.75" customHeight="1" x14ac:dyDescent="0.25">
      <c r="A937" s="318">
        <v>90969961089</v>
      </c>
      <c r="B937" s="318" t="s">
        <v>23</v>
      </c>
    </row>
    <row r="938" spans="1:2" ht="12.75" customHeight="1" x14ac:dyDescent="0.25">
      <c r="A938" s="318">
        <v>90969961090</v>
      </c>
      <c r="B938" s="318" t="s">
        <v>23</v>
      </c>
    </row>
    <row r="939" spans="1:2" ht="12.75" customHeight="1" x14ac:dyDescent="0.25">
      <c r="A939" s="318">
        <v>90969961091</v>
      </c>
      <c r="B939" s="318" t="s">
        <v>23</v>
      </c>
    </row>
    <row r="940" spans="1:2" ht="12.75" customHeight="1" x14ac:dyDescent="0.25">
      <c r="A940" s="318">
        <v>90969961092</v>
      </c>
      <c r="B940" s="318" t="s">
        <v>23</v>
      </c>
    </row>
    <row r="941" spans="1:2" ht="12.75" customHeight="1" x14ac:dyDescent="0.25">
      <c r="A941" s="318">
        <v>90969961093</v>
      </c>
      <c r="B941" s="318" t="s">
        <v>237</v>
      </c>
    </row>
    <row r="942" spans="1:2" ht="12.75" customHeight="1" x14ac:dyDescent="0.25">
      <c r="A942" s="318">
        <v>90969961095</v>
      </c>
      <c r="B942" s="318" t="s">
        <v>23</v>
      </c>
    </row>
    <row r="943" spans="1:2" ht="12.75" customHeight="1" x14ac:dyDescent="0.25">
      <c r="A943" s="318">
        <v>90969961096</v>
      </c>
      <c r="B943" s="318" t="s">
        <v>237</v>
      </c>
    </row>
    <row r="944" spans="1:2" ht="12.75" customHeight="1" x14ac:dyDescent="0.25">
      <c r="A944" s="318">
        <v>90969961097</v>
      </c>
      <c r="B944" s="318" t="s">
        <v>23</v>
      </c>
    </row>
    <row r="945" spans="1:2" ht="12.75" customHeight="1" x14ac:dyDescent="0.25">
      <c r="A945" s="318">
        <v>90969961098</v>
      </c>
      <c r="B945" s="318" t="s">
        <v>237</v>
      </c>
    </row>
    <row r="946" spans="1:2" ht="12.75" customHeight="1" x14ac:dyDescent="0.25">
      <c r="A946" s="318">
        <v>90969961099</v>
      </c>
      <c r="B946" s="318" t="s">
        <v>23</v>
      </c>
    </row>
    <row r="947" spans="1:2" ht="12.75" customHeight="1" x14ac:dyDescent="0.25">
      <c r="A947" s="318">
        <v>90969961100</v>
      </c>
      <c r="B947" s="318" t="s">
        <v>237</v>
      </c>
    </row>
    <row r="948" spans="1:2" ht="12.75" customHeight="1" x14ac:dyDescent="0.25">
      <c r="A948" s="318">
        <v>90969961101</v>
      </c>
      <c r="B948" s="318" t="s">
        <v>23</v>
      </c>
    </row>
    <row r="949" spans="1:2" ht="12.75" customHeight="1" x14ac:dyDescent="0.25">
      <c r="A949" s="318">
        <v>90969961102</v>
      </c>
      <c r="B949" s="318" t="s">
        <v>237</v>
      </c>
    </row>
    <row r="950" spans="1:2" ht="12.75" customHeight="1" x14ac:dyDescent="0.25">
      <c r="A950" s="318">
        <v>90969961186</v>
      </c>
      <c r="B950" s="318" t="s">
        <v>237</v>
      </c>
    </row>
    <row r="951" spans="1:2" ht="12.75" customHeight="1" x14ac:dyDescent="0.25">
      <c r="A951" s="318">
        <v>90969961187</v>
      </c>
      <c r="B951" s="318" t="s">
        <v>237</v>
      </c>
    </row>
    <row r="952" spans="1:2" ht="12.75" customHeight="1" x14ac:dyDescent="0.25">
      <c r="A952" s="318">
        <v>90969961188</v>
      </c>
      <c r="B952" s="318" t="s">
        <v>237</v>
      </c>
    </row>
    <row r="953" spans="1:2" ht="12.75" customHeight="1" x14ac:dyDescent="0.25">
      <c r="A953" s="318">
        <v>90969961189</v>
      </c>
      <c r="B953" s="318" t="s">
        <v>237</v>
      </c>
    </row>
    <row r="954" spans="1:2" ht="12.75" customHeight="1" x14ac:dyDescent="0.25">
      <c r="A954" s="318">
        <v>90969961190</v>
      </c>
      <c r="B954" s="318" t="s">
        <v>237</v>
      </c>
    </row>
    <row r="955" spans="1:2" ht="12.75" customHeight="1" x14ac:dyDescent="0.25">
      <c r="A955" s="318">
        <v>90969961191</v>
      </c>
      <c r="B955" s="318" t="s">
        <v>237</v>
      </c>
    </row>
    <row r="956" spans="1:2" ht="12.75" customHeight="1" x14ac:dyDescent="0.25">
      <c r="A956" s="318">
        <v>90969961192</v>
      </c>
      <c r="B956" s="318" t="s">
        <v>237</v>
      </c>
    </row>
    <row r="957" spans="1:2" ht="12.75" customHeight="1" x14ac:dyDescent="0.25">
      <c r="A957" s="318">
        <v>90969961193</v>
      </c>
      <c r="B957" s="318" t="s">
        <v>237</v>
      </c>
    </row>
    <row r="958" spans="1:2" ht="12.75" customHeight="1" x14ac:dyDescent="0.25">
      <c r="A958" s="318">
        <v>90969961195</v>
      </c>
      <c r="B958" s="318" t="s">
        <v>237</v>
      </c>
    </row>
    <row r="959" spans="1:2" ht="12.75" customHeight="1" x14ac:dyDescent="0.25">
      <c r="A959" s="318">
        <v>90969961196</v>
      </c>
      <c r="B959" s="318" t="s">
        <v>237</v>
      </c>
    </row>
    <row r="960" spans="1:2" ht="12.75" customHeight="1" x14ac:dyDescent="0.25">
      <c r="A960" s="318">
        <v>90969961197</v>
      </c>
      <c r="B960" s="318" t="s">
        <v>237</v>
      </c>
    </row>
    <row r="961" spans="1:2" ht="12.75" customHeight="1" x14ac:dyDescent="0.25">
      <c r="A961" s="318">
        <v>90969961198</v>
      </c>
      <c r="B961" s="318" t="s">
        <v>237</v>
      </c>
    </row>
    <row r="962" spans="1:2" ht="12.75" customHeight="1" x14ac:dyDescent="0.25">
      <c r="A962" s="318">
        <v>90969961199</v>
      </c>
      <c r="B962" s="318" t="s">
        <v>237</v>
      </c>
    </row>
    <row r="963" spans="1:2" ht="12.75" customHeight="1" x14ac:dyDescent="0.25">
      <c r="A963" s="318">
        <v>90969961200</v>
      </c>
      <c r="B963" s="318" t="s">
        <v>237</v>
      </c>
    </row>
    <row r="964" spans="1:2" ht="12.75" customHeight="1" x14ac:dyDescent="0.25">
      <c r="A964" s="318">
        <v>90969961201</v>
      </c>
      <c r="B964" s="318" t="s">
        <v>237</v>
      </c>
    </row>
    <row r="965" spans="1:2" ht="12.75" customHeight="1" x14ac:dyDescent="0.25">
      <c r="A965" s="318">
        <v>90969961202</v>
      </c>
      <c r="B965" s="318" t="s">
        <v>237</v>
      </c>
    </row>
    <row r="966" spans="1:2" ht="12.75" customHeight="1" x14ac:dyDescent="0.25">
      <c r="A966" s="318">
        <v>90970442059</v>
      </c>
      <c r="B966" s="318" t="s">
        <v>23</v>
      </c>
    </row>
    <row r="967" spans="1:2" ht="12.75" customHeight="1" x14ac:dyDescent="0.25">
      <c r="A967" s="318">
        <v>90970442060</v>
      </c>
      <c r="B967" s="318" t="s">
        <v>23</v>
      </c>
    </row>
    <row r="968" spans="1:2" ht="12.75" customHeight="1" x14ac:dyDescent="0.25">
      <c r="A968" s="318">
        <v>90970442061</v>
      </c>
      <c r="B968" s="318" t="s">
        <v>23</v>
      </c>
    </row>
    <row r="969" spans="1:2" ht="12.75" customHeight="1" x14ac:dyDescent="0.25">
      <c r="A969" s="318">
        <v>90970442062</v>
      </c>
      <c r="B969" s="318" t="s">
        <v>23</v>
      </c>
    </row>
    <row r="970" spans="1:2" ht="12.75" customHeight="1" x14ac:dyDescent="0.25">
      <c r="A970" s="318">
        <v>90970442063</v>
      </c>
      <c r="B970" s="318" t="s">
        <v>23</v>
      </c>
    </row>
    <row r="971" spans="1:2" ht="12.75" customHeight="1" x14ac:dyDescent="0.25">
      <c r="A971" s="318">
        <v>90970442064</v>
      </c>
      <c r="B971" s="318" t="s">
        <v>23</v>
      </c>
    </row>
    <row r="972" spans="1:2" ht="12.75" customHeight="1" x14ac:dyDescent="0.25">
      <c r="A972" s="318">
        <v>90970442065</v>
      </c>
      <c r="B972" s="318" t="s">
        <v>23</v>
      </c>
    </row>
    <row r="973" spans="1:2" ht="12.75" customHeight="1" x14ac:dyDescent="0.25">
      <c r="A973" s="318">
        <v>90970442066</v>
      </c>
      <c r="B973" s="318" t="s">
        <v>237</v>
      </c>
    </row>
    <row r="974" spans="1:2" ht="12.75" customHeight="1" x14ac:dyDescent="0.25">
      <c r="A974" s="318">
        <v>90970442068</v>
      </c>
      <c r="B974" s="318" t="s">
        <v>23</v>
      </c>
    </row>
    <row r="975" spans="1:2" ht="12.75" customHeight="1" x14ac:dyDescent="0.25">
      <c r="A975" s="318">
        <v>90970442069</v>
      </c>
      <c r="B975" s="318" t="s">
        <v>237</v>
      </c>
    </row>
    <row r="976" spans="1:2" ht="12.75" customHeight="1" x14ac:dyDescent="0.25">
      <c r="A976" s="318">
        <v>90970442070</v>
      </c>
      <c r="B976" s="318" t="s">
        <v>23</v>
      </c>
    </row>
    <row r="977" spans="1:2" ht="12.75" customHeight="1" x14ac:dyDescent="0.25">
      <c r="A977" s="318">
        <v>90970442071</v>
      </c>
      <c r="B977" s="318" t="s">
        <v>237</v>
      </c>
    </row>
    <row r="978" spans="1:2" ht="12.75" customHeight="1" x14ac:dyDescent="0.25">
      <c r="A978" s="318">
        <v>90970442072</v>
      </c>
      <c r="B978" s="318" t="s">
        <v>23</v>
      </c>
    </row>
    <row r="979" spans="1:2" ht="12.75" customHeight="1" x14ac:dyDescent="0.25">
      <c r="A979" s="318">
        <v>90970442073</v>
      </c>
      <c r="B979" s="318" t="s">
        <v>237</v>
      </c>
    </row>
    <row r="980" spans="1:2" ht="12.75" customHeight="1" x14ac:dyDescent="0.25">
      <c r="A980" s="318">
        <v>90970442074</v>
      </c>
      <c r="B980" s="318" t="s">
        <v>23</v>
      </c>
    </row>
    <row r="981" spans="1:2" ht="12.75" customHeight="1" x14ac:dyDescent="0.25">
      <c r="A981" s="318">
        <v>90970442075</v>
      </c>
      <c r="B981" s="318" t="s">
        <v>237</v>
      </c>
    </row>
    <row r="982" spans="1:2" ht="12.75" customHeight="1" x14ac:dyDescent="0.25">
      <c r="A982" s="318">
        <v>90970442159</v>
      </c>
      <c r="B982" s="318" t="s">
        <v>237</v>
      </c>
    </row>
    <row r="983" spans="1:2" ht="12.75" customHeight="1" x14ac:dyDescent="0.25">
      <c r="A983" s="318">
        <v>90970442160</v>
      </c>
      <c r="B983" s="318" t="s">
        <v>237</v>
      </c>
    </row>
    <row r="984" spans="1:2" ht="12.75" customHeight="1" x14ac:dyDescent="0.25">
      <c r="A984" s="318">
        <v>90970442161</v>
      </c>
      <c r="B984" s="318" t="s">
        <v>237</v>
      </c>
    </row>
    <row r="985" spans="1:2" ht="12.75" customHeight="1" x14ac:dyDescent="0.25">
      <c r="A985" s="318">
        <v>90970442162</v>
      </c>
      <c r="B985" s="318" t="s">
        <v>237</v>
      </c>
    </row>
    <row r="986" spans="1:2" ht="12.75" customHeight="1" x14ac:dyDescent="0.25">
      <c r="A986" s="318">
        <v>90970442163</v>
      </c>
      <c r="B986" s="318" t="s">
        <v>237</v>
      </c>
    </row>
    <row r="987" spans="1:2" ht="12.75" customHeight="1" x14ac:dyDescent="0.25">
      <c r="A987" s="318">
        <v>90970442164</v>
      </c>
      <c r="B987" s="318" t="s">
        <v>237</v>
      </c>
    </row>
    <row r="988" spans="1:2" ht="12.75" customHeight="1" x14ac:dyDescent="0.25">
      <c r="A988" s="318">
        <v>90970442165</v>
      </c>
      <c r="B988" s="318" t="s">
        <v>237</v>
      </c>
    </row>
    <row r="989" spans="1:2" ht="12.75" customHeight="1" x14ac:dyDescent="0.25">
      <c r="A989" s="318">
        <v>90970442166</v>
      </c>
      <c r="B989" s="318" t="s">
        <v>237</v>
      </c>
    </row>
    <row r="990" spans="1:2" ht="12.75" customHeight="1" x14ac:dyDescent="0.25">
      <c r="A990" s="318">
        <v>90970442168</v>
      </c>
      <c r="B990" s="318" t="s">
        <v>237</v>
      </c>
    </row>
    <row r="991" spans="1:2" ht="12.75" customHeight="1" x14ac:dyDescent="0.25">
      <c r="A991" s="318">
        <v>90970442169</v>
      </c>
      <c r="B991" s="318" t="s">
        <v>237</v>
      </c>
    </row>
    <row r="992" spans="1:2" ht="12.75" customHeight="1" x14ac:dyDescent="0.25">
      <c r="A992" s="318">
        <v>90970442170</v>
      </c>
      <c r="B992" s="318" t="s">
        <v>237</v>
      </c>
    </row>
    <row r="993" spans="1:2" ht="12.75" customHeight="1" x14ac:dyDescent="0.25">
      <c r="A993" s="318">
        <v>90970442171</v>
      </c>
      <c r="B993" s="318" t="s">
        <v>237</v>
      </c>
    </row>
    <row r="994" spans="1:2" ht="12.75" customHeight="1" x14ac:dyDescent="0.25">
      <c r="A994" s="318">
        <v>90970442172</v>
      </c>
      <c r="B994" s="318" t="s">
        <v>237</v>
      </c>
    </row>
    <row r="995" spans="1:2" ht="12.75" customHeight="1" x14ac:dyDescent="0.25">
      <c r="A995" s="318">
        <v>90970442173</v>
      </c>
      <c r="B995" s="318" t="s">
        <v>237</v>
      </c>
    </row>
    <row r="996" spans="1:2" ht="12.75" customHeight="1" x14ac:dyDescent="0.25">
      <c r="A996" s="318">
        <v>90970442174</v>
      </c>
      <c r="B996" s="318" t="s">
        <v>237</v>
      </c>
    </row>
    <row r="997" spans="1:2" ht="12.75" customHeight="1" x14ac:dyDescent="0.25">
      <c r="A997" s="318">
        <v>90970442175</v>
      </c>
      <c r="B997" s="318" t="s">
        <v>237</v>
      </c>
    </row>
    <row r="998" spans="1:2" ht="12.75" customHeight="1" x14ac:dyDescent="0.25">
      <c r="A998" s="318">
        <v>90970923032</v>
      </c>
      <c r="B998" s="318" t="s">
        <v>23</v>
      </c>
    </row>
    <row r="999" spans="1:2" ht="12.75" customHeight="1" x14ac:dyDescent="0.25">
      <c r="A999" s="318">
        <v>90970923033</v>
      </c>
      <c r="B999" s="318" t="s">
        <v>23</v>
      </c>
    </row>
    <row r="1000" spans="1:2" ht="12.75" customHeight="1" x14ac:dyDescent="0.25">
      <c r="A1000" s="318">
        <v>90970923034</v>
      </c>
      <c r="B1000" s="318" t="s">
        <v>23</v>
      </c>
    </row>
    <row r="1001" spans="1:2" ht="12.75" customHeight="1" x14ac:dyDescent="0.25">
      <c r="A1001" s="318">
        <v>90970923035</v>
      </c>
      <c r="B1001" s="318" t="s">
        <v>23</v>
      </c>
    </row>
    <row r="1002" spans="1:2" ht="12.75" customHeight="1" x14ac:dyDescent="0.25">
      <c r="A1002" s="318">
        <v>90970923036</v>
      </c>
      <c r="B1002" s="318" t="s">
        <v>23</v>
      </c>
    </row>
    <row r="1003" spans="1:2" ht="12.75" customHeight="1" x14ac:dyDescent="0.25">
      <c r="A1003" s="318">
        <v>90970923037</v>
      </c>
      <c r="B1003" s="318" t="s">
        <v>23</v>
      </c>
    </row>
    <row r="1004" spans="1:2" ht="12.75" customHeight="1" x14ac:dyDescent="0.25">
      <c r="A1004" s="318">
        <v>90970923038</v>
      </c>
      <c r="B1004" s="318" t="s">
        <v>23</v>
      </c>
    </row>
    <row r="1005" spans="1:2" ht="12.75" customHeight="1" x14ac:dyDescent="0.25">
      <c r="A1005" s="318">
        <v>90970923039</v>
      </c>
      <c r="B1005" s="318" t="s">
        <v>237</v>
      </c>
    </row>
    <row r="1006" spans="1:2" ht="12.75" customHeight="1" x14ac:dyDescent="0.25">
      <c r="A1006" s="318">
        <v>90970923041</v>
      </c>
      <c r="B1006" s="318" t="s">
        <v>23</v>
      </c>
    </row>
    <row r="1007" spans="1:2" ht="12.75" customHeight="1" x14ac:dyDescent="0.25">
      <c r="A1007" s="318">
        <v>90970923042</v>
      </c>
      <c r="B1007" s="318" t="s">
        <v>237</v>
      </c>
    </row>
    <row r="1008" spans="1:2" ht="12.75" customHeight="1" x14ac:dyDescent="0.25">
      <c r="A1008" s="318">
        <v>90970923043</v>
      </c>
      <c r="B1008" s="318" t="s">
        <v>23</v>
      </c>
    </row>
    <row r="1009" spans="1:2" ht="12.75" customHeight="1" x14ac:dyDescent="0.25">
      <c r="A1009" s="318">
        <v>90970923044</v>
      </c>
      <c r="B1009" s="318" t="s">
        <v>237</v>
      </c>
    </row>
    <row r="1010" spans="1:2" ht="12.75" customHeight="1" x14ac:dyDescent="0.25">
      <c r="A1010" s="318">
        <v>90970923045</v>
      </c>
      <c r="B1010" s="318" t="s">
        <v>23</v>
      </c>
    </row>
    <row r="1011" spans="1:2" ht="12.75" customHeight="1" x14ac:dyDescent="0.25">
      <c r="A1011" s="318">
        <v>90970923046</v>
      </c>
      <c r="B1011" s="318" t="s">
        <v>237</v>
      </c>
    </row>
    <row r="1012" spans="1:2" ht="12.75" customHeight="1" x14ac:dyDescent="0.25">
      <c r="A1012" s="318">
        <v>90970923047</v>
      </c>
      <c r="B1012" s="318" t="s">
        <v>23</v>
      </c>
    </row>
    <row r="1013" spans="1:2" ht="12.75" customHeight="1" x14ac:dyDescent="0.25">
      <c r="A1013" s="318">
        <v>90970923048</v>
      </c>
      <c r="B1013" s="318" t="s">
        <v>237</v>
      </c>
    </row>
    <row r="1014" spans="1:2" ht="12.75" customHeight="1" x14ac:dyDescent="0.25">
      <c r="A1014" s="318">
        <v>90970923132</v>
      </c>
      <c r="B1014" s="318" t="s">
        <v>237</v>
      </c>
    </row>
    <row r="1015" spans="1:2" ht="12.75" customHeight="1" x14ac:dyDescent="0.25">
      <c r="A1015" s="318">
        <v>90970923133</v>
      </c>
      <c r="B1015" s="318" t="s">
        <v>237</v>
      </c>
    </row>
    <row r="1016" spans="1:2" ht="12.75" customHeight="1" x14ac:dyDescent="0.25">
      <c r="A1016" s="318">
        <v>90970923134</v>
      </c>
      <c r="B1016" s="318" t="s">
        <v>237</v>
      </c>
    </row>
    <row r="1017" spans="1:2" ht="12.75" customHeight="1" x14ac:dyDescent="0.25">
      <c r="A1017" s="318">
        <v>90970923135</v>
      </c>
      <c r="B1017" s="318" t="s">
        <v>237</v>
      </c>
    </row>
    <row r="1018" spans="1:2" ht="12.75" customHeight="1" x14ac:dyDescent="0.25">
      <c r="A1018" s="318">
        <v>90970923136</v>
      </c>
      <c r="B1018" s="318" t="s">
        <v>237</v>
      </c>
    </row>
    <row r="1019" spans="1:2" ht="12.75" customHeight="1" x14ac:dyDescent="0.25">
      <c r="A1019" s="318">
        <v>90970923137</v>
      </c>
      <c r="B1019" s="318" t="s">
        <v>237</v>
      </c>
    </row>
    <row r="1020" spans="1:2" ht="12.75" customHeight="1" x14ac:dyDescent="0.25">
      <c r="A1020" s="318">
        <v>90970923138</v>
      </c>
      <c r="B1020" s="318" t="s">
        <v>237</v>
      </c>
    </row>
    <row r="1021" spans="1:2" ht="12.75" customHeight="1" x14ac:dyDescent="0.25">
      <c r="A1021" s="318">
        <v>90970923139</v>
      </c>
      <c r="B1021" s="318" t="s">
        <v>237</v>
      </c>
    </row>
    <row r="1022" spans="1:2" ht="12.75" customHeight="1" x14ac:dyDescent="0.25">
      <c r="A1022" s="318">
        <v>90970923141</v>
      </c>
      <c r="B1022" s="318" t="s">
        <v>237</v>
      </c>
    </row>
    <row r="1023" spans="1:2" ht="12.75" customHeight="1" x14ac:dyDescent="0.25">
      <c r="A1023" s="318">
        <v>90970923142</v>
      </c>
      <c r="B1023" s="318" t="s">
        <v>237</v>
      </c>
    </row>
    <row r="1024" spans="1:2" ht="12.75" customHeight="1" x14ac:dyDescent="0.25">
      <c r="A1024" s="318">
        <v>90970923143</v>
      </c>
      <c r="B1024" s="318" t="s">
        <v>237</v>
      </c>
    </row>
    <row r="1025" spans="1:2" ht="12.75" customHeight="1" x14ac:dyDescent="0.25">
      <c r="A1025" s="318">
        <v>90970923144</v>
      </c>
      <c r="B1025" s="318" t="s">
        <v>237</v>
      </c>
    </row>
    <row r="1026" spans="1:2" ht="12.75" customHeight="1" x14ac:dyDescent="0.25">
      <c r="A1026" s="318">
        <v>90970923145</v>
      </c>
      <c r="B1026" s="318" t="s">
        <v>237</v>
      </c>
    </row>
    <row r="1027" spans="1:2" ht="12.75" customHeight="1" x14ac:dyDescent="0.25">
      <c r="A1027" s="318">
        <v>90970923146</v>
      </c>
      <c r="B1027" s="318" t="s">
        <v>237</v>
      </c>
    </row>
    <row r="1028" spans="1:2" ht="12.75" customHeight="1" x14ac:dyDescent="0.25">
      <c r="A1028" s="318">
        <v>90970923147</v>
      </c>
      <c r="B1028" s="318" t="s">
        <v>237</v>
      </c>
    </row>
    <row r="1029" spans="1:2" ht="12.75" customHeight="1" x14ac:dyDescent="0.25">
      <c r="A1029" s="318">
        <v>90970923148</v>
      </c>
      <c r="B1029" s="318" t="s">
        <v>237</v>
      </c>
    </row>
    <row r="1030" spans="1:2" ht="12.75" customHeight="1" x14ac:dyDescent="0.25">
      <c r="A1030" s="318">
        <v>90972283413</v>
      </c>
      <c r="B1030" s="318" t="s">
        <v>23</v>
      </c>
    </row>
    <row r="1031" spans="1:2" ht="12.75" customHeight="1" x14ac:dyDescent="0.25">
      <c r="A1031" s="318">
        <v>90972283414</v>
      </c>
      <c r="B1031" s="318" t="s">
        <v>23</v>
      </c>
    </row>
    <row r="1032" spans="1:2" ht="12.75" customHeight="1" x14ac:dyDescent="0.25">
      <c r="A1032" s="318">
        <v>90972283415</v>
      </c>
      <c r="B1032" s="318" t="s">
        <v>23</v>
      </c>
    </row>
    <row r="1033" spans="1:2" ht="12.75" customHeight="1" x14ac:dyDescent="0.25">
      <c r="A1033" s="318">
        <v>90972283416</v>
      </c>
      <c r="B1033" s="318" t="s">
        <v>23</v>
      </c>
    </row>
    <row r="1034" spans="1:2" ht="12.75" customHeight="1" x14ac:dyDescent="0.25">
      <c r="A1034" s="318">
        <v>90972283417</v>
      </c>
      <c r="B1034" s="318" t="s">
        <v>23</v>
      </c>
    </row>
    <row r="1035" spans="1:2" ht="12.75" customHeight="1" x14ac:dyDescent="0.25">
      <c r="A1035" s="318">
        <v>90972283418</v>
      </c>
      <c r="B1035" s="318" t="s">
        <v>23</v>
      </c>
    </row>
    <row r="1036" spans="1:2" ht="12.75" customHeight="1" x14ac:dyDescent="0.25">
      <c r="A1036" s="318">
        <v>90972283419</v>
      </c>
      <c r="B1036" s="318" t="s">
        <v>23</v>
      </c>
    </row>
    <row r="1037" spans="1:2" ht="12.75" customHeight="1" x14ac:dyDescent="0.25">
      <c r="A1037" s="318">
        <v>90972283420</v>
      </c>
      <c r="B1037" s="318" t="s">
        <v>237</v>
      </c>
    </row>
    <row r="1038" spans="1:2" ht="12.75" customHeight="1" x14ac:dyDescent="0.25">
      <c r="A1038" s="318">
        <v>90972283422</v>
      </c>
      <c r="B1038" s="318" t="s">
        <v>23</v>
      </c>
    </row>
    <row r="1039" spans="1:2" ht="12.75" customHeight="1" x14ac:dyDescent="0.25">
      <c r="A1039" s="318">
        <v>90972283423</v>
      </c>
      <c r="B1039" s="318" t="s">
        <v>237</v>
      </c>
    </row>
    <row r="1040" spans="1:2" ht="12.75" customHeight="1" x14ac:dyDescent="0.25">
      <c r="A1040" s="318">
        <v>90972283424</v>
      </c>
      <c r="B1040" s="318" t="s">
        <v>23</v>
      </c>
    </row>
    <row r="1041" spans="1:2" ht="12.75" customHeight="1" x14ac:dyDescent="0.25">
      <c r="A1041" s="318">
        <v>90972283425</v>
      </c>
      <c r="B1041" s="318" t="s">
        <v>237</v>
      </c>
    </row>
    <row r="1042" spans="1:2" ht="12.75" customHeight="1" x14ac:dyDescent="0.25">
      <c r="A1042" s="318">
        <v>90972283426</v>
      </c>
      <c r="B1042" s="318" t="s">
        <v>23</v>
      </c>
    </row>
    <row r="1043" spans="1:2" ht="12.75" customHeight="1" x14ac:dyDescent="0.25">
      <c r="A1043" s="318">
        <v>90972283427</v>
      </c>
      <c r="B1043" s="318" t="s">
        <v>237</v>
      </c>
    </row>
    <row r="1044" spans="1:2" ht="12.75" customHeight="1" x14ac:dyDescent="0.25">
      <c r="A1044" s="318">
        <v>90972283428</v>
      </c>
      <c r="B1044" s="318" t="s">
        <v>23</v>
      </c>
    </row>
    <row r="1045" spans="1:2" ht="12.75" customHeight="1" x14ac:dyDescent="0.25">
      <c r="A1045" s="318">
        <v>90972283429</v>
      </c>
      <c r="B1045" s="318" t="s">
        <v>237</v>
      </c>
    </row>
    <row r="1046" spans="1:2" ht="12.75" customHeight="1" x14ac:dyDescent="0.25">
      <c r="A1046" s="318">
        <v>90972283513</v>
      </c>
      <c r="B1046" s="318" t="s">
        <v>237</v>
      </c>
    </row>
    <row r="1047" spans="1:2" ht="12.75" customHeight="1" x14ac:dyDescent="0.25">
      <c r="A1047" s="318">
        <v>90972283514</v>
      </c>
      <c r="B1047" s="318" t="s">
        <v>237</v>
      </c>
    </row>
    <row r="1048" spans="1:2" ht="12.75" customHeight="1" x14ac:dyDescent="0.25">
      <c r="A1048" s="318">
        <v>90972283515</v>
      </c>
      <c r="B1048" s="318" t="s">
        <v>237</v>
      </c>
    </row>
    <row r="1049" spans="1:2" ht="12.75" customHeight="1" x14ac:dyDescent="0.25">
      <c r="A1049" s="318">
        <v>90972283516</v>
      </c>
      <c r="B1049" s="318" t="s">
        <v>237</v>
      </c>
    </row>
    <row r="1050" spans="1:2" ht="12.75" customHeight="1" x14ac:dyDescent="0.25">
      <c r="A1050" s="318">
        <v>90972283517</v>
      </c>
      <c r="B1050" s="318" t="s">
        <v>237</v>
      </c>
    </row>
    <row r="1051" spans="1:2" ht="12.75" customHeight="1" x14ac:dyDescent="0.25">
      <c r="A1051" s="318">
        <v>90972283518</v>
      </c>
      <c r="B1051" s="318" t="s">
        <v>237</v>
      </c>
    </row>
    <row r="1052" spans="1:2" ht="12.75" customHeight="1" x14ac:dyDescent="0.25">
      <c r="A1052" s="318">
        <v>90972283519</v>
      </c>
      <c r="B1052" s="318" t="s">
        <v>237</v>
      </c>
    </row>
    <row r="1053" spans="1:2" ht="12.75" customHeight="1" x14ac:dyDescent="0.25">
      <c r="A1053" s="318">
        <v>90972283520</v>
      </c>
      <c r="B1053" s="318" t="s">
        <v>237</v>
      </c>
    </row>
    <row r="1054" spans="1:2" ht="12.75" customHeight="1" x14ac:dyDescent="0.25">
      <c r="A1054" s="318">
        <v>90972283522</v>
      </c>
      <c r="B1054" s="318" t="s">
        <v>237</v>
      </c>
    </row>
    <row r="1055" spans="1:2" ht="12.75" customHeight="1" x14ac:dyDescent="0.25">
      <c r="A1055" s="318">
        <v>90972283523</v>
      </c>
      <c r="B1055" s="318" t="s">
        <v>237</v>
      </c>
    </row>
    <row r="1056" spans="1:2" ht="12.75" customHeight="1" x14ac:dyDescent="0.25">
      <c r="A1056" s="318">
        <v>90972283524</v>
      </c>
      <c r="B1056" s="318" t="s">
        <v>237</v>
      </c>
    </row>
    <row r="1057" spans="1:2" ht="12.75" customHeight="1" x14ac:dyDescent="0.25">
      <c r="A1057" s="318">
        <v>90972283525</v>
      </c>
      <c r="B1057" s="318" t="s">
        <v>237</v>
      </c>
    </row>
    <row r="1058" spans="1:2" ht="12.75" customHeight="1" x14ac:dyDescent="0.25">
      <c r="A1058" s="318">
        <v>90972283526</v>
      </c>
      <c r="B1058" s="318" t="s">
        <v>237</v>
      </c>
    </row>
    <row r="1059" spans="1:2" ht="12.75" customHeight="1" x14ac:dyDescent="0.25">
      <c r="A1059" s="318">
        <v>90972283527</v>
      </c>
      <c r="B1059" s="318" t="s">
        <v>237</v>
      </c>
    </row>
    <row r="1060" spans="1:2" ht="12.75" customHeight="1" x14ac:dyDescent="0.25">
      <c r="A1060" s="318">
        <v>90972283528</v>
      </c>
      <c r="B1060" s="318" t="s">
        <v>237</v>
      </c>
    </row>
    <row r="1061" spans="1:2" ht="12.75" customHeight="1" x14ac:dyDescent="0.25">
      <c r="A1061" s="318">
        <v>90972283529</v>
      </c>
      <c r="B1061" s="318" t="s">
        <v>237</v>
      </c>
    </row>
    <row r="1062" spans="1:2" ht="12.75" customHeight="1" x14ac:dyDescent="0.25">
      <c r="A1062" s="318">
        <v>90972764386</v>
      </c>
      <c r="B1062" s="318" t="s">
        <v>23</v>
      </c>
    </row>
    <row r="1063" spans="1:2" ht="12.75" customHeight="1" x14ac:dyDescent="0.25">
      <c r="A1063" s="318">
        <v>90972764387</v>
      </c>
      <c r="B1063" s="318" t="s">
        <v>23</v>
      </c>
    </row>
    <row r="1064" spans="1:2" ht="12.75" customHeight="1" x14ac:dyDescent="0.25">
      <c r="A1064" s="318">
        <v>90972764388</v>
      </c>
      <c r="B1064" s="318" t="s">
        <v>23</v>
      </c>
    </row>
    <row r="1065" spans="1:2" ht="12.75" customHeight="1" x14ac:dyDescent="0.25">
      <c r="A1065" s="318">
        <v>90972764389</v>
      </c>
      <c r="B1065" s="318" t="s">
        <v>23</v>
      </c>
    </row>
    <row r="1066" spans="1:2" ht="12.75" customHeight="1" x14ac:dyDescent="0.25">
      <c r="A1066" s="318">
        <v>90972764390</v>
      </c>
      <c r="B1066" s="318" t="s">
        <v>23</v>
      </c>
    </row>
    <row r="1067" spans="1:2" ht="12.75" customHeight="1" x14ac:dyDescent="0.25">
      <c r="A1067" s="318">
        <v>90972764391</v>
      </c>
      <c r="B1067" s="318" t="s">
        <v>23</v>
      </c>
    </row>
    <row r="1068" spans="1:2" ht="12.75" customHeight="1" x14ac:dyDescent="0.25">
      <c r="A1068" s="318">
        <v>90972764392</v>
      </c>
      <c r="B1068" s="318" t="s">
        <v>23</v>
      </c>
    </row>
    <row r="1069" spans="1:2" ht="12.75" customHeight="1" x14ac:dyDescent="0.25">
      <c r="A1069" s="318">
        <v>90972764393</v>
      </c>
      <c r="B1069" s="318" t="s">
        <v>237</v>
      </c>
    </row>
    <row r="1070" spans="1:2" ht="12.75" customHeight="1" x14ac:dyDescent="0.25">
      <c r="A1070" s="318">
        <v>90972764395</v>
      </c>
      <c r="B1070" s="318" t="s">
        <v>23</v>
      </c>
    </row>
    <row r="1071" spans="1:2" ht="12.75" customHeight="1" x14ac:dyDescent="0.25">
      <c r="A1071" s="318">
        <v>90972764396</v>
      </c>
      <c r="B1071" s="318" t="s">
        <v>237</v>
      </c>
    </row>
    <row r="1072" spans="1:2" ht="12.75" customHeight="1" x14ac:dyDescent="0.25">
      <c r="A1072" s="318">
        <v>90972764397</v>
      </c>
      <c r="B1072" s="318" t="s">
        <v>23</v>
      </c>
    </row>
    <row r="1073" spans="1:2" ht="12.75" customHeight="1" x14ac:dyDescent="0.25">
      <c r="A1073" s="318">
        <v>90972764398</v>
      </c>
      <c r="B1073" s="318" t="s">
        <v>237</v>
      </c>
    </row>
    <row r="1074" spans="1:2" ht="12.75" customHeight="1" x14ac:dyDescent="0.25">
      <c r="A1074" s="318">
        <v>90972764399</v>
      </c>
      <c r="B1074" s="318" t="s">
        <v>23</v>
      </c>
    </row>
    <row r="1075" spans="1:2" ht="12.75" customHeight="1" x14ac:dyDescent="0.25">
      <c r="A1075" s="318">
        <v>90972764400</v>
      </c>
      <c r="B1075" s="318" t="s">
        <v>237</v>
      </c>
    </row>
    <row r="1076" spans="1:2" ht="12.75" customHeight="1" x14ac:dyDescent="0.25">
      <c r="A1076" s="318">
        <v>90972764401</v>
      </c>
      <c r="B1076" s="318" t="s">
        <v>23</v>
      </c>
    </row>
    <row r="1077" spans="1:2" ht="12.75" customHeight="1" x14ac:dyDescent="0.25">
      <c r="A1077" s="318">
        <v>90972764402</v>
      </c>
      <c r="B1077" s="318" t="s">
        <v>237</v>
      </c>
    </row>
    <row r="1078" spans="1:2" ht="12.75" customHeight="1" x14ac:dyDescent="0.25">
      <c r="A1078" s="318">
        <v>90972764486</v>
      </c>
      <c r="B1078" s="318" t="s">
        <v>237</v>
      </c>
    </row>
    <row r="1079" spans="1:2" ht="12.75" customHeight="1" x14ac:dyDescent="0.25">
      <c r="A1079" s="318">
        <v>90972764487</v>
      </c>
      <c r="B1079" s="318" t="s">
        <v>237</v>
      </c>
    </row>
    <row r="1080" spans="1:2" ht="12.75" customHeight="1" x14ac:dyDescent="0.25">
      <c r="A1080" s="318">
        <v>90972764488</v>
      </c>
      <c r="B1080" s="318" t="s">
        <v>237</v>
      </c>
    </row>
    <row r="1081" spans="1:2" ht="12.75" customHeight="1" x14ac:dyDescent="0.25">
      <c r="A1081" s="318">
        <v>90972764489</v>
      </c>
      <c r="B1081" s="318" t="s">
        <v>237</v>
      </c>
    </row>
    <row r="1082" spans="1:2" ht="12.75" customHeight="1" x14ac:dyDescent="0.25">
      <c r="A1082" s="318">
        <v>90972764490</v>
      </c>
      <c r="B1082" s="318" t="s">
        <v>237</v>
      </c>
    </row>
    <row r="1083" spans="1:2" ht="12.75" customHeight="1" x14ac:dyDescent="0.25">
      <c r="A1083" s="318">
        <v>90972764491</v>
      </c>
      <c r="B1083" s="318" t="s">
        <v>237</v>
      </c>
    </row>
    <row r="1084" spans="1:2" ht="12.75" customHeight="1" x14ac:dyDescent="0.25">
      <c r="A1084" s="318">
        <v>90972764492</v>
      </c>
      <c r="B1084" s="318" t="s">
        <v>237</v>
      </c>
    </row>
    <row r="1085" spans="1:2" ht="12.75" customHeight="1" x14ac:dyDescent="0.25">
      <c r="A1085" s="318">
        <v>90972764493</v>
      </c>
      <c r="B1085" s="318" t="s">
        <v>237</v>
      </c>
    </row>
    <row r="1086" spans="1:2" ht="12.75" customHeight="1" x14ac:dyDescent="0.25">
      <c r="A1086" s="318">
        <v>90972764495</v>
      </c>
      <c r="B1086" s="318" t="s">
        <v>237</v>
      </c>
    </row>
    <row r="1087" spans="1:2" ht="12.75" customHeight="1" x14ac:dyDescent="0.25">
      <c r="A1087" s="318">
        <v>90972764496</v>
      </c>
      <c r="B1087" s="318" t="s">
        <v>237</v>
      </c>
    </row>
    <row r="1088" spans="1:2" ht="12.75" customHeight="1" x14ac:dyDescent="0.25">
      <c r="A1088" s="318">
        <v>90972764497</v>
      </c>
      <c r="B1088" s="318" t="s">
        <v>237</v>
      </c>
    </row>
    <row r="1089" spans="1:2" ht="12.75" customHeight="1" x14ac:dyDescent="0.25">
      <c r="A1089" s="318">
        <v>90972764498</v>
      </c>
      <c r="B1089" s="318" t="s">
        <v>237</v>
      </c>
    </row>
    <row r="1090" spans="1:2" ht="12.75" customHeight="1" x14ac:dyDescent="0.25">
      <c r="A1090" s="318">
        <v>90972764499</v>
      </c>
      <c r="B1090" s="318" t="s">
        <v>237</v>
      </c>
    </row>
    <row r="1091" spans="1:2" ht="12.75" customHeight="1" x14ac:dyDescent="0.25">
      <c r="A1091" s="318">
        <v>90972764500</v>
      </c>
      <c r="B1091" s="318" t="s">
        <v>237</v>
      </c>
    </row>
    <row r="1092" spans="1:2" ht="12.75" customHeight="1" x14ac:dyDescent="0.25">
      <c r="A1092" s="318">
        <v>90972764501</v>
      </c>
      <c r="B1092" s="318" t="s">
        <v>237</v>
      </c>
    </row>
    <row r="1093" spans="1:2" ht="12.75" customHeight="1" x14ac:dyDescent="0.25">
      <c r="A1093" s="318">
        <v>90972764502</v>
      </c>
      <c r="B1093" s="318" t="s">
        <v>237</v>
      </c>
    </row>
    <row r="1094" spans="1:2" ht="12.75" customHeight="1" x14ac:dyDescent="0.25">
      <c r="A1094" s="318">
        <v>90973245359</v>
      </c>
      <c r="B1094" s="318" t="s">
        <v>23</v>
      </c>
    </row>
    <row r="1095" spans="1:2" ht="12.75" customHeight="1" x14ac:dyDescent="0.25">
      <c r="A1095" s="318">
        <v>90973245360</v>
      </c>
      <c r="B1095" s="318" t="s">
        <v>23</v>
      </c>
    </row>
    <row r="1096" spans="1:2" ht="12.75" customHeight="1" x14ac:dyDescent="0.25">
      <c r="A1096" s="318">
        <v>90973245361</v>
      </c>
      <c r="B1096" s="318" t="s">
        <v>23</v>
      </c>
    </row>
    <row r="1097" spans="1:2" ht="12.75" customHeight="1" x14ac:dyDescent="0.25">
      <c r="A1097" s="318">
        <v>90973245362</v>
      </c>
      <c r="B1097" s="318" t="s">
        <v>23</v>
      </c>
    </row>
    <row r="1098" spans="1:2" ht="12.75" customHeight="1" x14ac:dyDescent="0.25">
      <c r="A1098" s="318">
        <v>90973245363</v>
      </c>
      <c r="B1098" s="318" t="s">
        <v>23</v>
      </c>
    </row>
    <row r="1099" spans="1:2" ht="12.75" customHeight="1" x14ac:dyDescent="0.25">
      <c r="A1099" s="318">
        <v>90973245364</v>
      </c>
      <c r="B1099" s="318" t="s">
        <v>23</v>
      </c>
    </row>
    <row r="1100" spans="1:2" ht="12.75" customHeight="1" x14ac:dyDescent="0.25">
      <c r="A1100" s="318">
        <v>90973245365</v>
      </c>
      <c r="B1100" s="318" t="s">
        <v>23</v>
      </c>
    </row>
    <row r="1101" spans="1:2" ht="12.75" customHeight="1" x14ac:dyDescent="0.25">
      <c r="A1101" s="318">
        <v>90973245366</v>
      </c>
      <c r="B1101" s="318" t="s">
        <v>237</v>
      </c>
    </row>
    <row r="1102" spans="1:2" ht="12.75" customHeight="1" x14ac:dyDescent="0.25">
      <c r="A1102" s="318">
        <v>90973245368</v>
      </c>
      <c r="B1102" s="318" t="s">
        <v>23</v>
      </c>
    </row>
    <row r="1103" spans="1:2" ht="12.75" customHeight="1" x14ac:dyDescent="0.25">
      <c r="A1103" s="318">
        <v>90973245369</v>
      </c>
      <c r="B1103" s="318" t="s">
        <v>237</v>
      </c>
    </row>
    <row r="1104" spans="1:2" ht="12.75" customHeight="1" x14ac:dyDescent="0.25">
      <c r="A1104" s="318">
        <v>90973245370</v>
      </c>
      <c r="B1104" s="318" t="s">
        <v>23</v>
      </c>
    </row>
    <row r="1105" spans="1:2" ht="12.75" customHeight="1" x14ac:dyDescent="0.25">
      <c r="A1105" s="318">
        <v>90973245371</v>
      </c>
      <c r="B1105" s="318" t="s">
        <v>237</v>
      </c>
    </row>
    <row r="1106" spans="1:2" ht="12.75" customHeight="1" x14ac:dyDescent="0.25">
      <c r="A1106" s="318">
        <v>90973245372</v>
      </c>
      <c r="B1106" s="318" t="s">
        <v>23</v>
      </c>
    </row>
    <row r="1107" spans="1:2" ht="12.75" customHeight="1" x14ac:dyDescent="0.25">
      <c r="A1107" s="318">
        <v>90973245373</v>
      </c>
      <c r="B1107" s="318" t="s">
        <v>237</v>
      </c>
    </row>
    <row r="1108" spans="1:2" ht="12.75" customHeight="1" x14ac:dyDescent="0.25">
      <c r="A1108" s="318">
        <v>90973245374</v>
      </c>
      <c r="B1108" s="318" t="s">
        <v>23</v>
      </c>
    </row>
    <row r="1109" spans="1:2" ht="12.75" customHeight="1" x14ac:dyDescent="0.25">
      <c r="A1109" s="318">
        <v>90973245375</v>
      </c>
      <c r="B1109" s="318" t="s">
        <v>237</v>
      </c>
    </row>
    <row r="1110" spans="1:2" ht="12.75" customHeight="1" x14ac:dyDescent="0.25">
      <c r="A1110" s="318">
        <v>90973245459</v>
      </c>
      <c r="B1110" s="318" t="s">
        <v>237</v>
      </c>
    </row>
    <row r="1111" spans="1:2" ht="12.75" customHeight="1" x14ac:dyDescent="0.25">
      <c r="A1111" s="318">
        <v>90973245460</v>
      </c>
      <c r="B1111" s="318" t="s">
        <v>237</v>
      </c>
    </row>
    <row r="1112" spans="1:2" ht="12.75" customHeight="1" x14ac:dyDescent="0.25">
      <c r="A1112" s="318">
        <v>90973245461</v>
      </c>
      <c r="B1112" s="318" t="s">
        <v>237</v>
      </c>
    </row>
    <row r="1113" spans="1:2" ht="12.75" customHeight="1" x14ac:dyDescent="0.25">
      <c r="A1113" s="318">
        <v>90973245462</v>
      </c>
      <c r="B1113" s="318" t="s">
        <v>237</v>
      </c>
    </row>
    <row r="1114" spans="1:2" ht="12.75" customHeight="1" x14ac:dyDescent="0.25">
      <c r="A1114" s="318">
        <v>90973245463</v>
      </c>
      <c r="B1114" s="318" t="s">
        <v>237</v>
      </c>
    </row>
    <row r="1115" spans="1:2" ht="12.75" customHeight="1" x14ac:dyDescent="0.25">
      <c r="A1115" s="318">
        <v>90973245464</v>
      </c>
      <c r="B1115" s="318" t="s">
        <v>237</v>
      </c>
    </row>
    <row r="1116" spans="1:2" ht="12.75" customHeight="1" x14ac:dyDescent="0.25">
      <c r="A1116" s="318">
        <v>90973245465</v>
      </c>
      <c r="B1116" s="318" t="s">
        <v>237</v>
      </c>
    </row>
    <row r="1117" spans="1:2" ht="12.75" customHeight="1" x14ac:dyDescent="0.25">
      <c r="A1117" s="318">
        <v>90973245466</v>
      </c>
      <c r="B1117" s="318" t="s">
        <v>237</v>
      </c>
    </row>
    <row r="1118" spans="1:2" ht="12.75" customHeight="1" x14ac:dyDescent="0.25">
      <c r="A1118" s="318">
        <v>90973245468</v>
      </c>
      <c r="B1118" s="318" t="s">
        <v>237</v>
      </c>
    </row>
    <row r="1119" spans="1:2" ht="12.75" customHeight="1" x14ac:dyDescent="0.25">
      <c r="A1119" s="318">
        <v>90973245469</v>
      </c>
      <c r="B1119" s="318" t="s">
        <v>237</v>
      </c>
    </row>
    <row r="1120" spans="1:2" ht="12.75" customHeight="1" x14ac:dyDescent="0.25">
      <c r="A1120" s="318">
        <v>90973245470</v>
      </c>
      <c r="B1120" s="318" t="s">
        <v>237</v>
      </c>
    </row>
    <row r="1121" spans="1:2" ht="12.75" customHeight="1" x14ac:dyDescent="0.25">
      <c r="A1121" s="318">
        <v>90973245471</v>
      </c>
      <c r="B1121" s="318" t="s">
        <v>237</v>
      </c>
    </row>
    <row r="1122" spans="1:2" ht="12.75" customHeight="1" x14ac:dyDescent="0.25">
      <c r="A1122" s="318">
        <v>90973245472</v>
      </c>
      <c r="B1122" s="318" t="s">
        <v>237</v>
      </c>
    </row>
    <row r="1123" spans="1:2" ht="12.75" customHeight="1" x14ac:dyDescent="0.25">
      <c r="A1123" s="318">
        <v>90973245473</v>
      </c>
      <c r="B1123" s="318" t="s">
        <v>237</v>
      </c>
    </row>
    <row r="1124" spans="1:2" ht="12.75" customHeight="1" x14ac:dyDescent="0.25">
      <c r="A1124" s="318">
        <v>90973245474</v>
      </c>
      <c r="B1124" s="318" t="s">
        <v>237</v>
      </c>
    </row>
    <row r="1125" spans="1:2" ht="12.75" customHeight="1" x14ac:dyDescent="0.25">
      <c r="A1125" s="318">
        <v>90973245475</v>
      </c>
      <c r="B1125" s="318" t="s">
        <v>237</v>
      </c>
    </row>
    <row r="1126" spans="1:2" ht="12.75" customHeight="1" x14ac:dyDescent="0.25">
      <c r="A1126" s="318">
        <v>90973925550</v>
      </c>
      <c r="B1126" s="318" t="s">
        <v>23</v>
      </c>
    </row>
    <row r="1127" spans="1:2" ht="12.75" customHeight="1" x14ac:dyDescent="0.25">
      <c r="A1127" s="318">
        <v>90973925551</v>
      </c>
      <c r="B1127" s="318" t="s">
        <v>23</v>
      </c>
    </row>
    <row r="1128" spans="1:2" ht="12.75" customHeight="1" x14ac:dyDescent="0.25">
      <c r="A1128" s="318">
        <v>90973925552</v>
      </c>
      <c r="B1128" s="318" t="s">
        <v>23</v>
      </c>
    </row>
    <row r="1129" spans="1:2" ht="12.75" customHeight="1" x14ac:dyDescent="0.25">
      <c r="A1129" s="318">
        <v>90973925553</v>
      </c>
      <c r="B1129" s="318" t="s">
        <v>23</v>
      </c>
    </row>
    <row r="1130" spans="1:2" ht="12.75" customHeight="1" x14ac:dyDescent="0.25">
      <c r="A1130" s="318">
        <v>90973925554</v>
      </c>
      <c r="B1130" s="318" t="s">
        <v>23</v>
      </c>
    </row>
    <row r="1131" spans="1:2" ht="12.75" customHeight="1" x14ac:dyDescent="0.25">
      <c r="A1131" s="318">
        <v>90973925555</v>
      </c>
      <c r="B1131" s="318" t="s">
        <v>23</v>
      </c>
    </row>
    <row r="1132" spans="1:2" ht="12.75" customHeight="1" x14ac:dyDescent="0.25">
      <c r="A1132" s="318">
        <v>90973925556</v>
      </c>
      <c r="B1132" s="318" t="s">
        <v>23</v>
      </c>
    </row>
    <row r="1133" spans="1:2" ht="12.75" customHeight="1" x14ac:dyDescent="0.25">
      <c r="A1133" s="318">
        <v>90973925557</v>
      </c>
      <c r="B1133" s="318" t="s">
        <v>237</v>
      </c>
    </row>
    <row r="1134" spans="1:2" ht="12.75" customHeight="1" x14ac:dyDescent="0.25">
      <c r="A1134" s="318">
        <v>90973925559</v>
      </c>
      <c r="B1134" s="318" t="s">
        <v>23</v>
      </c>
    </row>
    <row r="1135" spans="1:2" ht="12.75" customHeight="1" x14ac:dyDescent="0.25">
      <c r="A1135" s="318">
        <v>90973925560</v>
      </c>
      <c r="B1135" s="318" t="s">
        <v>237</v>
      </c>
    </row>
    <row r="1136" spans="1:2" ht="12.75" customHeight="1" x14ac:dyDescent="0.25">
      <c r="A1136" s="318">
        <v>90973925561</v>
      </c>
      <c r="B1136" s="318" t="s">
        <v>23</v>
      </c>
    </row>
    <row r="1137" spans="1:2" ht="12.75" customHeight="1" x14ac:dyDescent="0.25">
      <c r="A1137" s="318">
        <v>90973925562</v>
      </c>
      <c r="B1137" s="318" t="s">
        <v>237</v>
      </c>
    </row>
    <row r="1138" spans="1:2" ht="12.75" customHeight="1" x14ac:dyDescent="0.25">
      <c r="A1138" s="318">
        <v>90973925563</v>
      </c>
      <c r="B1138" s="318" t="s">
        <v>23</v>
      </c>
    </row>
    <row r="1139" spans="1:2" ht="12.75" customHeight="1" x14ac:dyDescent="0.25">
      <c r="A1139" s="318">
        <v>90973925564</v>
      </c>
      <c r="B1139" s="318" t="s">
        <v>237</v>
      </c>
    </row>
    <row r="1140" spans="1:2" ht="12.75" customHeight="1" x14ac:dyDescent="0.25">
      <c r="A1140" s="318">
        <v>90973925565</v>
      </c>
      <c r="B1140" s="318" t="s">
        <v>23</v>
      </c>
    </row>
    <row r="1141" spans="1:2" ht="12.75" customHeight="1" x14ac:dyDescent="0.25">
      <c r="A1141" s="318">
        <v>90973925566</v>
      </c>
      <c r="B1141" s="318" t="s">
        <v>237</v>
      </c>
    </row>
    <row r="1142" spans="1:2" ht="12.75" customHeight="1" x14ac:dyDescent="0.25">
      <c r="A1142" s="318">
        <v>90973925650</v>
      </c>
      <c r="B1142" s="318" t="s">
        <v>237</v>
      </c>
    </row>
    <row r="1143" spans="1:2" ht="12.75" customHeight="1" x14ac:dyDescent="0.25">
      <c r="A1143" s="318">
        <v>90973925651</v>
      </c>
      <c r="B1143" s="318" t="s">
        <v>237</v>
      </c>
    </row>
    <row r="1144" spans="1:2" ht="12.75" customHeight="1" x14ac:dyDescent="0.25">
      <c r="A1144" s="318">
        <v>90973925652</v>
      </c>
      <c r="B1144" s="318" t="s">
        <v>237</v>
      </c>
    </row>
    <row r="1145" spans="1:2" ht="12.75" customHeight="1" x14ac:dyDescent="0.25">
      <c r="A1145" s="318">
        <v>90973925653</v>
      </c>
      <c r="B1145" s="318" t="s">
        <v>237</v>
      </c>
    </row>
    <row r="1146" spans="1:2" ht="12.75" customHeight="1" x14ac:dyDescent="0.25">
      <c r="A1146" s="318">
        <v>90973925654</v>
      </c>
      <c r="B1146" s="318" t="s">
        <v>237</v>
      </c>
    </row>
    <row r="1147" spans="1:2" ht="12.75" customHeight="1" x14ac:dyDescent="0.25">
      <c r="A1147" s="318">
        <v>90973925655</v>
      </c>
      <c r="B1147" s="318" t="s">
        <v>237</v>
      </c>
    </row>
    <row r="1148" spans="1:2" ht="12.75" customHeight="1" x14ac:dyDescent="0.25">
      <c r="A1148" s="318">
        <v>90973925656</v>
      </c>
      <c r="B1148" s="318" t="s">
        <v>237</v>
      </c>
    </row>
    <row r="1149" spans="1:2" ht="12.75" customHeight="1" x14ac:dyDescent="0.25">
      <c r="A1149" s="318">
        <v>90973925657</v>
      </c>
      <c r="B1149" s="318" t="s">
        <v>237</v>
      </c>
    </row>
    <row r="1150" spans="1:2" ht="12.75" customHeight="1" x14ac:dyDescent="0.25">
      <c r="A1150" s="318">
        <v>90973925659</v>
      </c>
      <c r="B1150" s="318" t="s">
        <v>237</v>
      </c>
    </row>
    <row r="1151" spans="1:2" ht="12.75" customHeight="1" x14ac:dyDescent="0.25">
      <c r="A1151" s="318">
        <v>90973925660</v>
      </c>
      <c r="B1151" s="318" t="s">
        <v>237</v>
      </c>
    </row>
    <row r="1152" spans="1:2" ht="12.75" customHeight="1" x14ac:dyDescent="0.25">
      <c r="A1152" s="318">
        <v>90973925661</v>
      </c>
      <c r="B1152" s="318" t="s">
        <v>237</v>
      </c>
    </row>
    <row r="1153" spans="1:2" ht="12.75" customHeight="1" x14ac:dyDescent="0.25">
      <c r="A1153" s="318">
        <v>90973925662</v>
      </c>
      <c r="B1153" s="318" t="s">
        <v>237</v>
      </c>
    </row>
    <row r="1154" spans="1:2" ht="12.75" customHeight="1" x14ac:dyDescent="0.25">
      <c r="A1154" s="318">
        <v>90973925663</v>
      </c>
      <c r="B1154" s="318" t="s">
        <v>237</v>
      </c>
    </row>
    <row r="1155" spans="1:2" ht="12.75" customHeight="1" x14ac:dyDescent="0.25">
      <c r="A1155" s="318">
        <v>90973925664</v>
      </c>
      <c r="B1155" s="318" t="s">
        <v>237</v>
      </c>
    </row>
    <row r="1156" spans="1:2" ht="12.75" customHeight="1" x14ac:dyDescent="0.25">
      <c r="A1156" s="318">
        <v>90973925665</v>
      </c>
      <c r="B1156" s="318" t="s">
        <v>237</v>
      </c>
    </row>
    <row r="1157" spans="1:2" ht="12.75" customHeight="1" x14ac:dyDescent="0.25">
      <c r="A1157" s="318">
        <v>90973925666</v>
      </c>
      <c r="B1157" s="318" t="s">
        <v>237</v>
      </c>
    </row>
    <row r="1158" spans="1:2" ht="12.75" customHeight="1" x14ac:dyDescent="0.25">
      <c r="A1158" s="318">
        <v>90974406523</v>
      </c>
      <c r="B1158" s="318" t="s">
        <v>23</v>
      </c>
    </row>
    <row r="1159" spans="1:2" ht="12.75" customHeight="1" x14ac:dyDescent="0.25">
      <c r="A1159" s="318">
        <v>90974406524</v>
      </c>
      <c r="B1159" s="318" t="s">
        <v>23</v>
      </c>
    </row>
    <row r="1160" spans="1:2" ht="12.75" customHeight="1" x14ac:dyDescent="0.25">
      <c r="A1160" s="318">
        <v>90974406525</v>
      </c>
      <c r="B1160" s="318" t="s">
        <v>23</v>
      </c>
    </row>
    <row r="1161" spans="1:2" ht="12.75" customHeight="1" x14ac:dyDescent="0.25">
      <c r="A1161" s="318">
        <v>90974406526</v>
      </c>
      <c r="B1161" s="318" t="s">
        <v>23</v>
      </c>
    </row>
    <row r="1162" spans="1:2" ht="12.75" customHeight="1" x14ac:dyDescent="0.25">
      <c r="A1162" s="318">
        <v>90974406527</v>
      </c>
      <c r="B1162" s="318" t="s">
        <v>23</v>
      </c>
    </row>
    <row r="1163" spans="1:2" ht="12.75" customHeight="1" x14ac:dyDescent="0.25">
      <c r="A1163" s="318">
        <v>90974406528</v>
      </c>
      <c r="B1163" s="318" t="s">
        <v>23</v>
      </c>
    </row>
    <row r="1164" spans="1:2" ht="12.75" customHeight="1" x14ac:dyDescent="0.25">
      <c r="A1164" s="318">
        <v>90974406529</v>
      </c>
      <c r="B1164" s="318" t="s">
        <v>23</v>
      </c>
    </row>
    <row r="1165" spans="1:2" ht="12.75" customHeight="1" x14ac:dyDescent="0.25">
      <c r="A1165" s="318">
        <v>90974406530</v>
      </c>
      <c r="B1165" s="318" t="s">
        <v>237</v>
      </c>
    </row>
    <row r="1166" spans="1:2" ht="12.75" customHeight="1" x14ac:dyDescent="0.25">
      <c r="A1166" s="318">
        <v>90974406532</v>
      </c>
      <c r="B1166" s="318" t="s">
        <v>23</v>
      </c>
    </row>
    <row r="1167" spans="1:2" ht="12.75" customHeight="1" x14ac:dyDescent="0.25">
      <c r="A1167" s="318">
        <v>90974406533</v>
      </c>
      <c r="B1167" s="318" t="s">
        <v>237</v>
      </c>
    </row>
    <row r="1168" spans="1:2" ht="12.75" customHeight="1" x14ac:dyDescent="0.25">
      <c r="A1168" s="318">
        <v>90974406534</v>
      </c>
      <c r="B1168" s="318" t="s">
        <v>23</v>
      </c>
    </row>
    <row r="1169" spans="1:2" ht="12.75" customHeight="1" x14ac:dyDescent="0.25">
      <c r="A1169" s="318">
        <v>90974406535</v>
      </c>
      <c r="B1169" s="318" t="s">
        <v>237</v>
      </c>
    </row>
    <row r="1170" spans="1:2" ht="12.75" customHeight="1" x14ac:dyDescent="0.25">
      <c r="A1170" s="318">
        <v>90974406536</v>
      </c>
      <c r="B1170" s="318" t="s">
        <v>23</v>
      </c>
    </row>
    <row r="1171" spans="1:2" ht="12.75" customHeight="1" x14ac:dyDescent="0.25">
      <c r="A1171" s="318">
        <v>90974406537</v>
      </c>
      <c r="B1171" s="318" t="s">
        <v>237</v>
      </c>
    </row>
    <row r="1172" spans="1:2" ht="12.75" customHeight="1" x14ac:dyDescent="0.25">
      <c r="A1172" s="318">
        <v>90974406538</v>
      </c>
      <c r="B1172" s="318" t="s">
        <v>23</v>
      </c>
    </row>
    <row r="1173" spans="1:2" ht="12.75" customHeight="1" x14ac:dyDescent="0.25">
      <c r="A1173" s="318">
        <v>90974406539</v>
      </c>
      <c r="B1173" s="318" t="s">
        <v>237</v>
      </c>
    </row>
    <row r="1174" spans="1:2" ht="12.75" customHeight="1" x14ac:dyDescent="0.25">
      <c r="A1174" s="318">
        <v>90974406623</v>
      </c>
      <c r="B1174" s="318" t="s">
        <v>237</v>
      </c>
    </row>
    <row r="1175" spans="1:2" ht="12.75" customHeight="1" x14ac:dyDescent="0.25">
      <c r="A1175" s="318">
        <v>90974406624</v>
      </c>
      <c r="B1175" s="318" t="s">
        <v>237</v>
      </c>
    </row>
    <row r="1176" spans="1:2" ht="12.75" customHeight="1" x14ac:dyDescent="0.25">
      <c r="A1176" s="318">
        <v>90974406625</v>
      </c>
      <c r="B1176" s="318" t="s">
        <v>237</v>
      </c>
    </row>
    <row r="1177" spans="1:2" ht="12.75" customHeight="1" x14ac:dyDescent="0.25">
      <c r="A1177" s="318">
        <v>90974406626</v>
      </c>
      <c r="B1177" s="318" t="s">
        <v>237</v>
      </c>
    </row>
    <row r="1178" spans="1:2" ht="12.75" customHeight="1" x14ac:dyDescent="0.25">
      <c r="A1178" s="318">
        <v>90974406627</v>
      </c>
      <c r="B1178" s="318" t="s">
        <v>237</v>
      </c>
    </row>
    <row r="1179" spans="1:2" ht="12.75" customHeight="1" x14ac:dyDescent="0.25">
      <c r="A1179" s="318">
        <v>90974406628</v>
      </c>
      <c r="B1179" s="318" t="s">
        <v>237</v>
      </c>
    </row>
    <row r="1180" spans="1:2" ht="12.75" customHeight="1" x14ac:dyDescent="0.25">
      <c r="A1180" s="318">
        <v>90974406629</v>
      </c>
      <c r="B1180" s="318" t="s">
        <v>237</v>
      </c>
    </row>
    <row r="1181" spans="1:2" ht="12.75" customHeight="1" x14ac:dyDescent="0.25">
      <c r="A1181" s="318">
        <v>90974406630</v>
      </c>
      <c r="B1181" s="318" t="s">
        <v>237</v>
      </c>
    </row>
    <row r="1182" spans="1:2" ht="12.75" customHeight="1" x14ac:dyDescent="0.25">
      <c r="A1182" s="318">
        <v>90974406632</v>
      </c>
      <c r="B1182" s="318" t="s">
        <v>237</v>
      </c>
    </row>
    <row r="1183" spans="1:2" ht="12.75" customHeight="1" x14ac:dyDescent="0.25">
      <c r="A1183" s="318">
        <v>90974406633</v>
      </c>
      <c r="B1183" s="318" t="s">
        <v>237</v>
      </c>
    </row>
    <row r="1184" spans="1:2" ht="12.75" customHeight="1" x14ac:dyDescent="0.25">
      <c r="A1184" s="318">
        <v>90974406634</v>
      </c>
      <c r="B1184" s="318" t="s">
        <v>237</v>
      </c>
    </row>
    <row r="1185" spans="1:2" ht="12.75" customHeight="1" x14ac:dyDescent="0.25">
      <c r="A1185" s="318">
        <v>90974406635</v>
      </c>
      <c r="B1185" s="318" t="s">
        <v>237</v>
      </c>
    </row>
    <row r="1186" spans="1:2" ht="12.75" customHeight="1" x14ac:dyDescent="0.25">
      <c r="A1186" s="318">
        <v>90974406636</v>
      </c>
      <c r="B1186" s="318" t="s">
        <v>237</v>
      </c>
    </row>
    <row r="1187" spans="1:2" ht="12.75" customHeight="1" x14ac:dyDescent="0.25">
      <c r="A1187" s="318">
        <v>90974406637</v>
      </c>
      <c r="B1187" s="318" t="s">
        <v>237</v>
      </c>
    </row>
    <row r="1188" spans="1:2" ht="12.75" customHeight="1" x14ac:dyDescent="0.25">
      <c r="A1188" s="318">
        <v>90974406638</v>
      </c>
      <c r="B1188" s="318" t="s">
        <v>237</v>
      </c>
    </row>
    <row r="1189" spans="1:2" ht="12.75" customHeight="1" x14ac:dyDescent="0.25">
      <c r="A1189" s="318">
        <v>90974406639</v>
      </c>
      <c r="B1189" s="318" t="s">
        <v>237</v>
      </c>
    </row>
    <row r="1190" spans="1:2" ht="12.75" customHeight="1" x14ac:dyDescent="0.25">
      <c r="A1190" s="318">
        <v>90974887496</v>
      </c>
      <c r="B1190" s="318" t="s">
        <v>23</v>
      </c>
    </row>
    <row r="1191" spans="1:2" ht="12.75" customHeight="1" x14ac:dyDescent="0.25">
      <c r="A1191" s="318">
        <v>90974887497</v>
      </c>
      <c r="B1191" s="318" t="s">
        <v>23</v>
      </c>
    </row>
    <row r="1192" spans="1:2" ht="12.75" customHeight="1" x14ac:dyDescent="0.25">
      <c r="A1192" s="318">
        <v>90974887498</v>
      </c>
      <c r="B1192" s="318" t="s">
        <v>23</v>
      </c>
    </row>
    <row r="1193" spans="1:2" ht="12.75" customHeight="1" x14ac:dyDescent="0.25">
      <c r="A1193" s="318">
        <v>90974887499</v>
      </c>
      <c r="B1193" s="318" t="s">
        <v>23</v>
      </c>
    </row>
    <row r="1194" spans="1:2" ht="12.75" customHeight="1" x14ac:dyDescent="0.25">
      <c r="A1194" s="318">
        <v>90974887500</v>
      </c>
      <c r="B1194" s="318" t="s">
        <v>23</v>
      </c>
    </row>
    <row r="1195" spans="1:2" ht="12.75" customHeight="1" x14ac:dyDescent="0.25">
      <c r="A1195" s="318">
        <v>90974887501</v>
      </c>
      <c r="B1195" s="318" t="s">
        <v>23</v>
      </c>
    </row>
    <row r="1196" spans="1:2" ht="12.75" customHeight="1" x14ac:dyDescent="0.25">
      <c r="A1196" s="318">
        <v>90974887502</v>
      </c>
      <c r="B1196" s="318" t="s">
        <v>23</v>
      </c>
    </row>
    <row r="1197" spans="1:2" ht="12.75" customHeight="1" x14ac:dyDescent="0.25">
      <c r="A1197" s="318">
        <v>90974887503</v>
      </c>
      <c r="B1197" s="318" t="s">
        <v>237</v>
      </c>
    </row>
    <row r="1198" spans="1:2" ht="12.75" customHeight="1" x14ac:dyDescent="0.25">
      <c r="A1198" s="318">
        <v>90974887505</v>
      </c>
      <c r="B1198" s="318" t="s">
        <v>23</v>
      </c>
    </row>
    <row r="1199" spans="1:2" ht="12.75" customHeight="1" x14ac:dyDescent="0.25">
      <c r="A1199" s="318">
        <v>90974887506</v>
      </c>
      <c r="B1199" s="318" t="s">
        <v>237</v>
      </c>
    </row>
    <row r="1200" spans="1:2" ht="12.75" customHeight="1" x14ac:dyDescent="0.25">
      <c r="A1200" s="318">
        <v>90974887507</v>
      </c>
      <c r="B1200" s="318" t="s">
        <v>23</v>
      </c>
    </row>
    <row r="1201" spans="1:2" ht="12.75" customHeight="1" x14ac:dyDescent="0.25">
      <c r="A1201" s="318">
        <v>90974887508</v>
      </c>
      <c r="B1201" s="318" t="s">
        <v>237</v>
      </c>
    </row>
    <row r="1202" spans="1:2" ht="12.75" customHeight="1" x14ac:dyDescent="0.25">
      <c r="A1202" s="318">
        <v>90974887509</v>
      </c>
      <c r="B1202" s="318" t="s">
        <v>23</v>
      </c>
    </row>
    <row r="1203" spans="1:2" ht="12.75" customHeight="1" x14ac:dyDescent="0.25">
      <c r="A1203" s="318">
        <v>90974887510</v>
      </c>
      <c r="B1203" s="318" t="s">
        <v>237</v>
      </c>
    </row>
    <row r="1204" spans="1:2" ht="12.75" customHeight="1" x14ac:dyDescent="0.25">
      <c r="A1204" s="318">
        <v>90974887511</v>
      </c>
      <c r="B1204" s="318" t="s">
        <v>23</v>
      </c>
    </row>
    <row r="1205" spans="1:2" ht="12.75" customHeight="1" x14ac:dyDescent="0.25">
      <c r="A1205" s="318">
        <v>90974887512</v>
      </c>
      <c r="B1205" s="318" t="s">
        <v>237</v>
      </c>
    </row>
    <row r="1206" spans="1:2" ht="12.75" customHeight="1" x14ac:dyDescent="0.25">
      <c r="A1206" s="318">
        <v>90974887596</v>
      </c>
      <c r="B1206" s="318" t="s">
        <v>237</v>
      </c>
    </row>
    <row r="1207" spans="1:2" ht="12.75" customHeight="1" x14ac:dyDescent="0.25">
      <c r="A1207" s="318">
        <v>90974887597</v>
      </c>
      <c r="B1207" s="318" t="s">
        <v>237</v>
      </c>
    </row>
    <row r="1208" spans="1:2" ht="12.75" customHeight="1" x14ac:dyDescent="0.25">
      <c r="A1208" s="318">
        <v>90974887598</v>
      </c>
      <c r="B1208" s="318" t="s">
        <v>237</v>
      </c>
    </row>
    <row r="1209" spans="1:2" ht="12.75" customHeight="1" x14ac:dyDescent="0.25">
      <c r="A1209" s="318">
        <v>90974887599</v>
      </c>
      <c r="B1209" s="318" t="s">
        <v>237</v>
      </c>
    </row>
    <row r="1210" spans="1:2" ht="12.75" customHeight="1" x14ac:dyDescent="0.25">
      <c r="A1210" s="318">
        <v>90974887600</v>
      </c>
      <c r="B1210" s="318" t="s">
        <v>237</v>
      </c>
    </row>
    <row r="1211" spans="1:2" ht="12.75" customHeight="1" x14ac:dyDescent="0.25">
      <c r="A1211" s="318">
        <v>90974887601</v>
      </c>
      <c r="B1211" s="318" t="s">
        <v>237</v>
      </c>
    </row>
    <row r="1212" spans="1:2" ht="12.75" customHeight="1" x14ac:dyDescent="0.25">
      <c r="A1212" s="318">
        <v>90974887602</v>
      </c>
      <c r="B1212" s="318" t="s">
        <v>237</v>
      </c>
    </row>
    <row r="1213" spans="1:2" ht="12.75" customHeight="1" x14ac:dyDescent="0.25">
      <c r="A1213" s="318">
        <v>90974887603</v>
      </c>
      <c r="B1213" s="318" t="s">
        <v>237</v>
      </c>
    </row>
    <row r="1214" spans="1:2" ht="12.75" customHeight="1" x14ac:dyDescent="0.25">
      <c r="A1214" s="318">
        <v>90974887605</v>
      </c>
      <c r="B1214" s="318" t="s">
        <v>237</v>
      </c>
    </row>
    <row r="1215" spans="1:2" ht="12.75" customHeight="1" x14ac:dyDescent="0.25">
      <c r="A1215" s="318">
        <v>90974887606</v>
      </c>
      <c r="B1215" s="318" t="s">
        <v>237</v>
      </c>
    </row>
    <row r="1216" spans="1:2" ht="12.75" customHeight="1" x14ac:dyDescent="0.25">
      <c r="A1216" s="318">
        <v>90974887607</v>
      </c>
      <c r="B1216" s="318" t="s">
        <v>237</v>
      </c>
    </row>
    <row r="1217" spans="1:2" ht="12.75" customHeight="1" x14ac:dyDescent="0.25">
      <c r="A1217" s="318">
        <v>90974887608</v>
      </c>
      <c r="B1217" s="318" t="s">
        <v>237</v>
      </c>
    </row>
    <row r="1218" spans="1:2" ht="12.75" customHeight="1" x14ac:dyDescent="0.25">
      <c r="A1218" s="318">
        <v>90974887609</v>
      </c>
      <c r="B1218" s="318" t="s">
        <v>237</v>
      </c>
    </row>
    <row r="1219" spans="1:2" ht="12.75" customHeight="1" x14ac:dyDescent="0.25">
      <c r="A1219" s="318">
        <v>90974887610</v>
      </c>
      <c r="B1219" s="318" t="s">
        <v>237</v>
      </c>
    </row>
    <row r="1220" spans="1:2" ht="12.75" customHeight="1" x14ac:dyDescent="0.25">
      <c r="A1220" s="318">
        <v>90974887611</v>
      </c>
      <c r="B1220" s="318" t="s">
        <v>237</v>
      </c>
    </row>
    <row r="1221" spans="1:2" ht="12.75" customHeight="1" x14ac:dyDescent="0.25">
      <c r="A1221" s="318">
        <v>90974887612</v>
      </c>
      <c r="B1221" s="318" t="s">
        <v>237</v>
      </c>
    </row>
    <row r="1222" spans="1:2" ht="12.75" customHeight="1" x14ac:dyDescent="0.25">
      <c r="A1222" s="318">
        <v>90975567687</v>
      </c>
      <c r="B1222" s="318" t="s">
        <v>23</v>
      </c>
    </row>
    <row r="1223" spans="1:2" ht="12.75" customHeight="1" x14ac:dyDescent="0.25">
      <c r="A1223" s="318">
        <v>90975567688</v>
      </c>
      <c r="B1223" s="318" t="s">
        <v>23</v>
      </c>
    </row>
    <row r="1224" spans="1:2" ht="12.75" customHeight="1" x14ac:dyDescent="0.25">
      <c r="A1224" s="318">
        <v>90975567689</v>
      </c>
      <c r="B1224" s="318" t="s">
        <v>23</v>
      </c>
    </row>
    <row r="1225" spans="1:2" ht="12.75" customHeight="1" x14ac:dyDescent="0.25">
      <c r="A1225" s="318">
        <v>90975567690</v>
      </c>
      <c r="B1225" s="318" t="s">
        <v>23</v>
      </c>
    </row>
    <row r="1226" spans="1:2" ht="12.75" customHeight="1" x14ac:dyDescent="0.25">
      <c r="A1226" s="318">
        <v>90975567691</v>
      </c>
      <c r="B1226" s="318" t="s">
        <v>23</v>
      </c>
    </row>
    <row r="1227" spans="1:2" ht="12.75" customHeight="1" x14ac:dyDescent="0.25">
      <c r="A1227" s="318">
        <v>90975567692</v>
      </c>
      <c r="B1227" s="318" t="s">
        <v>23</v>
      </c>
    </row>
    <row r="1228" spans="1:2" ht="12.75" customHeight="1" x14ac:dyDescent="0.25">
      <c r="A1228" s="318">
        <v>90975567693</v>
      </c>
      <c r="B1228" s="318" t="s">
        <v>23</v>
      </c>
    </row>
    <row r="1229" spans="1:2" ht="12.75" customHeight="1" x14ac:dyDescent="0.25">
      <c r="A1229" s="318">
        <v>90975567694</v>
      </c>
      <c r="B1229" s="318" t="s">
        <v>237</v>
      </c>
    </row>
    <row r="1230" spans="1:2" ht="12.75" customHeight="1" x14ac:dyDescent="0.25">
      <c r="A1230" s="318">
        <v>90975567696</v>
      </c>
      <c r="B1230" s="318" t="s">
        <v>23</v>
      </c>
    </row>
    <row r="1231" spans="1:2" ht="12.75" customHeight="1" x14ac:dyDescent="0.25">
      <c r="A1231" s="318">
        <v>90975567697</v>
      </c>
      <c r="B1231" s="318" t="s">
        <v>237</v>
      </c>
    </row>
    <row r="1232" spans="1:2" ht="12.75" customHeight="1" x14ac:dyDescent="0.25">
      <c r="A1232" s="318">
        <v>90975567698</v>
      </c>
      <c r="B1232" s="318" t="s">
        <v>23</v>
      </c>
    </row>
    <row r="1233" spans="1:2" ht="12.75" customHeight="1" x14ac:dyDescent="0.25">
      <c r="A1233" s="318">
        <v>90975567699</v>
      </c>
      <c r="B1233" s="318" t="s">
        <v>237</v>
      </c>
    </row>
    <row r="1234" spans="1:2" ht="12.75" customHeight="1" x14ac:dyDescent="0.25">
      <c r="A1234" s="318">
        <v>90975567700</v>
      </c>
      <c r="B1234" s="318" t="s">
        <v>23</v>
      </c>
    </row>
    <row r="1235" spans="1:2" ht="12.75" customHeight="1" x14ac:dyDescent="0.25">
      <c r="A1235" s="318">
        <v>90975567701</v>
      </c>
      <c r="B1235" s="318" t="s">
        <v>237</v>
      </c>
    </row>
    <row r="1236" spans="1:2" ht="12.75" customHeight="1" x14ac:dyDescent="0.25">
      <c r="A1236" s="318">
        <v>90975567702</v>
      </c>
      <c r="B1236" s="318" t="s">
        <v>23</v>
      </c>
    </row>
    <row r="1237" spans="1:2" ht="12.75" customHeight="1" x14ac:dyDescent="0.25">
      <c r="A1237" s="318">
        <v>90975567703</v>
      </c>
      <c r="B1237" s="318" t="s">
        <v>237</v>
      </c>
    </row>
    <row r="1238" spans="1:2" ht="12.75" customHeight="1" x14ac:dyDescent="0.25">
      <c r="A1238" s="318">
        <v>90975567787</v>
      </c>
      <c r="B1238" s="318" t="s">
        <v>237</v>
      </c>
    </row>
    <row r="1239" spans="1:2" ht="12.75" customHeight="1" x14ac:dyDescent="0.25">
      <c r="A1239" s="318">
        <v>90975567788</v>
      </c>
      <c r="B1239" s="318" t="s">
        <v>237</v>
      </c>
    </row>
    <row r="1240" spans="1:2" ht="12.75" customHeight="1" x14ac:dyDescent="0.25">
      <c r="A1240" s="318">
        <v>90975567789</v>
      </c>
      <c r="B1240" s="318" t="s">
        <v>237</v>
      </c>
    </row>
    <row r="1241" spans="1:2" ht="12.75" customHeight="1" x14ac:dyDescent="0.25">
      <c r="A1241" s="318">
        <v>90975567790</v>
      </c>
      <c r="B1241" s="318" t="s">
        <v>237</v>
      </c>
    </row>
    <row r="1242" spans="1:2" ht="12.75" customHeight="1" x14ac:dyDescent="0.25">
      <c r="A1242" s="318">
        <v>90975567791</v>
      </c>
      <c r="B1242" s="318" t="s">
        <v>237</v>
      </c>
    </row>
    <row r="1243" spans="1:2" ht="12.75" customHeight="1" x14ac:dyDescent="0.25">
      <c r="A1243" s="318">
        <v>90975567792</v>
      </c>
      <c r="B1243" s="318" t="s">
        <v>237</v>
      </c>
    </row>
    <row r="1244" spans="1:2" ht="12.75" customHeight="1" x14ac:dyDescent="0.25">
      <c r="A1244" s="318">
        <v>90975567793</v>
      </c>
      <c r="B1244" s="318" t="s">
        <v>237</v>
      </c>
    </row>
    <row r="1245" spans="1:2" ht="12.75" customHeight="1" x14ac:dyDescent="0.25">
      <c r="A1245" s="318">
        <v>90975567794</v>
      </c>
      <c r="B1245" s="318" t="s">
        <v>237</v>
      </c>
    </row>
    <row r="1246" spans="1:2" ht="12.75" customHeight="1" x14ac:dyDescent="0.25">
      <c r="A1246" s="318">
        <v>90975567796</v>
      </c>
      <c r="B1246" s="318" t="s">
        <v>237</v>
      </c>
    </row>
    <row r="1247" spans="1:2" ht="12.75" customHeight="1" x14ac:dyDescent="0.25">
      <c r="A1247" s="318">
        <v>90975567797</v>
      </c>
      <c r="B1247" s="318" t="s">
        <v>237</v>
      </c>
    </row>
    <row r="1248" spans="1:2" ht="12.75" customHeight="1" x14ac:dyDescent="0.25">
      <c r="A1248" s="318">
        <v>90975567798</v>
      </c>
      <c r="B1248" s="318" t="s">
        <v>237</v>
      </c>
    </row>
    <row r="1249" spans="1:2" ht="12.75" customHeight="1" x14ac:dyDescent="0.25">
      <c r="A1249" s="318">
        <v>90975567799</v>
      </c>
      <c r="B1249" s="318" t="s">
        <v>237</v>
      </c>
    </row>
    <row r="1250" spans="1:2" ht="12.75" customHeight="1" x14ac:dyDescent="0.25">
      <c r="A1250" s="318">
        <v>90975567800</v>
      </c>
      <c r="B1250" s="318" t="s">
        <v>237</v>
      </c>
    </row>
    <row r="1251" spans="1:2" ht="12.75" customHeight="1" x14ac:dyDescent="0.25">
      <c r="A1251" s="318">
        <v>90975567801</v>
      </c>
      <c r="B1251" s="318" t="s">
        <v>237</v>
      </c>
    </row>
    <row r="1252" spans="1:2" ht="12.75" customHeight="1" x14ac:dyDescent="0.25">
      <c r="A1252" s="318">
        <v>90975567802</v>
      </c>
      <c r="B1252" s="318" t="s">
        <v>237</v>
      </c>
    </row>
    <row r="1253" spans="1:2" ht="12.75" customHeight="1" x14ac:dyDescent="0.25">
      <c r="A1253" s="318">
        <v>90975567803</v>
      </c>
      <c r="B1253" s="318" t="s">
        <v>237</v>
      </c>
    </row>
    <row r="1254" spans="1:2" ht="12.75" customHeight="1" x14ac:dyDescent="0.25">
      <c r="A1254" s="318">
        <v>90976048660</v>
      </c>
      <c r="B1254" s="318" t="s">
        <v>23</v>
      </c>
    </row>
    <row r="1255" spans="1:2" ht="12.75" customHeight="1" x14ac:dyDescent="0.25">
      <c r="A1255" s="318">
        <v>90976048661</v>
      </c>
      <c r="B1255" s="318" t="s">
        <v>23</v>
      </c>
    </row>
    <row r="1256" spans="1:2" ht="12.75" customHeight="1" x14ac:dyDescent="0.25">
      <c r="A1256" s="318">
        <v>90976048662</v>
      </c>
      <c r="B1256" s="318" t="s">
        <v>23</v>
      </c>
    </row>
    <row r="1257" spans="1:2" ht="12.75" customHeight="1" x14ac:dyDescent="0.25">
      <c r="A1257" s="318">
        <v>90976048663</v>
      </c>
      <c r="B1257" s="318" t="s">
        <v>23</v>
      </c>
    </row>
    <row r="1258" spans="1:2" ht="12.75" customHeight="1" x14ac:dyDescent="0.25">
      <c r="A1258" s="318">
        <v>90976048664</v>
      </c>
      <c r="B1258" s="318" t="s">
        <v>23</v>
      </c>
    </row>
    <row r="1259" spans="1:2" ht="12.75" customHeight="1" x14ac:dyDescent="0.25">
      <c r="A1259" s="318">
        <v>90976048665</v>
      </c>
      <c r="B1259" s="318" t="s">
        <v>23</v>
      </c>
    </row>
    <row r="1260" spans="1:2" ht="12.75" customHeight="1" x14ac:dyDescent="0.25">
      <c r="A1260" s="318">
        <v>90976048666</v>
      </c>
      <c r="B1260" s="318" t="s">
        <v>23</v>
      </c>
    </row>
    <row r="1261" spans="1:2" ht="12.75" customHeight="1" x14ac:dyDescent="0.25">
      <c r="A1261" s="318">
        <v>90976048667</v>
      </c>
      <c r="B1261" s="318" t="s">
        <v>237</v>
      </c>
    </row>
    <row r="1262" spans="1:2" ht="12.75" customHeight="1" x14ac:dyDescent="0.25">
      <c r="A1262" s="318">
        <v>90976048669</v>
      </c>
      <c r="B1262" s="318" t="s">
        <v>23</v>
      </c>
    </row>
    <row r="1263" spans="1:2" ht="12.75" customHeight="1" x14ac:dyDescent="0.25">
      <c r="A1263" s="318">
        <v>90976048670</v>
      </c>
      <c r="B1263" s="318" t="s">
        <v>237</v>
      </c>
    </row>
    <row r="1264" spans="1:2" ht="12.75" customHeight="1" x14ac:dyDescent="0.25">
      <c r="A1264" s="318">
        <v>90976048671</v>
      </c>
      <c r="B1264" s="318" t="s">
        <v>23</v>
      </c>
    </row>
    <row r="1265" spans="1:2" ht="12.75" customHeight="1" x14ac:dyDescent="0.25">
      <c r="A1265" s="318">
        <v>90976048672</v>
      </c>
      <c r="B1265" s="318" t="s">
        <v>237</v>
      </c>
    </row>
    <row r="1266" spans="1:2" ht="12.75" customHeight="1" x14ac:dyDescent="0.25">
      <c r="A1266" s="318">
        <v>90976048673</v>
      </c>
      <c r="B1266" s="318" t="s">
        <v>23</v>
      </c>
    </row>
    <row r="1267" spans="1:2" ht="12.75" customHeight="1" x14ac:dyDescent="0.25">
      <c r="A1267" s="318">
        <v>90976048674</v>
      </c>
      <c r="B1267" s="318" t="s">
        <v>237</v>
      </c>
    </row>
    <row r="1268" spans="1:2" ht="12.75" customHeight="1" x14ac:dyDescent="0.25">
      <c r="A1268" s="318">
        <v>90976048675</v>
      </c>
      <c r="B1268" s="318" t="s">
        <v>23</v>
      </c>
    </row>
    <row r="1269" spans="1:2" ht="12.75" customHeight="1" x14ac:dyDescent="0.25">
      <c r="A1269" s="318">
        <v>90976048676</v>
      </c>
      <c r="B1269" s="318" t="s">
        <v>237</v>
      </c>
    </row>
    <row r="1270" spans="1:2" ht="12.75" customHeight="1" x14ac:dyDescent="0.25">
      <c r="A1270" s="318">
        <v>90976048760</v>
      </c>
      <c r="B1270" s="318" t="s">
        <v>237</v>
      </c>
    </row>
    <row r="1271" spans="1:2" ht="12.75" customHeight="1" x14ac:dyDescent="0.25">
      <c r="A1271" s="318">
        <v>90976048761</v>
      </c>
      <c r="B1271" s="318" t="s">
        <v>237</v>
      </c>
    </row>
    <row r="1272" spans="1:2" ht="12.75" customHeight="1" x14ac:dyDescent="0.25">
      <c r="A1272" s="318">
        <v>90976048762</v>
      </c>
      <c r="B1272" s="318" t="s">
        <v>237</v>
      </c>
    </row>
    <row r="1273" spans="1:2" ht="12.75" customHeight="1" x14ac:dyDescent="0.25">
      <c r="A1273" s="318">
        <v>90976048763</v>
      </c>
      <c r="B1273" s="318" t="s">
        <v>237</v>
      </c>
    </row>
    <row r="1274" spans="1:2" ht="12.75" customHeight="1" x14ac:dyDescent="0.25">
      <c r="A1274" s="318">
        <v>90976048764</v>
      </c>
      <c r="B1274" s="318" t="s">
        <v>237</v>
      </c>
    </row>
    <row r="1275" spans="1:2" ht="12.75" customHeight="1" x14ac:dyDescent="0.25">
      <c r="A1275" s="318">
        <v>90976048765</v>
      </c>
      <c r="B1275" s="318" t="s">
        <v>237</v>
      </c>
    </row>
    <row r="1276" spans="1:2" ht="12.75" customHeight="1" x14ac:dyDescent="0.25">
      <c r="A1276" s="318">
        <v>90976048766</v>
      </c>
      <c r="B1276" s="318" t="s">
        <v>237</v>
      </c>
    </row>
    <row r="1277" spans="1:2" ht="12.75" customHeight="1" x14ac:dyDescent="0.25">
      <c r="A1277" s="318">
        <v>90976048767</v>
      </c>
      <c r="B1277" s="318" t="s">
        <v>237</v>
      </c>
    </row>
    <row r="1278" spans="1:2" ht="12.75" customHeight="1" x14ac:dyDescent="0.25">
      <c r="A1278" s="318">
        <v>90976048769</v>
      </c>
      <c r="B1278" s="318" t="s">
        <v>237</v>
      </c>
    </row>
    <row r="1279" spans="1:2" ht="12.75" customHeight="1" x14ac:dyDescent="0.25">
      <c r="A1279" s="318">
        <v>90976048770</v>
      </c>
      <c r="B1279" s="318" t="s">
        <v>237</v>
      </c>
    </row>
    <row r="1280" spans="1:2" ht="12.75" customHeight="1" x14ac:dyDescent="0.25">
      <c r="A1280" s="318">
        <v>90976048771</v>
      </c>
      <c r="B1280" s="318" t="s">
        <v>237</v>
      </c>
    </row>
    <row r="1281" spans="1:2" ht="12.75" customHeight="1" x14ac:dyDescent="0.25">
      <c r="A1281" s="318">
        <v>90976048772</v>
      </c>
      <c r="B1281" s="318" t="s">
        <v>237</v>
      </c>
    </row>
    <row r="1282" spans="1:2" ht="12.75" customHeight="1" x14ac:dyDescent="0.25">
      <c r="A1282" s="318">
        <v>90976048773</v>
      </c>
      <c r="B1282" s="318" t="s">
        <v>237</v>
      </c>
    </row>
    <row r="1283" spans="1:2" ht="12.75" customHeight="1" x14ac:dyDescent="0.25">
      <c r="A1283" s="318">
        <v>90976048774</v>
      </c>
      <c r="B1283" s="318" t="s">
        <v>237</v>
      </c>
    </row>
    <row r="1284" spans="1:2" ht="12.75" customHeight="1" x14ac:dyDescent="0.25">
      <c r="A1284" s="318">
        <v>90976048775</v>
      </c>
      <c r="B1284" s="318" t="s">
        <v>237</v>
      </c>
    </row>
    <row r="1285" spans="1:2" ht="12.75" customHeight="1" x14ac:dyDescent="0.25">
      <c r="A1285" s="318">
        <v>90976048776</v>
      </c>
      <c r="B1285" s="318" t="s">
        <v>237</v>
      </c>
    </row>
    <row r="1286" spans="1:2" ht="12.75" customHeight="1" x14ac:dyDescent="0.25">
      <c r="A1286" s="318">
        <v>90976529633</v>
      </c>
      <c r="B1286" s="318" t="s">
        <v>23</v>
      </c>
    </row>
    <row r="1287" spans="1:2" ht="12.75" customHeight="1" x14ac:dyDescent="0.25">
      <c r="A1287" s="318">
        <v>90976529634</v>
      </c>
      <c r="B1287" s="318" t="s">
        <v>23</v>
      </c>
    </row>
    <row r="1288" spans="1:2" ht="12.75" customHeight="1" x14ac:dyDescent="0.25">
      <c r="A1288" s="318">
        <v>90976529635</v>
      </c>
      <c r="B1288" s="318" t="s">
        <v>23</v>
      </c>
    </row>
    <row r="1289" spans="1:2" ht="12.75" customHeight="1" x14ac:dyDescent="0.25">
      <c r="A1289" s="318">
        <v>90976529636</v>
      </c>
      <c r="B1289" s="318" t="s">
        <v>23</v>
      </c>
    </row>
    <row r="1290" spans="1:2" ht="12.75" customHeight="1" x14ac:dyDescent="0.25">
      <c r="A1290" s="318">
        <v>90976529637</v>
      </c>
      <c r="B1290" s="318" t="s">
        <v>23</v>
      </c>
    </row>
    <row r="1291" spans="1:2" ht="12.75" customHeight="1" x14ac:dyDescent="0.25">
      <c r="A1291" s="318">
        <v>90976529638</v>
      </c>
      <c r="B1291" s="318" t="s">
        <v>23</v>
      </c>
    </row>
    <row r="1292" spans="1:2" ht="12.75" customHeight="1" x14ac:dyDescent="0.25">
      <c r="A1292" s="318">
        <v>90976529639</v>
      </c>
      <c r="B1292" s="318" t="s">
        <v>23</v>
      </c>
    </row>
    <row r="1293" spans="1:2" ht="12.75" customHeight="1" x14ac:dyDescent="0.25">
      <c r="A1293" s="318">
        <v>90976529640</v>
      </c>
      <c r="B1293" s="318" t="s">
        <v>237</v>
      </c>
    </row>
    <row r="1294" spans="1:2" ht="12.75" customHeight="1" x14ac:dyDescent="0.25">
      <c r="A1294" s="318">
        <v>90976529642</v>
      </c>
      <c r="B1294" s="318" t="s">
        <v>23</v>
      </c>
    </row>
    <row r="1295" spans="1:2" ht="12.75" customHeight="1" x14ac:dyDescent="0.25">
      <c r="A1295" s="318">
        <v>90976529643</v>
      </c>
      <c r="B1295" s="318" t="s">
        <v>237</v>
      </c>
    </row>
    <row r="1296" spans="1:2" ht="12.75" customHeight="1" x14ac:dyDescent="0.25">
      <c r="A1296" s="318">
        <v>90976529644</v>
      </c>
      <c r="B1296" s="318" t="s">
        <v>23</v>
      </c>
    </row>
    <row r="1297" spans="1:2" ht="12.75" customHeight="1" x14ac:dyDescent="0.25">
      <c r="A1297" s="318">
        <v>90976529645</v>
      </c>
      <c r="B1297" s="318" t="s">
        <v>237</v>
      </c>
    </row>
    <row r="1298" spans="1:2" ht="12.75" customHeight="1" x14ac:dyDescent="0.25">
      <c r="A1298" s="318">
        <v>90976529646</v>
      </c>
      <c r="B1298" s="318" t="s">
        <v>23</v>
      </c>
    </row>
    <row r="1299" spans="1:2" ht="12.75" customHeight="1" x14ac:dyDescent="0.25">
      <c r="A1299" s="318">
        <v>90976529647</v>
      </c>
      <c r="B1299" s="318" t="s">
        <v>237</v>
      </c>
    </row>
    <row r="1300" spans="1:2" ht="12.75" customHeight="1" x14ac:dyDescent="0.25">
      <c r="A1300" s="318">
        <v>90976529648</v>
      </c>
      <c r="B1300" s="318" t="s">
        <v>23</v>
      </c>
    </row>
    <row r="1301" spans="1:2" ht="12.75" customHeight="1" x14ac:dyDescent="0.25">
      <c r="A1301" s="318">
        <v>90976529649</v>
      </c>
      <c r="B1301" s="318" t="s">
        <v>237</v>
      </c>
    </row>
    <row r="1302" spans="1:2" ht="12.75" customHeight="1" x14ac:dyDescent="0.25">
      <c r="A1302" s="318">
        <v>90976529733</v>
      </c>
      <c r="B1302" s="318" t="s">
        <v>237</v>
      </c>
    </row>
    <row r="1303" spans="1:2" ht="12.75" customHeight="1" x14ac:dyDescent="0.25">
      <c r="A1303" s="318">
        <v>90976529734</v>
      </c>
      <c r="B1303" s="318" t="s">
        <v>237</v>
      </c>
    </row>
    <row r="1304" spans="1:2" ht="12.75" customHeight="1" x14ac:dyDescent="0.25">
      <c r="A1304" s="318">
        <v>90976529735</v>
      </c>
      <c r="B1304" s="318" t="s">
        <v>237</v>
      </c>
    </row>
    <row r="1305" spans="1:2" ht="12.75" customHeight="1" x14ac:dyDescent="0.25">
      <c r="A1305" s="318">
        <v>90976529736</v>
      </c>
      <c r="B1305" s="318" t="s">
        <v>237</v>
      </c>
    </row>
    <row r="1306" spans="1:2" ht="12.75" customHeight="1" x14ac:dyDescent="0.25">
      <c r="A1306" s="318">
        <v>90976529737</v>
      </c>
      <c r="B1306" s="318" t="s">
        <v>237</v>
      </c>
    </row>
    <row r="1307" spans="1:2" ht="12.75" customHeight="1" x14ac:dyDescent="0.25">
      <c r="A1307" s="318">
        <v>90976529738</v>
      </c>
      <c r="B1307" s="318" t="s">
        <v>237</v>
      </c>
    </row>
    <row r="1308" spans="1:2" ht="12.75" customHeight="1" x14ac:dyDescent="0.25">
      <c r="A1308" s="318">
        <v>90976529739</v>
      </c>
      <c r="B1308" s="318" t="s">
        <v>237</v>
      </c>
    </row>
    <row r="1309" spans="1:2" ht="12.75" customHeight="1" x14ac:dyDescent="0.25">
      <c r="A1309" s="318">
        <v>90976529740</v>
      </c>
      <c r="B1309" s="318" t="s">
        <v>237</v>
      </c>
    </row>
    <row r="1310" spans="1:2" ht="12.75" customHeight="1" x14ac:dyDescent="0.25">
      <c r="A1310" s="318">
        <v>90976529742</v>
      </c>
      <c r="B1310" s="318" t="s">
        <v>237</v>
      </c>
    </row>
    <row r="1311" spans="1:2" ht="12.75" customHeight="1" x14ac:dyDescent="0.25">
      <c r="A1311" s="318">
        <v>90976529743</v>
      </c>
      <c r="B1311" s="318" t="s">
        <v>237</v>
      </c>
    </row>
    <row r="1312" spans="1:2" ht="12.75" customHeight="1" x14ac:dyDescent="0.25">
      <c r="A1312" s="318">
        <v>90976529744</v>
      </c>
      <c r="B1312" s="318" t="s">
        <v>237</v>
      </c>
    </row>
    <row r="1313" spans="1:2" ht="12.75" customHeight="1" x14ac:dyDescent="0.25">
      <c r="A1313" s="318">
        <v>90976529745</v>
      </c>
      <c r="B1313" s="318" t="s">
        <v>237</v>
      </c>
    </row>
    <row r="1314" spans="1:2" ht="12.75" customHeight="1" x14ac:dyDescent="0.25">
      <c r="A1314" s="318">
        <v>90976529746</v>
      </c>
      <c r="B1314" s="318" t="s">
        <v>237</v>
      </c>
    </row>
    <row r="1315" spans="1:2" ht="12.75" customHeight="1" x14ac:dyDescent="0.25">
      <c r="A1315" s="318">
        <v>90976529747</v>
      </c>
      <c r="B1315" s="318" t="s">
        <v>237</v>
      </c>
    </row>
    <row r="1316" spans="1:2" ht="12.75" customHeight="1" x14ac:dyDescent="0.25">
      <c r="A1316" s="318">
        <v>90976529748</v>
      </c>
      <c r="B1316" s="318" t="s">
        <v>237</v>
      </c>
    </row>
    <row r="1317" spans="1:2" ht="12.75" customHeight="1" x14ac:dyDescent="0.25">
      <c r="A1317" s="318">
        <v>90976529749</v>
      </c>
      <c r="B1317" s="318" t="s">
        <v>237</v>
      </c>
    </row>
    <row r="1318" spans="1:2" ht="12.75" customHeight="1" x14ac:dyDescent="0.25">
      <c r="A1318" s="318">
        <v>91026425524</v>
      </c>
      <c r="B1318" s="318" t="s">
        <v>23</v>
      </c>
    </row>
    <row r="1319" spans="1:2" ht="12.75" customHeight="1" x14ac:dyDescent="0.25">
      <c r="A1319" s="318">
        <v>91026425525</v>
      </c>
      <c r="B1319" s="318" t="s">
        <v>23</v>
      </c>
    </row>
    <row r="1320" spans="1:2" ht="12.75" customHeight="1" x14ac:dyDescent="0.25">
      <c r="A1320" s="318">
        <v>91026425526</v>
      </c>
      <c r="B1320" s="318" t="s">
        <v>23</v>
      </c>
    </row>
    <row r="1321" spans="1:2" ht="12.75" customHeight="1" x14ac:dyDescent="0.25">
      <c r="A1321" s="318">
        <v>91026425527</v>
      </c>
      <c r="B1321" s="318" t="s">
        <v>23</v>
      </c>
    </row>
    <row r="1322" spans="1:2" ht="12.75" customHeight="1" x14ac:dyDescent="0.25">
      <c r="A1322" s="318">
        <v>91026425528</v>
      </c>
      <c r="B1322" s="318" t="s">
        <v>23</v>
      </c>
    </row>
    <row r="1323" spans="1:2" ht="12.75" customHeight="1" x14ac:dyDescent="0.25">
      <c r="A1323" s="318">
        <v>91026425529</v>
      </c>
      <c r="B1323" s="318" t="s">
        <v>23</v>
      </c>
    </row>
    <row r="1324" spans="1:2" ht="12.75" customHeight="1" x14ac:dyDescent="0.25">
      <c r="A1324" s="318">
        <v>91026425530</v>
      </c>
      <c r="B1324" s="318" t="s">
        <v>237</v>
      </c>
    </row>
    <row r="1325" spans="1:2" ht="12.75" customHeight="1" x14ac:dyDescent="0.25">
      <c r="A1325" s="318">
        <v>91026425531</v>
      </c>
      <c r="B1325" s="318" t="s">
        <v>237</v>
      </c>
    </row>
    <row r="1326" spans="1:2" ht="12.75" customHeight="1" x14ac:dyDescent="0.25">
      <c r="A1326" s="318">
        <v>91026425533</v>
      </c>
      <c r="B1326" s="318" t="s">
        <v>237</v>
      </c>
    </row>
    <row r="1327" spans="1:2" ht="12.75" customHeight="1" x14ac:dyDescent="0.25">
      <c r="A1327" s="318">
        <v>91026425534</v>
      </c>
      <c r="B1327" s="318" t="s">
        <v>237</v>
      </c>
    </row>
    <row r="1328" spans="1:2" ht="12.75" customHeight="1" x14ac:dyDescent="0.25">
      <c r="A1328" s="318">
        <v>91026425535</v>
      </c>
      <c r="B1328" s="318" t="s">
        <v>237</v>
      </c>
    </row>
    <row r="1329" spans="1:2" ht="12.75" customHeight="1" x14ac:dyDescent="0.25">
      <c r="A1329" s="318">
        <v>91026425536</v>
      </c>
      <c r="B1329" s="318" t="s">
        <v>237</v>
      </c>
    </row>
    <row r="1330" spans="1:2" ht="12.75" customHeight="1" x14ac:dyDescent="0.25">
      <c r="A1330" s="318">
        <v>91026425537</v>
      </c>
      <c r="B1330" s="318" t="s">
        <v>237</v>
      </c>
    </row>
    <row r="1331" spans="1:2" ht="12.75" customHeight="1" x14ac:dyDescent="0.25">
      <c r="A1331" s="318">
        <v>91026425538</v>
      </c>
      <c r="B1331" s="318" t="s">
        <v>237</v>
      </c>
    </row>
    <row r="1332" spans="1:2" ht="12.75" customHeight="1" x14ac:dyDescent="0.25">
      <c r="A1332" s="318">
        <v>91026425539</v>
      </c>
      <c r="B1332" s="318" t="s">
        <v>237</v>
      </c>
    </row>
    <row r="1333" spans="1:2" ht="12.75" customHeight="1" x14ac:dyDescent="0.25">
      <c r="A1333" s="318">
        <v>91026425540</v>
      </c>
      <c r="B1333" s="318" t="s">
        <v>237</v>
      </c>
    </row>
    <row r="1334" spans="1:2" ht="12.75" customHeight="1" x14ac:dyDescent="0.25">
      <c r="A1334" s="318">
        <v>91026425624</v>
      </c>
      <c r="B1334" s="318" t="s">
        <v>237</v>
      </c>
    </row>
    <row r="1335" spans="1:2" ht="12.75" customHeight="1" x14ac:dyDescent="0.25">
      <c r="A1335" s="318">
        <v>91026425625</v>
      </c>
      <c r="B1335" s="318" t="s">
        <v>237</v>
      </c>
    </row>
    <row r="1336" spans="1:2" ht="12.75" customHeight="1" x14ac:dyDescent="0.25">
      <c r="A1336" s="318">
        <v>91026425626</v>
      </c>
      <c r="B1336" s="318" t="s">
        <v>237</v>
      </c>
    </row>
    <row r="1337" spans="1:2" ht="12.75" customHeight="1" x14ac:dyDescent="0.25">
      <c r="A1337" s="318">
        <v>91026425627</v>
      </c>
      <c r="B1337" s="318" t="s">
        <v>237</v>
      </c>
    </row>
    <row r="1338" spans="1:2" ht="12.75" customHeight="1" x14ac:dyDescent="0.25">
      <c r="A1338" s="318">
        <v>91026425628</v>
      </c>
      <c r="B1338" s="318" t="s">
        <v>237</v>
      </c>
    </row>
    <row r="1339" spans="1:2" ht="12.75" customHeight="1" x14ac:dyDescent="0.25">
      <c r="A1339" s="318">
        <v>91026425629</v>
      </c>
      <c r="B1339" s="318" t="s">
        <v>237</v>
      </c>
    </row>
    <row r="1340" spans="1:2" ht="12.75" customHeight="1" x14ac:dyDescent="0.25">
      <c r="A1340" s="318">
        <v>91026425630</v>
      </c>
      <c r="B1340" s="318" t="s">
        <v>237</v>
      </c>
    </row>
    <row r="1341" spans="1:2" ht="12.75" customHeight="1" x14ac:dyDescent="0.25">
      <c r="A1341" s="318">
        <v>91026425631</v>
      </c>
      <c r="B1341" s="318" t="s">
        <v>237</v>
      </c>
    </row>
    <row r="1342" spans="1:2" ht="12.75" customHeight="1" x14ac:dyDescent="0.25">
      <c r="A1342" s="318">
        <v>91026425633</v>
      </c>
      <c r="B1342" s="318" t="s">
        <v>237</v>
      </c>
    </row>
    <row r="1343" spans="1:2" ht="12.75" customHeight="1" x14ac:dyDescent="0.25">
      <c r="A1343" s="318">
        <v>91026425634</v>
      </c>
      <c r="B1343" s="318" t="s">
        <v>237</v>
      </c>
    </row>
    <row r="1344" spans="1:2" ht="12.75" customHeight="1" x14ac:dyDescent="0.25">
      <c r="A1344" s="318">
        <v>91026425635</v>
      </c>
      <c r="B1344" s="318" t="s">
        <v>237</v>
      </c>
    </row>
    <row r="1345" spans="1:2" ht="12.75" customHeight="1" x14ac:dyDescent="0.25">
      <c r="A1345" s="318">
        <v>91026425636</v>
      </c>
      <c r="B1345" s="318" t="s">
        <v>237</v>
      </c>
    </row>
    <row r="1346" spans="1:2" ht="12.75" customHeight="1" x14ac:dyDescent="0.25">
      <c r="A1346" s="318">
        <v>91026425637</v>
      </c>
      <c r="B1346" s="318" t="s">
        <v>237</v>
      </c>
    </row>
    <row r="1347" spans="1:2" ht="12.75" customHeight="1" x14ac:dyDescent="0.25">
      <c r="A1347" s="318">
        <v>91026425638</v>
      </c>
      <c r="B1347" s="318" t="s">
        <v>237</v>
      </c>
    </row>
    <row r="1348" spans="1:2" ht="12.75" customHeight="1" x14ac:dyDescent="0.25">
      <c r="A1348" s="318">
        <v>91026425639</v>
      </c>
      <c r="B1348" s="318" t="s">
        <v>237</v>
      </c>
    </row>
    <row r="1349" spans="1:2" ht="12.75" customHeight="1" x14ac:dyDescent="0.25">
      <c r="A1349" s="318">
        <v>91026425640</v>
      </c>
      <c r="B1349" s="318" t="s">
        <v>237</v>
      </c>
    </row>
    <row r="1350" spans="1:2" ht="12.75" customHeight="1" x14ac:dyDescent="0.25">
      <c r="A1350" s="318">
        <v>91026906497</v>
      </c>
      <c r="B1350" s="318" t="s">
        <v>23</v>
      </c>
    </row>
    <row r="1351" spans="1:2" ht="12.75" customHeight="1" x14ac:dyDescent="0.25">
      <c r="A1351" s="318">
        <v>91026906498</v>
      </c>
      <c r="B1351" s="318" t="s">
        <v>23</v>
      </c>
    </row>
    <row r="1352" spans="1:2" ht="12.75" customHeight="1" x14ac:dyDescent="0.25">
      <c r="A1352" s="318">
        <v>91026906499</v>
      </c>
      <c r="B1352" s="318" t="s">
        <v>23</v>
      </c>
    </row>
    <row r="1353" spans="1:2" ht="12.75" customHeight="1" x14ac:dyDescent="0.25">
      <c r="A1353" s="318">
        <v>91026906500</v>
      </c>
      <c r="B1353" s="318" t="s">
        <v>23</v>
      </c>
    </row>
    <row r="1354" spans="1:2" ht="12.75" customHeight="1" x14ac:dyDescent="0.25">
      <c r="A1354" s="318">
        <v>91026906501</v>
      </c>
      <c r="B1354" s="318" t="s">
        <v>23</v>
      </c>
    </row>
    <row r="1355" spans="1:2" ht="12.75" customHeight="1" x14ac:dyDescent="0.25">
      <c r="A1355" s="318">
        <v>91026906502</v>
      </c>
      <c r="B1355" s="318" t="s">
        <v>23</v>
      </c>
    </row>
    <row r="1356" spans="1:2" ht="12.75" customHeight="1" x14ac:dyDescent="0.25">
      <c r="A1356" s="318">
        <v>91026906503</v>
      </c>
      <c r="B1356" s="318" t="s">
        <v>237</v>
      </c>
    </row>
    <row r="1357" spans="1:2" ht="12.75" customHeight="1" x14ac:dyDescent="0.25">
      <c r="A1357" s="318">
        <v>91026906504</v>
      </c>
      <c r="B1357" s="318" t="s">
        <v>237</v>
      </c>
    </row>
    <row r="1358" spans="1:2" ht="12.75" customHeight="1" x14ac:dyDescent="0.25">
      <c r="A1358" s="318">
        <v>91026906506</v>
      </c>
      <c r="B1358" s="318" t="s">
        <v>237</v>
      </c>
    </row>
    <row r="1359" spans="1:2" ht="12.75" customHeight="1" x14ac:dyDescent="0.25">
      <c r="A1359" s="318">
        <v>91026906507</v>
      </c>
      <c r="B1359" s="318" t="s">
        <v>237</v>
      </c>
    </row>
    <row r="1360" spans="1:2" ht="12.75" customHeight="1" x14ac:dyDescent="0.25">
      <c r="A1360" s="318">
        <v>91026906508</v>
      </c>
      <c r="B1360" s="318" t="s">
        <v>237</v>
      </c>
    </row>
    <row r="1361" spans="1:2" ht="12.75" customHeight="1" x14ac:dyDescent="0.25">
      <c r="A1361" s="318">
        <v>91026906509</v>
      </c>
      <c r="B1361" s="318" t="s">
        <v>237</v>
      </c>
    </row>
    <row r="1362" spans="1:2" ht="12.75" customHeight="1" x14ac:dyDescent="0.25">
      <c r="A1362" s="318">
        <v>91026906510</v>
      </c>
      <c r="B1362" s="318" t="s">
        <v>237</v>
      </c>
    </row>
    <row r="1363" spans="1:2" ht="12.75" customHeight="1" x14ac:dyDescent="0.25">
      <c r="A1363" s="318">
        <v>91026906511</v>
      </c>
      <c r="B1363" s="318" t="s">
        <v>237</v>
      </c>
    </row>
    <row r="1364" spans="1:2" ht="12.75" customHeight="1" x14ac:dyDescent="0.25">
      <c r="A1364" s="318">
        <v>91026906512</v>
      </c>
      <c r="B1364" s="318" t="s">
        <v>237</v>
      </c>
    </row>
    <row r="1365" spans="1:2" ht="12.75" customHeight="1" x14ac:dyDescent="0.25">
      <c r="A1365" s="318">
        <v>91026906513</v>
      </c>
      <c r="B1365" s="318" t="s">
        <v>237</v>
      </c>
    </row>
    <row r="1366" spans="1:2" ht="12.75" customHeight="1" x14ac:dyDescent="0.25">
      <c r="A1366" s="318">
        <v>91026906597</v>
      </c>
      <c r="B1366" s="318" t="s">
        <v>237</v>
      </c>
    </row>
    <row r="1367" spans="1:2" ht="12.75" customHeight="1" x14ac:dyDescent="0.25">
      <c r="A1367" s="318">
        <v>91026906598</v>
      </c>
      <c r="B1367" s="318" t="s">
        <v>237</v>
      </c>
    </row>
    <row r="1368" spans="1:2" ht="12.75" customHeight="1" x14ac:dyDescent="0.25">
      <c r="A1368" s="318">
        <v>91026906599</v>
      </c>
      <c r="B1368" s="318" t="s">
        <v>237</v>
      </c>
    </row>
    <row r="1369" spans="1:2" ht="12.75" customHeight="1" x14ac:dyDescent="0.25">
      <c r="A1369" s="318">
        <v>91026906600</v>
      </c>
      <c r="B1369" s="318" t="s">
        <v>237</v>
      </c>
    </row>
    <row r="1370" spans="1:2" ht="12.75" customHeight="1" x14ac:dyDescent="0.25">
      <c r="A1370" s="318">
        <v>91026906601</v>
      </c>
      <c r="B1370" s="318" t="s">
        <v>237</v>
      </c>
    </row>
    <row r="1371" spans="1:2" ht="12.75" customHeight="1" x14ac:dyDescent="0.25">
      <c r="A1371" s="318">
        <v>91026906602</v>
      </c>
      <c r="B1371" s="318" t="s">
        <v>237</v>
      </c>
    </row>
    <row r="1372" spans="1:2" ht="12.75" customHeight="1" x14ac:dyDescent="0.25">
      <c r="A1372" s="318">
        <v>91026906603</v>
      </c>
      <c r="B1372" s="318" t="s">
        <v>237</v>
      </c>
    </row>
    <row r="1373" spans="1:2" ht="12.75" customHeight="1" x14ac:dyDescent="0.25">
      <c r="A1373" s="318">
        <v>91026906604</v>
      </c>
      <c r="B1373" s="318" t="s">
        <v>237</v>
      </c>
    </row>
    <row r="1374" spans="1:2" ht="12.75" customHeight="1" x14ac:dyDescent="0.25">
      <c r="A1374" s="318">
        <v>91026906606</v>
      </c>
      <c r="B1374" s="318" t="s">
        <v>237</v>
      </c>
    </row>
    <row r="1375" spans="1:2" ht="12.75" customHeight="1" x14ac:dyDescent="0.25">
      <c r="A1375" s="318">
        <v>91026906607</v>
      </c>
      <c r="B1375" s="318" t="s">
        <v>237</v>
      </c>
    </row>
    <row r="1376" spans="1:2" ht="12.75" customHeight="1" x14ac:dyDescent="0.25">
      <c r="A1376" s="318">
        <v>91026906608</v>
      </c>
      <c r="B1376" s="318" t="s">
        <v>237</v>
      </c>
    </row>
    <row r="1377" spans="1:2" ht="12.75" customHeight="1" x14ac:dyDescent="0.25">
      <c r="A1377" s="318">
        <v>91026906609</v>
      </c>
      <c r="B1377" s="318" t="s">
        <v>237</v>
      </c>
    </row>
    <row r="1378" spans="1:2" ht="12.75" customHeight="1" x14ac:dyDescent="0.25">
      <c r="A1378" s="318">
        <v>91026906610</v>
      </c>
      <c r="B1378" s="318" t="s">
        <v>237</v>
      </c>
    </row>
    <row r="1379" spans="1:2" ht="12.75" customHeight="1" x14ac:dyDescent="0.25">
      <c r="A1379" s="318">
        <v>91026906611</v>
      </c>
      <c r="B1379" s="318" t="s">
        <v>237</v>
      </c>
    </row>
    <row r="1380" spans="1:2" ht="12.75" customHeight="1" x14ac:dyDescent="0.25">
      <c r="A1380" s="318">
        <v>91026906612</v>
      </c>
      <c r="B1380" s="318" t="s">
        <v>237</v>
      </c>
    </row>
    <row r="1381" spans="1:2" ht="12.75" customHeight="1" x14ac:dyDescent="0.25">
      <c r="A1381" s="318">
        <v>91026906613</v>
      </c>
      <c r="B1381" s="318" t="s">
        <v>237</v>
      </c>
    </row>
    <row r="1382" spans="1:2" ht="12.75" customHeight="1" x14ac:dyDescent="0.25">
      <c r="A1382" s="318">
        <v>91027387470</v>
      </c>
      <c r="B1382" s="318" t="s">
        <v>23</v>
      </c>
    </row>
    <row r="1383" spans="1:2" ht="12.75" customHeight="1" x14ac:dyDescent="0.25">
      <c r="A1383" s="318">
        <v>91027387471</v>
      </c>
      <c r="B1383" s="318" t="s">
        <v>23</v>
      </c>
    </row>
    <row r="1384" spans="1:2" ht="12.75" customHeight="1" x14ac:dyDescent="0.25">
      <c r="A1384" s="318">
        <v>91027387472</v>
      </c>
      <c r="B1384" s="318" t="s">
        <v>23</v>
      </c>
    </row>
    <row r="1385" spans="1:2" ht="12.75" customHeight="1" x14ac:dyDescent="0.25">
      <c r="A1385" s="318">
        <v>91027387473</v>
      </c>
      <c r="B1385" s="318" t="s">
        <v>23</v>
      </c>
    </row>
    <row r="1386" spans="1:2" ht="12.75" customHeight="1" x14ac:dyDescent="0.25">
      <c r="A1386" s="318">
        <v>91027387474</v>
      </c>
      <c r="B1386" s="318" t="s">
        <v>23</v>
      </c>
    </row>
    <row r="1387" spans="1:2" ht="12.75" customHeight="1" x14ac:dyDescent="0.25">
      <c r="A1387" s="318">
        <v>91027387475</v>
      </c>
      <c r="B1387" s="318" t="s">
        <v>23</v>
      </c>
    </row>
    <row r="1388" spans="1:2" ht="12.75" customHeight="1" x14ac:dyDescent="0.25">
      <c r="A1388" s="318">
        <v>91027387476</v>
      </c>
      <c r="B1388" s="318" t="s">
        <v>237</v>
      </c>
    </row>
    <row r="1389" spans="1:2" ht="12.75" customHeight="1" x14ac:dyDescent="0.25">
      <c r="A1389" s="318">
        <v>91027387477</v>
      </c>
      <c r="B1389" s="318" t="s">
        <v>237</v>
      </c>
    </row>
    <row r="1390" spans="1:2" ht="12.75" customHeight="1" x14ac:dyDescent="0.25">
      <c r="A1390" s="318">
        <v>91027387479</v>
      </c>
      <c r="B1390" s="318" t="s">
        <v>237</v>
      </c>
    </row>
    <row r="1391" spans="1:2" ht="12.75" customHeight="1" x14ac:dyDescent="0.25">
      <c r="A1391" s="318">
        <v>91027387480</v>
      </c>
      <c r="B1391" s="318" t="s">
        <v>237</v>
      </c>
    </row>
    <row r="1392" spans="1:2" ht="12.75" customHeight="1" x14ac:dyDescent="0.25">
      <c r="A1392" s="318">
        <v>91027387481</v>
      </c>
      <c r="B1392" s="318" t="s">
        <v>237</v>
      </c>
    </row>
    <row r="1393" spans="1:2" ht="12.75" customHeight="1" x14ac:dyDescent="0.25">
      <c r="A1393" s="318">
        <v>91027387482</v>
      </c>
      <c r="B1393" s="318" t="s">
        <v>237</v>
      </c>
    </row>
    <row r="1394" spans="1:2" ht="12.75" customHeight="1" x14ac:dyDescent="0.25">
      <c r="A1394" s="318">
        <v>91027387483</v>
      </c>
      <c r="B1394" s="318" t="s">
        <v>237</v>
      </c>
    </row>
    <row r="1395" spans="1:2" ht="12.75" customHeight="1" x14ac:dyDescent="0.25">
      <c r="A1395" s="318">
        <v>91027387484</v>
      </c>
      <c r="B1395" s="318" t="s">
        <v>237</v>
      </c>
    </row>
    <row r="1396" spans="1:2" ht="12.75" customHeight="1" x14ac:dyDescent="0.25">
      <c r="A1396" s="318">
        <v>91027387485</v>
      </c>
      <c r="B1396" s="318" t="s">
        <v>237</v>
      </c>
    </row>
    <row r="1397" spans="1:2" ht="12.75" customHeight="1" x14ac:dyDescent="0.25">
      <c r="A1397" s="318">
        <v>91027387486</v>
      </c>
      <c r="B1397" s="318" t="s">
        <v>237</v>
      </c>
    </row>
    <row r="1398" spans="1:2" ht="12.75" customHeight="1" x14ac:dyDescent="0.25">
      <c r="A1398" s="318">
        <v>91027387570</v>
      </c>
      <c r="B1398" s="318" t="s">
        <v>237</v>
      </c>
    </row>
    <row r="1399" spans="1:2" ht="12.75" customHeight="1" x14ac:dyDescent="0.25">
      <c r="A1399" s="318">
        <v>91027387571</v>
      </c>
      <c r="B1399" s="318" t="s">
        <v>237</v>
      </c>
    </row>
    <row r="1400" spans="1:2" ht="12.75" customHeight="1" x14ac:dyDescent="0.25">
      <c r="A1400" s="318">
        <v>91027387572</v>
      </c>
      <c r="B1400" s="318" t="s">
        <v>237</v>
      </c>
    </row>
    <row r="1401" spans="1:2" ht="12.75" customHeight="1" x14ac:dyDescent="0.25">
      <c r="A1401" s="318">
        <v>91027387573</v>
      </c>
      <c r="B1401" s="318" t="s">
        <v>237</v>
      </c>
    </row>
    <row r="1402" spans="1:2" ht="12.75" customHeight="1" x14ac:dyDescent="0.25">
      <c r="A1402" s="318">
        <v>91027387574</v>
      </c>
      <c r="B1402" s="318" t="s">
        <v>237</v>
      </c>
    </row>
    <row r="1403" spans="1:2" ht="12.75" customHeight="1" x14ac:dyDescent="0.25">
      <c r="A1403" s="318">
        <v>91027387575</v>
      </c>
      <c r="B1403" s="318" t="s">
        <v>237</v>
      </c>
    </row>
    <row r="1404" spans="1:2" ht="12.75" customHeight="1" x14ac:dyDescent="0.25">
      <c r="A1404" s="318">
        <v>91027387576</v>
      </c>
      <c r="B1404" s="318" t="s">
        <v>237</v>
      </c>
    </row>
    <row r="1405" spans="1:2" ht="12.75" customHeight="1" x14ac:dyDescent="0.25">
      <c r="A1405" s="318">
        <v>91027387577</v>
      </c>
      <c r="B1405" s="318" t="s">
        <v>237</v>
      </c>
    </row>
    <row r="1406" spans="1:2" ht="12.75" customHeight="1" x14ac:dyDescent="0.25">
      <c r="A1406" s="318">
        <v>91027387579</v>
      </c>
      <c r="B1406" s="318" t="s">
        <v>237</v>
      </c>
    </row>
    <row r="1407" spans="1:2" ht="12.75" customHeight="1" x14ac:dyDescent="0.25">
      <c r="A1407" s="318">
        <v>91027387580</v>
      </c>
      <c r="B1407" s="318" t="s">
        <v>237</v>
      </c>
    </row>
    <row r="1408" spans="1:2" ht="12.75" customHeight="1" x14ac:dyDescent="0.25">
      <c r="A1408" s="318">
        <v>91027387581</v>
      </c>
      <c r="B1408" s="318" t="s">
        <v>237</v>
      </c>
    </row>
    <row r="1409" spans="1:2" ht="12.75" customHeight="1" x14ac:dyDescent="0.25">
      <c r="A1409" s="318">
        <v>91027387582</v>
      </c>
      <c r="B1409" s="318" t="s">
        <v>237</v>
      </c>
    </row>
    <row r="1410" spans="1:2" ht="12.75" customHeight="1" x14ac:dyDescent="0.25">
      <c r="A1410" s="318">
        <v>91027387583</v>
      </c>
      <c r="B1410" s="318" t="s">
        <v>237</v>
      </c>
    </row>
    <row r="1411" spans="1:2" ht="12.75" customHeight="1" x14ac:dyDescent="0.25">
      <c r="A1411" s="318">
        <v>91027387584</v>
      </c>
      <c r="B1411" s="318" t="s">
        <v>237</v>
      </c>
    </row>
    <row r="1412" spans="1:2" ht="12.75" customHeight="1" x14ac:dyDescent="0.25">
      <c r="A1412" s="318">
        <v>91027387585</v>
      </c>
      <c r="B1412" s="318" t="s">
        <v>237</v>
      </c>
    </row>
    <row r="1413" spans="1:2" ht="12.75" customHeight="1" x14ac:dyDescent="0.25">
      <c r="A1413" s="318">
        <v>91027387586</v>
      </c>
      <c r="B1413" s="318" t="s">
        <v>237</v>
      </c>
    </row>
    <row r="1414" spans="1:2" ht="12.75" customHeight="1" x14ac:dyDescent="0.25">
      <c r="A1414" s="318">
        <v>91028067661</v>
      </c>
      <c r="B1414" s="318" t="s">
        <v>23</v>
      </c>
    </row>
    <row r="1415" spans="1:2" ht="12.75" customHeight="1" x14ac:dyDescent="0.25">
      <c r="A1415" s="318">
        <v>91028067662</v>
      </c>
      <c r="B1415" s="318" t="s">
        <v>23</v>
      </c>
    </row>
    <row r="1416" spans="1:2" ht="12.75" customHeight="1" x14ac:dyDescent="0.25">
      <c r="A1416" s="318">
        <v>91028067663</v>
      </c>
      <c r="B1416" s="318" t="s">
        <v>23</v>
      </c>
    </row>
    <row r="1417" spans="1:2" ht="12.75" customHeight="1" x14ac:dyDescent="0.25">
      <c r="A1417" s="318">
        <v>91028067664</v>
      </c>
      <c r="B1417" s="318" t="s">
        <v>23</v>
      </c>
    </row>
    <row r="1418" spans="1:2" ht="12.75" customHeight="1" x14ac:dyDescent="0.25">
      <c r="A1418" s="318">
        <v>91028067665</v>
      </c>
      <c r="B1418" s="318" t="s">
        <v>23</v>
      </c>
    </row>
    <row r="1419" spans="1:2" ht="12.75" customHeight="1" x14ac:dyDescent="0.25">
      <c r="A1419" s="318">
        <v>91028067666</v>
      </c>
      <c r="B1419" s="318" t="s">
        <v>23</v>
      </c>
    </row>
    <row r="1420" spans="1:2" ht="12.75" customHeight="1" x14ac:dyDescent="0.25">
      <c r="A1420" s="318">
        <v>91028067667</v>
      </c>
      <c r="B1420" s="318" t="s">
        <v>237</v>
      </c>
    </row>
    <row r="1421" spans="1:2" ht="12.75" customHeight="1" x14ac:dyDescent="0.25">
      <c r="A1421" s="318">
        <v>91028067668</v>
      </c>
      <c r="B1421" s="318" t="s">
        <v>237</v>
      </c>
    </row>
    <row r="1422" spans="1:2" ht="12.75" customHeight="1" x14ac:dyDescent="0.25">
      <c r="A1422" s="318">
        <v>91028067670</v>
      </c>
      <c r="B1422" s="318" t="s">
        <v>237</v>
      </c>
    </row>
    <row r="1423" spans="1:2" ht="12.75" customHeight="1" x14ac:dyDescent="0.25">
      <c r="A1423" s="318">
        <v>91028067671</v>
      </c>
      <c r="B1423" s="318" t="s">
        <v>237</v>
      </c>
    </row>
    <row r="1424" spans="1:2" ht="12.75" customHeight="1" x14ac:dyDescent="0.25">
      <c r="A1424" s="318">
        <v>91028067672</v>
      </c>
      <c r="B1424" s="318" t="s">
        <v>237</v>
      </c>
    </row>
    <row r="1425" spans="1:2" ht="12.75" customHeight="1" x14ac:dyDescent="0.25">
      <c r="A1425" s="318">
        <v>91028067673</v>
      </c>
      <c r="B1425" s="318" t="s">
        <v>237</v>
      </c>
    </row>
    <row r="1426" spans="1:2" ht="12.75" customHeight="1" x14ac:dyDescent="0.25">
      <c r="A1426" s="318">
        <v>91028067674</v>
      </c>
      <c r="B1426" s="318" t="s">
        <v>237</v>
      </c>
    </row>
    <row r="1427" spans="1:2" ht="12.75" customHeight="1" x14ac:dyDescent="0.25">
      <c r="A1427" s="318">
        <v>91028067675</v>
      </c>
      <c r="B1427" s="318" t="s">
        <v>237</v>
      </c>
    </row>
    <row r="1428" spans="1:2" ht="12.75" customHeight="1" x14ac:dyDescent="0.25">
      <c r="A1428" s="318">
        <v>91028067676</v>
      </c>
      <c r="B1428" s="318" t="s">
        <v>237</v>
      </c>
    </row>
    <row r="1429" spans="1:2" ht="12.75" customHeight="1" x14ac:dyDescent="0.25">
      <c r="A1429" s="318">
        <v>91028067677</v>
      </c>
      <c r="B1429" s="318" t="s">
        <v>237</v>
      </c>
    </row>
    <row r="1430" spans="1:2" ht="12.75" customHeight="1" x14ac:dyDescent="0.25">
      <c r="A1430" s="318">
        <v>91028067761</v>
      </c>
      <c r="B1430" s="318" t="s">
        <v>237</v>
      </c>
    </row>
    <row r="1431" spans="1:2" ht="12.75" customHeight="1" x14ac:dyDescent="0.25">
      <c r="A1431" s="318">
        <v>91028067762</v>
      </c>
      <c r="B1431" s="318" t="s">
        <v>237</v>
      </c>
    </row>
    <row r="1432" spans="1:2" ht="12.75" customHeight="1" x14ac:dyDescent="0.25">
      <c r="A1432" s="318">
        <v>91028067763</v>
      </c>
      <c r="B1432" s="318" t="s">
        <v>237</v>
      </c>
    </row>
    <row r="1433" spans="1:2" ht="12.75" customHeight="1" x14ac:dyDescent="0.25">
      <c r="A1433" s="318">
        <v>91028067764</v>
      </c>
      <c r="B1433" s="318" t="s">
        <v>237</v>
      </c>
    </row>
    <row r="1434" spans="1:2" ht="12.75" customHeight="1" x14ac:dyDescent="0.25">
      <c r="A1434" s="318">
        <v>91028067765</v>
      </c>
      <c r="B1434" s="318" t="s">
        <v>237</v>
      </c>
    </row>
    <row r="1435" spans="1:2" ht="12.75" customHeight="1" x14ac:dyDescent="0.25">
      <c r="A1435" s="318">
        <v>91028067766</v>
      </c>
      <c r="B1435" s="318" t="s">
        <v>237</v>
      </c>
    </row>
    <row r="1436" spans="1:2" ht="12.75" customHeight="1" x14ac:dyDescent="0.25">
      <c r="A1436" s="318">
        <v>91028067767</v>
      </c>
      <c r="B1436" s="318" t="s">
        <v>237</v>
      </c>
    </row>
    <row r="1437" spans="1:2" ht="12.75" customHeight="1" x14ac:dyDescent="0.25">
      <c r="A1437" s="318">
        <v>91028067768</v>
      </c>
      <c r="B1437" s="318" t="s">
        <v>237</v>
      </c>
    </row>
    <row r="1438" spans="1:2" ht="12.75" customHeight="1" x14ac:dyDescent="0.25">
      <c r="A1438" s="318">
        <v>91028067770</v>
      </c>
      <c r="B1438" s="318" t="s">
        <v>237</v>
      </c>
    </row>
    <row r="1439" spans="1:2" ht="12.75" customHeight="1" x14ac:dyDescent="0.25">
      <c r="A1439" s="318">
        <v>91028067771</v>
      </c>
      <c r="B1439" s="318" t="s">
        <v>237</v>
      </c>
    </row>
    <row r="1440" spans="1:2" ht="12.75" customHeight="1" x14ac:dyDescent="0.25">
      <c r="A1440" s="318">
        <v>91028067772</v>
      </c>
      <c r="B1440" s="318" t="s">
        <v>237</v>
      </c>
    </row>
    <row r="1441" spans="1:2" ht="12.75" customHeight="1" x14ac:dyDescent="0.25">
      <c r="A1441" s="318">
        <v>91028067773</v>
      </c>
      <c r="B1441" s="318" t="s">
        <v>237</v>
      </c>
    </row>
    <row r="1442" spans="1:2" ht="12.75" customHeight="1" x14ac:dyDescent="0.25">
      <c r="A1442" s="318">
        <v>91028067774</v>
      </c>
      <c r="B1442" s="318" t="s">
        <v>237</v>
      </c>
    </row>
    <row r="1443" spans="1:2" ht="12.75" customHeight="1" x14ac:dyDescent="0.25">
      <c r="A1443" s="318">
        <v>91028067775</v>
      </c>
      <c r="B1443" s="318" t="s">
        <v>237</v>
      </c>
    </row>
    <row r="1444" spans="1:2" ht="12.75" customHeight="1" x14ac:dyDescent="0.25">
      <c r="A1444" s="318">
        <v>91028067776</v>
      </c>
      <c r="B1444" s="318" t="s">
        <v>237</v>
      </c>
    </row>
    <row r="1445" spans="1:2" ht="12.75" customHeight="1" x14ac:dyDescent="0.25">
      <c r="A1445" s="318">
        <v>91028067777</v>
      </c>
      <c r="B1445" s="318" t="s">
        <v>237</v>
      </c>
    </row>
    <row r="1446" spans="1:2" ht="12.75" customHeight="1" x14ac:dyDescent="0.25">
      <c r="A1446" s="318">
        <v>91028548634</v>
      </c>
      <c r="B1446" s="318" t="s">
        <v>23</v>
      </c>
    </row>
    <row r="1447" spans="1:2" ht="12.75" customHeight="1" x14ac:dyDescent="0.25">
      <c r="A1447" s="318">
        <v>91028548635</v>
      </c>
      <c r="B1447" s="318" t="s">
        <v>23</v>
      </c>
    </row>
    <row r="1448" spans="1:2" ht="12.75" customHeight="1" x14ac:dyDescent="0.25">
      <c r="A1448" s="318">
        <v>91028548636</v>
      </c>
      <c r="B1448" s="318" t="s">
        <v>23</v>
      </c>
    </row>
    <row r="1449" spans="1:2" ht="12.75" customHeight="1" x14ac:dyDescent="0.25">
      <c r="A1449" s="318">
        <v>91028548637</v>
      </c>
      <c r="B1449" s="318" t="s">
        <v>23</v>
      </c>
    </row>
    <row r="1450" spans="1:2" ht="12.75" customHeight="1" x14ac:dyDescent="0.25">
      <c r="A1450" s="318">
        <v>91028548638</v>
      </c>
      <c r="B1450" s="318" t="s">
        <v>23</v>
      </c>
    </row>
    <row r="1451" spans="1:2" ht="12.75" customHeight="1" x14ac:dyDescent="0.25">
      <c r="A1451" s="318">
        <v>91028548639</v>
      </c>
      <c r="B1451" s="318" t="s">
        <v>23</v>
      </c>
    </row>
    <row r="1452" spans="1:2" ht="12.75" customHeight="1" x14ac:dyDescent="0.25">
      <c r="A1452" s="318">
        <v>91028548640</v>
      </c>
      <c r="B1452" s="318" t="s">
        <v>237</v>
      </c>
    </row>
    <row r="1453" spans="1:2" ht="12.75" customHeight="1" x14ac:dyDescent="0.25">
      <c r="A1453" s="318">
        <v>91028548641</v>
      </c>
      <c r="B1453" s="318" t="s">
        <v>237</v>
      </c>
    </row>
    <row r="1454" spans="1:2" ht="12.75" customHeight="1" x14ac:dyDescent="0.25">
      <c r="A1454" s="318">
        <v>91028548643</v>
      </c>
      <c r="B1454" s="318" t="s">
        <v>237</v>
      </c>
    </row>
    <row r="1455" spans="1:2" ht="12.75" customHeight="1" x14ac:dyDescent="0.25">
      <c r="A1455" s="318">
        <v>91028548644</v>
      </c>
      <c r="B1455" s="318" t="s">
        <v>237</v>
      </c>
    </row>
    <row r="1456" spans="1:2" ht="12.75" customHeight="1" x14ac:dyDescent="0.25">
      <c r="A1456" s="318">
        <v>91028548645</v>
      </c>
      <c r="B1456" s="318" t="s">
        <v>237</v>
      </c>
    </row>
    <row r="1457" spans="1:2" ht="12.75" customHeight="1" x14ac:dyDescent="0.25">
      <c r="A1457" s="318">
        <v>91028548646</v>
      </c>
      <c r="B1457" s="318" t="s">
        <v>237</v>
      </c>
    </row>
    <row r="1458" spans="1:2" ht="12.75" customHeight="1" x14ac:dyDescent="0.25">
      <c r="A1458" s="318">
        <v>91028548647</v>
      </c>
      <c r="B1458" s="318" t="s">
        <v>237</v>
      </c>
    </row>
    <row r="1459" spans="1:2" ht="12.75" customHeight="1" x14ac:dyDescent="0.25">
      <c r="A1459" s="318">
        <v>91028548648</v>
      </c>
      <c r="B1459" s="318" t="s">
        <v>237</v>
      </c>
    </row>
    <row r="1460" spans="1:2" ht="12.75" customHeight="1" x14ac:dyDescent="0.25">
      <c r="A1460" s="318">
        <v>91028548649</v>
      </c>
      <c r="B1460" s="318" t="s">
        <v>237</v>
      </c>
    </row>
    <row r="1461" spans="1:2" ht="12.75" customHeight="1" x14ac:dyDescent="0.25">
      <c r="A1461" s="318">
        <v>91028548650</v>
      </c>
      <c r="B1461" s="318" t="s">
        <v>237</v>
      </c>
    </row>
    <row r="1462" spans="1:2" ht="12.75" customHeight="1" x14ac:dyDescent="0.25">
      <c r="A1462" s="318">
        <v>91028548734</v>
      </c>
      <c r="B1462" s="318" t="s">
        <v>237</v>
      </c>
    </row>
    <row r="1463" spans="1:2" ht="12.75" customHeight="1" x14ac:dyDescent="0.25">
      <c r="A1463" s="318">
        <v>91028548735</v>
      </c>
      <c r="B1463" s="318" t="s">
        <v>237</v>
      </c>
    </row>
    <row r="1464" spans="1:2" ht="12.75" customHeight="1" x14ac:dyDescent="0.25">
      <c r="A1464" s="318">
        <v>91028548736</v>
      </c>
      <c r="B1464" s="318" t="s">
        <v>237</v>
      </c>
    </row>
    <row r="1465" spans="1:2" ht="12.75" customHeight="1" x14ac:dyDescent="0.25">
      <c r="A1465" s="318">
        <v>91028548737</v>
      </c>
      <c r="B1465" s="318" t="s">
        <v>237</v>
      </c>
    </row>
    <row r="1466" spans="1:2" ht="12.75" customHeight="1" x14ac:dyDescent="0.25">
      <c r="A1466" s="318">
        <v>91028548738</v>
      </c>
      <c r="B1466" s="318" t="s">
        <v>237</v>
      </c>
    </row>
    <row r="1467" spans="1:2" ht="12.75" customHeight="1" x14ac:dyDescent="0.25">
      <c r="A1467" s="318">
        <v>91028548739</v>
      </c>
      <c r="B1467" s="318" t="s">
        <v>237</v>
      </c>
    </row>
    <row r="1468" spans="1:2" ht="12.75" customHeight="1" x14ac:dyDescent="0.25">
      <c r="A1468" s="318">
        <v>91028548740</v>
      </c>
      <c r="B1468" s="318" t="s">
        <v>237</v>
      </c>
    </row>
    <row r="1469" spans="1:2" ht="12.75" customHeight="1" x14ac:dyDescent="0.25">
      <c r="A1469" s="318">
        <v>91028548741</v>
      </c>
      <c r="B1469" s="318" t="s">
        <v>237</v>
      </c>
    </row>
    <row r="1470" spans="1:2" ht="12.75" customHeight="1" x14ac:dyDescent="0.25">
      <c r="A1470" s="318">
        <v>91028548743</v>
      </c>
      <c r="B1470" s="318" t="s">
        <v>237</v>
      </c>
    </row>
    <row r="1471" spans="1:2" ht="12.75" customHeight="1" x14ac:dyDescent="0.25">
      <c r="A1471" s="318">
        <v>91028548744</v>
      </c>
      <c r="B1471" s="318" t="s">
        <v>237</v>
      </c>
    </row>
    <row r="1472" spans="1:2" ht="12.75" customHeight="1" x14ac:dyDescent="0.25">
      <c r="A1472" s="318">
        <v>91028548745</v>
      </c>
      <c r="B1472" s="318" t="s">
        <v>237</v>
      </c>
    </row>
    <row r="1473" spans="1:2" ht="12.75" customHeight="1" x14ac:dyDescent="0.25">
      <c r="A1473" s="318">
        <v>91028548746</v>
      </c>
      <c r="B1473" s="318" t="s">
        <v>237</v>
      </c>
    </row>
    <row r="1474" spans="1:2" ht="12.75" customHeight="1" x14ac:dyDescent="0.25">
      <c r="A1474" s="318">
        <v>91028548747</v>
      </c>
      <c r="B1474" s="318" t="s">
        <v>237</v>
      </c>
    </row>
    <row r="1475" spans="1:2" ht="12.75" customHeight="1" x14ac:dyDescent="0.25">
      <c r="A1475" s="318">
        <v>91028548748</v>
      </c>
      <c r="B1475" s="318" t="s">
        <v>237</v>
      </c>
    </row>
    <row r="1476" spans="1:2" ht="12.75" customHeight="1" x14ac:dyDescent="0.25">
      <c r="A1476" s="318">
        <v>91028548749</v>
      </c>
      <c r="B1476" s="318" t="s">
        <v>237</v>
      </c>
    </row>
    <row r="1477" spans="1:2" ht="12.75" customHeight="1" x14ac:dyDescent="0.25">
      <c r="A1477" s="318">
        <v>91028548750</v>
      </c>
      <c r="B1477" s="318" t="s">
        <v>237</v>
      </c>
    </row>
    <row r="1478" spans="1:2" ht="12.75" customHeight="1" x14ac:dyDescent="0.25">
      <c r="A1478" s="318">
        <v>91029029607</v>
      </c>
      <c r="B1478" s="318" t="s">
        <v>23</v>
      </c>
    </row>
    <row r="1479" spans="1:2" ht="12.75" customHeight="1" x14ac:dyDescent="0.25">
      <c r="A1479" s="318">
        <v>91029029608</v>
      </c>
      <c r="B1479" s="318" t="s">
        <v>23</v>
      </c>
    </row>
    <row r="1480" spans="1:2" ht="12.75" customHeight="1" x14ac:dyDescent="0.25">
      <c r="A1480" s="318">
        <v>91029029609</v>
      </c>
      <c r="B1480" s="318" t="s">
        <v>23</v>
      </c>
    </row>
    <row r="1481" spans="1:2" ht="12.75" customHeight="1" x14ac:dyDescent="0.25">
      <c r="A1481" s="318">
        <v>91029029610</v>
      </c>
      <c r="B1481" s="318" t="s">
        <v>23</v>
      </c>
    </row>
    <row r="1482" spans="1:2" ht="12.75" customHeight="1" x14ac:dyDescent="0.25">
      <c r="A1482" s="318">
        <v>91029029611</v>
      </c>
      <c r="B1482" s="318" t="s">
        <v>23</v>
      </c>
    </row>
    <row r="1483" spans="1:2" ht="12.75" customHeight="1" x14ac:dyDescent="0.25">
      <c r="A1483" s="318">
        <v>91029029612</v>
      </c>
      <c r="B1483" s="318" t="s">
        <v>23</v>
      </c>
    </row>
    <row r="1484" spans="1:2" ht="12.75" customHeight="1" x14ac:dyDescent="0.25">
      <c r="A1484" s="318">
        <v>91029029613</v>
      </c>
      <c r="B1484" s="318" t="s">
        <v>237</v>
      </c>
    </row>
    <row r="1485" spans="1:2" ht="12.75" customHeight="1" x14ac:dyDescent="0.25">
      <c r="A1485" s="318">
        <v>91029029614</v>
      </c>
      <c r="B1485" s="318" t="s">
        <v>237</v>
      </c>
    </row>
    <row r="1486" spans="1:2" ht="12.75" customHeight="1" x14ac:dyDescent="0.25">
      <c r="A1486" s="318">
        <v>91029029616</v>
      </c>
      <c r="B1486" s="318" t="s">
        <v>237</v>
      </c>
    </row>
    <row r="1487" spans="1:2" ht="12.75" customHeight="1" x14ac:dyDescent="0.25">
      <c r="A1487" s="318">
        <v>91029029617</v>
      </c>
      <c r="B1487" s="318" t="s">
        <v>237</v>
      </c>
    </row>
    <row r="1488" spans="1:2" ht="12.75" customHeight="1" x14ac:dyDescent="0.25">
      <c r="A1488" s="318">
        <v>91029029618</v>
      </c>
      <c r="B1488" s="318" t="s">
        <v>237</v>
      </c>
    </row>
    <row r="1489" spans="1:2" ht="12.75" customHeight="1" x14ac:dyDescent="0.25">
      <c r="A1489" s="318">
        <v>91029029619</v>
      </c>
      <c r="B1489" s="318" t="s">
        <v>237</v>
      </c>
    </row>
    <row r="1490" spans="1:2" ht="12.75" customHeight="1" x14ac:dyDescent="0.25">
      <c r="A1490" s="318">
        <v>91029029620</v>
      </c>
      <c r="B1490" s="318" t="s">
        <v>237</v>
      </c>
    </row>
    <row r="1491" spans="1:2" ht="12.75" customHeight="1" x14ac:dyDescent="0.25">
      <c r="A1491" s="318">
        <v>91029029621</v>
      </c>
      <c r="B1491" s="318" t="s">
        <v>237</v>
      </c>
    </row>
    <row r="1492" spans="1:2" ht="12.75" customHeight="1" x14ac:dyDescent="0.25">
      <c r="A1492" s="318">
        <v>91029029622</v>
      </c>
      <c r="B1492" s="318" t="s">
        <v>237</v>
      </c>
    </row>
    <row r="1493" spans="1:2" ht="12.75" customHeight="1" x14ac:dyDescent="0.25">
      <c r="A1493" s="318">
        <v>91029029623</v>
      </c>
      <c r="B1493" s="318" t="s">
        <v>237</v>
      </c>
    </row>
    <row r="1494" spans="1:2" ht="12.75" customHeight="1" x14ac:dyDescent="0.25">
      <c r="A1494" s="318">
        <v>91029029707</v>
      </c>
      <c r="B1494" s="318" t="s">
        <v>237</v>
      </c>
    </row>
    <row r="1495" spans="1:2" ht="12.75" customHeight="1" x14ac:dyDescent="0.25">
      <c r="A1495" s="318">
        <v>91029029708</v>
      </c>
      <c r="B1495" s="318" t="s">
        <v>237</v>
      </c>
    </row>
    <row r="1496" spans="1:2" ht="12.75" customHeight="1" x14ac:dyDescent="0.25">
      <c r="A1496" s="318">
        <v>91029029709</v>
      </c>
      <c r="B1496" s="318" t="s">
        <v>237</v>
      </c>
    </row>
    <row r="1497" spans="1:2" ht="12.75" customHeight="1" x14ac:dyDescent="0.25">
      <c r="A1497" s="318">
        <v>91029029710</v>
      </c>
      <c r="B1497" s="318" t="s">
        <v>237</v>
      </c>
    </row>
    <row r="1498" spans="1:2" ht="12.75" customHeight="1" x14ac:dyDescent="0.25">
      <c r="A1498" s="318">
        <v>91029029711</v>
      </c>
      <c r="B1498" s="318" t="s">
        <v>237</v>
      </c>
    </row>
    <row r="1499" spans="1:2" ht="12.75" customHeight="1" x14ac:dyDescent="0.25">
      <c r="A1499" s="318">
        <v>91029029712</v>
      </c>
      <c r="B1499" s="318" t="s">
        <v>237</v>
      </c>
    </row>
    <row r="1500" spans="1:2" ht="12.75" customHeight="1" x14ac:dyDescent="0.25">
      <c r="A1500" s="318">
        <v>91029029713</v>
      </c>
      <c r="B1500" s="318" t="s">
        <v>237</v>
      </c>
    </row>
    <row r="1501" spans="1:2" ht="12.75" customHeight="1" x14ac:dyDescent="0.25">
      <c r="A1501" s="318">
        <v>91029029714</v>
      </c>
      <c r="B1501" s="318" t="s">
        <v>237</v>
      </c>
    </row>
    <row r="1502" spans="1:2" ht="12.75" customHeight="1" x14ac:dyDescent="0.25">
      <c r="A1502" s="318">
        <v>91029029716</v>
      </c>
      <c r="B1502" s="318" t="s">
        <v>237</v>
      </c>
    </row>
    <row r="1503" spans="1:2" ht="12.75" customHeight="1" x14ac:dyDescent="0.25">
      <c r="A1503" s="318">
        <v>91029029717</v>
      </c>
      <c r="B1503" s="318" t="s">
        <v>237</v>
      </c>
    </row>
    <row r="1504" spans="1:2" ht="12.75" customHeight="1" x14ac:dyDescent="0.25">
      <c r="A1504" s="318">
        <v>91029029718</v>
      </c>
      <c r="B1504" s="318" t="s">
        <v>237</v>
      </c>
    </row>
    <row r="1505" spans="1:2" ht="12.75" customHeight="1" x14ac:dyDescent="0.25">
      <c r="A1505" s="318">
        <v>91029029719</v>
      </c>
      <c r="B1505" s="318" t="s">
        <v>237</v>
      </c>
    </row>
    <row r="1506" spans="1:2" ht="12.75" customHeight="1" x14ac:dyDescent="0.25">
      <c r="A1506" s="318">
        <v>91029029720</v>
      </c>
      <c r="B1506" s="318" t="s">
        <v>237</v>
      </c>
    </row>
    <row r="1507" spans="1:2" ht="12.75" customHeight="1" x14ac:dyDescent="0.25">
      <c r="A1507" s="318">
        <v>91029029721</v>
      </c>
      <c r="B1507" s="318" t="s">
        <v>237</v>
      </c>
    </row>
    <row r="1508" spans="1:2" ht="12.75" customHeight="1" x14ac:dyDescent="0.25">
      <c r="A1508" s="318">
        <v>91029029722</v>
      </c>
      <c r="B1508" s="318" t="s">
        <v>237</v>
      </c>
    </row>
    <row r="1509" spans="1:2" ht="12.75" customHeight="1" x14ac:dyDescent="0.25">
      <c r="A1509" s="318">
        <v>91029029723</v>
      </c>
      <c r="B1509" s="318" t="s">
        <v>237</v>
      </c>
    </row>
    <row r="1510" spans="1:2" ht="12.75" customHeight="1" x14ac:dyDescent="0.25">
      <c r="A1510" s="318">
        <v>91029709798</v>
      </c>
      <c r="B1510" s="318" t="s">
        <v>23</v>
      </c>
    </row>
    <row r="1511" spans="1:2" ht="12.75" customHeight="1" x14ac:dyDescent="0.25">
      <c r="A1511" s="318">
        <v>91029709799</v>
      </c>
      <c r="B1511" s="318" t="s">
        <v>23</v>
      </c>
    </row>
    <row r="1512" spans="1:2" ht="12.75" customHeight="1" x14ac:dyDescent="0.25">
      <c r="A1512" s="318">
        <v>91029709800</v>
      </c>
      <c r="B1512" s="318" t="s">
        <v>23</v>
      </c>
    </row>
    <row r="1513" spans="1:2" ht="12.75" customHeight="1" x14ac:dyDescent="0.25">
      <c r="A1513" s="318">
        <v>91029709801</v>
      </c>
      <c r="B1513" s="318" t="s">
        <v>23</v>
      </c>
    </row>
    <row r="1514" spans="1:2" ht="12.75" customHeight="1" x14ac:dyDescent="0.25">
      <c r="A1514" s="318">
        <v>91029709802</v>
      </c>
      <c r="B1514" s="318" t="s">
        <v>23</v>
      </c>
    </row>
    <row r="1515" spans="1:2" ht="12.75" customHeight="1" x14ac:dyDescent="0.25">
      <c r="A1515" s="318">
        <v>91029709803</v>
      </c>
      <c r="B1515" s="318" t="s">
        <v>23</v>
      </c>
    </row>
    <row r="1516" spans="1:2" ht="12.75" customHeight="1" x14ac:dyDescent="0.25">
      <c r="A1516" s="318">
        <v>91029709804</v>
      </c>
      <c r="B1516" s="318" t="s">
        <v>237</v>
      </c>
    </row>
    <row r="1517" spans="1:2" ht="12.75" customHeight="1" x14ac:dyDescent="0.25">
      <c r="A1517" s="318">
        <v>91029709805</v>
      </c>
      <c r="B1517" s="318" t="s">
        <v>237</v>
      </c>
    </row>
    <row r="1518" spans="1:2" ht="12.75" customHeight="1" x14ac:dyDescent="0.25">
      <c r="A1518" s="318">
        <v>91029709807</v>
      </c>
      <c r="B1518" s="318" t="s">
        <v>237</v>
      </c>
    </row>
    <row r="1519" spans="1:2" ht="12.75" customHeight="1" x14ac:dyDescent="0.25">
      <c r="A1519" s="318">
        <v>91029709808</v>
      </c>
      <c r="B1519" s="318" t="s">
        <v>237</v>
      </c>
    </row>
    <row r="1520" spans="1:2" ht="12.75" customHeight="1" x14ac:dyDescent="0.25">
      <c r="A1520" s="318">
        <v>91029709809</v>
      </c>
      <c r="B1520" s="318" t="s">
        <v>237</v>
      </c>
    </row>
    <row r="1521" spans="1:2" ht="12.75" customHeight="1" x14ac:dyDescent="0.25">
      <c r="A1521" s="318">
        <v>91029709810</v>
      </c>
      <c r="B1521" s="318" t="s">
        <v>237</v>
      </c>
    </row>
    <row r="1522" spans="1:2" ht="12.75" customHeight="1" x14ac:dyDescent="0.25">
      <c r="A1522" s="318">
        <v>91029709811</v>
      </c>
      <c r="B1522" s="318" t="s">
        <v>237</v>
      </c>
    </row>
    <row r="1523" spans="1:2" ht="12.75" customHeight="1" x14ac:dyDescent="0.25">
      <c r="A1523" s="318">
        <v>91029709812</v>
      </c>
      <c r="B1523" s="318" t="s">
        <v>237</v>
      </c>
    </row>
    <row r="1524" spans="1:2" ht="12.75" customHeight="1" x14ac:dyDescent="0.25">
      <c r="A1524" s="318">
        <v>91029709813</v>
      </c>
      <c r="B1524" s="318" t="s">
        <v>237</v>
      </c>
    </row>
    <row r="1525" spans="1:2" ht="12.75" customHeight="1" x14ac:dyDescent="0.25">
      <c r="A1525" s="318">
        <v>91029709814</v>
      </c>
      <c r="B1525" s="318" t="s">
        <v>237</v>
      </c>
    </row>
    <row r="1526" spans="1:2" ht="12.75" customHeight="1" x14ac:dyDescent="0.25">
      <c r="A1526" s="318">
        <v>91029709898</v>
      </c>
      <c r="B1526" s="318" t="s">
        <v>237</v>
      </c>
    </row>
    <row r="1527" spans="1:2" ht="12.75" customHeight="1" x14ac:dyDescent="0.25">
      <c r="A1527" s="318">
        <v>91029709899</v>
      </c>
      <c r="B1527" s="318" t="s">
        <v>237</v>
      </c>
    </row>
    <row r="1528" spans="1:2" ht="12.75" customHeight="1" x14ac:dyDescent="0.25">
      <c r="A1528" s="318">
        <v>91029709900</v>
      </c>
      <c r="B1528" s="318" t="s">
        <v>237</v>
      </c>
    </row>
    <row r="1529" spans="1:2" ht="12.75" customHeight="1" x14ac:dyDescent="0.25">
      <c r="A1529" s="318">
        <v>91029709901</v>
      </c>
      <c r="B1529" s="318" t="s">
        <v>237</v>
      </c>
    </row>
    <row r="1530" spans="1:2" ht="12.75" customHeight="1" x14ac:dyDescent="0.25">
      <c r="A1530" s="318">
        <v>91029709902</v>
      </c>
      <c r="B1530" s="318" t="s">
        <v>237</v>
      </c>
    </row>
    <row r="1531" spans="1:2" ht="12.75" customHeight="1" x14ac:dyDescent="0.25">
      <c r="A1531" s="318">
        <v>91029709903</v>
      </c>
      <c r="B1531" s="318" t="s">
        <v>237</v>
      </c>
    </row>
    <row r="1532" spans="1:2" ht="12.75" customHeight="1" x14ac:dyDescent="0.25">
      <c r="A1532" s="318">
        <v>91029709904</v>
      </c>
      <c r="B1532" s="318" t="s">
        <v>237</v>
      </c>
    </row>
    <row r="1533" spans="1:2" ht="12.75" customHeight="1" x14ac:dyDescent="0.25">
      <c r="A1533" s="318">
        <v>91029709905</v>
      </c>
      <c r="B1533" s="318" t="s">
        <v>237</v>
      </c>
    </row>
    <row r="1534" spans="1:2" ht="12.75" customHeight="1" x14ac:dyDescent="0.25">
      <c r="A1534" s="318">
        <v>91029709907</v>
      </c>
      <c r="B1534" s="318" t="s">
        <v>237</v>
      </c>
    </row>
    <row r="1535" spans="1:2" ht="12.75" customHeight="1" x14ac:dyDescent="0.25">
      <c r="A1535" s="318">
        <v>91029709908</v>
      </c>
      <c r="B1535" s="318" t="s">
        <v>237</v>
      </c>
    </row>
    <row r="1536" spans="1:2" ht="12.75" customHeight="1" x14ac:dyDescent="0.25">
      <c r="A1536" s="318">
        <v>91029709909</v>
      </c>
      <c r="B1536" s="318" t="s">
        <v>237</v>
      </c>
    </row>
    <row r="1537" spans="1:2" ht="12.75" customHeight="1" x14ac:dyDescent="0.25">
      <c r="A1537" s="318">
        <v>91029709910</v>
      </c>
      <c r="B1537" s="318" t="s">
        <v>237</v>
      </c>
    </row>
    <row r="1538" spans="1:2" ht="12.75" customHeight="1" x14ac:dyDescent="0.25">
      <c r="A1538" s="318">
        <v>91029709911</v>
      </c>
      <c r="B1538" s="318" t="s">
        <v>237</v>
      </c>
    </row>
    <row r="1539" spans="1:2" ht="12.75" customHeight="1" x14ac:dyDescent="0.25">
      <c r="A1539" s="318">
        <v>91029709912</v>
      </c>
      <c r="B1539" s="318" t="s">
        <v>237</v>
      </c>
    </row>
    <row r="1540" spans="1:2" ht="12.75" customHeight="1" x14ac:dyDescent="0.25">
      <c r="A1540" s="318">
        <v>91029709913</v>
      </c>
      <c r="B1540" s="318" t="s">
        <v>237</v>
      </c>
    </row>
    <row r="1541" spans="1:2" ht="12.75" customHeight="1" x14ac:dyDescent="0.25">
      <c r="A1541" s="318">
        <v>91029709914</v>
      </c>
      <c r="B1541" s="318" t="s">
        <v>237</v>
      </c>
    </row>
    <row r="1542" spans="1:2" ht="12.75" customHeight="1" x14ac:dyDescent="0.25">
      <c r="A1542" s="318">
        <v>91030190771</v>
      </c>
      <c r="B1542" s="318" t="s">
        <v>23</v>
      </c>
    </row>
    <row r="1543" spans="1:2" ht="12.75" customHeight="1" x14ac:dyDescent="0.25">
      <c r="A1543" s="318">
        <v>91030190772</v>
      </c>
      <c r="B1543" s="318" t="s">
        <v>23</v>
      </c>
    </row>
    <row r="1544" spans="1:2" ht="12.75" customHeight="1" x14ac:dyDescent="0.25">
      <c r="A1544" s="318">
        <v>91030190773</v>
      </c>
      <c r="B1544" s="318" t="s">
        <v>23</v>
      </c>
    </row>
    <row r="1545" spans="1:2" ht="12.75" customHeight="1" x14ac:dyDescent="0.25">
      <c r="A1545" s="318">
        <v>91030190774</v>
      </c>
      <c r="B1545" s="318" t="s">
        <v>23</v>
      </c>
    </row>
    <row r="1546" spans="1:2" ht="12.75" customHeight="1" x14ac:dyDescent="0.25">
      <c r="A1546" s="318">
        <v>91030190775</v>
      </c>
      <c r="B1546" s="318" t="s">
        <v>23</v>
      </c>
    </row>
    <row r="1547" spans="1:2" ht="12.75" customHeight="1" x14ac:dyDescent="0.25">
      <c r="A1547" s="318">
        <v>91030190776</v>
      </c>
      <c r="B1547" s="318" t="s">
        <v>23</v>
      </c>
    </row>
    <row r="1548" spans="1:2" ht="12.75" customHeight="1" x14ac:dyDescent="0.25">
      <c r="A1548" s="318">
        <v>91030190777</v>
      </c>
      <c r="B1548" s="318" t="s">
        <v>237</v>
      </c>
    </row>
    <row r="1549" spans="1:2" ht="12.75" customHeight="1" x14ac:dyDescent="0.25">
      <c r="A1549" s="318">
        <v>91030190778</v>
      </c>
      <c r="B1549" s="318" t="s">
        <v>237</v>
      </c>
    </row>
    <row r="1550" spans="1:2" ht="12.75" customHeight="1" x14ac:dyDescent="0.25">
      <c r="A1550" s="318">
        <v>91030190780</v>
      </c>
      <c r="B1550" s="318" t="s">
        <v>237</v>
      </c>
    </row>
    <row r="1551" spans="1:2" ht="12.75" customHeight="1" x14ac:dyDescent="0.25">
      <c r="A1551" s="318">
        <v>91030190781</v>
      </c>
      <c r="B1551" s="318" t="s">
        <v>237</v>
      </c>
    </row>
    <row r="1552" spans="1:2" ht="12.75" customHeight="1" x14ac:dyDescent="0.25">
      <c r="A1552" s="318">
        <v>91030190782</v>
      </c>
      <c r="B1552" s="318" t="s">
        <v>237</v>
      </c>
    </row>
    <row r="1553" spans="1:2" ht="12.75" customHeight="1" x14ac:dyDescent="0.25">
      <c r="A1553" s="318">
        <v>91030190783</v>
      </c>
      <c r="B1553" s="318" t="s">
        <v>237</v>
      </c>
    </row>
    <row r="1554" spans="1:2" ht="12.75" customHeight="1" x14ac:dyDescent="0.25">
      <c r="A1554" s="318">
        <v>91030190784</v>
      </c>
      <c r="B1554" s="318" t="s">
        <v>237</v>
      </c>
    </row>
    <row r="1555" spans="1:2" ht="12.75" customHeight="1" x14ac:dyDescent="0.25">
      <c r="A1555" s="318">
        <v>91030190785</v>
      </c>
      <c r="B1555" s="318" t="s">
        <v>237</v>
      </c>
    </row>
    <row r="1556" spans="1:2" ht="12.75" customHeight="1" x14ac:dyDescent="0.25">
      <c r="A1556" s="318">
        <v>91030190786</v>
      </c>
      <c r="B1556" s="318" t="s">
        <v>237</v>
      </c>
    </row>
    <row r="1557" spans="1:2" ht="12.75" customHeight="1" x14ac:dyDescent="0.25">
      <c r="A1557" s="318">
        <v>91030190787</v>
      </c>
      <c r="B1557" s="318" t="s">
        <v>237</v>
      </c>
    </row>
    <row r="1558" spans="1:2" ht="12.75" customHeight="1" x14ac:dyDescent="0.25">
      <c r="A1558" s="318">
        <v>91030190871</v>
      </c>
      <c r="B1558" s="318" t="s">
        <v>237</v>
      </c>
    </row>
    <row r="1559" spans="1:2" ht="12.75" customHeight="1" x14ac:dyDescent="0.25">
      <c r="A1559" s="318">
        <v>91030190872</v>
      </c>
      <c r="B1559" s="318" t="s">
        <v>237</v>
      </c>
    </row>
    <row r="1560" spans="1:2" ht="12.75" customHeight="1" x14ac:dyDescent="0.25">
      <c r="A1560" s="318">
        <v>91030190873</v>
      </c>
      <c r="B1560" s="318" t="s">
        <v>237</v>
      </c>
    </row>
    <row r="1561" spans="1:2" ht="12.75" customHeight="1" x14ac:dyDescent="0.25">
      <c r="A1561" s="318">
        <v>91030190874</v>
      </c>
      <c r="B1561" s="318" t="s">
        <v>237</v>
      </c>
    </row>
    <row r="1562" spans="1:2" ht="12.75" customHeight="1" x14ac:dyDescent="0.25">
      <c r="A1562" s="318">
        <v>91030190875</v>
      </c>
      <c r="B1562" s="318" t="s">
        <v>237</v>
      </c>
    </row>
    <row r="1563" spans="1:2" ht="12.75" customHeight="1" x14ac:dyDescent="0.25">
      <c r="A1563" s="318">
        <v>91030190876</v>
      </c>
      <c r="B1563" s="318" t="s">
        <v>237</v>
      </c>
    </row>
    <row r="1564" spans="1:2" ht="12.75" customHeight="1" x14ac:dyDescent="0.25">
      <c r="A1564" s="318">
        <v>91030190877</v>
      </c>
      <c r="B1564" s="318" t="s">
        <v>237</v>
      </c>
    </row>
    <row r="1565" spans="1:2" ht="12.75" customHeight="1" x14ac:dyDescent="0.25">
      <c r="A1565" s="318">
        <v>91030190878</v>
      </c>
      <c r="B1565" s="318" t="s">
        <v>237</v>
      </c>
    </row>
    <row r="1566" spans="1:2" ht="12.75" customHeight="1" x14ac:dyDescent="0.25">
      <c r="A1566" s="318">
        <v>91030190880</v>
      </c>
      <c r="B1566" s="318" t="s">
        <v>237</v>
      </c>
    </row>
    <row r="1567" spans="1:2" ht="12.75" customHeight="1" x14ac:dyDescent="0.25">
      <c r="A1567" s="318">
        <v>91030190881</v>
      </c>
      <c r="B1567" s="318" t="s">
        <v>237</v>
      </c>
    </row>
    <row r="1568" spans="1:2" ht="12.75" customHeight="1" x14ac:dyDescent="0.25">
      <c r="A1568" s="318">
        <v>91030190882</v>
      </c>
      <c r="B1568" s="318" t="s">
        <v>237</v>
      </c>
    </row>
    <row r="1569" spans="1:2" ht="12.75" customHeight="1" x14ac:dyDescent="0.25">
      <c r="A1569" s="318">
        <v>91030190883</v>
      </c>
      <c r="B1569" s="318" t="s">
        <v>237</v>
      </c>
    </row>
    <row r="1570" spans="1:2" ht="12.75" customHeight="1" x14ac:dyDescent="0.25">
      <c r="A1570" s="318">
        <v>91030190884</v>
      </c>
      <c r="B1570" s="318" t="s">
        <v>237</v>
      </c>
    </row>
    <row r="1571" spans="1:2" ht="12.75" customHeight="1" x14ac:dyDescent="0.25">
      <c r="A1571" s="318">
        <v>91030190885</v>
      </c>
      <c r="B1571" s="318" t="s">
        <v>237</v>
      </c>
    </row>
    <row r="1572" spans="1:2" ht="12.75" customHeight="1" x14ac:dyDescent="0.25">
      <c r="A1572" s="318">
        <v>91030190886</v>
      </c>
      <c r="B1572" s="318" t="s">
        <v>237</v>
      </c>
    </row>
    <row r="1573" spans="1:2" ht="12.75" customHeight="1" x14ac:dyDescent="0.25">
      <c r="A1573" s="318">
        <v>91030190887</v>
      </c>
      <c r="B1573" s="318" t="s">
        <v>237</v>
      </c>
    </row>
    <row r="1574" spans="1:2" ht="12.75" customHeight="1" x14ac:dyDescent="0.25">
      <c r="A1574" s="318">
        <v>91030671744</v>
      </c>
      <c r="B1574" s="318" t="s">
        <v>23</v>
      </c>
    </row>
    <row r="1575" spans="1:2" ht="12.75" customHeight="1" x14ac:dyDescent="0.25">
      <c r="A1575" s="318">
        <v>91030671745</v>
      </c>
      <c r="B1575" s="318" t="s">
        <v>23</v>
      </c>
    </row>
    <row r="1576" spans="1:2" ht="12.75" customHeight="1" x14ac:dyDescent="0.25">
      <c r="A1576" s="318">
        <v>91030671746</v>
      </c>
      <c r="B1576" s="318" t="s">
        <v>23</v>
      </c>
    </row>
    <row r="1577" spans="1:2" ht="12.75" customHeight="1" x14ac:dyDescent="0.25">
      <c r="A1577" s="318">
        <v>91030671747</v>
      </c>
      <c r="B1577" s="318" t="s">
        <v>23</v>
      </c>
    </row>
    <row r="1578" spans="1:2" ht="12.75" customHeight="1" x14ac:dyDescent="0.25">
      <c r="A1578" s="318">
        <v>91030671748</v>
      </c>
      <c r="B1578" s="318" t="s">
        <v>23</v>
      </c>
    </row>
    <row r="1579" spans="1:2" ht="12.75" customHeight="1" x14ac:dyDescent="0.25">
      <c r="A1579" s="318">
        <v>91030671749</v>
      </c>
      <c r="B1579" s="318" t="s">
        <v>23</v>
      </c>
    </row>
    <row r="1580" spans="1:2" ht="12.75" customHeight="1" x14ac:dyDescent="0.25">
      <c r="A1580" s="318">
        <v>91030671750</v>
      </c>
      <c r="B1580" s="318" t="s">
        <v>237</v>
      </c>
    </row>
    <row r="1581" spans="1:2" ht="12.75" customHeight="1" x14ac:dyDescent="0.25">
      <c r="A1581" s="318">
        <v>91030671751</v>
      </c>
      <c r="B1581" s="318" t="s">
        <v>237</v>
      </c>
    </row>
    <row r="1582" spans="1:2" ht="12.75" customHeight="1" x14ac:dyDescent="0.25">
      <c r="A1582" s="318">
        <v>91030671753</v>
      </c>
      <c r="B1582" s="318" t="s">
        <v>237</v>
      </c>
    </row>
    <row r="1583" spans="1:2" ht="12.75" customHeight="1" x14ac:dyDescent="0.25">
      <c r="A1583" s="318">
        <v>91030671754</v>
      </c>
      <c r="B1583" s="318" t="s">
        <v>237</v>
      </c>
    </row>
    <row r="1584" spans="1:2" ht="12.75" customHeight="1" x14ac:dyDescent="0.25">
      <c r="A1584" s="318">
        <v>91030671755</v>
      </c>
      <c r="B1584" s="318" t="s">
        <v>237</v>
      </c>
    </row>
    <row r="1585" spans="1:2" ht="12.75" customHeight="1" x14ac:dyDescent="0.25">
      <c r="A1585" s="318">
        <v>91030671756</v>
      </c>
      <c r="B1585" s="318" t="s">
        <v>237</v>
      </c>
    </row>
    <row r="1586" spans="1:2" ht="12.75" customHeight="1" x14ac:dyDescent="0.25">
      <c r="A1586" s="318">
        <v>91030671757</v>
      </c>
      <c r="B1586" s="318" t="s">
        <v>237</v>
      </c>
    </row>
    <row r="1587" spans="1:2" ht="12.75" customHeight="1" x14ac:dyDescent="0.25">
      <c r="A1587" s="318">
        <v>91030671758</v>
      </c>
      <c r="B1587" s="318" t="s">
        <v>237</v>
      </c>
    </row>
    <row r="1588" spans="1:2" ht="12.75" customHeight="1" x14ac:dyDescent="0.25">
      <c r="A1588" s="318">
        <v>91030671759</v>
      </c>
      <c r="B1588" s="318" t="s">
        <v>237</v>
      </c>
    </row>
    <row r="1589" spans="1:2" ht="12.75" customHeight="1" x14ac:dyDescent="0.25">
      <c r="A1589" s="318">
        <v>91030671760</v>
      </c>
      <c r="B1589" s="318" t="s">
        <v>237</v>
      </c>
    </row>
    <row r="1590" spans="1:2" ht="12.75" customHeight="1" x14ac:dyDescent="0.25">
      <c r="A1590" s="318">
        <v>91030671844</v>
      </c>
      <c r="B1590" s="318" t="s">
        <v>237</v>
      </c>
    </row>
    <row r="1591" spans="1:2" ht="12.75" customHeight="1" x14ac:dyDescent="0.25">
      <c r="A1591" s="318">
        <v>91030671845</v>
      </c>
      <c r="B1591" s="318" t="s">
        <v>237</v>
      </c>
    </row>
    <row r="1592" spans="1:2" ht="12.75" customHeight="1" x14ac:dyDescent="0.25">
      <c r="A1592" s="318">
        <v>91030671846</v>
      </c>
      <c r="B1592" s="318" t="s">
        <v>237</v>
      </c>
    </row>
    <row r="1593" spans="1:2" ht="12.75" customHeight="1" x14ac:dyDescent="0.25">
      <c r="A1593" s="318">
        <v>91030671847</v>
      </c>
      <c r="B1593" s="318" t="s">
        <v>237</v>
      </c>
    </row>
    <row r="1594" spans="1:2" ht="12.75" customHeight="1" x14ac:dyDescent="0.25">
      <c r="A1594" s="318">
        <v>91030671848</v>
      </c>
      <c r="B1594" s="318" t="s">
        <v>237</v>
      </c>
    </row>
    <row r="1595" spans="1:2" ht="12.75" customHeight="1" x14ac:dyDescent="0.25">
      <c r="A1595" s="318">
        <v>91030671849</v>
      </c>
      <c r="B1595" s="318" t="s">
        <v>237</v>
      </c>
    </row>
    <row r="1596" spans="1:2" ht="12.75" customHeight="1" x14ac:dyDescent="0.25">
      <c r="A1596" s="318">
        <v>91030671850</v>
      </c>
      <c r="B1596" s="318" t="s">
        <v>237</v>
      </c>
    </row>
    <row r="1597" spans="1:2" ht="12.75" customHeight="1" x14ac:dyDescent="0.25">
      <c r="A1597" s="318">
        <v>91030671851</v>
      </c>
      <c r="B1597" s="318" t="s">
        <v>237</v>
      </c>
    </row>
    <row r="1598" spans="1:2" ht="12.75" customHeight="1" x14ac:dyDescent="0.25">
      <c r="A1598" s="318">
        <v>91030671853</v>
      </c>
      <c r="B1598" s="318" t="s">
        <v>237</v>
      </c>
    </row>
    <row r="1599" spans="1:2" ht="12.75" customHeight="1" x14ac:dyDescent="0.25">
      <c r="A1599" s="318">
        <v>91030671854</v>
      </c>
      <c r="B1599" s="318" t="s">
        <v>237</v>
      </c>
    </row>
    <row r="1600" spans="1:2" ht="12.75" customHeight="1" x14ac:dyDescent="0.25">
      <c r="A1600" s="318">
        <v>91030671855</v>
      </c>
      <c r="B1600" s="318" t="s">
        <v>237</v>
      </c>
    </row>
    <row r="1601" spans="1:2" ht="12.75" customHeight="1" x14ac:dyDescent="0.25">
      <c r="A1601" s="318">
        <v>91030671856</v>
      </c>
      <c r="B1601" s="318" t="s">
        <v>237</v>
      </c>
    </row>
    <row r="1602" spans="1:2" ht="12.75" customHeight="1" x14ac:dyDescent="0.25">
      <c r="A1602" s="318">
        <v>91030671857</v>
      </c>
      <c r="B1602" s="318" t="s">
        <v>237</v>
      </c>
    </row>
    <row r="1603" spans="1:2" ht="12.75" customHeight="1" x14ac:dyDescent="0.25">
      <c r="A1603" s="318">
        <v>91030671858</v>
      </c>
      <c r="B1603" s="318" t="s">
        <v>237</v>
      </c>
    </row>
    <row r="1604" spans="1:2" ht="12.75" customHeight="1" x14ac:dyDescent="0.25">
      <c r="A1604" s="318">
        <v>91030671859</v>
      </c>
      <c r="B1604" s="318" t="s">
        <v>237</v>
      </c>
    </row>
    <row r="1605" spans="1:2" ht="12.75" customHeight="1" x14ac:dyDescent="0.25">
      <c r="A1605" s="318">
        <v>91030671860</v>
      </c>
      <c r="B1605" s="318" t="s">
        <v>237</v>
      </c>
    </row>
    <row r="1606" spans="1:2" ht="12.75" customHeight="1" x14ac:dyDescent="0.25">
      <c r="A1606" s="318">
        <v>91032032125</v>
      </c>
      <c r="B1606" s="318" t="s">
        <v>23</v>
      </c>
    </row>
    <row r="1607" spans="1:2" ht="12.75" customHeight="1" x14ac:dyDescent="0.25">
      <c r="A1607" s="318">
        <v>91032032126</v>
      </c>
      <c r="B1607" s="318" t="s">
        <v>23</v>
      </c>
    </row>
    <row r="1608" spans="1:2" ht="12.75" customHeight="1" x14ac:dyDescent="0.25">
      <c r="A1608" s="318">
        <v>91032032127</v>
      </c>
      <c r="B1608" s="318" t="s">
        <v>23</v>
      </c>
    </row>
    <row r="1609" spans="1:2" ht="12.75" customHeight="1" x14ac:dyDescent="0.25">
      <c r="A1609" s="318">
        <v>91032032128</v>
      </c>
      <c r="B1609" s="318" t="s">
        <v>23</v>
      </c>
    </row>
    <row r="1610" spans="1:2" ht="12.75" customHeight="1" x14ac:dyDescent="0.25">
      <c r="A1610" s="318">
        <v>91032032129</v>
      </c>
      <c r="B1610" s="318" t="s">
        <v>23</v>
      </c>
    </row>
    <row r="1611" spans="1:2" ht="12.75" customHeight="1" x14ac:dyDescent="0.25">
      <c r="A1611" s="318">
        <v>91032032130</v>
      </c>
      <c r="B1611" s="318" t="s">
        <v>23</v>
      </c>
    </row>
    <row r="1612" spans="1:2" ht="12.75" customHeight="1" x14ac:dyDescent="0.25">
      <c r="A1612" s="318">
        <v>91032032131</v>
      </c>
      <c r="B1612" s="318" t="s">
        <v>237</v>
      </c>
    </row>
    <row r="1613" spans="1:2" ht="12.75" customHeight="1" x14ac:dyDescent="0.25">
      <c r="A1613" s="318">
        <v>91032032132</v>
      </c>
      <c r="B1613" s="318" t="s">
        <v>237</v>
      </c>
    </row>
    <row r="1614" spans="1:2" ht="12.75" customHeight="1" x14ac:dyDescent="0.25">
      <c r="A1614" s="318">
        <v>91032032134</v>
      </c>
      <c r="B1614" s="318" t="s">
        <v>237</v>
      </c>
    </row>
    <row r="1615" spans="1:2" ht="12.75" customHeight="1" x14ac:dyDescent="0.25">
      <c r="A1615" s="318">
        <v>91032032135</v>
      </c>
      <c r="B1615" s="318" t="s">
        <v>237</v>
      </c>
    </row>
    <row r="1616" spans="1:2" ht="12.75" customHeight="1" x14ac:dyDescent="0.25">
      <c r="A1616" s="318">
        <v>91032032136</v>
      </c>
      <c r="B1616" s="318" t="s">
        <v>237</v>
      </c>
    </row>
    <row r="1617" spans="1:2" ht="12.75" customHeight="1" x14ac:dyDescent="0.25">
      <c r="A1617" s="318">
        <v>91032032137</v>
      </c>
      <c r="B1617" s="318" t="s">
        <v>237</v>
      </c>
    </row>
    <row r="1618" spans="1:2" ht="12.75" customHeight="1" x14ac:dyDescent="0.25">
      <c r="A1618" s="318">
        <v>91032032138</v>
      </c>
      <c r="B1618" s="318" t="s">
        <v>237</v>
      </c>
    </row>
    <row r="1619" spans="1:2" ht="12.75" customHeight="1" x14ac:dyDescent="0.25">
      <c r="A1619" s="318">
        <v>91032032139</v>
      </c>
      <c r="B1619" s="318" t="s">
        <v>237</v>
      </c>
    </row>
    <row r="1620" spans="1:2" ht="12.75" customHeight="1" x14ac:dyDescent="0.25">
      <c r="A1620" s="318">
        <v>91032032140</v>
      </c>
      <c r="B1620" s="318" t="s">
        <v>237</v>
      </c>
    </row>
    <row r="1621" spans="1:2" ht="12.75" customHeight="1" x14ac:dyDescent="0.25">
      <c r="A1621" s="318">
        <v>91032032141</v>
      </c>
      <c r="B1621" s="318" t="s">
        <v>237</v>
      </c>
    </row>
    <row r="1622" spans="1:2" ht="12.75" customHeight="1" x14ac:dyDescent="0.25">
      <c r="A1622" s="318">
        <v>91032032225</v>
      </c>
      <c r="B1622" s="318" t="s">
        <v>237</v>
      </c>
    </row>
    <row r="1623" spans="1:2" ht="12.75" customHeight="1" x14ac:dyDescent="0.25">
      <c r="A1623" s="318">
        <v>91032032226</v>
      </c>
      <c r="B1623" s="318" t="s">
        <v>237</v>
      </c>
    </row>
    <row r="1624" spans="1:2" ht="12.75" customHeight="1" x14ac:dyDescent="0.25">
      <c r="A1624" s="318">
        <v>91032032227</v>
      </c>
      <c r="B1624" s="318" t="s">
        <v>237</v>
      </c>
    </row>
    <row r="1625" spans="1:2" ht="12.75" customHeight="1" x14ac:dyDescent="0.25">
      <c r="A1625" s="318">
        <v>91032032228</v>
      </c>
      <c r="B1625" s="318" t="s">
        <v>237</v>
      </c>
    </row>
    <row r="1626" spans="1:2" ht="12.75" customHeight="1" x14ac:dyDescent="0.25">
      <c r="A1626" s="318">
        <v>91032032229</v>
      </c>
      <c r="B1626" s="318" t="s">
        <v>237</v>
      </c>
    </row>
    <row r="1627" spans="1:2" ht="12.75" customHeight="1" x14ac:dyDescent="0.25">
      <c r="A1627" s="318">
        <v>91032032230</v>
      </c>
      <c r="B1627" s="318" t="s">
        <v>237</v>
      </c>
    </row>
    <row r="1628" spans="1:2" ht="12.75" customHeight="1" x14ac:dyDescent="0.25">
      <c r="A1628" s="318">
        <v>91032032231</v>
      </c>
      <c r="B1628" s="318" t="s">
        <v>237</v>
      </c>
    </row>
    <row r="1629" spans="1:2" ht="12.75" customHeight="1" x14ac:dyDescent="0.25">
      <c r="A1629" s="318">
        <v>91032032232</v>
      </c>
      <c r="B1629" s="318" t="s">
        <v>237</v>
      </c>
    </row>
    <row r="1630" spans="1:2" ht="12.75" customHeight="1" x14ac:dyDescent="0.25">
      <c r="A1630" s="318">
        <v>91032032234</v>
      </c>
      <c r="B1630" s="318" t="s">
        <v>237</v>
      </c>
    </row>
    <row r="1631" spans="1:2" ht="12.75" customHeight="1" x14ac:dyDescent="0.25">
      <c r="A1631" s="318">
        <v>91032032235</v>
      </c>
      <c r="B1631" s="318" t="s">
        <v>237</v>
      </c>
    </row>
    <row r="1632" spans="1:2" ht="12.75" customHeight="1" x14ac:dyDescent="0.25">
      <c r="A1632" s="318">
        <v>91032032236</v>
      </c>
      <c r="B1632" s="318" t="s">
        <v>237</v>
      </c>
    </row>
    <row r="1633" spans="1:2" ht="12.75" customHeight="1" x14ac:dyDescent="0.25">
      <c r="A1633" s="318">
        <v>91032032237</v>
      </c>
      <c r="B1633" s="318" t="s">
        <v>237</v>
      </c>
    </row>
    <row r="1634" spans="1:2" ht="12.75" customHeight="1" x14ac:dyDescent="0.25">
      <c r="A1634" s="318">
        <v>91032032238</v>
      </c>
      <c r="B1634" s="318" t="s">
        <v>237</v>
      </c>
    </row>
    <row r="1635" spans="1:2" ht="12.75" customHeight="1" x14ac:dyDescent="0.25">
      <c r="A1635" s="318">
        <v>91032032239</v>
      </c>
      <c r="B1635" s="318" t="s">
        <v>237</v>
      </c>
    </row>
    <row r="1636" spans="1:2" ht="12.75" customHeight="1" x14ac:dyDescent="0.25">
      <c r="A1636" s="318">
        <v>91032032240</v>
      </c>
      <c r="B1636" s="318" t="s">
        <v>237</v>
      </c>
    </row>
    <row r="1637" spans="1:2" ht="12.75" customHeight="1" x14ac:dyDescent="0.25">
      <c r="A1637" s="318">
        <v>91032032241</v>
      </c>
      <c r="B1637" s="318" t="s">
        <v>237</v>
      </c>
    </row>
    <row r="1638" spans="1:2" ht="12.75" customHeight="1" x14ac:dyDescent="0.25">
      <c r="A1638" s="318">
        <v>91032513098</v>
      </c>
      <c r="B1638" s="318" t="s">
        <v>23</v>
      </c>
    </row>
    <row r="1639" spans="1:2" ht="12.75" customHeight="1" x14ac:dyDescent="0.25">
      <c r="A1639" s="318">
        <v>91032513099</v>
      </c>
      <c r="B1639" s="318" t="s">
        <v>23</v>
      </c>
    </row>
    <row r="1640" spans="1:2" ht="12.75" customHeight="1" x14ac:dyDescent="0.25">
      <c r="A1640" s="318">
        <v>91032513100</v>
      </c>
      <c r="B1640" s="318" t="s">
        <v>23</v>
      </c>
    </row>
    <row r="1641" spans="1:2" ht="12.75" customHeight="1" x14ac:dyDescent="0.25">
      <c r="A1641" s="318">
        <v>91032513101</v>
      </c>
      <c r="B1641" s="318" t="s">
        <v>23</v>
      </c>
    </row>
    <row r="1642" spans="1:2" ht="12.75" customHeight="1" x14ac:dyDescent="0.25">
      <c r="A1642" s="318">
        <v>91032513102</v>
      </c>
      <c r="B1642" s="318" t="s">
        <v>23</v>
      </c>
    </row>
    <row r="1643" spans="1:2" ht="12.75" customHeight="1" x14ac:dyDescent="0.25">
      <c r="A1643" s="318">
        <v>91032513103</v>
      </c>
      <c r="B1643" s="318" t="s">
        <v>23</v>
      </c>
    </row>
    <row r="1644" spans="1:2" ht="12.75" customHeight="1" x14ac:dyDescent="0.25">
      <c r="A1644" s="318">
        <v>91032513104</v>
      </c>
      <c r="B1644" s="318" t="s">
        <v>237</v>
      </c>
    </row>
    <row r="1645" spans="1:2" ht="12.75" customHeight="1" x14ac:dyDescent="0.25">
      <c r="A1645" s="318">
        <v>91032513105</v>
      </c>
      <c r="B1645" s="318" t="s">
        <v>237</v>
      </c>
    </row>
    <row r="1646" spans="1:2" ht="12.75" customHeight="1" x14ac:dyDescent="0.25">
      <c r="A1646" s="318">
        <v>91032513107</v>
      </c>
      <c r="B1646" s="318" t="s">
        <v>237</v>
      </c>
    </row>
    <row r="1647" spans="1:2" ht="12.75" customHeight="1" x14ac:dyDescent="0.25">
      <c r="A1647" s="318">
        <v>91032513108</v>
      </c>
      <c r="B1647" s="318" t="s">
        <v>237</v>
      </c>
    </row>
    <row r="1648" spans="1:2" ht="12.75" customHeight="1" x14ac:dyDescent="0.25">
      <c r="A1648" s="318">
        <v>91032513109</v>
      </c>
      <c r="B1648" s="318" t="s">
        <v>237</v>
      </c>
    </row>
    <row r="1649" spans="1:2" ht="12.75" customHeight="1" x14ac:dyDescent="0.25">
      <c r="A1649" s="318">
        <v>91032513110</v>
      </c>
      <c r="B1649" s="318" t="s">
        <v>237</v>
      </c>
    </row>
    <row r="1650" spans="1:2" ht="12.75" customHeight="1" x14ac:dyDescent="0.25">
      <c r="A1650" s="318">
        <v>91032513111</v>
      </c>
      <c r="B1650" s="318" t="s">
        <v>237</v>
      </c>
    </row>
    <row r="1651" spans="1:2" ht="12.75" customHeight="1" x14ac:dyDescent="0.25">
      <c r="A1651" s="318">
        <v>91032513112</v>
      </c>
      <c r="B1651" s="318" t="s">
        <v>237</v>
      </c>
    </row>
    <row r="1652" spans="1:2" ht="12.75" customHeight="1" x14ac:dyDescent="0.25">
      <c r="A1652" s="318">
        <v>91032513113</v>
      </c>
      <c r="B1652" s="318" t="s">
        <v>237</v>
      </c>
    </row>
    <row r="1653" spans="1:2" ht="12.75" customHeight="1" x14ac:dyDescent="0.25">
      <c r="A1653" s="318">
        <v>91032513114</v>
      </c>
      <c r="B1653" s="318" t="s">
        <v>237</v>
      </c>
    </row>
    <row r="1654" spans="1:2" ht="12.75" customHeight="1" x14ac:dyDescent="0.25">
      <c r="A1654" s="318">
        <v>91032513198</v>
      </c>
      <c r="B1654" s="318" t="s">
        <v>237</v>
      </c>
    </row>
    <row r="1655" spans="1:2" ht="12.75" customHeight="1" x14ac:dyDescent="0.25">
      <c r="A1655" s="318">
        <v>91032513199</v>
      </c>
      <c r="B1655" s="318" t="s">
        <v>237</v>
      </c>
    </row>
    <row r="1656" spans="1:2" ht="12.75" customHeight="1" x14ac:dyDescent="0.25">
      <c r="A1656" s="318">
        <v>91032513200</v>
      </c>
      <c r="B1656" s="318" t="s">
        <v>237</v>
      </c>
    </row>
    <row r="1657" spans="1:2" ht="12.75" customHeight="1" x14ac:dyDescent="0.25">
      <c r="A1657" s="318">
        <v>91032513201</v>
      </c>
      <c r="B1657" s="318" t="s">
        <v>237</v>
      </c>
    </row>
    <row r="1658" spans="1:2" ht="12.75" customHeight="1" x14ac:dyDescent="0.25">
      <c r="A1658" s="318">
        <v>91032513202</v>
      </c>
      <c r="B1658" s="318" t="s">
        <v>237</v>
      </c>
    </row>
    <row r="1659" spans="1:2" ht="12.75" customHeight="1" x14ac:dyDescent="0.25">
      <c r="A1659" s="318">
        <v>91032513203</v>
      </c>
      <c r="B1659" s="318" t="s">
        <v>237</v>
      </c>
    </row>
    <row r="1660" spans="1:2" ht="12.75" customHeight="1" x14ac:dyDescent="0.25">
      <c r="A1660" s="318">
        <v>91032513204</v>
      </c>
      <c r="B1660" s="318" t="s">
        <v>237</v>
      </c>
    </row>
    <row r="1661" spans="1:2" ht="12.75" customHeight="1" x14ac:dyDescent="0.25">
      <c r="A1661" s="318">
        <v>91032513205</v>
      </c>
      <c r="B1661" s="318" t="s">
        <v>237</v>
      </c>
    </row>
    <row r="1662" spans="1:2" ht="12.75" customHeight="1" x14ac:dyDescent="0.25">
      <c r="A1662" s="318">
        <v>91032513207</v>
      </c>
      <c r="B1662" s="318" t="s">
        <v>237</v>
      </c>
    </row>
    <row r="1663" spans="1:2" ht="12.75" customHeight="1" x14ac:dyDescent="0.25">
      <c r="A1663" s="318">
        <v>91032513208</v>
      </c>
      <c r="B1663" s="318" t="s">
        <v>237</v>
      </c>
    </row>
    <row r="1664" spans="1:2" ht="12.75" customHeight="1" x14ac:dyDescent="0.25">
      <c r="A1664" s="318">
        <v>91032513209</v>
      </c>
      <c r="B1664" s="318" t="s">
        <v>237</v>
      </c>
    </row>
    <row r="1665" spans="1:2" ht="12.75" customHeight="1" x14ac:dyDescent="0.25">
      <c r="A1665" s="318">
        <v>91032513210</v>
      </c>
      <c r="B1665" s="318" t="s">
        <v>237</v>
      </c>
    </row>
    <row r="1666" spans="1:2" ht="12.75" customHeight="1" x14ac:dyDescent="0.25">
      <c r="A1666" s="318">
        <v>91032513211</v>
      </c>
      <c r="B1666" s="318" t="s">
        <v>237</v>
      </c>
    </row>
    <row r="1667" spans="1:2" ht="12.75" customHeight="1" x14ac:dyDescent="0.25">
      <c r="A1667" s="318">
        <v>91032513212</v>
      </c>
      <c r="B1667" s="318" t="s">
        <v>237</v>
      </c>
    </row>
    <row r="1668" spans="1:2" ht="12.75" customHeight="1" x14ac:dyDescent="0.25">
      <c r="A1668" s="318">
        <v>91032513213</v>
      </c>
      <c r="B1668" s="318" t="s">
        <v>237</v>
      </c>
    </row>
    <row r="1669" spans="1:2" ht="12.75" customHeight="1" x14ac:dyDescent="0.25">
      <c r="A1669" s="318">
        <v>91032513214</v>
      </c>
      <c r="B1669" s="318" t="s">
        <v>237</v>
      </c>
    </row>
    <row r="1670" spans="1:2" ht="12.75" customHeight="1" x14ac:dyDescent="0.25">
      <c r="A1670" s="318">
        <v>91032994071</v>
      </c>
      <c r="B1670" s="318" t="s">
        <v>23</v>
      </c>
    </row>
    <row r="1671" spans="1:2" ht="12.75" customHeight="1" x14ac:dyDescent="0.25">
      <c r="A1671" s="318">
        <v>91032994072</v>
      </c>
      <c r="B1671" s="318" t="s">
        <v>23</v>
      </c>
    </row>
    <row r="1672" spans="1:2" ht="12.75" customHeight="1" x14ac:dyDescent="0.25">
      <c r="A1672" s="318">
        <v>91032994073</v>
      </c>
      <c r="B1672" s="318" t="s">
        <v>23</v>
      </c>
    </row>
    <row r="1673" spans="1:2" ht="12.75" customHeight="1" x14ac:dyDescent="0.25">
      <c r="A1673" s="318">
        <v>91032994074</v>
      </c>
      <c r="B1673" s="318" t="s">
        <v>23</v>
      </c>
    </row>
    <row r="1674" spans="1:2" ht="12.75" customHeight="1" x14ac:dyDescent="0.25">
      <c r="A1674" s="318">
        <v>91032994075</v>
      </c>
      <c r="B1674" s="318" t="s">
        <v>23</v>
      </c>
    </row>
    <row r="1675" spans="1:2" ht="12.75" customHeight="1" x14ac:dyDescent="0.25">
      <c r="A1675" s="318">
        <v>91032994076</v>
      </c>
      <c r="B1675" s="318" t="s">
        <v>23</v>
      </c>
    </row>
    <row r="1676" spans="1:2" ht="12.75" customHeight="1" x14ac:dyDescent="0.25">
      <c r="A1676" s="318">
        <v>91032994077</v>
      </c>
      <c r="B1676" s="318" t="s">
        <v>237</v>
      </c>
    </row>
    <row r="1677" spans="1:2" ht="12.75" customHeight="1" x14ac:dyDescent="0.25">
      <c r="A1677" s="318">
        <v>91032994078</v>
      </c>
      <c r="B1677" s="318" t="s">
        <v>237</v>
      </c>
    </row>
    <row r="1678" spans="1:2" ht="12.75" customHeight="1" x14ac:dyDescent="0.25">
      <c r="A1678" s="318">
        <v>91032994080</v>
      </c>
      <c r="B1678" s="318" t="s">
        <v>237</v>
      </c>
    </row>
    <row r="1679" spans="1:2" ht="12.75" customHeight="1" x14ac:dyDescent="0.25">
      <c r="A1679" s="318">
        <v>91032994081</v>
      </c>
      <c r="B1679" s="318" t="s">
        <v>237</v>
      </c>
    </row>
    <row r="1680" spans="1:2" ht="12.75" customHeight="1" x14ac:dyDescent="0.25">
      <c r="A1680" s="318">
        <v>91032994082</v>
      </c>
      <c r="B1680" s="318" t="s">
        <v>237</v>
      </c>
    </row>
    <row r="1681" spans="1:2" ht="12.75" customHeight="1" x14ac:dyDescent="0.25">
      <c r="A1681" s="318">
        <v>91032994083</v>
      </c>
      <c r="B1681" s="318" t="s">
        <v>237</v>
      </c>
    </row>
    <row r="1682" spans="1:2" ht="12.75" customHeight="1" x14ac:dyDescent="0.25">
      <c r="A1682" s="318">
        <v>91032994084</v>
      </c>
      <c r="B1682" s="318" t="s">
        <v>237</v>
      </c>
    </row>
    <row r="1683" spans="1:2" ht="12.75" customHeight="1" x14ac:dyDescent="0.25">
      <c r="A1683" s="318">
        <v>91032994085</v>
      </c>
      <c r="B1683" s="318" t="s">
        <v>237</v>
      </c>
    </row>
    <row r="1684" spans="1:2" ht="12.75" customHeight="1" x14ac:dyDescent="0.25">
      <c r="A1684" s="318">
        <v>91032994086</v>
      </c>
      <c r="B1684" s="318" t="s">
        <v>237</v>
      </c>
    </row>
    <row r="1685" spans="1:2" ht="12.75" customHeight="1" x14ac:dyDescent="0.25">
      <c r="A1685" s="318">
        <v>91032994087</v>
      </c>
      <c r="B1685" s="318" t="s">
        <v>237</v>
      </c>
    </row>
    <row r="1686" spans="1:2" ht="12.75" customHeight="1" x14ac:dyDescent="0.25">
      <c r="A1686" s="318">
        <v>91032994171</v>
      </c>
      <c r="B1686" s="318" t="s">
        <v>237</v>
      </c>
    </row>
    <row r="1687" spans="1:2" ht="12.75" customHeight="1" x14ac:dyDescent="0.25">
      <c r="A1687" s="318">
        <v>91032994172</v>
      </c>
      <c r="B1687" s="318" t="s">
        <v>237</v>
      </c>
    </row>
    <row r="1688" spans="1:2" ht="12.75" customHeight="1" x14ac:dyDescent="0.25">
      <c r="A1688" s="318">
        <v>91032994173</v>
      </c>
      <c r="B1688" s="318" t="s">
        <v>237</v>
      </c>
    </row>
    <row r="1689" spans="1:2" ht="12.75" customHeight="1" x14ac:dyDescent="0.25">
      <c r="A1689" s="318">
        <v>91032994174</v>
      </c>
      <c r="B1689" s="318" t="s">
        <v>237</v>
      </c>
    </row>
    <row r="1690" spans="1:2" ht="12.75" customHeight="1" x14ac:dyDescent="0.25">
      <c r="A1690" s="318">
        <v>91032994175</v>
      </c>
      <c r="B1690" s="318" t="s">
        <v>237</v>
      </c>
    </row>
    <row r="1691" spans="1:2" ht="12.75" customHeight="1" x14ac:dyDescent="0.25">
      <c r="A1691" s="318">
        <v>91032994176</v>
      </c>
      <c r="B1691" s="318" t="s">
        <v>237</v>
      </c>
    </row>
    <row r="1692" spans="1:2" ht="12.75" customHeight="1" x14ac:dyDescent="0.25">
      <c r="A1692" s="318">
        <v>91032994177</v>
      </c>
      <c r="B1692" s="318" t="s">
        <v>237</v>
      </c>
    </row>
    <row r="1693" spans="1:2" ht="12.75" customHeight="1" x14ac:dyDescent="0.25">
      <c r="A1693" s="318">
        <v>91032994178</v>
      </c>
      <c r="B1693" s="318" t="s">
        <v>237</v>
      </c>
    </row>
    <row r="1694" spans="1:2" ht="12.75" customHeight="1" x14ac:dyDescent="0.25">
      <c r="A1694" s="318">
        <v>91032994180</v>
      </c>
      <c r="B1694" s="318" t="s">
        <v>237</v>
      </c>
    </row>
    <row r="1695" spans="1:2" ht="12.75" customHeight="1" x14ac:dyDescent="0.25">
      <c r="A1695" s="318">
        <v>91032994181</v>
      </c>
      <c r="B1695" s="318" t="s">
        <v>237</v>
      </c>
    </row>
    <row r="1696" spans="1:2" ht="12.75" customHeight="1" x14ac:dyDescent="0.25">
      <c r="A1696" s="318">
        <v>91032994182</v>
      </c>
      <c r="B1696" s="318" t="s">
        <v>237</v>
      </c>
    </row>
    <row r="1697" spans="1:2" ht="12.75" customHeight="1" x14ac:dyDescent="0.25">
      <c r="A1697" s="318">
        <v>91032994183</v>
      </c>
      <c r="B1697" s="318" t="s">
        <v>237</v>
      </c>
    </row>
    <row r="1698" spans="1:2" ht="12.75" customHeight="1" x14ac:dyDescent="0.25">
      <c r="A1698" s="318">
        <v>91032994184</v>
      </c>
      <c r="B1698" s="318" t="s">
        <v>237</v>
      </c>
    </row>
    <row r="1699" spans="1:2" ht="12.75" customHeight="1" x14ac:dyDescent="0.25">
      <c r="A1699" s="318">
        <v>91032994185</v>
      </c>
      <c r="B1699" s="318" t="s">
        <v>237</v>
      </c>
    </row>
    <row r="1700" spans="1:2" ht="12.75" customHeight="1" x14ac:dyDescent="0.25">
      <c r="A1700" s="318">
        <v>91032994186</v>
      </c>
      <c r="B1700" s="318" t="s">
        <v>237</v>
      </c>
    </row>
    <row r="1701" spans="1:2" ht="12.75" customHeight="1" x14ac:dyDescent="0.25">
      <c r="A1701" s="318">
        <v>91032994187</v>
      </c>
      <c r="B1701" s="318" t="s">
        <v>237</v>
      </c>
    </row>
    <row r="1702" spans="1:2" ht="12.75" customHeight="1" x14ac:dyDescent="0.25">
      <c r="A1702" s="318">
        <v>91033674262</v>
      </c>
      <c r="B1702" s="318" t="s">
        <v>23</v>
      </c>
    </row>
    <row r="1703" spans="1:2" ht="12.75" customHeight="1" x14ac:dyDescent="0.25">
      <c r="A1703" s="318">
        <v>91033674263</v>
      </c>
      <c r="B1703" s="318" t="s">
        <v>23</v>
      </c>
    </row>
    <row r="1704" spans="1:2" ht="12.75" customHeight="1" x14ac:dyDescent="0.25">
      <c r="A1704" s="318">
        <v>91033674264</v>
      </c>
      <c r="B1704" s="318" t="s">
        <v>23</v>
      </c>
    </row>
    <row r="1705" spans="1:2" ht="12.75" customHeight="1" x14ac:dyDescent="0.25">
      <c r="A1705" s="318">
        <v>91033674265</v>
      </c>
      <c r="B1705" s="318" t="s">
        <v>23</v>
      </c>
    </row>
    <row r="1706" spans="1:2" ht="12.75" customHeight="1" x14ac:dyDescent="0.25">
      <c r="A1706" s="318">
        <v>91033674266</v>
      </c>
      <c r="B1706" s="318" t="s">
        <v>23</v>
      </c>
    </row>
    <row r="1707" spans="1:2" ht="12.75" customHeight="1" x14ac:dyDescent="0.25">
      <c r="A1707" s="318">
        <v>91033674267</v>
      </c>
      <c r="B1707" s="318" t="s">
        <v>23</v>
      </c>
    </row>
    <row r="1708" spans="1:2" ht="12.75" customHeight="1" x14ac:dyDescent="0.25">
      <c r="A1708" s="318">
        <v>91033674268</v>
      </c>
      <c r="B1708" s="318" t="s">
        <v>237</v>
      </c>
    </row>
    <row r="1709" spans="1:2" ht="12.75" customHeight="1" x14ac:dyDescent="0.25">
      <c r="A1709" s="318">
        <v>91033674269</v>
      </c>
      <c r="B1709" s="318" t="s">
        <v>237</v>
      </c>
    </row>
    <row r="1710" spans="1:2" ht="12.75" customHeight="1" x14ac:dyDescent="0.25">
      <c r="A1710" s="318">
        <v>91033674271</v>
      </c>
      <c r="B1710" s="318" t="s">
        <v>237</v>
      </c>
    </row>
    <row r="1711" spans="1:2" ht="12.75" customHeight="1" x14ac:dyDescent="0.25">
      <c r="A1711" s="318">
        <v>91033674272</v>
      </c>
      <c r="B1711" s="318" t="s">
        <v>237</v>
      </c>
    </row>
    <row r="1712" spans="1:2" ht="12.75" customHeight="1" x14ac:dyDescent="0.25">
      <c r="A1712" s="318">
        <v>91033674273</v>
      </c>
      <c r="B1712" s="318" t="s">
        <v>237</v>
      </c>
    </row>
    <row r="1713" spans="1:2" ht="12.75" customHeight="1" x14ac:dyDescent="0.25">
      <c r="A1713" s="318">
        <v>91033674274</v>
      </c>
      <c r="B1713" s="318" t="s">
        <v>237</v>
      </c>
    </row>
    <row r="1714" spans="1:2" ht="12.75" customHeight="1" x14ac:dyDescent="0.25">
      <c r="A1714" s="318">
        <v>91033674275</v>
      </c>
      <c r="B1714" s="318" t="s">
        <v>237</v>
      </c>
    </row>
    <row r="1715" spans="1:2" ht="12.75" customHeight="1" x14ac:dyDescent="0.25">
      <c r="A1715" s="318">
        <v>91033674276</v>
      </c>
      <c r="B1715" s="318" t="s">
        <v>237</v>
      </c>
    </row>
    <row r="1716" spans="1:2" ht="12.75" customHeight="1" x14ac:dyDescent="0.25">
      <c r="A1716" s="318">
        <v>91033674277</v>
      </c>
      <c r="B1716" s="318" t="s">
        <v>237</v>
      </c>
    </row>
    <row r="1717" spans="1:2" ht="12.75" customHeight="1" x14ac:dyDescent="0.25">
      <c r="A1717" s="318">
        <v>91033674278</v>
      </c>
      <c r="B1717" s="318" t="s">
        <v>237</v>
      </c>
    </row>
    <row r="1718" spans="1:2" ht="12.75" customHeight="1" x14ac:dyDescent="0.25">
      <c r="A1718" s="318">
        <v>91033674362</v>
      </c>
      <c r="B1718" s="318" t="s">
        <v>237</v>
      </c>
    </row>
    <row r="1719" spans="1:2" ht="12.75" customHeight="1" x14ac:dyDescent="0.25">
      <c r="A1719" s="318">
        <v>91033674363</v>
      </c>
      <c r="B1719" s="318" t="s">
        <v>237</v>
      </c>
    </row>
    <row r="1720" spans="1:2" ht="12.75" customHeight="1" x14ac:dyDescent="0.25">
      <c r="A1720" s="318">
        <v>91033674364</v>
      </c>
      <c r="B1720" s="318" t="s">
        <v>237</v>
      </c>
    </row>
    <row r="1721" spans="1:2" ht="12.75" customHeight="1" x14ac:dyDescent="0.25">
      <c r="A1721" s="318">
        <v>91033674365</v>
      </c>
      <c r="B1721" s="318" t="s">
        <v>237</v>
      </c>
    </row>
    <row r="1722" spans="1:2" ht="12.75" customHeight="1" x14ac:dyDescent="0.25">
      <c r="A1722" s="318">
        <v>91033674366</v>
      </c>
      <c r="B1722" s="318" t="s">
        <v>237</v>
      </c>
    </row>
    <row r="1723" spans="1:2" ht="12.75" customHeight="1" x14ac:dyDescent="0.25">
      <c r="A1723" s="318">
        <v>91033674367</v>
      </c>
      <c r="B1723" s="318" t="s">
        <v>237</v>
      </c>
    </row>
    <row r="1724" spans="1:2" ht="12.75" customHeight="1" x14ac:dyDescent="0.25">
      <c r="A1724" s="318">
        <v>91033674368</v>
      </c>
      <c r="B1724" s="318" t="s">
        <v>237</v>
      </c>
    </row>
    <row r="1725" spans="1:2" ht="12.75" customHeight="1" x14ac:dyDescent="0.25">
      <c r="A1725" s="318">
        <v>91033674369</v>
      </c>
      <c r="B1725" s="318" t="s">
        <v>237</v>
      </c>
    </row>
    <row r="1726" spans="1:2" ht="12.75" customHeight="1" x14ac:dyDescent="0.25">
      <c r="A1726" s="318">
        <v>91033674371</v>
      </c>
      <c r="B1726" s="318" t="s">
        <v>237</v>
      </c>
    </row>
    <row r="1727" spans="1:2" ht="12.75" customHeight="1" x14ac:dyDescent="0.25">
      <c r="A1727" s="318">
        <v>91033674372</v>
      </c>
      <c r="B1727" s="318" t="s">
        <v>237</v>
      </c>
    </row>
    <row r="1728" spans="1:2" ht="12.75" customHeight="1" x14ac:dyDescent="0.25">
      <c r="A1728" s="318">
        <v>91033674373</v>
      </c>
      <c r="B1728" s="318" t="s">
        <v>237</v>
      </c>
    </row>
    <row r="1729" spans="1:2" ht="12.75" customHeight="1" x14ac:dyDescent="0.25">
      <c r="A1729" s="318">
        <v>91033674374</v>
      </c>
      <c r="B1729" s="318" t="s">
        <v>237</v>
      </c>
    </row>
    <row r="1730" spans="1:2" ht="12.75" customHeight="1" x14ac:dyDescent="0.25">
      <c r="A1730" s="318">
        <v>91033674375</v>
      </c>
      <c r="B1730" s="318" t="s">
        <v>237</v>
      </c>
    </row>
    <row r="1731" spans="1:2" ht="12.75" customHeight="1" x14ac:dyDescent="0.25">
      <c r="A1731" s="318">
        <v>91033674376</v>
      </c>
      <c r="B1731" s="318" t="s">
        <v>237</v>
      </c>
    </row>
    <row r="1732" spans="1:2" ht="12.75" customHeight="1" x14ac:dyDescent="0.25">
      <c r="A1732" s="318">
        <v>91033674377</v>
      </c>
      <c r="B1732" s="318" t="s">
        <v>237</v>
      </c>
    </row>
    <row r="1733" spans="1:2" ht="12.75" customHeight="1" x14ac:dyDescent="0.25">
      <c r="A1733" s="318">
        <v>91033674378</v>
      </c>
      <c r="B1733" s="318" t="s">
        <v>237</v>
      </c>
    </row>
    <row r="1734" spans="1:2" ht="12.75" customHeight="1" x14ac:dyDescent="0.25">
      <c r="A1734" s="318">
        <v>91034155235</v>
      </c>
      <c r="B1734" s="318" t="s">
        <v>23</v>
      </c>
    </row>
    <row r="1735" spans="1:2" ht="12.75" customHeight="1" x14ac:dyDescent="0.25">
      <c r="A1735" s="318">
        <v>91034155236</v>
      </c>
      <c r="B1735" s="318" t="s">
        <v>23</v>
      </c>
    </row>
    <row r="1736" spans="1:2" ht="12.75" customHeight="1" x14ac:dyDescent="0.25">
      <c r="A1736" s="318">
        <v>91034155237</v>
      </c>
      <c r="B1736" s="318" t="s">
        <v>23</v>
      </c>
    </row>
    <row r="1737" spans="1:2" ht="12.75" customHeight="1" x14ac:dyDescent="0.25">
      <c r="A1737" s="318">
        <v>91034155238</v>
      </c>
      <c r="B1737" s="318" t="s">
        <v>23</v>
      </c>
    </row>
    <row r="1738" spans="1:2" ht="12.75" customHeight="1" x14ac:dyDescent="0.25">
      <c r="A1738" s="318">
        <v>91034155239</v>
      </c>
      <c r="B1738" s="318" t="s">
        <v>23</v>
      </c>
    </row>
    <row r="1739" spans="1:2" ht="12.75" customHeight="1" x14ac:dyDescent="0.25">
      <c r="A1739" s="318">
        <v>91034155240</v>
      </c>
      <c r="B1739" s="318" t="s">
        <v>23</v>
      </c>
    </row>
    <row r="1740" spans="1:2" ht="12.75" customHeight="1" x14ac:dyDescent="0.25">
      <c r="A1740" s="318">
        <v>91034155241</v>
      </c>
      <c r="B1740" s="318" t="s">
        <v>237</v>
      </c>
    </row>
    <row r="1741" spans="1:2" ht="12.75" customHeight="1" x14ac:dyDescent="0.25">
      <c r="A1741" s="318">
        <v>91034155242</v>
      </c>
      <c r="B1741" s="318" t="s">
        <v>237</v>
      </c>
    </row>
    <row r="1742" spans="1:2" ht="12.75" customHeight="1" x14ac:dyDescent="0.25">
      <c r="A1742" s="318">
        <v>91034155244</v>
      </c>
      <c r="B1742" s="318" t="s">
        <v>237</v>
      </c>
    </row>
    <row r="1743" spans="1:2" ht="12.75" customHeight="1" x14ac:dyDescent="0.25">
      <c r="A1743" s="318">
        <v>91034155245</v>
      </c>
      <c r="B1743" s="318" t="s">
        <v>237</v>
      </c>
    </row>
    <row r="1744" spans="1:2" ht="12.75" customHeight="1" x14ac:dyDescent="0.25">
      <c r="A1744" s="318">
        <v>91034155246</v>
      </c>
      <c r="B1744" s="318" t="s">
        <v>237</v>
      </c>
    </row>
    <row r="1745" spans="1:2" ht="12.75" customHeight="1" x14ac:dyDescent="0.25">
      <c r="A1745" s="318">
        <v>91034155247</v>
      </c>
      <c r="B1745" s="318" t="s">
        <v>237</v>
      </c>
    </row>
    <row r="1746" spans="1:2" ht="12.75" customHeight="1" x14ac:dyDescent="0.25">
      <c r="A1746" s="318">
        <v>91034155248</v>
      </c>
      <c r="B1746" s="318" t="s">
        <v>237</v>
      </c>
    </row>
    <row r="1747" spans="1:2" ht="12.75" customHeight="1" x14ac:dyDescent="0.25">
      <c r="A1747" s="318">
        <v>91034155249</v>
      </c>
      <c r="B1747" s="318" t="s">
        <v>237</v>
      </c>
    </row>
    <row r="1748" spans="1:2" ht="12.75" customHeight="1" x14ac:dyDescent="0.25">
      <c r="A1748" s="318">
        <v>91034155250</v>
      </c>
      <c r="B1748" s="318" t="s">
        <v>237</v>
      </c>
    </row>
    <row r="1749" spans="1:2" ht="12.75" customHeight="1" x14ac:dyDescent="0.25">
      <c r="A1749" s="318">
        <v>91034155251</v>
      </c>
      <c r="B1749" s="318" t="s">
        <v>237</v>
      </c>
    </row>
    <row r="1750" spans="1:2" ht="12.75" customHeight="1" x14ac:dyDescent="0.25">
      <c r="A1750" s="318">
        <v>91034155335</v>
      </c>
      <c r="B1750" s="318" t="s">
        <v>237</v>
      </c>
    </row>
    <row r="1751" spans="1:2" ht="12.75" customHeight="1" x14ac:dyDescent="0.25">
      <c r="A1751" s="318">
        <v>91034155336</v>
      </c>
      <c r="B1751" s="318" t="s">
        <v>237</v>
      </c>
    </row>
    <row r="1752" spans="1:2" ht="12.75" customHeight="1" x14ac:dyDescent="0.25">
      <c r="A1752" s="318">
        <v>91034155337</v>
      </c>
      <c r="B1752" s="318" t="s">
        <v>237</v>
      </c>
    </row>
    <row r="1753" spans="1:2" ht="12.75" customHeight="1" x14ac:dyDescent="0.25">
      <c r="A1753" s="318">
        <v>91034155338</v>
      </c>
      <c r="B1753" s="318" t="s">
        <v>237</v>
      </c>
    </row>
    <row r="1754" spans="1:2" ht="12.75" customHeight="1" x14ac:dyDescent="0.25">
      <c r="A1754" s="318">
        <v>91034155339</v>
      </c>
      <c r="B1754" s="318" t="s">
        <v>237</v>
      </c>
    </row>
    <row r="1755" spans="1:2" ht="12.75" customHeight="1" x14ac:dyDescent="0.25">
      <c r="A1755" s="318">
        <v>91034155340</v>
      </c>
      <c r="B1755" s="318" t="s">
        <v>237</v>
      </c>
    </row>
    <row r="1756" spans="1:2" ht="12.75" customHeight="1" x14ac:dyDescent="0.25">
      <c r="A1756" s="318">
        <v>91034155341</v>
      </c>
      <c r="B1756" s="318" t="s">
        <v>237</v>
      </c>
    </row>
    <row r="1757" spans="1:2" ht="12.75" customHeight="1" x14ac:dyDescent="0.25">
      <c r="A1757" s="318">
        <v>91034155342</v>
      </c>
      <c r="B1757" s="318" t="s">
        <v>237</v>
      </c>
    </row>
    <row r="1758" spans="1:2" ht="12.75" customHeight="1" x14ac:dyDescent="0.25">
      <c r="A1758" s="318">
        <v>91034155344</v>
      </c>
      <c r="B1758" s="318" t="s">
        <v>237</v>
      </c>
    </row>
    <row r="1759" spans="1:2" ht="12.75" customHeight="1" x14ac:dyDescent="0.25">
      <c r="A1759" s="318">
        <v>91034155345</v>
      </c>
      <c r="B1759" s="318" t="s">
        <v>237</v>
      </c>
    </row>
    <row r="1760" spans="1:2" ht="12.75" customHeight="1" x14ac:dyDescent="0.25">
      <c r="A1760" s="318">
        <v>91034155346</v>
      </c>
      <c r="B1760" s="318" t="s">
        <v>237</v>
      </c>
    </row>
    <row r="1761" spans="1:2" ht="12.75" customHeight="1" x14ac:dyDescent="0.25">
      <c r="A1761" s="318">
        <v>91034155347</v>
      </c>
      <c r="B1761" s="318" t="s">
        <v>237</v>
      </c>
    </row>
    <row r="1762" spans="1:2" ht="12.75" customHeight="1" x14ac:dyDescent="0.25">
      <c r="A1762" s="318">
        <v>91034155348</v>
      </c>
      <c r="B1762" s="318" t="s">
        <v>237</v>
      </c>
    </row>
    <row r="1763" spans="1:2" ht="12.75" customHeight="1" x14ac:dyDescent="0.25">
      <c r="A1763" s="318">
        <v>91034155349</v>
      </c>
      <c r="B1763" s="318" t="s">
        <v>237</v>
      </c>
    </row>
    <row r="1764" spans="1:2" ht="12.75" customHeight="1" x14ac:dyDescent="0.25">
      <c r="A1764" s="318">
        <v>91034155350</v>
      </c>
      <c r="B1764" s="318" t="s">
        <v>237</v>
      </c>
    </row>
    <row r="1765" spans="1:2" ht="12.75" customHeight="1" x14ac:dyDescent="0.25">
      <c r="A1765" s="318">
        <v>91034155351</v>
      </c>
      <c r="B1765" s="318" t="s">
        <v>237</v>
      </c>
    </row>
    <row r="1766" spans="1:2" ht="12.75" customHeight="1" x14ac:dyDescent="0.25">
      <c r="A1766" s="318">
        <v>91034636208</v>
      </c>
      <c r="B1766" s="318" t="s">
        <v>23</v>
      </c>
    </row>
    <row r="1767" spans="1:2" ht="12.75" customHeight="1" x14ac:dyDescent="0.25">
      <c r="A1767" s="318">
        <v>91034636209</v>
      </c>
      <c r="B1767" s="318" t="s">
        <v>23</v>
      </c>
    </row>
    <row r="1768" spans="1:2" ht="12.75" customHeight="1" x14ac:dyDescent="0.25">
      <c r="A1768" s="318">
        <v>91034636210</v>
      </c>
      <c r="B1768" s="318" t="s">
        <v>23</v>
      </c>
    </row>
    <row r="1769" spans="1:2" ht="12.75" customHeight="1" x14ac:dyDescent="0.25">
      <c r="A1769" s="318">
        <v>91034636211</v>
      </c>
      <c r="B1769" s="318" t="s">
        <v>23</v>
      </c>
    </row>
    <row r="1770" spans="1:2" ht="12.75" customHeight="1" x14ac:dyDescent="0.25">
      <c r="A1770" s="318">
        <v>91034636212</v>
      </c>
      <c r="B1770" s="318" t="s">
        <v>23</v>
      </c>
    </row>
    <row r="1771" spans="1:2" ht="12.75" customHeight="1" x14ac:dyDescent="0.25">
      <c r="A1771" s="318">
        <v>91034636213</v>
      </c>
      <c r="B1771" s="318" t="s">
        <v>23</v>
      </c>
    </row>
    <row r="1772" spans="1:2" ht="12.75" customHeight="1" x14ac:dyDescent="0.25">
      <c r="A1772" s="318">
        <v>91034636214</v>
      </c>
      <c r="B1772" s="318" t="s">
        <v>237</v>
      </c>
    </row>
    <row r="1773" spans="1:2" ht="12.75" customHeight="1" x14ac:dyDescent="0.25">
      <c r="A1773" s="318">
        <v>91034636215</v>
      </c>
      <c r="B1773" s="318" t="s">
        <v>237</v>
      </c>
    </row>
    <row r="1774" spans="1:2" ht="12.75" customHeight="1" x14ac:dyDescent="0.25">
      <c r="A1774" s="318">
        <v>91034636217</v>
      </c>
      <c r="B1774" s="318" t="s">
        <v>237</v>
      </c>
    </row>
    <row r="1775" spans="1:2" ht="12.75" customHeight="1" x14ac:dyDescent="0.25">
      <c r="A1775" s="318">
        <v>91034636218</v>
      </c>
      <c r="B1775" s="318" t="s">
        <v>237</v>
      </c>
    </row>
    <row r="1776" spans="1:2" ht="12.75" customHeight="1" x14ac:dyDescent="0.25">
      <c r="A1776" s="318">
        <v>91034636219</v>
      </c>
      <c r="B1776" s="318" t="s">
        <v>237</v>
      </c>
    </row>
    <row r="1777" spans="1:2" ht="12.75" customHeight="1" x14ac:dyDescent="0.25">
      <c r="A1777" s="318">
        <v>91034636220</v>
      </c>
      <c r="B1777" s="318" t="s">
        <v>237</v>
      </c>
    </row>
    <row r="1778" spans="1:2" ht="12.75" customHeight="1" x14ac:dyDescent="0.25">
      <c r="A1778" s="318">
        <v>91034636221</v>
      </c>
      <c r="B1778" s="318" t="s">
        <v>237</v>
      </c>
    </row>
    <row r="1779" spans="1:2" ht="12.75" customHeight="1" x14ac:dyDescent="0.25">
      <c r="A1779" s="318">
        <v>91034636222</v>
      </c>
      <c r="B1779" s="318" t="s">
        <v>237</v>
      </c>
    </row>
    <row r="1780" spans="1:2" ht="12.75" customHeight="1" x14ac:dyDescent="0.25">
      <c r="A1780" s="318">
        <v>91034636223</v>
      </c>
      <c r="B1780" s="318" t="s">
        <v>237</v>
      </c>
    </row>
    <row r="1781" spans="1:2" ht="12.75" customHeight="1" x14ac:dyDescent="0.25">
      <c r="A1781" s="318">
        <v>91034636224</v>
      </c>
      <c r="B1781" s="318" t="s">
        <v>237</v>
      </c>
    </row>
    <row r="1782" spans="1:2" ht="12.75" customHeight="1" x14ac:dyDescent="0.25">
      <c r="A1782" s="318">
        <v>91034636308</v>
      </c>
      <c r="B1782" s="318" t="s">
        <v>237</v>
      </c>
    </row>
    <row r="1783" spans="1:2" ht="12.75" customHeight="1" x14ac:dyDescent="0.25">
      <c r="A1783" s="318">
        <v>91034636309</v>
      </c>
      <c r="B1783" s="318" t="s">
        <v>237</v>
      </c>
    </row>
    <row r="1784" spans="1:2" ht="12.75" customHeight="1" x14ac:dyDescent="0.25">
      <c r="A1784" s="318">
        <v>91034636310</v>
      </c>
      <c r="B1784" s="318" t="s">
        <v>237</v>
      </c>
    </row>
    <row r="1785" spans="1:2" ht="12.75" customHeight="1" x14ac:dyDescent="0.25">
      <c r="A1785" s="318">
        <v>91034636311</v>
      </c>
      <c r="B1785" s="318" t="s">
        <v>237</v>
      </c>
    </row>
    <row r="1786" spans="1:2" ht="12.75" customHeight="1" x14ac:dyDescent="0.25">
      <c r="A1786" s="318">
        <v>91034636312</v>
      </c>
      <c r="B1786" s="318" t="s">
        <v>237</v>
      </c>
    </row>
    <row r="1787" spans="1:2" ht="12.75" customHeight="1" x14ac:dyDescent="0.25">
      <c r="A1787" s="318">
        <v>91034636313</v>
      </c>
      <c r="B1787" s="318" t="s">
        <v>237</v>
      </c>
    </row>
    <row r="1788" spans="1:2" ht="12.75" customHeight="1" x14ac:dyDescent="0.25">
      <c r="A1788" s="318">
        <v>91034636314</v>
      </c>
      <c r="B1788" s="318" t="s">
        <v>237</v>
      </c>
    </row>
    <row r="1789" spans="1:2" ht="12.75" customHeight="1" x14ac:dyDescent="0.25">
      <c r="A1789" s="318">
        <v>91034636315</v>
      </c>
      <c r="B1789" s="318" t="s">
        <v>237</v>
      </c>
    </row>
    <row r="1790" spans="1:2" ht="12.75" customHeight="1" x14ac:dyDescent="0.25">
      <c r="A1790" s="318">
        <v>91034636317</v>
      </c>
      <c r="B1790" s="318" t="s">
        <v>237</v>
      </c>
    </row>
    <row r="1791" spans="1:2" ht="12.75" customHeight="1" x14ac:dyDescent="0.25">
      <c r="A1791" s="318">
        <v>91034636318</v>
      </c>
      <c r="B1791" s="318" t="s">
        <v>237</v>
      </c>
    </row>
    <row r="1792" spans="1:2" ht="12.75" customHeight="1" x14ac:dyDescent="0.25">
      <c r="A1792" s="318">
        <v>91034636319</v>
      </c>
      <c r="B1792" s="318" t="s">
        <v>237</v>
      </c>
    </row>
    <row r="1793" spans="1:2" ht="12.75" customHeight="1" x14ac:dyDescent="0.25">
      <c r="A1793" s="318">
        <v>91034636320</v>
      </c>
      <c r="B1793" s="318" t="s">
        <v>237</v>
      </c>
    </row>
    <row r="1794" spans="1:2" ht="12.75" customHeight="1" x14ac:dyDescent="0.25">
      <c r="A1794" s="318">
        <v>91034636321</v>
      </c>
      <c r="B1794" s="318" t="s">
        <v>237</v>
      </c>
    </row>
    <row r="1795" spans="1:2" ht="12.75" customHeight="1" x14ac:dyDescent="0.25">
      <c r="A1795" s="318">
        <v>91034636322</v>
      </c>
      <c r="B1795" s="318" t="s">
        <v>237</v>
      </c>
    </row>
    <row r="1796" spans="1:2" ht="12.75" customHeight="1" x14ac:dyDescent="0.25">
      <c r="A1796" s="318">
        <v>91034636323</v>
      </c>
      <c r="B1796" s="318" t="s">
        <v>237</v>
      </c>
    </row>
    <row r="1797" spans="1:2" ht="12.75" customHeight="1" x14ac:dyDescent="0.25">
      <c r="A1797" s="318">
        <v>91034636324</v>
      </c>
      <c r="B1797" s="318" t="s">
        <v>237</v>
      </c>
    </row>
    <row r="1798" spans="1:2" ht="12.75" customHeight="1" x14ac:dyDescent="0.25">
      <c r="A1798" s="318">
        <v>91035316399</v>
      </c>
      <c r="B1798" s="318" t="s">
        <v>23</v>
      </c>
    </row>
    <row r="1799" spans="1:2" ht="12.75" customHeight="1" x14ac:dyDescent="0.25">
      <c r="A1799" s="318">
        <v>91035316400</v>
      </c>
      <c r="B1799" s="318" t="s">
        <v>23</v>
      </c>
    </row>
    <row r="1800" spans="1:2" ht="12.75" customHeight="1" x14ac:dyDescent="0.25">
      <c r="A1800" s="318">
        <v>91035316401</v>
      </c>
      <c r="B1800" s="318" t="s">
        <v>23</v>
      </c>
    </row>
    <row r="1801" spans="1:2" ht="12.75" customHeight="1" x14ac:dyDescent="0.25">
      <c r="A1801" s="318">
        <v>91035316402</v>
      </c>
      <c r="B1801" s="318" t="s">
        <v>23</v>
      </c>
    </row>
    <row r="1802" spans="1:2" ht="12.75" customHeight="1" x14ac:dyDescent="0.25">
      <c r="A1802" s="318">
        <v>91035316403</v>
      </c>
      <c r="B1802" s="318" t="s">
        <v>23</v>
      </c>
    </row>
    <row r="1803" spans="1:2" ht="12.75" customHeight="1" x14ac:dyDescent="0.25">
      <c r="A1803" s="318">
        <v>91035316404</v>
      </c>
      <c r="B1803" s="318" t="s">
        <v>23</v>
      </c>
    </row>
    <row r="1804" spans="1:2" ht="12.75" customHeight="1" x14ac:dyDescent="0.25">
      <c r="A1804" s="318">
        <v>91035316405</v>
      </c>
      <c r="B1804" s="318" t="s">
        <v>237</v>
      </c>
    </row>
    <row r="1805" spans="1:2" ht="12.75" customHeight="1" x14ac:dyDescent="0.25">
      <c r="A1805" s="318">
        <v>91035316406</v>
      </c>
      <c r="B1805" s="318" t="s">
        <v>237</v>
      </c>
    </row>
    <row r="1806" spans="1:2" ht="12.75" customHeight="1" x14ac:dyDescent="0.25">
      <c r="A1806" s="318">
        <v>91035316408</v>
      </c>
      <c r="B1806" s="318" t="s">
        <v>237</v>
      </c>
    </row>
    <row r="1807" spans="1:2" ht="12.75" customHeight="1" x14ac:dyDescent="0.25">
      <c r="A1807" s="318">
        <v>91035316409</v>
      </c>
      <c r="B1807" s="318" t="s">
        <v>237</v>
      </c>
    </row>
    <row r="1808" spans="1:2" ht="12.75" customHeight="1" x14ac:dyDescent="0.25">
      <c r="A1808" s="318">
        <v>91035316410</v>
      </c>
      <c r="B1808" s="318" t="s">
        <v>237</v>
      </c>
    </row>
    <row r="1809" spans="1:2" ht="12.75" customHeight="1" x14ac:dyDescent="0.25">
      <c r="A1809" s="318">
        <v>91035316411</v>
      </c>
      <c r="B1809" s="318" t="s">
        <v>237</v>
      </c>
    </row>
    <row r="1810" spans="1:2" ht="12.75" customHeight="1" x14ac:dyDescent="0.25">
      <c r="A1810" s="318">
        <v>91035316412</v>
      </c>
      <c r="B1810" s="318" t="s">
        <v>237</v>
      </c>
    </row>
    <row r="1811" spans="1:2" ht="12.75" customHeight="1" x14ac:dyDescent="0.25">
      <c r="A1811" s="318">
        <v>91035316413</v>
      </c>
      <c r="B1811" s="318" t="s">
        <v>237</v>
      </c>
    </row>
    <row r="1812" spans="1:2" ht="12.75" customHeight="1" x14ac:dyDescent="0.25">
      <c r="A1812" s="318">
        <v>91035316414</v>
      </c>
      <c r="B1812" s="318" t="s">
        <v>237</v>
      </c>
    </row>
    <row r="1813" spans="1:2" ht="12.75" customHeight="1" x14ac:dyDescent="0.25">
      <c r="A1813" s="318">
        <v>91035316415</v>
      </c>
      <c r="B1813" s="318" t="s">
        <v>237</v>
      </c>
    </row>
    <row r="1814" spans="1:2" ht="12.75" customHeight="1" x14ac:dyDescent="0.25">
      <c r="A1814" s="318">
        <v>91035316499</v>
      </c>
      <c r="B1814" s="318" t="s">
        <v>237</v>
      </c>
    </row>
    <row r="1815" spans="1:2" ht="12.75" customHeight="1" x14ac:dyDescent="0.25">
      <c r="A1815" s="318">
        <v>91035316500</v>
      </c>
      <c r="B1815" s="318" t="s">
        <v>237</v>
      </c>
    </row>
    <row r="1816" spans="1:2" ht="12.75" customHeight="1" x14ac:dyDescent="0.25">
      <c r="A1816" s="318">
        <v>91035316501</v>
      </c>
      <c r="B1816" s="318" t="s">
        <v>237</v>
      </c>
    </row>
    <row r="1817" spans="1:2" ht="12.75" customHeight="1" x14ac:dyDescent="0.25">
      <c r="A1817" s="318">
        <v>91035316502</v>
      </c>
      <c r="B1817" s="318" t="s">
        <v>237</v>
      </c>
    </row>
    <row r="1818" spans="1:2" ht="12.75" customHeight="1" x14ac:dyDescent="0.25">
      <c r="A1818" s="318">
        <v>91035316503</v>
      </c>
      <c r="B1818" s="318" t="s">
        <v>237</v>
      </c>
    </row>
    <row r="1819" spans="1:2" ht="12.75" customHeight="1" x14ac:dyDescent="0.25">
      <c r="A1819" s="318">
        <v>91035316504</v>
      </c>
      <c r="B1819" s="318" t="s">
        <v>237</v>
      </c>
    </row>
    <row r="1820" spans="1:2" ht="12.75" customHeight="1" x14ac:dyDescent="0.25">
      <c r="A1820" s="318">
        <v>91035316505</v>
      </c>
      <c r="B1820" s="318" t="s">
        <v>237</v>
      </c>
    </row>
    <row r="1821" spans="1:2" ht="12.75" customHeight="1" x14ac:dyDescent="0.25">
      <c r="A1821" s="318">
        <v>91035316506</v>
      </c>
      <c r="B1821" s="318" t="s">
        <v>237</v>
      </c>
    </row>
    <row r="1822" spans="1:2" ht="12.75" customHeight="1" x14ac:dyDescent="0.25">
      <c r="A1822" s="318">
        <v>91035316508</v>
      </c>
      <c r="B1822" s="318" t="s">
        <v>237</v>
      </c>
    </row>
    <row r="1823" spans="1:2" ht="12.75" customHeight="1" x14ac:dyDescent="0.25">
      <c r="A1823" s="318">
        <v>91035316509</v>
      </c>
      <c r="B1823" s="318" t="s">
        <v>237</v>
      </c>
    </row>
    <row r="1824" spans="1:2" ht="12.75" customHeight="1" x14ac:dyDescent="0.25">
      <c r="A1824" s="318">
        <v>91035316510</v>
      </c>
      <c r="B1824" s="318" t="s">
        <v>237</v>
      </c>
    </row>
    <row r="1825" spans="1:2" ht="12.75" customHeight="1" x14ac:dyDescent="0.25">
      <c r="A1825" s="318">
        <v>91035316511</v>
      </c>
      <c r="B1825" s="318" t="s">
        <v>237</v>
      </c>
    </row>
    <row r="1826" spans="1:2" ht="12.75" customHeight="1" x14ac:dyDescent="0.25">
      <c r="A1826" s="318">
        <v>91035316512</v>
      </c>
      <c r="B1826" s="318" t="s">
        <v>237</v>
      </c>
    </row>
    <row r="1827" spans="1:2" ht="12.75" customHeight="1" x14ac:dyDescent="0.25">
      <c r="A1827" s="318">
        <v>91035316513</v>
      </c>
      <c r="B1827" s="318" t="s">
        <v>237</v>
      </c>
    </row>
    <row r="1828" spans="1:2" ht="12.75" customHeight="1" x14ac:dyDescent="0.25">
      <c r="A1828" s="318">
        <v>91035316514</v>
      </c>
      <c r="B1828" s="318" t="s">
        <v>237</v>
      </c>
    </row>
    <row r="1829" spans="1:2" ht="12.75" customHeight="1" x14ac:dyDescent="0.25">
      <c r="A1829" s="318">
        <v>91035316515</v>
      </c>
      <c r="B1829" s="318" t="s">
        <v>237</v>
      </c>
    </row>
    <row r="1830" spans="1:2" ht="12.75" customHeight="1" x14ac:dyDescent="0.25">
      <c r="A1830" s="318">
        <v>91035797372</v>
      </c>
      <c r="B1830" s="318" t="s">
        <v>23</v>
      </c>
    </row>
    <row r="1831" spans="1:2" ht="12.75" customHeight="1" x14ac:dyDescent="0.25">
      <c r="A1831" s="318">
        <v>91035797373</v>
      </c>
      <c r="B1831" s="318" t="s">
        <v>23</v>
      </c>
    </row>
    <row r="1832" spans="1:2" ht="12.75" customHeight="1" x14ac:dyDescent="0.25">
      <c r="A1832" s="318">
        <v>91035797374</v>
      </c>
      <c r="B1832" s="318" t="s">
        <v>23</v>
      </c>
    </row>
    <row r="1833" spans="1:2" ht="12.75" customHeight="1" x14ac:dyDescent="0.25">
      <c r="A1833" s="318">
        <v>91035797375</v>
      </c>
      <c r="B1833" s="318" t="s">
        <v>23</v>
      </c>
    </row>
    <row r="1834" spans="1:2" ht="12.75" customHeight="1" x14ac:dyDescent="0.25">
      <c r="A1834" s="318">
        <v>91035797376</v>
      </c>
      <c r="B1834" s="318" t="s">
        <v>23</v>
      </c>
    </row>
    <row r="1835" spans="1:2" ht="12.75" customHeight="1" x14ac:dyDescent="0.25">
      <c r="A1835" s="318">
        <v>91035797377</v>
      </c>
      <c r="B1835" s="318" t="s">
        <v>23</v>
      </c>
    </row>
    <row r="1836" spans="1:2" ht="12.75" customHeight="1" x14ac:dyDescent="0.25">
      <c r="A1836" s="318">
        <v>91035797378</v>
      </c>
      <c r="B1836" s="318" t="s">
        <v>237</v>
      </c>
    </row>
    <row r="1837" spans="1:2" ht="12.75" customHeight="1" x14ac:dyDescent="0.25">
      <c r="A1837" s="318">
        <v>91035797379</v>
      </c>
      <c r="B1837" s="318" t="s">
        <v>237</v>
      </c>
    </row>
    <row r="1838" spans="1:2" ht="12.75" customHeight="1" x14ac:dyDescent="0.25">
      <c r="A1838" s="318">
        <v>91035797381</v>
      </c>
      <c r="B1838" s="318" t="s">
        <v>237</v>
      </c>
    </row>
    <row r="1839" spans="1:2" ht="12.75" customHeight="1" x14ac:dyDescent="0.25">
      <c r="A1839" s="318">
        <v>91035797382</v>
      </c>
      <c r="B1839" s="318" t="s">
        <v>237</v>
      </c>
    </row>
    <row r="1840" spans="1:2" ht="12.75" customHeight="1" x14ac:dyDescent="0.25">
      <c r="A1840" s="318">
        <v>91035797383</v>
      </c>
      <c r="B1840" s="318" t="s">
        <v>237</v>
      </c>
    </row>
    <row r="1841" spans="1:2" ht="12.75" customHeight="1" x14ac:dyDescent="0.25">
      <c r="A1841" s="318">
        <v>91035797384</v>
      </c>
      <c r="B1841" s="318" t="s">
        <v>237</v>
      </c>
    </row>
    <row r="1842" spans="1:2" ht="12.75" customHeight="1" x14ac:dyDescent="0.25">
      <c r="A1842" s="318">
        <v>91035797385</v>
      </c>
      <c r="B1842" s="318" t="s">
        <v>237</v>
      </c>
    </row>
    <row r="1843" spans="1:2" ht="12.75" customHeight="1" x14ac:dyDescent="0.25">
      <c r="A1843" s="318">
        <v>91035797386</v>
      </c>
      <c r="B1843" s="318" t="s">
        <v>237</v>
      </c>
    </row>
    <row r="1844" spans="1:2" ht="12.75" customHeight="1" x14ac:dyDescent="0.25">
      <c r="A1844" s="318">
        <v>91035797387</v>
      </c>
      <c r="B1844" s="318" t="s">
        <v>237</v>
      </c>
    </row>
    <row r="1845" spans="1:2" ht="12.75" customHeight="1" x14ac:dyDescent="0.25">
      <c r="A1845" s="318">
        <v>91035797388</v>
      </c>
      <c r="B1845" s="318" t="s">
        <v>237</v>
      </c>
    </row>
    <row r="1846" spans="1:2" ht="12.75" customHeight="1" x14ac:dyDescent="0.25">
      <c r="A1846" s="318">
        <v>91035797472</v>
      </c>
      <c r="B1846" s="318" t="s">
        <v>237</v>
      </c>
    </row>
    <row r="1847" spans="1:2" ht="12.75" customHeight="1" x14ac:dyDescent="0.25">
      <c r="A1847" s="318">
        <v>91035797473</v>
      </c>
      <c r="B1847" s="318" t="s">
        <v>237</v>
      </c>
    </row>
    <row r="1848" spans="1:2" ht="12.75" customHeight="1" x14ac:dyDescent="0.25">
      <c r="A1848" s="318">
        <v>91035797474</v>
      </c>
      <c r="B1848" s="318" t="s">
        <v>237</v>
      </c>
    </row>
    <row r="1849" spans="1:2" ht="12.75" customHeight="1" x14ac:dyDescent="0.25">
      <c r="A1849" s="318">
        <v>91035797475</v>
      </c>
      <c r="B1849" s="318" t="s">
        <v>237</v>
      </c>
    </row>
    <row r="1850" spans="1:2" ht="12.75" customHeight="1" x14ac:dyDescent="0.25">
      <c r="A1850" s="318">
        <v>91035797476</v>
      </c>
      <c r="B1850" s="318" t="s">
        <v>237</v>
      </c>
    </row>
    <row r="1851" spans="1:2" ht="12.75" customHeight="1" x14ac:dyDescent="0.25">
      <c r="A1851" s="318">
        <v>91035797477</v>
      </c>
      <c r="B1851" s="318" t="s">
        <v>237</v>
      </c>
    </row>
    <row r="1852" spans="1:2" ht="12.75" customHeight="1" x14ac:dyDescent="0.25">
      <c r="A1852" s="318">
        <v>91035797478</v>
      </c>
      <c r="B1852" s="318" t="s">
        <v>237</v>
      </c>
    </row>
    <row r="1853" spans="1:2" ht="12.75" customHeight="1" x14ac:dyDescent="0.25">
      <c r="A1853" s="318">
        <v>91035797479</v>
      </c>
      <c r="B1853" s="318" t="s">
        <v>237</v>
      </c>
    </row>
    <row r="1854" spans="1:2" ht="12.75" customHeight="1" x14ac:dyDescent="0.25">
      <c r="A1854" s="318">
        <v>91035797481</v>
      </c>
      <c r="B1854" s="318" t="s">
        <v>237</v>
      </c>
    </row>
    <row r="1855" spans="1:2" ht="12.75" customHeight="1" x14ac:dyDescent="0.25">
      <c r="A1855" s="318">
        <v>91035797482</v>
      </c>
      <c r="B1855" s="318" t="s">
        <v>237</v>
      </c>
    </row>
    <row r="1856" spans="1:2" ht="12.75" customHeight="1" x14ac:dyDescent="0.25">
      <c r="A1856" s="318">
        <v>91035797483</v>
      </c>
      <c r="B1856" s="318" t="s">
        <v>237</v>
      </c>
    </row>
    <row r="1857" spans="1:2" ht="12.75" customHeight="1" x14ac:dyDescent="0.25">
      <c r="A1857" s="318">
        <v>91035797484</v>
      </c>
      <c r="B1857" s="318" t="s">
        <v>237</v>
      </c>
    </row>
    <row r="1858" spans="1:2" ht="12.75" customHeight="1" x14ac:dyDescent="0.25">
      <c r="A1858" s="318">
        <v>91035797485</v>
      </c>
      <c r="B1858" s="318" t="s">
        <v>237</v>
      </c>
    </row>
    <row r="1859" spans="1:2" ht="12.75" customHeight="1" x14ac:dyDescent="0.25">
      <c r="A1859" s="318">
        <v>91035797486</v>
      </c>
      <c r="B1859" s="318" t="s">
        <v>237</v>
      </c>
    </row>
    <row r="1860" spans="1:2" ht="12.75" customHeight="1" x14ac:dyDescent="0.25">
      <c r="A1860" s="318">
        <v>91035797487</v>
      </c>
      <c r="B1860" s="318" t="s">
        <v>237</v>
      </c>
    </row>
    <row r="1861" spans="1:2" ht="12.75" customHeight="1" x14ac:dyDescent="0.25">
      <c r="A1861" s="318">
        <v>91035797488</v>
      </c>
      <c r="B1861" s="318" t="s">
        <v>237</v>
      </c>
    </row>
    <row r="1862" spans="1:2" ht="12.75" customHeight="1" x14ac:dyDescent="0.25">
      <c r="A1862" s="318">
        <v>91036278345</v>
      </c>
      <c r="B1862" s="318" t="s">
        <v>23</v>
      </c>
    </row>
    <row r="1863" spans="1:2" ht="12.75" customHeight="1" x14ac:dyDescent="0.25">
      <c r="A1863" s="318">
        <v>91036278346</v>
      </c>
      <c r="B1863" s="318" t="s">
        <v>23</v>
      </c>
    </row>
    <row r="1864" spans="1:2" ht="12.75" customHeight="1" x14ac:dyDescent="0.25">
      <c r="A1864" s="318">
        <v>91036278347</v>
      </c>
      <c r="B1864" s="318" t="s">
        <v>23</v>
      </c>
    </row>
    <row r="1865" spans="1:2" ht="12.75" customHeight="1" x14ac:dyDescent="0.25">
      <c r="A1865" s="318">
        <v>91036278348</v>
      </c>
      <c r="B1865" s="318" t="s">
        <v>23</v>
      </c>
    </row>
    <row r="1866" spans="1:2" ht="12.75" customHeight="1" x14ac:dyDescent="0.25">
      <c r="A1866" s="318">
        <v>91036278349</v>
      </c>
      <c r="B1866" s="318" t="s">
        <v>23</v>
      </c>
    </row>
    <row r="1867" spans="1:2" ht="12.75" customHeight="1" x14ac:dyDescent="0.25">
      <c r="A1867" s="318">
        <v>91036278350</v>
      </c>
      <c r="B1867" s="318" t="s">
        <v>23</v>
      </c>
    </row>
    <row r="1868" spans="1:2" ht="12.75" customHeight="1" x14ac:dyDescent="0.25">
      <c r="A1868" s="318">
        <v>91036278351</v>
      </c>
      <c r="B1868" s="318" t="s">
        <v>237</v>
      </c>
    </row>
    <row r="1869" spans="1:2" ht="12.75" customHeight="1" x14ac:dyDescent="0.25">
      <c r="A1869" s="318">
        <v>91036278352</v>
      </c>
      <c r="B1869" s="318" t="s">
        <v>237</v>
      </c>
    </row>
    <row r="1870" spans="1:2" ht="12.75" customHeight="1" x14ac:dyDescent="0.25">
      <c r="A1870" s="318">
        <v>91036278354</v>
      </c>
      <c r="B1870" s="318" t="s">
        <v>237</v>
      </c>
    </row>
    <row r="1871" spans="1:2" ht="12.75" customHeight="1" x14ac:dyDescent="0.25">
      <c r="A1871" s="318">
        <v>91036278355</v>
      </c>
      <c r="B1871" s="318" t="s">
        <v>237</v>
      </c>
    </row>
    <row r="1872" spans="1:2" ht="12.75" customHeight="1" x14ac:dyDescent="0.25">
      <c r="A1872" s="318">
        <v>91036278356</v>
      </c>
      <c r="B1872" s="318" t="s">
        <v>237</v>
      </c>
    </row>
    <row r="1873" spans="1:2" ht="12.75" customHeight="1" x14ac:dyDescent="0.25">
      <c r="A1873" s="318">
        <v>91036278357</v>
      </c>
      <c r="B1873" s="318" t="s">
        <v>237</v>
      </c>
    </row>
    <row r="1874" spans="1:2" ht="12.75" customHeight="1" x14ac:dyDescent="0.25">
      <c r="A1874" s="318">
        <v>91036278358</v>
      </c>
      <c r="B1874" s="318" t="s">
        <v>237</v>
      </c>
    </row>
    <row r="1875" spans="1:2" ht="12.75" customHeight="1" x14ac:dyDescent="0.25">
      <c r="A1875" s="318">
        <v>91036278359</v>
      </c>
      <c r="B1875" s="318" t="s">
        <v>237</v>
      </c>
    </row>
    <row r="1876" spans="1:2" ht="12.75" customHeight="1" x14ac:dyDescent="0.25">
      <c r="A1876" s="318">
        <v>91036278360</v>
      </c>
      <c r="B1876" s="318" t="s">
        <v>237</v>
      </c>
    </row>
    <row r="1877" spans="1:2" ht="12.75" customHeight="1" x14ac:dyDescent="0.25">
      <c r="A1877" s="318">
        <v>91036278361</v>
      </c>
      <c r="B1877" s="318" t="s">
        <v>237</v>
      </c>
    </row>
    <row r="1878" spans="1:2" ht="12.75" customHeight="1" x14ac:dyDescent="0.25">
      <c r="A1878" s="318">
        <v>91036278445</v>
      </c>
      <c r="B1878" s="318" t="s">
        <v>237</v>
      </c>
    </row>
    <row r="1879" spans="1:2" ht="12.75" customHeight="1" x14ac:dyDescent="0.25">
      <c r="A1879" s="318">
        <v>91036278446</v>
      </c>
      <c r="B1879" s="318" t="s">
        <v>237</v>
      </c>
    </row>
    <row r="1880" spans="1:2" ht="12.75" customHeight="1" x14ac:dyDescent="0.25">
      <c r="A1880" s="318">
        <v>91036278447</v>
      </c>
      <c r="B1880" s="318" t="s">
        <v>237</v>
      </c>
    </row>
    <row r="1881" spans="1:2" ht="12.75" customHeight="1" x14ac:dyDescent="0.25">
      <c r="A1881" s="318">
        <v>91036278448</v>
      </c>
      <c r="B1881" s="318" t="s">
        <v>237</v>
      </c>
    </row>
    <row r="1882" spans="1:2" ht="12.75" customHeight="1" x14ac:dyDescent="0.25">
      <c r="A1882" s="318">
        <v>91036278449</v>
      </c>
      <c r="B1882" s="318" t="s">
        <v>237</v>
      </c>
    </row>
    <row r="1883" spans="1:2" ht="12.75" customHeight="1" x14ac:dyDescent="0.25">
      <c r="A1883" s="318">
        <v>91036278450</v>
      </c>
      <c r="B1883" s="318" t="s">
        <v>237</v>
      </c>
    </row>
    <row r="1884" spans="1:2" ht="12.75" customHeight="1" x14ac:dyDescent="0.25">
      <c r="A1884" s="318">
        <v>91036278451</v>
      </c>
      <c r="B1884" s="318" t="s">
        <v>237</v>
      </c>
    </row>
    <row r="1885" spans="1:2" ht="12.75" customHeight="1" x14ac:dyDescent="0.25">
      <c r="A1885" s="318">
        <v>91036278452</v>
      </c>
      <c r="B1885" s="318" t="s">
        <v>237</v>
      </c>
    </row>
    <row r="1886" spans="1:2" ht="12.75" customHeight="1" x14ac:dyDescent="0.25">
      <c r="A1886" s="318">
        <v>91036278454</v>
      </c>
      <c r="B1886" s="318" t="s">
        <v>237</v>
      </c>
    </row>
    <row r="1887" spans="1:2" ht="12.75" customHeight="1" x14ac:dyDescent="0.25">
      <c r="A1887" s="318">
        <v>91036278455</v>
      </c>
      <c r="B1887" s="318" t="s">
        <v>237</v>
      </c>
    </row>
    <row r="1888" spans="1:2" ht="12.75" customHeight="1" x14ac:dyDescent="0.25">
      <c r="A1888" s="318">
        <v>91036278456</v>
      </c>
      <c r="B1888" s="318" t="s">
        <v>237</v>
      </c>
    </row>
    <row r="1889" spans="1:2" ht="12.75" customHeight="1" x14ac:dyDescent="0.25">
      <c r="A1889" s="318">
        <v>91036278457</v>
      </c>
      <c r="B1889" s="318" t="s">
        <v>237</v>
      </c>
    </row>
    <row r="1890" spans="1:2" ht="12.75" customHeight="1" x14ac:dyDescent="0.25">
      <c r="A1890" s="318">
        <v>91036278458</v>
      </c>
      <c r="B1890" s="318" t="s">
        <v>237</v>
      </c>
    </row>
    <row r="1891" spans="1:2" ht="12.75" customHeight="1" x14ac:dyDescent="0.25">
      <c r="A1891" s="318">
        <v>91036278459</v>
      </c>
      <c r="B1891" s="318" t="s">
        <v>237</v>
      </c>
    </row>
    <row r="1892" spans="1:2" ht="12.75" customHeight="1" x14ac:dyDescent="0.25">
      <c r="A1892" s="318">
        <v>91036278460</v>
      </c>
      <c r="B1892" s="318" t="s">
        <v>237</v>
      </c>
    </row>
    <row r="1893" spans="1:2" ht="12.75" customHeight="1" x14ac:dyDescent="0.25">
      <c r="A1893" s="318">
        <v>91036278461</v>
      </c>
      <c r="B1893" s="318" t="s">
        <v>237</v>
      </c>
    </row>
    <row r="1894" spans="1:2" ht="12.75" customHeight="1" x14ac:dyDescent="0.25">
      <c r="A1894" s="318">
        <v>91037638726</v>
      </c>
      <c r="B1894" s="318" t="s">
        <v>23</v>
      </c>
    </row>
    <row r="1895" spans="1:2" ht="12.75" customHeight="1" x14ac:dyDescent="0.25">
      <c r="A1895" s="318">
        <v>91037638727</v>
      </c>
      <c r="B1895" s="318" t="s">
        <v>23</v>
      </c>
    </row>
    <row r="1896" spans="1:2" ht="12.75" customHeight="1" x14ac:dyDescent="0.25">
      <c r="A1896" s="318">
        <v>91037638728</v>
      </c>
      <c r="B1896" s="318" t="s">
        <v>23</v>
      </c>
    </row>
    <row r="1897" spans="1:2" ht="12.75" customHeight="1" x14ac:dyDescent="0.25">
      <c r="A1897" s="318">
        <v>91037638729</v>
      </c>
      <c r="B1897" s="318" t="s">
        <v>23</v>
      </c>
    </row>
    <row r="1898" spans="1:2" ht="12.75" customHeight="1" x14ac:dyDescent="0.25">
      <c r="A1898" s="318">
        <v>91037638730</v>
      </c>
      <c r="B1898" s="318" t="s">
        <v>23</v>
      </c>
    </row>
    <row r="1899" spans="1:2" ht="12.75" customHeight="1" x14ac:dyDescent="0.25">
      <c r="A1899" s="318">
        <v>91037638731</v>
      </c>
      <c r="B1899" s="318" t="s">
        <v>23</v>
      </c>
    </row>
    <row r="1900" spans="1:2" ht="12.75" customHeight="1" x14ac:dyDescent="0.25">
      <c r="A1900" s="318">
        <v>91037638732</v>
      </c>
      <c r="B1900" s="318" t="s">
        <v>237</v>
      </c>
    </row>
    <row r="1901" spans="1:2" ht="12.75" customHeight="1" x14ac:dyDescent="0.25">
      <c r="A1901" s="318">
        <v>91037638733</v>
      </c>
      <c r="B1901" s="318" t="s">
        <v>237</v>
      </c>
    </row>
    <row r="1902" spans="1:2" ht="12.75" customHeight="1" x14ac:dyDescent="0.25">
      <c r="A1902" s="318">
        <v>91037638735</v>
      </c>
      <c r="B1902" s="318" t="s">
        <v>237</v>
      </c>
    </row>
    <row r="1903" spans="1:2" ht="12.75" customHeight="1" x14ac:dyDescent="0.25">
      <c r="A1903" s="318">
        <v>91037638736</v>
      </c>
      <c r="B1903" s="318" t="s">
        <v>237</v>
      </c>
    </row>
    <row r="1904" spans="1:2" ht="12.75" customHeight="1" x14ac:dyDescent="0.25">
      <c r="A1904" s="318">
        <v>91037638737</v>
      </c>
      <c r="B1904" s="318" t="s">
        <v>237</v>
      </c>
    </row>
    <row r="1905" spans="1:2" ht="12.75" customHeight="1" x14ac:dyDescent="0.25">
      <c r="A1905" s="318">
        <v>91037638738</v>
      </c>
      <c r="B1905" s="318" t="s">
        <v>237</v>
      </c>
    </row>
    <row r="1906" spans="1:2" ht="12.75" customHeight="1" x14ac:dyDescent="0.25">
      <c r="A1906" s="318">
        <v>91037638739</v>
      </c>
      <c r="B1906" s="318" t="s">
        <v>237</v>
      </c>
    </row>
    <row r="1907" spans="1:2" ht="12.75" customHeight="1" x14ac:dyDescent="0.25">
      <c r="A1907" s="318">
        <v>91037638740</v>
      </c>
      <c r="B1907" s="318" t="s">
        <v>237</v>
      </c>
    </row>
    <row r="1908" spans="1:2" ht="12.75" customHeight="1" x14ac:dyDescent="0.25">
      <c r="A1908" s="318">
        <v>91037638741</v>
      </c>
      <c r="B1908" s="318" t="s">
        <v>237</v>
      </c>
    </row>
    <row r="1909" spans="1:2" ht="12.75" customHeight="1" x14ac:dyDescent="0.25">
      <c r="A1909" s="318">
        <v>91037638742</v>
      </c>
      <c r="B1909" s="318" t="s">
        <v>237</v>
      </c>
    </row>
    <row r="1910" spans="1:2" ht="12.75" customHeight="1" x14ac:dyDescent="0.25">
      <c r="A1910" s="318">
        <v>91037638826</v>
      </c>
      <c r="B1910" s="318" t="s">
        <v>237</v>
      </c>
    </row>
    <row r="1911" spans="1:2" ht="12.75" customHeight="1" x14ac:dyDescent="0.25">
      <c r="A1911" s="318">
        <v>91037638827</v>
      </c>
      <c r="B1911" s="318" t="s">
        <v>237</v>
      </c>
    </row>
    <row r="1912" spans="1:2" ht="12.75" customHeight="1" x14ac:dyDescent="0.25">
      <c r="A1912" s="318">
        <v>91037638828</v>
      </c>
      <c r="B1912" s="318" t="s">
        <v>237</v>
      </c>
    </row>
    <row r="1913" spans="1:2" ht="12.75" customHeight="1" x14ac:dyDescent="0.25">
      <c r="A1913" s="318">
        <v>91037638829</v>
      </c>
      <c r="B1913" s="318" t="s">
        <v>237</v>
      </c>
    </row>
    <row r="1914" spans="1:2" ht="12.75" customHeight="1" x14ac:dyDescent="0.25">
      <c r="A1914" s="318">
        <v>91037638830</v>
      </c>
      <c r="B1914" s="318" t="s">
        <v>237</v>
      </c>
    </row>
    <row r="1915" spans="1:2" ht="12.75" customHeight="1" x14ac:dyDescent="0.25">
      <c r="A1915" s="318">
        <v>91037638831</v>
      </c>
      <c r="B1915" s="318" t="s">
        <v>237</v>
      </c>
    </row>
    <row r="1916" spans="1:2" ht="12.75" customHeight="1" x14ac:dyDescent="0.25">
      <c r="A1916" s="318">
        <v>91037638832</v>
      </c>
      <c r="B1916" s="318" t="s">
        <v>237</v>
      </c>
    </row>
    <row r="1917" spans="1:2" ht="12.75" customHeight="1" x14ac:dyDescent="0.25">
      <c r="A1917" s="318">
        <v>91037638833</v>
      </c>
      <c r="B1917" s="318" t="s">
        <v>237</v>
      </c>
    </row>
    <row r="1918" spans="1:2" ht="12.75" customHeight="1" x14ac:dyDescent="0.25">
      <c r="A1918" s="318">
        <v>91037638835</v>
      </c>
      <c r="B1918" s="318" t="s">
        <v>237</v>
      </c>
    </row>
    <row r="1919" spans="1:2" ht="12.75" customHeight="1" x14ac:dyDescent="0.25">
      <c r="A1919" s="318">
        <v>91037638836</v>
      </c>
      <c r="B1919" s="318" t="s">
        <v>237</v>
      </c>
    </row>
    <row r="1920" spans="1:2" ht="12.75" customHeight="1" x14ac:dyDescent="0.25">
      <c r="A1920" s="318">
        <v>91037638837</v>
      </c>
      <c r="B1920" s="318" t="s">
        <v>237</v>
      </c>
    </row>
    <row r="1921" spans="1:2" ht="12.75" customHeight="1" x14ac:dyDescent="0.25">
      <c r="A1921" s="318">
        <v>91037638838</v>
      </c>
      <c r="B1921" s="318" t="s">
        <v>237</v>
      </c>
    </row>
    <row r="1922" spans="1:2" ht="12.75" customHeight="1" x14ac:dyDescent="0.25">
      <c r="A1922" s="318">
        <v>91037638839</v>
      </c>
      <c r="B1922" s="318" t="s">
        <v>237</v>
      </c>
    </row>
    <row r="1923" spans="1:2" ht="12.75" customHeight="1" x14ac:dyDescent="0.25">
      <c r="A1923" s="318">
        <v>91037638840</v>
      </c>
      <c r="B1923" s="318" t="s">
        <v>237</v>
      </c>
    </row>
    <row r="1924" spans="1:2" ht="12.75" customHeight="1" x14ac:dyDescent="0.25">
      <c r="A1924" s="318">
        <v>91037638841</v>
      </c>
      <c r="B1924" s="318" t="s">
        <v>237</v>
      </c>
    </row>
    <row r="1925" spans="1:2" ht="12.75" customHeight="1" x14ac:dyDescent="0.25">
      <c r="A1925" s="318">
        <v>91037638842</v>
      </c>
      <c r="B1925" s="318" t="s">
        <v>237</v>
      </c>
    </row>
    <row r="1926" spans="1:2" ht="12.75" customHeight="1" x14ac:dyDescent="0.25">
      <c r="A1926" s="318">
        <v>91038119699</v>
      </c>
      <c r="B1926" s="318" t="s">
        <v>23</v>
      </c>
    </row>
    <row r="1927" spans="1:2" ht="12.75" customHeight="1" x14ac:dyDescent="0.25">
      <c r="A1927" s="318">
        <v>91038119700</v>
      </c>
      <c r="B1927" s="318" t="s">
        <v>23</v>
      </c>
    </row>
    <row r="1928" spans="1:2" ht="12.75" customHeight="1" x14ac:dyDescent="0.25">
      <c r="A1928" s="318">
        <v>91038119701</v>
      </c>
      <c r="B1928" s="318" t="s">
        <v>23</v>
      </c>
    </row>
    <row r="1929" spans="1:2" ht="12.75" customHeight="1" x14ac:dyDescent="0.25">
      <c r="A1929" s="318">
        <v>91038119702</v>
      </c>
      <c r="B1929" s="318" t="s">
        <v>23</v>
      </c>
    </row>
    <row r="1930" spans="1:2" ht="12.75" customHeight="1" x14ac:dyDescent="0.25">
      <c r="A1930" s="318">
        <v>91038119703</v>
      </c>
      <c r="B1930" s="318" t="s">
        <v>23</v>
      </c>
    </row>
    <row r="1931" spans="1:2" ht="12.75" customHeight="1" x14ac:dyDescent="0.25">
      <c r="A1931" s="318">
        <v>91038119704</v>
      </c>
      <c r="B1931" s="318" t="s">
        <v>23</v>
      </c>
    </row>
    <row r="1932" spans="1:2" ht="12.75" customHeight="1" x14ac:dyDescent="0.25">
      <c r="A1932" s="318">
        <v>91038119705</v>
      </c>
      <c r="B1932" s="318" t="s">
        <v>237</v>
      </c>
    </row>
    <row r="1933" spans="1:2" ht="12.75" customHeight="1" x14ac:dyDescent="0.25">
      <c r="A1933" s="318">
        <v>91038119706</v>
      </c>
      <c r="B1933" s="318" t="s">
        <v>237</v>
      </c>
    </row>
    <row r="1934" spans="1:2" ht="12.75" customHeight="1" x14ac:dyDescent="0.25">
      <c r="A1934" s="318">
        <v>91038119708</v>
      </c>
      <c r="B1934" s="318" t="s">
        <v>237</v>
      </c>
    </row>
    <row r="1935" spans="1:2" ht="12.75" customHeight="1" x14ac:dyDescent="0.25">
      <c r="A1935" s="318">
        <v>91038119709</v>
      </c>
      <c r="B1935" s="318" t="s">
        <v>237</v>
      </c>
    </row>
    <row r="1936" spans="1:2" ht="12.75" customHeight="1" x14ac:dyDescent="0.25">
      <c r="A1936" s="318">
        <v>91038119710</v>
      </c>
      <c r="B1936" s="318" t="s">
        <v>237</v>
      </c>
    </row>
    <row r="1937" spans="1:2" ht="12.75" customHeight="1" x14ac:dyDescent="0.25">
      <c r="A1937" s="318">
        <v>91038119711</v>
      </c>
      <c r="B1937" s="318" t="s">
        <v>237</v>
      </c>
    </row>
    <row r="1938" spans="1:2" ht="12.75" customHeight="1" x14ac:dyDescent="0.25">
      <c r="A1938" s="318">
        <v>91038119712</v>
      </c>
      <c r="B1938" s="318" t="s">
        <v>237</v>
      </c>
    </row>
    <row r="1939" spans="1:2" ht="12.75" customHeight="1" x14ac:dyDescent="0.25">
      <c r="A1939" s="318">
        <v>91038119713</v>
      </c>
      <c r="B1939" s="318" t="s">
        <v>237</v>
      </c>
    </row>
    <row r="1940" spans="1:2" ht="12.75" customHeight="1" x14ac:dyDescent="0.25">
      <c r="A1940" s="318">
        <v>91038119714</v>
      </c>
      <c r="B1940" s="318" t="s">
        <v>237</v>
      </c>
    </row>
    <row r="1941" spans="1:2" ht="12.75" customHeight="1" x14ac:dyDescent="0.25">
      <c r="A1941" s="318">
        <v>91038119715</v>
      </c>
      <c r="B1941" s="318" t="s">
        <v>237</v>
      </c>
    </row>
    <row r="1942" spans="1:2" ht="12.75" customHeight="1" x14ac:dyDescent="0.25">
      <c r="A1942" s="318">
        <v>91038119799</v>
      </c>
      <c r="B1942" s="318" t="s">
        <v>237</v>
      </c>
    </row>
    <row r="1943" spans="1:2" ht="12.75" customHeight="1" x14ac:dyDescent="0.25">
      <c r="A1943" s="318">
        <v>91038119800</v>
      </c>
      <c r="B1943" s="318" t="s">
        <v>237</v>
      </c>
    </row>
    <row r="1944" spans="1:2" ht="12.75" customHeight="1" x14ac:dyDescent="0.25">
      <c r="A1944" s="318">
        <v>91038119801</v>
      </c>
      <c r="B1944" s="318" t="s">
        <v>237</v>
      </c>
    </row>
    <row r="1945" spans="1:2" ht="12.75" customHeight="1" x14ac:dyDescent="0.25">
      <c r="A1945" s="318">
        <v>91038119802</v>
      </c>
      <c r="B1945" s="318" t="s">
        <v>237</v>
      </c>
    </row>
    <row r="1946" spans="1:2" ht="12.75" customHeight="1" x14ac:dyDescent="0.25">
      <c r="A1946" s="318">
        <v>91038119803</v>
      </c>
      <c r="B1946" s="318" t="s">
        <v>237</v>
      </c>
    </row>
    <row r="1947" spans="1:2" ht="12.75" customHeight="1" x14ac:dyDescent="0.25">
      <c r="A1947" s="318">
        <v>91038119804</v>
      </c>
      <c r="B1947" s="318" t="s">
        <v>237</v>
      </c>
    </row>
    <row r="1948" spans="1:2" ht="12.75" customHeight="1" x14ac:dyDescent="0.25">
      <c r="A1948" s="318">
        <v>91038119805</v>
      </c>
      <c r="B1948" s="318" t="s">
        <v>237</v>
      </c>
    </row>
    <row r="1949" spans="1:2" ht="12.75" customHeight="1" x14ac:dyDescent="0.25">
      <c r="A1949" s="318">
        <v>91038119806</v>
      </c>
      <c r="B1949" s="318" t="s">
        <v>237</v>
      </c>
    </row>
    <row r="1950" spans="1:2" ht="12.75" customHeight="1" x14ac:dyDescent="0.25">
      <c r="A1950" s="318">
        <v>91038119808</v>
      </c>
      <c r="B1950" s="318" t="s">
        <v>237</v>
      </c>
    </row>
    <row r="1951" spans="1:2" ht="12.75" customHeight="1" x14ac:dyDescent="0.25">
      <c r="A1951" s="318">
        <v>91038119809</v>
      </c>
      <c r="B1951" s="318" t="s">
        <v>237</v>
      </c>
    </row>
    <row r="1952" spans="1:2" ht="12.75" customHeight="1" x14ac:dyDescent="0.25">
      <c r="A1952" s="318">
        <v>91038119810</v>
      </c>
      <c r="B1952" s="318" t="s">
        <v>237</v>
      </c>
    </row>
    <row r="1953" spans="1:2" ht="12.75" customHeight="1" x14ac:dyDescent="0.25">
      <c r="A1953" s="318">
        <v>91038119811</v>
      </c>
      <c r="B1953" s="318" t="s">
        <v>237</v>
      </c>
    </row>
    <row r="1954" spans="1:2" ht="12.75" customHeight="1" x14ac:dyDescent="0.25">
      <c r="A1954" s="318">
        <v>91038119812</v>
      </c>
      <c r="B1954" s="318" t="s">
        <v>237</v>
      </c>
    </row>
    <row r="1955" spans="1:2" ht="12.75" customHeight="1" x14ac:dyDescent="0.25">
      <c r="A1955" s="318">
        <v>91038119813</v>
      </c>
      <c r="B1955" s="318" t="s">
        <v>237</v>
      </c>
    </row>
    <row r="1956" spans="1:2" ht="12.75" customHeight="1" x14ac:dyDescent="0.25">
      <c r="A1956" s="318">
        <v>91038119814</v>
      </c>
      <c r="B1956" s="318" t="s">
        <v>237</v>
      </c>
    </row>
    <row r="1957" spans="1:2" ht="12.75" customHeight="1" x14ac:dyDescent="0.25">
      <c r="A1957" s="318">
        <v>91038119815</v>
      </c>
      <c r="B1957" s="318" t="s">
        <v>237</v>
      </c>
    </row>
    <row r="1958" spans="1:2" ht="12.75" customHeight="1" x14ac:dyDescent="0.25">
      <c r="A1958" s="318">
        <v>91038600672</v>
      </c>
      <c r="B1958" s="318" t="s">
        <v>23</v>
      </c>
    </row>
    <row r="1959" spans="1:2" ht="12.75" customHeight="1" x14ac:dyDescent="0.25">
      <c r="A1959" s="318">
        <v>91038600673</v>
      </c>
      <c r="B1959" s="318" t="s">
        <v>23</v>
      </c>
    </row>
    <row r="1960" spans="1:2" ht="12.75" customHeight="1" x14ac:dyDescent="0.25">
      <c r="A1960" s="318">
        <v>91038600674</v>
      </c>
      <c r="B1960" s="318" t="s">
        <v>23</v>
      </c>
    </row>
    <row r="1961" spans="1:2" ht="12.75" customHeight="1" x14ac:dyDescent="0.25">
      <c r="A1961" s="318">
        <v>91038600675</v>
      </c>
      <c r="B1961" s="318" t="s">
        <v>23</v>
      </c>
    </row>
    <row r="1962" spans="1:2" ht="12.75" customHeight="1" x14ac:dyDescent="0.25">
      <c r="A1962" s="318">
        <v>91038600676</v>
      </c>
      <c r="B1962" s="318" t="s">
        <v>23</v>
      </c>
    </row>
    <row r="1963" spans="1:2" ht="12.75" customHeight="1" x14ac:dyDescent="0.25">
      <c r="A1963" s="318">
        <v>91038600677</v>
      </c>
      <c r="B1963" s="318" t="s">
        <v>23</v>
      </c>
    </row>
    <row r="1964" spans="1:2" ht="12.75" customHeight="1" x14ac:dyDescent="0.25">
      <c r="A1964" s="318">
        <v>91038600678</v>
      </c>
      <c r="B1964" s="318" t="s">
        <v>237</v>
      </c>
    </row>
    <row r="1965" spans="1:2" ht="12.75" customHeight="1" x14ac:dyDescent="0.25">
      <c r="A1965" s="318">
        <v>91038600679</v>
      </c>
      <c r="B1965" s="318" t="s">
        <v>237</v>
      </c>
    </row>
    <row r="1966" spans="1:2" ht="12.75" customHeight="1" x14ac:dyDescent="0.25">
      <c r="A1966" s="318">
        <v>91038600681</v>
      </c>
      <c r="B1966" s="318" t="s">
        <v>237</v>
      </c>
    </row>
    <row r="1967" spans="1:2" ht="12.75" customHeight="1" x14ac:dyDescent="0.25">
      <c r="A1967" s="318">
        <v>91038600682</v>
      </c>
      <c r="B1967" s="318" t="s">
        <v>237</v>
      </c>
    </row>
    <row r="1968" spans="1:2" ht="12.75" customHeight="1" x14ac:dyDescent="0.25">
      <c r="A1968" s="318">
        <v>91038600683</v>
      </c>
      <c r="B1968" s="318" t="s">
        <v>237</v>
      </c>
    </row>
    <row r="1969" spans="1:2" ht="12.75" customHeight="1" x14ac:dyDescent="0.25">
      <c r="A1969" s="318">
        <v>91038600684</v>
      </c>
      <c r="B1969" s="318" t="s">
        <v>237</v>
      </c>
    </row>
    <row r="1970" spans="1:2" ht="12.75" customHeight="1" x14ac:dyDescent="0.25">
      <c r="A1970" s="318">
        <v>91038600685</v>
      </c>
      <c r="B1970" s="318" t="s">
        <v>237</v>
      </c>
    </row>
    <row r="1971" spans="1:2" ht="12.75" customHeight="1" x14ac:dyDescent="0.25">
      <c r="A1971" s="318">
        <v>91038600686</v>
      </c>
      <c r="B1971" s="318" t="s">
        <v>237</v>
      </c>
    </row>
    <row r="1972" spans="1:2" ht="12.75" customHeight="1" x14ac:dyDescent="0.25">
      <c r="A1972" s="318">
        <v>91038600687</v>
      </c>
      <c r="B1972" s="318" t="s">
        <v>237</v>
      </c>
    </row>
    <row r="1973" spans="1:2" ht="12.75" customHeight="1" x14ac:dyDescent="0.25">
      <c r="A1973" s="318">
        <v>91038600688</v>
      </c>
      <c r="B1973" s="318" t="s">
        <v>237</v>
      </c>
    </row>
    <row r="1974" spans="1:2" ht="12.75" customHeight="1" x14ac:dyDescent="0.25">
      <c r="A1974" s="318">
        <v>91038600772</v>
      </c>
      <c r="B1974" s="318" t="s">
        <v>237</v>
      </c>
    </row>
    <row r="1975" spans="1:2" ht="12.75" customHeight="1" x14ac:dyDescent="0.25">
      <c r="A1975" s="318">
        <v>91038600773</v>
      </c>
      <c r="B1975" s="318" t="s">
        <v>237</v>
      </c>
    </row>
    <row r="1976" spans="1:2" ht="12.75" customHeight="1" x14ac:dyDescent="0.25">
      <c r="A1976" s="318">
        <v>91038600774</v>
      </c>
      <c r="B1976" s="318" t="s">
        <v>237</v>
      </c>
    </row>
    <row r="1977" spans="1:2" ht="12.75" customHeight="1" x14ac:dyDescent="0.25">
      <c r="A1977" s="318">
        <v>91038600775</v>
      </c>
      <c r="B1977" s="318" t="s">
        <v>237</v>
      </c>
    </row>
    <row r="1978" spans="1:2" ht="12.75" customHeight="1" x14ac:dyDescent="0.25">
      <c r="A1978" s="318">
        <v>91038600776</v>
      </c>
      <c r="B1978" s="318" t="s">
        <v>237</v>
      </c>
    </row>
    <row r="1979" spans="1:2" ht="12.75" customHeight="1" x14ac:dyDescent="0.25">
      <c r="A1979" s="318">
        <v>91038600777</v>
      </c>
      <c r="B1979" s="318" t="s">
        <v>237</v>
      </c>
    </row>
    <row r="1980" spans="1:2" ht="12.75" customHeight="1" x14ac:dyDescent="0.25">
      <c r="A1980" s="318">
        <v>91038600778</v>
      </c>
      <c r="B1980" s="318" t="s">
        <v>237</v>
      </c>
    </row>
    <row r="1981" spans="1:2" ht="12.75" customHeight="1" x14ac:dyDescent="0.25">
      <c r="A1981" s="318">
        <v>91038600779</v>
      </c>
      <c r="B1981" s="318" t="s">
        <v>237</v>
      </c>
    </row>
    <row r="1982" spans="1:2" ht="12.75" customHeight="1" x14ac:dyDescent="0.25">
      <c r="A1982" s="318">
        <v>91038600781</v>
      </c>
      <c r="B1982" s="318" t="s">
        <v>237</v>
      </c>
    </row>
    <row r="1983" spans="1:2" ht="12.75" customHeight="1" x14ac:dyDescent="0.25">
      <c r="A1983" s="318">
        <v>91038600782</v>
      </c>
      <c r="B1983" s="318" t="s">
        <v>237</v>
      </c>
    </row>
    <row r="1984" spans="1:2" ht="12.75" customHeight="1" x14ac:dyDescent="0.25">
      <c r="A1984" s="318">
        <v>91038600783</v>
      </c>
      <c r="B1984" s="318" t="s">
        <v>237</v>
      </c>
    </row>
    <row r="1985" spans="1:2" ht="12.75" customHeight="1" x14ac:dyDescent="0.25">
      <c r="A1985" s="318">
        <v>91038600784</v>
      </c>
      <c r="B1985" s="318" t="s">
        <v>237</v>
      </c>
    </row>
    <row r="1986" spans="1:2" ht="12.75" customHeight="1" x14ac:dyDescent="0.25">
      <c r="A1986" s="318">
        <v>91038600785</v>
      </c>
      <c r="B1986" s="318" t="s">
        <v>237</v>
      </c>
    </row>
    <row r="1987" spans="1:2" ht="12.75" customHeight="1" x14ac:dyDescent="0.25">
      <c r="A1987" s="318">
        <v>91038600786</v>
      </c>
      <c r="B1987" s="318" t="s">
        <v>237</v>
      </c>
    </row>
    <row r="1988" spans="1:2" ht="12.75" customHeight="1" x14ac:dyDescent="0.25">
      <c r="A1988" s="318">
        <v>91038600787</v>
      </c>
      <c r="B1988" s="318" t="s">
        <v>237</v>
      </c>
    </row>
    <row r="1989" spans="1:2" ht="12.75" customHeight="1" x14ac:dyDescent="0.25">
      <c r="A1989" s="318">
        <v>91038600788</v>
      </c>
      <c r="B1989" s="318" t="s">
        <v>237</v>
      </c>
    </row>
    <row r="1990" spans="1:2" ht="12.75" customHeight="1" x14ac:dyDescent="0.25">
      <c r="A1990" s="318">
        <v>91039280863</v>
      </c>
      <c r="B1990" s="318" t="s">
        <v>23</v>
      </c>
    </row>
    <row r="1991" spans="1:2" ht="12.75" customHeight="1" x14ac:dyDescent="0.25">
      <c r="A1991" s="318">
        <v>91039280864</v>
      </c>
      <c r="B1991" s="318" t="s">
        <v>23</v>
      </c>
    </row>
    <row r="1992" spans="1:2" ht="12.75" customHeight="1" x14ac:dyDescent="0.25">
      <c r="A1992" s="318">
        <v>91039280865</v>
      </c>
      <c r="B1992" s="318" t="s">
        <v>23</v>
      </c>
    </row>
    <row r="1993" spans="1:2" ht="12.75" customHeight="1" x14ac:dyDescent="0.25">
      <c r="A1993" s="318">
        <v>91039280866</v>
      </c>
      <c r="B1993" s="318" t="s">
        <v>23</v>
      </c>
    </row>
    <row r="1994" spans="1:2" ht="12.75" customHeight="1" x14ac:dyDescent="0.25">
      <c r="A1994" s="318">
        <v>91039280867</v>
      </c>
      <c r="B1994" s="318" t="s">
        <v>23</v>
      </c>
    </row>
    <row r="1995" spans="1:2" ht="12.75" customHeight="1" x14ac:dyDescent="0.25">
      <c r="A1995" s="318">
        <v>91039280868</v>
      </c>
      <c r="B1995" s="318" t="s">
        <v>23</v>
      </c>
    </row>
    <row r="1996" spans="1:2" ht="12.75" customHeight="1" x14ac:dyDescent="0.25">
      <c r="A1996" s="318">
        <v>91039280869</v>
      </c>
      <c r="B1996" s="318" t="s">
        <v>237</v>
      </c>
    </row>
    <row r="1997" spans="1:2" ht="12.75" customHeight="1" x14ac:dyDescent="0.25">
      <c r="A1997" s="318">
        <v>91039280870</v>
      </c>
      <c r="B1997" s="318" t="s">
        <v>237</v>
      </c>
    </row>
    <row r="1998" spans="1:2" ht="12.75" customHeight="1" x14ac:dyDescent="0.25">
      <c r="A1998" s="318">
        <v>91039280872</v>
      </c>
      <c r="B1998" s="318" t="s">
        <v>237</v>
      </c>
    </row>
    <row r="1999" spans="1:2" ht="12.75" customHeight="1" x14ac:dyDescent="0.25">
      <c r="A1999" s="318">
        <v>91039280873</v>
      </c>
      <c r="B1999" s="318" t="s">
        <v>237</v>
      </c>
    </row>
    <row r="2000" spans="1:2" ht="12.75" customHeight="1" x14ac:dyDescent="0.25">
      <c r="A2000" s="318">
        <v>91039280874</v>
      </c>
      <c r="B2000" s="318" t="s">
        <v>237</v>
      </c>
    </row>
    <row r="2001" spans="1:2" ht="12.75" customHeight="1" x14ac:dyDescent="0.25">
      <c r="A2001" s="318">
        <v>91039280875</v>
      </c>
      <c r="B2001" s="318" t="s">
        <v>237</v>
      </c>
    </row>
    <row r="2002" spans="1:2" ht="12.75" customHeight="1" x14ac:dyDescent="0.25">
      <c r="A2002" s="318">
        <v>91039280876</v>
      </c>
      <c r="B2002" s="318" t="s">
        <v>237</v>
      </c>
    </row>
    <row r="2003" spans="1:2" ht="12.75" customHeight="1" x14ac:dyDescent="0.25">
      <c r="A2003" s="318">
        <v>91039280877</v>
      </c>
      <c r="B2003" s="318" t="s">
        <v>237</v>
      </c>
    </row>
    <row r="2004" spans="1:2" ht="12.75" customHeight="1" x14ac:dyDescent="0.25">
      <c r="A2004" s="318">
        <v>91039280878</v>
      </c>
      <c r="B2004" s="318" t="s">
        <v>237</v>
      </c>
    </row>
    <row r="2005" spans="1:2" ht="12.75" customHeight="1" x14ac:dyDescent="0.25">
      <c r="A2005" s="318">
        <v>91039280879</v>
      </c>
      <c r="B2005" s="318" t="s">
        <v>237</v>
      </c>
    </row>
    <row r="2006" spans="1:2" ht="12.75" customHeight="1" x14ac:dyDescent="0.25">
      <c r="A2006" s="318">
        <v>91039280963</v>
      </c>
      <c r="B2006" s="318" t="s">
        <v>237</v>
      </c>
    </row>
    <row r="2007" spans="1:2" ht="12.75" customHeight="1" x14ac:dyDescent="0.25">
      <c r="A2007" s="318">
        <v>91039280964</v>
      </c>
      <c r="B2007" s="318" t="s">
        <v>237</v>
      </c>
    </row>
    <row r="2008" spans="1:2" ht="12.75" customHeight="1" x14ac:dyDescent="0.25">
      <c r="A2008" s="318">
        <v>91039280965</v>
      </c>
      <c r="B2008" s="318" t="s">
        <v>237</v>
      </c>
    </row>
    <row r="2009" spans="1:2" ht="12.75" customHeight="1" x14ac:dyDescent="0.25">
      <c r="A2009" s="318">
        <v>91039280966</v>
      </c>
      <c r="B2009" s="318" t="s">
        <v>237</v>
      </c>
    </row>
    <row r="2010" spans="1:2" ht="12.75" customHeight="1" x14ac:dyDescent="0.25">
      <c r="A2010" s="318">
        <v>91039280967</v>
      </c>
      <c r="B2010" s="318" t="s">
        <v>237</v>
      </c>
    </row>
    <row r="2011" spans="1:2" ht="12.75" customHeight="1" x14ac:dyDescent="0.25">
      <c r="A2011" s="318">
        <v>91039280968</v>
      </c>
      <c r="B2011" s="318" t="s">
        <v>237</v>
      </c>
    </row>
    <row r="2012" spans="1:2" ht="12.75" customHeight="1" x14ac:dyDescent="0.25">
      <c r="A2012" s="318">
        <v>91039280969</v>
      </c>
      <c r="B2012" s="318" t="s">
        <v>237</v>
      </c>
    </row>
    <row r="2013" spans="1:2" ht="12.75" customHeight="1" x14ac:dyDescent="0.25">
      <c r="A2013" s="318">
        <v>91039280970</v>
      </c>
      <c r="B2013" s="318" t="s">
        <v>237</v>
      </c>
    </row>
    <row r="2014" spans="1:2" ht="12.75" customHeight="1" x14ac:dyDescent="0.25">
      <c r="A2014" s="318">
        <v>91039280972</v>
      </c>
      <c r="B2014" s="318" t="s">
        <v>237</v>
      </c>
    </row>
    <row r="2015" spans="1:2" ht="12.75" customHeight="1" x14ac:dyDescent="0.25">
      <c r="A2015" s="318">
        <v>91039280973</v>
      </c>
      <c r="B2015" s="318" t="s">
        <v>237</v>
      </c>
    </row>
    <row r="2016" spans="1:2" ht="12.75" customHeight="1" x14ac:dyDescent="0.25">
      <c r="A2016" s="318">
        <v>91039280974</v>
      </c>
      <c r="B2016" s="318" t="s">
        <v>237</v>
      </c>
    </row>
    <row r="2017" spans="1:2" ht="12.75" customHeight="1" x14ac:dyDescent="0.25">
      <c r="A2017" s="318">
        <v>91039280975</v>
      </c>
      <c r="B2017" s="318" t="s">
        <v>237</v>
      </c>
    </row>
    <row r="2018" spans="1:2" ht="12.75" customHeight="1" x14ac:dyDescent="0.25">
      <c r="A2018" s="318">
        <v>91039280976</v>
      </c>
      <c r="B2018" s="318" t="s">
        <v>237</v>
      </c>
    </row>
    <row r="2019" spans="1:2" ht="12.75" customHeight="1" x14ac:dyDescent="0.25">
      <c r="A2019" s="318">
        <v>91039280977</v>
      </c>
      <c r="B2019" s="318" t="s">
        <v>237</v>
      </c>
    </row>
    <row r="2020" spans="1:2" ht="12.75" customHeight="1" x14ac:dyDescent="0.25">
      <c r="A2020" s="318">
        <v>91039280978</v>
      </c>
      <c r="B2020" s="318" t="s">
        <v>237</v>
      </c>
    </row>
    <row r="2021" spans="1:2" ht="12.75" customHeight="1" x14ac:dyDescent="0.25">
      <c r="A2021" s="318">
        <v>91039280979</v>
      </c>
      <c r="B2021" s="318" t="s">
        <v>237</v>
      </c>
    </row>
    <row r="2022" spans="1:2" ht="12.75" customHeight="1" x14ac:dyDescent="0.25">
      <c r="A2022" s="318">
        <v>91039761836</v>
      </c>
      <c r="B2022" s="318" t="s">
        <v>23</v>
      </c>
    </row>
    <row r="2023" spans="1:2" ht="12.75" customHeight="1" x14ac:dyDescent="0.25">
      <c r="A2023" s="318">
        <v>91039761837</v>
      </c>
      <c r="B2023" s="318" t="s">
        <v>23</v>
      </c>
    </row>
    <row r="2024" spans="1:2" ht="12.75" customHeight="1" x14ac:dyDescent="0.25">
      <c r="A2024" s="318">
        <v>91039761838</v>
      </c>
      <c r="B2024" s="318" t="s">
        <v>23</v>
      </c>
    </row>
    <row r="2025" spans="1:2" ht="12.75" customHeight="1" x14ac:dyDescent="0.25">
      <c r="A2025" s="318">
        <v>91039761839</v>
      </c>
      <c r="B2025" s="318" t="s">
        <v>23</v>
      </c>
    </row>
    <row r="2026" spans="1:2" ht="12.75" customHeight="1" x14ac:dyDescent="0.25">
      <c r="A2026" s="318">
        <v>91039761840</v>
      </c>
      <c r="B2026" s="318" t="s">
        <v>23</v>
      </c>
    </row>
    <row r="2027" spans="1:2" ht="12.75" customHeight="1" x14ac:dyDescent="0.25">
      <c r="A2027" s="318">
        <v>91039761841</v>
      </c>
      <c r="B2027" s="318" t="s">
        <v>23</v>
      </c>
    </row>
    <row r="2028" spans="1:2" ht="12.75" customHeight="1" x14ac:dyDescent="0.25">
      <c r="A2028" s="318">
        <v>91039761842</v>
      </c>
      <c r="B2028" s="318" t="s">
        <v>237</v>
      </c>
    </row>
    <row r="2029" spans="1:2" ht="12.75" customHeight="1" x14ac:dyDescent="0.25">
      <c r="A2029" s="318">
        <v>91039761843</v>
      </c>
      <c r="B2029" s="318" t="s">
        <v>237</v>
      </c>
    </row>
    <row r="2030" spans="1:2" ht="12.75" customHeight="1" x14ac:dyDescent="0.25">
      <c r="A2030" s="318">
        <v>91039761845</v>
      </c>
      <c r="B2030" s="318" t="s">
        <v>237</v>
      </c>
    </row>
    <row r="2031" spans="1:2" ht="12.75" customHeight="1" x14ac:dyDescent="0.25">
      <c r="A2031" s="318">
        <v>91039761846</v>
      </c>
      <c r="B2031" s="318" t="s">
        <v>237</v>
      </c>
    </row>
    <row r="2032" spans="1:2" ht="12.75" customHeight="1" x14ac:dyDescent="0.25">
      <c r="A2032" s="318">
        <v>91039761847</v>
      </c>
      <c r="B2032" s="318" t="s">
        <v>237</v>
      </c>
    </row>
    <row r="2033" spans="1:2" ht="12.75" customHeight="1" x14ac:dyDescent="0.25">
      <c r="A2033" s="318">
        <v>91039761848</v>
      </c>
      <c r="B2033" s="318" t="s">
        <v>237</v>
      </c>
    </row>
    <row r="2034" spans="1:2" ht="12.75" customHeight="1" x14ac:dyDescent="0.25">
      <c r="A2034" s="318">
        <v>91039761849</v>
      </c>
      <c r="B2034" s="318" t="s">
        <v>237</v>
      </c>
    </row>
    <row r="2035" spans="1:2" ht="12.75" customHeight="1" x14ac:dyDescent="0.25">
      <c r="A2035" s="318">
        <v>91039761850</v>
      </c>
      <c r="B2035" s="318" t="s">
        <v>237</v>
      </c>
    </row>
    <row r="2036" spans="1:2" ht="12.75" customHeight="1" x14ac:dyDescent="0.25">
      <c r="A2036" s="318">
        <v>91039761851</v>
      </c>
      <c r="B2036" s="318" t="s">
        <v>237</v>
      </c>
    </row>
    <row r="2037" spans="1:2" ht="12.75" customHeight="1" x14ac:dyDescent="0.25">
      <c r="A2037" s="318">
        <v>91039761852</v>
      </c>
      <c r="B2037" s="318" t="s">
        <v>237</v>
      </c>
    </row>
    <row r="2038" spans="1:2" ht="12.75" customHeight="1" x14ac:dyDescent="0.25">
      <c r="A2038" s="318">
        <v>91039761936</v>
      </c>
      <c r="B2038" s="318" t="s">
        <v>237</v>
      </c>
    </row>
    <row r="2039" spans="1:2" ht="12.75" customHeight="1" x14ac:dyDescent="0.25">
      <c r="A2039" s="318">
        <v>91039761937</v>
      </c>
      <c r="B2039" s="318" t="s">
        <v>237</v>
      </c>
    </row>
    <row r="2040" spans="1:2" ht="12.75" customHeight="1" x14ac:dyDescent="0.25">
      <c r="A2040" s="318">
        <v>91039761938</v>
      </c>
      <c r="B2040" s="318" t="s">
        <v>237</v>
      </c>
    </row>
    <row r="2041" spans="1:2" ht="12.75" customHeight="1" x14ac:dyDescent="0.25">
      <c r="A2041" s="318">
        <v>91039761939</v>
      </c>
      <c r="B2041" s="318" t="s">
        <v>237</v>
      </c>
    </row>
    <row r="2042" spans="1:2" ht="12.75" customHeight="1" x14ac:dyDescent="0.25">
      <c r="A2042" s="318">
        <v>91039761940</v>
      </c>
      <c r="B2042" s="318" t="s">
        <v>237</v>
      </c>
    </row>
    <row r="2043" spans="1:2" ht="12.75" customHeight="1" x14ac:dyDescent="0.25">
      <c r="A2043" s="318">
        <v>91039761941</v>
      </c>
      <c r="B2043" s="318" t="s">
        <v>237</v>
      </c>
    </row>
    <row r="2044" spans="1:2" ht="12.75" customHeight="1" x14ac:dyDescent="0.25">
      <c r="A2044" s="318">
        <v>91039761942</v>
      </c>
      <c r="B2044" s="318" t="s">
        <v>237</v>
      </c>
    </row>
    <row r="2045" spans="1:2" ht="12.75" customHeight="1" x14ac:dyDescent="0.25">
      <c r="A2045" s="318">
        <v>91039761943</v>
      </c>
      <c r="B2045" s="318" t="s">
        <v>237</v>
      </c>
    </row>
    <row r="2046" spans="1:2" ht="12.75" customHeight="1" x14ac:dyDescent="0.25">
      <c r="A2046" s="318">
        <v>91039761945</v>
      </c>
      <c r="B2046" s="318" t="s">
        <v>237</v>
      </c>
    </row>
    <row r="2047" spans="1:2" ht="12.75" customHeight="1" x14ac:dyDescent="0.25">
      <c r="A2047" s="318">
        <v>91039761946</v>
      </c>
      <c r="B2047" s="318" t="s">
        <v>237</v>
      </c>
    </row>
    <row r="2048" spans="1:2" ht="12.75" customHeight="1" x14ac:dyDescent="0.25">
      <c r="A2048" s="318">
        <v>91039761947</v>
      </c>
      <c r="B2048" s="318" t="s">
        <v>237</v>
      </c>
    </row>
    <row r="2049" spans="1:2" ht="12.75" customHeight="1" x14ac:dyDescent="0.25">
      <c r="A2049" s="318">
        <v>91039761948</v>
      </c>
      <c r="B2049" s="318" t="s">
        <v>237</v>
      </c>
    </row>
    <row r="2050" spans="1:2" ht="12.75" customHeight="1" x14ac:dyDescent="0.25">
      <c r="A2050" s="318">
        <v>91039761949</v>
      </c>
      <c r="B2050" s="318" t="s">
        <v>237</v>
      </c>
    </row>
    <row r="2051" spans="1:2" ht="12.75" customHeight="1" x14ac:dyDescent="0.25">
      <c r="A2051" s="318">
        <v>91039761950</v>
      </c>
      <c r="B2051" s="318" t="s">
        <v>237</v>
      </c>
    </row>
    <row r="2052" spans="1:2" ht="12.75" customHeight="1" x14ac:dyDescent="0.25">
      <c r="A2052" s="318">
        <v>91039761951</v>
      </c>
      <c r="B2052" s="318" t="s">
        <v>237</v>
      </c>
    </row>
    <row r="2053" spans="1:2" ht="12.75" customHeight="1" x14ac:dyDescent="0.25">
      <c r="A2053" s="318">
        <v>91039761952</v>
      </c>
      <c r="B2053" s="318" t="s">
        <v>237</v>
      </c>
    </row>
    <row r="2054" spans="1:2" ht="12.75" customHeight="1" x14ac:dyDescent="0.25">
      <c r="A2054" s="318">
        <v>91040242809</v>
      </c>
      <c r="B2054" s="318" t="s">
        <v>23</v>
      </c>
    </row>
    <row r="2055" spans="1:2" ht="12.75" customHeight="1" x14ac:dyDescent="0.25">
      <c r="A2055" s="318">
        <v>91040242810</v>
      </c>
      <c r="B2055" s="318" t="s">
        <v>23</v>
      </c>
    </row>
    <row r="2056" spans="1:2" ht="12.75" customHeight="1" x14ac:dyDescent="0.25">
      <c r="A2056" s="318">
        <v>91040242811</v>
      </c>
      <c r="B2056" s="318" t="s">
        <v>23</v>
      </c>
    </row>
    <row r="2057" spans="1:2" ht="12.75" customHeight="1" x14ac:dyDescent="0.25">
      <c r="A2057" s="318">
        <v>91040242812</v>
      </c>
      <c r="B2057" s="318" t="s">
        <v>23</v>
      </c>
    </row>
    <row r="2058" spans="1:2" ht="12.75" customHeight="1" x14ac:dyDescent="0.25">
      <c r="A2058" s="318">
        <v>91040242813</v>
      </c>
      <c r="B2058" s="318" t="s">
        <v>23</v>
      </c>
    </row>
    <row r="2059" spans="1:2" ht="12.75" customHeight="1" x14ac:dyDescent="0.25">
      <c r="A2059" s="318">
        <v>91040242814</v>
      </c>
      <c r="B2059" s="318" t="s">
        <v>23</v>
      </c>
    </row>
    <row r="2060" spans="1:2" ht="12.75" customHeight="1" x14ac:dyDescent="0.25">
      <c r="A2060" s="318">
        <v>91040242815</v>
      </c>
      <c r="B2060" s="318" t="s">
        <v>237</v>
      </c>
    </row>
    <row r="2061" spans="1:2" ht="12.75" customHeight="1" x14ac:dyDescent="0.25">
      <c r="A2061" s="318">
        <v>91040242816</v>
      </c>
      <c r="B2061" s="318" t="s">
        <v>237</v>
      </c>
    </row>
    <row r="2062" spans="1:2" ht="12.75" customHeight="1" x14ac:dyDescent="0.25">
      <c r="A2062" s="318">
        <v>91040242818</v>
      </c>
      <c r="B2062" s="318" t="s">
        <v>237</v>
      </c>
    </row>
    <row r="2063" spans="1:2" ht="12.75" customHeight="1" x14ac:dyDescent="0.25">
      <c r="A2063" s="318">
        <v>91040242819</v>
      </c>
      <c r="B2063" s="318" t="s">
        <v>237</v>
      </c>
    </row>
    <row r="2064" spans="1:2" ht="12.75" customHeight="1" x14ac:dyDescent="0.25">
      <c r="A2064" s="318">
        <v>91040242820</v>
      </c>
      <c r="B2064" s="318" t="s">
        <v>237</v>
      </c>
    </row>
    <row r="2065" spans="1:2" ht="12.75" customHeight="1" x14ac:dyDescent="0.25">
      <c r="A2065" s="318">
        <v>91040242821</v>
      </c>
      <c r="B2065" s="318" t="s">
        <v>237</v>
      </c>
    </row>
    <row r="2066" spans="1:2" ht="12.75" customHeight="1" x14ac:dyDescent="0.25">
      <c r="A2066" s="318">
        <v>91040242822</v>
      </c>
      <c r="B2066" s="318" t="s">
        <v>237</v>
      </c>
    </row>
    <row r="2067" spans="1:2" ht="12.75" customHeight="1" x14ac:dyDescent="0.25">
      <c r="A2067" s="318">
        <v>91040242823</v>
      </c>
      <c r="B2067" s="318" t="s">
        <v>237</v>
      </c>
    </row>
    <row r="2068" spans="1:2" ht="12.75" customHeight="1" x14ac:dyDescent="0.25">
      <c r="A2068" s="318">
        <v>91040242824</v>
      </c>
      <c r="B2068" s="318" t="s">
        <v>237</v>
      </c>
    </row>
    <row r="2069" spans="1:2" ht="12.75" customHeight="1" x14ac:dyDescent="0.25">
      <c r="A2069" s="318">
        <v>91040242825</v>
      </c>
      <c r="B2069" s="318" t="s">
        <v>237</v>
      </c>
    </row>
    <row r="2070" spans="1:2" ht="12.75" customHeight="1" x14ac:dyDescent="0.25">
      <c r="A2070" s="318">
        <v>91040242909</v>
      </c>
      <c r="B2070" s="318" t="s">
        <v>237</v>
      </c>
    </row>
    <row r="2071" spans="1:2" ht="12.75" customHeight="1" x14ac:dyDescent="0.25">
      <c r="A2071" s="318">
        <v>91040242910</v>
      </c>
      <c r="B2071" s="318" t="s">
        <v>237</v>
      </c>
    </row>
    <row r="2072" spans="1:2" ht="12.75" customHeight="1" x14ac:dyDescent="0.25">
      <c r="A2072" s="318">
        <v>91040242911</v>
      </c>
      <c r="B2072" s="318" t="s">
        <v>237</v>
      </c>
    </row>
    <row r="2073" spans="1:2" ht="12.75" customHeight="1" x14ac:dyDescent="0.25">
      <c r="A2073" s="318">
        <v>91040242912</v>
      </c>
      <c r="B2073" s="318" t="s">
        <v>237</v>
      </c>
    </row>
    <row r="2074" spans="1:2" ht="12.75" customHeight="1" x14ac:dyDescent="0.25">
      <c r="A2074" s="318">
        <v>91040242913</v>
      </c>
      <c r="B2074" s="318" t="s">
        <v>237</v>
      </c>
    </row>
    <row r="2075" spans="1:2" ht="12.75" customHeight="1" x14ac:dyDescent="0.25">
      <c r="A2075" s="318">
        <v>91040242914</v>
      </c>
      <c r="B2075" s="318" t="s">
        <v>237</v>
      </c>
    </row>
    <row r="2076" spans="1:2" ht="12.75" customHeight="1" x14ac:dyDescent="0.25">
      <c r="A2076" s="318">
        <v>91040242915</v>
      </c>
      <c r="B2076" s="318" t="s">
        <v>237</v>
      </c>
    </row>
    <row r="2077" spans="1:2" ht="12.75" customHeight="1" x14ac:dyDescent="0.25">
      <c r="A2077" s="318">
        <v>91040242916</v>
      </c>
      <c r="B2077" s="318" t="s">
        <v>237</v>
      </c>
    </row>
    <row r="2078" spans="1:2" ht="12.75" customHeight="1" x14ac:dyDescent="0.25">
      <c r="A2078" s="318">
        <v>91040242918</v>
      </c>
      <c r="B2078" s="318" t="s">
        <v>237</v>
      </c>
    </row>
    <row r="2079" spans="1:2" ht="12.75" customHeight="1" x14ac:dyDescent="0.25">
      <c r="A2079" s="318">
        <v>91040242919</v>
      </c>
      <c r="B2079" s="318" t="s">
        <v>237</v>
      </c>
    </row>
    <row r="2080" spans="1:2" ht="12.75" customHeight="1" x14ac:dyDescent="0.25">
      <c r="A2080" s="318">
        <v>91040242920</v>
      </c>
      <c r="B2080" s="318" t="s">
        <v>237</v>
      </c>
    </row>
    <row r="2081" spans="1:2" ht="12.75" customHeight="1" x14ac:dyDescent="0.25">
      <c r="A2081" s="318">
        <v>91040242921</v>
      </c>
      <c r="B2081" s="318" t="s">
        <v>237</v>
      </c>
    </row>
    <row r="2082" spans="1:2" ht="12.75" customHeight="1" x14ac:dyDescent="0.25">
      <c r="A2082" s="318">
        <v>91040242922</v>
      </c>
      <c r="B2082" s="318" t="s">
        <v>237</v>
      </c>
    </row>
    <row r="2083" spans="1:2" ht="12.75" customHeight="1" x14ac:dyDescent="0.25">
      <c r="A2083" s="318">
        <v>91040242923</v>
      </c>
      <c r="B2083" s="318" t="s">
        <v>237</v>
      </c>
    </row>
    <row r="2084" spans="1:2" ht="12.75" customHeight="1" x14ac:dyDescent="0.25">
      <c r="A2084" s="318">
        <v>91040242924</v>
      </c>
      <c r="B2084" s="318" t="s">
        <v>237</v>
      </c>
    </row>
    <row r="2085" spans="1:2" ht="12.75" customHeight="1" x14ac:dyDescent="0.25">
      <c r="A2085" s="318">
        <v>91040242925</v>
      </c>
      <c r="B2085" s="318" t="s">
        <v>237</v>
      </c>
    </row>
    <row r="2086" spans="1:2" ht="12.75" customHeight="1" x14ac:dyDescent="0.25">
      <c r="A2086" s="318">
        <v>91040923000</v>
      </c>
      <c r="B2086" s="318" t="s">
        <v>23</v>
      </c>
    </row>
    <row r="2087" spans="1:2" ht="12.75" customHeight="1" x14ac:dyDescent="0.25">
      <c r="A2087" s="318">
        <v>91040923001</v>
      </c>
      <c r="B2087" s="318" t="s">
        <v>23</v>
      </c>
    </row>
    <row r="2088" spans="1:2" ht="12.75" customHeight="1" x14ac:dyDescent="0.25">
      <c r="A2088" s="318">
        <v>91040923002</v>
      </c>
      <c r="B2088" s="318" t="s">
        <v>23</v>
      </c>
    </row>
    <row r="2089" spans="1:2" ht="12.75" customHeight="1" x14ac:dyDescent="0.25">
      <c r="A2089" s="318">
        <v>91040923003</v>
      </c>
      <c r="B2089" s="318" t="s">
        <v>23</v>
      </c>
    </row>
    <row r="2090" spans="1:2" ht="12.75" customHeight="1" x14ac:dyDescent="0.25">
      <c r="A2090" s="318">
        <v>91040923004</v>
      </c>
      <c r="B2090" s="318" t="s">
        <v>23</v>
      </c>
    </row>
    <row r="2091" spans="1:2" ht="12.75" customHeight="1" x14ac:dyDescent="0.25">
      <c r="A2091" s="318">
        <v>91040923005</v>
      </c>
      <c r="B2091" s="318" t="s">
        <v>23</v>
      </c>
    </row>
    <row r="2092" spans="1:2" ht="12.75" customHeight="1" x14ac:dyDescent="0.25">
      <c r="A2092" s="318">
        <v>91040923006</v>
      </c>
      <c r="B2092" s="318" t="s">
        <v>237</v>
      </c>
    </row>
    <row r="2093" spans="1:2" ht="12.75" customHeight="1" x14ac:dyDescent="0.25">
      <c r="A2093" s="318">
        <v>91040923007</v>
      </c>
      <c r="B2093" s="318" t="s">
        <v>237</v>
      </c>
    </row>
    <row r="2094" spans="1:2" ht="12.75" customHeight="1" x14ac:dyDescent="0.25">
      <c r="A2094" s="318">
        <v>91040923009</v>
      </c>
      <c r="B2094" s="318" t="s">
        <v>237</v>
      </c>
    </row>
    <row r="2095" spans="1:2" ht="12.75" customHeight="1" x14ac:dyDescent="0.25">
      <c r="A2095" s="318">
        <v>91040923010</v>
      </c>
      <c r="B2095" s="318" t="s">
        <v>237</v>
      </c>
    </row>
    <row r="2096" spans="1:2" ht="12.75" customHeight="1" x14ac:dyDescent="0.25">
      <c r="A2096" s="318">
        <v>91040923011</v>
      </c>
      <c r="B2096" s="318" t="s">
        <v>237</v>
      </c>
    </row>
    <row r="2097" spans="1:2" ht="12.75" customHeight="1" x14ac:dyDescent="0.25">
      <c r="A2097" s="318">
        <v>91040923012</v>
      </c>
      <c r="B2097" s="318" t="s">
        <v>237</v>
      </c>
    </row>
    <row r="2098" spans="1:2" ht="12.75" customHeight="1" x14ac:dyDescent="0.25">
      <c r="A2098" s="318">
        <v>91040923013</v>
      </c>
      <c r="B2098" s="318" t="s">
        <v>237</v>
      </c>
    </row>
    <row r="2099" spans="1:2" ht="12.75" customHeight="1" x14ac:dyDescent="0.25">
      <c r="A2099" s="318">
        <v>91040923014</v>
      </c>
      <c r="B2099" s="318" t="s">
        <v>237</v>
      </c>
    </row>
    <row r="2100" spans="1:2" ht="12.75" customHeight="1" x14ac:dyDescent="0.25">
      <c r="A2100" s="318">
        <v>91040923015</v>
      </c>
      <c r="B2100" s="318" t="s">
        <v>237</v>
      </c>
    </row>
    <row r="2101" spans="1:2" ht="12.75" customHeight="1" x14ac:dyDescent="0.25">
      <c r="A2101" s="318">
        <v>91040923016</v>
      </c>
      <c r="B2101" s="318" t="s">
        <v>237</v>
      </c>
    </row>
    <row r="2102" spans="1:2" ht="12.75" customHeight="1" x14ac:dyDescent="0.25">
      <c r="A2102" s="318">
        <v>91040923100</v>
      </c>
      <c r="B2102" s="318" t="s">
        <v>237</v>
      </c>
    </row>
    <row r="2103" spans="1:2" ht="12.75" customHeight="1" x14ac:dyDescent="0.25">
      <c r="A2103" s="318">
        <v>91040923101</v>
      </c>
      <c r="B2103" s="318" t="s">
        <v>237</v>
      </c>
    </row>
    <row r="2104" spans="1:2" ht="12.75" customHeight="1" x14ac:dyDescent="0.25">
      <c r="A2104" s="318">
        <v>91040923102</v>
      </c>
      <c r="B2104" s="318" t="s">
        <v>237</v>
      </c>
    </row>
    <row r="2105" spans="1:2" ht="12.75" customHeight="1" x14ac:dyDescent="0.25">
      <c r="A2105" s="318">
        <v>91040923103</v>
      </c>
      <c r="B2105" s="318" t="s">
        <v>237</v>
      </c>
    </row>
    <row r="2106" spans="1:2" ht="12.75" customHeight="1" x14ac:dyDescent="0.25">
      <c r="A2106" s="318">
        <v>91040923104</v>
      </c>
      <c r="B2106" s="318" t="s">
        <v>237</v>
      </c>
    </row>
    <row r="2107" spans="1:2" ht="12.75" customHeight="1" x14ac:dyDescent="0.25">
      <c r="A2107" s="318">
        <v>91040923105</v>
      </c>
      <c r="B2107" s="318" t="s">
        <v>237</v>
      </c>
    </row>
    <row r="2108" spans="1:2" ht="12.75" customHeight="1" x14ac:dyDescent="0.25">
      <c r="A2108" s="318">
        <v>91040923106</v>
      </c>
      <c r="B2108" s="318" t="s">
        <v>237</v>
      </c>
    </row>
    <row r="2109" spans="1:2" ht="12.75" customHeight="1" x14ac:dyDescent="0.25">
      <c r="A2109" s="318">
        <v>91040923107</v>
      </c>
      <c r="B2109" s="318" t="s">
        <v>237</v>
      </c>
    </row>
    <row r="2110" spans="1:2" ht="12.75" customHeight="1" x14ac:dyDescent="0.25">
      <c r="A2110" s="318">
        <v>91040923109</v>
      </c>
      <c r="B2110" s="318" t="s">
        <v>237</v>
      </c>
    </row>
    <row r="2111" spans="1:2" ht="12.75" customHeight="1" x14ac:dyDescent="0.25">
      <c r="A2111" s="318">
        <v>91040923110</v>
      </c>
      <c r="B2111" s="318" t="s">
        <v>237</v>
      </c>
    </row>
    <row r="2112" spans="1:2" ht="12.75" customHeight="1" x14ac:dyDescent="0.25">
      <c r="A2112" s="318">
        <v>91040923111</v>
      </c>
      <c r="B2112" s="318" t="s">
        <v>237</v>
      </c>
    </row>
    <row r="2113" spans="1:2" ht="12.75" customHeight="1" x14ac:dyDescent="0.25">
      <c r="A2113" s="318">
        <v>91040923112</v>
      </c>
      <c r="B2113" s="318" t="s">
        <v>237</v>
      </c>
    </row>
    <row r="2114" spans="1:2" ht="12.75" customHeight="1" x14ac:dyDescent="0.25">
      <c r="A2114" s="318">
        <v>91040923113</v>
      </c>
      <c r="B2114" s="318" t="s">
        <v>237</v>
      </c>
    </row>
    <row r="2115" spans="1:2" ht="12.75" customHeight="1" x14ac:dyDescent="0.25">
      <c r="A2115" s="318">
        <v>91040923114</v>
      </c>
      <c r="B2115" s="318" t="s">
        <v>237</v>
      </c>
    </row>
    <row r="2116" spans="1:2" ht="12.75" customHeight="1" x14ac:dyDescent="0.25">
      <c r="A2116" s="318">
        <v>91040923115</v>
      </c>
      <c r="B2116" s="318" t="s">
        <v>237</v>
      </c>
    </row>
    <row r="2117" spans="1:2" ht="12.75" customHeight="1" x14ac:dyDescent="0.25">
      <c r="A2117" s="318">
        <v>91040923116</v>
      </c>
      <c r="B2117" s="318" t="s">
        <v>237</v>
      </c>
    </row>
    <row r="2118" spans="1:2" ht="12.75" customHeight="1" x14ac:dyDescent="0.25">
      <c r="A2118" s="318">
        <v>91041403973</v>
      </c>
      <c r="B2118" s="318" t="s">
        <v>23</v>
      </c>
    </row>
    <row r="2119" spans="1:2" ht="12.75" customHeight="1" x14ac:dyDescent="0.25">
      <c r="A2119" s="318">
        <v>91041403974</v>
      </c>
      <c r="B2119" s="318" t="s">
        <v>23</v>
      </c>
    </row>
    <row r="2120" spans="1:2" ht="12.75" customHeight="1" x14ac:dyDescent="0.25">
      <c r="A2120" s="318">
        <v>91041403975</v>
      </c>
      <c r="B2120" s="318" t="s">
        <v>23</v>
      </c>
    </row>
    <row r="2121" spans="1:2" ht="12.75" customHeight="1" x14ac:dyDescent="0.25">
      <c r="A2121" s="318">
        <v>91041403976</v>
      </c>
      <c r="B2121" s="318" t="s">
        <v>23</v>
      </c>
    </row>
    <row r="2122" spans="1:2" ht="12.75" customHeight="1" x14ac:dyDescent="0.25">
      <c r="A2122" s="318">
        <v>91041403977</v>
      </c>
      <c r="B2122" s="318" t="s">
        <v>23</v>
      </c>
    </row>
    <row r="2123" spans="1:2" ht="12.75" customHeight="1" x14ac:dyDescent="0.25">
      <c r="A2123" s="318">
        <v>91041403978</v>
      </c>
      <c r="B2123" s="318" t="s">
        <v>23</v>
      </c>
    </row>
    <row r="2124" spans="1:2" ht="12.75" customHeight="1" x14ac:dyDescent="0.25">
      <c r="A2124" s="318">
        <v>91041403979</v>
      </c>
      <c r="B2124" s="318" t="s">
        <v>237</v>
      </c>
    </row>
    <row r="2125" spans="1:2" ht="12.75" customHeight="1" x14ac:dyDescent="0.25">
      <c r="A2125" s="318">
        <v>91041403980</v>
      </c>
      <c r="B2125" s="318" t="s">
        <v>237</v>
      </c>
    </row>
    <row r="2126" spans="1:2" ht="12.75" customHeight="1" x14ac:dyDescent="0.25">
      <c r="A2126" s="318">
        <v>91041403982</v>
      </c>
      <c r="B2126" s="318" t="s">
        <v>237</v>
      </c>
    </row>
    <row r="2127" spans="1:2" ht="12.75" customHeight="1" x14ac:dyDescent="0.25">
      <c r="A2127" s="318">
        <v>91041403983</v>
      </c>
      <c r="B2127" s="318" t="s">
        <v>237</v>
      </c>
    </row>
    <row r="2128" spans="1:2" ht="12.75" customHeight="1" x14ac:dyDescent="0.25">
      <c r="A2128" s="318">
        <v>91041403984</v>
      </c>
      <c r="B2128" s="318" t="s">
        <v>237</v>
      </c>
    </row>
    <row r="2129" spans="1:2" ht="12.75" customHeight="1" x14ac:dyDescent="0.25">
      <c r="A2129" s="318">
        <v>91041403985</v>
      </c>
      <c r="B2129" s="318" t="s">
        <v>237</v>
      </c>
    </row>
    <row r="2130" spans="1:2" ht="12.75" customHeight="1" x14ac:dyDescent="0.25">
      <c r="A2130" s="318">
        <v>91041403986</v>
      </c>
      <c r="B2130" s="318" t="s">
        <v>237</v>
      </c>
    </row>
    <row r="2131" spans="1:2" ht="12.75" customHeight="1" x14ac:dyDescent="0.25">
      <c r="A2131" s="318">
        <v>91041403987</v>
      </c>
      <c r="B2131" s="318" t="s">
        <v>237</v>
      </c>
    </row>
    <row r="2132" spans="1:2" ht="12.75" customHeight="1" x14ac:dyDescent="0.25">
      <c r="A2132" s="318">
        <v>91041403988</v>
      </c>
      <c r="B2132" s="318" t="s">
        <v>237</v>
      </c>
    </row>
    <row r="2133" spans="1:2" ht="12.75" customHeight="1" x14ac:dyDescent="0.25">
      <c r="A2133" s="318">
        <v>91041403989</v>
      </c>
      <c r="B2133" s="318" t="s">
        <v>237</v>
      </c>
    </row>
    <row r="2134" spans="1:2" ht="12.75" customHeight="1" x14ac:dyDescent="0.25">
      <c r="A2134" s="318">
        <v>91041404073</v>
      </c>
      <c r="B2134" s="318" t="s">
        <v>237</v>
      </c>
    </row>
    <row r="2135" spans="1:2" ht="12.75" customHeight="1" x14ac:dyDescent="0.25">
      <c r="A2135" s="318">
        <v>91041404074</v>
      </c>
      <c r="B2135" s="318" t="s">
        <v>237</v>
      </c>
    </row>
    <row r="2136" spans="1:2" ht="12.75" customHeight="1" x14ac:dyDescent="0.25">
      <c r="A2136" s="318">
        <v>91041404075</v>
      </c>
      <c r="B2136" s="318" t="s">
        <v>237</v>
      </c>
    </row>
    <row r="2137" spans="1:2" ht="12.75" customHeight="1" x14ac:dyDescent="0.25">
      <c r="A2137" s="318">
        <v>91041404076</v>
      </c>
      <c r="B2137" s="318" t="s">
        <v>237</v>
      </c>
    </row>
    <row r="2138" spans="1:2" ht="12.75" customHeight="1" x14ac:dyDescent="0.25">
      <c r="A2138" s="318">
        <v>91041404077</v>
      </c>
      <c r="B2138" s="318" t="s">
        <v>237</v>
      </c>
    </row>
    <row r="2139" spans="1:2" ht="12.75" customHeight="1" x14ac:dyDescent="0.25">
      <c r="A2139" s="318">
        <v>91041404078</v>
      </c>
      <c r="B2139" s="318" t="s">
        <v>237</v>
      </c>
    </row>
    <row r="2140" spans="1:2" ht="12.75" customHeight="1" x14ac:dyDescent="0.25">
      <c r="A2140" s="318">
        <v>91041404079</v>
      </c>
      <c r="B2140" s="318" t="s">
        <v>237</v>
      </c>
    </row>
    <row r="2141" spans="1:2" ht="12.75" customHeight="1" x14ac:dyDescent="0.25">
      <c r="A2141" s="318">
        <v>91041404080</v>
      </c>
      <c r="B2141" s="318" t="s">
        <v>237</v>
      </c>
    </row>
    <row r="2142" spans="1:2" ht="12.75" customHeight="1" x14ac:dyDescent="0.25">
      <c r="A2142" s="318">
        <v>91041404082</v>
      </c>
      <c r="B2142" s="318" t="s">
        <v>237</v>
      </c>
    </row>
    <row r="2143" spans="1:2" ht="12.75" customHeight="1" x14ac:dyDescent="0.25">
      <c r="A2143" s="318">
        <v>91041404083</v>
      </c>
      <c r="B2143" s="318" t="s">
        <v>237</v>
      </c>
    </row>
    <row r="2144" spans="1:2" ht="12.75" customHeight="1" x14ac:dyDescent="0.25">
      <c r="A2144" s="318">
        <v>91041404084</v>
      </c>
      <c r="B2144" s="318" t="s">
        <v>237</v>
      </c>
    </row>
    <row r="2145" spans="1:2" ht="12.75" customHeight="1" x14ac:dyDescent="0.25">
      <c r="A2145" s="318">
        <v>91041404085</v>
      </c>
      <c r="B2145" s="318" t="s">
        <v>237</v>
      </c>
    </row>
    <row r="2146" spans="1:2" ht="12.75" customHeight="1" x14ac:dyDescent="0.25">
      <c r="A2146" s="318">
        <v>91041404086</v>
      </c>
      <c r="B2146" s="318" t="s">
        <v>237</v>
      </c>
    </row>
    <row r="2147" spans="1:2" ht="12.75" customHeight="1" x14ac:dyDescent="0.25">
      <c r="A2147" s="318">
        <v>91041404087</v>
      </c>
      <c r="B2147" s="318" t="s">
        <v>237</v>
      </c>
    </row>
    <row r="2148" spans="1:2" ht="12.75" customHeight="1" x14ac:dyDescent="0.25">
      <c r="A2148" s="318">
        <v>91041404088</v>
      </c>
      <c r="B2148" s="318" t="s">
        <v>237</v>
      </c>
    </row>
    <row r="2149" spans="1:2" ht="12.75" customHeight="1" x14ac:dyDescent="0.25">
      <c r="A2149" s="318">
        <v>91041404089</v>
      </c>
      <c r="B2149" s="318" t="s">
        <v>237</v>
      </c>
    </row>
    <row r="2150" spans="1:2" ht="12.75" customHeight="1" x14ac:dyDescent="0.25">
      <c r="A2150" s="318">
        <v>91041884946</v>
      </c>
      <c r="B2150" s="318" t="s">
        <v>23</v>
      </c>
    </row>
    <row r="2151" spans="1:2" ht="12.75" customHeight="1" x14ac:dyDescent="0.25">
      <c r="A2151" s="318">
        <v>91041884947</v>
      </c>
      <c r="B2151" s="318" t="s">
        <v>23</v>
      </c>
    </row>
    <row r="2152" spans="1:2" ht="12.75" customHeight="1" x14ac:dyDescent="0.25">
      <c r="A2152" s="318">
        <v>91041884948</v>
      </c>
      <c r="B2152" s="318" t="s">
        <v>23</v>
      </c>
    </row>
    <row r="2153" spans="1:2" ht="12.75" customHeight="1" x14ac:dyDescent="0.25">
      <c r="A2153" s="318">
        <v>91041884949</v>
      </c>
      <c r="B2153" s="318" t="s">
        <v>23</v>
      </c>
    </row>
    <row r="2154" spans="1:2" ht="12.75" customHeight="1" x14ac:dyDescent="0.25">
      <c r="A2154" s="318">
        <v>91041884950</v>
      </c>
      <c r="B2154" s="318" t="s">
        <v>23</v>
      </c>
    </row>
    <row r="2155" spans="1:2" ht="12.75" customHeight="1" x14ac:dyDescent="0.25">
      <c r="A2155" s="318">
        <v>91041884951</v>
      </c>
      <c r="B2155" s="318" t="s">
        <v>23</v>
      </c>
    </row>
    <row r="2156" spans="1:2" ht="12.75" customHeight="1" x14ac:dyDescent="0.25">
      <c r="A2156" s="318">
        <v>91041884952</v>
      </c>
      <c r="B2156" s="318" t="s">
        <v>237</v>
      </c>
    </row>
    <row r="2157" spans="1:2" ht="12.75" customHeight="1" x14ac:dyDescent="0.25">
      <c r="A2157" s="318">
        <v>91041884953</v>
      </c>
      <c r="B2157" s="318" t="s">
        <v>237</v>
      </c>
    </row>
    <row r="2158" spans="1:2" ht="12.75" customHeight="1" x14ac:dyDescent="0.25">
      <c r="A2158" s="318">
        <v>91041884955</v>
      </c>
      <c r="B2158" s="318" t="s">
        <v>237</v>
      </c>
    </row>
    <row r="2159" spans="1:2" ht="12.75" customHeight="1" x14ac:dyDescent="0.25">
      <c r="A2159" s="318">
        <v>91041884956</v>
      </c>
      <c r="B2159" s="318" t="s">
        <v>237</v>
      </c>
    </row>
    <row r="2160" spans="1:2" ht="12.75" customHeight="1" x14ac:dyDescent="0.25">
      <c r="A2160" s="318">
        <v>91041884957</v>
      </c>
      <c r="B2160" s="318" t="s">
        <v>237</v>
      </c>
    </row>
    <row r="2161" spans="1:2" ht="12.75" customHeight="1" x14ac:dyDescent="0.25">
      <c r="A2161" s="318">
        <v>91041884958</v>
      </c>
      <c r="B2161" s="318" t="s">
        <v>237</v>
      </c>
    </row>
    <row r="2162" spans="1:2" ht="12.75" customHeight="1" x14ac:dyDescent="0.25">
      <c r="A2162" s="318">
        <v>91041884959</v>
      </c>
      <c r="B2162" s="318" t="s">
        <v>237</v>
      </c>
    </row>
    <row r="2163" spans="1:2" ht="12.75" customHeight="1" x14ac:dyDescent="0.25">
      <c r="A2163" s="318">
        <v>91041884960</v>
      </c>
      <c r="B2163" s="318" t="s">
        <v>237</v>
      </c>
    </row>
    <row r="2164" spans="1:2" ht="12.75" customHeight="1" x14ac:dyDescent="0.25">
      <c r="A2164" s="318">
        <v>91041884961</v>
      </c>
      <c r="B2164" s="318" t="s">
        <v>237</v>
      </c>
    </row>
    <row r="2165" spans="1:2" ht="12.75" customHeight="1" x14ac:dyDescent="0.25">
      <c r="A2165" s="318">
        <v>91041884962</v>
      </c>
      <c r="B2165" s="318" t="s">
        <v>237</v>
      </c>
    </row>
    <row r="2166" spans="1:2" ht="12.75" customHeight="1" x14ac:dyDescent="0.25">
      <c r="A2166" s="318">
        <v>91041885046</v>
      </c>
      <c r="B2166" s="318" t="s">
        <v>237</v>
      </c>
    </row>
    <row r="2167" spans="1:2" ht="12.75" customHeight="1" x14ac:dyDescent="0.25">
      <c r="A2167" s="318">
        <v>91041885047</v>
      </c>
      <c r="B2167" s="318" t="s">
        <v>237</v>
      </c>
    </row>
    <row r="2168" spans="1:2" ht="12.75" customHeight="1" x14ac:dyDescent="0.25">
      <c r="A2168" s="318">
        <v>91041885048</v>
      </c>
      <c r="B2168" s="318" t="s">
        <v>237</v>
      </c>
    </row>
    <row r="2169" spans="1:2" ht="12.75" customHeight="1" x14ac:dyDescent="0.25">
      <c r="A2169" s="318">
        <v>91041885049</v>
      </c>
      <c r="B2169" s="318" t="s">
        <v>237</v>
      </c>
    </row>
    <row r="2170" spans="1:2" ht="12.75" customHeight="1" x14ac:dyDescent="0.25">
      <c r="A2170" s="318">
        <v>91041885050</v>
      </c>
      <c r="B2170" s="318" t="s">
        <v>237</v>
      </c>
    </row>
    <row r="2171" spans="1:2" ht="12.75" customHeight="1" x14ac:dyDescent="0.25">
      <c r="A2171" s="318">
        <v>91041885051</v>
      </c>
      <c r="B2171" s="318" t="s">
        <v>237</v>
      </c>
    </row>
    <row r="2172" spans="1:2" ht="12.75" customHeight="1" x14ac:dyDescent="0.25">
      <c r="A2172" s="318">
        <v>91041885052</v>
      </c>
      <c r="B2172" s="318" t="s">
        <v>237</v>
      </c>
    </row>
    <row r="2173" spans="1:2" ht="12.75" customHeight="1" x14ac:dyDescent="0.25">
      <c r="A2173" s="318">
        <v>91041885053</v>
      </c>
      <c r="B2173" s="318" t="s">
        <v>237</v>
      </c>
    </row>
    <row r="2174" spans="1:2" ht="12.75" customHeight="1" x14ac:dyDescent="0.25">
      <c r="A2174" s="318">
        <v>91041885055</v>
      </c>
      <c r="B2174" s="318" t="s">
        <v>237</v>
      </c>
    </row>
    <row r="2175" spans="1:2" ht="12.75" customHeight="1" x14ac:dyDescent="0.25">
      <c r="A2175" s="318">
        <v>91041885056</v>
      </c>
      <c r="B2175" s="318" t="s">
        <v>237</v>
      </c>
    </row>
    <row r="2176" spans="1:2" ht="12.75" customHeight="1" x14ac:dyDescent="0.25">
      <c r="A2176" s="318">
        <v>91041885057</v>
      </c>
      <c r="B2176" s="318" t="s">
        <v>237</v>
      </c>
    </row>
    <row r="2177" spans="1:2" ht="12.75" customHeight="1" x14ac:dyDescent="0.25">
      <c r="A2177" s="318">
        <v>91041885058</v>
      </c>
      <c r="B2177" s="318" t="s">
        <v>237</v>
      </c>
    </row>
    <row r="2178" spans="1:2" ht="12.75" customHeight="1" x14ac:dyDescent="0.25">
      <c r="A2178" s="318">
        <v>91041885059</v>
      </c>
      <c r="B2178" s="318" t="s">
        <v>237</v>
      </c>
    </row>
    <row r="2179" spans="1:2" ht="12.75" customHeight="1" x14ac:dyDescent="0.25">
      <c r="A2179" s="318">
        <v>91041885060</v>
      </c>
      <c r="B2179" s="318" t="s">
        <v>237</v>
      </c>
    </row>
    <row r="2180" spans="1:2" ht="12.75" customHeight="1" x14ac:dyDescent="0.25">
      <c r="A2180" s="318">
        <v>91041885061</v>
      </c>
      <c r="B2180" s="318" t="s">
        <v>237</v>
      </c>
    </row>
    <row r="2181" spans="1:2" ht="12.75" customHeight="1" x14ac:dyDescent="0.25">
      <c r="A2181" s="318">
        <v>91041885062</v>
      </c>
      <c r="B2181" s="318" t="s">
        <v>237</v>
      </c>
    </row>
    <row r="2182" spans="1:2" ht="12.75" customHeight="1" x14ac:dyDescent="0.25">
      <c r="A2182" s="318">
        <v>91091780837</v>
      </c>
      <c r="B2182" s="318" t="s">
        <v>23</v>
      </c>
    </row>
    <row r="2183" spans="1:2" ht="12.75" customHeight="1" x14ac:dyDescent="0.25">
      <c r="A2183" s="318">
        <v>91091780838</v>
      </c>
      <c r="B2183" s="318" t="s">
        <v>23</v>
      </c>
    </row>
    <row r="2184" spans="1:2" ht="12.75" customHeight="1" x14ac:dyDescent="0.25">
      <c r="A2184" s="318">
        <v>91091780839</v>
      </c>
      <c r="B2184" s="318" t="s">
        <v>23</v>
      </c>
    </row>
    <row r="2185" spans="1:2" ht="12.75" customHeight="1" x14ac:dyDescent="0.25">
      <c r="A2185" s="318">
        <v>91091780840</v>
      </c>
      <c r="B2185" s="318" t="s">
        <v>23</v>
      </c>
    </row>
    <row r="2186" spans="1:2" ht="12.75" customHeight="1" x14ac:dyDescent="0.25">
      <c r="A2186" s="318">
        <v>91091780841</v>
      </c>
      <c r="B2186" s="318" t="s">
        <v>23</v>
      </c>
    </row>
    <row r="2187" spans="1:2" ht="12.75" customHeight="1" x14ac:dyDescent="0.25">
      <c r="A2187" s="318">
        <v>91091780842</v>
      </c>
      <c r="B2187" s="318" t="s">
        <v>23</v>
      </c>
    </row>
    <row r="2188" spans="1:2" ht="12.75" customHeight="1" x14ac:dyDescent="0.25">
      <c r="A2188" s="318">
        <v>91091780843</v>
      </c>
      <c r="B2188" s="318" t="s">
        <v>23</v>
      </c>
    </row>
    <row r="2189" spans="1:2" ht="12.75" customHeight="1" x14ac:dyDescent="0.25">
      <c r="A2189" s="318">
        <v>91091780844</v>
      </c>
      <c r="B2189" s="318" t="s">
        <v>23</v>
      </c>
    </row>
    <row r="2190" spans="1:2" ht="12.75" customHeight="1" x14ac:dyDescent="0.25">
      <c r="A2190" s="318">
        <v>91091780846</v>
      </c>
      <c r="B2190" s="318" t="s">
        <v>237</v>
      </c>
    </row>
    <row r="2191" spans="1:2" ht="12.75" customHeight="1" x14ac:dyDescent="0.25">
      <c r="A2191" s="318">
        <v>91091780847</v>
      </c>
      <c r="B2191" s="318" t="s">
        <v>237</v>
      </c>
    </row>
    <row r="2192" spans="1:2" ht="12.75" customHeight="1" x14ac:dyDescent="0.25">
      <c r="A2192" s="318">
        <v>91091780848</v>
      </c>
      <c r="B2192" s="318" t="s">
        <v>237</v>
      </c>
    </row>
    <row r="2193" spans="1:2" ht="12.75" customHeight="1" x14ac:dyDescent="0.25">
      <c r="A2193" s="318">
        <v>91091780849</v>
      </c>
      <c r="B2193" s="318" t="s">
        <v>237</v>
      </c>
    </row>
    <row r="2194" spans="1:2" ht="12.75" customHeight="1" x14ac:dyDescent="0.25">
      <c r="A2194" s="318">
        <v>91091780850</v>
      </c>
      <c r="B2194" s="318" t="s">
        <v>237</v>
      </c>
    </row>
    <row r="2195" spans="1:2" ht="12.75" customHeight="1" x14ac:dyDescent="0.25">
      <c r="A2195" s="318">
        <v>91091780851</v>
      </c>
      <c r="B2195" s="318" t="s">
        <v>237</v>
      </c>
    </row>
    <row r="2196" spans="1:2" ht="12.75" customHeight="1" x14ac:dyDescent="0.25">
      <c r="A2196" s="318">
        <v>91091780852</v>
      </c>
      <c r="B2196" s="318" t="s">
        <v>237</v>
      </c>
    </row>
    <row r="2197" spans="1:2" ht="12.75" customHeight="1" x14ac:dyDescent="0.25">
      <c r="A2197" s="318">
        <v>91091780853</v>
      </c>
      <c r="B2197" s="318" t="s">
        <v>237</v>
      </c>
    </row>
    <row r="2198" spans="1:2" ht="12.75" customHeight="1" x14ac:dyDescent="0.25">
      <c r="A2198" s="318">
        <v>91091780937</v>
      </c>
      <c r="B2198" s="318" t="s">
        <v>237</v>
      </c>
    </row>
    <row r="2199" spans="1:2" ht="12.75" customHeight="1" x14ac:dyDescent="0.25">
      <c r="A2199" s="318">
        <v>91091780938</v>
      </c>
      <c r="B2199" s="318" t="s">
        <v>237</v>
      </c>
    </row>
    <row r="2200" spans="1:2" ht="12.75" customHeight="1" x14ac:dyDescent="0.25">
      <c r="A2200" s="318">
        <v>91091780939</v>
      </c>
      <c r="B2200" s="318" t="s">
        <v>237</v>
      </c>
    </row>
    <row r="2201" spans="1:2" ht="12.75" customHeight="1" x14ac:dyDescent="0.25">
      <c r="A2201" s="318">
        <v>91091780940</v>
      </c>
      <c r="B2201" s="318" t="s">
        <v>237</v>
      </c>
    </row>
    <row r="2202" spans="1:2" ht="12.75" customHeight="1" x14ac:dyDescent="0.25">
      <c r="A2202" s="318">
        <v>91091780941</v>
      </c>
      <c r="B2202" s="318" t="s">
        <v>237</v>
      </c>
    </row>
    <row r="2203" spans="1:2" ht="12.75" customHeight="1" x14ac:dyDescent="0.25">
      <c r="A2203" s="318">
        <v>91091780942</v>
      </c>
      <c r="B2203" s="318" t="s">
        <v>237</v>
      </c>
    </row>
    <row r="2204" spans="1:2" ht="12.75" customHeight="1" x14ac:dyDescent="0.25">
      <c r="A2204" s="318">
        <v>91091780943</v>
      </c>
      <c r="B2204" s="318" t="s">
        <v>237</v>
      </c>
    </row>
    <row r="2205" spans="1:2" ht="12.75" customHeight="1" x14ac:dyDescent="0.25">
      <c r="A2205" s="318">
        <v>91091780944</v>
      </c>
      <c r="B2205" s="318" t="s">
        <v>237</v>
      </c>
    </row>
    <row r="2206" spans="1:2" ht="12.75" customHeight="1" x14ac:dyDescent="0.25">
      <c r="A2206" s="318">
        <v>91091780946</v>
      </c>
      <c r="B2206" s="318" t="s">
        <v>237</v>
      </c>
    </row>
    <row r="2207" spans="1:2" ht="12.75" customHeight="1" x14ac:dyDescent="0.25">
      <c r="A2207" s="318">
        <v>91091780947</v>
      </c>
      <c r="B2207" s="318" t="s">
        <v>237</v>
      </c>
    </row>
    <row r="2208" spans="1:2" ht="12.75" customHeight="1" x14ac:dyDescent="0.25">
      <c r="A2208" s="318">
        <v>91091780948</v>
      </c>
      <c r="B2208" s="318" t="s">
        <v>237</v>
      </c>
    </row>
    <row r="2209" spans="1:2" ht="12.75" customHeight="1" x14ac:dyDescent="0.25">
      <c r="A2209" s="318">
        <v>91091780949</v>
      </c>
      <c r="B2209" s="318" t="s">
        <v>237</v>
      </c>
    </row>
    <row r="2210" spans="1:2" ht="12.75" customHeight="1" x14ac:dyDescent="0.25">
      <c r="A2210" s="318">
        <v>91091780950</v>
      </c>
      <c r="B2210" s="318" t="s">
        <v>237</v>
      </c>
    </row>
    <row r="2211" spans="1:2" ht="12.75" customHeight="1" x14ac:dyDescent="0.25">
      <c r="A2211" s="318">
        <v>91091780951</v>
      </c>
      <c r="B2211" s="318" t="s">
        <v>237</v>
      </c>
    </row>
    <row r="2212" spans="1:2" ht="12.75" customHeight="1" x14ac:dyDescent="0.25">
      <c r="A2212" s="318">
        <v>91091780952</v>
      </c>
      <c r="B2212" s="318" t="s">
        <v>237</v>
      </c>
    </row>
    <row r="2213" spans="1:2" ht="12.75" customHeight="1" x14ac:dyDescent="0.25">
      <c r="A2213" s="318">
        <v>91091780953</v>
      </c>
      <c r="B2213" s="318" t="s">
        <v>237</v>
      </c>
    </row>
    <row r="2214" spans="1:2" ht="12.75" customHeight="1" x14ac:dyDescent="0.25">
      <c r="A2214" s="318">
        <v>91092261810</v>
      </c>
      <c r="B2214" s="318" t="s">
        <v>23</v>
      </c>
    </row>
    <row r="2215" spans="1:2" ht="12.75" customHeight="1" x14ac:dyDescent="0.25">
      <c r="A2215" s="318">
        <v>91092261811</v>
      </c>
      <c r="B2215" s="318" t="s">
        <v>23</v>
      </c>
    </row>
    <row r="2216" spans="1:2" ht="12.75" customHeight="1" x14ac:dyDescent="0.25">
      <c r="A2216" s="318">
        <v>91092261812</v>
      </c>
      <c r="B2216" s="318" t="s">
        <v>23</v>
      </c>
    </row>
    <row r="2217" spans="1:2" ht="12.75" customHeight="1" x14ac:dyDescent="0.25">
      <c r="A2217" s="318">
        <v>91092261813</v>
      </c>
      <c r="B2217" s="318" t="s">
        <v>23</v>
      </c>
    </row>
    <row r="2218" spans="1:2" ht="12.75" customHeight="1" x14ac:dyDescent="0.25">
      <c r="A2218" s="318">
        <v>91092261814</v>
      </c>
      <c r="B2218" s="318" t="s">
        <v>23</v>
      </c>
    </row>
    <row r="2219" spans="1:2" ht="12.75" customHeight="1" x14ac:dyDescent="0.25">
      <c r="A2219" s="318">
        <v>91092261815</v>
      </c>
      <c r="B2219" s="318" t="s">
        <v>23</v>
      </c>
    </row>
    <row r="2220" spans="1:2" ht="12.75" customHeight="1" x14ac:dyDescent="0.25">
      <c r="A2220" s="318">
        <v>91092261816</v>
      </c>
      <c r="B2220" s="318" t="s">
        <v>23</v>
      </c>
    </row>
    <row r="2221" spans="1:2" ht="12.75" customHeight="1" x14ac:dyDescent="0.25">
      <c r="A2221" s="318">
        <v>91092261817</v>
      </c>
      <c r="B2221" s="318" t="s">
        <v>23</v>
      </c>
    </row>
    <row r="2222" spans="1:2" ht="12.75" customHeight="1" x14ac:dyDescent="0.25">
      <c r="A2222" s="318">
        <v>91092261819</v>
      </c>
      <c r="B2222" s="318" t="s">
        <v>237</v>
      </c>
    </row>
    <row r="2223" spans="1:2" ht="12.75" customHeight="1" x14ac:dyDescent="0.25">
      <c r="A2223" s="318">
        <v>91092261820</v>
      </c>
      <c r="B2223" s="318" t="s">
        <v>237</v>
      </c>
    </row>
    <row r="2224" spans="1:2" ht="12.75" customHeight="1" x14ac:dyDescent="0.25">
      <c r="A2224" s="318">
        <v>91092261821</v>
      </c>
      <c r="B2224" s="318" t="s">
        <v>237</v>
      </c>
    </row>
    <row r="2225" spans="1:2" ht="12.75" customHeight="1" x14ac:dyDescent="0.25">
      <c r="A2225" s="318">
        <v>91092261822</v>
      </c>
      <c r="B2225" s="318" t="s">
        <v>237</v>
      </c>
    </row>
    <row r="2226" spans="1:2" ht="12.75" customHeight="1" x14ac:dyDescent="0.25">
      <c r="A2226" s="318">
        <v>91092261823</v>
      </c>
      <c r="B2226" s="318" t="s">
        <v>237</v>
      </c>
    </row>
    <row r="2227" spans="1:2" ht="12.75" customHeight="1" x14ac:dyDescent="0.25">
      <c r="A2227" s="318">
        <v>91092261824</v>
      </c>
      <c r="B2227" s="318" t="s">
        <v>237</v>
      </c>
    </row>
    <row r="2228" spans="1:2" ht="12.75" customHeight="1" x14ac:dyDescent="0.25">
      <c r="A2228" s="318">
        <v>91092261825</v>
      </c>
      <c r="B2228" s="318" t="s">
        <v>237</v>
      </c>
    </row>
    <row r="2229" spans="1:2" ht="12.75" customHeight="1" x14ac:dyDescent="0.25">
      <c r="A2229" s="318">
        <v>91092261826</v>
      </c>
      <c r="B2229" s="318" t="s">
        <v>237</v>
      </c>
    </row>
    <row r="2230" spans="1:2" ht="12.75" customHeight="1" x14ac:dyDescent="0.25">
      <c r="A2230" s="318">
        <v>91092261910</v>
      </c>
      <c r="B2230" s="318" t="s">
        <v>237</v>
      </c>
    </row>
    <row r="2231" spans="1:2" ht="12.75" customHeight="1" x14ac:dyDescent="0.25">
      <c r="A2231" s="318">
        <v>91092261911</v>
      </c>
      <c r="B2231" s="318" t="s">
        <v>237</v>
      </c>
    </row>
    <row r="2232" spans="1:2" ht="12.75" customHeight="1" x14ac:dyDescent="0.25">
      <c r="A2232" s="318">
        <v>91092261912</v>
      </c>
      <c r="B2232" s="318" t="s">
        <v>237</v>
      </c>
    </row>
    <row r="2233" spans="1:2" ht="12.75" customHeight="1" x14ac:dyDescent="0.25">
      <c r="A2233" s="318">
        <v>91092261913</v>
      </c>
      <c r="B2233" s="318" t="s">
        <v>237</v>
      </c>
    </row>
    <row r="2234" spans="1:2" ht="12.75" customHeight="1" x14ac:dyDescent="0.25">
      <c r="A2234" s="318">
        <v>91092261914</v>
      </c>
      <c r="B2234" s="318" t="s">
        <v>237</v>
      </c>
    </row>
    <row r="2235" spans="1:2" ht="12.75" customHeight="1" x14ac:dyDescent="0.25">
      <c r="A2235" s="318">
        <v>91092261915</v>
      </c>
      <c r="B2235" s="318" t="s">
        <v>237</v>
      </c>
    </row>
    <row r="2236" spans="1:2" ht="12.75" customHeight="1" x14ac:dyDescent="0.25">
      <c r="A2236" s="318">
        <v>91092261916</v>
      </c>
      <c r="B2236" s="318" t="s">
        <v>237</v>
      </c>
    </row>
    <row r="2237" spans="1:2" ht="12.75" customHeight="1" x14ac:dyDescent="0.25">
      <c r="A2237" s="318">
        <v>91092261917</v>
      </c>
      <c r="B2237" s="318" t="s">
        <v>237</v>
      </c>
    </row>
    <row r="2238" spans="1:2" ht="12.75" customHeight="1" x14ac:dyDescent="0.25">
      <c r="A2238" s="318">
        <v>91092261919</v>
      </c>
      <c r="B2238" s="318" t="s">
        <v>237</v>
      </c>
    </row>
    <row r="2239" spans="1:2" ht="12.75" customHeight="1" x14ac:dyDescent="0.25">
      <c r="A2239" s="318">
        <v>91092261920</v>
      </c>
      <c r="B2239" s="318" t="s">
        <v>237</v>
      </c>
    </row>
    <row r="2240" spans="1:2" ht="12.75" customHeight="1" x14ac:dyDescent="0.25">
      <c r="A2240" s="318">
        <v>91092261921</v>
      </c>
      <c r="B2240" s="318" t="s">
        <v>237</v>
      </c>
    </row>
    <row r="2241" spans="1:2" ht="12.75" customHeight="1" x14ac:dyDescent="0.25">
      <c r="A2241" s="318">
        <v>91092261922</v>
      </c>
      <c r="B2241" s="318" t="s">
        <v>237</v>
      </c>
    </row>
    <row r="2242" spans="1:2" ht="12.75" customHeight="1" x14ac:dyDescent="0.25">
      <c r="A2242" s="318">
        <v>91092261923</v>
      </c>
      <c r="B2242" s="318" t="s">
        <v>237</v>
      </c>
    </row>
    <row r="2243" spans="1:2" ht="12.75" customHeight="1" x14ac:dyDescent="0.25">
      <c r="A2243" s="318">
        <v>91092261924</v>
      </c>
      <c r="B2243" s="318" t="s">
        <v>237</v>
      </c>
    </row>
    <row r="2244" spans="1:2" ht="12.75" customHeight="1" x14ac:dyDescent="0.25">
      <c r="A2244" s="318">
        <v>91092261925</v>
      </c>
      <c r="B2244" s="318" t="s">
        <v>237</v>
      </c>
    </row>
    <row r="2245" spans="1:2" ht="12.75" customHeight="1" x14ac:dyDescent="0.25">
      <c r="A2245" s="318">
        <v>91092261926</v>
      </c>
      <c r="B2245" s="318" t="s">
        <v>237</v>
      </c>
    </row>
    <row r="2246" spans="1:2" ht="12.75" customHeight="1" x14ac:dyDescent="0.25">
      <c r="A2246" s="318">
        <v>91092742783</v>
      </c>
      <c r="B2246" s="318" t="s">
        <v>23</v>
      </c>
    </row>
    <row r="2247" spans="1:2" ht="12.75" customHeight="1" x14ac:dyDescent="0.25">
      <c r="A2247" s="318">
        <v>91092742784</v>
      </c>
      <c r="B2247" s="318" t="s">
        <v>23</v>
      </c>
    </row>
    <row r="2248" spans="1:2" ht="12.75" customHeight="1" x14ac:dyDescent="0.25">
      <c r="A2248" s="318">
        <v>91092742785</v>
      </c>
      <c r="B2248" s="318" t="s">
        <v>23</v>
      </c>
    </row>
    <row r="2249" spans="1:2" ht="12.75" customHeight="1" x14ac:dyDescent="0.25">
      <c r="A2249" s="318">
        <v>91092742786</v>
      </c>
      <c r="B2249" s="318" t="s">
        <v>23</v>
      </c>
    </row>
    <row r="2250" spans="1:2" ht="12.75" customHeight="1" x14ac:dyDescent="0.25">
      <c r="A2250" s="318">
        <v>91092742787</v>
      </c>
      <c r="B2250" s="318" t="s">
        <v>23</v>
      </c>
    </row>
    <row r="2251" spans="1:2" ht="12.75" customHeight="1" x14ac:dyDescent="0.25">
      <c r="A2251" s="318">
        <v>91092742788</v>
      </c>
      <c r="B2251" s="318" t="s">
        <v>23</v>
      </c>
    </row>
    <row r="2252" spans="1:2" ht="12.75" customHeight="1" x14ac:dyDescent="0.25">
      <c r="A2252" s="318">
        <v>91092742789</v>
      </c>
      <c r="B2252" s="318" t="s">
        <v>23</v>
      </c>
    </row>
    <row r="2253" spans="1:2" ht="12.75" customHeight="1" x14ac:dyDescent="0.25">
      <c r="A2253" s="318">
        <v>91092742790</v>
      </c>
      <c r="B2253" s="318" t="s">
        <v>23</v>
      </c>
    </row>
    <row r="2254" spans="1:2" ht="12.75" customHeight="1" x14ac:dyDescent="0.25">
      <c r="A2254" s="318">
        <v>91092742792</v>
      </c>
      <c r="B2254" s="318" t="s">
        <v>23</v>
      </c>
    </row>
    <row r="2255" spans="1:2" ht="12.75" customHeight="1" x14ac:dyDescent="0.25">
      <c r="A2255" s="318">
        <v>91092742793</v>
      </c>
      <c r="B2255" s="318" t="s">
        <v>23</v>
      </c>
    </row>
    <row r="2256" spans="1:2" ht="12.75" customHeight="1" x14ac:dyDescent="0.25">
      <c r="A2256" s="318">
        <v>91092742794</v>
      </c>
      <c r="B2256" s="318" t="s">
        <v>23</v>
      </c>
    </row>
    <row r="2257" spans="1:2" ht="12.75" customHeight="1" x14ac:dyDescent="0.25">
      <c r="A2257" s="318">
        <v>91092742795</v>
      </c>
      <c r="B2257" s="318" t="s">
        <v>23</v>
      </c>
    </row>
    <row r="2258" spans="1:2" ht="12.75" customHeight="1" x14ac:dyDescent="0.25">
      <c r="A2258" s="318">
        <v>91092742796</v>
      </c>
      <c r="B2258" s="318" t="s">
        <v>23</v>
      </c>
    </row>
    <row r="2259" spans="1:2" ht="12.75" customHeight="1" x14ac:dyDescent="0.25">
      <c r="A2259" s="318">
        <v>91092742797</v>
      </c>
      <c r="B2259" s="318" t="s">
        <v>23</v>
      </c>
    </row>
    <row r="2260" spans="1:2" ht="12.75" customHeight="1" x14ac:dyDescent="0.25">
      <c r="A2260" s="318">
        <v>91092742798</v>
      </c>
      <c r="B2260" s="318" t="s">
        <v>23</v>
      </c>
    </row>
    <row r="2261" spans="1:2" ht="12.75" customHeight="1" x14ac:dyDescent="0.25">
      <c r="A2261" s="318">
        <v>91092742799</v>
      </c>
      <c r="B2261" s="318" t="s">
        <v>23</v>
      </c>
    </row>
    <row r="2262" spans="1:2" ht="12.75" customHeight="1" x14ac:dyDescent="0.25">
      <c r="A2262" s="318">
        <v>91092742883</v>
      </c>
      <c r="B2262" s="318" t="s">
        <v>237</v>
      </c>
    </row>
    <row r="2263" spans="1:2" ht="12.75" customHeight="1" x14ac:dyDescent="0.25">
      <c r="A2263" s="318">
        <v>91092742884</v>
      </c>
      <c r="B2263" s="318" t="s">
        <v>237</v>
      </c>
    </row>
    <row r="2264" spans="1:2" ht="12.75" customHeight="1" x14ac:dyDescent="0.25">
      <c r="A2264" s="318">
        <v>91092742885</v>
      </c>
      <c r="B2264" s="318" t="s">
        <v>237</v>
      </c>
    </row>
    <row r="2265" spans="1:2" ht="12.75" customHeight="1" x14ac:dyDescent="0.25">
      <c r="A2265" s="318">
        <v>91092742886</v>
      </c>
      <c r="B2265" s="318" t="s">
        <v>237</v>
      </c>
    </row>
    <row r="2266" spans="1:2" ht="12.75" customHeight="1" x14ac:dyDescent="0.25">
      <c r="A2266" s="318">
        <v>91092742887</v>
      </c>
      <c r="B2266" s="318" t="s">
        <v>237</v>
      </c>
    </row>
    <row r="2267" spans="1:2" ht="12.75" customHeight="1" x14ac:dyDescent="0.25">
      <c r="A2267" s="318">
        <v>91092742888</v>
      </c>
      <c r="B2267" s="318" t="s">
        <v>237</v>
      </c>
    </row>
    <row r="2268" spans="1:2" ht="12.75" customHeight="1" x14ac:dyDescent="0.25">
      <c r="A2268" s="318">
        <v>91092742889</v>
      </c>
      <c r="B2268" s="318" t="s">
        <v>237</v>
      </c>
    </row>
    <row r="2269" spans="1:2" ht="12.75" customHeight="1" x14ac:dyDescent="0.25">
      <c r="A2269" s="318">
        <v>91092742890</v>
      </c>
      <c r="B2269" s="318" t="s">
        <v>237</v>
      </c>
    </row>
    <row r="2270" spans="1:2" ht="12.75" customHeight="1" x14ac:dyDescent="0.25">
      <c r="A2270" s="318">
        <v>91092742892</v>
      </c>
      <c r="B2270" s="318" t="s">
        <v>237</v>
      </c>
    </row>
    <row r="2271" spans="1:2" ht="12.75" customHeight="1" x14ac:dyDescent="0.25">
      <c r="A2271" s="318">
        <v>91092742893</v>
      </c>
      <c r="B2271" s="318" t="s">
        <v>237</v>
      </c>
    </row>
    <row r="2272" spans="1:2" ht="12.75" customHeight="1" x14ac:dyDescent="0.25">
      <c r="A2272" s="318">
        <v>91092742894</v>
      </c>
      <c r="B2272" s="318" t="s">
        <v>237</v>
      </c>
    </row>
    <row r="2273" spans="1:2" ht="12.75" customHeight="1" x14ac:dyDescent="0.25">
      <c r="A2273" s="318">
        <v>91092742895</v>
      </c>
      <c r="B2273" s="318" t="s">
        <v>237</v>
      </c>
    </row>
    <row r="2274" spans="1:2" ht="12.75" customHeight="1" x14ac:dyDescent="0.25">
      <c r="A2274" s="318">
        <v>91092742896</v>
      </c>
      <c r="B2274" s="318" t="s">
        <v>237</v>
      </c>
    </row>
    <row r="2275" spans="1:2" ht="12.75" customHeight="1" x14ac:dyDescent="0.25">
      <c r="A2275" s="318">
        <v>91092742897</v>
      </c>
      <c r="B2275" s="318" t="s">
        <v>237</v>
      </c>
    </row>
    <row r="2276" spans="1:2" ht="12.75" customHeight="1" x14ac:dyDescent="0.25">
      <c r="A2276" s="318">
        <v>91092742898</v>
      </c>
      <c r="B2276" s="318" t="s">
        <v>237</v>
      </c>
    </row>
    <row r="2277" spans="1:2" ht="12.75" customHeight="1" x14ac:dyDescent="0.25">
      <c r="A2277" s="318">
        <v>91092742899</v>
      </c>
      <c r="B2277" s="318" t="s">
        <v>237</v>
      </c>
    </row>
    <row r="2278" spans="1:2" ht="12.75" customHeight="1" x14ac:dyDescent="0.25">
      <c r="A2278" s="318">
        <v>91093422974</v>
      </c>
      <c r="B2278" s="318" t="s">
        <v>23</v>
      </c>
    </row>
    <row r="2279" spans="1:2" ht="12.75" customHeight="1" x14ac:dyDescent="0.25">
      <c r="A2279" s="318">
        <v>91093422975</v>
      </c>
      <c r="B2279" s="318" t="s">
        <v>23</v>
      </c>
    </row>
    <row r="2280" spans="1:2" ht="12.75" customHeight="1" x14ac:dyDescent="0.25">
      <c r="A2280" s="318">
        <v>91093422976</v>
      </c>
      <c r="B2280" s="318" t="s">
        <v>23</v>
      </c>
    </row>
    <row r="2281" spans="1:2" ht="12.75" customHeight="1" x14ac:dyDescent="0.25">
      <c r="A2281" s="318">
        <v>91093422977</v>
      </c>
      <c r="B2281" s="318" t="s">
        <v>23</v>
      </c>
    </row>
    <row r="2282" spans="1:2" ht="12.75" customHeight="1" x14ac:dyDescent="0.25">
      <c r="A2282" s="318">
        <v>91093422978</v>
      </c>
      <c r="B2282" s="318" t="s">
        <v>23</v>
      </c>
    </row>
    <row r="2283" spans="1:2" ht="12.75" customHeight="1" x14ac:dyDescent="0.25">
      <c r="A2283" s="318">
        <v>91093422979</v>
      </c>
      <c r="B2283" s="318" t="s">
        <v>23</v>
      </c>
    </row>
    <row r="2284" spans="1:2" ht="12.75" customHeight="1" x14ac:dyDescent="0.25">
      <c r="A2284" s="318">
        <v>91093422980</v>
      </c>
      <c r="B2284" s="318" t="s">
        <v>23</v>
      </c>
    </row>
    <row r="2285" spans="1:2" ht="12.75" customHeight="1" x14ac:dyDescent="0.25">
      <c r="A2285" s="318">
        <v>91093422981</v>
      </c>
      <c r="B2285" s="318" t="s">
        <v>23</v>
      </c>
    </row>
    <row r="2286" spans="1:2" ht="12.75" customHeight="1" x14ac:dyDescent="0.25">
      <c r="A2286" s="318">
        <v>91093422983</v>
      </c>
      <c r="B2286" s="318" t="s">
        <v>237</v>
      </c>
    </row>
    <row r="2287" spans="1:2" ht="12.75" customHeight="1" x14ac:dyDescent="0.25">
      <c r="A2287" s="318">
        <v>91093422984</v>
      </c>
      <c r="B2287" s="318" t="s">
        <v>237</v>
      </c>
    </row>
    <row r="2288" spans="1:2" ht="12.75" customHeight="1" x14ac:dyDescent="0.25">
      <c r="A2288" s="318">
        <v>91093422985</v>
      </c>
      <c r="B2288" s="318" t="s">
        <v>237</v>
      </c>
    </row>
    <row r="2289" spans="1:2" ht="12.75" customHeight="1" x14ac:dyDescent="0.25">
      <c r="A2289" s="318">
        <v>91093422986</v>
      </c>
      <c r="B2289" s="318" t="s">
        <v>237</v>
      </c>
    </row>
    <row r="2290" spans="1:2" ht="12.75" customHeight="1" x14ac:dyDescent="0.25">
      <c r="A2290" s="318">
        <v>91093422987</v>
      </c>
      <c r="B2290" s="318" t="s">
        <v>237</v>
      </c>
    </row>
    <row r="2291" spans="1:2" ht="12.75" customHeight="1" x14ac:dyDescent="0.25">
      <c r="A2291" s="318">
        <v>91093422988</v>
      </c>
      <c r="B2291" s="318" t="s">
        <v>237</v>
      </c>
    </row>
    <row r="2292" spans="1:2" ht="12.75" customHeight="1" x14ac:dyDescent="0.25">
      <c r="A2292" s="318">
        <v>91093422989</v>
      </c>
      <c r="B2292" s="318" t="s">
        <v>237</v>
      </c>
    </row>
    <row r="2293" spans="1:2" ht="12.75" customHeight="1" x14ac:dyDescent="0.25">
      <c r="A2293" s="318">
        <v>91093422990</v>
      </c>
      <c r="B2293" s="318" t="s">
        <v>237</v>
      </c>
    </row>
    <row r="2294" spans="1:2" ht="12.75" customHeight="1" x14ac:dyDescent="0.25">
      <c r="A2294" s="318">
        <v>91093423074</v>
      </c>
      <c r="B2294" s="318" t="s">
        <v>237</v>
      </c>
    </row>
    <row r="2295" spans="1:2" ht="12.75" customHeight="1" x14ac:dyDescent="0.25">
      <c r="A2295" s="318">
        <v>91093423075</v>
      </c>
      <c r="B2295" s="318" t="s">
        <v>237</v>
      </c>
    </row>
    <row r="2296" spans="1:2" ht="12.75" customHeight="1" x14ac:dyDescent="0.25">
      <c r="A2296" s="318">
        <v>91093423076</v>
      </c>
      <c r="B2296" s="318" t="s">
        <v>237</v>
      </c>
    </row>
    <row r="2297" spans="1:2" ht="12.75" customHeight="1" x14ac:dyDescent="0.25">
      <c r="A2297" s="318">
        <v>91093423077</v>
      </c>
      <c r="B2297" s="318" t="s">
        <v>237</v>
      </c>
    </row>
    <row r="2298" spans="1:2" ht="12.75" customHeight="1" x14ac:dyDescent="0.25">
      <c r="A2298" s="318">
        <v>91093423078</v>
      </c>
      <c r="B2298" s="318" t="s">
        <v>237</v>
      </c>
    </row>
    <row r="2299" spans="1:2" ht="12.75" customHeight="1" x14ac:dyDescent="0.25">
      <c r="A2299" s="318">
        <v>91093423079</v>
      </c>
      <c r="B2299" s="318" t="s">
        <v>237</v>
      </c>
    </row>
    <row r="2300" spans="1:2" ht="12.75" customHeight="1" x14ac:dyDescent="0.25">
      <c r="A2300" s="318">
        <v>91093423080</v>
      </c>
      <c r="B2300" s="318" t="s">
        <v>237</v>
      </c>
    </row>
    <row r="2301" spans="1:2" ht="12.75" customHeight="1" x14ac:dyDescent="0.25">
      <c r="A2301" s="318">
        <v>91093423081</v>
      </c>
      <c r="B2301" s="318" t="s">
        <v>237</v>
      </c>
    </row>
    <row r="2302" spans="1:2" ht="12.75" customHeight="1" x14ac:dyDescent="0.25">
      <c r="A2302" s="318">
        <v>91093423083</v>
      </c>
      <c r="B2302" s="318" t="s">
        <v>237</v>
      </c>
    </row>
    <row r="2303" spans="1:2" ht="12.75" customHeight="1" x14ac:dyDescent="0.25">
      <c r="A2303" s="318">
        <v>91093423084</v>
      </c>
      <c r="B2303" s="318" t="s">
        <v>237</v>
      </c>
    </row>
    <row r="2304" spans="1:2" ht="12.75" customHeight="1" x14ac:dyDescent="0.25">
      <c r="A2304" s="318">
        <v>91093423085</v>
      </c>
      <c r="B2304" s="318" t="s">
        <v>237</v>
      </c>
    </row>
    <row r="2305" spans="1:2" ht="12.75" customHeight="1" x14ac:dyDescent="0.25">
      <c r="A2305" s="318">
        <v>91093423086</v>
      </c>
      <c r="B2305" s="318" t="s">
        <v>237</v>
      </c>
    </row>
    <row r="2306" spans="1:2" ht="12.75" customHeight="1" x14ac:dyDescent="0.25">
      <c r="A2306" s="318">
        <v>91093423087</v>
      </c>
      <c r="B2306" s="318" t="s">
        <v>237</v>
      </c>
    </row>
    <row r="2307" spans="1:2" ht="12.75" customHeight="1" x14ac:dyDescent="0.25">
      <c r="A2307" s="318">
        <v>91093423088</v>
      </c>
      <c r="B2307" s="318" t="s">
        <v>237</v>
      </c>
    </row>
    <row r="2308" spans="1:2" ht="12.75" customHeight="1" x14ac:dyDescent="0.25">
      <c r="A2308" s="318">
        <v>91093423089</v>
      </c>
      <c r="B2308" s="318" t="s">
        <v>237</v>
      </c>
    </row>
    <row r="2309" spans="1:2" ht="12.75" customHeight="1" x14ac:dyDescent="0.25">
      <c r="A2309" s="318">
        <v>91093423090</v>
      </c>
      <c r="B2309" s="318" t="s">
        <v>237</v>
      </c>
    </row>
    <row r="2310" spans="1:2" ht="12.75" customHeight="1" x14ac:dyDescent="0.25">
      <c r="A2310" s="318">
        <v>91093903947</v>
      </c>
      <c r="B2310" s="318" t="s">
        <v>23</v>
      </c>
    </row>
    <row r="2311" spans="1:2" ht="12.75" customHeight="1" x14ac:dyDescent="0.25">
      <c r="A2311" s="318">
        <v>91093903948</v>
      </c>
      <c r="B2311" s="318" t="s">
        <v>23</v>
      </c>
    </row>
    <row r="2312" spans="1:2" ht="12.75" customHeight="1" x14ac:dyDescent="0.25">
      <c r="A2312" s="318">
        <v>91093903949</v>
      </c>
      <c r="B2312" s="318" t="s">
        <v>23</v>
      </c>
    </row>
    <row r="2313" spans="1:2" ht="12.75" customHeight="1" x14ac:dyDescent="0.25">
      <c r="A2313" s="318">
        <v>91093903950</v>
      </c>
      <c r="B2313" s="318" t="s">
        <v>23</v>
      </c>
    </row>
    <row r="2314" spans="1:2" ht="12.75" customHeight="1" x14ac:dyDescent="0.25">
      <c r="A2314" s="318">
        <v>91093903951</v>
      </c>
      <c r="B2314" s="318" t="s">
        <v>23</v>
      </c>
    </row>
    <row r="2315" spans="1:2" ht="12.75" customHeight="1" x14ac:dyDescent="0.25">
      <c r="A2315" s="318">
        <v>91093903952</v>
      </c>
      <c r="B2315" s="318" t="s">
        <v>23</v>
      </c>
    </row>
    <row r="2316" spans="1:2" ht="12.75" customHeight="1" x14ac:dyDescent="0.25">
      <c r="A2316" s="318">
        <v>91093903953</v>
      </c>
      <c r="B2316" s="318" t="s">
        <v>23</v>
      </c>
    </row>
    <row r="2317" spans="1:2" ht="12.75" customHeight="1" x14ac:dyDescent="0.25">
      <c r="A2317" s="318">
        <v>91093903954</v>
      </c>
      <c r="B2317" s="318" t="s">
        <v>23</v>
      </c>
    </row>
    <row r="2318" spans="1:2" ht="12.75" customHeight="1" x14ac:dyDescent="0.25">
      <c r="A2318" s="318">
        <v>91093903956</v>
      </c>
      <c r="B2318" s="318" t="s">
        <v>237</v>
      </c>
    </row>
    <row r="2319" spans="1:2" ht="12.75" customHeight="1" x14ac:dyDescent="0.25">
      <c r="A2319" s="318">
        <v>91093903957</v>
      </c>
      <c r="B2319" s="318" t="s">
        <v>237</v>
      </c>
    </row>
    <row r="2320" spans="1:2" ht="12.75" customHeight="1" x14ac:dyDescent="0.25">
      <c r="A2320" s="318">
        <v>91093903958</v>
      </c>
      <c r="B2320" s="318" t="s">
        <v>237</v>
      </c>
    </row>
    <row r="2321" spans="1:2" ht="12.75" customHeight="1" x14ac:dyDescent="0.25">
      <c r="A2321" s="318">
        <v>91093903959</v>
      </c>
      <c r="B2321" s="318" t="s">
        <v>237</v>
      </c>
    </row>
    <row r="2322" spans="1:2" ht="12.75" customHeight="1" x14ac:dyDescent="0.25">
      <c r="A2322" s="318">
        <v>91093903960</v>
      </c>
      <c r="B2322" s="318" t="s">
        <v>237</v>
      </c>
    </row>
    <row r="2323" spans="1:2" ht="12.75" customHeight="1" x14ac:dyDescent="0.25">
      <c r="A2323" s="318">
        <v>91093903961</v>
      </c>
      <c r="B2323" s="318" t="s">
        <v>237</v>
      </c>
    </row>
    <row r="2324" spans="1:2" ht="12.75" customHeight="1" x14ac:dyDescent="0.25">
      <c r="A2324" s="318">
        <v>91093903962</v>
      </c>
      <c r="B2324" s="318" t="s">
        <v>237</v>
      </c>
    </row>
    <row r="2325" spans="1:2" ht="12.75" customHeight="1" x14ac:dyDescent="0.25">
      <c r="A2325" s="318">
        <v>91093903963</v>
      </c>
      <c r="B2325" s="318" t="s">
        <v>237</v>
      </c>
    </row>
    <row r="2326" spans="1:2" ht="12.75" customHeight="1" x14ac:dyDescent="0.25">
      <c r="A2326" s="318">
        <v>91093904047</v>
      </c>
      <c r="B2326" s="318" t="s">
        <v>237</v>
      </c>
    </row>
    <row r="2327" spans="1:2" ht="12.75" customHeight="1" x14ac:dyDescent="0.25">
      <c r="A2327" s="318">
        <v>91093904048</v>
      </c>
      <c r="B2327" s="318" t="s">
        <v>237</v>
      </c>
    </row>
    <row r="2328" spans="1:2" ht="12.75" customHeight="1" x14ac:dyDescent="0.25">
      <c r="A2328" s="318">
        <v>91093904049</v>
      </c>
      <c r="B2328" s="318" t="s">
        <v>237</v>
      </c>
    </row>
    <row r="2329" spans="1:2" ht="12.75" customHeight="1" x14ac:dyDescent="0.25">
      <c r="A2329" s="318">
        <v>91093904050</v>
      </c>
      <c r="B2329" s="318" t="s">
        <v>237</v>
      </c>
    </row>
    <row r="2330" spans="1:2" ht="12.75" customHeight="1" x14ac:dyDescent="0.25">
      <c r="A2330" s="318">
        <v>91093904051</v>
      </c>
      <c r="B2330" s="318" t="s">
        <v>237</v>
      </c>
    </row>
    <row r="2331" spans="1:2" ht="12.75" customHeight="1" x14ac:dyDescent="0.25">
      <c r="A2331" s="318">
        <v>91093904052</v>
      </c>
      <c r="B2331" s="318" t="s">
        <v>237</v>
      </c>
    </row>
    <row r="2332" spans="1:2" ht="12.75" customHeight="1" x14ac:dyDescent="0.25">
      <c r="A2332" s="318">
        <v>91093904053</v>
      </c>
      <c r="B2332" s="318" t="s">
        <v>237</v>
      </c>
    </row>
    <row r="2333" spans="1:2" ht="12.75" customHeight="1" x14ac:dyDescent="0.25">
      <c r="A2333" s="318">
        <v>91093904054</v>
      </c>
      <c r="B2333" s="318" t="s">
        <v>237</v>
      </c>
    </row>
    <row r="2334" spans="1:2" ht="12.75" customHeight="1" x14ac:dyDescent="0.25">
      <c r="A2334" s="318">
        <v>91093904056</v>
      </c>
      <c r="B2334" s="318" t="s">
        <v>237</v>
      </c>
    </row>
    <row r="2335" spans="1:2" ht="12.75" customHeight="1" x14ac:dyDescent="0.25">
      <c r="A2335" s="318">
        <v>91093904057</v>
      </c>
      <c r="B2335" s="318" t="s">
        <v>237</v>
      </c>
    </row>
    <row r="2336" spans="1:2" ht="12.75" customHeight="1" x14ac:dyDescent="0.25">
      <c r="A2336" s="318">
        <v>91093904058</v>
      </c>
      <c r="B2336" s="318" t="s">
        <v>237</v>
      </c>
    </row>
    <row r="2337" spans="1:2" ht="12.75" customHeight="1" x14ac:dyDescent="0.25">
      <c r="A2337" s="318">
        <v>91093904059</v>
      </c>
      <c r="B2337" s="318" t="s">
        <v>237</v>
      </c>
    </row>
    <row r="2338" spans="1:2" ht="12.75" customHeight="1" x14ac:dyDescent="0.25">
      <c r="A2338" s="318">
        <v>91093904060</v>
      </c>
      <c r="B2338" s="318" t="s">
        <v>237</v>
      </c>
    </row>
    <row r="2339" spans="1:2" ht="12.75" customHeight="1" x14ac:dyDescent="0.25">
      <c r="A2339" s="318">
        <v>91093904061</v>
      </c>
      <c r="B2339" s="318" t="s">
        <v>237</v>
      </c>
    </row>
    <row r="2340" spans="1:2" ht="12.75" customHeight="1" x14ac:dyDescent="0.25">
      <c r="A2340" s="318">
        <v>91093904062</v>
      </c>
      <c r="B2340" s="318" t="s">
        <v>237</v>
      </c>
    </row>
    <row r="2341" spans="1:2" ht="12.75" customHeight="1" x14ac:dyDescent="0.25">
      <c r="A2341" s="318">
        <v>91093904063</v>
      </c>
      <c r="B2341" s="318" t="s">
        <v>237</v>
      </c>
    </row>
    <row r="2342" spans="1:2" ht="12.75" customHeight="1" x14ac:dyDescent="0.25">
      <c r="A2342" s="318">
        <v>91094384920</v>
      </c>
      <c r="B2342" s="318" t="s">
        <v>23</v>
      </c>
    </row>
    <row r="2343" spans="1:2" ht="12.75" customHeight="1" x14ac:dyDescent="0.25">
      <c r="A2343" s="318">
        <v>91094384921</v>
      </c>
      <c r="B2343" s="318" t="s">
        <v>23</v>
      </c>
    </row>
    <row r="2344" spans="1:2" ht="12.75" customHeight="1" x14ac:dyDescent="0.25">
      <c r="A2344" s="318">
        <v>91094384922</v>
      </c>
      <c r="B2344" s="318" t="s">
        <v>23</v>
      </c>
    </row>
    <row r="2345" spans="1:2" ht="12.75" customHeight="1" x14ac:dyDescent="0.25">
      <c r="A2345" s="318">
        <v>91094384923</v>
      </c>
      <c r="B2345" s="318" t="s">
        <v>23</v>
      </c>
    </row>
    <row r="2346" spans="1:2" ht="12.75" customHeight="1" x14ac:dyDescent="0.25">
      <c r="A2346" s="318">
        <v>91094384924</v>
      </c>
      <c r="B2346" s="318" t="s">
        <v>23</v>
      </c>
    </row>
    <row r="2347" spans="1:2" ht="12.75" customHeight="1" x14ac:dyDescent="0.25">
      <c r="A2347" s="318">
        <v>91094384925</v>
      </c>
      <c r="B2347" s="318" t="s">
        <v>23</v>
      </c>
    </row>
    <row r="2348" spans="1:2" ht="12.75" customHeight="1" x14ac:dyDescent="0.25">
      <c r="A2348" s="318">
        <v>91094384926</v>
      </c>
      <c r="B2348" s="318" t="s">
        <v>23</v>
      </c>
    </row>
    <row r="2349" spans="1:2" ht="12.75" customHeight="1" x14ac:dyDescent="0.25">
      <c r="A2349" s="318">
        <v>91094384927</v>
      </c>
      <c r="B2349" s="318" t="s">
        <v>23</v>
      </c>
    </row>
    <row r="2350" spans="1:2" ht="12.75" customHeight="1" x14ac:dyDescent="0.25">
      <c r="A2350" s="318">
        <v>91094384929</v>
      </c>
      <c r="B2350" s="318" t="s">
        <v>23</v>
      </c>
    </row>
    <row r="2351" spans="1:2" ht="12.75" customHeight="1" x14ac:dyDescent="0.25">
      <c r="A2351" s="318">
        <v>91094384930</v>
      </c>
      <c r="B2351" s="318" t="s">
        <v>23</v>
      </c>
    </row>
    <row r="2352" spans="1:2" ht="12.75" customHeight="1" x14ac:dyDescent="0.25">
      <c r="A2352" s="318">
        <v>91094384931</v>
      </c>
      <c r="B2352" s="318" t="s">
        <v>23</v>
      </c>
    </row>
    <row r="2353" spans="1:2" ht="12.75" customHeight="1" x14ac:dyDescent="0.25">
      <c r="A2353" s="318">
        <v>91094384932</v>
      </c>
      <c r="B2353" s="318" t="s">
        <v>23</v>
      </c>
    </row>
    <row r="2354" spans="1:2" ht="12.75" customHeight="1" x14ac:dyDescent="0.25">
      <c r="A2354" s="318">
        <v>91094384933</v>
      </c>
      <c r="B2354" s="318" t="s">
        <v>23</v>
      </c>
    </row>
    <row r="2355" spans="1:2" ht="12.75" customHeight="1" x14ac:dyDescent="0.25">
      <c r="A2355" s="318">
        <v>91094384934</v>
      </c>
      <c r="B2355" s="318" t="s">
        <v>23</v>
      </c>
    </row>
    <row r="2356" spans="1:2" ht="12.75" customHeight="1" x14ac:dyDescent="0.25">
      <c r="A2356" s="318">
        <v>91094384935</v>
      </c>
      <c r="B2356" s="318" t="s">
        <v>23</v>
      </c>
    </row>
    <row r="2357" spans="1:2" ht="12.75" customHeight="1" x14ac:dyDescent="0.25">
      <c r="A2357" s="318">
        <v>91094384936</v>
      </c>
      <c r="B2357" s="318" t="s">
        <v>23</v>
      </c>
    </row>
    <row r="2358" spans="1:2" ht="12.75" customHeight="1" x14ac:dyDescent="0.25">
      <c r="A2358" s="318">
        <v>91094385020</v>
      </c>
      <c r="B2358" s="318" t="s">
        <v>237</v>
      </c>
    </row>
    <row r="2359" spans="1:2" ht="12.75" customHeight="1" x14ac:dyDescent="0.25">
      <c r="A2359" s="318">
        <v>91094385021</v>
      </c>
      <c r="B2359" s="318" t="s">
        <v>237</v>
      </c>
    </row>
    <row r="2360" spans="1:2" ht="12.75" customHeight="1" x14ac:dyDescent="0.25">
      <c r="A2360" s="318">
        <v>91094385022</v>
      </c>
      <c r="B2360" s="318" t="s">
        <v>237</v>
      </c>
    </row>
    <row r="2361" spans="1:2" ht="12.75" customHeight="1" x14ac:dyDescent="0.25">
      <c r="A2361" s="318">
        <v>91094385023</v>
      </c>
      <c r="B2361" s="318" t="s">
        <v>237</v>
      </c>
    </row>
    <row r="2362" spans="1:2" ht="12.75" customHeight="1" x14ac:dyDescent="0.25">
      <c r="A2362" s="318">
        <v>91094385024</v>
      </c>
      <c r="B2362" s="318" t="s">
        <v>237</v>
      </c>
    </row>
    <row r="2363" spans="1:2" ht="12.75" customHeight="1" x14ac:dyDescent="0.25">
      <c r="A2363" s="318">
        <v>91094385025</v>
      </c>
      <c r="B2363" s="318" t="s">
        <v>237</v>
      </c>
    </row>
    <row r="2364" spans="1:2" ht="12.75" customHeight="1" x14ac:dyDescent="0.25">
      <c r="A2364" s="318">
        <v>91094385026</v>
      </c>
      <c r="B2364" s="318" t="s">
        <v>237</v>
      </c>
    </row>
    <row r="2365" spans="1:2" ht="12.75" customHeight="1" x14ac:dyDescent="0.25">
      <c r="A2365" s="318">
        <v>91094385027</v>
      </c>
      <c r="B2365" s="318" t="s">
        <v>237</v>
      </c>
    </row>
    <row r="2366" spans="1:2" ht="12.75" customHeight="1" x14ac:dyDescent="0.25">
      <c r="A2366" s="318">
        <v>91094385029</v>
      </c>
      <c r="B2366" s="318" t="s">
        <v>237</v>
      </c>
    </row>
    <row r="2367" spans="1:2" ht="12.75" customHeight="1" x14ac:dyDescent="0.25">
      <c r="A2367" s="318">
        <v>91094385030</v>
      </c>
      <c r="B2367" s="318" t="s">
        <v>237</v>
      </c>
    </row>
    <row r="2368" spans="1:2" ht="12.75" customHeight="1" x14ac:dyDescent="0.25">
      <c r="A2368" s="318">
        <v>91094385031</v>
      </c>
      <c r="B2368" s="318" t="s">
        <v>237</v>
      </c>
    </row>
    <row r="2369" spans="1:2" ht="12.75" customHeight="1" x14ac:dyDescent="0.25">
      <c r="A2369" s="318">
        <v>91094385032</v>
      </c>
      <c r="B2369" s="318" t="s">
        <v>237</v>
      </c>
    </row>
    <row r="2370" spans="1:2" ht="12.75" customHeight="1" x14ac:dyDescent="0.25">
      <c r="A2370" s="318">
        <v>91094385033</v>
      </c>
      <c r="B2370" s="318" t="s">
        <v>237</v>
      </c>
    </row>
    <row r="2371" spans="1:2" ht="12.75" customHeight="1" x14ac:dyDescent="0.25">
      <c r="A2371" s="318">
        <v>91094385034</v>
      </c>
      <c r="B2371" s="318" t="s">
        <v>237</v>
      </c>
    </row>
    <row r="2372" spans="1:2" ht="12.75" customHeight="1" x14ac:dyDescent="0.25">
      <c r="A2372" s="318">
        <v>91094385035</v>
      </c>
      <c r="B2372" s="318" t="s">
        <v>237</v>
      </c>
    </row>
    <row r="2373" spans="1:2" ht="12.75" customHeight="1" x14ac:dyDescent="0.25">
      <c r="A2373" s="318">
        <v>91094385036</v>
      </c>
      <c r="B2373" s="318" t="s">
        <v>237</v>
      </c>
    </row>
    <row r="2374" spans="1:2" ht="12.75" customHeight="1" x14ac:dyDescent="0.25">
      <c r="A2374" s="318">
        <v>91095065111</v>
      </c>
      <c r="B2374" s="318" t="s">
        <v>23</v>
      </c>
    </row>
    <row r="2375" spans="1:2" ht="12.75" customHeight="1" x14ac:dyDescent="0.25">
      <c r="A2375" s="318">
        <v>91095065112</v>
      </c>
      <c r="B2375" s="318" t="s">
        <v>23</v>
      </c>
    </row>
    <row r="2376" spans="1:2" ht="12.75" customHeight="1" x14ac:dyDescent="0.25">
      <c r="A2376" s="318">
        <v>91095065113</v>
      </c>
      <c r="B2376" s="318" t="s">
        <v>23</v>
      </c>
    </row>
    <row r="2377" spans="1:2" ht="12.75" customHeight="1" x14ac:dyDescent="0.25">
      <c r="A2377" s="318">
        <v>91095065114</v>
      </c>
      <c r="B2377" s="318" t="s">
        <v>23</v>
      </c>
    </row>
    <row r="2378" spans="1:2" ht="12.75" customHeight="1" x14ac:dyDescent="0.25">
      <c r="A2378" s="318">
        <v>91095065115</v>
      </c>
      <c r="B2378" s="318" t="s">
        <v>23</v>
      </c>
    </row>
    <row r="2379" spans="1:2" ht="12.75" customHeight="1" x14ac:dyDescent="0.25">
      <c r="A2379" s="318">
        <v>91095065116</v>
      </c>
      <c r="B2379" s="318" t="s">
        <v>23</v>
      </c>
    </row>
    <row r="2380" spans="1:2" ht="12.75" customHeight="1" x14ac:dyDescent="0.25">
      <c r="A2380" s="318">
        <v>91095065117</v>
      </c>
      <c r="B2380" s="318" t="s">
        <v>23</v>
      </c>
    </row>
    <row r="2381" spans="1:2" ht="12.75" customHeight="1" x14ac:dyDescent="0.25">
      <c r="A2381" s="318">
        <v>91095065118</v>
      </c>
      <c r="B2381" s="318" t="s">
        <v>23</v>
      </c>
    </row>
    <row r="2382" spans="1:2" ht="12.75" customHeight="1" x14ac:dyDescent="0.25">
      <c r="A2382" s="318">
        <v>91095065120</v>
      </c>
      <c r="B2382" s="318" t="s">
        <v>23</v>
      </c>
    </row>
    <row r="2383" spans="1:2" ht="12.75" customHeight="1" x14ac:dyDescent="0.25">
      <c r="A2383" s="318">
        <v>91095065121</v>
      </c>
      <c r="B2383" s="318" t="s">
        <v>23</v>
      </c>
    </row>
    <row r="2384" spans="1:2" ht="12.75" customHeight="1" x14ac:dyDescent="0.25">
      <c r="A2384" s="318">
        <v>91095065122</v>
      </c>
      <c r="B2384" s="318" t="s">
        <v>23</v>
      </c>
    </row>
    <row r="2385" spans="1:2" ht="12.75" customHeight="1" x14ac:dyDescent="0.25">
      <c r="A2385" s="318">
        <v>91095065123</v>
      </c>
      <c r="B2385" s="318" t="s">
        <v>23</v>
      </c>
    </row>
    <row r="2386" spans="1:2" ht="12.75" customHeight="1" x14ac:dyDescent="0.25">
      <c r="A2386" s="318">
        <v>91095065124</v>
      </c>
      <c r="B2386" s="318" t="s">
        <v>23</v>
      </c>
    </row>
    <row r="2387" spans="1:2" ht="12.75" customHeight="1" x14ac:dyDescent="0.25">
      <c r="A2387" s="318">
        <v>91095065125</v>
      </c>
      <c r="B2387" s="318" t="s">
        <v>23</v>
      </c>
    </row>
    <row r="2388" spans="1:2" ht="12.75" customHeight="1" x14ac:dyDescent="0.25">
      <c r="A2388" s="318">
        <v>91095065126</v>
      </c>
      <c r="B2388" s="318" t="s">
        <v>23</v>
      </c>
    </row>
    <row r="2389" spans="1:2" ht="12.75" customHeight="1" x14ac:dyDescent="0.25">
      <c r="A2389" s="318">
        <v>91095065127</v>
      </c>
      <c r="B2389" s="318" t="s">
        <v>23</v>
      </c>
    </row>
    <row r="2390" spans="1:2" ht="12.75" customHeight="1" x14ac:dyDescent="0.25">
      <c r="A2390" s="318">
        <v>91095065211</v>
      </c>
      <c r="B2390" s="318" t="s">
        <v>237</v>
      </c>
    </row>
    <row r="2391" spans="1:2" ht="12.75" customHeight="1" x14ac:dyDescent="0.25">
      <c r="A2391" s="318">
        <v>91095065212</v>
      </c>
      <c r="B2391" s="318" t="s">
        <v>237</v>
      </c>
    </row>
    <row r="2392" spans="1:2" ht="12.75" customHeight="1" x14ac:dyDescent="0.25">
      <c r="A2392" s="318">
        <v>91095065213</v>
      </c>
      <c r="B2392" s="318" t="s">
        <v>237</v>
      </c>
    </row>
    <row r="2393" spans="1:2" ht="12.75" customHeight="1" x14ac:dyDescent="0.25">
      <c r="A2393" s="318">
        <v>91095065214</v>
      </c>
      <c r="B2393" s="318" t="s">
        <v>237</v>
      </c>
    </row>
    <row r="2394" spans="1:2" ht="12.75" customHeight="1" x14ac:dyDescent="0.25">
      <c r="A2394" s="318">
        <v>91095065215</v>
      </c>
      <c r="B2394" s="318" t="s">
        <v>237</v>
      </c>
    </row>
    <row r="2395" spans="1:2" ht="12.75" customHeight="1" x14ac:dyDescent="0.25">
      <c r="A2395" s="318">
        <v>91095065216</v>
      </c>
      <c r="B2395" s="318" t="s">
        <v>237</v>
      </c>
    </row>
    <row r="2396" spans="1:2" ht="12.75" customHeight="1" x14ac:dyDescent="0.25">
      <c r="A2396" s="318">
        <v>91095065217</v>
      </c>
      <c r="B2396" s="318" t="s">
        <v>237</v>
      </c>
    </row>
    <row r="2397" spans="1:2" ht="12.75" customHeight="1" x14ac:dyDescent="0.25">
      <c r="A2397" s="318">
        <v>91095065218</v>
      </c>
      <c r="B2397" s="318" t="s">
        <v>237</v>
      </c>
    </row>
    <row r="2398" spans="1:2" ht="12.75" customHeight="1" x14ac:dyDescent="0.25">
      <c r="A2398" s="318">
        <v>91095065220</v>
      </c>
      <c r="B2398" s="318" t="s">
        <v>237</v>
      </c>
    </row>
    <row r="2399" spans="1:2" ht="12.75" customHeight="1" x14ac:dyDescent="0.25">
      <c r="A2399" s="318">
        <v>91095065221</v>
      </c>
      <c r="B2399" s="318" t="s">
        <v>237</v>
      </c>
    </row>
    <row r="2400" spans="1:2" ht="12.75" customHeight="1" x14ac:dyDescent="0.25">
      <c r="A2400" s="318">
        <v>91095065222</v>
      </c>
      <c r="B2400" s="318" t="s">
        <v>237</v>
      </c>
    </row>
    <row r="2401" spans="1:2" ht="12.75" customHeight="1" x14ac:dyDescent="0.25">
      <c r="A2401" s="318">
        <v>91095065223</v>
      </c>
      <c r="B2401" s="318" t="s">
        <v>237</v>
      </c>
    </row>
    <row r="2402" spans="1:2" ht="12.75" customHeight="1" x14ac:dyDescent="0.25">
      <c r="A2402" s="318">
        <v>91095065224</v>
      </c>
      <c r="B2402" s="318" t="s">
        <v>237</v>
      </c>
    </row>
    <row r="2403" spans="1:2" ht="12.75" customHeight="1" x14ac:dyDescent="0.25">
      <c r="A2403" s="318">
        <v>91095065225</v>
      </c>
      <c r="B2403" s="318" t="s">
        <v>237</v>
      </c>
    </row>
    <row r="2404" spans="1:2" ht="12.75" customHeight="1" x14ac:dyDescent="0.25">
      <c r="A2404" s="318">
        <v>91095065226</v>
      </c>
      <c r="B2404" s="318" t="s">
        <v>237</v>
      </c>
    </row>
    <row r="2405" spans="1:2" ht="12.75" customHeight="1" x14ac:dyDescent="0.25">
      <c r="A2405" s="318">
        <v>91095065227</v>
      </c>
      <c r="B2405" s="318" t="s">
        <v>237</v>
      </c>
    </row>
    <row r="2406" spans="1:2" ht="12.75" customHeight="1" x14ac:dyDescent="0.25">
      <c r="A2406" s="318">
        <v>91095546084</v>
      </c>
      <c r="B2406" s="318" t="s">
        <v>23</v>
      </c>
    </row>
    <row r="2407" spans="1:2" ht="12.75" customHeight="1" x14ac:dyDescent="0.25">
      <c r="A2407" s="318">
        <v>91095546085</v>
      </c>
      <c r="B2407" s="318" t="s">
        <v>23</v>
      </c>
    </row>
    <row r="2408" spans="1:2" ht="12.75" customHeight="1" x14ac:dyDescent="0.25">
      <c r="A2408" s="318">
        <v>91095546086</v>
      </c>
      <c r="B2408" s="318" t="s">
        <v>23</v>
      </c>
    </row>
    <row r="2409" spans="1:2" ht="12.75" customHeight="1" x14ac:dyDescent="0.25">
      <c r="A2409" s="318">
        <v>91095546087</v>
      </c>
      <c r="B2409" s="318" t="s">
        <v>23</v>
      </c>
    </row>
    <row r="2410" spans="1:2" ht="12.75" customHeight="1" x14ac:dyDescent="0.25">
      <c r="A2410" s="318">
        <v>91095546088</v>
      </c>
      <c r="B2410" s="318" t="s">
        <v>23</v>
      </c>
    </row>
    <row r="2411" spans="1:2" ht="12.75" customHeight="1" x14ac:dyDescent="0.25">
      <c r="A2411" s="318">
        <v>91095546089</v>
      </c>
      <c r="B2411" s="318" t="s">
        <v>23</v>
      </c>
    </row>
    <row r="2412" spans="1:2" ht="12.75" customHeight="1" x14ac:dyDescent="0.25">
      <c r="A2412" s="318">
        <v>91095546090</v>
      </c>
      <c r="B2412" s="318" t="s">
        <v>23</v>
      </c>
    </row>
    <row r="2413" spans="1:2" ht="12.75" customHeight="1" x14ac:dyDescent="0.25">
      <c r="A2413" s="318">
        <v>91095546091</v>
      </c>
      <c r="B2413" s="318" t="s">
        <v>23</v>
      </c>
    </row>
    <row r="2414" spans="1:2" ht="12.75" customHeight="1" x14ac:dyDescent="0.25">
      <c r="A2414" s="318">
        <v>91095546093</v>
      </c>
      <c r="B2414" s="318" t="s">
        <v>23</v>
      </c>
    </row>
    <row r="2415" spans="1:2" ht="12.75" customHeight="1" x14ac:dyDescent="0.25">
      <c r="A2415" s="318">
        <v>91095546094</v>
      </c>
      <c r="B2415" s="318" t="s">
        <v>23</v>
      </c>
    </row>
    <row r="2416" spans="1:2" ht="12.75" customHeight="1" x14ac:dyDescent="0.25">
      <c r="A2416" s="318">
        <v>91095546095</v>
      </c>
      <c r="B2416" s="318" t="s">
        <v>23</v>
      </c>
    </row>
    <row r="2417" spans="1:2" ht="12.75" customHeight="1" x14ac:dyDescent="0.25">
      <c r="A2417" s="318">
        <v>91095546096</v>
      </c>
      <c r="B2417" s="318" t="s">
        <v>23</v>
      </c>
    </row>
    <row r="2418" spans="1:2" ht="12.75" customHeight="1" x14ac:dyDescent="0.25">
      <c r="A2418" s="318">
        <v>91095546097</v>
      </c>
      <c r="B2418" s="318" t="s">
        <v>23</v>
      </c>
    </row>
    <row r="2419" spans="1:2" ht="12.75" customHeight="1" x14ac:dyDescent="0.25">
      <c r="A2419" s="318">
        <v>91095546098</v>
      </c>
      <c r="B2419" s="318" t="s">
        <v>23</v>
      </c>
    </row>
    <row r="2420" spans="1:2" ht="12.75" customHeight="1" x14ac:dyDescent="0.25">
      <c r="A2420" s="318">
        <v>91095546099</v>
      </c>
      <c r="B2420" s="318" t="s">
        <v>23</v>
      </c>
    </row>
    <row r="2421" spans="1:2" ht="12.75" customHeight="1" x14ac:dyDescent="0.25">
      <c r="A2421" s="318">
        <v>91095546100</v>
      </c>
      <c r="B2421" s="318" t="s">
        <v>23</v>
      </c>
    </row>
    <row r="2422" spans="1:2" ht="12.75" customHeight="1" x14ac:dyDescent="0.25">
      <c r="A2422" s="318">
        <v>91095546184</v>
      </c>
      <c r="B2422" s="318" t="s">
        <v>237</v>
      </c>
    </row>
    <row r="2423" spans="1:2" ht="12.75" customHeight="1" x14ac:dyDescent="0.25">
      <c r="A2423" s="318">
        <v>91095546185</v>
      </c>
      <c r="B2423" s="318" t="s">
        <v>237</v>
      </c>
    </row>
    <row r="2424" spans="1:2" ht="12.75" customHeight="1" x14ac:dyDescent="0.25">
      <c r="A2424" s="318">
        <v>91095546186</v>
      </c>
      <c r="B2424" s="318" t="s">
        <v>237</v>
      </c>
    </row>
    <row r="2425" spans="1:2" ht="12.75" customHeight="1" x14ac:dyDescent="0.25">
      <c r="A2425" s="318">
        <v>91095546187</v>
      </c>
      <c r="B2425" s="318" t="s">
        <v>237</v>
      </c>
    </row>
    <row r="2426" spans="1:2" ht="12.75" customHeight="1" x14ac:dyDescent="0.25">
      <c r="A2426" s="318">
        <v>91095546188</v>
      </c>
      <c r="B2426" s="318" t="s">
        <v>237</v>
      </c>
    </row>
    <row r="2427" spans="1:2" ht="12.75" customHeight="1" x14ac:dyDescent="0.25">
      <c r="A2427" s="318">
        <v>91095546189</v>
      </c>
      <c r="B2427" s="318" t="s">
        <v>237</v>
      </c>
    </row>
    <row r="2428" spans="1:2" ht="12.75" customHeight="1" x14ac:dyDescent="0.25">
      <c r="A2428" s="318">
        <v>91095546190</v>
      </c>
      <c r="B2428" s="318" t="s">
        <v>237</v>
      </c>
    </row>
    <row r="2429" spans="1:2" ht="12.75" customHeight="1" x14ac:dyDescent="0.25">
      <c r="A2429" s="318">
        <v>91095546191</v>
      </c>
      <c r="B2429" s="318" t="s">
        <v>237</v>
      </c>
    </row>
    <row r="2430" spans="1:2" ht="12.75" customHeight="1" x14ac:dyDescent="0.25">
      <c r="A2430" s="318">
        <v>91095546193</v>
      </c>
      <c r="B2430" s="318" t="s">
        <v>237</v>
      </c>
    </row>
    <row r="2431" spans="1:2" ht="12.75" customHeight="1" x14ac:dyDescent="0.25">
      <c r="A2431" s="318">
        <v>91095546194</v>
      </c>
      <c r="B2431" s="318" t="s">
        <v>237</v>
      </c>
    </row>
    <row r="2432" spans="1:2" ht="12.75" customHeight="1" x14ac:dyDescent="0.25">
      <c r="A2432" s="318">
        <v>91095546195</v>
      </c>
      <c r="B2432" s="318" t="s">
        <v>237</v>
      </c>
    </row>
    <row r="2433" spans="1:2" ht="12.75" customHeight="1" x14ac:dyDescent="0.25">
      <c r="A2433" s="318">
        <v>91095546196</v>
      </c>
      <c r="B2433" s="318" t="s">
        <v>237</v>
      </c>
    </row>
    <row r="2434" spans="1:2" ht="12.75" customHeight="1" x14ac:dyDescent="0.25">
      <c r="A2434" s="318">
        <v>91095546197</v>
      </c>
      <c r="B2434" s="318" t="s">
        <v>237</v>
      </c>
    </row>
    <row r="2435" spans="1:2" ht="12.75" customHeight="1" x14ac:dyDescent="0.25">
      <c r="A2435" s="318">
        <v>91095546198</v>
      </c>
      <c r="B2435" s="318" t="s">
        <v>237</v>
      </c>
    </row>
    <row r="2436" spans="1:2" ht="12.75" customHeight="1" x14ac:dyDescent="0.25">
      <c r="A2436" s="318">
        <v>91095546199</v>
      </c>
      <c r="B2436" s="318" t="s">
        <v>237</v>
      </c>
    </row>
    <row r="2437" spans="1:2" ht="12.75" customHeight="1" x14ac:dyDescent="0.25">
      <c r="A2437" s="318">
        <v>91095546200</v>
      </c>
      <c r="B2437" s="318" t="s">
        <v>237</v>
      </c>
    </row>
    <row r="2438" spans="1:2" ht="12.75" customHeight="1" x14ac:dyDescent="0.25">
      <c r="A2438" s="318">
        <v>91096027057</v>
      </c>
      <c r="B2438" s="318" t="s">
        <v>23</v>
      </c>
    </row>
    <row r="2439" spans="1:2" ht="12.75" customHeight="1" x14ac:dyDescent="0.25">
      <c r="A2439" s="318">
        <v>91096027058</v>
      </c>
      <c r="B2439" s="318" t="s">
        <v>23</v>
      </c>
    </row>
    <row r="2440" spans="1:2" ht="12.75" customHeight="1" x14ac:dyDescent="0.25">
      <c r="A2440" s="318">
        <v>91096027059</v>
      </c>
      <c r="B2440" s="318" t="s">
        <v>23</v>
      </c>
    </row>
    <row r="2441" spans="1:2" ht="12.75" customHeight="1" x14ac:dyDescent="0.25">
      <c r="A2441" s="318">
        <v>91096027060</v>
      </c>
      <c r="B2441" s="318" t="s">
        <v>23</v>
      </c>
    </row>
    <row r="2442" spans="1:2" ht="12.75" customHeight="1" x14ac:dyDescent="0.25">
      <c r="A2442" s="318">
        <v>91096027061</v>
      </c>
      <c r="B2442" s="318" t="s">
        <v>23</v>
      </c>
    </row>
    <row r="2443" spans="1:2" ht="12.75" customHeight="1" x14ac:dyDescent="0.25">
      <c r="A2443" s="318">
        <v>91096027062</v>
      </c>
      <c r="B2443" s="318" t="s">
        <v>23</v>
      </c>
    </row>
    <row r="2444" spans="1:2" ht="12.75" customHeight="1" x14ac:dyDescent="0.25">
      <c r="A2444" s="318">
        <v>91096027063</v>
      </c>
      <c r="B2444" s="318" t="s">
        <v>23</v>
      </c>
    </row>
    <row r="2445" spans="1:2" ht="12.75" customHeight="1" x14ac:dyDescent="0.25">
      <c r="A2445" s="318">
        <v>91096027064</v>
      </c>
      <c r="B2445" s="318" t="s">
        <v>23</v>
      </c>
    </row>
    <row r="2446" spans="1:2" ht="12.75" customHeight="1" x14ac:dyDescent="0.25">
      <c r="A2446" s="318">
        <v>91096027066</v>
      </c>
      <c r="B2446" s="318" t="s">
        <v>23</v>
      </c>
    </row>
    <row r="2447" spans="1:2" ht="12.75" customHeight="1" x14ac:dyDescent="0.25">
      <c r="A2447" s="318">
        <v>91096027067</v>
      </c>
      <c r="B2447" s="318" t="s">
        <v>23</v>
      </c>
    </row>
    <row r="2448" spans="1:2" ht="12.75" customHeight="1" x14ac:dyDescent="0.25">
      <c r="A2448" s="318">
        <v>91096027068</v>
      </c>
      <c r="B2448" s="318" t="s">
        <v>23</v>
      </c>
    </row>
    <row r="2449" spans="1:2" ht="12.75" customHeight="1" x14ac:dyDescent="0.25">
      <c r="A2449" s="318">
        <v>91096027069</v>
      </c>
      <c r="B2449" s="318" t="s">
        <v>23</v>
      </c>
    </row>
    <row r="2450" spans="1:2" ht="12.75" customHeight="1" x14ac:dyDescent="0.25">
      <c r="A2450" s="318">
        <v>91096027070</v>
      </c>
      <c r="B2450" s="318" t="s">
        <v>23</v>
      </c>
    </row>
    <row r="2451" spans="1:2" ht="12.75" customHeight="1" x14ac:dyDescent="0.25">
      <c r="A2451" s="318">
        <v>91096027071</v>
      </c>
      <c r="B2451" s="318" t="s">
        <v>23</v>
      </c>
    </row>
    <row r="2452" spans="1:2" ht="12.75" customHeight="1" x14ac:dyDescent="0.25">
      <c r="A2452" s="318">
        <v>91096027072</v>
      </c>
      <c r="B2452" s="318" t="s">
        <v>23</v>
      </c>
    </row>
    <row r="2453" spans="1:2" ht="12.75" customHeight="1" x14ac:dyDescent="0.25">
      <c r="A2453" s="318">
        <v>91096027073</v>
      </c>
      <c r="B2453" s="318" t="s">
        <v>23</v>
      </c>
    </row>
    <row r="2454" spans="1:2" ht="12.75" customHeight="1" x14ac:dyDescent="0.25">
      <c r="A2454" s="318">
        <v>91096027157</v>
      </c>
      <c r="B2454" s="318" t="s">
        <v>237</v>
      </c>
    </row>
    <row r="2455" spans="1:2" ht="12.75" customHeight="1" x14ac:dyDescent="0.25">
      <c r="A2455" s="318">
        <v>91096027158</v>
      </c>
      <c r="B2455" s="318" t="s">
        <v>237</v>
      </c>
    </row>
    <row r="2456" spans="1:2" ht="12.75" customHeight="1" x14ac:dyDescent="0.25">
      <c r="A2456" s="318">
        <v>91096027159</v>
      </c>
      <c r="B2456" s="318" t="s">
        <v>237</v>
      </c>
    </row>
    <row r="2457" spans="1:2" ht="12.75" customHeight="1" x14ac:dyDescent="0.25">
      <c r="A2457" s="318">
        <v>91096027160</v>
      </c>
      <c r="B2457" s="318" t="s">
        <v>237</v>
      </c>
    </row>
    <row r="2458" spans="1:2" ht="12.75" customHeight="1" x14ac:dyDescent="0.25">
      <c r="A2458" s="318">
        <v>91096027161</v>
      </c>
      <c r="B2458" s="318" t="s">
        <v>237</v>
      </c>
    </row>
    <row r="2459" spans="1:2" ht="12.75" customHeight="1" x14ac:dyDescent="0.25">
      <c r="A2459" s="318">
        <v>91096027162</v>
      </c>
      <c r="B2459" s="318" t="s">
        <v>237</v>
      </c>
    </row>
    <row r="2460" spans="1:2" ht="12.75" customHeight="1" x14ac:dyDescent="0.25">
      <c r="A2460" s="318">
        <v>91096027163</v>
      </c>
      <c r="B2460" s="318" t="s">
        <v>237</v>
      </c>
    </row>
    <row r="2461" spans="1:2" ht="12.75" customHeight="1" x14ac:dyDescent="0.25">
      <c r="A2461" s="318">
        <v>91096027164</v>
      </c>
      <c r="B2461" s="318" t="s">
        <v>237</v>
      </c>
    </row>
    <row r="2462" spans="1:2" ht="12.75" customHeight="1" x14ac:dyDescent="0.25">
      <c r="A2462" s="318">
        <v>91096027166</v>
      </c>
      <c r="B2462" s="318" t="s">
        <v>237</v>
      </c>
    </row>
    <row r="2463" spans="1:2" ht="12.75" customHeight="1" x14ac:dyDescent="0.25">
      <c r="A2463" s="318">
        <v>91096027167</v>
      </c>
      <c r="B2463" s="318" t="s">
        <v>237</v>
      </c>
    </row>
    <row r="2464" spans="1:2" ht="12.75" customHeight="1" x14ac:dyDescent="0.25">
      <c r="A2464" s="318">
        <v>91096027168</v>
      </c>
      <c r="B2464" s="318" t="s">
        <v>237</v>
      </c>
    </row>
    <row r="2465" spans="1:2" ht="12.75" customHeight="1" x14ac:dyDescent="0.25">
      <c r="A2465" s="318">
        <v>91096027169</v>
      </c>
      <c r="B2465" s="318" t="s">
        <v>237</v>
      </c>
    </row>
    <row r="2466" spans="1:2" ht="12.75" customHeight="1" x14ac:dyDescent="0.25">
      <c r="A2466" s="318">
        <v>91096027170</v>
      </c>
      <c r="B2466" s="318" t="s">
        <v>237</v>
      </c>
    </row>
    <row r="2467" spans="1:2" ht="12.75" customHeight="1" x14ac:dyDescent="0.25">
      <c r="A2467" s="318">
        <v>91096027171</v>
      </c>
      <c r="B2467" s="318" t="s">
        <v>237</v>
      </c>
    </row>
    <row r="2468" spans="1:2" ht="12.75" customHeight="1" x14ac:dyDescent="0.25">
      <c r="A2468" s="318">
        <v>91096027172</v>
      </c>
      <c r="B2468" s="318" t="s">
        <v>237</v>
      </c>
    </row>
    <row r="2469" spans="1:2" ht="12.75" customHeight="1" x14ac:dyDescent="0.25">
      <c r="A2469" s="318">
        <v>91096027173</v>
      </c>
      <c r="B2469" s="318" t="s">
        <v>237</v>
      </c>
    </row>
    <row r="2470" spans="1:2" ht="12.75" customHeight="1" x14ac:dyDescent="0.25">
      <c r="A2470" s="318">
        <v>91097387438</v>
      </c>
      <c r="B2470" s="318" t="s">
        <v>23</v>
      </c>
    </row>
    <row r="2471" spans="1:2" ht="12.75" customHeight="1" x14ac:dyDescent="0.25">
      <c r="A2471" s="318">
        <v>91097387439</v>
      </c>
      <c r="B2471" s="318" t="s">
        <v>23</v>
      </c>
    </row>
    <row r="2472" spans="1:2" ht="12.75" customHeight="1" x14ac:dyDescent="0.25">
      <c r="A2472" s="318">
        <v>91097387440</v>
      </c>
      <c r="B2472" s="318" t="s">
        <v>23</v>
      </c>
    </row>
    <row r="2473" spans="1:2" ht="12.75" customHeight="1" x14ac:dyDescent="0.25">
      <c r="A2473" s="318">
        <v>91097387441</v>
      </c>
      <c r="B2473" s="318" t="s">
        <v>23</v>
      </c>
    </row>
    <row r="2474" spans="1:2" ht="12.75" customHeight="1" x14ac:dyDescent="0.25">
      <c r="A2474" s="318">
        <v>91097387442</v>
      </c>
      <c r="B2474" s="318" t="s">
        <v>23</v>
      </c>
    </row>
    <row r="2475" spans="1:2" ht="12.75" customHeight="1" x14ac:dyDescent="0.25">
      <c r="A2475" s="318">
        <v>91097387443</v>
      </c>
      <c r="B2475" s="318" t="s">
        <v>23</v>
      </c>
    </row>
    <row r="2476" spans="1:2" ht="12.75" customHeight="1" x14ac:dyDescent="0.25">
      <c r="A2476" s="318">
        <v>91097387444</v>
      </c>
      <c r="B2476" s="318" t="s">
        <v>23</v>
      </c>
    </row>
    <row r="2477" spans="1:2" ht="12.75" customHeight="1" x14ac:dyDescent="0.25">
      <c r="A2477" s="318">
        <v>91097387445</v>
      </c>
      <c r="B2477" s="318" t="s">
        <v>23</v>
      </c>
    </row>
    <row r="2478" spans="1:2" ht="12.75" customHeight="1" x14ac:dyDescent="0.25">
      <c r="A2478" s="318">
        <v>91097387447</v>
      </c>
      <c r="B2478" s="318" t="s">
        <v>237</v>
      </c>
    </row>
    <row r="2479" spans="1:2" ht="12.75" customHeight="1" x14ac:dyDescent="0.25">
      <c r="A2479" s="318">
        <v>91097387448</v>
      </c>
      <c r="B2479" s="318" t="s">
        <v>237</v>
      </c>
    </row>
    <row r="2480" spans="1:2" ht="12.75" customHeight="1" x14ac:dyDescent="0.25">
      <c r="A2480" s="318">
        <v>91097387449</v>
      </c>
      <c r="B2480" s="318" t="s">
        <v>237</v>
      </c>
    </row>
    <row r="2481" spans="1:2" ht="12.75" customHeight="1" x14ac:dyDescent="0.25">
      <c r="A2481" s="318">
        <v>91097387450</v>
      </c>
      <c r="B2481" s="318" t="s">
        <v>237</v>
      </c>
    </row>
    <row r="2482" spans="1:2" ht="12.75" customHeight="1" x14ac:dyDescent="0.25">
      <c r="A2482" s="318">
        <v>91097387451</v>
      </c>
      <c r="B2482" s="318" t="s">
        <v>237</v>
      </c>
    </row>
    <row r="2483" spans="1:2" ht="12.75" customHeight="1" x14ac:dyDescent="0.25">
      <c r="A2483" s="318">
        <v>91097387452</v>
      </c>
      <c r="B2483" s="318" t="s">
        <v>237</v>
      </c>
    </row>
    <row r="2484" spans="1:2" ht="12.75" customHeight="1" x14ac:dyDescent="0.25">
      <c r="A2484" s="318">
        <v>91097387453</v>
      </c>
      <c r="B2484" s="318" t="s">
        <v>237</v>
      </c>
    </row>
    <row r="2485" spans="1:2" ht="12.75" customHeight="1" x14ac:dyDescent="0.25">
      <c r="A2485" s="318">
        <v>91097387454</v>
      </c>
      <c r="B2485" s="318" t="s">
        <v>237</v>
      </c>
    </row>
    <row r="2486" spans="1:2" ht="12.75" customHeight="1" x14ac:dyDescent="0.25">
      <c r="A2486" s="318">
        <v>91097387538</v>
      </c>
      <c r="B2486" s="318" t="s">
        <v>237</v>
      </c>
    </row>
    <row r="2487" spans="1:2" ht="12.75" customHeight="1" x14ac:dyDescent="0.25">
      <c r="A2487" s="318">
        <v>91097387539</v>
      </c>
      <c r="B2487" s="318" t="s">
        <v>237</v>
      </c>
    </row>
    <row r="2488" spans="1:2" ht="12.75" customHeight="1" x14ac:dyDescent="0.25">
      <c r="A2488" s="318">
        <v>91097387540</v>
      </c>
      <c r="B2488" s="318" t="s">
        <v>237</v>
      </c>
    </row>
    <row r="2489" spans="1:2" ht="12.75" customHeight="1" x14ac:dyDescent="0.25">
      <c r="A2489" s="318">
        <v>91097387541</v>
      </c>
      <c r="B2489" s="318" t="s">
        <v>237</v>
      </c>
    </row>
    <row r="2490" spans="1:2" ht="12.75" customHeight="1" x14ac:dyDescent="0.25">
      <c r="A2490" s="318">
        <v>91097387542</v>
      </c>
      <c r="B2490" s="318" t="s">
        <v>237</v>
      </c>
    </row>
    <row r="2491" spans="1:2" ht="12.75" customHeight="1" x14ac:dyDescent="0.25">
      <c r="A2491" s="318">
        <v>91097387543</v>
      </c>
      <c r="B2491" s="318" t="s">
        <v>237</v>
      </c>
    </row>
    <row r="2492" spans="1:2" ht="12.75" customHeight="1" x14ac:dyDescent="0.25">
      <c r="A2492" s="318">
        <v>91097387544</v>
      </c>
      <c r="B2492" s="318" t="s">
        <v>237</v>
      </c>
    </row>
    <row r="2493" spans="1:2" ht="12.75" customHeight="1" x14ac:dyDescent="0.25">
      <c r="A2493" s="318">
        <v>91097387545</v>
      </c>
      <c r="B2493" s="318" t="s">
        <v>237</v>
      </c>
    </row>
    <row r="2494" spans="1:2" ht="12.75" customHeight="1" x14ac:dyDescent="0.25">
      <c r="A2494" s="318">
        <v>91097387547</v>
      </c>
      <c r="B2494" s="318" t="s">
        <v>237</v>
      </c>
    </row>
    <row r="2495" spans="1:2" ht="12.75" customHeight="1" x14ac:dyDescent="0.25">
      <c r="A2495" s="318">
        <v>91097387548</v>
      </c>
      <c r="B2495" s="318" t="s">
        <v>237</v>
      </c>
    </row>
    <row r="2496" spans="1:2" ht="12.75" customHeight="1" x14ac:dyDescent="0.25">
      <c r="A2496" s="318">
        <v>91097387549</v>
      </c>
      <c r="B2496" s="318" t="s">
        <v>237</v>
      </c>
    </row>
    <row r="2497" spans="1:2" ht="12.75" customHeight="1" x14ac:dyDescent="0.25">
      <c r="A2497" s="318">
        <v>91097387550</v>
      </c>
      <c r="B2497" s="318" t="s">
        <v>237</v>
      </c>
    </row>
    <row r="2498" spans="1:2" ht="12.75" customHeight="1" x14ac:dyDescent="0.25">
      <c r="A2498" s="318">
        <v>91097387551</v>
      </c>
      <c r="B2498" s="318" t="s">
        <v>237</v>
      </c>
    </row>
    <row r="2499" spans="1:2" ht="12.75" customHeight="1" x14ac:dyDescent="0.25">
      <c r="A2499" s="318">
        <v>91097387552</v>
      </c>
      <c r="B2499" s="318" t="s">
        <v>237</v>
      </c>
    </row>
    <row r="2500" spans="1:2" ht="12.75" customHeight="1" x14ac:dyDescent="0.25">
      <c r="A2500" s="318">
        <v>91097387553</v>
      </c>
      <c r="B2500" s="318" t="s">
        <v>237</v>
      </c>
    </row>
    <row r="2501" spans="1:2" ht="12.75" customHeight="1" x14ac:dyDescent="0.25">
      <c r="A2501" s="318">
        <v>91097387554</v>
      </c>
      <c r="B2501" s="318" t="s">
        <v>237</v>
      </c>
    </row>
    <row r="2502" spans="1:2" ht="12.75" customHeight="1" x14ac:dyDescent="0.25">
      <c r="A2502" s="318">
        <v>91097868411</v>
      </c>
      <c r="B2502" s="318" t="s">
        <v>23</v>
      </c>
    </row>
    <row r="2503" spans="1:2" ht="12.75" customHeight="1" x14ac:dyDescent="0.25">
      <c r="A2503" s="318">
        <v>91097868412</v>
      </c>
      <c r="B2503" s="318" t="s">
        <v>23</v>
      </c>
    </row>
    <row r="2504" spans="1:2" ht="12.75" customHeight="1" x14ac:dyDescent="0.25">
      <c r="A2504" s="318">
        <v>91097868413</v>
      </c>
      <c r="B2504" s="318" t="s">
        <v>23</v>
      </c>
    </row>
    <row r="2505" spans="1:2" ht="12.75" customHeight="1" x14ac:dyDescent="0.25">
      <c r="A2505" s="318">
        <v>91097868414</v>
      </c>
      <c r="B2505" s="318" t="s">
        <v>23</v>
      </c>
    </row>
    <row r="2506" spans="1:2" ht="12.75" customHeight="1" x14ac:dyDescent="0.25">
      <c r="A2506" s="318">
        <v>91097868415</v>
      </c>
      <c r="B2506" s="318" t="s">
        <v>23</v>
      </c>
    </row>
    <row r="2507" spans="1:2" ht="12.75" customHeight="1" x14ac:dyDescent="0.25">
      <c r="A2507" s="318">
        <v>91097868416</v>
      </c>
      <c r="B2507" s="318" t="s">
        <v>23</v>
      </c>
    </row>
    <row r="2508" spans="1:2" ht="12.75" customHeight="1" x14ac:dyDescent="0.25">
      <c r="A2508" s="318">
        <v>91097868417</v>
      </c>
      <c r="B2508" s="318" t="s">
        <v>23</v>
      </c>
    </row>
    <row r="2509" spans="1:2" ht="12.75" customHeight="1" x14ac:dyDescent="0.25">
      <c r="A2509" s="318">
        <v>91097868418</v>
      </c>
      <c r="B2509" s="318" t="s">
        <v>23</v>
      </c>
    </row>
    <row r="2510" spans="1:2" ht="12.75" customHeight="1" x14ac:dyDescent="0.25">
      <c r="A2510" s="318">
        <v>91097868420</v>
      </c>
      <c r="B2510" s="318" t="s">
        <v>237</v>
      </c>
    </row>
    <row r="2511" spans="1:2" ht="12.75" customHeight="1" x14ac:dyDescent="0.25">
      <c r="A2511" s="318">
        <v>91097868421</v>
      </c>
      <c r="B2511" s="318" t="s">
        <v>237</v>
      </c>
    </row>
    <row r="2512" spans="1:2" ht="12.75" customHeight="1" x14ac:dyDescent="0.25">
      <c r="A2512" s="318">
        <v>91097868422</v>
      </c>
      <c r="B2512" s="318" t="s">
        <v>237</v>
      </c>
    </row>
    <row r="2513" spans="1:2" ht="12.75" customHeight="1" x14ac:dyDescent="0.25">
      <c r="A2513" s="318">
        <v>91097868423</v>
      </c>
      <c r="B2513" s="318" t="s">
        <v>237</v>
      </c>
    </row>
    <row r="2514" spans="1:2" ht="12.75" customHeight="1" x14ac:dyDescent="0.25">
      <c r="A2514" s="318">
        <v>91097868424</v>
      </c>
      <c r="B2514" s="318" t="s">
        <v>237</v>
      </c>
    </row>
    <row r="2515" spans="1:2" ht="12.75" customHeight="1" x14ac:dyDescent="0.25">
      <c r="A2515" s="318">
        <v>91097868425</v>
      </c>
      <c r="B2515" s="318" t="s">
        <v>237</v>
      </c>
    </row>
    <row r="2516" spans="1:2" ht="12.75" customHeight="1" x14ac:dyDescent="0.25">
      <c r="A2516" s="318">
        <v>91097868426</v>
      </c>
      <c r="B2516" s="318" t="s">
        <v>237</v>
      </c>
    </row>
    <row r="2517" spans="1:2" ht="12.75" customHeight="1" x14ac:dyDescent="0.25">
      <c r="A2517" s="318">
        <v>91097868427</v>
      </c>
      <c r="B2517" s="318" t="s">
        <v>237</v>
      </c>
    </row>
    <row r="2518" spans="1:2" ht="12.75" customHeight="1" x14ac:dyDescent="0.25">
      <c r="A2518" s="318">
        <v>91097868511</v>
      </c>
      <c r="B2518" s="318" t="s">
        <v>237</v>
      </c>
    </row>
    <row r="2519" spans="1:2" ht="12.75" customHeight="1" x14ac:dyDescent="0.25">
      <c r="A2519" s="318">
        <v>91097868512</v>
      </c>
      <c r="B2519" s="318" t="s">
        <v>237</v>
      </c>
    </row>
    <row r="2520" spans="1:2" ht="12.75" customHeight="1" x14ac:dyDescent="0.25">
      <c r="A2520" s="318">
        <v>91097868513</v>
      </c>
      <c r="B2520" s="318" t="s">
        <v>237</v>
      </c>
    </row>
    <row r="2521" spans="1:2" ht="12.75" customHeight="1" x14ac:dyDescent="0.25">
      <c r="A2521" s="318">
        <v>91097868514</v>
      </c>
      <c r="B2521" s="318" t="s">
        <v>237</v>
      </c>
    </row>
    <row r="2522" spans="1:2" ht="12.75" customHeight="1" x14ac:dyDescent="0.25">
      <c r="A2522" s="318">
        <v>91097868515</v>
      </c>
      <c r="B2522" s="318" t="s">
        <v>237</v>
      </c>
    </row>
    <row r="2523" spans="1:2" ht="12.75" customHeight="1" x14ac:dyDescent="0.25">
      <c r="A2523" s="318">
        <v>91097868516</v>
      </c>
      <c r="B2523" s="318" t="s">
        <v>237</v>
      </c>
    </row>
    <row r="2524" spans="1:2" ht="12.75" customHeight="1" x14ac:dyDescent="0.25">
      <c r="A2524" s="318">
        <v>91097868517</v>
      </c>
      <c r="B2524" s="318" t="s">
        <v>237</v>
      </c>
    </row>
    <row r="2525" spans="1:2" ht="12.75" customHeight="1" x14ac:dyDescent="0.25">
      <c r="A2525" s="318">
        <v>91097868518</v>
      </c>
      <c r="B2525" s="318" t="s">
        <v>237</v>
      </c>
    </row>
    <row r="2526" spans="1:2" ht="12.75" customHeight="1" x14ac:dyDescent="0.25">
      <c r="A2526" s="318">
        <v>91097868520</v>
      </c>
      <c r="B2526" s="318" t="s">
        <v>237</v>
      </c>
    </row>
    <row r="2527" spans="1:2" ht="12.75" customHeight="1" x14ac:dyDescent="0.25">
      <c r="A2527" s="318">
        <v>91097868521</v>
      </c>
      <c r="B2527" s="318" t="s">
        <v>237</v>
      </c>
    </row>
    <row r="2528" spans="1:2" ht="12.75" customHeight="1" x14ac:dyDescent="0.25">
      <c r="A2528" s="318">
        <v>91097868522</v>
      </c>
      <c r="B2528" s="318" t="s">
        <v>237</v>
      </c>
    </row>
    <row r="2529" spans="1:2" ht="12.75" customHeight="1" x14ac:dyDescent="0.25">
      <c r="A2529" s="318">
        <v>91097868523</v>
      </c>
      <c r="B2529" s="318" t="s">
        <v>237</v>
      </c>
    </row>
    <row r="2530" spans="1:2" ht="12.75" customHeight="1" x14ac:dyDescent="0.25">
      <c r="A2530" s="318">
        <v>91097868524</v>
      </c>
      <c r="B2530" s="318" t="s">
        <v>237</v>
      </c>
    </row>
    <row r="2531" spans="1:2" ht="12.75" customHeight="1" x14ac:dyDescent="0.25">
      <c r="A2531" s="318">
        <v>91097868525</v>
      </c>
      <c r="B2531" s="318" t="s">
        <v>237</v>
      </c>
    </row>
    <row r="2532" spans="1:2" ht="12.75" customHeight="1" x14ac:dyDescent="0.25">
      <c r="A2532" s="318">
        <v>91097868526</v>
      </c>
      <c r="B2532" s="318" t="s">
        <v>237</v>
      </c>
    </row>
    <row r="2533" spans="1:2" ht="12.75" customHeight="1" x14ac:dyDescent="0.25">
      <c r="A2533" s="318">
        <v>91097868527</v>
      </c>
      <c r="B2533" s="318" t="s">
        <v>237</v>
      </c>
    </row>
    <row r="2534" spans="1:2" ht="12.75" customHeight="1" x14ac:dyDescent="0.25">
      <c r="A2534" s="318">
        <v>91098349384</v>
      </c>
      <c r="B2534" s="318" t="s">
        <v>23</v>
      </c>
    </row>
    <row r="2535" spans="1:2" ht="12.75" customHeight="1" x14ac:dyDescent="0.25">
      <c r="A2535" s="318">
        <v>91098349385</v>
      </c>
      <c r="B2535" s="318" t="s">
        <v>23</v>
      </c>
    </row>
    <row r="2536" spans="1:2" ht="12.75" customHeight="1" x14ac:dyDescent="0.25">
      <c r="A2536" s="318">
        <v>91098349386</v>
      </c>
      <c r="B2536" s="318" t="s">
        <v>23</v>
      </c>
    </row>
    <row r="2537" spans="1:2" ht="12.75" customHeight="1" x14ac:dyDescent="0.25">
      <c r="A2537" s="318">
        <v>91098349387</v>
      </c>
      <c r="B2537" s="318" t="s">
        <v>23</v>
      </c>
    </row>
    <row r="2538" spans="1:2" ht="12.75" customHeight="1" x14ac:dyDescent="0.25">
      <c r="A2538" s="318">
        <v>91098349388</v>
      </c>
      <c r="B2538" s="318" t="s">
        <v>23</v>
      </c>
    </row>
    <row r="2539" spans="1:2" ht="12.75" customHeight="1" x14ac:dyDescent="0.25">
      <c r="A2539" s="318">
        <v>91098349389</v>
      </c>
      <c r="B2539" s="318" t="s">
        <v>23</v>
      </c>
    </row>
    <row r="2540" spans="1:2" ht="12.75" customHeight="1" x14ac:dyDescent="0.25">
      <c r="A2540" s="318">
        <v>91098349390</v>
      </c>
      <c r="B2540" s="318" t="s">
        <v>23</v>
      </c>
    </row>
    <row r="2541" spans="1:2" ht="12.75" customHeight="1" x14ac:dyDescent="0.25">
      <c r="A2541" s="318">
        <v>91098349391</v>
      </c>
      <c r="B2541" s="318" t="s">
        <v>23</v>
      </c>
    </row>
    <row r="2542" spans="1:2" ht="12.75" customHeight="1" x14ac:dyDescent="0.25">
      <c r="A2542" s="318">
        <v>91098349393</v>
      </c>
      <c r="B2542" s="318" t="s">
        <v>23</v>
      </c>
    </row>
    <row r="2543" spans="1:2" ht="12.75" customHeight="1" x14ac:dyDescent="0.25">
      <c r="A2543" s="318">
        <v>91098349394</v>
      </c>
      <c r="B2543" s="318" t="s">
        <v>23</v>
      </c>
    </row>
    <row r="2544" spans="1:2" ht="12.75" customHeight="1" x14ac:dyDescent="0.25">
      <c r="A2544" s="318">
        <v>91098349395</v>
      </c>
      <c r="B2544" s="318" t="s">
        <v>23</v>
      </c>
    </row>
    <row r="2545" spans="1:2" ht="12.75" customHeight="1" x14ac:dyDescent="0.25">
      <c r="A2545" s="318">
        <v>91098349396</v>
      </c>
      <c r="B2545" s="318" t="s">
        <v>23</v>
      </c>
    </row>
    <row r="2546" spans="1:2" ht="12.75" customHeight="1" x14ac:dyDescent="0.25">
      <c r="A2546" s="318">
        <v>91098349397</v>
      </c>
      <c r="B2546" s="318" t="s">
        <v>23</v>
      </c>
    </row>
    <row r="2547" spans="1:2" ht="12.75" customHeight="1" x14ac:dyDescent="0.25">
      <c r="A2547" s="318">
        <v>91098349398</v>
      </c>
      <c r="B2547" s="318" t="s">
        <v>23</v>
      </c>
    </row>
    <row r="2548" spans="1:2" ht="12.75" customHeight="1" x14ac:dyDescent="0.25">
      <c r="A2548" s="318">
        <v>91098349399</v>
      </c>
      <c r="B2548" s="318" t="s">
        <v>23</v>
      </c>
    </row>
    <row r="2549" spans="1:2" ht="12.75" customHeight="1" x14ac:dyDescent="0.25">
      <c r="A2549" s="318">
        <v>91098349400</v>
      </c>
      <c r="B2549" s="318" t="s">
        <v>23</v>
      </c>
    </row>
    <row r="2550" spans="1:2" ht="12.75" customHeight="1" x14ac:dyDescent="0.25">
      <c r="A2550" s="318">
        <v>91098349484</v>
      </c>
      <c r="B2550" s="318" t="s">
        <v>237</v>
      </c>
    </row>
    <row r="2551" spans="1:2" ht="12.75" customHeight="1" x14ac:dyDescent="0.25">
      <c r="A2551" s="318">
        <v>91098349485</v>
      </c>
      <c r="B2551" s="318" t="s">
        <v>237</v>
      </c>
    </row>
    <row r="2552" spans="1:2" ht="12.75" customHeight="1" x14ac:dyDescent="0.25">
      <c r="A2552" s="318">
        <v>91098349486</v>
      </c>
      <c r="B2552" s="318" t="s">
        <v>237</v>
      </c>
    </row>
    <row r="2553" spans="1:2" ht="12.75" customHeight="1" x14ac:dyDescent="0.25">
      <c r="A2553" s="318">
        <v>91098349487</v>
      </c>
      <c r="B2553" s="318" t="s">
        <v>237</v>
      </c>
    </row>
    <row r="2554" spans="1:2" ht="12.75" customHeight="1" x14ac:dyDescent="0.25">
      <c r="A2554" s="318">
        <v>91098349488</v>
      </c>
      <c r="B2554" s="318" t="s">
        <v>237</v>
      </c>
    </row>
    <row r="2555" spans="1:2" ht="12.75" customHeight="1" x14ac:dyDescent="0.25">
      <c r="A2555" s="318">
        <v>91098349489</v>
      </c>
      <c r="B2555" s="318" t="s">
        <v>237</v>
      </c>
    </row>
    <row r="2556" spans="1:2" ht="12.75" customHeight="1" x14ac:dyDescent="0.25">
      <c r="A2556" s="318">
        <v>91098349490</v>
      </c>
      <c r="B2556" s="318" t="s">
        <v>237</v>
      </c>
    </row>
    <row r="2557" spans="1:2" ht="12.75" customHeight="1" x14ac:dyDescent="0.25">
      <c r="A2557" s="318">
        <v>91098349491</v>
      </c>
      <c r="B2557" s="318" t="s">
        <v>237</v>
      </c>
    </row>
    <row r="2558" spans="1:2" ht="12.75" customHeight="1" x14ac:dyDescent="0.25">
      <c r="A2558" s="318">
        <v>91098349493</v>
      </c>
      <c r="B2558" s="318" t="s">
        <v>237</v>
      </c>
    </row>
    <row r="2559" spans="1:2" ht="12.75" customHeight="1" x14ac:dyDescent="0.25">
      <c r="A2559" s="318">
        <v>91098349494</v>
      </c>
      <c r="B2559" s="318" t="s">
        <v>237</v>
      </c>
    </row>
    <row r="2560" spans="1:2" ht="12.75" customHeight="1" x14ac:dyDescent="0.25">
      <c r="A2560" s="318">
        <v>91098349495</v>
      </c>
      <c r="B2560" s="318" t="s">
        <v>237</v>
      </c>
    </row>
    <row r="2561" spans="1:2" ht="12.75" customHeight="1" x14ac:dyDescent="0.25">
      <c r="A2561" s="318">
        <v>91098349496</v>
      </c>
      <c r="B2561" s="318" t="s">
        <v>237</v>
      </c>
    </row>
    <row r="2562" spans="1:2" ht="12.75" customHeight="1" x14ac:dyDescent="0.25">
      <c r="A2562" s="318">
        <v>91098349497</v>
      </c>
      <c r="B2562" s="318" t="s">
        <v>237</v>
      </c>
    </row>
    <row r="2563" spans="1:2" ht="12.75" customHeight="1" x14ac:dyDescent="0.25">
      <c r="A2563" s="318">
        <v>91098349498</v>
      </c>
      <c r="B2563" s="318" t="s">
        <v>237</v>
      </c>
    </row>
    <row r="2564" spans="1:2" ht="12.75" customHeight="1" x14ac:dyDescent="0.25">
      <c r="A2564" s="318">
        <v>91098349499</v>
      </c>
      <c r="B2564" s="318" t="s">
        <v>237</v>
      </c>
    </row>
    <row r="2565" spans="1:2" ht="12.75" customHeight="1" x14ac:dyDescent="0.25">
      <c r="A2565" s="318">
        <v>91098349500</v>
      </c>
      <c r="B2565" s="318" t="s">
        <v>237</v>
      </c>
    </row>
    <row r="2566" spans="1:2" ht="12.75" customHeight="1" x14ac:dyDescent="0.25">
      <c r="A2566" s="318">
        <v>91099029575</v>
      </c>
      <c r="B2566" s="318" t="s">
        <v>23</v>
      </c>
    </row>
    <row r="2567" spans="1:2" ht="12.75" customHeight="1" x14ac:dyDescent="0.25">
      <c r="A2567" s="318">
        <v>91099029576</v>
      </c>
      <c r="B2567" s="318" t="s">
        <v>23</v>
      </c>
    </row>
    <row r="2568" spans="1:2" ht="12.75" customHeight="1" x14ac:dyDescent="0.25">
      <c r="A2568" s="318">
        <v>91099029577</v>
      </c>
      <c r="B2568" s="318" t="s">
        <v>23</v>
      </c>
    </row>
    <row r="2569" spans="1:2" ht="12.75" customHeight="1" x14ac:dyDescent="0.25">
      <c r="A2569" s="318">
        <v>91099029578</v>
      </c>
      <c r="B2569" s="318" t="s">
        <v>23</v>
      </c>
    </row>
    <row r="2570" spans="1:2" ht="12.75" customHeight="1" x14ac:dyDescent="0.25">
      <c r="A2570" s="318">
        <v>91099029579</v>
      </c>
      <c r="B2570" s="318" t="s">
        <v>23</v>
      </c>
    </row>
    <row r="2571" spans="1:2" ht="12.75" customHeight="1" x14ac:dyDescent="0.25">
      <c r="A2571" s="318">
        <v>91099029580</v>
      </c>
      <c r="B2571" s="318" t="s">
        <v>23</v>
      </c>
    </row>
    <row r="2572" spans="1:2" ht="12.75" customHeight="1" x14ac:dyDescent="0.25">
      <c r="A2572" s="318">
        <v>91099029581</v>
      </c>
      <c r="B2572" s="318" t="s">
        <v>23</v>
      </c>
    </row>
    <row r="2573" spans="1:2" ht="12.75" customHeight="1" x14ac:dyDescent="0.25">
      <c r="A2573" s="318">
        <v>91099029582</v>
      </c>
      <c r="B2573" s="318" t="s">
        <v>23</v>
      </c>
    </row>
    <row r="2574" spans="1:2" ht="12.75" customHeight="1" x14ac:dyDescent="0.25">
      <c r="A2574" s="318">
        <v>91099029584</v>
      </c>
      <c r="B2574" s="318" t="s">
        <v>237</v>
      </c>
    </row>
    <row r="2575" spans="1:2" ht="12.75" customHeight="1" x14ac:dyDescent="0.25">
      <c r="A2575" s="318">
        <v>91099029585</v>
      </c>
      <c r="B2575" s="318" t="s">
        <v>237</v>
      </c>
    </row>
    <row r="2576" spans="1:2" ht="12.75" customHeight="1" x14ac:dyDescent="0.25">
      <c r="A2576" s="318">
        <v>91099029586</v>
      </c>
      <c r="B2576" s="318" t="s">
        <v>237</v>
      </c>
    </row>
    <row r="2577" spans="1:2" ht="12.75" customHeight="1" x14ac:dyDescent="0.25">
      <c r="A2577" s="318">
        <v>91099029587</v>
      </c>
      <c r="B2577" s="318" t="s">
        <v>237</v>
      </c>
    </row>
    <row r="2578" spans="1:2" ht="12.75" customHeight="1" x14ac:dyDescent="0.25">
      <c r="A2578" s="318">
        <v>91099029588</v>
      </c>
      <c r="B2578" s="318" t="s">
        <v>237</v>
      </c>
    </row>
    <row r="2579" spans="1:2" ht="12.75" customHeight="1" x14ac:dyDescent="0.25">
      <c r="A2579" s="318">
        <v>91099029589</v>
      </c>
      <c r="B2579" s="318" t="s">
        <v>237</v>
      </c>
    </row>
    <row r="2580" spans="1:2" ht="12.75" customHeight="1" x14ac:dyDescent="0.25">
      <c r="A2580" s="318">
        <v>91099029590</v>
      </c>
      <c r="B2580" s="318" t="s">
        <v>237</v>
      </c>
    </row>
    <row r="2581" spans="1:2" ht="12.75" customHeight="1" x14ac:dyDescent="0.25">
      <c r="A2581" s="318">
        <v>91099029591</v>
      </c>
      <c r="B2581" s="318" t="s">
        <v>237</v>
      </c>
    </row>
    <row r="2582" spans="1:2" ht="12.75" customHeight="1" x14ac:dyDescent="0.25">
      <c r="A2582" s="318">
        <v>91099029675</v>
      </c>
      <c r="B2582" s="318" t="s">
        <v>237</v>
      </c>
    </row>
    <row r="2583" spans="1:2" ht="12.75" customHeight="1" x14ac:dyDescent="0.25">
      <c r="A2583" s="318">
        <v>91099029676</v>
      </c>
      <c r="B2583" s="318" t="s">
        <v>237</v>
      </c>
    </row>
    <row r="2584" spans="1:2" ht="12.75" customHeight="1" x14ac:dyDescent="0.25">
      <c r="A2584" s="318">
        <v>91099029677</v>
      </c>
      <c r="B2584" s="318" t="s">
        <v>237</v>
      </c>
    </row>
    <row r="2585" spans="1:2" ht="12.75" customHeight="1" x14ac:dyDescent="0.25">
      <c r="A2585" s="318">
        <v>91099029678</v>
      </c>
      <c r="B2585" s="318" t="s">
        <v>237</v>
      </c>
    </row>
    <row r="2586" spans="1:2" ht="12.75" customHeight="1" x14ac:dyDescent="0.25">
      <c r="A2586" s="318">
        <v>91099029679</v>
      </c>
      <c r="B2586" s="318" t="s">
        <v>237</v>
      </c>
    </row>
    <row r="2587" spans="1:2" ht="12.75" customHeight="1" x14ac:dyDescent="0.25">
      <c r="A2587" s="318">
        <v>91099029680</v>
      </c>
      <c r="B2587" s="318" t="s">
        <v>237</v>
      </c>
    </row>
    <row r="2588" spans="1:2" ht="12.75" customHeight="1" x14ac:dyDescent="0.25">
      <c r="A2588" s="318">
        <v>91099029681</v>
      </c>
      <c r="B2588" s="318" t="s">
        <v>237</v>
      </c>
    </row>
    <row r="2589" spans="1:2" ht="12.75" customHeight="1" x14ac:dyDescent="0.25">
      <c r="A2589" s="318">
        <v>91099029682</v>
      </c>
      <c r="B2589" s="318" t="s">
        <v>237</v>
      </c>
    </row>
    <row r="2590" spans="1:2" ht="12.75" customHeight="1" x14ac:dyDescent="0.25">
      <c r="A2590" s="318">
        <v>91099029684</v>
      </c>
      <c r="B2590" s="318" t="s">
        <v>237</v>
      </c>
    </row>
    <row r="2591" spans="1:2" ht="12.75" customHeight="1" x14ac:dyDescent="0.25">
      <c r="A2591" s="318">
        <v>91099029685</v>
      </c>
      <c r="B2591" s="318" t="s">
        <v>237</v>
      </c>
    </row>
    <row r="2592" spans="1:2" ht="12.75" customHeight="1" x14ac:dyDescent="0.25">
      <c r="A2592" s="318">
        <v>91099029686</v>
      </c>
      <c r="B2592" s="318" t="s">
        <v>237</v>
      </c>
    </row>
    <row r="2593" spans="1:2" ht="12.75" customHeight="1" x14ac:dyDescent="0.25">
      <c r="A2593" s="318">
        <v>91099029687</v>
      </c>
      <c r="B2593" s="318" t="s">
        <v>237</v>
      </c>
    </row>
    <row r="2594" spans="1:2" ht="12.75" customHeight="1" x14ac:dyDescent="0.25">
      <c r="A2594" s="318">
        <v>91099029688</v>
      </c>
      <c r="B2594" s="318" t="s">
        <v>237</v>
      </c>
    </row>
    <row r="2595" spans="1:2" ht="12.75" customHeight="1" x14ac:dyDescent="0.25">
      <c r="A2595" s="318">
        <v>91099029689</v>
      </c>
      <c r="B2595" s="318" t="s">
        <v>237</v>
      </c>
    </row>
    <row r="2596" spans="1:2" ht="12.75" customHeight="1" x14ac:dyDescent="0.25">
      <c r="A2596" s="318">
        <v>91099029690</v>
      </c>
      <c r="B2596" s="318" t="s">
        <v>237</v>
      </c>
    </row>
    <row r="2597" spans="1:2" ht="12.75" customHeight="1" x14ac:dyDescent="0.25">
      <c r="A2597" s="318">
        <v>91099029691</v>
      </c>
      <c r="B2597" s="318" t="s">
        <v>237</v>
      </c>
    </row>
    <row r="2598" spans="1:2" ht="12.75" customHeight="1" x14ac:dyDescent="0.25">
      <c r="A2598" s="318">
        <v>91099510548</v>
      </c>
      <c r="B2598" s="318" t="s">
        <v>23</v>
      </c>
    </row>
    <row r="2599" spans="1:2" ht="12.75" customHeight="1" x14ac:dyDescent="0.25">
      <c r="A2599" s="318">
        <v>91099510549</v>
      </c>
      <c r="B2599" s="318" t="s">
        <v>23</v>
      </c>
    </row>
    <row r="2600" spans="1:2" ht="12.75" customHeight="1" x14ac:dyDescent="0.25">
      <c r="A2600" s="318">
        <v>91099510550</v>
      </c>
      <c r="B2600" s="318" t="s">
        <v>23</v>
      </c>
    </row>
    <row r="2601" spans="1:2" ht="12.75" customHeight="1" x14ac:dyDescent="0.25">
      <c r="A2601" s="318">
        <v>91099510551</v>
      </c>
      <c r="B2601" s="318" t="s">
        <v>23</v>
      </c>
    </row>
    <row r="2602" spans="1:2" ht="12.75" customHeight="1" x14ac:dyDescent="0.25">
      <c r="A2602" s="318">
        <v>91099510552</v>
      </c>
      <c r="B2602" s="318" t="s">
        <v>23</v>
      </c>
    </row>
    <row r="2603" spans="1:2" ht="12.75" customHeight="1" x14ac:dyDescent="0.25">
      <c r="A2603" s="318">
        <v>91099510553</v>
      </c>
      <c r="B2603" s="318" t="s">
        <v>23</v>
      </c>
    </row>
    <row r="2604" spans="1:2" ht="12.75" customHeight="1" x14ac:dyDescent="0.25">
      <c r="A2604" s="318">
        <v>91099510554</v>
      </c>
      <c r="B2604" s="318" t="s">
        <v>23</v>
      </c>
    </row>
    <row r="2605" spans="1:2" ht="12.75" customHeight="1" x14ac:dyDescent="0.25">
      <c r="A2605" s="318">
        <v>91099510555</v>
      </c>
      <c r="B2605" s="318" t="s">
        <v>23</v>
      </c>
    </row>
    <row r="2606" spans="1:2" ht="12.75" customHeight="1" x14ac:dyDescent="0.25">
      <c r="A2606" s="318">
        <v>91099510557</v>
      </c>
      <c r="B2606" s="318" t="s">
        <v>237</v>
      </c>
    </row>
    <row r="2607" spans="1:2" ht="12.75" customHeight="1" x14ac:dyDescent="0.25">
      <c r="A2607" s="318">
        <v>91099510558</v>
      </c>
      <c r="B2607" s="318" t="s">
        <v>237</v>
      </c>
    </row>
    <row r="2608" spans="1:2" ht="12.75" customHeight="1" x14ac:dyDescent="0.25">
      <c r="A2608" s="318">
        <v>91099510559</v>
      </c>
      <c r="B2608" s="318" t="s">
        <v>237</v>
      </c>
    </row>
    <row r="2609" spans="1:2" ht="12.75" customHeight="1" x14ac:dyDescent="0.25">
      <c r="A2609" s="318">
        <v>91099510560</v>
      </c>
      <c r="B2609" s="318" t="s">
        <v>237</v>
      </c>
    </row>
    <row r="2610" spans="1:2" ht="12.75" customHeight="1" x14ac:dyDescent="0.25">
      <c r="A2610" s="318">
        <v>91099510561</v>
      </c>
      <c r="B2610" s="318" t="s">
        <v>237</v>
      </c>
    </row>
    <row r="2611" spans="1:2" ht="12.75" customHeight="1" x14ac:dyDescent="0.25">
      <c r="A2611" s="318">
        <v>91099510562</v>
      </c>
      <c r="B2611" s="318" t="s">
        <v>237</v>
      </c>
    </row>
    <row r="2612" spans="1:2" ht="12.75" customHeight="1" x14ac:dyDescent="0.25">
      <c r="A2612" s="318">
        <v>91099510563</v>
      </c>
      <c r="B2612" s="318" t="s">
        <v>237</v>
      </c>
    </row>
    <row r="2613" spans="1:2" ht="12.75" customHeight="1" x14ac:dyDescent="0.25">
      <c r="A2613" s="318">
        <v>91099510564</v>
      </c>
      <c r="B2613" s="318" t="s">
        <v>237</v>
      </c>
    </row>
    <row r="2614" spans="1:2" ht="12.75" customHeight="1" x14ac:dyDescent="0.25">
      <c r="A2614" s="318">
        <v>91099510648</v>
      </c>
      <c r="B2614" s="318" t="s">
        <v>237</v>
      </c>
    </row>
    <row r="2615" spans="1:2" ht="12.75" customHeight="1" x14ac:dyDescent="0.25">
      <c r="A2615" s="318">
        <v>91099510649</v>
      </c>
      <c r="B2615" s="318" t="s">
        <v>237</v>
      </c>
    </row>
    <row r="2616" spans="1:2" ht="12.75" customHeight="1" x14ac:dyDescent="0.25">
      <c r="A2616" s="318">
        <v>91099510650</v>
      </c>
      <c r="B2616" s="318" t="s">
        <v>237</v>
      </c>
    </row>
    <row r="2617" spans="1:2" ht="12.75" customHeight="1" x14ac:dyDescent="0.25">
      <c r="A2617" s="318">
        <v>91099510651</v>
      </c>
      <c r="B2617" s="318" t="s">
        <v>237</v>
      </c>
    </row>
    <row r="2618" spans="1:2" ht="12.75" customHeight="1" x14ac:dyDescent="0.25">
      <c r="A2618" s="318">
        <v>91099510652</v>
      </c>
      <c r="B2618" s="318" t="s">
        <v>237</v>
      </c>
    </row>
    <row r="2619" spans="1:2" ht="12.75" customHeight="1" x14ac:dyDescent="0.25">
      <c r="A2619" s="318">
        <v>91099510653</v>
      </c>
      <c r="B2619" s="318" t="s">
        <v>237</v>
      </c>
    </row>
    <row r="2620" spans="1:2" ht="12.75" customHeight="1" x14ac:dyDescent="0.25">
      <c r="A2620" s="318">
        <v>91099510654</v>
      </c>
      <c r="B2620" s="318" t="s">
        <v>237</v>
      </c>
    </row>
    <row r="2621" spans="1:2" ht="12.75" customHeight="1" x14ac:dyDescent="0.25">
      <c r="A2621" s="318">
        <v>91099510655</v>
      </c>
      <c r="B2621" s="318" t="s">
        <v>237</v>
      </c>
    </row>
    <row r="2622" spans="1:2" ht="12.75" customHeight="1" x14ac:dyDescent="0.25">
      <c r="A2622" s="318">
        <v>91099510657</v>
      </c>
      <c r="B2622" s="318" t="s">
        <v>237</v>
      </c>
    </row>
    <row r="2623" spans="1:2" ht="12.75" customHeight="1" x14ac:dyDescent="0.25">
      <c r="A2623" s="318">
        <v>91099510658</v>
      </c>
      <c r="B2623" s="318" t="s">
        <v>237</v>
      </c>
    </row>
    <row r="2624" spans="1:2" ht="12.75" customHeight="1" x14ac:dyDescent="0.25">
      <c r="A2624" s="318">
        <v>91099510659</v>
      </c>
      <c r="B2624" s="318" t="s">
        <v>237</v>
      </c>
    </row>
    <row r="2625" spans="1:2" ht="12.75" customHeight="1" x14ac:dyDescent="0.25">
      <c r="A2625" s="318">
        <v>91099510660</v>
      </c>
      <c r="B2625" s="318" t="s">
        <v>237</v>
      </c>
    </row>
    <row r="2626" spans="1:2" ht="12.75" customHeight="1" x14ac:dyDescent="0.25">
      <c r="A2626" s="318">
        <v>91099510661</v>
      </c>
      <c r="B2626" s="318" t="s">
        <v>237</v>
      </c>
    </row>
    <row r="2627" spans="1:2" ht="12.75" customHeight="1" x14ac:dyDescent="0.25">
      <c r="A2627" s="318">
        <v>91099510662</v>
      </c>
      <c r="B2627" s="318" t="s">
        <v>237</v>
      </c>
    </row>
    <row r="2628" spans="1:2" ht="12.75" customHeight="1" x14ac:dyDescent="0.25">
      <c r="A2628" s="318">
        <v>91099510663</v>
      </c>
      <c r="B2628" s="318" t="s">
        <v>237</v>
      </c>
    </row>
    <row r="2629" spans="1:2" ht="12.75" customHeight="1" x14ac:dyDescent="0.25">
      <c r="A2629" s="318">
        <v>91099510664</v>
      </c>
      <c r="B2629" s="318" t="s">
        <v>237</v>
      </c>
    </row>
    <row r="2630" spans="1:2" ht="12.75" customHeight="1" x14ac:dyDescent="0.25">
      <c r="A2630" s="318">
        <v>91099991521</v>
      </c>
      <c r="B2630" s="318" t="s">
        <v>23</v>
      </c>
    </row>
    <row r="2631" spans="1:2" ht="12.75" customHeight="1" x14ac:dyDescent="0.25">
      <c r="A2631" s="318">
        <v>91099991522</v>
      </c>
      <c r="B2631" s="318" t="s">
        <v>23</v>
      </c>
    </row>
    <row r="2632" spans="1:2" ht="12.75" customHeight="1" x14ac:dyDescent="0.25">
      <c r="A2632" s="318">
        <v>91099991523</v>
      </c>
      <c r="B2632" s="318" t="s">
        <v>23</v>
      </c>
    </row>
    <row r="2633" spans="1:2" ht="12.75" customHeight="1" x14ac:dyDescent="0.25">
      <c r="A2633" s="318">
        <v>91099991524</v>
      </c>
      <c r="B2633" s="318" t="s">
        <v>23</v>
      </c>
    </row>
    <row r="2634" spans="1:2" ht="12.75" customHeight="1" x14ac:dyDescent="0.25">
      <c r="A2634" s="318">
        <v>91099991525</v>
      </c>
      <c r="B2634" s="318" t="s">
        <v>23</v>
      </c>
    </row>
    <row r="2635" spans="1:2" ht="12.75" customHeight="1" x14ac:dyDescent="0.25">
      <c r="A2635" s="318">
        <v>91099991526</v>
      </c>
      <c r="B2635" s="318" t="s">
        <v>23</v>
      </c>
    </row>
    <row r="2636" spans="1:2" ht="12.75" customHeight="1" x14ac:dyDescent="0.25">
      <c r="A2636" s="318">
        <v>91099991527</v>
      </c>
      <c r="B2636" s="318" t="s">
        <v>23</v>
      </c>
    </row>
    <row r="2637" spans="1:2" ht="12.75" customHeight="1" x14ac:dyDescent="0.25">
      <c r="A2637" s="318">
        <v>91099991528</v>
      </c>
      <c r="B2637" s="318" t="s">
        <v>23</v>
      </c>
    </row>
    <row r="2638" spans="1:2" ht="12.75" customHeight="1" x14ac:dyDescent="0.25">
      <c r="A2638" s="318">
        <v>91099991530</v>
      </c>
      <c r="B2638" s="318" t="s">
        <v>23</v>
      </c>
    </row>
    <row r="2639" spans="1:2" ht="12.75" customHeight="1" x14ac:dyDescent="0.25">
      <c r="A2639" s="318">
        <v>91099991531</v>
      </c>
      <c r="B2639" s="318" t="s">
        <v>23</v>
      </c>
    </row>
    <row r="2640" spans="1:2" ht="12.75" customHeight="1" x14ac:dyDescent="0.25">
      <c r="A2640" s="318">
        <v>91099991532</v>
      </c>
      <c r="B2640" s="318" t="s">
        <v>23</v>
      </c>
    </row>
    <row r="2641" spans="1:2" ht="12.75" customHeight="1" x14ac:dyDescent="0.25">
      <c r="A2641" s="318">
        <v>91099991533</v>
      </c>
      <c r="B2641" s="318" t="s">
        <v>23</v>
      </c>
    </row>
    <row r="2642" spans="1:2" ht="12.75" customHeight="1" x14ac:dyDescent="0.25">
      <c r="A2642" s="318">
        <v>91099991534</v>
      </c>
      <c r="B2642" s="318" t="s">
        <v>23</v>
      </c>
    </row>
    <row r="2643" spans="1:2" ht="12.75" customHeight="1" x14ac:dyDescent="0.25">
      <c r="A2643" s="318">
        <v>91099991535</v>
      </c>
      <c r="B2643" s="318" t="s">
        <v>23</v>
      </c>
    </row>
    <row r="2644" spans="1:2" ht="12.75" customHeight="1" x14ac:dyDescent="0.25">
      <c r="A2644" s="318">
        <v>91099991536</v>
      </c>
      <c r="B2644" s="318" t="s">
        <v>23</v>
      </c>
    </row>
    <row r="2645" spans="1:2" ht="12.75" customHeight="1" x14ac:dyDescent="0.25">
      <c r="A2645" s="318">
        <v>91099991537</v>
      </c>
      <c r="B2645" s="318" t="s">
        <v>23</v>
      </c>
    </row>
    <row r="2646" spans="1:2" ht="12.75" customHeight="1" x14ac:dyDescent="0.25">
      <c r="A2646" s="318">
        <v>91099991621</v>
      </c>
      <c r="B2646" s="318" t="s">
        <v>237</v>
      </c>
    </row>
    <row r="2647" spans="1:2" ht="12.75" customHeight="1" x14ac:dyDescent="0.25">
      <c r="A2647" s="318">
        <v>91099991622</v>
      </c>
      <c r="B2647" s="318" t="s">
        <v>237</v>
      </c>
    </row>
    <row r="2648" spans="1:2" ht="12.75" customHeight="1" x14ac:dyDescent="0.25">
      <c r="A2648" s="318">
        <v>91099991623</v>
      </c>
      <c r="B2648" s="318" t="s">
        <v>237</v>
      </c>
    </row>
    <row r="2649" spans="1:2" ht="12.75" customHeight="1" x14ac:dyDescent="0.25">
      <c r="A2649" s="318">
        <v>91099991624</v>
      </c>
      <c r="B2649" s="318" t="s">
        <v>237</v>
      </c>
    </row>
    <row r="2650" spans="1:2" ht="12.75" customHeight="1" x14ac:dyDescent="0.25">
      <c r="A2650" s="318">
        <v>91099991625</v>
      </c>
      <c r="B2650" s="318" t="s">
        <v>237</v>
      </c>
    </row>
    <row r="2651" spans="1:2" ht="12.75" customHeight="1" x14ac:dyDescent="0.25">
      <c r="A2651" s="318">
        <v>91099991626</v>
      </c>
      <c r="B2651" s="318" t="s">
        <v>237</v>
      </c>
    </row>
    <row r="2652" spans="1:2" ht="12.75" customHeight="1" x14ac:dyDescent="0.25">
      <c r="A2652" s="318">
        <v>91099991627</v>
      </c>
      <c r="B2652" s="318" t="s">
        <v>237</v>
      </c>
    </row>
    <row r="2653" spans="1:2" ht="12.75" customHeight="1" x14ac:dyDescent="0.25">
      <c r="A2653" s="318">
        <v>91099991628</v>
      </c>
      <c r="B2653" s="318" t="s">
        <v>237</v>
      </c>
    </row>
    <row r="2654" spans="1:2" ht="12.75" customHeight="1" x14ac:dyDescent="0.25">
      <c r="A2654" s="318">
        <v>91099991630</v>
      </c>
      <c r="B2654" s="318" t="s">
        <v>237</v>
      </c>
    </row>
    <row r="2655" spans="1:2" ht="12.75" customHeight="1" x14ac:dyDescent="0.25">
      <c r="A2655" s="318">
        <v>91099991631</v>
      </c>
      <c r="B2655" s="318" t="s">
        <v>237</v>
      </c>
    </row>
    <row r="2656" spans="1:2" ht="12.75" customHeight="1" x14ac:dyDescent="0.25">
      <c r="A2656" s="318">
        <v>91099991632</v>
      </c>
      <c r="B2656" s="318" t="s">
        <v>237</v>
      </c>
    </row>
    <row r="2657" spans="1:2" ht="12.75" customHeight="1" x14ac:dyDescent="0.25">
      <c r="A2657" s="318">
        <v>91099991633</v>
      </c>
      <c r="B2657" s="318" t="s">
        <v>237</v>
      </c>
    </row>
    <row r="2658" spans="1:2" ht="12.75" customHeight="1" x14ac:dyDescent="0.25">
      <c r="A2658" s="318">
        <v>91099991634</v>
      </c>
      <c r="B2658" s="318" t="s">
        <v>237</v>
      </c>
    </row>
    <row r="2659" spans="1:2" ht="12.75" customHeight="1" x14ac:dyDescent="0.25">
      <c r="A2659" s="318">
        <v>91099991635</v>
      </c>
      <c r="B2659" s="318" t="s">
        <v>237</v>
      </c>
    </row>
    <row r="2660" spans="1:2" ht="12.75" customHeight="1" x14ac:dyDescent="0.25">
      <c r="A2660" s="318">
        <v>91099991636</v>
      </c>
      <c r="B2660" s="318" t="s">
        <v>237</v>
      </c>
    </row>
    <row r="2661" spans="1:2" ht="12.75" customHeight="1" x14ac:dyDescent="0.25">
      <c r="A2661" s="318">
        <v>91099991637</v>
      </c>
      <c r="B2661" s="318" t="s">
        <v>237</v>
      </c>
    </row>
    <row r="2662" spans="1:2" ht="12.75" customHeight="1" x14ac:dyDescent="0.25">
      <c r="A2662" s="318">
        <v>91100671712</v>
      </c>
      <c r="B2662" s="318" t="s">
        <v>23</v>
      </c>
    </row>
    <row r="2663" spans="1:2" ht="12.75" customHeight="1" x14ac:dyDescent="0.25">
      <c r="A2663" s="318">
        <v>91100671713</v>
      </c>
      <c r="B2663" s="318" t="s">
        <v>23</v>
      </c>
    </row>
    <row r="2664" spans="1:2" ht="12.75" customHeight="1" x14ac:dyDescent="0.25">
      <c r="A2664" s="318">
        <v>91100671714</v>
      </c>
      <c r="B2664" s="318" t="s">
        <v>23</v>
      </c>
    </row>
    <row r="2665" spans="1:2" ht="12.75" customHeight="1" x14ac:dyDescent="0.25">
      <c r="A2665" s="318">
        <v>91100671715</v>
      </c>
      <c r="B2665" s="318" t="s">
        <v>23</v>
      </c>
    </row>
    <row r="2666" spans="1:2" ht="12.75" customHeight="1" x14ac:dyDescent="0.25">
      <c r="A2666" s="318">
        <v>91100671716</v>
      </c>
      <c r="B2666" s="318" t="s">
        <v>23</v>
      </c>
    </row>
    <row r="2667" spans="1:2" ht="12.75" customHeight="1" x14ac:dyDescent="0.25">
      <c r="A2667" s="318">
        <v>91100671717</v>
      </c>
      <c r="B2667" s="318" t="s">
        <v>23</v>
      </c>
    </row>
    <row r="2668" spans="1:2" ht="12.75" customHeight="1" x14ac:dyDescent="0.25">
      <c r="A2668" s="318">
        <v>91100671718</v>
      </c>
      <c r="B2668" s="318" t="s">
        <v>23</v>
      </c>
    </row>
    <row r="2669" spans="1:2" ht="12.75" customHeight="1" x14ac:dyDescent="0.25">
      <c r="A2669" s="318">
        <v>91100671719</v>
      </c>
      <c r="B2669" s="318" t="s">
        <v>23</v>
      </c>
    </row>
    <row r="2670" spans="1:2" ht="12.75" customHeight="1" x14ac:dyDescent="0.25">
      <c r="A2670" s="318">
        <v>91100671721</v>
      </c>
      <c r="B2670" s="318" t="s">
        <v>23</v>
      </c>
    </row>
    <row r="2671" spans="1:2" ht="12.75" customHeight="1" x14ac:dyDescent="0.25">
      <c r="A2671" s="318">
        <v>91100671722</v>
      </c>
      <c r="B2671" s="318" t="s">
        <v>23</v>
      </c>
    </row>
    <row r="2672" spans="1:2" ht="12.75" customHeight="1" x14ac:dyDescent="0.25">
      <c r="A2672" s="318">
        <v>91100671723</v>
      </c>
      <c r="B2672" s="318" t="s">
        <v>23</v>
      </c>
    </row>
    <row r="2673" spans="1:2" ht="12.75" customHeight="1" x14ac:dyDescent="0.25">
      <c r="A2673" s="318">
        <v>91100671724</v>
      </c>
      <c r="B2673" s="318" t="s">
        <v>23</v>
      </c>
    </row>
    <row r="2674" spans="1:2" ht="12.75" customHeight="1" x14ac:dyDescent="0.25">
      <c r="A2674" s="318">
        <v>91100671725</v>
      </c>
      <c r="B2674" s="318" t="s">
        <v>23</v>
      </c>
    </row>
    <row r="2675" spans="1:2" ht="12.75" customHeight="1" x14ac:dyDescent="0.25">
      <c r="A2675" s="318">
        <v>91100671726</v>
      </c>
      <c r="B2675" s="318" t="s">
        <v>23</v>
      </c>
    </row>
    <row r="2676" spans="1:2" ht="12.75" customHeight="1" x14ac:dyDescent="0.25">
      <c r="A2676" s="318">
        <v>91100671727</v>
      </c>
      <c r="B2676" s="318" t="s">
        <v>23</v>
      </c>
    </row>
    <row r="2677" spans="1:2" ht="12.75" customHeight="1" x14ac:dyDescent="0.25">
      <c r="A2677" s="318">
        <v>91100671728</v>
      </c>
      <c r="B2677" s="318" t="s">
        <v>23</v>
      </c>
    </row>
    <row r="2678" spans="1:2" ht="12.75" customHeight="1" x14ac:dyDescent="0.25">
      <c r="A2678" s="318">
        <v>91100671812</v>
      </c>
      <c r="B2678" s="318" t="s">
        <v>237</v>
      </c>
    </row>
    <row r="2679" spans="1:2" ht="12.75" customHeight="1" x14ac:dyDescent="0.25">
      <c r="A2679" s="318">
        <v>91100671813</v>
      </c>
      <c r="B2679" s="318" t="s">
        <v>237</v>
      </c>
    </row>
    <row r="2680" spans="1:2" ht="12.75" customHeight="1" x14ac:dyDescent="0.25">
      <c r="A2680" s="318">
        <v>91100671814</v>
      </c>
      <c r="B2680" s="318" t="s">
        <v>237</v>
      </c>
    </row>
    <row r="2681" spans="1:2" ht="12.75" customHeight="1" x14ac:dyDescent="0.25">
      <c r="A2681" s="318">
        <v>91100671815</v>
      </c>
      <c r="B2681" s="318" t="s">
        <v>237</v>
      </c>
    </row>
    <row r="2682" spans="1:2" ht="12.75" customHeight="1" x14ac:dyDescent="0.25">
      <c r="A2682" s="318">
        <v>91100671816</v>
      </c>
      <c r="B2682" s="318" t="s">
        <v>237</v>
      </c>
    </row>
    <row r="2683" spans="1:2" ht="12.75" customHeight="1" x14ac:dyDescent="0.25">
      <c r="A2683" s="318">
        <v>91100671817</v>
      </c>
      <c r="B2683" s="318" t="s">
        <v>237</v>
      </c>
    </row>
    <row r="2684" spans="1:2" ht="12.75" customHeight="1" x14ac:dyDescent="0.25">
      <c r="A2684" s="318">
        <v>91100671818</v>
      </c>
      <c r="B2684" s="318" t="s">
        <v>237</v>
      </c>
    </row>
    <row r="2685" spans="1:2" ht="12.75" customHeight="1" x14ac:dyDescent="0.25">
      <c r="A2685" s="318">
        <v>91100671819</v>
      </c>
      <c r="B2685" s="318" t="s">
        <v>237</v>
      </c>
    </row>
    <row r="2686" spans="1:2" ht="12.75" customHeight="1" x14ac:dyDescent="0.25">
      <c r="A2686" s="318">
        <v>91100671821</v>
      </c>
      <c r="B2686" s="318" t="s">
        <v>237</v>
      </c>
    </row>
    <row r="2687" spans="1:2" ht="12.75" customHeight="1" x14ac:dyDescent="0.25">
      <c r="A2687" s="318">
        <v>91100671822</v>
      </c>
      <c r="B2687" s="318" t="s">
        <v>237</v>
      </c>
    </row>
    <row r="2688" spans="1:2" ht="12.75" customHeight="1" x14ac:dyDescent="0.25">
      <c r="A2688" s="318">
        <v>91100671823</v>
      </c>
      <c r="B2688" s="318" t="s">
        <v>237</v>
      </c>
    </row>
    <row r="2689" spans="1:2" ht="12.75" customHeight="1" x14ac:dyDescent="0.25">
      <c r="A2689" s="318">
        <v>91100671824</v>
      </c>
      <c r="B2689" s="318" t="s">
        <v>237</v>
      </c>
    </row>
    <row r="2690" spans="1:2" ht="12.75" customHeight="1" x14ac:dyDescent="0.25">
      <c r="A2690" s="318">
        <v>91100671825</v>
      </c>
      <c r="B2690" s="318" t="s">
        <v>237</v>
      </c>
    </row>
    <row r="2691" spans="1:2" ht="12.75" customHeight="1" x14ac:dyDescent="0.25">
      <c r="A2691" s="318">
        <v>91100671826</v>
      </c>
      <c r="B2691" s="318" t="s">
        <v>237</v>
      </c>
    </row>
    <row r="2692" spans="1:2" ht="12.75" customHeight="1" x14ac:dyDescent="0.25">
      <c r="A2692" s="318">
        <v>91100671827</v>
      </c>
      <c r="B2692" s="318" t="s">
        <v>237</v>
      </c>
    </row>
    <row r="2693" spans="1:2" ht="12.75" customHeight="1" x14ac:dyDescent="0.25">
      <c r="A2693" s="318">
        <v>91100671828</v>
      </c>
      <c r="B2693" s="318" t="s">
        <v>237</v>
      </c>
    </row>
    <row r="2694" spans="1:2" ht="12.75" customHeight="1" x14ac:dyDescent="0.25">
      <c r="A2694" s="318">
        <v>91101152685</v>
      </c>
      <c r="B2694" s="318" t="s">
        <v>23</v>
      </c>
    </row>
    <row r="2695" spans="1:2" ht="12.75" customHeight="1" x14ac:dyDescent="0.25">
      <c r="A2695" s="318">
        <v>91101152686</v>
      </c>
      <c r="B2695" s="318" t="s">
        <v>23</v>
      </c>
    </row>
    <row r="2696" spans="1:2" ht="12.75" customHeight="1" x14ac:dyDescent="0.25">
      <c r="A2696" s="318">
        <v>91101152687</v>
      </c>
      <c r="B2696" s="318" t="s">
        <v>23</v>
      </c>
    </row>
    <row r="2697" spans="1:2" ht="12.75" customHeight="1" x14ac:dyDescent="0.25">
      <c r="A2697" s="318">
        <v>91101152688</v>
      </c>
      <c r="B2697" s="318" t="s">
        <v>23</v>
      </c>
    </row>
    <row r="2698" spans="1:2" ht="12.75" customHeight="1" x14ac:dyDescent="0.25">
      <c r="A2698" s="318">
        <v>91101152689</v>
      </c>
      <c r="B2698" s="318" t="s">
        <v>23</v>
      </c>
    </row>
    <row r="2699" spans="1:2" ht="12.75" customHeight="1" x14ac:dyDescent="0.25">
      <c r="A2699" s="318">
        <v>91101152690</v>
      </c>
      <c r="B2699" s="318" t="s">
        <v>23</v>
      </c>
    </row>
    <row r="2700" spans="1:2" ht="12.75" customHeight="1" x14ac:dyDescent="0.25">
      <c r="A2700" s="318">
        <v>91101152691</v>
      </c>
      <c r="B2700" s="318" t="s">
        <v>23</v>
      </c>
    </row>
    <row r="2701" spans="1:2" ht="12.75" customHeight="1" x14ac:dyDescent="0.25">
      <c r="A2701" s="318">
        <v>91101152692</v>
      </c>
      <c r="B2701" s="318" t="s">
        <v>23</v>
      </c>
    </row>
    <row r="2702" spans="1:2" ht="12.75" customHeight="1" x14ac:dyDescent="0.25">
      <c r="A2702" s="318">
        <v>91101152694</v>
      </c>
      <c r="B2702" s="318" t="s">
        <v>23</v>
      </c>
    </row>
    <row r="2703" spans="1:2" ht="12.75" customHeight="1" x14ac:dyDescent="0.25">
      <c r="A2703" s="318">
        <v>91101152695</v>
      </c>
      <c r="B2703" s="318" t="s">
        <v>23</v>
      </c>
    </row>
    <row r="2704" spans="1:2" ht="12.75" customHeight="1" x14ac:dyDescent="0.25">
      <c r="A2704" s="318">
        <v>91101152696</v>
      </c>
      <c r="B2704" s="318" t="s">
        <v>23</v>
      </c>
    </row>
    <row r="2705" spans="1:2" ht="12.75" customHeight="1" x14ac:dyDescent="0.25">
      <c r="A2705" s="318">
        <v>91101152697</v>
      </c>
      <c r="B2705" s="318" t="s">
        <v>23</v>
      </c>
    </row>
    <row r="2706" spans="1:2" ht="12.75" customHeight="1" x14ac:dyDescent="0.25">
      <c r="A2706" s="318">
        <v>91101152698</v>
      </c>
      <c r="B2706" s="318" t="s">
        <v>23</v>
      </c>
    </row>
    <row r="2707" spans="1:2" ht="12.75" customHeight="1" x14ac:dyDescent="0.25">
      <c r="A2707" s="318">
        <v>91101152699</v>
      </c>
      <c r="B2707" s="318" t="s">
        <v>23</v>
      </c>
    </row>
    <row r="2708" spans="1:2" ht="12.75" customHeight="1" x14ac:dyDescent="0.25">
      <c r="A2708" s="318">
        <v>91101152700</v>
      </c>
      <c r="B2708" s="318" t="s">
        <v>23</v>
      </c>
    </row>
    <row r="2709" spans="1:2" ht="12.75" customHeight="1" x14ac:dyDescent="0.25">
      <c r="A2709" s="318">
        <v>91101152701</v>
      </c>
      <c r="B2709" s="318" t="s">
        <v>23</v>
      </c>
    </row>
    <row r="2710" spans="1:2" ht="12.75" customHeight="1" x14ac:dyDescent="0.25">
      <c r="A2710" s="318">
        <v>91101152785</v>
      </c>
      <c r="B2710" s="318" t="s">
        <v>237</v>
      </c>
    </row>
    <row r="2711" spans="1:2" ht="12.75" customHeight="1" x14ac:dyDescent="0.25">
      <c r="A2711" s="318">
        <v>91101152786</v>
      </c>
      <c r="B2711" s="318" t="s">
        <v>237</v>
      </c>
    </row>
    <row r="2712" spans="1:2" ht="12.75" customHeight="1" x14ac:dyDescent="0.25">
      <c r="A2712" s="318">
        <v>91101152787</v>
      </c>
      <c r="B2712" s="318" t="s">
        <v>237</v>
      </c>
    </row>
    <row r="2713" spans="1:2" ht="12.75" customHeight="1" x14ac:dyDescent="0.25">
      <c r="A2713" s="318">
        <v>91101152788</v>
      </c>
      <c r="B2713" s="318" t="s">
        <v>237</v>
      </c>
    </row>
    <row r="2714" spans="1:2" ht="12.75" customHeight="1" x14ac:dyDescent="0.25">
      <c r="A2714" s="318">
        <v>91101152789</v>
      </c>
      <c r="B2714" s="318" t="s">
        <v>237</v>
      </c>
    </row>
    <row r="2715" spans="1:2" ht="12.75" customHeight="1" x14ac:dyDescent="0.25">
      <c r="A2715" s="318">
        <v>91101152790</v>
      </c>
      <c r="B2715" s="318" t="s">
        <v>237</v>
      </c>
    </row>
    <row r="2716" spans="1:2" ht="12.75" customHeight="1" x14ac:dyDescent="0.25">
      <c r="A2716" s="318">
        <v>91101152791</v>
      </c>
      <c r="B2716" s="318" t="s">
        <v>237</v>
      </c>
    </row>
    <row r="2717" spans="1:2" ht="12.75" customHeight="1" x14ac:dyDescent="0.25">
      <c r="A2717" s="318">
        <v>91101152792</v>
      </c>
      <c r="B2717" s="318" t="s">
        <v>237</v>
      </c>
    </row>
    <row r="2718" spans="1:2" ht="12.75" customHeight="1" x14ac:dyDescent="0.25">
      <c r="A2718" s="318">
        <v>91101152794</v>
      </c>
      <c r="B2718" s="318" t="s">
        <v>237</v>
      </c>
    </row>
    <row r="2719" spans="1:2" ht="12.75" customHeight="1" x14ac:dyDescent="0.25">
      <c r="A2719" s="318">
        <v>91101152795</v>
      </c>
      <c r="B2719" s="318" t="s">
        <v>237</v>
      </c>
    </row>
    <row r="2720" spans="1:2" ht="12.75" customHeight="1" x14ac:dyDescent="0.25">
      <c r="A2720" s="318">
        <v>91101152796</v>
      </c>
      <c r="B2720" s="318" t="s">
        <v>237</v>
      </c>
    </row>
    <row r="2721" spans="1:2" ht="12.75" customHeight="1" x14ac:dyDescent="0.25">
      <c r="A2721" s="318">
        <v>91101152797</v>
      </c>
      <c r="B2721" s="318" t="s">
        <v>237</v>
      </c>
    </row>
    <row r="2722" spans="1:2" ht="12.75" customHeight="1" x14ac:dyDescent="0.25">
      <c r="A2722" s="318">
        <v>91101152798</v>
      </c>
      <c r="B2722" s="318" t="s">
        <v>237</v>
      </c>
    </row>
    <row r="2723" spans="1:2" ht="12.75" customHeight="1" x14ac:dyDescent="0.25">
      <c r="A2723" s="318">
        <v>91101152799</v>
      </c>
      <c r="B2723" s="318" t="s">
        <v>237</v>
      </c>
    </row>
    <row r="2724" spans="1:2" ht="12.75" customHeight="1" x14ac:dyDescent="0.25">
      <c r="A2724" s="318">
        <v>91101152800</v>
      </c>
      <c r="B2724" s="318" t="s">
        <v>237</v>
      </c>
    </row>
    <row r="2725" spans="1:2" ht="12.75" customHeight="1" x14ac:dyDescent="0.25">
      <c r="A2725" s="318">
        <v>91101152801</v>
      </c>
      <c r="B2725" s="318" t="s">
        <v>237</v>
      </c>
    </row>
    <row r="2726" spans="1:2" ht="12.75" customHeight="1" x14ac:dyDescent="0.25">
      <c r="A2726" s="318">
        <v>91101633658</v>
      </c>
      <c r="B2726" s="318" t="s">
        <v>23</v>
      </c>
    </row>
    <row r="2727" spans="1:2" ht="12.75" customHeight="1" x14ac:dyDescent="0.25">
      <c r="A2727" s="318">
        <v>91101633659</v>
      </c>
      <c r="B2727" s="318" t="s">
        <v>23</v>
      </c>
    </row>
    <row r="2728" spans="1:2" ht="12.75" customHeight="1" x14ac:dyDescent="0.25">
      <c r="A2728" s="318">
        <v>91101633660</v>
      </c>
      <c r="B2728" s="318" t="s">
        <v>23</v>
      </c>
    </row>
    <row r="2729" spans="1:2" ht="12.75" customHeight="1" x14ac:dyDescent="0.25">
      <c r="A2729" s="318">
        <v>91101633661</v>
      </c>
      <c r="B2729" s="318" t="s">
        <v>23</v>
      </c>
    </row>
    <row r="2730" spans="1:2" ht="12.75" customHeight="1" x14ac:dyDescent="0.25">
      <c r="A2730" s="318">
        <v>91101633662</v>
      </c>
      <c r="B2730" s="318" t="s">
        <v>23</v>
      </c>
    </row>
    <row r="2731" spans="1:2" ht="12.75" customHeight="1" x14ac:dyDescent="0.25">
      <c r="A2731" s="318">
        <v>91101633663</v>
      </c>
      <c r="B2731" s="318" t="s">
        <v>23</v>
      </c>
    </row>
    <row r="2732" spans="1:2" ht="12.75" customHeight="1" x14ac:dyDescent="0.25">
      <c r="A2732" s="318">
        <v>91101633664</v>
      </c>
      <c r="B2732" s="318" t="s">
        <v>23</v>
      </c>
    </row>
    <row r="2733" spans="1:2" ht="12.75" customHeight="1" x14ac:dyDescent="0.25">
      <c r="A2733" s="318">
        <v>91101633665</v>
      </c>
      <c r="B2733" s="318" t="s">
        <v>23</v>
      </c>
    </row>
    <row r="2734" spans="1:2" ht="12.75" customHeight="1" x14ac:dyDescent="0.25">
      <c r="A2734" s="318">
        <v>91101633667</v>
      </c>
      <c r="B2734" s="318" t="s">
        <v>23</v>
      </c>
    </row>
    <row r="2735" spans="1:2" ht="12.75" customHeight="1" x14ac:dyDescent="0.25">
      <c r="A2735" s="318">
        <v>91101633668</v>
      </c>
      <c r="B2735" s="318" t="s">
        <v>23</v>
      </c>
    </row>
    <row r="2736" spans="1:2" ht="12.75" customHeight="1" x14ac:dyDescent="0.25">
      <c r="A2736" s="318">
        <v>91101633669</v>
      </c>
      <c r="B2736" s="318" t="s">
        <v>23</v>
      </c>
    </row>
    <row r="2737" spans="1:2" ht="12.75" customHeight="1" x14ac:dyDescent="0.25">
      <c r="A2737" s="318">
        <v>91101633670</v>
      </c>
      <c r="B2737" s="318" t="s">
        <v>23</v>
      </c>
    </row>
    <row r="2738" spans="1:2" ht="12.75" customHeight="1" x14ac:dyDescent="0.25">
      <c r="A2738" s="318">
        <v>91101633671</v>
      </c>
      <c r="B2738" s="318" t="s">
        <v>23</v>
      </c>
    </row>
    <row r="2739" spans="1:2" ht="12.75" customHeight="1" x14ac:dyDescent="0.25">
      <c r="A2739" s="318">
        <v>91101633672</v>
      </c>
      <c r="B2739" s="318" t="s">
        <v>23</v>
      </c>
    </row>
    <row r="2740" spans="1:2" ht="12.75" customHeight="1" x14ac:dyDescent="0.25">
      <c r="A2740" s="318">
        <v>91101633673</v>
      </c>
      <c r="B2740" s="318" t="s">
        <v>23</v>
      </c>
    </row>
    <row r="2741" spans="1:2" ht="12.75" customHeight="1" x14ac:dyDescent="0.25">
      <c r="A2741" s="318">
        <v>91101633674</v>
      </c>
      <c r="B2741" s="318" t="s">
        <v>23</v>
      </c>
    </row>
    <row r="2742" spans="1:2" ht="12.75" customHeight="1" x14ac:dyDescent="0.25">
      <c r="A2742" s="318">
        <v>91101633758</v>
      </c>
      <c r="B2742" s="318" t="s">
        <v>237</v>
      </c>
    </row>
    <row r="2743" spans="1:2" ht="12.75" customHeight="1" x14ac:dyDescent="0.25">
      <c r="A2743" s="318">
        <v>91101633759</v>
      </c>
      <c r="B2743" s="318" t="s">
        <v>237</v>
      </c>
    </row>
    <row r="2744" spans="1:2" ht="12.75" customHeight="1" x14ac:dyDescent="0.25">
      <c r="A2744" s="318">
        <v>91101633760</v>
      </c>
      <c r="B2744" s="318" t="s">
        <v>237</v>
      </c>
    </row>
    <row r="2745" spans="1:2" ht="12.75" customHeight="1" x14ac:dyDescent="0.25">
      <c r="A2745" s="318">
        <v>91101633761</v>
      </c>
      <c r="B2745" s="318" t="s">
        <v>237</v>
      </c>
    </row>
    <row r="2746" spans="1:2" ht="12.75" customHeight="1" x14ac:dyDescent="0.25">
      <c r="A2746" s="318">
        <v>91101633762</v>
      </c>
      <c r="B2746" s="318" t="s">
        <v>237</v>
      </c>
    </row>
    <row r="2747" spans="1:2" ht="12.75" customHeight="1" x14ac:dyDescent="0.25">
      <c r="A2747" s="318">
        <v>91101633763</v>
      </c>
      <c r="B2747" s="318" t="s">
        <v>237</v>
      </c>
    </row>
    <row r="2748" spans="1:2" ht="12.75" customHeight="1" x14ac:dyDescent="0.25">
      <c r="A2748" s="318">
        <v>91101633764</v>
      </c>
      <c r="B2748" s="318" t="s">
        <v>237</v>
      </c>
    </row>
    <row r="2749" spans="1:2" ht="12.75" customHeight="1" x14ac:dyDescent="0.25">
      <c r="A2749" s="318">
        <v>91101633765</v>
      </c>
      <c r="B2749" s="318" t="s">
        <v>237</v>
      </c>
    </row>
    <row r="2750" spans="1:2" ht="12.75" customHeight="1" x14ac:dyDescent="0.25">
      <c r="A2750" s="318">
        <v>91101633767</v>
      </c>
      <c r="B2750" s="318" t="s">
        <v>237</v>
      </c>
    </row>
    <row r="2751" spans="1:2" ht="12.75" customHeight="1" x14ac:dyDescent="0.25">
      <c r="A2751" s="318">
        <v>91101633768</v>
      </c>
      <c r="B2751" s="318" t="s">
        <v>237</v>
      </c>
    </row>
    <row r="2752" spans="1:2" ht="12.75" customHeight="1" x14ac:dyDescent="0.25">
      <c r="A2752" s="318">
        <v>91101633769</v>
      </c>
      <c r="B2752" s="318" t="s">
        <v>237</v>
      </c>
    </row>
    <row r="2753" spans="1:2" ht="12.75" customHeight="1" x14ac:dyDescent="0.25">
      <c r="A2753" s="318">
        <v>91101633770</v>
      </c>
      <c r="B2753" s="318" t="s">
        <v>237</v>
      </c>
    </row>
    <row r="2754" spans="1:2" ht="12.75" customHeight="1" x14ac:dyDescent="0.25">
      <c r="A2754" s="318">
        <v>91101633771</v>
      </c>
      <c r="B2754" s="318" t="s">
        <v>237</v>
      </c>
    </row>
    <row r="2755" spans="1:2" ht="12.75" customHeight="1" x14ac:dyDescent="0.25">
      <c r="A2755" s="318">
        <v>91101633772</v>
      </c>
      <c r="B2755" s="318" t="s">
        <v>237</v>
      </c>
    </row>
    <row r="2756" spans="1:2" ht="12.75" customHeight="1" x14ac:dyDescent="0.25">
      <c r="A2756" s="318">
        <v>91101633773</v>
      </c>
      <c r="B2756" s="318" t="s">
        <v>237</v>
      </c>
    </row>
    <row r="2757" spans="1:2" ht="12.75" customHeight="1" x14ac:dyDescent="0.25">
      <c r="A2757" s="318">
        <v>91101633774</v>
      </c>
      <c r="B2757" s="318" t="s">
        <v>237</v>
      </c>
    </row>
    <row r="2758" spans="1:2" ht="12.75" customHeight="1" x14ac:dyDescent="0.25">
      <c r="A2758" s="318">
        <v>91102994039</v>
      </c>
      <c r="B2758" s="318" t="s">
        <v>23</v>
      </c>
    </row>
    <row r="2759" spans="1:2" ht="12.75" customHeight="1" x14ac:dyDescent="0.25">
      <c r="A2759" s="318">
        <v>91102994040</v>
      </c>
      <c r="B2759" s="318" t="s">
        <v>23</v>
      </c>
    </row>
    <row r="2760" spans="1:2" ht="12.75" customHeight="1" x14ac:dyDescent="0.25">
      <c r="A2760" s="318">
        <v>91102994041</v>
      </c>
      <c r="B2760" s="318" t="s">
        <v>23</v>
      </c>
    </row>
    <row r="2761" spans="1:2" ht="12.75" customHeight="1" x14ac:dyDescent="0.25">
      <c r="A2761" s="318">
        <v>91102994042</v>
      </c>
      <c r="B2761" s="318" t="s">
        <v>23</v>
      </c>
    </row>
    <row r="2762" spans="1:2" ht="12.75" customHeight="1" x14ac:dyDescent="0.25">
      <c r="A2762" s="318">
        <v>91102994043</v>
      </c>
      <c r="B2762" s="318" t="s">
        <v>23</v>
      </c>
    </row>
    <row r="2763" spans="1:2" ht="12.75" customHeight="1" x14ac:dyDescent="0.25">
      <c r="A2763" s="318">
        <v>91102994044</v>
      </c>
      <c r="B2763" s="318" t="s">
        <v>23</v>
      </c>
    </row>
    <row r="2764" spans="1:2" ht="12.75" customHeight="1" x14ac:dyDescent="0.25">
      <c r="A2764" s="318">
        <v>91102994045</v>
      </c>
      <c r="B2764" s="318" t="s">
        <v>23</v>
      </c>
    </row>
    <row r="2765" spans="1:2" ht="12.75" customHeight="1" x14ac:dyDescent="0.25">
      <c r="A2765" s="318">
        <v>91102994046</v>
      </c>
      <c r="B2765" s="318" t="s">
        <v>23</v>
      </c>
    </row>
    <row r="2766" spans="1:2" ht="12.75" customHeight="1" x14ac:dyDescent="0.25">
      <c r="A2766" s="318">
        <v>91102994048</v>
      </c>
      <c r="B2766" s="318" t="s">
        <v>23</v>
      </c>
    </row>
    <row r="2767" spans="1:2" ht="12.75" customHeight="1" x14ac:dyDescent="0.25">
      <c r="A2767" s="318">
        <v>91102994049</v>
      </c>
      <c r="B2767" s="318" t="s">
        <v>23</v>
      </c>
    </row>
    <row r="2768" spans="1:2" ht="12.75" customHeight="1" x14ac:dyDescent="0.25">
      <c r="A2768" s="318">
        <v>91102994050</v>
      </c>
      <c r="B2768" s="318" t="s">
        <v>23</v>
      </c>
    </row>
    <row r="2769" spans="1:2" ht="12.75" customHeight="1" x14ac:dyDescent="0.25">
      <c r="A2769" s="318">
        <v>91102994051</v>
      </c>
      <c r="B2769" s="318" t="s">
        <v>23</v>
      </c>
    </row>
    <row r="2770" spans="1:2" ht="12.75" customHeight="1" x14ac:dyDescent="0.25">
      <c r="A2770" s="318">
        <v>91102994052</v>
      </c>
      <c r="B2770" s="318" t="s">
        <v>23</v>
      </c>
    </row>
    <row r="2771" spans="1:2" ht="12.75" customHeight="1" x14ac:dyDescent="0.25">
      <c r="A2771" s="318">
        <v>91102994053</v>
      </c>
      <c r="B2771" s="318" t="s">
        <v>23</v>
      </c>
    </row>
    <row r="2772" spans="1:2" ht="12.75" customHeight="1" x14ac:dyDescent="0.25">
      <c r="A2772" s="318">
        <v>91102994054</v>
      </c>
      <c r="B2772" s="318" t="s">
        <v>23</v>
      </c>
    </row>
    <row r="2773" spans="1:2" ht="12.75" customHeight="1" x14ac:dyDescent="0.25">
      <c r="A2773" s="318">
        <v>91102994055</v>
      </c>
      <c r="B2773" s="318" t="s">
        <v>23</v>
      </c>
    </row>
    <row r="2774" spans="1:2" ht="12.75" customHeight="1" x14ac:dyDescent="0.25">
      <c r="A2774" s="318">
        <v>91102994139</v>
      </c>
      <c r="B2774" s="318" t="s">
        <v>237</v>
      </c>
    </row>
    <row r="2775" spans="1:2" ht="12.75" customHeight="1" x14ac:dyDescent="0.25">
      <c r="A2775" s="318">
        <v>91102994140</v>
      </c>
      <c r="B2775" s="318" t="s">
        <v>237</v>
      </c>
    </row>
    <row r="2776" spans="1:2" ht="12.75" customHeight="1" x14ac:dyDescent="0.25">
      <c r="A2776" s="318">
        <v>91102994141</v>
      </c>
      <c r="B2776" s="318" t="s">
        <v>237</v>
      </c>
    </row>
    <row r="2777" spans="1:2" ht="12.75" customHeight="1" x14ac:dyDescent="0.25">
      <c r="A2777" s="318">
        <v>91102994142</v>
      </c>
      <c r="B2777" s="318" t="s">
        <v>237</v>
      </c>
    </row>
    <row r="2778" spans="1:2" ht="12.75" customHeight="1" x14ac:dyDescent="0.25">
      <c r="A2778" s="318">
        <v>91102994143</v>
      </c>
      <c r="B2778" s="318" t="s">
        <v>237</v>
      </c>
    </row>
    <row r="2779" spans="1:2" ht="12.75" customHeight="1" x14ac:dyDescent="0.25">
      <c r="A2779" s="318">
        <v>91102994144</v>
      </c>
      <c r="B2779" s="318" t="s">
        <v>237</v>
      </c>
    </row>
    <row r="2780" spans="1:2" ht="12.75" customHeight="1" x14ac:dyDescent="0.25">
      <c r="A2780" s="318">
        <v>91102994145</v>
      </c>
      <c r="B2780" s="318" t="s">
        <v>237</v>
      </c>
    </row>
    <row r="2781" spans="1:2" ht="12.75" customHeight="1" x14ac:dyDescent="0.25">
      <c r="A2781" s="318">
        <v>91102994146</v>
      </c>
      <c r="B2781" s="318" t="s">
        <v>237</v>
      </c>
    </row>
    <row r="2782" spans="1:2" ht="12.75" customHeight="1" x14ac:dyDescent="0.25">
      <c r="A2782" s="318">
        <v>91102994148</v>
      </c>
      <c r="B2782" s="318" t="s">
        <v>237</v>
      </c>
    </row>
    <row r="2783" spans="1:2" ht="12.75" customHeight="1" x14ac:dyDescent="0.25">
      <c r="A2783" s="318">
        <v>91102994149</v>
      </c>
      <c r="B2783" s="318" t="s">
        <v>237</v>
      </c>
    </row>
    <row r="2784" spans="1:2" ht="12.75" customHeight="1" x14ac:dyDescent="0.25">
      <c r="A2784" s="318">
        <v>91102994150</v>
      </c>
      <c r="B2784" s="318" t="s">
        <v>237</v>
      </c>
    </row>
    <row r="2785" spans="1:2" ht="12.75" customHeight="1" x14ac:dyDescent="0.25">
      <c r="A2785" s="318">
        <v>91102994151</v>
      </c>
      <c r="B2785" s="318" t="s">
        <v>237</v>
      </c>
    </row>
    <row r="2786" spans="1:2" ht="12.75" customHeight="1" x14ac:dyDescent="0.25">
      <c r="A2786" s="318">
        <v>91102994152</v>
      </c>
      <c r="B2786" s="318" t="s">
        <v>237</v>
      </c>
    </row>
    <row r="2787" spans="1:2" ht="12.75" customHeight="1" x14ac:dyDescent="0.25">
      <c r="A2787" s="318">
        <v>91102994153</v>
      </c>
      <c r="B2787" s="318" t="s">
        <v>237</v>
      </c>
    </row>
    <row r="2788" spans="1:2" ht="12.75" customHeight="1" x14ac:dyDescent="0.25">
      <c r="A2788" s="318">
        <v>91102994154</v>
      </c>
      <c r="B2788" s="318" t="s">
        <v>237</v>
      </c>
    </row>
    <row r="2789" spans="1:2" ht="12.75" customHeight="1" x14ac:dyDescent="0.25">
      <c r="A2789" s="318">
        <v>91102994155</v>
      </c>
      <c r="B2789" s="318" t="s">
        <v>237</v>
      </c>
    </row>
    <row r="2790" spans="1:2" ht="12.75" customHeight="1" x14ac:dyDescent="0.25">
      <c r="A2790" s="318">
        <v>91103475012</v>
      </c>
      <c r="B2790" s="318" t="s">
        <v>23</v>
      </c>
    </row>
    <row r="2791" spans="1:2" ht="12.75" customHeight="1" x14ac:dyDescent="0.25">
      <c r="A2791" s="318">
        <v>91103475013</v>
      </c>
      <c r="B2791" s="318" t="s">
        <v>23</v>
      </c>
    </row>
    <row r="2792" spans="1:2" ht="12.75" customHeight="1" x14ac:dyDescent="0.25">
      <c r="A2792" s="318">
        <v>91103475014</v>
      </c>
      <c r="B2792" s="318" t="s">
        <v>23</v>
      </c>
    </row>
    <row r="2793" spans="1:2" ht="12.75" customHeight="1" x14ac:dyDescent="0.25">
      <c r="A2793" s="318">
        <v>91103475015</v>
      </c>
      <c r="B2793" s="318" t="s">
        <v>23</v>
      </c>
    </row>
    <row r="2794" spans="1:2" ht="12.75" customHeight="1" x14ac:dyDescent="0.25">
      <c r="A2794" s="318">
        <v>91103475016</v>
      </c>
      <c r="B2794" s="318" t="s">
        <v>23</v>
      </c>
    </row>
    <row r="2795" spans="1:2" ht="12.75" customHeight="1" x14ac:dyDescent="0.25">
      <c r="A2795" s="318">
        <v>91103475017</v>
      </c>
      <c r="B2795" s="318" t="s">
        <v>23</v>
      </c>
    </row>
    <row r="2796" spans="1:2" ht="12.75" customHeight="1" x14ac:dyDescent="0.25">
      <c r="A2796" s="318">
        <v>91103475018</v>
      </c>
      <c r="B2796" s="318" t="s">
        <v>23</v>
      </c>
    </row>
    <row r="2797" spans="1:2" ht="12.75" customHeight="1" x14ac:dyDescent="0.25">
      <c r="A2797" s="318">
        <v>91103475019</v>
      </c>
      <c r="B2797" s="318" t="s">
        <v>23</v>
      </c>
    </row>
    <row r="2798" spans="1:2" ht="12.75" customHeight="1" x14ac:dyDescent="0.25">
      <c r="A2798" s="318">
        <v>91103475021</v>
      </c>
      <c r="B2798" s="318" t="s">
        <v>23</v>
      </c>
    </row>
    <row r="2799" spans="1:2" ht="12.75" customHeight="1" x14ac:dyDescent="0.25">
      <c r="A2799" s="318">
        <v>91103475022</v>
      </c>
      <c r="B2799" s="318" t="s">
        <v>23</v>
      </c>
    </row>
    <row r="2800" spans="1:2" ht="12.75" customHeight="1" x14ac:dyDescent="0.25">
      <c r="A2800" s="318">
        <v>91103475023</v>
      </c>
      <c r="B2800" s="318" t="s">
        <v>23</v>
      </c>
    </row>
    <row r="2801" spans="1:2" ht="12.75" customHeight="1" x14ac:dyDescent="0.25">
      <c r="A2801" s="318">
        <v>91103475024</v>
      </c>
      <c r="B2801" s="318" t="s">
        <v>23</v>
      </c>
    </row>
    <row r="2802" spans="1:2" ht="12.75" customHeight="1" x14ac:dyDescent="0.25">
      <c r="A2802" s="318">
        <v>91103475025</v>
      </c>
      <c r="B2802" s="318" t="s">
        <v>23</v>
      </c>
    </row>
    <row r="2803" spans="1:2" ht="12.75" customHeight="1" x14ac:dyDescent="0.25">
      <c r="A2803" s="318">
        <v>91103475026</v>
      </c>
      <c r="B2803" s="318" t="s">
        <v>23</v>
      </c>
    </row>
    <row r="2804" spans="1:2" ht="12.75" customHeight="1" x14ac:dyDescent="0.25">
      <c r="A2804" s="318">
        <v>91103475027</v>
      </c>
      <c r="B2804" s="318" t="s">
        <v>23</v>
      </c>
    </row>
    <row r="2805" spans="1:2" ht="12.75" customHeight="1" x14ac:dyDescent="0.25">
      <c r="A2805" s="318">
        <v>91103475028</v>
      </c>
      <c r="B2805" s="318" t="s">
        <v>23</v>
      </c>
    </row>
    <row r="2806" spans="1:2" ht="12.75" customHeight="1" x14ac:dyDescent="0.25">
      <c r="A2806" s="318">
        <v>91103475112</v>
      </c>
      <c r="B2806" s="318" t="s">
        <v>237</v>
      </c>
    </row>
    <row r="2807" spans="1:2" ht="12.75" customHeight="1" x14ac:dyDescent="0.25">
      <c r="A2807" s="318">
        <v>91103475113</v>
      </c>
      <c r="B2807" s="318" t="s">
        <v>237</v>
      </c>
    </row>
    <row r="2808" spans="1:2" ht="12.75" customHeight="1" x14ac:dyDescent="0.25">
      <c r="A2808" s="318">
        <v>91103475114</v>
      </c>
      <c r="B2808" s="318" t="s">
        <v>237</v>
      </c>
    </row>
    <row r="2809" spans="1:2" ht="12.75" customHeight="1" x14ac:dyDescent="0.25">
      <c r="A2809" s="318">
        <v>91103475115</v>
      </c>
      <c r="B2809" s="318" t="s">
        <v>237</v>
      </c>
    </row>
    <row r="2810" spans="1:2" ht="12.75" customHeight="1" x14ac:dyDescent="0.25">
      <c r="A2810" s="318">
        <v>91103475116</v>
      </c>
      <c r="B2810" s="318" t="s">
        <v>237</v>
      </c>
    </row>
    <row r="2811" spans="1:2" ht="12.75" customHeight="1" x14ac:dyDescent="0.25">
      <c r="A2811" s="318">
        <v>91103475117</v>
      </c>
      <c r="B2811" s="318" t="s">
        <v>237</v>
      </c>
    </row>
    <row r="2812" spans="1:2" ht="12.75" customHeight="1" x14ac:dyDescent="0.25">
      <c r="A2812" s="318">
        <v>91103475118</v>
      </c>
      <c r="B2812" s="318" t="s">
        <v>237</v>
      </c>
    </row>
    <row r="2813" spans="1:2" ht="12.75" customHeight="1" x14ac:dyDescent="0.25">
      <c r="A2813" s="318">
        <v>91103475119</v>
      </c>
      <c r="B2813" s="318" t="s">
        <v>237</v>
      </c>
    </row>
    <row r="2814" spans="1:2" ht="12.75" customHeight="1" x14ac:dyDescent="0.25">
      <c r="A2814" s="318">
        <v>91103475121</v>
      </c>
      <c r="B2814" s="318" t="s">
        <v>237</v>
      </c>
    </row>
    <row r="2815" spans="1:2" ht="12.75" customHeight="1" x14ac:dyDescent="0.25">
      <c r="A2815" s="318">
        <v>91103475122</v>
      </c>
      <c r="B2815" s="318" t="s">
        <v>237</v>
      </c>
    </row>
    <row r="2816" spans="1:2" ht="12.75" customHeight="1" x14ac:dyDescent="0.25">
      <c r="A2816" s="318">
        <v>91103475123</v>
      </c>
      <c r="B2816" s="318" t="s">
        <v>237</v>
      </c>
    </row>
    <row r="2817" spans="1:2" ht="12.75" customHeight="1" x14ac:dyDescent="0.25">
      <c r="A2817" s="318">
        <v>91103475124</v>
      </c>
      <c r="B2817" s="318" t="s">
        <v>237</v>
      </c>
    </row>
    <row r="2818" spans="1:2" ht="12.75" customHeight="1" x14ac:dyDescent="0.25">
      <c r="A2818" s="318">
        <v>91103475125</v>
      </c>
      <c r="B2818" s="318" t="s">
        <v>237</v>
      </c>
    </row>
    <row r="2819" spans="1:2" ht="12.75" customHeight="1" x14ac:dyDescent="0.25">
      <c r="A2819" s="318">
        <v>91103475126</v>
      </c>
      <c r="B2819" s="318" t="s">
        <v>237</v>
      </c>
    </row>
    <row r="2820" spans="1:2" ht="12.75" customHeight="1" x14ac:dyDescent="0.25">
      <c r="A2820" s="318">
        <v>91103475127</v>
      </c>
      <c r="B2820" s="318" t="s">
        <v>237</v>
      </c>
    </row>
    <row r="2821" spans="1:2" ht="12.75" customHeight="1" x14ac:dyDescent="0.25">
      <c r="A2821" s="318">
        <v>91103475128</v>
      </c>
      <c r="B2821" s="318" t="s">
        <v>237</v>
      </c>
    </row>
    <row r="2822" spans="1:2" ht="12.75" customHeight="1" x14ac:dyDescent="0.25">
      <c r="A2822" s="318">
        <v>91103955985</v>
      </c>
      <c r="B2822" s="318" t="s">
        <v>23</v>
      </c>
    </row>
    <row r="2823" spans="1:2" ht="12.75" customHeight="1" x14ac:dyDescent="0.25">
      <c r="A2823" s="318">
        <v>91103955986</v>
      </c>
      <c r="B2823" s="318" t="s">
        <v>23</v>
      </c>
    </row>
    <row r="2824" spans="1:2" ht="12.75" customHeight="1" x14ac:dyDescent="0.25">
      <c r="A2824" s="318">
        <v>91103955987</v>
      </c>
      <c r="B2824" s="318" t="s">
        <v>23</v>
      </c>
    </row>
    <row r="2825" spans="1:2" ht="12.75" customHeight="1" x14ac:dyDescent="0.25">
      <c r="A2825" s="318">
        <v>91103955988</v>
      </c>
      <c r="B2825" s="318" t="s">
        <v>23</v>
      </c>
    </row>
    <row r="2826" spans="1:2" ht="12.75" customHeight="1" x14ac:dyDescent="0.25">
      <c r="A2826" s="318">
        <v>91103955989</v>
      </c>
      <c r="B2826" s="318" t="s">
        <v>23</v>
      </c>
    </row>
    <row r="2827" spans="1:2" ht="12.75" customHeight="1" x14ac:dyDescent="0.25">
      <c r="A2827" s="318">
        <v>91103955990</v>
      </c>
      <c r="B2827" s="318" t="s">
        <v>23</v>
      </c>
    </row>
    <row r="2828" spans="1:2" ht="12.75" customHeight="1" x14ac:dyDescent="0.25">
      <c r="A2828" s="318">
        <v>91103955991</v>
      </c>
      <c r="B2828" s="318" t="s">
        <v>23</v>
      </c>
    </row>
    <row r="2829" spans="1:2" ht="12.75" customHeight="1" x14ac:dyDescent="0.25">
      <c r="A2829" s="318">
        <v>91103955992</v>
      </c>
      <c r="B2829" s="318" t="s">
        <v>23</v>
      </c>
    </row>
    <row r="2830" spans="1:2" ht="12.75" customHeight="1" x14ac:dyDescent="0.25">
      <c r="A2830" s="318">
        <v>91103955994</v>
      </c>
      <c r="B2830" s="318" t="s">
        <v>23</v>
      </c>
    </row>
    <row r="2831" spans="1:2" ht="12.75" customHeight="1" x14ac:dyDescent="0.25">
      <c r="A2831" s="318">
        <v>91103955995</v>
      </c>
      <c r="B2831" s="318" t="s">
        <v>23</v>
      </c>
    </row>
    <row r="2832" spans="1:2" ht="12.75" customHeight="1" x14ac:dyDescent="0.25">
      <c r="A2832" s="318">
        <v>91103955996</v>
      </c>
      <c r="B2832" s="318" t="s">
        <v>23</v>
      </c>
    </row>
    <row r="2833" spans="1:2" ht="12.75" customHeight="1" x14ac:dyDescent="0.25">
      <c r="A2833" s="318">
        <v>91103955997</v>
      </c>
      <c r="B2833" s="318" t="s">
        <v>23</v>
      </c>
    </row>
    <row r="2834" spans="1:2" ht="12.75" customHeight="1" x14ac:dyDescent="0.25">
      <c r="A2834" s="318">
        <v>91103955998</v>
      </c>
      <c r="B2834" s="318" t="s">
        <v>23</v>
      </c>
    </row>
    <row r="2835" spans="1:2" ht="12.75" customHeight="1" x14ac:dyDescent="0.25">
      <c r="A2835" s="318">
        <v>91103955999</v>
      </c>
      <c r="B2835" s="318" t="s">
        <v>23</v>
      </c>
    </row>
    <row r="2836" spans="1:2" ht="12.75" customHeight="1" x14ac:dyDescent="0.25">
      <c r="A2836" s="318">
        <v>91103956000</v>
      </c>
      <c r="B2836" s="318" t="s">
        <v>23</v>
      </c>
    </row>
    <row r="2837" spans="1:2" ht="12.75" customHeight="1" x14ac:dyDescent="0.25">
      <c r="A2837" s="318">
        <v>91103956001</v>
      </c>
      <c r="B2837" s="318" t="s">
        <v>23</v>
      </c>
    </row>
    <row r="2838" spans="1:2" ht="12.75" customHeight="1" x14ac:dyDescent="0.25">
      <c r="A2838" s="318">
        <v>91103956085</v>
      </c>
      <c r="B2838" s="318" t="s">
        <v>237</v>
      </c>
    </row>
    <row r="2839" spans="1:2" ht="12.75" customHeight="1" x14ac:dyDescent="0.25">
      <c r="A2839" s="318">
        <v>91103956086</v>
      </c>
      <c r="B2839" s="318" t="s">
        <v>237</v>
      </c>
    </row>
    <row r="2840" spans="1:2" ht="12.75" customHeight="1" x14ac:dyDescent="0.25">
      <c r="A2840" s="318">
        <v>91103956087</v>
      </c>
      <c r="B2840" s="318" t="s">
        <v>237</v>
      </c>
    </row>
    <row r="2841" spans="1:2" ht="12.75" customHeight="1" x14ac:dyDescent="0.25">
      <c r="A2841" s="318">
        <v>91103956088</v>
      </c>
      <c r="B2841" s="318" t="s">
        <v>237</v>
      </c>
    </row>
    <row r="2842" spans="1:2" ht="12.75" customHeight="1" x14ac:dyDescent="0.25">
      <c r="A2842" s="318">
        <v>91103956089</v>
      </c>
      <c r="B2842" s="318" t="s">
        <v>237</v>
      </c>
    </row>
    <row r="2843" spans="1:2" ht="12.75" customHeight="1" x14ac:dyDescent="0.25">
      <c r="A2843" s="318">
        <v>91103956090</v>
      </c>
      <c r="B2843" s="318" t="s">
        <v>237</v>
      </c>
    </row>
    <row r="2844" spans="1:2" ht="12.75" customHeight="1" x14ac:dyDescent="0.25">
      <c r="A2844" s="318">
        <v>91103956091</v>
      </c>
      <c r="B2844" s="318" t="s">
        <v>237</v>
      </c>
    </row>
    <row r="2845" spans="1:2" ht="12.75" customHeight="1" x14ac:dyDescent="0.25">
      <c r="A2845" s="318">
        <v>91103956092</v>
      </c>
      <c r="B2845" s="318" t="s">
        <v>237</v>
      </c>
    </row>
    <row r="2846" spans="1:2" ht="12.75" customHeight="1" x14ac:dyDescent="0.25">
      <c r="A2846" s="318">
        <v>91103956094</v>
      </c>
      <c r="B2846" s="318" t="s">
        <v>237</v>
      </c>
    </row>
    <row r="2847" spans="1:2" ht="12.75" customHeight="1" x14ac:dyDescent="0.25">
      <c r="A2847" s="318">
        <v>91103956095</v>
      </c>
      <c r="B2847" s="318" t="s">
        <v>237</v>
      </c>
    </row>
    <row r="2848" spans="1:2" ht="12.75" customHeight="1" x14ac:dyDescent="0.25">
      <c r="A2848" s="318">
        <v>91103956096</v>
      </c>
      <c r="B2848" s="318" t="s">
        <v>237</v>
      </c>
    </row>
    <row r="2849" spans="1:2" ht="12.75" customHeight="1" x14ac:dyDescent="0.25">
      <c r="A2849" s="318">
        <v>91103956097</v>
      </c>
      <c r="B2849" s="318" t="s">
        <v>237</v>
      </c>
    </row>
    <row r="2850" spans="1:2" ht="12.75" customHeight="1" x14ac:dyDescent="0.25">
      <c r="A2850" s="318">
        <v>91103956098</v>
      </c>
      <c r="B2850" s="318" t="s">
        <v>237</v>
      </c>
    </row>
    <row r="2851" spans="1:2" ht="12.75" customHeight="1" x14ac:dyDescent="0.25">
      <c r="A2851" s="318">
        <v>91103956099</v>
      </c>
      <c r="B2851" s="318" t="s">
        <v>237</v>
      </c>
    </row>
    <row r="2852" spans="1:2" ht="12.75" customHeight="1" x14ac:dyDescent="0.25">
      <c r="A2852" s="318">
        <v>91103956100</v>
      </c>
      <c r="B2852" s="318" t="s">
        <v>237</v>
      </c>
    </row>
    <row r="2853" spans="1:2" ht="12.75" customHeight="1" x14ac:dyDescent="0.25">
      <c r="A2853" s="318">
        <v>91103956101</v>
      </c>
      <c r="B2853" s="318" t="s">
        <v>237</v>
      </c>
    </row>
    <row r="2854" spans="1:2" ht="12.75" customHeight="1" x14ac:dyDescent="0.25">
      <c r="A2854" s="318">
        <v>91104636176</v>
      </c>
      <c r="B2854" s="318" t="s">
        <v>23</v>
      </c>
    </row>
    <row r="2855" spans="1:2" ht="12.75" customHeight="1" x14ac:dyDescent="0.25">
      <c r="A2855" s="318">
        <v>91104636177</v>
      </c>
      <c r="B2855" s="318" t="s">
        <v>23</v>
      </c>
    </row>
    <row r="2856" spans="1:2" ht="12.75" customHeight="1" x14ac:dyDescent="0.25">
      <c r="A2856" s="318">
        <v>91104636178</v>
      </c>
      <c r="B2856" s="318" t="s">
        <v>23</v>
      </c>
    </row>
    <row r="2857" spans="1:2" ht="12.75" customHeight="1" x14ac:dyDescent="0.25">
      <c r="A2857" s="318">
        <v>91104636179</v>
      </c>
      <c r="B2857" s="318" t="s">
        <v>23</v>
      </c>
    </row>
    <row r="2858" spans="1:2" ht="12.75" customHeight="1" x14ac:dyDescent="0.25">
      <c r="A2858" s="318">
        <v>91104636180</v>
      </c>
      <c r="B2858" s="318" t="s">
        <v>23</v>
      </c>
    </row>
    <row r="2859" spans="1:2" ht="12.75" customHeight="1" x14ac:dyDescent="0.25">
      <c r="A2859" s="318">
        <v>91104636181</v>
      </c>
      <c r="B2859" s="318" t="s">
        <v>23</v>
      </c>
    </row>
    <row r="2860" spans="1:2" ht="12.75" customHeight="1" x14ac:dyDescent="0.25">
      <c r="A2860" s="318">
        <v>91104636182</v>
      </c>
      <c r="B2860" s="318" t="s">
        <v>23</v>
      </c>
    </row>
    <row r="2861" spans="1:2" ht="12.75" customHeight="1" x14ac:dyDescent="0.25">
      <c r="A2861" s="318">
        <v>91104636183</v>
      </c>
      <c r="B2861" s="318" t="s">
        <v>23</v>
      </c>
    </row>
    <row r="2862" spans="1:2" ht="12.75" customHeight="1" x14ac:dyDescent="0.25">
      <c r="A2862" s="318">
        <v>91104636185</v>
      </c>
      <c r="B2862" s="318" t="s">
        <v>23</v>
      </c>
    </row>
    <row r="2863" spans="1:2" ht="12.75" customHeight="1" x14ac:dyDescent="0.25">
      <c r="A2863" s="318">
        <v>91104636186</v>
      </c>
      <c r="B2863" s="318" t="s">
        <v>23</v>
      </c>
    </row>
    <row r="2864" spans="1:2" ht="12.75" customHeight="1" x14ac:dyDescent="0.25">
      <c r="A2864" s="318">
        <v>91104636187</v>
      </c>
      <c r="B2864" s="318" t="s">
        <v>23</v>
      </c>
    </row>
    <row r="2865" spans="1:2" ht="12.75" customHeight="1" x14ac:dyDescent="0.25">
      <c r="A2865" s="318">
        <v>91104636188</v>
      </c>
      <c r="B2865" s="318" t="s">
        <v>23</v>
      </c>
    </row>
    <row r="2866" spans="1:2" ht="12.75" customHeight="1" x14ac:dyDescent="0.25">
      <c r="A2866" s="318">
        <v>91104636189</v>
      </c>
      <c r="B2866" s="318" t="s">
        <v>23</v>
      </c>
    </row>
    <row r="2867" spans="1:2" ht="12.75" customHeight="1" x14ac:dyDescent="0.25">
      <c r="A2867" s="318">
        <v>91104636190</v>
      </c>
      <c r="B2867" s="318" t="s">
        <v>23</v>
      </c>
    </row>
    <row r="2868" spans="1:2" ht="12.75" customHeight="1" x14ac:dyDescent="0.25">
      <c r="A2868" s="318">
        <v>91104636191</v>
      </c>
      <c r="B2868" s="318" t="s">
        <v>23</v>
      </c>
    </row>
    <row r="2869" spans="1:2" ht="12.75" customHeight="1" x14ac:dyDescent="0.25">
      <c r="A2869" s="318">
        <v>91104636192</v>
      </c>
      <c r="B2869" s="318" t="s">
        <v>23</v>
      </c>
    </row>
    <row r="2870" spans="1:2" ht="12.75" customHeight="1" x14ac:dyDescent="0.25">
      <c r="A2870" s="318">
        <v>91104636276</v>
      </c>
      <c r="B2870" s="318" t="s">
        <v>237</v>
      </c>
    </row>
    <row r="2871" spans="1:2" ht="12.75" customHeight="1" x14ac:dyDescent="0.25">
      <c r="A2871" s="318">
        <v>91104636277</v>
      </c>
      <c r="B2871" s="318" t="s">
        <v>237</v>
      </c>
    </row>
    <row r="2872" spans="1:2" ht="12.75" customHeight="1" x14ac:dyDescent="0.25">
      <c r="A2872" s="318">
        <v>91104636278</v>
      </c>
      <c r="B2872" s="318" t="s">
        <v>237</v>
      </c>
    </row>
    <row r="2873" spans="1:2" ht="12.75" customHeight="1" x14ac:dyDescent="0.25">
      <c r="A2873" s="318">
        <v>91104636279</v>
      </c>
      <c r="B2873" s="318" t="s">
        <v>237</v>
      </c>
    </row>
    <row r="2874" spans="1:2" ht="12.75" customHeight="1" x14ac:dyDescent="0.25">
      <c r="A2874" s="318">
        <v>91104636280</v>
      </c>
      <c r="B2874" s="318" t="s">
        <v>237</v>
      </c>
    </row>
    <row r="2875" spans="1:2" ht="12.75" customHeight="1" x14ac:dyDescent="0.25">
      <c r="A2875" s="318">
        <v>91104636281</v>
      </c>
      <c r="B2875" s="318" t="s">
        <v>237</v>
      </c>
    </row>
    <row r="2876" spans="1:2" ht="12.75" customHeight="1" x14ac:dyDescent="0.25">
      <c r="A2876" s="318">
        <v>91104636282</v>
      </c>
      <c r="B2876" s="318" t="s">
        <v>237</v>
      </c>
    </row>
    <row r="2877" spans="1:2" ht="12.75" customHeight="1" x14ac:dyDescent="0.25">
      <c r="A2877" s="318">
        <v>91104636283</v>
      </c>
      <c r="B2877" s="318" t="s">
        <v>237</v>
      </c>
    </row>
    <row r="2878" spans="1:2" ht="12.75" customHeight="1" x14ac:dyDescent="0.25">
      <c r="A2878" s="318">
        <v>91104636285</v>
      </c>
      <c r="B2878" s="318" t="s">
        <v>237</v>
      </c>
    </row>
    <row r="2879" spans="1:2" ht="12.75" customHeight="1" x14ac:dyDescent="0.25">
      <c r="A2879" s="318">
        <v>91104636286</v>
      </c>
      <c r="B2879" s="318" t="s">
        <v>237</v>
      </c>
    </row>
    <row r="2880" spans="1:2" ht="12.75" customHeight="1" x14ac:dyDescent="0.25">
      <c r="A2880" s="318">
        <v>91104636287</v>
      </c>
      <c r="B2880" s="318" t="s">
        <v>237</v>
      </c>
    </row>
    <row r="2881" spans="1:2" ht="12.75" customHeight="1" x14ac:dyDescent="0.25">
      <c r="A2881" s="318">
        <v>91104636288</v>
      </c>
      <c r="B2881" s="318" t="s">
        <v>237</v>
      </c>
    </row>
    <row r="2882" spans="1:2" ht="12.75" customHeight="1" x14ac:dyDescent="0.25">
      <c r="A2882" s="318">
        <v>91104636289</v>
      </c>
      <c r="B2882" s="318" t="s">
        <v>237</v>
      </c>
    </row>
    <row r="2883" spans="1:2" ht="12.75" customHeight="1" x14ac:dyDescent="0.25">
      <c r="A2883" s="318">
        <v>91104636290</v>
      </c>
      <c r="B2883" s="318" t="s">
        <v>237</v>
      </c>
    </row>
    <row r="2884" spans="1:2" ht="12.75" customHeight="1" x14ac:dyDescent="0.25">
      <c r="A2884" s="318">
        <v>91104636291</v>
      </c>
      <c r="B2884" s="318" t="s">
        <v>237</v>
      </c>
    </row>
    <row r="2885" spans="1:2" ht="12.75" customHeight="1" x14ac:dyDescent="0.25">
      <c r="A2885" s="318">
        <v>91104636292</v>
      </c>
      <c r="B2885" s="318" t="s">
        <v>237</v>
      </c>
    </row>
    <row r="2886" spans="1:2" ht="12.75" customHeight="1" x14ac:dyDescent="0.25">
      <c r="A2886" s="318">
        <v>91105117149</v>
      </c>
      <c r="B2886" s="318" t="s">
        <v>23</v>
      </c>
    </row>
    <row r="2887" spans="1:2" ht="12.75" customHeight="1" x14ac:dyDescent="0.25">
      <c r="A2887" s="318">
        <v>91105117150</v>
      </c>
      <c r="B2887" s="318" t="s">
        <v>23</v>
      </c>
    </row>
    <row r="2888" spans="1:2" ht="12.75" customHeight="1" x14ac:dyDescent="0.25">
      <c r="A2888" s="318">
        <v>91105117151</v>
      </c>
      <c r="B2888" s="318" t="s">
        <v>23</v>
      </c>
    </row>
    <row r="2889" spans="1:2" ht="12.75" customHeight="1" x14ac:dyDescent="0.25">
      <c r="A2889" s="318">
        <v>91105117152</v>
      </c>
      <c r="B2889" s="318" t="s">
        <v>23</v>
      </c>
    </row>
    <row r="2890" spans="1:2" ht="12.75" customHeight="1" x14ac:dyDescent="0.25">
      <c r="A2890" s="318">
        <v>91105117153</v>
      </c>
      <c r="B2890" s="318" t="s">
        <v>23</v>
      </c>
    </row>
    <row r="2891" spans="1:2" ht="12.75" customHeight="1" x14ac:dyDescent="0.25">
      <c r="A2891" s="318">
        <v>91105117154</v>
      </c>
      <c r="B2891" s="318" t="s">
        <v>23</v>
      </c>
    </row>
    <row r="2892" spans="1:2" ht="12.75" customHeight="1" x14ac:dyDescent="0.25">
      <c r="A2892" s="318">
        <v>91105117155</v>
      </c>
      <c r="B2892" s="318" t="s">
        <v>23</v>
      </c>
    </row>
    <row r="2893" spans="1:2" ht="12.75" customHeight="1" x14ac:dyDescent="0.25">
      <c r="A2893" s="318">
        <v>91105117156</v>
      </c>
      <c r="B2893" s="318" t="s">
        <v>23</v>
      </c>
    </row>
    <row r="2894" spans="1:2" ht="12.75" customHeight="1" x14ac:dyDescent="0.25">
      <c r="A2894" s="318">
        <v>91105117158</v>
      </c>
      <c r="B2894" s="318" t="s">
        <v>23</v>
      </c>
    </row>
    <row r="2895" spans="1:2" ht="12.75" customHeight="1" x14ac:dyDescent="0.25">
      <c r="A2895" s="318">
        <v>91105117159</v>
      </c>
      <c r="B2895" s="318" t="s">
        <v>23</v>
      </c>
    </row>
    <row r="2896" spans="1:2" ht="12.75" customHeight="1" x14ac:dyDescent="0.25">
      <c r="A2896" s="318">
        <v>91105117160</v>
      </c>
      <c r="B2896" s="318" t="s">
        <v>23</v>
      </c>
    </row>
    <row r="2897" spans="1:2" ht="12.75" customHeight="1" x14ac:dyDescent="0.25">
      <c r="A2897" s="318">
        <v>91105117161</v>
      </c>
      <c r="B2897" s="318" t="s">
        <v>23</v>
      </c>
    </row>
    <row r="2898" spans="1:2" ht="12.75" customHeight="1" x14ac:dyDescent="0.25">
      <c r="A2898" s="318">
        <v>91105117162</v>
      </c>
      <c r="B2898" s="318" t="s">
        <v>23</v>
      </c>
    </row>
    <row r="2899" spans="1:2" ht="12.75" customHeight="1" x14ac:dyDescent="0.25">
      <c r="A2899" s="318">
        <v>91105117163</v>
      </c>
      <c r="B2899" s="318" t="s">
        <v>23</v>
      </c>
    </row>
    <row r="2900" spans="1:2" ht="12.75" customHeight="1" x14ac:dyDescent="0.25">
      <c r="A2900" s="318">
        <v>91105117164</v>
      </c>
      <c r="B2900" s="318" t="s">
        <v>23</v>
      </c>
    </row>
    <row r="2901" spans="1:2" ht="12.75" customHeight="1" x14ac:dyDescent="0.25">
      <c r="A2901" s="318">
        <v>91105117165</v>
      </c>
      <c r="B2901" s="318" t="s">
        <v>23</v>
      </c>
    </row>
    <row r="2902" spans="1:2" ht="12.75" customHeight="1" x14ac:dyDescent="0.25">
      <c r="A2902" s="318">
        <v>91105117249</v>
      </c>
      <c r="B2902" s="318" t="s">
        <v>237</v>
      </c>
    </row>
    <row r="2903" spans="1:2" ht="12.75" customHeight="1" x14ac:dyDescent="0.25">
      <c r="A2903" s="318">
        <v>91105117250</v>
      </c>
      <c r="B2903" s="318" t="s">
        <v>237</v>
      </c>
    </row>
    <row r="2904" spans="1:2" ht="12.75" customHeight="1" x14ac:dyDescent="0.25">
      <c r="A2904" s="318">
        <v>91105117251</v>
      </c>
      <c r="B2904" s="318" t="s">
        <v>237</v>
      </c>
    </row>
    <row r="2905" spans="1:2" ht="12.75" customHeight="1" x14ac:dyDescent="0.25">
      <c r="A2905" s="318">
        <v>91105117252</v>
      </c>
      <c r="B2905" s="318" t="s">
        <v>237</v>
      </c>
    </row>
    <row r="2906" spans="1:2" ht="12.75" customHeight="1" x14ac:dyDescent="0.25">
      <c r="A2906" s="318">
        <v>91105117253</v>
      </c>
      <c r="B2906" s="318" t="s">
        <v>237</v>
      </c>
    </row>
    <row r="2907" spans="1:2" ht="12.75" customHeight="1" x14ac:dyDescent="0.25">
      <c r="A2907" s="318">
        <v>91105117254</v>
      </c>
      <c r="B2907" s="318" t="s">
        <v>237</v>
      </c>
    </row>
    <row r="2908" spans="1:2" ht="12.75" customHeight="1" x14ac:dyDescent="0.25">
      <c r="A2908" s="318">
        <v>91105117255</v>
      </c>
      <c r="B2908" s="318" t="s">
        <v>237</v>
      </c>
    </row>
    <row r="2909" spans="1:2" ht="12.75" customHeight="1" x14ac:dyDescent="0.25">
      <c r="A2909" s="318">
        <v>91105117256</v>
      </c>
      <c r="B2909" s="318" t="s">
        <v>237</v>
      </c>
    </row>
    <row r="2910" spans="1:2" ht="12.75" customHeight="1" x14ac:dyDescent="0.25">
      <c r="A2910" s="318">
        <v>91105117258</v>
      </c>
      <c r="B2910" s="318" t="s">
        <v>237</v>
      </c>
    </row>
    <row r="2911" spans="1:2" ht="12.75" customHeight="1" x14ac:dyDescent="0.25">
      <c r="A2911" s="318">
        <v>91105117259</v>
      </c>
      <c r="B2911" s="318" t="s">
        <v>237</v>
      </c>
    </row>
    <row r="2912" spans="1:2" ht="12.75" customHeight="1" x14ac:dyDescent="0.25">
      <c r="A2912" s="318">
        <v>91105117260</v>
      </c>
      <c r="B2912" s="318" t="s">
        <v>237</v>
      </c>
    </row>
    <row r="2913" spans="1:2" ht="12.75" customHeight="1" x14ac:dyDescent="0.25">
      <c r="A2913" s="318">
        <v>91105117261</v>
      </c>
      <c r="B2913" s="318" t="s">
        <v>237</v>
      </c>
    </row>
    <row r="2914" spans="1:2" ht="12.75" customHeight="1" x14ac:dyDescent="0.25">
      <c r="A2914" s="318">
        <v>91105117262</v>
      </c>
      <c r="B2914" s="318" t="s">
        <v>237</v>
      </c>
    </row>
    <row r="2915" spans="1:2" ht="12.75" customHeight="1" x14ac:dyDescent="0.25">
      <c r="A2915" s="318">
        <v>91105117263</v>
      </c>
      <c r="B2915" s="318" t="s">
        <v>237</v>
      </c>
    </row>
    <row r="2916" spans="1:2" ht="12.75" customHeight="1" x14ac:dyDescent="0.25">
      <c r="A2916" s="318">
        <v>91105117264</v>
      </c>
      <c r="B2916" s="318" t="s">
        <v>237</v>
      </c>
    </row>
    <row r="2917" spans="1:2" ht="12.75" customHeight="1" x14ac:dyDescent="0.25">
      <c r="A2917" s="318">
        <v>91105117265</v>
      </c>
      <c r="B2917" s="318" t="s">
        <v>237</v>
      </c>
    </row>
    <row r="2918" spans="1:2" ht="12.75" customHeight="1" x14ac:dyDescent="0.25">
      <c r="A2918" s="318">
        <v>91105598122</v>
      </c>
      <c r="B2918" s="318" t="s">
        <v>23</v>
      </c>
    </row>
    <row r="2919" spans="1:2" ht="12.75" customHeight="1" x14ac:dyDescent="0.25">
      <c r="A2919" s="318">
        <v>91105598123</v>
      </c>
      <c r="B2919" s="318" t="s">
        <v>23</v>
      </c>
    </row>
    <row r="2920" spans="1:2" ht="12.75" customHeight="1" x14ac:dyDescent="0.25">
      <c r="A2920" s="318">
        <v>91105598124</v>
      </c>
      <c r="B2920" s="318" t="s">
        <v>23</v>
      </c>
    </row>
    <row r="2921" spans="1:2" ht="12.75" customHeight="1" x14ac:dyDescent="0.25">
      <c r="A2921" s="318">
        <v>91105598125</v>
      </c>
      <c r="B2921" s="318" t="s">
        <v>23</v>
      </c>
    </row>
    <row r="2922" spans="1:2" ht="12.75" customHeight="1" x14ac:dyDescent="0.25">
      <c r="A2922" s="318">
        <v>91105598126</v>
      </c>
      <c r="B2922" s="318" t="s">
        <v>23</v>
      </c>
    </row>
    <row r="2923" spans="1:2" ht="12.75" customHeight="1" x14ac:dyDescent="0.25">
      <c r="A2923" s="318">
        <v>91105598127</v>
      </c>
      <c r="B2923" s="318" t="s">
        <v>23</v>
      </c>
    </row>
    <row r="2924" spans="1:2" ht="12.75" customHeight="1" x14ac:dyDescent="0.25">
      <c r="A2924" s="318">
        <v>91105598128</v>
      </c>
      <c r="B2924" s="318" t="s">
        <v>23</v>
      </c>
    </row>
    <row r="2925" spans="1:2" ht="12.75" customHeight="1" x14ac:dyDescent="0.25">
      <c r="A2925" s="318">
        <v>91105598129</v>
      </c>
      <c r="B2925" s="318" t="s">
        <v>23</v>
      </c>
    </row>
    <row r="2926" spans="1:2" ht="12.75" customHeight="1" x14ac:dyDescent="0.25">
      <c r="A2926" s="318">
        <v>91105598131</v>
      </c>
      <c r="B2926" s="318" t="s">
        <v>23</v>
      </c>
    </row>
    <row r="2927" spans="1:2" ht="12.75" customHeight="1" x14ac:dyDescent="0.25">
      <c r="A2927" s="318">
        <v>91105598132</v>
      </c>
      <c r="B2927" s="318" t="s">
        <v>23</v>
      </c>
    </row>
    <row r="2928" spans="1:2" ht="12.75" customHeight="1" x14ac:dyDescent="0.25">
      <c r="A2928" s="318">
        <v>91105598133</v>
      </c>
      <c r="B2928" s="318" t="s">
        <v>23</v>
      </c>
    </row>
    <row r="2929" spans="1:2" ht="12.75" customHeight="1" x14ac:dyDescent="0.25">
      <c r="A2929" s="318">
        <v>91105598134</v>
      </c>
      <c r="B2929" s="318" t="s">
        <v>23</v>
      </c>
    </row>
    <row r="2930" spans="1:2" ht="12.75" customHeight="1" x14ac:dyDescent="0.25">
      <c r="A2930" s="318">
        <v>91105598135</v>
      </c>
      <c r="B2930" s="318" t="s">
        <v>23</v>
      </c>
    </row>
    <row r="2931" spans="1:2" ht="12.75" customHeight="1" x14ac:dyDescent="0.25">
      <c r="A2931" s="318">
        <v>91105598136</v>
      </c>
      <c r="B2931" s="318" t="s">
        <v>23</v>
      </c>
    </row>
    <row r="2932" spans="1:2" ht="12.75" customHeight="1" x14ac:dyDescent="0.25">
      <c r="A2932" s="318">
        <v>91105598137</v>
      </c>
      <c r="B2932" s="318" t="s">
        <v>23</v>
      </c>
    </row>
    <row r="2933" spans="1:2" ht="12.75" customHeight="1" x14ac:dyDescent="0.25">
      <c r="A2933" s="318">
        <v>91105598138</v>
      </c>
      <c r="B2933" s="318" t="s">
        <v>23</v>
      </c>
    </row>
    <row r="2934" spans="1:2" ht="12.75" customHeight="1" x14ac:dyDescent="0.25">
      <c r="A2934" s="318">
        <v>91105598222</v>
      </c>
      <c r="B2934" s="318" t="s">
        <v>237</v>
      </c>
    </row>
    <row r="2935" spans="1:2" ht="12.75" customHeight="1" x14ac:dyDescent="0.25">
      <c r="A2935" s="318">
        <v>91105598223</v>
      </c>
      <c r="B2935" s="318" t="s">
        <v>237</v>
      </c>
    </row>
    <row r="2936" spans="1:2" ht="12.75" customHeight="1" x14ac:dyDescent="0.25">
      <c r="A2936" s="318">
        <v>91105598224</v>
      </c>
      <c r="B2936" s="318" t="s">
        <v>237</v>
      </c>
    </row>
    <row r="2937" spans="1:2" ht="12.75" customHeight="1" x14ac:dyDescent="0.25">
      <c r="A2937" s="318">
        <v>91105598225</v>
      </c>
      <c r="B2937" s="318" t="s">
        <v>237</v>
      </c>
    </row>
    <row r="2938" spans="1:2" ht="12.75" customHeight="1" x14ac:dyDescent="0.25">
      <c r="A2938" s="318">
        <v>91105598226</v>
      </c>
      <c r="B2938" s="318" t="s">
        <v>237</v>
      </c>
    </row>
    <row r="2939" spans="1:2" ht="12.75" customHeight="1" x14ac:dyDescent="0.25">
      <c r="A2939" s="318">
        <v>91105598227</v>
      </c>
      <c r="B2939" s="318" t="s">
        <v>237</v>
      </c>
    </row>
    <row r="2940" spans="1:2" ht="12.75" customHeight="1" x14ac:dyDescent="0.25">
      <c r="A2940" s="318">
        <v>91105598228</v>
      </c>
      <c r="B2940" s="318" t="s">
        <v>237</v>
      </c>
    </row>
    <row r="2941" spans="1:2" ht="12.75" customHeight="1" x14ac:dyDescent="0.25">
      <c r="A2941" s="318">
        <v>91105598229</v>
      </c>
      <c r="B2941" s="318" t="s">
        <v>237</v>
      </c>
    </row>
    <row r="2942" spans="1:2" ht="12.75" customHeight="1" x14ac:dyDescent="0.25">
      <c r="A2942" s="318">
        <v>91105598231</v>
      </c>
      <c r="B2942" s="318" t="s">
        <v>237</v>
      </c>
    </row>
    <row r="2943" spans="1:2" ht="12.75" customHeight="1" x14ac:dyDescent="0.25">
      <c r="A2943" s="318">
        <v>91105598232</v>
      </c>
      <c r="B2943" s="318" t="s">
        <v>237</v>
      </c>
    </row>
    <row r="2944" spans="1:2" ht="12.75" customHeight="1" x14ac:dyDescent="0.25">
      <c r="A2944" s="318">
        <v>91105598233</v>
      </c>
      <c r="B2944" s="318" t="s">
        <v>237</v>
      </c>
    </row>
    <row r="2945" spans="1:2" ht="12.75" customHeight="1" x14ac:dyDescent="0.25">
      <c r="A2945" s="318">
        <v>91105598234</v>
      </c>
      <c r="B2945" s="318" t="s">
        <v>237</v>
      </c>
    </row>
    <row r="2946" spans="1:2" ht="12.75" customHeight="1" x14ac:dyDescent="0.25">
      <c r="A2946" s="318">
        <v>91105598235</v>
      </c>
      <c r="B2946" s="318" t="s">
        <v>237</v>
      </c>
    </row>
    <row r="2947" spans="1:2" ht="12.75" customHeight="1" x14ac:dyDescent="0.25">
      <c r="A2947" s="318">
        <v>91105598236</v>
      </c>
      <c r="B2947" s="318" t="s">
        <v>237</v>
      </c>
    </row>
    <row r="2948" spans="1:2" ht="12.75" customHeight="1" x14ac:dyDescent="0.25">
      <c r="A2948" s="318">
        <v>91105598237</v>
      </c>
      <c r="B2948" s="318" t="s">
        <v>237</v>
      </c>
    </row>
    <row r="2949" spans="1:2" ht="12.75" customHeight="1" x14ac:dyDescent="0.25">
      <c r="A2949" s="318">
        <v>91105598238</v>
      </c>
      <c r="B2949" s="318" t="s">
        <v>237</v>
      </c>
    </row>
    <row r="2950" spans="1:2" ht="12.75" customHeight="1" x14ac:dyDescent="0.25">
      <c r="A2950" s="318">
        <v>91106278313</v>
      </c>
      <c r="B2950" s="318" t="s">
        <v>23</v>
      </c>
    </row>
    <row r="2951" spans="1:2" ht="12.75" customHeight="1" x14ac:dyDescent="0.25">
      <c r="A2951" s="318">
        <v>91106278314</v>
      </c>
      <c r="B2951" s="318" t="s">
        <v>23</v>
      </c>
    </row>
    <row r="2952" spans="1:2" ht="12.75" customHeight="1" x14ac:dyDescent="0.25">
      <c r="A2952" s="318">
        <v>91106278315</v>
      </c>
      <c r="B2952" s="318" t="s">
        <v>23</v>
      </c>
    </row>
    <row r="2953" spans="1:2" ht="12.75" customHeight="1" x14ac:dyDescent="0.25">
      <c r="A2953" s="318">
        <v>91106278316</v>
      </c>
      <c r="B2953" s="318" t="s">
        <v>23</v>
      </c>
    </row>
    <row r="2954" spans="1:2" ht="12.75" customHeight="1" x14ac:dyDescent="0.25">
      <c r="A2954" s="318">
        <v>91106278317</v>
      </c>
      <c r="B2954" s="318" t="s">
        <v>23</v>
      </c>
    </row>
    <row r="2955" spans="1:2" ht="12.75" customHeight="1" x14ac:dyDescent="0.25">
      <c r="A2955" s="318">
        <v>91106278318</v>
      </c>
      <c r="B2955" s="318" t="s">
        <v>23</v>
      </c>
    </row>
    <row r="2956" spans="1:2" ht="12.75" customHeight="1" x14ac:dyDescent="0.25">
      <c r="A2956" s="318">
        <v>91106278319</v>
      </c>
      <c r="B2956" s="318" t="s">
        <v>23</v>
      </c>
    </row>
    <row r="2957" spans="1:2" ht="12.75" customHeight="1" x14ac:dyDescent="0.25">
      <c r="A2957" s="318">
        <v>91106278320</v>
      </c>
      <c r="B2957" s="318" t="s">
        <v>23</v>
      </c>
    </row>
    <row r="2958" spans="1:2" ht="12.75" customHeight="1" x14ac:dyDescent="0.25">
      <c r="A2958" s="318">
        <v>91106278322</v>
      </c>
      <c r="B2958" s="318" t="s">
        <v>23</v>
      </c>
    </row>
    <row r="2959" spans="1:2" ht="12.75" customHeight="1" x14ac:dyDescent="0.25">
      <c r="A2959" s="318">
        <v>91106278323</v>
      </c>
      <c r="B2959" s="318" t="s">
        <v>23</v>
      </c>
    </row>
    <row r="2960" spans="1:2" ht="12.75" customHeight="1" x14ac:dyDescent="0.25">
      <c r="A2960" s="318">
        <v>91106278324</v>
      </c>
      <c r="B2960" s="318" t="s">
        <v>23</v>
      </c>
    </row>
    <row r="2961" spans="1:2" ht="12.75" customHeight="1" x14ac:dyDescent="0.25">
      <c r="A2961" s="318">
        <v>91106278325</v>
      </c>
      <c r="B2961" s="318" t="s">
        <v>23</v>
      </c>
    </row>
    <row r="2962" spans="1:2" ht="12.75" customHeight="1" x14ac:dyDescent="0.25">
      <c r="A2962" s="318">
        <v>91106278326</v>
      </c>
      <c r="B2962" s="318" t="s">
        <v>23</v>
      </c>
    </row>
    <row r="2963" spans="1:2" ht="12.75" customHeight="1" x14ac:dyDescent="0.25">
      <c r="A2963" s="318">
        <v>91106278327</v>
      </c>
      <c r="B2963" s="318" t="s">
        <v>23</v>
      </c>
    </row>
    <row r="2964" spans="1:2" ht="12.75" customHeight="1" x14ac:dyDescent="0.25">
      <c r="A2964" s="318">
        <v>91106278328</v>
      </c>
      <c r="B2964" s="318" t="s">
        <v>23</v>
      </c>
    </row>
    <row r="2965" spans="1:2" ht="12.75" customHeight="1" x14ac:dyDescent="0.25">
      <c r="A2965" s="318">
        <v>91106278329</v>
      </c>
      <c r="B2965" s="318" t="s">
        <v>23</v>
      </c>
    </row>
    <row r="2966" spans="1:2" ht="12.75" customHeight="1" x14ac:dyDescent="0.25">
      <c r="A2966" s="318">
        <v>91106278413</v>
      </c>
      <c r="B2966" s="318" t="s">
        <v>237</v>
      </c>
    </row>
    <row r="2967" spans="1:2" ht="12.75" customHeight="1" x14ac:dyDescent="0.25">
      <c r="A2967" s="318">
        <v>91106278414</v>
      </c>
      <c r="B2967" s="318" t="s">
        <v>237</v>
      </c>
    </row>
    <row r="2968" spans="1:2" ht="12.75" customHeight="1" x14ac:dyDescent="0.25">
      <c r="A2968" s="318">
        <v>91106278415</v>
      </c>
      <c r="B2968" s="318" t="s">
        <v>237</v>
      </c>
    </row>
    <row r="2969" spans="1:2" ht="12.75" customHeight="1" x14ac:dyDescent="0.25">
      <c r="A2969" s="318">
        <v>91106278416</v>
      </c>
      <c r="B2969" s="318" t="s">
        <v>237</v>
      </c>
    </row>
    <row r="2970" spans="1:2" ht="12.75" customHeight="1" x14ac:dyDescent="0.25">
      <c r="A2970" s="318">
        <v>91106278417</v>
      </c>
      <c r="B2970" s="318" t="s">
        <v>237</v>
      </c>
    </row>
    <row r="2971" spans="1:2" ht="12.75" customHeight="1" x14ac:dyDescent="0.25">
      <c r="A2971" s="318">
        <v>91106278418</v>
      </c>
      <c r="B2971" s="318" t="s">
        <v>237</v>
      </c>
    </row>
    <row r="2972" spans="1:2" ht="12.75" customHeight="1" x14ac:dyDescent="0.25">
      <c r="A2972" s="318">
        <v>91106278419</v>
      </c>
      <c r="B2972" s="318" t="s">
        <v>237</v>
      </c>
    </row>
    <row r="2973" spans="1:2" ht="12.75" customHeight="1" x14ac:dyDescent="0.25">
      <c r="A2973" s="318">
        <v>91106278420</v>
      </c>
      <c r="B2973" s="318" t="s">
        <v>237</v>
      </c>
    </row>
    <row r="2974" spans="1:2" ht="12.75" customHeight="1" x14ac:dyDescent="0.25">
      <c r="A2974" s="318">
        <v>91106278422</v>
      </c>
      <c r="B2974" s="318" t="s">
        <v>237</v>
      </c>
    </row>
    <row r="2975" spans="1:2" ht="12.75" customHeight="1" x14ac:dyDescent="0.25">
      <c r="A2975" s="318">
        <v>91106278423</v>
      </c>
      <c r="B2975" s="318" t="s">
        <v>237</v>
      </c>
    </row>
    <row r="2976" spans="1:2" ht="12.75" customHeight="1" x14ac:dyDescent="0.25">
      <c r="A2976" s="318">
        <v>91106278424</v>
      </c>
      <c r="B2976" s="318" t="s">
        <v>237</v>
      </c>
    </row>
    <row r="2977" spans="1:2" ht="12.75" customHeight="1" x14ac:dyDescent="0.25">
      <c r="A2977" s="318">
        <v>91106278425</v>
      </c>
      <c r="B2977" s="318" t="s">
        <v>237</v>
      </c>
    </row>
    <row r="2978" spans="1:2" ht="12.75" customHeight="1" x14ac:dyDescent="0.25">
      <c r="A2978" s="318">
        <v>91106278426</v>
      </c>
      <c r="B2978" s="318" t="s">
        <v>237</v>
      </c>
    </row>
    <row r="2979" spans="1:2" ht="12.75" customHeight="1" x14ac:dyDescent="0.25">
      <c r="A2979" s="318">
        <v>91106278427</v>
      </c>
      <c r="B2979" s="318" t="s">
        <v>237</v>
      </c>
    </row>
    <row r="2980" spans="1:2" ht="12.75" customHeight="1" x14ac:dyDescent="0.25">
      <c r="A2980" s="318">
        <v>91106278428</v>
      </c>
      <c r="B2980" s="318" t="s">
        <v>237</v>
      </c>
    </row>
    <row r="2981" spans="1:2" ht="12.75" customHeight="1" x14ac:dyDescent="0.25">
      <c r="A2981" s="318">
        <v>91106278429</v>
      </c>
      <c r="B2981" s="318" t="s">
        <v>237</v>
      </c>
    </row>
    <row r="2982" spans="1:2" ht="12.75" customHeight="1" x14ac:dyDescent="0.25">
      <c r="A2982" s="318">
        <v>91106759286</v>
      </c>
      <c r="B2982" s="318" t="s">
        <v>23</v>
      </c>
    </row>
    <row r="2983" spans="1:2" ht="12.75" customHeight="1" x14ac:dyDescent="0.25">
      <c r="A2983" s="318">
        <v>91106759287</v>
      </c>
      <c r="B2983" s="318" t="s">
        <v>23</v>
      </c>
    </row>
    <row r="2984" spans="1:2" ht="12.75" customHeight="1" x14ac:dyDescent="0.25">
      <c r="A2984" s="318">
        <v>91106759288</v>
      </c>
      <c r="B2984" s="318" t="s">
        <v>23</v>
      </c>
    </row>
    <row r="2985" spans="1:2" ht="12.75" customHeight="1" x14ac:dyDescent="0.25">
      <c r="A2985" s="318">
        <v>91106759289</v>
      </c>
      <c r="B2985" s="318" t="s">
        <v>23</v>
      </c>
    </row>
    <row r="2986" spans="1:2" ht="12.75" customHeight="1" x14ac:dyDescent="0.25">
      <c r="A2986" s="318">
        <v>91106759290</v>
      </c>
      <c r="B2986" s="318" t="s">
        <v>23</v>
      </c>
    </row>
    <row r="2987" spans="1:2" ht="12.75" customHeight="1" x14ac:dyDescent="0.25">
      <c r="A2987" s="318">
        <v>91106759291</v>
      </c>
      <c r="B2987" s="318" t="s">
        <v>23</v>
      </c>
    </row>
    <row r="2988" spans="1:2" ht="12.75" customHeight="1" x14ac:dyDescent="0.25">
      <c r="A2988" s="318">
        <v>91106759292</v>
      </c>
      <c r="B2988" s="318" t="s">
        <v>23</v>
      </c>
    </row>
    <row r="2989" spans="1:2" ht="12.75" customHeight="1" x14ac:dyDescent="0.25">
      <c r="A2989" s="318">
        <v>91106759293</v>
      </c>
      <c r="B2989" s="318" t="s">
        <v>23</v>
      </c>
    </row>
    <row r="2990" spans="1:2" ht="12.75" customHeight="1" x14ac:dyDescent="0.25">
      <c r="A2990" s="318">
        <v>91106759295</v>
      </c>
      <c r="B2990" s="318" t="s">
        <v>23</v>
      </c>
    </row>
    <row r="2991" spans="1:2" ht="12.75" customHeight="1" x14ac:dyDescent="0.25">
      <c r="A2991" s="318">
        <v>91106759296</v>
      </c>
      <c r="B2991" s="318" t="s">
        <v>23</v>
      </c>
    </row>
    <row r="2992" spans="1:2" ht="12.75" customHeight="1" x14ac:dyDescent="0.25">
      <c r="A2992" s="318">
        <v>91106759297</v>
      </c>
      <c r="B2992" s="318" t="s">
        <v>23</v>
      </c>
    </row>
    <row r="2993" spans="1:2" ht="12.75" customHeight="1" x14ac:dyDescent="0.25">
      <c r="A2993" s="318">
        <v>91106759298</v>
      </c>
      <c r="B2993" s="318" t="s">
        <v>23</v>
      </c>
    </row>
    <row r="2994" spans="1:2" ht="12.75" customHeight="1" x14ac:dyDescent="0.25">
      <c r="A2994" s="318">
        <v>91106759299</v>
      </c>
      <c r="B2994" s="318" t="s">
        <v>23</v>
      </c>
    </row>
    <row r="2995" spans="1:2" ht="12.75" customHeight="1" x14ac:dyDescent="0.25">
      <c r="A2995" s="318">
        <v>91106759300</v>
      </c>
      <c r="B2995" s="318" t="s">
        <v>23</v>
      </c>
    </row>
    <row r="2996" spans="1:2" ht="12.75" customHeight="1" x14ac:dyDescent="0.25">
      <c r="A2996" s="318">
        <v>91106759301</v>
      </c>
      <c r="B2996" s="318" t="s">
        <v>23</v>
      </c>
    </row>
    <row r="2997" spans="1:2" ht="12.75" customHeight="1" x14ac:dyDescent="0.25">
      <c r="A2997" s="318">
        <v>91106759302</v>
      </c>
      <c r="B2997" s="318" t="s">
        <v>23</v>
      </c>
    </row>
    <row r="2998" spans="1:2" ht="12.75" customHeight="1" x14ac:dyDescent="0.25">
      <c r="A2998" s="318">
        <v>91106759386</v>
      </c>
      <c r="B2998" s="318" t="s">
        <v>237</v>
      </c>
    </row>
    <row r="2999" spans="1:2" ht="12.75" customHeight="1" x14ac:dyDescent="0.25">
      <c r="A2999" s="318">
        <v>91106759387</v>
      </c>
      <c r="B2999" s="318" t="s">
        <v>237</v>
      </c>
    </row>
    <row r="3000" spans="1:2" ht="12.75" customHeight="1" x14ac:dyDescent="0.25">
      <c r="A3000" s="318">
        <v>91106759388</v>
      </c>
      <c r="B3000" s="318" t="s">
        <v>237</v>
      </c>
    </row>
    <row r="3001" spans="1:2" ht="12.75" customHeight="1" x14ac:dyDescent="0.25">
      <c r="A3001" s="318">
        <v>91106759389</v>
      </c>
      <c r="B3001" s="318" t="s">
        <v>237</v>
      </c>
    </row>
    <row r="3002" spans="1:2" ht="12.75" customHeight="1" x14ac:dyDescent="0.25">
      <c r="A3002" s="318">
        <v>91106759390</v>
      </c>
      <c r="B3002" s="318" t="s">
        <v>237</v>
      </c>
    </row>
    <row r="3003" spans="1:2" ht="12.75" customHeight="1" x14ac:dyDescent="0.25">
      <c r="A3003" s="318">
        <v>91106759391</v>
      </c>
      <c r="B3003" s="318" t="s">
        <v>237</v>
      </c>
    </row>
    <row r="3004" spans="1:2" ht="12.75" customHeight="1" x14ac:dyDescent="0.25">
      <c r="A3004" s="318">
        <v>91106759392</v>
      </c>
      <c r="B3004" s="318" t="s">
        <v>237</v>
      </c>
    </row>
    <row r="3005" spans="1:2" ht="12.75" customHeight="1" x14ac:dyDescent="0.25">
      <c r="A3005" s="318">
        <v>91106759393</v>
      </c>
      <c r="B3005" s="318" t="s">
        <v>237</v>
      </c>
    </row>
    <row r="3006" spans="1:2" ht="12.75" customHeight="1" x14ac:dyDescent="0.25">
      <c r="A3006" s="318">
        <v>91106759395</v>
      </c>
      <c r="B3006" s="318" t="s">
        <v>237</v>
      </c>
    </row>
    <row r="3007" spans="1:2" ht="12.75" customHeight="1" x14ac:dyDescent="0.25">
      <c r="A3007" s="318">
        <v>91106759396</v>
      </c>
      <c r="B3007" s="318" t="s">
        <v>237</v>
      </c>
    </row>
    <row r="3008" spans="1:2" ht="12.75" customHeight="1" x14ac:dyDescent="0.25">
      <c r="A3008" s="318">
        <v>91106759397</v>
      </c>
      <c r="B3008" s="318" t="s">
        <v>237</v>
      </c>
    </row>
    <row r="3009" spans="1:2" ht="12.75" customHeight="1" x14ac:dyDescent="0.25">
      <c r="A3009" s="318">
        <v>91106759398</v>
      </c>
      <c r="B3009" s="318" t="s">
        <v>237</v>
      </c>
    </row>
    <row r="3010" spans="1:2" ht="12.75" customHeight="1" x14ac:dyDescent="0.25">
      <c r="A3010" s="318">
        <v>91106759399</v>
      </c>
      <c r="B3010" s="318" t="s">
        <v>237</v>
      </c>
    </row>
    <row r="3011" spans="1:2" ht="12.75" customHeight="1" x14ac:dyDescent="0.25">
      <c r="A3011" s="318">
        <v>91106759400</v>
      </c>
      <c r="B3011" s="318" t="s">
        <v>237</v>
      </c>
    </row>
    <row r="3012" spans="1:2" ht="12.75" customHeight="1" x14ac:dyDescent="0.25">
      <c r="A3012" s="318">
        <v>91106759401</v>
      </c>
      <c r="B3012" s="318" t="s">
        <v>237</v>
      </c>
    </row>
    <row r="3013" spans="1:2" ht="12.75" customHeight="1" x14ac:dyDescent="0.25">
      <c r="A3013" s="318">
        <v>91106759402</v>
      </c>
      <c r="B3013" s="318" t="s">
        <v>237</v>
      </c>
    </row>
    <row r="3014" spans="1:2" ht="12.75" customHeight="1" x14ac:dyDescent="0.25">
      <c r="A3014" s="318">
        <v>91107240259</v>
      </c>
      <c r="B3014" s="318" t="s">
        <v>23</v>
      </c>
    </row>
    <row r="3015" spans="1:2" ht="12.75" customHeight="1" x14ac:dyDescent="0.25">
      <c r="A3015" s="318">
        <v>91107240260</v>
      </c>
      <c r="B3015" s="318" t="s">
        <v>23</v>
      </c>
    </row>
    <row r="3016" spans="1:2" ht="12.75" customHeight="1" x14ac:dyDescent="0.25">
      <c r="A3016" s="318">
        <v>91107240261</v>
      </c>
      <c r="B3016" s="318" t="s">
        <v>23</v>
      </c>
    </row>
    <row r="3017" spans="1:2" ht="12.75" customHeight="1" x14ac:dyDescent="0.25">
      <c r="A3017" s="318">
        <v>91107240262</v>
      </c>
      <c r="B3017" s="318" t="s">
        <v>23</v>
      </c>
    </row>
    <row r="3018" spans="1:2" ht="12.75" customHeight="1" x14ac:dyDescent="0.25">
      <c r="A3018" s="318">
        <v>91107240263</v>
      </c>
      <c r="B3018" s="318" t="s">
        <v>23</v>
      </c>
    </row>
    <row r="3019" spans="1:2" ht="12.75" customHeight="1" x14ac:dyDescent="0.25">
      <c r="A3019" s="318">
        <v>91107240264</v>
      </c>
      <c r="B3019" s="318" t="s">
        <v>23</v>
      </c>
    </row>
    <row r="3020" spans="1:2" ht="12.75" customHeight="1" x14ac:dyDescent="0.25">
      <c r="A3020" s="318">
        <v>91107240265</v>
      </c>
      <c r="B3020" s="318" t="s">
        <v>23</v>
      </c>
    </row>
    <row r="3021" spans="1:2" ht="12.75" customHeight="1" x14ac:dyDescent="0.25">
      <c r="A3021" s="318">
        <v>91107240266</v>
      </c>
      <c r="B3021" s="318" t="s">
        <v>23</v>
      </c>
    </row>
    <row r="3022" spans="1:2" ht="12.75" customHeight="1" x14ac:dyDescent="0.25">
      <c r="A3022" s="318">
        <v>91107240268</v>
      </c>
      <c r="B3022" s="318" t="s">
        <v>23</v>
      </c>
    </row>
    <row r="3023" spans="1:2" ht="12.75" customHeight="1" x14ac:dyDescent="0.25">
      <c r="A3023" s="318">
        <v>91107240269</v>
      </c>
      <c r="B3023" s="318" t="s">
        <v>23</v>
      </c>
    </row>
    <row r="3024" spans="1:2" ht="12.75" customHeight="1" x14ac:dyDescent="0.25">
      <c r="A3024" s="318">
        <v>91107240270</v>
      </c>
      <c r="B3024" s="318" t="s">
        <v>23</v>
      </c>
    </row>
    <row r="3025" spans="1:2" ht="12.75" customHeight="1" x14ac:dyDescent="0.25">
      <c r="A3025" s="318">
        <v>91107240271</v>
      </c>
      <c r="B3025" s="318" t="s">
        <v>23</v>
      </c>
    </row>
    <row r="3026" spans="1:2" ht="12.75" customHeight="1" x14ac:dyDescent="0.25">
      <c r="A3026" s="318">
        <v>91107240272</v>
      </c>
      <c r="B3026" s="318" t="s">
        <v>23</v>
      </c>
    </row>
    <row r="3027" spans="1:2" ht="12.75" customHeight="1" x14ac:dyDescent="0.25">
      <c r="A3027" s="318">
        <v>91107240273</v>
      </c>
      <c r="B3027" s="318" t="s">
        <v>23</v>
      </c>
    </row>
    <row r="3028" spans="1:2" ht="12.75" customHeight="1" x14ac:dyDescent="0.25">
      <c r="A3028" s="318">
        <v>91107240274</v>
      </c>
      <c r="B3028" s="318" t="s">
        <v>23</v>
      </c>
    </row>
    <row r="3029" spans="1:2" ht="12.75" customHeight="1" x14ac:dyDescent="0.25">
      <c r="A3029" s="318">
        <v>91107240275</v>
      </c>
      <c r="B3029" s="318" t="s">
        <v>23</v>
      </c>
    </row>
    <row r="3030" spans="1:2" ht="12.75" customHeight="1" x14ac:dyDescent="0.25">
      <c r="A3030" s="318">
        <v>91107240359</v>
      </c>
      <c r="B3030" s="318" t="s">
        <v>237</v>
      </c>
    </row>
    <row r="3031" spans="1:2" ht="12.75" customHeight="1" x14ac:dyDescent="0.25">
      <c r="A3031" s="318">
        <v>91107240360</v>
      </c>
      <c r="B3031" s="318" t="s">
        <v>237</v>
      </c>
    </row>
    <row r="3032" spans="1:2" ht="12.75" customHeight="1" x14ac:dyDescent="0.25">
      <c r="A3032" s="318">
        <v>91107240361</v>
      </c>
      <c r="B3032" s="318" t="s">
        <v>237</v>
      </c>
    </row>
    <row r="3033" spans="1:2" ht="12.75" customHeight="1" x14ac:dyDescent="0.25">
      <c r="A3033" s="318">
        <v>91107240362</v>
      </c>
      <c r="B3033" s="318" t="s">
        <v>237</v>
      </c>
    </row>
    <row r="3034" spans="1:2" ht="12.75" customHeight="1" x14ac:dyDescent="0.25">
      <c r="A3034" s="318">
        <v>91107240363</v>
      </c>
      <c r="B3034" s="318" t="s">
        <v>237</v>
      </c>
    </row>
    <row r="3035" spans="1:2" ht="12.75" customHeight="1" x14ac:dyDescent="0.25">
      <c r="A3035" s="318">
        <v>91107240364</v>
      </c>
      <c r="B3035" s="318" t="s">
        <v>237</v>
      </c>
    </row>
    <row r="3036" spans="1:2" ht="12.75" customHeight="1" x14ac:dyDescent="0.25">
      <c r="A3036" s="318">
        <v>91107240365</v>
      </c>
      <c r="B3036" s="318" t="s">
        <v>237</v>
      </c>
    </row>
    <row r="3037" spans="1:2" ht="12.75" customHeight="1" x14ac:dyDescent="0.25">
      <c r="A3037" s="318">
        <v>91107240366</v>
      </c>
      <c r="B3037" s="318" t="s">
        <v>237</v>
      </c>
    </row>
    <row r="3038" spans="1:2" ht="12.75" customHeight="1" x14ac:dyDescent="0.25">
      <c r="A3038" s="318">
        <v>91107240368</v>
      </c>
      <c r="B3038" s="318" t="s">
        <v>237</v>
      </c>
    </row>
    <row r="3039" spans="1:2" ht="12.75" customHeight="1" x14ac:dyDescent="0.25">
      <c r="A3039" s="318">
        <v>91107240369</v>
      </c>
      <c r="B3039" s="318" t="s">
        <v>237</v>
      </c>
    </row>
    <row r="3040" spans="1:2" ht="12.75" customHeight="1" x14ac:dyDescent="0.25">
      <c r="A3040" s="318">
        <v>91107240370</v>
      </c>
      <c r="B3040" s="318" t="s">
        <v>237</v>
      </c>
    </row>
    <row r="3041" spans="1:2" ht="12.75" customHeight="1" x14ac:dyDescent="0.25">
      <c r="A3041" s="318">
        <v>91107240371</v>
      </c>
      <c r="B3041" s="318" t="s">
        <v>237</v>
      </c>
    </row>
    <row r="3042" spans="1:2" ht="12.75" customHeight="1" x14ac:dyDescent="0.25">
      <c r="A3042" s="318">
        <v>91107240372</v>
      </c>
      <c r="B3042" s="318" t="s">
        <v>237</v>
      </c>
    </row>
    <row r="3043" spans="1:2" ht="12.75" customHeight="1" x14ac:dyDescent="0.25">
      <c r="A3043" s="318">
        <v>91107240373</v>
      </c>
      <c r="B3043" s="318" t="s">
        <v>237</v>
      </c>
    </row>
    <row r="3044" spans="1:2" ht="12.75" customHeight="1" x14ac:dyDescent="0.25">
      <c r="A3044" s="318">
        <v>91107240374</v>
      </c>
      <c r="B3044" s="318" t="s">
        <v>237</v>
      </c>
    </row>
    <row r="3045" spans="1:2" ht="12.75" customHeight="1" x14ac:dyDescent="0.25">
      <c r="A3045" s="318">
        <v>91107240375</v>
      </c>
      <c r="B3045" s="318" t="s">
        <v>237</v>
      </c>
    </row>
    <row r="3046" spans="1:2" ht="12.75" customHeight="1" x14ac:dyDescent="0.25">
      <c r="A3046" s="318">
        <v>91722907556</v>
      </c>
      <c r="B3046" s="318" t="s">
        <v>23</v>
      </c>
    </row>
    <row r="3047" spans="1:2" ht="12.75" customHeight="1" x14ac:dyDescent="0.25">
      <c r="A3047" s="318">
        <v>91722907557</v>
      </c>
      <c r="B3047" s="318" t="s">
        <v>23</v>
      </c>
    </row>
    <row r="3048" spans="1:2" ht="12.75" customHeight="1" x14ac:dyDescent="0.25">
      <c r="A3048" s="318">
        <v>91722907558</v>
      </c>
      <c r="B3048" s="318" t="s">
        <v>23</v>
      </c>
    </row>
    <row r="3049" spans="1:2" ht="12.75" customHeight="1" x14ac:dyDescent="0.25">
      <c r="A3049" s="318">
        <v>91722907559</v>
      </c>
      <c r="B3049" s="318" t="s">
        <v>23</v>
      </c>
    </row>
    <row r="3050" spans="1:2" ht="12.75" customHeight="1" x14ac:dyDescent="0.25">
      <c r="A3050" s="318">
        <v>91722907560</v>
      </c>
      <c r="B3050" s="318" t="s">
        <v>23</v>
      </c>
    </row>
    <row r="3051" spans="1:2" ht="12.75" customHeight="1" x14ac:dyDescent="0.25">
      <c r="A3051" s="318">
        <v>91722907561</v>
      </c>
      <c r="B3051" s="318" t="s">
        <v>23</v>
      </c>
    </row>
    <row r="3052" spans="1:2" ht="12.75" customHeight="1" x14ac:dyDescent="0.25">
      <c r="A3052" s="318">
        <v>91722907562</v>
      </c>
      <c r="B3052" s="318" t="s">
        <v>23</v>
      </c>
    </row>
    <row r="3053" spans="1:2" ht="12.75" customHeight="1" x14ac:dyDescent="0.25">
      <c r="A3053" s="318">
        <v>91722907563</v>
      </c>
      <c r="B3053" s="318" t="s">
        <v>237</v>
      </c>
    </row>
    <row r="3054" spans="1:2" ht="12.75" customHeight="1" x14ac:dyDescent="0.25">
      <c r="A3054" s="318">
        <v>91722907565</v>
      </c>
      <c r="B3054" s="318" t="s">
        <v>237</v>
      </c>
    </row>
    <row r="3055" spans="1:2" ht="12.75" customHeight="1" x14ac:dyDescent="0.25">
      <c r="A3055" s="318">
        <v>91722907566</v>
      </c>
      <c r="B3055" s="318" t="s">
        <v>237</v>
      </c>
    </row>
    <row r="3056" spans="1:2" ht="12.75" customHeight="1" x14ac:dyDescent="0.25">
      <c r="A3056" s="318">
        <v>91722907567</v>
      </c>
      <c r="B3056" s="318" t="s">
        <v>237</v>
      </c>
    </row>
    <row r="3057" spans="1:2" ht="12.75" customHeight="1" x14ac:dyDescent="0.25">
      <c r="A3057" s="318">
        <v>91722907568</v>
      </c>
      <c r="B3057" s="318" t="s">
        <v>237</v>
      </c>
    </row>
    <row r="3058" spans="1:2" ht="12.75" customHeight="1" x14ac:dyDescent="0.25">
      <c r="A3058" s="318">
        <v>91722907569</v>
      </c>
      <c r="B3058" s="318" t="s">
        <v>237</v>
      </c>
    </row>
    <row r="3059" spans="1:2" ht="12.75" customHeight="1" x14ac:dyDescent="0.25">
      <c r="A3059" s="318">
        <v>91722907570</v>
      </c>
      <c r="B3059" s="318" t="s">
        <v>237</v>
      </c>
    </row>
    <row r="3060" spans="1:2" ht="12.75" customHeight="1" x14ac:dyDescent="0.25">
      <c r="A3060" s="318">
        <v>91722907571</v>
      </c>
      <c r="B3060" s="318" t="s">
        <v>237</v>
      </c>
    </row>
    <row r="3061" spans="1:2" ht="12.75" customHeight="1" x14ac:dyDescent="0.25">
      <c r="A3061" s="318">
        <v>91722907572</v>
      </c>
      <c r="B3061" s="318" t="s">
        <v>237</v>
      </c>
    </row>
    <row r="3062" spans="1:2" ht="12.75" customHeight="1" x14ac:dyDescent="0.25">
      <c r="A3062" s="318">
        <v>91722907656</v>
      </c>
      <c r="B3062" s="318" t="s">
        <v>237</v>
      </c>
    </row>
    <row r="3063" spans="1:2" ht="12.75" customHeight="1" x14ac:dyDescent="0.25">
      <c r="A3063" s="318">
        <v>91722907657</v>
      </c>
      <c r="B3063" s="318" t="s">
        <v>237</v>
      </c>
    </row>
    <row r="3064" spans="1:2" ht="12.75" customHeight="1" x14ac:dyDescent="0.25">
      <c r="A3064" s="318">
        <v>91722907658</v>
      </c>
      <c r="B3064" s="318" t="s">
        <v>237</v>
      </c>
    </row>
    <row r="3065" spans="1:2" ht="12.75" customHeight="1" x14ac:dyDescent="0.25">
      <c r="A3065" s="318">
        <v>91722907659</v>
      </c>
      <c r="B3065" s="318" t="s">
        <v>237</v>
      </c>
    </row>
    <row r="3066" spans="1:2" ht="12.75" customHeight="1" x14ac:dyDescent="0.25">
      <c r="A3066" s="318">
        <v>91722907660</v>
      </c>
      <c r="B3066" s="318" t="s">
        <v>237</v>
      </c>
    </row>
    <row r="3067" spans="1:2" ht="12.75" customHeight="1" x14ac:dyDescent="0.25">
      <c r="A3067" s="318">
        <v>91722907661</v>
      </c>
      <c r="B3067" s="318" t="s">
        <v>237</v>
      </c>
    </row>
    <row r="3068" spans="1:2" ht="12.75" customHeight="1" x14ac:dyDescent="0.25">
      <c r="A3068" s="318">
        <v>91722907662</v>
      </c>
      <c r="B3068" s="318" t="s">
        <v>237</v>
      </c>
    </row>
    <row r="3069" spans="1:2" ht="12.75" customHeight="1" x14ac:dyDescent="0.25">
      <c r="A3069" s="318">
        <v>91722907663</v>
      </c>
      <c r="B3069" s="318" t="s">
        <v>237</v>
      </c>
    </row>
    <row r="3070" spans="1:2" ht="12.75" customHeight="1" x14ac:dyDescent="0.25">
      <c r="A3070" s="318">
        <v>91722907665</v>
      </c>
      <c r="B3070" s="318" t="s">
        <v>237</v>
      </c>
    </row>
    <row r="3071" spans="1:2" ht="12.75" customHeight="1" x14ac:dyDescent="0.25">
      <c r="A3071" s="318">
        <v>91722907666</v>
      </c>
      <c r="B3071" s="318" t="s">
        <v>237</v>
      </c>
    </row>
    <row r="3072" spans="1:2" ht="12.75" customHeight="1" x14ac:dyDescent="0.25">
      <c r="A3072" s="318">
        <v>91722907667</v>
      </c>
      <c r="B3072" s="318" t="s">
        <v>237</v>
      </c>
    </row>
    <row r="3073" spans="1:2" ht="12.75" customHeight="1" x14ac:dyDescent="0.25">
      <c r="A3073" s="318">
        <v>91722907668</v>
      </c>
      <c r="B3073" s="318" t="s">
        <v>237</v>
      </c>
    </row>
    <row r="3074" spans="1:2" ht="12.75" customHeight="1" x14ac:dyDescent="0.25">
      <c r="A3074" s="318">
        <v>91722907669</v>
      </c>
      <c r="B3074" s="318" t="s">
        <v>237</v>
      </c>
    </row>
    <row r="3075" spans="1:2" ht="12.75" customHeight="1" x14ac:dyDescent="0.25">
      <c r="A3075" s="318">
        <v>91722907670</v>
      </c>
      <c r="B3075" s="318" t="s">
        <v>237</v>
      </c>
    </row>
    <row r="3076" spans="1:2" ht="12.75" customHeight="1" x14ac:dyDescent="0.25">
      <c r="A3076" s="318">
        <v>91722907671</v>
      </c>
      <c r="B3076" s="318" t="s">
        <v>237</v>
      </c>
    </row>
    <row r="3077" spans="1:2" ht="12.75" customHeight="1" x14ac:dyDescent="0.25">
      <c r="A3077" s="318">
        <v>91722907672</v>
      </c>
      <c r="B3077" s="318" t="s">
        <v>237</v>
      </c>
    </row>
    <row r="3078" spans="1:2" ht="12.75" customHeight="1" x14ac:dyDescent="0.25">
      <c r="A3078" s="318">
        <v>91723388529</v>
      </c>
      <c r="B3078" s="318" t="s">
        <v>23</v>
      </c>
    </row>
    <row r="3079" spans="1:2" ht="12.75" customHeight="1" x14ac:dyDescent="0.25">
      <c r="A3079" s="318">
        <v>91723388530</v>
      </c>
      <c r="B3079" s="318" t="s">
        <v>23</v>
      </c>
    </row>
    <row r="3080" spans="1:2" ht="12.75" customHeight="1" x14ac:dyDescent="0.25">
      <c r="A3080" s="318">
        <v>91723388531</v>
      </c>
      <c r="B3080" s="318" t="s">
        <v>23</v>
      </c>
    </row>
    <row r="3081" spans="1:2" ht="12.75" customHeight="1" x14ac:dyDescent="0.25">
      <c r="A3081" s="318">
        <v>91723388532</v>
      </c>
      <c r="B3081" s="318" t="s">
        <v>23</v>
      </c>
    </row>
    <row r="3082" spans="1:2" ht="12.75" customHeight="1" x14ac:dyDescent="0.25">
      <c r="A3082" s="318">
        <v>91723388533</v>
      </c>
      <c r="B3082" s="318" t="s">
        <v>23</v>
      </c>
    </row>
    <row r="3083" spans="1:2" ht="12.75" customHeight="1" x14ac:dyDescent="0.25">
      <c r="A3083" s="318">
        <v>91723388534</v>
      </c>
      <c r="B3083" s="318" t="s">
        <v>23</v>
      </c>
    </row>
    <row r="3084" spans="1:2" ht="12.75" customHeight="1" x14ac:dyDescent="0.25">
      <c r="A3084" s="318">
        <v>91723388535</v>
      </c>
      <c r="B3084" s="318" t="s">
        <v>23</v>
      </c>
    </row>
    <row r="3085" spans="1:2" ht="12.75" customHeight="1" x14ac:dyDescent="0.25">
      <c r="A3085" s="318">
        <v>91723388536</v>
      </c>
      <c r="B3085" s="318" t="s">
        <v>237</v>
      </c>
    </row>
    <row r="3086" spans="1:2" ht="12.75" customHeight="1" x14ac:dyDescent="0.25">
      <c r="A3086" s="318">
        <v>91723388538</v>
      </c>
      <c r="B3086" s="318" t="s">
        <v>237</v>
      </c>
    </row>
    <row r="3087" spans="1:2" ht="12.75" customHeight="1" x14ac:dyDescent="0.25">
      <c r="A3087" s="318">
        <v>91723388539</v>
      </c>
      <c r="B3087" s="318" t="s">
        <v>237</v>
      </c>
    </row>
    <row r="3088" spans="1:2" ht="12.75" customHeight="1" x14ac:dyDescent="0.25">
      <c r="A3088" s="318">
        <v>91723388540</v>
      </c>
      <c r="B3088" s="318" t="s">
        <v>237</v>
      </c>
    </row>
    <row r="3089" spans="1:2" ht="12.75" customHeight="1" x14ac:dyDescent="0.25">
      <c r="A3089" s="318">
        <v>91723388541</v>
      </c>
      <c r="B3089" s="318" t="s">
        <v>237</v>
      </c>
    </row>
    <row r="3090" spans="1:2" ht="12.75" customHeight="1" x14ac:dyDescent="0.25">
      <c r="A3090" s="318">
        <v>91723388542</v>
      </c>
      <c r="B3090" s="318" t="s">
        <v>237</v>
      </c>
    </row>
    <row r="3091" spans="1:2" ht="12.75" customHeight="1" x14ac:dyDescent="0.25">
      <c r="A3091" s="318">
        <v>91723388543</v>
      </c>
      <c r="B3091" s="318" t="s">
        <v>237</v>
      </c>
    </row>
    <row r="3092" spans="1:2" ht="12.75" customHeight="1" x14ac:dyDescent="0.25">
      <c r="A3092" s="318">
        <v>91723388544</v>
      </c>
      <c r="B3092" s="318" t="s">
        <v>237</v>
      </c>
    </row>
    <row r="3093" spans="1:2" ht="12.75" customHeight="1" x14ac:dyDescent="0.25">
      <c r="A3093" s="318">
        <v>91723388545</v>
      </c>
      <c r="B3093" s="318" t="s">
        <v>237</v>
      </c>
    </row>
    <row r="3094" spans="1:2" ht="12.75" customHeight="1" x14ac:dyDescent="0.25">
      <c r="A3094" s="318">
        <v>91723388629</v>
      </c>
      <c r="B3094" s="318" t="s">
        <v>237</v>
      </c>
    </row>
    <row r="3095" spans="1:2" ht="12.75" customHeight="1" x14ac:dyDescent="0.25">
      <c r="A3095" s="318">
        <v>91723388630</v>
      </c>
      <c r="B3095" s="318" t="s">
        <v>237</v>
      </c>
    </row>
    <row r="3096" spans="1:2" ht="12.75" customHeight="1" x14ac:dyDescent="0.25">
      <c r="A3096" s="318">
        <v>91723388631</v>
      </c>
      <c r="B3096" s="318" t="s">
        <v>237</v>
      </c>
    </row>
    <row r="3097" spans="1:2" ht="12.75" customHeight="1" x14ac:dyDescent="0.25">
      <c r="A3097" s="318">
        <v>91723388632</v>
      </c>
      <c r="B3097" s="318" t="s">
        <v>237</v>
      </c>
    </row>
    <row r="3098" spans="1:2" ht="12.75" customHeight="1" x14ac:dyDescent="0.25">
      <c r="A3098" s="318">
        <v>91723388633</v>
      </c>
      <c r="B3098" s="318" t="s">
        <v>237</v>
      </c>
    </row>
    <row r="3099" spans="1:2" ht="12.75" customHeight="1" x14ac:dyDescent="0.25">
      <c r="A3099" s="318">
        <v>91723388634</v>
      </c>
      <c r="B3099" s="318" t="s">
        <v>237</v>
      </c>
    </row>
    <row r="3100" spans="1:2" ht="12.75" customHeight="1" x14ac:dyDescent="0.25">
      <c r="A3100" s="318">
        <v>91723388635</v>
      </c>
      <c r="B3100" s="318" t="s">
        <v>237</v>
      </c>
    </row>
    <row r="3101" spans="1:2" ht="12.75" customHeight="1" x14ac:dyDescent="0.25">
      <c r="A3101" s="318">
        <v>91723388636</v>
      </c>
      <c r="B3101" s="318" t="s">
        <v>237</v>
      </c>
    </row>
    <row r="3102" spans="1:2" ht="12.75" customHeight="1" x14ac:dyDescent="0.25">
      <c r="A3102" s="318">
        <v>91723388638</v>
      </c>
      <c r="B3102" s="318" t="s">
        <v>237</v>
      </c>
    </row>
    <row r="3103" spans="1:2" ht="12.75" customHeight="1" x14ac:dyDescent="0.25">
      <c r="A3103" s="318">
        <v>91723388639</v>
      </c>
      <c r="B3103" s="318" t="s">
        <v>237</v>
      </c>
    </row>
    <row r="3104" spans="1:2" ht="12.75" customHeight="1" x14ac:dyDescent="0.25">
      <c r="A3104" s="318">
        <v>91723388640</v>
      </c>
      <c r="B3104" s="318" t="s">
        <v>237</v>
      </c>
    </row>
    <row r="3105" spans="1:2" ht="12.75" customHeight="1" x14ac:dyDescent="0.25">
      <c r="A3105" s="318">
        <v>91723388641</v>
      </c>
      <c r="B3105" s="318" t="s">
        <v>237</v>
      </c>
    </row>
    <row r="3106" spans="1:2" ht="12.75" customHeight="1" x14ac:dyDescent="0.25">
      <c r="A3106" s="318">
        <v>91723388642</v>
      </c>
      <c r="B3106" s="318" t="s">
        <v>237</v>
      </c>
    </row>
    <row r="3107" spans="1:2" ht="12.75" customHeight="1" x14ac:dyDescent="0.25">
      <c r="A3107" s="318">
        <v>91723388643</v>
      </c>
      <c r="B3107" s="318" t="s">
        <v>237</v>
      </c>
    </row>
    <row r="3108" spans="1:2" ht="12.75" customHeight="1" x14ac:dyDescent="0.25">
      <c r="A3108" s="318">
        <v>91723388644</v>
      </c>
      <c r="B3108" s="318" t="s">
        <v>237</v>
      </c>
    </row>
    <row r="3109" spans="1:2" ht="12.75" customHeight="1" x14ac:dyDescent="0.25">
      <c r="A3109" s="318">
        <v>91723388645</v>
      </c>
      <c r="B3109" s="318" t="s">
        <v>237</v>
      </c>
    </row>
    <row r="3110" spans="1:2" ht="12.75" customHeight="1" x14ac:dyDescent="0.25">
      <c r="A3110" s="318">
        <v>91723869502</v>
      </c>
      <c r="B3110" s="318" t="s">
        <v>23</v>
      </c>
    </row>
    <row r="3111" spans="1:2" ht="12.75" customHeight="1" x14ac:dyDescent="0.25">
      <c r="A3111" s="318">
        <v>91723869503</v>
      </c>
      <c r="B3111" s="318" t="s">
        <v>23</v>
      </c>
    </row>
    <row r="3112" spans="1:2" ht="12.75" customHeight="1" x14ac:dyDescent="0.25">
      <c r="A3112" s="318">
        <v>91723869504</v>
      </c>
      <c r="B3112" s="318" t="s">
        <v>23</v>
      </c>
    </row>
    <row r="3113" spans="1:2" ht="12.75" customHeight="1" x14ac:dyDescent="0.25">
      <c r="A3113" s="318">
        <v>91723869505</v>
      </c>
      <c r="B3113" s="318" t="s">
        <v>23</v>
      </c>
    </row>
    <row r="3114" spans="1:2" ht="12.75" customHeight="1" x14ac:dyDescent="0.25">
      <c r="A3114" s="318">
        <v>91723869506</v>
      </c>
      <c r="B3114" s="318" t="s">
        <v>23</v>
      </c>
    </row>
    <row r="3115" spans="1:2" ht="12.75" customHeight="1" x14ac:dyDescent="0.25">
      <c r="A3115" s="318">
        <v>91723869507</v>
      </c>
      <c r="B3115" s="318" t="s">
        <v>23</v>
      </c>
    </row>
    <row r="3116" spans="1:2" ht="12.75" customHeight="1" x14ac:dyDescent="0.25">
      <c r="A3116" s="318">
        <v>91723869508</v>
      </c>
      <c r="B3116" s="318" t="s">
        <v>23</v>
      </c>
    </row>
    <row r="3117" spans="1:2" ht="12.75" customHeight="1" x14ac:dyDescent="0.25">
      <c r="A3117" s="318">
        <v>91723869509</v>
      </c>
      <c r="B3117" s="318" t="s">
        <v>237</v>
      </c>
    </row>
    <row r="3118" spans="1:2" ht="12.75" customHeight="1" x14ac:dyDescent="0.25">
      <c r="A3118" s="318">
        <v>91723869511</v>
      </c>
      <c r="B3118" s="318" t="s">
        <v>23</v>
      </c>
    </row>
    <row r="3119" spans="1:2" ht="12.75" customHeight="1" x14ac:dyDescent="0.25">
      <c r="A3119" s="318">
        <v>91723869512</v>
      </c>
      <c r="B3119" s="318" t="s">
        <v>237</v>
      </c>
    </row>
    <row r="3120" spans="1:2" ht="12.75" customHeight="1" x14ac:dyDescent="0.25">
      <c r="A3120" s="318">
        <v>91723869513</v>
      </c>
      <c r="B3120" s="318" t="s">
        <v>23</v>
      </c>
    </row>
    <row r="3121" spans="1:2" ht="12.75" customHeight="1" x14ac:dyDescent="0.25">
      <c r="A3121" s="318">
        <v>91723869514</v>
      </c>
      <c r="B3121" s="318" t="s">
        <v>237</v>
      </c>
    </row>
    <row r="3122" spans="1:2" ht="12.75" customHeight="1" x14ac:dyDescent="0.25">
      <c r="A3122" s="318">
        <v>91723869515</v>
      </c>
      <c r="B3122" s="318" t="s">
        <v>23</v>
      </c>
    </row>
    <row r="3123" spans="1:2" ht="12.75" customHeight="1" x14ac:dyDescent="0.25">
      <c r="A3123" s="318">
        <v>91723869516</v>
      </c>
      <c r="B3123" s="318" t="s">
        <v>237</v>
      </c>
    </row>
    <row r="3124" spans="1:2" ht="12.75" customHeight="1" x14ac:dyDescent="0.25">
      <c r="A3124" s="318">
        <v>91723869517</v>
      </c>
      <c r="B3124" s="318" t="s">
        <v>23</v>
      </c>
    </row>
    <row r="3125" spans="1:2" ht="12.75" customHeight="1" x14ac:dyDescent="0.25">
      <c r="A3125" s="318">
        <v>91723869518</v>
      </c>
      <c r="B3125" s="318" t="s">
        <v>237</v>
      </c>
    </row>
    <row r="3126" spans="1:2" ht="12.75" customHeight="1" x14ac:dyDescent="0.25">
      <c r="A3126" s="318">
        <v>91723869602</v>
      </c>
      <c r="B3126" s="318" t="s">
        <v>237</v>
      </c>
    </row>
    <row r="3127" spans="1:2" ht="12.75" customHeight="1" x14ac:dyDescent="0.25">
      <c r="A3127" s="318">
        <v>91723869603</v>
      </c>
      <c r="B3127" s="318" t="s">
        <v>237</v>
      </c>
    </row>
    <row r="3128" spans="1:2" ht="12.75" customHeight="1" x14ac:dyDescent="0.25">
      <c r="A3128" s="318">
        <v>91723869604</v>
      </c>
      <c r="B3128" s="318" t="s">
        <v>237</v>
      </c>
    </row>
    <row r="3129" spans="1:2" ht="12.75" customHeight="1" x14ac:dyDescent="0.25">
      <c r="A3129" s="318">
        <v>91723869605</v>
      </c>
      <c r="B3129" s="318" t="s">
        <v>237</v>
      </c>
    </row>
    <row r="3130" spans="1:2" ht="12.75" customHeight="1" x14ac:dyDescent="0.25">
      <c r="A3130" s="318">
        <v>91723869606</v>
      </c>
      <c r="B3130" s="318" t="s">
        <v>237</v>
      </c>
    </row>
    <row r="3131" spans="1:2" ht="12.75" customHeight="1" x14ac:dyDescent="0.25">
      <c r="A3131" s="318">
        <v>91723869607</v>
      </c>
      <c r="B3131" s="318" t="s">
        <v>237</v>
      </c>
    </row>
    <row r="3132" spans="1:2" ht="12.75" customHeight="1" x14ac:dyDescent="0.25">
      <c r="A3132" s="318">
        <v>91723869608</v>
      </c>
      <c r="B3132" s="318" t="s">
        <v>237</v>
      </c>
    </row>
    <row r="3133" spans="1:2" ht="12.75" customHeight="1" x14ac:dyDescent="0.25">
      <c r="A3133" s="318">
        <v>91723869609</v>
      </c>
      <c r="B3133" s="318" t="s">
        <v>237</v>
      </c>
    </row>
    <row r="3134" spans="1:2" ht="12.75" customHeight="1" x14ac:dyDescent="0.25">
      <c r="A3134" s="318">
        <v>91723869611</v>
      </c>
      <c r="B3134" s="318" t="s">
        <v>237</v>
      </c>
    </row>
    <row r="3135" spans="1:2" ht="12.75" customHeight="1" x14ac:dyDescent="0.25">
      <c r="A3135" s="318">
        <v>91723869612</v>
      </c>
      <c r="B3135" s="318" t="s">
        <v>237</v>
      </c>
    </row>
    <row r="3136" spans="1:2" ht="12.75" customHeight="1" x14ac:dyDescent="0.25">
      <c r="A3136" s="318">
        <v>91723869613</v>
      </c>
      <c r="B3136" s="318" t="s">
        <v>237</v>
      </c>
    </row>
    <row r="3137" spans="1:2" ht="12.75" customHeight="1" x14ac:dyDescent="0.25">
      <c r="A3137" s="318">
        <v>91723869614</v>
      </c>
      <c r="B3137" s="318" t="s">
        <v>237</v>
      </c>
    </row>
    <row r="3138" spans="1:2" ht="12.75" customHeight="1" x14ac:dyDescent="0.25">
      <c r="A3138" s="318">
        <v>91723869615</v>
      </c>
      <c r="B3138" s="318" t="s">
        <v>237</v>
      </c>
    </row>
    <row r="3139" spans="1:2" ht="12.75" customHeight="1" x14ac:dyDescent="0.25">
      <c r="A3139" s="318">
        <v>91723869616</v>
      </c>
      <c r="B3139" s="318" t="s">
        <v>237</v>
      </c>
    </row>
    <row r="3140" spans="1:2" ht="12.75" customHeight="1" x14ac:dyDescent="0.25">
      <c r="A3140" s="318">
        <v>91723869617</v>
      </c>
      <c r="B3140" s="318" t="s">
        <v>237</v>
      </c>
    </row>
    <row r="3141" spans="1:2" ht="12.75" customHeight="1" x14ac:dyDescent="0.25">
      <c r="A3141" s="318">
        <v>91723869618</v>
      </c>
      <c r="B3141" s="318" t="s">
        <v>237</v>
      </c>
    </row>
    <row r="3142" spans="1:2" ht="12.75" customHeight="1" x14ac:dyDescent="0.25">
      <c r="A3142" s="318">
        <v>91724549693</v>
      </c>
      <c r="B3142" s="318" t="s">
        <v>23</v>
      </c>
    </row>
    <row r="3143" spans="1:2" ht="12.75" customHeight="1" x14ac:dyDescent="0.25">
      <c r="A3143" s="318">
        <v>91724549694</v>
      </c>
      <c r="B3143" s="318" t="s">
        <v>23</v>
      </c>
    </row>
    <row r="3144" spans="1:2" ht="12.75" customHeight="1" x14ac:dyDescent="0.25">
      <c r="A3144" s="318">
        <v>91724549695</v>
      </c>
      <c r="B3144" s="318" t="s">
        <v>23</v>
      </c>
    </row>
    <row r="3145" spans="1:2" ht="12.75" customHeight="1" x14ac:dyDescent="0.25">
      <c r="A3145" s="318">
        <v>91724549696</v>
      </c>
      <c r="B3145" s="318" t="s">
        <v>23</v>
      </c>
    </row>
    <row r="3146" spans="1:2" ht="12.75" customHeight="1" x14ac:dyDescent="0.25">
      <c r="A3146" s="318">
        <v>91724549697</v>
      </c>
      <c r="B3146" s="318" t="s">
        <v>23</v>
      </c>
    </row>
    <row r="3147" spans="1:2" ht="12.75" customHeight="1" x14ac:dyDescent="0.25">
      <c r="A3147" s="318">
        <v>91724549698</v>
      </c>
      <c r="B3147" s="318" t="s">
        <v>23</v>
      </c>
    </row>
    <row r="3148" spans="1:2" ht="12.75" customHeight="1" x14ac:dyDescent="0.25">
      <c r="A3148" s="318">
        <v>91724549699</v>
      </c>
      <c r="B3148" s="318" t="s">
        <v>23</v>
      </c>
    </row>
    <row r="3149" spans="1:2" ht="12.75" customHeight="1" x14ac:dyDescent="0.25">
      <c r="A3149" s="318">
        <v>91724549700</v>
      </c>
      <c r="B3149" s="318" t="s">
        <v>237</v>
      </c>
    </row>
    <row r="3150" spans="1:2" ht="12.75" customHeight="1" x14ac:dyDescent="0.25">
      <c r="A3150" s="318">
        <v>91724549702</v>
      </c>
      <c r="B3150" s="318" t="s">
        <v>237</v>
      </c>
    </row>
    <row r="3151" spans="1:2" ht="12.75" customHeight="1" x14ac:dyDescent="0.25">
      <c r="A3151" s="318">
        <v>91724549703</v>
      </c>
      <c r="B3151" s="318" t="s">
        <v>237</v>
      </c>
    </row>
    <row r="3152" spans="1:2" ht="12.75" customHeight="1" x14ac:dyDescent="0.25">
      <c r="A3152" s="318">
        <v>91724549704</v>
      </c>
      <c r="B3152" s="318" t="s">
        <v>237</v>
      </c>
    </row>
    <row r="3153" spans="1:2" ht="12.75" customHeight="1" x14ac:dyDescent="0.25">
      <c r="A3153" s="318">
        <v>91724549705</v>
      </c>
      <c r="B3153" s="318" t="s">
        <v>237</v>
      </c>
    </row>
    <row r="3154" spans="1:2" ht="12.75" customHeight="1" x14ac:dyDescent="0.25">
      <c r="A3154" s="318">
        <v>91724549706</v>
      </c>
      <c r="B3154" s="318" t="s">
        <v>237</v>
      </c>
    </row>
    <row r="3155" spans="1:2" ht="12.75" customHeight="1" x14ac:dyDescent="0.25">
      <c r="A3155" s="318">
        <v>91724549707</v>
      </c>
      <c r="B3155" s="318" t="s">
        <v>237</v>
      </c>
    </row>
    <row r="3156" spans="1:2" ht="12.75" customHeight="1" x14ac:dyDescent="0.25">
      <c r="A3156" s="318">
        <v>91724549708</v>
      </c>
      <c r="B3156" s="318" t="s">
        <v>237</v>
      </c>
    </row>
    <row r="3157" spans="1:2" ht="12.75" customHeight="1" x14ac:dyDescent="0.25">
      <c r="A3157" s="318">
        <v>91724549709</v>
      </c>
      <c r="B3157" s="318" t="s">
        <v>237</v>
      </c>
    </row>
    <row r="3158" spans="1:2" ht="12.75" customHeight="1" x14ac:dyDescent="0.25">
      <c r="A3158" s="318">
        <v>91724549793</v>
      </c>
      <c r="B3158" s="318" t="s">
        <v>237</v>
      </c>
    </row>
    <row r="3159" spans="1:2" ht="12.75" customHeight="1" x14ac:dyDescent="0.25">
      <c r="A3159" s="318">
        <v>91724549794</v>
      </c>
      <c r="B3159" s="318" t="s">
        <v>237</v>
      </c>
    </row>
    <row r="3160" spans="1:2" ht="12.75" customHeight="1" x14ac:dyDescent="0.25">
      <c r="A3160" s="318">
        <v>91724549795</v>
      </c>
      <c r="B3160" s="318" t="s">
        <v>237</v>
      </c>
    </row>
    <row r="3161" spans="1:2" ht="12.75" customHeight="1" x14ac:dyDescent="0.25">
      <c r="A3161" s="318">
        <v>91724549796</v>
      </c>
      <c r="B3161" s="318" t="s">
        <v>237</v>
      </c>
    </row>
    <row r="3162" spans="1:2" ht="12.75" customHeight="1" x14ac:dyDescent="0.25">
      <c r="A3162" s="318">
        <v>91724549797</v>
      </c>
      <c r="B3162" s="318" t="s">
        <v>237</v>
      </c>
    </row>
    <row r="3163" spans="1:2" ht="12.75" customHeight="1" x14ac:dyDescent="0.25">
      <c r="A3163" s="318">
        <v>91724549798</v>
      </c>
      <c r="B3163" s="318" t="s">
        <v>237</v>
      </c>
    </row>
    <row r="3164" spans="1:2" ht="12.75" customHeight="1" x14ac:dyDescent="0.25">
      <c r="A3164" s="318">
        <v>91724549799</v>
      </c>
      <c r="B3164" s="318" t="s">
        <v>237</v>
      </c>
    </row>
    <row r="3165" spans="1:2" ht="12.75" customHeight="1" x14ac:dyDescent="0.25">
      <c r="A3165" s="318">
        <v>91724549800</v>
      </c>
      <c r="B3165" s="318" t="s">
        <v>237</v>
      </c>
    </row>
    <row r="3166" spans="1:2" ht="12.75" customHeight="1" x14ac:dyDescent="0.25">
      <c r="A3166" s="318">
        <v>91724549802</v>
      </c>
      <c r="B3166" s="318" t="s">
        <v>237</v>
      </c>
    </row>
    <row r="3167" spans="1:2" ht="12.75" customHeight="1" x14ac:dyDescent="0.25">
      <c r="A3167" s="318">
        <v>91724549803</v>
      </c>
      <c r="B3167" s="318" t="s">
        <v>237</v>
      </c>
    </row>
    <row r="3168" spans="1:2" ht="12.75" customHeight="1" x14ac:dyDescent="0.25">
      <c r="A3168" s="318">
        <v>91724549804</v>
      </c>
      <c r="B3168" s="318" t="s">
        <v>237</v>
      </c>
    </row>
    <row r="3169" spans="1:2" ht="12.75" customHeight="1" x14ac:dyDescent="0.25">
      <c r="A3169" s="318">
        <v>91724549805</v>
      </c>
      <c r="B3169" s="318" t="s">
        <v>237</v>
      </c>
    </row>
    <row r="3170" spans="1:2" ht="12.75" customHeight="1" x14ac:dyDescent="0.25">
      <c r="A3170" s="318">
        <v>91724549806</v>
      </c>
      <c r="B3170" s="318" t="s">
        <v>237</v>
      </c>
    </row>
    <row r="3171" spans="1:2" ht="12.75" customHeight="1" x14ac:dyDescent="0.25">
      <c r="A3171" s="318">
        <v>91724549807</v>
      </c>
      <c r="B3171" s="318" t="s">
        <v>237</v>
      </c>
    </row>
    <row r="3172" spans="1:2" ht="12.75" customHeight="1" x14ac:dyDescent="0.25">
      <c r="A3172" s="318">
        <v>91724549808</v>
      </c>
      <c r="B3172" s="318" t="s">
        <v>237</v>
      </c>
    </row>
    <row r="3173" spans="1:2" ht="12.75" customHeight="1" x14ac:dyDescent="0.25">
      <c r="A3173" s="318">
        <v>91724549809</v>
      </c>
      <c r="B3173" s="318" t="s">
        <v>237</v>
      </c>
    </row>
    <row r="3174" spans="1:2" ht="12.75" customHeight="1" x14ac:dyDescent="0.25">
      <c r="A3174" s="318">
        <v>91725030666</v>
      </c>
      <c r="B3174" s="318" t="s">
        <v>23</v>
      </c>
    </row>
    <row r="3175" spans="1:2" ht="12.75" customHeight="1" x14ac:dyDescent="0.25">
      <c r="A3175" s="318">
        <v>91725030667</v>
      </c>
      <c r="B3175" s="318" t="s">
        <v>23</v>
      </c>
    </row>
    <row r="3176" spans="1:2" ht="12.75" customHeight="1" x14ac:dyDescent="0.25">
      <c r="A3176" s="318">
        <v>91725030668</v>
      </c>
      <c r="B3176" s="318" t="s">
        <v>23</v>
      </c>
    </row>
    <row r="3177" spans="1:2" ht="12.75" customHeight="1" x14ac:dyDescent="0.25">
      <c r="A3177" s="318">
        <v>91725030669</v>
      </c>
      <c r="B3177" s="318" t="s">
        <v>23</v>
      </c>
    </row>
    <row r="3178" spans="1:2" ht="12.75" customHeight="1" x14ac:dyDescent="0.25">
      <c r="A3178" s="318">
        <v>91725030670</v>
      </c>
      <c r="B3178" s="318" t="s">
        <v>23</v>
      </c>
    </row>
    <row r="3179" spans="1:2" ht="12.75" customHeight="1" x14ac:dyDescent="0.25">
      <c r="A3179" s="318">
        <v>91725030671</v>
      </c>
      <c r="B3179" s="318" t="s">
        <v>23</v>
      </c>
    </row>
    <row r="3180" spans="1:2" ht="12.75" customHeight="1" x14ac:dyDescent="0.25">
      <c r="A3180" s="318">
        <v>91725030672</v>
      </c>
      <c r="B3180" s="318" t="s">
        <v>23</v>
      </c>
    </row>
    <row r="3181" spans="1:2" ht="12.75" customHeight="1" x14ac:dyDescent="0.25">
      <c r="A3181" s="318">
        <v>91725030673</v>
      </c>
      <c r="B3181" s="318" t="s">
        <v>237</v>
      </c>
    </row>
    <row r="3182" spans="1:2" ht="12.75" customHeight="1" x14ac:dyDescent="0.25">
      <c r="A3182" s="318">
        <v>91725030675</v>
      </c>
      <c r="B3182" s="318" t="s">
        <v>237</v>
      </c>
    </row>
    <row r="3183" spans="1:2" ht="12.75" customHeight="1" x14ac:dyDescent="0.25">
      <c r="A3183" s="318">
        <v>91725030676</v>
      </c>
      <c r="B3183" s="318" t="s">
        <v>237</v>
      </c>
    </row>
    <row r="3184" spans="1:2" ht="12.75" customHeight="1" x14ac:dyDescent="0.25">
      <c r="A3184" s="318">
        <v>91725030677</v>
      </c>
      <c r="B3184" s="318" t="s">
        <v>237</v>
      </c>
    </row>
    <row r="3185" spans="1:2" ht="12.75" customHeight="1" x14ac:dyDescent="0.25">
      <c r="A3185" s="318">
        <v>91725030678</v>
      </c>
      <c r="B3185" s="318" t="s">
        <v>237</v>
      </c>
    </row>
    <row r="3186" spans="1:2" ht="12.75" customHeight="1" x14ac:dyDescent="0.25">
      <c r="A3186" s="318">
        <v>91725030679</v>
      </c>
      <c r="B3186" s="318" t="s">
        <v>237</v>
      </c>
    </row>
    <row r="3187" spans="1:2" ht="12.75" customHeight="1" x14ac:dyDescent="0.25">
      <c r="A3187" s="318">
        <v>91725030680</v>
      </c>
      <c r="B3187" s="318" t="s">
        <v>237</v>
      </c>
    </row>
    <row r="3188" spans="1:2" ht="12.75" customHeight="1" x14ac:dyDescent="0.25">
      <c r="A3188" s="318">
        <v>91725030681</v>
      </c>
      <c r="B3188" s="318" t="s">
        <v>237</v>
      </c>
    </row>
    <row r="3189" spans="1:2" ht="12.75" customHeight="1" x14ac:dyDescent="0.25">
      <c r="A3189" s="318">
        <v>91725030682</v>
      </c>
      <c r="B3189" s="318" t="s">
        <v>237</v>
      </c>
    </row>
    <row r="3190" spans="1:2" ht="12.75" customHeight="1" x14ac:dyDescent="0.25">
      <c r="A3190" s="318">
        <v>91725030766</v>
      </c>
      <c r="B3190" s="318" t="s">
        <v>237</v>
      </c>
    </row>
    <row r="3191" spans="1:2" ht="12.75" customHeight="1" x14ac:dyDescent="0.25">
      <c r="A3191" s="318">
        <v>91725030767</v>
      </c>
      <c r="B3191" s="318" t="s">
        <v>237</v>
      </c>
    </row>
    <row r="3192" spans="1:2" ht="12.75" customHeight="1" x14ac:dyDescent="0.25">
      <c r="A3192" s="318">
        <v>91725030768</v>
      </c>
      <c r="B3192" s="318" t="s">
        <v>237</v>
      </c>
    </row>
    <row r="3193" spans="1:2" ht="12.75" customHeight="1" x14ac:dyDescent="0.25">
      <c r="A3193" s="318">
        <v>91725030769</v>
      </c>
      <c r="B3193" s="318" t="s">
        <v>237</v>
      </c>
    </row>
    <row r="3194" spans="1:2" ht="12.75" customHeight="1" x14ac:dyDescent="0.25">
      <c r="A3194" s="318">
        <v>91725030770</v>
      </c>
      <c r="B3194" s="318" t="s">
        <v>237</v>
      </c>
    </row>
    <row r="3195" spans="1:2" ht="12.75" customHeight="1" x14ac:dyDescent="0.25">
      <c r="A3195" s="318">
        <v>91725030771</v>
      </c>
      <c r="B3195" s="318" t="s">
        <v>237</v>
      </c>
    </row>
    <row r="3196" spans="1:2" ht="12.75" customHeight="1" x14ac:dyDescent="0.25">
      <c r="A3196" s="318">
        <v>91725030772</v>
      </c>
      <c r="B3196" s="318" t="s">
        <v>237</v>
      </c>
    </row>
    <row r="3197" spans="1:2" ht="12.75" customHeight="1" x14ac:dyDescent="0.25">
      <c r="A3197" s="318">
        <v>91725030773</v>
      </c>
      <c r="B3197" s="318" t="s">
        <v>237</v>
      </c>
    </row>
    <row r="3198" spans="1:2" ht="12.75" customHeight="1" x14ac:dyDescent="0.25">
      <c r="A3198" s="318">
        <v>91725030775</v>
      </c>
      <c r="B3198" s="318" t="s">
        <v>237</v>
      </c>
    </row>
    <row r="3199" spans="1:2" ht="12.75" customHeight="1" x14ac:dyDescent="0.25">
      <c r="A3199" s="318">
        <v>91725030776</v>
      </c>
      <c r="B3199" s="318" t="s">
        <v>237</v>
      </c>
    </row>
    <row r="3200" spans="1:2" ht="12.75" customHeight="1" x14ac:dyDescent="0.25">
      <c r="A3200" s="318">
        <v>91725030777</v>
      </c>
      <c r="B3200" s="318" t="s">
        <v>237</v>
      </c>
    </row>
    <row r="3201" spans="1:2" ht="12.75" customHeight="1" x14ac:dyDescent="0.25">
      <c r="A3201" s="318">
        <v>91725030778</v>
      </c>
      <c r="B3201" s="318" t="s">
        <v>237</v>
      </c>
    </row>
    <row r="3202" spans="1:2" ht="12.75" customHeight="1" x14ac:dyDescent="0.25">
      <c r="A3202" s="318">
        <v>91725030779</v>
      </c>
      <c r="B3202" s="318" t="s">
        <v>237</v>
      </c>
    </row>
    <row r="3203" spans="1:2" ht="12.75" customHeight="1" x14ac:dyDescent="0.25">
      <c r="A3203" s="318">
        <v>91725030780</v>
      </c>
      <c r="B3203" s="318" t="s">
        <v>237</v>
      </c>
    </row>
    <row r="3204" spans="1:2" ht="12.75" customHeight="1" x14ac:dyDescent="0.25">
      <c r="A3204" s="318">
        <v>91725030781</v>
      </c>
      <c r="B3204" s="318" t="s">
        <v>237</v>
      </c>
    </row>
    <row r="3205" spans="1:2" ht="12.75" customHeight="1" x14ac:dyDescent="0.25">
      <c r="A3205" s="318">
        <v>91725030782</v>
      </c>
      <c r="B3205" s="318" t="s">
        <v>237</v>
      </c>
    </row>
    <row r="3206" spans="1:2" ht="12.75" customHeight="1" x14ac:dyDescent="0.25">
      <c r="A3206" s="318">
        <v>91725511639</v>
      </c>
      <c r="B3206" s="318" t="s">
        <v>23</v>
      </c>
    </row>
    <row r="3207" spans="1:2" ht="12.75" customHeight="1" x14ac:dyDescent="0.25">
      <c r="A3207" s="318">
        <v>91725511640</v>
      </c>
      <c r="B3207" s="318" t="s">
        <v>23</v>
      </c>
    </row>
    <row r="3208" spans="1:2" ht="12.75" customHeight="1" x14ac:dyDescent="0.25">
      <c r="A3208" s="318">
        <v>91725511641</v>
      </c>
      <c r="B3208" s="318" t="s">
        <v>23</v>
      </c>
    </row>
    <row r="3209" spans="1:2" ht="12.75" customHeight="1" x14ac:dyDescent="0.25">
      <c r="A3209" s="318">
        <v>91725511642</v>
      </c>
      <c r="B3209" s="318" t="s">
        <v>23</v>
      </c>
    </row>
    <row r="3210" spans="1:2" ht="12.75" customHeight="1" x14ac:dyDescent="0.25">
      <c r="A3210" s="318">
        <v>91725511643</v>
      </c>
      <c r="B3210" s="318" t="s">
        <v>23</v>
      </c>
    </row>
    <row r="3211" spans="1:2" ht="12.75" customHeight="1" x14ac:dyDescent="0.25">
      <c r="A3211" s="318">
        <v>91725511644</v>
      </c>
      <c r="B3211" s="318" t="s">
        <v>23</v>
      </c>
    </row>
    <row r="3212" spans="1:2" ht="12.75" customHeight="1" x14ac:dyDescent="0.25">
      <c r="A3212" s="318">
        <v>91725511645</v>
      </c>
      <c r="B3212" s="318" t="s">
        <v>23</v>
      </c>
    </row>
    <row r="3213" spans="1:2" ht="12.75" customHeight="1" x14ac:dyDescent="0.25">
      <c r="A3213" s="318">
        <v>91725511646</v>
      </c>
      <c r="B3213" s="318" t="s">
        <v>237</v>
      </c>
    </row>
    <row r="3214" spans="1:2" ht="12.75" customHeight="1" x14ac:dyDescent="0.25">
      <c r="A3214" s="318">
        <v>91725511648</v>
      </c>
      <c r="B3214" s="318" t="s">
        <v>23</v>
      </c>
    </row>
    <row r="3215" spans="1:2" ht="12.75" customHeight="1" x14ac:dyDescent="0.25">
      <c r="A3215" s="318">
        <v>91725511649</v>
      </c>
      <c r="B3215" s="318" t="s">
        <v>237</v>
      </c>
    </row>
    <row r="3216" spans="1:2" ht="12.75" customHeight="1" x14ac:dyDescent="0.25">
      <c r="A3216" s="318">
        <v>91725511650</v>
      </c>
      <c r="B3216" s="318" t="s">
        <v>23</v>
      </c>
    </row>
    <row r="3217" spans="1:2" ht="12.75" customHeight="1" x14ac:dyDescent="0.25">
      <c r="A3217" s="318">
        <v>91725511651</v>
      </c>
      <c r="B3217" s="318" t="s">
        <v>237</v>
      </c>
    </row>
    <row r="3218" spans="1:2" ht="12.75" customHeight="1" x14ac:dyDescent="0.25">
      <c r="A3218" s="318">
        <v>91725511652</v>
      </c>
      <c r="B3218" s="318" t="s">
        <v>23</v>
      </c>
    </row>
    <row r="3219" spans="1:2" ht="12.75" customHeight="1" x14ac:dyDescent="0.25">
      <c r="A3219" s="318">
        <v>91725511653</v>
      </c>
      <c r="B3219" s="318" t="s">
        <v>237</v>
      </c>
    </row>
    <row r="3220" spans="1:2" ht="12.75" customHeight="1" x14ac:dyDescent="0.25">
      <c r="A3220" s="318">
        <v>91725511654</v>
      </c>
      <c r="B3220" s="318" t="s">
        <v>23</v>
      </c>
    </row>
    <row r="3221" spans="1:2" ht="12.75" customHeight="1" x14ac:dyDescent="0.25">
      <c r="A3221" s="318">
        <v>91725511655</v>
      </c>
      <c r="B3221" s="318" t="s">
        <v>237</v>
      </c>
    </row>
    <row r="3222" spans="1:2" ht="12.75" customHeight="1" x14ac:dyDescent="0.25">
      <c r="A3222" s="318">
        <v>91725511739</v>
      </c>
      <c r="B3222" s="318" t="s">
        <v>237</v>
      </c>
    </row>
    <row r="3223" spans="1:2" ht="12.75" customHeight="1" x14ac:dyDescent="0.25">
      <c r="A3223" s="318">
        <v>91725511740</v>
      </c>
      <c r="B3223" s="318" t="s">
        <v>237</v>
      </c>
    </row>
    <row r="3224" spans="1:2" ht="12.75" customHeight="1" x14ac:dyDescent="0.25">
      <c r="A3224" s="318">
        <v>91725511741</v>
      </c>
      <c r="B3224" s="318" t="s">
        <v>237</v>
      </c>
    </row>
    <row r="3225" spans="1:2" ht="12.75" customHeight="1" x14ac:dyDescent="0.25">
      <c r="A3225" s="318">
        <v>91725511742</v>
      </c>
      <c r="B3225" s="318" t="s">
        <v>237</v>
      </c>
    </row>
    <row r="3226" spans="1:2" ht="12.75" customHeight="1" x14ac:dyDescent="0.25">
      <c r="A3226" s="318">
        <v>91725511743</v>
      </c>
      <c r="B3226" s="318" t="s">
        <v>237</v>
      </c>
    </row>
    <row r="3227" spans="1:2" ht="12.75" customHeight="1" x14ac:dyDescent="0.25">
      <c r="A3227" s="318">
        <v>91725511744</v>
      </c>
      <c r="B3227" s="318" t="s">
        <v>237</v>
      </c>
    </row>
    <row r="3228" spans="1:2" ht="12.75" customHeight="1" x14ac:dyDescent="0.25">
      <c r="A3228" s="318">
        <v>91725511745</v>
      </c>
      <c r="B3228" s="318" t="s">
        <v>237</v>
      </c>
    </row>
    <row r="3229" spans="1:2" ht="12.75" customHeight="1" x14ac:dyDescent="0.25">
      <c r="A3229" s="318">
        <v>91725511746</v>
      </c>
      <c r="B3229" s="318" t="s">
        <v>237</v>
      </c>
    </row>
    <row r="3230" spans="1:2" ht="12.75" customHeight="1" x14ac:dyDescent="0.25">
      <c r="A3230" s="318">
        <v>91725511748</v>
      </c>
      <c r="B3230" s="318" t="s">
        <v>237</v>
      </c>
    </row>
    <row r="3231" spans="1:2" ht="12.75" customHeight="1" x14ac:dyDescent="0.25">
      <c r="A3231" s="318">
        <v>91725511749</v>
      </c>
      <c r="B3231" s="318" t="s">
        <v>237</v>
      </c>
    </row>
    <row r="3232" spans="1:2" ht="12.75" customHeight="1" x14ac:dyDescent="0.25">
      <c r="A3232" s="318">
        <v>91725511750</v>
      </c>
      <c r="B3232" s="318" t="s">
        <v>237</v>
      </c>
    </row>
    <row r="3233" spans="1:2" ht="12.75" customHeight="1" x14ac:dyDescent="0.25">
      <c r="A3233" s="318">
        <v>91725511751</v>
      </c>
      <c r="B3233" s="318" t="s">
        <v>237</v>
      </c>
    </row>
    <row r="3234" spans="1:2" ht="12.75" customHeight="1" x14ac:dyDescent="0.25">
      <c r="A3234" s="318">
        <v>91725511752</v>
      </c>
      <c r="B3234" s="318" t="s">
        <v>237</v>
      </c>
    </row>
    <row r="3235" spans="1:2" ht="12.75" customHeight="1" x14ac:dyDescent="0.25">
      <c r="A3235" s="318">
        <v>91725511753</v>
      </c>
      <c r="B3235" s="318" t="s">
        <v>237</v>
      </c>
    </row>
    <row r="3236" spans="1:2" ht="12.75" customHeight="1" x14ac:dyDescent="0.25">
      <c r="A3236" s="318">
        <v>91725511754</v>
      </c>
      <c r="B3236" s="318" t="s">
        <v>237</v>
      </c>
    </row>
    <row r="3237" spans="1:2" ht="12.75" customHeight="1" x14ac:dyDescent="0.25">
      <c r="A3237" s="318">
        <v>91725511755</v>
      </c>
      <c r="B3237" s="318" t="s">
        <v>237</v>
      </c>
    </row>
    <row r="3238" spans="1:2" ht="12.75" customHeight="1" x14ac:dyDescent="0.25">
      <c r="A3238" s="318">
        <v>91726191830</v>
      </c>
      <c r="B3238" s="318" t="s">
        <v>23</v>
      </c>
    </row>
    <row r="3239" spans="1:2" ht="12.75" customHeight="1" x14ac:dyDescent="0.25">
      <c r="A3239" s="318">
        <v>91726191831</v>
      </c>
      <c r="B3239" s="318" t="s">
        <v>23</v>
      </c>
    </row>
    <row r="3240" spans="1:2" ht="12.75" customHeight="1" x14ac:dyDescent="0.25">
      <c r="A3240" s="318">
        <v>91726191832</v>
      </c>
      <c r="B3240" s="318" t="s">
        <v>23</v>
      </c>
    </row>
    <row r="3241" spans="1:2" ht="12.75" customHeight="1" x14ac:dyDescent="0.25">
      <c r="A3241" s="318">
        <v>91726191833</v>
      </c>
      <c r="B3241" s="318" t="s">
        <v>23</v>
      </c>
    </row>
    <row r="3242" spans="1:2" ht="12.75" customHeight="1" x14ac:dyDescent="0.25">
      <c r="A3242" s="318">
        <v>91726191834</v>
      </c>
      <c r="B3242" s="318" t="s">
        <v>23</v>
      </c>
    </row>
    <row r="3243" spans="1:2" ht="12.75" customHeight="1" x14ac:dyDescent="0.25">
      <c r="A3243" s="318">
        <v>91726191835</v>
      </c>
      <c r="B3243" s="318" t="s">
        <v>23</v>
      </c>
    </row>
    <row r="3244" spans="1:2" ht="12.75" customHeight="1" x14ac:dyDescent="0.25">
      <c r="A3244" s="318">
        <v>91726191836</v>
      </c>
      <c r="B3244" s="318" t="s">
        <v>23</v>
      </c>
    </row>
    <row r="3245" spans="1:2" ht="12.75" customHeight="1" x14ac:dyDescent="0.25">
      <c r="A3245" s="318">
        <v>91726191837</v>
      </c>
      <c r="B3245" s="318" t="s">
        <v>237</v>
      </c>
    </row>
    <row r="3246" spans="1:2" ht="12.75" customHeight="1" x14ac:dyDescent="0.25">
      <c r="A3246" s="318">
        <v>91726191839</v>
      </c>
      <c r="B3246" s="318" t="s">
        <v>23</v>
      </c>
    </row>
    <row r="3247" spans="1:2" ht="12.75" customHeight="1" x14ac:dyDescent="0.25">
      <c r="A3247" s="318">
        <v>91726191840</v>
      </c>
      <c r="B3247" s="318" t="s">
        <v>237</v>
      </c>
    </row>
    <row r="3248" spans="1:2" ht="12.75" customHeight="1" x14ac:dyDescent="0.25">
      <c r="A3248" s="318">
        <v>91726191841</v>
      </c>
      <c r="B3248" s="318" t="s">
        <v>23</v>
      </c>
    </row>
    <row r="3249" spans="1:2" ht="12.75" customHeight="1" x14ac:dyDescent="0.25">
      <c r="A3249" s="318">
        <v>91726191842</v>
      </c>
      <c r="B3249" s="318" t="s">
        <v>237</v>
      </c>
    </row>
    <row r="3250" spans="1:2" ht="12.75" customHeight="1" x14ac:dyDescent="0.25">
      <c r="A3250" s="318">
        <v>91726191843</v>
      </c>
      <c r="B3250" s="318" t="s">
        <v>23</v>
      </c>
    </row>
    <row r="3251" spans="1:2" ht="12.75" customHeight="1" x14ac:dyDescent="0.25">
      <c r="A3251" s="318">
        <v>91726191844</v>
      </c>
      <c r="B3251" s="318" t="s">
        <v>237</v>
      </c>
    </row>
    <row r="3252" spans="1:2" ht="12.75" customHeight="1" x14ac:dyDescent="0.25">
      <c r="A3252" s="318">
        <v>91726191845</v>
      </c>
      <c r="B3252" s="318" t="s">
        <v>23</v>
      </c>
    </row>
    <row r="3253" spans="1:2" ht="12.75" customHeight="1" x14ac:dyDescent="0.25">
      <c r="A3253" s="318">
        <v>91726191846</v>
      </c>
      <c r="B3253" s="318" t="s">
        <v>237</v>
      </c>
    </row>
    <row r="3254" spans="1:2" ht="12.75" customHeight="1" x14ac:dyDescent="0.25">
      <c r="A3254" s="318">
        <v>91726191930</v>
      </c>
      <c r="B3254" s="318" t="s">
        <v>237</v>
      </c>
    </row>
    <row r="3255" spans="1:2" ht="12.75" customHeight="1" x14ac:dyDescent="0.25">
      <c r="A3255" s="318">
        <v>91726191931</v>
      </c>
      <c r="B3255" s="318" t="s">
        <v>237</v>
      </c>
    </row>
    <row r="3256" spans="1:2" ht="12.75" customHeight="1" x14ac:dyDescent="0.25">
      <c r="A3256" s="318">
        <v>91726191932</v>
      </c>
      <c r="B3256" s="318" t="s">
        <v>237</v>
      </c>
    </row>
    <row r="3257" spans="1:2" ht="12.75" customHeight="1" x14ac:dyDescent="0.25">
      <c r="A3257" s="318">
        <v>91726191933</v>
      </c>
      <c r="B3257" s="318" t="s">
        <v>237</v>
      </c>
    </row>
    <row r="3258" spans="1:2" ht="12.75" customHeight="1" x14ac:dyDescent="0.25">
      <c r="A3258" s="318">
        <v>91726191934</v>
      </c>
      <c r="B3258" s="318" t="s">
        <v>237</v>
      </c>
    </row>
    <row r="3259" spans="1:2" ht="12.75" customHeight="1" x14ac:dyDescent="0.25">
      <c r="A3259" s="318">
        <v>91726191935</v>
      </c>
      <c r="B3259" s="318" t="s">
        <v>237</v>
      </c>
    </row>
    <row r="3260" spans="1:2" ht="12.75" customHeight="1" x14ac:dyDescent="0.25">
      <c r="A3260" s="318">
        <v>91726191936</v>
      </c>
      <c r="B3260" s="318" t="s">
        <v>237</v>
      </c>
    </row>
    <row r="3261" spans="1:2" ht="12.75" customHeight="1" x14ac:dyDescent="0.25">
      <c r="A3261" s="318">
        <v>91726191937</v>
      </c>
      <c r="B3261" s="318" t="s">
        <v>237</v>
      </c>
    </row>
    <row r="3262" spans="1:2" ht="12.75" customHeight="1" x14ac:dyDescent="0.25">
      <c r="A3262" s="318">
        <v>91726191939</v>
      </c>
      <c r="B3262" s="318" t="s">
        <v>237</v>
      </c>
    </row>
    <row r="3263" spans="1:2" ht="12.75" customHeight="1" x14ac:dyDescent="0.25">
      <c r="A3263" s="318">
        <v>91726191940</v>
      </c>
      <c r="B3263" s="318" t="s">
        <v>237</v>
      </c>
    </row>
    <row r="3264" spans="1:2" ht="12.75" customHeight="1" x14ac:dyDescent="0.25">
      <c r="A3264" s="318">
        <v>91726191941</v>
      </c>
      <c r="B3264" s="318" t="s">
        <v>237</v>
      </c>
    </row>
    <row r="3265" spans="1:2" ht="12.75" customHeight="1" x14ac:dyDescent="0.25">
      <c r="A3265" s="318">
        <v>91726191942</v>
      </c>
      <c r="B3265" s="318" t="s">
        <v>237</v>
      </c>
    </row>
    <row r="3266" spans="1:2" ht="12.75" customHeight="1" x14ac:dyDescent="0.25">
      <c r="A3266" s="318">
        <v>91726191943</v>
      </c>
      <c r="B3266" s="318" t="s">
        <v>237</v>
      </c>
    </row>
    <row r="3267" spans="1:2" ht="12.75" customHeight="1" x14ac:dyDescent="0.25">
      <c r="A3267" s="318">
        <v>91726191944</v>
      </c>
      <c r="B3267" s="318" t="s">
        <v>237</v>
      </c>
    </row>
    <row r="3268" spans="1:2" ht="12.75" customHeight="1" x14ac:dyDescent="0.25">
      <c r="A3268" s="318">
        <v>91726191945</v>
      </c>
      <c r="B3268" s="318" t="s">
        <v>237</v>
      </c>
    </row>
    <row r="3269" spans="1:2" ht="12.75" customHeight="1" x14ac:dyDescent="0.25">
      <c r="A3269" s="318">
        <v>91726191946</v>
      </c>
      <c r="B3269" s="318" t="s">
        <v>237</v>
      </c>
    </row>
    <row r="3270" spans="1:2" ht="12.75" customHeight="1" x14ac:dyDescent="0.25">
      <c r="A3270" s="318">
        <v>91726672803</v>
      </c>
      <c r="B3270" s="318" t="s">
        <v>23</v>
      </c>
    </row>
    <row r="3271" spans="1:2" ht="12.75" customHeight="1" x14ac:dyDescent="0.25">
      <c r="A3271" s="318">
        <v>91726672804</v>
      </c>
      <c r="B3271" s="318" t="s">
        <v>23</v>
      </c>
    </row>
    <row r="3272" spans="1:2" ht="12.75" customHeight="1" x14ac:dyDescent="0.25">
      <c r="A3272" s="318">
        <v>91726672805</v>
      </c>
      <c r="B3272" s="318" t="s">
        <v>23</v>
      </c>
    </row>
    <row r="3273" spans="1:2" ht="12.75" customHeight="1" x14ac:dyDescent="0.25">
      <c r="A3273" s="318">
        <v>91726672806</v>
      </c>
      <c r="B3273" s="318" t="s">
        <v>23</v>
      </c>
    </row>
    <row r="3274" spans="1:2" ht="12.75" customHeight="1" x14ac:dyDescent="0.25">
      <c r="A3274" s="318">
        <v>91726672807</v>
      </c>
      <c r="B3274" s="318" t="s">
        <v>23</v>
      </c>
    </row>
    <row r="3275" spans="1:2" ht="12.75" customHeight="1" x14ac:dyDescent="0.25">
      <c r="A3275" s="318">
        <v>91726672808</v>
      </c>
      <c r="B3275" s="318" t="s">
        <v>23</v>
      </c>
    </row>
    <row r="3276" spans="1:2" ht="12.75" customHeight="1" x14ac:dyDescent="0.25">
      <c r="A3276" s="318">
        <v>91726672809</v>
      </c>
      <c r="B3276" s="318" t="s">
        <v>23</v>
      </c>
    </row>
    <row r="3277" spans="1:2" ht="12.75" customHeight="1" x14ac:dyDescent="0.25">
      <c r="A3277" s="318">
        <v>91726672810</v>
      </c>
      <c r="B3277" s="318" t="s">
        <v>237</v>
      </c>
    </row>
    <row r="3278" spans="1:2" ht="12.75" customHeight="1" x14ac:dyDescent="0.25">
      <c r="A3278" s="318">
        <v>91726672812</v>
      </c>
      <c r="B3278" s="318" t="s">
        <v>23</v>
      </c>
    </row>
    <row r="3279" spans="1:2" ht="12.75" customHeight="1" x14ac:dyDescent="0.25">
      <c r="A3279" s="318">
        <v>91726672813</v>
      </c>
      <c r="B3279" s="318" t="s">
        <v>237</v>
      </c>
    </row>
    <row r="3280" spans="1:2" ht="12.75" customHeight="1" x14ac:dyDescent="0.25">
      <c r="A3280" s="318">
        <v>91726672814</v>
      </c>
      <c r="B3280" s="318" t="s">
        <v>23</v>
      </c>
    </row>
    <row r="3281" spans="1:2" ht="12.75" customHeight="1" x14ac:dyDescent="0.25">
      <c r="A3281" s="318">
        <v>91726672815</v>
      </c>
      <c r="B3281" s="318" t="s">
        <v>237</v>
      </c>
    </row>
    <row r="3282" spans="1:2" ht="12.75" customHeight="1" x14ac:dyDescent="0.25">
      <c r="A3282" s="318">
        <v>91726672816</v>
      </c>
      <c r="B3282" s="318" t="s">
        <v>23</v>
      </c>
    </row>
    <row r="3283" spans="1:2" ht="12.75" customHeight="1" x14ac:dyDescent="0.25">
      <c r="A3283" s="318">
        <v>91726672817</v>
      </c>
      <c r="B3283" s="318" t="s">
        <v>237</v>
      </c>
    </row>
    <row r="3284" spans="1:2" ht="12.75" customHeight="1" x14ac:dyDescent="0.25">
      <c r="A3284" s="318">
        <v>91726672818</v>
      </c>
      <c r="B3284" s="318" t="s">
        <v>23</v>
      </c>
    </row>
    <row r="3285" spans="1:2" ht="12.75" customHeight="1" x14ac:dyDescent="0.25">
      <c r="A3285" s="318">
        <v>91726672819</v>
      </c>
      <c r="B3285" s="318" t="s">
        <v>237</v>
      </c>
    </row>
    <row r="3286" spans="1:2" ht="12.75" customHeight="1" x14ac:dyDescent="0.25">
      <c r="A3286" s="318">
        <v>91726672903</v>
      </c>
      <c r="B3286" s="318" t="s">
        <v>237</v>
      </c>
    </row>
    <row r="3287" spans="1:2" ht="12.75" customHeight="1" x14ac:dyDescent="0.25">
      <c r="A3287" s="318">
        <v>91726672904</v>
      </c>
      <c r="B3287" s="318" t="s">
        <v>237</v>
      </c>
    </row>
    <row r="3288" spans="1:2" ht="12.75" customHeight="1" x14ac:dyDescent="0.25">
      <c r="A3288" s="318">
        <v>91726672905</v>
      </c>
      <c r="B3288" s="318" t="s">
        <v>237</v>
      </c>
    </row>
    <row r="3289" spans="1:2" ht="12.75" customHeight="1" x14ac:dyDescent="0.25">
      <c r="A3289" s="318">
        <v>91726672906</v>
      </c>
      <c r="B3289" s="318" t="s">
        <v>237</v>
      </c>
    </row>
    <row r="3290" spans="1:2" ht="12.75" customHeight="1" x14ac:dyDescent="0.25">
      <c r="A3290" s="318">
        <v>91726672907</v>
      </c>
      <c r="B3290" s="318" t="s">
        <v>237</v>
      </c>
    </row>
    <row r="3291" spans="1:2" ht="12.75" customHeight="1" x14ac:dyDescent="0.25">
      <c r="A3291" s="318">
        <v>91726672908</v>
      </c>
      <c r="B3291" s="318" t="s">
        <v>237</v>
      </c>
    </row>
    <row r="3292" spans="1:2" ht="12.75" customHeight="1" x14ac:dyDescent="0.25">
      <c r="A3292" s="318">
        <v>91726672909</v>
      </c>
      <c r="B3292" s="318" t="s">
        <v>237</v>
      </c>
    </row>
    <row r="3293" spans="1:2" ht="12.75" customHeight="1" x14ac:dyDescent="0.25">
      <c r="A3293" s="318">
        <v>91726672910</v>
      </c>
      <c r="B3293" s="318" t="s">
        <v>237</v>
      </c>
    </row>
    <row r="3294" spans="1:2" ht="12.75" customHeight="1" x14ac:dyDescent="0.25">
      <c r="A3294" s="318">
        <v>91726672912</v>
      </c>
      <c r="B3294" s="318" t="s">
        <v>237</v>
      </c>
    </row>
    <row r="3295" spans="1:2" ht="12.75" customHeight="1" x14ac:dyDescent="0.25">
      <c r="A3295" s="318">
        <v>91726672913</v>
      </c>
      <c r="B3295" s="318" t="s">
        <v>237</v>
      </c>
    </row>
    <row r="3296" spans="1:2" ht="12.75" customHeight="1" x14ac:dyDescent="0.25">
      <c r="A3296" s="318">
        <v>91726672914</v>
      </c>
      <c r="B3296" s="318" t="s">
        <v>237</v>
      </c>
    </row>
    <row r="3297" spans="1:2" ht="12.75" customHeight="1" x14ac:dyDescent="0.25">
      <c r="A3297" s="318">
        <v>91726672915</v>
      </c>
      <c r="B3297" s="318" t="s">
        <v>237</v>
      </c>
    </row>
    <row r="3298" spans="1:2" ht="12.75" customHeight="1" x14ac:dyDescent="0.25">
      <c r="A3298" s="318">
        <v>91726672916</v>
      </c>
      <c r="B3298" s="318" t="s">
        <v>237</v>
      </c>
    </row>
    <row r="3299" spans="1:2" ht="12.75" customHeight="1" x14ac:dyDescent="0.25">
      <c r="A3299" s="318">
        <v>91726672917</v>
      </c>
      <c r="B3299" s="318" t="s">
        <v>237</v>
      </c>
    </row>
    <row r="3300" spans="1:2" ht="12.75" customHeight="1" x14ac:dyDescent="0.25">
      <c r="A3300" s="318">
        <v>91726672918</v>
      </c>
      <c r="B3300" s="318" t="s">
        <v>237</v>
      </c>
    </row>
    <row r="3301" spans="1:2" ht="12.75" customHeight="1" x14ac:dyDescent="0.25">
      <c r="A3301" s="318">
        <v>91726672919</v>
      </c>
      <c r="B3301" s="318" t="s">
        <v>237</v>
      </c>
    </row>
    <row r="3302" spans="1:2" ht="12.75" customHeight="1" x14ac:dyDescent="0.25">
      <c r="A3302" s="318">
        <v>91727153776</v>
      </c>
      <c r="B3302" s="318" t="s">
        <v>23</v>
      </c>
    </row>
    <row r="3303" spans="1:2" ht="12.75" customHeight="1" x14ac:dyDescent="0.25">
      <c r="A3303" s="318">
        <v>91727153777</v>
      </c>
      <c r="B3303" s="318" t="s">
        <v>23</v>
      </c>
    </row>
    <row r="3304" spans="1:2" ht="12.75" customHeight="1" x14ac:dyDescent="0.25">
      <c r="A3304" s="318">
        <v>91727153778</v>
      </c>
      <c r="B3304" s="318" t="s">
        <v>23</v>
      </c>
    </row>
    <row r="3305" spans="1:2" ht="12.75" customHeight="1" x14ac:dyDescent="0.25">
      <c r="A3305" s="318">
        <v>91727153779</v>
      </c>
      <c r="B3305" s="318" t="s">
        <v>23</v>
      </c>
    </row>
    <row r="3306" spans="1:2" ht="12.75" customHeight="1" x14ac:dyDescent="0.25">
      <c r="A3306" s="318">
        <v>91727153780</v>
      </c>
      <c r="B3306" s="318" t="s">
        <v>23</v>
      </c>
    </row>
    <row r="3307" spans="1:2" ht="12.75" customHeight="1" x14ac:dyDescent="0.25">
      <c r="A3307" s="318">
        <v>91727153781</v>
      </c>
      <c r="B3307" s="318" t="s">
        <v>23</v>
      </c>
    </row>
    <row r="3308" spans="1:2" ht="12.75" customHeight="1" x14ac:dyDescent="0.25">
      <c r="A3308" s="318">
        <v>91727153782</v>
      </c>
      <c r="B3308" s="318" t="s">
        <v>23</v>
      </c>
    </row>
    <row r="3309" spans="1:2" ht="12.75" customHeight="1" x14ac:dyDescent="0.25">
      <c r="A3309" s="318">
        <v>91727153783</v>
      </c>
      <c r="B3309" s="318" t="s">
        <v>237</v>
      </c>
    </row>
    <row r="3310" spans="1:2" ht="12.75" customHeight="1" x14ac:dyDescent="0.25">
      <c r="A3310" s="318">
        <v>91727153785</v>
      </c>
      <c r="B3310" s="318" t="s">
        <v>23</v>
      </c>
    </row>
    <row r="3311" spans="1:2" ht="12.75" customHeight="1" x14ac:dyDescent="0.25">
      <c r="A3311" s="318">
        <v>91727153786</v>
      </c>
      <c r="B3311" s="318" t="s">
        <v>237</v>
      </c>
    </row>
    <row r="3312" spans="1:2" ht="12.75" customHeight="1" x14ac:dyDescent="0.25">
      <c r="A3312" s="318">
        <v>91727153787</v>
      </c>
      <c r="B3312" s="318" t="s">
        <v>23</v>
      </c>
    </row>
    <row r="3313" spans="1:2" ht="12.75" customHeight="1" x14ac:dyDescent="0.25">
      <c r="A3313" s="318">
        <v>91727153788</v>
      </c>
      <c r="B3313" s="318" t="s">
        <v>237</v>
      </c>
    </row>
    <row r="3314" spans="1:2" ht="12.75" customHeight="1" x14ac:dyDescent="0.25">
      <c r="A3314" s="318">
        <v>91727153789</v>
      </c>
      <c r="B3314" s="318" t="s">
        <v>23</v>
      </c>
    </row>
    <row r="3315" spans="1:2" ht="12.75" customHeight="1" x14ac:dyDescent="0.25">
      <c r="A3315" s="318">
        <v>91727153790</v>
      </c>
      <c r="B3315" s="318" t="s">
        <v>237</v>
      </c>
    </row>
    <row r="3316" spans="1:2" ht="12.75" customHeight="1" x14ac:dyDescent="0.25">
      <c r="A3316" s="318">
        <v>91727153791</v>
      </c>
      <c r="B3316" s="318" t="s">
        <v>23</v>
      </c>
    </row>
    <row r="3317" spans="1:2" ht="12.75" customHeight="1" x14ac:dyDescent="0.25">
      <c r="A3317" s="318">
        <v>91727153792</v>
      </c>
      <c r="B3317" s="318" t="s">
        <v>237</v>
      </c>
    </row>
    <row r="3318" spans="1:2" ht="12.75" customHeight="1" x14ac:dyDescent="0.25">
      <c r="A3318" s="318">
        <v>91727153876</v>
      </c>
      <c r="B3318" s="318" t="s">
        <v>237</v>
      </c>
    </row>
    <row r="3319" spans="1:2" ht="12.75" customHeight="1" x14ac:dyDescent="0.25">
      <c r="A3319" s="318">
        <v>91727153877</v>
      </c>
      <c r="B3319" s="318" t="s">
        <v>237</v>
      </c>
    </row>
    <row r="3320" spans="1:2" ht="12.75" customHeight="1" x14ac:dyDescent="0.25">
      <c r="A3320" s="318">
        <v>91727153878</v>
      </c>
      <c r="B3320" s="318" t="s">
        <v>237</v>
      </c>
    </row>
    <row r="3321" spans="1:2" ht="12.75" customHeight="1" x14ac:dyDescent="0.25">
      <c r="A3321" s="318">
        <v>91727153879</v>
      </c>
      <c r="B3321" s="318" t="s">
        <v>237</v>
      </c>
    </row>
    <row r="3322" spans="1:2" ht="12.75" customHeight="1" x14ac:dyDescent="0.25">
      <c r="A3322" s="318">
        <v>91727153880</v>
      </c>
      <c r="B3322" s="318" t="s">
        <v>237</v>
      </c>
    </row>
    <row r="3323" spans="1:2" ht="12.75" customHeight="1" x14ac:dyDescent="0.25">
      <c r="A3323" s="318">
        <v>91727153881</v>
      </c>
      <c r="B3323" s="318" t="s">
        <v>237</v>
      </c>
    </row>
    <row r="3324" spans="1:2" ht="12.75" customHeight="1" x14ac:dyDescent="0.25">
      <c r="A3324" s="318">
        <v>91727153882</v>
      </c>
      <c r="B3324" s="318" t="s">
        <v>237</v>
      </c>
    </row>
    <row r="3325" spans="1:2" ht="12.75" customHeight="1" x14ac:dyDescent="0.25">
      <c r="A3325" s="318">
        <v>91727153883</v>
      </c>
      <c r="B3325" s="318" t="s">
        <v>237</v>
      </c>
    </row>
    <row r="3326" spans="1:2" ht="12.75" customHeight="1" x14ac:dyDescent="0.25">
      <c r="A3326" s="318">
        <v>91727153885</v>
      </c>
      <c r="B3326" s="318" t="s">
        <v>237</v>
      </c>
    </row>
    <row r="3327" spans="1:2" ht="12.75" customHeight="1" x14ac:dyDescent="0.25">
      <c r="A3327" s="318">
        <v>91727153886</v>
      </c>
      <c r="B3327" s="318" t="s">
        <v>237</v>
      </c>
    </row>
    <row r="3328" spans="1:2" ht="12.75" customHeight="1" x14ac:dyDescent="0.25">
      <c r="A3328" s="318">
        <v>91727153887</v>
      </c>
      <c r="B3328" s="318" t="s">
        <v>237</v>
      </c>
    </row>
    <row r="3329" spans="1:2" ht="12.75" customHeight="1" x14ac:dyDescent="0.25">
      <c r="A3329" s="318">
        <v>91727153888</v>
      </c>
      <c r="B3329" s="318" t="s">
        <v>237</v>
      </c>
    </row>
    <row r="3330" spans="1:2" ht="12.75" customHeight="1" x14ac:dyDescent="0.25">
      <c r="A3330" s="318">
        <v>91727153889</v>
      </c>
      <c r="B3330" s="318" t="s">
        <v>237</v>
      </c>
    </row>
    <row r="3331" spans="1:2" ht="12.75" customHeight="1" x14ac:dyDescent="0.25">
      <c r="A3331" s="318">
        <v>91727153890</v>
      </c>
      <c r="B3331" s="318" t="s">
        <v>237</v>
      </c>
    </row>
    <row r="3332" spans="1:2" ht="12.75" customHeight="1" x14ac:dyDescent="0.25">
      <c r="A3332" s="318">
        <v>91727153891</v>
      </c>
      <c r="B3332" s="318" t="s">
        <v>237</v>
      </c>
    </row>
    <row r="3333" spans="1:2" ht="12.75" customHeight="1" x14ac:dyDescent="0.25">
      <c r="A3333" s="318">
        <v>91727153892</v>
      </c>
      <c r="B3333" s="318" t="s">
        <v>237</v>
      </c>
    </row>
    <row r="3334" spans="1:2" ht="12.75" customHeight="1" x14ac:dyDescent="0.25">
      <c r="A3334" s="318">
        <v>91728514157</v>
      </c>
      <c r="B3334" s="318" t="s">
        <v>23</v>
      </c>
    </row>
    <row r="3335" spans="1:2" ht="12.75" customHeight="1" x14ac:dyDescent="0.25">
      <c r="A3335" s="318">
        <v>91728514158</v>
      </c>
      <c r="B3335" s="318" t="s">
        <v>23</v>
      </c>
    </row>
    <row r="3336" spans="1:2" ht="12.75" customHeight="1" x14ac:dyDescent="0.25">
      <c r="A3336" s="318">
        <v>91728514159</v>
      </c>
      <c r="B3336" s="318" t="s">
        <v>23</v>
      </c>
    </row>
    <row r="3337" spans="1:2" ht="12.75" customHeight="1" x14ac:dyDescent="0.25">
      <c r="A3337" s="318">
        <v>91728514160</v>
      </c>
      <c r="B3337" s="318" t="s">
        <v>23</v>
      </c>
    </row>
    <row r="3338" spans="1:2" ht="12.75" customHeight="1" x14ac:dyDescent="0.25">
      <c r="A3338" s="318">
        <v>91728514161</v>
      </c>
      <c r="B3338" s="318" t="s">
        <v>23</v>
      </c>
    </row>
    <row r="3339" spans="1:2" ht="12.75" customHeight="1" x14ac:dyDescent="0.25">
      <c r="A3339" s="318">
        <v>91728514162</v>
      </c>
      <c r="B3339" s="318" t="s">
        <v>23</v>
      </c>
    </row>
    <row r="3340" spans="1:2" ht="12.75" customHeight="1" x14ac:dyDescent="0.25">
      <c r="A3340" s="318">
        <v>91728514163</v>
      </c>
      <c r="B3340" s="318" t="s">
        <v>23</v>
      </c>
    </row>
    <row r="3341" spans="1:2" ht="12.75" customHeight="1" x14ac:dyDescent="0.25">
      <c r="A3341" s="318">
        <v>91728514164</v>
      </c>
      <c r="B3341" s="318" t="s">
        <v>237</v>
      </c>
    </row>
    <row r="3342" spans="1:2" ht="12.75" customHeight="1" x14ac:dyDescent="0.25">
      <c r="A3342" s="318">
        <v>91728514166</v>
      </c>
      <c r="B3342" s="318" t="s">
        <v>237</v>
      </c>
    </row>
    <row r="3343" spans="1:2" ht="12.75" customHeight="1" x14ac:dyDescent="0.25">
      <c r="A3343" s="318">
        <v>91728514167</v>
      </c>
      <c r="B3343" s="318" t="s">
        <v>237</v>
      </c>
    </row>
    <row r="3344" spans="1:2" ht="12.75" customHeight="1" x14ac:dyDescent="0.25">
      <c r="A3344" s="318">
        <v>91728514168</v>
      </c>
      <c r="B3344" s="318" t="s">
        <v>237</v>
      </c>
    </row>
    <row r="3345" spans="1:2" ht="12.75" customHeight="1" x14ac:dyDescent="0.25">
      <c r="A3345" s="318">
        <v>91728514169</v>
      </c>
      <c r="B3345" s="318" t="s">
        <v>237</v>
      </c>
    </row>
    <row r="3346" spans="1:2" ht="12.75" customHeight="1" x14ac:dyDescent="0.25">
      <c r="A3346" s="318">
        <v>91728514170</v>
      </c>
      <c r="B3346" s="318" t="s">
        <v>237</v>
      </c>
    </row>
    <row r="3347" spans="1:2" ht="12.75" customHeight="1" x14ac:dyDescent="0.25">
      <c r="A3347" s="318">
        <v>91728514171</v>
      </c>
      <c r="B3347" s="318" t="s">
        <v>237</v>
      </c>
    </row>
    <row r="3348" spans="1:2" ht="12.75" customHeight="1" x14ac:dyDescent="0.25">
      <c r="A3348" s="318">
        <v>91728514172</v>
      </c>
      <c r="B3348" s="318" t="s">
        <v>237</v>
      </c>
    </row>
    <row r="3349" spans="1:2" ht="12.75" customHeight="1" x14ac:dyDescent="0.25">
      <c r="A3349" s="318">
        <v>91728514173</v>
      </c>
      <c r="B3349" s="318" t="s">
        <v>237</v>
      </c>
    </row>
    <row r="3350" spans="1:2" ht="12.75" customHeight="1" x14ac:dyDescent="0.25">
      <c r="A3350" s="318">
        <v>91728514257</v>
      </c>
      <c r="B3350" s="318" t="s">
        <v>237</v>
      </c>
    </row>
    <row r="3351" spans="1:2" ht="12.75" customHeight="1" x14ac:dyDescent="0.25">
      <c r="A3351" s="318">
        <v>91728514258</v>
      </c>
      <c r="B3351" s="318" t="s">
        <v>237</v>
      </c>
    </row>
    <row r="3352" spans="1:2" ht="12.75" customHeight="1" x14ac:dyDescent="0.25">
      <c r="A3352" s="318">
        <v>91728514259</v>
      </c>
      <c r="B3352" s="318" t="s">
        <v>237</v>
      </c>
    </row>
    <row r="3353" spans="1:2" ht="12.75" customHeight="1" x14ac:dyDescent="0.25">
      <c r="A3353" s="318">
        <v>91728514260</v>
      </c>
      <c r="B3353" s="318" t="s">
        <v>237</v>
      </c>
    </row>
    <row r="3354" spans="1:2" ht="12.75" customHeight="1" x14ac:dyDescent="0.25">
      <c r="A3354" s="318">
        <v>91728514261</v>
      </c>
      <c r="B3354" s="318" t="s">
        <v>237</v>
      </c>
    </row>
    <row r="3355" spans="1:2" ht="12.75" customHeight="1" x14ac:dyDescent="0.25">
      <c r="A3355" s="318">
        <v>91728514262</v>
      </c>
      <c r="B3355" s="318" t="s">
        <v>237</v>
      </c>
    </row>
    <row r="3356" spans="1:2" ht="12.75" customHeight="1" x14ac:dyDescent="0.25">
      <c r="A3356" s="318">
        <v>91728514263</v>
      </c>
      <c r="B3356" s="318" t="s">
        <v>237</v>
      </c>
    </row>
    <row r="3357" spans="1:2" ht="12.75" customHeight="1" x14ac:dyDescent="0.25">
      <c r="A3357" s="318">
        <v>91728514264</v>
      </c>
      <c r="B3357" s="318" t="s">
        <v>237</v>
      </c>
    </row>
    <row r="3358" spans="1:2" ht="12.75" customHeight="1" x14ac:dyDescent="0.25">
      <c r="A3358" s="318">
        <v>91728514266</v>
      </c>
      <c r="B3358" s="318" t="s">
        <v>237</v>
      </c>
    </row>
    <row r="3359" spans="1:2" ht="12.75" customHeight="1" x14ac:dyDescent="0.25">
      <c r="A3359" s="318">
        <v>91728514267</v>
      </c>
      <c r="B3359" s="318" t="s">
        <v>237</v>
      </c>
    </row>
    <row r="3360" spans="1:2" ht="12.75" customHeight="1" x14ac:dyDescent="0.25">
      <c r="A3360" s="318">
        <v>91728514268</v>
      </c>
      <c r="B3360" s="318" t="s">
        <v>237</v>
      </c>
    </row>
    <row r="3361" spans="1:2" ht="12.75" customHeight="1" x14ac:dyDescent="0.25">
      <c r="A3361" s="318">
        <v>91728514269</v>
      </c>
      <c r="B3361" s="318" t="s">
        <v>237</v>
      </c>
    </row>
    <row r="3362" spans="1:2" ht="12.75" customHeight="1" x14ac:dyDescent="0.25">
      <c r="A3362" s="318">
        <v>91728514270</v>
      </c>
      <c r="B3362" s="318" t="s">
        <v>237</v>
      </c>
    </row>
    <row r="3363" spans="1:2" ht="12.75" customHeight="1" x14ac:dyDescent="0.25">
      <c r="A3363" s="318">
        <v>91728514271</v>
      </c>
      <c r="B3363" s="318" t="s">
        <v>237</v>
      </c>
    </row>
    <row r="3364" spans="1:2" ht="12.75" customHeight="1" x14ac:dyDescent="0.25">
      <c r="A3364" s="318">
        <v>91728514272</v>
      </c>
      <c r="B3364" s="318" t="s">
        <v>237</v>
      </c>
    </row>
    <row r="3365" spans="1:2" ht="12.75" customHeight="1" x14ac:dyDescent="0.25">
      <c r="A3365" s="318">
        <v>91728514273</v>
      </c>
      <c r="B3365" s="318" t="s">
        <v>237</v>
      </c>
    </row>
    <row r="3366" spans="1:2" ht="12.75" customHeight="1" x14ac:dyDescent="0.25">
      <c r="A3366" s="318">
        <v>91728995130</v>
      </c>
      <c r="B3366" s="318" t="s">
        <v>23</v>
      </c>
    </row>
    <row r="3367" spans="1:2" ht="12.75" customHeight="1" x14ac:dyDescent="0.25">
      <c r="A3367" s="318">
        <v>91728995131</v>
      </c>
      <c r="B3367" s="318" t="s">
        <v>23</v>
      </c>
    </row>
    <row r="3368" spans="1:2" ht="12.75" customHeight="1" x14ac:dyDescent="0.25">
      <c r="A3368" s="318">
        <v>91728995132</v>
      </c>
      <c r="B3368" s="318" t="s">
        <v>23</v>
      </c>
    </row>
    <row r="3369" spans="1:2" ht="12.75" customHeight="1" x14ac:dyDescent="0.25">
      <c r="A3369" s="318">
        <v>91728995133</v>
      </c>
      <c r="B3369" s="318" t="s">
        <v>23</v>
      </c>
    </row>
    <row r="3370" spans="1:2" ht="12.75" customHeight="1" x14ac:dyDescent="0.25">
      <c r="A3370" s="318">
        <v>91728995134</v>
      </c>
      <c r="B3370" s="318" t="s">
        <v>23</v>
      </c>
    </row>
    <row r="3371" spans="1:2" ht="12.75" customHeight="1" x14ac:dyDescent="0.25">
      <c r="A3371" s="318">
        <v>91728995135</v>
      </c>
      <c r="B3371" s="318" t="s">
        <v>23</v>
      </c>
    </row>
    <row r="3372" spans="1:2" ht="12.75" customHeight="1" x14ac:dyDescent="0.25">
      <c r="A3372" s="318">
        <v>91728995136</v>
      </c>
      <c r="B3372" s="318" t="s">
        <v>23</v>
      </c>
    </row>
    <row r="3373" spans="1:2" ht="12.75" customHeight="1" x14ac:dyDescent="0.25">
      <c r="A3373" s="318">
        <v>91728995137</v>
      </c>
      <c r="B3373" s="318" t="s">
        <v>237</v>
      </c>
    </row>
    <row r="3374" spans="1:2" ht="12.75" customHeight="1" x14ac:dyDescent="0.25">
      <c r="A3374" s="318">
        <v>91728995139</v>
      </c>
      <c r="B3374" s="318" t="s">
        <v>237</v>
      </c>
    </row>
    <row r="3375" spans="1:2" ht="12.75" customHeight="1" x14ac:dyDescent="0.25">
      <c r="A3375" s="318">
        <v>91728995140</v>
      </c>
      <c r="B3375" s="318" t="s">
        <v>237</v>
      </c>
    </row>
    <row r="3376" spans="1:2" ht="12.75" customHeight="1" x14ac:dyDescent="0.25">
      <c r="A3376" s="318">
        <v>91728995141</v>
      </c>
      <c r="B3376" s="318" t="s">
        <v>237</v>
      </c>
    </row>
    <row r="3377" spans="1:2" ht="12.75" customHeight="1" x14ac:dyDescent="0.25">
      <c r="A3377" s="318">
        <v>91728995142</v>
      </c>
      <c r="B3377" s="318" t="s">
        <v>237</v>
      </c>
    </row>
    <row r="3378" spans="1:2" ht="12.75" customHeight="1" x14ac:dyDescent="0.25">
      <c r="A3378" s="318">
        <v>91728995143</v>
      </c>
      <c r="B3378" s="318" t="s">
        <v>237</v>
      </c>
    </row>
    <row r="3379" spans="1:2" ht="12.75" customHeight="1" x14ac:dyDescent="0.25">
      <c r="A3379" s="318">
        <v>91728995144</v>
      </c>
      <c r="B3379" s="318" t="s">
        <v>237</v>
      </c>
    </row>
    <row r="3380" spans="1:2" ht="12.75" customHeight="1" x14ac:dyDescent="0.25">
      <c r="A3380" s="318">
        <v>91728995145</v>
      </c>
      <c r="B3380" s="318" t="s">
        <v>237</v>
      </c>
    </row>
    <row r="3381" spans="1:2" ht="12.75" customHeight="1" x14ac:dyDescent="0.25">
      <c r="A3381" s="318">
        <v>91728995146</v>
      </c>
      <c r="B3381" s="318" t="s">
        <v>237</v>
      </c>
    </row>
    <row r="3382" spans="1:2" ht="12.75" customHeight="1" x14ac:dyDescent="0.25">
      <c r="A3382" s="318">
        <v>91728995230</v>
      </c>
      <c r="B3382" s="318" t="s">
        <v>237</v>
      </c>
    </row>
    <row r="3383" spans="1:2" ht="12.75" customHeight="1" x14ac:dyDescent="0.25">
      <c r="A3383" s="318">
        <v>91728995231</v>
      </c>
      <c r="B3383" s="318" t="s">
        <v>237</v>
      </c>
    </row>
    <row r="3384" spans="1:2" ht="12.75" customHeight="1" x14ac:dyDescent="0.25">
      <c r="A3384" s="318">
        <v>91728995232</v>
      </c>
      <c r="B3384" s="318" t="s">
        <v>237</v>
      </c>
    </row>
    <row r="3385" spans="1:2" ht="12.75" customHeight="1" x14ac:dyDescent="0.25">
      <c r="A3385" s="318">
        <v>91728995233</v>
      </c>
      <c r="B3385" s="318" t="s">
        <v>237</v>
      </c>
    </row>
    <row r="3386" spans="1:2" ht="12.75" customHeight="1" x14ac:dyDescent="0.25">
      <c r="A3386" s="318">
        <v>91728995234</v>
      </c>
      <c r="B3386" s="318" t="s">
        <v>237</v>
      </c>
    </row>
    <row r="3387" spans="1:2" ht="12.75" customHeight="1" x14ac:dyDescent="0.25">
      <c r="A3387" s="318">
        <v>91728995235</v>
      </c>
      <c r="B3387" s="318" t="s">
        <v>237</v>
      </c>
    </row>
    <row r="3388" spans="1:2" ht="12.75" customHeight="1" x14ac:dyDescent="0.25">
      <c r="A3388" s="318">
        <v>91728995236</v>
      </c>
      <c r="B3388" s="318" t="s">
        <v>237</v>
      </c>
    </row>
    <row r="3389" spans="1:2" ht="12.75" customHeight="1" x14ac:dyDescent="0.25">
      <c r="A3389" s="318">
        <v>91728995237</v>
      </c>
      <c r="B3389" s="318" t="s">
        <v>237</v>
      </c>
    </row>
    <row r="3390" spans="1:2" ht="12.75" customHeight="1" x14ac:dyDescent="0.25">
      <c r="A3390" s="318">
        <v>91728995239</v>
      </c>
      <c r="B3390" s="318" t="s">
        <v>237</v>
      </c>
    </row>
    <row r="3391" spans="1:2" ht="12.75" customHeight="1" x14ac:dyDescent="0.25">
      <c r="A3391" s="318">
        <v>91728995240</v>
      </c>
      <c r="B3391" s="318" t="s">
        <v>237</v>
      </c>
    </row>
    <row r="3392" spans="1:2" ht="12.75" customHeight="1" x14ac:dyDescent="0.25">
      <c r="A3392" s="318">
        <v>91728995241</v>
      </c>
      <c r="B3392" s="318" t="s">
        <v>237</v>
      </c>
    </row>
    <row r="3393" spans="1:2" ht="12.75" customHeight="1" x14ac:dyDescent="0.25">
      <c r="A3393" s="318">
        <v>91728995242</v>
      </c>
      <c r="B3393" s="318" t="s">
        <v>237</v>
      </c>
    </row>
    <row r="3394" spans="1:2" ht="12.75" customHeight="1" x14ac:dyDescent="0.25">
      <c r="A3394" s="318">
        <v>91728995243</v>
      </c>
      <c r="B3394" s="318" t="s">
        <v>237</v>
      </c>
    </row>
    <row r="3395" spans="1:2" ht="12.75" customHeight="1" x14ac:dyDescent="0.25">
      <c r="A3395" s="318">
        <v>91728995244</v>
      </c>
      <c r="B3395" s="318" t="s">
        <v>237</v>
      </c>
    </row>
    <row r="3396" spans="1:2" ht="12.75" customHeight="1" x14ac:dyDescent="0.25">
      <c r="A3396" s="318">
        <v>91728995245</v>
      </c>
      <c r="B3396" s="318" t="s">
        <v>237</v>
      </c>
    </row>
    <row r="3397" spans="1:2" ht="12.75" customHeight="1" x14ac:dyDescent="0.25">
      <c r="A3397" s="318">
        <v>91728995246</v>
      </c>
      <c r="B3397" s="318" t="s">
        <v>237</v>
      </c>
    </row>
    <row r="3398" spans="1:2" ht="12.75" customHeight="1" x14ac:dyDescent="0.25">
      <c r="A3398" s="318">
        <v>91729476103</v>
      </c>
      <c r="B3398" s="318" t="s">
        <v>23</v>
      </c>
    </row>
    <row r="3399" spans="1:2" ht="12.75" customHeight="1" x14ac:dyDescent="0.25">
      <c r="A3399" s="318">
        <v>91729476104</v>
      </c>
      <c r="B3399" s="318" t="s">
        <v>23</v>
      </c>
    </row>
    <row r="3400" spans="1:2" ht="12.75" customHeight="1" x14ac:dyDescent="0.25">
      <c r="A3400" s="318">
        <v>91729476105</v>
      </c>
      <c r="B3400" s="318" t="s">
        <v>23</v>
      </c>
    </row>
    <row r="3401" spans="1:2" ht="12.75" customHeight="1" x14ac:dyDescent="0.25">
      <c r="A3401" s="318">
        <v>91729476106</v>
      </c>
      <c r="B3401" s="318" t="s">
        <v>23</v>
      </c>
    </row>
    <row r="3402" spans="1:2" ht="12.75" customHeight="1" x14ac:dyDescent="0.25">
      <c r="A3402" s="318">
        <v>91729476107</v>
      </c>
      <c r="B3402" s="318" t="s">
        <v>23</v>
      </c>
    </row>
    <row r="3403" spans="1:2" ht="12.75" customHeight="1" x14ac:dyDescent="0.25">
      <c r="A3403" s="318">
        <v>91729476108</v>
      </c>
      <c r="B3403" s="318" t="s">
        <v>23</v>
      </c>
    </row>
    <row r="3404" spans="1:2" ht="12.75" customHeight="1" x14ac:dyDescent="0.25">
      <c r="A3404" s="318">
        <v>91729476109</v>
      </c>
      <c r="B3404" s="318" t="s">
        <v>23</v>
      </c>
    </row>
    <row r="3405" spans="1:2" ht="12.75" customHeight="1" x14ac:dyDescent="0.25">
      <c r="A3405" s="318">
        <v>91729476110</v>
      </c>
      <c r="B3405" s="318" t="s">
        <v>237</v>
      </c>
    </row>
    <row r="3406" spans="1:2" ht="12.75" customHeight="1" x14ac:dyDescent="0.25">
      <c r="A3406" s="318">
        <v>91729476112</v>
      </c>
      <c r="B3406" s="318" t="s">
        <v>23</v>
      </c>
    </row>
    <row r="3407" spans="1:2" ht="12.75" customHeight="1" x14ac:dyDescent="0.25">
      <c r="A3407" s="318">
        <v>91729476113</v>
      </c>
      <c r="B3407" s="318" t="s">
        <v>237</v>
      </c>
    </row>
    <row r="3408" spans="1:2" ht="12.75" customHeight="1" x14ac:dyDescent="0.25">
      <c r="A3408" s="318">
        <v>91729476114</v>
      </c>
      <c r="B3408" s="318" t="s">
        <v>23</v>
      </c>
    </row>
    <row r="3409" spans="1:2" ht="12.75" customHeight="1" x14ac:dyDescent="0.25">
      <c r="A3409" s="318">
        <v>91729476115</v>
      </c>
      <c r="B3409" s="318" t="s">
        <v>237</v>
      </c>
    </row>
    <row r="3410" spans="1:2" ht="12.75" customHeight="1" x14ac:dyDescent="0.25">
      <c r="A3410" s="318">
        <v>91729476116</v>
      </c>
      <c r="B3410" s="318" t="s">
        <v>23</v>
      </c>
    </row>
    <row r="3411" spans="1:2" ht="12.75" customHeight="1" x14ac:dyDescent="0.25">
      <c r="A3411" s="318">
        <v>91729476117</v>
      </c>
      <c r="B3411" s="318" t="s">
        <v>237</v>
      </c>
    </row>
    <row r="3412" spans="1:2" ht="12.75" customHeight="1" x14ac:dyDescent="0.25">
      <c r="A3412" s="318">
        <v>91729476118</v>
      </c>
      <c r="B3412" s="318" t="s">
        <v>23</v>
      </c>
    </row>
    <row r="3413" spans="1:2" ht="12.75" customHeight="1" x14ac:dyDescent="0.25">
      <c r="A3413" s="318">
        <v>91729476119</v>
      </c>
      <c r="B3413" s="318" t="s">
        <v>237</v>
      </c>
    </row>
    <row r="3414" spans="1:2" ht="12.75" customHeight="1" x14ac:dyDescent="0.25">
      <c r="A3414" s="318">
        <v>91729476203</v>
      </c>
      <c r="B3414" s="318" t="s">
        <v>237</v>
      </c>
    </row>
    <row r="3415" spans="1:2" ht="12.75" customHeight="1" x14ac:dyDescent="0.25">
      <c r="A3415" s="318">
        <v>91729476204</v>
      </c>
      <c r="B3415" s="318" t="s">
        <v>237</v>
      </c>
    </row>
    <row r="3416" spans="1:2" ht="12.75" customHeight="1" x14ac:dyDescent="0.25">
      <c r="A3416" s="318">
        <v>91729476205</v>
      </c>
      <c r="B3416" s="318" t="s">
        <v>237</v>
      </c>
    </row>
    <row r="3417" spans="1:2" ht="12.75" customHeight="1" x14ac:dyDescent="0.25">
      <c r="A3417" s="318">
        <v>91729476206</v>
      </c>
      <c r="B3417" s="318" t="s">
        <v>237</v>
      </c>
    </row>
    <row r="3418" spans="1:2" ht="12.75" customHeight="1" x14ac:dyDescent="0.25">
      <c r="A3418" s="318">
        <v>91729476207</v>
      </c>
      <c r="B3418" s="318" t="s">
        <v>237</v>
      </c>
    </row>
    <row r="3419" spans="1:2" ht="12.75" customHeight="1" x14ac:dyDescent="0.25">
      <c r="A3419" s="318">
        <v>91729476208</v>
      </c>
      <c r="B3419" s="318" t="s">
        <v>237</v>
      </c>
    </row>
    <row r="3420" spans="1:2" ht="12.75" customHeight="1" x14ac:dyDescent="0.25">
      <c r="A3420" s="318">
        <v>91729476209</v>
      </c>
      <c r="B3420" s="318" t="s">
        <v>237</v>
      </c>
    </row>
    <row r="3421" spans="1:2" ht="12.75" customHeight="1" x14ac:dyDescent="0.25">
      <c r="A3421" s="318">
        <v>91729476210</v>
      </c>
      <c r="B3421" s="318" t="s">
        <v>237</v>
      </c>
    </row>
    <row r="3422" spans="1:2" ht="12.75" customHeight="1" x14ac:dyDescent="0.25">
      <c r="A3422" s="318">
        <v>91729476212</v>
      </c>
      <c r="B3422" s="318" t="s">
        <v>237</v>
      </c>
    </row>
    <row r="3423" spans="1:2" ht="12.75" customHeight="1" x14ac:dyDescent="0.25">
      <c r="A3423" s="318">
        <v>91729476213</v>
      </c>
      <c r="B3423" s="318" t="s">
        <v>237</v>
      </c>
    </row>
    <row r="3424" spans="1:2" ht="12.75" customHeight="1" x14ac:dyDescent="0.25">
      <c r="A3424" s="318">
        <v>91729476214</v>
      </c>
      <c r="B3424" s="318" t="s">
        <v>237</v>
      </c>
    </row>
    <row r="3425" spans="1:2" ht="12.75" customHeight="1" x14ac:dyDescent="0.25">
      <c r="A3425" s="318">
        <v>91729476215</v>
      </c>
      <c r="B3425" s="318" t="s">
        <v>237</v>
      </c>
    </row>
    <row r="3426" spans="1:2" ht="12.75" customHeight="1" x14ac:dyDescent="0.25">
      <c r="A3426" s="318">
        <v>91729476216</v>
      </c>
      <c r="B3426" s="318" t="s">
        <v>237</v>
      </c>
    </row>
    <row r="3427" spans="1:2" ht="12.75" customHeight="1" x14ac:dyDescent="0.25">
      <c r="A3427" s="318">
        <v>91729476217</v>
      </c>
      <c r="B3427" s="318" t="s">
        <v>237</v>
      </c>
    </row>
    <row r="3428" spans="1:2" ht="12.75" customHeight="1" x14ac:dyDescent="0.25">
      <c r="A3428" s="318">
        <v>91729476218</v>
      </c>
      <c r="B3428" s="318" t="s">
        <v>237</v>
      </c>
    </row>
    <row r="3429" spans="1:2" ht="12.75" customHeight="1" x14ac:dyDescent="0.25">
      <c r="A3429" s="318">
        <v>91729476219</v>
      </c>
      <c r="B3429" s="318" t="s">
        <v>237</v>
      </c>
    </row>
    <row r="3430" spans="1:2" ht="12.75" customHeight="1" x14ac:dyDescent="0.25">
      <c r="A3430" s="318">
        <v>91730156294</v>
      </c>
      <c r="B3430" s="318" t="s">
        <v>23</v>
      </c>
    </row>
    <row r="3431" spans="1:2" ht="12.75" customHeight="1" x14ac:dyDescent="0.25">
      <c r="A3431" s="318">
        <v>91730156295</v>
      </c>
      <c r="B3431" s="318" t="s">
        <v>23</v>
      </c>
    </row>
    <row r="3432" spans="1:2" ht="12.75" customHeight="1" x14ac:dyDescent="0.25">
      <c r="A3432" s="318">
        <v>91730156296</v>
      </c>
      <c r="B3432" s="318" t="s">
        <v>23</v>
      </c>
    </row>
    <row r="3433" spans="1:2" ht="12.75" customHeight="1" x14ac:dyDescent="0.25">
      <c r="A3433" s="318">
        <v>91730156297</v>
      </c>
      <c r="B3433" s="318" t="s">
        <v>23</v>
      </c>
    </row>
    <row r="3434" spans="1:2" ht="12.75" customHeight="1" x14ac:dyDescent="0.25">
      <c r="A3434" s="318">
        <v>91730156298</v>
      </c>
      <c r="B3434" s="318" t="s">
        <v>23</v>
      </c>
    </row>
    <row r="3435" spans="1:2" ht="12.75" customHeight="1" x14ac:dyDescent="0.25">
      <c r="A3435" s="318">
        <v>91730156299</v>
      </c>
      <c r="B3435" s="318" t="s">
        <v>23</v>
      </c>
    </row>
    <row r="3436" spans="1:2" ht="12.75" customHeight="1" x14ac:dyDescent="0.25">
      <c r="A3436" s="318">
        <v>91730156300</v>
      </c>
      <c r="B3436" s="318" t="s">
        <v>23</v>
      </c>
    </row>
    <row r="3437" spans="1:2" ht="12.75" customHeight="1" x14ac:dyDescent="0.25">
      <c r="A3437" s="318">
        <v>91730156301</v>
      </c>
      <c r="B3437" s="318" t="s">
        <v>237</v>
      </c>
    </row>
    <row r="3438" spans="1:2" ht="12.75" customHeight="1" x14ac:dyDescent="0.25">
      <c r="A3438" s="318">
        <v>91730156303</v>
      </c>
      <c r="B3438" s="318" t="s">
        <v>237</v>
      </c>
    </row>
    <row r="3439" spans="1:2" ht="12.75" customHeight="1" x14ac:dyDescent="0.25">
      <c r="A3439" s="318">
        <v>91730156304</v>
      </c>
      <c r="B3439" s="318" t="s">
        <v>237</v>
      </c>
    </row>
    <row r="3440" spans="1:2" ht="12.75" customHeight="1" x14ac:dyDescent="0.25">
      <c r="A3440" s="318">
        <v>91730156305</v>
      </c>
      <c r="B3440" s="318" t="s">
        <v>237</v>
      </c>
    </row>
    <row r="3441" spans="1:2" ht="12.75" customHeight="1" x14ac:dyDescent="0.25">
      <c r="A3441" s="318">
        <v>91730156306</v>
      </c>
      <c r="B3441" s="318" t="s">
        <v>237</v>
      </c>
    </row>
    <row r="3442" spans="1:2" ht="12.75" customHeight="1" x14ac:dyDescent="0.25">
      <c r="A3442" s="318">
        <v>91730156307</v>
      </c>
      <c r="B3442" s="318" t="s">
        <v>237</v>
      </c>
    </row>
    <row r="3443" spans="1:2" ht="12.75" customHeight="1" x14ac:dyDescent="0.25">
      <c r="A3443" s="318">
        <v>91730156308</v>
      </c>
      <c r="B3443" s="318" t="s">
        <v>237</v>
      </c>
    </row>
    <row r="3444" spans="1:2" ht="12.75" customHeight="1" x14ac:dyDescent="0.25">
      <c r="A3444" s="318">
        <v>91730156309</v>
      </c>
      <c r="B3444" s="318" t="s">
        <v>237</v>
      </c>
    </row>
    <row r="3445" spans="1:2" ht="12.75" customHeight="1" x14ac:dyDescent="0.25">
      <c r="A3445" s="318">
        <v>91730156310</v>
      </c>
      <c r="B3445" s="318" t="s">
        <v>237</v>
      </c>
    </row>
    <row r="3446" spans="1:2" ht="12.75" customHeight="1" x14ac:dyDescent="0.25">
      <c r="A3446" s="318">
        <v>91730156394</v>
      </c>
      <c r="B3446" s="318" t="s">
        <v>237</v>
      </c>
    </row>
    <row r="3447" spans="1:2" ht="12.75" customHeight="1" x14ac:dyDescent="0.25">
      <c r="A3447" s="318">
        <v>91730156395</v>
      </c>
      <c r="B3447" s="318" t="s">
        <v>237</v>
      </c>
    </row>
    <row r="3448" spans="1:2" ht="12.75" customHeight="1" x14ac:dyDescent="0.25">
      <c r="A3448" s="318">
        <v>91730156396</v>
      </c>
      <c r="B3448" s="318" t="s">
        <v>237</v>
      </c>
    </row>
    <row r="3449" spans="1:2" ht="12.75" customHeight="1" x14ac:dyDescent="0.25">
      <c r="A3449" s="318">
        <v>91730156397</v>
      </c>
      <c r="B3449" s="318" t="s">
        <v>237</v>
      </c>
    </row>
    <row r="3450" spans="1:2" ht="12.75" customHeight="1" x14ac:dyDescent="0.25">
      <c r="A3450" s="318">
        <v>91730156398</v>
      </c>
      <c r="B3450" s="318" t="s">
        <v>237</v>
      </c>
    </row>
    <row r="3451" spans="1:2" ht="12.75" customHeight="1" x14ac:dyDescent="0.25">
      <c r="A3451" s="318">
        <v>91730156399</v>
      </c>
      <c r="B3451" s="318" t="s">
        <v>237</v>
      </c>
    </row>
    <row r="3452" spans="1:2" ht="12.75" customHeight="1" x14ac:dyDescent="0.25">
      <c r="A3452" s="318">
        <v>91730156400</v>
      </c>
      <c r="B3452" s="318" t="s">
        <v>237</v>
      </c>
    </row>
    <row r="3453" spans="1:2" ht="12.75" customHeight="1" x14ac:dyDescent="0.25">
      <c r="A3453" s="318">
        <v>91730156401</v>
      </c>
      <c r="B3453" s="318" t="s">
        <v>237</v>
      </c>
    </row>
    <row r="3454" spans="1:2" ht="12.75" customHeight="1" x14ac:dyDescent="0.25">
      <c r="A3454" s="318">
        <v>91730156403</v>
      </c>
      <c r="B3454" s="318" t="s">
        <v>237</v>
      </c>
    </row>
    <row r="3455" spans="1:2" ht="12.75" customHeight="1" x14ac:dyDescent="0.25">
      <c r="A3455" s="318">
        <v>91730156404</v>
      </c>
      <c r="B3455" s="318" t="s">
        <v>237</v>
      </c>
    </row>
    <row r="3456" spans="1:2" ht="12.75" customHeight="1" x14ac:dyDescent="0.25">
      <c r="A3456" s="318">
        <v>91730156405</v>
      </c>
      <c r="B3456" s="318" t="s">
        <v>237</v>
      </c>
    </row>
    <row r="3457" spans="1:2" ht="12.75" customHeight="1" x14ac:dyDescent="0.25">
      <c r="A3457" s="318">
        <v>91730156406</v>
      </c>
      <c r="B3457" s="318" t="s">
        <v>237</v>
      </c>
    </row>
    <row r="3458" spans="1:2" ht="12.75" customHeight="1" x14ac:dyDescent="0.25">
      <c r="A3458" s="318">
        <v>91730156407</v>
      </c>
      <c r="B3458" s="318" t="s">
        <v>237</v>
      </c>
    </row>
    <row r="3459" spans="1:2" ht="12.75" customHeight="1" x14ac:dyDescent="0.25">
      <c r="A3459" s="318">
        <v>91730156408</v>
      </c>
      <c r="B3459" s="318" t="s">
        <v>237</v>
      </c>
    </row>
    <row r="3460" spans="1:2" ht="12.75" customHeight="1" x14ac:dyDescent="0.25">
      <c r="A3460" s="318">
        <v>91730156409</v>
      </c>
      <c r="B3460" s="318" t="s">
        <v>237</v>
      </c>
    </row>
    <row r="3461" spans="1:2" ht="12.75" customHeight="1" x14ac:dyDescent="0.25">
      <c r="A3461" s="318">
        <v>91730156410</v>
      </c>
      <c r="B3461" s="318" t="s">
        <v>237</v>
      </c>
    </row>
    <row r="3462" spans="1:2" ht="12.75" customHeight="1" x14ac:dyDescent="0.25">
      <c r="A3462" s="318">
        <v>91730637267</v>
      </c>
      <c r="B3462" s="318" t="s">
        <v>23</v>
      </c>
    </row>
    <row r="3463" spans="1:2" ht="12.75" customHeight="1" x14ac:dyDescent="0.25">
      <c r="A3463" s="318">
        <v>91730637268</v>
      </c>
      <c r="B3463" s="318" t="s">
        <v>23</v>
      </c>
    </row>
    <row r="3464" spans="1:2" ht="12.75" customHeight="1" x14ac:dyDescent="0.25">
      <c r="A3464" s="318">
        <v>91730637269</v>
      </c>
      <c r="B3464" s="318" t="s">
        <v>23</v>
      </c>
    </row>
    <row r="3465" spans="1:2" ht="12.75" customHeight="1" x14ac:dyDescent="0.25">
      <c r="A3465" s="318">
        <v>91730637270</v>
      </c>
      <c r="B3465" s="318" t="s">
        <v>23</v>
      </c>
    </row>
    <row r="3466" spans="1:2" ht="12.75" customHeight="1" x14ac:dyDescent="0.25">
      <c r="A3466" s="318">
        <v>91730637271</v>
      </c>
      <c r="B3466" s="318" t="s">
        <v>23</v>
      </c>
    </row>
    <row r="3467" spans="1:2" ht="12.75" customHeight="1" x14ac:dyDescent="0.25">
      <c r="A3467" s="318">
        <v>91730637272</v>
      </c>
      <c r="B3467" s="318" t="s">
        <v>23</v>
      </c>
    </row>
    <row r="3468" spans="1:2" ht="12.75" customHeight="1" x14ac:dyDescent="0.25">
      <c r="A3468" s="318">
        <v>91730637273</v>
      </c>
      <c r="B3468" s="318" t="s">
        <v>23</v>
      </c>
    </row>
    <row r="3469" spans="1:2" ht="12.75" customHeight="1" x14ac:dyDescent="0.25">
      <c r="A3469" s="318">
        <v>91730637274</v>
      </c>
      <c r="B3469" s="318" t="s">
        <v>237</v>
      </c>
    </row>
    <row r="3470" spans="1:2" ht="12.75" customHeight="1" x14ac:dyDescent="0.25">
      <c r="A3470" s="318">
        <v>91730637276</v>
      </c>
      <c r="B3470" s="318" t="s">
        <v>237</v>
      </c>
    </row>
    <row r="3471" spans="1:2" ht="12.75" customHeight="1" x14ac:dyDescent="0.25">
      <c r="A3471" s="318">
        <v>91730637277</v>
      </c>
      <c r="B3471" s="318" t="s">
        <v>237</v>
      </c>
    </row>
    <row r="3472" spans="1:2" ht="12.75" customHeight="1" x14ac:dyDescent="0.25">
      <c r="A3472" s="318">
        <v>91730637278</v>
      </c>
      <c r="B3472" s="318" t="s">
        <v>237</v>
      </c>
    </row>
    <row r="3473" spans="1:2" ht="12.75" customHeight="1" x14ac:dyDescent="0.25">
      <c r="A3473" s="318">
        <v>91730637279</v>
      </c>
      <c r="B3473" s="318" t="s">
        <v>237</v>
      </c>
    </row>
    <row r="3474" spans="1:2" ht="12.75" customHeight="1" x14ac:dyDescent="0.25">
      <c r="A3474" s="318">
        <v>91730637280</v>
      </c>
      <c r="B3474" s="318" t="s">
        <v>237</v>
      </c>
    </row>
    <row r="3475" spans="1:2" ht="12.75" customHeight="1" x14ac:dyDescent="0.25">
      <c r="A3475" s="318">
        <v>91730637281</v>
      </c>
      <c r="B3475" s="318" t="s">
        <v>237</v>
      </c>
    </row>
    <row r="3476" spans="1:2" ht="12.75" customHeight="1" x14ac:dyDescent="0.25">
      <c r="A3476" s="318">
        <v>91730637282</v>
      </c>
      <c r="B3476" s="318" t="s">
        <v>237</v>
      </c>
    </row>
    <row r="3477" spans="1:2" ht="12.75" customHeight="1" x14ac:dyDescent="0.25">
      <c r="A3477" s="318">
        <v>91730637283</v>
      </c>
      <c r="B3477" s="318" t="s">
        <v>237</v>
      </c>
    </row>
    <row r="3478" spans="1:2" ht="12.75" customHeight="1" x14ac:dyDescent="0.25">
      <c r="A3478" s="318">
        <v>91730637367</v>
      </c>
      <c r="B3478" s="318" t="s">
        <v>237</v>
      </c>
    </row>
    <row r="3479" spans="1:2" ht="12.75" customHeight="1" x14ac:dyDescent="0.25">
      <c r="A3479" s="318">
        <v>91730637368</v>
      </c>
      <c r="B3479" s="318" t="s">
        <v>237</v>
      </c>
    </row>
    <row r="3480" spans="1:2" ht="12.75" customHeight="1" x14ac:dyDescent="0.25">
      <c r="A3480" s="318">
        <v>91730637369</v>
      </c>
      <c r="B3480" s="318" t="s">
        <v>237</v>
      </c>
    </row>
    <row r="3481" spans="1:2" ht="12.75" customHeight="1" x14ac:dyDescent="0.25">
      <c r="A3481" s="318">
        <v>91730637370</v>
      </c>
      <c r="B3481" s="318" t="s">
        <v>237</v>
      </c>
    </row>
    <row r="3482" spans="1:2" ht="12.75" customHeight="1" x14ac:dyDescent="0.25">
      <c r="A3482" s="318">
        <v>91730637371</v>
      </c>
      <c r="B3482" s="318" t="s">
        <v>237</v>
      </c>
    </row>
    <row r="3483" spans="1:2" ht="12.75" customHeight="1" x14ac:dyDescent="0.25">
      <c r="A3483" s="318">
        <v>91730637372</v>
      </c>
      <c r="B3483" s="318" t="s">
        <v>237</v>
      </c>
    </row>
    <row r="3484" spans="1:2" ht="12.75" customHeight="1" x14ac:dyDescent="0.25">
      <c r="A3484" s="318">
        <v>91730637373</v>
      </c>
      <c r="B3484" s="318" t="s">
        <v>237</v>
      </c>
    </row>
    <row r="3485" spans="1:2" ht="12.75" customHeight="1" x14ac:dyDescent="0.25">
      <c r="A3485" s="318">
        <v>91730637374</v>
      </c>
      <c r="B3485" s="318" t="s">
        <v>237</v>
      </c>
    </row>
    <row r="3486" spans="1:2" ht="12.75" customHeight="1" x14ac:dyDescent="0.25">
      <c r="A3486" s="318">
        <v>91730637376</v>
      </c>
      <c r="B3486" s="318" t="s">
        <v>237</v>
      </c>
    </row>
    <row r="3487" spans="1:2" ht="12.75" customHeight="1" x14ac:dyDescent="0.25">
      <c r="A3487" s="318">
        <v>91730637377</v>
      </c>
      <c r="B3487" s="318" t="s">
        <v>237</v>
      </c>
    </row>
    <row r="3488" spans="1:2" ht="12.75" customHeight="1" x14ac:dyDescent="0.25">
      <c r="A3488" s="318">
        <v>91730637378</v>
      </c>
      <c r="B3488" s="318" t="s">
        <v>237</v>
      </c>
    </row>
    <row r="3489" spans="1:2" ht="12.75" customHeight="1" x14ac:dyDescent="0.25">
      <c r="A3489" s="318">
        <v>91730637379</v>
      </c>
      <c r="B3489" s="318" t="s">
        <v>237</v>
      </c>
    </row>
    <row r="3490" spans="1:2" ht="12.75" customHeight="1" x14ac:dyDescent="0.25">
      <c r="A3490" s="318">
        <v>91730637380</v>
      </c>
      <c r="B3490" s="318" t="s">
        <v>237</v>
      </c>
    </row>
    <row r="3491" spans="1:2" ht="12.75" customHeight="1" x14ac:dyDescent="0.25">
      <c r="A3491" s="318">
        <v>91730637381</v>
      </c>
      <c r="B3491" s="318" t="s">
        <v>237</v>
      </c>
    </row>
    <row r="3492" spans="1:2" ht="12.75" customHeight="1" x14ac:dyDescent="0.25">
      <c r="A3492" s="318">
        <v>91730637382</v>
      </c>
      <c r="B3492" s="318" t="s">
        <v>237</v>
      </c>
    </row>
    <row r="3493" spans="1:2" ht="12.75" customHeight="1" x14ac:dyDescent="0.25">
      <c r="A3493" s="318">
        <v>91730637383</v>
      </c>
      <c r="B3493" s="318" t="s">
        <v>237</v>
      </c>
    </row>
    <row r="3494" spans="1:2" ht="12.75" customHeight="1" x14ac:dyDescent="0.25">
      <c r="A3494" s="318">
        <v>91731118240</v>
      </c>
      <c r="B3494" s="318" t="s">
        <v>23</v>
      </c>
    </row>
    <row r="3495" spans="1:2" ht="12.75" customHeight="1" x14ac:dyDescent="0.25">
      <c r="A3495" s="318">
        <v>91731118241</v>
      </c>
      <c r="B3495" s="318" t="s">
        <v>23</v>
      </c>
    </row>
    <row r="3496" spans="1:2" ht="12.75" customHeight="1" x14ac:dyDescent="0.25">
      <c r="A3496" s="318">
        <v>91731118242</v>
      </c>
      <c r="B3496" s="318" t="s">
        <v>23</v>
      </c>
    </row>
    <row r="3497" spans="1:2" ht="12.75" customHeight="1" x14ac:dyDescent="0.25">
      <c r="A3497" s="318">
        <v>91731118243</v>
      </c>
      <c r="B3497" s="318" t="s">
        <v>23</v>
      </c>
    </row>
    <row r="3498" spans="1:2" ht="12.75" customHeight="1" x14ac:dyDescent="0.25">
      <c r="A3498" s="318">
        <v>91731118244</v>
      </c>
      <c r="B3498" s="318" t="s">
        <v>23</v>
      </c>
    </row>
    <row r="3499" spans="1:2" ht="12.75" customHeight="1" x14ac:dyDescent="0.25">
      <c r="A3499" s="318">
        <v>91731118245</v>
      </c>
      <c r="B3499" s="318" t="s">
        <v>23</v>
      </c>
    </row>
    <row r="3500" spans="1:2" ht="12.75" customHeight="1" x14ac:dyDescent="0.25">
      <c r="A3500" s="318">
        <v>91731118246</v>
      </c>
      <c r="B3500" s="318" t="s">
        <v>23</v>
      </c>
    </row>
    <row r="3501" spans="1:2" ht="12.75" customHeight="1" x14ac:dyDescent="0.25">
      <c r="A3501" s="318">
        <v>91731118247</v>
      </c>
      <c r="B3501" s="318" t="s">
        <v>237</v>
      </c>
    </row>
    <row r="3502" spans="1:2" ht="12.75" customHeight="1" x14ac:dyDescent="0.25">
      <c r="A3502" s="318">
        <v>91731118249</v>
      </c>
      <c r="B3502" s="318" t="s">
        <v>23</v>
      </c>
    </row>
    <row r="3503" spans="1:2" ht="12.75" customHeight="1" x14ac:dyDescent="0.25">
      <c r="A3503" s="318">
        <v>91731118250</v>
      </c>
      <c r="B3503" s="318" t="s">
        <v>237</v>
      </c>
    </row>
    <row r="3504" spans="1:2" ht="12.75" customHeight="1" x14ac:dyDescent="0.25">
      <c r="A3504" s="318">
        <v>91731118251</v>
      </c>
      <c r="B3504" s="318" t="s">
        <v>23</v>
      </c>
    </row>
    <row r="3505" spans="1:2" ht="12.75" customHeight="1" x14ac:dyDescent="0.25">
      <c r="A3505" s="318">
        <v>91731118252</v>
      </c>
      <c r="B3505" s="318" t="s">
        <v>237</v>
      </c>
    </row>
    <row r="3506" spans="1:2" ht="12.75" customHeight="1" x14ac:dyDescent="0.25">
      <c r="A3506" s="318">
        <v>91731118253</v>
      </c>
      <c r="B3506" s="318" t="s">
        <v>23</v>
      </c>
    </row>
    <row r="3507" spans="1:2" ht="12.75" customHeight="1" x14ac:dyDescent="0.25">
      <c r="A3507" s="318">
        <v>91731118254</v>
      </c>
      <c r="B3507" s="318" t="s">
        <v>237</v>
      </c>
    </row>
    <row r="3508" spans="1:2" ht="12.75" customHeight="1" x14ac:dyDescent="0.25">
      <c r="A3508" s="318">
        <v>91731118255</v>
      </c>
      <c r="B3508" s="318" t="s">
        <v>23</v>
      </c>
    </row>
    <row r="3509" spans="1:2" ht="12.75" customHeight="1" x14ac:dyDescent="0.25">
      <c r="A3509" s="318">
        <v>91731118256</v>
      </c>
      <c r="B3509" s="318" t="s">
        <v>237</v>
      </c>
    </row>
    <row r="3510" spans="1:2" ht="12.75" customHeight="1" x14ac:dyDescent="0.25">
      <c r="A3510" s="318">
        <v>91731118340</v>
      </c>
      <c r="B3510" s="318" t="s">
        <v>237</v>
      </c>
    </row>
    <row r="3511" spans="1:2" ht="12.75" customHeight="1" x14ac:dyDescent="0.25">
      <c r="A3511" s="318">
        <v>91731118341</v>
      </c>
      <c r="B3511" s="318" t="s">
        <v>237</v>
      </c>
    </row>
    <row r="3512" spans="1:2" ht="12.75" customHeight="1" x14ac:dyDescent="0.25">
      <c r="A3512" s="318">
        <v>91731118342</v>
      </c>
      <c r="B3512" s="318" t="s">
        <v>237</v>
      </c>
    </row>
    <row r="3513" spans="1:2" ht="12.75" customHeight="1" x14ac:dyDescent="0.25">
      <c r="A3513" s="318">
        <v>91731118343</v>
      </c>
      <c r="B3513" s="318" t="s">
        <v>237</v>
      </c>
    </row>
    <row r="3514" spans="1:2" ht="12.75" customHeight="1" x14ac:dyDescent="0.25">
      <c r="A3514" s="318">
        <v>91731118344</v>
      </c>
      <c r="B3514" s="318" t="s">
        <v>237</v>
      </c>
    </row>
    <row r="3515" spans="1:2" ht="12.75" customHeight="1" x14ac:dyDescent="0.25">
      <c r="A3515" s="318">
        <v>91731118345</v>
      </c>
      <c r="B3515" s="318" t="s">
        <v>237</v>
      </c>
    </row>
    <row r="3516" spans="1:2" ht="12.75" customHeight="1" x14ac:dyDescent="0.25">
      <c r="A3516" s="318">
        <v>91731118346</v>
      </c>
      <c r="B3516" s="318" t="s">
        <v>237</v>
      </c>
    </row>
    <row r="3517" spans="1:2" ht="12.75" customHeight="1" x14ac:dyDescent="0.25">
      <c r="A3517" s="318">
        <v>91731118347</v>
      </c>
      <c r="B3517" s="318" t="s">
        <v>237</v>
      </c>
    </row>
    <row r="3518" spans="1:2" ht="12.75" customHeight="1" x14ac:dyDescent="0.25">
      <c r="A3518" s="318">
        <v>91731118349</v>
      </c>
      <c r="B3518" s="318" t="s">
        <v>237</v>
      </c>
    </row>
    <row r="3519" spans="1:2" ht="12.75" customHeight="1" x14ac:dyDescent="0.25">
      <c r="A3519" s="318">
        <v>91731118350</v>
      </c>
      <c r="B3519" s="318" t="s">
        <v>237</v>
      </c>
    </row>
    <row r="3520" spans="1:2" ht="12.75" customHeight="1" x14ac:dyDescent="0.25">
      <c r="A3520" s="318">
        <v>91731118351</v>
      </c>
      <c r="B3520" s="318" t="s">
        <v>237</v>
      </c>
    </row>
    <row r="3521" spans="1:2" ht="12.75" customHeight="1" x14ac:dyDescent="0.25">
      <c r="A3521" s="318">
        <v>91731118352</v>
      </c>
      <c r="B3521" s="318" t="s">
        <v>237</v>
      </c>
    </row>
    <row r="3522" spans="1:2" ht="12.75" customHeight="1" x14ac:dyDescent="0.25">
      <c r="A3522" s="318">
        <v>91731118353</v>
      </c>
      <c r="B3522" s="318" t="s">
        <v>237</v>
      </c>
    </row>
    <row r="3523" spans="1:2" ht="12.75" customHeight="1" x14ac:dyDescent="0.25">
      <c r="A3523" s="318">
        <v>91731118354</v>
      </c>
      <c r="B3523" s="318" t="s">
        <v>237</v>
      </c>
    </row>
    <row r="3524" spans="1:2" ht="12.75" customHeight="1" x14ac:dyDescent="0.25">
      <c r="A3524" s="318">
        <v>91731118355</v>
      </c>
      <c r="B3524" s="318" t="s">
        <v>237</v>
      </c>
    </row>
    <row r="3525" spans="1:2" ht="12.75" customHeight="1" x14ac:dyDescent="0.25">
      <c r="A3525" s="318">
        <v>91731118356</v>
      </c>
      <c r="B3525" s="318" t="s">
        <v>237</v>
      </c>
    </row>
    <row r="3526" spans="1:2" ht="12.75" customHeight="1" x14ac:dyDescent="0.25">
      <c r="A3526" s="318">
        <v>91731798431</v>
      </c>
      <c r="B3526" s="318" t="s">
        <v>23</v>
      </c>
    </row>
    <row r="3527" spans="1:2" ht="12.75" customHeight="1" x14ac:dyDescent="0.25">
      <c r="A3527" s="318">
        <v>91731798432</v>
      </c>
      <c r="B3527" s="318" t="s">
        <v>23</v>
      </c>
    </row>
    <row r="3528" spans="1:2" ht="12.75" customHeight="1" x14ac:dyDescent="0.25">
      <c r="A3528" s="318">
        <v>91731798433</v>
      </c>
      <c r="B3528" s="318" t="s">
        <v>23</v>
      </c>
    </row>
    <row r="3529" spans="1:2" ht="12.75" customHeight="1" x14ac:dyDescent="0.25">
      <c r="A3529" s="318">
        <v>91731798434</v>
      </c>
      <c r="B3529" s="318" t="s">
        <v>23</v>
      </c>
    </row>
    <row r="3530" spans="1:2" ht="12.75" customHeight="1" x14ac:dyDescent="0.25">
      <c r="A3530" s="318">
        <v>91731798435</v>
      </c>
      <c r="B3530" s="318" t="s">
        <v>23</v>
      </c>
    </row>
    <row r="3531" spans="1:2" ht="12.75" customHeight="1" x14ac:dyDescent="0.25">
      <c r="A3531" s="318">
        <v>91731798436</v>
      </c>
      <c r="B3531" s="318" t="s">
        <v>23</v>
      </c>
    </row>
    <row r="3532" spans="1:2" ht="12.75" customHeight="1" x14ac:dyDescent="0.25">
      <c r="A3532" s="318">
        <v>91731798437</v>
      </c>
      <c r="B3532" s="318" t="s">
        <v>23</v>
      </c>
    </row>
    <row r="3533" spans="1:2" ht="12.75" customHeight="1" x14ac:dyDescent="0.25">
      <c r="A3533" s="318">
        <v>91731798438</v>
      </c>
      <c r="B3533" s="318" t="s">
        <v>237</v>
      </c>
    </row>
    <row r="3534" spans="1:2" ht="12.75" customHeight="1" x14ac:dyDescent="0.25">
      <c r="A3534" s="318">
        <v>91731798440</v>
      </c>
      <c r="B3534" s="318" t="s">
        <v>23</v>
      </c>
    </row>
    <row r="3535" spans="1:2" ht="12.75" customHeight="1" x14ac:dyDescent="0.25">
      <c r="A3535" s="318">
        <v>91731798441</v>
      </c>
      <c r="B3535" s="318" t="s">
        <v>237</v>
      </c>
    </row>
    <row r="3536" spans="1:2" ht="12.75" customHeight="1" x14ac:dyDescent="0.25">
      <c r="A3536" s="318">
        <v>91731798442</v>
      </c>
      <c r="B3536" s="318" t="s">
        <v>23</v>
      </c>
    </row>
    <row r="3537" spans="1:2" ht="12.75" customHeight="1" x14ac:dyDescent="0.25">
      <c r="A3537" s="318">
        <v>91731798443</v>
      </c>
      <c r="B3537" s="318" t="s">
        <v>237</v>
      </c>
    </row>
    <row r="3538" spans="1:2" ht="12.75" customHeight="1" x14ac:dyDescent="0.25">
      <c r="A3538" s="318">
        <v>91731798444</v>
      </c>
      <c r="B3538" s="318" t="s">
        <v>23</v>
      </c>
    </row>
    <row r="3539" spans="1:2" ht="12.75" customHeight="1" x14ac:dyDescent="0.25">
      <c r="A3539" s="318">
        <v>91731798445</v>
      </c>
      <c r="B3539" s="318" t="s">
        <v>237</v>
      </c>
    </row>
    <row r="3540" spans="1:2" ht="12.75" customHeight="1" x14ac:dyDescent="0.25">
      <c r="A3540" s="318">
        <v>91731798446</v>
      </c>
      <c r="B3540" s="318" t="s">
        <v>23</v>
      </c>
    </row>
    <row r="3541" spans="1:2" ht="12.75" customHeight="1" x14ac:dyDescent="0.25">
      <c r="A3541" s="318">
        <v>91731798447</v>
      </c>
      <c r="B3541" s="318" t="s">
        <v>237</v>
      </c>
    </row>
    <row r="3542" spans="1:2" ht="12.75" customHeight="1" x14ac:dyDescent="0.25">
      <c r="A3542" s="318">
        <v>91731798531</v>
      </c>
      <c r="B3542" s="318" t="s">
        <v>237</v>
      </c>
    </row>
    <row r="3543" spans="1:2" ht="12.75" customHeight="1" x14ac:dyDescent="0.25">
      <c r="A3543" s="318">
        <v>91731798532</v>
      </c>
      <c r="B3543" s="318" t="s">
        <v>237</v>
      </c>
    </row>
    <row r="3544" spans="1:2" ht="12.75" customHeight="1" x14ac:dyDescent="0.25">
      <c r="A3544" s="318">
        <v>91731798533</v>
      </c>
      <c r="B3544" s="318" t="s">
        <v>237</v>
      </c>
    </row>
    <row r="3545" spans="1:2" ht="12.75" customHeight="1" x14ac:dyDescent="0.25">
      <c r="A3545" s="318">
        <v>91731798534</v>
      </c>
      <c r="B3545" s="318" t="s">
        <v>237</v>
      </c>
    </row>
    <row r="3546" spans="1:2" ht="12.75" customHeight="1" x14ac:dyDescent="0.25">
      <c r="A3546" s="318">
        <v>91731798535</v>
      </c>
      <c r="B3546" s="318" t="s">
        <v>237</v>
      </c>
    </row>
    <row r="3547" spans="1:2" ht="12.75" customHeight="1" x14ac:dyDescent="0.25">
      <c r="A3547" s="318">
        <v>91731798536</v>
      </c>
      <c r="B3547" s="318" t="s">
        <v>237</v>
      </c>
    </row>
    <row r="3548" spans="1:2" ht="12.75" customHeight="1" x14ac:dyDescent="0.25">
      <c r="A3548" s="318">
        <v>91731798537</v>
      </c>
      <c r="B3548" s="318" t="s">
        <v>237</v>
      </c>
    </row>
    <row r="3549" spans="1:2" ht="12.75" customHeight="1" x14ac:dyDescent="0.25">
      <c r="A3549" s="318">
        <v>91731798538</v>
      </c>
      <c r="B3549" s="318" t="s">
        <v>237</v>
      </c>
    </row>
    <row r="3550" spans="1:2" ht="12.75" customHeight="1" x14ac:dyDescent="0.25">
      <c r="A3550" s="318">
        <v>91731798540</v>
      </c>
      <c r="B3550" s="318" t="s">
        <v>237</v>
      </c>
    </row>
    <row r="3551" spans="1:2" ht="12.75" customHeight="1" x14ac:dyDescent="0.25">
      <c r="A3551" s="318">
        <v>91731798541</v>
      </c>
      <c r="B3551" s="318" t="s">
        <v>237</v>
      </c>
    </row>
    <row r="3552" spans="1:2" ht="12.75" customHeight="1" x14ac:dyDescent="0.25">
      <c r="A3552" s="318">
        <v>91731798542</v>
      </c>
      <c r="B3552" s="318" t="s">
        <v>237</v>
      </c>
    </row>
    <row r="3553" spans="1:2" ht="12.75" customHeight="1" x14ac:dyDescent="0.25">
      <c r="A3553" s="318">
        <v>91731798543</v>
      </c>
      <c r="B3553" s="318" t="s">
        <v>237</v>
      </c>
    </row>
    <row r="3554" spans="1:2" ht="12.75" customHeight="1" x14ac:dyDescent="0.25">
      <c r="A3554" s="318">
        <v>91731798544</v>
      </c>
      <c r="B3554" s="318" t="s">
        <v>237</v>
      </c>
    </row>
    <row r="3555" spans="1:2" ht="12.75" customHeight="1" x14ac:dyDescent="0.25">
      <c r="A3555" s="318">
        <v>91731798545</v>
      </c>
      <c r="B3555" s="318" t="s">
        <v>237</v>
      </c>
    </row>
    <row r="3556" spans="1:2" ht="12.75" customHeight="1" x14ac:dyDescent="0.25">
      <c r="A3556" s="318">
        <v>91731798546</v>
      </c>
      <c r="B3556" s="318" t="s">
        <v>237</v>
      </c>
    </row>
    <row r="3557" spans="1:2" ht="12.75" customHeight="1" x14ac:dyDescent="0.25">
      <c r="A3557" s="318">
        <v>91731798547</v>
      </c>
      <c r="B3557" s="318" t="s">
        <v>237</v>
      </c>
    </row>
    <row r="3558" spans="1:2" ht="12.75" customHeight="1" x14ac:dyDescent="0.25">
      <c r="A3558" s="318">
        <v>91732279404</v>
      </c>
      <c r="B3558" s="318" t="s">
        <v>23</v>
      </c>
    </row>
    <row r="3559" spans="1:2" ht="12.75" customHeight="1" x14ac:dyDescent="0.25">
      <c r="A3559" s="318">
        <v>91732279405</v>
      </c>
      <c r="B3559" s="318" t="s">
        <v>23</v>
      </c>
    </row>
    <row r="3560" spans="1:2" ht="12.75" customHeight="1" x14ac:dyDescent="0.25">
      <c r="A3560" s="318">
        <v>91732279406</v>
      </c>
      <c r="B3560" s="318" t="s">
        <v>23</v>
      </c>
    </row>
    <row r="3561" spans="1:2" ht="12.75" customHeight="1" x14ac:dyDescent="0.25">
      <c r="A3561" s="318">
        <v>91732279407</v>
      </c>
      <c r="B3561" s="318" t="s">
        <v>23</v>
      </c>
    </row>
    <row r="3562" spans="1:2" ht="12.75" customHeight="1" x14ac:dyDescent="0.25">
      <c r="A3562" s="318">
        <v>91732279408</v>
      </c>
      <c r="B3562" s="318" t="s">
        <v>23</v>
      </c>
    </row>
    <row r="3563" spans="1:2" ht="12.75" customHeight="1" x14ac:dyDescent="0.25">
      <c r="A3563" s="318">
        <v>91732279409</v>
      </c>
      <c r="B3563" s="318" t="s">
        <v>23</v>
      </c>
    </row>
    <row r="3564" spans="1:2" ht="12.75" customHeight="1" x14ac:dyDescent="0.25">
      <c r="A3564" s="318">
        <v>91732279410</v>
      </c>
      <c r="B3564" s="318" t="s">
        <v>23</v>
      </c>
    </row>
    <row r="3565" spans="1:2" ht="12.75" customHeight="1" x14ac:dyDescent="0.25">
      <c r="A3565" s="318">
        <v>91732279411</v>
      </c>
      <c r="B3565" s="318" t="s">
        <v>237</v>
      </c>
    </row>
    <row r="3566" spans="1:2" ht="12.75" customHeight="1" x14ac:dyDescent="0.25">
      <c r="A3566" s="318">
        <v>91732279413</v>
      </c>
      <c r="B3566" s="318" t="s">
        <v>23</v>
      </c>
    </row>
    <row r="3567" spans="1:2" ht="12.75" customHeight="1" x14ac:dyDescent="0.25">
      <c r="A3567" s="318">
        <v>91732279414</v>
      </c>
      <c r="B3567" s="318" t="s">
        <v>237</v>
      </c>
    </row>
    <row r="3568" spans="1:2" ht="12.75" customHeight="1" x14ac:dyDescent="0.25">
      <c r="A3568" s="318">
        <v>91732279415</v>
      </c>
      <c r="B3568" s="318" t="s">
        <v>23</v>
      </c>
    </row>
    <row r="3569" spans="1:2" ht="12.75" customHeight="1" x14ac:dyDescent="0.25">
      <c r="A3569" s="318">
        <v>91732279416</v>
      </c>
      <c r="B3569" s="318" t="s">
        <v>237</v>
      </c>
    </row>
    <row r="3570" spans="1:2" ht="12.75" customHeight="1" x14ac:dyDescent="0.25">
      <c r="A3570" s="318">
        <v>91732279417</v>
      </c>
      <c r="B3570" s="318" t="s">
        <v>23</v>
      </c>
    </row>
    <row r="3571" spans="1:2" ht="12.75" customHeight="1" x14ac:dyDescent="0.25">
      <c r="A3571" s="318">
        <v>91732279418</v>
      </c>
      <c r="B3571" s="318" t="s">
        <v>237</v>
      </c>
    </row>
    <row r="3572" spans="1:2" ht="12.75" customHeight="1" x14ac:dyDescent="0.25">
      <c r="A3572" s="318">
        <v>91732279419</v>
      </c>
      <c r="B3572" s="318" t="s">
        <v>23</v>
      </c>
    </row>
    <row r="3573" spans="1:2" ht="12.75" customHeight="1" x14ac:dyDescent="0.25">
      <c r="A3573" s="318">
        <v>91732279420</v>
      </c>
      <c r="B3573" s="318" t="s">
        <v>237</v>
      </c>
    </row>
    <row r="3574" spans="1:2" ht="12.75" customHeight="1" x14ac:dyDescent="0.25">
      <c r="A3574" s="318">
        <v>91732279504</v>
      </c>
      <c r="B3574" s="318" t="s">
        <v>237</v>
      </c>
    </row>
    <row r="3575" spans="1:2" ht="12.75" customHeight="1" x14ac:dyDescent="0.25">
      <c r="A3575" s="318">
        <v>91732279505</v>
      </c>
      <c r="B3575" s="318" t="s">
        <v>237</v>
      </c>
    </row>
    <row r="3576" spans="1:2" ht="12.75" customHeight="1" x14ac:dyDescent="0.25">
      <c r="A3576" s="318">
        <v>91732279506</v>
      </c>
      <c r="B3576" s="318" t="s">
        <v>237</v>
      </c>
    </row>
    <row r="3577" spans="1:2" ht="12.75" customHeight="1" x14ac:dyDescent="0.25">
      <c r="A3577" s="318">
        <v>91732279507</v>
      </c>
      <c r="B3577" s="318" t="s">
        <v>237</v>
      </c>
    </row>
    <row r="3578" spans="1:2" ht="12.75" customHeight="1" x14ac:dyDescent="0.25">
      <c r="A3578" s="318">
        <v>91732279508</v>
      </c>
      <c r="B3578" s="318" t="s">
        <v>237</v>
      </c>
    </row>
    <row r="3579" spans="1:2" ht="12.75" customHeight="1" x14ac:dyDescent="0.25">
      <c r="A3579" s="318">
        <v>91732279509</v>
      </c>
      <c r="B3579" s="318" t="s">
        <v>237</v>
      </c>
    </row>
    <row r="3580" spans="1:2" ht="12.75" customHeight="1" x14ac:dyDescent="0.25">
      <c r="A3580" s="318">
        <v>91732279510</v>
      </c>
      <c r="B3580" s="318" t="s">
        <v>237</v>
      </c>
    </row>
    <row r="3581" spans="1:2" ht="12.75" customHeight="1" x14ac:dyDescent="0.25">
      <c r="A3581" s="318">
        <v>91732279511</v>
      </c>
      <c r="B3581" s="318" t="s">
        <v>237</v>
      </c>
    </row>
    <row r="3582" spans="1:2" ht="12.75" customHeight="1" x14ac:dyDescent="0.25">
      <c r="A3582" s="318">
        <v>91732279513</v>
      </c>
      <c r="B3582" s="318" t="s">
        <v>237</v>
      </c>
    </row>
    <row r="3583" spans="1:2" ht="12.75" customHeight="1" x14ac:dyDescent="0.25">
      <c r="A3583" s="318">
        <v>91732279514</v>
      </c>
      <c r="B3583" s="318" t="s">
        <v>237</v>
      </c>
    </row>
    <row r="3584" spans="1:2" ht="12.75" customHeight="1" x14ac:dyDescent="0.25">
      <c r="A3584" s="318">
        <v>91732279515</v>
      </c>
      <c r="B3584" s="318" t="s">
        <v>237</v>
      </c>
    </row>
    <row r="3585" spans="1:2" ht="12.75" customHeight="1" x14ac:dyDescent="0.25">
      <c r="A3585" s="318">
        <v>91732279516</v>
      </c>
      <c r="B3585" s="318" t="s">
        <v>237</v>
      </c>
    </row>
    <row r="3586" spans="1:2" ht="12.75" customHeight="1" x14ac:dyDescent="0.25">
      <c r="A3586" s="318">
        <v>91732279517</v>
      </c>
      <c r="B3586" s="318" t="s">
        <v>237</v>
      </c>
    </row>
    <row r="3587" spans="1:2" ht="12.75" customHeight="1" x14ac:dyDescent="0.25">
      <c r="A3587" s="318">
        <v>91732279518</v>
      </c>
      <c r="B3587" s="318" t="s">
        <v>237</v>
      </c>
    </row>
    <row r="3588" spans="1:2" ht="12.75" customHeight="1" x14ac:dyDescent="0.25">
      <c r="A3588" s="318">
        <v>91732279519</v>
      </c>
      <c r="B3588" s="318" t="s">
        <v>237</v>
      </c>
    </row>
    <row r="3589" spans="1:2" ht="12.75" customHeight="1" x14ac:dyDescent="0.25">
      <c r="A3589" s="318">
        <v>91732279520</v>
      </c>
      <c r="B3589" s="318" t="s">
        <v>237</v>
      </c>
    </row>
    <row r="3590" spans="1:2" ht="12.75" customHeight="1" x14ac:dyDescent="0.25">
      <c r="A3590" s="318">
        <v>91732760377</v>
      </c>
      <c r="B3590" s="318" t="s">
        <v>23</v>
      </c>
    </row>
    <row r="3591" spans="1:2" ht="12.75" customHeight="1" x14ac:dyDescent="0.25">
      <c r="A3591" s="318">
        <v>91732760378</v>
      </c>
      <c r="B3591" s="318" t="s">
        <v>23</v>
      </c>
    </row>
    <row r="3592" spans="1:2" ht="12.75" customHeight="1" x14ac:dyDescent="0.25">
      <c r="A3592" s="318">
        <v>91732760379</v>
      </c>
      <c r="B3592" s="318" t="s">
        <v>23</v>
      </c>
    </row>
    <row r="3593" spans="1:2" ht="12.75" customHeight="1" x14ac:dyDescent="0.25">
      <c r="A3593" s="318">
        <v>91732760380</v>
      </c>
      <c r="B3593" s="318" t="s">
        <v>23</v>
      </c>
    </row>
    <row r="3594" spans="1:2" ht="12.75" customHeight="1" x14ac:dyDescent="0.25">
      <c r="A3594" s="318">
        <v>91732760381</v>
      </c>
      <c r="B3594" s="318" t="s">
        <v>23</v>
      </c>
    </row>
    <row r="3595" spans="1:2" ht="12.75" customHeight="1" x14ac:dyDescent="0.25">
      <c r="A3595" s="318">
        <v>91732760382</v>
      </c>
      <c r="B3595" s="318" t="s">
        <v>23</v>
      </c>
    </row>
    <row r="3596" spans="1:2" ht="12.75" customHeight="1" x14ac:dyDescent="0.25">
      <c r="A3596" s="318">
        <v>91732760383</v>
      </c>
      <c r="B3596" s="318" t="s">
        <v>23</v>
      </c>
    </row>
    <row r="3597" spans="1:2" ht="12.75" customHeight="1" x14ac:dyDescent="0.25">
      <c r="A3597" s="318">
        <v>91732760384</v>
      </c>
      <c r="B3597" s="318" t="s">
        <v>237</v>
      </c>
    </row>
    <row r="3598" spans="1:2" ht="12.75" customHeight="1" x14ac:dyDescent="0.25">
      <c r="A3598" s="318">
        <v>91732760386</v>
      </c>
      <c r="B3598" s="318" t="s">
        <v>23</v>
      </c>
    </row>
    <row r="3599" spans="1:2" ht="12.75" customHeight="1" x14ac:dyDescent="0.25">
      <c r="A3599" s="318">
        <v>91732760387</v>
      </c>
      <c r="B3599" s="318" t="s">
        <v>237</v>
      </c>
    </row>
    <row r="3600" spans="1:2" ht="12.75" customHeight="1" x14ac:dyDescent="0.25">
      <c r="A3600" s="318">
        <v>91732760388</v>
      </c>
      <c r="B3600" s="318" t="s">
        <v>23</v>
      </c>
    </row>
    <row r="3601" spans="1:2" ht="12.75" customHeight="1" x14ac:dyDescent="0.25">
      <c r="A3601" s="318">
        <v>91732760389</v>
      </c>
      <c r="B3601" s="318" t="s">
        <v>237</v>
      </c>
    </row>
    <row r="3602" spans="1:2" ht="12.75" customHeight="1" x14ac:dyDescent="0.25">
      <c r="A3602" s="318">
        <v>91732760390</v>
      </c>
      <c r="B3602" s="318" t="s">
        <v>23</v>
      </c>
    </row>
    <row r="3603" spans="1:2" ht="12.75" customHeight="1" x14ac:dyDescent="0.25">
      <c r="A3603" s="318">
        <v>91732760391</v>
      </c>
      <c r="B3603" s="318" t="s">
        <v>237</v>
      </c>
    </row>
    <row r="3604" spans="1:2" ht="12.75" customHeight="1" x14ac:dyDescent="0.25">
      <c r="A3604" s="318">
        <v>91732760392</v>
      </c>
      <c r="B3604" s="318" t="s">
        <v>23</v>
      </c>
    </row>
    <row r="3605" spans="1:2" ht="12.75" customHeight="1" x14ac:dyDescent="0.25">
      <c r="A3605" s="318">
        <v>91732760393</v>
      </c>
      <c r="B3605" s="318" t="s">
        <v>237</v>
      </c>
    </row>
    <row r="3606" spans="1:2" ht="12.75" customHeight="1" x14ac:dyDescent="0.25">
      <c r="A3606" s="318">
        <v>91732760477</v>
      </c>
      <c r="B3606" s="318" t="s">
        <v>237</v>
      </c>
    </row>
    <row r="3607" spans="1:2" ht="12.75" customHeight="1" x14ac:dyDescent="0.25">
      <c r="A3607" s="318">
        <v>91732760478</v>
      </c>
      <c r="B3607" s="318" t="s">
        <v>237</v>
      </c>
    </row>
    <row r="3608" spans="1:2" ht="12.75" customHeight="1" x14ac:dyDescent="0.25">
      <c r="A3608" s="318">
        <v>91732760479</v>
      </c>
      <c r="B3608" s="318" t="s">
        <v>237</v>
      </c>
    </row>
    <row r="3609" spans="1:2" ht="12.75" customHeight="1" x14ac:dyDescent="0.25">
      <c r="A3609" s="318">
        <v>91732760480</v>
      </c>
      <c r="B3609" s="318" t="s">
        <v>237</v>
      </c>
    </row>
    <row r="3610" spans="1:2" ht="12.75" customHeight="1" x14ac:dyDescent="0.25">
      <c r="A3610" s="318">
        <v>91732760481</v>
      </c>
      <c r="B3610" s="318" t="s">
        <v>237</v>
      </c>
    </row>
    <row r="3611" spans="1:2" ht="12.75" customHeight="1" x14ac:dyDescent="0.25">
      <c r="A3611" s="318">
        <v>91732760482</v>
      </c>
      <c r="B3611" s="318" t="s">
        <v>237</v>
      </c>
    </row>
    <row r="3612" spans="1:2" ht="12.75" customHeight="1" x14ac:dyDescent="0.25">
      <c r="A3612" s="318">
        <v>91732760483</v>
      </c>
      <c r="B3612" s="318" t="s">
        <v>237</v>
      </c>
    </row>
    <row r="3613" spans="1:2" ht="12.75" customHeight="1" x14ac:dyDescent="0.25">
      <c r="A3613" s="318">
        <v>91732760484</v>
      </c>
      <c r="B3613" s="318" t="s">
        <v>237</v>
      </c>
    </row>
    <row r="3614" spans="1:2" ht="12.75" customHeight="1" x14ac:dyDescent="0.25">
      <c r="A3614" s="318">
        <v>91732760486</v>
      </c>
      <c r="B3614" s="318" t="s">
        <v>237</v>
      </c>
    </row>
    <row r="3615" spans="1:2" ht="12.75" customHeight="1" x14ac:dyDescent="0.25">
      <c r="A3615" s="318">
        <v>91732760487</v>
      </c>
      <c r="B3615" s="318" t="s">
        <v>237</v>
      </c>
    </row>
    <row r="3616" spans="1:2" ht="12.75" customHeight="1" x14ac:dyDescent="0.25">
      <c r="A3616" s="318">
        <v>91732760488</v>
      </c>
      <c r="B3616" s="318" t="s">
        <v>237</v>
      </c>
    </row>
    <row r="3617" spans="1:2" ht="12.75" customHeight="1" x14ac:dyDescent="0.25">
      <c r="A3617" s="318">
        <v>91732760489</v>
      </c>
      <c r="B3617" s="318" t="s">
        <v>237</v>
      </c>
    </row>
    <row r="3618" spans="1:2" ht="12.75" customHeight="1" x14ac:dyDescent="0.25">
      <c r="A3618" s="318">
        <v>91732760490</v>
      </c>
      <c r="B3618" s="318" t="s">
        <v>237</v>
      </c>
    </row>
    <row r="3619" spans="1:2" ht="12.75" customHeight="1" x14ac:dyDescent="0.25">
      <c r="A3619" s="318">
        <v>91732760491</v>
      </c>
      <c r="B3619" s="318" t="s">
        <v>237</v>
      </c>
    </row>
    <row r="3620" spans="1:2" ht="12.75" customHeight="1" x14ac:dyDescent="0.25">
      <c r="A3620" s="318">
        <v>91732760492</v>
      </c>
      <c r="B3620" s="318" t="s">
        <v>237</v>
      </c>
    </row>
    <row r="3621" spans="1:2" ht="12.75" customHeight="1" x14ac:dyDescent="0.25">
      <c r="A3621" s="318">
        <v>91732760493</v>
      </c>
      <c r="B3621" s="318" t="s">
        <v>237</v>
      </c>
    </row>
    <row r="3622" spans="1:2" ht="12.75" customHeight="1" x14ac:dyDescent="0.25">
      <c r="A3622" s="318">
        <v>91734120758</v>
      </c>
      <c r="B3622" s="318" t="s">
        <v>23</v>
      </c>
    </row>
    <row r="3623" spans="1:2" ht="12.75" customHeight="1" x14ac:dyDescent="0.25">
      <c r="A3623" s="318">
        <v>91734120759</v>
      </c>
      <c r="B3623" s="318" t="s">
        <v>23</v>
      </c>
    </row>
    <row r="3624" spans="1:2" ht="12.75" customHeight="1" x14ac:dyDescent="0.25">
      <c r="A3624" s="318">
        <v>91734120760</v>
      </c>
      <c r="B3624" s="318" t="s">
        <v>23</v>
      </c>
    </row>
    <row r="3625" spans="1:2" ht="12.75" customHeight="1" x14ac:dyDescent="0.25">
      <c r="A3625" s="318">
        <v>91734120761</v>
      </c>
      <c r="B3625" s="318" t="s">
        <v>23</v>
      </c>
    </row>
    <row r="3626" spans="1:2" ht="12.75" customHeight="1" x14ac:dyDescent="0.25">
      <c r="A3626" s="318">
        <v>91734120762</v>
      </c>
      <c r="B3626" s="318" t="s">
        <v>23</v>
      </c>
    </row>
    <row r="3627" spans="1:2" ht="12.75" customHeight="1" x14ac:dyDescent="0.25">
      <c r="A3627" s="318">
        <v>91734120763</v>
      </c>
      <c r="B3627" s="318" t="s">
        <v>23</v>
      </c>
    </row>
    <row r="3628" spans="1:2" ht="12.75" customHeight="1" x14ac:dyDescent="0.25">
      <c r="A3628" s="318">
        <v>91734120764</v>
      </c>
      <c r="B3628" s="318" t="s">
        <v>23</v>
      </c>
    </row>
    <row r="3629" spans="1:2" ht="12.75" customHeight="1" x14ac:dyDescent="0.25">
      <c r="A3629" s="318">
        <v>91734120765</v>
      </c>
      <c r="B3629" s="318" t="s">
        <v>237</v>
      </c>
    </row>
    <row r="3630" spans="1:2" ht="12.75" customHeight="1" x14ac:dyDescent="0.25">
      <c r="A3630" s="318">
        <v>91734120767</v>
      </c>
      <c r="B3630" s="318" t="s">
        <v>23</v>
      </c>
    </row>
    <row r="3631" spans="1:2" ht="12.75" customHeight="1" x14ac:dyDescent="0.25">
      <c r="A3631" s="318">
        <v>91734120768</v>
      </c>
      <c r="B3631" s="318" t="s">
        <v>237</v>
      </c>
    </row>
    <row r="3632" spans="1:2" ht="12.75" customHeight="1" x14ac:dyDescent="0.25">
      <c r="A3632" s="318">
        <v>91734120769</v>
      </c>
      <c r="B3632" s="318" t="s">
        <v>23</v>
      </c>
    </row>
    <row r="3633" spans="1:2" ht="12.75" customHeight="1" x14ac:dyDescent="0.25">
      <c r="A3633" s="318">
        <v>91734120770</v>
      </c>
      <c r="B3633" s="318" t="s">
        <v>237</v>
      </c>
    </row>
    <row r="3634" spans="1:2" ht="12.75" customHeight="1" x14ac:dyDescent="0.25">
      <c r="A3634" s="318">
        <v>91734120771</v>
      </c>
      <c r="B3634" s="318" t="s">
        <v>23</v>
      </c>
    </row>
    <row r="3635" spans="1:2" ht="12.75" customHeight="1" x14ac:dyDescent="0.25">
      <c r="A3635" s="318">
        <v>91734120772</v>
      </c>
      <c r="B3635" s="318" t="s">
        <v>237</v>
      </c>
    </row>
    <row r="3636" spans="1:2" ht="12.75" customHeight="1" x14ac:dyDescent="0.25">
      <c r="A3636" s="318">
        <v>91734120773</v>
      </c>
      <c r="B3636" s="318" t="s">
        <v>23</v>
      </c>
    </row>
    <row r="3637" spans="1:2" ht="12.75" customHeight="1" x14ac:dyDescent="0.25">
      <c r="A3637" s="318">
        <v>91734120774</v>
      </c>
      <c r="B3637" s="318" t="s">
        <v>237</v>
      </c>
    </row>
    <row r="3638" spans="1:2" ht="12.75" customHeight="1" x14ac:dyDescent="0.25">
      <c r="A3638" s="318">
        <v>91734120858</v>
      </c>
      <c r="B3638" s="318" t="s">
        <v>237</v>
      </c>
    </row>
    <row r="3639" spans="1:2" ht="12.75" customHeight="1" x14ac:dyDescent="0.25">
      <c r="A3639" s="318">
        <v>91734120859</v>
      </c>
      <c r="B3639" s="318" t="s">
        <v>237</v>
      </c>
    </row>
    <row r="3640" spans="1:2" ht="12.75" customHeight="1" x14ac:dyDescent="0.25">
      <c r="A3640" s="318">
        <v>91734120860</v>
      </c>
      <c r="B3640" s="318" t="s">
        <v>237</v>
      </c>
    </row>
    <row r="3641" spans="1:2" ht="12.75" customHeight="1" x14ac:dyDescent="0.25">
      <c r="A3641" s="318">
        <v>91734120861</v>
      </c>
      <c r="B3641" s="318" t="s">
        <v>237</v>
      </c>
    </row>
    <row r="3642" spans="1:2" ht="12.75" customHeight="1" x14ac:dyDescent="0.25">
      <c r="A3642" s="318">
        <v>91734120862</v>
      </c>
      <c r="B3642" s="318" t="s">
        <v>237</v>
      </c>
    </row>
    <row r="3643" spans="1:2" ht="12.75" customHeight="1" x14ac:dyDescent="0.25">
      <c r="A3643" s="318">
        <v>91734120863</v>
      </c>
      <c r="B3643" s="318" t="s">
        <v>237</v>
      </c>
    </row>
    <row r="3644" spans="1:2" ht="12.75" customHeight="1" x14ac:dyDescent="0.25">
      <c r="A3644" s="318">
        <v>91734120864</v>
      </c>
      <c r="B3644" s="318" t="s">
        <v>237</v>
      </c>
    </row>
    <row r="3645" spans="1:2" ht="12.75" customHeight="1" x14ac:dyDescent="0.25">
      <c r="A3645" s="318">
        <v>91734120865</v>
      </c>
      <c r="B3645" s="318" t="s">
        <v>237</v>
      </c>
    </row>
    <row r="3646" spans="1:2" ht="12.75" customHeight="1" x14ac:dyDescent="0.25">
      <c r="A3646" s="318">
        <v>91734120867</v>
      </c>
      <c r="B3646" s="318" t="s">
        <v>237</v>
      </c>
    </row>
    <row r="3647" spans="1:2" ht="12.75" customHeight="1" x14ac:dyDescent="0.25">
      <c r="A3647" s="318">
        <v>91734120868</v>
      </c>
      <c r="B3647" s="318" t="s">
        <v>237</v>
      </c>
    </row>
    <row r="3648" spans="1:2" ht="12.75" customHeight="1" x14ac:dyDescent="0.25">
      <c r="A3648" s="318">
        <v>91734120869</v>
      </c>
      <c r="B3648" s="318" t="s">
        <v>237</v>
      </c>
    </row>
    <row r="3649" spans="1:2" ht="12.75" customHeight="1" x14ac:dyDescent="0.25">
      <c r="A3649" s="318">
        <v>91734120870</v>
      </c>
      <c r="B3649" s="318" t="s">
        <v>237</v>
      </c>
    </row>
    <row r="3650" spans="1:2" ht="12.75" customHeight="1" x14ac:dyDescent="0.25">
      <c r="A3650" s="318">
        <v>91734120871</v>
      </c>
      <c r="B3650" s="318" t="s">
        <v>237</v>
      </c>
    </row>
    <row r="3651" spans="1:2" ht="12.75" customHeight="1" x14ac:dyDescent="0.25">
      <c r="A3651" s="318">
        <v>91734120872</v>
      </c>
      <c r="B3651" s="318" t="s">
        <v>237</v>
      </c>
    </row>
    <row r="3652" spans="1:2" ht="12.75" customHeight="1" x14ac:dyDescent="0.25">
      <c r="A3652" s="318">
        <v>91734120873</v>
      </c>
      <c r="B3652" s="318" t="s">
        <v>237</v>
      </c>
    </row>
    <row r="3653" spans="1:2" ht="12.75" customHeight="1" x14ac:dyDescent="0.25">
      <c r="A3653" s="318">
        <v>91734120874</v>
      </c>
      <c r="B3653" s="318" t="s">
        <v>237</v>
      </c>
    </row>
    <row r="3654" spans="1:2" ht="12.75" customHeight="1" x14ac:dyDescent="0.25">
      <c r="A3654" s="318">
        <v>91734601731</v>
      </c>
      <c r="B3654" s="318" t="s">
        <v>23</v>
      </c>
    </row>
    <row r="3655" spans="1:2" ht="12.75" customHeight="1" x14ac:dyDescent="0.25">
      <c r="A3655" s="318">
        <v>91734601732</v>
      </c>
      <c r="B3655" s="318" t="s">
        <v>23</v>
      </c>
    </row>
    <row r="3656" spans="1:2" ht="12.75" customHeight="1" x14ac:dyDescent="0.25">
      <c r="A3656" s="318">
        <v>91734601733</v>
      </c>
      <c r="B3656" s="318" t="s">
        <v>23</v>
      </c>
    </row>
    <row r="3657" spans="1:2" ht="12.75" customHeight="1" x14ac:dyDescent="0.25">
      <c r="A3657" s="318">
        <v>91734601734</v>
      </c>
      <c r="B3657" s="318" t="s">
        <v>23</v>
      </c>
    </row>
    <row r="3658" spans="1:2" ht="12.75" customHeight="1" x14ac:dyDescent="0.25">
      <c r="A3658" s="318">
        <v>91734601735</v>
      </c>
      <c r="B3658" s="318" t="s">
        <v>23</v>
      </c>
    </row>
    <row r="3659" spans="1:2" ht="12.75" customHeight="1" x14ac:dyDescent="0.25">
      <c r="A3659" s="318">
        <v>91734601736</v>
      </c>
      <c r="B3659" s="318" t="s">
        <v>23</v>
      </c>
    </row>
    <row r="3660" spans="1:2" ht="12.75" customHeight="1" x14ac:dyDescent="0.25">
      <c r="A3660" s="318">
        <v>91734601737</v>
      </c>
      <c r="B3660" s="318" t="s">
        <v>23</v>
      </c>
    </row>
    <row r="3661" spans="1:2" ht="12.75" customHeight="1" x14ac:dyDescent="0.25">
      <c r="A3661" s="318">
        <v>91734601738</v>
      </c>
      <c r="B3661" s="318" t="s">
        <v>237</v>
      </c>
    </row>
    <row r="3662" spans="1:2" ht="12.75" customHeight="1" x14ac:dyDescent="0.25">
      <c r="A3662" s="318">
        <v>91734601740</v>
      </c>
      <c r="B3662" s="318" t="s">
        <v>23</v>
      </c>
    </row>
    <row r="3663" spans="1:2" ht="12.75" customHeight="1" x14ac:dyDescent="0.25">
      <c r="A3663" s="318">
        <v>91734601741</v>
      </c>
      <c r="B3663" s="318" t="s">
        <v>237</v>
      </c>
    </row>
    <row r="3664" spans="1:2" ht="12.75" customHeight="1" x14ac:dyDescent="0.25">
      <c r="A3664" s="318">
        <v>91734601742</v>
      </c>
      <c r="B3664" s="318" t="s">
        <v>23</v>
      </c>
    </row>
    <row r="3665" spans="1:2" ht="12.75" customHeight="1" x14ac:dyDescent="0.25">
      <c r="A3665" s="318">
        <v>91734601743</v>
      </c>
      <c r="B3665" s="318" t="s">
        <v>237</v>
      </c>
    </row>
    <row r="3666" spans="1:2" ht="12.75" customHeight="1" x14ac:dyDescent="0.25">
      <c r="A3666" s="318">
        <v>91734601744</v>
      </c>
      <c r="B3666" s="318" t="s">
        <v>23</v>
      </c>
    </row>
    <row r="3667" spans="1:2" ht="12.75" customHeight="1" x14ac:dyDescent="0.25">
      <c r="A3667" s="318">
        <v>91734601745</v>
      </c>
      <c r="B3667" s="318" t="s">
        <v>237</v>
      </c>
    </row>
    <row r="3668" spans="1:2" ht="12.75" customHeight="1" x14ac:dyDescent="0.25">
      <c r="A3668" s="318">
        <v>91734601746</v>
      </c>
      <c r="B3668" s="318" t="s">
        <v>23</v>
      </c>
    </row>
    <row r="3669" spans="1:2" ht="12.75" customHeight="1" x14ac:dyDescent="0.25">
      <c r="A3669" s="318">
        <v>91734601747</v>
      </c>
      <c r="B3669" s="318" t="s">
        <v>237</v>
      </c>
    </row>
    <row r="3670" spans="1:2" ht="12.75" customHeight="1" x14ac:dyDescent="0.25">
      <c r="A3670" s="318">
        <v>91734601831</v>
      </c>
      <c r="B3670" s="318" t="s">
        <v>237</v>
      </c>
    </row>
    <row r="3671" spans="1:2" ht="12.75" customHeight="1" x14ac:dyDescent="0.25">
      <c r="A3671" s="318">
        <v>91734601832</v>
      </c>
      <c r="B3671" s="318" t="s">
        <v>237</v>
      </c>
    </row>
    <row r="3672" spans="1:2" ht="12.75" customHeight="1" x14ac:dyDescent="0.25">
      <c r="A3672" s="318">
        <v>91734601833</v>
      </c>
      <c r="B3672" s="318" t="s">
        <v>237</v>
      </c>
    </row>
    <row r="3673" spans="1:2" ht="12.75" customHeight="1" x14ac:dyDescent="0.25">
      <c r="A3673" s="318">
        <v>91734601834</v>
      </c>
      <c r="B3673" s="318" t="s">
        <v>237</v>
      </c>
    </row>
    <row r="3674" spans="1:2" ht="12.75" customHeight="1" x14ac:dyDescent="0.25">
      <c r="A3674" s="318">
        <v>91734601835</v>
      </c>
      <c r="B3674" s="318" t="s">
        <v>237</v>
      </c>
    </row>
    <row r="3675" spans="1:2" ht="12.75" customHeight="1" x14ac:dyDescent="0.25">
      <c r="A3675" s="318">
        <v>91734601836</v>
      </c>
      <c r="B3675" s="318" t="s">
        <v>237</v>
      </c>
    </row>
    <row r="3676" spans="1:2" ht="12.75" customHeight="1" x14ac:dyDescent="0.25">
      <c r="A3676" s="318">
        <v>91734601837</v>
      </c>
      <c r="B3676" s="318" t="s">
        <v>237</v>
      </c>
    </row>
    <row r="3677" spans="1:2" ht="12.75" customHeight="1" x14ac:dyDescent="0.25">
      <c r="A3677" s="318">
        <v>91734601838</v>
      </c>
      <c r="B3677" s="318" t="s">
        <v>237</v>
      </c>
    </row>
    <row r="3678" spans="1:2" ht="12.75" customHeight="1" x14ac:dyDescent="0.25">
      <c r="A3678" s="318">
        <v>91734601840</v>
      </c>
      <c r="B3678" s="318" t="s">
        <v>237</v>
      </c>
    </row>
    <row r="3679" spans="1:2" ht="12.75" customHeight="1" x14ac:dyDescent="0.25">
      <c r="A3679" s="318">
        <v>91734601841</v>
      </c>
      <c r="B3679" s="318" t="s">
        <v>237</v>
      </c>
    </row>
    <row r="3680" spans="1:2" ht="12.75" customHeight="1" x14ac:dyDescent="0.25">
      <c r="A3680" s="318">
        <v>91734601842</v>
      </c>
      <c r="B3680" s="318" t="s">
        <v>237</v>
      </c>
    </row>
    <row r="3681" spans="1:2" ht="12.75" customHeight="1" x14ac:dyDescent="0.25">
      <c r="A3681" s="318">
        <v>91734601843</v>
      </c>
      <c r="B3681" s="318" t="s">
        <v>237</v>
      </c>
    </row>
    <row r="3682" spans="1:2" ht="12.75" customHeight="1" x14ac:dyDescent="0.25">
      <c r="A3682" s="318">
        <v>91734601844</v>
      </c>
      <c r="B3682" s="318" t="s">
        <v>237</v>
      </c>
    </row>
    <row r="3683" spans="1:2" ht="12.75" customHeight="1" x14ac:dyDescent="0.25">
      <c r="A3683" s="318">
        <v>91734601845</v>
      </c>
      <c r="B3683" s="318" t="s">
        <v>237</v>
      </c>
    </row>
    <row r="3684" spans="1:2" ht="12.75" customHeight="1" x14ac:dyDescent="0.25">
      <c r="A3684" s="318">
        <v>91734601846</v>
      </c>
      <c r="B3684" s="318" t="s">
        <v>237</v>
      </c>
    </row>
    <row r="3685" spans="1:2" ht="12.75" customHeight="1" x14ac:dyDescent="0.25">
      <c r="A3685" s="318">
        <v>91734601847</v>
      </c>
      <c r="B3685" s="318" t="s">
        <v>237</v>
      </c>
    </row>
    <row r="3686" spans="1:2" ht="12.75" customHeight="1" x14ac:dyDescent="0.25">
      <c r="A3686" s="318">
        <v>91735082704</v>
      </c>
      <c r="B3686" s="318" t="s">
        <v>23</v>
      </c>
    </row>
    <row r="3687" spans="1:2" ht="12.75" customHeight="1" x14ac:dyDescent="0.25">
      <c r="A3687" s="318">
        <v>91735082705</v>
      </c>
      <c r="B3687" s="318" t="s">
        <v>23</v>
      </c>
    </row>
    <row r="3688" spans="1:2" ht="12.75" customHeight="1" x14ac:dyDescent="0.25">
      <c r="A3688" s="318">
        <v>91735082706</v>
      </c>
      <c r="B3688" s="318" t="s">
        <v>23</v>
      </c>
    </row>
    <row r="3689" spans="1:2" ht="12.75" customHeight="1" x14ac:dyDescent="0.25">
      <c r="A3689" s="318">
        <v>91735082707</v>
      </c>
      <c r="B3689" s="318" t="s">
        <v>23</v>
      </c>
    </row>
    <row r="3690" spans="1:2" ht="12.75" customHeight="1" x14ac:dyDescent="0.25">
      <c r="A3690" s="318">
        <v>91735082708</v>
      </c>
      <c r="B3690" s="318" t="s">
        <v>23</v>
      </c>
    </row>
    <row r="3691" spans="1:2" ht="12.75" customHeight="1" x14ac:dyDescent="0.25">
      <c r="A3691" s="318">
        <v>91735082709</v>
      </c>
      <c r="B3691" s="318" t="s">
        <v>23</v>
      </c>
    </row>
    <row r="3692" spans="1:2" ht="12.75" customHeight="1" x14ac:dyDescent="0.25">
      <c r="A3692" s="318">
        <v>91735082710</v>
      </c>
      <c r="B3692" s="318" t="s">
        <v>23</v>
      </c>
    </row>
    <row r="3693" spans="1:2" ht="12.75" customHeight="1" x14ac:dyDescent="0.25">
      <c r="A3693" s="318">
        <v>91735082711</v>
      </c>
      <c r="B3693" s="318" t="s">
        <v>237</v>
      </c>
    </row>
    <row r="3694" spans="1:2" ht="12.75" customHeight="1" x14ac:dyDescent="0.25">
      <c r="A3694" s="318">
        <v>91735082713</v>
      </c>
      <c r="B3694" s="318" t="s">
        <v>23</v>
      </c>
    </row>
    <row r="3695" spans="1:2" ht="12.75" customHeight="1" x14ac:dyDescent="0.25">
      <c r="A3695" s="318">
        <v>91735082714</v>
      </c>
      <c r="B3695" s="318" t="s">
        <v>237</v>
      </c>
    </row>
    <row r="3696" spans="1:2" ht="12.75" customHeight="1" x14ac:dyDescent="0.25">
      <c r="A3696" s="318">
        <v>91735082715</v>
      </c>
      <c r="B3696" s="318" t="s">
        <v>23</v>
      </c>
    </row>
    <row r="3697" spans="1:2" ht="12.75" customHeight="1" x14ac:dyDescent="0.25">
      <c r="A3697" s="318">
        <v>91735082716</v>
      </c>
      <c r="B3697" s="318" t="s">
        <v>237</v>
      </c>
    </row>
    <row r="3698" spans="1:2" ht="12.75" customHeight="1" x14ac:dyDescent="0.25">
      <c r="A3698" s="318">
        <v>91735082717</v>
      </c>
      <c r="B3698" s="318" t="s">
        <v>23</v>
      </c>
    </row>
    <row r="3699" spans="1:2" ht="12.75" customHeight="1" x14ac:dyDescent="0.25">
      <c r="A3699" s="318">
        <v>91735082718</v>
      </c>
      <c r="B3699" s="318" t="s">
        <v>237</v>
      </c>
    </row>
    <row r="3700" spans="1:2" ht="12.75" customHeight="1" x14ac:dyDescent="0.25">
      <c r="A3700" s="318">
        <v>91735082719</v>
      </c>
      <c r="B3700" s="318" t="s">
        <v>23</v>
      </c>
    </row>
    <row r="3701" spans="1:2" ht="12.75" customHeight="1" x14ac:dyDescent="0.25">
      <c r="A3701" s="318">
        <v>91735082720</v>
      </c>
      <c r="B3701" s="318" t="s">
        <v>237</v>
      </c>
    </row>
    <row r="3702" spans="1:2" ht="12.75" customHeight="1" x14ac:dyDescent="0.25">
      <c r="A3702" s="318">
        <v>91735082804</v>
      </c>
      <c r="B3702" s="318" t="s">
        <v>237</v>
      </c>
    </row>
    <row r="3703" spans="1:2" ht="12.75" customHeight="1" x14ac:dyDescent="0.25">
      <c r="A3703" s="318">
        <v>91735082805</v>
      </c>
      <c r="B3703" s="318" t="s">
        <v>237</v>
      </c>
    </row>
    <row r="3704" spans="1:2" ht="12.75" customHeight="1" x14ac:dyDescent="0.25">
      <c r="A3704" s="318">
        <v>91735082806</v>
      </c>
      <c r="B3704" s="318" t="s">
        <v>237</v>
      </c>
    </row>
    <row r="3705" spans="1:2" ht="12.75" customHeight="1" x14ac:dyDescent="0.25">
      <c r="A3705" s="318">
        <v>91735082807</v>
      </c>
      <c r="B3705" s="318" t="s">
        <v>237</v>
      </c>
    </row>
    <row r="3706" spans="1:2" ht="12.75" customHeight="1" x14ac:dyDescent="0.25">
      <c r="A3706" s="318">
        <v>91735082808</v>
      </c>
      <c r="B3706" s="318" t="s">
        <v>237</v>
      </c>
    </row>
    <row r="3707" spans="1:2" ht="12.75" customHeight="1" x14ac:dyDescent="0.25">
      <c r="A3707" s="318">
        <v>91735082809</v>
      </c>
      <c r="B3707" s="318" t="s">
        <v>237</v>
      </c>
    </row>
    <row r="3708" spans="1:2" ht="12.75" customHeight="1" x14ac:dyDescent="0.25">
      <c r="A3708" s="318">
        <v>91735082810</v>
      </c>
      <c r="B3708" s="318" t="s">
        <v>237</v>
      </c>
    </row>
    <row r="3709" spans="1:2" ht="12.75" customHeight="1" x14ac:dyDescent="0.25">
      <c r="A3709" s="318">
        <v>91735082811</v>
      </c>
      <c r="B3709" s="318" t="s">
        <v>237</v>
      </c>
    </row>
    <row r="3710" spans="1:2" ht="12.75" customHeight="1" x14ac:dyDescent="0.25">
      <c r="A3710" s="318">
        <v>91735082813</v>
      </c>
      <c r="B3710" s="318" t="s">
        <v>237</v>
      </c>
    </row>
    <row r="3711" spans="1:2" ht="12.75" customHeight="1" x14ac:dyDescent="0.25">
      <c r="A3711" s="318">
        <v>91735082814</v>
      </c>
      <c r="B3711" s="318" t="s">
        <v>237</v>
      </c>
    </row>
    <row r="3712" spans="1:2" ht="12.75" customHeight="1" x14ac:dyDescent="0.25">
      <c r="A3712" s="318">
        <v>91735082815</v>
      </c>
      <c r="B3712" s="318" t="s">
        <v>237</v>
      </c>
    </row>
    <row r="3713" spans="1:2" ht="12.75" customHeight="1" x14ac:dyDescent="0.25">
      <c r="A3713" s="318">
        <v>91735082816</v>
      </c>
      <c r="B3713" s="318" t="s">
        <v>237</v>
      </c>
    </row>
    <row r="3714" spans="1:2" ht="12.75" customHeight="1" x14ac:dyDescent="0.25">
      <c r="A3714" s="318">
        <v>91735082817</v>
      </c>
      <c r="B3714" s="318" t="s">
        <v>237</v>
      </c>
    </row>
    <row r="3715" spans="1:2" ht="12.75" customHeight="1" x14ac:dyDescent="0.25">
      <c r="A3715" s="318">
        <v>91735082818</v>
      </c>
      <c r="B3715" s="318" t="s">
        <v>237</v>
      </c>
    </row>
    <row r="3716" spans="1:2" ht="12.75" customHeight="1" x14ac:dyDescent="0.25">
      <c r="A3716" s="318">
        <v>91735082819</v>
      </c>
      <c r="B3716" s="318" t="s">
        <v>237</v>
      </c>
    </row>
    <row r="3717" spans="1:2" ht="12.75" customHeight="1" x14ac:dyDescent="0.25">
      <c r="A3717" s="318">
        <v>91735082820</v>
      </c>
      <c r="B3717" s="318" t="s">
        <v>237</v>
      </c>
    </row>
    <row r="3718" spans="1:2" ht="12.75" customHeight="1" x14ac:dyDescent="0.25">
      <c r="A3718" s="318">
        <v>91735762895</v>
      </c>
      <c r="B3718" s="318" t="s">
        <v>23</v>
      </c>
    </row>
    <row r="3719" spans="1:2" ht="12.75" customHeight="1" x14ac:dyDescent="0.25">
      <c r="A3719" s="318">
        <v>91735762896</v>
      </c>
      <c r="B3719" s="318" t="s">
        <v>23</v>
      </c>
    </row>
    <row r="3720" spans="1:2" ht="12.75" customHeight="1" x14ac:dyDescent="0.25">
      <c r="A3720" s="318">
        <v>91735762897</v>
      </c>
      <c r="B3720" s="318" t="s">
        <v>23</v>
      </c>
    </row>
    <row r="3721" spans="1:2" ht="12.75" customHeight="1" x14ac:dyDescent="0.25">
      <c r="A3721" s="318">
        <v>91735762898</v>
      </c>
      <c r="B3721" s="318" t="s">
        <v>23</v>
      </c>
    </row>
    <row r="3722" spans="1:2" ht="12.75" customHeight="1" x14ac:dyDescent="0.25">
      <c r="A3722" s="318">
        <v>91735762899</v>
      </c>
      <c r="B3722" s="318" t="s">
        <v>23</v>
      </c>
    </row>
    <row r="3723" spans="1:2" ht="12.75" customHeight="1" x14ac:dyDescent="0.25">
      <c r="A3723" s="318">
        <v>91735762900</v>
      </c>
      <c r="B3723" s="318" t="s">
        <v>23</v>
      </c>
    </row>
    <row r="3724" spans="1:2" ht="12.75" customHeight="1" x14ac:dyDescent="0.25">
      <c r="A3724" s="318">
        <v>91735762901</v>
      </c>
      <c r="B3724" s="318" t="s">
        <v>23</v>
      </c>
    </row>
    <row r="3725" spans="1:2" ht="12.75" customHeight="1" x14ac:dyDescent="0.25">
      <c r="A3725" s="318">
        <v>91735762902</v>
      </c>
      <c r="B3725" s="318" t="s">
        <v>237</v>
      </c>
    </row>
    <row r="3726" spans="1:2" ht="12.75" customHeight="1" x14ac:dyDescent="0.25">
      <c r="A3726" s="318">
        <v>91735762904</v>
      </c>
      <c r="B3726" s="318" t="s">
        <v>23</v>
      </c>
    </row>
    <row r="3727" spans="1:2" ht="12.75" customHeight="1" x14ac:dyDescent="0.25">
      <c r="A3727" s="318">
        <v>91735762905</v>
      </c>
      <c r="B3727" s="318" t="s">
        <v>237</v>
      </c>
    </row>
    <row r="3728" spans="1:2" ht="12.75" customHeight="1" x14ac:dyDescent="0.25">
      <c r="A3728" s="318">
        <v>91735762906</v>
      </c>
      <c r="B3728" s="318" t="s">
        <v>23</v>
      </c>
    </row>
    <row r="3729" spans="1:2" ht="12.75" customHeight="1" x14ac:dyDescent="0.25">
      <c r="A3729" s="318">
        <v>91735762907</v>
      </c>
      <c r="B3729" s="318" t="s">
        <v>237</v>
      </c>
    </row>
    <row r="3730" spans="1:2" ht="12.75" customHeight="1" x14ac:dyDescent="0.25">
      <c r="A3730" s="318">
        <v>91735762908</v>
      </c>
      <c r="B3730" s="318" t="s">
        <v>23</v>
      </c>
    </row>
    <row r="3731" spans="1:2" ht="12.75" customHeight="1" x14ac:dyDescent="0.25">
      <c r="A3731" s="318">
        <v>91735762909</v>
      </c>
      <c r="B3731" s="318" t="s">
        <v>237</v>
      </c>
    </row>
    <row r="3732" spans="1:2" ht="12.75" customHeight="1" x14ac:dyDescent="0.25">
      <c r="A3732" s="318">
        <v>91735762910</v>
      </c>
      <c r="B3732" s="318" t="s">
        <v>23</v>
      </c>
    </row>
    <row r="3733" spans="1:2" ht="12.75" customHeight="1" x14ac:dyDescent="0.25">
      <c r="A3733" s="318">
        <v>91735762911</v>
      </c>
      <c r="B3733" s="318" t="s">
        <v>237</v>
      </c>
    </row>
    <row r="3734" spans="1:2" ht="12.75" customHeight="1" x14ac:dyDescent="0.25">
      <c r="A3734" s="318">
        <v>91735762995</v>
      </c>
      <c r="B3734" s="318" t="s">
        <v>237</v>
      </c>
    </row>
    <row r="3735" spans="1:2" ht="12.75" customHeight="1" x14ac:dyDescent="0.25">
      <c r="A3735" s="318">
        <v>91735762996</v>
      </c>
      <c r="B3735" s="318" t="s">
        <v>237</v>
      </c>
    </row>
    <row r="3736" spans="1:2" ht="12.75" customHeight="1" x14ac:dyDescent="0.25">
      <c r="A3736" s="318">
        <v>91735762997</v>
      </c>
      <c r="B3736" s="318" t="s">
        <v>237</v>
      </c>
    </row>
    <row r="3737" spans="1:2" ht="12.75" customHeight="1" x14ac:dyDescent="0.25">
      <c r="A3737" s="318">
        <v>91735762998</v>
      </c>
      <c r="B3737" s="318" t="s">
        <v>237</v>
      </c>
    </row>
    <row r="3738" spans="1:2" ht="12.75" customHeight="1" x14ac:dyDescent="0.25">
      <c r="A3738" s="318">
        <v>91735762999</v>
      </c>
      <c r="B3738" s="318" t="s">
        <v>237</v>
      </c>
    </row>
    <row r="3739" spans="1:2" ht="12.75" customHeight="1" x14ac:dyDescent="0.25">
      <c r="A3739" s="318">
        <v>91735763000</v>
      </c>
      <c r="B3739" s="318" t="s">
        <v>237</v>
      </c>
    </row>
    <row r="3740" spans="1:2" ht="12.75" customHeight="1" x14ac:dyDescent="0.25">
      <c r="A3740" s="318">
        <v>91735763001</v>
      </c>
      <c r="B3740" s="318" t="s">
        <v>237</v>
      </c>
    </row>
    <row r="3741" spans="1:2" ht="12.75" customHeight="1" x14ac:dyDescent="0.25">
      <c r="A3741" s="318">
        <v>91735763002</v>
      </c>
      <c r="B3741" s="318" t="s">
        <v>237</v>
      </c>
    </row>
    <row r="3742" spans="1:2" ht="12.75" customHeight="1" x14ac:dyDescent="0.25">
      <c r="A3742" s="318">
        <v>91735763004</v>
      </c>
      <c r="B3742" s="318" t="s">
        <v>237</v>
      </c>
    </row>
    <row r="3743" spans="1:2" ht="12.75" customHeight="1" x14ac:dyDescent="0.25">
      <c r="A3743" s="318">
        <v>91735763005</v>
      </c>
      <c r="B3743" s="318" t="s">
        <v>237</v>
      </c>
    </row>
    <row r="3744" spans="1:2" ht="12.75" customHeight="1" x14ac:dyDescent="0.25">
      <c r="A3744" s="318">
        <v>91735763006</v>
      </c>
      <c r="B3744" s="318" t="s">
        <v>237</v>
      </c>
    </row>
    <row r="3745" spans="1:2" ht="12.75" customHeight="1" x14ac:dyDescent="0.25">
      <c r="A3745" s="318">
        <v>91735763007</v>
      </c>
      <c r="B3745" s="318" t="s">
        <v>237</v>
      </c>
    </row>
    <row r="3746" spans="1:2" ht="12.75" customHeight="1" x14ac:dyDescent="0.25">
      <c r="A3746" s="318">
        <v>91735763008</v>
      </c>
      <c r="B3746" s="318" t="s">
        <v>237</v>
      </c>
    </row>
    <row r="3747" spans="1:2" ht="12.75" customHeight="1" x14ac:dyDescent="0.25">
      <c r="A3747" s="318">
        <v>91735763009</v>
      </c>
      <c r="B3747" s="318" t="s">
        <v>237</v>
      </c>
    </row>
    <row r="3748" spans="1:2" ht="12.75" customHeight="1" x14ac:dyDescent="0.25">
      <c r="A3748" s="318">
        <v>91735763010</v>
      </c>
      <c r="B3748" s="318" t="s">
        <v>237</v>
      </c>
    </row>
    <row r="3749" spans="1:2" ht="12.75" customHeight="1" x14ac:dyDescent="0.25">
      <c r="A3749" s="318">
        <v>91735763011</v>
      </c>
      <c r="B3749" s="318" t="s">
        <v>237</v>
      </c>
    </row>
    <row r="3750" spans="1:2" ht="12.75" customHeight="1" x14ac:dyDescent="0.25">
      <c r="A3750" s="318">
        <v>91736243868</v>
      </c>
      <c r="B3750" s="318" t="s">
        <v>23</v>
      </c>
    </row>
    <row r="3751" spans="1:2" ht="12.75" customHeight="1" x14ac:dyDescent="0.25">
      <c r="A3751" s="318">
        <v>91736243869</v>
      </c>
      <c r="B3751" s="318" t="s">
        <v>23</v>
      </c>
    </row>
    <row r="3752" spans="1:2" ht="12.75" customHeight="1" x14ac:dyDescent="0.25">
      <c r="A3752" s="318">
        <v>91736243870</v>
      </c>
      <c r="B3752" s="318" t="s">
        <v>23</v>
      </c>
    </row>
    <row r="3753" spans="1:2" ht="12.75" customHeight="1" x14ac:dyDescent="0.25">
      <c r="A3753" s="318">
        <v>91736243871</v>
      </c>
      <c r="B3753" s="318" t="s">
        <v>23</v>
      </c>
    </row>
    <row r="3754" spans="1:2" ht="12.75" customHeight="1" x14ac:dyDescent="0.25">
      <c r="A3754" s="318">
        <v>91736243872</v>
      </c>
      <c r="B3754" s="318" t="s">
        <v>23</v>
      </c>
    </row>
    <row r="3755" spans="1:2" ht="12.75" customHeight="1" x14ac:dyDescent="0.25">
      <c r="A3755" s="318">
        <v>91736243873</v>
      </c>
      <c r="B3755" s="318" t="s">
        <v>23</v>
      </c>
    </row>
    <row r="3756" spans="1:2" ht="12.75" customHeight="1" x14ac:dyDescent="0.25">
      <c r="A3756" s="318">
        <v>91736243874</v>
      </c>
      <c r="B3756" s="318" t="s">
        <v>23</v>
      </c>
    </row>
    <row r="3757" spans="1:2" ht="12.75" customHeight="1" x14ac:dyDescent="0.25">
      <c r="A3757" s="318">
        <v>91736243875</v>
      </c>
      <c r="B3757" s="318" t="s">
        <v>237</v>
      </c>
    </row>
    <row r="3758" spans="1:2" ht="12.75" customHeight="1" x14ac:dyDescent="0.25">
      <c r="A3758" s="318">
        <v>91736243877</v>
      </c>
      <c r="B3758" s="318" t="s">
        <v>23</v>
      </c>
    </row>
    <row r="3759" spans="1:2" ht="12.75" customHeight="1" x14ac:dyDescent="0.25">
      <c r="A3759" s="318">
        <v>91736243878</v>
      </c>
      <c r="B3759" s="318" t="s">
        <v>237</v>
      </c>
    </row>
    <row r="3760" spans="1:2" ht="12.75" customHeight="1" x14ac:dyDescent="0.25">
      <c r="A3760" s="318">
        <v>91736243879</v>
      </c>
      <c r="B3760" s="318" t="s">
        <v>23</v>
      </c>
    </row>
    <row r="3761" spans="1:2" ht="12.75" customHeight="1" x14ac:dyDescent="0.25">
      <c r="A3761" s="318">
        <v>91736243880</v>
      </c>
      <c r="B3761" s="318" t="s">
        <v>237</v>
      </c>
    </row>
    <row r="3762" spans="1:2" ht="12.75" customHeight="1" x14ac:dyDescent="0.25">
      <c r="A3762" s="318">
        <v>91736243881</v>
      </c>
      <c r="B3762" s="318" t="s">
        <v>23</v>
      </c>
    </row>
    <row r="3763" spans="1:2" ht="12.75" customHeight="1" x14ac:dyDescent="0.25">
      <c r="A3763" s="318">
        <v>91736243882</v>
      </c>
      <c r="B3763" s="318" t="s">
        <v>237</v>
      </c>
    </row>
    <row r="3764" spans="1:2" ht="12.75" customHeight="1" x14ac:dyDescent="0.25">
      <c r="A3764" s="318">
        <v>91736243883</v>
      </c>
      <c r="B3764" s="318" t="s">
        <v>23</v>
      </c>
    </row>
    <row r="3765" spans="1:2" ht="12.75" customHeight="1" x14ac:dyDescent="0.25">
      <c r="A3765" s="318">
        <v>91736243884</v>
      </c>
      <c r="B3765" s="318" t="s">
        <v>237</v>
      </c>
    </row>
    <row r="3766" spans="1:2" ht="12.75" customHeight="1" x14ac:dyDescent="0.25">
      <c r="A3766" s="318">
        <v>91736243968</v>
      </c>
      <c r="B3766" s="318" t="s">
        <v>237</v>
      </c>
    </row>
    <row r="3767" spans="1:2" ht="12.75" customHeight="1" x14ac:dyDescent="0.25">
      <c r="A3767" s="318">
        <v>91736243969</v>
      </c>
      <c r="B3767" s="318" t="s">
        <v>237</v>
      </c>
    </row>
    <row r="3768" spans="1:2" ht="12.75" customHeight="1" x14ac:dyDescent="0.25">
      <c r="A3768" s="318">
        <v>91736243970</v>
      </c>
      <c r="B3768" s="318" t="s">
        <v>237</v>
      </c>
    </row>
    <row r="3769" spans="1:2" ht="12.75" customHeight="1" x14ac:dyDescent="0.25">
      <c r="A3769" s="318">
        <v>91736243971</v>
      </c>
      <c r="B3769" s="318" t="s">
        <v>237</v>
      </c>
    </row>
    <row r="3770" spans="1:2" ht="12.75" customHeight="1" x14ac:dyDescent="0.25">
      <c r="A3770" s="318">
        <v>91736243972</v>
      </c>
      <c r="B3770" s="318" t="s">
        <v>237</v>
      </c>
    </row>
    <row r="3771" spans="1:2" ht="12.75" customHeight="1" x14ac:dyDescent="0.25">
      <c r="A3771" s="318">
        <v>91736243973</v>
      </c>
      <c r="B3771" s="318" t="s">
        <v>237</v>
      </c>
    </row>
    <row r="3772" spans="1:2" ht="12.75" customHeight="1" x14ac:dyDescent="0.25">
      <c r="A3772" s="318">
        <v>91736243974</v>
      </c>
      <c r="B3772" s="318" t="s">
        <v>237</v>
      </c>
    </row>
    <row r="3773" spans="1:2" ht="12.75" customHeight="1" x14ac:dyDescent="0.25">
      <c r="A3773" s="318">
        <v>91736243975</v>
      </c>
      <c r="B3773" s="318" t="s">
        <v>237</v>
      </c>
    </row>
    <row r="3774" spans="1:2" ht="12.75" customHeight="1" x14ac:dyDescent="0.25">
      <c r="A3774" s="318">
        <v>91736243977</v>
      </c>
      <c r="B3774" s="318" t="s">
        <v>237</v>
      </c>
    </row>
    <row r="3775" spans="1:2" ht="12.75" customHeight="1" x14ac:dyDescent="0.25">
      <c r="A3775" s="318">
        <v>91736243978</v>
      </c>
      <c r="B3775" s="318" t="s">
        <v>237</v>
      </c>
    </row>
    <row r="3776" spans="1:2" ht="12.75" customHeight="1" x14ac:dyDescent="0.25">
      <c r="A3776" s="318">
        <v>91736243979</v>
      </c>
      <c r="B3776" s="318" t="s">
        <v>237</v>
      </c>
    </row>
    <row r="3777" spans="1:2" ht="12.75" customHeight="1" x14ac:dyDescent="0.25">
      <c r="A3777" s="318">
        <v>91736243980</v>
      </c>
      <c r="B3777" s="318" t="s">
        <v>237</v>
      </c>
    </row>
    <row r="3778" spans="1:2" ht="12.75" customHeight="1" x14ac:dyDescent="0.25">
      <c r="A3778" s="318">
        <v>91736243981</v>
      </c>
      <c r="B3778" s="318" t="s">
        <v>237</v>
      </c>
    </row>
    <row r="3779" spans="1:2" ht="12.75" customHeight="1" x14ac:dyDescent="0.25">
      <c r="A3779" s="318">
        <v>91736243982</v>
      </c>
      <c r="B3779" s="318" t="s">
        <v>237</v>
      </c>
    </row>
    <row r="3780" spans="1:2" ht="12.75" customHeight="1" x14ac:dyDescent="0.25">
      <c r="A3780" s="318">
        <v>91736243983</v>
      </c>
      <c r="B3780" s="318" t="s">
        <v>237</v>
      </c>
    </row>
    <row r="3781" spans="1:2" ht="12.75" customHeight="1" x14ac:dyDescent="0.25">
      <c r="A3781" s="318">
        <v>91736243984</v>
      </c>
      <c r="B3781" s="318" t="s">
        <v>237</v>
      </c>
    </row>
    <row r="3782" spans="1:2" ht="12.75" customHeight="1" x14ac:dyDescent="0.25">
      <c r="A3782" s="318">
        <v>91736724841</v>
      </c>
      <c r="B3782" s="318" t="s">
        <v>23</v>
      </c>
    </row>
    <row r="3783" spans="1:2" ht="12.75" customHeight="1" x14ac:dyDescent="0.25">
      <c r="A3783" s="318">
        <v>91736724842</v>
      </c>
      <c r="B3783" s="318" t="s">
        <v>23</v>
      </c>
    </row>
    <row r="3784" spans="1:2" ht="12.75" customHeight="1" x14ac:dyDescent="0.25">
      <c r="A3784" s="318">
        <v>91736724843</v>
      </c>
      <c r="B3784" s="318" t="s">
        <v>23</v>
      </c>
    </row>
    <row r="3785" spans="1:2" ht="12.75" customHeight="1" x14ac:dyDescent="0.25">
      <c r="A3785" s="318">
        <v>91736724844</v>
      </c>
      <c r="B3785" s="318" t="s">
        <v>23</v>
      </c>
    </row>
    <row r="3786" spans="1:2" ht="12.75" customHeight="1" x14ac:dyDescent="0.25">
      <c r="A3786" s="318">
        <v>91736724845</v>
      </c>
      <c r="B3786" s="318" t="s">
        <v>23</v>
      </c>
    </row>
    <row r="3787" spans="1:2" ht="12.75" customHeight="1" x14ac:dyDescent="0.25">
      <c r="A3787" s="318">
        <v>91736724846</v>
      </c>
      <c r="B3787" s="318" t="s">
        <v>23</v>
      </c>
    </row>
    <row r="3788" spans="1:2" ht="12.75" customHeight="1" x14ac:dyDescent="0.25">
      <c r="A3788" s="318">
        <v>91736724847</v>
      </c>
      <c r="B3788" s="318" t="s">
        <v>23</v>
      </c>
    </row>
    <row r="3789" spans="1:2" ht="12.75" customHeight="1" x14ac:dyDescent="0.25">
      <c r="A3789" s="318">
        <v>91736724848</v>
      </c>
      <c r="B3789" s="318" t="s">
        <v>237</v>
      </c>
    </row>
    <row r="3790" spans="1:2" ht="12.75" customHeight="1" x14ac:dyDescent="0.25">
      <c r="A3790" s="318">
        <v>91736724850</v>
      </c>
      <c r="B3790" s="318" t="s">
        <v>23</v>
      </c>
    </row>
    <row r="3791" spans="1:2" ht="12.75" customHeight="1" x14ac:dyDescent="0.25">
      <c r="A3791" s="318">
        <v>91736724851</v>
      </c>
      <c r="B3791" s="318" t="s">
        <v>237</v>
      </c>
    </row>
    <row r="3792" spans="1:2" ht="12.75" customHeight="1" x14ac:dyDescent="0.25">
      <c r="A3792" s="318">
        <v>91736724852</v>
      </c>
      <c r="B3792" s="318" t="s">
        <v>23</v>
      </c>
    </row>
    <row r="3793" spans="1:2" ht="12.75" customHeight="1" x14ac:dyDescent="0.25">
      <c r="A3793" s="318">
        <v>91736724853</v>
      </c>
      <c r="B3793" s="318" t="s">
        <v>237</v>
      </c>
    </row>
    <row r="3794" spans="1:2" ht="12.75" customHeight="1" x14ac:dyDescent="0.25">
      <c r="A3794" s="318">
        <v>91736724854</v>
      </c>
      <c r="B3794" s="318" t="s">
        <v>23</v>
      </c>
    </row>
    <row r="3795" spans="1:2" ht="12.75" customHeight="1" x14ac:dyDescent="0.25">
      <c r="A3795" s="318">
        <v>91736724855</v>
      </c>
      <c r="B3795" s="318" t="s">
        <v>237</v>
      </c>
    </row>
    <row r="3796" spans="1:2" ht="12.75" customHeight="1" x14ac:dyDescent="0.25">
      <c r="A3796" s="318">
        <v>91736724856</v>
      </c>
      <c r="B3796" s="318" t="s">
        <v>23</v>
      </c>
    </row>
    <row r="3797" spans="1:2" ht="12.75" customHeight="1" x14ac:dyDescent="0.25">
      <c r="A3797" s="318">
        <v>91736724857</v>
      </c>
      <c r="B3797" s="318" t="s">
        <v>237</v>
      </c>
    </row>
    <row r="3798" spans="1:2" ht="12.75" customHeight="1" x14ac:dyDescent="0.25">
      <c r="A3798" s="318">
        <v>91736724941</v>
      </c>
      <c r="B3798" s="318" t="s">
        <v>237</v>
      </c>
    </row>
    <row r="3799" spans="1:2" ht="12.75" customHeight="1" x14ac:dyDescent="0.25">
      <c r="A3799" s="318">
        <v>91736724942</v>
      </c>
      <c r="B3799" s="318" t="s">
        <v>237</v>
      </c>
    </row>
    <row r="3800" spans="1:2" ht="12.75" customHeight="1" x14ac:dyDescent="0.25">
      <c r="A3800" s="318">
        <v>91736724943</v>
      </c>
      <c r="B3800" s="318" t="s">
        <v>237</v>
      </c>
    </row>
    <row r="3801" spans="1:2" ht="12.75" customHeight="1" x14ac:dyDescent="0.25">
      <c r="A3801" s="318">
        <v>91736724944</v>
      </c>
      <c r="B3801" s="318" t="s">
        <v>237</v>
      </c>
    </row>
    <row r="3802" spans="1:2" ht="12.75" customHeight="1" x14ac:dyDescent="0.25">
      <c r="A3802" s="318">
        <v>91736724945</v>
      </c>
      <c r="B3802" s="318" t="s">
        <v>237</v>
      </c>
    </row>
    <row r="3803" spans="1:2" ht="12.75" customHeight="1" x14ac:dyDescent="0.25">
      <c r="A3803" s="318">
        <v>91736724946</v>
      </c>
      <c r="B3803" s="318" t="s">
        <v>237</v>
      </c>
    </row>
    <row r="3804" spans="1:2" ht="12.75" customHeight="1" x14ac:dyDescent="0.25">
      <c r="A3804" s="318">
        <v>91736724947</v>
      </c>
      <c r="B3804" s="318" t="s">
        <v>237</v>
      </c>
    </row>
    <row r="3805" spans="1:2" ht="12.75" customHeight="1" x14ac:dyDescent="0.25">
      <c r="A3805" s="318">
        <v>91736724948</v>
      </c>
      <c r="B3805" s="318" t="s">
        <v>237</v>
      </c>
    </row>
    <row r="3806" spans="1:2" ht="12.75" customHeight="1" x14ac:dyDescent="0.25">
      <c r="A3806" s="318">
        <v>91736724950</v>
      </c>
      <c r="B3806" s="318" t="s">
        <v>237</v>
      </c>
    </row>
    <row r="3807" spans="1:2" ht="12.75" customHeight="1" x14ac:dyDescent="0.25">
      <c r="A3807" s="318">
        <v>91736724951</v>
      </c>
      <c r="B3807" s="318" t="s">
        <v>237</v>
      </c>
    </row>
    <row r="3808" spans="1:2" ht="12.75" customHeight="1" x14ac:dyDescent="0.25">
      <c r="A3808" s="318">
        <v>91736724952</v>
      </c>
      <c r="B3808" s="318" t="s">
        <v>237</v>
      </c>
    </row>
    <row r="3809" spans="1:2" ht="12.75" customHeight="1" x14ac:dyDescent="0.25">
      <c r="A3809" s="318">
        <v>91736724953</v>
      </c>
      <c r="B3809" s="318" t="s">
        <v>237</v>
      </c>
    </row>
    <row r="3810" spans="1:2" ht="12.75" customHeight="1" x14ac:dyDescent="0.25">
      <c r="A3810" s="318">
        <v>91736724954</v>
      </c>
      <c r="B3810" s="318" t="s">
        <v>237</v>
      </c>
    </row>
    <row r="3811" spans="1:2" ht="12.75" customHeight="1" x14ac:dyDescent="0.25">
      <c r="A3811" s="318">
        <v>91736724955</v>
      </c>
      <c r="B3811" s="318" t="s">
        <v>237</v>
      </c>
    </row>
    <row r="3812" spans="1:2" ht="12.75" customHeight="1" x14ac:dyDescent="0.25">
      <c r="A3812" s="318">
        <v>91736724956</v>
      </c>
      <c r="B3812" s="318" t="s">
        <v>237</v>
      </c>
    </row>
    <row r="3813" spans="1:2" ht="12.75" customHeight="1" x14ac:dyDescent="0.25">
      <c r="A3813" s="318">
        <v>91736724957</v>
      </c>
      <c r="B3813" s="318" t="s">
        <v>237</v>
      </c>
    </row>
    <row r="3814" spans="1:2" ht="12.75" customHeight="1" x14ac:dyDescent="0.25">
      <c r="A3814" s="318">
        <v>91737405032</v>
      </c>
      <c r="B3814" s="318" t="s">
        <v>23</v>
      </c>
    </row>
    <row r="3815" spans="1:2" ht="12.75" customHeight="1" x14ac:dyDescent="0.25">
      <c r="A3815" s="318">
        <v>91737405033</v>
      </c>
      <c r="B3815" s="318" t="s">
        <v>23</v>
      </c>
    </row>
    <row r="3816" spans="1:2" ht="12.75" customHeight="1" x14ac:dyDescent="0.25">
      <c r="A3816" s="318">
        <v>91737405034</v>
      </c>
      <c r="B3816" s="318" t="s">
        <v>23</v>
      </c>
    </row>
    <row r="3817" spans="1:2" ht="12.75" customHeight="1" x14ac:dyDescent="0.25">
      <c r="A3817" s="318">
        <v>91737405035</v>
      </c>
      <c r="B3817" s="318" t="s">
        <v>23</v>
      </c>
    </row>
    <row r="3818" spans="1:2" ht="12.75" customHeight="1" x14ac:dyDescent="0.25">
      <c r="A3818" s="318">
        <v>91737405036</v>
      </c>
      <c r="B3818" s="318" t="s">
        <v>23</v>
      </c>
    </row>
    <row r="3819" spans="1:2" ht="12.75" customHeight="1" x14ac:dyDescent="0.25">
      <c r="A3819" s="318">
        <v>91737405037</v>
      </c>
      <c r="B3819" s="318" t="s">
        <v>23</v>
      </c>
    </row>
    <row r="3820" spans="1:2" ht="12.75" customHeight="1" x14ac:dyDescent="0.25">
      <c r="A3820" s="318">
        <v>91737405038</v>
      </c>
      <c r="B3820" s="318" t="s">
        <v>23</v>
      </c>
    </row>
    <row r="3821" spans="1:2" ht="12.75" customHeight="1" x14ac:dyDescent="0.25">
      <c r="A3821" s="318">
        <v>91737405039</v>
      </c>
      <c r="B3821" s="318" t="s">
        <v>237</v>
      </c>
    </row>
    <row r="3822" spans="1:2" ht="12.75" customHeight="1" x14ac:dyDescent="0.25">
      <c r="A3822" s="318">
        <v>91737405041</v>
      </c>
      <c r="B3822" s="318" t="s">
        <v>23</v>
      </c>
    </row>
    <row r="3823" spans="1:2" ht="12.75" customHeight="1" x14ac:dyDescent="0.25">
      <c r="A3823" s="318">
        <v>91737405042</v>
      </c>
      <c r="B3823" s="318" t="s">
        <v>237</v>
      </c>
    </row>
    <row r="3824" spans="1:2" ht="12.75" customHeight="1" x14ac:dyDescent="0.25">
      <c r="A3824" s="318">
        <v>91737405043</v>
      </c>
      <c r="B3824" s="318" t="s">
        <v>23</v>
      </c>
    </row>
    <row r="3825" spans="1:2" ht="12.75" customHeight="1" x14ac:dyDescent="0.25">
      <c r="A3825" s="318">
        <v>91737405044</v>
      </c>
      <c r="B3825" s="318" t="s">
        <v>237</v>
      </c>
    </row>
    <row r="3826" spans="1:2" ht="12.75" customHeight="1" x14ac:dyDescent="0.25">
      <c r="A3826" s="318">
        <v>91737405045</v>
      </c>
      <c r="B3826" s="318" t="s">
        <v>23</v>
      </c>
    </row>
    <row r="3827" spans="1:2" ht="12.75" customHeight="1" x14ac:dyDescent="0.25">
      <c r="A3827" s="318">
        <v>91737405046</v>
      </c>
      <c r="B3827" s="318" t="s">
        <v>237</v>
      </c>
    </row>
    <row r="3828" spans="1:2" ht="12.75" customHeight="1" x14ac:dyDescent="0.25">
      <c r="A3828" s="318">
        <v>91737405047</v>
      </c>
      <c r="B3828" s="318" t="s">
        <v>23</v>
      </c>
    </row>
    <row r="3829" spans="1:2" ht="12.75" customHeight="1" x14ac:dyDescent="0.25">
      <c r="A3829" s="318">
        <v>91737405048</v>
      </c>
      <c r="B3829" s="318" t="s">
        <v>237</v>
      </c>
    </row>
    <row r="3830" spans="1:2" ht="12.75" customHeight="1" x14ac:dyDescent="0.25">
      <c r="A3830" s="318">
        <v>91737405132</v>
      </c>
      <c r="B3830" s="318" t="s">
        <v>237</v>
      </c>
    </row>
    <row r="3831" spans="1:2" ht="12.75" customHeight="1" x14ac:dyDescent="0.25">
      <c r="A3831" s="318">
        <v>91737405133</v>
      </c>
      <c r="B3831" s="318" t="s">
        <v>237</v>
      </c>
    </row>
    <row r="3832" spans="1:2" ht="12.75" customHeight="1" x14ac:dyDescent="0.25">
      <c r="A3832" s="318">
        <v>91737405134</v>
      </c>
      <c r="B3832" s="318" t="s">
        <v>237</v>
      </c>
    </row>
    <row r="3833" spans="1:2" ht="12.75" customHeight="1" x14ac:dyDescent="0.25">
      <c r="A3833" s="318">
        <v>91737405135</v>
      </c>
      <c r="B3833" s="318" t="s">
        <v>237</v>
      </c>
    </row>
    <row r="3834" spans="1:2" ht="12.75" customHeight="1" x14ac:dyDescent="0.25">
      <c r="A3834" s="318">
        <v>91737405136</v>
      </c>
      <c r="B3834" s="318" t="s">
        <v>237</v>
      </c>
    </row>
    <row r="3835" spans="1:2" ht="12.75" customHeight="1" x14ac:dyDescent="0.25">
      <c r="A3835" s="318">
        <v>91737405137</v>
      </c>
      <c r="B3835" s="318" t="s">
        <v>237</v>
      </c>
    </row>
    <row r="3836" spans="1:2" ht="12.75" customHeight="1" x14ac:dyDescent="0.25">
      <c r="A3836" s="318">
        <v>91737405138</v>
      </c>
      <c r="B3836" s="318" t="s">
        <v>237</v>
      </c>
    </row>
    <row r="3837" spans="1:2" ht="12.75" customHeight="1" x14ac:dyDescent="0.25">
      <c r="A3837" s="318">
        <v>91737405139</v>
      </c>
      <c r="B3837" s="318" t="s">
        <v>237</v>
      </c>
    </row>
    <row r="3838" spans="1:2" ht="12.75" customHeight="1" x14ac:dyDescent="0.25">
      <c r="A3838" s="318">
        <v>91737405141</v>
      </c>
      <c r="B3838" s="318" t="s">
        <v>237</v>
      </c>
    </row>
    <row r="3839" spans="1:2" ht="12.75" customHeight="1" x14ac:dyDescent="0.25">
      <c r="A3839" s="318">
        <v>91737405142</v>
      </c>
      <c r="B3839" s="318" t="s">
        <v>237</v>
      </c>
    </row>
    <row r="3840" spans="1:2" ht="12.75" customHeight="1" x14ac:dyDescent="0.25">
      <c r="A3840" s="318">
        <v>91737405143</v>
      </c>
      <c r="B3840" s="318" t="s">
        <v>237</v>
      </c>
    </row>
    <row r="3841" spans="1:2" ht="12.75" customHeight="1" x14ac:dyDescent="0.25">
      <c r="A3841" s="318">
        <v>91737405144</v>
      </c>
      <c r="B3841" s="318" t="s">
        <v>237</v>
      </c>
    </row>
    <row r="3842" spans="1:2" ht="12.75" customHeight="1" x14ac:dyDescent="0.25">
      <c r="A3842" s="318">
        <v>91737405145</v>
      </c>
      <c r="B3842" s="318" t="s">
        <v>237</v>
      </c>
    </row>
    <row r="3843" spans="1:2" ht="12.75" customHeight="1" x14ac:dyDescent="0.25">
      <c r="A3843" s="318">
        <v>91737405146</v>
      </c>
      <c r="B3843" s="318" t="s">
        <v>237</v>
      </c>
    </row>
    <row r="3844" spans="1:2" ht="12.75" customHeight="1" x14ac:dyDescent="0.25">
      <c r="A3844" s="318">
        <v>91737405147</v>
      </c>
      <c r="B3844" s="318" t="s">
        <v>237</v>
      </c>
    </row>
    <row r="3845" spans="1:2" ht="12.75" customHeight="1" x14ac:dyDescent="0.25">
      <c r="A3845" s="318">
        <v>91737405148</v>
      </c>
      <c r="B3845" s="318" t="s">
        <v>237</v>
      </c>
    </row>
    <row r="3846" spans="1:2" ht="12.75" customHeight="1" x14ac:dyDescent="0.25">
      <c r="A3846" s="318">
        <v>91737886005</v>
      </c>
      <c r="B3846" s="318" t="s">
        <v>23</v>
      </c>
    </row>
    <row r="3847" spans="1:2" ht="12.75" customHeight="1" x14ac:dyDescent="0.25">
      <c r="A3847" s="318">
        <v>91737886006</v>
      </c>
      <c r="B3847" s="318" t="s">
        <v>23</v>
      </c>
    </row>
    <row r="3848" spans="1:2" ht="12.75" customHeight="1" x14ac:dyDescent="0.25">
      <c r="A3848" s="318">
        <v>91737886007</v>
      </c>
      <c r="B3848" s="318" t="s">
        <v>23</v>
      </c>
    </row>
    <row r="3849" spans="1:2" ht="12.75" customHeight="1" x14ac:dyDescent="0.25">
      <c r="A3849" s="318">
        <v>91737886008</v>
      </c>
      <c r="B3849" s="318" t="s">
        <v>23</v>
      </c>
    </row>
    <row r="3850" spans="1:2" ht="12.75" customHeight="1" x14ac:dyDescent="0.25">
      <c r="A3850" s="318">
        <v>91737886009</v>
      </c>
      <c r="B3850" s="318" t="s">
        <v>23</v>
      </c>
    </row>
    <row r="3851" spans="1:2" ht="12.75" customHeight="1" x14ac:dyDescent="0.25">
      <c r="A3851" s="318">
        <v>91737886010</v>
      </c>
      <c r="B3851" s="318" t="s">
        <v>23</v>
      </c>
    </row>
    <row r="3852" spans="1:2" ht="12.75" customHeight="1" x14ac:dyDescent="0.25">
      <c r="A3852" s="318">
        <v>91737886011</v>
      </c>
      <c r="B3852" s="318" t="s">
        <v>23</v>
      </c>
    </row>
    <row r="3853" spans="1:2" ht="12.75" customHeight="1" x14ac:dyDescent="0.25">
      <c r="A3853" s="318">
        <v>91737886012</v>
      </c>
      <c r="B3853" s="318" t="s">
        <v>237</v>
      </c>
    </row>
    <row r="3854" spans="1:2" ht="12.75" customHeight="1" x14ac:dyDescent="0.25">
      <c r="A3854" s="318">
        <v>91737886014</v>
      </c>
      <c r="B3854" s="318" t="s">
        <v>23</v>
      </c>
    </row>
    <row r="3855" spans="1:2" ht="12.75" customHeight="1" x14ac:dyDescent="0.25">
      <c r="A3855" s="318">
        <v>91737886015</v>
      </c>
      <c r="B3855" s="318" t="s">
        <v>237</v>
      </c>
    </row>
    <row r="3856" spans="1:2" ht="12.75" customHeight="1" x14ac:dyDescent="0.25">
      <c r="A3856" s="318">
        <v>91737886016</v>
      </c>
      <c r="B3856" s="318" t="s">
        <v>23</v>
      </c>
    </row>
    <row r="3857" spans="1:2" ht="12.75" customHeight="1" x14ac:dyDescent="0.25">
      <c r="A3857" s="318">
        <v>91737886017</v>
      </c>
      <c r="B3857" s="318" t="s">
        <v>237</v>
      </c>
    </row>
    <row r="3858" spans="1:2" ht="12.75" customHeight="1" x14ac:dyDescent="0.25">
      <c r="A3858" s="318">
        <v>91737886018</v>
      </c>
      <c r="B3858" s="318" t="s">
        <v>23</v>
      </c>
    </row>
    <row r="3859" spans="1:2" ht="12.75" customHeight="1" x14ac:dyDescent="0.25">
      <c r="A3859" s="318">
        <v>91737886019</v>
      </c>
      <c r="B3859" s="318" t="s">
        <v>237</v>
      </c>
    </row>
    <row r="3860" spans="1:2" ht="12.75" customHeight="1" x14ac:dyDescent="0.25">
      <c r="A3860" s="318">
        <v>91737886020</v>
      </c>
      <c r="B3860" s="318" t="s">
        <v>23</v>
      </c>
    </row>
    <row r="3861" spans="1:2" ht="12.75" customHeight="1" x14ac:dyDescent="0.25">
      <c r="A3861" s="318">
        <v>91737886021</v>
      </c>
      <c r="B3861" s="318" t="s">
        <v>237</v>
      </c>
    </row>
    <row r="3862" spans="1:2" ht="12.75" customHeight="1" x14ac:dyDescent="0.25">
      <c r="A3862" s="318">
        <v>91737886105</v>
      </c>
      <c r="B3862" s="318" t="s">
        <v>237</v>
      </c>
    </row>
    <row r="3863" spans="1:2" ht="12.75" customHeight="1" x14ac:dyDescent="0.25">
      <c r="A3863" s="318">
        <v>91737886106</v>
      </c>
      <c r="B3863" s="318" t="s">
        <v>237</v>
      </c>
    </row>
    <row r="3864" spans="1:2" ht="12.75" customHeight="1" x14ac:dyDescent="0.25">
      <c r="A3864" s="318">
        <v>91737886107</v>
      </c>
      <c r="B3864" s="318" t="s">
        <v>237</v>
      </c>
    </row>
    <row r="3865" spans="1:2" ht="12.75" customHeight="1" x14ac:dyDescent="0.25">
      <c r="A3865" s="318">
        <v>91737886108</v>
      </c>
      <c r="B3865" s="318" t="s">
        <v>237</v>
      </c>
    </row>
    <row r="3866" spans="1:2" ht="12.75" customHeight="1" x14ac:dyDescent="0.25">
      <c r="A3866" s="318">
        <v>91737886109</v>
      </c>
      <c r="B3866" s="318" t="s">
        <v>237</v>
      </c>
    </row>
    <row r="3867" spans="1:2" ht="12.75" customHeight="1" x14ac:dyDescent="0.25">
      <c r="A3867" s="318">
        <v>91737886110</v>
      </c>
      <c r="B3867" s="318" t="s">
        <v>237</v>
      </c>
    </row>
    <row r="3868" spans="1:2" ht="12.75" customHeight="1" x14ac:dyDescent="0.25">
      <c r="A3868" s="318">
        <v>91737886111</v>
      </c>
      <c r="B3868" s="318" t="s">
        <v>237</v>
      </c>
    </row>
    <row r="3869" spans="1:2" ht="12.75" customHeight="1" x14ac:dyDescent="0.25">
      <c r="A3869" s="318">
        <v>91737886112</v>
      </c>
      <c r="B3869" s="318" t="s">
        <v>237</v>
      </c>
    </row>
    <row r="3870" spans="1:2" ht="12.75" customHeight="1" x14ac:dyDescent="0.25">
      <c r="A3870" s="318">
        <v>91737886114</v>
      </c>
      <c r="B3870" s="318" t="s">
        <v>237</v>
      </c>
    </row>
    <row r="3871" spans="1:2" ht="12.75" customHeight="1" x14ac:dyDescent="0.25">
      <c r="A3871" s="318">
        <v>91737886115</v>
      </c>
      <c r="B3871" s="318" t="s">
        <v>237</v>
      </c>
    </row>
    <row r="3872" spans="1:2" ht="12.75" customHeight="1" x14ac:dyDescent="0.25">
      <c r="A3872" s="318">
        <v>91737886116</v>
      </c>
      <c r="B3872" s="318" t="s">
        <v>237</v>
      </c>
    </row>
    <row r="3873" spans="1:2" ht="12.75" customHeight="1" x14ac:dyDescent="0.25">
      <c r="A3873" s="318">
        <v>91737886117</v>
      </c>
      <c r="B3873" s="318" t="s">
        <v>237</v>
      </c>
    </row>
    <row r="3874" spans="1:2" ht="12.75" customHeight="1" x14ac:dyDescent="0.25">
      <c r="A3874" s="318">
        <v>91737886118</v>
      </c>
      <c r="B3874" s="318" t="s">
        <v>237</v>
      </c>
    </row>
    <row r="3875" spans="1:2" ht="12.75" customHeight="1" x14ac:dyDescent="0.25">
      <c r="A3875" s="318">
        <v>91737886119</v>
      </c>
      <c r="B3875" s="318" t="s">
        <v>237</v>
      </c>
    </row>
    <row r="3876" spans="1:2" ht="12.75" customHeight="1" x14ac:dyDescent="0.25">
      <c r="A3876" s="318">
        <v>91737886120</v>
      </c>
      <c r="B3876" s="318" t="s">
        <v>237</v>
      </c>
    </row>
    <row r="3877" spans="1:2" ht="12.75" customHeight="1" x14ac:dyDescent="0.25">
      <c r="A3877" s="318">
        <v>91737886121</v>
      </c>
      <c r="B3877" s="318" t="s">
        <v>237</v>
      </c>
    </row>
    <row r="3878" spans="1:2" ht="12.75" customHeight="1" x14ac:dyDescent="0.25">
      <c r="A3878" s="318">
        <v>91738366978</v>
      </c>
      <c r="B3878" s="318" t="s">
        <v>23</v>
      </c>
    </row>
    <row r="3879" spans="1:2" ht="12.75" customHeight="1" x14ac:dyDescent="0.25">
      <c r="A3879" s="318">
        <v>91738366979</v>
      </c>
      <c r="B3879" s="318" t="s">
        <v>23</v>
      </c>
    </row>
    <row r="3880" spans="1:2" ht="12.75" customHeight="1" x14ac:dyDescent="0.25">
      <c r="A3880" s="318">
        <v>91738366980</v>
      </c>
      <c r="B3880" s="318" t="s">
        <v>23</v>
      </c>
    </row>
    <row r="3881" spans="1:2" ht="12.75" customHeight="1" x14ac:dyDescent="0.25">
      <c r="A3881" s="318">
        <v>91738366981</v>
      </c>
      <c r="B3881" s="318" t="s">
        <v>23</v>
      </c>
    </row>
    <row r="3882" spans="1:2" ht="12.75" customHeight="1" x14ac:dyDescent="0.25">
      <c r="A3882" s="318">
        <v>91738366982</v>
      </c>
      <c r="B3882" s="318" t="s">
        <v>23</v>
      </c>
    </row>
    <row r="3883" spans="1:2" ht="12.75" customHeight="1" x14ac:dyDescent="0.25">
      <c r="A3883" s="318">
        <v>91738366983</v>
      </c>
      <c r="B3883" s="318" t="s">
        <v>23</v>
      </c>
    </row>
    <row r="3884" spans="1:2" ht="12.75" customHeight="1" x14ac:dyDescent="0.25">
      <c r="A3884" s="318">
        <v>91738366984</v>
      </c>
      <c r="B3884" s="318" t="s">
        <v>23</v>
      </c>
    </row>
    <row r="3885" spans="1:2" ht="12.75" customHeight="1" x14ac:dyDescent="0.25">
      <c r="A3885" s="318">
        <v>91738366985</v>
      </c>
      <c r="B3885" s="318" t="s">
        <v>237</v>
      </c>
    </row>
    <row r="3886" spans="1:2" ht="12.75" customHeight="1" x14ac:dyDescent="0.25">
      <c r="A3886" s="318">
        <v>91738366987</v>
      </c>
      <c r="B3886" s="318" t="s">
        <v>23</v>
      </c>
    </row>
    <row r="3887" spans="1:2" ht="12.75" customHeight="1" x14ac:dyDescent="0.25">
      <c r="A3887" s="318">
        <v>91738366988</v>
      </c>
      <c r="B3887" s="318" t="s">
        <v>237</v>
      </c>
    </row>
    <row r="3888" spans="1:2" ht="12.75" customHeight="1" x14ac:dyDescent="0.25">
      <c r="A3888" s="318">
        <v>91738366989</v>
      </c>
      <c r="B3888" s="318" t="s">
        <v>23</v>
      </c>
    </row>
    <row r="3889" spans="1:2" ht="12.75" customHeight="1" x14ac:dyDescent="0.25">
      <c r="A3889" s="318">
        <v>91738366990</v>
      </c>
      <c r="B3889" s="318" t="s">
        <v>237</v>
      </c>
    </row>
    <row r="3890" spans="1:2" ht="12.75" customHeight="1" x14ac:dyDescent="0.25">
      <c r="A3890" s="318">
        <v>91738366991</v>
      </c>
      <c r="B3890" s="318" t="s">
        <v>23</v>
      </c>
    </row>
    <row r="3891" spans="1:2" ht="12.75" customHeight="1" x14ac:dyDescent="0.25">
      <c r="A3891" s="318">
        <v>91738366992</v>
      </c>
      <c r="B3891" s="318" t="s">
        <v>237</v>
      </c>
    </row>
    <row r="3892" spans="1:2" ht="12.75" customHeight="1" x14ac:dyDescent="0.25">
      <c r="A3892" s="318">
        <v>91738366993</v>
      </c>
      <c r="B3892" s="318" t="s">
        <v>23</v>
      </c>
    </row>
    <row r="3893" spans="1:2" ht="12.75" customHeight="1" x14ac:dyDescent="0.25">
      <c r="A3893" s="318">
        <v>91738366994</v>
      </c>
      <c r="B3893" s="318" t="s">
        <v>237</v>
      </c>
    </row>
    <row r="3894" spans="1:2" ht="12.75" customHeight="1" x14ac:dyDescent="0.25">
      <c r="A3894" s="318">
        <v>91738367078</v>
      </c>
      <c r="B3894" s="318" t="s">
        <v>237</v>
      </c>
    </row>
    <row r="3895" spans="1:2" ht="12.75" customHeight="1" x14ac:dyDescent="0.25">
      <c r="A3895" s="318">
        <v>91738367079</v>
      </c>
      <c r="B3895" s="318" t="s">
        <v>237</v>
      </c>
    </row>
    <row r="3896" spans="1:2" ht="12.75" customHeight="1" x14ac:dyDescent="0.25">
      <c r="A3896" s="318">
        <v>91738367080</v>
      </c>
      <c r="B3896" s="318" t="s">
        <v>237</v>
      </c>
    </row>
    <row r="3897" spans="1:2" ht="12.75" customHeight="1" x14ac:dyDescent="0.25">
      <c r="A3897" s="318">
        <v>91738367081</v>
      </c>
      <c r="B3897" s="318" t="s">
        <v>237</v>
      </c>
    </row>
    <row r="3898" spans="1:2" ht="12.75" customHeight="1" x14ac:dyDescent="0.25">
      <c r="A3898" s="318">
        <v>91738367082</v>
      </c>
      <c r="B3898" s="318" t="s">
        <v>237</v>
      </c>
    </row>
    <row r="3899" spans="1:2" ht="12.75" customHeight="1" x14ac:dyDescent="0.25">
      <c r="A3899" s="318">
        <v>91738367083</v>
      </c>
      <c r="B3899" s="318" t="s">
        <v>237</v>
      </c>
    </row>
    <row r="3900" spans="1:2" ht="12.75" customHeight="1" x14ac:dyDescent="0.25">
      <c r="A3900" s="318">
        <v>91738367084</v>
      </c>
      <c r="B3900" s="318" t="s">
        <v>237</v>
      </c>
    </row>
    <row r="3901" spans="1:2" ht="12.75" customHeight="1" x14ac:dyDescent="0.25">
      <c r="A3901" s="318">
        <v>91738367085</v>
      </c>
      <c r="B3901" s="318" t="s">
        <v>237</v>
      </c>
    </row>
    <row r="3902" spans="1:2" ht="12.75" customHeight="1" x14ac:dyDescent="0.25">
      <c r="A3902" s="318">
        <v>91738367087</v>
      </c>
      <c r="B3902" s="318" t="s">
        <v>237</v>
      </c>
    </row>
    <row r="3903" spans="1:2" ht="12.75" customHeight="1" x14ac:dyDescent="0.25">
      <c r="A3903" s="318">
        <v>91738367088</v>
      </c>
      <c r="B3903" s="318" t="s">
        <v>237</v>
      </c>
    </row>
    <row r="3904" spans="1:2" ht="12.75" customHeight="1" x14ac:dyDescent="0.25">
      <c r="A3904" s="318">
        <v>91738367089</v>
      </c>
      <c r="B3904" s="318" t="s">
        <v>237</v>
      </c>
    </row>
    <row r="3905" spans="1:2" ht="12.75" customHeight="1" x14ac:dyDescent="0.25">
      <c r="A3905" s="318">
        <v>91738367090</v>
      </c>
      <c r="B3905" s="318" t="s">
        <v>237</v>
      </c>
    </row>
    <row r="3906" spans="1:2" ht="12.75" customHeight="1" x14ac:dyDescent="0.25">
      <c r="A3906" s="318">
        <v>91738367091</v>
      </c>
      <c r="B3906" s="318" t="s">
        <v>237</v>
      </c>
    </row>
    <row r="3907" spans="1:2" ht="12.75" customHeight="1" x14ac:dyDescent="0.25">
      <c r="A3907" s="318">
        <v>91738367092</v>
      </c>
      <c r="B3907" s="318" t="s">
        <v>237</v>
      </c>
    </row>
    <row r="3908" spans="1:2" ht="12.75" customHeight="1" x14ac:dyDescent="0.25">
      <c r="A3908" s="318">
        <v>91738367093</v>
      </c>
      <c r="B3908" s="318" t="s">
        <v>237</v>
      </c>
    </row>
    <row r="3909" spans="1:2" ht="12.75" customHeight="1" x14ac:dyDescent="0.25">
      <c r="A3909" s="318">
        <v>91738367094</v>
      </c>
      <c r="B3909" s="318" t="s">
        <v>237</v>
      </c>
    </row>
    <row r="3910" spans="1:2" ht="12.75" customHeight="1" x14ac:dyDescent="0.25">
      <c r="A3910" s="318">
        <v>91788262869</v>
      </c>
      <c r="B3910" s="318" t="s">
        <v>23</v>
      </c>
    </row>
    <row r="3911" spans="1:2" ht="12.75" customHeight="1" x14ac:dyDescent="0.25">
      <c r="A3911" s="318">
        <v>91788262870</v>
      </c>
      <c r="B3911" s="318" t="s">
        <v>23</v>
      </c>
    </row>
    <row r="3912" spans="1:2" ht="12.75" customHeight="1" x14ac:dyDescent="0.25">
      <c r="A3912" s="318">
        <v>91788262871</v>
      </c>
      <c r="B3912" s="318" t="s">
        <v>23</v>
      </c>
    </row>
    <row r="3913" spans="1:2" ht="12.75" customHeight="1" x14ac:dyDescent="0.25">
      <c r="A3913" s="318">
        <v>91788262872</v>
      </c>
      <c r="B3913" s="318" t="s">
        <v>23</v>
      </c>
    </row>
    <row r="3914" spans="1:2" ht="12.75" customHeight="1" x14ac:dyDescent="0.25">
      <c r="A3914" s="318">
        <v>91788262873</v>
      </c>
      <c r="B3914" s="318" t="s">
        <v>23</v>
      </c>
    </row>
    <row r="3915" spans="1:2" ht="12.75" customHeight="1" x14ac:dyDescent="0.25">
      <c r="A3915" s="318">
        <v>91788262874</v>
      </c>
      <c r="B3915" s="318" t="s">
        <v>23</v>
      </c>
    </row>
    <row r="3916" spans="1:2" ht="12.75" customHeight="1" x14ac:dyDescent="0.25">
      <c r="A3916" s="318">
        <v>91788262875</v>
      </c>
      <c r="B3916" s="318" t="s">
        <v>237</v>
      </c>
    </row>
    <row r="3917" spans="1:2" ht="12.75" customHeight="1" x14ac:dyDescent="0.25">
      <c r="A3917" s="318">
        <v>91788262876</v>
      </c>
      <c r="B3917" s="318" t="s">
        <v>237</v>
      </c>
    </row>
    <row r="3918" spans="1:2" ht="12.75" customHeight="1" x14ac:dyDescent="0.25">
      <c r="A3918" s="318">
        <v>91788262878</v>
      </c>
      <c r="B3918" s="318" t="s">
        <v>237</v>
      </c>
    </row>
    <row r="3919" spans="1:2" ht="12.75" customHeight="1" x14ac:dyDescent="0.25">
      <c r="A3919" s="318">
        <v>91788262879</v>
      </c>
      <c r="B3919" s="318" t="s">
        <v>237</v>
      </c>
    </row>
    <row r="3920" spans="1:2" ht="12.75" customHeight="1" x14ac:dyDescent="0.25">
      <c r="A3920" s="318">
        <v>91788262880</v>
      </c>
      <c r="B3920" s="318" t="s">
        <v>237</v>
      </c>
    </row>
    <row r="3921" spans="1:2" ht="12.75" customHeight="1" x14ac:dyDescent="0.25">
      <c r="A3921" s="318">
        <v>91788262881</v>
      </c>
      <c r="B3921" s="318" t="s">
        <v>237</v>
      </c>
    </row>
    <row r="3922" spans="1:2" ht="12.75" customHeight="1" x14ac:dyDescent="0.25">
      <c r="A3922" s="318">
        <v>91788262882</v>
      </c>
      <c r="B3922" s="318" t="s">
        <v>237</v>
      </c>
    </row>
    <row r="3923" spans="1:2" ht="12.75" customHeight="1" x14ac:dyDescent="0.25">
      <c r="A3923" s="318">
        <v>91788262883</v>
      </c>
      <c r="B3923" s="318" t="s">
        <v>237</v>
      </c>
    </row>
    <row r="3924" spans="1:2" ht="12.75" customHeight="1" x14ac:dyDescent="0.25">
      <c r="A3924" s="318">
        <v>91788262884</v>
      </c>
      <c r="B3924" s="318" t="s">
        <v>237</v>
      </c>
    </row>
    <row r="3925" spans="1:2" ht="12.75" customHeight="1" x14ac:dyDescent="0.25">
      <c r="A3925" s="318">
        <v>91788262885</v>
      </c>
      <c r="B3925" s="318" t="s">
        <v>237</v>
      </c>
    </row>
    <row r="3926" spans="1:2" ht="12.75" customHeight="1" x14ac:dyDescent="0.25">
      <c r="A3926" s="318">
        <v>91788262969</v>
      </c>
      <c r="B3926" s="318" t="s">
        <v>237</v>
      </c>
    </row>
    <row r="3927" spans="1:2" ht="12.75" customHeight="1" x14ac:dyDescent="0.25">
      <c r="A3927" s="318">
        <v>91788262970</v>
      </c>
      <c r="B3927" s="318" t="s">
        <v>237</v>
      </c>
    </row>
    <row r="3928" spans="1:2" ht="12.75" customHeight="1" x14ac:dyDescent="0.25">
      <c r="A3928" s="318">
        <v>91788262971</v>
      </c>
      <c r="B3928" s="318" t="s">
        <v>237</v>
      </c>
    </row>
    <row r="3929" spans="1:2" ht="12.75" customHeight="1" x14ac:dyDescent="0.25">
      <c r="A3929" s="318">
        <v>91788262972</v>
      </c>
      <c r="B3929" s="318" t="s">
        <v>237</v>
      </c>
    </row>
    <row r="3930" spans="1:2" ht="12.75" customHeight="1" x14ac:dyDescent="0.25">
      <c r="A3930" s="318">
        <v>91788262973</v>
      </c>
      <c r="B3930" s="318" t="s">
        <v>237</v>
      </c>
    </row>
    <row r="3931" spans="1:2" ht="12.75" customHeight="1" x14ac:dyDescent="0.25">
      <c r="A3931" s="318">
        <v>91788262974</v>
      </c>
      <c r="B3931" s="318" t="s">
        <v>237</v>
      </c>
    </row>
    <row r="3932" spans="1:2" ht="12.75" customHeight="1" x14ac:dyDescent="0.25">
      <c r="A3932" s="318">
        <v>91788262975</v>
      </c>
      <c r="B3932" s="318" t="s">
        <v>237</v>
      </c>
    </row>
    <row r="3933" spans="1:2" ht="12.75" customHeight="1" x14ac:dyDescent="0.25">
      <c r="A3933" s="318">
        <v>91788262976</v>
      </c>
      <c r="B3933" s="318" t="s">
        <v>237</v>
      </c>
    </row>
    <row r="3934" spans="1:2" ht="12.75" customHeight="1" x14ac:dyDescent="0.25">
      <c r="A3934" s="318">
        <v>91788262978</v>
      </c>
      <c r="B3934" s="318" t="s">
        <v>237</v>
      </c>
    </row>
    <row r="3935" spans="1:2" ht="12.75" customHeight="1" x14ac:dyDescent="0.25">
      <c r="A3935" s="318">
        <v>91788262979</v>
      </c>
      <c r="B3935" s="318" t="s">
        <v>237</v>
      </c>
    </row>
    <row r="3936" spans="1:2" ht="12.75" customHeight="1" x14ac:dyDescent="0.25">
      <c r="A3936" s="318">
        <v>91788262980</v>
      </c>
      <c r="B3936" s="318" t="s">
        <v>237</v>
      </c>
    </row>
    <row r="3937" spans="1:2" ht="12.75" customHeight="1" x14ac:dyDescent="0.25">
      <c r="A3937" s="318">
        <v>91788262981</v>
      </c>
      <c r="B3937" s="318" t="s">
        <v>237</v>
      </c>
    </row>
    <row r="3938" spans="1:2" ht="12.75" customHeight="1" x14ac:dyDescent="0.25">
      <c r="A3938" s="318">
        <v>91788262982</v>
      </c>
      <c r="B3938" s="318" t="s">
        <v>237</v>
      </c>
    </row>
    <row r="3939" spans="1:2" ht="12.75" customHeight="1" x14ac:dyDescent="0.25">
      <c r="A3939" s="318">
        <v>91788262983</v>
      </c>
      <c r="B3939" s="318" t="s">
        <v>237</v>
      </c>
    </row>
    <row r="3940" spans="1:2" ht="12.75" customHeight="1" x14ac:dyDescent="0.25">
      <c r="A3940" s="318">
        <v>91788262984</v>
      </c>
      <c r="B3940" s="318" t="s">
        <v>237</v>
      </c>
    </row>
    <row r="3941" spans="1:2" ht="12.75" customHeight="1" x14ac:dyDescent="0.25">
      <c r="A3941" s="318">
        <v>91788262985</v>
      </c>
      <c r="B3941" s="318" t="s">
        <v>237</v>
      </c>
    </row>
    <row r="3942" spans="1:2" ht="12.75" customHeight="1" x14ac:dyDescent="0.25">
      <c r="A3942" s="318">
        <v>91788743842</v>
      </c>
      <c r="B3942" s="318" t="s">
        <v>23</v>
      </c>
    </row>
    <row r="3943" spans="1:2" ht="12.75" customHeight="1" x14ac:dyDescent="0.25">
      <c r="A3943" s="318">
        <v>91788743843</v>
      </c>
      <c r="B3943" s="318" t="s">
        <v>23</v>
      </c>
    </row>
    <row r="3944" spans="1:2" ht="12.75" customHeight="1" x14ac:dyDescent="0.25">
      <c r="A3944" s="318">
        <v>91788743844</v>
      </c>
      <c r="B3944" s="318" t="s">
        <v>23</v>
      </c>
    </row>
    <row r="3945" spans="1:2" ht="12.75" customHeight="1" x14ac:dyDescent="0.25">
      <c r="A3945" s="318">
        <v>91788743845</v>
      </c>
      <c r="B3945" s="318" t="s">
        <v>23</v>
      </c>
    </row>
    <row r="3946" spans="1:2" ht="12.75" customHeight="1" x14ac:dyDescent="0.25">
      <c r="A3946" s="318">
        <v>91788743846</v>
      </c>
      <c r="B3946" s="318" t="s">
        <v>23</v>
      </c>
    </row>
    <row r="3947" spans="1:2" ht="12.75" customHeight="1" x14ac:dyDescent="0.25">
      <c r="A3947" s="318">
        <v>91788743847</v>
      </c>
      <c r="B3947" s="318" t="s">
        <v>23</v>
      </c>
    </row>
    <row r="3948" spans="1:2" ht="12.75" customHeight="1" x14ac:dyDescent="0.25">
      <c r="A3948" s="318">
        <v>91788743848</v>
      </c>
      <c r="B3948" s="318" t="s">
        <v>237</v>
      </c>
    </row>
    <row r="3949" spans="1:2" ht="12.75" customHeight="1" x14ac:dyDescent="0.25">
      <c r="A3949" s="318">
        <v>91788743849</v>
      </c>
      <c r="B3949" s="318" t="s">
        <v>237</v>
      </c>
    </row>
    <row r="3950" spans="1:2" ht="12.75" customHeight="1" x14ac:dyDescent="0.25">
      <c r="A3950" s="318">
        <v>91788743851</v>
      </c>
      <c r="B3950" s="318" t="s">
        <v>237</v>
      </c>
    </row>
    <row r="3951" spans="1:2" ht="12.75" customHeight="1" x14ac:dyDescent="0.25">
      <c r="A3951" s="318">
        <v>91788743852</v>
      </c>
      <c r="B3951" s="318" t="s">
        <v>237</v>
      </c>
    </row>
    <row r="3952" spans="1:2" ht="12.75" customHeight="1" x14ac:dyDescent="0.25">
      <c r="A3952" s="318">
        <v>91788743853</v>
      </c>
      <c r="B3952" s="318" t="s">
        <v>237</v>
      </c>
    </row>
    <row r="3953" spans="1:2" ht="12.75" customHeight="1" x14ac:dyDescent="0.25">
      <c r="A3953" s="318">
        <v>91788743854</v>
      </c>
      <c r="B3953" s="318" t="s">
        <v>237</v>
      </c>
    </row>
    <row r="3954" spans="1:2" ht="12.75" customHeight="1" x14ac:dyDescent="0.25">
      <c r="A3954" s="318">
        <v>91788743855</v>
      </c>
      <c r="B3954" s="318" t="s">
        <v>237</v>
      </c>
    </row>
    <row r="3955" spans="1:2" ht="12.75" customHeight="1" x14ac:dyDescent="0.25">
      <c r="A3955" s="318">
        <v>91788743856</v>
      </c>
      <c r="B3955" s="318" t="s">
        <v>237</v>
      </c>
    </row>
    <row r="3956" spans="1:2" ht="12.75" customHeight="1" x14ac:dyDescent="0.25">
      <c r="A3956" s="318">
        <v>91788743857</v>
      </c>
      <c r="B3956" s="318" t="s">
        <v>237</v>
      </c>
    </row>
    <row r="3957" spans="1:2" ht="12.75" customHeight="1" x14ac:dyDescent="0.25">
      <c r="A3957" s="318">
        <v>91788743858</v>
      </c>
      <c r="B3957" s="318" t="s">
        <v>237</v>
      </c>
    </row>
    <row r="3958" spans="1:2" ht="12.75" customHeight="1" x14ac:dyDescent="0.25">
      <c r="A3958" s="318">
        <v>91788743942</v>
      </c>
      <c r="B3958" s="318" t="s">
        <v>237</v>
      </c>
    </row>
    <row r="3959" spans="1:2" ht="12.75" customHeight="1" x14ac:dyDescent="0.25">
      <c r="A3959" s="318">
        <v>91788743943</v>
      </c>
      <c r="B3959" s="318" t="s">
        <v>237</v>
      </c>
    </row>
    <row r="3960" spans="1:2" ht="12.75" customHeight="1" x14ac:dyDescent="0.25">
      <c r="A3960" s="318">
        <v>91788743944</v>
      </c>
      <c r="B3960" s="318" t="s">
        <v>237</v>
      </c>
    </row>
    <row r="3961" spans="1:2" ht="12.75" customHeight="1" x14ac:dyDescent="0.25">
      <c r="A3961" s="318">
        <v>91788743945</v>
      </c>
      <c r="B3961" s="318" t="s">
        <v>237</v>
      </c>
    </row>
    <row r="3962" spans="1:2" ht="12.75" customHeight="1" x14ac:dyDescent="0.25">
      <c r="A3962" s="318">
        <v>91788743946</v>
      </c>
      <c r="B3962" s="318" t="s">
        <v>237</v>
      </c>
    </row>
    <row r="3963" spans="1:2" ht="12.75" customHeight="1" x14ac:dyDescent="0.25">
      <c r="A3963" s="318">
        <v>91788743947</v>
      </c>
      <c r="B3963" s="318" t="s">
        <v>237</v>
      </c>
    </row>
    <row r="3964" spans="1:2" ht="12.75" customHeight="1" x14ac:dyDescent="0.25">
      <c r="A3964" s="318">
        <v>91788743948</v>
      </c>
      <c r="B3964" s="318" t="s">
        <v>237</v>
      </c>
    </row>
    <row r="3965" spans="1:2" ht="12.75" customHeight="1" x14ac:dyDescent="0.25">
      <c r="A3965" s="318">
        <v>91788743949</v>
      </c>
      <c r="B3965" s="318" t="s">
        <v>237</v>
      </c>
    </row>
    <row r="3966" spans="1:2" ht="12.75" customHeight="1" x14ac:dyDescent="0.25">
      <c r="A3966" s="318">
        <v>91788743951</v>
      </c>
      <c r="B3966" s="318" t="s">
        <v>237</v>
      </c>
    </row>
    <row r="3967" spans="1:2" ht="12.75" customHeight="1" x14ac:dyDescent="0.25">
      <c r="A3967" s="318">
        <v>91788743952</v>
      </c>
      <c r="B3967" s="318" t="s">
        <v>237</v>
      </c>
    </row>
    <row r="3968" spans="1:2" ht="12.75" customHeight="1" x14ac:dyDescent="0.25">
      <c r="A3968" s="318">
        <v>91788743953</v>
      </c>
      <c r="B3968" s="318" t="s">
        <v>237</v>
      </c>
    </row>
    <row r="3969" spans="1:2" ht="12.75" customHeight="1" x14ac:dyDescent="0.25">
      <c r="A3969" s="318">
        <v>91788743954</v>
      </c>
      <c r="B3969" s="318" t="s">
        <v>237</v>
      </c>
    </row>
    <row r="3970" spans="1:2" ht="12.75" customHeight="1" x14ac:dyDescent="0.25">
      <c r="A3970" s="318">
        <v>91788743955</v>
      </c>
      <c r="B3970" s="318" t="s">
        <v>237</v>
      </c>
    </row>
    <row r="3971" spans="1:2" ht="12.75" customHeight="1" x14ac:dyDescent="0.25">
      <c r="A3971" s="318">
        <v>91788743956</v>
      </c>
      <c r="B3971" s="318" t="s">
        <v>237</v>
      </c>
    </row>
    <row r="3972" spans="1:2" ht="12.75" customHeight="1" x14ac:dyDescent="0.25">
      <c r="A3972" s="318">
        <v>91788743957</v>
      </c>
      <c r="B3972" s="318" t="s">
        <v>237</v>
      </c>
    </row>
    <row r="3973" spans="1:2" ht="12.75" customHeight="1" x14ac:dyDescent="0.25">
      <c r="A3973" s="318">
        <v>91788743958</v>
      </c>
      <c r="B3973" s="318" t="s">
        <v>237</v>
      </c>
    </row>
    <row r="3974" spans="1:2" ht="12.75" customHeight="1" x14ac:dyDescent="0.25">
      <c r="A3974" s="318">
        <v>91789224815</v>
      </c>
      <c r="B3974" s="318" t="s">
        <v>23</v>
      </c>
    </row>
    <row r="3975" spans="1:2" ht="12.75" customHeight="1" x14ac:dyDescent="0.25">
      <c r="A3975" s="318">
        <v>91789224816</v>
      </c>
      <c r="B3975" s="318" t="s">
        <v>23</v>
      </c>
    </row>
    <row r="3976" spans="1:2" ht="12.75" customHeight="1" x14ac:dyDescent="0.25">
      <c r="A3976" s="318">
        <v>91789224817</v>
      </c>
      <c r="B3976" s="318" t="s">
        <v>23</v>
      </c>
    </row>
    <row r="3977" spans="1:2" ht="12.75" customHeight="1" x14ac:dyDescent="0.25">
      <c r="A3977" s="318">
        <v>91789224818</v>
      </c>
      <c r="B3977" s="318" t="s">
        <v>23</v>
      </c>
    </row>
    <row r="3978" spans="1:2" ht="12.75" customHeight="1" x14ac:dyDescent="0.25">
      <c r="A3978" s="318">
        <v>91789224819</v>
      </c>
      <c r="B3978" s="318" t="s">
        <v>23</v>
      </c>
    </row>
    <row r="3979" spans="1:2" ht="12.75" customHeight="1" x14ac:dyDescent="0.25">
      <c r="A3979" s="318">
        <v>91789224820</v>
      </c>
      <c r="B3979" s="318" t="s">
        <v>23</v>
      </c>
    </row>
    <row r="3980" spans="1:2" ht="12.75" customHeight="1" x14ac:dyDescent="0.25">
      <c r="A3980" s="318">
        <v>91789224821</v>
      </c>
      <c r="B3980" s="318" t="s">
        <v>237</v>
      </c>
    </row>
    <row r="3981" spans="1:2" ht="12.75" customHeight="1" x14ac:dyDescent="0.25">
      <c r="A3981" s="318">
        <v>91789224822</v>
      </c>
      <c r="B3981" s="318" t="s">
        <v>237</v>
      </c>
    </row>
    <row r="3982" spans="1:2" ht="12.75" customHeight="1" x14ac:dyDescent="0.25">
      <c r="A3982" s="318">
        <v>91789224824</v>
      </c>
      <c r="B3982" s="318" t="s">
        <v>237</v>
      </c>
    </row>
    <row r="3983" spans="1:2" ht="12.75" customHeight="1" x14ac:dyDescent="0.25">
      <c r="A3983" s="318">
        <v>91789224825</v>
      </c>
      <c r="B3983" s="318" t="s">
        <v>237</v>
      </c>
    </row>
    <row r="3984" spans="1:2" ht="12.75" customHeight="1" x14ac:dyDescent="0.25">
      <c r="A3984" s="318">
        <v>91789224826</v>
      </c>
      <c r="B3984" s="318" t="s">
        <v>237</v>
      </c>
    </row>
    <row r="3985" spans="1:2" ht="12.75" customHeight="1" x14ac:dyDescent="0.25">
      <c r="A3985" s="318">
        <v>91789224827</v>
      </c>
      <c r="B3985" s="318" t="s">
        <v>237</v>
      </c>
    </row>
    <row r="3986" spans="1:2" ht="12.75" customHeight="1" x14ac:dyDescent="0.25">
      <c r="A3986" s="318">
        <v>91789224828</v>
      </c>
      <c r="B3986" s="318" t="s">
        <v>237</v>
      </c>
    </row>
    <row r="3987" spans="1:2" ht="12.75" customHeight="1" x14ac:dyDescent="0.25">
      <c r="A3987" s="318">
        <v>91789224829</v>
      </c>
      <c r="B3987" s="318" t="s">
        <v>237</v>
      </c>
    </row>
    <row r="3988" spans="1:2" ht="12.75" customHeight="1" x14ac:dyDescent="0.25">
      <c r="A3988" s="318">
        <v>91789224830</v>
      </c>
      <c r="B3988" s="318" t="s">
        <v>237</v>
      </c>
    </row>
    <row r="3989" spans="1:2" ht="12.75" customHeight="1" x14ac:dyDescent="0.25">
      <c r="A3989" s="318">
        <v>91789224831</v>
      </c>
      <c r="B3989" s="318" t="s">
        <v>237</v>
      </c>
    </row>
    <row r="3990" spans="1:2" ht="12.75" customHeight="1" x14ac:dyDescent="0.25">
      <c r="A3990" s="318">
        <v>91789224915</v>
      </c>
      <c r="B3990" s="318" t="s">
        <v>237</v>
      </c>
    </row>
    <row r="3991" spans="1:2" ht="12.75" customHeight="1" x14ac:dyDescent="0.25">
      <c r="A3991" s="318">
        <v>91789224916</v>
      </c>
      <c r="B3991" s="318" t="s">
        <v>237</v>
      </c>
    </row>
    <row r="3992" spans="1:2" ht="12.75" customHeight="1" x14ac:dyDescent="0.25">
      <c r="A3992" s="318">
        <v>91789224917</v>
      </c>
      <c r="B3992" s="318" t="s">
        <v>237</v>
      </c>
    </row>
    <row r="3993" spans="1:2" ht="12.75" customHeight="1" x14ac:dyDescent="0.25">
      <c r="A3993" s="318">
        <v>91789224918</v>
      </c>
      <c r="B3993" s="318" t="s">
        <v>237</v>
      </c>
    </row>
    <row r="3994" spans="1:2" ht="12.75" customHeight="1" x14ac:dyDescent="0.25">
      <c r="A3994" s="318">
        <v>91789224919</v>
      </c>
      <c r="B3994" s="318" t="s">
        <v>237</v>
      </c>
    </row>
    <row r="3995" spans="1:2" ht="12.75" customHeight="1" x14ac:dyDescent="0.25">
      <c r="A3995" s="318">
        <v>91789224920</v>
      </c>
      <c r="B3995" s="318" t="s">
        <v>237</v>
      </c>
    </row>
    <row r="3996" spans="1:2" ht="12.75" customHeight="1" x14ac:dyDescent="0.25">
      <c r="A3996" s="318">
        <v>91789224921</v>
      </c>
      <c r="B3996" s="318" t="s">
        <v>237</v>
      </c>
    </row>
    <row r="3997" spans="1:2" ht="12.75" customHeight="1" x14ac:dyDescent="0.25">
      <c r="A3997" s="318">
        <v>91789224922</v>
      </c>
      <c r="B3997" s="318" t="s">
        <v>237</v>
      </c>
    </row>
    <row r="3998" spans="1:2" ht="12.75" customHeight="1" x14ac:dyDescent="0.25">
      <c r="A3998" s="318">
        <v>91789224924</v>
      </c>
      <c r="B3998" s="318" t="s">
        <v>237</v>
      </c>
    </row>
    <row r="3999" spans="1:2" ht="12.75" customHeight="1" x14ac:dyDescent="0.25">
      <c r="A3999" s="318">
        <v>91789224925</v>
      </c>
      <c r="B3999" s="318" t="s">
        <v>237</v>
      </c>
    </row>
    <row r="4000" spans="1:2" ht="12.75" customHeight="1" x14ac:dyDescent="0.25">
      <c r="A4000" s="318">
        <v>91789224926</v>
      </c>
      <c r="B4000" s="318" t="s">
        <v>237</v>
      </c>
    </row>
    <row r="4001" spans="1:2" ht="12.75" customHeight="1" x14ac:dyDescent="0.25">
      <c r="A4001" s="318">
        <v>91789224927</v>
      </c>
      <c r="B4001" s="318" t="s">
        <v>237</v>
      </c>
    </row>
    <row r="4002" spans="1:2" ht="12.75" customHeight="1" x14ac:dyDescent="0.25">
      <c r="A4002" s="318">
        <v>91789224928</v>
      </c>
      <c r="B4002" s="318" t="s">
        <v>237</v>
      </c>
    </row>
    <row r="4003" spans="1:2" ht="12.75" customHeight="1" x14ac:dyDescent="0.25">
      <c r="A4003" s="318">
        <v>91789224929</v>
      </c>
      <c r="B4003" s="318" t="s">
        <v>237</v>
      </c>
    </row>
    <row r="4004" spans="1:2" ht="12.75" customHeight="1" x14ac:dyDescent="0.25">
      <c r="A4004" s="318">
        <v>91789224930</v>
      </c>
      <c r="B4004" s="318" t="s">
        <v>237</v>
      </c>
    </row>
    <row r="4005" spans="1:2" ht="12.75" customHeight="1" x14ac:dyDescent="0.25">
      <c r="A4005" s="318">
        <v>91789224931</v>
      </c>
      <c r="B4005" s="318" t="s">
        <v>237</v>
      </c>
    </row>
    <row r="4006" spans="1:2" ht="12.75" customHeight="1" x14ac:dyDescent="0.25">
      <c r="A4006" s="318">
        <v>91789905006</v>
      </c>
      <c r="B4006" s="318" t="s">
        <v>23</v>
      </c>
    </row>
    <row r="4007" spans="1:2" ht="12.75" customHeight="1" x14ac:dyDescent="0.25">
      <c r="A4007" s="318">
        <v>91789905007</v>
      </c>
      <c r="B4007" s="318" t="s">
        <v>23</v>
      </c>
    </row>
    <row r="4008" spans="1:2" ht="12.75" customHeight="1" x14ac:dyDescent="0.25">
      <c r="A4008" s="318">
        <v>91789905008</v>
      </c>
      <c r="B4008" s="318" t="s">
        <v>23</v>
      </c>
    </row>
    <row r="4009" spans="1:2" ht="12.75" customHeight="1" x14ac:dyDescent="0.25">
      <c r="A4009" s="318">
        <v>91789905009</v>
      </c>
      <c r="B4009" s="318" t="s">
        <v>23</v>
      </c>
    </row>
    <row r="4010" spans="1:2" ht="12.75" customHeight="1" x14ac:dyDescent="0.25">
      <c r="A4010" s="318">
        <v>91789905010</v>
      </c>
      <c r="B4010" s="318" t="s">
        <v>23</v>
      </c>
    </row>
    <row r="4011" spans="1:2" ht="12.75" customHeight="1" x14ac:dyDescent="0.25">
      <c r="A4011" s="318">
        <v>91789905011</v>
      </c>
      <c r="B4011" s="318" t="s">
        <v>23</v>
      </c>
    </row>
    <row r="4012" spans="1:2" ht="12.75" customHeight="1" x14ac:dyDescent="0.25">
      <c r="A4012" s="318">
        <v>91789905012</v>
      </c>
      <c r="B4012" s="318" t="s">
        <v>237</v>
      </c>
    </row>
    <row r="4013" spans="1:2" ht="12.75" customHeight="1" x14ac:dyDescent="0.25">
      <c r="A4013" s="318">
        <v>91789905013</v>
      </c>
      <c r="B4013" s="318" t="s">
        <v>237</v>
      </c>
    </row>
    <row r="4014" spans="1:2" ht="12.75" customHeight="1" x14ac:dyDescent="0.25">
      <c r="A4014" s="318">
        <v>91789905015</v>
      </c>
      <c r="B4014" s="318" t="s">
        <v>237</v>
      </c>
    </row>
    <row r="4015" spans="1:2" ht="12.75" customHeight="1" x14ac:dyDescent="0.25">
      <c r="A4015" s="318">
        <v>91789905016</v>
      </c>
      <c r="B4015" s="318" t="s">
        <v>237</v>
      </c>
    </row>
    <row r="4016" spans="1:2" ht="12.75" customHeight="1" x14ac:dyDescent="0.25">
      <c r="A4016" s="318">
        <v>91789905017</v>
      </c>
      <c r="B4016" s="318" t="s">
        <v>237</v>
      </c>
    </row>
    <row r="4017" spans="1:2" ht="12.75" customHeight="1" x14ac:dyDescent="0.25">
      <c r="A4017" s="318">
        <v>91789905018</v>
      </c>
      <c r="B4017" s="318" t="s">
        <v>237</v>
      </c>
    </row>
    <row r="4018" spans="1:2" ht="12.75" customHeight="1" x14ac:dyDescent="0.25">
      <c r="A4018" s="318">
        <v>91789905019</v>
      </c>
      <c r="B4018" s="318" t="s">
        <v>237</v>
      </c>
    </row>
    <row r="4019" spans="1:2" ht="12.75" customHeight="1" x14ac:dyDescent="0.25">
      <c r="A4019" s="318">
        <v>91789905020</v>
      </c>
      <c r="B4019" s="318" t="s">
        <v>237</v>
      </c>
    </row>
    <row r="4020" spans="1:2" ht="12.75" customHeight="1" x14ac:dyDescent="0.25">
      <c r="A4020" s="318">
        <v>91789905021</v>
      </c>
      <c r="B4020" s="318" t="s">
        <v>237</v>
      </c>
    </row>
    <row r="4021" spans="1:2" ht="12.75" customHeight="1" x14ac:dyDescent="0.25">
      <c r="A4021" s="318">
        <v>91789905022</v>
      </c>
      <c r="B4021" s="318" t="s">
        <v>237</v>
      </c>
    </row>
    <row r="4022" spans="1:2" ht="12.75" customHeight="1" x14ac:dyDescent="0.25">
      <c r="A4022" s="318">
        <v>91789905106</v>
      </c>
      <c r="B4022" s="318" t="s">
        <v>237</v>
      </c>
    </row>
    <row r="4023" spans="1:2" ht="12.75" customHeight="1" x14ac:dyDescent="0.25">
      <c r="A4023" s="318">
        <v>91789905107</v>
      </c>
      <c r="B4023" s="318" t="s">
        <v>237</v>
      </c>
    </row>
    <row r="4024" spans="1:2" ht="12.75" customHeight="1" x14ac:dyDescent="0.25">
      <c r="A4024" s="318">
        <v>91789905108</v>
      </c>
      <c r="B4024" s="318" t="s">
        <v>237</v>
      </c>
    </row>
    <row r="4025" spans="1:2" ht="12.75" customHeight="1" x14ac:dyDescent="0.25">
      <c r="A4025" s="318">
        <v>91789905109</v>
      </c>
      <c r="B4025" s="318" t="s">
        <v>237</v>
      </c>
    </row>
    <row r="4026" spans="1:2" ht="12.75" customHeight="1" x14ac:dyDescent="0.25">
      <c r="A4026" s="318">
        <v>91789905110</v>
      </c>
      <c r="B4026" s="318" t="s">
        <v>237</v>
      </c>
    </row>
    <row r="4027" spans="1:2" ht="12.75" customHeight="1" x14ac:dyDescent="0.25">
      <c r="A4027" s="318">
        <v>91789905111</v>
      </c>
      <c r="B4027" s="318" t="s">
        <v>237</v>
      </c>
    </row>
    <row r="4028" spans="1:2" ht="12.75" customHeight="1" x14ac:dyDescent="0.25">
      <c r="A4028" s="318">
        <v>91789905112</v>
      </c>
      <c r="B4028" s="318" t="s">
        <v>237</v>
      </c>
    </row>
    <row r="4029" spans="1:2" ht="12.75" customHeight="1" x14ac:dyDescent="0.25">
      <c r="A4029" s="318">
        <v>91789905113</v>
      </c>
      <c r="B4029" s="318" t="s">
        <v>237</v>
      </c>
    </row>
    <row r="4030" spans="1:2" ht="12.75" customHeight="1" x14ac:dyDescent="0.25">
      <c r="A4030" s="318">
        <v>91789905115</v>
      </c>
      <c r="B4030" s="318" t="s">
        <v>237</v>
      </c>
    </row>
    <row r="4031" spans="1:2" ht="12.75" customHeight="1" x14ac:dyDescent="0.25">
      <c r="A4031" s="318">
        <v>91789905116</v>
      </c>
      <c r="B4031" s="318" t="s">
        <v>237</v>
      </c>
    </row>
    <row r="4032" spans="1:2" ht="12.75" customHeight="1" x14ac:dyDescent="0.25">
      <c r="A4032" s="318">
        <v>91789905117</v>
      </c>
      <c r="B4032" s="318" t="s">
        <v>237</v>
      </c>
    </row>
    <row r="4033" spans="1:2" ht="12.75" customHeight="1" x14ac:dyDescent="0.25">
      <c r="A4033" s="318">
        <v>91789905118</v>
      </c>
      <c r="B4033" s="318" t="s">
        <v>237</v>
      </c>
    </row>
    <row r="4034" spans="1:2" ht="12.75" customHeight="1" x14ac:dyDescent="0.25">
      <c r="A4034" s="318">
        <v>91789905119</v>
      </c>
      <c r="B4034" s="318" t="s">
        <v>237</v>
      </c>
    </row>
    <row r="4035" spans="1:2" ht="12.75" customHeight="1" x14ac:dyDescent="0.25">
      <c r="A4035" s="318">
        <v>91789905120</v>
      </c>
      <c r="B4035" s="318" t="s">
        <v>237</v>
      </c>
    </row>
    <row r="4036" spans="1:2" ht="12.75" customHeight="1" x14ac:dyDescent="0.25">
      <c r="A4036" s="318">
        <v>91789905121</v>
      </c>
      <c r="B4036" s="318" t="s">
        <v>237</v>
      </c>
    </row>
    <row r="4037" spans="1:2" ht="12.75" customHeight="1" x14ac:dyDescent="0.25">
      <c r="A4037" s="318">
        <v>91789905122</v>
      </c>
      <c r="B4037" s="318" t="s">
        <v>237</v>
      </c>
    </row>
    <row r="4038" spans="1:2" ht="12.75" customHeight="1" x14ac:dyDescent="0.25">
      <c r="A4038" s="318">
        <v>91790385979</v>
      </c>
      <c r="B4038" s="318" t="s">
        <v>23</v>
      </c>
    </row>
    <row r="4039" spans="1:2" ht="12.75" customHeight="1" x14ac:dyDescent="0.25">
      <c r="A4039" s="318">
        <v>91790385980</v>
      </c>
      <c r="B4039" s="318" t="s">
        <v>23</v>
      </c>
    </row>
    <row r="4040" spans="1:2" ht="12.75" customHeight="1" x14ac:dyDescent="0.25">
      <c r="A4040" s="318">
        <v>91790385981</v>
      </c>
      <c r="B4040" s="318" t="s">
        <v>23</v>
      </c>
    </row>
    <row r="4041" spans="1:2" ht="12.75" customHeight="1" x14ac:dyDescent="0.25">
      <c r="A4041" s="318">
        <v>91790385982</v>
      </c>
      <c r="B4041" s="318" t="s">
        <v>23</v>
      </c>
    </row>
    <row r="4042" spans="1:2" ht="12.75" customHeight="1" x14ac:dyDescent="0.25">
      <c r="A4042" s="318">
        <v>91790385983</v>
      </c>
      <c r="B4042" s="318" t="s">
        <v>23</v>
      </c>
    </row>
    <row r="4043" spans="1:2" ht="12.75" customHeight="1" x14ac:dyDescent="0.25">
      <c r="A4043" s="318">
        <v>91790385984</v>
      </c>
      <c r="B4043" s="318" t="s">
        <v>23</v>
      </c>
    </row>
    <row r="4044" spans="1:2" ht="12.75" customHeight="1" x14ac:dyDescent="0.25">
      <c r="A4044" s="318">
        <v>91790385985</v>
      </c>
      <c r="B4044" s="318" t="s">
        <v>237</v>
      </c>
    </row>
    <row r="4045" spans="1:2" ht="12.75" customHeight="1" x14ac:dyDescent="0.25">
      <c r="A4045" s="318">
        <v>91790385986</v>
      </c>
      <c r="B4045" s="318" t="s">
        <v>237</v>
      </c>
    </row>
    <row r="4046" spans="1:2" ht="12.75" customHeight="1" x14ac:dyDescent="0.25">
      <c r="A4046" s="318">
        <v>91790385988</v>
      </c>
      <c r="B4046" s="318" t="s">
        <v>237</v>
      </c>
    </row>
    <row r="4047" spans="1:2" ht="12.75" customHeight="1" x14ac:dyDescent="0.25">
      <c r="A4047" s="318">
        <v>91790385989</v>
      </c>
      <c r="B4047" s="318" t="s">
        <v>237</v>
      </c>
    </row>
    <row r="4048" spans="1:2" ht="12.75" customHeight="1" x14ac:dyDescent="0.25">
      <c r="A4048" s="318">
        <v>91790385990</v>
      </c>
      <c r="B4048" s="318" t="s">
        <v>237</v>
      </c>
    </row>
    <row r="4049" spans="1:2" ht="12.75" customHeight="1" x14ac:dyDescent="0.25">
      <c r="A4049" s="318">
        <v>91790385991</v>
      </c>
      <c r="B4049" s="318" t="s">
        <v>237</v>
      </c>
    </row>
    <row r="4050" spans="1:2" ht="12.75" customHeight="1" x14ac:dyDescent="0.25">
      <c r="A4050" s="318">
        <v>91790385992</v>
      </c>
      <c r="B4050" s="318" t="s">
        <v>237</v>
      </c>
    </row>
    <row r="4051" spans="1:2" ht="12.75" customHeight="1" x14ac:dyDescent="0.25">
      <c r="A4051" s="318">
        <v>91790385993</v>
      </c>
      <c r="B4051" s="318" t="s">
        <v>237</v>
      </c>
    </row>
    <row r="4052" spans="1:2" ht="12.75" customHeight="1" x14ac:dyDescent="0.25">
      <c r="A4052" s="318">
        <v>91790385994</v>
      </c>
      <c r="B4052" s="318" t="s">
        <v>237</v>
      </c>
    </row>
    <row r="4053" spans="1:2" ht="12.75" customHeight="1" x14ac:dyDescent="0.25">
      <c r="A4053" s="318">
        <v>91790385995</v>
      </c>
      <c r="B4053" s="318" t="s">
        <v>237</v>
      </c>
    </row>
    <row r="4054" spans="1:2" ht="12.75" customHeight="1" x14ac:dyDescent="0.25">
      <c r="A4054" s="318">
        <v>91790386079</v>
      </c>
      <c r="B4054" s="318" t="s">
        <v>237</v>
      </c>
    </row>
    <row r="4055" spans="1:2" ht="12.75" customHeight="1" x14ac:dyDescent="0.25">
      <c r="A4055" s="318">
        <v>91790386080</v>
      </c>
      <c r="B4055" s="318" t="s">
        <v>237</v>
      </c>
    </row>
    <row r="4056" spans="1:2" ht="12.75" customHeight="1" x14ac:dyDescent="0.25">
      <c r="A4056" s="318">
        <v>91790386081</v>
      </c>
      <c r="B4056" s="318" t="s">
        <v>237</v>
      </c>
    </row>
    <row r="4057" spans="1:2" ht="12.75" customHeight="1" x14ac:dyDescent="0.25">
      <c r="A4057" s="318">
        <v>91790386082</v>
      </c>
      <c r="B4057" s="318" t="s">
        <v>237</v>
      </c>
    </row>
    <row r="4058" spans="1:2" ht="12.75" customHeight="1" x14ac:dyDescent="0.25">
      <c r="A4058" s="318">
        <v>91790386083</v>
      </c>
      <c r="B4058" s="318" t="s">
        <v>237</v>
      </c>
    </row>
    <row r="4059" spans="1:2" ht="12.75" customHeight="1" x14ac:dyDescent="0.25">
      <c r="A4059" s="318">
        <v>91790386084</v>
      </c>
      <c r="B4059" s="318" t="s">
        <v>237</v>
      </c>
    </row>
    <row r="4060" spans="1:2" ht="12.75" customHeight="1" x14ac:dyDescent="0.25">
      <c r="A4060" s="318">
        <v>91790386085</v>
      </c>
      <c r="B4060" s="318" t="s">
        <v>237</v>
      </c>
    </row>
    <row r="4061" spans="1:2" ht="12.75" customHeight="1" x14ac:dyDescent="0.25">
      <c r="A4061" s="318">
        <v>91790386086</v>
      </c>
      <c r="B4061" s="318" t="s">
        <v>237</v>
      </c>
    </row>
    <row r="4062" spans="1:2" ht="12.75" customHeight="1" x14ac:dyDescent="0.25">
      <c r="A4062" s="318">
        <v>91790386088</v>
      </c>
      <c r="B4062" s="318" t="s">
        <v>237</v>
      </c>
    </row>
    <row r="4063" spans="1:2" ht="12.75" customHeight="1" x14ac:dyDescent="0.25">
      <c r="A4063" s="318">
        <v>91790386089</v>
      </c>
      <c r="B4063" s="318" t="s">
        <v>237</v>
      </c>
    </row>
    <row r="4064" spans="1:2" ht="12.75" customHeight="1" x14ac:dyDescent="0.25">
      <c r="A4064" s="318">
        <v>91790386090</v>
      </c>
      <c r="B4064" s="318" t="s">
        <v>237</v>
      </c>
    </row>
    <row r="4065" spans="1:2" ht="12.75" customHeight="1" x14ac:dyDescent="0.25">
      <c r="A4065" s="318">
        <v>91790386091</v>
      </c>
      <c r="B4065" s="318" t="s">
        <v>237</v>
      </c>
    </row>
    <row r="4066" spans="1:2" ht="12.75" customHeight="1" x14ac:dyDescent="0.25">
      <c r="A4066" s="318">
        <v>91790386092</v>
      </c>
      <c r="B4066" s="318" t="s">
        <v>237</v>
      </c>
    </row>
    <row r="4067" spans="1:2" ht="12.75" customHeight="1" x14ac:dyDescent="0.25">
      <c r="A4067" s="318">
        <v>91790386093</v>
      </c>
      <c r="B4067" s="318" t="s">
        <v>237</v>
      </c>
    </row>
    <row r="4068" spans="1:2" ht="12.75" customHeight="1" x14ac:dyDescent="0.25">
      <c r="A4068" s="318">
        <v>91790386094</v>
      </c>
      <c r="B4068" s="318" t="s">
        <v>237</v>
      </c>
    </row>
    <row r="4069" spans="1:2" ht="12.75" customHeight="1" x14ac:dyDescent="0.25">
      <c r="A4069" s="318">
        <v>91790386095</v>
      </c>
      <c r="B4069" s="318" t="s">
        <v>237</v>
      </c>
    </row>
    <row r="4070" spans="1:2" ht="12.75" customHeight="1" x14ac:dyDescent="0.25">
      <c r="A4070" s="318">
        <v>91790866952</v>
      </c>
      <c r="B4070" s="318" t="s">
        <v>23</v>
      </c>
    </row>
    <row r="4071" spans="1:2" ht="12.75" customHeight="1" x14ac:dyDescent="0.25">
      <c r="A4071" s="318">
        <v>91790866953</v>
      </c>
      <c r="B4071" s="318" t="s">
        <v>23</v>
      </c>
    </row>
    <row r="4072" spans="1:2" ht="12.75" customHeight="1" x14ac:dyDescent="0.25">
      <c r="A4072" s="318">
        <v>91790866954</v>
      </c>
      <c r="B4072" s="318" t="s">
        <v>23</v>
      </c>
    </row>
    <row r="4073" spans="1:2" ht="12.75" customHeight="1" x14ac:dyDescent="0.25">
      <c r="A4073" s="318">
        <v>91790866955</v>
      </c>
      <c r="B4073" s="318" t="s">
        <v>23</v>
      </c>
    </row>
    <row r="4074" spans="1:2" ht="12.75" customHeight="1" x14ac:dyDescent="0.25">
      <c r="A4074" s="318">
        <v>91790866956</v>
      </c>
      <c r="B4074" s="318" t="s">
        <v>23</v>
      </c>
    </row>
    <row r="4075" spans="1:2" ht="12.75" customHeight="1" x14ac:dyDescent="0.25">
      <c r="A4075" s="318">
        <v>91790866957</v>
      </c>
      <c r="B4075" s="318" t="s">
        <v>23</v>
      </c>
    </row>
    <row r="4076" spans="1:2" ht="12.75" customHeight="1" x14ac:dyDescent="0.25">
      <c r="A4076" s="318">
        <v>91790866958</v>
      </c>
      <c r="B4076" s="318" t="s">
        <v>237</v>
      </c>
    </row>
    <row r="4077" spans="1:2" ht="12.75" customHeight="1" x14ac:dyDescent="0.25">
      <c r="A4077" s="318">
        <v>91790866959</v>
      </c>
      <c r="B4077" s="318" t="s">
        <v>237</v>
      </c>
    </row>
    <row r="4078" spans="1:2" ht="12.75" customHeight="1" x14ac:dyDescent="0.25">
      <c r="A4078" s="318">
        <v>91790866961</v>
      </c>
      <c r="B4078" s="318" t="s">
        <v>237</v>
      </c>
    </row>
    <row r="4079" spans="1:2" ht="12.75" customHeight="1" x14ac:dyDescent="0.25">
      <c r="A4079" s="318">
        <v>91790866962</v>
      </c>
      <c r="B4079" s="318" t="s">
        <v>237</v>
      </c>
    </row>
    <row r="4080" spans="1:2" ht="12.75" customHeight="1" x14ac:dyDescent="0.25">
      <c r="A4080" s="318">
        <v>91790866963</v>
      </c>
      <c r="B4080" s="318" t="s">
        <v>237</v>
      </c>
    </row>
    <row r="4081" spans="1:2" ht="12.75" customHeight="1" x14ac:dyDescent="0.25">
      <c r="A4081" s="318">
        <v>91790866964</v>
      </c>
      <c r="B4081" s="318" t="s">
        <v>237</v>
      </c>
    </row>
    <row r="4082" spans="1:2" ht="12.75" customHeight="1" x14ac:dyDescent="0.25">
      <c r="A4082" s="318">
        <v>91790866965</v>
      </c>
      <c r="B4082" s="318" t="s">
        <v>237</v>
      </c>
    </row>
    <row r="4083" spans="1:2" ht="12.75" customHeight="1" x14ac:dyDescent="0.25">
      <c r="A4083" s="318">
        <v>91790866966</v>
      </c>
      <c r="B4083" s="318" t="s">
        <v>237</v>
      </c>
    </row>
    <row r="4084" spans="1:2" ht="12.75" customHeight="1" x14ac:dyDescent="0.25">
      <c r="A4084" s="318">
        <v>91790866967</v>
      </c>
      <c r="B4084" s="318" t="s">
        <v>237</v>
      </c>
    </row>
    <row r="4085" spans="1:2" ht="12.75" customHeight="1" x14ac:dyDescent="0.25">
      <c r="A4085" s="318">
        <v>91790866968</v>
      </c>
      <c r="B4085" s="318" t="s">
        <v>237</v>
      </c>
    </row>
    <row r="4086" spans="1:2" ht="12.75" customHeight="1" x14ac:dyDescent="0.25">
      <c r="A4086" s="318">
        <v>91790867052</v>
      </c>
      <c r="B4086" s="318" t="s">
        <v>237</v>
      </c>
    </row>
    <row r="4087" spans="1:2" ht="12.75" customHeight="1" x14ac:dyDescent="0.25">
      <c r="A4087" s="318">
        <v>91790867053</v>
      </c>
      <c r="B4087" s="318" t="s">
        <v>237</v>
      </c>
    </row>
    <row r="4088" spans="1:2" ht="12.75" customHeight="1" x14ac:dyDescent="0.25">
      <c r="A4088" s="318">
        <v>91790867054</v>
      </c>
      <c r="B4088" s="318" t="s">
        <v>237</v>
      </c>
    </row>
    <row r="4089" spans="1:2" ht="12.75" customHeight="1" x14ac:dyDescent="0.25">
      <c r="A4089" s="318">
        <v>91790867055</v>
      </c>
      <c r="B4089" s="318" t="s">
        <v>237</v>
      </c>
    </row>
    <row r="4090" spans="1:2" ht="12.75" customHeight="1" x14ac:dyDescent="0.25">
      <c r="A4090" s="318">
        <v>91790867056</v>
      </c>
      <c r="B4090" s="318" t="s">
        <v>237</v>
      </c>
    </row>
    <row r="4091" spans="1:2" ht="12.75" customHeight="1" x14ac:dyDescent="0.25">
      <c r="A4091" s="318">
        <v>91790867057</v>
      </c>
      <c r="B4091" s="318" t="s">
        <v>237</v>
      </c>
    </row>
    <row r="4092" spans="1:2" ht="12.75" customHeight="1" x14ac:dyDescent="0.25">
      <c r="A4092" s="318">
        <v>91790867058</v>
      </c>
      <c r="B4092" s="318" t="s">
        <v>237</v>
      </c>
    </row>
    <row r="4093" spans="1:2" ht="12.75" customHeight="1" x14ac:dyDescent="0.25">
      <c r="A4093" s="318">
        <v>91790867059</v>
      </c>
      <c r="B4093" s="318" t="s">
        <v>237</v>
      </c>
    </row>
    <row r="4094" spans="1:2" ht="12.75" customHeight="1" x14ac:dyDescent="0.25">
      <c r="A4094" s="318">
        <v>91790867061</v>
      </c>
      <c r="B4094" s="318" t="s">
        <v>237</v>
      </c>
    </row>
    <row r="4095" spans="1:2" ht="12.75" customHeight="1" x14ac:dyDescent="0.25">
      <c r="A4095" s="318">
        <v>91790867062</v>
      </c>
      <c r="B4095" s="318" t="s">
        <v>237</v>
      </c>
    </row>
    <row r="4096" spans="1:2" ht="12.75" customHeight="1" x14ac:dyDescent="0.25">
      <c r="A4096" s="318">
        <v>91790867063</v>
      </c>
      <c r="B4096" s="318" t="s">
        <v>237</v>
      </c>
    </row>
    <row r="4097" spans="1:2" ht="12.75" customHeight="1" x14ac:dyDescent="0.25">
      <c r="A4097" s="318">
        <v>91790867064</v>
      </c>
      <c r="B4097" s="318" t="s">
        <v>237</v>
      </c>
    </row>
    <row r="4098" spans="1:2" ht="12.75" customHeight="1" x14ac:dyDescent="0.25">
      <c r="A4098" s="318">
        <v>91790867065</v>
      </c>
      <c r="B4098" s="318" t="s">
        <v>237</v>
      </c>
    </row>
    <row r="4099" spans="1:2" ht="12.75" customHeight="1" x14ac:dyDescent="0.25">
      <c r="A4099" s="318">
        <v>91790867066</v>
      </c>
      <c r="B4099" s="318" t="s">
        <v>237</v>
      </c>
    </row>
    <row r="4100" spans="1:2" ht="12.75" customHeight="1" x14ac:dyDescent="0.25">
      <c r="A4100" s="318">
        <v>91790867067</v>
      </c>
      <c r="B4100" s="318" t="s">
        <v>237</v>
      </c>
    </row>
    <row r="4101" spans="1:2" ht="12.75" customHeight="1" x14ac:dyDescent="0.25">
      <c r="A4101" s="318">
        <v>91790867068</v>
      </c>
      <c r="B4101" s="318" t="s">
        <v>237</v>
      </c>
    </row>
    <row r="4102" spans="1:2" ht="12.75" customHeight="1" x14ac:dyDescent="0.25">
      <c r="A4102" s="318">
        <v>91791547143</v>
      </c>
      <c r="B4102" s="318" t="s">
        <v>23</v>
      </c>
    </row>
    <row r="4103" spans="1:2" ht="12.75" customHeight="1" x14ac:dyDescent="0.25">
      <c r="A4103" s="318">
        <v>91791547144</v>
      </c>
      <c r="B4103" s="318" t="s">
        <v>23</v>
      </c>
    </row>
    <row r="4104" spans="1:2" ht="12.75" customHeight="1" x14ac:dyDescent="0.25">
      <c r="A4104" s="318">
        <v>91791547145</v>
      </c>
      <c r="B4104" s="318" t="s">
        <v>23</v>
      </c>
    </row>
    <row r="4105" spans="1:2" ht="12.75" customHeight="1" x14ac:dyDescent="0.25">
      <c r="A4105" s="318">
        <v>91791547146</v>
      </c>
      <c r="B4105" s="318" t="s">
        <v>23</v>
      </c>
    </row>
    <row r="4106" spans="1:2" ht="12.75" customHeight="1" x14ac:dyDescent="0.25">
      <c r="A4106" s="318">
        <v>91791547147</v>
      </c>
      <c r="B4106" s="318" t="s">
        <v>23</v>
      </c>
    </row>
    <row r="4107" spans="1:2" ht="12.75" customHeight="1" x14ac:dyDescent="0.25">
      <c r="A4107" s="318">
        <v>91791547148</v>
      </c>
      <c r="B4107" s="318" t="s">
        <v>23</v>
      </c>
    </row>
    <row r="4108" spans="1:2" ht="12.75" customHeight="1" x14ac:dyDescent="0.25">
      <c r="A4108" s="318">
        <v>91791547149</v>
      </c>
      <c r="B4108" s="318" t="s">
        <v>237</v>
      </c>
    </row>
    <row r="4109" spans="1:2" ht="12.75" customHeight="1" x14ac:dyDescent="0.25">
      <c r="A4109" s="318">
        <v>91791547150</v>
      </c>
      <c r="B4109" s="318" t="s">
        <v>237</v>
      </c>
    </row>
    <row r="4110" spans="1:2" ht="12.75" customHeight="1" x14ac:dyDescent="0.25">
      <c r="A4110" s="318">
        <v>91791547152</v>
      </c>
      <c r="B4110" s="318" t="s">
        <v>237</v>
      </c>
    </row>
    <row r="4111" spans="1:2" ht="12.75" customHeight="1" x14ac:dyDescent="0.25">
      <c r="A4111" s="318">
        <v>91791547153</v>
      </c>
      <c r="B4111" s="318" t="s">
        <v>237</v>
      </c>
    </row>
    <row r="4112" spans="1:2" ht="12.75" customHeight="1" x14ac:dyDescent="0.25">
      <c r="A4112" s="318">
        <v>91791547154</v>
      </c>
      <c r="B4112" s="318" t="s">
        <v>237</v>
      </c>
    </row>
    <row r="4113" spans="1:2" ht="12.75" customHeight="1" x14ac:dyDescent="0.25">
      <c r="A4113" s="318">
        <v>91791547155</v>
      </c>
      <c r="B4113" s="318" t="s">
        <v>237</v>
      </c>
    </row>
    <row r="4114" spans="1:2" ht="12.75" customHeight="1" x14ac:dyDescent="0.25">
      <c r="A4114" s="318">
        <v>91791547156</v>
      </c>
      <c r="B4114" s="318" t="s">
        <v>237</v>
      </c>
    </row>
    <row r="4115" spans="1:2" ht="12.75" customHeight="1" x14ac:dyDescent="0.25">
      <c r="A4115" s="318">
        <v>91791547157</v>
      </c>
      <c r="B4115" s="318" t="s">
        <v>237</v>
      </c>
    </row>
    <row r="4116" spans="1:2" ht="12.75" customHeight="1" x14ac:dyDescent="0.25">
      <c r="A4116" s="318">
        <v>91791547158</v>
      </c>
      <c r="B4116" s="318" t="s">
        <v>237</v>
      </c>
    </row>
    <row r="4117" spans="1:2" ht="12.75" customHeight="1" x14ac:dyDescent="0.25">
      <c r="A4117" s="318">
        <v>91791547159</v>
      </c>
      <c r="B4117" s="318" t="s">
        <v>237</v>
      </c>
    </row>
    <row r="4118" spans="1:2" ht="12.75" customHeight="1" x14ac:dyDescent="0.25">
      <c r="A4118" s="318">
        <v>91791547243</v>
      </c>
      <c r="B4118" s="318" t="s">
        <v>237</v>
      </c>
    </row>
    <row r="4119" spans="1:2" ht="12.75" customHeight="1" x14ac:dyDescent="0.25">
      <c r="A4119" s="318">
        <v>91791547244</v>
      </c>
      <c r="B4119" s="318" t="s">
        <v>237</v>
      </c>
    </row>
    <row r="4120" spans="1:2" ht="12.75" customHeight="1" x14ac:dyDescent="0.25">
      <c r="A4120" s="318">
        <v>91791547245</v>
      </c>
      <c r="B4120" s="318" t="s">
        <v>237</v>
      </c>
    </row>
    <row r="4121" spans="1:2" ht="12.75" customHeight="1" x14ac:dyDescent="0.25">
      <c r="A4121" s="318">
        <v>91791547246</v>
      </c>
      <c r="B4121" s="318" t="s">
        <v>237</v>
      </c>
    </row>
    <row r="4122" spans="1:2" ht="12.75" customHeight="1" x14ac:dyDescent="0.25">
      <c r="A4122" s="318">
        <v>91791547247</v>
      </c>
      <c r="B4122" s="318" t="s">
        <v>237</v>
      </c>
    </row>
    <row r="4123" spans="1:2" ht="12.75" customHeight="1" x14ac:dyDescent="0.25">
      <c r="A4123" s="318">
        <v>91791547248</v>
      </c>
      <c r="B4123" s="318" t="s">
        <v>237</v>
      </c>
    </row>
    <row r="4124" spans="1:2" ht="12.75" customHeight="1" x14ac:dyDescent="0.25">
      <c r="A4124" s="318">
        <v>91791547249</v>
      </c>
      <c r="B4124" s="318" t="s">
        <v>237</v>
      </c>
    </row>
    <row r="4125" spans="1:2" ht="12.75" customHeight="1" x14ac:dyDescent="0.25">
      <c r="A4125" s="318">
        <v>91791547250</v>
      </c>
      <c r="B4125" s="318" t="s">
        <v>237</v>
      </c>
    </row>
    <row r="4126" spans="1:2" ht="12.75" customHeight="1" x14ac:dyDescent="0.25">
      <c r="A4126" s="318">
        <v>91791547252</v>
      </c>
      <c r="B4126" s="318" t="s">
        <v>237</v>
      </c>
    </row>
    <row r="4127" spans="1:2" ht="12.75" customHeight="1" x14ac:dyDescent="0.25">
      <c r="A4127" s="318">
        <v>91791547253</v>
      </c>
      <c r="B4127" s="318" t="s">
        <v>237</v>
      </c>
    </row>
    <row r="4128" spans="1:2" ht="12.75" customHeight="1" x14ac:dyDescent="0.25">
      <c r="A4128" s="318">
        <v>91791547254</v>
      </c>
      <c r="B4128" s="318" t="s">
        <v>237</v>
      </c>
    </row>
    <row r="4129" spans="1:2" ht="12.75" customHeight="1" x14ac:dyDescent="0.25">
      <c r="A4129" s="318">
        <v>91791547255</v>
      </c>
      <c r="B4129" s="318" t="s">
        <v>237</v>
      </c>
    </row>
    <row r="4130" spans="1:2" ht="12.75" customHeight="1" x14ac:dyDescent="0.25">
      <c r="A4130" s="318">
        <v>91791547256</v>
      </c>
      <c r="B4130" s="318" t="s">
        <v>237</v>
      </c>
    </row>
    <row r="4131" spans="1:2" ht="12.75" customHeight="1" x14ac:dyDescent="0.25">
      <c r="A4131" s="318">
        <v>91791547257</v>
      </c>
      <c r="B4131" s="318" t="s">
        <v>237</v>
      </c>
    </row>
    <row r="4132" spans="1:2" ht="12.75" customHeight="1" x14ac:dyDescent="0.25">
      <c r="A4132" s="318">
        <v>91791547258</v>
      </c>
      <c r="B4132" s="318" t="s">
        <v>237</v>
      </c>
    </row>
    <row r="4133" spans="1:2" ht="12.75" customHeight="1" x14ac:dyDescent="0.25">
      <c r="A4133" s="318">
        <v>91791547259</v>
      </c>
      <c r="B4133" s="318" t="s">
        <v>237</v>
      </c>
    </row>
    <row r="4134" spans="1:2" ht="12.75" customHeight="1" x14ac:dyDescent="0.25">
      <c r="A4134" s="318">
        <v>91792028116</v>
      </c>
      <c r="B4134" s="318" t="s">
        <v>23</v>
      </c>
    </row>
    <row r="4135" spans="1:2" ht="12.75" customHeight="1" x14ac:dyDescent="0.25">
      <c r="A4135" s="318">
        <v>91792028117</v>
      </c>
      <c r="B4135" s="318" t="s">
        <v>23</v>
      </c>
    </row>
    <row r="4136" spans="1:2" ht="12.75" customHeight="1" x14ac:dyDescent="0.25">
      <c r="A4136" s="318">
        <v>91792028118</v>
      </c>
      <c r="B4136" s="318" t="s">
        <v>23</v>
      </c>
    </row>
    <row r="4137" spans="1:2" ht="12.75" customHeight="1" x14ac:dyDescent="0.25">
      <c r="A4137" s="318">
        <v>91792028119</v>
      </c>
      <c r="B4137" s="318" t="s">
        <v>23</v>
      </c>
    </row>
    <row r="4138" spans="1:2" ht="12.75" customHeight="1" x14ac:dyDescent="0.25">
      <c r="A4138" s="318">
        <v>91792028120</v>
      </c>
      <c r="B4138" s="318" t="s">
        <v>23</v>
      </c>
    </row>
    <row r="4139" spans="1:2" ht="12.75" customHeight="1" x14ac:dyDescent="0.25">
      <c r="A4139" s="318">
        <v>91792028121</v>
      </c>
      <c r="B4139" s="318" t="s">
        <v>23</v>
      </c>
    </row>
    <row r="4140" spans="1:2" ht="12.75" customHeight="1" x14ac:dyDescent="0.25">
      <c r="A4140" s="318">
        <v>91792028122</v>
      </c>
      <c r="B4140" s="318" t="s">
        <v>237</v>
      </c>
    </row>
    <row r="4141" spans="1:2" ht="12.75" customHeight="1" x14ac:dyDescent="0.25">
      <c r="A4141" s="318">
        <v>91792028123</v>
      </c>
      <c r="B4141" s="318" t="s">
        <v>237</v>
      </c>
    </row>
    <row r="4142" spans="1:2" ht="12.75" customHeight="1" x14ac:dyDescent="0.25">
      <c r="A4142" s="318">
        <v>91792028125</v>
      </c>
      <c r="B4142" s="318" t="s">
        <v>237</v>
      </c>
    </row>
    <row r="4143" spans="1:2" ht="12.75" customHeight="1" x14ac:dyDescent="0.25">
      <c r="A4143" s="318">
        <v>91792028126</v>
      </c>
      <c r="B4143" s="318" t="s">
        <v>237</v>
      </c>
    </row>
    <row r="4144" spans="1:2" ht="12.75" customHeight="1" x14ac:dyDescent="0.25">
      <c r="A4144" s="318">
        <v>91792028127</v>
      </c>
      <c r="B4144" s="318" t="s">
        <v>237</v>
      </c>
    </row>
    <row r="4145" spans="1:2" ht="12.75" customHeight="1" x14ac:dyDescent="0.25">
      <c r="A4145" s="318">
        <v>91792028128</v>
      </c>
      <c r="B4145" s="318" t="s">
        <v>237</v>
      </c>
    </row>
    <row r="4146" spans="1:2" ht="12.75" customHeight="1" x14ac:dyDescent="0.25">
      <c r="A4146" s="318">
        <v>91792028129</v>
      </c>
      <c r="B4146" s="318" t="s">
        <v>237</v>
      </c>
    </row>
    <row r="4147" spans="1:2" ht="12.75" customHeight="1" x14ac:dyDescent="0.25">
      <c r="A4147" s="318">
        <v>91792028130</v>
      </c>
      <c r="B4147" s="318" t="s">
        <v>237</v>
      </c>
    </row>
    <row r="4148" spans="1:2" ht="12.75" customHeight="1" x14ac:dyDescent="0.25">
      <c r="A4148" s="318">
        <v>91792028131</v>
      </c>
      <c r="B4148" s="318" t="s">
        <v>237</v>
      </c>
    </row>
    <row r="4149" spans="1:2" ht="12.75" customHeight="1" x14ac:dyDescent="0.25">
      <c r="A4149" s="318">
        <v>91792028132</v>
      </c>
      <c r="B4149" s="318" t="s">
        <v>237</v>
      </c>
    </row>
    <row r="4150" spans="1:2" ht="12.75" customHeight="1" x14ac:dyDescent="0.25">
      <c r="A4150" s="318">
        <v>91792028216</v>
      </c>
      <c r="B4150" s="318" t="s">
        <v>237</v>
      </c>
    </row>
    <row r="4151" spans="1:2" ht="12.75" customHeight="1" x14ac:dyDescent="0.25">
      <c r="A4151" s="318">
        <v>91792028217</v>
      </c>
      <c r="B4151" s="318" t="s">
        <v>237</v>
      </c>
    </row>
    <row r="4152" spans="1:2" ht="12.75" customHeight="1" x14ac:dyDescent="0.25">
      <c r="A4152" s="318">
        <v>91792028218</v>
      </c>
      <c r="B4152" s="318" t="s">
        <v>237</v>
      </c>
    </row>
    <row r="4153" spans="1:2" ht="12.75" customHeight="1" x14ac:dyDescent="0.25">
      <c r="A4153" s="318">
        <v>91792028219</v>
      </c>
      <c r="B4153" s="318" t="s">
        <v>237</v>
      </c>
    </row>
    <row r="4154" spans="1:2" ht="12.75" customHeight="1" x14ac:dyDescent="0.25">
      <c r="A4154" s="318">
        <v>91792028220</v>
      </c>
      <c r="B4154" s="318" t="s">
        <v>237</v>
      </c>
    </row>
    <row r="4155" spans="1:2" ht="12.75" customHeight="1" x14ac:dyDescent="0.25">
      <c r="A4155" s="318">
        <v>91792028221</v>
      </c>
      <c r="B4155" s="318" t="s">
        <v>237</v>
      </c>
    </row>
    <row r="4156" spans="1:2" ht="12.75" customHeight="1" x14ac:dyDescent="0.25">
      <c r="A4156" s="318">
        <v>91792028222</v>
      </c>
      <c r="B4156" s="318" t="s">
        <v>237</v>
      </c>
    </row>
    <row r="4157" spans="1:2" ht="12.75" customHeight="1" x14ac:dyDescent="0.25">
      <c r="A4157" s="318">
        <v>91792028223</v>
      </c>
      <c r="B4157" s="318" t="s">
        <v>237</v>
      </c>
    </row>
    <row r="4158" spans="1:2" ht="12.75" customHeight="1" x14ac:dyDescent="0.25">
      <c r="A4158" s="318">
        <v>91792028225</v>
      </c>
      <c r="B4158" s="318" t="s">
        <v>237</v>
      </c>
    </row>
    <row r="4159" spans="1:2" ht="12.75" customHeight="1" x14ac:dyDescent="0.25">
      <c r="A4159" s="318">
        <v>91792028226</v>
      </c>
      <c r="B4159" s="318" t="s">
        <v>237</v>
      </c>
    </row>
    <row r="4160" spans="1:2" ht="12.75" customHeight="1" x14ac:dyDescent="0.25">
      <c r="A4160" s="318">
        <v>91792028227</v>
      </c>
      <c r="B4160" s="318" t="s">
        <v>237</v>
      </c>
    </row>
    <row r="4161" spans="1:2" ht="12.75" customHeight="1" x14ac:dyDescent="0.25">
      <c r="A4161" s="318">
        <v>91792028228</v>
      </c>
      <c r="B4161" s="318" t="s">
        <v>237</v>
      </c>
    </row>
    <row r="4162" spans="1:2" ht="12.75" customHeight="1" x14ac:dyDescent="0.25">
      <c r="A4162" s="318">
        <v>91792028229</v>
      </c>
      <c r="B4162" s="318" t="s">
        <v>237</v>
      </c>
    </row>
    <row r="4163" spans="1:2" ht="12.75" customHeight="1" x14ac:dyDescent="0.25">
      <c r="A4163" s="318">
        <v>91792028230</v>
      </c>
      <c r="B4163" s="318" t="s">
        <v>237</v>
      </c>
    </row>
    <row r="4164" spans="1:2" ht="12.75" customHeight="1" x14ac:dyDescent="0.25">
      <c r="A4164" s="318">
        <v>91792028231</v>
      </c>
      <c r="B4164" s="318" t="s">
        <v>237</v>
      </c>
    </row>
    <row r="4165" spans="1:2" ht="12.75" customHeight="1" x14ac:dyDescent="0.25">
      <c r="A4165" s="318">
        <v>91792028232</v>
      </c>
      <c r="B4165" s="318" t="s">
        <v>237</v>
      </c>
    </row>
    <row r="4166" spans="1:2" ht="12.75" customHeight="1" x14ac:dyDescent="0.25">
      <c r="A4166" s="318">
        <v>91792509089</v>
      </c>
      <c r="B4166" s="318" t="s">
        <v>23</v>
      </c>
    </row>
    <row r="4167" spans="1:2" ht="12.75" customHeight="1" x14ac:dyDescent="0.25">
      <c r="A4167" s="318">
        <v>91792509090</v>
      </c>
      <c r="B4167" s="318" t="s">
        <v>23</v>
      </c>
    </row>
    <row r="4168" spans="1:2" ht="12.75" customHeight="1" x14ac:dyDescent="0.25">
      <c r="A4168" s="318">
        <v>91792509091</v>
      </c>
      <c r="B4168" s="318" t="s">
        <v>23</v>
      </c>
    </row>
    <row r="4169" spans="1:2" ht="12.75" customHeight="1" x14ac:dyDescent="0.25">
      <c r="A4169" s="318">
        <v>91792509092</v>
      </c>
      <c r="B4169" s="318" t="s">
        <v>23</v>
      </c>
    </row>
    <row r="4170" spans="1:2" ht="12.75" customHeight="1" x14ac:dyDescent="0.25">
      <c r="A4170" s="318">
        <v>91792509093</v>
      </c>
      <c r="B4170" s="318" t="s">
        <v>23</v>
      </c>
    </row>
    <row r="4171" spans="1:2" ht="12.75" customHeight="1" x14ac:dyDescent="0.25">
      <c r="A4171" s="318">
        <v>91792509094</v>
      </c>
      <c r="B4171" s="318" t="s">
        <v>23</v>
      </c>
    </row>
    <row r="4172" spans="1:2" ht="12.75" customHeight="1" x14ac:dyDescent="0.25">
      <c r="A4172" s="318">
        <v>91792509095</v>
      </c>
      <c r="B4172" s="318" t="s">
        <v>237</v>
      </c>
    </row>
    <row r="4173" spans="1:2" ht="12.75" customHeight="1" x14ac:dyDescent="0.25">
      <c r="A4173" s="318">
        <v>91792509096</v>
      </c>
      <c r="B4173" s="318" t="s">
        <v>237</v>
      </c>
    </row>
    <row r="4174" spans="1:2" ht="12.75" customHeight="1" x14ac:dyDescent="0.25">
      <c r="A4174" s="318">
        <v>91792509098</v>
      </c>
      <c r="B4174" s="318" t="s">
        <v>237</v>
      </c>
    </row>
    <row r="4175" spans="1:2" ht="12.75" customHeight="1" x14ac:dyDescent="0.25">
      <c r="A4175" s="318">
        <v>91792509099</v>
      </c>
      <c r="B4175" s="318" t="s">
        <v>237</v>
      </c>
    </row>
    <row r="4176" spans="1:2" ht="12.75" customHeight="1" x14ac:dyDescent="0.25">
      <c r="A4176" s="318">
        <v>91792509100</v>
      </c>
      <c r="B4176" s="318" t="s">
        <v>237</v>
      </c>
    </row>
    <row r="4177" spans="1:2" ht="12.75" customHeight="1" x14ac:dyDescent="0.25">
      <c r="A4177" s="318">
        <v>91792509101</v>
      </c>
      <c r="B4177" s="318" t="s">
        <v>237</v>
      </c>
    </row>
    <row r="4178" spans="1:2" ht="12.75" customHeight="1" x14ac:dyDescent="0.25">
      <c r="A4178" s="318">
        <v>91792509102</v>
      </c>
      <c r="B4178" s="318" t="s">
        <v>237</v>
      </c>
    </row>
    <row r="4179" spans="1:2" ht="12.75" customHeight="1" x14ac:dyDescent="0.25">
      <c r="A4179" s="318">
        <v>91792509103</v>
      </c>
      <c r="B4179" s="318" t="s">
        <v>237</v>
      </c>
    </row>
    <row r="4180" spans="1:2" ht="12.75" customHeight="1" x14ac:dyDescent="0.25">
      <c r="A4180" s="318">
        <v>91792509104</v>
      </c>
      <c r="B4180" s="318" t="s">
        <v>237</v>
      </c>
    </row>
    <row r="4181" spans="1:2" ht="12.75" customHeight="1" x14ac:dyDescent="0.25">
      <c r="A4181" s="318">
        <v>91792509105</v>
      </c>
      <c r="B4181" s="318" t="s">
        <v>237</v>
      </c>
    </row>
    <row r="4182" spans="1:2" ht="12.75" customHeight="1" x14ac:dyDescent="0.25">
      <c r="A4182" s="318">
        <v>91792509189</v>
      </c>
      <c r="B4182" s="318" t="s">
        <v>237</v>
      </c>
    </row>
    <row r="4183" spans="1:2" ht="12.75" customHeight="1" x14ac:dyDescent="0.25">
      <c r="A4183" s="318">
        <v>91792509190</v>
      </c>
      <c r="B4183" s="318" t="s">
        <v>237</v>
      </c>
    </row>
    <row r="4184" spans="1:2" ht="12.75" customHeight="1" x14ac:dyDescent="0.25">
      <c r="A4184" s="318">
        <v>91792509191</v>
      </c>
      <c r="B4184" s="318" t="s">
        <v>237</v>
      </c>
    </row>
    <row r="4185" spans="1:2" ht="12.75" customHeight="1" x14ac:dyDescent="0.25">
      <c r="A4185" s="318">
        <v>91792509192</v>
      </c>
      <c r="B4185" s="318" t="s">
        <v>237</v>
      </c>
    </row>
    <row r="4186" spans="1:2" ht="12.75" customHeight="1" x14ac:dyDescent="0.25">
      <c r="A4186" s="318">
        <v>91792509193</v>
      </c>
      <c r="B4186" s="318" t="s">
        <v>237</v>
      </c>
    </row>
    <row r="4187" spans="1:2" ht="12.75" customHeight="1" x14ac:dyDescent="0.25">
      <c r="A4187" s="318">
        <v>91792509194</v>
      </c>
      <c r="B4187" s="318" t="s">
        <v>237</v>
      </c>
    </row>
    <row r="4188" spans="1:2" ht="12.75" customHeight="1" x14ac:dyDescent="0.25">
      <c r="A4188" s="318">
        <v>91792509195</v>
      </c>
      <c r="B4188" s="318" t="s">
        <v>237</v>
      </c>
    </row>
    <row r="4189" spans="1:2" ht="12.75" customHeight="1" x14ac:dyDescent="0.25">
      <c r="A4189" s="318">
        <v>91792509196</v>
      </c>
      <c r="B4189" s="318" t="s">
        <v>237</v>
      </c>
    </row>
    <row r="4190" spans="1:2" ht="12.75" customHeight="1" x14ac:dyDescent="0.25">
      <c r="A4190" s="318">
        <v>91792509198</v>
      </c>
      <c r="B4190" s="318" t="s">
        <v>237</v>
      </c>
    </row>
    <row r="4191" spans="1:2" ht="12.75" customHeight="1" x14ac:dyDescent="0.25">
      <c r="A4191" s="318">
        <v>91792509199</v>
      </c>
      <c r="B4191" s="318" t="s">
        <v>237</v>
      </c>
    </row>
    <row r="4192" spans="1:2" ht="12.75" customHeight="1" x14ac:dyDescent="0.25">
      <c r="A4192" s="318">
        <v>91792509200</v>
      </c>
      <c r="B4192" s="318" t="s">
        <v>237</v>
      </c>
    </row>
    <row r="4193" spans="1:2" ht="12.75" customHeight="1" x14ac:dyDescent="0.25">
      <c r="A4193" s="318">
        <v>91792509201</v>
      </c>
      <c r="B4193" s="318" t="s">
        <v>237</v>
      </c>
    </row>
    <row r="4194" spans="1:2" ht="12.75" customHeight="1" x14ac:dyDescent="0.25">
      <c r="A4194" s="318">
        <v>91792509202</v>
      </c>
      <c r="B4194" s="318" t="s">
        <v>237</v>
      </c>
    </row>
    <row r="4195" spans="1:2" ht="12.75" customHeight="1" x14ac:dyDescent="0.25">
      <c r="A4195" s="318">
        <v>91792509203</v>
      </c>
      <c r="B4195" s="318" t="s">
        <v>237</v>
      </c>
    </row>
    <row r="4196" spans="1:2" ht="12.75" customHeight="1" x14ac:dyDescent="0.25">
      <c r="A4196" s="318">
        <v>91792509204</v>
      </c>
      <c r="B4196" s="318" t="s">
        <v>237</v>
      </c>
    </row>
    <row r="4197" spans="1:2" ht="12.75" customHeight="1" x14ac:dyDescent="0.25">
      <c r="A4197" s="318">
        <v>91792509205</v>
      </c>
      <c r="B4197" s="318" t="s">
        <v>237</v>
      </c>
    </row>
    <row r="4198" spans="1:2" ht="12.75" customHeight="1" x14ac:dyDescent="0.25">
      <c r="A4198" s="318">
        <v>91793869470</v>
      </c>
      <c r="B4198" s="318" t="s">
        <v>23</v>
      </c>
    </row>
    <row r="4199" spans="1:2" ht="12.75" customHeight="1" x14ac:dyDescent="0.25">
      <c r="A4199" s="318">
        <v>91793869471</v>
      </c>
      <c r="B4199" s="318" t="s">
        <v>23</v>
      </c>
    </row>
    <row r="4200" spans="1:2" ht="12.75" customHeight="1" x14ac:dyDescent="0.25">
      <c r="A4200" s="318">
        <v>91793869472</v>
      </c>
      <c r="B4200" s="318" t="s">
        <v>23</v>
      </c>
    </row>
    <row r="4201" spans="1:2" ht="12.75" customHeight="1" x14ac:dyDescent="0.25">
      <c r="A4201" s="318">
        <v>91793869473</v>
      </c>
      <c r="B4201" s="318" t="s">
        <v>23</v>
      </c>
    </row>
    <row r="4202" spans="1:2" ht="12.75" customHeight="1" x14ac:dyDescent="0.25">
      <c r="A4202" s="318">
        <v>91793869474</v>
      </c>
      <c r="B4202" s="318" t="s">
        <v>23</v>
      </c>
    </row>
    <row r="4203" spans="1:2" ht="12.75" customHeight="1" x14ac:dyDescent="0.25">
      <c r="A4203" s="318">
        <v>91793869475</v>
      </c>
      <c r="B4203" s="318" t="s">
        <v>23</v>
      </c>
    </row>
    <row r="4204" spans="1:2" ht="12.75" customHeight="1" x14ac:dyDescent="0.25">
      <c r="A4204" s="318">
        <v>91793869476</v>
      </c>
      <c r="B4204" s="318" t="s">
        <v>237</v>
      </c>
    </row>
    <row r="4205" spans="1:2" ht="12.75" customHeight="1" x14ac:dyDescent="0.25">
      <c r="A4205" s="318">
        <v>91793869477</v>
      </c>
      <c r="B4205" s="318" t="s">
        <v>237</v>
      </c>
    </row>
    <row r="4206" spans="1:2" ht="12.75" customHeight="1" x14ac:dyDescent="0.25">
      <c r="A4206" s="318">
        <v>91793869479</v>
      </c>
      <c r="B4206" s="318" t="s">
        <v>237</v>
      </c>
    </row>
    <row r="4207" spans="1:2" ht="12.75" customHeight="1" x14ac:dyDescent="0.25">
      <c r="A4207" s="318">
        <v>91793869480</v>
      </c>
      <c r="B4207" s="318" t="s">
        <v>237</v>
      </c>
    </row>
    <row r="4208" spans="1:2" ht="12.75" customHeight="1" x14ac:dyDescent="0.25">
      <c r="A4208" s="318">
        <v>91793869481</v>
      </c>
      <c r="B4208" s="318" t="s">
        <v>237</v>
      </c>
    </row>
    <row r="4209" spans="1:2" ht="12.75" customHeight="1" x14ac:dyDescent="0.25">
      <c r="A4209" s="318">
        <v>91793869482</v>
      </c>
      <c r="B4209" s="318" t="s">
        <v>237</v>
      </c>
    </row>
    <row r="4210" spans="1:2" ht="12.75" customHeight="1" x14ac:dyDescent="0.25">
      <c r="A4210" s="318">
        <v>91793869483</v>
      </c>
      <c r="B4210" s="318" t="s">
        <v>237</v>
      </c>
    </row>
    <row r="4211" spans="1:2" ht="12.75" customHeight="1" x14ac:dyDescent="0.25">
      <c r="A4211" s="318">
        <v>91793869484</v>
      </c>
      <c r="B4211" s="318" t="s">
        <v>237</v>
      </c>
    </row>
    <row r="4212" spans="1:2" ht="12.75" customHeight="1" x14ac:dyDescent="0.25">
      <c r="A4212" s="318">
        <v>91793869485</v>
      </c>
      <c r="B4212" s="318" t="s">
        <v>237</v>
      </c>
    </row>
    <row r="4213" spans="1:2" ht="12.75" customHeight="1" x14ac:dyDescent="0.25">
      <c r="A4213" s="318">
        <v>91793869486</v>
      </c>
      <c r="B4213" s="318" t="s">
        <v>237</v>
      </c>
    </row>
    <row r="4214" spans="1:2" ht="12.75" customHeight="1" x14ac:dyDescent="0.25">
      <c r="A4214" s="318">
        <v>91793869570</v>
      </c>
      <c r="B4214" s="318" t="s">
        <v>237</v>
      </c>
    </row>
    <row r="4215" spans="1:2" ht="12.75" customHeight="1" x14ac:dyDescent="0.25">
      <c r="A4215" s="318">
        <v>91793869571</v>
      </c>
      <c r="B4215" s="318" t="s">
        <v>237</v>
      </c>
    </row>
    <row r="4216" spans="1:2" ht="12.75" customHeight="1" x14ac:dyDescent="0.25">
      <c r="A4216" s="318">
        <v>91793869572</v>
      </c>
      <c r="B4216" s="318" t="s">
        <v>237</v>
      </c>
    </row>
    <row r="4217" spans="1:2" ht="12.75" customHeight="1" x14ac:dyDescent="0.25">
      <c r="A4217" s="318">
        <v>91793869573</v>
      </c>
      <c r="B4217" s="318" t="s">
        <v>237</v>
      </c>
    </row>
    <row r="4218" spans="1:2" ht="12.75" customHeight="1" x14ac:dyDescent="0.25">
      <c r="A4218" s="318">
        <v>91793869574</v>
      </c>
      <c r="B4218" s="318" t="s">
        <v>237</v>
      </c>
    </row>
    <row r="4219" spans="1:2" ht="12.75" customHeight="1" x14ac:dyDescent="0.25">
      <c r="A4219" s="318">
        <v>91793869575</v>
      </c>
      <c r="B4219" s="318" t="s">
        <v>237</v>
      </c>
    </row>
    <row r="4220" spans="1:2" ht="12.75" customHeight="1" x14ac:dyDescent="0.25">
      <c r="A4220" s="318">
        <v>91793869576</v>
      </c>
      <c r="B4220" s="318" t="s">
        <v>237</v>
      </c>
    </row>
    <row r="4221" spans="1:2" ht="12.75" customHeight="1" x14ac:dyDescent="0.25">
      <c r="A4221" s="318">
        <v>91793869577</v>
      </c>
      <c r="B4221" s="318" t="s">
        <v>237</v>
      </c>
    </row>
    <row r="4222" spans="1:2" ht="12.75" customHeight="1" x14ac:dyDescent="0.25">
      <c r="A4222" s="318">
        <v>91793869579</v>
      </c>
      <c r="B4222" s="318" t="s">
        <v>237</v>
      </c>
    </row>
    <row r="4223" spans="1:2" ht="12.75" customHeight="1" x14ac:dyDescent="0.25">
      <c r="A4223" s="318">
        <v>91793869580</v>
      </c>
      <c r="B4223" s="318" t="s">
        <v>237</v>
      </c>
    </row>
    <row r="4224" spans="1:2" ht="12.75" customHeight="1" x14ac:dyDescent="0.25">
      <c r="A4224" s="318">
        <v>91793869581</v>
      </c>
      <c r="B4224" s="318" t="s">
        <v>237</v>
      </c>
    </row>
    <row r="4225" spans="1:2" ht="12.75" customHeight="1" x14ac:dyDescent="0.25">
      <c r="A4225" s="318">
        <v>91793869582</v>
      </c>
      <c r="B4225" s="318" t="s">
        <v>237</v>
      </c>
    </row>
    <row r="4226" spans="1:2" ht="12.75" customHeight="1" x14ac:dyDescent="0.25">
      <c r="A4226" s="318">
        <v>91793869583</v>
      </c>
      <c r="B4226" s="318" t="s">
        <v>237</v>
      </c>
    </row>
    <row r="4227" spans="1:2" ht="12.75" customHeight="1" x14ac:dyDescent="0.25">
      <c r="A4227" s="318">
        <v>91793869584</v>
      </c>
      <c r="B4227" s="318" t="s">
        <v>237</v>
      </c>
    </row>
    <row r="4228" spans="1:2" ht="12.75" customHeight="1" x14ac:dyDescent="0.25">
      <c r="A4228" s="318">
        <v>91793869585</v>
      </c>
      <c r="B4228" s="318" t="s">
        <v>237</v>
      </c>
    </row>
    <row r="4229" spans="1:2" ht="12.75" customHeight="1" x14ac:dyDescent="0.25">
      <c r="A4229" s="318">
        <v>91793869586</v>
      </c>
      <c r="B4229" s="318" t="s">
        <v>237</v>
      </c>
    </row>
    <row r="4230" spans="1:2" ht="12.75" customHeight="1" x14ac:dyDescent="0.25">
      <c r="A4230" s="318">
        <v>91794350443</v>
      </c>
      <c r="B4230" s="318" t="s">
        <v>23</v>
      </c>
    </row>
    <row r="4231" spans="1:2" ht="12.75" customHeight="1" x14ac:dyDescent="0.25">
      <c r="A4231" s="318">
        <v>91794350444</v>
      </c>
      <c r="B4231" s="318" t="s">
        <v>23</v>
      </c>
    </row>
    <row r="4232" spans="1:2" ht="12.75" customHeight="1" x14ac:dyDescent="0.25">
      <c r="A4232" s="318">
        <v>91794350445</v>
      </c>
      <c r="B4232" s="318" t="s">
        <v>23</v>
      </c>
    </row>
    <row r="4233" spans="1:2" ht="12.75" customHeight="1" x14ac:dyDescent="0.25">
      <c r="A4233" s="318">
        <v>91794350446</v>
      </c>
      <c r="B4233" s="318" t="s">
        <v>23</v>
      </c>
    </row>
    <row r="4234" spans="1:2" ht="12.75" customHeight="1" x14ac:dyDescent="0.25">
      <c r="A4234" s="318">
        <v>91794350447</v>
      </c>
      <c r="B4234" s="318" t="s">
        <v>23</v>
      </c>
    </row>
    <row r="4235" spans="1:2" ht="12.75" customHeight="1" x14ac:dyDescent="0.25">
      <c r="A4235" s="318">
        <v>91794350448</v>
      </c>
      <c r="B4235" s="318" t="s">
        <v>23</v>
      </c>
    </row>
    <row r="4236" spans="1:2" ht="12.75" customHeight="1" x14ac:dyDescent="0.25">
      <c r="A4236" s="318">
        <v>91794350449</v>
      </c>
      <c r="B4236" s="318" t="s">
        <v>237</v>
      </c>
    </row>
    <row r="4237" spans="1:2" ht="12.75" customHeight="1" x14ac:dyDescent="0.25">
      <c r="A4237" s="318">
        <v>91794350450</v>
      </c>
      <c r="B4237" s="318" t="s">
        <v>237</v>
      </c>
    </row>
    <row r="4238" spans="1:2" ht="12.75" customHeight="1" x14ac:dyDescent="0.25">
      <c r="A4238" s="318">
        <v>91794350452</v>
      </c>
      <c r="B4238" s="318" t="s">
        <v>237</v>
      </c>
    </row>
    <row r="4239" spans="1:2" ht="12.75" customHeight="1" x14ac:dyDescent="0.25">
      <c r="A4239" s="318">
        <v>91794350453</v>
      </c>
      <c r="B4239" s="318" t="s">
        <v>237</v>
      </c>
    </row>
    <row r="4240" spans="1:2" ht="12.75" customHeight="1" x14ac:dyDescent="0.25">
      <c r="A4240" s="318">
        <v>91794350454</v>
      </c>
      <c r="B4240" s="318" t="s">
        <v>237</v>
      </c>
    </row>
    <row r="4241" spans="1:2" ht="12.75" customHeight="1" x14ac:dyDescent="0.25">
      <c r="A4241" s="318">
        <v>91794350455</v>
      </c>
      <c r="B4241" s="318" t="s">
        <v>237</v>
      </c>
    </row>
    <row r="4242" spans="1:2" ht="12.75" customHeight="1" x14ac:dyDescent="0.25">
      <c r="A4242" s="318">
        <v>91794350456</v>
      </c>
      <c r="B4242" s="318" t="s">
        <v>237</v>
      </c>
    </row>
    <row r="4243" spans="1:2" ht="12.75" customHeight="1" x14ac:dyDescent="0.25">
      <c r="A4243" s="318">
        <v>91794350457</v>
      </c>
      <c r="B4243" s="318" t="s">
        <v>237</v>
      </c>
    </row>
    <row r="4244" spans="1:2" ht="12.75" customHeight="1" x14ac:dyDescent="0.25">
      <c r="A4244" s="318">
        <v>91794350458</v>
      </c>
      <c r="B4244" s="318" t="s">
        <v>237</v>
      </c>
    </row>
    <row r="4245" spans="1:2" ht="12.75" customHeight="1" x14ac:dyDescent="0.25">
      <c r="A4245" s="318">
        <v>91794350459</v>
      </c>
      <c r="B4245" s="318" t="s">
        <v>237</v>
      </c>
    </row>
    <row r="4246" spans="1:2" ht="12.75" customHeight="1" x14ac:dyDescent="0.25">
      <c r="A4246" s="318">
        <v>91794350543</v>
      </c>
      <c r="B4246" s="318" t="s">
        <v>237</v>
      </c>
    </row>
    <row r="4247" spans="1:2" ht="12.75" customHeight="1" x14ac:dyDescent="0.25">
      <c r="A4247" s="318">
        <v>91794350544</v>
      </c>
      <c r="B4247" s="318" t="s">
        <v>237</v>
      </c>
    </row>
    <row r="4248" spans="1:2" ht="12.75" customHeight="1" x14ac:dyDescent="0.25">
      <c r="A4248" s="318">
        <v>91794350545</v>
      </c>
      <c r="B4248" s="318" t="s">
        <v>237</v>
      </c>
    </row>
    <row r="4249" spans="1:2" ht="12.75" customHeight="1" x14ac:dyDescent="0.25">
      <c r="A4249" s="318">
        <v>91794350546</v>
      </c>
      <c r="B4249" s="318" t="s">
        <v>237</v>
      </c>
    </row>
    <row r="4250" spans="1:2" ht="12.75" customHeight="1" x14ac:dyDescent="0.25">
      <c r="A4250" s="318">
        <v>91794350547</v>
      </c>
      <c r="B4250" s="318" t="s">
        <v>237</v>
      </c>
    </row>
    <row r="4251" spans="1:2" ht="12.75" customHeight="1" x14ac:dyDescent="0.25">
      <c r="A4251" s="318">
        <v>91794350548</v>
      </c>
      <c r="B4251" s="318" t="s">
        <v>237</v>
      </c>
    </row>
    <row r="4252" spans="1:2" ht="12.75" customHeight="1" x14ac:dyDescent="0.25">
      <c r="A4252" s="318">
        <v>91794350549</v>
      </c>
      <c r="B4252" s="318" t="s">
        <v>237</v>
      </c>
    </row>
    <row r="4253" spans="1:2" ht="12.75" customHeight="1" x14ac:dyDescent="0.25">
      <c r="A4253" s="318">
        <v>91794350550</v>
      </c>
      <c r="B4253" s="318" t="s">
        <v>237</v>
      </c>
    </row>
    <row r="4254" spans="1:2" ht="12.75" customHeight="1" x14ac:dyDescent="0.25">
      <c r="A4254" s="318">
        <v>91794350552</v>
      </c>
      <c r="B4254" s="318" t="s">
        <v>237</v>
      </c>
    </row>
    <row r="4255" spans="1:2" ht="12.75" customHeight="1" x14ac:dyDescent="0.25">
      <c r="A4255" s="318">
        <v>91794350553</v>
      </c>
      <c r="B4255" s="318" t="s">
        <v>237</v>
      </c>
    </row>
    <row r="4256" spans="1:2" ht="12.75" customHeight="1" x14ac:dyDescent="0.25">
      <c r="A4256" s="318">
        <v>91794350554</v>
      </c>
      <c r="B4256" s="318" t="s">
        <v>237</v>
      </c>
    </row>
    <row r="4257" spans="1:2" ht="12.75" customHeight="1" x14ac:dyDescent="0.25">
      <c r="A4257" s="318">
        <v>91794350555</v>
      </c>
      <c r="B4257" s="318" t="s">
        <v>237</v>
      </c>
    </row>
    <row r="4258" spans="1:2" ht="12.75" customHeight="1" x14ac:dyDescent="0.25">
      <c r="A4258" s="318">
        <v>91794350556</v>
      </c>
      <c r="B4258" s="318" t="s">
        <v>237</v>
      </c>
    </row>
    <row r="4259" spans="1:2" ht="12.75" customHeight="1" x14ac:dyDescent="0.25">
      <c r="A4259" s="318">
        <v>91794350557</v>
      </c>
      <c r="B4259" s="318" t="s">
        <v>237</v>
      </c>
    </row>
    <row r="4260" spans="1:2" ht="12.75" customHeight="1" x14ac:dyDescent="0.25">
      <c r="A4260" s="318">
        <v>91794350558</v>
      </c>
      <c r="B4260" s="318" t="s">
        <v>237</v>
      </c>
    </row>
    <row r="4261" spans="1:2" ht="12.75" customHeight="1" x14ac:dyDescent="0.25">
      <c r="A4261" s="318">
        <v>91794350559</v>
      </c>
      <c r="B4261" s="318" t="s">
        <v>237</v>
      </c>
    </row>
    <row r="4262" spans="1:2" ht="12.75" customHeight="1" x14ac:dyDescent="0.25">
      <c r="A4262" s="318">
        <v>91794831416</v>
      </c>
      <c r="B4262" s="318" t="s">
        <v>23</v>
      </c>
    </row>
    <row r="4263" spans="1:2" ht="12.75" customHeight="1" x14ac:dyDescent="0.25">
      <c r="A4263" s="318">
        <v>91794831417</v>
      </c>
      <c r="B4263" s="318" t="s">
        <v>23</v>
      </c>
    </row>
    <row r="4264" spans="1:2" ht="12.75" customHeight="1" x14ac:dyDescent="0.25">
      <c r="A4264" s="318">
        <v>91794831418</v>
      </c>
      <c r="B4264" s="318" t="s">
        <v>23</v>
      </c>
    </row>
    <row r="4265" spans="1:2" ht="12.75" customHeight="1" x14ac:dyDescent="0.25">
      <c r="A4265" s="318">
        <v>91794831419</v>
      </c>
      <c r="B4265" s="318" t="s">
        <v>23</v>
      </c>
    </row>
    <row r="4266" spans="1:2" ht="12.75" customHeight="1" x14ac:dyDescent="0.25">
      <c r="A4266" s="318">
        <v>91794831420</v>
      </c>
      <c r="B4266" s="318" t="s">
        <v>23</v>
      </c>
    </row>
    <row r="4267" spans="1:2" ht="12.75" customHeight="1" x14ac:dyDescent="0.25">
      <c r="A4267" s="318">
        <v>91794831421</v>
      </c>
      <c r="B4267" s="318" t="s">
        <v>23</v>
      </c>
    </row>
    <row r="4268" spans="1:2" ht="12.75" customHeight="1" x14ac:dyDescent="0.25">
      <c r="A4268" s="318">
        <v>91794831422</v>
      </c>
      <c r="B4268" s="318" t="s">
        <v>237</v>
      </c>
    </row>
    <row r="4269" spans="1:2" ht="12.75" customHeight="1" x14ac:dyDescent="0.25">
      <c r="A4269" s="318">
        <v>91794831423</v>
      </c>
      <c r="B4269" s="318" t="s">
        <v>237</v>
      </c>
    </row>
    <row r="4270" spans="1:2" ht="12.75" customHeight="1" x14ac:dyDescent="0.25">
      <c r="A4270" s="318">
        <v>91794831425</v>
      </c>
      <c r="B4270" s="318" t="s">
        <v>237</v>
      </c>
    </row>
    <row r="4271" spans="1:2" ht="12.75" customHeight="1" x14ac:dyDescent="0.25">
      <c r="A4271" s="318">
        <v>91794831426</v>
      </c>
      <c r="B4271" s="318" t="s">
        <v>237</v>
      </c>
    </row>
    <row r="4272" spans="1:2" ht="12.75" customHeight="1" x14ac:dyDescent="0.25">
      <c r="A4272" s="318">
        <v>91794831427</v>
      </c>
      <c r="B4272" s="318" t="s">
        <v>237</v>
      </c>
    </row>
    <row r="4273" spans="1:2" ht="12.75" customHeight="1" x14ac:dyDescent="0.25">
      <c r="A4273" s="318">
        <v>91794831428</v>
      </c>
      <c r="B4273" s="318" t="s">
        <v>237</v>
      </c>
    </row>
    <row r="4274" spans="1:2" ht="12.75" customHeight="1" x14ac:dyDescent="0.25">
      <c r="A4274" s="318">
        <v>91794831429</v>
      </c>
      <c r="B4274" s="318" t="s">
        <v>237</v>
      </c>
    </row>
    <row r="4275" spans="1:2" ht="12.75" customHeight="1" x14ac:dyDescent="0.25">
      <c r="A4275" s="318">
        <v>91794831430</v>
      </c>
      <c r="B4275" s="318" t="s">
        <v>237</v>
      </c>
    </row>
    <row r="4276" spans="1:2" ht="12.75" customHeight="1" x14ac:dyDescent="0.25">
      <c r="A4276" s="318">
        <v>91794831431</v>
      </c>
      <c r="B4276" s="318" t="s">
        <v>237</v>
      </c>
    </row>
    <row r="4277" spans="1:2" ht="12.75" customHeight="1" x14ac:dyDescent="0.25">
      <c r="A4277" s="318">
        <v>91794831432</v>
      </c>
      <c r="B4277" s="318" t="s">
        <v>237</v>
      </c>
    </row>
    <row r="4278" spans="1:2" ht="12.75" customHeight="1" x14ac:dyDescent="0.25">
      <c r="A4278" s="318">
        <v>91794831516</v>
      </c>
      <c r="B4278" s="318" t="s">
        <v>237</v>
      </c>
    </row>
    <row r="4279" spans="1:2" ht="12.75" customHeight="1" x14ac:dyDescent="0.25">
      <c r="A4279" s="318">
        <v>91794831517</v>
      </c>
      <c r="B4279" s="318" t="s">
        <v>237</v>
      </c>
    </row>
    <row r="4280" spans="1:2" ht="12.75" customHeight="1" x14ac:dyDescent="0.25">
      <c r="A4280" s="318">
        <v>91794831518</v>
      </c>
      <c r="B4280" s="318" t="s">
        <v>237</v>
      </c>
    </row>
    <row r="4281" spans="1:2" ht="12.75" customHeight="1" x14ac:dyDescent="0.25">
      <c r="A4281" s="318">
        <v>91794831519</v>
      </c>
      <c r="B4281" s="318" t="s">
        <v>237</v>
      </c>
    </row>
    <row r="4282" spans="1:2" ht="12.75" customHeight="1" x14ac:dyDescent="0.25">
      <c r="A4282" s="318">
        <v>91794831520</v>
      </c>
      <c r="B4282" s="318" t="s">
        <v>237</v>
      </c>
    </row>
    <row r="4283" spans="1:2" ht="12.75" customHeight="1" x14ac:dyDescent="0.25">
      <c r="A4283" s="318">
        <v>91794831521</v>
      </c>
      <c r="B4283" s="318" t="s">
        <v>237</v>
      </c>
    </row>
    <row r="4284" spans="1:2" ht="12.75" customHeight="1" x14ac:dyDescent="0.25">
      <c r="A4284" s="318">
        <v>91794831522</v>
      </c>
      <c r="B4284" s="318" t="s">
        <v>237</v>
      </c>
    </row>
    <row r="4285" spans="1:2" ht="12.75" customHeight="1" x14ac:dyDescent="0.25">
      <c r="A4285" s="318">
        <v>91794831523</v>
      </c>
      <c r="B4285" s="318" t="s">
        <v>237</v>
      </c>
    </row>
    <row r="4286" spans="1:2" ht="12.75" customHeight="1" x14ac:dyDescent="0.25">
      <c r="A4286" s="318">
        <v>91794831525</v>
      </c>
      <c r="B4286" s="318" t="s">
        <v>237</v>
      </c>
    </row>
    <row r="4287" spans="1:2" ht="12.75" customHeight="1" x14ac:dyDescent="0.25">
      <c r="A4287" s="318">
        <v>91794831526</v>
      </c>
      <c r="B4287" s="318" t="s">
        <v>237</v>
      </c>
    </row>
    <row r="4288" spans="1:2" ht="12.75" customHeight="1" x14ac:dyDescent="0.25">
      <c r="A4288" s="318">
        <v>91794831527</v>
      </c>
      <c r="B4288" s="318" t="s">
        <v>237</v>
      </c>
    </row>
    <row r="4289" spans="1:2" ht="12.75" customHeight="1" x14ac:dyDescent="0.25">
      <c r="A4289" s="318">
        <v>91794831528</v>
      </c>
      <c r="B4289" s="318" t="s">
        <v>237</v>
      </c>
    </row>
    <row r="4290" spans="1:2" ht="12.75" customHeight="1" x14ac:dyDescent="0.25">
      <c r="A4290" s="318">
        <v>91794831529</v>
      </c>
      <c r="B4290" s="318" t="s">
        <v>237</v>
      </c>
    </row>
    <row r="4291" spans="1:2" ht="12.75" customHeight="1" x14ac:dyDescent="0.25">
      <c r="A4291" s="318">
        <v>91794831530</v>
      </c>
      <c r="B4291" s="318" t="s">
        <v>237</v>
      </c>
    </row>
    <row r="4292" spans="1:2" ht="12.75" customHeight="1" x14ac:dyDescent="0.25">
      <c r="A4292" s="318">
        <v>91794831531</v>
      </c>
      <c r="B4292" s="318" t="s">
        <v>237</v>
      </c>
    </row>
    <row r="4293" spans="1:2" ht="12.75" customHeight="1" x14ac:dyDescent="0.25">
      <c r="A4293" s="318">
        <v>91794831532</v>
      </c>
      <c r="B4293" s="318" t="s">
        <v>237</v>
      </c>
    </row>
    <row r="4294" spans="1:2" ht="12.75" customHeight="1" x14ac:dyDescent="0.25">
      <c r="A4294" s="318">
        <v>91795511607</v>
      </c>
      <c r="B4294" s="318" t="s">
        <v>23</v>
      </c>
    </row>
    <row r="4295" spans="1:2" ht="12.75" customHeight="1" x14ac:dyDescent="0.25">
      <c r="A4295" s="318">
        <v>91795511608</v>
      </c>
      <c r="B4295" s="318" t="s">
        <v>23</v>
      </c>
    </row>
    <row r="4296" spans="1:2" ht="12.75" customHeight="1" x14ac:dyDescent="0.25">
      <c r="A4296" s="318">
        <v>91795511609</v>
      </c>
      <c r="B4296" s="318" t="s">
        <v>23</v>
      </c>
    </row>
    <row r="4297" spans="1:2" ht="12.75" customHeight="1" x14ac:dyDescent="0.25">
      <c r="A4297" s="318">
        <v>91795511610</v>
      </c>
      <c r="B4297" s="318" t="s">
        <v>23</v>
      </c>
    </row>
    <row r="4298" spans="1:2" ht="12.75" customHeight="1" x14ac:dyDescent="0.25">
      <c r="A4298" s="318">
        <v>91795511611</v>
      </c>
      <c r="B4298" s="318" t="s">
        <v>23</v>
      </c>
    </row>
    <row r="4299" spans="1:2" ht="12.75" customHeight="1" x14ac:dyDescent="0.25">
      <c r="A4299" s="318">
        <v>91795511612</v>
      </c>
      <c r="B4299" s="318" t="s">
        <v>23</v>
      </c>
    </row>
    <row r="4300" spans="1:2" ht="12.75" customHeight="1" x14ac:dyDescent="0.25">
      <c r="A4300" s="318">
        <v>91795511613</v>
      </c>
      <c r="B4300" s="318" t="s">
        <v>237</v>
      </c>
    </row>
    <row r="4301" spans="1:2" ht="12.75" customHeight="1" x14ac:dyDescent="0.25">
      <c r="A4301" s="318">
        <v>91795511614</v>
      </c>
      <c r="B4301" s="318" t="s">
        <v>237</v>
      </c>
    </row>
    <row r="4302" spans="1:2" ht="12.75" customHeight="1" x14ac:dyDescent="0.25">
      <c r="A4302" s="318">
        <v>91795511616</v>
      </c>
      <c r="B4302" s="318" t="s">
        <v>237</v>
      </c>
    </row>
    <row r="4303" spans="1:2" ht="12.75" customHeight="1" x14ac:dyDescent="0.25">
      <c r="A4303" s="318">
        <v>91795511617</v>
      </c>
      <c r="B4303" s="318" t="s">
        <v>237</v>
      </c>
    </row>
    <row r="4304" spans="1:2" ht="12.75" customHeight="1" x14ac:dyDescent="0.25">
      <c r="A4304" s="318">
        <v>91795511618</v>
      </c>
      <c r="B4304" s="318" t="s">
        <v>237</v>
      </c>
    </row>
    <row r="4305" spans="1:2" ht="12.75" customHeight="1" x14ac:dyDescent="0.25">
      <c r="A4305" s="318">
        <v>91795511619</v>
      </c>
      <c r="B4305" s="318" t="s">
        <v>237</v>
      </c>
    </row>
    <row r="4306" spans="1:2" ht="12.75" customHeight="1" x14ac:dyDescent="0.25">
      <c r="A4306" s="318">
        <v>91795511620</v>
      </c>
      <c r="B4306" s="318" t="s">
        <v>237</v>
      </c>
    </row>
    <row r="4307" spans="1:2" ht="12.75" customHeight="1" x14ac:dyDescent="0.25">
      <c r="A4307" s="318">
        <v>91795511621</v>
      </c>
      <c r="B4307" s="318" t="s">
        <v>237</v>
      </c>
    </row>
    <row r="4308" spans="1:2" ht="12.75" customHeight="1" x14ac:dyDescent="0.25">
      <c r="A4308" s="318">
        <v>91795511622</v>
      </c>
      <c r="B4308" s="318" t="s">
        <v>237</v>
      </c>
    </row>
    <row r="4309" spans="1:2" ht="12.75" customHeight="1" x14ac:dyDescent="0.25">
      <c r="A4309" s="318">
        <v>91795511623</v>
      </c>
      <c r="B4309" s="318" t="s">
        <v>237</v>
      </c>
    </row>
    <row r="4310" spans="1:2" ht="12.75" customHeight="1" x14ac:dyDescent="0.25">
      <c r="A4310" s="318">
        <v>91795511707</v>
      </c>
      <c r="B4310" s="318" t="s">
        <v>237</v>
      </c>
    </row>
    <row r="4311" spans="1:2" ht="12.75" customHeight="1" x14ac:dyDescent="0.25">
      <c r="A4311" s="318">
        <v>91795511708</v>
      </c>
      <c r="B4311" s="318" t="s">
        <v>237</v>
      </c>
    </row>
    <row r="4312" spans="1:2" ht="12.75" customHeight="1" x14ac:dyDescent="0.25">
      <c r="A4312" s="318">
        <v>91795511709</v>
      </c>
      <c r="B4312" s="318" t="s">
        <v>237</v>
      </c>
    </row>
    <row r="4313" spans="1:2" ht="12.75" customHeight="1" x14ac:dyDescent="0.25">
      <c r="A4313" s="318">
        <v>91795511710</v>
      </c>
      <c r="B4313" s="318" t="s">
        <v>237</v>
      </c>
    </row>
    <row r="4314" spans="1:2" ht="12.75" customHeight="1" x14ac:dyDescent="0.25">
      <c r="A4314" s="318">
        <v>91795511711</v>
      </c>
      <c r="B4314" s="318" t="s">
        <v>237</v>
      </c>
    </row>
    <row r="4315" spans="1:2" ht="12.75" customHeight="1" x14ac:dyDescent="0.25">
      <c r="A4315" s="318">
        <v>91795511712</v>
      </c>
      <c r="B4315" s="318" t="s">
        <v>237</v>
      </c>
    </row>
    <row r="4316" spans="1:2" ht="12.75" customHeight="1" x14ac:dyDescent="0.25">
      <c r="A4316" s="318">
        <v>91795511713</v>
      </c>
      <c r="B4316" s="318" t="s">
        <v>237</v>
      </c>
    </row>
    <row r="4317" spans="1:2" ht="12.75" customHeight="1" x14ac:dyDescent="0.25">
      <c r="A4317" s="318">
        <v>91795511714</v>
      </c>
      <c r="B4317" s="318" t="s">
        <v>237</v>
      </c>
    </row>
    <row r="4318" spans="1:2" ht="12.75" customHeight="1" x14ac:dyDescent="0.25">
      <c r="A4318" s="318">
        <v>91795511716</v>
      </c>
      <c r="B4318" s="318" t="s">
        <v>237</v>
      </c>
    </row>
    <row r="4319" spans="1:2" ht="12.75" customHeight="1" x14ac:dyDescent="0.25">
      <c r="A4319" s="318">
        <v>91795511717</v>
      </c>
      <c r="B4319" s="318" t="s">
        <v>237</v>
      </c>
    </row>
    <row r="4320" spans="1:2" ht="12.75" customHeight="1" x14ac:dyDescent="0.25">
      <c r="A4320" s="318">
        <v>91795511718</v>
      </c>
      <c r="B4320" s="318" t="s">
        <v>237</v>
      </c>
    </row>
    <row r="4321" spans="1:2" ht="12.75" customHeight="1" x14ac:dyDescent="0.25">
      <c r="A4321" s="318">
        <v>91795511719</v>
      </c>
      <c r="B4321" s="318" t="s">
        <v>237</v>
      </c>
    </row>
    <row r="4322" spans="1:2" ht="12.75" customHeight="1" x14ac:dyDescent="0.25">
      <c r="A4322" s="318">
        <v>91795511720</v>
      </c>
      <c r="B4322" s="318" t="s">
        <v>237</v>
      </c>
    </row>
    <row r="4323" spans="1:2" ht="12.75" customHeight="1" x14ac:dyDescent="0.25">
      <c r="A4323" s="318">
        <v>91795511721</v>
      </c>
      <c r="B4323" s="318" t="s">
        <v>237</v>
      </c>
    </row>
    <row r="4324" spans="1:2" ht="12.75" customHeight="1" x14ac:dyDescent="0.25">
      <c r="A4324" s="318">
        <v>91795511722</v>
      </c>
      <c r="B4324" s="318" t="s">
        <v>237</v>
      </c>
    </row>
    <row r="4325" spans="1:2" ht="12.75" customHeight="1" x14ac:dyDescent="0.25">
      <c r="A4325" s="318">
        <v>91795511723</v>
      </c>
      <c r="B4325" s="318" t="s">
        <v>237</v>
      </c>
    </row>
    <row r="4326" spans="1:2" ht="12.75" customHeight="1" x14ac:dyDescent="0.25">
      <c r="A4326" s="318">
        <v>91795992580</v>
      </c>
      <c r="B4326" s="318" t="s">
        <v>23</v>
      </c>
    </row>
    <row r="4327" spans="1:2" ht="12.75" customHeight="1" x14ac:dyDescent="0.25">
      <c r="A4327" s="318">
        <v>91795992581</v>
      </c>
      <c r="B4327" s="318" t="s">
        <v>23</v>
      </c>
    </row>
    <row r="4328" spans="1:2" ht="12.75" customHeight="1" x14ac:dyDescent="0.25">
      <c r="A4328" s="318">
        <v>91795992582</v>
      </c>
      <c r="B4328" s="318" t="s">
        <v>23</v>
      </c>
    </row>
    <row r="4329" spans="1:2" ht="12.75" customHeight="1" x14ac:dyDescent="0.25">
      <c r="A4329" s="318">
        <v>91795992583</v>
      </c>
      <c r="B4329" s="318" t="s">
        <v>23</v>
      </c>
    </row>
    <row r="4330" spans="1:2" ht="12.75" customHeight="1" x14ac:dyDescent="0.25">
      <c r="A4330" s="318">
        <v>91795992584</v>
      </c>
      <c r="B4330" s="318" t="s">
        <v>23</v>
      </c>
    </row>
    <row r="4331" spans="1:2" ht="12.75" customHeight="1" x14ac:dyDescent="0.25">
      <c r="A4331" s="318">
        <v>91795992585</v>
      </c>
      <c r="B4331" s="318" t="s">
        <v>23</v>
      </c>
    </row>
    <row r="4332" spans="1:2" ht="12.75" customHeight="1" x14ac:dyDescent="0.25">
      <c r="A4332" s="318">
        <v>91795992586</v>
      </c>
      <c r="B4332" s="318" t="s">
        <v>237</v>
      </c>
    </row>
    <row r="4333" spans="1:2" ht="12.75" customHeight="1" x14ac:dyDescent="0.25">
      <c r="A4333" s="318">
        <v>91795992587</v>
      </c>
      <c r="B4333" s="318" t="s">
        <v>237</v>
      </c>
    </row>
    <row r="4334" spans="1:2" ht="12.75" customHeight="1" x14ac:dyDescent="0.25">
      <c r="A4334" s="318">
        <v>91795992589</v>
      </c>
      <c r="B4334" s="318" t="s">
        <v>237</v>
      </c>
    </row>
    <row r="4335" spans="1:2" ht="12.75" customHeight="1" x14ac:dyDescent="0.25">
      <c r="A4335" s="318">
        <v>91795992590</v>
      </c>
      <c r="B4335" s="318" t="s">
        <v>237</v>
      </c>
    </row>
    <row r="4336" spans="1:2" ht="12.75" customHeight="1" x14ac:dyDescent="0.25">
      <c r="A4336" s="318">
        <v>91795992591</v>
      </c>
      <c r="B4336" s="318" t="s">
        <v>237</v>
      </c>
    </row>
    <row r="4337" spans="1:2" ht="12.75" customHeight="1" x14ac:dyDescent="0.25">
      <c r="A4337" s="318">
        <v>91795992592</v>
      </c>
      <c r="B4337" s="318" t="s">
        <v>237</v>
      </c>
    </row>
    <row r="4338" spans="1:2" ht="12.75" customHeight="1" x14ac:dyDescent="0.25">
      <c r="A4338" s="318">
        <v>91795992593</v>
      </c>
      <c r="B4338" s="318" t="s">
        <v>237</v>
      </c>
    </row>
    <row r="4339" spans="1:2" ht="12.75" customHeight="1" x14ac:dyDescent="0.25">
      <c r="A4339" s="318">
        <v>91795992594</v>
      </c>
      <c r="B4339" s="318" t="s">
        <v>237</v>
      </c>
    </row>
    <row r="4340" spans="1:2" ht="12.75" customHeight="1" x14ac:dyDescent="0.25">
      <c r="A4340" s="318">
        <v>91795992595</v>
      </c>
      <c r="B4340" s="318" t="s">
        <v>237</v>
      </c>
    </row>
    <row r="4341" spans="1:2" ht="12.75" customHeight="1" x14ac:dyDescent="0.25">
      <c r="A4341" s="318">
        <v>91795992596</v>
      </c>
      <c r="B4341" s="318" t="s">
        <v>237</v>
      </c>
    </row>
    <row r="4342" spans="1:2" ht="12.75" customHeight="1" x14ac:dyDescent="0.25">
      <c r="A4342" s="318">
        <v>91795992680</v>
      </c>
      <c r="B4342" s="318" t="s">
        <v>237</v>
      </c>
    </row>
    <row r="4343" spans="1:2" ht="12.75" customHeight="1" x14ac:dyDescent="0.25">
      <c r="A4343" s="318">
        <v>91795992681</v>
      </c>
      <c r="B4343" s="318" t="s">
        <v>237</v>
      </c>
    </row>
    <row r="4344" spans="1:2" ht="12.75" customHeight="1" x14ac:dyDescent="0.25">
      <c r="A4344" s="318">
        <v>91795992682</v>
      </c>
      <c r="B4344" s="318" t="s">
        <v>237</v>
      </c>
    </row>
    <row r="4345" spans="1:2" ht="12.75" customHeight="1" x14ac:dyDescent="0.25">
      <c r="A4345" s="318">
        <v>91795992683</v>
      </c>
      <c r="B4345" s="318" t="s">
        <v>237</v>
      </c>
    </row>
    <row r="4346" spans="1:2" ht="12.75" customHeight="1" x14ac:dyDescent="0.25">
      <c r="A4346" s="318">
        <v>91795992684</v>
      </c>
      <c r="B4346" s="318" t="s">
        <v>237</v>
      </c>
    </row>
    <row r="4347" spans="1:2" ht="12.75" customHeight="1" x14ac:dyDescent="0.25">
      <c r="A4347" s="318">
        <v>91795992685</v>
      </c>
      <c r="B4347" s="318" t="s">
        <v>237</v>
      </c>
    </row>
    <row r="4348" spans="1:2" ht="12.75" customHeight="1" x14ac:dyDescent="0.25">
      <c r="A4348" s="318">
        <v>91795992686</v>
      </c>
      <c r="B4348" s="318" t="s">
        <v>237</v>
      </c>
    </row>
    <row r="4349" spans="1:2" ht="12.75" customHeight="1" x14ac:dyDescent="0.25">
      <c r="A4349" s="318">
        <v>91795992687</v>
      </c>
      <c r="B4349" s="318" t="s">
        <v>237</v>
      </c>
    </row>
    <row r="4350" spans="1:2" ht="12.75" customHeight="1" x14ac:dyDescent="0.25">
      <c r="A4350" s="318">
        <v>91795992689</v>
      </c>
      <c r="B4350" s="318" t="s">
        <v>237</v>
      </c>
    </row>
    <row r="4351" spans="1:2" ht="12.75" customHeight="1" x14ac:dyDescent="0.25">
      <c r="A4351" s="318">
        <v>91795992690</v>
      </c>
      <c r="B4351" s="318" t="s">
        <v>237</v>
      </c>
    </row>
    <row r="4352" spans="1:2" ht="12.75" customHeight="1" x14ac:dyDescent="0.25">
      <c r="A4352" s="318">
        <v>91795992691</v>
      </c>
      <c r="B4352" s="318" t="s">
        <v>237</v>
      </c>
    </row>
    <row r="4353" spans="1:2" ht="12.75" customHeight="1" x14ac:dyDescent="0.25">
      <c r="A4353" s="318">
        <v>91795992692</v>
      </c>
      <c r="B4353" s="318" t="s">
        <v>237</v>
      </c>
    </row>
    <row r="4354" spans="1:2" ht="12.75" customHeight="1" x14ac:dyDescent="0.25">
      <c r="A4354" s="318">
        <v>91795992693</v>
      </c>
      <c r="B4354" s="318" t="s">
        <v>237</v>
      </c>
    </row>
    <row r="4355" spans="1:2" ht="12.75" customHeight="1" x14ac:dyDescent="0.25">
      <c r="A4355" s="318">
        <v>91795992694</v>
      </c>
      <c r="B4355" s="318" t="s">
        <v>237</v>
      </c>
    </row>
    <row r="4356" spans="1:2" ht="12.75" customHeight="1" x14ac:dyDescent="0.25">
      <c r="A4356" s="318">
        <v>91795992695</v>
      </c>
      <c r="B4356" s="318" t="s">
        <v>237</v>
      </c>
    </row>
    <row r="4357" spans="1:2" ht="12.75" customHeight="1" x14ac:dyDescent="0.25">
      <c r="A4357" s="318">
        <v>91795992696</v>
      </c>
      <c r="B4357" s="318" t="s">
        <v>237</v>
      </c>
    </row>
    <row r="4358" spans="1:2" ht="12.75" customHeight="1" x14ac:dyDescent="0.25">
      <c r="A4358" s="318">
        <v>91796473553</v>
      </c>
      <c r="B4358" s="318" t="s">
        <v>23</v>
      </c>
    </row>
    <row r="4359" spans="1:2" ht="12.75" customHeight="1" x14ac:dyDescent="0.25">
      <c r="A4359" s="318">
        <v>91796473554</v>
      </c>
      <c r="B4359" s="318" t="s">
        <v>23</v>
      </c>
    </row>
    <row r="4360" spans="1:2" ht="12.75" customHeight="1" x14ac:dyDescent="0.25">
      <c r="A4360" s="318">
        <v>91796473555</v>
      </c>
      <c r="B4360" s="318" t="s">
        <v>23</v>
      </c>
    </row>
    <row r="4361" spans="1:2" ht="12.75" customHeight="1" x14ac:dyDescent="0.25">
      <c r="A4361" s="318">
        <v>91796473556</v>
      </c>
      <c r="B4361" s="318" t="s">
        <v>23</v>
      </c>
    </row>
    <row r="4362" spans="1:2" ht="12.75" customHeight="1" x14ac:dyDescent="0.25">
      <c r="A4362" s="318">
        <v>91796473557</v>
      </c>
      <c r="B4362" s="318" t="s">
        <v>23</v>
      </c>
    </row>
    <row r="4363" spans="1:2" ht="12.75" customHeight="1" x14ac:dyDescent="0.25">
      <c r="A4363" s="318">
        <v>91796473558</v>
      </c>
      <c r="B4363" s="318" t="s">
        <v>23</v>
      </c>
    </row>
    <row r="4364" spans="1:2" ht="12.75" customHeight="1" x14ac:dyDescent="0.25">
      <c r="A4364" s="318">
        <v>91796473559</v>
      </c>
      <c r="B4364" s="318" t="s">
        <v>237</v>
      </c>
    </row>
    <row r="4365" spans="1:2" ht="12.75" customHeight="1" x14ac:dyDescent="0.25">
      <c r="A4365" s="318">
        <v>91796473560</v>
      </c>
      <c r="B4365" s="318" t="s">
        <v>237</v>
      </c>
    </row>
    <row r="4366" spans="1:2" ht="12.75" customHeight="1" x14ac:dyDescent="0.25">
      <c r="A4366" s="318">
        <v>91796473562</v>
      </c>
      <c r="B4366" s="318" t="s">
        <v>237</v>
      </c>
    </row>
    <row r="4367" spans="1:2" ht="12.75" customHeight="1" x14ac:dyDescent="0.25">
      <c r="A4367" s="318">
        <v>91796473563</v>
      </c>
      <c r="B4367" s="318" t="s">
        <v>237</v>
      </c>
    </row>
    <row r="4368" spans="1:2" ht="12.75" customHeight="1" x14ac:dyDescent="0.25">
      <c r="A4368" s="318">
        <v>91796473564</v>
      </c>
      <c r="B4368" s="318" t="s">
        <v>237</v>
      </c>
    </row>
    <row r="4369" spans="1:2" ht="12.75" customHeight="1" x14ac:dyDescent="0.25">
      <c r="A4369" s="318">
        <v>91796473565</v>
      </c>
      <c r="B4369" s="318" t="s">
        <v>237</v>
      </c>
    </row>
    <row r="4370" spans="1:2" ht="12.75" customHeight="1" x14ac:dyDescent="0.25">
      <c r="A4370" s="318">
        <v>91796473566</v>
      </c>
      <c r="B4370" s="318" t="s">
        <v>237</v>
      </c>
    </row>
    <row r="4371" spans="1:2" ht="12.75" customHeight="1" x14ac:dyDescent="0.25">
      <c r="A4371" s="318">
        <v>91796473567</v>
      </c>
      <c r="B4371" s="318" t="s">
        <v>237</v>
      </c>
    </row>
    <row r="4372" spans="1:2" ht="12.75" customHeight="1" x14ac:dyDescent="0.25">
      <c r="A4372" s="318">
        <v>91796473568</v>
      </c>
      <c r="B4372" s="318" t="s">
        <v>237</v>
      </c>
    </row>
    <row r="4373" spans="1:2" ht="12.75" customHeight="1" x14ac:dyDescent="0.25">
      <c r="A4373" s="318">
        <v>91796473569</v>
      </c>
      <c r="B4373" s="318" t="s">
        <v>237</v>
      </c>
    </row>
    <row r="4374" spans="1:2" ht="12.75" customHeight="1" x14ac:dyDescent="0.25">
      <c r="A4374" s="318">
        <v>91796473653</v>
      </c>
      <c r="B4374" s="318" t="s">
        <v>237</v>
      </c>
    </row>
    <row r="4375" spans="1:2" ht="12.75" customHeight="1" x14ac:dyDescent="0.25">
      <c r="A4375" s="318">
        <v>91796473654</v>
      </c>
      <c r="B4375" s="318" t="s">
        <v>237</v>
      </c>
    </row>
    <row r="4376" spans="1:2" ht="12.75" customHeight="1" x14ac:dyDescent="0.25">
      <c r="A4376" s="318">
        <v>91796473655</v>
      </c>
      <c r="B4376" s="318" t="s">
        <v>237</v>
      </c>
    </row>
    <row r="4377" spans="1:2" ht="12.75" customHeight="1" x14ac:dyDescent="0.25">
      <c r="A4377" s="318">
        <v>91796473656</v>
      </c>
      <c r="B4377" s="318" t="s">
        <v>237</v>
      </c>
    </row>
    <row r="4378" spans="1:2" ht="12.75" customHeight="1" x14ac:dyDescent="0.25">
      <c r="A4378" s="318">
        <v>91796473657</v>
      </c>
      <c r="B4378" s="318" t="s">
        <v>237</v>
      </c>
    </row>
    <row r="4379" spans="1:2" ht="12.75" customHeight="1" x14ac:dyDescent="0.25">
      <c r="A4379" s="318">
        <v>91796473658</v>
      </c>
      <c r="B4379" s="318" t="s">
        <v>237</v>
      </c>
    </row>
    <row r="4380" spans="1:2" ht="12.75" customHeight="1" x14ac:dyDescent="0.25">
      <c r="A4380" s="318">
        <v>91796473659</v>
      </c>
      <c r="B4380" s="318" t="s">
        <v>237</v>
      </c>
    </row>
    <row r="4381" spans="1:2" ht="12.75" customHeight="1" x14ac:dyDescent="0.25">
      <c r="A4381" s="318">
        <v>91796473660</v>
      </c>
      <c r="B4381" s="318" t="s">
        <v>237</v>
      </c>
    </row>
    <row r="4382" spans="1:2" ht="12.75" customHeight="1" x14ac:dyDescent="0.25">
      <c r="A4382" s="318">
        <v>91796473662</v>
      </c>
      <c r="B4382" s="318" t="s">
        <v>237</v>
      </c>
    </row>
    <row r="4383" spans="1:2" ht="12.75" customHeight="1" x14ac:dyDescent="0.25">
      <c r="A4383" s="318">
        <v>91796473663</v>
      </c>
      <c r="B4383" s="318" t="s">
        <v>237</v>
      </c>
    </row>
    <row r="4384" spans="1:2" ht="12.75" customHeight="1" x14ac:dyDescent="0.25">
      <c r="A4384" s="318">
        <v>91796473664</v>
      </c>
      <c r="B4384" s="318" t="s">
        <v>237</v>
      </c>
    </row>
    <row r="4385" spans="1:2" ht="12.75" customHeight="1" x14ac:dyDescent="0.25">
      <c r="A4385" s="318">
        <v>91796473665</v>
      </c>
      <c r="B4385" s="318" t="s">
        <v>237</v>
      </c>
    </row>
    <row r="4386" spans="1:2" ht="12.75" customHeight="1" x14ac:dyDescent="0.25">
      <c r="A4386" s="318">
        <v>91796473666</v>
      </c>
      <c r="B4386" s="318" t="s">
        <v>237</v>
      </c>
    </row>
    <row r="4387" spans="1:2" ht="12.75" customHeight="1" x14ac:dyDescent="0.25">
      <c r="A4387" s="318">
        <v>91796473667</v>
      </c>
      <c r="B4387" s="318" t="s">
        <v>237</v>
      </c>
    </row>
    <row r="4388" spans="1:2" ht="12.75" customHeight="1" x14ac:dyDescent="0.25">
      <c r="A4388" s="318">
        <v>91796473668</v>
      </c>
      <c r="B4388" s="318" t="s">
        <v>237</v>
      </c>
    </row>
    <row r="4389" spans="1:2" ht="12.75" customHeight="1" x14ac:dyDescent="0.25">
      <c r="A4389" s="318">
        <v>91796473669</v>
      </c>
      <c r="B4389" s="318" t="s">
        <v>237</v>
      </c>
    </row>
    <row r="4390" spans="1:2" ht="12.75" customHeight="1" x14ac:dyDescent="0.25">
      <c r="A4390" s="318">
        <v>91797153744</v>
      </c>
      <c r="B4390" s="318" t="s">
        <v>23</v>
      </c>
    </row>
    <row r="4391" spans="1:2" ht="12.75" customHeight="1" x14ac:dyDescent="0.25">
      <c r="A4391" s="318">
        <v>91797153745</v>
      </c>
      <c r="B4391" s="318" t="s">
        <v>23</v>
      </c>
    </row>
    <row r="4392" spans="1:2" ht="12.75" customHeight="1" x14ac:dyDescent="0.25">
      <c r="A4392" s="318">
        <v>91797153746</v>
      </c>
      <c r="B4392" s="318" t="s">
        <v>23</v>
      </c>
    </row>
    <row r="4393" spans="1:2" ht="12.75" customHeight="1" x14ac:dyDescent="0.25">
      <c r="A4393" s="318">
        <v>91797153747</v>
      </c>
      <c r="B4393" s="318" t="s">
        <v>23</v>
      </c>
    </row>
    <row r="4394" spans="1:2" ht="12.75" customHeight="1" x14ac:dyDescent="0.25">
      <c r="A4394" s="318">
        <v>91797153748</v>
      </c>
      <c r="B4394" s="318" t="s">
        <v>23</v>
      </c>
    </row>
    <row r="4395" spans="1:2" ht="12.75" customHeight="1" x14ac:dyDescent="0.25">
      <c r="A4395" s="318">
        <v>91797153749</v>
      </c>
      <c r="B4395" s="318" t="s">
        <v>23</v>
      </c>
    </row>
    <row r="4396" spans="1:2" ht="12.75" customHeight="1" x14ac:dyDescent="0.25">
      <c r="A4396" s="318">
        <v>91797153750</v>
      </c>
      <c r="B4396" s="318" t="s">
        <v>237</v>
      </c>
    </row>
    <row r="4397" spans="1:2" ht="12.75" customHeight="1" x14ac:dyDescent="0.25">
      <c r="A4397" s="318">
        <v>91797153751</v>
      </c>
      <c r="B4397" s="318" t="s">
        <v>237</v>
      </c>
    </row>
    <row r="4398" spans="1:2" ht="12.75" customHeight="1" x14ac:dyDescent="0.25">
      <c r="A4398" s="318">
        <v>91797153753</v>
      </c>
      <c r="B4398" s="318" t="s">
        <v>237</v>
      </c>
    </row>
    <row r="4399" spans="1:2" ht="12.75" customHeight="1" x14ac:dyDescent="0.25">
      <c r="A4399" s="318">
        <v>91797153754</v>
      </c>
      <c r="B4399" s="318" t="s">
        <v>237</v>
      </c>
    </row>
    <row r="4400" spans="1:2" ht="12.75" customHeight="1" x14ac:dyDescent="0.25">
      <c r="A4400" s="318">
        <v>91797153755</v>
      </c>
      <c r="B4400" s="318" t="s">
        <v>237</v>
      </c>
    </row>
    <row r="4401" spans="1:2" ht="12.75" customHeight="1" x14ac:dyDescent="0.25">
      <c r="A4401" s="318">
        <v>91797153756</v>
      </c>
      <c r="B4401" s="318" t="s">
        <v>237</v>
      </c>
    </row>
    <row r="4402" spans="1:2" ht="12.75" customHeight="1" x14ac:dyDescent="0.25">
      <c r="A4402" s="318">
        <v>91797153757</v>
      </c>
      <c r="B4402" s="318" t="s">
        <v>237</v>
      </c>
    </row>
    <row r="4403" spans="1:2" ht="12.75" customHeight="1" x14ac:dyDescent="0.25">
      <c r="A4403" s="318">
        <v>91797153758</v>
      </c>
      <c r="B4403" s="318" t="s">
        <v>237</v>
      </c>
    </row>
    <row r="4404" spans="1:2" ht="12.75" customHeight="1" x14ac:dyDescent="0.25">
      <c r="A4404" s="318">
        <v>91797153759</v>
      </c>
      <c r="B4404" s="318" t="s">
        <v>237</v>
      </c>
    </row>
    <row r="4405" spans="1:2" ht="12.75" customHeight="1" x14ac:dyDescent="0.25">
      <c r="A4405" s="318">
        <v>91797153760</v>
      </c>
      <c r="B4405" s="318" t="s">
        <v>237</v>
      </c>
    </row>
    <row r="4406" spans="1:2" ht="12.75" customHeight="1" x14ac:dyDescent="0.25">
      <c r="A4406" s="318">
        <v>91797153844</v>
      </c>
      <c r="B4406" s="318" t="s">
        <v>237</v>
      </c>
    </row>
    <row r="4407" spans="1:2" ht="12.75" customHeight="1" x14ac:dyDescent="0.25">
      <c r="A4407" s="318">
        <v>91797153845</v>
      </c>
      <c r="B4407" s="318" t="s">
        <v>237</v>
      </c>
    </row>
    <row r="4408" spans="1:2" ht="12.75" customHeight="1" x14ac:dyDescent="0.25">
      <c r="A4408" s="318">
        <v>91797153846</v>
      </c>
      <c r="B4408" s="318" t="s">
        <v>237</v>
      </c>
    </row>
    <row r="4409" spans="1:2" ht="12.75" customHeight="1" x14ac:dyDescent="0.25">
      <c r="A4409" s="318">
        <v>91797153847</v>
      </c>
      <c r="B4409" s="318" t="s">
        <v>237</v>
      </c>
    </row>
    <row r="4410" spans="1:2" ht="12.75" customHeight="1" x14ac:dyDescent="0.25">
      <c r="A4410" s="318">
        <v>91797153848</v>
      </c>
      <c r="B4410" s="318" t="s">
        <v>237</v>
      </c>
    </row>
    <row r="4411" spans="1:2" ht="12.75" customHeight="1" x14ac:dyDescent="0.25">
      <c r="A4411" s="318">
        <v>91797153849</v>
      </c>
      <c r="B4411" s="318" t="s">
        <v>237</v>
      </c>
    </row>
    <row r="4412" spans="1:2" ht="12.75" customHeight="1" x14ac:dyDescent="0.25">
      <c r="A4412" s="318">
        <v>91797153850</v>
      </c>
      <c r="B4412" s="318" t="s">
        <v>237</v>
      </c>
    </row>
    <row r="4413" spans="1:2" ht="12.75" customHeight="1" x14ac:dyDescent="0.25">
      <c r="A4413" s="318">
        <v>91797153851</v>
      </c>
      <c r="B4413" s="318" t="s">
        <v>237</v>
      </c>
    </row>
    <row r="4414" spans="1:2" ht="12.75" customHeight="1" x14ac:dyDescent="0.25">
      <c r="A4414" s="318">
        <v>91797153853</v>
      </c>
      <c r="B4414" s="318" t="s">
        <v>237</v>
      </c>
    </row>
    <row r="4415" spans="1:2" ht="12.75" customHeight="1" x14ac:dyDescent="0.25">
      <c r="A4415" s="318">
        <v>91797153854</v>
      </c>
      <c r="B4415" s="318" t="s">
        <v>237</v>
      </c>
    </row>
    <row r="4416" spans="1:2" ht="12.75" customHeight="1" x14ac:dyDescent="0.25">
      <c r="A4416" s="318">
        <v>91797153855</v>
      </c>
      <c r="B4416" s="318" t="s">
        <v>237</v>
      </c>
    </row>
    <row r="4417" spans="1:2" ht="12.75" customHeight="1" x14ac:dyDescent="0.25">
      <c r="A4417" s="318">
        <v>91797153856</v>
      </c>
      <c r="B4417" s="318" t="s">
        <v>237</v>
      </c>
    </row>
    <row r="4418" spans="1:2" ht="12.75" customHeight="1" x14ac:dyDescent="0.25">
      <c r="A4418" s="318">
        <v>91797153857</v>
      </c>
      <c r="B4418" s="318" t="s">
        <v>237</v>
      </c>
    </row>
    <row r="4419" spans="1:2" ht="12.75" customHeight="1" x14ac:dyDescent="0.25">
      <c r="A4419" s="318">
        <v>91797153858</v>
      </c>
      <c r="B4419" s="318" t="s">
        <v>237</v>
      </c>
    </row>
    <row r="4420" spans="1:2" ht="12.75" customHeight="1" x14ac:dyDescent="0.25">
      <c r="A4420" s="318">
        <v>91797153859</v>
      </c>
      <c r="B4420" s="318" t="s">
        <v>237</v>
      </c>
    </row>
    <row r="4421" spans="1:2" ht="12.75" customHeight="1" x14ac:dyDescent="0.25">
      <c r="A4421" s="318">
        <v>91797153860</v>
      </c>
      <c r="B4421" s="318" t="s">
        <v>237</v>
      </c>
    </row>
    <row r="4422" spans="1:2" ht="12.75" customHeight="1" x14ac:dyDescent="0.25">
      <c r="A4422" s="318">
        <v>91797634717</v>
      </c>
      <c r="B4422" s="318" t="s">
        <v>23</v>
      </c>
    </row>
    <row r="4423" spans="1:2" ht="12.75" customHeight="1" x14ac:dyDescent="0.25">
      <c r="A4423" s="318">
        <v>91797634718</v>
      </c>
      <c r="B4423" s="318" t="s">
        <v>23</v>
      </c>
    </row>
    <row r="4424" spans="1:2" ht="12.75" customHeight="1" x14ac:dyDescent="0.25">
      <c r="A4424" s="318">
        <v>91797634719</v>
      </c>
      <c r="B4424" s="318" t="s">
        <v>23</v>
      </c>
    </row>
    <row r="4425" spans="1:2" ht="12.75" customHeight="1" x14ac:dyDescent="0.25">
      <c r="A4425" s="318">
        <v>91797634720</v>
      </c>
      <c r="B4425" s="318" t="s">
        <v>23</v>
      </c>
    </row>
    <row r="4426" spans="1:2" ht="12.75" customHeight="1" x14ac:dyDescent="0.25">
      <c r="A4426" s="318">
        <v>91797634721</v>
      </c>
      <c r="B4426" s="318" t="s">
        <v>23</v>
      </c>
    </row>
    <row r="4427" spans="1:2" ht="12.75" customHeight="1" x14ac:dyDescent="0.25">
      <c r="A4427" s="318">
        <v>91797634722</v>
      </c>
      <c r="B4427" s="318" t="s">
        <v>23</v>
      </c>
    </row>
    <row r="4428" spans="1:2" ht="12.75" customHeight="1" x14ac:dyDescent="0.25">
      <c r="A4428" s="318">
        <v>91797634723</v>
      </c>
      <c r="B4428" s="318" t="s">
        <v>237</v>
      </c>
    </row>
    <row r="4429" spans="1:2" ht="12.75" customHeight="1" x14ac:dyDescent="0.25">
      <c r="A4429" s="318">
        <v>91797634724</v>
      </c>
      <c r="B4429" s="318" t="s">
        <v>237</v>
      </c>
    </row>
    <row r="4430" spans="1:2" ht="12.75" customHeight="1" x14ac:dyDescent="0.25">
      <c r="A4430" s="318">
        <v>91797634726</v>
      </c>
      <c r="B4430" s="318" t="s">
        <v>237</v>
      </c>
    </row>
    <row r="4431" spans="1:2" ht="12.75" customHeight="1" x14ac:dyDescent="0.25">
      <c r="A4431" s="318">
        <v>91797634727</v>
      </c>
      <c r="B4431" s="318" t="s">
        <v>237</v>
      </c>
    </row>
    <row r="4432" spans="1:2" ht="12.75" customHeight="1" x14ac:dyDescent="0.25">
      <c r="A4432" s="318">
        <v>91797634728</v>
      </c>
      <c r="B4432" s="318" t="s">
        <v>237</v>
      </c>
    </row>
    <row r="4433" spans="1:2" ht="12.75" customHeight="1" x14ac:dyDescent="0.25">
      <c r="A4433" s="318">
        <v>91797634729</v>
      </c>
      <c r="B4433" s="318" t="s">
        <v>237</v>
      </c>
    </row>
    <row r="4434" spans="1:2" ht="12.75" customHeight="1" x14ac:dyDescent="0.25">
      <c r="A4434" s="318">
        <v>91797634730</v>
      </c>
      <c r="B4434" s="318" t="s">
        <v>237</v>
      </c>
    </row>
    <row r="4435" spans="1:2" ht="12.75" customHeight="1" x14ac:dyDescent="0.25">
      <c r="A4435" s="318">
        <v>91797634731</v>
      </c>
      <c r="B4435" s="318" t="s">
        <v>237</v>
      </c>
    </row>
    <row r="4436" spans="1:2" ht="12.75" customHeight="1" x14ac:dyDescent="0.25">
      <c r="A4436" s="318">
        <v>91797634732</v>
      </c>
      <c r="B4436" s="318" t="s">
        <v>237</v>
      </c>
    </row>
    <row r="4437" spans="1:2" ht="12.75" customHeight="1" x14ac:dyDescent="0.25">
      <c r="A4437" s="318">
        <v>91797634733</v>
      </c>
      <c r="B4437" s="318" t="s">
        <v>237</v>
      </c>
    </row>
    <row r="4438" spans="1:2" ht="12.75" customHeight="1" x14ac:dyDescent="0.25">
      <c r="A4438" s="318">
        <v>91797634817</v>
      </c>
      <c r="B4438" s="318" t="s">
        <v>237</v>
      </c>
    </row>
    <row r="4439" spans="1:2" ht="12.75" customHeight="1" x14ac:dyDescent="0.25">
      <c r="A4439" s="318">
        <v>91797634818</v>
      </c>
      <c r="B4439" s="318" t="s">
        <v>237</v>
      </c>
    </row>
    <row r="4440" spans="1:2" ht="12.75" customHeight="1" x14ac:dyDescent="0.25">
      <c r="A4440" s="318">
        <v>91797634819</v>
      </c>
      <c r="B4440" s="318" t="s">
        <v>237</v>
      </c>
    </row>
    <row r="4441" spans="1:2" ht="12.75" customHeight="1" x14ac:dyDescent="0.25">
      <c r="A4441" s="318">
        <v>91797634820</v>
      </c>
      <c r="B4441" s="318" t="s">
        <v>237</v>
      </c>
    </row>
    <row r="4442" spans="1:2" ht="12.75" customHeight="1" x14ac:dyDescent="0.25">
      <c r="A4442" s="318">
        <v>91797634821</v>
      </c>
      <c r="B4442" s="318" t="s">
        <v>237</v>
      </c>
    </row>
    <row r="4443" spans="1:2" ht="12.75" customHeight="1" x14ac:dyDescent="0.25">
      <c r="A4443" s="318">
        <v>91797634822</v>
      </c>
      <c r="B4443" s="318" t="s">
        <v>237</v>
      </c>
    </row>
    <row r="4444" spans="1:2" ht="12.75" customHeight="1" x14ac:dyDescent="0.25">
      <c r="A4444" s="318">
        <v>91797634823</v>
      </c>
      <c r="B4444" s="318" t="s">
        <v>237</v>
      </c>
    </row>
    <row r="4445" spans="1:2" ht="12.75" customHeight="1" x14ac:dyDescent="0.25">
      <c r="A4445" s="318">
        <v>91797634824</v>
      </c>
      <c r="B4445" s="318" t="s">
        <v>237</v>
      </c>
    </row>
    <row r="4446" spans="1:2" ht="12.75" customHeight="1" x14ac:dyDescent="0.25">
      <c r="A4446" s="318">
        <v>91797634826</v>
      </c>
      <c r="B4446" s="318" t="s">
        <v>237</v>
      </c>
    </row>
    <row r="4447" spans="1:2" ht="12.75" customHeight="1" x14ac:dyDescent="0.25">
      <c r="A4447" s="318">
        <v>91797634827</v>
      </c>
      <c r="B4447" s="318" t="s">
        <v>237</v>
      </c>
    </row>
    <row r="4448" spans="1:2" ht="12.75" customHeight="1" x14ac:dyDescent="0.25">
      <c r="A4448" s="318">
        <v>91797634828</v>
      </c>
      <c r="B4448" s="318" t="s">
        <v>237</v>
      </c>
    </row>
    <row r="4449" spans="1:2" ht="12.75" customHeight="1" x14ac:dyDescent="0.25">
      <c r="A4449" s="318">
        <v>91797634829</v>
      </c>
      <c r="B4449" s="318" t="s">
        <v>237</v>
      </c>
    </row>
    <row r="4450" spans="1:2" ht="12.75" customHeight="1" x14ac:dyDescent="0.25">
      <c r="A4450" s="318">
        <v>91797634830</v>
      </c>
      <c r="B4450" s="318" t="s">
        <v>237</v>
      </c>
    </row>
    <row r="4451" spans="1:2" ht="12.75" customHeight="1" x14ac:dyDescent="0.25">
      <c r="A4451" s="318">
        <v>91797634831</v>
      </c>
      <c r="B4451" s="318" t="s">
        <v>237</v>
      </c>
    </row>
    <row r="4452" spans="1:2" ht="12.75" customHeight="1" x14ac:dyDescent="0.25">
      <c r="A4452" s="318">
        <v>91797634832</v>
      </c>
      <c r="B4452" s="318" t="s">
        <v>237</v>
      </c>
    </row>
    <row r="4453" spans="1:2" ht="12.75" customHeight="1" x14ac:dyDescent="0.25">
      <c r="A4453" s="318">
        <v>91797634833</v>
      </c>
      <c r="B4453" s="318" t="s">
        <v>237</v>
      </c>
    </row>
    <row r="4454" spans="1:2" ht="12.75" customHeight="1" x14ac:dyDescent="0.25">
      <c r="A4454" s="318">
        <v>91798115690</v>
      </c>
      <c r="B4454" s="318" t="s">
        <v>23</v>
      </c>
    </row>
    <row r="4455" spans="1:2" ht="12.75" customHeight="1" x14ac:dyDescent="0.25">
      <c r="A4455" s="318">
        <v>91798115691</v>
      </c>
      <c r="B4455" s="318" t="s">
        <v>23</v>
      </c>
    </row>
    <row r="4456" spans="1:2" ht="12.75" customHeight="1" x14ac:dyDescent="0.25">
      <c r="A4456" s="318">
        <v>91798115692</v>
      </c>
      <c r="B4456" s="318" t="s">
        <v>23</v>
      </c>
    </row>
    <row r="4457" spans="1:2" ht="12.75" customHeight="1" x14ac:dyDescent="0.25">
      <c r="A4457" s="318">
        <v>91798115693</v>
      </c>
      <c r="B4457" s="318" t="s">
        <v>23</v>
      </c>
    </row>
    <row r="4458" spans="1:2" ht="12.75" customHeight="1" x14ac:dyDescent="0.25">
      <c r="A4458" s="318">
        <v>91798115694</v>
      </c>
      <c r="B4458" s="318" t="s">
        <v>23</v>
      </c>
    </row>
    <row r="4459" spans="1:2" ht="12.75" customHeight="1" x14ac:dyDescent="0.25">
      <c r="A4459" s="318">
        <v>91798115695</v>
      </c>
      <c r="B4459" s="318" t="s">
        <v>23</v>
      </c>
    </row>
    <row r="4460" spans="1:2" ht="12.75" customHeight="1" x14ac:dyDescent="0.25">
      <c r="A4460" s="318">
        <v>91798115696</v>
      </c>
      <c r="B4460" s="318" t="s">
        <v>237</v>
      </c>
    </row>
    <row r="4461" spans="1:2" ht="12.75" customHeight="1" x14ac:dyDescent="0.25">
      <c r="A4461" s="318">
        <v>91798115697</v>
      </c>
      <c r="B4461" s="318" t="s">
        <v>237</v>
      </c>
    </row>
    <row r="4462" spans="1:2" ht="12.75" customHeight="1" x14ac:dyDescent="0.25">
      <c r="A4462" s="318">
        <v>91798115699</v>
      </c>
      <c r="B4462" s="318" t="s">
        <v>237</v>
      </c>
    </row>
    <row r="4463" spans="1:2" ht="12.75" customHeight="1" x14ac:dyDescent="0.25">
      <c r="A4463" s="318">
        <v>91798115700</v>
      </c>
      <c r="B4463" s="318" t="s">
        <v>237</v>
      </c>
    </row>
    <row r="4464" spans="1:2" ht="12.75" customHeight="1" x14ac:dyDescent="0.25">
      <c r="A4464" s="318">
        <v>91798115701</v>
      </c>
      <c r="B4464" s="318" t="s">
        <v>237</v>
      </c>
    </row>
    <row r="4465" spans="1:2" ht="12.75" customHeight="1" x14ac:dyDescent="0.25">
      <c r="A4465" s="318">
        <v>91798115702</v>
      </c>
      <c r="B4465" s="318" t="s">
        <v>237</v>
      </c>
    </row>
    <row r="4466" spans="1:2" ht="12.75" customHeight="1" x14ac:dyDescent="0.25">
      <c r="A4466" s="318">
        <v>91798115703</v>
      </c>
      <c r="B4466" s="318" t="s">
        <v>237</v>
      </c>
    </row>
    <row r="4467" spans="1:2" ht="12.75" customHeight="1" x14ac:dyDescent="0.25">
      <c r="A4467" s="318">
        <v>91798115704</v>
      </c>
      <c r="B4467" s="318" t="s">
        <v>237</v>
      </c>
    </row>
    <row r="4468" spans="1:2" ht="12.75" customHeight="1" x14ac:dyDescent="0.25">
      <c r="A4468" s="318">
        <v>91798115705</v>
      </c>
      <c r="B4468" s="318" t="s">
        <v>237</v>
      </c>
    </row>
    <row r="4469" spans="1:2" ht="12.75" customHeight="1" x14ac:dyDescent="0.25">
      <c r="A4469" s="318">
        <v>91798115706</v>
      </c>
      <c r="B4469" s="318" t="s">
        <v>237</v>
      </c>
    </row>
    <row r="4470" spans="1:2" ht="12.75" customHeight="1" x14ac:dyDescent="0.25">
      <c r="A4470" s="318">
        <v>91798115790</v>
      </c>
      <c r="B4470" s="318" t="s">
        <v>237</v>
      </c>
    </row>
    <row r="4471" spans="1:2" ht="12.75" customHeight="1" x14ac:dyDescent="0.25">
      <c r="A4471" s="318">
        <v>91798115791</v>
      </c>
      <c r="B4471" s="318" t="s">
        <v>237</v>
      </c>
    </row>
    <row r="4472" spans="1:2" ht="12.75" customHeight="1" x14ac:dyDescent="0.25">
      <c r="A4472" s="318">
        <v>91798115792</v>
      </c>
      <c r="B4472" s="318" t="s">
        <v>237</v>
      </c>
    </row>
    <row r="4473" spans="1:2" ht="12.75" customHeight="1" x14ac:dyDescent="0.25">
      <c r="A4473" s="318">
        <v>91798115793</v>
      </c>
      <c r="B4473" s="318" t="s">
        <v>237</v>
      </c>
    </row>
    <row r="4474" spans="1:2" ht="12.75" customHeight="1" x14ac:dyDescent="0.25">
      <c r="A4474" s="318">
        <v>91798115794</v>
      </c>
      <c r="B4474" s="318" t="s">
        <v>237</v>
      </c>
    </row>
    <row r="4475" spans="1:2" ht="12.75" customHeight="1" x14ac:dyDescent="0.25">
      <c r="A4475" s="318">
        <v>91798115795</v>
      </c>
      <c r="B4475" s="318" t="s">
        <v>237</v>
      </c>
    </row>
    <row r="4476" spans="1:2" ht="12.75" customHeight="1" x14ac:dyDescent="0.25">
      <c r="A4476" s="318">
        <v>91798115796</v>
      </c>
      <c r="B4476" s="318" t="s">
        <v>237</v>
      </c>
    </row>
    <row r="4477" spans="1:2" ht="12.75" customHeight="1" x14ac:dyDescent="0.25">
      <c r="A4477" s="318">
        <v>91798115797</v>
      </c>
      <c r="B4477" s="318" t="s">
        <v>237</v>
      </c>
    </row>
    <row r="4478" spans="1:2" ht="12.75" customHeight="1" x14ac:dyDescent="0.25">
      <c r="A4478" s="318">
        <v>91798115799</v>
      </c>
      <c r="B4478" s="318" t="s">
        <v>237</v>
      </c>
    </row>
    <row r="4479" spans="1:2" ht="12.75" customHeight="1" x14ac:dyDescent="0.25">
      <c r="A4479" s="318">
        <v>91798115800</v>
      </c>
      <c r="B4479" s="318" t="s">
        <v>237</v>
      </c>
    </row>
    <row r="4480" spans="1:2" ht="12.75" customHeight="1" x14ac:dyDescent="0.25">
      <c r="A4480" s="318">
        <v>91798115801</v>
      </c>
      <c r="B4480" s="318" t="s">
        <v>237</v>
      </c>
    </row>
    <row r="4481" spans="1:2" ht="12.75" customHeight="1" x14ac:dyDescent="0.25">
      <c r="A4481" s="318">
        <v>91798115802</v>
      </c>
      <c r="B4481" s="318" t="s">
        <v>237</v>
      </c>
    </row>
    <row r="4482" spans="1:2" ht="12.75" customHeight="1" x14ac:dyDescent="0.25">
      <c r="A4482" s="318">
        <v>91798115803</v>
      </c>
      <c r="B4482" s="318" t="s">
        <v>237</v>
      </c>
    </row>
    <row r="4483" spans="1:2" ht="12.75" customHeight="1" x14ac:dyDescent="0.25">
      <c r="A4483" s="318">
        <v>91798115804</v>
      </c>
      <c r="B4483" s="318" t="s">
        <v>237</v>
      </c>
    </row>
    <row r="4484" spans="1:2" ht="12.75" customHeight="1" x14ac:dyDescent="0.25">
      <c r="A4484" s="318">
        <v>91798115805</v>
      </c>
      <c r="B4484" s="318" t="s">
        <v>237</v>
      </c>
    </row>
    <row r="4485" spans="1:2" ht="12.75" customHeight="1" x14ac:dyDescent="0.25">
      <c r="A4485" s="318">
        <v>91798115806</v>
      </c>
      <c r="B4485" s="318" t="s">
        <v>237</v>
      </c>
    </row>
    <row r="4486" spans="1:2" ht="12.75" customHeight="1" x14ac:dyDescent="0.25">
      <c r="A4486" s="318">
        <v>91799476071</v>
      </c>
      <c r="B4486" s="318" t="s">
        <v>23</v>
      </c>
    </row>
    <row r="4487" spans="1:2" ht="12.75" customHeight="1" x14ac:dyDescent="0.25">
      <c r="A4487" s="318">
        <v>91799476072</v>
      </c>
      <c r="B4487" s="318" t="s">
        <v>23</v>
      </c>
    </row>
    <row r="4488" spans="1:2" ht="12.75" customHeight="1" x14ac:dyDescent="0.25">
      <c r="A4488" s="318">
        <v>91799476073</v>
      </c>
      <c r="B4488" s="318" t="s">
        <v>23</v>
      </c>
    </row>
    <row r="4489" spans="1:2" ht="12.75" customHeight="1" x14ac:dyDescent="0.25">
      <c r="A4489" s="318">
        <v>91799476074</v>
      </c>
      <c r="B4489" s="318" t="s">
        <v>23</v>
      </c>
    </row>
    <row r="4490" spans="1:2" ht="12.75" customHeight="1" x14ac:dyDescent="0.25">
      <c r="A4490" s="318">
        <v>91799476075</v>
      </c>
      <c r="B4490" s="318" t="s">
        <v>23</v>
      </c>
    </row>
    <row r="4491" spans="1:2" ht="12.75" customHeight="1" x14ac:dyDescent="0.25">
      <c r="A4491" s="318">
        <v>91799476076</v>
      </c>
      <c r="B4491" s="318" t="s">
        <v>23</v>
      </c>
    </row>
    <row r="4492" spans="1:2" ht="12.75" customHeight="1" x14ac:dyDescent="0.25">
      <c r="A4492" s="318">
        <v>91799476077</v>
      </c>
      <c r="B4492" s="318" t="s">
        <v>237</v>
      </c>
    </row>
    <row r="4493" spans="1:2" ht="12.75" customHeight="1" x14ac:dyDescent="0.25">
      <c r="A4493" s="318">
        <v>91799476078</v>
      </c>
      <c r="B4493" s="318" t="s">
        <v>237</v>
      </c>
    </row>
    <row r="4494" spans="1:2" ht="12.75" customHeight="1" x14ac:dyDescent="0.25">
      <c r="A4494" s="318">
        <v>91799476080</v>
      </c>
      <c r="B4494" s="318" t="s">
        <v>237</v>
      </c>
    </row>
    <row r="4495" spans="1:2" ht="12.75" customHeight="1" x14ac:dyDescent="0.25">
      <c r="A4495" s="318">
        <v>91799476081</v>
      </c>
      <c r="B4495" s="318" t="s">
        <v>237</v>
      </c>
    </row>
    <row r="4496" spans="1:2" ht="12.75" customHeight="1" x14ac:dyDescent="0.25">
      <c r="A4496" s="318">
        <v>91799476082</v>
      </c>
      <c r="B4496" s="318" t="s">
        <v>237</v>
      </c>
    </row>
    <row r="4497" spans="1:2" ht="12.75" customHeight="1" x14ac:dyDescent="0.25">
      <c r="A4497" s="318">
        <v>91799476083</v>
      </c>
      <c r="B4497" s="318" t="s">
        <v>237</v>
      </c>
    </row>
    <row r="4498" spans="1:2" ht="12.75" customHeight="1" x14ac:dyDescent="0.25">
      <c r="A4498" s="318">
        <v>91799476084</v>
      </c>
      <c r="B4498" s="318" t="s">
        <v>237</v>
      </c>
    </row>
    <row r="4499" spans="1:2" ht="12.75" customHeight="1" x14ac:dyDescent="0.25">
      <c r="A4499" s="318">
        <v>91799476085</v>
      </c>
      <c r="B4499" s="318" t="s">
        <v>237</v>
      </c>
    </row>
    <row r="4500" spans="1:2" ht="12.75" customHeight="1" x14ac:dyDescent="0.25">
      <c r="A4500" s="318">
        <v>91799476086</v>
      </c>
      <c r="B4500" s="318" t="s">
        <v>237</v>
      </c>
    </row>
    <row r="4501" spans="1:2" ht="12.75" customHeight="1" x14ac:dyDescent="0.25">
      <c r="A4501" s="318">
        <v>91799476087</v>
      </c>
      <c r="B4501" s="318" t="s">
        <v>237</v>
      </c>
    </row>
    <row r="4502" spans="1:2" ht="12.75" customHeight="1" x14ac:dyDescent="0.25">
      <c r="A4502" s="318">
        <v>91799476171</v>
      </c>
      <c r="B4502" s="318" t="s">
        <v>237</v>
      </c>
    </row>
    <row r="4503" spans="1:2" ht="12.75" customHeight="1" x14ac:dyDescent="0.25">
      <c r="A4503" s="318">
        <v>91799476172</v>
      </c>
      <c r="B4503" s="318" t="s">
        <v>237</v>
      </c>
    </row>
    <row r="4504" spans="1:2" ht="12.75" customHeight="1" x14ac:dyDescent="0.25">
      <c r="A4504" s="318">
        <v>91799476173</v>
      </c>
      <c r="B4504" s="318" t="s">
        <v>237</v>
      </c>
    </row>
    <row r="4505" spans="1:2" ht="12.75" customHeight="1" x14ac:dyDescent="0.25">
      <c r="A4505" s="318">
        <v>91799476174</v>
      </c>
      <c r="B4505" s="318" t="s">
        <v>237</v>
      </c>
    </row>
    <row r="4506" spans="1:2" ht="12.75" customHeight="1" x14ac:dyDescent="0.25">
      <c r="A4506" s="318">
        <v>91799476175</v>
      </c>
      <c r="B4506" s="318" t="s">
        <v>237</v>
      </c>
    </row>
    <row r="4507" spans="1:2" ht="12.75" customHeight="1" x14ac:dyDescent="0.25">
      <c r="A4507" s="318">
        <v>91799476176</v>
      </c>
      <c r="B4507" s="318" t="s">
        <v>237</v>
      </c>
    </row>
    <row r="4508" spans="1:2" ht="12.75" customHeight="1" x14ac:dyDescent="0.25">
      <c r="A4508" s="318">
        <v>91799476177</v>
      </c>
      <c r="B4508" s="318" t="s">
        <v>237</v>
      </c>
    </row>
    <row r="4509" spans="1:2" ht="12.75" customHeight="1" x14ac:dyDescent="0.25">
      <c r="A4509" s="318">
        <v>91799476178</v>
      </c>
      <c r="B4509" s="318" t="s">
        <v>237</v>
      </c>
    </row>
    <row r="4510" spans="1:2" ht="12.75" customHeight="1" x14ac:dyDescent="0.25">
      <c r="A4510" s="318">
        <v>91799476180</v>
      </c>
      <c r="B4510" s="318" t="s">
        <v>237</v>
      </c>
    </row>
    <row r="4511" spans="1:2" ht="12.75" customHeight="1" x14ac:dyDescent="0.25">
      <c r="A4511" s="318">
        <v>91799476181</v>
      </c>
      <c r="B4511" s="318" t="s">
        <v>237</v>
      </c>
    </row>
    <row r="4512" spans="1:2" ht="12.75" customHeight="1" x14ac:dyDescent="0.25">
      <c r="A4512" s="318">
        <v>91799476182</v>
      </c>
      <c r="B4512" s="318" t="s">
        <v>237</v>
      </c>
    </row>
    <row r="4513" spans="1:2" ht="12.75" customHeight="1" x14ac:dyDescent="0.25">
      <c r="A4513" s="318">
        <v>91799476183</v>
      </c>
      <c r="B4513" s="318" t="s">
        <v>237</v>
      </c>
    </row>
    <row r="4514" spans="1:2" ht="12.75" customHeight="1" x14ac:dyDescent="0.25">
      <c r="A4514" s="318">
        <v>91799476184</v>
      </c>
      <c r="B4514" s="318" t="s">
        <v>237</v>
      </c>
    </row>
    <row r="4515" spans="1:2" ht="12.75" customHeight="1" x14ac:dyDescent="0.25">
      <c r="A4515" s="318">
        <v>91799476185</v>
      </c>
      <c r="B4515" s="318" t="s">
        <v>237</v>
      </c>
    </row>
    <row r="4516" spans="1:2" ht="12.75" customHeight="1" x14ac:dyDescent="0.25">
      <c r="A4516" s="318">
        <v>91799476186</v>
      </c>
      <c r="B4516" s="318" t="s">
        <v>237</v>
      </c>
    </row>
    <row r="4517" spans="1:2" ht="12.75" customHeight="1" x14ac:dyDescent="0.25">
      <c r="A4517" s="318">
        <v>91799476187</v>
      </c>
      <c r="B4517" s="318" t="s">
        <v>237</v>
      </c>
    </row>
    <row r="4518" spans="1:2" ht="12.75" customHeight="1" x14ac:dyDescent="0.25">
      <c r="A4518" s="318">
        <v>91799957044</v>
      </c>
      <c r="B4518" s="318" t="s">
        <v>23</v>
      </c>
    </row>
    <row r="4519" spans="1:2" ht="12.75" customHeight="1" x14ac:dyDescent="0.25">
      <c r="A4519" s="318">
        <v>91799957045</v>
      </c>
      <c r="B4519" s="318" t="s">
        <v>23</v>
      </c>
    </row>
    <row r="4520" spans="1:2" ht="12.75" customHeight="1" x14ac:dyDescent="0.25">
      <c r="A4520" s="318">
        <v>91799957046</v>
      </c>
      <c r="B4520" s="318" t="s">
        <v>23</v>
      </c>
    </row>
    <row r="4521" spans="1:2" ht="12.75" customHeight="1" x14ac:dyDescent="0.25">
      <c r="A4521" s="318">
        <v>91799957047</v>
      </c>
      <c r="B4521" s="318" t="s">
        <v>23</v>
      </c>
    </row>
    <row r="4522" spans="1:2" ht="12.75" customHeight="1" x14ac:dyDescent="0.25">
      <c r="A4522" s="318">
        <v>91799957048</v>
      </c>
      <c r="B4522" s="318" t="s">
        <v>23</v>
      </c>
    </row>
    <row r="4523" spans="1:2" ht="12.75" customHeight="1" x14ac:dyDescent="0.25">
      <c r="A4523" s="318">
        <v>91799957049</v>
      </c>
      <c r="B4523" s="318" t="s">
        <v>23</v>
      </c>
    </row>
    <row r="4524" spans="1:2" ht="12.75" customHeight="1" x14ac:dyDescent="0.25">
      <c r="A4524" s="318">
        <v>91799957050</v>
      </c>
      <c r="B4524" s="318" t="s">
        <v>237</v>
      </c>
    </row>
    <row r="4525" spans="1:2" ht="12.75" customHeight="1" x14ac:dyDescent="0.25">
      <c r="A4525" s="318">
        <v>91799957051</v>
      </c>
      <c r="B4525" s="318" t="s">
        <v>237</v>
      </c>
    </row>
    <row r="4526" spans="1:2" ht="12.75" customHeight="1" x14ac:dyDescent="0.25">
      <c r="A4526" s="318">
        <v>91799957053</v>
      </c>
      <c r="B4526" s="318" t="s">
        <v>237</v>
      </c>
    </row>
    <row r="4527" spans="1:2" ht="12.75" customHeight="1" x14ac:dyDescent="0.25">
      <c r="A4527" s="318">
        <v>91799957054</v>
      </c>
      <c r="B4527" s="318" t="s">
        <v>237</v>
      </c>
    </row>
    <row r="4528" spans="1:2" ht="12.75" customHeight="1" x14ac:dyDescent="0.25">
      <c r="A4528" s="318">
        <v>91799957055</v>
      </c>
      <c r="B4528" s="318" t="s">
        <v>237</v>
      </c>
    </row>
    <row r="4529" spans="1:2" ht="12.75" customHeight="1" x14ac:dyDescent="0.25">
      <c r="A4529" s="318">
        <v>91799957056</v>
      </c>
      <c r="B4529" s="318" t="s">
        <v>237</v>
      </c>
    </row>
    <row r="4530" spans="1:2" ht="12.75" customHeight="1" x14ac:dyDescent="0.25">
      <c r="A4530" s="318">
        <v>91799957057</v>
      </c>
      <c r="B4530" s="318" t="s">
        <v>237</v>
      </c>
    </row>
    <row r="4531" spans="1:2" ht="12.75" customHeight="1" x14ac:dyDescent="0.25">
      <c r="A4531" s="318">
        <v>91799957058</v>
      </c>
      <c r="B4531" s="318" t="s">
        <v>237</v>
      </c>
    </row>
    <row r="4532" spans="1:2" ht="12.75" customHeight="1" x14ac:dyDescent="0.25">
      <c r="A4532" s="318">
        <v>91799957059</v>
      </c>
      <c r="B4532" s="318" t="s">
        <v>237</v>
      </c>
    </row>
    <row r="4533" spans="1:2" ht="12.75" customHeight="1" x14ac:dyDescent="0.25">
      <c r="A4533" s="318">
        <v>91799957060</v>
      </c>
      <c r="B4533" s="318" t="s">
        <v>237</v>
      </c>
    </row>
    <row r="4534" spans="1:2" ht="12.75" customHeight="1" x14ac:dyDescent="0.25">
      <c r="A4534" s="318">
        <v>91799957144</v>
      </c>
      <c r="B4534" s="318" t="s">
        <v>237</v>
      </c>
    </row>
    <row r="4535" spans="1:2" ht="12.75" customHeight="1" x14ac:dyDescent="0.25">
      <c r="A4535" s="318">
        <v>91799957145</v>
      </c>
      <c r="B4535" s="318" t="s">
        <v>237</v>
      </c>
    </row>
    <row r="4536" spans="1:2" ht="12.75" customHeight="1" x14ac:dyDescent="0.25">
      <c r="A4536" s="318">
        <v>91799957146</v>
      </c>
      <c r="B4536" s="318" t="s">
        <v>237</v>
      </c>
    </row>
    <row r="4537" spans="1:2" ht="12.75" customHeight="1" x14ac:dyDescent="0.25">
      <c r="A4537" s="318">
        <v>91799957147</v>
      </c>
      <c r="B4537" s="318" t="s">
        <v>237</v>
      </c>
    </row>
    <row r="4538" spans="1:2" ht="12.75" customHeight="1" x14ac:dyDescent="0.25">
      <c r="A4538" s="318">
        <v>91799957148</v>
      </c>
      <c r="B4538" s="318" t="s">
        <v>237</v>
      </c>
    </row>
    <row r="4539" spans="1:2" ht="12.75" customHeight="1" x14ac:dyDescent="0.25">
      <c r="A4539" s="318">
        <v>91799957149</v>
      </c>
      <c r="B4539" s="318" t="s">
        <v>237</v>
      </c>
    </row>
    <row r="4540" spans="1:2" ht="12.75" customHeight="1" x14ac:dyDescent="0.25">
      <c r="A4540" s="318">
        <v>91799957150</v>
      </c>
      <c r="B4540" s="318" t="s">
        <v>237</v>
      </c>
    </row>
    <row r="4541" spans="1:2" ht="12.75" customHeight="1" x14ac:dyDescent="0.25">
      <c r="A4541" s="318">
        <v>91799957151</v>
      </c>
      <c r="B4541" s="318" t="s">
        <v>237</v>
      </c>
    </row>
    <row r="4542" spans="1:2" ht="12.75" customHeight="1" x14ac:dyDescent="0.25">
      <c r="A4542" s="318">
        <v>91799957153</v>
      </c>
      <c r="B4542" s="318" t="s">
        <v>237</v>
      </c>
    </row>
    <row r="4543" spans="1:2" ht="12.75" customHeight="1" x14ac:dyDescent="0.25">
      <c r="A4543" s="318">
        <v>91799957154</v>
      </c>
      <c r="B4543" s="318" t="s">
        <v>237</v>
      </c>
    </row>
    <row r="4544" spans="1:2" ht="12.75" customHeight="1" x14ac:dyDescent="0.25">
      <c r="A4544" s="318">
        <v>91799957155</v>
      </c>
      <c r="B4544" s="318" t="s">
        <v>237</v>
      </c>
    </row>
    <row r="4545" spans="1:2" ht="12.75" customHeight="1" x14ac:dyDescent="0.25">
      <c r="A4545" s="318">
        <v>91799957156</v>
      </c>
      <c r="B4545" s="318" t="s">
        <v>237</v>
      </c>
    </row>
    <row r="4546" spans="1:2" ht="12.75" customHeight="1" x14ac:dyDescent="0.25">
      <c r="A4546" s="318">
        <v>91799957157</v>
      </c>
      <c r="B4546" s="318" t="s">
        <v>237</v>
      </c>
    </row>
    <row r="4547" spans="1:2" ht="12.75" customHeight="1" x14ac:dyDescent="0.25">
      <c r="A4547" s="318">
        <v>91799957158</v>
      </c>
      <c r="B4547" s="318" t="s">
        <v>237</v>
      </c>
    </row>
    <row r="4548" spans="1:2" ht="12.75" customHeight="1" x14ac:dyDescent="0.25">
      <c r="A4548" s="318">
        <v>91799957159</v>
      </c>
      <c r="B4548" s="318" t="s">
        <v>237</v>
      </c>
    </row>
    <row r="4549" spans="1:2" ht="12.75" customHeight="1" x14ac:dyDescent="0.25">
      <c r="A4549" s="318">
        <v>91799957160</v>
      </c>
      <c r="B4549" s="318" t="s">
        <v>237</v>
      </c>
    </row>
    <row r="4550" spans="1:2" ht="12.75" customHeight="1" x14ac:dyDescent="0.25">
      <c r="A4550" s="318">
        <v>91800438017</v>
      </c>
      <c r="B4550" s="318" t="s">
        <v>23</v>
      </c>
    </row>
    <row r="4551" spans="1:2" ht="12.75" customHeight="1" x14ac:dyDescent="0.25">
      <c r="A4551" s="318">
        <v>91800438018</v>
      </c>
      <c r="B4551" s="318" t="s">
        <v>23</v>
      </c>
    </row>
    <row r="4552" spans="1:2" ht="12.75" customHeight="1" x14ac:dyDescent="0.25">
      <c r="A4552" s="318">
        <v>91800438019</v>
      </c>
      <c r="B4552" s="318" t="s">
        <v>23</v>
      </c>
    </row>
    <row r="4553" spans="1:2" ht="12.75" customHeight="1" x14ac:dyDescent="0.25">
      <c r="A4553" s="318">
        <v>91800438020</v>
      </c>
      <c r="B4553" s="318" t="s">
        <v>23</v>
      </c>
    </row>
    <row r="4554" spans="1:2" ht="12.75" customHeight="1" x14ac:dyDescent="0.25">
      <c r="A4554" s="318">
        <v>91800438021</v>
      </c>
      <c r="B4554" s="318" t="s">
        <v>23</v>
      </c>
    </row>
    <row r="4555" spans="1:2" ht="12.75" customHeight="1" x14ac:dyDescent="0.25">
      <c r="A4555" s="318">
        <v>91800438022</v>
      </c>
      <c r="B4555" s="318" t="s">
        <v>23</v>
      </c>
    </row>
    <row r="4556" spans="1:2" ht="12.75" customHeight="1" x14ac:dyDescent="0.25">
      <c r="A4556" s="318">
        <v>91800438023</v>
      </c>
      <c r="B4556" s="318" t="s">
        <v>237</v>
      </c>
    </row>
    <row r="4557" spans="1:2" ht="12.75" customHeight="1" x14ac:dyDescent="0.25">
      <c r="A4557" s="318">
        <v>91800438024</v>
      </c>
      <c r="B4557" s="318" t="s">
        <v>237</v>
      </c>
    </row>
    <row r="4558" spans="1:2" ht="12.75" customHeight="1" x14ac:dyDescent="0.25">
      <c r="A4558" s="318">
        <v>91800438026</v>
      </c>
      <c r="B4558" s="318" t="s">
        <v>237</v>
      </c>
    </row>
    <row r="4559" spans="1:2" ht="12.75" customHeight="1" x14ac:dyDescent="0.25">
      <c r="A4559" s="318">
        <v>91800438027</v>
      </c>
      <c r="B4559" s="318" t="s">
        <v>237</v>
      </c>
    </row>
    <row r="4560" spans="1:2" ht="12.75" customHeight="1" x14ac:dyDescent="0.25">
      <c r="A4560" s="318">
        <v>91800438028</v>
      </c>
      <c r="B4560" s="318" t="s">
        <v>237</v>
      </c>
    </row>
    <row r="4561" spans="1:2" ht="12.75" customHeight="1" x14ac:dyDescent="0.25">
      <c r="A4561" s="318">
        <v>91800438029</v>
      </c>
      <c r="B4561" s="318" t="s">
        <v>237</v>
      </c>
    </row>
    <row r="4562" spans="1:2" ht="12.75" customHeight="1" x14ac:dyDescent="0.25">
      <c r="A4562" s="318">
        <v>91800438030</v>
      </c>
      <c r="B4562" s="318" t="s">
        <v>237</v>
      </c>
    </row>
    <row r="4563" spans="1:2" ht="12.75" customHeight="1" x14ac:dyDescent="0.25">
      <c r="A4563" s="318">
        <v>91800438031</v>
      </c>
      <c r="B4563" s="318" t="s">
        <v>237</v>
      </c>
    </row>
    <row r="4564" spans="1:2" ht="12.75" customHeight="1" x14ac:dyDescent="0.25">
      <c r="A4564" s="318">
        <v>91800438032</v>
      </c>
      <c r="B4564" s="318" t="s">
        <v>237</v>
      </c>
    </row>
    <row r="4565" spans="1:2" ht="12.75" customHeight="1" x14ac:dyDescent="0.25">
      <c r="A4565" s="318">
        <v>91800438033</v>
      </c>
      <c r="B4565" s="318" t="s">
        <v>237</v>
      </c>
    </row>
    <row r="4566" spans="1:2" ht="12.75" customHeight="1" x14ac:dyDescent="0.25">
      <c r="A4566" s="318">
        <v>91800438117</v>
      </c>
      <c r="B4566" s="318" t="s">
        <v>237</v>
      </c>
    </row>
    <row r="4567" spans="1:2" ht="12.75" customHeight="1" x14ac:dyDescent="0.25">
      <c r="A4567" s="318">
        <v>91800438118</v>
      </c>
      <c r="B4567" s="318" t="s">
        <v>237</v>
      </c>
    </row>
    <row r="4568" spans="1:2" ht="12.75" customHeight="1" x14ac:dyDescent="0.25">
      <c r="A4568" s="318">
        <v>91800438119</v>
      </c>
      <c r="B4568" s="318" t="s">
        <v>237</v>
      </c>
    </row>
    <row r="4569" spans="1:2" ht="12.75" customHeight="1" x14ac:dyDescent="0.25">
      <c r="A4569" s="318">
        <v>91800438120</v>
      </c>
      <c r="B4569" s="318" t="s">
        <v>237</v>
      </c>
    </row>
    <row r="4570" spans="1:2" ht="12.75" customHeight="1" x14ac:dyDescent="0.25">
      <c r="A4570" s="318">
        <v>91800438121</v>
      </c>
      <c r="B4570" s="318" t="s">
        <v>237</v>
      </c>
    </row>
    <row r="4571" spans="1:2" ht="12.75" customHeight="1" x14ac:dyDescent="0.25">
      <c r="A4571" s="318">
        <v>91800438122</v>
      </c>
      <c r="B4571" s="318" t="s">
        <v>237</v>
      </c>
    </row>
    <row r="4572" spans="1:2" ht="12.75" customHeight="1" x14ac:dyDescent="0.25">
      <c r="A4572" s="318">
        <v>91800438123</v>
      </c>
      <c r="B4572" s="318" t="s">
        <v>237</v>
      </c>
    </row>
    <row r="4573" spans="1:2" ht="12.75" customHeight="1" x14ac:dyDescent="0.25">
      <c r="A4573" s="318">
        <v>91800438124</v>
      </c>
      <c r="B4573" s="318" t="s">
        <v>237</v>
      </c>
    </row>
    <row r="4574" spans="1:2" ht="12.75" customHeight="1" x14ac:dyDescent="0.25">
      <c r="A4574" s="318">
        <v>91800438126</v>
      </c>
      <c r="B4574" s="318" t="s">
        <v>237</v>
      </c>
    </row>
    <row r="4575" spans="1:2" ht="12.75" customHeight="1" x14ac:dyDescent="0.25">
      <c r="A4575" s="318">
        <v>91800438127</v>
      </c>
      <c r="B4575" s="318" t="s">
        <v>237</v>
      </c>
    </row>
    <row r="4576" spans="1:2" ht="12.75" customHeight="1" x14ac:dyDescent="0.25">
      <c r="A4576" s="318">
        <v>91800438128</v>
      </c>
      <c r="B4576" s="318" t="s">
        <v>237</v>
      </c>
    </row>
    <row r="4577" spans="1:2" ht="12.75" customHeight="1" x14ac:dyDescent="0.25">
      <c r="A4577" s="318">
        <v>91800438129</v>
      </c>
      <c r="B4577" s="318" t="s">
        <v>237</v>
      </c>
    </row>
    <row r="4578" spans="1:2" ht="12.75" customHeight="1" x14ac:dyDescent="0.25">
      <c r="A4578" s="318">
        <v>91800438130</v>
      </c>
      <c r="B4578" s="318" t="s">
        <v>237</v>
      </c>
    </row>
    <row r="4579" spans="1:2" ht="12.75" customHeight="1" x14ac:dyDescent="0.25">
      <c r="A4579" s="318">
        <v>91800438131</v>
      </c>
      <c r="B4579" s="318" t="s">
        <v>237</v>
      </c>
    </row>
    <row r="4580" spans="1:2" ht="12.75" customHeight="1" x14ac:dyDescent="0.25">
      <c r="A4580" s="318">
        <v>91800438132</v>
      </c>
      <c r="B4580" s="318" t="s">
        <v>237</v>
      </c>
    </row>
    <row r="4581" spans="1:2" ht="12.75" customHeight="1" x14ac:dyDescent="0.25">
      <c r="A4581" s="318">
        <v>91800438133</v>
      </c>
      <c r="B4581" s="318" t="s">
        <v>237</v>
      </c>
    </row>
    <row r="4582" spans="1:2" ht="12.75" customHeight="1" x14ac:dyDescent="0.25">
      <c r="A4582" s="318">
        <v>91801118208</v>
      </c>
      <c r="B4582" s="318" t="s">
        <v>23</v>
      </c>
    </row>
    <row r="4583" spans="1:2" ht="12.75" customHeight="1" x14ac:dyDescent="0.25">
      <c r="A4583" s="318">
        <v>91801118209</v>
      </c>
      <c r="B4583" s="318" t="s">
        <v>23</v>
      </c>
    </row>
    <row r="4584" spans="1:2" ht="12.75" customHeight="1" x14ac:dyDescent="0.25">
      <c r="A4584" s="318">
        <v>91801118210</v>
      </c>
      <c r="B4584" s="318" t="s">
        <v>23</v>
      </c>
    </row>
    <row r="4585" spans="1:2" ht="12.75" customHeight="1" x14ac:dyDescent="0.25">
      <c r="A4585" s="318">
        <v>91801118211</v>
      </c>
      <c r="B4585" s="318" t="s">
        <v>23</v>
      </c>
    </row>
    <row r="4586" spans="1:2" ht="12.75" customHeight="1" x14ac:dyDescent="0.25">
      <c r="A4586" s="318">
        <v>91801118212</v>
      </c>
      <c r="B4586" s="318" t="s">
        <v>23</v>
      </c>
    </row>
    <row r="4587" spans="1:2" ht="12.75" customHeight="1" x14ac:dyDescent="0.25">
      <c r="A4587" s="318">
        <v>91801118213</v>
      </c>
      <c r="B4587" s="318" t="s">
        <v>23</v>
      </c>
    </row>
    <row r="4588" spans="1:2" ht="12.75" customHeight="1" x14ac:dyDescent="0.25">
      <c r="A4588" s="318">
        <v>91801118214</v>
      </c>
      <c r="B4588" s="318" t="s">
        <v>237</v>
      </c>
    </row>
    <row r="4589" spans="1:2" ht="12.75" customHeight="1" x14ac:dyDescent="0.25">
      <c r="A4589" s="318">
        <v>91801118215</v>
      </c>
      <c r="B4589" s="318" t="s">
        <v>237</v>
      </c>
    </row>
    <row r="4590" spans="1:2" ht="12.75" customHeight="1" x14ac:dyDescent="0.25">
      <c r="A4590" s="318">
        <v>91801118217</v>
      </c>
      <c r="B4590" s="318" t="s">
        <v>237</v>
      </c>
    </row>
    <row r="4591" spans="1:2" ht="12.75" customHeight="1" x14ac:dyDescent="0.25">
      <c r="A4591" s="318">
        <v>91801118218</v>
      </c>
      <c r="B4591" s="318" t="s">
        <v>237</v>
      </c>
    </row>
    <row r="4592" spans="1:2" ht="12.75" customHeight="1" x14ac:dyDescent="0.25">
      <c r="A4592" s="318">
        <v>91801118219</v>
      </c>
      <c r="B4592" s="318" t="s">
        <v>237</v>
      </c>
    </row>
    <row r="4593" spans="1:2" ht="12.75" customHeight="1" x14ac:dyDescent="0.25">
      <c r="A4593" s="318">
        <v>91801118220</v>
      </c>
      <c r="B4593" s="318" t="s">
        <v>237</v>
      </c>
    </row>
    <row r="4594" spans="1:2" ht="12.75" customHeight="1" x14ac:dyDescent="0.25">
      <c r="A4594" s="318">
        <v>91801118221</v>
      </c>
      <c r="B4594" s="318" t="s">
        <v>237</v>
      </c>
    </row>
    <row r="4595" spans="1:2" ht="12.75" customHeight="1" x14ac:dyDescent="0.25">
      <c r="A4595" s="318">
        <v>91801118222</v>
      </c>
      <c r="B4595" s="318" t="s">
        <v>237</v>
      </c>
    </row>
    <row r="4596" spans="1:2" ht="12.75" customHeight="1" x14ac:dyDescent="0.25">
      <c r="A4596" s="318">
        <v>91801118223</v>
      </c>
      <c r="B4596" s="318" t="s">
        <v>237</v>
      </c>
    </row>
    <row r="4597" spans="1:2" ht="12.75" customHeight="1" x14ac:dyDescent="0.25">
      <c r="A4597" s="318">
        <v>91801118224</v>
      </c>
      <c r="B4597" s="318" t="s">
        <v>237</v>
      </c>
    </row>
    <row r="4598" spans="1:2" ht="12.75" customHeight="1" x14ac:dyDescent="0.25">
      <c r="A4598" s="318">
        <v>91801118308</v>
      </c>
      <c r="B4598" s="318" t="s">
        <v>237</v>
      </c>
    </row>
    <row r="4599" spans="1:2" ht="12.75" customHeight="1" x14ac:dyDescent="0.25">
      <c r="A4599" s="318">
        <v>91801118309</v>
      </c>
      <c r="B4599" s="318" t="s">
        <v>237</v>
      </c>
    </row>
    <row r="4600" spans="1:2" ht="12.75" customHeight="1" x14ac:dyDescent="0.25">
      <c r="A4600" s="318">
        <v>91801118310</v>
      </c>
      <c r="B4600" s="318" t="s">
        <v>237</v>
      </c>
    </row>
    <row r="4601" spans="1:2" ht="12.75" customHeight="1" x14ac:dyDescent="0.25">
      <c r="A4601" s="318">
        <v>91801118311</v>
      </c>
      <c r="B4601" s="318" t="s">
        <v>237</v>
      </c>
    </row>
    <row r="4602" spans="1:2" ht="12.75" customHeight="1" x14ac:dyDescent="0.25">
      <c r="A4602" s="318">
        <v>91801118312</v>
      </c>
      <c r="B4602" s="318" t="s">
        <v>237</v>
      </c>
    </row>
    <row r="4603" spans="1:2" ht="12.75" customHeight="1" x14ac:dyDescent="0.25">
      <c r="A4603" s="318">
        <v>91801118313</v>
      </c>
      <c r="B4603" s="318" t="s">
        <v>237</v>
      </c>
    </row>
    <row r="4604" spans="1:2" ht="12.75" customHeight="1" x14ac:dyDescent="0.25">
      <c r="A4604" s="318">
        <v>91801118314</v>
      </c>
      <c r="B4604" s="318" t="s">
        <v>237</v>
      </c>
    </row>
    <row r="4605" spans="1:2" ht="12.75" customHeight="1" x14ac:dyDescent="0.25">
      <c r="A4605" s="318">
        <v>91801118315</v>
      </c>
      <c r="B4605" s="318" t="s">
        <v>237</v>
      </c>
    </row>
    <row r="4606" spans="1:2" ht="12.75" customHeight="1" x14ac:dyDescent="0.25">
      <c r="A4606" s="318">
        <v>91801118317</v>
      </c>
      <c r="B4606" s="318" t="s">
        <v>237</v>
      </c>
    </row>
    <row r="4607" spans="1:2" ht="12.75" customHeight="1" x14ac:dyDescent="0.25">
      <c r="A4607" s="318">
        <v>91801118318</v>
      </c>
      <c r="B4607" s="318" t="s">
        <v>237</v>
      </c>
    </row>
    <row r="4608" spans="1:2" ht="12.75" customHeight="1" x14ac:dyDescent="0.25">
      <c r="A4608" s="318">
        <v>91801118319</v>
      </c>
      <c r="B4608" s="318" t="s">
        <v>237</v>
      </c>
    </row>
    <row r="4609" spans="1:2" ht="12.75" customHeight="1" x14ac:dyDescent="0.25">
      <c r="A4609" s="318">
        <v>91801118320</v>
      </c>
      <c r="B4609" s="318" t="s">
        <v>237</v>
      </c>
    </row>
    <row r="4610" spans="1:2" ht="12.75" customHeight="1" x14ac:dyDescent="0.25">
      <c r="A4610" s="318">
        <v>91801118321</v>
      </c>
      <c r="B4610" s="318" t="s">
        <v>237</v>
      </c>
    </row>
    <row r="4611" spans="1:2" ht="12.75" customHeight="1" x14ac:dyDescent="0.25">
      <c r="A4611" s="318">
        <v>91801118322</v>
      </c>
      <c r="B4611" s="318" t="s">
        <v>237</v>
      </c>
    </row>
    <row r="4612" spans="1:2" ht="12.75" customHeight="1" x14ac:dyDescent="0.25">
      <c r="A4612" s="318">
        <v>91801118323</v>
      </c>
      <c r="B4612" s="318" t="s">
        <v>237</v>
      </c>
    </row>
    <row r="4613" spans="1:2" ht="12.75" customHeight="1" x14ac:dyDescent="0.25">
      <c r="A4613" s="318">
        <v>91801118324</v>
      </c>
      <c r="B4613" s="318" t="s">
        <v>237</v>
      </c>
    </row>
    <row r="4614" spans="1:2" ht="12.75" customHeight="1" x14ac:dyDescent="0.25">
      <c r="A4614" s="318">
        <v>91801599181</v>
      </c>
      <c r="B4614" s="318" t="s">
        <v>23</v>
      </c>
    </row>
    <row r="4615" spans="1:2" ht="12.75" customHeight="1" x14ac:dyDescent="0.25">
      <c r="A4615" s="318">
        <v>91801599182</v>
      </c>
      <c r="B4615" s="318" t="s">
        <v>23</v>
      </c>
    </row>
    <row r="4616" spans="1:2" ht="12.75" customHeight="1" x14ac:dyDescent="0.25">
      <c r="A4616" s="318">
        <v>91801599183</v>
      </c>
      <c r="B4616" s="318" t="s">
        <v>23</v>
      </c>
    </row>
    <row r="4617" spans="1:2" ht="12.75" customHeight="1" x14ac:dyDescent="0.25">
      <c r="A4617" s="318">
        <v>91801599184</v>
      </c>
      <c r="B4617" s="318" t="s">
        <v>23</v>
      </c>
    </row>
    <row r="4618" spans="1:2" ht="12.75" customHeight="1" x14ac:dyDescent="0.25">
      <c r="A4618" s="318">
        <v>91801599185</v>
      </c>
      <c r="B4618" s="318" t="s">
        <v>23</v>
      </c>
    </row>
    <row r="4619" spans="1:2" ht="12.75" customHeight="1" x14ac:dyDescent="0.25">
      <c r="A4619" s="318">
        <v>91801599186</v>
      </c>
      <c r="B4619" s="318" t="s">
        <v>23</v>
      </c>
    </row>
    <row r="4620" spans="1:2" ht="12.75" customHeight="1" x14ac:dyDescent="0.25">
      <c r="A4620" s="318">
        <v>91801599187</v>
      </c>
      <c r="B4620" s="318" t="s">
        <v>237</v>
      </c>
    </row>
    <row r="4621" spans="1:2" ht="12.75" customHeight="1" x14ac:dyDescent="0.25">
      <c r="A4621" s="318">
        <v>91801599188</v>
      </c>
      <c r="B4621" s="318" t="s">
        <v>237</v>
      </c>
    </row>
    <row r="4622" spans="1:2" ht="12.75" customHeight="1" x14ac:dyDescent="0.25">
      <c r="A4622" s="318">
        <v>91801599190</v>
      </c>
      <c r="B4622" s="318" t="s">
        <v>237</v>
      </c>
    </row>
    <row r="4623" spans="1:2" ht="12.75" customHeight="1" x14ac:dyDescent="0.25">
      <c r="A4623" s="318">
        <v>91801599191</v>
      </c>
      <c r="B4623" s="318" t="s">
        <v>237</v>
      </c>
    </row>
    <row r="4624" spans="1:2" ht="12.75" customHeight="1" x14ac:dyDescent="0.25">
      <c r="A4624" s="318">
        <v>91801599192</v>
      </c>
      <c r="B4624" s="318" t="s">
        <v>237</v>
      </c>
    </row>
    <row r="4625" spans="1:2" ht="12.75" customHeight="1" x14ac:dyDescent="0.25">
      <c r="A4625" s="318">
        <v>91801599193</v>
      </c>
      <c r="B4625" s="318" t="s">
        <v>237</v>
      </c>
    </row>
    <row r="4626" spans="1:2" ht="12.75" customHeight="1" x14ac:dyDescent="0.25">
      <c r="A4626" s="318">
        <v>91801599194</v>
      </c>
      <c r="B4626" s="318" t="s">
        <v>237</v>
      </c>
    </row>
    <row r="4627" spans="1:2" ht="12.75" customHeight="1" x14ac:dyDescent="0.25">
      <c r="A4627" s="318">
        <v>91801599195</v>
      </c>
      <c r="B4627" s="318" t="s">
        <v>237</v>
      </c>
    </row>
    <row r="4628" spans="1:2" ht="12.75" customHeight="1" x14ac:dyDescent="0.25">
      <c r="A4628" s="318">
        <v>91801599196</v>
      </c>
      <c r="B4628" s="318" t="s">
        <v>237</v>
      </c>
    </row>
    <row r="4629" spans="1:2" ht="12.75" customHeight="1" x14ac:dyDescent="0.25">
      <c r="A4629" s="318">
        <v>91801599197</v>
      </c>
      <c r="B4629" s="318" t="s">
        <v>237</v>
      </c>
    </row>
    <row r="4630" spans="1:2" ht="12.75" customHeight="1" x14ac:dyDescent="0.25">
      <c r="A4630" s="318">
        <v>91801599281</v>
      </c>
      <c r="B4630" s="318" t="s">
        <v>237</v>
      </c>
    </row>
    <row r="4631" spans="1:2" ht="12.75" customHeight="1" x14ac:dyDescent="0.25">
      <c r="A4631" s="318">
        <v>91801599282</v>
      </c>
      <c r="B4631" s="318" t="s">
        <v>237</v>
      </c>
    </row>
    <row r="4632" spans="1:2" ht="12.75" customHeight="1" x14ac:dyDescent="0.25">
      <c r="A4632" s="318">
        <v>91801599283</v>
      </c>
      <c r="B4632" s="318" t="s">
        <v>237</v>
      </c>
    </row>
    <row r="4633" spans="1:2" ht="12.75" customHeight="1" x14ac:dyDescent="0.25">
      <c r="A4633" s="318">
        <v>91801599284</v>
      </c>
      <c r="B4633" s="318" t="s">
        <v>237</v>
      </c>
    </row>
    <row r="4634" spans="1:2" ht="12.75" customHeight="1" x14ac:dyDescent="0.25">
      <c r="A4634" s="318">
        <v>91801599285</v>
      </c>
      <c r="B4634" s="318" t="s">
        <v>237</v>
      </c>
    </row>
    <row r="4635" spans="1:2" ht="12.75" customHeight="1" x14ac:dyDescent="0.25">
      <c r="A4635" s="318">
        <v>91801599286</v>
      </c>
      <c r="B4635" s="318" t="s">
        <v>237</v>
      </c>
    </row>
    <row r="4636" spans="1:2" ht="12.75" customHeight="1" x14ac:dyDescent="0.25">
      <c r="A4636" s="318">
        <v>91801599287</v>
      </c>
      <c r="B4636" s="318" t="s">
        <v>237</v>
      </c>
    </row>
    <row r="4637" spans="1:2" ht="12.75" customHeight="1" x14ac:dyDescent="0.25">
      <c r="A4637" s="318">
        <v>91801599288</v>
      </c>
      <c r="B4637" s="318" t="s">
        <v>237</v>
      </c>
    </row>
    <row r="4638" spans="1:2" ht="12.75" customHeight="1" x14ac:dyDescent="0.25">
      <c r="A4638" s="318">
        <v>91801599290</v>
      </c>
      <c r="B4638" s="318" t="s">
        <v>237</v>
      </c>
    </row>
    <row r="4639" spans="1:2" ht="12.75" customHeight="1" x14ac:dyDescent="0.25">
      <c r="A4639" s="318">
        <v>91801599291</v>
      </c>
      <c r="B4639" s="318" t="s">
        <v>237</v>
      </c>
    </row>
    <row r="4640" spans="1:2" ht="12.75" customHeight="1" x14ac:dyDescent="0.25">
      <c r="A4640" s="318">
        <v>91801599292</v>
      </c>
      <c r="B4640" s="318" t="s">
        <v>237</v>
      </c>
    </row>
    <row r="4641" spans="1:2" ht="12.75" customHeight="1" x14ac:dyDescent="0.25">
      <c r="A4641" s="318">
        <v>91801599293</v>
      </c>
      <c r="B4641" s="318" t="s">
        <v>237</v>
      </c>
    </row>
    <row r="4642" spans="1:2" ht="12.75" customHeight="1" x14ac:dyDescent="0.25">
      <c r="A4642" s="318">
        <v>91801599294</v>
      </c>
      <c r="B4642" s="318" t="s">
        <v>237</v>
      </c>
    </row>
    <row r="4643" spans="1:2" ht="12.75" customHeight="1" x14ac:dyDescent="0.25">
      <c r="A4643" s="318">
        <v>91801599295</v>
      </c>
      <c r="B4643" s="318" t="s">
        <v>237</v>
      </c>
    </row>
    <row r="4644" spans="1:2" ht="12.75" customHeight="1" x14ac:dyDescent="0.25">
      <c r="A4644" s="318">
        <v>91801599296</v>
      </c>
      <c r="B4644" s="318" t="s">
        <v>237</v>
      </c>
    </row>
    <row r="4645" spans="1:2" ht="12.75" customHeight="1" x14ac:dyDescent="0.25">
      <c r="A4645" s="318">
        <v>91801599297</v>
      </c>
      <c r="B4645" s="318" t="s">
        <v>237</v>
      </c>
    </row>
    <row r="4646" spans="1:2" ht="12.75" customHeight="1" x14ac:dyDescent="0.25">
      <c r="A4646" s="318">
        <v>91802080154</v>
      </c>
      <c r="B4646" s="318" t="s">
        <v>23</v>
      </c>
    </row>
    <row r="4647" spans="1:2" ht="12.75" customHeight="1" x14ac:dyDescent="0.25">
      <c r="A4647" s="318">
        <v>91802080155</v>
      </c>
      <c r="B4647" s="318" t="s">
        <v>23</v>
      </c>
    </row>
    <row r="4648" spans="1:2" ht="12.75" customHeight="1" x14ac:dyDescent="0.25">
      <c r="A4648" s="318">
        <v>91802080156</v>
      </c>
      <c r="B4648" s="318" t="s">
        <v>23</v>
      </c>
    </row>
    <row r="4649" spans="1:2" ht="12.75" customHeight="1" x14ac:dyDescent="0.25">
      <c r="A4649" s="318">
        <v>91802080157</v>
      </c>
      <c r="B4649" s="318" t="s">
        <v>23</v>
      </c>
    </row>
    <row r="4650" spans="1:2" ht="12.75" customHeight="1" x14ac:dyDescent="0.25">
      <c r="A4650" s="318">
        <v>91802080158</v>
      </c>
      <c r="B4650" s="318" t="s">
        <v>23</v>
      </c>
    </row>
    <row r="4651" spans="1:2" ht="12.75" customHeight="1" x14ac:dyDescent="0.25">
      <c r="A4651" s="318">
        <v>91802080159</v>
      </c>
      <c r="B4651" s="318" t="s">
        <v>23</v>
      </c>
    </row>
    <row r="4652" spans="1:2" ht="12.75" customHeight="1" x14ac:dyDescent="0.25">
      <c r="A4652" s="318">
        <v>91802080160</v>
      </c>
      <c r="B4652" s="318" t="s">
        <v>237</v>
      </c>
    </row>
    <row r="4653" spans="1:2" ht="12.75" customHeight="1" x14ac:dyDescent="0.25">
      <c r="A4653" s="318">
        <v>91802080161</v>
      </c>
      <c r="B4653" s="318" t="s">
        <v>237</v>
      </c>
    </row>
    <row r="4654" spans="1:2" ht="12.75" customHeight="1" x14ac:dyDescent="0.25">
      <c r="A4654" s="318">
        <v>91802080163</v>
      </c>
      <c r="B4654" s="318" t="s">
        <v>237</v>
      </c>
    </row>
    <row r="4655" spans="1:2" ht="12.75" customHeight="1" x14ac:dyDescent="0.25">
      <c r="A4655" s="318">
        <v>91802080164</v>
      </c>
      <c r="B4655" s="318" t="s">
        <v>237</v>
      </c>
    </row>
    <row r="4656" spans="1:2" ht="12.75" customHeight="1" x14ac:dyDescent="0.25">
      <c r="A4656" s="318">
        <v>91802080165</v>
      </c>
      <c r="B4656" s="318" t="s">
        <v>237</v>
      </c>
    </row>
    <row r="4657" spans="1:2" ht="12.75" customHeight="1" x14ac:dyDescent="0.25">
      <c r="A4657" s="318">
        <v>91802080166</v>
      </c>
      <c r="B4657" s="318" t="s">
        <v>237</v>
      </c>
    </row>
    <row r="4658" spans="1:2" ht="12.75" customHeight="1" x14ac:dyDescent="0.25">
      <c r="A4658" s="318">
        <v>91802080167</v>
      </c>
      <c r="B4658" s="318" t="s">
        <v>237</v>
      </c>
    </row>
    <row r="4659" spans="1:2" ht="12.75" customHeight="1" x14ac:dyDescent="0.25">
      <c r="A4659" s="318">
        <v>91802080168</v>
      </c>
      <c r="B4659" s="318" t="s">
        <v>237</v>
      </c>
    </row>
    <row r="4660" spans="1:2" ht="12.75" customHeight="1" x14ac:dyDescent="0.25">
      <c r="A4660" s="318">
        <v>91802080169</v>
      </c>
      <c r="B4660" s="318" t="s">
        <v>237</v>
      </c>
    </row>
    <row r="4661" spans="1:2" ht="12.75" customHeight="1" x14ac:dyDescent="0.25">
      <c r="A4661" s="318">
        <v>91802080170</v>
      </c>
      <c r="B4661" s="318" t="s">
        <v>237</v>
      </c>
    </row>
    <row r="4662" spans="1:2" ht="12.75" customHeight="1" x14ac:dyDescent="0.25">
      <c r="A4662" s="318">
        <v>91802080254</v>
      </c>
      <c r="B4662" s="318" t="s">
        <v>237</v>
      </c>
    </row>
    <row r="4663" spans="1:2" ht="12.75" customHeight="1" x14ac:dyDescent="0.25">
      <c r="A4663" s="318">
        <v>91802080255</v>
      </c>
      <c r="B4663" s="318" t="s">
        <v>237</v>
      </c>
    </row>
    <row r="4664" spans="1:2" ht="12.75" customHeight="1" x14ac:dyDescent="0.25">
      <c r="A4664" s="318">
        <v>91802080256</v>
      </c>
      <c r="B4664" s="318" t="s">
        <v>237</v>
      </c>
    </row>
    <row r="4665" spans="1:2" ht="12.75" customHeight="1" x14ac:dyDescent="0.25">
      <c r="A4665" s="318">
        <v>91802080257</v>
      </c>
      <c r="B4665" s="318" t="s">
        <v>237</v>
      </c>
    </row>
    <row r="4666" spans="1:2" ht="12.75" customHeight="1" x14ac:dyDescent="0.25">
      <c r="A4666" s="318">
        <v>91802080258</v>
      </c>
      <c r="B4666" s="318" t="s">
        <v>237</v>
      </c>
    </row>
    <row r="4667" spans="1:2" ht="12.75" customHeight="1" x14ac:dyDescent="0.25">
      <c r="A4667" s="318">
        <v>91802080259</v>
      </c>
      <c r="B4667" s="318" t="s">
        <v>237</v>
      </c>
    </row>
    <row r="4668" spans="1:2" ht="12.75" customHeight="1" x14ac:dyDescent="0.25">
      <c r="A4668" s="318">
        <v>91802080260</v>
      </c>
      <c r="B4668" s="318" t="s">
        <v>237</v>
      </c>
    </row>
    <row r="4669" spans="1:2" ht="12.75" customHeight="1" x14ac:dyDescent="0.25">
      <c r="A4669" s="318">
        <v>91802080261</v>
      </c>
      <c r="B4669" s="318" t="s">
        <v>237</v>
      </c>
    </row>
    <row r="4670" spans="1:2" ht="12.75" customHeight="1" x14ac:dyDescent="0.25">
      <c r="A4670" s="318">
        <v>91802080263</v>
      </c>
      <c r="B4670" s="318" t="s">
        <v>237</v>
      </c>
    </row>
    <row r="4671" spans="1:2" ht="12.75" customHeight="1" x14ac:dyDescent="0.25">
      <c r="A4671" s="318">
        <v>91802080264</v>
      </c>
      <c r="B4671" s="318" t="s">
        <v>237</v>
      </c>
    </row>
    <row r="4672" spans="1:2" ht="12.75" customHeight="1" x14ac:dyDescent="0.25">
      <c r="A4672" s="318">
        <v>91802080265</v>
      </c>
      <c r="B4672" s="318" t="s">
        <v>237</v>
      </c>
    </row>
    <row r="4673" spans="1:2" ht="12.75" customHeight="1" x14ac:dyDescent="0.25">
      <c r="A4673" s="318">
        <v>91802080266</v>
      </c>
      <c r="B4673" s="318" t="s">
        <v>237</v>
      </c>
    </row>
    <row r="4674" spans="1:2" ht="12.75" customHeight="1" x14ac:dyDescent="0.25">
      <c r="A4674" s="318">
        <v>91802080267</v>
      </c>
      <c r="B4674" s="318" t="s">
        <v>237</v>
      </c>
    </row>
    <row r="4675" spans="1:2" ht="12.75" customHeight="1" x14ac:dyDescent="0.25">
      <c r="A4675" s="318">
        <v>91802080268</v>
      </c>
      <c r="B4675" s="318" t="s">
        <v>237</v>
      </c>
    </row>
    <row r="4676" spans="1:2" ht="12.75" customHeight="1" x14ac:dyDescent="0.25">
      <c r="A4676" s="318">
        <v>91802080269</v>
      </c>
      <c r="B4676" s="318" t="s">
        <v>237</v>
      </c>
    </row>
    <row r="4677" spans="1:2" ht="12.75" customHeight="1" x14ac:dyDescent="0.25">
      <c r="A4677" s="318">
        <v>91802080270</v>
      </c>
      <c r="B4677" s="318" t="s">
        <v>237</v>
      </c>
    </row>
    <row r="4678" spans="1:2" ht="12.75" customHeight="1" x14ac:dyDescent="0.25">
      <c r="A4678" s="318">
        <v>91802760345</v>
      </c>
      <c r="B4678" s="318" t="s">
        <v>23</v>
      </c>
    </row>
    <row r="4679" spans="1:2" ht="12.75" customHeight="1" x14ac:dyDescent="0.25">
      <c r="A4679" s="318">
        <v>91802760346</v>
      </c>
      <c r="B4679" s="318" t="s">
        <v>23</v>
      </c>
    </row>
    <row r="4680" spans="1:2" ht="12.75" customHeight="1" x14ac:dyDescent="0.25">
      <c r="A4680" s="318">
        <v>91802760347</v>
      </c>
      <c r="B4680" s="318" t="s">
        <v>23</v>
      </c>
    </row>
    <row r="4681" spans="1:2" ht="12.75" customHeight="1" x14ac:dyDescent="0.25">
      <c r="A4681" s="318">
        <v>91802760348</v>
      </c>
      <c r="B4681" s="318" t="s">
        <v>23</v>
      </c>
    </row>
    <row r="4682" spans="1:2" ht="12.75" customHeight="1" x14ac:dyDescent="0.25">
      <c r="A4682" s="318">
        <v>91802760349</v>
      </c>
      <c r="B4682" s="318" t="s">
        <v>23</v>
      </c>
    </row>
    <row r="4683" spans="1:2" ht="12.75" customHeight="1" x14ac:dyDescent="0.25">
      <c r="A4683" s="318">
        <v>91802760350</v>
      </c>
      <c r="B4683" s="318" t="s">
        <v>23</v>
      </c>
    </row>
    <row r="4684" spans="1:2" ht="12.75" customHeight="1" x14ac:dyDescent="0.25">
      <c r="A4684" s="318">
        <v>91802760351</v>
      </c>
      <c r="B4684" s="318" t="s">
        <v>237</v>
      </c>
    </row>
    <row r="4685" spans="1:2" ht="12.75" customHeight="1" x14ac:dyDescent="0.25">
      <c r="A4685" s="318">
        <v>91802760352</v>
      </c>
      <c r="B4685" s="318" t="s">
        <v>237</v>
      </c>
    </row>
    <row r="4686" spans="1:2" ht="12.75" customHeight="1" x14ac:dyDescent="0.25">
      <c r="A4686" s="318">
        <v>91802760354</v>
      </c>
      <c r="B4686" s="318" t="s">
        <v>237</v>
      </c>
    </row>
    <row r="4687" spans="1:2" ht="12.75" customHeight="1" x14ac:dyDescent="0.25">
      <c r="A4687" s="318">
        <v>91802760355</v>
      </c>
      <c r="B4687" s="318" t="s">
        <v>237</v>
      </c>
    </row>
    <row r="4688" spans="1:2" ht="12.75" customHeight="1" x14ac:dyDescent="0.25">
      <c r="A4688" s="318">
        <v>91802760356</v>
      </c>
      <c r="B4688" s="318" t="s">
        <v>237</v>
      </c>
    </row>
    <row r="4689" spans="1:2" ht="12.75" customHeight="1" x14ac:dyDescent="0.25">
      <c r="A4689" s="318">
        <v>91802760357</v>
      </c>
      <c r="B4689" s="318" t="s">
        <v>237</v>
      </c>
    </row>
    <row r="4690" spans="1:2" ht="12.75" customHeight="1" x14ac:dyDescent="0.25">
      <c r="A4690" s="318">
        <v>91802760358</v>
      </c>
      <c r="B4690" s="318" t="s">
        <v>237</v>
      </c>
    </row>
    <row r="4691" spans="1:2" ht="12.75" customHeight="1" x14ac:dyDescent="0.25">
      <c r="A4691" s="318">
        <v>91802760359</v>
      </c>
      <c r="B4691" s="318" t="s">
        <v>237</v>
      </c>
    </row>
    <row r="4692" spans="1:2" ht="12.75" customHeight="1" x14ac:dyDescent="0.25">
      <c r="A4692" s="318">
        <v>91802760360</v>
      </c>
      <c r="B4692" s="318" t="s">
        <v>237</v>
      </c>
    </row>
    <row r="4693" spans="1:2" ht="12.75" customHeight="1" x14ac:dyDescent="0.25">
      <c r="A4693" s="318">
        <v>91802760361</v>
      </c>
      <c r="B4693" s="318" t="s">
        <v>237</v>
      </c>
    </row>
    <row r="4694" spans="1:2" ht="12.75" customHeight="1" x14ac:dyDescent="0.25">
      <c r="A4694" s="318">
        <v>91802760445</v>
      </c>
      <c r="B4694" s="318" t="s">
        <v>237</v>
      </c>
    </row>
    <row r="4695" spans="1:2" ht="12.75" customHeight="1" x14ac:dyDescent="0.25">
      <c r="A4695" s="318">
        <v>91802760446</v>
      </c>
      <c r="B4695" s="318" t="s">
        <v>237</v>
      </c>
    </row>
    <row r="4696" spans="1:2" ht="12.75" customHeight="1" x14ac:dyDescent="0.25">
      <c r="A4696" s="318">
        <v>91802760447</v>
      </c>
      <c r="B4696" s="318" t="s">
        <v>237</v>
      </c>
    </row>
    <row r="4697" spans="1:2" ht="12.75" customHeight="1" x14ac:dyDescent="0.25">
      <c r="A4697" s="318">
        <v>91802760448</v>
      </c>
      <c r="B4697" s="318" t="s">
        <v>237</v>
      </c>
    </row>
    <row r="4698" spans="1:2" ht="12.75" customHeight="1" x14ac:dyDescent="0.25">
      <c r="A4698" s="318">
        <v>91802760449</v>
      </c>
      <c r="B4698" s="318" t="s">
        <v>237</v>
      </c>
    </row>
    <row r="4699" spans="1:2" ht="12.75" customHeight="1" x14ac:dyDescent="0.25">
      <c r="A4699" s="318">
        <v>91802760450</v>
      </c>
      <c r="B4699" s="318" t="s">
        <v>237</v>
      </c>
    </row>
    <row r="4700" spans="1:2" ht="12.75" customHeight="1" x14ac:dyDescent="0.25">
      <c r="A4700" s="318">
        <v>91802760451</v>
      </c>
      <c r="B4700" s="318" t="s">
        <v>237</v>
      </c>
    </row>
    <row r="4701" spans="1:2" ht="12.75" customHeight="1" x14ac:dyDescent="0.25">
      <c r="A4701" s="318">
        <v>91802760452</v>
      </c>
      <c r="B4701" s="318" t="s">
        <v>237</v>
      </c>
    </row>
    <row r="4702" spans="1:2" ht="12.75" customHeight="1" x14ac:dyDescent="0.25">
      <c r="A4702" s="318">
        <v>91802760454</v>
      </c>
      <c r="B4702" s="318" t="s">
        <v>237</v>
      </c>
    </row>
    <row r="4703" spans="1:2" ht="12.75" customHeight="1" x14ac:dyDescent="0.25">
      <c r="A4703" s="318">
        <v>91802760455</v>
      </c>
      <c r="B4703" s="318" t="s">
        <v>237</v>
      </c>
    </row>
    <row r="4704" spans="1:2" ht="12.75" customHeight="1" x14ac:dyDescent="0.25">
      <c r="A4704" s="318">
        <v>91802760456</v>
      </c>
      <c r="B4704" s="318" t="s">
        <v>237</v>
      </c>
    </row>
    <row r="4705" spans="1:2" ht="12.75" customHeight="1" x14ac:dyDescent="0.25">
      <c r="A4705" s="318">
        <v>91802760457</v>
      </c>
      <c r="B4705" s="318" t="s">
        <v>237</v>
      </c>
    </row>
    <row r="4706" spans="1:2" ht="12.75" customHeight="1" x14ac:dyDescent="0.25">
      <c r="A4706" s="318">
        <v>91802760458</v>
      </c>
      <c r="B4706" s="318" t="s">
        <v>237</v>
      </c>
    </row>
    <row r="4707" spans="1:2" ht="12.75" customHeight="1" x14ac:dyDescent="0.25">
      <c r="A4707" s="318">
        <v>91802760459</v>
      </c>
      <c r="B4707" s="318" t="s">
        <v>237</v>
      </c>
    </row>
    <row r="4708" spans="1:2" ht="12.75" customHeight="1" x14ac:dyDescent="0.25">
      <c r="A4708" s="318">
        <v>91802760460</v>
      </c>
      <c r="B4708" s="318" t="s">
        <v>237</v>
      </c>
    </row>
    <row r="4709" spans="1:2" ht="12.75" customHeight="1" x14ac:dyDescent="0.25">
      <c r="A4709" s="318">
        <v>91802760461</v>
      </c>
      <c r="B4709" s="318" t="s">
        <v>237</v>
      </c>
    </row>
    <row r="4710" spans="1:2" ht="12.75" customHeight="1" x14ac:dyDescent="0.25">
      <c r="A4710" s="318">
        <v>91803241318</v>
      </c>
      <c r="B4710" s="318" t="s">
        <v>23</v>
      </c>
    </row>
    <row r="4711" spans="1:2" ht="12.75" customHeight="1" x14ac:dyDescent="0.25">
      <c r="A4711" s="318">
        <v>91803241319</v>
      </c>
      <c r="B4711" s="318" t="s">
        <v>23</v>
      </c>
    </row>
    <row r="4712" spans="1:2" ht="12.75" customHeight="1" x14ac:dyDescent="0.25">
      <c r="A4712" s="318">
        <v>91803241320</v>
      </c>
      <c r="B4712" s="318" t="s">
        <v>23</v>
      </c>
    </row>
    <row r="4713" spans="1:2" ht="12.75" customHeight="1" x14ac:dyDescent="0.25">
      <c r="A4713" s="318">
        <v>91803241321</v>
      </c>
      <c r="B4713" s="318" t="s">
        <v>23</v>
      </c>
    </row>
    <row r="4714" spans="1:2" ht="12.75" customHeight="1" x14ac:dyDescent="0.25">
      <c r="A4714" s="318">
        <v>91803241322</v>
      </c>
      <c r="B4714" s="318" t="s">
        <v>23</v>
      </c>
    </row>
    <row r="4715" spans="1:2" ht="12.75" customHeight="1" x14ac:dyDescent="0.25">
      <c r="A4715" s="318">
        <v>91803241323</v>
      </c>
      <c r="B4715" s="318" t="s">
        <v>23</v>
      </c>
    </row>
    <row r="4716" spans="1:2" ht="12.75" customHeight="1" x14ac:dyDescent="0.25">
      <c r="A4716" s="318">
        <v>91803241324</v>
      </c>
      <c r="B4716" s="318" t="s">
        <v>237</v>
      </c>
    </row>
    <row r="4717" spans="1:2" ht="12.75" customHeight="1" x14ac:dyDescent="0.25">
      <c r="A4717" s="318">
        <v>91803241325</v>
      </c>
      <c r="B4717" s="318" t="s">
        <v>237</v>
      </c>
    </row>
    <row r="4718" spans="1:2" ht="12.75" customHeight="1" x14ac:dyDescent="0.25">
      <c r="A4718" s="318">
        <v>91803241327</v>
      </c>
      <c r="B4718" s="318" t="s">
        <v>237</v>
      </c>
    </row>
    <row r="4719" spans="1:2" ht="12.75" customHeight="1" x14ac:dyDescent="0.25">
      <c r="A4719" s="318">
        <v>91803241328</v>
      </c>
      <c r="B4719" s="318" t="s">
        <v>237</v>
      </c>
    </row>
    <row r="4720" spans="1:2" ht="12.75" customHeight="1" x14ac:dyDescent="0.25">
      <c r="A4720" s="318">
        <v>91803241329</v>
      </c>
      <c r="B4720" s="318" t="s">
        <v>237</v>
      </c>
    </row>
    <row r="4721" spans="1:2" ht="12.75" customHeight="1" x14ac:dyDescent="0.25">
      <c r="A4721" s="318">
        <v>91803241330</v>
      </c>
      <c r="B4721" s="318" t="s">
        <v>237</v>
      </c>
    </row>
    <row r="4722" spans="1:2" ht="12.75" customHeight="1" x14ac:dyDescent="0.25">
      <c r="A4722" s="318">
        <v>91803241331</v>
      </c>
      <c r="B4722" s="318" t="s">
        <v>237</v>
      </c>
    </row>
    <row r="4723" spans="1:2" ht="12.75" customHeight="1" x14ac:dyDescent="0.25">
      <c r="A4723" s="318">
        <v>91803241332</v>
      </c>
      <c r="B4723" s="318" t="s">
        <v>237</v>
      </c>
    </row>
    <row r="4724" spans="1:2" ht="12.75" customHeight="1" x14ac:dyDescent="0.25">
      <c r="A4724" s="318">
        <v>91803241333</v>
      </c>
      <c r="B4724" s="318" t="s">
        <v>237</v>
      </c>
    </row>
    <row r="4725" spans="1:2" ht="12.75" customHeight="1" x14ac:dyDescent="0.25">
      <c r="A4725" s="318">
        <v>91803241334</v>
      </c>
      <c r="B4725" s="318" t="s">
        <v>237</v>
      </c>
    </row>
    <row r="4726" spans="1:2" ht="12.75" customHeight="1" x14ac:dyDescent="0.25">
      <c r="A4726" s="318">
        <v>91803241418</v>
      </c>
      <c r="B4726" s="318" t="s">
        <v>237</v>
      </c>
    </row>
    <row r="4727" spans="1:2" ht="12.75" customHeight="1" x14ac:dyDescent="0.25">
      <c r="A4727" s="318">
        <v>91803241419</v>
      </c>
      <c r="B4727" s="318" t="s">
        <v>237</v>
      </c>
    </row>
    <row r="4728" spans="1:2" ht="12.75" customHeight="1" x14ac:dyDescent="0.25">
      <c r="A4728" s="318">
        <v>91803241420</v>
      </c>
      <c r="B4728" s="318" t="s">
        <v>237</v>
      </c>
    </row>
    <row r="4729" spans="1:2" ht="12.75" customHeight="1" x14ac:dyDescent="0.25">
      <c r="A4729" s="318">
        <v>91803241421</v>
      </c>
      <c r="B4729" s="318" t="s">
        <v>237</v>
      </c>
    </row>
    <row r="4730" spans="1:2" ht="12.75" customHeight="1" x14ac:dyDescent="0.25">
      <c r="A4730" s="318">
        <v>91803241422</v>
      </c>
      <c r="B4730" s="318" t="s">
        <v>237</v>
      </c>
    </row>
    <row r="4731" spans="1:2" ht="12.75" customHeight="1" x14ac:dyDescent="0.25">
      <c r="A4731" s="318">
        <v>91803241423</v>
      </c>
      <c r="B4731" s="318" t="s">
        <v>237</v>
      </c>
    </row>
    <row r="4732" spans="1:2" ht="12.75" customHeight="1" x14ac:dyDescent="0.25">
      <c r="A4732" s="318">
        <v>91803241424</v>
      </c>
      <c r="B4732" s="318" t="s">
        <v>237</v>
      </c>
    </row>
    <row r="4733" spans="1:2" ht="12.75" customHeight="1" x14ac:dyDescent="0.25">
      <c r="A4733" s="318">
        <v>91803241425</v>
      </c>
      <c r="B4733" s="318" t="s">
        <v>237</v>
      </c>
    </row>
    <row r="4734" spans="1:2" ht="12.75" customHeight="1" x14ac:dyDescent="0.25">
      <c r="A4734" s="318">
        <v>91803241427</v>
      </c>
      <c r="B4734" s="318" t="s">
        <v>237</v>
      </c>
    </row>
    <row r="4735" spans="1:2" ht="12.75" customHeight="1" x14ac:dyDescent="0.25">
      <c r="A4735" s="318">
        <v>91803241428</v>
      </c>
      <c r="B4735" s="318" t="s">
        <v>237</v>
      </c>
    </row>
    <row r="4736" spans="1:2" ht="12.75" customHeight="1" x14ac:dyDescent="0.25">
      <c r="A4736" s="318">
        <v>91803241429</v>
      </c>
      <c r="B4736" s="318" t="s">
        <v>237</v>
      </c>
    </row>
    <row r="4737" spans="1:2" ht="12.75" customHeight="1" x14ac:dyDescent="0.25">
      <c r="A4737" s="318">
        <v>91803241430</v>
      </c>
      <c r="B4737" s="318" t="s">
        <v>237</v>
      </c>
    </row>
    <row r="4738" spans="1:2" ht="12.75" customHeight="1" x14ac:dyDescent="0.25">
      <c r="A4738" s="318">
        <v>91803241431</v>
      </c>
      <c r="B4738" s="318" t="s">
        <v>237</v>
      </c>
    </row>
    <row r="4739" spans="1:2" ht="12.75" customHeight="1" x14ac:dyDescent="0.25">
      <c r="A4739" s="318">
        <v>91803241432</v>
      </c>
      <c r="B4739" s="318" t="s">
        <v>237</v>
      </c>
    </row>
    <row r="4740" spans="1:2" ht="12.75" customHeight="1" x14ac:dyDescent="0.25">
      <c r="A4740" s="318">
        <v>91803241433</v>
      </c>
      <c r="B4740" s="318" t="s">
        <v>237</v>
      </c>
    </row>
    <row r="4741" spans="1:2" ht="12.75" customHeight="1" x14ac:dyDescent="0.25">
      <c r="A4741" s="318">
        <v>91803241434</v>
      </c>
      <c r="B4741" s="318" t="s">
        <v>237</v>
      </c>
    </row>
    <row r="4742" spans="1:2" ht="12.75" customHeight="1" x14ac:dyDescent="0.25">
      <c r="A4742" s="318">
        <v>91803722291</v>
      </c>
      <c r="B4742" s="318" t="s">
        <v>23</v>
      </c>
    </row>
    <row r="4743" spans="1:2" ht="12.75" customHeight="1" x14ac:dyDescent="0.25">
      <c r="A4743" s="318">
        <v>91803722292</v>
      </c>
      <c r="B4743" s="318" t="s">
        <v>23</v>
      </c>
    </row>
    <row r="4744" spans="1:2" ht="12.75" customHeight="1" x14ac:dyDescent="0.25">
      <c r="A4744" s="318">
        <v>91803722293</v>
      </c>
      <c r="B4744" s="318" t="s">
        <v>23</v>
      </c>
    </row>
    <row r="4745" spans="1:2" ht="12.75" customHeight="1" x14ac:dyDescent="0.25">
      <c r="A4745" s="318">
        <v>91803722294</v>
      </c>
      <c r="B4745" s="318" t="s">
        <v>23</v>
      </c>
    </row>
    <row r="4746" spans="1:2" ht="12.75" customHeight="1" x14ac:dyDescent="0.25">
      <c r="A4746" s="318">
        <v>91803722295</v>
      </c>
      <c r="B4746" s="318" t="s">
        <v>23</v>
      </c>
    </row>
    <row r="4747" spans="1:2" ht="12.75" customHeight="1" x14ac:dyDescent="0.25">
      <c r="A4747" s="318">
        <v>91803722296</v>
      </c>
      <c r="B4747" s="318" t="s">
        <v>23</v>
      </c>
    </row>
    <row r="4748" spans="1:2" ht="12.75" customHeight="1" x14ac:dyDescent="0.25">
      <c r="A4748" s="318">
        <v>91803722297</v>
      </c>
      <c r="B4748" s="318" t="s">
        <v>237</v>
      </c>
    </row>
    <row r="4749" spans="1:2" ht="12.75" customHeight="1" x14ac:dyDescent="0.25">
      <c r="A4749" s="318">
        <v>91803722298</v>
      </c>
      <c r="B4749" s="318" t="s">
        <v>237</v>
      </c>
    </row>
    <row r="4750" spans="1:2" ht="12.75" customHeight="1" x14ac:dyDescent="0.25">
      <c r="A4750" s="318">
        <v>91803722300</v>
      </c>
      <c r="B4750" s="318" t="s">
        <v>237</v>
      </c>
    </row>
    <row r="4751" spans="1:2" ht="12.75" customHeight="1" x14ac:dyDescent="0.25">
      <c r="A4751" s="318">
        <v>91803722301</v>
      </c>
      <c r="B4751" s="318" t="s">
        <v>237</v>
      </c>
    </row>
    <row r="4752" spans="1:2" ht="12.75" customHeight="1" x14ac:dyDescent="0.25">
      <c r="A4752" s="318">
        <v>91803722302</v>
      </c>
      <c r="B4752" s="318" t="s">
        <v>237</v>
      </c>
    </row>
    <row r="4753" spans="1:2" ht="12.75" customHeight="1" x14ac:dyDescent="0.25">
      <c r="A4753" s="318">
        <v>91803722303</v>
      </c>
      <c r="B4753" s="318" t="s">
        <v>237</v>
      </c>
    </row>
    <row r="4754" spans="1:2" ht="12.75" customHeight="1" x14ac:dyDescent="0.25">
      <c r="A4754" s="318">
        <v>91803722304</v>
      </c>
      <c r="B4754" s="318" t="s">
        <v>237</v>
      </c>
    </row>
    <row r="4755" spans="1:2" ht="12.75" customHeight="1" x14ac:dyDescent="0.25">
      <c r="A4755" s="318">
        <v>91803722305</v>
      </c>
      <c r="B4755" s="318" t="s">
        <v>237</v>
      </c>
    </row>
    <row r="4756" spans="1:2" ht="12.75" customHeight="1" x14ac:dyDescent="0.25">
      <c r="A4756" s="318">
        <v>91803722306</v>
      </c>
      <c r="B4756" s="318" t="s">
        <v>237</v>
      </c>
    </row>
    <row r="4757" spans="1:2" ht="12.75" customHeight="1" x14ac:dyDescent="0.25">
      <c r="A4757" s="318">
        <v>91803722307</v>
      </c>
      <c r="B4757" s="318" t="s">
        <v>237</v>
      </c>
    </row>
    <row r="4758" spans="1:2" ht="12.75" customHeight="1" x14ac:dyDescent="0.25">
      <c r="A4758" s="318">
        <v>91803722391</v>
      </c>
      <c r="B4758" s="318" t="s">
        <v>237</v>
      </c>
    </row>
    <row r="4759" spans="1:2" ht="12.75" customHeight="1" x14ac:dyDescent="0.25">
      <c r="A4759" s="318">
        <v>91803722392</v>
      </c>
      <c r="B4759" s="318" t="s">
        <v>237</v>
      </c>
    </row>
    <row r="4760" spans="1:2" ht="12.75" customHeight="1" x14ac:dyDescent="0.25">
      <c r="A4760" s="318">
        <v>91803722393</v>
      </c>
      <c r="B4760" s="318" t="s">
        <v>237</v>
      </c>
    </row>
    <row r="4761" spans="1:2" ht="12.75" customHeight="1" x14ac:dyDescent="0.25">
      <c r="A4761" s="318">
        <v>91803722394</v>
      </c>
      <c r="B4761" s="318" t="s">
        <v>237</v>
      </c>
    </row>
    <row r="4762" spans="1:2" ht="12.75" customHeight="1" x14ac:dyDescent="0.25">
      <c r="A4762" s="318">
        <v>91803722395</v>
      </c>
      <c r="B4762" s="318" t="s">
        <v>237</v>
      </c>
    </row>
    <row r="4763" spans="1:2" ht="12.75" customHeight="1" x14ac:dyDescent="0.25">
      <c r="A4763" s="318">
        <v>91803722396</v>
      </c>
      <c r="B4763" s="318" t="s">
        <v>237</v>
      </c>
    </row>
    <row r="4764" spans="1:2" ht="12.75" customHeight="1" x14ac:dyDescent="0.25">
      <c r="A4764" s="318">
        <v>91803722397</v>
      </c>
      <c r="B4764" s="318" t="s">
        <v>237</v>
      </c>
    </row>
    <row r="4765" spans="1:2" ht="12.75" customHeight="1" x14ac:dyDescent="0.25">
      <c r="A4765" s="318">
        <v>91803722398</v>
      </c>
      <c r="B4765" s="318" t="s">
        <v>237</v>
      </c>
    </row>
    <row r="4766" spans="1:2" ht="12.75" customHeight="1" x14ac:dyDescent="0.25">
      <c r="A4766" s="318">
        <v>91803722400</v>
      </c>
      <c r="B4766" s="318" t="s">
        <v>237</v>
      </c>
    </row>
    <row r="4767" spans="1:2" ht="12.75" customHeight="1" x14ac:dyDescent="0.25">
      <c r="A4767" s="318">
        <v>91803722401</v>
      </c>
      <c r="B4767" s="318" t="s">
        <v>237</v>
      </c>
    </row>
    <row r="4768" spans="1:2" ht="12.75" customHeight="1" x14ac:dyDescent="0.25">
      <c r="A4768" s="318">
        <v>91803722402</v>
      </c>
      <c r="B4768" s="318" t="s">
        <v>237</v>
      </c>
    </row>
    <row r="4769" spans="1:2" ht="12.75" customHeight="1" x14ac:dyDescent="0.25">
      <c r="A4769" s="318">
        <v>91803722403</v>
      </c>
      <c r="B4769" s="318" t="s">
        <v>237</v>
      </c>
    </row>
    <row r="4770" spans="1:2" ht="12.75" customHeight="1" x14ac:dyDescent="0.25">
      <c r="A4770" s="318">
        <v>91803722404</v>
      </c>
      <c r="B4770" s="318" t="s">
        <v>237</v>
      </c>
    </row>
    <row r="4771" spans="1:2" ht="12.75" customHeight="1" x14ac:dyDescent="0.25">
      <c r="A4771" s="318">
        <v>91803722405</v>
      </c>
      <c r="B4771" s="318" t="s">
        <v>237</v>
      </c>
    </row>
    <row r="4772" spans="1:2" ht="12.75" customHeight="1" x14ac:dyDescent="0.25">
      <c r="A4772" s="318">
        <v>91803722406</v>
      </c>
      <c r="B4772" s="318" t="s">
        <v>237</v>
      </c>
    </row>
    <row r="4773" spans="1:2" ht="12.75" customHeight="1" x14ac:dyDescent="0.25">
      <c r="A4773" s="318">
        <v>91803722407</v>
      </c>
      <c r="B4773" s="318" t="s">
        <v>237</v>
      </c>
    </row>
    <row r="4774" spans="1:2" ht="12.75" customHeight="1" x14ac:dyDescent="0.25">
      <c r="A4774" s="318">
        <v>91853618182</v>
      </c>
      <c r="B4774" s="318" t="s">
        <v>23</v>
      </c>
    </row>
    <row r="4775" spans="1:2" ht="12.75" customHeight="1" x14ac:dyDescent="0.25">
      <c r="A4775" s="318">
        <v>91853618183</v>
      </c>
      <c r="B4775" s="318" t="s">
        <v>23</v>
      </c>
    </row>
    <row r="4776" spans="1:2" ht="12.75" customHeight="1" x14ac:dyDescent="0.25">
      <c r="A4776" s="318">
        <v>91853618184</v>
      </c>
      <c r="B4776" s="318" t="s">
        <v>23</v>
      </c>
    </row>
    <row r="4777" spans="1:2" ht="12.75" customHeight="1" x14ac:dyDescent="0.25">
      <c r="A4777" s="318">
        <v>91853618185</v>
      </c>
      <c r="B4777" s="318" t="s">
        <v>23</v>
      </c>
    </row>
    <row r="4778" spans="1:2" ht="12.75" customHeight="1" x14ac:dyDescent="0.25">
      <c r="A4778" s="318">
        <v>91853618186</v>
      </c>
      <c r="B4778" s="318" t="s">
        <v>23</v>
      </c>
    </row>
    <row r="4779" spans="1:2" ht="12.75" customHeight="1" x14ac:dyDescent="0.25">
      <c r="A4779" s="318">
        <v>91853618187</v>
      </c>
      <c r="B4779" s="318" t="s">
        <v>23</v>
      </c>
    </row>
    <row r="4780" spans="1:2" ht="12.75" customHeight="1" x14ac:dyDescent="0.25">
      <c r="A4780" s="318">
        <v>91853618188</v>
      </c>
      <c r="B4780" s="318" t="s">
        <v>23</v>
      </c>
    </row>
    <row r="4781" spans="1:2" ht="12.75" customHeight="1" x14ac:dyDescent="0.25">
      <c r="A4781" s="318">
        <v>91853618189</v>
      </c>
      <c r="B4781" s="318" t="s">
        <v>23</v>
      </c>
    </row>
    <row r="4782" spans="1:2" ht="12.75" customHeight="1" x14ac:dyDescent="0.25">
      <c r="A4782" s="318">
        <v>91853618191</v>
      </c>
      <c r="B4782" s="318" t="s">
        <v>237</v>
      </c>
    </row>
    <row r="4783" spans="1:2" ht="12.75" customHeight="1" x14ac:dyDescent="0.25">
      <c r="A4783" s="318">
        <v>91853618192</v>
      </c>
      <c r="B4783" s="318" t="s">
        <v>237</v>
      </c>
    </row>
    <row r="4784" spans="1:2" ht="12.75" customHeight="1" x14ac:dyDescent="0.25">
      <c r="A4784" s="318">
        <v>91853618193</v>
      </c>
      <c r="B4784" s="318" t="s">
        <v>237</v>
      </c>
    </row>
    <row r="4785" spans="1:2" ht="12.75" customHeight="1" x14ac:dyDescent="0.25">
      <c r="A4785" s="318">
        <v>91853618194</v>
      </c>
      <c r="B4785" s="318" t="s">
        <v>237</v>
      </c>
    </row>
    <row r="4786" spans="1:2" ht="12.75" customHeight="1" x14ac:dyDescent="0.25">
      <c r="A4786" s="318">
        <v>91853618195</v>
      </c>
      <c r="B4786" s="318" t="s">
        <v>237</v>
      </c>
    </row>
    <row r="4787" spans="1:2" ht="12.75" customHeight="1" x14ac:dyDescent="0.25">
      <c r="A4787" s="318">
        <v>91853618196</v>
      </c>
      <c r="B4787" s="318" t="s">
        <v>237</v>
      </c>
    </row>
    <row r="4788" spans="1:2" ht="12.75" customHeight="1" x14ac:dyDescent="0.25">
      <c r="A4788" s="318">
        <v>91853618197</v>
      </c>
      <c r="B4788" s="318" t="s">
        <v>237</v>
      </c>
    </row>
    <row r="4789" spans="1:2" ht="12.75" customHeight="1" x14ac:dyDescent="0.25">
      <c r="A4789" s="318">
        <v>91853618198</v>
      </c>
      <c r="B4789" s="318" t="s">
        <v>237</v>
      </c>
    </row>
    <row r="4790" spans="1:2" ht="12.75" customHeight="1" x14ac:dyDescent="0.25">
      <c r="A4790" s="318">
        <v>91853618282</v>
      </c>
      <c r="B4790" s="318" t="s">
        <v>237</v>
      </c>
    </row>
    <row r="4791" spans="1:2" ht="12.75" customHeight="1" x14ac:dyDescent="0.25">
      <c r="A4791" s="318">
        <v>91853618283</v>
      </c>
      <c r="B4791" s="318" t="s">
        <v>237</v>
      </c>
    </row>
    <row r="4792" spans="1:2" ht="12.75" customHeight="1" x14ac:dyDescent="0.25">
      <c r="A4792" s="318">
        <v>91853618284</v>
      </c>
      <c r="B4792" s="318" t="s">
        <v>237</v>
      </c>
    </row>
    <row r="4793" spans="1:2" ht="12.75" customHeight="1" x14ac:dyDescent="0.25">
      <c r="A4793" s="318">
        <v>91853618285</v>
      </c>
      <c r="B4793" s="318" t="s">
        <v>237</v>
      </c>
    </row>
    <row r="4794" spans="1:2" ht="12.75" customHeight="1" x14ac:dyDescent="0.25">
      <c r="A4794" s="318">
        <v>91853618286</v>
      </c>
      <c r="B4794" s="318" t="s">
        <v>237</v>
      </c>
    </row>
    <row r="4795" spans="1:2" ht="12.75" customHeight="1" x14ac:dyDescent="0.25">
      <c r="A4795" s="318">
        <v>91853618287</v>
      </c>
      <c r="B4795" s="318" t="s">
        <v>237</v>
      </c>
    </row>
    <row r="4796" spans="1:2" ht="12.75" customHeight="1" x14ac:dyDescent="0.25">
      <c r="A4796" s="318">
        <v>91853618288</v>
      </c>
      <c r="B4796" s="318" t="s">
        <v>237</v>
      </c>
    </row>
    <row r="4797" spans="1:2" ht="12.75" customHeight="1" x14ac:dyDescent="0.25">
      <c r="A4797" s="318">
        <v>91853618289</v>
      </c>
      <c r="B4797" s="318" t="s">
        <v>237</v>
      </c>
    </row>
    <row r="4798" spans="1:2" ht="12.75" customHeight="1" x14ac:dyDescent="0.25">
      <c r="A4798" s="318">
        <v>91853618291</v>
      </c>
      <c r="B4798" s="318" t="s">
        <v>237</v>
      </c>
    </row>
    <row r="4799" spans="1:2" ht="12.75" customHeight="1" x14ac:dyDescent="0.25">
      <c r="A4799" s="318">
        <v>91853618292</v>
      </c>
      <c r="B4799" s="318" t="s">
        <v>237</v>
      </c>
    </row>
    <row r="4800" spans="1:2" ht="12.75" customHeight="1" x14ac:dyDescent="0.25">
      <c r="A4800" s="318">
        <v>91853618293</v>
      </c>
      <c r="B4800" s="318" t="s">
        <v>237</v>
      </c>
    </row>
    <row r="4801" spans="1:2" ht="12.75" customHeight="1" x14ac:dyDescent="0.25">
      <c r="A4801" s="318">
        <v>91853618294</v>
      </c>
      <c r="B4801" s="318" t="s">
        <v>237</v>
      </c>
    </row>
    <row r="4802" spans="1:2" ht="12.75" customHeight="1" x14ac:dyDescent="0.25">
      <c r="A4802" s="318">
        <v>91853618295</v>
      </c>
      <c r="B4802" s="318" t="s">
        <v>237</v>
      </c>
    </row>
    <row r="4803" spans="1:2" ht="12.75" customHeight="1" x14ac:dyDescent="0.25">
      <c r="A4803" s="318">
        <v>91853618296</v>
      </c>
      <c r="B4803" s="318" t="s">
        <v>237</v>
      </c>
    </row>
    <row r="4804" spans="1:2" ht="12.75" customHeight="1" x14ac:dyDescent="0.25">
      <c r="A4804" s="318">
        <v>91853618297</v>
      </c>
      <c r="B4804" s="318" t="s">
        <v>237</v>
      </c>
    </row>
    <row r="4805" spans="1:2" ht="12.75" customHeight="1" x14ac:dyDescent="0.25">
      <c r="A4805" s="318">
        <v>91853618298</v>
      </c>
      <c r="B4805" s="318" t="s">
        <v>237</v>
      </c>
    </row>
    <row r="4806" spans="1:2" ht="12.75" customHeight="1" x14ac:dyDescent="0.25">
      <c r="A4806" s="318">
        <v>91854099155</v>
      </c>
      <c r="B4806" s="318" t="s">
        <v>23</v>
      </c>
    </row>
    <row r="4807" spans="1:2" ht="12.75" customHeight="1" x14ac:dyDescent="0.25">
      <c r="A4807" s="318">
        <v>91854099156</v>
      </c>
      <c r="B4807" s="318" t="s">
        <v>23</v>
      </c>
    </row>
    <row r="4808" spans="1:2" ht="12.75" customHeight="1" x14ac:dyDescent="0.25">
      <c r="A4808" s="318">
        <v>91854099157</v>
      </c>
      <c r="B4808" s="318" t="s">
        <v>23</v>
      </c>
    </row>
    <row r="4809" spans="1:2" ht="12.75" customHeight="1" x14ac:dyDescent="0.25">
      <c r="A4809" s="318">
        <v>91854099158</v>
      </c>
      <c r="B4809" s="318" t="s">
        <v>23</v>
      </c>
    </row>
    <row r="4810" spans="1:2" ht="12.75" customHeight="1" x14ac:dyDescent="0.25">
      <c r="A4810" s="318">
        <v>91854099159</v>
      </c>
      <c r="B4810" s="318" t="s">
        <v>23</v>
      </c>
    </row>
    <row r="4811" spans="1:2" ht="12.75" customHeight="1" x14ac:dyDescent="0.25">
      <c r="A4811" s="318">
        <v>91854099160</v>
      </c>
      <c r="B4811" s="318" t="s">
        <v>23</v>
      </c>
    </row>
    <row r="4812" spans="1:2" ht="12.75" customHeight="1" x14ac:dyDescent="0.25">
      <c r="A4812" s="318">
        <v>91854099161</v>
      </c>
      <c r="B4812" s="318" t="s">
        <v>23</v>
      </c>
    </row>
    <row r="4813" spans="1:2" ht="12.75" customHeight="1" x14ac:dyDescent="0.25">
      <c r="A4813" s="318">
        <v>91854099162</v>
      </c>
      <c r="B4813" s="318" t="s">
        <v>23</v>
      </c>
    </row>
    <row r="4814" spans="1:2" ht="12.75" customHeight="1" x14ac:dyDescent="0.25">
      <c r="A4814" s="318">
        <v>91854099164</v>
      </c>
      <c r="B4814" s="318" t="s">
        <v>237</v>
      </c>
    </row>
    <row r="4815" spans="1:2" ht="12.75" customHeight="1" x14ac:dyDescent="0.25">
      <c r="A4815" s="318">
        <v>91854099165</v>
      </c>
      <c r="B4815" s="318" t="s">
        <v>237</v>
      </c>
    </row>
    <row r="4816" spans="1:2" ht="12.75" customHeight="1" x14ac:dyDescent="0.25">
      <c r="A4816" s="318">
        <v>91854099166</v>
      </c>
      <c r="B4816" s="318" t="s">
        <v>237</v>
      </c>
    </row>
    <row r="4817" spans="1:2" ht="12.75" customHeight="1" x14ac:dyDescent="0.25">
      <c r="A4817" s="318">
        <v>91854099167</v>
      </c>
      <c r="B4817" s="318" t="s">
        <v>237</v>
      </c>
    </row>
    <row r="4818" spans="1:2" ht="12.75" customHeight="1" x14ac:dyDescent="0.25">
      <c r="A4818" s="318">
        <v>91854099168</v>
      </c>
      <c r="B4818" s="318" t="s">
        <v>237</v>
      </c>
    </row>
    <row r="4819" spans="1:2" ht="12.75" customHeight="1" x14ac:dyDescent="0.25">
      <c r="A4819" s="318">
        <v>91854099169</v>
      </c>
      <c r="B4819" s="318" t="s">
        <v>237</v>
      </c>
    </row>
    <row r="4820" spans="1:2" ht="12.75" customHeight="1" x14ac:dyDescent="0.25">
      <c r="A4820" s="318">
        <v>91854099170</v>
      </c>
      <c r="B4820" s="318" t="s">
        <v>237</v>
      </c>
    </row>
    <row r="4821" spans="1:2" ht="12.75" customHeight="1" x14ac:dyDescent="0.25">
      <c r="A4821" s="318">
        <v>91854099171</v>
      </c>
      <c r="B4821" s="318" t="s">
        <v>237</v>
      </c>
    </row>
    <row r="4822" spans="1:2" ht="12.75" customHeight="1" x14ac:dyDescent="0.25">
      <c r="A4822" s="318">
        <v>91854099255</v>
      </c>
      <c r="B4822" s="318" t="s">
        <v>237</v>
      </c>
    </row>
    <row r="4823" spans="1:2" ht="12.75" customHeight="1" x14ac:dyDescent="0.25">
      <c r="A4823" s="318">
        <v>91854099256</v>
      </c>
      <c r="B4823" s="318" t="s">
        <v>237</v>
      </c>
    </row>
    <row r="4824" spans="1:2" ht="12.75" customHeight="1" x14ac:dyDescent="0.25">
      <c r="A4824" s="318">
        <v>91854099257</v>
      </c>
      <c r="B4824" s="318" t="s">
        <v>237</v>
      </c>
    </row>
    <row r="4825" spans="1:2" ht="12.75" customHeight="1" x14ac:dyDescent="0.25">
      <c r="A4825" s="318">
        <v>91854099258</v>
      </c>
      <c r="B4825" s="318" t="s">
        <v>237</v>
      </c>
    </row>
    <row r="4826" spans="1:2" ht="12.75" customHeight="1" x14ac:dyDescent="0.25">
      <c r="A4826" s="318">
        <v>91854099259</v>
      </c>
      <c r="B4826" s="318" t="s">
        <v>237</v>
      </c>
    </row>
    <row r="4827" spans="1:2" ht="12.75" customHeight="1" x14ac:dyDescent="0.25">
      <c r="A4827" s="318">
        <v>91854099260</v>
      </c>
      <c r="B4827" s="318" t="s">
        <v>237</v>
      </c>
    </row>
    <row r="4828" spans="1:2" ht="12.75" customHeight="1" x14ac:dyDescent="0.25">
      <c r="A4828" s="318">
        <v>91854099261</v>
      </c>
      <c r="B4828" s="318" t="s">
        <v>237</v>
      </c>
    </row>
    <row r="4829" spans="1:2" ht="12.75" customHeight="1" x14ac:dyDescent="0.25">
      <c r="A4829" s="318">
        <v>91854099262</v>
      </c>
      <c r="B4829" s="318" t="s">
        <v>237</v>
      </c>
    </row>
    <row r="4830" spans="1:2" ht="12.75" customHeight="1" x14ac:dyDescent="0.25">
      <c r="A4830" s="318">
        <v>91854099264</v>
      </c>
      <c r="B4830" s="318" t="s">
        <v>237</v>
      </c>
    </row>
    <row r="4831" spans="1:2" ht="12.75" customHeight="1" x14ac:dyDescent="0.25">
      <c r="A4831" s="318">
        <v>91854099265</v>
      </c>
      <c r="B4831" s="318" t="s">
        <v>237</v>
      </c>
    </row>
    <row r="4832" spans="1:2" ht="12.75" customHeight="1" x14ac:dyDescent="0.25">
      <c r="A4832" s="318">
        <v>91854099266</v>
      </c>
      <c r="B4832" s="318" t="s">
        <v>237</v>
      </c>
    </row>
    <row r="4833" spans="1:2" ht="12.75" customHeight="1" x14ac:dyDescent="0.25">
      <c r="A4833" s="318">
        <v>91854099267</v>
      </c>
      <c r="B4833" s="318" t="s">
        <v>237</v>
      </c>
    </row>
    <row r="4834" spans="1:2" ht="12.75" customHeight="1" x14ac:dyDescent="0.25">
      <c r="A4834" s="318">
        <v>91854099268</v>
      </c>
      <c r="B4834" s="318" t="s">
        <v>237</v>
      </c>
    </row>
    <row r="4835" spans="1:2" ht="12.75" customHeight="1" x14ac:dyDescent="0.25">
      <c r="A4835" s="318">
        <v>91854099269</v>
      </c>
      <c r="B4835" s="318" t="s">
        <v>237</v>
      </c>
    </row>
    <row r="4836" spans="1:2" ht="12.75" customHeight="1" x14ac:dyDescent="0.25">
      <c r="A4836" s="318">
        <v>91854099270</v>
      </c>
      <c r="B4836" s="318" t="s">
        <v>237</v>
      </c>
    </row>
    <row r="4837" spans="1:2" ht="12.75" customHeight="1" x14ac:dyDescent="0.25">
      <c r="A4837" s="318">
        <v>91854099271</v>
      </c>
      <c r="B4837" s="318" t="s">
        <v>237</v>
      </c>
    </row>
    <row r="4838" spans="1:2" ht="12.75" customHeight="1" x14ac:dyDescent="0.25">
      <c r="A4838" s="318">
        <v>91854580128</v>
      </c>
      <c r="B4838" s="318" t="s">
        <v>23</v>
      </c>
    </row>
    <row r="4839" spans="1:2" ht="12.75" customHeight="1" x14ac:dyDescent="0.25">
      <c r="A4839" s="318">
        <v>91854580129</v>
      </c>
      <c r="B4839" s="318" t="s">
        <v>23</v>
      </c>
    </row>
    <row r="4840" spans="1:2" ht="12.75" customHeight="1" x14ac:dyDescent="0.25">
      <c r="A4840" s="318">
        <v>91854580130</v>
      </c>
      <c r="B4840" s="318" t="s">
        <v>23</v>
      </c>
    </row>
    <row r="4841" spans="1:2" ht="12.75" customHeight="1" x14ac:dyDescent="0.25">
      <c r="A4841" s="318">
        <v>91854580131</v>
      </c>
      <c r="B4841" s="318" t="s">
        <v>23</v>
      </c>
    </row>
    <row r="4842" spans="1:2" ht="12.75" customHeight="1" x14ac:dyDescent="0.25">
      <c r="A4842" s="318">
        <v>91854580132</v>
      </c>
      <c r="B4842" s="318" t="s">
        <v>23</v>
      </c>
    </row>
    <row r="4843" spans="1:2" ht="12.75" customHeight="1" x14ac:dyDescent="0.25">
      <c r="A4843" s="318">
        <v>91854580133</v>
      </c>
      <c r="B4843" s="318" t="s">
        <v>23</v>
      </c>
    </row>
    <row r="4844" spans="1:2" ht="12.75" customHeight="1" x14ac:dyDescent="0.25">
      <c r="A4844" s="318">
        <v>91854580134</v>
      </c>
      <c r="B4844" s="318" t="s">
        <v>23</v>
      </c>
    </row>
    <row r="4845" spans="1:2" ht="12.75" customHeight="1" x14ac:dyDescent="0.25">
      <c r="A4845" s="318">
        <v>91854580135</v>
      </c>
      <c r="B4845" s="318" t="s">
        <v>23</v>
      </c>
    </row>
    <row r="4846" spans="1:2" ht="12.75" customHeight="1" x14ac:dyDescent="0.25">
      <c r="A4846" s="318">
        <v>91854580137</v>
      </c>
      <c r="B4846" s="318" t="s">
        <v>23</v>
      </c>
    </row>
    <row r="4847" spans="1:2" ht="12.75" customHeight="1" x14ac:dyDescent="0.25">
      <c r="A4847" s="318">
        <v>91854580138</v>
      </c>
      <c r="B4847" s="318" t="s">
        <v>23</v>
      </c>
    </row>
    <row r="4848" spans="1:2" ht="12.75" customHeight="1" x14ac:dyDescent="0.25">
      <c r="A4848" s="318">
        <v>91854580139</v>
      </c>
      <c r="B4848" s="318" t="s">
        <v>23</v>
      </c>
    </row>
    <row r="4849" spans="1:2" ht="12.75" customHeight="1" x14ac:dyDescent="0.25">
      <c r="A4849" s="318">
        <v>91854580140</v>
      </c>
      <c r="B4849" s="318" t="s">
        <v>23</v>
      </c>
    </row>
    <row r="4850" spans="1:2" ht="12.75" customHeight="1" x14ac:dyDescent="0.25">
      <c r="A4850" s="318">
        <v>91854580141</v>
      </c>
      <c r="B4850" s="318" t="s">
        <v>23</v>
      </c>
    </row>
    <row r="4851" spans="1:2" ht="12.75" customHeight="1" x14ac:dyDescent="0.25">
      <c r="A4851" s="318">
        <v>91854580142</v>
      </c>
      <c r="B4851" s="318" t="s">
        <v>23</v>
      </c>
    </row>
    <row r="4852" spans="1:2" ht="12.75" customHeight="1" x14ac:dyDescent="0.25">
      <c r="A4852" s="318">
        <v>91854580143</v>
      </c>
      <c r="B4852" s="318" t="s">
        <v>23</v>
      </c>
    </row>
    <row r="4853" spans="1:2" ht="12.75" customHeight="1" x14ac:dyDescent="0.25">
      <c r="A4853" s="318">
        <v>91854580144</v>
      </c>
      <c r="B4853" s="318" t="s">
        <v>23</v>
      </c>
    </row>
    <row r="4854" spans="1:2" ht="12.75" customHeight="1" x14ac:dyDescent="0.25">
      <c r="A4854" s="318">
        <v>91854580228</v>
      </c>
      <c r="B4854" s="318" t="s">
        <v>237</v>
      </c>
    </row>
    <row r="4855" spans="1:2" ht="12.75" customHeight="1" x14ac:dyDescent="0.25">
      <c r="A4855" s="318">
        <v>91854580229</v>
      </c>
      <c r="B4855" s="318" t="s">
        <v>237</v>
      </c>
    </row>
    <row r="4856" spans="1:2" ht="12.75" customHeight="1" x14ac:dyDescent="0.25">
      <c r="A4856" s="318">
        <v>91854580230</v>
      </c>
      <c r="B4856" s="318" t="s">
        <v>237</v>
      </c>
    </row>
    <row r="4857" spans="1:2" ht="12.75" customHeight="1" x14ac:dyDescent="0.25">
      <c r="A4857" s="318">
        <v>91854580231</v>
      </c>
      <c r="B4857" s="318" t="s">
        <v>237</v>
      </c>
    </row>
    <row r="4858" spans="1:2" ht="12.75" customHeight="1" x14ac:dyDescent="0.25">
      <c r="A4858" s="318">
        <v>91854580232</v>
      </c>
      <c r="B4858" s="318" t="s">
        <v>237</v>
      </c>
    </row>
    <row r="4859" spans="1:2" ht="12.75" customHeight="1" x14ac:dyDescent="0.25">
      <c r="A4859" s="318">
        <v>91854580233</v>
      </c>
      <c r="B4859" s="318" t="s">
        <v>237</v>
      </c>
    </row>
    <row r="4860" spans="1:2" ht="12.75" customHeight="1" x14ac:dyDescent="0.25">
      <c r="A4860" s="318">
        <v>91854580234</v>
      </c>
      <c r="B4860" s="318" t="s">
        <v>237</v>
      </c>
    </row>
    <row r="4861" spans="1:2" ht="12.75" customHeight="1" x14ac:dyDescent="0.25">
      <c r="A4861" s="318">
        <v>91854580235</v>
      </c>
      <c r="B4861" s="318" t="s">
        <v>237</v>
      </c>
    </row>
    <row r="4862" spans="1:2" ht="12.75" customHeight="1" x14ac:dyDescent="0.25">
      <c r="A4862" s="318">
        <v>91854580237</v>
      </c>
      <c r="B4862" s="318" t="s">
        <v>237</v>
      </c>
    </row>
    <row r="4863" spans="1:2" ht="12.75" customHeight="1" x14ac:dyDescent="0.25">
      <c r="A4863" s="318">
        <v>91854580238</v>
      </c>
      <c r="B4863" s="318" t="s">
        <v>237</v>
      </c>
    </row>
    <row r="4864" spans="1:2" ht="12.75" customHeight="1" x14ac:dyDescent="0.25">
      <c r="A4864" s="318">
        <v>91854580239</v>
      </c>
      <c r="B4864" s="318" t="s">
        <v>237</v>
      </c>
    </row>
    <row r="4865" spans="1:2" ht="12.75" customHeight="1" x14ac:dyDescent="0.25">
      <c r="A4865" s="318">
        <v>91854580240</v>
      </c>
      <c r="B4865" s="318" t="s">
        <v>237</v>
      </c>
    </row>
    <row r="4866" spans="1:2" ht="12.75" customHeight="1" x14ac:dyDescent="0.25">
      <c r="A4866" s="318">
        <v>91854580241</v>
      </c>
      <c r="B4866" s="318" t="s">
        <v>237</v>
      </c>
    </row>
    <row r="4867" spans="1:2" ht="12.75" customHeight="1" x14ac:dyDescent="0.25">
      <c r="A4867" s="318">
        <v>91854580242</v>
      </c>
      <c r="B4867" s="318" t="s">
        <v>237</v>
      </c>
    </row>
    <row r="4868" spans="1:2" ht="12.75" customHeight="1" x14ac:dyDescent="0.25">
      <c r="A4868" s="318">
        <v>91854580243</v>
      </c>
      <c r="B4868" s="318" t="s">
        <v>237</v>
      </c>
    </row>
    <row r="4869" spans="1:2" ht="12.75" customHeight="1" x14ac:dyDescent="0.25">
      <c r="A4869" s="318">
        <v>91854580244</v>
      </c>
      <c r="B4869" s="318" t="s">
        <v>237</v>
      </c>
    </row>
    <row r="4870" spans="1:2" ht="12.75" customHeight="1" x14ac:dyDescent="0.25">
      <c r="A4870" s="318">
        <v>91855260319</v>
      </c>
      <c r="B4870" s="318" t="s">
        <v>23</v>
      </c>
    </row>
    <row r="4871" spans="1:2" ht="12.75" customHeight="1" x14ac:dyDescent="0.25">
      <c r="A4871" s="318">
        <v>91855260320</v>
      </c>
      <c r="B4871" s="318" t="s">
        <v>23</v>
      </c>
    </row>
    <row r="4872" spans="1:2" ht="12.75" customHeight="1" x14ac:dyDescent="0.25">
      <c r="A4872" s="318">
        <v>91855260321</v>
      </c>
      <c r="B4872" s="318" t="s">
        <v>23</v>
      </c>
    </row>
    <row r="4873" spans="1:2" ht="12.75" customHeight="1" x14ac:dyDescent="0.25">
      <c r="A4873" s="318">
        <v>91855260322</v>
      </c>
      <c r="B4873" s="318" t="s">
        <v>23</v>
      </c>
    </row>
    <row r="4874" spans="1:2" ht="12.75" customHeight="1" x14ac:dyDescent="0.25">
      <c r="A4874" s="318">
        <v>91855260323</v>
      </c>
      <c r="B4874" s="318" t="s">
        <v>23</v>
      </c>
    </row>
    <row r="4875" spans="1:2" ht="12.75" customHeight="1" x14ac:dyDescent="0.25">
      <c r="A4875" s="318">
        <v>91855260324</v>
      </c>
      <c r="B4875" s="318" t="s">
        <v>23</v>
      </c>
    </row>
    <row r="4876" spans="1:2" ht="12.75" customHeight="1" x14ac:dyDescent="0.25">
      <c r="A4876" s="318">
        <v>91855260325</v>
      </c>
      <c r="B4876" s="318" t="s">
        <v>23</v>
      </c>
    </row>
    <row r="4877" spans="1:2" ht="12.75" customHeight="1" x14ac:dyDescent="0.25">
      <c r="A4877" s="318">
        <v>91855260326</v>
      </c>
      <c r="B4877" s="318" t="s">
        <v>23</v>
      </c>
    </row>
    <row r="4878" spans="1:2" ht="12.75" customHeight="1" x14ac:dyDescent="0.25">
      <c r="A4878" s="318">
        <v>91855260328</v>
      </c>
      <c r="B4878" s="318" t="s">
        <v>237</v>
      </c>
    </row>
    <row r="4879" spans="1:2" ht="12.75" customHeight="1" x14ac:dyDescent="0.25">
      <c r="A4879" s="318">
        <v>91855260329</v>
      </c>
      <c r="B4879" s="318" t="s">
        <v>237</v>
      </c>
    </row>
    <row r="4880" spans="1:2" ht="12.75" customHeight="1" x14ac:dyDescent="0.25">
      <c r="A4880" s="318">
        <v>91855260330</v>
      </c>
      <c r="B4880" s="318" t="s">
        <v>237</v>
      </c>
    </row>
    <row r="4881" spans="1:2" ht="12.75" customHeight="1" x14ac:dyDescent="0.25">
      <c r="A4881" s="318">
        <v>91855260331</v>
      </c>
      <c r="B4881" s="318" t="s">
        <v>237</v>
      </c>
    </row>
    <row r="4882" spans="1:2" ht="12.75" customHeight="1" x14ac:dyDescent="0.25">
      <c r="A4882" s="318">
        <v>91855260332</v>
      </c>
      <c r="B4882" s="318" t="s">
        <v>237</v>
      </c>
    </row>
    <row r="4883" spans="1:2" ht="12.75" customHeight="1" x14ac:dyDescent="0.25">
      <c r="A4883" s="318">
        <v>91855260333</v>
      </c>
      <c r="B4883" s="318" t="s">
        <v>237</v>
      </c>
    </row>
    <row r="4884" spans="1:2" ht="12.75" customHeight="1" x14ac:dyDescent="0.25">
      <c r="A4884" s="318">
        <v>91855260334</v>
      </c>
      <c r="B4884" s="318" t="s">
        <v>237</v>
      </c>
    </row>
    <row r="4885" spans="1:2" ht="12.75" customHeight="1" x14ac:dyDescent="0.25">
      <c r="A4885" s="318">
        <v>91855260335</v>
      </c>
      <c r="B4885" s="318" t="s">
        <v>237</v>
      </c>
    </row>
    <row r="4886" spans="1:2" ht="12.75" customHeight="1" x14ac:dyDescent="0.25">
      <c r="A4886" s="318">
        <v>91855260419</v>
      </c>
      <c r="B4886" s="318" t="s">
        <v>237</v>
      </c>
    </row>
    <row r="4887" spans="1:2" ht="12.75" customHeight="1" x14ac:dyDescent="0.25">
      <c r="A4887" s="318">
        <v>91855260420</v>
      </c>
      <c r="B4887" s="318" t="s">
        <v>237</v>
      </c>
    </row>
    <row r="4888" spans="1:2" ht="12.75" customHeight="1" x14ac:dyDescent="0.25">
      <c r="A4888" s="318">
        <v>91855260421</v>
      </c>
      <c r="B4888" s="318" t="s">
        <v>237</v>
      </c>
    </row>
    <row r="4889" spans="1:2" ht="12.75" customHeight="1" x14ac:dyDescent="0.25">
      <c r="A4889" s="318">
        <v>91855260422</v>
      </c>
      <c r="B4889" s="318" t="s">
        <v>237</v>
      </c>
    </row>
    <row r="4890" spans="1:2" ht="12.75" customHeight="1" x14ac:dyDescent="0.25">
      <c r="A4890" s="318">
        <v>91855260423</v>
      </c>
      <c r="B4890" s="318" t="s">
        <v>237</v>
      </c>
    </row>
    <row r="4891" spans="1:2" ht="12.75" customHeight="1" x14ac:dyDescent="0.25">
      <c r="A4891" s="318">
        <v>91855260424</v>
      </c>
      <c r="B4891" s="318" t="s">
        <v>237</v>
      </c>
    </row>
    <row r="4892" spans="1:2" ht="12.75" customHeight="1" x14ac:dyDescent="0.25">
      <c r="A4892" s="318">
        <v>91855260425</v>
      </c>
      <c r="B4892" s="318" t="s">
        <v>237</v>
      </c>
    </row>
    <row r="4893" spans="1:2" ht="12.75" customHeight="1" x14ac:dyDescent="0.25">
      <c r="A4893" s="318">
        <v>91855260426</v>
      </c>
      <c r="B4893" s="318" t="s">
        <v>237</v>
      </c>
    </row>
    <row r="4894" spans="1:2" ht="12.75" customHeight="1" x14ac:dyDescent="0.25">
      <c r="A4894" s="318">
        <v>91855260428</v>
      </c>
      <c r="B4894" s="318" t="s">
        <v>237</v>
      </c>
    </row>
    <row r="4895" spans="1:2" ht="12.75" customHeight="1" x14ac:dyDescent="0.25">
      <c r="A4895" s="318">
        <v>91855260429</v>
      </c>
      <c r="B4895" s="318" t="s">
        <v>237</v>
      </c>
    </row>
    <row r="4896" spans="1:2" ht="12.75" customHeight="1" x14ac:dyDescent="0.25">
      <c r="A4896" s="318">
        <v>91855260430</v>
      </c>
      <c r="B4896" s="318" t="s">
        <v>237</v>
      </c>
    </row>
    <row r="4897" spans="1:2" ht="12.75" customHeight="1" x14ac:dyDescent="0.25">
      <c r="A4897" s="318">
        <v>91855260431</v>
      </c>
      <c r="B4897" s="318" t="s">
        <v>237</v>
      </c>
    </row>
    <row r="4898" spans="1:2" ht="12.75" customHeight="1" x14ac:dyDescent="0.25">
      <c r="A4898" s="318">
        <v>91855260432</v>
      </c>
      <c r="B4898" s="318" t="s">
        <v>237</v>
      </c>
    </row>
    <row r="4899" spans="1:2" ht="12.75" customHeight="1" x14ac:dyDescent="0.25">
      <c r="A4899" s="318">
        <v>91855260433</v>
      </c>
      <c r="B4899" s="318" t="s">
        <v>237</v>
      </c>
    </row>
    <row r="4900" spans="1:2" ht="12.75" customHeight="1" x14ac:dyDescent="0.25">
      <c r="A4900" s="318">
        <v>91855260434</v>
      </c>
      <c r="B4900" s="318" t="s">
        <v>237</v>
      </c>
    </row>
    <row r="4901" spans="1:2" ht="12.75" customHeight="1" x14ac:dyDescent="0.25">
      <c r="A4901" s="318">
        <v>91855260435</v>
      </c>
      <c r="B4901" s="318" t="s">
        <v>237</v>
      </c>
    </row>
    <row r="4902" spans="1:2" ht="12.75" customHeight="1" x14ac:dyDescent="0.25">
      <c r="A4902" s="318">
        <v>91855741292</v>
      </c>
      <c r="B4902" s="318" t="s">
        <v>23</v>
      </c>
    </row>
    <row r="4903" spans="1:2" ht="12.75" customHeight="1" x14ac:dyDescent="0.25">
      <c r="A4903" s="318">
        <v>91855741293</v>
      </c>
      <c r="B4903" s="318" t="s">
        <v>23</v>
      </c>
    </row>
    <row r="4904" spans="1:2" ht="12.75" customHeight="1" x14ac:dyDescent="0.25">
      <c r="A4904" s="318">
        <v>91855741294</v>
      </c>
      <c r="B4904" s="318" t="s">
        <v>23</v>
      </c>
    </row>
    <row r="4905" spans="1:2" ht="12.75" customHeight="1" x14ac:dyDescent="0.25">
      <c r="A4905" s="318">
        <v>91855741295</v>
      </c>
      <c r="B4905" s="318" t="s">
        <v>23</v>
      </c>
    </row>
    <row r="4906" spans="1:2" ht="12.75" customHeight="1" x14ac:dyDescent="0.25">
      <c r="A4906" s="318">
        <v>91855741296</v>
      </c>
      <c r="B4906" s="318" t="s">
        <v>23</v>
      </c>
    </row>
    <row r="4907" spans="1:2" ht="12.75" customHeight="1" x14ac:dyDescent="0.25">
      <c r="A4907" s="318">
        <v>91855741297</v>
      </c>
      <c r="B4907" s="318" t="s">
        <v>23</v>
      </c>
    </row>
    <row r="4908" spans="1:2" ht="12.75" customHeight="1" x14ac:dyDescent="0.25">
      <c r="A4908" s="318">
        <v>91855741298</v>
      </c>
      <c r="B4908" s="318" t="s">
        <v>23</v>
      </c>
    </row>
    <row r="4909" spans="1:2" ht="12.75" customHeight="1" x14ac:dyDescent="0.25">
      <c r="A4909" s="318">
        <v>91855741299</v>
      </c>
      <c r="B4909" s="318" t="s">
        <v>23</v>
      </c>
    </row>
    <row r="4910" spans="1:2" ht="12.75" customHeight="1" x14ac:dyDescent="0.25">
      <c r="A4910" s="318">
        <v>91855741301</v>
      </c>
      <c r="B4910" s="318" t="s">
        <v>237</v>
      </c>
    </row>
    <row r="4911" spans="1:2" ht="12.75" customHeight="1" x14ac:dyDescent="0.25">
      <c r="A4911" s="318">
        <v>91855741302</v>
      </c>
      <c r="B4911" s="318" t="s">
        <v>237</v>
      </c>
    </row>
    <row r="4912" spans="1:2" ht="12.75" customHeight="1" x14ac:dyDescent="0.25">
      <c r="A4912" s="318">
        <v>91855741303</v>
      </c>
      <c r="B4912" s="318" t="s">
        <v>237</v>
      </c>
    </row>
    <row r="4913" spans="1:2" ht="12.75" customHeight="1" x14ac:dyDescent="0.25">
      <c r="A4913" s="318">
        <v>91855741304</v>
      </c>
      <c r="B4913" s="318" t="s">
        <v>237</v>
      </c>
    </row>
    <row r="4914" spans="1:2" ht="12.75" customHeight="1" x14ac:dyDescent="0.25">
      <c r="A4914" s="318">
        <v>91855741305</v>
      </c>
      <c r="B4914" s="318" t="s">
        <v>237</v>
      </c>
    </row>
    <row r="4915" spans="1:2" ht="12.75" customHeight="1" x14ac:dyDescent="0.25">
      <c r="A4915" s="318">
        <v>91855741306</v>
      </c>
      <c r="B4915" s="318" t="s">
        <v>237</v>
      </c>
    </row>
    <row r="4916" spans="1:2" ht="12.75" customHeight="1" x14ac:dyDescent="0.25">
      <c r="A4916" s="318">
        <v>91855741307</v>
      </c>
      <c r="B4916" s="318" t="s">
        <v>237</v>
      </c>
    </row>
    <row r="4917" spans="1:2" ht="12.75" customHeight="1" x14ac:dyDescent="0.25">
      <c r="A4917" s="318">
        <v>91855741308</v>
      </c>
      <c r="B4917" s="318" t="s">
        <v>237</v>
      </c>
    </row>
    <row r="4918" spans="1:2" ht="12.75" customHeight="1" x14ac:dyDescent="0.25">
      <c r="A4918" s="318">
        <v>91855741392</v>
      </c>
      <c r="B4918" s="318" t="s">
        <v>237</v>
      </c>
    </row>
    <row r="4919" spans="1:2" ht="12.75" customHeight="1" x14ac:dyDescent="0.25">
      <c r="A4919" s="318">
        <v>91855741393</v>
      </c>
      <c r="B4919" s="318" t="s">
        <v>237</v>
      </c>
    </row>
    <row r="4920" spans="1:2" ht="12.75" customHeight="1" x14ac:dyDescent="0.25">
      <c r="A4920" s="318">
        <v>91855741394</v>
      </c>
      <c r="B4920" s="318" t="s">
        <v>237</v>
      </c>
    </row>
    <row r="4921" spans="1:2" ht="12.75" customHeight="1" x14ac:dyDescent="0.25">
      <c r="A4921" s="318">
        <v>91855741395</v>
      </c>
      <c r="B4921" s="318" t="s">
        <v>237</v>
      </c>
    </row>
    <row r="4922" spans="1:2" ht="12.75" customHeight="1" x14ac:dyDescent="0.25">
      <c r="A4922" s="318">
        <v>91855741396</v>
      </c>
      <c r="B4922" s="318" t="s">
        <v>237</v>
      </c>
    </row>
    <row r="4923" spans="1:2" ht="12.75" customHeight="1" x14ac:dyDescent="0.25">
      <c r="A4923" s="318">
        <v>91855741397</v>
      </c>
      <c r="B4923" s="318" t="s">
        <v>237</v>
      </c>
    </row>
    <row r="4924" spans="1:2" ht="12.75" customHeight="1" x14ac:dyDescent="0.25">
      <c r="A4924" s="318">
        <v>91855741398</v>
      </c>
      <c r="B4924" s="318" t="s">
        <v>237</v>
      </c>
    </row>
    <row r="4925" spans="1:2" ht="12.75" customHeight="1" x14ac:dyDescent="0.25">
      <c r="A4925" s="318">
        <v>91855741399</v>
      </c>
      <c r="B4925" s="318" t="s">
        <v>237</v>
      </c>
    </row>
    <row r="4926" spans="1:2" ht="12.75" customHeight="1" x14ac:dyDescent="0.25">
      <c r="A4926" s="318">
        <v>91855741401</v>
      </c>
      <c r="B4926" s="318" t="s">
        <v>237</v>
      </c>
    </row>
    <row r="4927" spans="1:2" ht="12.75" customHeight="1" x14ac:dyDescent="0.25">
      <c r="A4927" s="318">
        <v>91855741402</v>
      </c>
      <c r="B4927" s="318" t="s">
        <v>237</v>
      </c>
    </row>
    <row r="4928" spans="1:2" ht="12.75" customHeight="1" x14ac:dyDescent="0.25">
      <c r="A4928" s="318">
        <v>91855741403</v>
      </c>
      <c r="B4928" s="318" t="s">
        <v>237</v>
      </c>
    </row>
    <row r="4929" spans="1:2" ht="12.75" customHeight="1" x14ac:dyDescent="0.25">
      <c r="A4929" s="318">
        <v>91855741404</v>
      </c>
      <c r="B4929" s="318" t="s">
        <v>237</v>
      </c>
    </row>
    <row r="4930" spans="1:2" ht="12.75" customHeight="1" x14ac:dyDescent="0.25">
      <c r="A4930" s="318">
        <v>91855741405</v>
      </c>
      <c r="B4930" s="318" t="s">
        <v>237</v>
      </c>
    </row>
    <row r="4931" spans="1:2" ht="12.75" customHeight="1" x14ac:dyDescent="0.25">
      <c r="A4931" s="318">
        <v>91855741406</v>
      </c>
      <c r="B4931" s="318" t="s">
        <v>237</v>
      </c>
    </row>
    <row r="4932" spans="1:2" ht="12.75" customHeight="1" x14ac:dyDescent="0.25">
      <c r="A4932" s="318">
        <v>91855741407</v>
      </c>
      <c r="B4932" s="318" t="s">
        <v>237</v>
      </c>
    </row>
    <row r="4933" spans="1:2" ht="12.75" customHeight="1" x14ac:dyDescent="0.25">
      <c r="A4933" s="318">
        <v>91855741408</v>
      </c>
      <c r="B4933" s="318" t="s">
        <v>237</v>
      </c>
    </row>
    <row r="4934" spans="1:2" ht="12.75" customHeight="1" x14ac:dyDescent="0.25">
      <c r="A4934" s="318">
        <v>91856222265</v>
      </c>
      <c r="B4934" s="318" t="s">
        <v>23</v>
      </c>
    </row>
    <row r="4935" spans="1:2" ht="12.75" customHeight="1" x14ac:dyDescent="0.25">
      <c r="A4935" s="318">
        <v>91856222266</v>
      </c>
      <c r="B4935" s="318" t="s">
        <v>23</v>
      </c>
    </row>
    <row r="4936" spans="1:2" ht="12.75" customHeight="1" x14ac:dyDescent="0.25">
      <c r="A4936" s="318">
        <v>91856222267</v>
      </c>
      <c r="B4936" s="318" t="s">
        <v>23</v>
      </c>
    </row>
    <row r="4937" spans="1:2" ht="12.75" customHeight="1" x14ac:dyDescent="0.25">
      <c r="A4937" s="318">
        <v>91856222268</v>
      </c>
      <c r="B4937" s="318" t="s">
        <v>23</v>
      </c>
    </row>
    <row r="4938" spans="1:2" ht="12.75" customHeight="1" x14ac:dyDescent="0.25">
      <c r="A4938" s="318">
        <v>91856222269</v>
      </c>
      <c r="B4938" s="318" t="s">
        <v>23</v>
      </c>
    </row>
    <row r="4939" spans="1:2" ht="12.75" customHeight="1" x14ac:dyDescent="0.25">
      <c r="A4939" s="318">
        <v>91856222270</v>
      </c>
      <c r="B4939" s="318" t="s">
        <v>23</v>
      </c>
    </row>
    <row r="4940" spans="1:2" ht="12.75" customHeight="1" x14ac:dyDescent="0.25">
      <c r="A4940" s="318">
        <v>91856222271</v>
      </c>
      <c r="B4940" s="318" t="s">
        <v>23</v>
      </c>
    </row>
    <row r="4941" spans="1:2" ht="12.75" customHeight="1" x14ac:dyDescent="0.25">
      <c r="A4941" s="318">
        <v>91856222272</v>
      </c>
      <c r="B4941" s="318" t="s">
        <v>23</v>
      </c>
    </row>
    <row r="4942" spans="1:2" ht="12.75" customHeight="1" x14ac:dyDescent="0.25">
      <c r="A4942" s="318">
        <v>91856222274</v>
      </c>
      <c r="B4942" s="318" t="s">
        <v>23</v>
      </c>
    </row>
    <row r="4943" spans="1:2" ht="12.75" customHeight="1" x14ac:dyDescent="0.25">
      <c r="A4943" s="318">
        <v>91856222275</v>
      </c>
      <c r="B4943" s="318" t="s">
        <v>23</v>
      </c>
    </row>
    <row r="4944" spans="1:2" ht="12.75" customHeight="1" x14ac:dyDescent="0.25">
      <c r="A4944" s="318">
        <v>91856222276</v>
      </c>
      <c r="B4944" s="318" t="s">
        <v>23</v>
      </c>
    </row>
    <row r="4945" spans="1:2" ht="12.75" customHeight="1" x14ac:dyDescent="0.25">
      <c r="A4945" s="318">
        <v>91856222277</v>
      </c>
      <c r="B4945" s="318" t="s">
        <v>23</v>
      </c>
    </row>
    <row r="4946" spans="1:2" ht="12.75" customHeight="1" x14ac:dyDescent="0.25">
      <c r="A4946" s="318">
        <v>91856222278</v>
      </c>
      <c r="B4946" s="318" t="s">
        <v>23</v>
      </c>
    </row>
    <row r="4947" spans="1:2" ht="12.75" customHeight="1" x14ac:dyDescent="0.25">
      <c r="A4947" s="318">
        <v>91856222279</v>
      </c>
      <c r="B4947" s="318" t="s">
        <v>23</v>
      </c>
    </row>
    <row r="4948" spans="1:2" ht="12.75" customHeight="1" x14ac:dyDescent="0.25">
      <c r="A4948" s="318">
        <v>91856222280</v>
      </c>
      <c r="B4948" s="318" t="s">
        <v>23</v>
      </c>
    </row>
    <row r="4949" spans="1:2" ht="12.75" customHeight="1" x14ac:dyDescent="0.25">
      <c r="A4949" s="318">
        <v>91856222281</v>
      </c>
      <c r="B4949" s="318" t="s">
        <v>23</v>
      </c>
    </row>
    <row r="4950" spans="1:2" ht="12.75" customHeight="1" x14ac:dyDescent="0.25">
      <c r="A4950" s="318">
        <v>91856222365</v>
      </c>
      <c r="B4950" s="318" t="s">
        <v>237</v>
      </c>
    </row>
    <row r="4951" spans="1:2" ht="12.75" customHeight="1" x14ac:dyDescent="0.25">
      <c r="A4951" s="318">
        <v>91856222366</v>
      </c>
      <c r="B4951" s="318" t="s">
        <v>237</v>
      </c>
    </row>
    <row r="4952" spans="1:2" ht="12.75" customHeight="1" x14ac:dyDescent="0.25">
      <c r="A4952" s="318">
        <v>91856222367</v>
      </c>
      <c r="B4952" s="318" t="s">
        <v>237</v>
      </c>
    </row>
    <row r="4953" spans="1:2" ht="12.75" customHeight="1" x14ac:dyDescent="0.25">
      <c r="A4953" s="318">
        <v>91856222368</v>
      </c>
      <c r="B4953" s="318" t="s">
        <v>237</v>
      </c>
    </row>
    <row r="4954" spans="1:2" ht="12.75" customHeight="1" x14ac:dyDescent="0.25">
      <c r="A4954" s="318">
        <v>91856222369</v>
      </c>
      <c r="B4954" s="318" t="s">
        <v>237</v>
      </c>
    </row>
    <row r="4955" spans="1:2" ht="12.75" customHeight="1" x14ac:dyDescent="0.25">
      <c r="A4955" s="318">
        <v>91856222370</v>
      </c>
      <c r="B4955" s="318" t="s">
        <v>237</v>
      </c>
    </row>
    <row r="4956" spans="1:2" ht="12.75" customHeight="1" x14ac:dyDescent="0.25">
      <c r="A4956" s="318">
        <v>91856222371</v>
      </c>
      <c r="B4956" s="318" t="s">
        <v>237</v>
      </c>
    </row>
    <row r="4957" spans="1:2" ht="12.75" customHeight="1" x14ac:dyDescent="0.25">
      <c r="A4957" s="318">
        <v>91856222372</v>
      </c>
      <c r="B4957" s="318" t="s">
        <v>237</v>
      </c>
    </row>
    <row r="4958" spans="1:2" ht="12.75" customHeight="1" x14ac:dyDescent="0.25">
      <c r="A4958" s="318">
        <v>91856222374</v>
      </c>
      <c r="B4958" s="318" t="s">
        <v>237</v>
      </c>
    </row>
    <row r="4959" spans="1:2" ht="12.75" customHeight="1" x14ac:dyDescent="0.25">
      <c r="A4959" s="318">
        <v>91856222375</v>
      </c>
      <c r="B4959" s="318" t="s">
        <v>237</v>
      </c>
    </row>
    <row r="4960" spans="1:2" ht="12.75" customHeight="1" x14ac:dyDescent="0.25">
      <c r="A4960" s="318">
        <v>91856222376</v>
      </c>
      <c r="B4960" s="318" t="s">
        <v>237</v>
      </c>
    </row>
    <row r="4961" spans="1:2" ht="12.75" customHeight="1" x14ac:dyDescent="0.25">
      <c r="A4961" s="318">
        <v>91856222377</v>
      </c>
      <c r="B4961" s="318" t="s">
        <v>237</v>
      </c>
    </row>
    <row r="4962" spans="1:2" ht="12.75" customHeight="1" x14ac:dyDescent="0.25">
      <c r="A4962" s="318">
        <v>91856222378</v>
      </c>
      <c r="B4962" s="318" t="s">
        <v>237</v>
      </c>
    </row>
    <row r="4963" spans="1:2" ht="12.75" customHeight="1" x14ac:dyDescent="0.25">
      <c r="A4963" s="318">
        <v>91856222379</v>
      </c>
      <c r="B4963" s="318" t="s">
        <v>237</v>
      </c>
    </row>
    <row r="4964" spans="1:2" ht="12.75" customHeight="1" x14ac:dyDescent="0.25">
      <c r="A4964" s="318">
        <v>91856222380</v>
      </c>
      <c r="B4964" s="318" t="s">
        <v>237</v>
      </c>
    </row>
    <row r="4965" spans="1:2" ht="12.75" customHeight="1" x14ac:dyDescent="0.25">
      <c r="A4965" s="318">
        <v>91856222381</v>
      </c>
      <c r="B4965" s="318" t="s">
        <v>237</v>
      </c>
    </row>
    <row r="4966" spans="1:2" ht="12.75" customHeight="1" x14ac:dyDescent="0.25">
      <c r="A4966" s="318">
        <v>91856902456</v>
      </c>
      <c r="B4966" s="318" t="s">
        <v>23</v>
      </c>
    </row>
    <row r="4967" spans="1:2" ht="12.75" customHeight="1" x14ac:dyDescent="0.25">
      <c r="A4967" s="318">
        <v>91856902457</v>
      </c>
      <c r="B4967" s="318" t="s">
        <v>23</v>
      </c>
    </row>
    <row r="4968" spans="1:2" ht="12.75" customHeight="1" x14ac:dyDescent="0.25">
      <c r="A4968" s="318">
        <v>91856902458</v>
      </c>
      <c r="B4968" s="318" t="s">
        <v>23</v>
      </c>
    </row>
    <row r="4969" spans="1:2" ht="12.75" customHeight="1" x14ac:dyDescent="0.25">
      <c r="A4969" s="318">
        <v>91856902459</v>
      </c>
      <c r="B4969" s="318" t="s">
        <v>23</v>
      </c>
    </row>
    <row r="4970" spans="1:2" ht="12.75" customHeight="1" x14ac:dyDescent="0.25">
      <c r="A4970" s="318">
        <v>91856902460</v>
      </c>
      <c r="B4970" s="318" t="s">
        <v>23</v>
      </c>
    </row>
    <row r="4971" spans="1:2" ht="12.75" customHeight="1" x14ac:dyDescent="0.25">
      <c r="A4971" s="318">
        <v>91856902461</v>
      </c>
      <c r="B4971" s="318" t="s">
        <v>23</v>
      </c>
    </row>
    <row r="4972" spans="1:2" ht="12.75" customHeight="1" x14ac:dyDescent="0.25">
      <c r="A4972" s="318">
        <v>91856902462</v>
      </c>
      <c r="B4972" s="318" t="s">
        <v>23</v>
      </c>
    </row>
    <row r="4973" spans="1:2" ht="12.75" customHeight="1" x14ac:dyDescent="0.25">
      <c r="A4973" s="318">
        <v>91856902463</v>
      </c>
      <c r="B4973" s="318" t="s">
        <v>23</v>
      </c>
    </row>
    <row r="4974" spans="1:2" ht="12.75" customHeight="1" x14ac:dyDescent="0.25">
      <c r="A4974" s="318">
        <v>91856902465</v>
      </c>
      <c r="B4974" s="318" t="s">
        <v>23</v>
      </c>
    </row>
    <row r="4975" spans="1:2" ht="12.75" customHeight="1" x14ac:dyDescent="0.25">
      <c r="A4975" s="318">
        <v>91856902466</v>
      </c>
      <c r="B4975" s="318" t="s">
        <v>23</v>
      </c>
    </row>
    <row r="4976" spans="1:2" ht="12.75" customHeight="1" x14ac:dyDescent="0.25">
      <c r="A4976" s="318">
        <v>91856902467</v>
      </c>
      <c r="B4976" s="318" t="s">
        <v>23</v>
      </c>
    </row>
    <row r="4977" spans="1:2" ht="12.75" customHeight="1" x14ac:dyDescent="0.25">
      <c r="A4977" s="318">
        <v>91856902468</v>
      </c>
      <c r="B4977" s="318" t="s">
        <v>23</v>
      </c>
    </row>
    <row r="4978" spans="1:2" ht="12.75" customHeight="1" x14ac:dyDescent="0.25">
      <c r="A4978" s="318">
        <v>91856902469</v>
      </c>
      <c r="B4978" s="318" t="s">
        <v>23</v>
      </c>
    </row>
    <row r="4979" spans="1:2" ht="12.75" customHeight="1" x14ac:dyDescent="0.25">
      <c r="A4979" s="318">
        <v>91856902470</v>
      </c>
      <c r="B4979" s="318" t="s">
        <v>23</v>
      </c>
    </row>
    <row r="4980" spans="1:2" ht="12.75" customHeight="1" x14ac:dyDescent="0.25">
      <c r="A4980" s="318">
        <v>91856902471</v>
      </c>
      <c r="B4980" s="318" t="s">
        <v>23</v>
      </c>
    </row>
    <row r="4981" spans="1:2" ht="12.75" customHeight="1" x14ac:dyDescent="0.25">
      <c r="A4981" s="318">
        <v>91856902472</v>
      </c>
      <c r="B4981" s="318" t="s">
        <v>23</v>
      </c>
    </row>
    <row r="4982" spans="1:2" ht="12.75" customHeight="1" x14ac:dyDescent="0.25">
      <c r="A4982" s="318">
        <v>91856902556</v>
      </c>
      <c r="B4982" s="318" t="s">
        <v>237</v>
      </c>
    </row>
    <row r="4983" spans="1:2" ht="12.75" customHeight="1" x14ac:dyDescent="0.25">
      <c r="A4983" s="318">
        <v>91856902557</v>
      </c>
      <c r="B4983" s="318" t="s">
        <v>237</v>
      </c>
    </row>
    <row r="4984" spans="1:2" ht="12.75" customHeight="1" x14ac:dyDescent="0.25">
      <c r="A4984" s="318">
        <v>91856902558</v>
      </c>
      <c r="B4984" s="318" t="s">
        <v>237</v>
      </c>
    </row>
    <row r="4985" spans="1:2" ht="12.75" customHeight="1" x14ac:dyDescent="0.25">
      <c r="A4985" s="318">
        <v>91856902559</v>
      </c>
      <c r="B4985" s="318" t="s">
        <v>237</v>
      </c>
    </row>
    <row r="4986" spans="1:2" ht="12.75" customHeight="1" x14ac:dyDescent="0.25">
      <c r="A4986" s="318">
        <v>91856902560</v>
      </c>
      <c r="B4986" s="318" t="s">
        <v>237</v>
      </c>
    </row>
    <row r="4987" spans="1:2" ht="12.75" customHeight="1" x14ac:dyDescent="0.25">
      <c r="A4987" s="318">
        <v>91856902561</v>
      </c>
      <c r="B4987" s="318" t="s">
        <v>237</v>
      </c>
    </row>
    <row r="4988" spans="1:2" ht="12.75" customHeight="1" x14ac:dyDescent="0.25">
      <c r="A4988" s="318">
        <v>91856902562</v>
      </c>
      <c r="B4988" s="318" t="s">
        <v>237</v>
      </c>
    </row>
    <row r="4989" spans="1:2" ht="12.75" customHeight="1" x14ac:dyDescent="0.25">
      <c r="A4989" s="318">
        <v>91856902563</v>
      </c>
      <c r="B4989" s="318" t="s">
        <v>237</v>
      </c>
    </row>
    <row r="4990" spans="1:2" ht="12.75" customHeight="1" x14ac:dyDescent="0.25">
      <c r="A4990" s="318">
        <v>91856902565</v>
      </c>
      <c r="B4990" s="318" t="s">
        <v>237</v>
      </c>
    </row>
    <row r="4991" spans="1:2" ht="12.75" customHeight="1" x14ac:dyDescent="0.25">
      <c r="A4991" s="318">
        <v>91856902566</v>
      </c>
      <c r="B4991" s="318" t="s">
        <v>237</v>
      </c>
    </row>
    <row r="4992" spans="1:2" ht="12.75" customHeight="1" x14ac:dyDescent="0.25">
      <c r="A4992" s="318">
        <v>91856902567</v>
      </c>
      <c r="B4992" s="318" t="s">
        <v>237</v>
      </c>
    </row>
    <row r="4993" spans="1:2" ht="12.75" customHeight="1" x14ac:dyDescent="0.25">
      <c r="A4993" s="318">
        <v>91856902568</v>
      </c>
      <c r="B4993" s="318" t="s">
        <v>237</v>
      </c>
    </row>
    <row r="4994" spans="1:2" ht="12.75" customHeight="1" x14ac:dyDescent="0.25">
      <c r="A4994" s="318">
        <v>91856902569</v>
      </c>
      <c r="B4994" s="318" t="s">
        <v>237</v>
      </c>
    </row>
    <row r="4995" spans="1:2" ht="12.75" customHeight="1" x14ac:dyDescent="0.25">
      <c r="A4995" s="318">
        <v>91856902570</v>
      </c>
      <c r="B4995" s="318" t="s">
        <v>237</v>
      </c>
    </row>
    <row r="4996" spans="1:2" ht="12.75" customHeight="1" x14ac:dyDescent="0.25">
      <c r="A4996" s="318">
        <v>91856902571</v>
      </c>
      <c r="B4996" s="318" t="s">
        <v>237</v>
      </c>
    </row>
    <row r="4997" spans="1:2" ht="12.75" customHeight="1" x14ac:dyDescent="0.25">
      <c r="A4997" s="318">
        <v>91856902572</v>
      </c>
      <c r="B4997" s="318" t="s">
        <v>237</v>
      </c>
    </row>
    <row r="4998" spans="1:2" ht="12.75" customHeight="1" x14ac:dyDescent="0.25">
      <c r="A4998" s="318">
        <v>91857383429</v>
      </c>
      <c r="B4998" s="318" t="s">
        <v>23</v>
      </c>
    </row>
    <row r="4999" spans="1:2" ht="12.75" customHeight="1" x14ac:dyDescent="0.25">
      <c r="A4999" s="318">
        <v>91857383430</v>
      </c>
      <c r="B4999" s="318" t="s">
        <v>23</v>
      </c>
    </row>
    <row r="5000" spans="1:2" ht="12.75" customHeight="1" x14ac:dyDescent="0.25">
      <c r="A5000" s="318">
        <v>91857383431</v>
      </c>
      <c r="B5000" s="318" t="s">
        <v>23</v>
      </c>
    </row>
    <row r="5001" spans="1:2" ht="12.75" customHeight="1" x14ac:dyDescent="0.25">
      <c r="A5001" s="318">
        <v>91857383432</v>
      </c>
      <c r="B5001" s="318" t="s">
        <v>23</v>
      </c>
    </row>
    <row r="5002" spans="1:2" ht="12.75" customHeight="1" x14ac:dyDescent="0.25">
      <c r="A5002" s="318">
        <v>91857383433</v>
      </c>
      <c r="B5002" s="318" t="s">
        <v>23</v>
      </c>
    </row>
    <row r="5003" spans="1:2" ht="12.75" customHeight="1" x14ac:dyDescent="0.25">
      <c r="A5003" s="318">
        <v>91857383434</v>
      </c>
      <c r="B5003" s="318" t="s">
        <v>23</v>
      </c>
    </row>
    <row r="5004" spans="1:2" ht="12.75" customHeight="1" x14ac:dyDescent="0.25">
      <c r="A5004" s="318">
        <v>91857383435</v>
      </c>
      <c r="B5004" s="318" t="s">
        <v>23</v>
      </c>
    </row>
    <row r="5005" spans="1:2" ht="12.75" customHeight="1" x14ac:dyDescent="0.25">
      <c r="A5005" s="318">
        <v>91857383436</v>
      </c>
      <c r="B5005" s="318" t="s">
        <v>23</v>
      </c>
    </row>
    <row r="5006" spans="1:2" ht="12.75" customHeight="1" x14ac:dyDescent="0.25">
      <c r="A5006" s="318">
        <v>91857383438</v>
      </c>
      <c r="B5006" s="318" t="s">
        <v>23</v>
      </c>
    </row>
    <row r="5007" spans="1:2" ht="12.75" customHeight="1" x14ac:dyDescent="0.25">
      <c r="A5007" s="318">
        <v>91857383439</v>
      </c>
      <c r="B5007" s="318" t="s">
        <v>23</v>
      </c>
    </row>
    <row r="5008" spans="1:2" ht="12.75" customHeight="1" x14ac:dyDescent="0.25">
      <c r="A5008" s="318">
        <v>91857383440</v>
      </c>
      <c r="B5008" s="318" t="s">
        <v>23</v>
      </c>
    </row>
    <row r="5009" spans="1:2" ht="12.75" customHeight="1" x14ac:dyDescent="0.25">
      <c r="A5009" s="318">
        <v>91857383441</v>
      </c>
      <c r="B5009" s="318" t="s">
        <v>23</v>
      </c>
    </row>
    <row r="5010" spans="1:2" ht="12.75" customHeight="1" x14ac:dyDescent="0.25">
      <c r="A5010" s="318">
        <v>91857383442</v>
      </c>
      <c r="B5010" s="318" t="s">
        <v>23</v>
      </c>
    </row>
    <row r="5011" spans="1:2" ht="12.75" customHeight="1" x14ac:dyDescent="0.25">
      <c r="A5011" s="318">
        <v>91857383443</v>
      </c>
      <c r="B5011" s="318" t="s">
        <v>23</v>
      </c>
    </row>
    <row r="5012" spans="1:2" ht="12.75" customHeight="1" x14ac:dyDescent="0.25">
      <c r="A5012" s="318">
        <v>91857383444</v>
      </c>
      <c r="B5012" s="318" t="s">
        <v>23</v>
      </c>
    </row>
    <row r="5013" spans="1:2" ht="12.75" customHeight="1" x14ac:dyDescent="0.25">
      <c r="A5013" s="318">
        <v>91857383445</v>
      </c>
      <c r="B5013" s="318" t="s">
        <v>23</v>
      </c>
    </row>
    <row r="5014" spans="1:2" ht="12.75" customHeight="1" x14ac:dyDescent="0.25">
      <c r="A5014" s="318">
        <v>91857383529</v>
      </c>
      <c r="B5014" s="318" t="s">
        <v>237</v>
      </c>
    </row>
    <row r="5015" spans="1:2" ht="12.75" customHeight="1" x14ac:dyDescent="0.25">
      <c r="A5015" s="318">
        <v>91857383530</v>
      </c>
      <c r="B5015" s="318" t="s">
        <v>237</v>
      </c>
    </row>
    <row r="5016" spans="1:2" ht="12.75" customHeight="1" x14ac:dyDescent="0.25">
      <c r="A5016" s="318">
        <v>91857383531</v>
      </c>
      <c r="B5016" s="318" t="s">
        <v>237</v>
      </c>
    </row>
    <row r="5017" spans="1:2" ht="12.75" customHeight="1" x14ac:dyDescent="0.25">
      <c r="A5017" s="318">
        <v>91857383532</v>
      </c>
      <c r="B5017" s="318" t="s">
        <v>237</v>
      </c>
    </row>
    <row r="5018" spans="1:2" ht="12.75" customHeight="1" x14ac:dyDescent="0.25">
      <c r="A5018" s="318">
        <v>91857383533</v>
      </c>
      <c r="B5018" s="318" t="s">
        <v>237</v>
      </c>
    </row>
    <row r="5019" spans="1:2" ht="12.75" customHeight="1" x14ac:dyDescent="0.25">
      <c r="A5019" s="318">
        <v>91857383534</v>
      </c>
      <c r="B5019" s="318" t="s">
        <v>237</v>
      </c>
    </row>
    <row r="5020" spans="1:2" ht="12.75" customHeight="1" x14ac:dyDescent="0.25">
      <c r="A5020" s="318">
        <v>91857383535</v>
      </c>
      <c r="B5020" s="318" t="s">
        <v>237</v>
      </c>
    </row>
    <row r="5021" spans="1:2" ht="12.75" customHeight="1" x14ac:dyDescent="0.25">
      <c r="A5021" s="318">
        <v>91857383536</v>
      </c>
      <c r="B5021" s="318" t="s">
        <v>237</v>
      </c>
    </row>
    <row r="5022" spans="1:2" ht="12.75" customHeight="1" x14ac:dyDescent="0.25">
      <c r="A5022" s="318">
        <v>91857383538</v>
      </c>
      <c r="B5022" s="318" t="s">
        <v>237</v>
      </c>
    </row>
    <row r="5023" spans="1:2" ht="12.75" customHeight="1" x14ac:dyDescent="0.25">
      <c r="A5023" s="318">
        <v>91857383539</v>
      </c>
      <c r="B5023" s="318" t="s">
        <v>237</v>
      </c>
    </row>
    <row r="5024" spans="1:2" ht="12.75" customHeight="1" x14ac:dyDescent="0.25">
      <c r="A5024" s="318">
        <v>91857383540</v>
      </c>
      <c r="B5024" s="318" t="s">
        <v>237</v>
      </c>
    </row>
    <row r="5025" spans="1:2" ht="12.75" customHeight="1" x14ac:dyDescent="0.25">
      <c r="A5025" s="318">
        <v>91857383541</v>
      </c>
      <c r="B5025" s="318" t="s">
        <v>237</v>
      </c>
    </row>
    <row r="5026" spans="1:2" ht="12.75" customHeight="1" x14ac:dyDescent="0.25">
      <c r="A5026" s="318">
        <v>91857383542</v>
      </c>
      <c r="B5026" s="318" t="s">
        <v>237</v>
      </c>
    </row>
    <row r="5027" spans="1:2" ht="12.75" customHeight="1" x14ac:dyDescent="0.25">
      <c r="A5027" s="318">
        <v>91857383543</v>
      </c>
      <c r="B5027" s="318" t="s">
        <v>237</v>
      </c>
    </row>
    <row r="5028" spans="1:2" ht="12.75" customHeight="1" x14ac:dyDescent="0.25">
      <c r="A5028" s="318">
        <v>91857383544</v>
      </c>
      <c r="B5028" s="318" t="s">
        <v>237</v>
      </c>
    </row>
    <row r="5029" spans="1:2" ht="12.75" customHeight="1" x14ac:dyDescent="0.25">
      <c r="A5029" s="318">
        <v>91857383545</v>
      </c>
      <c r="B5029" s="318" t="s">
        <v>237</v>
      </c>
    </row>
    <row r="5030" spans="1:2" ht="12.75" customHeight="1" x14ac:dyDescent="0.25">
      <c r="A5030" s="318">
        <v>91857864402</v>
      </c>
      <c r="B5030" s="318" t="s">
        <v>23</v>
      </c>
    </row>
    <row r="5031" spans="1:2" ht="12.75" customHeight="1" x14ac:dyDescent="0.25">
      <c r="A5031" s="318">
        <v>91857864403</v>
      </c>
      <c r="B5031" s="318" t="s">
        <v>23</v>
      </c>
    </row>
    <row r="5032" spans="1:2" ht="12.75" customHeight="1" x14ac:dyDescent="0.25">
      <c r="A5032" s="318">
        <v>91857864404</v>
      </c>
      <c r="B5032" s="318" t="s">
        <v>23</v>
      </c>
    </row>
    <row r="5033" spans="1:2" ht="12.75" customHeight="1" x14ac:dyDescent="0.25">
      <c r="A5033" s="318">
        <v>91857864405</v>
      </c>
      <c r="B5033" s="318" t="s">
        <v>23</v>
      </c>
    </row>
    <row r="5034" spans="1:2" ht="12.75" customHeight="1" x14ac:dyDescent="0.25">
      <c r="A5034" s="318">
        <v>91857864406</v>
      </c>
      <c r="B5034" s="318" t="s">
        <v>23</v>
      </c>
    </row>
    <row r="5035" spans="1:2" ht="12.75" customHeight="1" x14ac:dyDescent="0.25">
      <c r="A5035" s="318">
        <v>91857864407</v>
      </c>
      <c r="B5035" s="318" t="s">
        <v>23</v>
      </c>
    </row>
    <row r="5036" spans="1:2" ht="12.75" customHeight="1" x14ac:dyDescent="0.25">
      <c r="A5036" s="318">
        <v>91857864408</v>
      </c>
      <c r="B5036" s="318" t="s">
        <v>23</v>
      </c>
    </row>
    <row r="5037" spans="1:2" ht="12.75" customHeight="1" x14ac:dyDescent="0.25">
      <c r="A5037" s="318">
        <v>91857864409</v>
      </c>
      <c r="B5037" s="318" t="s">
        <v>23</v>
      </c>
    </row>
    <row r="5038" spans="1:2" ht="12.75" customHeight="1" x14ac:dyDescent="0.25">
      <c r="A5038" s="318">
        <v>91857864411</v>
      </c>
      <c r="B5038" s="318" t="s">
        <v>23</v>
      </c>
    </row>
    <row r="5039" spans="1:2" ht="12.75" customHeight="1" x14ac:dyDescent="0.25">
      <c r="A5039" s="318">
        <v>91857864412</v>
      </c>
      <c r="B5039" s="318" t="s">
        <v>23</v>
      </c>
    </row>
    <row r="5040" spans="1:2" ht="12.75" customHeight="1" x14ac:dyDescent="0.25">
      <c r="A5040" s="318">
        <v>91857864413</v>
      </c>
      <c r="B5040" s="318" t="s">
        <v>23</v>
      </c>
    </row>
    <row r="5041" spans="1:2" ht="12.75" customHeight="1" x14ac:dyDescent="0.25">
      <c r="A5041" s="318">
        <v>91857864414</v>
      </c>
      <c r="B5041" s="318" t="s">
        <v>23</v>
      </c>
    </row>
    <row r="5042" spans="1:2" ht="12.75" customHeight="1" x14ac:dyDescent="0.25">
      <c r="A5042" s="318">
        <v>91857864415</v>
      </c>
      <c r="B5042" s="318" t="s">
        <v>23</v>
      </c>
    </row>
    <row r="5043" spans="1:2" ht="12.75" customHeight="1" x14ac:dyDescent="0.25">
      <c r="A5043" s="318">
        <v>91857864416</v>
      </c>
      <c r="B5043" s="318" t="s">
        <v>23</v>
      </c>
    </row>
    <row r="5044" spans="1:2" ht="12.75" customHeight="1" x14ac:dyDescent="0.25">
      <c r="A5044" s="318">
        <v>91857864417</v>
      </c>
      <c r="B5044" s="318" t="s">
        <v>23</v>
      </c>
    </row>
    <row r="5045" spans="1:2" ht="12.75" customHeight="1" x14ac:dyDescent="0.25">
      <c r="A5045" s="318">
        <v>91857864418</v>
      </c>
      <c r="B5045" s="318" t="s">
        <v>23</v>
      </c>
    </row>
    <row r="5046" spans="1:2" ht="12.75" customHeight="1" x14ac:dyDescent="0.25">
      <c r="A5046" s="318">
        <v>91857864502</v>
      </c>
      <c r="B5046" s="318" t="s">
        <v>237</v>
      </c>
    </row>
    <row r="5047" spans="1:2" ht="12.75" customHeight="1" x14ac:dyDescent="0.25">
      <c r="A5047" s="318">
        <v>91857864503</v>
      </c>
      <c r="B5047" s="318" t="s">
        <v>237</v>
      </c>
    </row>
    <row r="5048" spans="1:2" ht="12.75" customHeight="1" x14ac:dyDescent="0.25">
      <c r="A5048" s="318">
        <v>91857864504</v>
      </c>
      <c r="B5048" s="318" t="s">
        <v>237</v>
      </c>
    </row>
    <row r="5049" spans="1:2" ht="12.75" customHeight="1" x14ac:dyDescent="0.25">
      <c r="A5049" s="318">
        <v>91857864505</v>
      </c>
      <c r="B5049" s="318" t="s">
        <v>237</v>
      </c>
    </row>
    <row r="5050" spans="1:2" ht="12.75" customHeight="1" x14ac:dyDescent="0.25">
      <c r="A5050" s="318">
        <v>91857864506</v>
      </c>
      <c r="B5050" s="318" t="s">
        <v>237</v>
      </c>
    </row>
    <row r="5051" spans="1:2" ht="12.75" customHeight="1" x14ac:dyDescent="0.25">
      <c r="A5051" s="318">
        <v>91857864507</v>
      </c>
      <c r="B5051" s="318" t="s">
        <v>237</v>
      </c>
    </row>
    <row r="5052" spans="1:2" ht="12.75" customHeight="1" x14ac:dyDescent="0.25">
      <c r="A5052" s="318">
        <v>91857864508</v>
      </c>
      <c r="B5052" s="318" t="s">
        <v>237</v>
      </c>
    </row>
    <row r="5053" spans="1:2" ht="12.75" customHeight="1" x14ac:dyDescent="0.25">
      <c r="A5053" s="318">
        <v>91857864509</v>
      </c>
      <c r="B5053" s="318" t="s">
        <v>237</v>
      </c>
    </row>
    <row r="5054" spans="1:2" ht="12.75" customHeight="1" x14ac:dyDescent="0.25">
      <c r="A5054" s="318">
        <v>91857864511</v>
      </c>
      <c r="B5054" s="318" t="s">
        <v>237</v>
      </c>
    </row>
    <row r="5055" spans="1:2" ht="12.75" customHeight="1" x14ac:dyDescent="0.25">
      <c r="A5055" s="318">
        <v>91857864512</v>
      </c>
      <c r="B5055" s="318" t="s">
        <v>237</v>
      </c>
    </row>
    <row r="5056" spans="1:2" ht="12.75" customHeight="1" x14ac:dyDescent="0.25">
      <c r="A5056" s="318">
        <v>91857864513</v>
      </c>
      <c r="B5056" s="318" t="s">
        <v>237</v>
      </c>
    </row>
    <row r="5057" spans="1:2" ht="12.75" customHeight="1" x14ac:dyDescent="0.25">
      <c r="A5057" s="318">
        <v>91857864514</v>
      </c>
      <c r="B5057" s="318" t="s">
        <v>237</v>
      </c>
    </row>
    <row r="5058" spans="1:2" ht="12.75" customHeight="1" x14ac:dyDescent="0.25">
      <c r="A5058" s="318">
        <v>91857864515</v>
      </c>
      <c r="B5058" s="318" t="s">
        <v>237</v>
      </c>
    </row>
    <row r="5059" spans="1:2" ht="12.75" customHeight="1" x14ac:dyDescent="0.25">
      <c r="A5059" s="318">
        <v>91857864516</v>
      </c>
      <c r="B5059" s="318" t="s">
        <v>237</v>
      </c>
    </row>
    <row r="5060" spans="1:2" ht="12.75" customHeight="1" x14ac:dyDescent="0.25">
      <c r="A5060" s="318">
        <v>91857864517</v>
      </c>
      <c r="B5060" s="318" t="s">
        <v>237</v>
      </c>
    </row>
    <row r="5061" spans="1:2" ht="12.75" customHeight="1" x14ac:dyDescent="0.25">
      <c r="A5061" s="318">
        <v>91857864518</v>
      </c>
      <c r="B5061" s="318" t="s">
        <v>237</v>
      </c>
    </row>
    <row r="5062" spans="1:2" ht="12.75" customHeight="1" x14ac:dyDescent="0.25">
      <c r="A5062" s="318">
        <v>91859224783</v>
      </c>
      <c r="B5062" s="318" t="s">
        <v>23</v>
      </c>
    </row>
    <row r="5063" spans="1:2" ht="12.75" customHeight="1" x14ac:dyDescent="0.25">
      <c r="A5063" s="318">
        <v>91859224784</v>
      </c>
      <c r="B5063" s="318" t="s">
        <v>23</v>
      </c>
    </row>
    <row r="5064" spans="1:2" ht="12.75" customHeight="1" x14ac:dyDescent="0.25">
      <c r="A5064" s="318">
        <v>91859224785</v>
      </c>
      <c r="B5064" s="318" t="s">
        <v>23</v>
      </c>
    </row>
    <row r="5065" spans="1:2" ht="12.75" customHeight="1" x14ac:dyDescent="0.25">
      <c r="A5065" s="318">
        <v>91859224786</v>
      </c>
      <c r="B5065" s="318" t="s">
        <v>23</v>
      </c>
    </row>
    <row r="5066" spans="1:2" ht="12.75" customHeight="1" x14ac:dyDescent="0.25">
      <c r="A5066" s="318">
        <v>91859224787</v>
      </c>
      <c r="B5066" s="318" t="s">
        <v>23</v>
      </c>
    </row>
    <row r="5067" spans="1:2" ht="12.75" customHeight="1" x14ac:dyDescent="0.25">
      <c r="A5067" s="318">
        <v>91859224788</v>
      </c>
      <c r="B5067" s="318" t="s">
        <v>23</v>
      </c>
    </row>
    <row r="5068" spans="1:2" ht="12.75" customHeight="1" x14ac:dyDescent="0.25">
      <c r="A5068" s="318">
        <v>91859224789</v>
      </c>
      <c r="B5068" s="318" t="s">
        <v>23</v>
      </c>
    </row>
    <row r="5069" spans="1:2" ht="12.75" customHeight="1" x14ac:dyDescent="0.25">
      <c r="A5069" s="318">
        <v>91859224790</v>
      </c>
      <c r="B5069" s="318" t="s">
        <v>23</v>
      </c>
    </row>
    <row r="5070" spans="1:2" ht="12.75" customHeight="1" x14ac:dyDescent="0.25">
      <c r="A5070" s="318">
        <v>91859224792</v>
      </c>
      <c r="B5070" s="318" t="s">
        <v>237</v>
      </c>
    </row>
    <row r="5071" spans="1:2" ht="12.75" customHeight="1" x14ac:dyDescent="0.25">
      <c r="A5071" s="318">
        <v>91859224793</v>
      </c>
      <c r="B5071" s="318" t="s">
        <v>237</v>
      </c>
    </row>
    <row r="5072" spans="1:2" ht="12.75" customHeight="1" x14ac:dyDescent="0.25">
      <c r="A5072" s="318">
        <v>91859224794</v>
      </c>
      <c r="B5072" s="318" t="s">
        <v>237</v>
      </c>
    </row>
    <row r="5073" spans="1:2" ht="12.75" customHeight="1" x14ac:dyDescent="0.25">
      <c r="A5073" s="318">
        <v>91859224795</v>
      </c>
      <c r="B5073" s="318" t="s">
        <v>237</v>
      </c>
    </row>
    <row r="5074" spans="1:2" ht="12.75" customHeight="1" x14ac:dyDescent="0.25">
      <c r="A5074" s="318">
        <v>91859224796</v>
      </c>
      <c r="B5074" s="318" t="s">
        <v>237</v>
      </c>
    </row>
    <row r="5075" spans="1:2" ht="12.75" customHeight="1" x14ac:dyDescent="0.25">
      <c r="A5075" s="318">
        <v>91859224797</v>
      </c>
      <c r="B5075" s="318" t="s">
        <v>237</v>
      </c>
    </row>
    <row r="5076" spans="1:2" ht="12.75" customHeight="1" x14ac:dyDescent="0.25">
      <c r="A5076" s="318">
        <v>91859224798</v>
      </c>
      <c r="B5076" s="318" t="s">
        <v>237</v>
      </c>
    </row>
    <row r="5077" spans="1:2" ht="12.75" customHeight="1" x14ac:dyDescent="0.25">
      <c r="A5077" s="318">
        <v>91859224799</v>
      </c>
      <c r="B5077" s="318" t="s">
        <v>237</v>
      </c>
    </row>
    <row r="5078" spans="1:2" ht="12.75" customHeight="1" x14ac:dyDescent="0.25">
      <c r="A5078" s="318">
        <v>91859224883</v>
      </c>
      <c r="B5078" s="318" t="s">
        <v>237</v>
      </c>
    </row>
    <row r="5079" spans="1:2" ht="12.75" customHeight="1" x14ac:dyDescent="0.25">
      <c r="A5079" s="318">
        <v>91859224884</v>
      </c>
      <c r="B5079" s="318" t="s">
        <v>237</v>
      </c>
    </row>
    <row r="5080" spans="1:2" ht="12.75" customHeight="1" x14ac:dyDescent="0.25">
      <c r="A5080" s="318">
        <v>91859224885</v>
      </c>
      <c r="B5080" s="318" t="s">
        <v>237</v>
      </c>
    </row>
    <row r="5081" spans="1:2" ht="12.75" customHeight="1" x14ac:dyDescent="0.25">
      <c r="A5081" s="318">
        <v>91859224886</v>
      </c>
      <c r="B5081" s="318" t="s">
        <v>237</v>
      </c>
    </row>
    <row r="5082" spans="1:2" ht="12.75" customHeight="1" x14ac:dyDescent="0.25">
      <c r="A5082" s="318">
        <v>91859224887</v>
      </c>
      <c r="B5082" s="318" t="s">
        <v>237</v>
      </c>
    </row>
    <row r="5083" spans="1:2" ht="12.75" customHeight="1" x14ac:dyDescent="0.25">
      <c r="A5083" s="318">
        <v>91859224888</v>
      </c>
      <c r="B5083" s="318" t="s">
        <v>237</v>
      </c>
    </row>
    <row r="5084" spans="1:2" ht="12.75" customHeight="1" x14ac:dyDescent="0.25">
      <c r="A5084" s="318">
        <v>91859224889</v>
      </c>
      <c r="B5084" s="318" t="s">
        <v>237</v>
      </c>
    </row>
    <row r="5085" spans="1:2" ht="12.75" customHeight="1" x14ac:dyDescent="0.25">
      <c r="A5085" s="318">
        <v>91859224890</v>
      </c>
      <c r="B5085" s="318" t="s">
        <v>237</v>
      </c>
    </row>
    <row r="5086" spans="1:2" ht="12.75" customHeight="1" x14ac:dyDescent="0.25">
      <c r="A5086" s="318">
        <v>91859224892</v>
      </c>
      <c r="B5086" s="318" t="s">
        <v>237</v>
      </c>
    </row>
    <row r="5087" spans="1:2" ht="12.75" customHeight="1" x14ac:dyDescent="0.25">
      <c r="A5087" s="318">
        <v>91859224893</v>
      </c>
      <c r="B5087" s="318" t="s">
        <v>237</v>
      </c>
    </row>
    <row r="5088" spans="1:2" ht="12.75" customHeight="1" x14ac:dyDescent="0.25">
      <c r="A5088" s="318">
        <v>91859224894</v>
      </c>
      <c r="B5088" s="318" t="s">
        <v>237</v>
      </c>
    </row>
    <row r="5089" spans="1:2" ht="12.75" customHeight="1" x14ac:dyDescent="0.25">
      <c r="A5089" s="318">
        <v>91859224895</v>
      </c>
      <c r="B5089" s="318" t="s">
        <v>237</v>
      </c>
    </row>
    <row r="5090" spans="1:2" ht="12.75" customHeight="1" x14ac:dyDescent="0.25">
      <c r="A5090" s="318">
        <v>91859224896</v>
      </c>
      <c r="B5090" s="318" t="s">
        <v>237</v>
      </c>
    </row>
    <row r="5091" spans="1:2" ht="12.75" customHeight="1" x14ac:dyDescent="0.25">
      <c r="A5091" s="318">
        <v>91859224897</v>
      </c>
      <c r="B5091" s="318" t="s">
        <v>237</v>
      </c>
    </row>
    <row r="5092" spans="1:2" ht="12.75" customHeight="1" x14ac:dyDescent="0.25">
      <c r="A5092" s="318">
        <v>91859224898</v>
      </c>
      <c r="B5092" s="318" t="s">
        <v>237</v>
      </c>
    </row>
    <row r="5093" spans="1:2" ht="12.75" customHeight="1" x14ac:dyDescent="0.25">
      <c r="A5093" s="318">
        <v>91859224899</v>
      </c>
      <c r="B5093" s="318" t="s">
        <v>237</v>
      </c>
    </row>
    <row r="5094" spans="1:2" ht="12.75" customHeight="1" x14ac:dyDescent="0.25">
      <c r="A5094" s="318">
        <v>91859705756</v>
      </c>
      <c r="B5094" s="318" t="s">
        <v>23</v>
      </c>
    </row>
    <row r="5095" spans="1:2" ht="12.75" customHeight="1" x14ac:dyDescent="0.25">
      <c r="A5095" s="318">
        <v>91859705757</v>
      </c>
      <c r="B5095" s="318" t="s">
        <v>23</v>
      </c>
    </row>
    <row r="5096" spans="1:2" ht="12.75" customHeight="1" x14ac:dyDescent="0.25">
      <c r="A5096" s="318">
        <v>91859705758</v>
      </c>
      <c r="B5096" s="318" t="s">
        <v>23</v>
      </c>
    </row>
    <row r="5097" spans="1:2" ht="12.75" customHeight="1" x14ac:dyDescent="0.25">
      <c r="A5097" s="318">
        <v>91859705759</v>
      </c>
      <c r="B5097" s="318" t="s">
        <v>23</v>
      </c>
    </row>
    <row r="5098" spans="1:2" ht="12.75" customHeight="1" x14ac:dyDescent="0.25">
      <c r="A5098" s="318">
        <v>91859705760</v>
      </c>
      <c r="B5098" s="318" t="s">
        <v>23</v>
      </c>
    </row>
    <row r="5099" spans="1:2" ht="12.75" customHeight="1" x14ac:dyDescent="0.25">
      <c r="A5099" s="318">
        <v>91859705761</v>
      </c>
      <c r="B5099" s="318" t="s">
        <v>23</v>
      </c>
    </row>
    <row r="5100" spans="1:2" ht="12.75" customHeight="1" x14ac:dyDescent="0.25">
      <c r="A5100" s="318">
        <v>91859705762</v>
      </c>
      <c r="B5100" s="318" t="s">
        <v>23</v>
      </c>
    </row>
    <row r="5101" spans="1:2" ht="12.75" customHeight="1" x14ac:dyDescent="0.25">
      <c r="A5101" s="318">
        <v>91859705763</v>
      </c>
      <c r="B5101" s="318" t="s">
        <v>23</v>
      </c>
    </row>
    <row r="5102" spans="1:2" ht="12.75" customHeight="1" x14ac:dyDescent="0.25">
      <c r="A5102" s="318">
        <v>91859705765</v>
      </c>
      <c r="B5102" s="318" t="s">
        <v>237</v>
      </c>
    </row>
    <row r="5103" spans="1:2" ht="12.75" customHeight="1" x14ac:dyDescent="0.25">
      <c r="A5103" s="318">
        <v>91859705766</v>
      </c>
      <c r="B5103" s="318" t="s">
        <v>237</v>
      </c>
    </row>
    <row r="5104" spans="1:2" ht="12.75" customHeight="1" x14ac:dyDescent="0.25">
      <c r="A5104" s="318">
        <v>91859705767</v>
      </c>
      <c r="B5104" s="318" t="s">
        <v>237</v>
      </c>
    </row>
    <row r="5105" spans="1:2" ht="12.75" customHeight="1" x14ac:dyDescent="0.25">
      <c r="A5105" s="318">
        <v>91859705768</v>
      </c>
      <c r="B5105" s="318" t="s">
        <v>237</v>
      </c>
    </row>
    <row r="5106" spans="1:2" ht="12.75" customHeight="1" x14ac:dyDescent="0.25">
      <c r="A5106" s="318">
        <v>91859705769</v>
      </c>
      <c r="B5106" s="318" t="s">
        <v>237</v>
      </c>
    </row>
    <row r="5107" spans="1:2" ht="12.75" customHeight="1" x14ac:dyDescent="0.25">
      <c r="A5107" s="318">
        <v>91859705770</v>
      </c>
      <c r="B5107" s="318" t="s">
        <v>237</v>
      </c>
    </row>
    <row r="5108" spans="1:2" ht="12.75" customHeight="1" x14ac:dyDescent="0.25">
      <c r="A5108" s="318">
        <v>91859705771</v>
      </c>
      <c r="B5108" s="318" t="s">
        <v>237</v>
      </c>
    </row>
    <row r="5109" spans="1:2" ht="12.75" customHeight="1" x14ac:dyDescent="0.25">
      <c r="A5109" s="318">
        <v>91859705772</v>
      </c>
      <c r="B5109" s="318" t="s">
        <v>237</v>
      </c>
    </row>
    <row r="5110" spans="1:2" ht="12.75" customHeight="1" x14ac:dyDescent="0.25">
      <c r="A5110" s="318">
        <v>91859705856</v>
      </c>
      <c r="B5110" s="318" t="s">
        <v>237</v>
      </c>
    </row>
    <row r="5111" spans="1:2" ht="12.75" customHeight="1" x14ac:dyDescent="0.25">
      <c r="A5111" s="318">
        <v>91859705857</v>
      </c>
      <c r="B5111" s="318" t="s">
        <v>237</v>
      </c>
    </row>
    <row r="5112" spans="1:2" ht="12.75" customHeight="1" x14ac:dyDescent="0.25">
      <c r="A5112" s="318">
        <v>91859705858</v>
      </c>
      <c r="B5112" s="318" t="s">
        <v>237</v>
      </c>
    </row>
    <row r="5113" spans="1:2" ht="12.75" customHeight="1" x14ac:dyDescent="0.25">
      <c r="A5113" s="318">
        <v>91859705859</v>
      </c>
      <c r="B5113" s="318" t="s">
        <v>237</v>
      </c>
    </row>
    <row r="5114" spans="1:2" ht="12.75" customHeight="1" x14ac:dyDescent="0.25">
      <c r="A5114" s="318">
        <v>91859705860</v>
      </c>
      <c r="B5114" s="318" t="s">
        <v>237</v>
      </c>
    </row>
    <row r="5115" spans="1:2" ht="12.75" customHeight="1" x14ac:dyDescent="0.25">
      <c r="A5115" s="318">
        <v>91859705861</v>
      </c>
      <c r="B5115" s="318" t="s">
        <v>237</v>
      </c>
    </row>
    <row r="5116" spans="1:2" ht="12.75" customHeight="1" x14ac:dyDescent="0.25">
      <c r="A5116" s="318">
        <v>91859705862</v>
      </c>
      <c r="B5116" s="318" t="s">
        <v>237</v>
      </c>
    </row>
    <row r="5117" spans="1:2" ht="12.75" customHeight="1" x14ac:dyDescent="0.25">
      <c r="A5117" s="318">
        <v>91859705863</v>
      </c>
      <c r="B5117" s="318" t="s">
        <v>237</v>
      </c>
    </row>
    <row r="5118" spans="1:2" ht="12.75" customHeight="1" x14ac:dyDescent="0.25">
      <c r="A5118" s="318">
        <v>91859705865</v>
      </c>
      <c r="B5118" s="318" t="s">
        <v>237</v>
      </c>
    </row>
    <row r="5119" spans="1:2" ht="12.75" customHeight="1" x14ac:dyDescent="0.25">
      <c r="A5119" s="318">
        <v>91859705866</v>
      </c>
      <c r="B5119" s="318" t="s">
        <v>237</v>
      </c>
    </row>
    <row r="5120" spans="1:2" ht="12.75" customHeight="1" x14ac:dyDescent="0.25">
      <c r="A5120" s="318">
        <v>91859705867</v>
      </c>
      <c r="B5120" s="318" t="s">
        <v>237</v>
      </c>
    </row>
    <row r="5121" spans="1:2" ht="12.75" customHeight="1" x14ac:dyDescent="0.25">
      <c r="A5121" s="318">
        <v>91859705868</v>
      </c>
      <c r="B5121" s="318" t="s">
        <v>237</v>
      </c>
    </row>
    <row r="5122" spans="1:2" ht="12.75" customHeight="1" x14ac:dyDescent="0.25">
      <c r="A5122" s="318">
        <v>91859705869</v>
      </c>
      <c r="B5122" s="318" t="s">
        <v>237</v>
      </c>
    </row>
    <row r="5123" spans="1:2" ht="12.75" customHeight="1" x14ac:dyDescent="0.25">
      <c r="A5123" s="318">
        <v>91859705870</v>
      </c>
      <c r="B5123" s="318" t="s">
        <v>237</v>
      </c>
    </row>
    <row r="5124" spans="1:2" ht="12.75" customHeight="1" x14ac:dyDescent="0.25">
      <c r="A5124" s="318">
        <v>91859705871</v>
      </c>
      <c r="B5124" s="318" t="s">
        <v>237</v>
      </c>
    </row>
    <row r="5125" spans="1:2" ht="12.75" customHeight="1" x14ac:dyDescent="0.25">
      <c r="A5125" s="318">
        <v>91859705872</v>
      </c>
      <c r="B5125" s="318" t="s">
        <v>237</v>
      </c>
    </row>
    <row r="5126" spans="1:2" ht="12.75" customHeight="1" x14ac:dyDescent="0.25">
      <c r="A5126" s="318">
        <v>91860186729</v>
      </c>
      <c r="B5126" s="318" t="s">
        <v>23</v>
      </c>
    </row>
    <row r="5127" spans="1:2" ht="12.75" customHeight="1" x14ac:dyDescent="0.25">
      <c r="A5127" s="318">
        <v>91860186730</v>
      </c>
      <c r="B5127" s="318" t="s">
        <v>23</v>
      </c>
    </row>
    <row r="5128" spans="1:2" ht="12.75" customHeight="1" x14ac:dyDescent="0.25">
      <c r="A5128" s="318">
        <v>91860186731</v>
      </c>
      <c r="B5128" s="318" t="s">
        <v>23</v>
      </c>
    </row>
    <row r="5129" spans="1:2" ht="12.75" customHeight="1" x14ac:dyDescent="0.25">
      <c r="A5129" s="318">
        <v>91860186732</v>
      </c>
      <c r="B5129" s="318" t="s">
        <v>23</v>
      </c>
    </row>
    <row r="5130" spans="1:2" ht="12.75" customHeight="1" x14ac:dyDescent="0.25">
      <c r="A5130" s="318">
        <v>91860186733</v>
      </c>
      <c r="B5130" s="318" t="s">
        <v>23</v>
      </c>
    </row>
    <row r="5131" spans="1:2" ht="12.75" customHeight="1" x14ac:dyDescent="0.25">
      <c r="A5131" s="318">
        <v>91860186734</v>
      </c>
      <c r="B5131" s="318" t="s">
        <v>23</v>
      </c>
    </row>
    <row r="5132" spans="1:2" ht="12.75" customHeight="1" x14ac:dyDescent="0.25">
      <c r="A5132" s="318">
        <v>91860186735</v>
      </c>
      <c r="B5132" s="318" t="s">
        <v>23</v>
      </c>
    </row>
    <row r="5133" spans="1:2" ht="12.75" customHeight="1" x14ac:dyDescent="0.25">
      <c r="A5133" s="318">
        <v>91860186736</v>
      </c>
      <c r="B5133" s="318" t="s">
        <v>23</v>
      </c>
    </row>
    <row r="5134" spans="1:2" ht="12.75" customHeight="1" x14ac:dyDescent="0.25">
      <c r="A5134" s="318">
        <v>91860186738</v>
      </c>
      <c r="B5134" s="318" t="s">
        <v>23</v>
      </c>
    </row>
    <row r="5135" spans="1:2" ht="12.75" customHeight="1" x14ac:dyDescent="0.25">
      <c r="A5135" s="318">
        <v>91860186739</v>
      </c>
      <c r="B5135" s="318" t="s">
        <v>23</v>
      </c>
    </row>
    <row r="5136" spans="1:2" ht="12.75" customHeight="1" x14ac:dyDescent="0.25">
      <c r="A5136" s="318">
        <v>91860186740</v>
      </c>
      <c r="B5136" s="318" t="s">
        <v>23</v>
      </c>
    </row>
    <row r="5137" spans="1:2" ht="12.75" customHeight="1" x14ac:dyDescent="0.25">
      <c r="A5137" s="318">
        <v>91860186741</v>
      </c>
      <c r="B5137" s="318" t="s">
        <v>23</v>
      </c>
    </row>
    <row r="5138" spans="1:2" ht="12.75" customHeight="1" x14ac:dyDescent="0.25">
      <c r="A5138" s="318">
        <v>91860186742</v>
      </c>
      <c r="B5138" s="318" t="s">
        <v>23</v>
      </c>
    </row>
    <row r="5139" spans="1:2" ht="12.75" customHeight="1" x14ac:dyDescent="0.25">
      <c r="A5139" s="318">
        <v>91860186743</v>
      </c>
      <c r="B5139" s="318" t="s">
        <v>23</v>
      </c>
    </row>
    <row r="5140" spans="1:2" ht="12.75" customHeight="1" x14ac:dyDescent="0.25">
      <c r="A5140" s="318">
        <v>91860186744</v>
      </c>
      <c r="B5140" s="318" t="s">
        <v>23</v>
      </c>
    </row>
    <row r="5141" spans="1:2" ht="12.75" customHeight="1" x14ac:dyDescent="0.25">
      <c r="A5141" s="318">
        <v>91860186745</v>
      </c>
      <c r="B5141" s="318" t="s">
        <v>23</v>
      </c>
    </row>
    <row r="5142" spans="1:2" ht="12.75" customHeight="1" x14ac:dyDescent="0.25">
      <c r="A5142" s="318">
        <v>91860186829</v>
      </c>
      <c r="B5142" s="318" t="s">
        <v>237</v>
      </c>
    </row>
    <row r="5143" spans="1:2" ht="12.75" customHeight="1" x14ac:dyDescent="0.25">
      <c r="A5143" s="318">
        <v>91860186830</v>
      </c>
      <c r="B5143" s="318" t="s">
        <v>237</v>
      </c>
    </row>
    <row r="5144" spans="1:2" ht="12.75" customHeight="1" x14ac:dyDescent="0.25">
      <c r="A5144" s="318">
        <v>91860186831</v>
      </c>
      <c r="B5144" s="318" t="s">
        <v>237</v>
      </c>
    </row>
    <row r="5145" spans="1:2" ht="12.75" customHeight="1" x14ac:dyDescent="0.25">
      <c r="A5145" s="318">
        <v>91860186832</v>
      </c>
      <c r="B5145" s="318" t="s">
        <v>237</v>
      </c>
    </row>
    <row r="5146" spans="1:2" ht="12.75" customHeight="1" x14ac:dyDescent="0.25">
      <c r="A5146" s="318">
        <v>91860186833</v>
      </c>
      <c r="B5146" s="318" t="s">
        <v>237</v>
      </c>
    </row>
    <row r="5147" spans="1:2" ht="12.75" customHeight="1" x14ac:dyDescent="0.25">
      <c r="A5147" s="318">
        <v>91860186834</v>
      </c>
      <c r="B5147" s="318" t="s">
        <v>237</v>
      </c>
    </row>
    <row r="5148" spans="1:2" ht="12.75" customHeight="1" x14ac:dyDescent="0.25">
      <c r="A5148" s="318">
        <v>91860186835</v>
      </c>
      <c r="B5148" s="318" t="s">
        <v>237</v>
      </c>
    </row>
    <row r="5149" spans="1:2" ht="12.75" customHeight="1" x14ac:dyDescent="0.25">
      <c r="A5149" s="318">
        <v>91860186836</v>
      </c>
      <c r="B5149" s="318" t="s">
        <v>237</v>
      </c>
    </row>
    <row r="5150" spans="1:2" ht="12.75" customHeight="1" x14ac:dyDescent="0.25">
      <c r="A5150" s="318">
        <v>91860186838</v>
      </c>
      <c r="B5150" s="318" t="s">
        <v>237</v>
      </c>
    </row>
    <row r="5151" spans="1:2" ht="12.75" customHeight="1" x14ac:dyDescent="0.25">
      <c r="A5151" s="318">
        <v>91860186839</v>
      </c>
      <c r="B5151" s="318" t="s">
        <v>237</v>
      </c>
    </row>
    <row r="5152" spans="1:2" ht="12.75" customHeight="1" x14ac:dyDescent="0.25">
      <c r="A5152" s="318">
        <v>91860186840</v>
      </c>
      <c r="B5152" s="318" t="s">
        <v>237</v>
      </c>
    </row>
    <row r="5153" spans="1:2" ht="12.75" customHeight="1" x14ac:dyDescent="0.25">
      <c r="A5153" s="318">
        <v>91860186841</v>
      </c>
      <c r="B5153" s="318" t="s">
        <v>237</v>
      </c>
    </row>
    <row r="5154" spans="1:2" ht="12.75" customHeight="1" x14ac:dyDescent="0.25">
      <c r="A5154" s="318">
        <v>91860186842</v>
      </c>
      <c r="B5154" s="318" t="s">
        <v>237</v>
      </c>
    </row>
    <row r="5155" spans="1:2" ht="12.75" customHeight="1" x14ac:dyDescent="0.25">
      <c r="A5155" s="318">
        <v>91860186843</v>
      </c>
      <c r="B5155" s="318" t="s">
        <v>237</v>
      </c>
    </row>
    <row r="5156" spans="1:2" ht="12.75" customHeight="1" x14ac:dyDescent="0.25">
      <c r="A5156" s="318">
        <v>91860186844</v>
      </c>
      <c r="B5156" s="318" t="s">
        <v>237</v>
      </c>
    </row>
    <row r="5157" spans="1:2" ht="12.75" customHeight="1" x14ac:dyDescent="0.25">
      <c r="A5157" s="318">
        <v>91860186845</v>
      </c>
      <c r="B5157" s="318" t="s">
        <v>237</v>
      </c>
    </row>
    <row r="5158" spans="1:2" ht="12.75" customHeight="1" x14ac:dyDescent="0.25">
      <c r="A5158" s="318">
        <v>91860866920</v>
      </c>
      <c r="B5158" s="318" t="s">
        <v>23</v>
      </c>
    </row>
    <row r="5159" spans="1:2" ht="12.75" customHeight="1" x14ac:dyDescent="0.25">
      <c r="A5159" s="318">
        <v>91860866921</v>
      </c>
      <c r="B5159" s="318" t="s">
        <v>23</v>
      </c>
    </row>
    <row r="5160" spans="1:2" ht="12.75" customHeight="1" x14ac:dyDescent="0.25">
      <c r="A5160" s="318">
        <v>91860866922</v>
      </c>
      <c r="B5160" s="318" t="s">
        <v>23</v>
      </c>
    </row>
    <row r="5161" spans="1:2" ht="12.75" customHeight="1" x14ac:dyDescent="0.25">
      <c r="A5161" s="318">
        <v>91860866923</v>
      </c>
      <c r="B5161" s="318" t="s">
        <v>23</v>
      </c>
    </row>
    <row r="5162" spans="1:2" ht="12.75" customHeight="1" x14ac:dyDescent="0.25">
      <c r="A5162" s="318">
        <v>91860866924</v>
      </c>
      <c r="B5162" s="318" t="s">
        <v>23</v>
      </c>
    </row>
    <row r="5163" spans="1:2" ht="12.75" customHeight="1" x14ac:dyDescent="0.25">
      <c r="A5163" s="318">
        <v>91860866925</v>
      </c>
      <c r="B5163" s="318" t="s">
        <v>23</v>
      </c>
    </row>
    <row r="5164" spans="1:2" ht="12.75" customHeight="1" x14ac:dyDescent="0.25">
      <c r="A5164" s="318">
        <v>91860866926</v>
      </c>
      <c r="B5164" s="318" t="s">
        <v>23</v>
      </c>
    </row>
    <row r="5165" spans="1:2" ht="12.75" customHeight="1" x14ac:dyDescent="0.25">
      <c r="A5165" s="318">
        <v>91860866927</v>
      </c>
      <c r="B5165" s="318" t="s">
        <v>23</v>
      </c>
    </row>
    <row r="5166" spans="1:2" ht="12.75" customHeight="1" x14ac:dyDescent="0.25">
      <c r="A5166" s="318">
        <v>91860866929</v>
      </c>
      <c r="B5166" s="318" t="s">
        <v>237</v>
      </c>
    </row>
    <row r="5167" spans="1:2" ht="12.75" customHeight="1" x14ac:dyDescent="0.25">
      <c r="A5167" s="318">
        <v>91860866930</v>
      </c>
      <c r="B5167" s="318" t="s">
        <v>237</v>
      </c>
    </row>
    <row r="5168" spans="1:2" ht="12.75" customHeight="1" x14ac:dyDescent="0.25">
      <c r="A5168" s="318">
        <v>91860866931</v>
      </c>
      <c r="B5168" s="318" t="s">
        <v>237</v>
      </c>
    </row>
    <row r="5169" spans="1:2" ht="12.75" customHeight="1" x14ac:dyDescent="0.25">
      <c r="A5169" s="318">
        <v>91860866932</v>
      </c>
      <c r="B5169" s="318" t="s">
        <v>237</v>
      </c>
    </row>
    <row r="5170" spans="1:2" ht="12.75" customHeight="1" x14ac:dyDescent="0.25">
      <c r="A5170" s="318">
        <v>91860866933</v>
      </c>
      <c r="B5170" s="318" t="s">
        <v>237</v>
      </c>
    </row>
    <row r="5171" spans="1:2" ht="12.75" customHeight="1" x14ac:dyDescent="0.25">
      <c r="A5171" s="318">
        <v>91860866934</v>
      </c>
      <c r="B5171" s="318" t="s">
        <v>237</v>
      </c>
    </row>
    <row r="5172" spans="1:2" ht="12.75" customHeight="1" x14ac:dyDescent="0.25">
      <c r="A5172" s="318">
        <v>91860866935</v>
      </c>
      <c r="B5172" s="318" t="s">
        <v>237</v>
      </c>
    </row>
    <row r="5173" spans="1:2" ht="12.75" customHeight="1" x14ac:dyDescent="0.25">
      <c r="A5173" s="318">
        <v>91860866936</v>
      </c>
      <c r="B5173" s="318" t="s">
        <v>237</v>
      </c>
    </row>
    <row r="5174" spans="1:2" ht="12.75" customHeight="1" x14ac:dyDescent="0.25">
      <c r="A5174" s="318">
        <v>91860867020</v>
      </c>
      <c r="B5174" s="318" t="s">
        <v>237</v>
      </c>
    </row>
    <row r="5175" spans="1:2" ht="12.75" customHeight="1" x14ac:dyDescent="0.25">
      <c r="A5175" s="318">
        <v>91860867021</v>
      </c>
      <c r="B5175" s="318" t="s">
        <v>237</v>
      </c>
    </row>
    <row r="5176" spans="1:2" ht="12.75" customHeight="1" x14ac:dyDescent="0.25">
      <c r="A5176" s="318">
        <v>91860867022</v>
      </c>
      <c r="B5176" s="318" t="s">
        <v>237</v>
      </c>
    </row>
    <row r="5177" spans="1:2" ht="12.75" customHeight="1" x14ac:dyDescent="0.25">
      <c r="A5177" s="318">
        <v>91860867023</v>
      </c>
      <c r="B5177" s="318" t="s">
        <v>237</v>
      </c>
    </row>
    <row r="5178" spans="1:2" ht="12.75" customHeight="1" x14ac:dyDescent="0.25">
      <c r="A5178" s="318">
        <v>91860867024</v>
      </c>
      <c r="B5178" s="318" t="s">
        <v>237</v>
      </c>
    </row>
    <row r="5179" spans="1:2" ht="12.75" customHeight="1" x14ac:dyDescent="0.25">
      <c r="A5179" s="318">
        <v>91860867025</v>
      </c>
      <c r="B5179" s="318" t="s">
        <v>237</v>
      </c>
    </row>
    <row r="5180" spans="1:2" ht="12.75" customHeight="1" x14ac:dyDescent="0.25">
      <c r="A5180" s="318">
        <v>91860867026</v>
      </c>
      <c r="B5180" s="318" t="s">
        <v>237</v>
      </c>
    </row>
    <row r="5181" spans="1:2" ht="12.75" customHeight="1" x14ac:dyDescent="0.25">
      <c r="A5181" s="318">
        <v>91860867027</v>
      </c>
      <c r="B5181" s="318" t="s">
        <v>237</v>
      </c>
    </row>
    <row r="5182" spans="1:2" ht="12.75" customHeight="1" x14ac:dyDescent="0.25">
      <c r="A5182" s="318">
        <v>91860867029</v>
      </c>
      <c r="B5182" s="318" t="s">
        <v>237</v>
      </c>
    </row>
    <row r="5183" spans="1:2" ht="12.75" customHeight="1" x14ac:dyDescent="0.25">
      <c r="A5183" s="318">
        <v>91860867030</v>
      </c>
      <c r="B5183" s="318" t="s">
        <v>237</v>
      </c>
    </row>
    <row r="5184" spans="1:2" ht="12.75" customHeight="1" x14ac:dyDescent="0.25">
      <c r="A5184" s="318">
        <v>91860867031</v>
      </c>
      <c r="B5184" s="318" t="s">
        <v>237</v>
      </c>
    </row>
    <row r="5185" spans="1:2" ht="12.75" customHeight="1" x14ac:dyDescent="0.25">
      <c r="A5185" s="318">
        <v>91860867032</v>
      </c>
      <c r="B5185" s="318" t="s">
        <v>237</v>
      </c>
    </row>
    <row r="5186" spans="1:2" ht="12.75" customHeight="1" x14ac:dyDescent="0.25">
      <c r="A5186" s="318">
        <v>91860867033</v>
      </c>
      <c r="B5186" s="318" t="s">
        <v>237</v>
      </c>
    </row>
    <row r="5187" spans="1:2" ht="12.75" customHeight="1" x14ac:dyDescent="0.25">
      <c r="A5187" s="318">
        <v>91860867034</v>
      </c>
      <c r="B5187" s="318" t="s">
        <v>237</v>
      </c>
    </row>
    <row r="5188" spans="1:2" ht="12.75" customHeight="1" x14ac:dyDescent="0.25">
      <c r="A5188" s="318">
        <v>91860867035</v>
      </c>
      <c r="B5188" s="318" t="s">
        <v>237</v>
      </c>
    </row>
    <row r="5189" spans="1:2" ht="12.75" customHeight="1" x14ac:dyDescent="0.25">
      <c r="A5189" s="318">
        <v>91860867036</v>
      </c>
      <c r="B5189" s="318" t="s">
        <v>237</v>
      </c>
    </row>
    <row r="5190" spans="1:2" ht="12.75" customHeight="1" x14ac:dyDescent="0.25">
      <c r="A5190" s="318">
        <v>91861347893</v>
      </c>
      <c r="B5190" s="318" t="s">
        <v>23</v>
      </c>
    </row>
    <row r="5191" spans="1:2" ht="12.75" customHeight="1" x14ac:dyDescent="0.25">
      <c r="A5191" s="318">
        <v>91861347894</v>
      </c>
      <c r="B5191" s="318" t="s">
        <v>23</v>
      </c>
    </row>
    <row r="5192" spans="1:2" ht="12.75" customHeight="1" x14ac:dyDescent="0.25">
      <c r="A5192" s="318">
        <v>91861347895</v>
      </c>
      <c r="B5192" s="318" t="s">
        <v>23</v>
      </c>
    </row>
    <row r="5193" spans="1:2" ht="12.75" customHeight="1" x14ac:dyDescent="0.25">
      <c r="A5193" s="318">
        <v>91861347896</v>
      </c>
      <c r="B5193" s="318" t="s">
        <v>23</v>
      </c>
    </row>
    <row r="5194" spans="1:2" ht="12.75" customHeight="1" x14ac:dyDescent="0.25">
      <c r="A5194" s="318">
        <v>91861347897</v>
      </c>
      <c r="B5194" s="318" t="s">
        <v>23</v>
      </c>
    </row>
    <row r="5195" spans="1:2" ht="12.75" customHeight="1" x14ac:dyDescent="0.25">
      <c r="A5195" s="318">
        <v>91861347898</v>
      </c>
      <c r="B5195" s="318" t="s">
        <v>23</v>
      </c>
    </row>
    <row r="5196" spans="1:2" ht="12.75" customHeight="1" x14ac:dyDescent="0.25">
      <c r="A5196" s="318">
        <v>91861347899</v>
      </c>
      <c r="B5196" s="318" t="s">
        <v>23</v>
      </c>
    </row>
    <row r="5197" spans="1:2" ht="12.75" customHeight="1" x14ac:dyDescent="0.25">
      <c r="A5197" s="318">
        <v>91861347900</v>
      </c>
      <c r="B5197" s="318" t="s">
        <v>23</v>
      </c>
    </row>
    <row r="5198" spans="1:2" ht="12.75" customHeight="1" x14ac:dyDescent="0.25">
      <c r="A5198" s="318">
        <v>91861347902</v>
      </c>
      <c r="B5198" s="318" t="s">
        <v>237</v>
      </c>
    </row>
    <row r="5199" spans="1:2" ht="12.75" customHeight="1" x14ac:dyDescent="0.25">
      <c r="A5199" s="318">
        <v>91861347903</v>
      </c>
      <c r="B5199" s="318" t="s">
        <v>237</v>
      </c>
    </row>
    <row r="5200" spans="1:2" ht="12.75" customHeight="1" x14ac:dyDescent="0.25">
      <c r="A5200" s="318">
        <v>91861347904</v>
      </c>
      <c r="B5200" s="318" t="s">
        <v>237</v>
      </c>
    </row>
    <row r="5201" spans="1:2" ht="12.75" customHeight="1" x14ac:dyDescent="0.25">
      <c r="A5201" s="318">
        <v>91861347905</v>
      </c>
      <c r="B5201" s="318" t="s">
        <v>237</v>
      </c>
    </row>
    <row r="5202" spans="1:2" ht="12.75" customHeight="1" x14ac:dyDescent="0.25">
      <c r="A5202" s="318">
        <v>91861347906</v>
      </c>
      <c r="B5202" s="318" t="s">
        <v>237</v>
      </c>
    </row>
    <row r="5203" spans="1:2" ht="12.75" customHeight="1" x14ac:dyDescent="0.25">
      <c r="A5203" s="318">
        <v>91861347907</v>
      </c>
      <c r="B5203" s="318" t="s">
        <v>237</v>
      </c>
    </row>
    <row r="5204" spans="1:2" ht="12.75" customHeight="1" x14ac:dyDescent="0.25">
      <c r="A5204" s="318">
        <v>91861347908</v>
      </c>
      <c r="B5204" s="318" t="s">
        <v>237</v>
      </c>
    </row>
    <row r="5205" spans="1:2" ht="12.75" customHeight="1" x14ac:dyDescent="0.25">
      <c r="A5205" s="318">
        <v>91861347909</v>
      </c>
      <c r="B5205" s="318" t="s">
        <v>237</v>
      </c>
    </row>
    <row r="5206" spans="1:2" ht="12.75" customHeight="1" x14ac:dyDescent="0.25">
      <c r="A5206" s="318">
        <v>91861347993</v>
      </c>
      <c r="B5206" s="318" t="s">
        <v>237</v>
      </c>
    </row>
    <row r="5207" spans="1:2" ht="12.75" customHeight="1" x14ac:dyDescent="0.25">
      <c r="A5207" s="318">
        <v>91861347994</v>
      </c>
      <c r="B5207" s="318" t="s">
        <v>237</v>
      </c>
    </row>
    <row r="5208" spans="1:2" ht="12.75" customHeight="1" x14ac:dyDescent="0.25">
      <c r="A5208" s="318">
        <v>91861347995</v>
      </c>
      <c r="B5208" s="318" t="s">
        <v>237</v>
      </c>
    </row>
    <row r="5209" spans="1:2" ht="12.75" customHeight="1" x14ac:dyDescent="0.25">
      <c r="A5209" s="318">
        <v>91861347996</v>
      </c>
      <c r="B5209" s="318" t="s">
        <v>237</v>
      </c>
    </row>
    <row r="5210" spans="1:2" ht="12.75" customHeight="1" x14ac:dyDescent="0.25">
      <c r="A5210" s="318">
        <v>91861347997</v>
      </c>
      <c r="B5210" s="318" t="s">
        <v>237</v>
      </c>
    </row>
    <row r="5211" spans="1:2" ht="12.75" customHeight="1" x14ac:dyDescent="0.25">
      <c r="A5211" s="318">
        <v>91861347998</v>
      </c>
      <c r="B5211" s="318" t="s">
        <v>237</v>
      </c>
    </row>
    <row r="5212" spans="1:2" ht="12.75" customHeight="1" x14ac:dyDescent="0.25">
      <c r="A5212" s="318">
        <v>91861347999</v>
      </c>
      <c r="B5212" s="318" t="s">
        <v>237</v>
      </c>
    </row>
    <row r="5213" spans="1:2" ht="12.75" customHeight="1" x14ac:dyDescent="0.25">
      <c r="A5213" s="318">
        <v>91861348000</v>
      </c>
      <c r="B5213" s="318" t="s">
        <v>237</v>
      </c>
    </row>
    <row r="5214" spans="1:2" ht="12.75" customHeight="1" x14ac:dyDescent="0.25">
      <c r="A5214" s="318">
        <v>91861348002</v>
      </c>
      <c r="B5214" s="318" t="s">
        <v>237</v>
      </c>
    </row>
    <row r="5215" spans="1:2" ht="12.75" customHeight="1" x14ac:dyDescent="0.25">
      <c r="A5215" s="318">
        <v>91861348003</v>
      </c>
      <c r="B5215" s="318" t="s">
        <v>237</v>
      </c>
    </row>
    <row r="5216" spans="1:2" ht="12.75" customHeight="1" x14ac:dyDescent="0.25">
      <c r="A5216" s="318">
        <v>91861348004</v>
      </c>
      <c r="B5216" s="318" t="s">
        <v>237</v>
      </c>
    </row>
    <row r="5217" spans="1:2" ht="12.75" customHeight="1" x14ac:dyDescent="0.25">
      <c r="A5217" s="318">
        <v>91861348005</v>
      </c>
      <c r="B5217" s="318" t="s">
        <v>237</v>
      </c>
    </row>
    <row r="5218" spans="1:2" ht="12.75" customHeight="1" x14ac:dyDescent="0.25">
      <c r="A5218" s="318">
        <v>91861348006</v>
      </c>
      <c r="B5218" s="318" t="s">
        <v>237</v>
      </c>
    </row>
    <row r="5219" spans="1:2" ht="12.75" customHeight="1" x14ac:dyDescent="0.25">
      <c r="A5219" s="318">
        <v>91861348007</v>
      </c>
      <c r="B5219" s="318" t="s">
        <v>237</v>
      </c>
    </row>
    <row r="5220" spans="1:2" ht="12.75" customHeight="1" x14ac:dyDescent="0.25">
      <c r="A5220" s="318">
        <v>91861348008</v>
      </c>
      <c r="B5220" s="318" t="s">
        <v>237</v>
      </c>
    </row>
    <row r="5221" spans="1:2" ht="12.75" customHeight="1" x14ac:dyDescent="0.25">
      <c r="A5221" s="318">
        <v>91861348009</v>
      </c>
      <c r="B5221" s="318" t="s">
        <v>237</v>
      </c>
    </row>
    <row r="5222" spans="1:2" ht="12.75" customHeight="1" x14ac:dyDescent="0.25">
      <c r="A5222" s="318">
        <v>91861828866</v>
      </c>
      <c r="B5222" s="318" t="s">
        <v>23</v>
      </c>
    </row>
    <row r="5223" spans="1:2" ht="12.75" customHeight="1" x14ac:dyDescent="0.25">
      <c r="A5223" s="318">
        <v>91861828867</v>
      </c>
      <c r="B5223" s="318" t="s">
        <v>23</v>
      </c>
    </row>
    <row r="5224" spans="1:2" ht="12.75" customHeight="1" x14ac:dyDescent="0.25">
      <c r="A5224" s="318">
        <v>91861828868</v>
      </c>
      <c r="B5224" s="318" t="s">
        <v>23</v>
      </c>
    </row>
    <row r="5225" spans="1:2" ht="12.75" customHeight="1" x14ac:dyDescent="0.25">
      <c r="A5225" s="318">
        <v>91861828869</v>
      </c>
      <c r="B5225" s="318" t="s">
        <v>23</v>
      </c>
    </row>
    <row r="5226" spans="1:2" ht="12.75" customHeight="1" x14ac:dyDescent="0.25">
      <c r="A5226" s="318">
        <v>91861828870</v>
      </c>
      <c r="B5226" s="318" t="s">
        <v>23</v>
      </c>
    </row>
    <row r="5227" spans="1:2" ht="12.75" customHeight="1" x14ac:dyDescent="0.25">
      <c r="A5227" s="318">
        <v>91861828871</v>
      </c>
      <c r="B5227" s="318" t="s">
        <v>23</v>
      </c>
    </row>
    <row r="5228" spans="1:2" ht="12.75" customHeight="1" x14ac:dyDescent="0.25">
      <c r="A5228" s="318">
        <v>91861828872</v>
      </c>
      <c r="B5228" s="318" t="s">
        <v>23</v>
      </c>
    </row>
    <row r="5229" spans="1:2" ht="12.75" customHeight="1" x14ac:dyDescent="0.25">
      <c r="A5229" s="318">
        <v>91861828873</v>
      </c>
      <c r="B5229" s="318" t="s">
        <v>23</v>
      </c>
    </row>
    <row r="5230" spans="1:2" ht="12.75" customHeight="1" x14ac:dyDescent="0.25">
      <c r="A5230" s="318">
        <v>91861828875</v>
      </c>
      <c r="B5230" s="318" t="s">
        <v>23</v>
      </c>
    </row>
    <row r="5231" spans="1:2" ht="12.75" customHeight="1" x14ac:dyDescent="0.25">
      <c r="A5231" s="318">
        <v>91861828876</v>
      </c>
      <c r="B5231" s="318" t="s">
        <v>23</v>
      </c>
    </row>
    <row r="5232" spans="1:2" ht="12.75" customHeight="1" x14ac:dyDescent="0.25">
      <c r="A5232" s="318">
        <v>91861828877</v>
      </c>
      <c r="B5232" s="318" t="s">
        <v>23</v>
      </c>
    </row>
    <row r="5233" spans="1:2" ht="12.75" customHeight="1" x14ac:dyDescent="0.25">
      <c r="A5233" s="318">
        <v>91861828878</v>
      </c>
      <c r="B5233" s="318" t="s">
        <v>23</v>
      </c>
    </row>
    <row r="5234" spans="1:2" ht="12.75" customHeight="1" x14ac:dyDescent="0.25">
      <c r="A5234" s="318">
        <v>91861828879</v>
      </c>
      <c r="B5234" s="318" t="s">
        <v>23</v>
      </c>
    </row>
    <row r="5235" spans="1:2" ht="12.75" customHeight="1" x14ac:dyDescent="0.25">
      <c r="A5235" s="318">
        <v>91861828880</v>
      </c>
      <c r="B5235" s="318" t="s">
        <v>23</v>
      </c>
    </row>
    <row r="5236" spans="1:2" ht="12.75" customHeight="1" x14ac:dyDescent="0.25">
      <c r="A5236" s="318">
        <v>91861828881</v>
      </c>
      <c r="B5236" s="318" t="s">
        <v>23</v>
      </c>
    </row>
    <row r="5237" spans="1:2" ht="12.75" customHeight="1" x14ac:dyDescent="0.25">
      <c r="A5237" s="318">
        <v>91861828882</v>
      </c>
      <c r="B5237" s="318" t="s">
        <v>23</v>
      </c>
    </row>
    <row r="5238" spans="1:2" ht="12.75" customHeight="1" x14ac:dyDescent="0.25">
      <c r="A5238" s="318">
        <v>91861828966</v>
      </c>
      <c r="B5238" s="318" t="s">
        <v>237</v>
      </c>
    </row>
    <row r="5239" spans="1:2" ht="12.75" customHeight="1" x14ac:dyDescent="0.25">
      <c r="A5239" s="318">
        <v>91861828967</v>
      </c>
      <c r="B5239" s="318" t="s">
        <v>237</v>
      </c>
    </row>
    <row r="5240" spans="1:2" ht="12.75" customHeight="1" x14ac:dyDescent="0.25">
      <c r="A5240" s="318">
        <v>91861828968</v>
      </c>
      <c r="B5240" s="318" t="s">
        <v>237</v>
      </c>
    </row>
    <row r="5241" spans="1:2" ht="12.75" customHeight="1" x14ac:dyDescent="0.25">
      <c r="A5241" s="318">
        <v>91861828969</v>
      </c>
      <c r="B5241" s="318" t="s">
        <v>237</v>
      </c>
    </row>
    <row r="5242" spans="1:2" ht="12.75" customHeight="1" x14ac:dyDescent="0.25">
      <c r="A5242" s="318">
        <v>91861828970</v>
      </c>
      <c r="B5242" s="318" t="s">
        <v>237</v>
      </c>
    </row>
    <row r="5243" spans="1:2" ht="12.75" customHeight="1" x14ac:dyDescent="0.25">
      <c r="A5243" s="318">
        <v>91861828971</v>
      </c>
      <c r="B5243" s="318" t="s">
        <v>237</v>
      </c>
    </row>
    <row r="5244" spans="1:2" ht="12.75" customHeight="1" x14ac:dyDescent="0.25">
      <c r="A5244" s="318">
        <v>91861828972</v>
      </c>
      <c r="B5244" s="318" t="s">
        <v>237</v>
      </c>
    </row>
    <row r="5245" spans="1:2" ht="12.75" customHeight="1" x14ac:dyDescent="0.25">
      <c r="A5245" s="318">
        <v>91861828973</v>
      </c>
      <c r="B5245" s="318" t="s">
        <v>237</v>
      </c>
    </row>
    <row r="5246" spans="1:2" ht="12.75" customHeight="1" x14ac:dyDescent="0.25">
      <c r="A5246" s="318">
        <v>91861828975</v>
      </c>
      <c r="B5246" s="318" t="s">
        <v>237</v>
      </c>
    </row>
    <row r="5247" spans="1:2" ht="12.75" customHeight="1" x14ac:dyDescent="0.25">
      <c r="A5247" s="318">
        <v>91861828976</v>
      </c>
      <c r="B5247" s="318" t="s">
        <v>237</v>
      </c>
    </row>
    <row r="5248" spans="1:2" ht="12.75" customHeight="1" x14ac:dyDescent="0.25">
      <c r="A5248" s="318">
        <v>91861828977</v>
      </c>
      <c r="B5248" s="318" t="s">
        <v>237</v>
      </c>
    </row>
    <row r="5249" spans="1:2" ht="12.75" customHeight="1" x14ac:dyDescent="0.25">
      <c r="A5249" s="318">
        <v>91861828978</v>
      </c>
      <c r="B5249" s="318" t="s">
        <v>237</v>
      </c>
    </row>
    <row r="5250" spans="1:2" ht="12.75" customHeight="1" x14ac:dyDescent="0.25">
      <c r="A5250" s="318">
        <v>91861828979</v>
      </c>
      <c r="B5250" s="318" t="s">
        <v>237</v>
      </c>
    </row>
    <row r="5251" spans="1:2" ht="12.75" customHeight="1" x14ac:dyDescent="0.25">
      <c r="A5251" s="318">
        <v>91861828980</v>
      </c>
      <c r="B5251" s="318" t="s">
        <v>237</v>
      </c>
    </row>
    <row r="5252" spans="1:2" ht="12.75" customHeight="1" x14ac:dyDescent="0.25">
      <c r="A5252" s="318">
        <v>91861828981</v>
      </c>
      <c r="B5252" s="318" t="s">
        <v>237</v>
      </c>
    </row>
    <row r="5253" spans="1:2" ht="12.75" customHeight="1" x14ac:dyDescent="0.25">
      <c r="A5253" s="318">
        <v>91861828982</v>
      </c>
      <c r="B5253" s="318" t="s">
        <v>237</v>
      </c>
    </row>
    <row r="5254" spans="1:2" ht="12.75" customHeight="1" x14ac:dyDescent="0.25">
      <c r="A5254" s="318">
        <v>91862509057</v>
      </c>
      <c r="B5254" s="318" t="s">
        <v>23</v>
      </c>
    </row>
    <row r="5255" spans="1:2" ht="12.75" customHeight="1" x14ac:dyDescent="0.25">
      <c r="A5255" s="318">
        <v>91862509058</v>
      </c>
      <c r="B5255" s="318" t="s">
        <v>23</v>
      </c>
    </row>
    <row r="5256" spans="1:2" ht="12.75" customHeight="1" x14ac:dyDescent="0.25">
      <c r="A5256" s="318">
        <v>91862509059</v>
      </c>
      <c r="B5256" s="318" t="s">
        <v>23</v>
      </c>
    </row>
    <row r="5257" spans="1:2" ht="12.75" customHeight="1" x14ac:dyDescent="0.25">
      <c r="A5257" s="318">
        <v>91862509060</v>
      </c>
      <c r="B5257" s="318" t="s">
        <v>23</v>
      </c>
    </row>
    <row r="5258" spans="1:2" ht="12.75" customHeight="1" x14ac:dyDescent="0.25">
      <c r="A5258" s="318">
        <v>91862509061</v>
      </c>
      <c r="B5258" s="318" t="s">
        <v>23</v>
      </c>
    </row>
    <row r="5259" spans="1:2" ht="12.75" customHeight="1" x14ac:dyDescent="0.25">
      <c r="A5259" s="318">
        <v>91862509062</v>
      </c>
      <c r="B5259" s="318" t="s">
        <v>23</v>
      </c>
    </row>
    <row r="5260" spans="1:2" ht="12.75" customHeight="1" x14ac:dyDescent="0.25">
      <c r="A5260" s="318">
        <v>91862509063</v>
      </c>
      <c r="B5260" s="318" t="s">
        <v>23</v>
      </c>
    </row>
    <row r="5261" spans="1:2" ht="12.75" customHeight="1" x14ac:dyDescent="0.25">
      <c r="A5261" s="318">
        <v>91862509064</v>
      </c>
      <c r="B5261" s="318" t="s">
        <v>23</v>
      </c>
    </row>
    <row r="5262" spans="1:2" ht="12.75" customHeight="1" x14ac:dyDescent="0.25">
      <c r="A5262" s="318">
        <v>91862509066</v>
      </c>
      <c r="B5262" s="318" t="s">
        <v>23</v>
      </c>
    </row>
    <row r="5263" spans="1:2" ht="12.75" customHeight="1" x14ac:dyDescent="0.25">
      <c r="A5263" s="318">
        <v>91862509067</v>
      </c>
      <c r="B5263" s="318" t="s">
        <v>23</v>
      </c>
    </row>
    <row r="5264" spans="1:2" ht="12.75" customHeight="1" x14ac:dyDescent="0.25">
      <c r="A5264" s="318">
        <v>91862509068</v>
      </c>
      <c r="B5264" s="318" t="s">
        <v>23</v>
      </c>
    </row>
    <row r="5265" spans="1:2" ht="12.75" customHeight="1" x14ac:dyDescent="0.25">
      <c r="A5265" s="318">
        <v>91862509069</v>
      </c>
      <c r="B5265" s="318" t="s">
        <v>23</v>
      </c>
    </row>
    <row r="5266" spans="1:2" ht="12.75" customHeight="1" x14ac:dyDescent="0.25">
      <c r="A5266" s="318">
        <v>91862509070</v>
      </c>
      <c r="B5266" s="318" t="s">
        <v>23</v>
      </c>
    </row>
    <row r="5267" spans="1:2" ht="12.75" customHeight="1" x14ac:dyDescent="0.25">
      <c r="A5267" s="318">
        <v>91862509071</v>
      </c>
      <c r="B5267" s="318" t="s">
        <v>23</v>
      </c>
    </row>
    <row r="5268" spans="1:2" ht="12.75" customHeight="1" x14ac:dyDescent="0.25">
      <c r="A5268" s="318">
        <v>91862509072</v>
      </c>
      <c r="B5268" s="318" t="s">
        <v>23</v>
      </c>
    </row>
    <row r="5269" spans="1:2" ht="12.75" customHeight="1" x14ac:dyDescent="0.25">
      <c r="A5269" s="318">
        <v>91862509073</v>
      </c>
      <c r="B5269" s="318" t="s">
        <v>23</v>
      </c>
    </row>
    <row r="5270" spans="1:2" ht="12.75" customHeight="1" x14ac:dyDescent="0.25">
      <c r="A5270" s="318">
        <v>91862509157</v>
      </c>
      <c r="B5270" s="318" t="s">
        <v>237</v>
      </c>
    </row>
    <row r="5271" spans="1:2" ht="12.75" customHeight="1" x14ac:dyDescent="0.25">
      <c r="A5271" s="318">
        <v>91862509158</v>
      </c>
      <c r="B5271" s="318" t="s">
        <v>237</v>
      </c>
    </row>
    <row r="5272" spans="1:2" ht="12.75" customHeight="1" x14ac:dyDescent="0.25">
      <c r="A5272" s="318">
        <v>91862509159</v>
      </c>
      <c r="B5272" s="318" t="s">
        <v>237</v>
      </c>
    </row>
    <row r="5273" spans="1:2" ht="12.75" customHeight="1" x14ac:dyDescent="0.25">
      <c r="A5273" s="318">
        <v>91862509160</v>
      </c>
      <c r="B5273" s="318" t="s">
        <v>237</v>
      </c>
    </row>
    <row r="5274" spans="1:2" ht="12.75" customHeight="1" x14ac:dyDescent="0.25">
      <c r="A5274" s="318">
        <v>91862509161</v>
      </c>
      <c r="B5274" s="318" t="s">
        <v>237</v>
      </c>
    </row>
    <row r="5275" spans="1:2" ht="12.75" customHeight="1" x14ac:dyDescent="0.25">
      <c r="A5275" s="318">
        <v>91862509162</v>
      </c>
      <c r="B5275" s="318" t="s">
        <v>237</v>
      </c>
    </row>
    <row r="5276" spans="1:2" ht="12.75" customHeight="1" x14ac:dyDescent="0.25">
      <c r="A5276" s="318">
        <v>91862509163</v>
      </c>
      <c r="B5276" s="318" t="s">
        <v>237</v>
      </c>
    </row>
    <row r="5277" spans="1:2" ht="12.75" customHeight="1" x14ac:dyDescent="0.25">
      <c r="A5277" s="318">
        <v>91862509164</v>
      </c>
      <c r="B5277" s="318" t="s">
        <v>237</v>
      </c>
    </row>
    <row r="5278" spans="1:2" ht="12.75" customHeight="1" x14ac:dyDescent="0.25">
      <c r="A5278" s="318">
        <v>91862509166</v>
      </c>
      <c r="B5278" s="318" t="s">
        <v>237</v>
      </c>
    </row>
    <row r="5279" spans="1:2" ht="12.75" customHeight="1" x14ac:dyDescent="0.25">
      <c r="A5279" s="318">
        <v>91862509167</v>
      </c>
      <c r="B5279" s="318" t="s">
        <v>237</v>
      </c>
    </row>
    <row r="5280" spans="1:2" ht="12.75" customHeight="1" x14ac:dyDescent="0.25">
      <c r="A5280" s="318">
        <v>91862509168</v>
      </c>
      <c r="B5280" s="318" t="s">
        <v>237</v>
      </c>
    </row>
    <row r="5281" spans="1:2" ht="12.75" customHeight="1" x14ac:dyDescent="0.25">
      <c r="A5281" s="318">
        <v>91862509169</v>
      </c>
      <c r="B5281" s="318" t="s">
        <v>237</v>
      </c>
    </row>
    <row r="5282" spans="1:2" ht="12.75" customHeight="1" x14ac:dyDescent="0.25">
      <c r="A5282" s="318">
        <v>91862509170</v>
      </c>
      <c r="B5282" s="318" t="s">
        <v>237</v>
      </c>
    </row>
    <row r="5283" spans="1:2" ht="12.75" customHeight="1" x14ac:dyDescent="0.25">
      <c r="A5283" s="318">
        <v>91862509171</v>
      </c>
      <c r="B5283" s="318" t="s">
        <v>237</v>
      </c>
    </row>
    <row r="5284" spans="1:2" ht="12.75" customHeight="1" x14ac:dyDescent="0.25">
      <c r="A5284" s="318">
        <v>91862509172</v>
      </c>
      <c r="B5284" s="318" t="s">
        <v>237</v>
      </c>
    </row>
    <row r="5285" spans="1:2" ht="12.75" customHeight="1" x14ac:dyDescent="0.25">
      <c r="A5285" s="318">
        <v>91862509173</v>
      </c>
      <c r="B5285" s="318" t="s">
        <v>237</v>
      </c>
    </row>
    <row r="5286" spans="1:2" ht="12.75" customHeight="1" x14ac:dyDescent="0.25">
      <c r="A5286" s="318">
        <v>91862990030</v>
      </c>
      <c r="B5286" s="318" t="s">
        <v>23</v>
      </c>
    </row>
    <row r="5287" spans="1:2" ht="12.75" customHeight="1" x14ac:dyDescent="0.25">
      <c r="A5287" s="318">
        <v>91862990031</v>
      </c>
      <c r="B5287" s="318" t="s">
        <v>23</v>
      </c>
    </row>
    <row r="5288" spans="1:2" ht="12.75" customHeight="1" x14ac:dyDescent="0.25">
      <c r="A5288" s="318">
        <v>91862990032</v>
      </c>
      <c r="B5288" s="318" t="s">
        <v>23</v>
      </c>
    </row>
    <row r="5289" spans="1:2" ht="12.75" customHeight="1" x14ac:dyDescent="0.25">
      <c r="A5289" s="318">
        <v>91862990033</v>
      </c>
      <c r="B5289" s="318" t="s">
        <v>23</v>
      </c>
    </row>
    <row r="5290" spans="1:2" ht="12.75" customHeight="1" x14ac:dyDescent="0.25">
      <c r="A5290" s="318">
        <v>91862990034</v>
      </c>
      <c r="B5290" s="318" t="s">
        <v>23</v>
      </c>
    </row>
    <row r="5291" spans="1:2" ht="12.75" customHeight="1" x14ac:dyDescent="0.25">
      <c r="A5291" s="318">
        <v>91862990035</v>
      </c>
      <c r="B5291" s="318" t="s">
        <v>23</v>
      </c>
    </row>
    <row r="5292" spans="1:2" ht="12.75" customHeight="1" x14ac:dyDescent="0.25">
      <c r="A5292" s="318">
        <v>91862990036</v>
      </c>
      <c r="B5292" s="318" t="s">
        <v>23</v>
      </c>
    </row>
    <row r="5293" spans="1:2" ht="12.75" customHeight="1" x14ac:dyDescent="0.25">
      <c r="A5293" s="318">
        <v>91862990037</v>
      </c>
      <c r="B5293" s="318" t="s">
        <v>23</v>
      </c>
    </row>
    <row r="5294" spans="1:2" ht="12.75" customHeight="1" x14ac:dyDescent="0.25">
      <c r="A5294" s="318">
        <v>91862990039</v>
      </c>
      <c r="B5294" s="318" t="s">
        <v>23</v>
      </c>
    </row>
    <row r="5295" spans="1:2" ht="12.75" customHeight="1" x14ac:dyDescent="0.25">
      <c r="A5295" s="318">
        <v>91862990040</v>
      </c>
      <c r="B5295" s="318" t="s">
        <v>23</v>
      </c>
    </row>
    <row r="5296" spans="1:2" ht="12.75" customHeight="1" x14ac:dyDescent="0.25">
      <c r="A5296" s="318">
        <v>91862990041</v>
      </c>
      <c r="B5296" s="318" t="s">
        <v>23</v>
      </c>
    </row>
    <row r="5297" spans="1:2" ht="12.75" customHeight="1" x14ac:dyDescent="0.25">
      <c r="A5297" s="318">
        <v>91862990042</v>
      </c>
      <c r="B5297" s="318" t="s">
        <v>23</v>
      </c>
    </row>
    <row r="5298" spans="1:2" ht="12.75" customHeight="1" x14ac:dyDescent="0.25">
      <c r="A5298" s="318">
        <v>91862990043</v>
      </c>
      <c r="B5298" s="318" t="s">
        <v>23</v>
      </c>
    </row>
    <row r="5299" spans="1:2" ht="12.75" customHeight="1" x14ac:dyDescent="0.25">
      <c r="A5299" s="318">
        <v>91862990044</v>
      </c>
      <c r="B5299" s="318" t="s">
        <v>23</v>
      </c>
    </row>
    <row r="5300" spans="1:2" ht="12.75" customHeight="1" x14ac:dyDescent="0.25">
      <c r="A5300" s="318">
        <v>91862990045</v>
      </c>
      <c r="B5300" s="318" t="s">
        <v>23</v>
      </c>
    </row>
    <row r="5301" spans="1:2" ht="12.75" customHeight="1" x14ac:dyDescent="0.25">
      <c r="A5301" s="318">
        <v>91862990046</v>
      </c>
      <c r="B5301" s="318" t="s">
        <v>23</v>
      </c>
    </row>
    <row r="5302" spans="1:2" ht="12.75" customHeight="1" x14ac:dyDescent="0.25">
      <c r="A5302" s="318">
        <v>91862990130</v>
      </c>
      <c r="B5302" s="318" t="s">
        <v>237</v>
      </c>
    </row>
    <row r="5303" spans="1:2" ht="12.75" customHeight="1" x14ac:dyDescent="0.25">
      <c r="A5303" s="318">
        <v>91862990131</v>
      </c>
      <c r="B5303" s="318" t="s">
        <v>237</v>
      </c>
    </row>
    <row r="5304" spans="1:2" ht="12.75" customHeight="1" x14ac:dyDescent="0.25">
      <c r="A5304" s="318">
        <v>91862990132</v>
      </c>
      <c r="B5304" s="318" t="s">
        <v>237</v>
      </c>
    </row>
    <row r="5305" spans="1:2" ht="12.75" customHeight="1" x14ac:dyDescent="0.25">
      <c r="A5305" s="318">
        <v>91862990133</v>
      </c>
      <c r="B5305" s="318" t="s">
        <v>237</v>
      </c>
    </row>
    <row r="5306" spans="1:2" ht="12.75" customHeight="1" x14ac:dyDescent="0.25">
      <c r="A5306" s="318">
        <v>91862990134</v>
      </c>
      <c r="B5306" s="318" t="s">
        <v>237</v>
      </c>
    </row>
    <row r="5307" spans="1:2" ht="12.75" customHeight="1" x14ac:dyDescent="0.25">
      <c r="A5307" s="318">
        <v>91862990135</v>
      </c>
      <c r="B5307" s="318" t="s">
        <v>237</v>
      </c>
    </row>
    <row r="5308" spans="1:2" ht="12.75" customHeight="1" x14ac:dyDescent="0.25">
      <c r="A5308" s="318">
        <v>91862990136</v>
      </c>
      <c r="B5308" s="318" t="s">
        <v>237</v>
      </c>
    </row>
    <row r="5309" spans="1:2" ht="12.75" customHeight="1" x14ac:dyDescent="0.25">
      <c r="A5309" s="318">
        <v>91862990137</v>
      </c>
      <c r="B5309" s="318" t="s">
        <v>237</v>
      </c>
    </row>
    <row r="5310" spans="1:2" ht="12.75" customHeight="1" x14ac:dyDescent="0.25">
      <c r="A5310" s="318">
        <v>91862990139</v>
      </c>
      <c r="B5310" s="318" t="s">
        <v>237</v>
      </c>
    </row>
    <row r="5311" spans="1:2" ht="12.75" customHeight="1" x14ac:dyDescent="0.25">
      <c r="A5311" s="318">
        <v>91862990140</v>
      </c>
      <c r="B5311" s="318" t="s">
        <v>237</v>
      </c>
    </row>
    <row r="5312" spans="1:2" ht="12.75" customHeight="1" x14ac:dyDescent="0.25">
      <c r="A5312" s="318">
        <v>91862990141</v>
      </c>
      <c r="B5312" s="318" t="s">
        <v>237</v>
      </c>
    </row>
    <row r="5313" spans="1:2" ht="12.75" customHeight="1" x14ac:dyDescent="0.25">
      <c r="A5313" s="318">
        <v>91862990142</v>
      </c>
      <c r="B5313" s="318" t="s">
        <v>237</v>
      </c>
    </row>
    <row r="5314" spans="1:2" ht="12.75" customHeight="1" x14ac:dyDescent="0.25">
      <c r="A5314" s="318">
        <v>91862990143</v>
      </c>
      <c r="B5314" s="318" t="s">
        <v>237</v>
      </c>
    </row>
    <row r="5315" spans="1:2" ht="12.75" customHeight="1" x14ac:dyDescent="0.25">
      <c r="A5315" s="318">
        <v>91862990144</v>
      </c>
      <c r="B5315" s="318" t="s">
        <v>237</v>
      </c>
    </row>
    <row r="5316" spans="1:2" ht="12.75" customHeight="1" x14ac:dyDescent="0.25">
      <c r="A5316" s="318">
        <v>91862990145</v>
      </c>
      <c r="B5316" s="318" t="s">
        <v>237</v>
      </c>
    </row>
    <row r="5317" spans="1:2" ht="12.75" customHeight="1" x14ac:dyDescent="0.25">
      <c r="A5317" s="318">
        <v>91862990146</v>
      </c>
      <c r="B5317" s="318" t="s">
        <v>237</v>
      </c>
    </row>
    <row r="5318" spans="1:2" ht="12.75" customHeight="1" x14ac:dyDescent="0.25">
      <c r="A5318" s="318">
        <v>91863471003</v>
      </c>
      <c r="B5318" s="318" t="s">
        <v>23</v>
      </c>
    </row>
    <row r="5319" spans="1:2" ht="12.75" customHeight="1" x14ac:dyDescent="0.25">
      <c r="A5319" s="318">
        <v>91863471004</v>
      </c>
      <c r="B5319" s="318" t="s">
        <v>23</v>
      </c>
    </row>
    <row r="5320" spans="1:2" ht="12.75" customHeight="1" x14ac:dyDescent="0.25">
      <c r="A5320" s="318">
        <v>91863471005</v>
      </c>
      <c r="B5320" s="318" t="s">
        <v>23</v>
      </c>
    </row>
    <row r="5321" spans="1:2" ht="12.75" customHeight="1" x14ac:dyDescent="0.25">
      <c r="A5321" s="318">
        <v>91863471006</v>
      </c>
      <c r="B5321" s="318" t="s">
        <v>23</v>
      </c>
    </row>
    <row r="5322" spans="1:2" ht="12.75" customHeight="1" x14ac:dyDescent="0.25">
      <c r="A5322" s="318">
        <v>91863471007</v>
      </c>
      <c r="B5322" s="318" t="s">
        <v>23</v>
      </c>
    </row>
    <row r="5323" spans="1:2" ht="12.75" customHeight="1" x14ac:dyDescent="0.25">
      <c r="A5323" s="318">
        <v>91863471008</v>
      </c>
      <c r="B5323" s="318" t="s">
        <v>23</v>
      </c>
    </row>
    <row r="5324" spans="1:2" ht="12.75" customHeight="1" x14ac:dyDescent="0.25">
      <c r="A5324" s="318">
        <v>91863471009</v>
      </c>
      <c r="B5324" s="318" t="s">
        <v>23</v>
      </c>
    </row>
    <row r="5325" spans="1:2" ht="12.75" customHeight="1" x14ac:dyDescent="0.25">
      <c r="A5325" s="318">
        <v>91863471010</v>
      </c>
      <c r="B5325" s="318" t="s">
        <v>23</v>
      </c>
    </row>
    <row r="5326" spans="1:2" ht="12.75" customHeight="1" x14ac:dyDescent="0.25">
      <c r="A5326" s="318">
        <v>91863471012</v>
      </c>
      <c r="B5326" s="318" t="s">
        <v>23</v>
      </c>
    </row>
    <row r="5327" spans="1:2" ht="12.75" customHeight="1" x14ac:dyDescent="0.25">
      <c r="A5327" s="318">
        <v>91863471013</v>
      </c>
      <c r="B5327" s="318" t="s">
        <v>23</v>
      </c>
    </row>
    <row r="5328" spans="1:2" ht="12.75" customHeight="1" x14ac:dyDescent="0.25">
      <c r="A5328" s="318">
        <v>91863471014</v>
      </c>
      <c r="B5328" s="318" t="s">
        <v>23</v>
      </c>
    </row>
    <row r="5329" spans="1:2" ht="12.75" customHeight="1" x14ac:dyDescent="0.25">
      <c r="A5329" s="318">
        <v>91863471015</v>
      </c>
      <c r="B5329" s="318" t="s">
        <v>23</v>
      </c>
    </row>
    <row r="5330" spans="1:2" ht="12.75" customHeight="1" x14ac:dyDescent="0.25">
      <c r="A5330" s="318">
        <v>91863471016</v>
      </c>
      <c r="B5330" s="318" t="s">
        <v>23</v>
      </c>
    </row>
    <row r="5331" spans="1:2" ht="12.75" customHeight="1" x14ac:dyDescent="0.25">
      <c r="A5331" s="318">
        <v>91863471017</v>
      </c>
      <c r="B5331" s="318" t="s">
        <v>23</v>
      </c>
    </row>
    <row r="5332" spans="1:2" ht="12.75" customHeight="1" x14ac:dyDescent="0.25">
      <c r="A5332" s="318">
        <v>91863471018</v>
      </c>
      <c r="B5332" s="318" t="s">
        <v>23</v>
      </c>
    </row>
    <row r="5333" spans="1:2" ht="12.75" customHeight="1" x14ac:dyDescent="0.25">
      <c r="A5333" s="318">
        <v>91863471019</v>
      </c>
      <c r="B5333" s="318" t="s">
        <v>23</v>
      </c>
    </row>
    <row r="5334" spans="1:2" ht="12.75" customHeight="1" x14ac:dyDescent="0.25">
      <c r="A5334" s="318">
        <v>91863471103</v>
      </c>
      <c r="B5334" s="318" t="s">
        <v>237</v>
      </c>
    </row>
    <row r="5335" spans="1:2" ht="12.75" customHeight="1" x14ac:dyDescent="0.25">
      <c r="A5335" s="318">
        <v>91863471104</v>
      </c>
      <c r="B5335" s="318" t="s">
        <v>237</v>
      </c>
    </row>
    <row r="5336" spans="1:2" ht="12.75" customHeight="1" x14ac:dyDescent="0.25">
      <c r="A5336" s="318">
        <v>91863471105</v>
      </c>
      <c r="B5336" s="318" t="s">
        <v>237</v>
      </c>
    </row>
    <row r="5337" spans="1:2" ht="12.75" customHeight="1" x14ac:dyDescent="0.25">
      <c r="A5337" s="318">
        <v>91863471106</v>
      </c>
      <c r="B5337" s="318" t="s">
        <v>237</v>
      </c>
    </row>
    <row r="5338" spans="1:2" ht="12.75" customHeight="1" x14ac:dyDescent="0.25">
      <c r="A5338" s="318">
        <v>91863471107</v>
      </c>
      <c r="B5338" s="318" t="s">
        <v>237</v>
      </c>
    </row>
    <row r="5339" spans="1:2" ht="12.75" customHeight="1" x14ac:dyDescent="0.25">
      <c r="A5339" s="318">
        <v>91863471108</v>
      </c>
      <c r="B5339" s="318" t="s">
        <v>237</v>
      </c>
    </row>
    <row r="5340" spans="1:2" ht="12.75" customHeight="1" x14ac:dyDescent="0.25">
      <c r="A5340" s="318">
        <v>91863471109</v>
      </c>
      <c r="B5340" s="318" t="s">
        <v>237</v>
      </c>
    </row>
    <row r="5341" spans="1:2" ht="12.75" customHeight="1" x14ac:dyDescent="0.25">
      <c r="A5341" s="318">
        <v>91863471110</v>
      </c>
      <c r="B5341" s="318" t="s">
        <v>237</v>
      </c>
    </row>
    <row r="5342" spans="1:2" ht="12.75" customHeight="1" x14ac:dyDescent="0.25">
      <c r="A5342" s="318">
        <v>91863471112</v>
      </c>
      <c r="B5342" s="318" t="s">
        <v>237</v>
      </c>
    </row>
    <row r="5343" spans="1:2" ht="12.75" customHeight="1" x14ac:dyDescent="0.25">
      <c r="A5343" s="318">
        <v>91863471113</v>
      </c>
      <c r="B5343" s="318" t="s">
        <v>237</v>
      </c>
    </row>
    <row r="5344" spans="1:2" ht="12.75" customHeight="1" x14ac:dyDescent="0.25">
      <c r="A5344" s="318">
        <v>91863471114</v>
      </c>
      <c r="B5344" s="318" t="s">
        <v>237</v>
      </c>
    </row>
    <row r="5345" spans="1:2" ht="12.75" customHeight="1" x14ac:dyDescent="0.25">
      <c r="A5345" s="318">
        <v>91863471115</v>
      </c>
      <c r="B5345" s="318" t="s">
        <v>237</v>
      </c>
    </row>
    <row r="5346" spans="1:2" ht="12.75" customHeight="1" x14ac:dyDescent="0.25">
      <c r="A5346" s="318">
        <v>91863471116</v>
      </c>
      <c r="B5346" s="318" t="s">
        <v>237</v>
      </c>
    </row>
    <row r="5347" spans="1:2" ht="12.75" customHeight="1" x14ac:dyDescent="0.25">
      <c r="A5347" s="318">
        <v>91863471117</v>
      </c>
      <c r="B5347" s="318" t="s">
        <v>237</v>
      </c>
    </row>
    <row r="5348" spans="1:2" ht="12.75" customHeight="1" x14ac:dyDescent="0.25">
      <c r="A5348" s="318">
        <v>91863471118</v>
      </c>
      <c r="B5348" s="318" t="s">
        <v>237</v>
      </c>
    </row>
    <row r="5349" spans="1:2" ht="12.75" customHeight="1" x14ac:dyDescent="0.25">
      <c r="A5349" s="318">
        <v>91863471119</v>
      </c>
      <c r="B5349" s="318" t="s">
        <v>237</v>
      </c>
    </row>
    <row r="5350" spans="1:2" ht="12.75" customHeight="1" x14ac:dyDescent="0.25">
      <c r="A5350" s="318">
        <v>91864831384</v>
      </c>
      <c r="B5350" s="318" t="s">
        <v>23</v>
      </c>
    </row>
    <row r="5351" spans="1:2" ht="12.75" customHeight="1" x14ac:dyDescent="0.25">
      <c r="A5351" s="318">
        <v>91864831385</v>
      </c>
      <c r="B5351" s="318" t="s">
        <v>23</v>
      </c>
    </row>
    <row r="5352" spans="1:2" ht="12.75" customHeight="1" x14ac:dyDescent="0.25">
      <c r="A5352" s="318">
        <v>91864831386</v>
      </c>
      <c r="B5352" s="318" t="s">
        <v>23</v>
      </c>
    </row>
    <row r="5353" spans="1:2" ht="12.75" customHeight="1" x14ac:dyDescent="0.25">
      <c r="A5353" s="318">
        <v>91864831387</v>
      </c>
      <c r="B5353" s="318" t="s">
        <v>23</v>
      </c>
    </row>
    <row r="5354" spans="1:2" ht="12.75" customHeight="1" x14ac:dyDescent="0.25">
      <c r="A5354" s="318">
        <v>91864831388</v>
      </c>
      <c r="B5354" s="318" t="s">
        <v>23</v>
      </c>
    </row>
    <row r="5355" spans="1:2" ht="12.75" customHeight="1" x14ac:dyDescent="0.25">
      <c r="A5355" s="318">
        <v>91864831389</v>
      </c>
      <c r="B5355" s="318" t="s">
        <v>23</v>
      </c>
    </row>
    <row r="5356" spans="1:2" ht="12.75" customHeight="1" x14ac:dyDescent="0.25">
      <c r="A5356" s="318">
        <v>91864831390</v>
      </c>
      <c r="B5356" s="318" t="s">
        <v>23</v>
      </c>
    </row>
    <row r="5357" spans="1:2" ht="12.75" customHeight="1" x14ac:dyDescent="0.25">
      <c r="A5357" s="318">
        <v>91864831391</v>
      </c>
      <c r="B5357" s="318" t="s">
        <v>23</v>
      </c>
    </row>
    <row r="5358" spans="1:2" ht="12.75" customHeight="1" x14ac:dyDescent="0.25">
      <c r="A5358" s="318">
        <v>91864831393</v>
      </c>
      <c r="B5358" s="318" t="s">
        <v>23</v>
      </c>
    </row>
    <row r="5359" spans="1:2" ht="12.75" customHeight="1" x14ac:dyDescent="0.25">
      <c r="A5359" s="318">
        <v>91864831394</v>
      </c>
      <c r="B5359" s="318" t="s">
        <v>23</v>
      </c>
    </row>
    <row r="5360" spans="1:2" ht="12.75" customHeight="1" x14ac:dyDescent="0.25">
      <c r="A5360" s="318">
        <v>91864831395</v>
      </c>
      <c r="B5360" s="318" t="s">
        <v>23</v>
      </c>
    </row>
    <row r="5361" spans="1:2" ht="12.75" customHeight="1" x14ac:dyDescent="0.25">
      <c r="A5361" s="318">
        <v>91864831396</v>
      </c>
      <c r="B5361" s="318" t="s">
        <v>23</v>
      </c>
    </row>
    <row r="5362" spans="1:2" ht="12.75" customHeight="1" x14ac:dyDescent="0.25">
      <c r="A5362" s="318">
        <v>91864831397</v>
      </c>
      <c r="B5362" s="318" t="s">
        <v>23</v>
      </c>
    </row>
    <row r="5363" spans="1:2" ht="12.75" customHeight="1" x14ac:dyDescent="0.25">
      <c r="A5363" s="318">
        <v>91864831398</v>
      </c>
      <c r="B5363" s="318" t="s">
        <v>23</v>
      </c>
    </row>
    <row r="5364" spans="1:2" ht="12.75" customHeight="1" x14ac:dyDescent="0.25">
      <c r="A5364" s="318">
        <v>91864831399</v>
      </c>
      <c r="B5364" s="318" t="s">
        <v>23</v>
      </c>
    </row>
    <row r="5365" spans="1:2" ht="12.75" customHeight="1" x14ac:dyDescent="0.25">
      <c r="A5365" s="318">
        <v>91864831400</v>
      </c>
      <c r="B5365" s="318" t="s">
        <v>23</v>
      </c>
    </row>
    <row r="5366" spans="1:2" ht="12.75" customHeight="1" x14ac:dyDescent="0.25">
      <c r="A5366" s="318">
        <v>91864831484</v>
      </c>
      <c r="B5366" s="318" t="s">
        <v>237</v>
      </c>
    </row>
    <row r="5367" spans="1:2" ht="12.75" customHeight="1" x14ac:dyDescent="0.25">
      <c r="A5367" s="318">
        <v>91864831485</v>
      </c>
      <c r="B5367" s="318" t="s">
        <v>237</v>
      </c>
    </row>
    <row r="5368" spans="1:2" ht="12.75" customHeight="1" x14ac:dyDescent="0.25">
      <c r="A5368" s="318">
        <v>91864831486</v>
      </c>
      <c r="B5368" s="318" t="s">
        <v>237</v>
      </c>
    </row>
    <row r="5369" spans="1:2" ht="12.75" customHeight="1" x14ac:dyDescent="0.25">
      <c r="A5369" s="318">
        <v>91864831487</v>
      </c>
      <c r="B5369" s="318" t="s">
        <v>237</v>
      </c>
    </row>
    <row r="5370" spans="1:2" ht="12.75" customHeight="1" x14ac:dyDescent="0.25">
      <c r="A5370" s="318">
        <v>91864831488</v>
      </c>
      <c r="B5370" s="318" t="s">
        <v>237</v>
      </c>
    </row>
    <row r="5371" spans="1:2" ht="12.75" customHeight="1" x14ac:dyDescent="0.25">
      <c r="A5371" s="318">
        <v>91864831489</v>
      </c>
      <c r="B5371" s="318" t="s">
        <v>237</v>
      </c>
    </row>
    <row r="5372" spans="1:2" ht="12.75" customHeight="1" x14ac:dyDescent="0.25">
      <c r="A5372" s="318">
        <v>91864831490</v>
      </c>
      <c r="B5372" s="318" t="s">
        <v>237</v>
      </c>
    </row>
    <row r="5373" spans="1:2" ht="12.75" customHeight="1" x14ac:dyDescent="0.25">
      <c r="A5373" s="318">
        <v>91864831491</v>
      </c>
      <c r="B5373" s="318" t="s">
        <v>237</v>
      </c>
    </row>
    <row r="5374" spans="1:2" ht="12.75" customHeight="1" x14ac:dyDescent="0.25">
      <c r="A5374" s="318">
        <v>91864831493</v>
      </c>
      <c r="B5374" s="318" t="s">
        <v>237</v>
      </c>
    </row>
    <row r="5375" spans="1:2" ht="12.75" customHeight="1" x14ac:dyDescent="0.25">
      <c r="A5375" s="318">
        <v>91864831494</v>
      </c>
      <c r="B5375" s="318" t="s">
        <v>237</v>
      </c>
    </row>
    <row r="5376" spans="1:2" ht="12.75" customHeight="1" x14ac:dyDescent="0.25">
      <c r="A5376" s="318">
        <v>91864831495</v>
      </c>
      <c r="B5376" s="318" t="s">
        <v>237</v>
      </c>
    </row>
    <row r="5377" spans="1:2" ht="12.75" customHeight="1" x14ac:dyDescent="0.25">
      <c r="A5377" s="318">
        <v>91864831496</v>
      </c>
      <c r="B5377" s="318" t="s">
        <v>237</v>
      </c>
    </row>
    <row r="5378" spans="1:2" ht="12.75" customHeight="1" x14ac:dyDescent="0.25">
      <c r="A5378" s="318">
        <v>91864831497</v>
      </c>
      <c r="B5378" s="318" t="s">
        <v>237</v>
      </c>
    </row>
    <row r="5379" spans="1:2" ht="12.75" customHeight="1" x14ac:dyDescent="0.25">
      <c r="A5379" s="318">
        <v>91864831498</v>
      </c>
      <c r="B5379" s="318" t="s">
        <v>237</v>
      </c>
    </row>
    <row r="5380" spans="1:2" ht="12.75" customHeight="1" x14ac:dyDescent="0.25">
      <c r="A5380" s="318">
        <v>91864831499</v>
      </c>
      <c r="B5380" s="318" t="s">
        <v>237</v>
      </c>
    </row>
    <row r="5381" spans="1:2" ht="12.75" customHeight="1" x14ac:dyDescent="0.25">
      <c r="A5381" s="318">
        <v>91864831500</v>
      </c>
      <c r="B5381" s="318" t="s">
        <v>237</v>
      </c>
    </row>
    <row r="5382" spans="1:2" ht="12.75" customHeight="1" x14ac:dyDescent="0.25">
      <c r="A5382" s="318">
        <v>91865312357</v>
      </c>
      <c r="B5382" s="318" t="s">
        <v>23</v>
      </c>
    </row>
    <row r="5383" spans="1:2" ht="12.75" customHeight="1" x14ac:dyDescent="0.25">
      <c r="A5383" s="318">
        <v>91865312358</v>
      </c>
      <c r="B5383" s="318" t="s">
        <v>23</v>
      </c>
    </row>
    <row r="5384" spans="1:2" ht="12.75" customHeight="1" x14ac:dyDescent="0.25">
      <c r="A5384" s="318">
        <v>91865312359</v>
      </c>
      <c r="B5384" s="318" t="s">
        <v>23</v>
      </c>
    </row>
    <row r="5385" spans="1:2" ht="12.75" customHeight="1" x14ac:dyDescent="0.25">
      <c r="A5385" s="318">
        <v>91865312360</v>
      </c>
      <c r="B5385" s="318" t="s">
        <v>23</v>
      </c>
    </row>
    <row r="5386" spans="1:2" ht="12.75" customHeight="1" x14ac:dyDescent="0.25">
      <c r="A5386" s="318">
        <v>91865312361</v>
      </c>
      <c r="B5386" s="318" t="s">
        <v>23</v>
      </c>
    </row>
    <row r="5387" spans="1:2" ht="12.75" customHeight="1" x14ac:dyDescent="0.25">
      <c r="A5387" s="318">
        <v>91865312362</v>
      </c>
      <c r="B5387" s="318" t="s">
        <v>23</v>
      </c>
    </row>
    <row r="5388" spans="1:2" ht="12.75" customHeight="1" x14ac:dyDescent="0.25">
      <c r="A5388" s="318">
        <v>91865312363</v>
      </c>
      <c r="B5388" s="318" t="s">
        <v>23</v>
      </c>
    </row>
    <row r="5389" spans="1:2" ht="12.75" customHeight="1" x14ac:dyDescent="0.25">
      <c r="A5389" s="318">
        <v>91865312364</v>
      </c>
      <c r="B5389" s="318" t="s">
        <v>23</v>
      </c>
    </row>
    <row r="5390" spans="1:2" ht="12.75" customHeight="1" x14ac:dyDescent="0.25">
      <c r="A5390" s="318">
        <v>91865312366</v>
      </c>
      <c r="B5390" s="318" t="s">
        <v>23</v>
      </c>
    </row>
    <row r="5391" spans="1:2" ht="12.75" customHeight="1" x14ac:dyDescent="0.25">
      <c r="A5391" s="318">
        <v>91865312367</v>
      </c>
      <c r="B5391" s="318" t="s">
        <v>23</v>
      </c>
    </row>
    <row r="5392" spans="1:2" ht="12.75" customHeight="1" x14ac:dyDescent="0.25">
      <c r="A5392" s="318">
        <v>91865312368</v>
      </c>
      <c r="B5392" s="318" t="s">
        <v>23</v>
      </c>
    </row>
    <row r="5393" spans="1:2" ht="12.75" customHeight="1" x14ac:dyDescent="0.25">
      <c r="A5393" s="318">
        <v>91865312369</v>
      </c>
      <c r="B5393" s="318" t="s">
        <v>23</v>
      </c>
    </row>
    <row r="5394" spans="1:2" ht="12.75" customHeight="1" x14ac:dyDescent="0.25">
      <c r="A5394" s="318">
        <v>91865312370</v>
      </c>
      <c r="B5394" s="318" t="s">
        <v>23</v>
      </c>
    </row>
    <row r="5395" spans="1:2" ht="12.75" customHeight="1" x14ac:dyDescent="0.25">
      <c r="A5395" s="318">
        <v>91865312371</v>
      </c>
      <c r="B5395" s="318" t="s">
        <v>23</v>
      </c>
    </row>
    <row r="5396" spans="1:2" ht="12.75" customHeight="1" x14ac:dyDescent="0.25">
      <c r="A5396" s="318">
        <v>91865312372</v>
      </c>
      <c r="B5396" s="318" t="s">
        <v>23</v>
      </c>
    </row>
    <row r="5397" spans="1:2" ht="12.75" customHeight="1" x14ac:dyDescent="0.25">
      <c r="A5397" s="318">
        <v>91865312373</v>
      </c>
      <c r="B5397" s="318" t="s">
        <v>23</v>
      </c>
    </row>
    <row r="5398" spans="1:2" ht="12.75" customHeight="1" x14ac:dyDescent="0.25">
      <c r="A5398" s="318">
        <v>91865312457</v>
      </c>
      <c r="B5398" s="318" t="s">
        <v>237</v>
      </c>
    </row>
    <row r="5399" spans="1:2" ht="12.75" customHeight="1" x14ac:dyDescent="0.25">
      <c r="A5399" s="318">
        <v>91865312458</v>
      </c>
      <c r="B5399" s="318" t="s">
        <v>237</v>
      </c>
    </row>
    <row r="5400" spans="1:2" ht="12.75" customHeight="1" x14ac:dyDescent="0.25">
      <c r="A5400" s="318">
        <v>91865312459</v>
      </c>
      <c r="B5400" s="318" t="s">
        <v>237</v>
      </c>
    </row>
    <row r="5401" spans="1:2" ht="12.75" customHeight="1" x14ac:dyDescent="0.25">
      <c r="A5401" s="318">
        <v>91865312460</v>
      </c>
      <c r="B5401" s="318" t="s">
        <v>237</v>
      </c>
    </row>
    <row r="5402" spans="1:2" ht="12.75" customHeight="1" x14ac:dyDescent="0.25">
      <c r="A5402" s="318">
        <v>91865312461</v>
      </c>
      <c r="B5402" s="318" t="s">
        <v>237</v>
      </c>
    </row>
    <row r="5403" spans="1:2" ht="12.75" customHeight="1" x14ac:dyDescent="0.25">
      <c r="A5403" s="318">
        <v>91865312462</v>
      </c>
      <c r="B5403" s="318" t="s">
        <v>237</v>
      </c>
    </row>
    <row r="5404" spans="1:2" ht="12.75" customHeight="1" x14ac:dyDescent="0.25">
      <c r="A5404" s="318">
        <v>91865312463</v>
      </c>
      <c r="B5404" s="318" t="s">
        <v>237</v>
      </c>
    </row>
    <row r="5405" spans="1:2" ht="12.75" customHeight="1" x14ac:dyDescent="0.25">
      <c r="A5405" s="318">
        <v>91865312464</v>
      </c>
      <c r="B5405" s="318" t="s">
        <v>237</v>
      </c>
    </row>
    <row r="5406" spans="1:2" ht="12.75" customHeight="1" x14ac:dyDescent="0.25">
      <c r="A5406" s="318">
        <v>91865312466</v>
      </c>
      <c r="B5406" s="318" t="s">
        <v>237</v>
      </c>
    </row>
    <row r="5407" spans="1:2" ht="12.75" customHeight="1" x14ac:dyDescent="0.25">
      <c r="A5407" s="318">
        <v>91865312467</v>
      </c>
      <c r="B5407" s="318" t="s">
        <v>237</v>
      </c>
    </row>
    <row r="5408" spans="1:2" ht="12.75" customHeight="1" x14ac:dyDescent="0.25">
      <c r="A5408" s="318">
        <v>91865312468</v>
      </c>
      <c r="B5408" s="318" t="s">
        <v>237</v>
      </c>
    </row>
    <row r="5409" spans="1:2" ht="12.75" customHeight="1" x14ac:dyDescent="0.25">
      <c r="A5409" s="318">
        <v>91865312469</v>
      </c>
      <c r="B5409" s="318" t="s">
        <v>237</v>
      </c>
    </row>
    <row r="5410" spans="1:2" ht="12.75" customHeight="1" x14ac:dyDescent="0.25">
      <c r="A5410" s="318">
        <v>91865312470</v>
      </c>
      <c r="B5410" s="318" t="s">
        <v>237</v>
      </c>
    </row>
    <row r="5411" spans="1:2" ht="12.75" customHeight="1" x14ac:dyDescent="0.25">
      <c r="A5411" s="318">
        <v>91865312471</v>
      </c>
      <c r="B5411" s="318" t="s">
        <v>237</v>
      </c>
    </row>
    <row r="5412" spans="1:2" ht="12.75" customHeight="1" x14ac:dyDescent="0.25">
      <c r="A5412" s="318">
        <v>91865312472</v>
      </c>
      <c r="B5412" s="318" t="s">
        <v>237</v>
      </c>
    </row>
    <row r="5413" spans="1:2" ht="12.75" customHeight="1" x14ac:dyDescent="0.25">
      <c r="A5413" s="318">
        <v>91865312473</v>
      </c>
      <c r="B5413" s="318" t="s">
        <v>237</v>
      </c>
    </row>
    <row r="5414" spans="1:2" ht="12.75" customHeight="1" x14ac:dyDescent="0.25">
      <c r="A5414" s="318">
        <v>91865793330</v>
      </c>
      <c r="B5414" s="318" t="s">
        <v>23</v>
      </c>
    </row>
    <row r="5415" spans="1:2" ht="12.75" customHeight="1" x14ac:dyDescent="0.25">
      <c r="A5415" s="318">
        <v>91865793331</v>
      </c>
      <c r="B5415" s="318" t="s">
        <v>23</v>
      </c>
    </row>
    <row r="5416" spans="1:2" ht="12.75" customHeight="1" x14ac:dyDescent="0.25">
      <c r="A5416" s="318">
        <v>91865793332</v>
      </c>
      <c r="B5416" s="318" t="s">
        <v>23</v>
      </c>
    </row>
    <row r="5417" spans="1:2" ht="12.75" customHeight="1" x14ac:dyDescent="0.25">
      <c r="A5417" s="318">
        <v>91865793333</v>
      </c>
      <c r="B5417" s="318" t="s">
        <v>23</v>
      </c>
    </row>
    <row r="5418" spans="1:2" ht="12.75" customHeight="1" x14ac:dyDescent="0.25">
      <c r="A5418" s="318">
        <v>91865793334</v>
      </c>
      <c r="B5418" s="318" t="s">
        <v>23</v>
      </c>
    </row>
    <row r="5419" spans="1:2" ht="12.75" customHeight="1" x14ac:dyDescent="0.25">
      <c r="A5419" s="318">
        <v>91865793335</v>
      </c>
      <c r="B5419" s="318" t="s">
        <v>23</v>
      </c>
    </row>
    <row r="5420" spans="1:2" ht="12.75" customHeight="1" x14ac:dyDescent="0.25">
      <c r="A5420" s="318">
        <v>91865793336</v>
      </c>
      <c r="B5420" s="318" t="s">
        <v>23</v>
      </c>
    </row>
    <row r="5421" spans="1:2" ht="12.75" customHeight="1" x14ac:dyDescent="0.25">
      <c r="A5421" s="318">
        <v>91865793337</v>
      </c>
      <c r="B5421" s="318" t="s">
        <v>23</v>
      </c>
    </row>
    <row r="5422" spans="1:2" ht="12.75" customHeight="1" x14ac:dyDescent="0.25">
      <c r="A5422" s="318">
        <v>91865793339</v>
      </c>
      <c r="B5422" s="318" t="s">
        <v>23</v>
      </c>
    </row>
    <row r="5423" spans="1:2" ht="12.75" customHeight="1" x14ac:dyDescent="0.25">
      <c r="A5423" s="318">
        <v>91865793340</v>
      </c>
      <c r="B5423" s="318" t="s">
        <v>23</v>
      </c>
    </row>
    <row r="5424" spans="1:2" ht="12.75" customHeight="1" x14ac:dyDescent="0.25">
      <c r="A5424" s="318">
        <v>91865793341</v>
      </c>
      <c r="B5424" s="318" t="s">
        <v>23</v>
      </c>
    </row>
    <row r="5425" spans="1:2" ht="12.75" customHeight="1" x14ac:dyDescent="0.25">
      <c r="A5425" s="318">
        <v>91865793342</v>
      </c>
      <c r="B5425" s="318" t="s">
        <v>23</v>
      </c>
    </row>
    <row r="5426" spans="1:2" ht="12.75" customHeight="1" x14ac:dyDescent="0.25">
      <c r="A5426" s="318">
        <v>91865793343</v>
      </c>
      <c r="B5426" s="318" t="s">
        <v>23</v>
      </c>
    </row>
    <row r="5427" spans="1:2" ht="12.75" customHeight="1" x14ac:dyDescent="0.25">
      <c r="A5427" s="318">
        <v>91865793344</v>
      </c>
      <c r="B5427" s="318" t="s">
        <v>23</v>
      </c>
    </row>
    <row r="5428" spans="1:2" ht="12.75" customHeight="1" x14ac:dyDescent="0.25">
      <c r="A5428" s="318">
        <v>91865793345</v>
      </c>
      <c r="B5428" s="318" t="s">
        <v>23</v>
      </c>
    </row>
    <row r="5429" spans="1:2" ht="12.75" customHeight="1" x14ac:dyDescent="0.25">
      <c r="A5429" s="318">
        <v>91865793346</v>
      </c>
      <c r="B5429" s="318" t="s">
        <v>23</v>
      </c>
    </row>
    <row r="5430" spans="1:2" ht="12.75" customHeight="1" x14ac:dyDescent="0.25">
      <c r="A5430" s="318">
        <v>91865793430</v>
      </c>
      <c r="B5430" s="318" t="s">
        <v>237</v>
      </c>
    </row>
    <row r="5431" spans="1:2" ht="12.75" customHeight="1" x14ac:dyDescent="0.25">
      <c r="A5431" s="318">
        <v>91865793431</v>
      </c>
      <c r="B5431" s="318" t="s">
        <v>237</v>
      </c>
    </row>
    <row r="5432" spans="1:2" ht="12.75" customHeight="1" x14ac:dyDescent="0.25">
      <c r="A5432" s="318">
        <v>91865793432</v>
      </c>
      <c r="B5432" s="318" t="s">
        <v>237</v>
      </c>
    </row>
    <row r="5433" spans="1:2" ht="12.75" customHeight="1" x14ac:dyDescent="0.25">
      <c r="A5433" s="318">
        <v>91865793433</v>
      </c>
      <c r="B5433" s="318" t="s">
        <v>237</v>
      </c>
    </row>
    <row r="5434" spans="1:2" ht="12.75" customHeight="1" x14ac:dyDescent="0.25">
      <c r="A5434" s="318">
        <v>91865793434</v>
      </c>
      <c r="B5434" s="318" t="s">
        <v>237</v>
      </c>
    </row>
    <row r="5435" spans="1:2" ht="12.75" customHeight="1" x14ac:dyDescent="0.25">
      <c r="A5435" s="318">
        <v>91865793435</v>
      </c>
      <c r="B5435" s="318" t="s">
        <v>237</v>
      </c>
    </row>
    <row r="5436" spans="1:2" ht="12.75" customHeight="1" x14ac:dyDescent="0.25">
      <c r="A5436" s="318">
        <v>91865793436</v>
      </c>
      <c r="B5436" s="318" t="s">
        <v>237</v>
      </c>
    </row>
    <row r="5437" spans="1:2" ht="12.75" customHeight="1" x14ac:dyDescent="0.25">
      <c r="A5437" s="318">
        <v>91865793437</v>
      </c>
      <c r="B5437" s="318" t="s">
        <v>237</v>
      </c>
    </row>
    <row r="5438" spans="1:2" ht="12.75" customHeight="1" x14ac:dyDescent="0.25">
      <c r="A5438" s="318">
        <v>91865793439</v>
      </c>
      <c r="B5438" s="318" t="s">
        <v>237</v>
      </c>
    </row>
    <row r="5439" spans="1:2" ht="12.75" customHeight="1" x14ac:dyDescent="0.25">
      <c r="A5439" s="318">
        <v>91865793440</v>
      </c>
      <c r="B5439" s="318" t="s">
        <v>237</v>
      </c>
    </row>
    <row r="5440" spans="1:2" ht="12.75" customHeight="1" x14ac:dyDescent="0.25">
      <c r="A5440" s="318">
        <v>91865793441</v>
      </c>
      <c r="B5440" s="318" t="s">
        <v>237</v>
      </c>
    </row>
    <row r="5441" spans="1:2" ht="12.75" customHeight="1" x14ac:dyDescent="0.25">
      <c r="A5441" s="318">
        <v>91865793442</v>
      </c>
      <c r="B5441" s="318" t="s">
        <v>237</v>
      </c>
    </row>
    <row r="5442" spans="1:2" ht="12.75" customHeight="1" x14ac:dyDescent="0.25">
      <c r="A5442" s="318">
        <v>91865793443</v>
      </c>
      <c r="B5442" s="318" t="s">
        <v>237</v>
      </c>
    </row>
    <row r="5443" spans="1:2" ht="12.75" customHeight="1" x14ac:dyDescent="0.25">
      <c r="A5443" s="318">
        <v>91865793444</v>
      </c>
      <c r="B5443" s="318" t="s">
        <v>237</v>
      </c>
    </row>
    <row r="5444" spans="1:2" ht="12.75" customHeight="1" x14ac:dyDescent="0.25">
      <c r="A5444" s="318">
        <v>91865793445</v>
      </c>
      <c r="B5444" s="318" t="s">
        <v>237</v>
      </c>
    </row>
    <row r="5445" spans="1:2" ht="12.75" customHeight="1" x14ac:dyDescent="0.25">
      <c r="A5445" s="318">
        <v>91865793446</v>
      </c>
      <c r="B5445" s="318" t="s">
        <v>237</v>
      </c>
    </row>
    <row r="5446" spans="1:2" ht="12.75" customHeight="1" x14ac:dyDescent="0.25">
      <c r="A5446" s="318">
        <v>91866473521</v>
      </c>
      <c r="B5446" s="318" t="s">
        <v>23</v>
      </c>
    </row>
    <row r="5447" spans="1:2" ht="12.75" customHeight="1" x14ac:dyDescent="0.25">
      <c r="A5447" s="318">
        <v>91866473522</v>
      </c>
      <c r="B5447" s="318" t="s">
        <v>23</v>
      </c>
    </row>
    <row r="5448" spans="1:2" ht="12.75" customHeight="1" x14ac:dyDescent="0.25">
      <c r="A5448" s="318">
        <v>91866473523</v>
      </c>
      <c r="B5448" s="318" t="s">
        <v>23</v>
      </c>
    </row>
    <row r="5449" spans="1:2" ht="12.75" customHeight="1" x14ac:dyDescent="0.25">
      <c r="A5449" s="318">
        <v>91866473524</v>
      </c>
      <c r="B5449" s="318" t="s">
        <v>23</v>
      </c>
    </row>
    <row r="5450" spans="1:2" ht="12.75" customHeight="1" x14ac:dyDescent="0.25">
      <c r="A5450" s="318">
        <v>91866473525</v>
      </c>
      <c r="B5450" s="318" t="s">
        <v>23</v>
      </c>
    </row>
    <row r="5451" spans="1:2" ht="12.75" customHeight="1" x14ac:dyDescent="0.25">
      <c r="A5451" s="318">
        <v>91866473526</v>
      </c>
      <c r="B5451" s="318" t="s">
        <v>23</v>
      </c>
    </row>
    <row r="5452" spans="1:2" ht="12.75" customHeight="1" x14ac:dyDescent="0.25">
      <c r="A5452" s="318">
        <v>91866473527</v>
      </c>
      <c r="B5452" s="318" t="s">
        <v>23</v>
      </c>
    </row>
    <row r="5453" spans="1:2" ht="12.75" customHeight="1" x14ac:dyDescent="0.25">
      <c r="A5453" s="318">
        <v>91866473528</v>
      </c>
      <c r="B5453" s="318" t="s">
        <v>23</v>
      </c>
    </row>
    <row r="5454" spans="1:2" ht="12.75" customHeight="1" x14ac:dyDescent="0.25">
      <c r="A5454" s="318">
        <v>91866473530</v>
      </c>
      <c r="B5454" s="318" t="s">
        <v>23</v>
      </c>
    </row>
    <row r="5455" spans="1:2" ht="12.75" customHeight="1" x14ac:dyDescent="0.25">
      <c r="A5455" s="318">
        <v>91866473531</v>
      </c>
      <c r="B5455" s="318" t="s">
        <v>23</v>
      </c>
    </row>
    <row r="5456" spans="1:2" ht="12.75" customHeight="1" x14ac:dyDescent="0.25">
      <c r="A5456" s="318">
        <v>91866473532</v>
      </c>
      <c r="B5456" s="318" t="s">
        <v>23</v>
      </c>
    </row>
    <row r="5457" spans="1:2" ht="12.75" customHeight="1" x14ac:dyDescent="0.25">
      <c r="A5457" s="318">
        <v>91866473533</v>
      </c>
      <c r="B5457" s="318" t="s">
        <v>23</v>
      </c>
    </row>
    <row r="5458" spans="1:2" ht="12.75" customHeight="1" x14ac:dyDescent="0.25">
      <c r="A5458" s="318">
        <v>91866473534</v>
      </c>
      <c r="B5458" s="318" t="s">
        <v>23</v>
      </c>
    </row>
    <row r="5459" spans="1:2" ht="12.75" customHeight="1" x14ac:dyDescent="0.25">
      <c r="A5459" s="318">
        <v>91866473535</v>
      </c>
      <c r="B5459" s="318" t="s">
        <v>23</v>
      </c>
    </row>
    <row r="5460" spans="1:2" ht="12.75" customHeight="1" x14ac:dyDescent="0.25">
      <c r="A5460" s="318">
        <v>91866473536</v>
      </c>
      <c r="B5460" s="318" t="s">
        <v>23</v>
      </c>
    </row>
    <row r="5461" spans="1:2" ht="12.75" customHeight="1" x14ac:dyDescent="0.25">
      <c r="A5461" s="318">
        <v>91866473537</v>
      </c>
      <c r="B5461" s="318" t="s">
        <v>23</v>
      </c>
    </row>
    <row r="5462" spans="1:2" ht="12.75" customHeight="1" x14ac:dyDescent="0.25">
      <c r="A5462" s="318">
        <v>91866473621</v>
      </c>
      <c r="B5462" s="318" t="s">
        <v>237</v>
      </c>
    </row>
    <row r="5463" spans="1:2" ht="12.75" customHeight="1" x14ac:dyDescent="0.25">
      <c r="A5463" s="318">
        <v>91866473622</v>
      </c>
      <c r="B5463" s="318" t="s">
        <v>237</v>
      </c>
    </row>
    <row r="5464" spans="1:2" ht="12.75" customHeight="1" x14ac:dyDescent="0.25">
      <c r="A5464" s="318">
        <v>91866473623</v>
      </c>
      <c r="B5464" s="318" t="s">
        <v>237</v>
      </c>
    </row>
    <row r="5465" spans="1:2" ht="12.75" customHeight="1" x14ac:dyDescent="0.25">
      <c r="A5465" s="318">
        <v>91866473624</v>
      </c>
      <c r="B5465" s="318" t="s">
        <v>237</v>
      </c>
    </row>
    <row r="5466" spans="1:2" ht="12.75" customHeight="1" x14ac:dyDescent="0.25">
      <c r="A5466" s="318">
        <v>91866473625</v>
      </c>
      <c r="B5466" s="318" t="s">
        <v>237</v>
      </c>
    </row>
    <row r="5467" spans="1:2" ht="12.75" customHeight="1" x14ac:dyDescent="0.25">
      <c r="A5467" s="318">
        <v>91866473626</v>
      </c>
      <c r="B5467" s="318" t="s">
        <v>237</v>
      </c>
    </row>
    <row r="5468" spans="1:2" ht="12.75" customHeight="1" x14ac:dyDescent="0.25">
      <c r="A5468" s="318">
        <v>91866473627</v>
      </c>
      <c r="B5468" s="318" t="s">
        <v>237</v>
      </c>
    </row>
    <row r="5469" spans="1:2" ht="12.75" customHeight="1" x14ac:dyDescent="0.25">
      <c r="A5469" s="318">
        <v>91866473628</v>
      </c>
      <c r="B5469" s="318" t="s">
        <v>237</v>
      </c>
    </row>
    <row r="5470" spans="1:2" ht="12.75" customHeight="1" x14ac:dyDescent="0.25">
      <c r="A5470" s="318">
        <v>91866473630</v>
      </c>
      <c r="B5470" s="318" t="s">
        <v>237</v>
      </c>
    </row>
    <row r="5471" spans="1:2" ht="12.75" customHeight="1" x14ac:dyDescent="0.25">
      <c r="A5471" s="318">
        <v>91866473631</v>
      </c>
      <c r="B5471" s="318" t="s">
        <v>237</v>
      </c>
    </row>
    <row r="5472" spans="1:2" ht="12.75" customHeight="1" x14ac:dyDescent="0.25">
      <c r="A5472" s="318">
        <v>91866473632</v>
      </c>
      <c r="B5472" s="318" t="s">
        <v>237</v>
      </c>
    </row>
    <row r="5473" spans="1:2" ht="12.75" customHeight="1" x14ac:dyDescent="0.25">
      <c r="A5473" s="318">
        <v>91866473633</v>
      </c>
      <c r="B5473" s="318" t="s">
        <v>237</v>
      </c>
    </row>
    <row r="5474" spans="1:2" ht="12.75" customHeight="1" x14ac:dyDescent="0.25">
      <c r="A5474" s="318">
        <v>91866473634</v>
      </c>
      <c r="B5474" s="318" t="s">
        <v>237</v>
      </c>
    </row>
    <row r="5475" spans="1:2" ht="12.75" customHeight="1" x14ac:dyDescent="0.25">
      <c r="A5475" s="318">
        <v>91866473635</v>
      </c>
      <c r="B5475" s="318" t="s">
        <v>237</v>
      </c>
    </row>
    <row r="5476" spans="1:2" ht="12.75" customHeight="1" x14ac:dyDescent="0.25">
      <c r="A5476" s="318">
        <v>91866473636</v>
      </c>
      <c r="B5476" s="318" t="s">
        <v>237</v>
      </c>
    </row>
    <row r="5477" spans="1:2" ht="12.75" customHeight="1" x14ac:dyDescent="0.25">
      <c r="A5477" s="318">
        <v>91866473637</v>
      </c>
      <c r="B5477" s="318" t="s">
        <v>237</v>
      </c>
    </row>
    <row r="5478" spans="1:2" ht="12.75" customHeight="1" x14ac:dyDescent="0.25">
      <c r="A5478" s="318">
        <v>91866954494</v>
      </c>
      <c r="B5478" s="318" t="s">
        <v>23</v>
      </c>
    </row>
    <row r="5479" spans="1:2" ht="12.75" customHeight="1" x14ac:dyDescent="0.25">
      <c r="A5479" s="318">
        <v>91866954495</v>
      </c>
      <c r="B5479" s="318" t="s">
        <v>23</v>
      </c>
    </row>
    <row r="5480" spans="1:2" ht="12.75" customHeight="1" x14ac:dyDescent="0.25">
      <c r="A5480" s="318">
        <v>91866954496</v>
      </c>
      <c r="B5480" s="318" t="s">
        <v>23</v>
      </c>
    </row>
    <row r="5481" spans="1:2" ht="12.75" customHeight="1" x14ac:dyDescent="0.25">
      <c r="A5481" s="318">
        <v>91866954497</v>
      </c>
      <c r="B5481" s="318" t="s">
        <v>23</v>
      </c>
    </row>
    <row r="5482" spans="1:2" ht="12.75" customHeight="1" x14ac:dyDescent="0.25">
      <c r="A5482" s="318">
        <v>91866954498</v>
      </c>
      <c r="B5482" s="318" t="s">
        <v>23</v>
      </c>
    </row>
    <row r="5483" spans="1:2" ht="12.75" customHeight="1" x14ac:dyDescent="0.25">
      <c r="A5483" s="318">
        <v>91866954499</v>
      </c>
      <c r="B5483" s="318" t="s">
        <v>23</v>
      </c>
    </row>
    <row r="5484" spans="1:2" ht="12.75" customHeight="1" x14ac:dyDescent="0.25">
      <c r="A5484" s="318">
        <v>91866954500</v>
      </c>
      <c r="B5484" s="318" t="s">
        <v>23</v>
      </c>
    </row>
    <row r="5485" spans="1:2" ht="12.75" customHeight="1" x14ac:dyDescent="0.25">
      <c r="A5485" s="318">
        <v>91866954501</v>
      </c>
      <c r="B5485" s="318" t="s">
        <v>23</v>
      </c>
    </row>
    <row r="5486" spans="1:2" ht="12.75" customHeight="1" x14ac:dyDescent="0.25">
      <c r="A5486" s="318">
        <v>91866954503</v>
      </c>
      <c r="B5486" s="318" t="s">
        <v>23</v>
      </c>
    </row>
    <row r="5487" spans="1:2" ht="12.75" customHeight="1" x14ac:dyDescent="0.25">
      <c r="A5487" s="318">
        <v>91866954504</v>
      </c>
      <c r="B5487" s="318" t="s">
        <v>23</v>
      </c>
    </row>
    <row r="5488" spans="1:2" ht="12.75" customHeight="1" x14ac:dyDescent="0.25">
      <c r="A5488" s="318">
        <v>91866954505</v>
      </c>
      <c r="B5488" s="318" t="s">
        <v>23</v>
      </c>
    </row>
    <row r="5489" spans="1:2" ht="12.75" customHeight="1" x14ac:dyDescent="0.25">
      <c r="A5489" s="318">
        <v>91866954506</v>
      </c>
      <c r="B5489" s="318" t="s">
        <v>23</v>
      </c>
    </row>
    <row r="5490" spans="1:2" ht="12.75" customHeight="1" x14ac:dyDescent="0.25">
      <c r="A5490" s="318">
        <v>91866954507</v>
      </c>
      <c r="B5490" s="318" t="s">
        <v>23</v>
      </c>
    </row>
    <row r="5491" spans="1:2" ht="12.75" customHeight="1" x14ac:dyDescent="0.25">
      <c r="A5491" s="318">
        <v>91866954508</v>
      </c>
      <c r="B5491" s="318" t="s">
        <v>23</v>
      </c>
    </row>
    <row r="5492" spans="1:2" ht="12.75" customHeight="1" x14ac:dyDescent="0.25">
      <c r="A5492" s="318">
        <v>91866954509</v>
      </c>
      <c r="B5492" s="318" t="s">
        <v>23</v>
      </c>
    </row>
    <row r="5493" spans="1:2" ht="12.75" customHeight="1" x14ac:dyDescent="0.25">
      <c r="A5493" s="318">
        <v>91866954510</v>
      </c>
      <c r="B5493" s="318" t="s">
        <v>23</v>
      </c>
    </row>
    <row r="5494" spans="1:2" ht="12.75" customHeight="1" x14ac:dyDescent="0.25">
      <c r="A5494" s="318">
        <v>91866954594</v>
      </c>
      <c r="B5494" s="318" t="s">
        <v>237</v>
      </c>
    </row>
    <row r="5495" spans="1:2" ht="12.75" customHeight="1" x14ac:dyDescent="0.25">
      <c r="A5495" s="318">
        <v>91866954595</v>
      </c>
      <c r="B5495" s="318" t="s">
        <v>237</v>
      </c>
    </row>
    <row r="5496" spans="1:2" ht="12.75" customHeight="1" x14ac:dyDescent="0.25">
      <c r="A5496" s="318">
        <v>91866954596</v>
      </c>
      <c r="B5496" s="318" t="s">
        <v>237</v>
      </c>
    </row>
    <row r="5497" spans="1:2" ht="12.75" customHeight="1" x14ac:dyDescent="0.25">
      <c r="A5497" s="318">
        <v>91866954597</v>
      </c>
      <c r="B5497" s="318" t="s">
        <v>237</v>
      </c>
    </row>
    <row r="5498" spans="1:2" ht="12.75" customHeight="1" x14ac:dyDescent="0.25">
      <c r="A5498" s="318">
        <v>91866954598</v>
      </c>
      <c r="B5498" s="318" t="s">
        <v>237</v>
      </c>
    </row>
    <row r="5499" spans="1:2" ht="12.75" customHeight="1" x14ac:dyDescent="0.25">
      <c r="A5499" s="318">
        <v>91866954599</v>
      </c>
      <c r="B5499" s="318" t="s">
        <v>237</v>
      </c>
    </row>
    <row r="5500" spans="1:2" ht="12.75" customHeight="1" x14ac:dyDescent="0.25">
      <c r="A5500" s="318">
        <v>91866954600</v>
      </c>
      <c r="B5500" s="318" t="s">
        <v>237</v>
      </c>
    </row>
    <row r="5501" spans="1:2" ht="12.75" customHeight="1" x14ac:dyDescent="0.25">
      <c r="A5501" s="318">
        <v>91866954601</v>
      </c>
      <c r="B5501" s="318" t="s">
        <v>237</v>
      </c>
    </row>
    <row r="5502" spans="1:2" ht="12.75" customHeight="1" x14ac:dyDescent="0.25">
      <c r="A5502" s="318">
        <v>91866954603</v>
      </c>
      <c r="B5502" s="318" t="s">
        <v>237</v>
      </c>
    </row>
    <row r="5503" spans="1:2" ht="12.75" customHeight="1" x14ac:dyDescent="0.25">
      <c r="A5503" s="318">
        <v>91866954604</v>
      </c>
      <c r="B5503" s="318" t="s">
        <v>237</v>
      </c>
    </row>
    <row r="5504" spans="1:2" ht="12.75" customHeight="1" x14ac:dyDescent="0.25">
      <c r="A5504" s="318">
        <v>91866954605</v>
      </c>
      <c r="B5504" s="318" t="s">
        <v>237</v>
      </c>
    </row>
    <row r="5505" spans="1:2" ht="12.75" customHeight="1" x14ac:dyDescent="0.25">
      <c r="A5505" s="318">
        <v>91866954606</v>
      </c>
      <c r="B5505" s="318" t="s">
        <v>237</v>
      </c>
    </row>
    <row r="5506" spans="1:2" ht="12.75" customHeight="1" x14ac:dyDescent="0.25">
      <c r="A5506" s="318">
        <v>91866954607</v>
      </c>
      <c r="B5506" s="318" t="s">
        <v>237</v>
      </c>
    </row>
    <row r="5507" spans="1:2" ht="12.75" customHeight="1" x14ac:dyDescent="0.25">
      <c r="A5507" s="318">
        <v>91866954608</v>
      </c>
      <c r="B5507" s="318" t="s">
        <v>237</v>
      </c>
    </row>
    <row r="5508" spans="1:2" ht="12.75" customHeight="1" x14ac:dyDescent="0.25">
      <c r="A5508" s="318">
        <v>91866954609</v>
      </c>
      <c r="B5508" s="318" t="s">
        <v>237</v>
      </c>
    </row>
    <row r="5509" spans="1:2" ht="12.75" customHeight="1" x14ac:dyDescent="0.25">
      <c r="A5509" s="318">
        <v>91866954610</v>
      </c>
      <c r="B5509" s="318" t="s">
        <v>237</v>
      </c>
    </row>
    <row r="5510" spans="1:2" ht="12.75" customHeight="1" x14ac:dyDescent="0.25">
      <c r="A5510" s="318">
        <v>91867435467</v>
      </c>
      <c r="B5510" s="318" t="s">
        <v>23</v>
      </c>
    </row>
    <row r="5511" spans="1:2" ht="12.75" customHeight="1" x14ac:dyDescent="0.25">
      <c r="A5511" s="318">
        <v>91867435468</v>
      </c>
      <c r="B5511" s="318" t="s">
        <v>23</v>
      </c>
    </row>
    <row r="5512" spans="1:2" ht="12.75" customHeight="1" x14ac:dyDescent="0.25">
      <c r="A5512" s="318">
        <v>91867435469</v>
      </c>
      <c r="B5512" s="318" t="s">
        <v>23</v>
      </c>
    </row>
    <row r="5513" spans="1:2" ht="12.75" customHeight="1" x14ac:dyDescent="0.25">
      <c r="A5513" s="318">
        <v>91867435470</v>
      </c>
      <c r="B5513" s="318" t="s">
        <v>23</v>
      </c>
    </row>
    <row r="5514" spans="1:2" ht="12.75" customHeight="1" x14ac:dyDescent="0.25">
      <c r="A5514" s="318">
        <v>91867435471</v>
      </c>
      <c r="B5514" s="318" t="s">
        <v>23</v>
      </c>
    </row>
    <row r="5515" spans="1:2" ht="12.75" customHeight="1" x14ac:dyDescent="0.25">
      <c r="A5515" s="318">
        <v>91867435472</v>
      </c>
      <c r="B5515" s="318" t="s">
        <v>23</v>
      </c>
    </row>
    <row r="5516" spans="1:2" ht="12.75" customHeight="1" x14ac:dyDescent="0.25">
      <c r="A5516" s="318">
        <v>91867435473</v>
      </c>
      <c r="B5516" s="318" t="s">
        <v>23</v>
      </c>
    </row>
    <row r="5517" spans="1:2" ht="12.75" customHeight="1" x14ac:dyDescent="0.25">
      <c r="A5517" s="318">
        <v>91867435474</v>
      </c>
      <c r="B5517" s="318" t="s">
        <v>23</v>
      </c>
    </row>
    <row r="5518" spans="1:2" ht="12.75" customHeight="1" x14ac:dyDescent="0.25">
      <c r="A5518" s="318">
        <v>91867435476</v>
      </c>
      <c r="B5518" s="318" t="s">
        <v>23</v>
      </c>
    </row>
    <row r="5519" spans="1:2" ht="12.75" customHeight="1" x14ac:dyDescent="0.25">
      <c r="A5519" s="318">
        <v>91867435477</v>
      </c>
      <c r="B5519" s="318" t="s">
        <v>23</v>
      </c>
    </row>
    <row r="5520" spans="1:2" ht="12.75" customHeight="1" x14ac:dyDescent="0.25">
      <c r="A5520" s="318">
        <v>91867435478</v>
      </c>
      <c r="B5520" s="318" t="s">
        <v>23</v>
      </c>
    </row>
    <row r="5521" spans="1:2" ht="12.75" customHeight="1" x14ac:dyDescent="0.25">
      <c r="A5521" s="318">
        <v>91867435479</v>
      </c>
      <c r="B5521" s="318" t="s">
        <v>23</v>
      </c>
    </row>
    <row r="5522" spans="1:2" ht="12.75" customHeight="1" x14ac:dyDescent="0.25">
      <c r="A5522" s="318">
        <v>91867435480</v>
      </c>
      <c r="B5522" s="318" t="s">
        <v>23</v>
      </c>
    </row>
    <row r="5523" spans="1:2" ht="12.75" customHeight="1" x14ac:dyDescent="0.25">
      <c r="A5523" s="318">
        <v>91867435481</v>
      </c>
      <c r="B5523" s="318" t="s">
        <v>23</v>
      </c>
    </row>
    <row r="5524" spans="1:2" ht="12.75" customHeight="1" x14ac:dyDescent="0.25">
      <c r="A5524" s="318">
        <v>91867435482</v>
      </c>
      <c r="B5524" s="318" t="s">
        <v>23</v>
      </c>
    </row>
    <row r="5525" spans="1:2" ht="12.75" customHeight="1" x14ac:dyDescent="0.25">
      <c r="A5525" s="318">
        <v>91867435483</v>
      </c>
      <c r="B5525" s="318" t="s">
        <v>23</v>
      </c>
    </row>
    <row r="5526" spans="1:2" ht="12.75" customHeight="1" x14ac:dyDescent="0.25">
      <c r="A5526" s="318">
        <v>91867435567</v>
      </c>
      <c r="B5526" s="318" t="s">
        <v>237</v>
      </c>
    </row>
    <row r="5527" spans="1:2" ht="12.75" customHeight="1" x14ac:dyDescent="0.25">
      <c r="A5527" s="318">
        <v>91867435568</v>
      </c>
      <c r="B5527" s="318" t="s">
        <v>237</v>
      </c>
    </row>
    <row r="5528" spans="1:2" ht="12.75" customHeight="1" x14ac:dyDescent="0.25">
      <c r="A5528" s="318">
        <v>91867435569</v>
      </c>
      <c r="B5528" s="318" t="s">
        <v>237</v>
      </c>
    </row>
    <row r="5529" spans="1:2" ht="12.75" customHeight="1" x14ac:dyDescent="0.25">
      <c r="A5529" s="318">
        <v>91867435570</v>
      </c>
      <c r="B5529" s="318" t="s">
        <v>237</v>
      </c>
    </row>
    <row r="5530" spans="1:2" ht="12.75" customHeight="1" x14ac:dyDescent="0.25">
      <c r="A5530" s="318">
        <v>91867435571</v>
      </c>
      <c r="B5530" s="318" t="s">
        <v>237</v>
      </c>
    </row>
    <row r="5531" spans="1:2" ht="12.75" customHeight="1" x14ac:dyDescent="0.25">
      <c r="A5531" s="318">
        <v>91867435572</v>
      </c>
      <c r="B5531" s="318" t="s">
        <v>237</v>
      </c>
    </row>
    <row r="5532" spans="1:2" ht="12.75" customHeight="1" x14ac:dyDescent="0.25">
      <c r="A5532" s="318">
        <v>91867435573</v>
      </c>
      <c r="B5532" s="318" t="s">
        <v>237</v>
      </c>
    </row>
    <row r="5533" spans="1:2" ht="12.75" customHeight="1" x14ac:dyDescent="0.25">
      <c r="A5533" s="318">
        <v>91867435574</v>
      </c>
      <c r="B5533" s="318" t="s">
        <v>237</v>
      </c>
    </row>
    <row r="5534" spans="1:2" ht="12.75" customHeight="1" x14ac:dyDescent="0.25">
      <c r="A5534" s="318">
        <v>91867435576</v>
      </c>
      <c r="B5534" s="318" t="s">
        <v>237</v>
      </c>
    </row>
    <row r="5535" spans="1:2" ht="12.75" customHeight="1" x14ac:dyDescent="0.25">
      <c r="A5535" s="318">
        <v>91867435577</v>
      </c>
      <c r="B5535" s="318" t="s">
        <v>237</v>
      </c>
    </row>
    <row r="5536" spans="1:2" ht="12.75" customHeight="1" x14ac:dyDescent="0.25">
      <c r="A5536" s="318">
        <v>91867435578</v>
      </c>
      <c r="B5536" s="318" t="s">
        <v>237</v>
      </c>
    </row>
    <row r="5537" spans="1:2" ht="12.75" customHeight="1" x14ac:dyDescent="0.25">
      <c r="A5537" s="318">
        <v>91867435579</v>
      </c>
      <c r="B5537" s="318" t="s">
        <v>237</v>
      </c>
    </row>
    <row r="5538" spans="1:2" ht="12.75" customHeight="1" x14ac:dyDescent="0.25">
      <c r="A5538" s="318">
        <v>91867435580</v>
      </c>
      <c r="B5538" s="318" t="s">
        <v>237</v>
      </c>
    </row>
    <row r="5539" spans="1:2" ht="12.75" customHeight="1" x14ac:dyDescent="0.25">
      <c r="A5539" s="318">
        <v>91867435581</v>
      </c>
      <c r="B5539" s="318" t="s">
        <v>237</v>
      </c>
    </row>
    <row r="5540" spans="1:2" ht="12.75" customHeight="1" x14ac:dyDescent="0.25">
      <c r="A5540" s="318">
        <v>91867435582</v>
      </c>
      <c r="B5540" s="318" t="s">
        <v>237</v>
      </c>
    </row>
    <row r="5541" spans="1:2" ht="12.75" customHeight="1" x14ac:dyDescent="0.25">
      <c r="A5541" s="318">
        <v>91867435583</v>
      </c>
      <c r="B5541" s="318" t="s">
        <v>237</v>
      </c>
    </row>
    <row r="5542" spans="1:2" ht="12.75" customHeight="1" x14ac:dyDescent="0.25">
      <c r="A5542" s="318">
        <v>91868115658</v>
      </c>
      <c r="B5542" s="318" t="s">
        <v>23</v>
      </c>
    </row>
    <row r="5543" spans="1:2" ht="12.75" customHeight="1" x14ac:dyDescent="0.25">
      <c r="A5543" s="318">
        <v>91868115659</v>
      </c>
      <c r="B5543" s="318" t="s">
        <v>23</v>
      </c>
    </row>
    <row r="5544" spans="1:2" ht="12.75" customHeight="1" x14ac:dyDescent="0.25">
      <c r="A5544" s="318">
        <v>91868115660</v>
      </c>
      <c r="B5544" s="318" t="s">
        <v>23</v>
      </c>
    </row>
    <row r="5545" spans="1:2" ht="12.75" customHeight="1" x14ac:dyDescent="0.25">
      <c r="A5545" s="318">
        <v>91868115661</v>
      </c>
      <c r="B5545" s="318" t="s">
        <v>23</v>
      </c>
    </row>
    <row r="5546" spans="1:2" ht="12.75" customHeight="1" x14ac:dyDescent="0.25">
      <c r="A5546" s="318">
        <v>91868115662</v>
      </c>
      <c r="B5546" s="318" t="s">
        <v>23</v>
      </c>
    </row>
    <row r="5547" spans="1:2" ht="12.75" customHeight="1" x14ac:dyDescent="0.25">
      <c r="A5547" s="318">
        <v>91868115663</v>
      </c>
      <c r="B5547" s="318" t="s">
        <v>23</v>
      </c>
    </row>
    <row r="5548" spans="1:2" ht="12.75" customHeight="1" x14ac:dyDescent="0.25">
      <c r="A5548" s="318">
        <v>91868115664</v>
      </c>
      <c r="B5548" s="318" t="s">
        <v>23</v>
      </c>
    </row>
    <row r="5549" spans="1:2" ht="12.75" customHeight="1" x14ac:dyDescent="0.25">
      <c r="A5549" s="318">
        <v>91868115665</v>
      </c>
      <c r="B5549" s="318" t="s">
        <v>23</v>
      </c>
    </row>
    <row r="5550" spans="1:2" ht="12.75" customHeight="1" x14ac:dyDescent="0.25">
      <c r="A5550" s="318">
        <v>91868115667</v>
      </c>
      <c r="B5550" s="318" t="s">
        <v>23</v>
      </c>
    </row>
    <row r="5551" spans="1:2" ht="12.75" customHeight="1" x14ac:dyDescent="0.25">
      <c r="A5551" s="318">
        <v>91868115668</v>
      </c>
      <c r="B5551" s="318" t="s">
        <v>23</v>
      </c>
    </row>
    <row r="5552" spans="1:2" ht="12.75" customHeight="1" x14ac:dyDescent="0.25">
      <c r="A5552" s="318">
        <v>91868115669</v>
      </c>
      <c r="B5552" s="318" t="s">
        <v>23</v>
      </c>
    </row>
    <row r="5553" spans="1:2" ht="12.75" customHeight="1" x14ac:dyDescent="0.25">
      <c r="A5553" s="318">
        <v>91868115670</v>
      </c>
      <c r="B5553" s="318" t="s">
        <v>23</v>
      </c>
    </row>
    <row r="5554" spans="1:2" ht="12.75" customHeight="1" x14ac:dyDescent="0.25">
      <c r="A5554" s="318">
        <v>91868115671</v>
      </c>
      <c r="B5554" s="318" t="s">
        <v>23</v>
      </c>
    </row>
    <row r="5555" spans="1:2" ht="12.75" customHeight="1" x14ac:dyDescent="0.25">
      <c r="A5555" s="318">
        <v>91868115672</v>
      </c>
      <c r="B5555" s="318" t="s">
        <v>23</v>
      </c>
    </row>
    <row r="5556" spans="1:2" ht="12.75" customHeight="1" x14ac:dyDescent="0.25">
      <c r="A5556" s="318">
        <v>91868115673</v>
      </c>
      <c r="B5556" s="318" t="s">
        <v>23</v>
      </c>
    </row>
    <row r="5557" spans="1:2" ht="12.75" customHeight="1" x14ac:dyDescent="0.25">
      <c r="A5557" s="318">
        <v>91868115674</v>
      </c>
      <c r="B5557" s="318" t="s">
        <v>23</v>
      </c>
    </row>
    <row r="5558" spans="1:2" ht="12.75" customHeight="1" x14ac:dyDescent="0.25">
      <c r="A5558" s="318">
        <v>91868115758</v>
      </c>
      <c r="B5558" s="318" t="s">
        <v>237</v>
      </c>
    </row>
    <row r="5559" spans="1:2" ht="12.75" customHeight="1" x14ac:dyDescent="0.25">
      <c r="A5559" s="318">
        <v>91868115759</v>
      </c>
      <c r="B5559" s="318" t="s">
        <v>237</v>
      </c>
    </row>
    <row r="5560" spans="1:2" ht="12.75" customHeight="1" x14ac:dyDescent="0.25">
      <c r="A5560" s="318">
        <v>91868115760</v>
      </c>
      <c r="B5560" s="318" t="s">
        <v>237</v>
      </c>
    </row>
    <row r="5561" spans="1:2" ht="12.75" customHeight="1" x14ac:dyDescent="0.25">
      <c r="A5561" s="318">
        <v>91868115761</v>
      </c>
      <c r="B5561" s="318" t="s">
        <v>237</v>
      </c>
    </row>
    <row r="5562" spans="1:2" ht="12.75" customHeight="1" x14ac:dyDescent="0.25">
      <c r="A5562" s="318">
        <v>91868115762</v>
      </c>
      <c r="B5562" s="318" t="s">
        <v>237</v>
      </c>
    </row>
    <row r="5563" spans="1:2" ht="12.75" customHeight="1" x14ac:dyDescent="0.25">
      <c r="A5563" s="318">
        <v>91868115763</v>
      </c>
      <c r="B5563" s="318" t="s">
        <v>237</v>
      </c>
    </row>
    <row r="5564" spans="1:2" ht="12.75" customHeight="1" x14ac:dyDescent="0.25">
      <c r="A5564" s="318">
        <v>91868115764</v>
      </c>
      <c r="B5564" s="318" t="s">
        <v>237</v>
      </c>
    </row>
    <row r="5565" spans="1:2" ht="12.75" customHeight="1" x14ac:dyDescent="0.25">
      <c r="A5565" s="318">
        <v>91868115765</v>
      </c>
      <c r="B5565" s="318" t="s">
        <v>237</v>
      </c>
    </row>
    <row r="5566" spans="1:2" ht="12.75" customHeight="1" x14ac:dyDescent="0.25">
      <c r="A5566" s="318">
        <v>91868115767</v>
      </c>
      <c r="B5566" s="318" t="s">
        <v>237</v>
      </c>
    </row>
    <row r="5567" spans="1:2" ht="12.75" customHeight="1" x14ac:dyDescent="0.25">
      <c r="A5567" s="318">
        <v>91868115768</v>
      </c>
      <c r="B5567" s="318" t="s">
        <v>237</v>
      </c>
    </row>
    <row r="5568" spans="1:2" ht="12.75" customHeight="1" x14ac:dyDescent="0.25">
      <c r="A5568" s="318">
        <v>91868115769</v>
      </c>
      <c r="B5568" s="318" t="s">
        <v>237</v>
      </c>
    </row>
    <row r="5569" spans="1:2" ht="12.75" customHeight="1" x14ac:dyDescent="0.25">
      <c r="A5569" s="318">
        <v>91868115770</v>
      </c>
      <c r="B5569" s="318" t="s">
        <v>237</v>
      </c>
    </row>
    <row r="5570" spans="1:2" ht="12.75" customHeight="1" x14ac:dyDescent="0.25">
      <c r="A5570" s="318">
        <v>91868115771</v>
      </c>
      <c r="B5570" s="318" t="s">
        <v>237</v>
      </c>
    </row>
    <row r="5571" spans="1:2" ht="12.75" customHeight="1" x14ac:dyDescent="0.25">
      <c r="A5571" s="318">
        <v>91868115772</v>
      </c>
      <c r="B5571" s="318" t="s">
        <v>237</v>
      </c>
    </row>
    <row r="5572" spans="1:2" ht="12.75" customHeight="1" x14ac:dyDescent="0.25">
      <c r="A5572" s="318">
        <v>91868115773</v>
      </c>
      <c r="B5572" s="318" t="s">
        <v>237</v>
      </c>
    </row>
    <row r="5573" spans="1:2" ht="12.75" customHeight="1" x14ac:dyDescent="0.25">
      <c r="A5573" s="318">
        <v>91868115774</v>
      </c>
      <c r="B5573" s="318" t="s">
        <v>237</v>
      </c>
    </row>
    <row r="5574" spans="1:2" ht="12.75" customHeight="1" x14ac:dyDescent="0.25">
      <c r="A5574" s="318">
        <v>91868596631</v>
      </c>
      <c r="B5574" s="318" t="s">
        <v>23</v>
      </c>
    </row>
    <row r="5575" spans="1:2" ht="12.75" customHeight="1" x14ac:dyDescent="0.25">
      <c r="A5575" s="318">
        <v>91868596632</v>
      </c>
      <c r="B5575" s="318" t="s">
        <v>23</v>
      </c>
    </row>
    <row r="5576" spans="1:2" ht="12.75" customHeight="1" x14ac:dyDescent="0.25">
      <c r="A5576" s="318">
        <v>91868596633</v>
      </c>
      <c r="B5576" s="318" t="s">
        <v>23</v>
      </c>
    </row>
    <row r="5577" spans="1:2" ht="12.75" customHeight="1" x14ac:dyDescent="0.25">
      <c r="A5577" s="318">
        <v>91868596634</v>
      </c>
      <c r="B5577" s="318" t="s">
        <v>23</v>
      </c>
    </row>
    <row r="5578" spans="1:2" ht="12.75" customHeight="1" x14ac:dyDescent="0.25">
      <c r="A5578" s="318">
        <v>91868596635</v>
      </c>
      <c r="B5578" s="318" t="s">
        <v>23</v>
      </c>
    </row>
    <row r="5579" spans="1:2" ht="12.75" customHeight="1" x14ac:dyDescent="0.25">
      <c r="A5579" s="318">
        <v>91868596636</v>
      </c>
      <c r="B5579" s="318" t="s">
        <v>23</v>
      </c>
    </row>
    <row r="5580" spans="1:2" ht="12.75" customHeight="1" x14ac:dyDescent="0.25">
      <c r="A5580" s="318">
        <v>91868596637</v>
      </c>
      <c r="B5580" s="318" t="s">
        <v>23</v>
      </c>
    </row>
    <row r="5581" spans="1:2" ht="12.75" customHeight="1" x14ac:dyDescent="0.25">
      <c r="A5581" s="318">
        <v>91868596638</v>
      </c>
      <c r="B5581" s="318" t="s">
        <v>23</v>
      </c>
    </row>
    <row r="5582" spans="1:2" ht="12.75" customHeight="1" x14ac:dyDescent="0.25">
      <c r="A5582" s="318">
        <v>91868596640</v>
      </c>
      <c r="B5582" s="318" t="s">
        <v>23</v>
      </c>
    </row>
    <row r="5583" spans="1:2" ht="12.75" customHeight="1" x14ac:dyDescent="0.25">
      <c r="A5583" s="318">
        <v>91868596641</v>
      </c>
      <c r="B5583" s="318" t="s">
        <v>23</v>
      </c>
    </row>
    <row r="5584" spans="1:2" ht="12.75" customHeight="1" x14ac:dyDescent="0.25">
      <c r="A5584" s="318">
        <v>91868596642</v>
      </c>
      <c r="B5584" s="318" t="s">
        <v>23</v>
      </c>
    </row>
    <row r="5585" spans="1:2" ht="12.75" customHeight="1" x14ac:dyDescent="0.25">
      <c r="A5585" s="318">
        <v>91868596643</v>
      </c>
      <c r="B5585" s="318" t="s">
        <v>23</v>
      </c>
    </row>
    <row r="5586" spans="1:2" ht="12.75" customHeight="1" x14ac:dyDescent="0.25">
      <c r="A5586" s="318">
        <v>91868596644</v>
      </c>
      <c r="B5586" s="318" t="s">
        <v>23</v>
      </c>
    </row>
    <row r="5587" spans="1:2" ht="12.75" customHeight="1" x14ac:dyDescent="0.25">
      <c r="A5587" s="318">
        <v>91868596645</v>
      </c>
      <c r="B5587" s="318" t="s">
        <v>23</v>
      </c>
    </row>
    <row r="5588" spans="1:2" ht="12.75" customHeight="1" x14ac:dyDescent="0.25">
      <c r="A5588" s="318">
        <v>91868596646</v>
      </c>
      <c r="B5588" s="318" t="s">
        <v>23</v>
      </c>
    </row>
    <row r="5589" spans="1:2" ht="12.75" customHeight="1" x14ac:dyDescent="0.25">
      <c r="A5589" s="318">
        <v>91868596647</v>
      </c>
      <c r="B5589" s="318" t="s">
        <v>23</v>
      </c>
    </row>
    <row r="5590" spans="1:2" ht="12.75" customHeight="1" x14ac:dyDescent="0.25">
      <c r="A5590" s="318">
        <v>91868596731</v>
      </c>
      <c r="B5590" s="318" t="s">
        <v>237</v>
      </c>
    </row>
    <row r="5591" spans="1:2" ht="12.75" customHeight="1" x14ac:dyDescent="0.25">
      <c r="A5591" s="318">
        <v>91868596732</v>
      </c>
      <c r="B5591" s="318" t="s">
        <v>237</v>
      </c>
    </row>
    <row r="5592" spans="1:2" ht="12.75" customHeight="1" x14ac:dyDescent="0.25">
      <c r="A5592" s="318">
        <v>91868596733</v>
      </c>
      <c r="B5592" s="318" t="s">
        <v>237</v>
      </c>
    </row>
    <row r="5593" spans="1:2" ht="12.75" customHeight="1" x14ac:dyDescent="0.25">
      <c r="A5593" s="318">
        <v>91868596734</v>
      </c>
      <c r="B5593" s="318" t="s">
        <v>237</v>
      </c>
    </row>
    <row r="5594" spans="1:2" ht="12.75" customHeight="1" x14ac:dyDescent="0.25">
      <c r="A5594" s="318">
        <v>91868596735</v>
      </c>
      <c r="B5594" s="318" t="s">
        <v>237</v>
      </c>
    </row>
    <row r="5595" spans="1:2" ht="12.75" customHeight="1" x14ac:dyDescent="0.25">
      <c r="A5595" s="318">
        <v>91868596736</v>
      </c>
      <c r="B5595" s="318" t="s">
        <v>237</v>
      </c>
    </row>
    <row r="5596" spans="1:2" ht="12.75" customHeight="1" x14ac:dyDescent="0.25">
      <c r="A5596" s="318">
        <v>91868596737</v>
      </c>
      <c r="B5596" s="318" t="s">
        <v>237</v>
      </c>
    </row>
    <row r="5597" spans="1:2" ht="12.75" customHeight="1" x14ac:dyDescent="0.25">
      <c r="A5597" s="318">
        <v>91868596738</v>
      </c>
      <c r="B5597" s="318" t="s">
        <v>237</v>
      </c>
    </row>
    <row r="5598" spans="1:2" ht="12.75" customHeight="1" x14ac:dyDescent="0.25">
      <c r="A5598" s="318">
        <v>91868596740</v>
      </c>
      <c r="B5598" s="318" t="s">
        <v>237</v>
      </c>
    </row>
    <row r="5599" spans="1:2" ht="12.75" customHeight="1" x14ac:dyDescent="0.25">
      <c r="A5599" s="318">
        <v>91868596741</v>
      </c>
      <c r="B5599" s="318" t="s">
        <v>237</v>
      </c>
    </row>
    <row r="5600" spans="1:2" ht="12.75" customHeight="1" x14ac:dyDescent="0.25">
      <c r="A5600" s="318">
        <v>91868596742</v>
      </c>
      <c r="B5600" s="318" t="s">
        <v>237</v>
      </c>
    </row>
    <row r="5601" spans="1:2" ht="12.75" customHeight="1" x14ac:dyDescent="0.25">
      <c r="A5601" s="318">
        <v>91868596743</v>
      </c>
      <c r="B5601" s="318" t="s">
        <v>237</v>
      </c>
    </row>
    <row r="5602" spans="1:2" ht="12.75" customHeight="1" x14ac:dyDescent="0.25">
      <c r="A5602" s="318">
        <v>91868596744</v>
      </c>
      <c r="B5602" s="318" t="s">
        <v>237</v>
      </c>
    </row>
    <row r="5603" spans="1:2" ht="12.75" customHeight="1" x14ac:dyDescent="0.25">
      <c r="A5603" s="318">
        <v>91868596745</v>
      </c>
      <c r="B5603" s="318" t="s">
        <v>237</v>
      </c>
    </row>
    <row r="5604" spans="1:2" ht="12.75" customHeight="1" x14ac:dyDescent="0.25">
      <c r="A5604" s="318">
        <v>91868596746</v>
      </c>
      <c r="B5604" s="318" t="s">
        <v>237</v>
      </c>
    </row>
    <row r="5605" spans="1:2" ht="12.75" customHeight="1" x14ac:dyDescent="0.25">
      <c r="A5605" s="318">
        <v>91868596747</v>
      </c>
      <c r="B5605" s="318" t="s">
        <v>237</v>
      </c>
    </row>
    <row r="5606" spans="1:2" ht="12.75" customHeight="1" x14ac:dyDescent="0.25">
      <c r="A5606" s="318">
        <v>91869077604</v>
      </c>
      <c r="B5606" s="318" t="s">
        <v>23</v>
      </c>
    </row>
    <row r="5607" spans="1:2" ht="12.75" customHeight="1" x14ac:dyDescent="0.25">
      <c r="A5607" s="318">
        <v>91869077605</v>
      </c>
      <c r="B5607" s="318" t="s">
        <v>23</v>
      </c>
    </row>
    <row r="5608" spans="1:2" ht="12.75" customHeight="1" x14ac:dyDescent="0.25">
      <c r="A5608" s="318">
        <v>91869077606</v>
      </c>
      <c r="B5608" s="318" t="s">
        <v>23</v>
      </c>
    </row>
    <row r="5609" spans="1:2" ht="12.75" customHeight="1" x14ac:dyDescent="0.25">
      <c r="A5609" s="318">
        <v>91869077607</v>
      </c>
      <c r="B5609" s="318" t="s">
        <v>23</v>
      </c>
    </row>
    <row r="5610" spans="1:2" ht="12.75" customHeight="1" x14ac:dyDescent="0.25">
      <c r="A5610" s="318">
        <v>91869077608</v>
      </c>
      <c r="B5610" s="318" t="s">
        <v>23</v>
      </c>
    </row>
    <row r="5611" spans="1:2" ht="12.75" customHeight="1" x14ac:dyDescent="0.25">
      <c r="A5611" s="318">
        <v>91869077609</v>
      </c>
      <c r="B5611" s="318" t="s">
        <v>23</v>
      </c>
    </row>
    <row r="5612" spans="1:2" ht="12.75" customHeight="1" x14ac:dyDescent="0.25">
      <c r="A5612" s="318">
        <v>91869077610</v>
      </c>
      <c r="B5612" s="318" t="s">
        <v>23</v>
      </c>
    </row>
    <row r="5613" spans="1:2" ht="12.75" customHeight="1" x14ac:dyDescent="0.25">
      <c r="A5613" s="318">
        <v>91869077611</v>
      </c>
      <c r="B5613" s="318" t="s">
        <v>23</v>
      </c>
    </row>
    <row r="5614" spans="1:2" ht="12.75" customHeight="1" x14ac:dyDescent="0.25">
      <c r="A5614" s="318">
        <v>91869077613</v>
      </c>
      <c r="B5614" s="318" t="s">
        <v>23</v>
      </c>
    </row>
    <row r="5615" spans="1:2" ht="12.75" customHeight="1" x14ac:dyDescent="0.25">
      <c r="A5615" s="318">
        <v>91869077614</v>
      </c>
      <c r="B5615" s="318" t="s">
        <v>23</v>
      </c>
    </row>
    <row r="5616" spans="1:2" ht="12.75" customHeight="1" x14ac:dyDescent="0.25">
      <c r="A5616" s="318">
        <v>91869077615</v>
      </c>
      <c r="B5616" s="318" t="s">
        <v>23</v>
      </c>
    </row>
    <row r="5617" spans="1:2" ht="12.75" customHeight="1" x14ac:dyDescent="0.25">
      <c r="A5617" s="318">
        <v>91869077616</v>
      </c>
      <c r="B5617" s="318" t="s">
        <v>23</v>
      </c>
    </row>
    <row r="5618" spans="1:2" ht="12.75" customHeight="1" x14ac:dyDescent="0.25">
      <c r="A5618" s="318">
        <v>91869077617</v>
      </c>
      <c r="B5618" s="318" t="s">
        <v>23</v>
      </c>
    </row>
    <row r="5619" spans="1:2" ht="12.75" customHeight="1" x14ac:dyDescent="0.25">
      <c r="A5619" s="318">
        <v>91869077618</v>
      </c>
      <c r="B5619" s="318" t="s">
        <v>23</v>
      </c>
    </row>
    <row r="5620" spans="1:2" ht="12.75" customHeight="1" x14ac:dyDescent="0.25">
      <c r="A5620" s="318">
        <v>91869077619</v>
      </c>
      <c r="B5620" s="318" t="s">
        <v>23</v>
      </c>
    </row>
    <row r="5621" spans="1:2" ht="12.75" customHeight="1" x14ac:dyDescent="0.25">
      <c r="A5621" s="318">
        <v>91869077620</v>
      </c>
      <c r="B5621" s="318" t="s">
        <v>23</v>
      </c>
    </row>
    <row r="5622" spans="1:2" ht="12.75" customHeight="1" x14ac:dyDescent="0.25">
      <c r="A5622" s="318">
        <v>91869077704</v>
      </c>
      <c r="B5622" s="318" t="s">
        <v>237</v>
      </c>
    </row>
    <row r="5623" spans="1:2" ht="12.75" customHeight="1" x14ac:dyDescent="0.25">
      <c r="A5623" s="318">
        <v>91869077705</v>
      </c>
      <c r="B5623" s="318" t="s">
        <v>237</v>
      </c>
    </row>
    <row r="5624" spans="1:2" ht="12.75" customHeight="1" x14ac:dyDescent="0.25">
      <c r="A5624" s="318">
        <v>91869077706</v>
      </c>
      <c r="B5624" s="318" t="s">
        <v>237</v>
      </c>
    </row>
    <row r="5625" spans="1:2" ht="12.75" customHeight="1" x14ac:dyDescent="0.25">
      <c r="A5625" s="318">
        <v>91869077707</v>
      </c>
      <c r="B5625" s="318" t="s">
        <v>237</v>
      </c>
    </row>
    <row r="5626" spans="1:2" ht="12.75" customHeight="1" x14ac:dyDescent="0.25">
      <c r="A5626" s="318">
        <v>91869077708</v>
      </c>
      <c r="B5626" s="318" t="s">
        <v>237</v>
      </c>
    </row>
    <row r="5627" spans="1:2" ht="12.75" customHeight="1" x14ac:dyDescent="0.25">
      <c r="A5627" s="318">
        <v>91869077709</v>
      </c>
      <c r="B5627" s="318" t="s">
        <v>237</v>
      </c>
    </row>
    <row r="5628" spans="1:2" ht="12.75" customHeight="1" x14ac:dyDescent="0.25">
      <c r="A5628" s="318">
        <v>91869077710</v>
      </c>
      <c r="B5628" s="318" t="s">
        <v>237</v>
      </c>
    </row>
    <row r="5629" spans="1:2" ht="12.75" customHeight="1" x14ac:dyDescent="0.25">
      <c r="A5629" s="318">
        <v>91869077711</v>
      </c>
      <c r="B5629" s="318" t="s">
        <v>237</v>
      </c>
    </row>
    <row r="5630" spans="1:2" ht="12.75" customHeight="1" x14ac:dyDescent="0.25">
      <c r="A5630" s="318">
        <v>91869077713</v>
      </c>
      <c r="B5630" s="318" t="s">
        <v>237</v>
      </c>
    </row>
    <row r="5631" spans="1:2" ht="12.75" customHeight="1" x14ac:dyDescent="0.25">
      <c r="A5631" s="318">
        <v>91869077714</v>
      </c>
      <c r="B5631" s="318" t="s">
        <v>237</v>
      </c>
    </row>
    <row r="5632" spans="1:2" ht="12.75" customHeight="1" x14ac:dyDescent="0.25">
      <c r="A5632" s="318">
        <v>91869077715</v>
      </c>
      <c r="B5632" s="318" t="s">
        <v>237</v>
      </c>
    </row>
    <row r="5633" spans="1:2" ht="12.75" customHeight="1" x14ac:dyDescent="0.25">
      <c r="A5633" s="318">
        <v>91869077716</v>
      </c>
      <c r="B5633" s="318" t="s">
        <v>237</v>
      </c>
    </row>
    <row r="5634" spans="1:2" ht="12.75" customHeight="1" x14ac:dyDescent="0.25">
      <c r="A5634" s="318">
        <v>91869077717</v>
      </c>
      <c r="B5634" s="318" t="s">
        <v>237</v>
      </c>
    </row>
    <row r="5635" spans="1:2" ht="12.75" customHeight="1" x14ac:dyDescent="0.25">
      <c r="A5635" s="318">
        <v>91869077718</v>
      </c>
      <c r="B5635" s="318" t="s">
        <v>237</v>
      </c>
    </row>
    <row r="5636" spans="1:2" ht="12.75" customHeight="1" x14ac:dyDescent="0.25">
      <c r="A5636" s="318">
        <v>91869077719</v>
      </c>
      <c r="B5636" s="318" t="s">
        <v>237</v>
      </c>
    </row>
    <row r="5637" spans="1:2" ht="12.75" customHeight="1" x14ac:dyDescent="0.25">
      <c r="A5637" s="318">
        <v>91869077720</v>
      </c>
      <c r="B5637" s="318" t="s">
        <v>237</v>
      </c>
    </row>
    <row r="5638" spans="1:2" ht="12.75" customHeight="1" x14ac:dyDescent="0.25">
      <c r="A5638" s="318">
        <v>92484744901</v>
      </c>
      <c r="B5638" s="318" t="s">
        <v>23</v>
      </c>
    </row>
    <row r="5639" spans="1:2" ht="12.75" customHeight="1" x14ac:dyDescent="0.25">
      <c r="A5639" s="318">
        <v>92484744902</v>
      </c>
      <c r="B5639" s="318" t="s">
        <v>23</v>
      </c>
    </row>
    <row r="5640" spans="1:2" ht="12.75" customHeight="1" x14ac:dyDescent="0.25">
      <c r="A5640" s="318">
        <v>92484744903</v>
      </c>
      <c r="B5640" s="318" t="s">
        <v>23</v>
      </c>
    </row>
    <row r="5641" spans="1:2" ht="12.75" customHeight="1" x14ac:dyDescent="0.25">
      <c r="A5641" s="318">
        <v>92484744904</v>
      </c>
      <c r="B5641" s="318" t="s">
        <v>23</v>
      </c>
    </row>
    <row r="5642" spans="1:2" ht="12.75" customHeight="1" x14ac:dyDescent="0.25">
      <c r="A5642" s="318">
        <v>92484744905</v>
      </c>
      <c r="B5642" s="318" t="s">
        <v>23</v>
      </c>
    </row>
    <row r="5643" spans="1:2" ht="12.75" customHeight="1" x14ac:dyDescent="0.25">
      <c r="A5643" s="318">
        <v>92484744906</v>
      </c>
      <c r="B5643" s="318" t="s">
        <v>23</v>
      </c>
    </row>
    <row r="5644" spans="1:2" ht="12.75" customHeight="1" x14ac:dyDescent="0.25">
      <c r="A5644" s="318">
        <v>92484744907</v>
      </c>
      <c r="B5644" s="318" t="s">
        <v>23</v>
      </c>
    </row>
    <row r="5645" spans="1:2" ht="12.75" customHeight="1" x14ac:dyDescent="0.25">
      <c r="A5645" s="318">
        <v>92484744908</v>
      </c>
      <c r="B5645" s="318" t="s">
        <v>237</v>
      </c>
    </row>
    <row r="5646" spans="1:2" ht="12.75" customHeight="1" x14ac:dyDescent="0.25">
      <c r="A5646" s="318">
        <v>92484744910</v>
      </c>
      <c r="B5646" s="318" t="s">
        <v>237</v>
      </c>
    </row>
    <row r="5647" spans="1:2" ht="12.75" customHeight="1" x14ac:dyDescent="0.25">
      <c r="A5647" s="318">
        <v>92484744911</v>
      </c>
      <c r="B5647" s="318" t="s">
        <v>237</v>
      </c>
    </row>
    <row r="5648" spans="1:2" ht="12.75" customHeight="1" x14ac:dyDescent="0.25">
      <c r="A5648" s="318">
        <v>92484744912</v>
      </c>
      <c r="B5648" s="318" t="s">
        <v>237</v>
      </c>
    </row>
    <row r="5649" spans="1:2" ht="12.75" customHeight="1" x14ac:dyDescent="0.25">
      <c r="A5649" s="318">
        <v>92484744913</v>
      </c>
      <c r="B5649" s="318" t="s">
        <v>237</v>
      </c>
    </row>
    <row r="5650" spans="1:2" ht="12.75" customHeight="1" x14ac:dyDescent="0.25">
      <c r="A5650" s="318">
        <v>92484744914</v>
      </c>
      <c r="B5650" s="318" t="s">
        <v>237</v>
      </c>
    </row>
    <row r="5651" spans="1:2" ht="12.75" customHeight="1" x14ac:dyDescent="0.25">
      <c r="A5651" s="318">
        <v>92484744915</v>
      </c>
      <c r="B5651" s="318" t="s">
        <v>237</v>
      </c>
    </row>
    <row r="5652" spans="1:2" ht="12.75" customHeight="1" x14ac:dyDescent="0.25">
      <c r="A5652" s="318">
        <v>92484744916</v>
      </c>
      <c r="B5652" s="318" t="s">
        <v>237</v>
      </c>
    </row>
    <row r="5653" spans="1:2" ht="12.75" customHeight="1" x14ac:dyDescent="0.25">
      <c r="A5653" s="318">
        <v>92484744917</v>
      </c>
      <c r="B5653" s="318" t="s">
        <v>237</v>
      </c>
    </row>
    <row r="5654" spans="1:2" ht="12.75" customHeight="1" x14ac:dyDescent="0.25">
      <c r="A5654" s="318">
        <v>92484745001</v>
      </c>
      <c r="B5654" s="318" t="s">
        <v>237</v>
      </c>
    </row>
    <row r="5655" spans="1:2" ht="12.75" customHeight="1" x14ac:dyDescent="0.25">
      <c r="A5655" s="318">
        <v>92484745002</v>
      </c>
      <c r="B5655" s="318" t="s">
        <v>237</v>
      </c>
    </row>
    <row r="5656" spans="1:2" ht="12.75" customHeight="1" x14ac:dyDescent="0.25">
      <c r="A5656" s="318">
        <v>92484745003</v>
      </c>
      <c r="B5656" s="318" t="s">
        <v>237</v>
      </c>
    </row>
    <row r="5657" spans="1:2" ht="12.75" customHeight="1" x14ac:dyDescent="0.25">
      <c r="A5657" s="318">
        <v>92484745004</v>
      </c>
      <c r="B5657" s="318" t="s">
        <v>237</v>
      </c>
    </row>
    <row r="5658" spans="1:2" ht="12.75" customHeight="1" x14ac:dyDescent="0.25">
      <c r="A5658" s="318">
        <v>92484745005</v>
      </c>
      <c r="B5658" s="318" t="s">
        <v>237</v>
      </c>
    </row>
    <row r="5659" spans="1:2" ht="12.75" customHeight="1" x14ac:dyDescent="0.25">
      <c r="A5659" s="318">
        <v>92484745006</v>
      </c>
      <c r="B5659" s="318" t="s">
        <v>237</v>
      </c>
    </row>
    <row r="5660" spans="1:2" ht="12.75" customHeight="1" x14ac:dyDescent="0.25">
      <c r="A5660" s="318">
        <v>92484745007</v>
      </c>
      <c r="B5660" s="318" t="s">
        <v>237</v>
      </c>
    </row>
    <row r="5661" spans="1:2" ht="12.75" customHeight="1" x14ac:dyDescent="0.25">
      <c r="A5661" s="318">
        <v>92484745008</v>
      </c>
      <c r="B5661" s="318" t="s">
        <v>237</v>
      </c>
    </row>
    <row r="5662" spans="1:2" ht="12.75" customHeight="1" x14ac:dyDescent="0.25">
      <c r="A5662" s="318">
        <v>92484745010</v>
      </c>
      <c r="B5662" s="318" t="s">
        <v>237</v>
      </c>
    </row>
    <row r="5663" spans="1:2" ht="12.75" customHeight="1" x14ac:dyDescent="0.25">
      <c r="A5663" s="318">
        <v>92484745011</v>
      </c>
      <c r="B5663" s="318" t="s">
        <v>237</v>
      </c>
    </row>
    <row r="5664" spans="1:2" ht="12.75" customHeight="1" x14ac:dyDescent="0.25">
      <c r="A5664" s="318">
        <v>92484745012</v>
      </c>
      <c r="B5664" s="318" t="s">
        <v>237</v>
      </c>
    </row>
    <row r="5665" spans="1:2" ht="12.75" customHeight="1" x14ac:dyDescent="0.25">
      <c r="A5665" s="318">
        <v>92484745013</v>
      </c>
      <c r="B5665" s="318" t="s">
        <v>237</v>
      </c>
    </row>
    <row r="5666" spans="1:2" ht="12.75" customHeight="1" x14ac:dyDescent="0.25">
      <c r="A5666" s="318">
        <v>92484745014</v>
      </c>
      <c r="B5666" s="318" t="s">
        <v>237</v>
      </c>
    </row>
    <row r="5667" spans="1:2" ht="12.75" customHeight="1" x14ac:dyDescent="0.25">
      <c r="A5667" s="318">
        <v>92484745015</v>
      </c>
      <c r="B5667" s="318" t="s">
        <v>237</v>
      </c>
    </row>
    <row r="5668" spans="1:2" ht="12.75" customHeight="1" x14ac:dyDescent="0.25">
      <c r="A5668" s="318">
        <v>92484745016</v>
      </c>
      <c r="B5668" s="318" t="s">
        <v>237</v>
      </c>
    </row>
    <row r="5669" spans="1:2" ht="12.75" customHeight="1" x14ac:dyDescent="0.25">
      <c r="A5669" s="318">
        <v>92484745017</v>
      </c>
      <c r="B5669" s="318" t="s">
        <v>237</v>
      </c>
    </row>
    <row r="5670" spans="1:2" ht="12.75" customHeight="1" x14ac:dyDescent="0.25">
      <c r="A5670" s="318">
        <v>92485225874</v>
      </c>
      <c r="B5670" s="318" t="s">
        <v>23</v>
      </c>
    </row>
    <row r="5671" spans="1:2" ht="12.75" customHeight="1" x14ac:dyDescent="0.25">
      <c r="A5671" s="318">
        <v>92485225875</v>
      </c>
      <c r="B5671" s="318" t="s">
        <v>23</v>
      </c>
    </row>
    <row r="5672" spans="1:2" ht="12.75" customHeight="1" x14ac:dyDescent="0.25">
      <c r="A5672" s="318">
        <v>92485225876</v>
      </c>
      <c r="B5672" s="318" t="s">
        <v>23</v>
      </c>
    </row>
    <row r="5673" spans="1:2" ht="12.75" customHeight="1" x14ac:dyDescent="0.25">
      <c r="A5673" s="318">
        <v>92485225877</v>
      </c>
      <c r="B5673" s="318" t="s">
        <v>23</v>
      </c>
    </row>
    <row r="5674" spans="1:2" ht="12.75" customHeight="1" x14ac:dyDescent="0.25">
      <c r="A5674" s="318">
        <v>92485225878</v>
      </c>
      <c r="B5674" s="318" t="s">
        <v>23</v>
      </c>
    </row>
    <row r="5675" spans="1:2" ht="12.75" customHeight="1" x14ac:dyDescent="0.25">
      <c r="A5675" s="318">
        <v>92485225879</v>
      </c>
      <c r="B5675" s="318" t="s">
        <v>23</v>
      </c>
    </row>
    <row r="5676" spans="1:2" ht="12.75" customHeight="1" x14ac:dyDescent="0.25">
      <c r="A5676" s="318">
        <v>92485225880</v>
      </c>
      <c r="B5676" s="318" t="s">
        <v>23</v>
      </c>
    </row>
    <row r="5677" spans="1:2" ht="12.75" customHeight="1" x14ac:dyDescent="0.25">
      <c r="A5677" s="318">
        <v>92485225881</v>
      </c>
      <c r="B5677" s="318" t="s">
        <v>237</v>
      </c>
    </row>
    <row r="5678" spans="1:2" ht="12.75" customHeight="1" x14ac:dyDescent="0.25">
      <c r="A5678" s="318">
        <v>92485225883</v>
      </c>
      <c r="B5678" s="318" t="s">
        <v>237</v>
      </c>
    </row>
    <row r="5679" spans="1:2" ht="12.75" customHeight="1" x14ac:dyDescent="0.25">
      <c r="A5679" s="318">
        <v>92485225884</v>
      </c>
      <c r="B5679" s="318" t="s">
        <v>237</v>
      </c>
    </row>
    <row r="5680" spans="1:2" ht="12.75" customHeight="1" x14ac:dyDescent="0.25">
      <c r="A5680" s="318">
        <v>92485225885</v>
      </c>
      <c r="B5680" s="318" t="s">
        <v>237</v>
      </c>
    </row>
    <row r="5681" spans="1:2" ht="12.75" customHeight="1" x14ac:dyDescent="0.25">
      <c r="A5681" s="318">
        <v>92485225886</v>
      </c>
      <c r="B5681" s="318" t="s">
        <v>237</v>
      </c>
    </row>
    <row r="5682" spans="1:2" ht="12.75" customHeight="1" x14ac:dyDescent="0.25">
      <c r="A5682" s="318">
        <v>92485225887</v>
      </c>
      <c r="B5682" s="318" t="s">
        <v>237</v>
      </c>
    </row>
    <row r="5683" spans="1:2" ht="12.75" customHeight="1" x14ac:dyDescent="0.25">
      <c r="A5683" s="318">
        <v>92485225888</v>
      </c>
      <c r="B5683" s="318" t="s">
        <v>237</v>
      </c>
    </row>
    <row r="5684" spans="1:2" ht="12.75" customHeight="1" x14ac:dyDescent="0.25">
      <c r="A5684" s="318">
        <v>92485225889</v>
      </c>
      <c r="B5684" s="318" t="s">
        <v>237</v>
      </c>
    </row>
    <row r="5685" spans="1:2" ht="12.75" customHeight="1" x14ac:dyDescent="0.25">
      <c r="A5685" s="318">
        <v>92485225890</v>
      </c>
      <c r="B5685" s="318" t="s">
        <v>237</v>
      </c>
    </row>
    <row r="5686" spans="1:2" ht="12.75" customHeight="1" x14ac:dyDescent="0.25">
      <c r="A5686" s="318">
        <v>92485225974</v>
      </c>
      <c r="B5686" s="318" t="s">
        <v>237</v>
      </c>
    </row>
    <row r="5687" spans="1:2" ht="12.75" customHeight="1" x14ac:dyDescent="0.25">
      <c r="A5687" s="318">
        <v>92485225975</v>
      </c>
      <c r="B5687" s="318" t="s">
        <v>237</v>
      </c>
    </row>
    <row r="5688" spans="1:2" ht="12.75" customHeight="1" x14ac:dyDescent="0.25">
      <c r="A5688" s="318">
        <v>92485225976</v>
      </c>
      <c r="B5688" s="318" t="s">
        <v>237</v>
      </c>
    </row>
    <row r="5689" spans="1:2" ht="12.75" customHeight="1" x14ac:dyDescent="0.25">
      <c r="A5689" s="318">
        <v>92485225977</v>
      </c>
      <c r="B5689" s="318" t="s">
        <v>237</v>
      </c>
    </row>
    <row r="5690" spans="1:2" ht="12.75" customHeight="1" x14ac:dyDescent="0.25">
      <c r="A5690" s="318">
        <v>92485225978</v>
      </c>
      <c r="B5690" s="318" t="s">
        <v>237</v>
      </c>
    </row>
    <row r="5691" spans="1:2" ht="12.75" customHeight="1" x14ac:dyDescent="0.25">
      <c r="A5691" s="318">
        <v>92485225979</v>
      </c>
      <c r="B5691" s="318" t="s">
        <v>237</v>
      </c>
    </row>
    <row r="5692" spans="1:2" ht="12.75" customHeight="1" x14ac:dyDescent="0.25">
      <c r="A5692" s="318">
        <v>92485225980</v>
      </c>
      <c r="B5692" s="318" t="s">
        <v>237</v>
      </c>
    </row>
    <row r="5693" spans="1:2" ht="12.75" customHeight="1" x14ac:dyDescent="0.25">
      <c r="A5693" s="318">
        <v>92485225981</v>
      </c>
      <c r="B5693" s="318" t="s">
        <v>237</v>
      </c>
    </row>
    <row r="5694" spans="1:2" ht="12.75" customHeight="1" x14ac:dyDescent="0.25">
      <c r="A5694" s="318">
        <v>92485225983</v>
      </c>
      <c r="B5694" s="318" t="s">
        <v>237</v>
      </c>
    </row>
    <row r="5695" spans="1:2" ht="12.75" customHeight="1" x14ac:dyDescent="0.25">
      <c r="A5695" s="318">
        <v>92485225984</v>
      </c>
      <c r="B5695" s="318" t="s">
        <v>237</v>
      </c>
    </row>
    <row r="5696" spans="1:2" ht="12.75" customHeight="1" x14ac:dyDescent="0.25">
      <c r="A5696" s="318">
        <v>92485225985</v>
      </c>
      <c r="B5696" s="318" t="s">
        <v>237</v>
      </c>
    </row>
    <row r="5697" spans="1:2" ht="12.75" customHeight="1" x14ac:dyDescent="0.25">
      <c r="A5697" s="318">
        <v>92485225986</v>
      </c>
      <c r="B5697" s="318" t="s">
        <v>237</v>
      </c>
    </row>
    <row r="5698" spans="1:2" ht="12.75" customHeight="1" x14ac:dyDescent="0.25">
      <c r="A5698" s="318">
        <v>92485225987</v>
      </c>
      <c r="B5698" s="318" t="s">
        <v>237</v>
      </c>
    </row>
    <row r="5699" spans="1:2" ht="12.75" customHeight="1" x14ac:dyDescent="0.25">
      <c r="A5699" s="318">
        <v>92485225988</v>
      </c>
      <c r="B5699" s="318" t="s">
        <v>237</v>
      </c>
    </row>
    <row r="5700" spans="1:2" ht="12.75" customHeight="1" x14ac:dyDescent="0.25">
      <c r="A5700" s="318">
        <v>92485225989</v>
      </c>
      <c r="B5700" s="318" t="s">
        <v>237</v>
      </c>
    </row>
    <row r="5701" spans="1:2" ht="12.75" customHeight="1" x14ac:dyDescent="0.25">
      <c r="A5701" s="318">
        <v>92485225990</v>
      </c>
      <c r="B5701" s="318" t="s">
        <v>237</v>
      </c>
    </row>
    <row r="5702" spans="1:2" ht="12.75" customHeight="1" x14ac:dyDescent="0.25">
      <c r="A5702" s="318">
        <v>92485706847</v>
      </c>
      <c r="B5702" s="318" t="s">
        <v>23</v>
      </c>
    </row>
    <row r="5703" spans="1:2" ht="12.75" customHeight="1" x14ac:dyDescent="0.25">
      <c r="A5703" s="318">
        <v>92485706848</v>
      </c>
      <c r="B5703" s="318" t="s">
        <v>23</v>
      </c>
    </row>
    <row r="5704" spans="1:2" ht="12.75" customHeight="1" x14ac:dyDescent="0.25">
      <c r="A5704" s="318">
        <v>92485706849</v>
      </c>
      <c r="B5704" s="318" t="s">
        <v>23</v>
      </c>
    </row>
    <row r="5705" spans="1:2" ht="12.75" customHeight="1" x14ac:dyDescent="0.25">
      <c r="A5705" s="318">
        <v>92485706850</v>
      </c>
      <c r="B5705" s="318" t="s">
        <v>23</v>
      </c>
    </row>
    <row r="5706" spans="1:2" ht="12.75" customHeight="1" x14ac:dyDescent="0.25">
      <c r="A5706" s="318">
        <v>92485706851</v>
      </c>
      <c r="B5706" s="318" t="s">
        <v>23</v>
      </c>
    </row>
    <row r="5707" spans="1:2" ht="12.75" customHeight="1" x14ac:dyDescent="0.25">
      <c r="A5707" s="318">
        <v>92485706852</v>
      </c>
      <c r="B5707" s="318" t="s">
        <v>23</v>
      </c>
    </row>
    <row r="5708" spans="1:2" ht="12.75" customHeight="1" x14ac:dyDescent="0.25">
      <c r="A5708" s="318">
        <v>92485706853</v>
      </c>
      <c r="B5708" s="318" t="s">
        <v>23</v>
      </c>
    </row>
    <row r="5709" spans="1:2" ht="12.75" customHeight="1" x14ac:dyDescent="0.25">
      <c r="A5709" s="318">
        <v>92485706854</v>
      </c>
      <c r="B5709" s="318" t="s">
        <v>237</v>
      </c>
    </row>
    <row r="5710" spans="1:2" ht="12.75" customHeight="1" x14ac:dyDescent="0.25">
      <c r="A5710" s="318">
        <v>92485706856</v>
      </c>
      <c r="B5710" s="318" t="s">
        <v>23</v>
      </c>
    </row>
    <row r="5711" spans="1:2" ht="12.75" customHeight="1" x14ac:dyDescent="0.25">
      <c r="A5711" s="318">
        <v>92485706857</v>
      </c>
      <c r="B5711" s="318" t="s">
        <v>237</v>
      </c>
    </row>
    <row r="5712" spans="1:2" ht="12.75" customHeight="1" x14ac:dyDescent="0.25">
      <c r="A5712" s="318">
        <v>92485706858</v>
      </c>
      <c r="B5712" s="318" t="s">
        <v>23</v>
      </c>
    </row>
    <row r="5713" spans="1:2" ht="12.75" customHeight="1" x14ac:dyDescent="0.25">
      <c r="A5713" s="318">
        <v>92485706859</v>
      </c>
      <c r="B5713" s="318" t="s">
        <v>237</v>
      </c>
    </row>
    <row r="5714" spans="1:2" ht="12.75" customHeight="1" x14ac:dyDescent="0.25">
      <c r="A5714" s="318">
        <v>92485706860</v>
      </c>
      <c r="B5714" s="318" t="s">
        <v>23</v>
      </c>
    </row>
    <row r="5715" spans="1:2" ht="12.75" customHeight="1" x14ac:dyDescent="0.25">
      <c r="A5715" s="318">
        <v>92485706861</v>
      </c>
      <c r="B5715" s="318" t="s">
        <v>237</v>
      </c>
    </row>
    <row r="5716" spans="1:2" ht="12.75" customHeight="1" x14ac:dyDescent="0.25">
      <c r="A5716" s="318">
        <v>92485706862</v>
      </c>
      <c r="B5716" s="318" t="s">
        <v>23</v>
      </c>
    </row>
    <row r="5717" spans="1:2" ht="12.75" customHeight="1" x14ac:dyDescent="0.25">
      <c r="A5717" s="318">
        <v>92485706863</v>
      </c>
      <c r="B5717" s="318" t="s">
        <v>237</v>
      </c>
    </row>
    <row r="5718" spans="1:2" ht="12.75" customHeight="1" x14ac:dyDescent="0.25">
      <c r="A5718" s="318">
        <v>92485706947</v>
      </c>
      <c r="B5718" s="318" t="s">
        <v>237</v>
      </c>
    </row>
    <row r="5719" spans="1:2" ht="12.75" customHeight="1" x14ac:dyDescent="0.25">
      <c r="A5719" s="318">
        <v>92485706948</v>
      </c>
      <c r="B5719" s="318" t="s">
        <v>237</v>
      </c>
    </row>
    <row r="5720" spans="1:2" ht="12.75" customHeight="1" x14ac:dyDescent="0.25">
      <c r="A5720" s="318">
        <v>92485706949</v>
      </c>
      <c r="B5720" s="318" t="s">
        <v>237</v>
      </c>
    </row>
    <row r="5721" spans="1:2" ht="12.75" customHeight="1" x14ac:dyDescent="0.25">
      <c r="A5721" s="318">
        <v>92485706950</v>
      </c>
      <c r="B5721" s="318" t="s">
        <v>237</v>
      </c>
    </row>
    <row r="5722" spans="1:2" ht="12.75" customHeight="1" x14ac:dyDescent="0.25">
      <c r="A5722" s="318">
        <v>92485706951</v>
      </c>
      <c r="B5722" s="318" t="s">
        <v>237</v>
      </c>
    </row>
    <row r="5723" spans="1:2" ht="12.75" customHeight="1" x14ac:dyDescent="0.25">
      <c r="A5723" s="318">
        <v>92485706952</v>
      </c>
      <c r="B5723" s="318" t="s">
        <v>237</v>
      </c>
    </row>
    <row r="5724" spans="1:2" ht="12.75" customHeight="1" x14ac:dyDescent="0.25">
      <c r="A5724" s="318">
        <v>92485706953</v>
      </c>
      <c r="B5724" s="318" t="s">
        <v>237</v>
      </c>
    </row>
    <row r="5725" spans="1:2" ht="12.75" customHeight="1" x14ac:dyDescent="0.25">
      <c r="A5725" s="318">
        <v>92485706954</v>
      </c>
      <c r="B5725" s="318" t="s">
        <v>237</v>
      </c>
    </row>
    <row r="5726" spans="1:2" ht="12.75" customHeight="1" x14ac:dyDescent="0.25">
      <c r="A5726" s="318">
        <v>92485706956</v>
      </c>
      <c r="B5726" s="318" t="s">
        <v>237</v>
      </c>
    </row>
    <row r="5727" spans="1:2" ht="12.75" customHeight="1" x14ac:dyDescent="0.25">
      <c r="A5727" s="318">
        <v>92485706957</v>
      </c>
      <c r="B5727" s="318" t="s">
        <v>237</v>
      </c>
    </row>
    <row r="5728" spans="1:2" ht="12.75" customHeight="1" x14ac:dyDescent="0.25">
      <c r="A5728" s="318">
        <v>92485706958</v>
      </c>
      <c r="B5728" s="318" t="s">
        <v>237</v>
      </c>
    </row>
    <row r="5729" spans="1:2" ht="12.75" customHeight="1" x14ac:dyDescent="0.25">
      <c r="A5729" s="318">
        <v>92485706959</v>
      </c>
      <c r="B5729" s="318" t="s">
        <v>237</v>
      </c>
    </row>
    <row r="5730" spans="1:2" ht="12.75" customHeight="1" x14ac:dyDescent="0.25">
      <c r="A5730" s="318">
        <v>92485706960</v>
      </c>
      <c r="B5730" s="318" t="s">
        <v>237</v>
      </c>
    </row>
    <row r="5731" spans="1:2" ht="12.75" customHeight="1" x14ac:dyDescent="0.25">
      <c r="A5731" s="318">
        <v>92485706961</v>
      </c>
      <c r="B5731" s="318" t="s">
        <v>237</v>
      </c>
    </row>
    <row r="5732" spans="1:2" ht="12.75" customHeight="1" x14ac:dyDescent="0.25">
      <c r="A5732" s="318">
        <v>92485706962</v>
      </c>
      <c r="B5732" s="318" t="s">
        <v>237</v>
      </c>
    </row>
    <row r="5733" spans="1:2" ht="12.75" customHeight="1" x14ac:dyDescent="0.25">
      <c r="A5733" s="318">
        <v>92485706963</v>
      </c>
      <c r="B5733" s="318" t="s">
        <v>237</v>
      </c>
    </row>
    <row r="5734" spans="1:2" ht="12.75" customHeight="1" x14ac:dyDescent="0.25">
      <c r="A5734" s="318">
        <v>92486387038</v>
      </c>
      <c r="B5734" s="318" t="s">
        <v>23</v>
      </c>
    </row>
    <row r="5735" spans="1:2" ht="12.75" customHeight="1" x14ac:dyDescent="0.25">
      <c r="A5735" s="318">
        <v>92486387039</v>
      </c>
      <c r="B5735" s="318" t="s">
        <v>23</v>
      </c>
    </row>
    <row r="5736" spans="1:2" ht="12.75" customHeight="1" x14ac:dyDescent="0.25">
      <c r="A5736" s="318">
        <v>92486387040</v>
      </c>
      <c r="B5736" s="318" t="s">
        <v>23</v>
      </c>
    </row>
    <row r="5737" spans="1:2" ht="12.75" customHeight="1" x14ac:dyDescent="0.25">
      <c r="A5737" s="318">
        <v>92486387041</v>
      </c>
      <c r="B5737" s="318" t="s">
        <v>23</v>
      </c>
    </row>
    <row r="5738" spans="1:2" ht="12.75" customHeight="1" x14ac:dyDescent="0.25">
      <c r="A5738" s="318">
        <v>92486387042</v>
      </c>
      <c r="B5738" s="318" t="s">
        <v>23</v>
      </c>
    </row>
    <row r="5739" spans="1:2" ht="12.75" customHeight="1" x14ac:dyDescent="0.25">
      <c r="A5739" s="318">
        <v>92486387043</v>
      </c>
      <c r="B5739" s="318" t="s">
        <v>23</v>
      </c>
    </row>
    <row r="5740" spans="1:2" ht="12.75" customHeight="1" x14ac:dyDescent="0.25">
      <c r="A5740" s="318">
        <v>92486387044</v>
      </c>
      <c r="B5740" s="318" t="s">
        <v>23</v>
      </c>
    </row>
    <row r="5741" spans="1:2" ht="12.75" customHeight="1" x14ac:dyDescent="0.25">
      <c r="A5741" s="318">
        <v>92486387045</v>
      </c>
      <c r="B5741" s="318" t="s">
        <v>237</v>
      </c>
    </row>
    <row r="5742" spans="1:2" ht="12.75" customHeight="1" x14ac:dyDescent="0.25">
      <c r="A5742" s="318">
        <v>92486387047</v>
      </c>
      <c r="B5742" s="318" t="s">
        <v>237</v>
      </c>
    </row>
    <row r="5743" spans="1:2" ht="12.75" customHeight="1" x14ac:dyDescent="0.25">
      <c r="A5743" s="318">
        <v>92486387048</v>
      </c>
      <c r="B5743" s="318" t="s">
        <v>237</v>
      </c>
    </row>
    <row r="5744" spans="1:2" ht="12.75" customHeight="1" x14ac:dyDescent="0.25">
      <c r="A5744" s="318">
        <v>92486387049</v>
      </c>
      <c r="B5744" s="318" t="s">
        <v>237</v>
      </c>
    </row>
    <row r="5745" spans="1:2" ht="12.75" customHeight="1" x14ac:dyDescent="0.25">
      <c r="A5745" s="318">
        <v>92486387050</v>
      </c>
      <c r="B5745" s="318" t="s">
        <v>237</v>
      </c>
    </row>
    <row r="5746" spans="1:2" ht="12.75" customHeight="1" x14ac:dyDescent="0.25">
      <c r="A5746" s="318">
        <v>92486387051</v>
      </c>
      <c r="B5746" s="318" t="s">
        <v>237</v>
      </c>
    </row>
    <row r="5747" spans="1:2" ht="12.75" customHeight="1" x14ac:dyDescent="0.25">
      <c r="A5747" s="318">
        <v>92486387052</v>
      </c>
      <c r="B5747" s="318" t="s">
        <v>237</v>
      </c>
    </row>
    <row r="5748" spans="1:2" ht="12.75" customHeight="1" x14ac:dyDescent="0.25">
      <c r="A5748" s="318">
        <v>92486387053</v>
      </c>
      <c r="B5748" s="318" t="s">
        <v>237</v>
      </c>
    </row>
    <row r="5749" spans="1:2" ht="12.75" customHeight="1" x14ac:dyDescent="0.25">
      <c r="A5749" s="318">
        <v>92486387054</v>
      </c>
      <c r="B5749" s="318" t="s">
        <v>237</v>
      </c>
    </row>
    <row r="5750" spans="1:2" ht="12.75" customHeight="1" x14ac:dyDescent="0.25">
      <c r="A5750" s="318">
        <v>92486387138</v>
      </c>
      <c r="B5750" s="318" t="s">
        <v>237</v>
      </c>
    </row>
    <row r="5751" spans="1:2" ht="12.75" customHeight="1" x14ac:dyDescent="0.25">
      <c r="A5751" s="318">
        <v>92486387139</v>
      </c>
      <c r="B5751" s="318" t="s">
        <v>237</v>
      </c>
    </row>
    <row r="5752" spans="1:2" ht="12.75" customHeight="1" x14ac:dyDescent="0.25">
      <c r="A5752" s="318">
        <v>92486387140</v>
      </c>
      <c r="B5752" s="318" t="s">
        <v>237</v>
      </c>
    </row>
    <row r="5753" spans="1:2" ht="12.75" customHeight="1" x14ac:dyDescent="0.25">
      <c r="A5753" s="318">
        <v>92486387141</v>
      </c>
      <c r="B5753" s="318" t="s">
        <v>237</v>
      </c>
    </row>
    <row r="5754" spans="1:2" ht="12.75" customHeight="1" x14ac:dyDescent="0.25">
      <c r="A5754" s="318">
        <v>92486387142</v>
      </c>
      <c r="B5754" s="318" t="s">
        <v>237</v>
      </c>
    </row>
    <row r="5755" spans="1:2" ht="12.75" customHeight="1" x14ac:dyDescent="0.25">
      <c r="A5755" s="318">
        <v>92486387143</v>
      </c>
      <c r="B5755" s="318" t="s">
        <v>237</v>
      </c>
    </row>
    <row r="5756" spans="1:2" ht="12.75" customHeight="1" x14ac:dyDescent="0.25">
      <c r="A5756" s="318">
        <v>92486387144</v>
      </c>
      <c r="B5756" s="318" t="s">
        <v>237</v>
      </c>
    </row>
    <row r="5757" spans="1:2" ht="12.75" customHeight="1" x14ac:dyDescent="0.25">
      <c r="A5757" s="318">
        <v>92486387145</v>
      </c>
      <c r="B5757" s="318" t="s">
        <v>237</v>
      </c>
    </row>
    <row r="5758" spans="1:2" ht="12.75" customHeight="1" x14ac:dyDescent="0.25">
      <c r="A5758" s="318">
        <v>92486387147</v>
      </c>
      <c r="B5758" s="318" t="s">
        <v>237</v>
      </c>
    </row>
    <row r="5759" spans="1:2" ht="12.75" customHeight="1" x14ac:dyDescent="0.25">
      <c r="A5759" s="318">
        <v>92486387148</v>
      </c>
      <c r="B5759" s="318" t="s">
        <v>237</v>
      </c>
    </row>
    <row r="5760" spans="1:2" ht="12.75" customHeight="1" x14ac:dyDescent="0.25">
      <c r="A5760" s="318">
        <v>92486387149</v>
      </c>
      <c r="B5760" s="318" t="s">
        <v>237</v>
      </c>
    </row>
    <row r="5761" spans="1:2" ht="12.75" customHeight="1" x14ac:dyDescent="0.25">
      <c r="A5761" s="318">
        <v>92486387150</v>
      </c>
      <c r="B5761" s="318" t="s">
        <v>237</v>
      </c>
    </row>
    <row r="5762" spans="1:2" ht="12.75" customHeight="1" x14ac:dyDescent="0.25">
      <c r="A5762" s="318">
        <v>92486387151</v>
      </c>
      <c r="B5762" s="318" t="s">
        <v>237</v>
      </c>
    </row>
    <row r="5763" spans="1:2" ht="12.75" customHeight="1" x14ac:dyDescent="0.25">
      <c r="A5763" s="318">
        <v>92486387152</v>
      </c>
      <c r="B5763" s="318" t="s">
        <v>237</v>
      </c>
    </row>
    <row r="5764" spans="1:2" ht="12.75" customHeight="1" x14ac:dyDescent="0.25">
      <c r="A5764" s="318">
        <v>92486387153</v>
      </c>
      <c r="B5764" s="318" t="s">
        <v>237</v>
      </c>
    </row>
    <row r="5765" spans="1:2" ht="12.75" customHeight="1" x14ac:dyDescent="0.25">
      <c r="A5765" s="318">
        <v>92486387154</v>
      </c>
      <c r="B5765" s="318" t="s">
        <v>237</v>
      </c>
    </row>
    <row r="5766" spans="1:2" ht="12.75" customHeight="1" x14ac:dyDescent="0.25">
      <c r="A5766" s="318">
        <v>92486868011</v>
      </c>
      <c r="B5766" s="318" t="s">
        <v>23</v>
      </c>
    </row>
    <row r="5767" spans="1:2" ht="12.75" customHeight="1" x14ac:dyDescent="0.25">
      <c r="A5767" s="318">
        <v>92486868012</v>
      </c>
      <c r="B5767" s="318" t="s">
        <v>23</v>
      </c>
    </row>
    <row r="5768" spans="1:2" ht="12.75" customHeight="1" x14ac:dyDescent="0.25">
      <c r="A5768" s="318">
        <v>92486868013</v>
      </c>
      <c r="B5768" s="318" t="s">
        <v>23</v>
      </c>
    </row>
    <row r="5769" spans="1:2" ht="12.75" customHeight="1" x14ac:dyDescent="0.25">
      <c r="A5769" s="318">
        <v>92486868014</v>
      </c>
      <c r="B5769" s="318" t="s">
        <v>23</v>
      </c>
    </row>
    <row r="5770" spans="1:2" ht="12.75" customHeight="1" x14ac:dyDescent="0.25">
      <c r="A5770" s="318">
        <v>92486868015</v>
      </c>
      <c r="B5770" s="318" t="s">
        <v>23</v>
      </c>
    </row>
    <row r="5771" spans="1:2" ht="12.75" customHeight="1" x14ac:dyDescent="0.25">
      <c r="A5771" s="318">
        <v>92486868016</v>
      </c>
      <c r="B5771" s="318" t="s">
        <v>23</v>
      </c>
    </row>
    <row r="5772" spans="1:2" ht="12.75" customHeight="1" x14ac:dyDescent="0.25">
      <c r="A5772" s="318">
        <v>92486868017</v>
      </c>
      <c r="B5772" s="318" t="s">
        <v>23</v>
      </c>
    </row>
    <row r="5773" spans="1:2" ht="12.75" customHeight="1" x14ac:dyDescent="0.25">
      <c r="A5773" s="318">
        <v>92486868018</v>
      </c>
      <c r="B5773" s="318" t="s">
        <v>237</v>
      </c>
    </row>
    <row r="5774" spans="1:2" ht="12.75" customHeight="1" x14ac:dyDescent="0.25">
      <c r="A5774" s="318">
        <v>92486868020</v>
      </c>
      <c r="B5774" s="318" t="s">
        <v>237</v>
      </c>
    </row>
    <row r="5775" spans="1:2" ht="12.75" customHeight="1" x14ac:dyDescent="0.25">
      <c r="A5775" s="318">
        <v>92486868021</v>
      </c>
      <c r="B5775" s="318" t="s">
        <v>237</v>
      </c>
    </row>
    <row r="5776" spans="1:2" ht="12.75" customHeight="1" x14ac:dyDescent="0.25">
      <c r="A5776" s="318">
        <v>92486868022</v>
      </c>
      <c r="B5776" s="318" t="s">
        <v>237</v>
      </c>
    </row>
    <row r="5777" spans="1:2" ht="12.75" customHeight="1" x14ac:dyDescent="0.25">
      <c r="A5777" s="318">
        <v>92486868023</v>
      </c>
      <c r="B5777" s="318" t="s">
        <v>237</v>
      </c>
    </row>
    <row r="5778" spans="1:2" ht="12.75" customHeight="1" x14ac:dyDescent="0.25">
      <c r="A5778" s="318">
        <v>92486868024</v>
      </c>
      <c r="B5778" s="318" t="s">
        <v>237</v>
      </c>
    </row>
    <row r="5779" spans="1:2" ht="12.75" customHeight="1" x14ac:dyDescent="0.25">
      <c r="A5779" s="318">
        <v>92486868025</v>
      </c>
      <c r="B5779" s="318" t="s">
        <v>237</v>
      </c>
    </row>
    <row r="5780" spans="1:2" ht="12.75" customHeight="1" x14ac:dyDescent="0.25">
      <c r="A5780" s="318">
        <v>92486868026</v>
      </c>
      <c r="B5780" s="318" t="s">
        <v>237</v>
      </c>
    </row>
    <row r="5781" spans="1:2" ht="12.75" customHeight="1" x14ac:dyDescent="0.25">
      <c r="A5781" s="318">
        <v>92486868027</v>
      </c>
      <c r="B5781" s="318" t="s">
        <v>237</v>
      </c>
    </row>
    <row r="5782" spans="1:2" ht="12.75" customHeight="1" x14ac:dyDescent="0.25">
      <c r="A5782" s="318">
        <v>92486868111</v>
      </c>
      <c r="B5782" s="318" t="s">
        <v>237</v>
      </c>
    </row>
    <row r="5783" spans="1:2" ht="12.75" customHeight="1" x14ac:dyDescent="0.25">
      <c r="A5783" s="318">
        <v>92486868112</v>
      </c>
      <c r="B5783" s="318" t="s">
        <v>237</v>
      </c>
    </row>
    <row r="5784" spans="1:2" ht="12.75" customHeight="1" x14ac:dyDescent="0.25">
      <c r="A5784" s="318">
        <v>92486868113</v>
      </c>
      <c r="B5784" s="318" t="s">
        <v>237</v>
      </c>
    </row>
    <row r="5785" spans="1:2" ht="12.75" customHeight="1" x14ac:dyDescent="0.25">
      <c r="A5785" s="318">
        <v>92486868114</v>
      </c>
      <c r="B5785" s="318" t="s">
        <v>237</v>
      </c>
    </row>
    <row r="5786" spans="1:2" ht="12.75" customHeight="1" x14ac:dyDescent="0.25">
      <c r="A5786" s="318">
        <v>92486868115</v>
      </c>
      <c r="B5786" s="318" t="s">
        <v>237</v>
      </c>
    </row>
    <row r="5787" spans="1:2" ht="12.75" customHeight="1" x14ac:dyDescent="0.25">
      <c r="A5787" s="318">
        <v>92486868116</v>
      </c>
      <c r="B5787" s="318" t="s">
        <v>237</v>
      </c>
    </row>
    <row r="5788" spans="1:2" ht="12.75" customHeight="1" x14ac:dyDescent="0.25">
      <c r="A5788" s="318">
        <v>92486868117</v>
      </c>
      <c r="B5788" s="318" t="s">
        <v>237</v>
      </c>
    </row>
    <row r="5789" spans="1:2" ht="12.75" customHeight="1" x14ac:dyDescent="0.25">
      <c r="A5789" s="318">
        <v>92486868118</v>
      </c>
      <c r="B5789" s="318" t="s">
        <v>237</v>
      </c>
    </row>
    <row r="5790" spans="1:2" ht="12.75" customHeight="1" x14ac:dyDescent="0.25">
      <c r="A5790" s="318">
        <v>92486868120</v>
      </c>
      <c r="B5790" s="318" t="s">
        <v>237</v>
      </c>
    </row>
    <row r="5791" spans="1:2" ht="12.75" customHeight="1" x14ac:dyDescent="0.25">
      <c r="A5791" s="318">
        <v>92486868121</v>
      </c>
      <c r="B5791" s="318" t="s">
        <v>237</v>
      </c>
    </row>
    <row r="5792" spans="1:2" ht="12.75" customHeight="1" x14ac:dyDescent="0.25">
      <c r="A5792" s="318">
        <v>92486868122</v>
      </c>
      <c r="B5792" s="318" t="s">
        <v>237</v>
      </c>
    </row>
    <row r="5793" spans="1:2" ht="12.75" customHeight="1" x14ac:dyDescent="0.25">
      <c r="A5793" s="318">
        <v>92486868123</v>
      </c>
      <c r="B5793" s="318" t="s">
        <v>237</v>
      </c>
    </row>
    <row r="5794" spans="1:2" ht="12.75" customHeight="1" x14ac:dyDescent="0.25">
      <c r="A5794" s="318">
        <v>92486868124</v>
      </c>
      <c r="B5794" s="318" t="s">
        <v>237</v>
      </c>
    </row>
    <row r="5795" spans="1:2" ht="12.75" customHeight="1" x14ac:dyDescent="0.25">
      <c r="A5795" s="318">
        <v>92486868125</v>
      </c>
      <c r="B5795" s="318" t="s">
        <v>237</v>
      </c>
    </row>
    <row r="5796" spans="1:2" ht="12.75" customHeight="1" x14ac:dyDescent="0.25">
      <c r="A5796" s="318">
        <v>92486868126</v>
      </c>
      <c r="B5796" s="318" t="s">
        <v>237</v>
      </c>
    </row>
    <row r="5797" spans="1:2" ht="12.75" customHeight="1" x14ac:dyDescent="0.25">
      <c r="A5797" s="318">
        <v>92486868127</v>
      </c>
      <c r="B5797" s="318" t="s">
        <v>237</v>
      </c>
    </row>
    <row r="5798" spans="1:2" ht="12.75" customHeight="1" x14ac:dyDescent="0.25">
      <c r="A5798" s="318">
        <v>92487348984</v>
      </c>
      <c r="B5798" s="318" t="s">
        <v>23</v>
      </c>
    </row>
    <row r="5799" spans="1:2" ht="12.75" customHeight="1" x14ac:dyDescent="0.25">
      <c r="A5799" s="318">
        <v>92487348985</v>
      </c>
      <c r="B5799" s="318" t="s">
        <v>23</v>
      </c>
    </row>
    <row r="5800" spans="1:2" ht="12.75" customHeight="1" x14ac:dyDescent="0.25">
      <c r="A5800" s="318">
        <v>92487348986</v>
      </c>
      <c r="B5800" s="318" t="s">
        <v>23</v>
      </c>
    </row>
    <row r="5801" spans="1:2" ht="12.75" customHeight="1" x14ac:dyDescent="0.25">
      <c r="A5801" s="318">
        <v>92487348987</v>
      </c>
      <c r="B5801" s="318" t="s">
        <v>23</v>
      </c>
    </row>
    <row r="5802" spans="1:2" ht="12.75" customHeight="1" x14ac:dyDescent="0.25">
      <c r="A5802" s="318">
        <v>92487348988</v>
      </c>
      <c r="B5802" s="318" t="s">
        <v>23</v>
      </c>
    </row>
    <row r="5803" spans="1:2" ht="12.75" customHeight="1" x14ac:dyDescent="0.25">
      <c r="A5803" s="318">
        <v>92487348989</v>
      </c>
      <c r="B5803" s="318" t="s">
        <v>23</v>
      </c>
    </row>
    <row r="5804" spans="1:2" ht="12.75" customHeight="1" x14ac:dyDescent="0.25">
      <c r="A5804" s="318">
        <v>92487348990</v>
      </c>
      <c r="B5804" s="318" t="s">
        <v>23</v>
      </c>
    </row>
    <row r="5805" spans="1:2" ht="12.75" customHeight="1" x14ac:dyDescent="0.25">
      <c r="A5805" s="318">
        <v>92487348991</v>
      </c>
      <c r="B5805" s="318" t="s">
        <v>237</v>
      </c>
    </row>
    <row r="5806" spans="1:2" ht="12.75" customHeight="1" x14ac:dyDescent="0.25">
      <c r="A5806" s="318">
        <v>92487348993</v>
      </c>
      <c r="B5806" s="318" t="s">
        <v>23</v>
      </c>
    </row>
    <row r="5807" spans="1:2" ht="12.75" customHeight="1" x14ac:dyDescent="0.25">
      <c r="A5807" s="318">
        <v>92487348994</v>
      </c>
      <c r="B5807" s="318" t="s">
        <v>237</v>
      </c>
    </row>
    <row r="5808" spans="1:2" ht="12.75" customHeight="1" x14ac:dyDescent="0.25">
      <c r="A5808" s="318">
        <v>92487348995</v>
      </c>
      <c r="B5808" s="318" t="s">
        <v>23</v>
      </c>
    </row>
    <row r="5809" spans="1:2" ht="12.75" customHeight="1" x14ac:dyDescent="0.25">
      <c r="A5809" s="318">
        <v>92487348996</v>
      </c>
      <c r="B5809" s="318" t="s">
        <v>237</v>
      </c>
    </row>
    <row r="5810" spans="1:2" ht="12.75" customHeight="1" x14ac:dyDescent="0.25">
      <c r="A5810" s="318">
        <v>92487348997</v>
      </c>
      <c r="B5810" s="318" t="s">
        <v>23</v>
      </c>
    </row>
    <row r="5811" spans="1:2" ht="12.75" customHeight="1" x14ac:dyDescent="0.25">
      <c r="A5811" s="318">
        <v>92487348998</v>
      </c>
      <c r="B5811" s="318" t="s">
        <v>237</v>
      </c>
    </row>
    <row r="5812" spans="1:2" ht="12.75" customHeight="1" x14ac:dyDescent="0.25">
      <c r="A5812" s="318">
        <v>92487348999</v>
      </c>
      <c r="B5812" s="318" t="s">
        <v>23</v>
      </c>
    </row>
    <row r="5813" spans="1:2" ht="12.75" customHeight="1" x14ac:dyDescent="0.25">
      <c r="A5813" s="318">
        <v>92487349000</v>
      </c>
      <c r="B5813" s="318" t="s">
        <v>237</v>
      </c>
    </row>
    <row r="5814" spans="1:2" ht="12.75" customHeight="1" x14ac:dyDescent="0.25">
      <c r="A5814" s="318">
        <v>92487349084</v>
      </c>
      <c r="B5814" s="318" t="s">
        <v>237</v>
      </c>
    </row>
    <row r="5815" spans="1:2" ht="12.75" customHeight="1" x14ac:dyDescent="0.25">
      <c r="A5815" s="318">
        <v>92487349085</v>
      </c>
      <c r="B5815" s="318" t="s">
        <v>237</v>
      </c>
    </row>
    <row r="5816" spans="1:2" ht="12.75" customHeight="1" x14ac:dyDescent="0.25">
      <c r="A5816" s="318">
        <v>92487349086</v>
      </c>
      <c r="B5816" s="318" t="s">
        <v>237</v>
      </c>
    </row>
    <row r="5817" spans="1:2" ht="12.75" customHeight="1" x14ac:dyDescent="0.25">
      <c r="A5817" s="318">
        <v>92487349087</v>
      </c>
      <c r="B5817" s="318" t="s">
        <v>237</v>
      </c>
    </row>
    <row r="5818" spans="1:2" ht="12.75" customHeight="1" x14ac:dyDescent="0.25">
      <c r="A5818" s="318">
        <v>92487349088</v>
      </c>
      <c r="B5818" s="318" t="s">
        <v>237</v>
      </c>
    </row>
    <row r="5819" spans="1:2" ht="12.75" customHeight="1" x14ac:dyDescent="0.25">
      <c r="A5819" s="318">
        <v>92487349089</v>
      </c>
      <c r="B5819" s="318" t="s">
        <v>237</v>
      </c>
    </row>
    <row r="5820" spans="1:2" ht="12.75" customHeight="1" x14ac:dyDescent="0.25">
      <c r="A5820" s="318">
        <v>92487349090</v>
      </c>
      <c r="B5820" s="318" t="s">
        <v>237</v>
      </c>
    </row>
    <row r="5821" spans="1:2" ht="12.75" customHeight="1" x14ac:dyDescent="0.25">
      <c r="A5821" s="318">
        <v>92487349091</v>
      </c>
      <c r="B5821" s="318" t="s">
        <v>237</v>
      </c>
    </row>
    <row r="5822" spans="1:2" ht="12.75" customHeight="1" x14ac:dyDescent="0.25">
      <c r="A5822" s="318">
        <v>92487349093</v>
      </c>
      <c r="B5822" s="318" t="s">
        <v>237</v>
      </c>
    </row>
    <row r="5823" spans="1:2" ht="12.75" customHeight="1" x14ac:dyDescent="0.25">
      <c r="A5823" s="318">
        <v>92487349094</v>
      </c>
      <c r="B5823" s="318" t="s">
        <v>237</v>
      </c>
    </row>
    <row r="5824" spans="1:2" ht="12.75" customHeight="1" x14ac:dyDescent="0.25">
      <c r="A5824" s="318">
        <v>92487349095</v>
      </c>
      <c r="B5824" s="318" t="s">
        <v>237</v>
      </c>
    </row>
    <row r="5825" spans="1:2" ht="12.75" customHeight="1" x14ac:dyDescent="0.25">
      <c r="A5825" s="318">
        <v>92487349096</v>
      </c>
      <c r="B5825" s="318" t="s">
        <v>237</v>
      </c>
    </row>
    <row r="5826" spans="1:2" ht="12.75" customHeight="1" x14ac:dyDescent="0.25">
      <c r="A5826" s="318">
        <v>92487349097</v>
      </c>
      <c r="B5826" s="318" t="s">
        <v>237</v>
      </c>
    </row>
    <row r="5827" spans="1:2" ht="12.75" customHeight="1" x14ac:dyDescent="0.25">
      <c r="A5827" s="318">
        <v>92487349098</v>
      </c>
      <c r="B5827" s="318" t="s">
        <v>237</v>
      </c>
    </row>
    <row r="5828" spans="1:2" ht="12.75" customHeight="1" x14ac:dyDescent="0.25">
      <c r="A5828" s="318">
        <v>92487349099</v>
      </c>
      <c r="B5828" s="318" t="s">
        <v>237</v>
      </c>
    </row>
    <row r="5829" spans="1:2" ht="12.75" customHeight="1" x14ac:dyDescent="0.25">
      <c r="A5829" s="318">
        <v>92487349100</v>
      </c>
      <c r="B5829" s="318" t="s">
        <v>237</v>
      </c>
    </row>
    <row r="5830" spans="1:2" ht="12.75" customHeight="1" x14ac:dyDescent="0.25">
      <c r="A5830" s="318">
        <v>92488029175</v>
      </c>
      <c r="B5830" s="318" t="s">
        <v>23</v>
      </c>
    </row>
    <row r="5831" spans="1:2" ht="12.75" customHeight="1" x14ac:dyDescent="0.25">
      <c r="A5831" s="318">
        <v>92488029176</v>
      </c>
      <c r="B5831" s="318" t="s">
        <v>23</v>
      </c>
    </row>
    <row r="5832" spans="1:2" ht="12.75" customHeight="1" x14ac:dyDescent="0.25">
      <c r="A5832" s="318">
        <v>92488029177</v>
      </c>
      <c r="B5832" s="318" t="s">
        <v>23</v>
      </c>
    </row>
    <row r="5833" spans="1:2" ht="12.75" customHeight="1" x14ac:dyDescent="0.25">
      <c r="A5833" s="318">
        <v>92488029178</v>
      </c>
      <c r="B5833" s="318" t="s">
        <v>23</v>
      </c>
    </row>
    <row r="5834" spans="1:2" ht="12.75" customHeight="1" x14ac:dyDescent="0.25">
      <c r="A5834" s="318">
        <v>92488029179</v>
      </c>
      <c r="B5834" s="318" t="s">
        <v>23</v>
      </c>
    </row>
    <row r="5835" spans="1:2" ht="12.75" customHeight="1" x14ac:dyDescent="0.25">
      <c r="A5835" s="318">
        <v>92488029180</v>
      </c>
      <c r="B5835" s="318" t="s">
        <v>23</v>
      </c>
    </row>
    <row r="5836" spans="1:2" ht="12.75" customHeight="1" x14ac:dyDescent="0.25">
      <c r="A5836" s="318">
        <v>92488029181</v>
      </c>
      <c r="B5836" s="318" t="s">
        <v>23</v>
      </c>
    </row>
    <row r="5837" spans="1:2" ht="12.75" customHeight="1" x14ac:dyDescent="0.25">
      <c r="A5837" s="318">
        <v>92488029182</v>
      </c>
      <c r="B5837" s="318" t="s">
        <v>237</v>
      </c>
    </row>
    <row r="5838" spans="1:2" ht="12.75" customHeight="1" x14ac:dyDescent="0.25">
      <c r="A5838" s="318">
        <v>92488029184</v>
      </c>
      <c r="B5838" s="318" t="s">
        <v>23</v>
      </c>
    </row>
    <row r="5839" spans="1:2" ht="12.75" customHeight="1" x14ac:dyDescent="0.25">
      <c r="A5839" s="318">
        <v>92488029185</v>
      </c>
      <c r="B5839" s="318" t="s">
        <v>237</v>
      </c>
    </row>
    <row r="5840" spans="1:2" ht="12.75" customHeight="1" x14ac:dyDescent="0.25">
      <c r="A5840" s="318">
        <v>92488029186</v>
      </c>
      <c r="B5840" s="318" t="s">
        <v>23</v>
      </c>
    </row>
    <row r="5841" spans="1:2" ht="12.75" customHeight="1" x14ac:dyDescent="0.25">
      <c r="A5841" s="318">
        <v>92488029187</v>
      </c>
      <c r="B5841" s="318" t="s">
        <v>237</v>
      </c>
    </row>
    <row r="5842" spans="1:2" ht="12.75" customHeight="1" x14ac:dyDescent="0.25">
      <c r="A5842" s="318">
        <v>92488029188</v>
      </c>
      <c r="B5842" s="318" t="s">
        <v>23</v>
      </c>
    </row>
    <row r="5843" spans="1:2" ht="12.75" customHeight="1" x14ac:dyDescent="0.25">
      <c r="A5843" s="318">
        <v>92488029189</v>
      </c>
      <c r="B5843" s="318" t="s">
        <v>237</v>
      </c>
    </row>
    <row r="5844" spans="1:2" ht="12.75" customHeight="1" x14ac:dyDescent="0.25">
      <c r="A5844" s="318">
        <v>92488029190</v>
      </c>
      <c r="B5844" s="318" t="s">
        <v>23</v>
      </c>
    </row>
    <row r="5845" spans="1:2" ht="12.75" customHeight="1" x14ac:dyDescent="0.25">
      <c r="A5845" s="318">
        <v>92488029191</v>
      </c>
      <c r="B5845" s="318" t="s">
        <v>237</v>
      </c>
    </row>
    <row r="5846" spans="1:2" ht="12.75" customHeight="1" x14ac:dyDescent="0.25">
      <c r="A5846" s="318">
        <v>92488029275</v>
      </c>
      <c r="B5846" s="318" t="s">
        <v>237</v>
      </c>
    </row>
    <row r="5847" spans="1:2" ht="12.75" customHeight="1" x14ac:dyDescent="0.25">
      <c r="A5847" s="318">
        <v>92488029276</v>
      </c>
      <c r="B5847" s="318" t="s">
        <v>237</v>
      </c>
    </row>
    <row r="5848" spans="1:2" ht="12.75" customHeight="1" x14ac:dyDescent="0.25">
      <c r="A5848" s="318">
        <v>92488029277</v>
      </c>
      <c r="B5848" s="318" t="s">
        <v>237</v>
      </c>
    </row>
    <row r="5849" spans="1:2" ht="12.75" customHeight="1" x14ac:dyDescent="0.25">
      <c r="A5849" s="318">
        <v>92488029278</v>
      </c>
      <c r="B5849" s="318" t="s">
        <v>237</v>
      </c>
    </row>
    <row r="5850" spans="1:2" ht="12.75" customHeight="1" x14ac:dyDescent="0.25">
      <c r="A5850" s="318">
        <v>92488029279</v>
      </c>
      <c r="B5850" s="318" t="s">
        <v>237</v>
      </c>
    </row>
    <row r="5851" spans="1:2" ht="12.75" customHeight="1" x14ac:dyDescent="0.25">
      <c r="A5851" s="318">
        <v>92488029280</v>
      </c>
      <c r="B5851" s="318" t="s">
        <v>237</v>
      </c>
    </row>
    <row r="5852" spans="1:2" ht="12.75" customHeight="1" x14ac:dyDescent="0.25">
      <c r="A5852" s="318">
        <v>92488029281</v>
      </c>
      <c r="B5852" s="318" t="s">
        <v>237</v>
      </c>
    </row>
    <row r="5853" spans="1:2" ht="12.75" customHeight="1" x14ac:dyDescent="0.25">
      <c r="A5853" s="318">
        <v>92488029282</v>
      </c>
      <c r="B5853" s="318" t="s">
        <v>237</v>
      </c>
    </row>
    <row r="5854" spans="1:2" ht="12.75" customHeight="1" x14ac:dyDescent="0.25">
      <c r="A5854" s="318">
        <v>92488029284</v>
      </c>
      <c r="B5854" s="318" t="s">
        <v>237</v>
      </c>
    </row>
    <row r="5855" spans="1:2" ht="12.75" customHeight="1" x14ac:dyDescent="0.25">
      <c r="A5855" s="318">
        <v>92488029285</v>
      </c>
      <c r="B5855" s="318" t="s">
        <v>237</v>
      </c>
    </row>
    <row r="5856" spans="1:2" ht="12.75" customHeight="1" x14ac:dyDescent="0.25">
      <c r="A5856" s="318">
        <v>92488029286</v>
      </c>
      <c r="B5856" s="318" t="s">
        <v>237</v>
      </c>
    </row>
    <row r="5857" spans="1:2" ht="12.75" customHeight="1" x14ac:dyDescent="0.25">
      <c r="A5857" s="318">
        <v>92488029287</v>
      </c>
      <c r="B5857" s="318" t="s">
        <v>237</v>
      </c>
    </row>
    <row r="5858" spans="1:2" ht="12.75" customHeight="1" x14ac:dyDescent="0.25">
      <c r="A5858" s="318">
        <v>92488029288</v>
      </c>
      <c r="B5858" s="318" t="s">
        <v>237</v>
      </c>
    </row>
    <row r="5859" spans="1:2" ht="12.75" customHeight="1" x14ac:dyDescent="0.25">
      <c r="A5859" s="318">
        <v>92488029289</v>
      </c>
      <c r="B5859" s="318" t="s">
        <v>237</v>
      </c>
    </row>
    <row r="5860" spans="1:2" ht="12.75" customHeight="1" x14ac:dyDescent="0.25">
      <c r="A5860" s="318">
        <v>92488029290</v>
      </c>
      <c r="B5860" s="318" t="s">
        <v>237</v>
      </c>
    </row>
    <row r="5861" spans="1:2" ht="12.75" customHeight="1" x14ac:dyDescent="0.25">
      <c r="A5861" s="318">
        <v>92488029291</v>
      </c>
      <c r="B5861" s="318" t="s">
        <v>237</v>
      </c>
    </row>
    <row r="5862" spans="1:2" ht="12.75" customHeight="1" x14ac:dyDescent="0.25">
      <c r="A5862" s="318">
        <v>92488510148</v>
      </c>
      <c r="B5862" s="318" t="s">
        <v>23</v>
      </c>
    </row>
    <row r="5863" spans="1:2" ht="12.75" customHeight="1" x14ac:dyDescent="0.25">
      <c r="A5863" s="318">
        <v>92488510149</v>
      </c>
      <c r="B5863" s="318" t="s">
        <v>23</v>
      </c>
    </row>
    <row r="5864" spans="1:2" ht="12.75" customHeight="1" x14ac:dyDescent="0.25">
      <c r="A5864" s="318">
        <v>92488510150</v>
      </c>
      <c r="B5864" s="318" t="s">
        <v>23</v>
      </c>
    </row>
    <row r="5865" spans="1:2" ht="12.75" customHeight="1" x14ac:dyDescent="0.25">
      <c r="A5865" s="318">
        <v>92488510151</v>
      </c>
      <c r="B5865" s="318" t="s">
        <v>23</v>
      </c>
    </row>
    <row r="5866" spans="1:2" ht="12.75" customHeight="1" x14ac:dyDescent="0.25">
      <c r="A5866" s="318">
        <v>92488510152</v>
      </c>
      <c r="B5866" s="318" t="s">
        <v>23</v>
      </c>
    </row>
    <row r="5867" spans="1:2" ht="12.75" customHeight="1" x14ac:dyDescent="0.25">
      <c r="A5867" s="318">
        <v>92488510153</v>
      </c>
      <c r="B5867" s="318" t="s">
        <v>23</v>
      </c>
    </row>
    <row r="5868" spans="1:2" ht="12.75" customHeight="1" x14ac:dyDescent="0.25">
      <c r="A5868" s="318">
        <v>92488510154</v>
      </c>
      <c r="B5868" s="318" t="s">
        <v>23</v>
      </c>
    </row>
    <row r="5869" spans="1:2" ht="12.75" customHeight="1" x14ac:dyDescent="0.25">
      <c r="A5869" s="318">
        <v>92488510155</v>
      </c>
      <c r="B5869" s="318" t="s">
        <v>237</v>
      </c>
    </row>
    <row r="5870" spans="1:2" ht="12.75" customHeight="1" x14ac:dyDescent="0.25">
      <c r="A5870" s="318">
        <v>92488510157</v>
      </c>
      <c r="B5870" s="318" t="s">
        <v>23</v>
      </c>
    </row>
    <row r="5871" spans="1:2" ht="12.75" customHeight="1" x14ac:dyDescent="0.25">
      <c r="A5871" s="318">
        <v>92488510158</v>
      </c>
      <c r="B5871" s="318" t="s">
        <v>237</v>
      </c>
    </row>
    <row r="5872" spans="1:2" ht="12.75" customHeight="1" x14ac:dyDescent="0.25">
      <c r="A5872" s="318">
        <v>92488510159</v>
      </c>
      <c r="B5872" s="318" t="s">
        <v>23</v>
      </c>
    </row>
    <row r="5873" spans="1:2" ht="12.75" customHeight="1" x14ac:dyDescent="0.25">
      <c r="A5873" s="318">
        <v>92488510160</v>
      </c>
      <c r="B5873" s="318" t="s">
        <v>237</v>
      </c>
    </row>
    <row r="5874" spans="1:2" ht="12.75" customHeight="1" x14ac:dyDescent="0.25">
      <c r="A5874" s="318">
        <v>92488510161</v>
      </c>
      <c r="B5874" s="318" t="s">
        <v>23</v>
      </c>
    </row>
    <row r="5875" spans="1:2" ht="12.75" customHeight="1" x14ac:dyDescent="0.25">
      <c r="A5875" s="318">
        <v>92488510162</v>
      </c>
      <c r="B5875" s="318" t="s">
        <v>237</v>
      </c>
    </row>
    <row r="5876" spans="1:2" ht="12.75" customHeight="1" x14ac:dyDescent="0.25">
      <c r="A5876" s="318">
        <v>92488510163</v>
      </c>
      <c r="B5876" s="318" t="s">
        <v>23</v>
      </c>
    </row>
    <row r="5877" spans="1:2" ht="12.75" customHeight="1" x14ac:dyDescent="0.25">
      <c r="A5877" s="318">
        <v>92488510164</v>
      </c>
      <c r="B5877" s="318" t="s">
        <v>237</v>
      </c>
    </row>
    <row r="5878" spans="1:2" ht="12.75" customHeight="1" x14ac:dyDescent="0.25">
      <c r="A5878" s="318">
        <v>92488510248</v>
      </c>
      <c r="B5878" s="318" t="s">
        <v>237</v>
      </c>
    </row>
    <row r="5879" spans="1:2" ht="12.75" customHeight="1" x14ac:dyDescent="0.25">
      <c r="A5879" s="318">
        <v>92488510249</v>
      </c>
      <c r="B5879" s="318" t="s">
        <v>237</v>
      </c>
    </row>
    <row r="5880" spans="1:2" ht="12.75" customHeight="1" x14ac:dyDescent="0.25">
      <c r="A5880" s="318">
        <v>92488510250</v>
      </c>
      <c r="B5880" s="318" t="s">
        <v>237</v>
      </c>
    </row>
    <row r="5881" spans="1:2" ht="12.75" customHeight="1" x14ac:dyDescent="0.25">
      <c r="A5881" s="318">
        <v>92488510251</v>
      </c>
      <c r="B5881" s="318" t="s">
        <v>237</v>
      </c>
    </row>
    <row r="5882" spans="1:2" ht="12.75" customHeight="1" x14ac:dyDescent="0.25">
      <c r="A5882" s="318">
        <v>92488510252</v>
      </c>
      <c r="B5882" s="318" t="s">
        <v>237</v>
      </c>
    </row>
    <row r="5883" spans="1:2" ht="12.75" customHeight="1" x14ac:dyDescent="0.25">
      <c r="A5883" s="318">
        <v>92488510253</v>
      </c>
      <c r="B5883" s="318" t="s">
        <v>237</v>
      </c>
    </row>
    <row r="5884" spans="1:2" ht="12.75" customHeight="1" x14ac:dyDescent="0.25">
      <c r="A5884" s="318">
        <v>92488510254</v>
      </c>
      <c r="B5884" s="318" t="s">
        <v>237</v>
      </c>
    </row>
    <row r="5885" spans="1:2" ht="12.75" customHeight="1" x14ac:dyDescent="0.25">
      <c r="A5885" s="318">
        <v>92488510255</v>
      </c>
      <c r="B5885" s="318" t="s">
        <v>237</v>
      </c>
    </row>
    <row r="5886" spans="1:2" ht="12.75" customHeight="1" x14ac:dyDescent="0.25">
      <c r="A5886" s="318">
        <v>92488510257</v>
      </c>
      <c r="B5886" s="318" t="s">
        <v>237</v>
      </c>
    </row>
    <row r="5887" spans="1:2" ht="12.75" customHeight="1" x14ac:dyDescent="0.25">
      <c r="A5887" s="318">
        <v>92488510258</v>
      </c>
      <c r="B5887" s="318" t="s">
        <v>237</v>
      </c>
    </row>
    <row r="5888" spans="1:2" ht="12.75" customHeight="1" x14ac:dyDescent="0.25">
      <c r="A5888" s="318">
        <v>92488510259</v>
      </c>
      <c r="B5888" s="318" t="s">
        <v>237</v>
      </c>
    </row>
    <row r="5889" spans="1:2" ht="12.75" customHeight="1" x14ac:dyDescent="0.25">
      <c r="A5889" s="318">
        <v>92488510260</v>
      </c>
      <c r="B5889" s="318" t="s">
        <v>237</v>
      </c>
    </row>
    <row r="5890" spans="1:2" ht="12.75" customHeight="1" x14ac:dyDescent="0.25">
      <c r="A5890" s="318">
        <v>92488510261</v>
      </c>
      <c r="B5890" s="318" t="s">
        <v>237</v>
      </c>
    </row>
    <row r="5891" spans="1:2" ht="12.75" customHeight="1" x14ac:dyDescent="0.25">
      <c r="A5891" s="318">
        <v>92488510262</v>
      </c>
      <c r="B5891" s="318" t="s">
        <v>237</v>
      </c>
    </row>
    <row r="5892" spans="1:2" ht="12.75" customHeight="1" x14ac:dyDescent="0.25">
      <c r="A5892" s="318">
        <v>92488510263</v>
      </c>
      <c r="B5892" s="318" t="s">
        <v>237</v>
      </c>
    </row>
    <row r="5893" spans="1:2" ht="12.75" customHeight="1" x14ac:dyDescent="0.25">
      <c r="A5893" s="318">
        <v>92488510264</v>
      </c>
      <c r="B5893" s="318" t="s">
        <v>237</v>
      </c>
    </row>
    <row r="5894" spans="1:2" ht="12.75" customHeight="1" x14ac:dyDescent="0.25">
      <c r="A5894" s="318">
        <v>92488991121</v>
      </c>
      <c r="B5894" s="318" t="s">
        <v>23</v>
      </c>
    </row>
    <row r="5895" spans="1:2" ht="12.75" customHeight="1" x14ac:dyDescent="0.25">
      <c r="A5895" s="318">
        <v>92488991122</v>
      </c>
      <c r="B5895" s="318" t="s">
        <v>23</v>
      </c>
    </row>
    <row r="5896" spans="1:2" ht="12.75" customHeight="1" x14ac:dyDescent="0.25">
      <c r="A5896" s="318">
        <v>92488991123</v>
      </c>
      <c r="B5896" s="318" t="s">
        <v>23</v>
      </c>
    </row>
    <row r="5897" spans="1:2" ht="12.75" customHeight="1" x14ac:dyDescent="0.25">
      <c r="A5897" s="318">
        <v>92488991124</v>
      </c>
      <c r="B5897" s="318" t="s">
        <v>23</v>
      </c>
    </row>
    <row r="5898" spans="1:2" ht="12.75" customHeight="1" x14ac:dyDescent="0.25">
      <c r="A5898" s="318">
        <v>92488991125</v>
      </c>
      <c r="B5898" s="318" t="s">
        <v>23</v>
      </c>
    </row>
    <row r="5899" spans="1:2" ht="12.75" customHeight="1" x14ac:dyDescent="0.25">
      <c r="A5899" s="318">
        <v>92488991126</v>
      </c>
      <c r="B5899" s="318" t="s">
        <v>23</v>
      </c>
    </row>
    <row r="5900" spans="1:2" ht="12.75" customHeight="1" x14ac:dyDescent="0.25">
      <c r="A5900" s="318">
        <v>92488991127</v>
      </c>
      <c r="B5900" s="318" t="s">
        <v>23</v>
      </c>
    </row>
    <row r="5901" spans="1:2" ht="12.75" customHeight="1" x14ac:dyDescent="0.25">
      <c r="A5901" s="318">
        <v>92488991128</v>
      </c>
      <c r="B5901" s="318" t="s">
        <v>237</v>
      </c>
    </row>
    <row r="5902" spans="1:2" ht="12.75" customHeight="1" x14ac:dyDescent="0.25">
      <c r="A5902" s="318">
        <v>92488991130</v>
      </c>
      <c r="B5902" s="318" t="s">
        <v>23</v>
      </c>
    </row>
    <row r="5903" spans="1:2" ht="12.75" customHeight="1" x14ac:dyDescent="0.25">
      <c r="A5903" s="318">
        <v>92488991131</v>
      </c>
      <c r="B5903" s="318" t="s">
        <v>237</v>
      </c>
    </row>
    <row r="5904" spans="1:2" ht="12.75" customHeight="1" x14ac:dyDescent="0.25">
      <c r="A5904" s="318">
        <v>92488991132</v>
      </c>
      <c r="B5904" s="318" t="s">
        <v>23</v>
      </c>
    </row>
    <row r="5905" spans="1:2" ht="12.75" customHeight="1" x14ac:dyDescent="0.25">
      <c r="A5905" s="318">
        <v>92488991133</v>
      </c>
      <c r="B5905" s="318" t="s">
        <v>237</v>
      </c>
    </row>
    <row r="5906" spans="1:2" ht="12.75" customHeight="1" x14ac:dyDescent="0.25">
      <c r="A5906" s="318">
        <v>92488991134</v>
      </c>
      <c r="B5906" s="318" t="s">
        <v>23</v>
      </c>
    </row>
    <row r="5907" spans="1:2" ht="12.75" customHeight="1" x14ac:dyDescent="0.25">
      <c r="A5907" s="318">
        <v>92488991135</v>
      </c>
      <c r="B5907" s="318" t="s">
        <v>237</v>
      </c>
    </row>
    <row r="5908" spans="1:2" ht="12.75" customHeight="1" x14ac:dyDescent="0.25">
      <c r="A5908" s="318">
        <v>92488991136</v>
      </c>
      <c r="B5908" s="318" t="s">
        <v>23</v>
      </c>
    </row>
    <row r="5909" spans="1:2" ht="12.75" customHeight="1" x14ac:dyDescent="0.25">
      <c r="A5909" s="318">
        <v>92488991137</v>
      </c>
      <c r="B5909" s="318" t="s">
        <v>237</v>
      </c>
    </row>
    <row r="5910" spans="1:2" ht="12.75" customHeight="1" x14ac:dyDescent="0.25">
      <c r="A5910" s="318">
        <v>92488991221</v>
      </c>
      <c r="B5910" s="318" t="s">
        <v>237</v>
      </c>
    </row>
    <row r="5911" spans="1:2" ht="12.75" customHeight="1" x14ac:dyDescent="0.25">
      <c r="A5911" s="318">
        <v>92488991222</v>
      </c>
      <c r="B5911" s="318" t="s">
        <v>237</v>
      </c>
    </row>
    <row r="5912" spans="1:2" ht="12.75" customHeight="1" x14ac:dyDescent="0.25">
      <c r="A5912" s="318">
        <v>92488991223</v>
      </c>
      <c r="B5912" s="318" t="s">
        <v>237</v>
      </c>
    </row>
    <row r="5913" spans="1:2" ht="12.75" customHeight="1" x14ac:dyDescent="0.25">
      <c r="A5913" s="318">
        <v>92488991224</v>
      </c>
      <c r="B5913" s="318" t="s">
        <v>237</v>
      </c>
    </row>
    <row r="5914" spans="1:2" ht="12.75" customHeight="1" x14ac:dyDescent="0.25">
      <c r="A5914" s="318">
        <v>92488991225</v>
      </c>
      <c r="B5914" s="318" t="s">
        <v>237</v>
      </c>
    </row>
    <row r="5915" spans="1:2" ht="12.75" customHeight="1" x14ac:dyDescent="0.25">
      <c r="A5915" s="318">
        <v>92488991226</v>
      </c>
      <c r="B5915" s="318" t="s">
        <v>237</v>
      </c>
    </row>
    <row r="5916" spans="1:2" ht="12.75" customHeight="1" x14ac:dyDescent="0.25">
      <c r="A5916" s="318">
        <v>92488991227</v>
      </c>
      <c r="B5916" s="318" t="s">
        <v>237</v>
      </c>
    </row>
    <row r="5917" spans="1:2" ht="12.75" customHeight="1" x14ac:dyDescent="0.25">
      <c r="A5917" s="318">
        <v>92488991228</v>
      </c>
      <c r="B5917" s="318" t="s">
        <v>237</v>
      </c>
    </row>
    <row r="5918" spans="1:2" ht="12.75" customHeight="1" x14ac:dyDescent="0.25">
      <c r="A5918" s="318">
        <v>92488991230</v>
      </c>
      <c r="B5918" s="318" t="s">
        <v>237</v>
      </c>
    </row>
    <row r="5919" spans="1:2" ht="12.75" customHeight="1" x14ac:dyDescent="0.25">
      <c r="A5919" s="318">
        <v>92488991231</v>
      </c>
      <c r="B5919" s="318" t="s">
        <v>237</v>
      </c>
    </row>
    <row r="5920" spans="1:2" ht="12.75" customHeight="1" x14ac:dyDescent="0.25">
      <c r="A5920" s="318">
        <v>92488991232</v>
      </c>
      <c r="B5920" s="318" t="s">
        <v>237</v>
      </c>
    </row>
    <row r="5921" spans="1:2" ht="12.75" customHeight="1" x14ac:dyDescent="0.25">
      <c r="A5921" s="318">
        <v>92488991233</v>
      </c>
      <c r="B5921" s="318" t="s">
        <v>237</v>
      </c>
    </row>
    <row r="5922" spans="1:2" ht="12.75" customHeight="1" x14ac:dyDescent="0.25">
      <c r="A5922" s="318">
        <v>92488991234</v>
      </c>
      <c r="B5922" s="318" t="s">
        <v>237</v>
      </c>
    </row>
    <row r="5923" spans="1:2" ht="12.75" customHeight="1" x14ac:dyDescent="0.25">
      <c r="A5923" s="318">
        <v>92488991235</v>
      </c>
      <c r="B5923" s="318" t="s">
        <v>237</v>
      </c>
    </row>
    <row r="5924" spans="1:2" ht="12.75" customHeight="1" x14ac:dyDescent="0.25">
      <c r="A5924" s="318">
        <v>92488991236</v>
      </c>
      <c r="B5924" s="318" t="s">
        <v>237</v>
      </c>
    </row>
    <row r="5925" spans="1:2" ht="12.75" customHeight="1" x14ac:dyDescent="0.25">
      <c r="A5925" s="318">
        <v>92488991237</v>
      </c>
      <c r="B5925" s="318" t="s">
        <v>237</v>
      </c>
    </row>
    <row r="5926" spans="1:2" ht="12.75" customHeight="1" x14ac:dyDescent="0.25">
      <c r="A5926" s="318">
        <v>92490351502</v>
      </c>
      <c r="B5926" s="318" t="s">
        <v>23</v>
      </c>
    </row>
    <row r="5927" spans="1:2" ht="12.75" customHeight="1" x14ac:dyDescent="0.25">
      <c r="A5927" s="318">
        <v>92490351503</v>
      </c>
      <c r="B5927" s="318" t="s">
        <v>23</v>
      </c>
    </row>
    <row r="5928" spans="1:2" ht="12.75" customHeight="1" x14ac:dyDescent="0.25">
      <c r="A5928" s="318">
        <v>92490351504</v>
      </c>
      <c r="B5928" s="318" t="s">
        <v>23</v>
      </c>
    </row>
    <row r="5929" spans="1:2" ht="12.75" customHeight="1" x14ac:dyDescent="0.25">
      <c r="A5929" s="318">
        <v>92490351505</v>
      </c>
      <c r="B5929" s="318" t="s">
        <v>23</v>
      </c>
    </row>
    <row r="5930" spans="1:2" ht="12.75" customHeight="1" x14ac:dyDescent="0.25">
      <c r="A5930" s="318">
        <v>92490351506</v>
      </c>
      <c r="B5930" s="318" t="s">
        <v>23</v>
      </c>
    </row>
    <row r="5931" spans="1:2" ht="12.75" customHeight="1" x14ac:dyDescent="0.25">
      <c r="A5931" s="318">
        <v>92490351507</v>
      </c>
      <c r="B5931" s="318" t="s">
        <v>23</v>
      </c>
    </row>
    <row r="5932" spans="1:2" ht="12.75" customHeight="1" x14ac:dyDescent="0.25">
      <c r="A5932" s="318">
        <v>92490351508</v>
      </c>
      <c r="B5932" s="318" t="s">
        <v>23</v>
      </c>
    </row>
    <row r="5933" spans="1:2" ht="12.75" customHeight="1" x14ac:dyDescent="0.25">
      <c r="A5933" s="318">
        <v>92490351509</v>
      </c>
      <c r="B5933" s="318" t="s">
        <v>237</v>
      </c>
    </row>
    <row r="5934" spans="1:2" ht="12.75" customHeight="1" x14ac:dyDescent="0.25">
      <c r="A5934" s="318">
        <v>92490351511</v>
      </c>
      <c r="B5934" s="318" t="s">
        <v>237</v>
      </c>
    </row>
    <row r="5935" spans="1:2" ht="12.75" customHeight="1" x14ac:dyDescent="0.25">
      <c r="A5935" s="318">
        <v>92490351512</v>
      </c>
      <c r="B5935" s="318" t="s">
        <v>237</v>
      </c>
    </row>
    <row r="5936" spans="1:2" ht="12.75" customHeight="1" x14ac:dyDescent="0.25">
      <c r="A5936" s="318">
        <v>92490351513</v>
      </c>
      <c r="B5936" s="318" t="s">
        <v>237</v>
      </c>
    </row>
    <row r="5937" spans="1:2" ht="12.75" customHeight="1" x14ac:dyDescent="0.25">
      <c r="A5937" s="318">
        <v>92490351514</v>
      </c>
      <c r="B5937" s="318" t="s">
        <v>237</v>
      </c>
    </row>
    <row r="5938" spans="1:2" ht="12.75" customHeight="1" x14ac:dyDescent="0.25">
      <c r="A5938" s="318">
        <v>92490351515</v>
      </c>
      <c r="B5938" s="318" t="s">
        <v>237</v>
      </c>
    </row>
    <row r="5939" spans="1:2" ht="12.75" customHeight="1" x14ac:dyDescent="0.25">
      <c r="A5939" s="318">
        <v>92490351516</v>
      </c>
      <c r="B5939" s="318" t="s">
        <v>237</v>
      </c>
    </row>
    <row r="5940" spans="1:2" ht="12.75" customHeight="1" x14ac:dyDescent="0.25">
      <c r="A5940" s="318">
        <v>92490351517</v>
      </c>
      <c r="B5940" s="318" t="s">
        <v>237</v>
      </c>
    </row>
    <row r="5941" spans="1:2" ht="12.75" customHeight="1" x14ac:dyDescent="0.25">
      <c r="A5941" s="318">
        <v>92490351518</v>
      </c>
      <c r="B5941" s="318" t="s">
        <v>237</v>
      </c>
    </row>
    <row r="5942" spans="1:2" ht="12.75" customHeight="1" x14ac:dyDescent="0.25">
      <c r="A5942" s="318">
        <v>92490351602</v>
      </c>
      <c r="B5942" s="318" t="s">
        <v>237</v>
      </c>
    </row>
    <row r="5943" spans="1:2" ht="12.75" customHeight="1" x14ac:dyDescent="0.25">
      <c r="A5943" s="318">
        <v>92490351603</v>
      </c>
      <c r="B5943" s="318" t="s">
        <v>237</v>
      </c>
    </row>
    <row r="5944" spans="1:2" ht="12.75" customHeight="1" x14ac:dyDescent="0.25">
      <c r="A5944" s="318">
        <v>92490351604</v>
      </c>
      <c r="B5944" s="318" t="s">
        <v>237</v>
      </c>
    </row>
    <row r="5945" spans="1:2" ht="12.75" customHeight="1" x14ac:dyDescent="0.25">
      <c r="A5945" s="318">
        <v>92490351605</v>
      </c>
      <c r="B5945" s="318" t="s">
        <v>237</v>
      </c>
    </row>
    <row r="5946" spans="1:2" ht="12.75" customHeight="1" x14ac:dyDescent="0.25">
      <c r="A5946" s="318">
        <v>92490351606</v>
      </c>
      <c r="B5946" s="318" t="s">
        <v>237</v>
      </c>
    </row>
    <row r="5947" spans="1:2" ht="12.75" customHeight="1" x14ac:dyDescent="0.25">
      <c r="A5947" s="318">
        <v>92490351607</v>
      </c>
      <c r="B5947" s="318" t="s">
        <v>237</v>
      </c>
    </row>
    <row r="5948" spans="1:2" ht="12.75" customHeight="1" x14ac:dyDescent="0.25">
      <c r="A5948" s="318">
        <v>92490351608</v>
      </c>
      <c r="B5948" s="318" t="s">
        <v>237</v>
      </c>
    </row>
    <row r="5949" spans="1:2" ht="12.75" customHeight="1" x14ac:dyDescent="0.25">
      <c r="A5949" s="318">
        <v>92490351609</v>
      </c>
      <c r="B5949" s="318" t="s">
        <v>237</v>
      </c>
    </row>
    <row r="5950" spans="1:2" ht="12.75" customHeight="1" x14ac:dyDescent="0.25">
      <c r="A5950" s="318">
        <v>92490351611</v>
      </c>
      <c r="B5950" s="318" t="s">
        <v>237</v>
      </c>
    </row>
    <row r="5951" spans="1:2" ht="12.75" customHeight="1" x14ac:dyDescent="0.25">
      <c r="A5951" s="318">
        <v>92490351612</v>
      </c>
      <c r="B5951" s="318" t="s">
        <v>237</v>
      </c>
    </row>
    <row r="5952" spans="1:2" ht="12.75" customHeight="1" x14ac:dyDescent="0.25">
      <c r="A5952" s="318">
        <v>92490351613</v>
      </c>
      <c r="B5952" s="318" t="s">
        <v>237</v>
      </c>
    </row>
    <row r="5953" spans="1:2" ht="12.75" customHeight="1" x14ac:dyDescent="0.25">
      <c r="A5953" s="318">
        <v>92490351614</v>
      </c>
      <c r="B5953" s="318" t="s">
        <v>237</v>
      </c>
    </row>
    <row r="5954" spans="1:2" ht="12.75" customHeight="1" x14ac:dyDescent="0.25">
      <c r="A5954" s="318">
        <v>92490351615</v>
      </c>
      <c r="B5954" s="318" t="s">
        <v>237</v>
      </c>
    </row>
    <row r="5955" spans="1:2" ht="12.75" customHeight="1" x14ac:dyDescent="0.25">
      <c r="A5955" s="318">
        <v>92490351616</v>
      </c>
      <c r="B5955" s="318" t="s">
        <v>237</v>
      </c>
    </row>
    <row r="5956" spans="1:2" ht="12.75" customHeight="1" x14ac:dyDescent="0.25">
      <c r="A5956" s="318">
        <v>92490351617</v>
      </c>
      <c r="B5956" s="318" t="s">
        <v>237</v>
      </c>
    </row>
    <row r="5957" spans="1:2" ht="12.75" customHeight="1" x14ac:dyDescent="0.25">
      <c r="A5957" s="318">
        <v>92490351618</v>
      </c>
      <c r="B5957" s="318" t="s">
        <v>237</v>
      </c>
    </row>
    <row r="5958" spans="1:2" ht="12.75" customHeight="1" x14ac:dyDescent="0.25">
      <c r="A5958" s="318">
        <v>92490832475</v>
      </c>
      <c r="B5958" s="318" t="s">
        <v>23</v>
      </c>
    </row>
    <row r="5959" spans="1:2" ht="12.75" customHeight="1" x14ac:dyDescent="0.25">
      <c r="A5959" s="318">
        <v>92490832476</v>
      </c>
      <c r="B5959" s="318" t="s">
        <v>23</v>
      </c>
    </row>
    <row r="5960" spans="1:2" ht="12.75" customHeight="1" x14ac:dyDescent="0.25">
      <c r="A5960" s="318">
        <v>92490832477</v>
      </c>
      <c r="B5960" s="318" t="s">
        <v>23</v>
      </c>
    </row>
    <row r="5961" spans="1:2" ht="12.75" customHeight="1" x14ac:dyDescent="0.25">
      <c r="A5961" s="318">
        <v>92490832478</v>
      </c>
      <c r="B5961" s="318" t="s">
        <v>23</v>
      </c>
    </row>
    <row r="5962" spans="1:2" ht="12.75" customHeight="1" x14ac:dyDescent="0.25">
      <c r="A5962" s="318">
        <v>92490832479</v>
      </c>
      <c r="B5962" s="318" t="s">
        <v>23</v>
      </c>
    </row>
    <row r="5963" spans="1:2" ht="12.75" customHeight="1" x14ac:dyDescent="0.25">
      <c r="A5963" s="318">
        <v>92490832480</v>
      </c>
      <c r="B5963" s="318" t="s">
        <v>23</v>
      </c>
    </row>
    <row r="5964" spans="1:2" ht="12.75" customHeight="1" x14ac:dyDescent="0.25">
      <c r="A5964" s="318">
        <v>92490832481</v>
      </c>
      <c r="B5964" s="318" t="s">
        <v>23</v>
      </c>
    </row>
    <row r="5965" spans="1:2" ht="12.75" customHeight="1" x14ac:dyDescent="0.25">
      <c r="A5965" s="318">
        <v>92490832482</v>
      </c>
      <c r="B5965" s="318" t="s">
        <v>237</v>
      </c>
    </row>
    <row r="5966" spans="1:2" ht="12.75" customHeight="1" x14ac:dyDescent="0.25">
      <c r="A5966" s="318">
        <v>92490832484</v>
      </c>
      <c r="B5966" s="318" t="s">
        <v>237</v>
      </c>
    </row>
    <row r="5967" spans="1:2" ht="12.75" customHeight="1" x14ac:dyDescent="0.25">
      <c r="A5967" s="318">
        <v>92490832485</v>
      </c>
      <c r="B5967" s="318" t="s">
        <v>237</v>
      </c>
    </row>
    <row r="5968" spans="1:2" ht="12.75" customHeight="1" x14ac:dyDescent="0.25">
      <c r="A5968" s="318">
        <v>92490832486</v>
      </c>
      <c r="B5968" s="318" t="s">
        <v>237</v>
      </c>
    </row>
    <row r="5969" spans="1:2" ht="12.75" customHeight="1" x14ac:dyDescent="0.25">
      <c r="A5969" s="318">
        <v>92490832487</v>
      </c>
      <c r="B5969" s="318" t="s">
        <v>237</v>
      </c>
    </row>
    <row r="5970" spans="1:2" ht="12.75" customHeight="1" x14ac:dyDescent="0.25">
      <c r="A5970" s="318">
        <v>92490832488</v>
      </c>
      <c r="B5970" s="318" t="s">
        <v>237</v>
      </c>
    </row>
    <row r="5971" spans="1:2" ht="12.75" customHeight="1" x14ac:dyDescent="0.25">
      <c r="A5971" s="318">
        <v>92490832489</v>
      </c>
      <c r="B5971" s="318" t="s">
        <v>237</v>
      </c>
    </row>
    <row r="5972" spans="1:2" ht="12.75" customHeight="1" x14ac:dyDescent="0.25">
      <c r="A5972" s="318">
        <v>92490832490</v>
      </c>
      <c r="B5972" s="318" t="s">
        <v>237</v>
      </c>
    </row>
    <row r="5973" spans="1:2" ht="12.75" customHeight="1" x14ac:dyDescent="0.25">
      <c r="A5973" s="318">
        <v>92490832491</v>
      </c>
      <c r="B5973" s="318" t="s">
        <v>237</v>
      </c>
    </row>
    <row r="5974" spans="1:2" ht="12.75" customHeight="1" x14ac:dyDescent="0.25">
      <c r="A5974" s="318">
        <v>92490832575</v>
      </c>
      <c r="B5974" s="318" t="s">
        <v>237</v>
      </c>
    </row>
    <row r="5975" spans="1:2" ht="12.75" customHeight="1" x14ac:dyDescent="0.25">
      <c r="A5975" s="318">
        <v>92490832576</v>
      </c>
      <c r="B5975" s="318" t="s">
        <v>237</v>
      </c>
    </row>
    <row r="5976" spans="1:2" ht="12.75" customHeight="1" x14ac:dyDescent="0.25">
      <c r="A5976" s="318">
        <v>92490832577</v>
      </c>
      <c r="B5976" s="318" t="s">
        <v>237</v>
      </c>
    </row>
    <row r="5977" spans="1:2" ht="12.75" customHeight="1" x14ac:dyDescent="0.25">
      <c r="A5977" s="318">
        <v>92490832578</v>
      </c>
      <c r="B5977" s="318" t="s">
        <v>237</v>
      </c>
    </row>
    <row r="5978" spans="1:2" ht="12.75" customHeight="1" x14ac:dyDescent="0.25">
      <c r="A5978" s="318">
        <v>92490832579</v>
      </c>
      <c r="B5978" s="318" t="s">
        <v>237</v>
      </c>
    </row>
    <row r="5979" spans="1:2" ht="12.75" customHeight="1" x14ac:dyDescent="0.25">
      <c r="A5979" s="318">
        <v>92490832580</v>
      </c>
      <c r="B5979" s="318" t="s">
        <v>237</v>
      </c>
    </row>
    <row r="5980" spans="1:2" ht="12.75" customHeight="1" x14ac:dyDescent="0.25">
      <c r="A5980" s="318">
        <v>92490832581</v>
      </c>
      <c r="B5980" s="318" t="s">
        <v>237</v>
      </c>
    </row>
    <row r="5981" spans="1:2" ht="12.75" customHeight="1" x14ac:dyDescent="0.25">
      <c r="A5981" s="318">
        <v>92490832582</v>
      </c>
      <c r="B5981" s="318" t="s">
        <v>237</v>
      </c>
    </row>
    <row r="5982" spans="1:2" ht="12.75" customHeight="1" x14ac:dyDescent="0.25">
      <c r="A5982" s="318">
        <v>92490832584</v>
      </c>
      <c r="B5982" s="318" t="s">
        <v>237</v>
      </c>
    </row>
    <row r="5983" spans="1:2" ht="12.75" customHeight="1" x14ac:dyDescent="0.25">
      <c r="A5983" s="318">
        <v>92490832585</v>
      </c>
      <c r="B5983" s="318" t="s">
        <v>237</v>
      </c>
    </row>
    <row r="5984" spans="1:2" ht="12.75" customHeight="1" x14ac:dyDescent="0.25">
      <c r="A5984" s="318">
        <v>92490832586</v>
      </c>
      <c r="B5984" s="318" t="s">
        <v>237</v>
      </c>
    </row>
    <row r="5985" spans="1:2" ht="12.75" customHeight="1" x14ac:dyDescent="0.25">
      <c r="A5985" s="318">
        <v>92490832587</v>
      </c>
      <c r="B5985" s="318" t="s">
        <v>237</v>
      </c>
    </row>
    <row r="5986" spans="1:2" ht="12.75" customHeight="1" x14ac:dyDescent="0.25">
      <c r="A5986" s="318">
        <v>92490832588</v>
      </c>
      <c r="B5986" s="318" t="s">
        <v>237</v>
      </c>
    </row>
    <row r="5987" spans="1:2" ht="12.75" customHeight="1" x14ac:dyDescent="0.25">
      <c r="A5987" s="318">
        <v>92490832589</v>
      </c>
      <c r="B5987" s="318" t="s">
        <v>237</v>
      </c>
    </row>
    <row r="5988" spans="1:2" ht="12.75" customHeight="1" x14ac:dyDescent="0.25">
      <c r="A5988" s="318">
        <v>92490832590</v>
      </c>
      <c r="B5988" s="318" t="s">
        <v>237</v>
      </c>
    </row>
    <row r="5989" spans="1:2" ht="12.75" customHeight="1" x14ac:dyDescent="0.25">
      <c r="A5989" s="318">
        <v>92490832591</v>
      </c>
      <c r="B5989" s="318" t="s">
        <v>237</v>
      </c>
    </row>
    <row r="5990" spans="1:2" ht="12.75" customHeight="1" x14ac:dyDescent="0.25">
      <c r="A5990" s="318">
        <v>92491313448</v>
      </c>
      <c r="B5990" s="318" t="s">
        <v>23</v>
      </c>
    </row>
    <row r="5991" spans="1:2" ht="12.75" customHeight="1" x14ac:dyDescent="0.25">
      <c r="A5991" s="318">
        <v>92491313449</v>
      </c>
      <c r="B5991" s="318" t="s">
        <v>23</v>
      </c>
    </row>
    <row r="5992" spans="1:2" ht="12.75" customHeight="1" x14ac:dyDescent="0.25">
      <c r="A5992" s="318">
        <v>92491313450</v>
      </c>
      <c r="B5992" s="318" t="s">
        <v>23</v>
      </c>
    </row>
    <row r="5993" spans="1:2" ht="12.75" customHeight="1" x14ac:dyDescent="0.25">
      <c r="A5993" s="318">
        <v>92491313451</v>
      </c>
      <c r="B5993" s="318" t="s">
        <v>23</v>
      </c>
    </row>
    <row r="5994" spans="1:2" ht="12.75" customHeight="1" x14ac:dyDescent="0.25">
      <c r="A5994" s="318">
        <v>92491313452</v>
      </c>
      <c r="B5994" s="318" t="s">
        <v>23</v>
      </c>
    </row>
    <row r="5995" spans="1:2" ht="12.75" customHeight="1" x14ac:dyDescent="0.25">
      <c r="A5995" s="318">
        <v>92491313453</v>
      </c>
      <c r="B5995" s="318" t="s">
        <v>23</v>
      </c>
    </row>
    <row r="5996" spans="1:2" ht="12.75" customHeight="1" x14ac:dyDescent="0.25">
      <c r="A5996" s="318">
        <v>92491313454</v>
      </c>
      <c r="B5996" s="318" t="s">
        <v>23</v>
      </c>
    </row>
    <row r="5997" spans="1:2" ht="12.75" customHeight="1" x14ac:dyDescent="0.25">
      <c r="A5997" s="318">
        <v>92491313455</v>
      </c>
      <c r="B5997" s="318" t="s">
        <v>237</v>
      </c>
    </row>
    <row r="5998" spans="1:2" ht="12.75" customHeight="1" x14ac:dyDescent="0.25">
      <c r="A5998" s="318">
        <v>92491313457</v>
      </c>
      <c r="B5998" s="318" t="s">
        <v>23</v>
      </c>
    </row>
    <row r="5999" spans="1:2" ht="12.75" customHeight="1" x14ac:dyDescent="0.25">
      <c r="A5999" s="318">
        <v>92491313458</v>
      </c>
      <c r="B5999" s="318" t="s">
        <v>237</v>
      </c>
    </row>
    <row r="6000" spans="1:2" ht="12.75" customHeight="1" x14ac:dyDescent="0.25">
      <c r="A6000" s="318">
        <v>92491313459</v>
      </c>
      <c r="B6000" s="318" t="s">
        <v>23</v>
      </c>
    </row>
    <row r="6001" spans="1:2" ht="12.75" customHeight="1" x14ac:dyDescent="0.25">
      <c r="A6001" s="318">
        <v>92491313460</v>
      </c>
      <c r="B6001" s="318" t="s">
        <v>237</v>
      </c>
    </row>
    <row r="6002" spans="1:2" ht="12.75" customHeight="1" x14ac:dyDescent="0.25">
      <c r="A6002" s="318">
        <v>92491313461</v>
      </c>
      <c r="B6002" s="318" t="s">
        <v>23</v>
      </c>
    </row>
    <row r="6003" spans="1:2" ht="12.75" customHeight="1" x14ac:dyDescent="0.25">
      <c r="A6003" s="318">
        <v>92491313462</v>
      </c>
      <c r="B6003" s="318" t="s">
        <v>237</v>
      </c>
    </row>
    <row r="6004" spans="1:2" ht="12.75" customHeight="1" x14ac:dyDescent="0.25">
      <c r="A6004" s="318">
        <v>92491313463</v>
      </c>
      <c r="B6004" s="318" t="s">
        <v>23</v>
      </c>
    </row>
    <row r="6005" spans="1:2" ht="12.75" customHeight="1" x14ac:dyDescent="0.25">
      <c r="A6005" s="318">
        <v>92491313464</v>
      </c>
      <c r="B6005" s="318" t="s">
        <v>237</v>
      </c>
    </row>
    <row r="6006" spans="1:2" ht="12.75" customHeight="1" x14ac:dyDescent="0.25">
      <c r="A6006" s="318">
        <v>92491313548</v>
      </c>
      <c r="B6006" s="318" t="s">
        <v>237</v>
      </c>
    </row>
    <row r="6007" spans="1:2" ht="12.75" customHeight="1" x14ac:dyDescent="0.25">
      <c r="A6007" s="318">
        <v>92491313549</v>
      </c>
      <c r="B6007" s="318" t="s">
        <v>237</v>
      </c>
    </row>
    <row r="6008" spans="1:2" ht="12.75" customHeight="1" x14ac:dyDescent="0.25">
      <c r="A6008" s="318">
        <v>92491313550</v>
      </c>
      <c r="B6008" s="318" t="s">
        <v>237</v>
      </c>
    </row>
    <row r="6009" spans="1:2" ht="12.75" customHeight="1" x14ac:dyDescent="0.25">
      <c r="A6009" s="318">
        <v>92491313551</v>
      </c>
      <c r="B6009" s="318" t="s">
        <v>237</v>
      </c>
    </row>
    <row r="6010" spans="1:2" ht="12.75" customHeight="1" x14ac:dyDescent="0.25">
      <c r="A6010" s="318">
        <v>92491313552</v>
      </c>
      <c r="B6010" s="318" t="s">
        <v>237</v>
      </c>
    </row>
    <row r="6011" spans="1:2" ht="12.75" customHeight="1" x14ac:dyDescent="0.25">
      <c r="A6011" s="318">
        <v>92491313553</v>
      </c>
      <c r="B6011" s="318" t="s">
        <v>237</v>
      </c>
    </row>
    <row r="6012" spans="1:2" ht="12.75" customHeight="1" x14ac:dyDescent="0.25">
      <c r="A6012" s="318">
        <v>92491313554</v>
      </c>
      <c r="B6012" s="318" t="s">
        <v>237</v>
      </c>
    </row>
    <row r="6013" spans="1:2" ht="12.75" customHeight="1" x14ac:dyDescent="0.25">
      <c r="A6013" s="318">
        <v>92491313555</v>
      </c>
      <c r="B6013" s="318" t="s">
        <v>237</v>
      </c>
    </row>
    <row r="6014" spans="1:2" ht="12.75" customHeight="1" x14ac:dyDescent="0.25">
      <c r="A6014" s="318">
        <v>92491313557</v>
      </c>
      <c r="B6014" s="318" t="s">
        <v>237</v>
      </c>
    </row>
    <row r="6015" spans="1:2" ht="12.75" customHeight="1" x14ac:dyDescent="0.25">
      <c r="A6015" s="318">
        <v>92491313558</v>
      </c>
      <c r="B6015" s="318" t="s">
        <v>237</v>
      </c>
    </row>
    <row r="6016" spans="1:2" ht="12.75" customHeight="1" x14ac:dyDescent="0.25">
      <c r="A6016" s="318">
        <v>92491313559</v>
      </c>
      <c r="B6016" s="318" t="s">
        <v>237</v>
      </c>
    </row>
    <row r="6017" spans="1:2" ht="12.75" customHeight="1" x14ac:dyDescent="0.25">
      <c r="A6017" s="318">
        <v>92491313560</v>
      </c>
      <c r="B6017" s="318" t="s">
        <v>237</v>
      </c>
    </row>
    <row r="6018" spans="1:2" ht="12.75" customHeight="1" x14ac:dyDescent="0.25">
      <c r="A6018" s="318">
        <v>92491313561</v>
      </c>
      <c r="B6018" s="318" t="s">
        <v>237</v>
      </c>
    </row>
    <row r="6019" spans="1:2" ht="12.75" customHeight="1" x14ac:dyDescent="0.25">
      <c r="A6019" s="318">
        <v>92491313562</v>
      </c>
      <c r="B6019" s="318" t="s">
        <v>237</v>
      </c>
    </row>
    <row r="6020" spans="1:2" ht="12.75" customHeight="1" x14ac:dyDescent="0.25">
      <c r="A6020" s="318">
        <v>92491313563</v>
      </c>
      <c r="B6020" s="318" t="s">
        <v>237</v>
      </c>
    </row>
    <row r="6021" spans="1:2" ht="12.75" customHeight="1" x14ac:dyDescent="0.25">
      <c r="A6021" s="318">
        <v>92491313564</v>
      </c>
      <c r="B6021" s="318" t="s">
        <v>237</v>
      </c>
    </row>
    <row r="6022" spans="1:2" ht="12.75" customHeight="1" x14ac:dyDescent="0.25">
      <c r="A6022" s="318">
        <v>92491993639</v>
      </c>
      <c r="B6022" s="318" t="s">
        <v>23</v>
      </c>
    </row>
    <row r="6023" spans="1:2" ht="12.75" customHeight="1" x14ac:dyDescent="0.25">
      <c r="A6023" s="318">
        <v>92491993640</v>
      </c>
      <c r="B6023" s="318" t="s">
        <v>23</v>
      </c>
    </row>
    <row r="6024" spans="1:2" ht="12.75" customHeight="1" x14ac:dyDescent="0.25">
      <c r="A6024" s="318">
        <v>92491993641</v>
      </c>
      <c r="B6024" s="318" t="s">
        <v>23</v>
      </c>
    </row>
    <row r="6025" spans="1:2" ht="12.75" customHeight="1" x14ac:dyDescent="0.25">
      <c r="A6025" s="318">
        <v>92491993642</v>
      </c>
      <c r="B6025" s="318" t="s">
        <v>23</v>
      </c>
    </row>
    <row r="6026" spans="1:2" ht="12.75" customHeight="1" x14ac:dyDescent="0.25">
      <c r="A6026" s="318">
        <v>92491993643</v>
      </c>
      <c r="B6026" s="318" t="s">
        <v>23</v>
      </c>
    </row>
    <row r="6027" spans="1:2" ht="12.75" customHeight="1" x14ac:dyDescent="0.25">
      <c r="A6027" s="318">
        <v>92491993644</v>
      </c>
      <c r="B6027" s="318" t="s">
        <v>23</v>
      </c>
    </row>
    <row r="6028" spans="1:2" ht="12.75" customHeight="1" x14ac:dyDescent="0.25">
      <c r="A6028" s="318">
        <v>92491993645</v>
      </c>
      <c r="B6028" s="318" t="s">
        <v>23</v>
      </c>
    </row>
    <row r="6029" spans="1:2" ht="12.75" customHeight="1" x14ac:dyDescent="0.25">
      <c r="A6029" s="318">
        <v>92491993646</v>
      </c>
      <c r="B6029" s="318" t="s">
        <v>237</v>
      </c>
    </row>
    <row r="6030" spans="1:2" ht="12.75" customHeight="1" x14ac:dyDescent="0.25">
      <c r="A6030" s="318">
        <v>92491993648</v>
      </c>
      <c r="B6030" s="318" t="s">
        <v>237</v>
      </c>
    </row>
    <row r="6031" spans="1:2" ht="12.75" customHeight="1" x14ac:dyDescent="0.25">
      <c r="A6031" s="318">
        <v>92491993649</v>
      </c>
      <c r="B6031" s="318" t="s">
        <v>237</v>
      </c>
    </row>
    <row r="6032" spans="1:2" ht="12.75" customHeight="1" x14ac:dyDescent="0.25">
      <c r="A6032" s="318">
        <v>92491993650</v>
      </c>
      <c r="B6032" s="318" t="s">
        <v>237</v>
      </c>
    </row>
    <row r="6033" spans="1:2" ht="12.75" customHeight="1" x14ac:dyDescent="0.25">
      <c r="A6033" s="318">
        <v>92491993651</v>
      </c>
      <c r="B6033" s="318" t="s">
        <v>237</v>
      </c>
    </row>
    <row r="6034" spans="1:2" ht="12.75" customHeight="1" x14ac:dyDescent="0.25">
      <c r="A6034" s="318">
        <v>92491993652</v>
      </c>
      <c r="B6034" s="318" t="s">
        <v>237</v>
      </c>
    </row>
    <row r="6035" spans="1:2" ht="12.75" customHeight="1" x14ac:dyDescent="0.25">
      <c r="A6035" s="318">
        <v>92491993653</v>
      </c>
      <c r="B6035" s="318" t="s">
        <v>237</v>
      </c>
    </row>
    <row r="6036" spans="1:2" ht="12.75" customHeight="1" x14ac:dyDescent="0.25">
      <c r="A6036" s="318">
        <v>92491993654</v>
      </c>
      <c r="B6036" s="318" t="s">
        <v>237</v>
      </c>
    </row>
    <row r="6037" spans="1:2" ht="12.75" customHeight="1" x14ac:dyDescent="0.25">
      <c r="A6037" s="318">
        <v>92491993655</v>
      </c>
      <c r="B6037" s="318" t="s">
        <v>237</v>
      </c>
    </row>
    <row r="6038" spans="1:2" ht="12.75" customHeight="1" x14ac:dyDescent="0.25">
      <c r="A6038" s="318">
        <v>92491993739</v>
      </c>
      <c r="B6038" s="318" t="s">
        <v>237</v>
      </c>
    </row>
    <row r="6039" spans="1:2" ht="12.75" customHeight="1" x14ac:dyDescent="0.25">
      <c r="A6039" s="318">
        <v>92491993740</v>
      </c>
      <c r="B6039" s="318" t="s">
        <v>237</v>
      </c>
    </row>
    <row r="6040" spans="1:2" ht="12.75" customHeight="1" x14ac:dyDescent="0.25">
      <c r="A6040" s="318">
        <v>92491993741</v>
      </c>
      <c r="B6040" s="318" t="s">
        <v>237</v>
      </c>
    </row>
    <row r="6041" spans="1:2" ht="12.75" customHeight="1" x14ac:dyDescent="0.25">
      <c r="A6041" s="318">
        <v>92491993742</v>
      </c>
      <c r="B6041" s="318" t="s">
        <v>237</v>
      </c>
    </row>
    <row r="6042" spans="1:2" ht="12.75" customHeight="1" x14ac:dyDescent="0.25">
      <c r="A6042" s="318">
        <v>92491993743</v>
      </c>
      <c r="B6042" s="318" t="s">
        <v>237</v>
      </c>
    </row>
    <row r="6043" spans="1:2" ht="12.75" customHeight="1" x14ac:dyDescent="0.25">
      <c r="A6043" s="318">
        <v>92491993744</v>
      </c>
      <c r="B6043" s="318" t="s">
        <v>237</v>
      </c>
    </row>
    <row r="6044" spans="1:2" ht="12.75" customHeight="1" x14ac:dyDescent="0.25">
      <c r="A6044" s="318">
        <v>92491993745</v>
      </c>
      <c r="B6044" s="318" t="s">
        <v>237</v>
      </c>
    </row>
    <row r="6045" spans="1:2" ht="12.75" customHeight="1" x14ac:dyDescent="0.25">
      <c r="A6045" s="318">
        <v>92491993746</v>
      </c>
      <c r="B6045" s="318" t="s">
        <v>237</v>
      </c>
    </row>
    <row r="6046" spans="1:2" ht="12.75" customHeight="1" x14ac:dyDescent="0.25">
      <c r="A6046" s="318">
        <v>92491993748</v>
      </c>
      <c r="B6046" s="318" t="s">
        <v>237</v>
      </c>
    </row>
    <row r="6047" spans="1:2" ht="12.75" customHeight="1" x14ac:dyDescent="0.25">
      <c r="A6047" s="318">
        <v>92491993749</v>
      </c>
      <c r="B6047" s="318" t="s">
        <v>237</v>
      </c>
    </row>
    <row r="6048" spans="1:2" ht="12.75" customHeight="1" x14ac:dyDescent="0.25">
      <c r="A6048" s="318">
        <v>92491993750</v>
      </c>
      <c r="B6048" s="318" t="s">
        <v>237</v>
      </c>
    </row>
    <row r="6049" spans="1:2" ht="12.75" customHeight="1" x14ac:dyDescent="0.25">
      <c r="A6049" s="318">
        <v>92491993751</v>
      </c>
      <c r="B6049" s="318" t="s">
        <v>237</v>
      </c>
    </row>
    <row r="6050" spans="1:2" ht="12.75" customHeight="1" x14ac:dyDescent="0.25">
      <c r="A6050" s="318">
        <v>92491993752</v>
      </c>
      <c r="B6050" s="318" t="s">
        <v>237</v>
      </c>
    </row>
    <row r="6051" spans="1:2" ht="12.75" customHeight="1" x14ac:dyDescent="0.25">
      <c r="A6051" s="318">
        <v>92491993753</v>
      </c>
      <c r="B6051" s="318" t="s">
        <v>237</v>
      </c>
    </row>
    <row r="6052" spans="1:2" ht="12.75" customHeight="1" x14ac:dyDescent="0.25">
      <c r="A6052" s="318">
        <v>92491993754</v>
      </c>
      <c r="B6052" s="318" t="s">
        <v>237</v>
      </c>
    </row>
    <row r="6053" spans="1:2" ht="12.75" customHeight="1" x14ac:dyDescent="0.25">
      <c r="A6053" s="318">
        <v>92491993755</v>
      </c>
      <c r="B6053" s="318" t="s">
        <v>237</v>
      </c>
    </row>
    <row r="6054" spans="1:2" ht="12.75" customHeight="1" x14ac:dyDescent="0.25">
      <c r="A6054" s="318">
        <v>92492474612</v>
      </c>
      <c r="B6054" s="318" t="s">
        <v>23</v>
      </c>
    </row>
    <row r="6055" spans="1:2" ht="12.75" customHeight="1" x14ac:dyDescent="0.25">
      <c r="A6055" s="318">
        <v>92492474613</v>
      </c>
      <c r="B6055" s="318" t="s">
        <v>23</v>
      </c>
    </row>
    <row r="6056" spans="1:2" ht="12.75" customHeight="1" x14ac:dyDescent="0.25">
      <c r="A6056" s="318">
        <v>92492474614</v>
      </c>
      <c r="B6056" s="318" t="s">
        <v>23</v>
      </c>
    </row>
    <row r="6057" spans="1:2" ht="12.75" customHeight="1" x14ac:dyDescent="0.25">
      <c r="A6057" s="318">
        <v>92492474615</v>
      </c>
      <c r="B6057" s="318" t="s">
        <v>23</v>
      </c>
    </row>
    <row r="6058" spans="1:2" ht="12.75" customHeight="1" x14ac:dyDescent="0.25">
      <c r="A6058" s="318">
        <v>92492474616</v>
      </c>
      <c r="B6058" s="318" t="s">
        <v>23</v>
      </c>
    </row>
    <row r="6059" spans="1:2" ht="12.75" customHeight="1" x14ac:dyDescent="0.25">
      <c r="A6059" s="318">
        <v>92492474617</v>
      </c>
      <c r="B6059" s="318" t="s">
        <v>23</v>
      </c>
    </row>
    <row r="6060" spans="1:2" ht="12.75" customHeight="1" x14ac:dyDescent="0.25">
      <c r="A6060" s="318">
        <v>92492474618</v>
      </c>
      <c r="B6060" s="318" t="s">
        <v>23</v>
      </c>
    </row>
    <row r="6061" spans="1:2" ht="12.75" customHeight="1" x14ac:dyDescent="0.25">
      <c r="A6061" s="318">
        <v>92492474619</v>
      </c>
      <c r="B6061" s="318" t="s">
        <v>237</v>
      </c>
    </row>
    <row r="6062" spans="1:2" ht="12.75" customHeight="1" x14ac:dyDescent="0.25">
      <c r="A6062" s="318">
        <v>92492474621</v>
      </c>
      <c r="B6062" s="318" t="s">
        <v>237</v>
      </c>
    </row>
    <row r="6063" spans="1:2" ht="12.75" customHeight="1" x14ac:dyDescent="0.25">
      <c r="A6063" s="318">
        <v>92492474622</v>
      </c>
      <c r="B6063" s="318" t="s">
        <v>237</v>
      </c>
    </row>
    <row r="6064" spans="1:2" ht="12.75" customHeight="1" x14ac:dyDescent="0.25">
      <c r="A6064" s="318">
        <v>92492474623</v>
      </c>
      <c r="B6064" s="318" t="s">
        <v>237</v>
      </c>
    </row>
    <row r="6065" spans="1:2" ht="12.75" customHeight="1" x14ac:dyDescent="0.25">
      <c r="A6065" s="318">
        <v>92492474624</v>
      </c>
      <c r="B6065" s="318" t="s">
        <v>237</v>
      </c>
    </row>
    <row r="6066" spans="1:2" ht="12.75" customHeight="1" x14ac:dyDescent="0.25">
      <c r="A6066" s="318">
        <v>92492474625</v>
      </c>
      <c r="B6066" s="318" t="s">
        <v>237</v>
      </c>
    </row>
    <row r="6067" spans="1:2" ht="12.75" customHeight="1" x14ac:dyDescent="0.25">
      <c r="A6067" s="318">
        <v>92492474626</v>
      </c>
      <c r="B6067" s="318" t="s">
        <v>237</v>
      </c>
    </row>
    <row r="6068" spans="1:2" ht="12.75" customHeight="1" x14ac:dyDescent="0.25">
      <c r="A6068" s="318">
        <v>92492474627</v>
      </c>
      <c r="B6068" s="318" t="s">
        <v>237</v>
      </c>
    </row>
    <row r="6069" spans="1:2" ht="12.75" customHeight="1" x14ac:dyDescent="0.25">
      <c r="A6069" s="318">
        <v>92492474628</v>
      </c>
      <c r="B6069" s="318" t="s">
        <v>237</v>
      </c>
    </row>
    <row r="6070" spans="1:2" ht="12.75" customHeight="1" x14ac:dyDescent="0.25">
      <c r="A6070" s="318">
        <v>92492474712</v>
      </c>
      <c r="B6070" s="318" t="s">
        <v>237</v>
      </c>
    </row>
    <row r="6071" spans="1:2" ht="12.75" customHeight="1" x14ac:dyDescent="0.25">
      <c r="A6071" s="318">
        <v>92492474713</v>
      </c>
      <c r="B6071" s="318" t="s">
        <v>237</v>
      </c>
    </row>
    <row r="6072" spans="1:2" ht="12.75" customHeight="1" x14ac:dyDescent="0.25">
      <c r="A6072" s="318">
        <v>92492474714</v>
      </c>
      <c r="B6072" s="318" t="s">
        <v>237</v>
      </c>
    </row>
    <row r="6073" spans="1:2" ht="12.75" customHeight="1" x14ac:dyDescent="0.25">
      <c r="A6073" s="318">
        <v>92492474715</v>
      </c>
      <c r="B6073" s="318" t="s">
        <v>237</v>
      </c>
    </row>
    <row r="6074" spans="1:2" ht="12.75" customHeight="1" x14ac:dyDescent="0.25">
      <c r="A6074" s="318">
        <v>92492474716</v>
      </c>
      <c r="B6074" s="318" t="s">
        <v>237</v>
      </c>
    </row>
    <row r="6075" spans="1:2" ht="12.75" customHeight="1" x14ac:dyDescent="0.25">
      <c r="A6075" s="318">
        <v>92492474717</v>
      </c>
      <c r="B6075" s="318" t="s">
        <v>237</v>
      </c>
    </row>
    <row r="6076" spans="1:2" ht="12.75" customHeight="1" x14ac:dyDescent="0.25">
      <c r="A6076" s="318">
        <v>92492474718</v>
      </c>
      <c r="B6076" s="318" t="s">
        <v>237</v>
      </c>
    </row>
    <row r="6077" spans="1:2" ht="12.75" customHeight="1" x14ac:dyDescent="0.25">
      <c r="A6077" s="318">
        <v>92492474719</v>
      </c>
      <c r="B6077" s="318" t="s">
        <v>237</v>
      </c>
    </row>
    <row r="6078" spans="1:2" ht="12.75" customHeight="1" x14ac:dyDescent="0.25">
      <c r="A6078" s="318">
        <v>92492474721</v>
      </c>
      <c r="B6078" s="318" t="s">
        <v>237</v>
      </c>
    </row>
    <row r="6079" spans="1:2" ht="12.75" customHeight="1" x14ac:dyDescent="0.25">
      <c r="A6079" s="318">
        <v>92492474722</v>
      </c>
      <c r="B6079" s="318" t="s">
        <v>237</v>
      </c>
    </row>
    <row r="6080" spans="1:2" ht="12.75" customHeight="1" x14ac:dyDescent="0.25">
      <c r="A6080" s="318">
        <v>92492474723</v>
      </c>
      <c r="B6080" s="318" t="s">
        <v>237</v>
      </c>
    </row>
    <row r="6081" spans="1:2" ht="12.75" customHeight="1" x14ac:dyDescent="0.25">
      <c r="A6081" s="318">
        <v>92492474724</v>
      </c>
      <c r="B6081" s="318" t="s">
        <v>237</v>
      </c>
    </row>
    <row r="6082" spans="1:2" ht="12.75" customHeight="1" x14ac:dyDescent="0.25">
      <c r="A6082" s="318">
        <v>92492474725</v>
      </c>
      <c r="B6082" s="318" t="s">
        <v>237</v>
      </c>
    </row>
    <row r="6083" spans="1:2" ht="12.75" customHeight="1" x14ac:dyDescent="0.25">
      <c r="A6083" s="318">
        <v>92492474726</v>
      </c>
      <c r="B6083" s="318" t="s">
        <v>237</v>
      </c>
    </row>
    <row r="6084" spans="1:2" ht="12.75" customHeight="1" x14ac:dyDescent="0.25">
      <c r="A6084" s="318">
        <v>92492474727</v>
      </c>
      <c r="B6084" s="318" t="s">
        <v>237</v>
      </c>
    </row>
    <row r="6085" spans="1:2" ht="12.75" customHeight="1" x14ac:dyDescent="0.25">
      <c r="A6085" s="318">
        <v>92492474728</v>
      </c>
      <c r="B6085" s="318" t="s">
        <v>237</v>
      </c>
    </row>
    <row r="6086" spans="1:2" ht="12.75" customHeight="1" x14ac:dyDescent="0.25">
      <c r="A6086" s="318">
        <v>92492955585</v>
      </c>
      <c r="B6086" s="318" t="s">
        <v>23</v>
      </c>
    </row>
    <row r="6087" spans="1:2" ht="12.75" customHeight="1" x14ac:dyDescent="0.25">
      <c r="A6087" s="318">
        <v>92492955586</v>
      </c>
      <c r="B6087" s="318" t="s">
        <v>23</v>
      </c>
    </row>
    <row r="6088" spans="1:2" ht="12.75" customHeight="1" x14ac:dyDescent="0.25">
      <c r="A6088" s="318">
        <v>92492955587</v>
      </c>
      <c r="B6088" s="318" t="s">
        <v>23</v>
      </c>
    </row>
    <row r="6089" spans="1:2" ht="12.75" customHeight="1" x14ac:dyDescent="0.25">
      <c r="A6089" s="318">
        <v>92492955588</v>
      </c>
      <c r="B6089" s="318" t="s">
        <v>23</v>
      </c>
    </row>
    <row r="6090" spans="1:2" ht="12.75" customHeight="1" x14ac:dyDescent="0.25">
      <c r="A6090" s="318">
        <v>92492955589</v>
      </c>
      <c r="B6090" s="318" t="s">
        <v>23</v>
      </c>
    </row>
    <row r="6091" spans="1:2" ht="12.75" customHeight="1" x14ac:dyDescent="0.25">
      <c r="A6091" s="318">
        <v>92492955590</v>
      </c>
      <c r="B6091" s="318" t="s">
        <v>23</v>
      </c>
    </row>
    <row r="6092" spans="1:2" ht="12.75" customHeight="1" x14ac:dyDescent="0.25">
      <c r="A6092" s="318">
        <v>92492955591</v>
      </c>
      <c r="B6092" s="318" t="s">
        <v>23</v>
      </c>
    </row>
    <row r="6093" spans="1:2" ht="12.75" customHeight="1" x14ac:dyDescent="0.25">
      <c r="A6093" s="318">
        <v>92492955592</v>
      </c>
      <c r="B6093" s="318" t="s">
        <v>237</v>
      </c>
    </row>
    <row r="6094" spans="1:2" ht="12.75" customHeight="1" x14ac:dyDescent="0.25">
      <c r="A6094" s="318">
        <v>92492955594</v>
      </c>
      <c r="B6094" s="318" t="s">
        <v>23</v>
      </c>
    </row>
    <row r="6095" spans="1:2" ht="12.75" customHeight="1" x14ac:dyDescent="0.25">
      <c r="A6095" s="318">
        <v>92492955595</v>
      </c>
      <c r="B6095" s="318" t="s">
        <v>237</v>
      </c>
    </row>
    <row r="6096" spans="1:2" ht="12.75" customHeight="1" x14ac:dyDescent="0.25">
      <c r="A6096" s="318">
        <v>92492955596</v>
      </c>
      <c r="B6096" s="318" t="s">
        <v>23</v>
      </c>
    </row>
    <row r="6097" spans="1:2" ht="12.75" customHeight="1" x14ac:dyDescent="0.25">
      <c r="A6097" s="318">
        <v>92492955597</v>
      </c>
      <c r="B6097" s="318" t="s">
        <v>237</v>
      </c>
    </row>
    <row r="6098" spans="1:2" ht="12.75" customHeight="1" x14ac:dyDescent="0.25">
      <c r="A6098" s="318">
        <v>92492955598</v>
      </c>
      <c r="B6098" s="318" t="s">
        <v>23</v>
      </c>
    </row>
    <row r="6099" spans="1:2" ht="12.75" customHeight="1" x14ac:dyDescent="0.25">
      <c r="A6099" s="318">
        <v>92492955599</v>
      </c>
      <c r="B6099" s="318" t="s">
        <v>237</v>
      </c>
    </row>
    <row r="6100" spans="1:2" ht="12.75" customHeight="1" x14ac:dyDescent="0.25">
      <c r="A6100" s="318">
        <v>92492955600</v>
      </c>
      <c r="B6100" s="318" t="s">
        <v>23</v>
      </c>
    </row>
    <row r="6101" spans="1:2" ht="12.75" customHeight="1" x14ac:dyDescent="0.25">
      <c r="A6101" s="318">
        <v>92492955601</v>
      </c>
      <c r="B6101" s="318" t="s">
        <v>237</v>
      </c>
    </row>
    <row r="6102" spans="1:2" ht="12.75" customHeight="1" x14ac:dyDescent="0.25">
      <c r="A6102" s="318">
        <v>92492955685</v>
      </c>
      <c r="B6102" s="318" t="s">
        <v>237</v>
      </c>
    </row>
    <row r="6103" spans="1:2" ht="12.75" customHeight="1" x14ac:dyDescent="0.25">
      <c r="A6103" s="318">
        <v>92492955686</v>
      </c>
      <c r="B6103" s="318" t="s">
        <v>237</v>
      </c>
    </row>
    <row r="6104" spans="1:2" ht="12.75" customHeight="1" x14ac:dyDescent="0.25">
      <c r="A6104" s="318">
        <v>92492955687</v>
      </c>
      <c r="B6104" s="318" t="s">
        <v>237</v>
      </c>
    </row>
    <row r="6105" spans="1:2" ht="12.75" customHeight="1" x14ac:dyDescent="0.25">
      <c r="A6105" s="318">
        <v>92492955688</v>
      </c>
      <c r="B6105" s="318" t="s">
        <v>237</v>
      </c>
    </row>
    <row r="6106" spans="1:2" ht="12.75" customHeight="1" x14ac:dyDescent="0.25">
      <c r="A6106" s="318">
        <v>92492955689</v>
      </c>
      <c r="B6106" s="318" t="s">
        <v>237</v>
      </c>
    </row>
    <row r="6107" spans="1:2" ht="12.75" customHeight="1" x14ac:dyDescent="0.25">
      <c r="A6107" s="318">
        <v>92492955690</v>
      </c>
      <c r="B6107" s="318" t="s">
        <v>237</v>
      </c>
    </row>
    <row r="6108" spans="1:2" ht="12.75" customHeight="1" x14ac:dyDescent="0.25">
      <c r="A6108" s="318">
        <v>92492955691</v>
      </c>
      <c r="B6108" s="318" t="s">
        <v>237</v>
      </c>
    </row>
    <row r="6109" spans="1:2" ht="12.75" customHeight="1" x14ac:dyDescent="0.25">
      <c r="A6109" s="318">
        <v>92492955692</v>
      </c>
      <c r="B6109" s="318" t="s">
        <v>237</v>
      </c>
    </row>
    <row r="6110" spans="1:2" ht="12.75" customHeight="1" x14ac:dyDescent="0.25">
      <c r="A6110" s="318">
        <v>92492955694</v>
      </c>
      <c r="B6110" s="318" t="s">
        <v>237</v>
      </c>
    </row>
    <row r="6111" spans="1:2" ht="12.75" customHeight="1" x14ac:dyDescent="0.25">
      <c r="A6111" s="318">
        <v>92492955695</v>
      </c>
      <c r="B6111" s="318" t="s">
        <v>237</v>
      </c>
    </row>
    <row r="6112" spans="1:2" ht="12.75" customHeight="1" x14ac:dyDescent="0.25">
      <c r="A6112" s="318">
        <v>92492955696</v>
      </c>
      <c r="B6112" s="318" t="s">
        <v>237</v>
      </c>
    </row>
    <row r="6113" spans="1:2" ht="12.75" customHeight="1" x14ac:dyDescent="0.25">
      <c r="A6113" s="318">
        <v>92492955697</v>
      </c>
      <c r="B6113" s="318" t="s">
        <v>237</v>
      </c>
    </row>
    <row r="6114" spans="1:2" ht="12.75" customHeight="1" x14ac:dyDescent="0.25">
      <c r="A6114" s="318">
        <v>92492955698</v>
      </c>
      <c r="B6114" s="318" t="s">
        <v>237</v>
      </c>
    </row>
    <row r="6115" spans="1:2" ht="12.75" customHeight="1" x14ac:dyDescent="0.25">
      <c r="A6115" s="318">
        <v>92492955699</v>
      </c>
      <c r="B6115" s="318" t="s">
        <v>237</v>
      </c>
    </row>
    <row r="6116" spans="1:2" ht="12.75" customHeight="1" x14ac:dyDescent="0.25">
      <c r="A6116" s="318">
        <v>92492955700</v>
      </c>
      <c r="B6116" s="318" t="s">
        <v>237</v>
      </c>
    </row>
    <row r="6117" spans="1:2" ht="12.75" customHeight="1" x14ac:dyDescent="0.25">
      <c r="A6117" s="318">
        <v>92492955701</v>
      </c>
      <c r="B6117" s="318" t="s">
        <v>237</v>
      </c>
    </row>
    <row r="6118" spans="1:2" ht="12.75" customHeight="1" x14ac:dyDescent="0.25">
      <c r="A6118" s="318">
        <v>92493635776</v>
      </c>
      <c r="B6118" s="318" t="s">
        <v>23</v>
      </c>
    </row>
    <row r="6119" spans="1:2" ht="12.75" customHeight="1" x14ac:dyDescent="0.25">
      <c r="A6119" s="318">
        <v>92493635777</v>
      </c>
      <c r="B6119" s="318" t="s">
        <v>23</v>
      </c>
    </row>
    <row r="6120" spans="1:2" ht="12.75" customHeight="1" x14ac:dyDescent="0.25">
      <c r="A6120" s="318">
        <v>92493635778</v>
      </c>
      <c r="B6120" s="318" t="s">
        <v>23</v>
      </c>
    </row>
    <row r="6121" spans="1:2" ht="12.75" customHeight="1" x14ac:dyDescent="0.25">
      <c r="A6121" s="318">
        <v>92493635779</v>
      </c>
      <c r="B6121" s="318" t="s">
        <v>23</v>
      </c>
    </row>
    <row r="6122" spans="1:2" ht="12.75" customHeight="1" x14ac:dyDescent="0.25">
      <c r="A6122" s="318">
        <v>92493635780</v>
      </c>
      <c r="B6122" s="318" t="s">
        <v>23</v>
      </c>
    </row>
    <row r="6123" spans="1:2" ht="12.75" customHeight="1" x14ac:dyDescent="0.25">
      <c r="A6123" s="318">
        <v>92493635781</v>
      </c>
      <c r="B6123" s="318" t="s">
        <v>23</v>
      </c>
    </row>
    <row r="6124" spans="1:2" ht="12.75" customHeight="1" x14ac:dyDescent="0.25">
      <c r="A6124" s="318">
        <v>92493635782</v>
      </c>
      <c r="B6124" s="318" t="s">
        <v>23</v>
      </c>
    </row>
    <row r="6125" spans="1:2" ht="12.75" customHeight="1" x14ac:dyDescent="0.25">
      <c r="A6125" s="318">
        <v>92493635783</v>
      </c>
      <c r="B6125" s="318" t="s">
        <v>237</v>
      </c>
    </row>
    <row r="6126" spans="1:2" ht="12.75" customHeight="1" x14ac:dyDescent="0.25">
      <c r="A6126" s="318">
        <v>92493635785</v>
      </c>
      <c r="B6126" s="318" t="s">
        <v>23</v>
      </c>
    </row>
    <row r="6127" spans="1:2" ht="12.75" customHeight="1" x14ac:dyDescent="0.25">
      <c r="A6127" s="318">
        <v>92493635786</v>
      </c>
      <c r="B6127" s="318" t="s">
        <v>237</v>
      </c>
    </row>
    <row r="6128" spans="1:2" ht="12.75" customHeight="1" x14ac:dyDescent="0.25">
      <c r="A6128" s="318">
        <v>92493635787</v>
      </c>
      <c r="B6128" s="318" t="s">
        <v>23</v>
      </c>
    </row>
    <row r="6129" spans="1:2" ht="12.75" customHeight="1" x14ac:dyDescent="0.25">
      <c r="A6129" s="318">
        <v>92493635788</v>
      </c>
      <c r="B6129" s="318" t="s">
        <v>237</v>
      </c>
    </row>
    <row r="6130" spans="1:2" ht="12.75" customHeight="1" x14ac:dyDescent="0.25">
      <c r="A6130" s="318">
        <v>92493635789</v>
      </c>
      <c r="B6130" s="318" t="s">
        <v>23</v>
      </c>
    </row>
    <row r="6131" spans="1:2" ht="12.75" customHeight="1" x14ac:dyDescent="0.25">
      <c r="A6131" s="318">
        <v>92493635790</v>
      </c>
      <c r="B6131" s="318" t="s">
        <v>237</v>
      </c>
    </row>
    <row r="6132" spans="1:2" ht="12.75" customHeight="1" x14ac:dyDescent="0.25">
      <c r="A6132" s="318">
        <v>92493635791</v>
      </c>
      <c r="B6132" s="318" t="s">
        <v>23</v>
      </c>
    </row>
    <row r="6133" spans="1:2" ht="12.75" customHeight="1" x14ac:dyDescent="0.25">
      <c r="A6133" s="318">
        <v>92493635792</v>
      </c>
      <c r="B6133" s="318" t="s">
        <v>237</v>
      </c>
    </row>
    <row r="6134" spans="1:2" ht="12.75" customHeight="1" x14ac:dyDescent="0.25">
      <c r="A6134" s="318">
        <v>92493635876</v>
      </c>
      <c r="B6134" s="318" t="s">
        <v>237</v>
      </c>
    </row>
    <row r="6135" spans="1:2" ht="12.75" customHeight="1" x14ac:dyDescent="0.25">
      <c r="A6135" s="318">
        <v>92493635877</v>
      </c>
      <c r="B6135" s="318" t="s">
        <v>237</v>
      </c>
    </row>
    <row r="6136" spans="1:2" ht="12.75" customHeight="1" x14ac:dyDescent="0.25">
      <c r="A6136" s="318">
        <v>92493635878</v>
      </c>
      <c r="B6136" s="318" t="s">
        <v>237</v>
      </c>
    </row>
    <row r="6137" spans="1:2" ht="12.75" customHeight="1" x14ac:dyDescent="0.25">
      <c r="A6137" s="318">
        <v>92493635879</v>
      </c>
      <c r="B6137" s="318" t="s">
        <v>237</v>
      </c>
    </row>
    <row r="6138" spans="1:2" ht="12.75" customHeight="1" x14ac:dyDescent="0.25">
      <c r="A6138" s="318">
        <v>92493635880</v>
      </c>
      <c r="B6138" s="318" t="s">
        <v>237</v>
      </c>
    </row>
    <row r="6139" spans="1:2" ht="12.75" customHeight="1" x14ac:dyDescent="0.25">
      <c r="A6139" s="318">
        <v>92493635881</v>
      </c>
      <c r="B6139" s="318" t="s">
        <v>237</v>
      </c>
    </row>
    <row r="6140" spans="1:2" ht="12.75" customHeight="1" x14ac:dyDescent="0.25">
      <c r="A6140" s="318">
        <v>92493635882</v>
      </c>
      <c r="B6140" s="318" t="s">
        <v>237</v>
      </c>
    </row>
    <row r="6141" spans="1:2" ht="12.75" customHeight="1" x14ac:dyDescent="0.25">
      <c r="A6141" s="318">
        <v>92493635883</v>
      </c>
      <c r="B6141" s="318" t="s">
        <v>237</v>
      </c>
    </row>
    <row r="6142" spans="1:2" ht="12.75" customHeight="1" x14ac:dyDescent="0.25">
      <c r="A6142" s="318">
        <v>92493635885</v>
      </c>
      <c r="B6142" s="318" t="s">
        <v>237</v>
      </c>
    </row>
    <row r="6143" spans="1:2" ht="12.75" customHeight="1" x14ac:dyDescent="0.25">
      <c r="A6143" s="318">
        <v>92493635886</v>
      </c>
      <c r="B6143" s="318" t="s">
        <v>237</v>
      </c>
    </row>
    <row r="6144" spans="1:2" ht="12.75" customHeight="1" x14ac:dyDescent="0.25">
      <c r="A6144" s="318">
        <v>92493635887</v>
      </c>
      <c r="B6144" s="318" t="s">
        <v>237</v>
      </c>
    </row>
    <row r="6145" spans="1:2" ht="12.75" customHeight="1" x14ac:dyDescent="0.25">
      <c r="A6145" s="318">
        <v>92493635888</v>
      </c>
      <c r="B6145" s="318" t="s">
        <v>237</v>
      </c>
    </row>
    <row r="6146" spans="1:2" ht="12.75" customHeight="1" x14ac:dyDescent="0.25">
      <c r="A6146" s="318">
        <v>92493635889</v>
      </c>
      <c r="B6146" s="318" t="s">
        <v>237</v>
      </c>
    </row>
    <row r="6147" spans="1:2" ht="12.75" customHeight="1" x14ac:dyDescent="0.25">
      <c r="A6147" s="318">
        <v>92493635890</v>
      </c>
      <c r="B6147" s="318" t="s">
        <v>237</v>
      </c>
    </row>
    <row r="6148" spans="1:2" ht="12.75" customHeight="1" x14ac:dyDescent="0.25">
      <c r="A6148" s="318">
        <v>92493635891</v>
      </c>
      <c r="B6148" s="318" t="s">
        <v>237</v>
      </c>
    </row>
    <row r="6149" spans="1:2" ht="12.75" customHeight="1" x14ac:dyDescent="0.25">
      <c r="A6149" s="318">
        <v>92493635892</v>
      </c>
      <c r="B6149" s="318" t="s">
        <v>237</v>
      </c>
    </row>
    <row r="6150" spans="1:2" ht="12.75" customHeight="1" x14ac:dyDescent="0.25">
      <c r="A6150" s="318">
        <v>92494116749</v>
      </c>
      <c r="B6150" s="318" t="s">
        <v>23</v>
      </c>
    </row>
    <row r="6151" spans="1:2" ht="12.75" customHeight="1" x14ac:dyDescent="0.25">
      <c r="A6151" s="318">
        <v>92494116750</v>
      </c>
      <c r="B6151" s="318" t="s">
        <v>23</v>
      </c>
    </row>
    <row r="6152" spans="1:2" ht="12.75" customHeight="1" x14ac:dyDescent="0.25">
      <c r="A6152" s="318">
        <v>92494116751</v>
      </c>
      <c r="B6152" s="318" t="s">
        <v>23</v>
      </c>
    </row>
    <row r="6153" spans="1:2" ht="12.75" customHeight="1" x14ac:dyDescent="0.25">
      <c r="A6153" s="318">
        <v>92494116752</v>
      </c>
      <c r="B6153" s="318" t="s">
        <v>23</v>
      </c>
    </row>
    <row r="6154" spans="1:2" ht="12.75" customHeight="1" x14ac:dyDescent="0.25">
      <c r="A6154" s="318">
        <v>92494116753</v>
      </c>
      <c r="B6154" s="318" t="s">
        <v>23</v>
      </c>
    </row>
    <row r="6155" spans="1:2" ht="12.75" customHeight="1" x14ac:dyDescent="0.25">
      <c r="A6155" s="318">
        <v>92494116754</v>
      </c>
      <c r="B6155" s="318" t="s">
        <v>23</v>
      </c>
    </row>
    <row r="6156" spans="1:2" ht="12.75" customHeight="1" x14ac:dyDescent="0.25">
      <c r="A6156" s="318">
        <v>92494116755</v>
      </c>
      <c r="B6156" s="318" t="s">
        <v>23</v>
      </c>
    </row>
    <row r="6157" spans="1:2" ht="12.75" customHeight="1" x14ac:dyDescent="0.25">
      <c r="A6157" s="318">
        <v>92494116756</v>
      </c>
      <c r="B6157" s="318" t="s">
        <v>237</v>
      </c>
    </row>
    <row r="6158" spans="1:2" ht="12.75" customHeight="1" x14ac:dyDescent="0.25">
      <c r="A6158" s="318">
        <v>92494116758</v>
      </c>
      <c r="B6158" s="318" t="s">
        <v>23</v>
      </c>
    </row>
    <row r="6159" spans="1:2" ht="12.75" customHeight="1" x14ac:dyDescent="0.25">
      <c r="A6159" s="318">
        <v>92494116759</v>
      </c>
      <c r="B6159" s="318" t="s">
        <v>237</v>
      </c>
    </row>
    <row r="6160" spans="1:2" ht="12.75" customHeight="1" x14ac:dyDescent="0.25">
      <c r="A6160" s="318">
        <v>92494116760</v>
      </c>
      <c r="B6160" s="318" t="s">
        <v>23</v>
      </c>
    </row>
    <row r="6161" spans="1:2" ht="12.75" customHeight="1" x14ac:dyDescent="0.25">
      <c r="A6161" s="318">
        <v>92494116761</v>
      </c>
      <c r="B6161" s="318" t="s">
        <v>237</v>
      </c>
    </row>
    <row r="6162" spans="1:2" ht="12.75" customHeight="1" x14ac:dyDescent="0.25">
      <c r="A6162" s="318">
        <v>92494116762</v>
      </c>
      <c r="B6162" s="318" t="s">
        <v>23</v>
      </c>
    </row>
    <row r="6163" spans="1:2" ht="12.75" customHeight="1" x14ac:dyDescent="0.25">
      <c r="A6163" s="318">
        <v>92494116763</v>
      </c>
      <c r="B6163" s="318" t="s">
        <v>237</v>
      </c>
    </row>
    <row r="6164" spans="1:2" ht="12.75" customHeight="1" x14ac:dyDescent="0.25">
      <c r="A6164" s="318">
        <v>92494116764</v>
      </c>
      <c r="B6164" s="318" t="s">
        <v>23</v>
      </c>
    </row>
    <row r="6165" spans="1:2" ht="12.75" customHeight="1" x14ac:dyDescent="0.25">
      <c r="A6165" s="318">
        <v>92494116765</v>
      </c>
      <c r="B6165" s="318" t="s">
        <v>237</v>
      </c>
    </row>
    <row r="6166" spans="1:2" ht="12.75" customHeight="1" x14ac:dyDescent="0.25">
      <c r="A6166" s="318">
        <v>92494116849</v>
      </c>
      <c r="B6166" s="318" t="s">
        <v>237</v>
      </c>
    </row>
    <row r="6167" spans="1:2" ht="12.75" customHeight="1" x14ac:dyDescent="0.25">
      <c r="A6167" s="318">
        <v>92494116850</v>
      </c>
      <c r="B6167" s="318" t="s">
        <v>237</v>
      </c>
    </row>
    <row r="6168" spans="1:2" ht="12.75" customHeight="1" x14ac:dyDescent="0.25">
      <c r="A6168" s="318">
        <v>92494116851</v>
      </c>
      <c r="B6168" s="318" t="s">
        <v>237</v>
      </c>
    </row>
    <row r="6169" spans="1:2" ht="12.75" customHeight="1" x14ac:dyDescent="0.25">
      <c r="A6169" s="318">
        <v>92494116852</v>
      </c>
      <c r="B6169" s="318" t="s">
        <v>237</v>
      </c>
    </row>
    <row r="6170" spans="1:2" ht="12.75" customHeight="1" x14ac:dyDescent="0.25">
      <c r="A6170" s="318">
        <v>92494116853</v>
      </c>
      <c r="B6170" s="318" t="s">
        <v>237</v>
      </c>
    </row>
    <row r="6171" spans="1:2" ht="12.75" customHeight="1" x14ac:dyDescent="0.25">
      <c r="A6171" s="318">
        <v>92494116854</v>
      </c>
      <c r="B6171" s="318" t="s">
        <v>237</v>
      </c>
    </row>
    <row r="6172" spans="1:2" ht="12.75" customHeight="1" x14ac:dyDescent="0.25">
      <c r="A6172" s="318">
        <v>92494116855</v>
      </c>
      <c r="B6172" s="318" t="s">
        <v>237</v>
      </c>
    </row>
    <row r="6173" spans="1:2" ht="12.75" customHeight="1" x14ac:dyDescent="0.25">
      <c r="A6173" s="318">
        <v>92494116856</v>
      </c>
      <c r="B6173" s="318" t="s">
        <v>237</v>
      </c>
    </row>
    <row r="6174" spans="1:2" ht="12.75" customHeight="1" x14ac:dyDescent="0.25">
      <c r="A6174" s="318">
        <v>92494116858</v>
      </c>
      <c r="B6174" s="318" t="s">
        <v>237</v>
      </c>
    </row>
    <row r="6175" spans="1:2" ht="12.75" customHeight="1" x14ac:dyDescent="0.25">
      <c r="A6175" s="318">
        <v>92494116859</v>
      </c>
      <c r="B6175" s="318" t="s">
        <v>237</v>
      </c>
    </row>
    <row r="6176" spans="1:2" ht="12.75" customHeight="1" x14ac:dyDescent="0.25">
      <c r="A6176" s="318">
        <v>92494116860</v>
      </c>
      <c r="B6176" s="318" t="s">
        <v>237</v>
      </c>
    </row>
    <row r="6177" spans="1:2" ht="12.75" customHeight="1" x14ac:dyDescent="0.25">
      <c r="A6177" s="318">
        <v>92494116861</v>
      </c>
      <c r="B6177" s="318" t="s">
        <v>237</v>
      </c>
    </row>
    <row r="6178" spans="1:2" ht="12.75" customHeight="1" x14ac:dyDescent="0.25">
      <c r="A6178" s="318">
        <v>92494116862</v>
      </c>
      <c r="B6178" s="318" t="s">
        <v>237</v>
      </c>
    </row>
    <row r="6179" spans="1:2" ht="12.75" customHeight="1" x14ac:dyDescent="0.25">
      <c r="A6179" s="318">
        <v>92494116863</v>
      </c>
      <c r="B6179" s="318" t="s">
        <v>237</v>
      </c>
    </row>
    <row r="6180" spans="1:2" ht="12.75" customHeight="1" x14ac:dyDescent="0.25">
      <c r="A6180" s="318">
        <v>92494116864</v>
      </c>
      <c r="B6180" s="318" t="s">
        <v>237</v>
      </c>
    </row>
    <row r="6181" spans="1:2" ht="12.75" customHeight="1" x14ac:dyDescent="0.25">
      <c r="A6181" s="318">
        <v>92494116865</v>
      </c>
      <c r="B6181" s="318" t="s">
        <v>237</v>
      </c>
    </row>
    <row r="6182" spans="1:2" ht="12.75" customHeight="1" x14ac:dyDescent="0.25">
      <c r="A6182" s="318">
        <v>92494597722</v>
      </c>
      <c r="B6182" s="318" t="s">
        <v>23</v>
      </c>
    </row>
    <row r="6183" spans="1:2" ht="12.75" customHeight="1" x14ac:dyDescent="0.25">
      <c r="A6183" s="318">
        <v>92494597723</v>
      </c>
      <c r="B6183" s="318" t="s">
        <v>23</v>
      </c>
    </row>
    <row r="6184" spans="1:2" ht="12.75" customHeight="1" x14ac:dyDescent="0.25">
      <c r="A6184" s="318">
        <v>92494597724</v>
      </c>
      <c r="B6184" s="318" t="s">
        <v>23</v>
      </c>
    </row>
    <row r="6185" spans="1:2" ht="12.75" customHeight="1" x14ac:dyDescent="0.25">
      <c r="A6185" s="318">
        <v>92494597725</v>
      </c>
      <c r="B6185" s="318" t="s">
        <v>23</v>
      </c>
    </row>
    <row r="6186" spans="1:2" ht="12.75" customHeight="1" x14ac:dyDescent="0.25">
      <c r="A6186" s="318">
        <v>92494597726</v>
      </c>
      <c r="B6186" s="318" t="s">
        <v>23</v>
      </c>
    </row>
    <row r="6187" spans="1:2" ht="12.75" customHeight="1" x14ac:dyDescent="0.25">
      <c r="A6187" s="318">
        <v>92494597727</v>
      </c>
      <c r="B6187" s="318" t="s">
        <v>23</v>
      </c>
    </row>
    <row r="6188" spans="1:2" ht="12.75" customHeight="1" x14ac:dyDescent="0.25">
      <c r="A6188" s="318">
        <v>92494597728</v>
      </c>
      <c r="B6188" s="318" t="s">
        <v>23</v>
      </c>
    </row>
    <row r="6189" spans="1:2" ht="12.75" customHeight="1" x14ac:dyDescent="0.25">
      <c r="A6189" s="318">
        <v>92494597729</v>
      </c>
      <c r="B6189" s="318" t="s">
        <v>237</v>
      </c>
    </row>
    <row r="6190" spans="1:2" ht="12.75" customHeight="1" x14ac:dyDescent="0.25">
      <c r="A6190" s="318">
        <v>92494597731</v>
      </c>
      <c r="B6190" s="318" t="s">
        <v>23</v>
      </c>
    </row>
    <row r="6191" spans="1:2" ht="12.75" customHeight="1" x14ac:dyDescent="0.25">
      <c r="A6191" s="318">
        <v>92494597732</v>
      </c>
      <c r="B6191" s="318" t="s">
        <v>237</v>
      </c>
    </row>
    <row r="6192" spans="1:2" ht="12.75" customHeight="1" x14ac:dyDescent="0.25">
      <c r="A6192" s="318">
        <v>92494597733</v>
      </c>
      <c r="B6192" s="318" t="s">
        <v>23</v>
      </c>
    </row>
    <row r="6193" spans="1:2" ht="12.75" customHeight="1" x14ac:dyDescent="0.25">
      <c r="A6193" s="318">
        <v>92494597734</v>
      </c>
      <c r="B6193" s="318" t="s">
        <v>237</v>
      </c>
    </row>
    <row r="6194" spans="1:2" ht="12.75" customHeight="1" x14ac:dyDescent="0.25">
      <c r="A6194" s="318">
        <v>92494597735</v>
      </c>
      <c r="B6194" s="318" t="s">
        <v>23</v>
      </c>
    </row>
    <row r="6195" spans="1:2" ht="12.75" customHeight="1" x14ac:dyDescent="0.25">
      <c r="A6195" s="318">
        <v>92494597736</v>
      </c>
      <c r="B6195" s="318" t="s">
        <v>237</v>
      </c>
    </row>
    <row r="6196" spans="1:2" ht="12.75" customHeight="1" x14ac:dyDescent="0.25">
      <c r="A6196" s="318">
        <v>92494597737</v>
      </c>
      <c r="B6196" s="318" t="s">
        <v>23</v>
      </c>
    </row>
    <row r="6197" spans="1:2" ht="12.75" customHeight="1" x14ac:dyDescent="0.25">
      <c r="A6197" s="318">
        <v>92494597738</v>
      </c>
      <c r="B6197" s="318" t="s">
        <v>237</v>
      </c>
    </row>
    <row r="6198" spans="1:2" ht="12.75" customHeight="1" x14ac:dyDescent="0.25">
      <c r="A6198" s="318">
        <v>92494597822</v>
      </c>
      <c r="B6198" s="318" t="s">
        <v>237</v>
      </c>
    </row>
    <row r="6199" spans="1:2" ht="12.75" customHeight="1" x14ac:dyDescent="0.25">
      <c r="A6199" s="318">
        <v>92494597823</v>
      </c>
      <c r="B6199" s="318" t="s">
        <v>237</v>
      </c>
    </row>
    <row r="6200" spans="1:2" ht="12.75" customHeight="1" x14ac:dyDescent="0.25">
      <c r="A6200" s="318">
        <v>92494597824</v>
      </c>
      <c r="B6200" s="318" t="s">
        <v>237</v>
      </c>
    </row>
    <row r="6201" spans="1:2" ht="12.75" customHeight="1" x14ac:dyDescent="0.25">
      <c r="A6201" s="318">
        <v>92494597825</v>
      </c>
      <c r="B6201" s="318" t="s">
        <v>237</v>
      </c>
    </row>
    <row r="6202" spans="1:2" ht="12.75" customHeight="1" x14ac:dyDescent="0.25">
      <c r="A6202" s="318">
        <v>92494597826</v>
      </c>
      <c r="B6202" s="318" t="s">
        <v>237</v>
      </c>
    </row>
    <row r="6203" spans="1:2" ht="12.75" customHeight="1" x14ac:dyDescent="0.25">
      <c r="A6203" s="318">
        <v>92494597827</v>
      </c>
      <c r="B6203" s="318" t="s">
        <v>237</v>
      </c>
    </row>
    <row r="6204" spans="1:2" ht="12.75" customHeight="1" x14ac:dyDescent="0.25">
      <c r="A6204" s="318">
        <v>92494597828</v>
      </c>
      <c r="B6204" s="318" t="s">
        <v>237</v>
      </c>
    </row>
    <row r="6205" spans="1:2" ht="12.75" customHeight="1" x14ac:dyDescent="0.25">
      <c r="A6205" s="318">
        <v>92494597829</v>
      </c>
      <c r="B6205" s="318" t="s">
        <v>237</v>
      </c>
    </row>
    <row r="6206" spans="1:2" ht="12.75" customHeight="1" x14ac:dyDescent="0.25">
      <c r="A6206" s="318">
        <v>92494597831</v>
      </c>
      <c r="B6206" s="318" t="s">
        <v>237</v>
      </c>
    </row>
    <row r="6207" spans="1:2" ht="12.75" customHeight="1" x14ac:dyDescent="0.25">
      <c r="A6207" s="318">
        <v>92494597832</v>
      </c>
      <c r="B6207" s="318" t="s">
        <v>237</v>
      </c>
    </row>
    <row r="6208" spans="1:2" ht="12.75" customHeight="1" x14ac:dyDescent="0.25">
      <c r="A6208" s="318">
        <v>92494597833</v>
      </c>
      <c r="B6208" s="318" t="s">
        <v>237</v>
      </c>
    </row>
    <row r="6209" spans="1:2" ht="12.75" customHeight="1" x14ac:dyDescent="0.25">
      <c r="A6209" s="318">
        <v>92494597834</v>
      </c>
      <c r="B6209" s="318" t="s">
        <v>237</v>
      </c>
    </row>
    <row r="6210" spans="1:2" ht="12.75" customHeight="1" x14ac:dyDescent="0.25">
      <c r="A6210" s="318">
        <v>92494597835</v>
      </c>
      <c r="B6210" s="318" t="s">
        <v>237</v>
      </c>
    </row>
    <row r="6211" spans="1:2" ht="12.75" customHeight="1" x14ac:dyDescent="0.25">
      <c r="A6211" s="318">
        <v>92494597836</v>
      </c>
      <c r="B6211" s="318" t="s">
        <v>237</v>
      </c>
    </row>
    <row r="6212" spans="1:2" ht="12.75" customHeight="1" x14ac:dyDescent="0.25">
      <c r="A6212" s="318">
        <v>92494597837</v>
      </c>
      <c r="B6212" s="318" t="s">
        <v>237</v>
      </c>
    </row>
    <row r="6213" spans="1:2" ht="12.75" customHeight="1" x14ac:dyDescent="0.25">
      <c r="A6213" s="318">
        <v>92494597838</v>
      </c>
      <c r="B6213" s="318" t="s">
        <v>237</v>
      </c>
    </row>
    <row r="6214" spans="1:2" ht="12.75" customHeight="1" x14ac:dyDescent="0.25">
      <c r="A6214" s="318">
        <v>92495958103</v>
      </c>
      <c r="B6214" s="318" t="s">
        <v>23</v>
      </c>
    </row>
    <row r="6215" spans="1:2" ht="12.75" customHeight="1" x14ac:dyDescent="0.25">
      <c r="A6215" s="318">
        <v>92495958104</v>
      </c>
      <c r="B6215" s="318" t="s">
        <v>23</v>
      </c>
    </row>
    <row r="6216" spans="1:2" ht="12.75" customHeight="1" x14ac:dyDescent="0.25">
      <c r="A6216" s="318">
        <v>92495958105</v>
      </c>
      <c r="B6216" s="318" t="s">
        <v>23</v>
      </c>
    </row>
    <row r="6217" spans="1:2" ht="12.75" customHeight="1" x14ac:dyDescent="0.25">
      <c r="A6217" s="318">
        <v>92495958106</v>
      </c>
      <c r="B6217" s="318" t="s">
        <v>23</v>
      </c>
    </row>
    <row r="6218" spans="1:2" ht="12.75" customHeight="1" x14ac:dyDescent="0.25">
      <c r="A6218" s="318">
        <v>92495958107</v>
      </c>
      <c r="B6218" s="318" t="s">
        <v>23</v>
      </c>
    </row>
    <row r="6219" spans="1:2" ht="12.75" customHeight="1" x14ac:dyDescent="0.25">
      <c r="A6219" s="318">
        <v>92495958108</v>
      </c>
      <c r="B6219" s="318" t="s">
        <v>23</v>
      </c>
    </row>
    <row r="6220" spans="1:2" ht="12.75" customHeight="1" x14ac:dyDescent="0.25">
      <c r="A6220" s="318">
        <v>92495958109</v>
      </c>
      <c r="B6220" s="318" t="s">
        <v>23</v>
      </c>
    </row>
    <row r="6221" spans="1:2" ht="12.75" customHeight="1" x14ac:dyDescent="0.25">
      <c r="A6221" s="318">
        <v>92495958110</v>
      </c>
      <c r="B6221" s="318" t="s">
        <v>237</v>
      </c>
    </row>
    <row r="6222" spans="1:2" ht="12.75" customHeight="1" x14ac:dyDescent="0.25">
      <c r="A6222" s="318">
        <v>92495958112</v>
      </c>
      <c r="B6222" s="318" t="s">
        <v>23</v>
      </c>
    </row>
    <row r="6223" spans="1:2" ht="12.75" customHeight="1" x14ac:dyDescent="0.25">
      <c r="A6223" s="318">
        <v>92495958113</v>
      </c>
      <c r="B6223" s="318" t="s">
        <v>237</v>
      </c>
    </row>
    <row r="6224" spans="1:2" ht="12.75" customHeight="1" x14ac:dyDescent="0.25">
      <c r="A6224" s="318">
        <v>92495958114</v>
      </c>
      <c r="B6224" s="318" t="s">
        <v>23</v>
      </c>
    </row>
    <row r="6225" spans="1:2" ht="12.75" customHeight="1" x14ac:dyDescent="0.25">
      <c r="A6225" s="318">
        <v>92495958115</v>
      </c>
      <c r="B6225" s="318" t="s">
        <v>237</v>
      </c>
    </row>
    <row r="6226" spans="1:2" ht="12.75" customHeight="1" x14ac:dyDescent="0.25">
      <c r="A6226" s="318">
        <v>92495958116</v>
      </c>
      <c r="B6226" s="318" t="s">
        <v>23</v>
      </c>
    </row>
    <row r="6227" spans="1:2" ht="12.75" customHeight="1" x14ac:dyDescent="0.25">
      <c r="A6227" s="318">
        <v>92495958117</v>
      </c>
      <c r="B6227" s="318" t="s">
        <v>237</v>
      </c>
    </row>
    <row r="6228" spans="1:2" ht="12.75" customHeight="1" x14ac:dyDescent="0.25">
      <c r="A6228" s="318">
        <v>92495958118</v>
      </c>
      <c r="B6228" s="318" t="s">
        <v>23</v>
      </c>
    </row>
    <row r="6229" spans="1:2" ht="12.75" customHeight="1" x14ac:dyDescent="0.25">
      <c r="A6229" s="318">
        <v>92495958119</v>
      </c>
      <c r="B6229" s="318" t="s">
        <v>237</v>
      </c>
    </row>
    <row r="6230" spans="1:2" ht="12.75" customHeight="1" x14ac:dyDescent="0.25">
      <c r="A6230" s="318">
        <v>92495958203</v>
      </c>
      <c r="B6230" s="318" t="s">
        <v>237</v>
      </c>
    </row>
    <row r="6231" spans="1:2" ht="12.75" customHeight="1" x14ac:dyDescent="0.25">
      <c r="A6231" s="318">
        <v>92495958204</v>
      </c>
      <c r="B6231" s="318" t="s">
        <v>237</v>
      </c>
    </row>
    <row r="6232" spans="1:2" ht="12.75" customHeight="1" x14ac:dyDescent="0.25">
      <c r="A6232" s="318">
        <v>92495958205</v>
      </c>
      <c r="B6232" s="318" t="s">
        <v>237</v>
      </c>
    </row>
    <row r="6233" spans="1:2" ht="12.75" customHeight="1" x14ac:dyDescent="0.25">
      <c r="A6233" s="318">
        <v>92495958206</v>
      </c>
      <c r="B6233" s="318" t="s">
        <v>237</v>
      </c>
    </row>
    <row r="6234" spans="1:2" ht="12.75" customHeight="1" x14ac:dyDescent="0.25">
      <c r="A6234" s="318">
        <v>92495958207</v>
      </c>
      <c r="B6234" s="318" t="s">
        <v>237</v>
      </c>
    </row>
    <row r="6235" spans="1:2" ht="12.75" customHeight="1" x14ac:dyDescent="0.25">
      <c r="A6235" s="318">
        <v>92495958208</v>
      </c>
      <c r="B6235" s="318" t="s">
        <v>237</v>
      </c>
    </row>
    <row r="6236" spans="1:2" ht="12.75" customHeight="1" x14ac:dyDescent="0.25">
      <c r="A6236" s="318">
        <v>92495958209</v>
      </c>
      <c r="B6236" s="318" t="s">
        <v>237</v>
      </c>
    </row>
    <row r="6237" spans="1:2" ht="12.75" customHeight="1" x14ac:dyDescent="0.25">
      <c r="A6237" s="318">
        <v>92495958210</v>
      </c>
      <c r="B6237" s="318" t="s">
        <v>237</v>
      </c>
    </row>
    <row r="6238" spans="1:2" ht="12.75" customHeight="1" x14ac:dyDescent="0.25">
      <c r="A6238" s="318">
        <v>92495958212</v>
      </c>
      <c r="B6238" s="318" t="s">
        <v>237</v>
      </c>
    </row>
    <row r="6239" spans="1:2" ht="12.75" customHeight="1" x14ac:dyDescent="0.25">
      <c r="A6239" s="318">
        <v>92495958213</v>
      </c>
      <c r="B6239" s="318" t="s">
        <v>237</v>
      </c>
    </row>
    <row r="6240" spans="1:2" ht="12.75" customHeight="1" x14ac:dyDescent="0.25">
      <c r="A6240" s="318">
        <v>92495958214</v>
      </c>
      <c r="B6240" s="318" t="s">
        <v>237</v>
      </c>
    </row>
    <row r="6241" spans="1:2" ht="12.75" customHeight="1" x14ac:dyDescent="0.25">
      <c r="A6241" s="318">
        <v>92495958215</v>
      </c>
      <c r="B6241" s="318" t="s">
        <v>237</v>
      </c>
    </row>
    <row r="6242" spans="1:2" ht="12.75" customHeight="1" x14ac:dyDescent="0.25">
      <c r="A6242" s="318">
        <v>92495958216</v>
      </c>
      <c r="B6242" s="318" t="s">
        <v>237</v>
      </c>
    </row>
    <row r="6243" spans="1:2" ht="12.75" customHeight="1" x14ac:dyDescent="0.25">
      <c r="A6243" s="318">
        <v>92495958217</v>
      </c>
      <c r="B6243" s="318" t="s">
        <v>237</v>
      </c>
    </row>
    <row r="6244" spans="1:2" ht="12.75" customHeight="1" x14ac:dyDescent="0.25">
      <c r="A6244" s="318">
        <v>92495958218</v>
      </c>
      <c r="B6244" s="318" t="s">
        <v>237</v>
      </c>
    </row>
    <row r="6245" spans="1:2" ht="12.75" customHeight="1" x14ac:dyDescent="0.25">
      <c r="A6245" s="318">
        <v>92495958219</v>
      </c>
      <c r="B6245" s="318" t="s">
        <v>237</v>
      </c>
    </row>
    <row r="6246" spans="1:2" ht="12.75" customHeight="1" x14ac:dyDescent="0.25">
      <c r="A6246" s="318">
        <v>92496439076</v>
      </c>
      <c r="B6246" s="318" t="s">
        <v>23</v>
      </c>
    </row>
    <row r="6247" spans="1:2" ht="12.75" customHeight="1" x14ac:dyDescent="0.25">
      <c r="A6247" s="318">
        <v>92496439077</v>
      </c>
      <c r="B6247" s="318" t="s">
        <v>23</v>
      </c>
    </row>
    <row r="6248" spans="1:2" ht="12.75" customHeight="1" x14ac:dyDescent="0.25">
      <c r="A6248" s="318">
        <v>92496439078</v>
      </c>
      <c r="B6248" s="318" t="s">
        <v>23</v>
      </c>
    </row>
    <row r="6249" spans="1:2" ht="12.75" customHeight="1" x14ac:dyDescent="0.25">
      <c r="A6249" s="318">
        <v>92496439079</v>
      </c>
      <c r="B6249" s="318" t="s">
        <v>23</v>
      </c>
    </row>
    <row r="6250" spans="1:2" ht="12.75" customHeight="1" x14ac:dyDescent="0.25">
      <c r="A6250" s="318">
        <v>92496439080</v>
      </c>
      <c r="B6250" s="318" t="s">
        <v>23</v>
      </c>
    </row>
    <row r="6251" spans="1:2" ht="12.75" customHeight="1" x14ac:dyDescent="0.25">
      <c r="A6251" s="318">
        <v>92496439081</v>
      </c>
      <c r="B6251" s="318" t="s">
        <v>23</v>
      </c>
    </row>
    <row r="6252" spans="1:2" ht="12.75" customHeight="1" x14ac:dyDescent="0.25">
      <c r="A6252" s="318">
        <v>92496439082</v>
      </c>
      <c r="B6252" s="318" t="s">
        <v>23</v>
      </c>
    </row>
    <row r="6253" spans="1:2" ht="12.75" customHeight="1" x14ac:dyDescent="0.25">
      <c r="A6253" s="318">
        <v>92496439083</v>
      </c>
      <c r="B6253" s="318" t="s">
        <v>237</v>
      </c>
    </row>
    <row r="6254" spans="1:2" ht="12.75" customHeight="1" x14ac:dyDescent="0.25">
      <c r="A6254" s="318">
        <v>92496439085</v>
      </c>
      <c r="B6254" s="318" t="s">
        <v>23</v>
      </c>
    </row>
    <row r="6255" spans="1:2" ht="12.75" customHeight="1" x14ac:dyDescent="0.25">
      <c r="A6255" s="318">
        <v>92496439086</v>
      </c>
      <c r="B6255" s="318" t="s">
        <v>237</v>
      </c>
    </row>
    <row r="6256" spans="1:2" ht="12.75" customHeight="1" x14ac:dyDescent="0.25">
      <c r="A6256" s="318">
        <v>92496439087</v>
      </c>
      <c r="B6256" s="318" t="s">
        <v>23</v>
      </c>
    </row>
    <row r="6257" spans="1:2" ht="12.75" customHeight="1" x14ac:dyDescent="0.25">
      <c r="A6257" s="318">
        <v>92496439088</v>
      </c>
      <c r="B6257" s="318" t="s">
        <v>237</v>
      </c>
    </row>
    <row r="6258" spans="1:2" ht="12.75" customHeight="1" x14ac:dyDescent="0.25">
      <c r="A6258" s="318">
        <v>92496439089</v>
      </c>
      <c r="B6258" s="318" t="s">
        <v>23</v>
      </c>
    </row>
    <row r="6259" spans="1:2" ht="12.75" customHeight="1" x14ac:dyDescent="0.25">
      <c r="A6259" s="318">
        <v>92496439090</v>
      </c>
      <c r="B6259" s="318" t="s">
        <v>237</v>
      </c>
    </row>
    <row r="6260" spans="1:2" ht="12.75" customHeight="1" x14ac:dyDescent="0.25">
      <c r="A6260" s="318">
        <v>92496439091</v>
      </c>
      <c r="B6260" s="318" t="s">
        <v>23</v>
      </c>
    </row>
    <row r="6261" spans="1:2" ht="12.75" customHeight="1" x14ac:dyDescent="0.25">
      <c r="A6261" s="318">
        <v>92496439092</v>
      </c>
      <c r="B6261" s="318" t="s">
        <v>237</v>
      </c>
    </row>
    <row r="6262" spans="1:2" ht="12.75" customHeight="1" x14ac:dyDescent="0.25">
      <c r="A6262" s="318">
        <v>92496439176</v>
      </c>
      <c r="B6262" s="318" t="s">
        <v>237</v>
      </c>
    </row>
    <row r="6263" spans="1:2" ht="12.75" customHeight="1" x14ac:dyDescent="0.25">
      <c r="A6263" s="318">
        <v>92496439177</v>
      </c>
      <c r="B6263" s="318" t="s">
        <v>237</v>
      </c>
    </row>
    <row r="6264" spans="1:2" ht="12.75" customHeight="1" x14ac:dyDescent="0.25">
      <c r="A6264" s="318">
        <v>92496439178</v>
      </c>
      <c r="B6264" s="318" t="s">
        <v>237</v>
      </c>
    </row>
    <row r="6265" spans="1:2" ht="12.75" customHeight="1" x14ac:dyDescent="0.25">
      <c r="A6265" s="318">
        <v>92496439179</v>
      </c>
      <c r="B6265" s="318" t="s">
        <v>237</v>
      </c>
    </row>
    <row r="6266" spans="1:2" ht="12.75" customHeight="1" x14ac:dyDescent="0.25">
      <c r="A6266" s="318">
        <v>92496439180</v>
      </c>
      <c r="B6266" s="318" t="s">
        <v>237</v>
      </c>
    </row>
    <row r="6267" spans="1:2" ht="12.75" customHeight="1" x14ac:dyDescent="0.25">
      <c r="A6267" s="318">
        <v>92496439181</v>
      </c>
      <c r="B6267" s="318" t="s">
        <v>237</v>
      </c>
    </row>
    <row r="6268" spans="1:2" ht="12.75" customHeight="1" x14ac:dyDescent="0.25">
      <c r="A6268" s="318">
        <v>92496439182</v>
      </c>
      <c r="B6268" s="318" t="s">
        <v>237</v>
      </c>
    </row>
    <row r="6269" spans="1:2" ht="12.75" customHeight="1" x14ac:dyDescent="0.25">
      <c r="A6269" s="318">
        <v>92496439183</v>
      </c>
      <c r="B6269" s="318" t="s">
        <v>237</v>
      </c>
    </row>
    <row r="6270" spans="1:2" ht="12.75" customHeight="1" x14ac:dyDescent="0.25">
      <c r="A6270" s="318">
        <v>92496439185</v>
      </c>
      <c r="B6270" s="318" t="s">
        <v>237</v>
      </c>
    </row>
    <row r="6271" spans="1:2" ht="12.75" customHeight="1" x14ac:dyDescent="0.25">
      <c r="A6271" s="318">
        <v>92496439186</v>
      </c>
      <c r="B6271" s="318" t="s">
        <v>237</v>
      </c>
    </row>
    <row r="6272" spans="1:2" ht="12.75" customHeight="1" x14ac:dyDescent="0.25">
      <c r="A6272" s="318">
        <v>92496439187</v>
      </c>
      <c r="B6272" s="318" t="s">
        <v>237</v>
      </c>
    </row>
    <row r="6273" spans="1:2" ht="12.75" customHeight="1" x14ac:dyDescent="0.25">
      <c r="A6273" s="318">
        <v>92496439188</v>
      </c>
      <c r="B6273" s="318" t="s">
        <v>237</v>
      </c>
    </row>
    <row r="6274" spans="1:2" ht="12.75" customHeight="1" x14ac:dyDescent="0.25">
      <c r="A6274" s="318">
        <v>92496439189</v>
      </c>
      <c r="B6274" s="318" t="s">
        <v>237</v>
      </c>
    </row>
    <row r="6275" spans="1:2" ht="12.75" customHeight="1" x14ac:dyDescent="0.25">
      <c r="A6275" s="318">
        <v>92496439190</v>
      </c>
      <c r="B6275" s="318" t="s">
        <v>237</v>
      </c>
    </row>
    <row r="6276" spans="1:2" ht="12.75" customHeight="1" x14ac:dyDescent="0.25">
      <c r="A6276" s="318">
        <v>92496439191</v>
      </c>
      <c r="B6276" s="318" t="s">
        <v>237</v>
      </c>
    </row>
    <row r="6277" spans="1:2" ht="12.75" customHeight="1" x14ac:dyDescent="0.25">
      <c r="A6277" s="318">
        <v>92496439192</v>
      </c>
      <c r="B6277" s="318" t="s">
        <v>237</v>
      </c>
    </row>
    <row r="6278" spans="1:2" ht="12.75" customHeight="1" x14ac:dyDescent="0.25">
      <c r="A6278" s="318">
        <v>92496920049</v>
      </c>
      <c r="B6278" s="318" t="s">
        <v>23</v>
      </c>
    </row>
    <row r="6279" spans="1:2" ht="12.75" customHeight="1" x14ac:dyDescent="0.25">
      <c r="A6279" s="318">
        <v>92496920050</v>
      </c>
      <c r="B6279" s="318" t="s">
        <v>23</v>
      </c>
    </row>
    <row r="6280" spans="1:2" ht="12.75" customHeight="1" x14ac:dyDescent="0.25">
      <c r="A6280" s="318">
        <v>92496920051</v>
      </c>
      <c r="B6280" s="318" t="s">
        <v>23</v>
      </c>
    </row>
    <row r="6281" spans="1:2" ht="12.75" customHeight="1" x14ac:dyDescent="0.25">
      <c r="A6281" s="318">
        <v>92496920052</v>
      </c>
      <c r="B6281" s="318" t="s">
        <v>23</v>
      </c>
    </row>
    <row r="6282" spans="1:2" ht="12.75" customHeight="1" x14ac:dyDescent="0.25">
      <c r="A6282" s="318">
        <v>92496920053</v>
      </c>
      <c r="B6282" s="318" t="s">
        <v>23</v>
      </c>
    </row>
    <row r="6283" spans="1:2" ht="12.75" customHeight="1" x14ac:dyDescent="0.25">
      <c r="A6283" s="318">
        <v>92496920054</v>
      </c>
      <c r="B6283" s="318" t="s">
        <v>23</v>
      </c>
    </row>
    <row r="6284" spans="1:2" ht="12.75" customHeight="1" x14ac:dyDescent="0.25">
      <c r="A6284" s="318">
        <v>92496920055</v>
      </c>
      <c r="B6284" s="318" t="s">
        <v>23</v>
      </c>
    </row>
    <row r="6285" spans="1:2" ht="12.75" customHeight="1" x14ac:dyDescent="0.25">
      <c r="A6285" s="318">
        <v>92496920056</v>
      </c>
      <c r="B6285" s="318" t="s">
        <v>237</v>
      </c>
    </row>
    <row r="6286" spans="1:2" ht="12.75" customHeight="1" x14ac:dyDescent="0.25">
      <c r="A6286" s="318">
        <v>92496920058</v>
      </c>
      <c r="B6286" s="318" t="s">
        <v>23</v>
      </c>
    </row>
    <row r="6287" spans="1:2" ht="12.75" customHeight="1" x14ac:dyDescent="0.25">
      <c r="A6287" s="318">
        <v>92496920059</v>
      </c>
      <c r="B6287" s="318" t="s">
        <v>237</v>
      </c>
    </row>
    <row r="6288" spans="1:2" ht="12.75" customHeight="1" x14ac:dyDescent="0.25">
      <c r="A6288" s="318">
        <v>92496920060</v>
      </c>
      <c r="B6288" s="318" t="s">
        <v>23</v>
      </c>
    </row>
    <row r="6289" spans="1:2" ht="12.75" customHeight="1" x14ac:dyDescent="0.25">
      <c r="A6289" s="318">
        <v>92496920061</v>
      </c>
      <c r="B6289" s="318" t="s">
        <v>237</v>
      </c>
    </row>
    <row r="6290" spans="1:2" ht="12.75" customHeight="1" x14ac:dyDescent="0.25">
      <c r="A6290" s="318">
        <v>92496920062</v>
      </c>
      <c r="B6290" s="318" t="s">
        <v>23</v>
      </c>
    </row>
    <row r="6291" spans="1:2" ht="12.75" customHeight="1" x14ac:dyDescent="0.25">
      <c r="A6291" s="318">
        <v>92496920063</v>
      </c>
      <c r="B6291" s="318" t="s">
        <v>237</v>
      </c>
    </row>
    <row r="6292" spans="1:2" ht="12.75" customHeight="1" x14ac:dyDescent="0.25">
      <c r="A6292" s="318">
        <v>92496920064</v>
      </c>
      <c r="B6292" s="318" t="s">
        <v>23</v>
      </c>
    </row>
    <row r="6293" spans="1:2" ht="12.75" customHeight="1" x14ac:dyDescent="0.25">
      <c r="A6293" s="318">
        <v>92496920065</v>
      </c>
      <c r="B6293" s="318" t="s">
        <v>237</v>
      </c>
    </row>
    <row r="6294" spans="1:2" ht="12.75" customHeight="1" x14ac:dyDescent="0.25">
      <c r="A6294" s="318">
        <v>92496920149</v>
      </c>
      <c r="B6294" s="318" t="s">
        <v>237</v>
      </c>
    </row>
    <row r="6295" spans="1:2" ht="12.75" customHeight="1" x14ac:dyDescent="0.25">
      <c r="A6295" s="318">
        <v>92496920150</v>
      </c>
      <c r="B6295" s="318" t="s">
        <v>237</v>
      </c>
    </row>
    <row r="6296" spans="1:2" ht="12.75" customHeight="1" x14ac:dyDescent="0.25">
      <c r="A6296" s="318">
        <v>92496920151</v>
      </c>
      <c r="B6296" s="318" t="s">
        <v>237</v>
      </c>
    </row>
    <row r="6297" spans="1:2" ht="12.75" customHeight="1" x14ac:dyDescent="0.25">
      <c r="A6297" s="318">
        <v>92496920152</v>
      </c>
      <c r="B6297" s="318" t="s">
        <v>237</v>
      </c>
    </row>
    <row r="6298" spans="1:2" ht="12.75" customHeight="1" x14ac:dyDescent="0.25">
      <c r="A6298" s="318">
        <v>92496920153</v>
      </c>
      <c r="B6298" s="318" t="s">
        <v>237</v>
      </c>
    </row>
    <row r="6299" spans="1:2" ht="12.75" customHeight="1" x14ac:dyDescent="0.25">
      <c r="A6299" s="318">
        <v>92496920154</v>
      </c>
      <c r="B6299" s="318" t="s">
        <v>237</v>
      </c>
    </row>
    <row r="6300" spans="1:2" ht="12.75" customHeight="1" x14ac:dyDescent="0.25">
      <c r="A6300" s="318">
        <v>92496920155</v>
      </c>
      <c r="B6300" s="318" t="s">
        <v>237</v>
      </c>
    </row>
    <row r="6301" spans="1:2" ht="12.75" customHeight="1" x14ac:dyDescent="0.25">
      <c r="A6301" s="318">
        <v>92496920156</v>
      </c>
      <c r="B6301" s="318" t="s">
        <v>237</v>
      </c>
    </row>
    <row r="6302" spans="1:2" ht="12.75" customHeight="1" x14ac:dyDescent="0.25">
      <c r="A6302" s="318">
        <v>92496920158</v>
      </c>
      <c r="B6302" s="318" t="s">
        <v>237</v>
      </c>
    </row>
    <row r="6303" spans="1:2" ht="12.75" customHeight="1" x14ac:dyDescent="0.25">
      <c r="A6303" s="318">
        <v>92496920159</v>
      </c>
      <c r="B6303" s="318" t="s">
        <v>237</v>
      </c>
    </row>
    <row r="6304" spans="1:2" ht="12.75" customHeight="1" x14ac:dyDescent="0.25">
      <c r="A6304" s="318">
        <v>92496920160</v>
      </c>
      <c r="B6304" s="318" t="s">
        <v>237</v>
      </c>
    </row>
    <row r="6305" spans="1:2" ht="12.75" customHeight="1" x14ac:dyDescent="0.25">
      <c r="A6305" s="318">
        <v>92496920161</v>
      </c>
      <c r="B6305" s="318" t="s">
        <v>237</v>
      </c>
    </row>
    <row r="6306" spans="1:2" ht="12.75" customHeight="1" x14ac:dyDescent="0.25">
      <c r="A6306" s="318">
        <v>92496920162</v>
      </c>
      <c r="B6306" s="318" t="s">
        <v>237</v>
      </c>
    </row>
    <row r="6307" spans="1:2" ht="12.75" customHeight="1" x14ac:dyDescent="0.25">
      <c r="A6307" s="318">
        <v>92496920163</v>
      </c>
      <c r="B6307" s="318" t="s">
        <v>237</v>
      </c>
    </row>
    <row r="6308" spans="1:2" ht="12.75" customHeight="1" x14ac:dyDescent="0.25">
      <c r="A6308" s="318">
        <v>92496920164</v>
      </c>
      <c r="B6308" s="318" t="s">
        <v>237</v>
      </c>
    </row>
    <row r="6309" spans="1:2" ht="12.75" customHeight="1" x14ac:dyDescent="0.25">
      <c r="A6309" s="318">
        <v>92496920165</v>
      </c>
      <c r="B6309" s="318" t="s">
        <v>237</v>
      </c>
    </row>
    <row r="6310" spans="1:2" ht="12.75" customHeight="1" x14ac:dyDescent="0.25">
      <c r="A6310" s="318">
        <v>92497600240</v>
      </c>
      <c r="B6310" s="318" t="s">
        <v>23</v>
      </c>
    </row>
    <row r="6311" spans="1:2" ht="12.75" customHeight="1" x14ac:dyDescent="0.25">
      <c r="A6311" s="318">
        <v>92497600241</v>
      </c>
      <c r="B6311" s="318" t="s">
        <v>23</v>
      </c>
    </row>
    <row r="6312" spans="1:2" ht="12.75" customHeight="1" x14ac:dyDescent="0.25">
      <c r="A6312" s="318">
        <v>92497600242</v>
      </c>
      <c r="B6312" s="318" t="s">
        <v>23</v>
      </c>
    </row>
    <row r="6313" spans="1:2" ht="12.75" customHeight="1" x14ac:dyDescent="0.25">
      <c r="A6313" s="318">
        <v>92497600243</v>
      </c>
      <c r="B6313" s="318" t="s">
        <v>23</v>
      </c>
    </row>
    <row r="6314" spans="1:2" ht="12.75" customHeight="1" x14ac:dyDescent="0.25">
      <c r="A6314" s="318">
        <v>92497600244</v>
      </c>
      <c r="B6314" s="318" t="s">
        <v>23</v>
      </c>
    </row>
    <row r="6315" spans="1:2" ht="12.75" customHeight="1" x14ac:dyDescent="0.25">
      <c r="A6315" s="318">
        <v>92497600245</v>
      </c>
      <c r="B6315" s="318" t="s">
        <v>23</v>
      </c>
    </row>
    <row r="6316" spans="1:2" ht="12.75" customHeight="1" x14ac:dyDescent="0.25">
      <c r="A6316" s="318">
        <v>92497600246</v>
      </c>
      <c r="B6316" s="318" t="s">
        <v>23</v>
      </c>
    </row>
    <row r="6317" spans="1:2" ht="12.75" customHeight="1" x14ac:dyDescent="0.25">
      <c r="A6317" s="318">
        <v>92497600247</v>
      </c>
      <c r="B6317" s="318" t="s">
        <v>237</v>
      </c>
    </row>
    <row r="6318" spans="1:2" ht="12.75" customHeight="1" x14ac:dyDescent="0.25">
      <c r="A6318" s="318">
        <v>92497600249</v>
      </c>
      <c r="B6318" s="318" t="s">
        <v>23</v>
      </c>
    </row>
    <row r="6319" spans="1:2" ht="12.75" customHeight="1" x14ac:dyDescent="0.25">
      <c r="A6319" s="318">
        <v>92497600250</v>
      </c>
      <c r="B6319" s="318" t="s">
        <v>237</v>
      </c>
    </row>
    <row r="6320" spans="1:2" ht="12.75" customHeight="1" x14ac:dyDescent="0.25">
      <c r="A6320" s="318">
        <v>92497600251</v>
      </c>
      <c r="B6320" s="318" t="s">
        <v>23</v>
      </c>
    </row>
    <row r="6321" spans="1:2" ht="12.75" customHeight="1" x14ac:dyDescent="0.25">
      <c r="A6321" s="318">
        <v>92497600252</v>
      </c>
      <c r="B6321" s="318" t="s">
        <v>237</v>
      </c>
    </row>
    <row r="6322" spans="1:2" ht="12.75" customHeight="1" x14ac:dyDescent="0.25">
      <c r="A6322" s="318">
        <v>92497600253</v>
      </c>
      <c r="B6322" s="318" t="s">
        <v>23</v>
      </c>
    </row>
    <row r="6323" spans="1:2" ht="12.75" customHeight="1" x14ac:dyDescent="0.25">
      <c r="A6323" s="318">
        <v>92497600254</v>
      </c>
      <c r="B6323" s="318" t="s">
        <v>237</v>
      </c>
    </row>
    <row r="6324" spans="1:2" ht="12.75" customHeight="1" x14ac:dyDescent="0.25">
      <c r="A6324" s="318">
        <v>92497600255</v>
      </c>
      <c r="B6324" s="318" t="s">
        <v>23</v>
      </c>
    </row>
    <row r="6325" spans="1:2" ht="12.75" customHeight="1" x14ac:dyDescent="0.25">
      <c r="A6325" s="318">
        <v>92497600256</v>
      </c>
      <c r="B6325" s="318" t="s">
        <v>237</v>
      </c>
    </row>
    <row r="6326" spans="1:2" ht="12.75" customHeight="1" x14ac:dyDescent="0.25">
      <c r="A6326" s="318">
        <v>92497600340</v>
      </c>
      <c r="B6326" s="318" t="s">
        <v>237</v>
      </c>
    </row>
    <row r="6327" spans="1:2" ht="12.75" customHeight="1" x14ac:dyDescent="0.25">
      <c r="A6327" s="318">
        <v>92497600341</v>
      </c>
      <c r="B6327" s="318" t="s">
        <v>237</v>
      </c>
    </row>
    <row r="6328" spans="1:2" ht="12.75" customHeight="1" x14ac:dyDescent="0.25">
      <c r="A6328" s="318">
        <v>92497600342</v>
      </c>
      <c r="B6328" s="318" t="s">
        <v>237</v>
      </c>
    </row>
    <row r="6329" spans="1:2" ht="12.75" customHeight="1" x14ac:dyDescent="0.25">
      <c r="A6329" s="318">
        <v>92497600343</v>
      </c>
      <c r="B6329" s="318" t="s">
        <v>237</v>
      </c>
    </row>
    <row r="6330" spans="1:2" ht="12.75" customHeight="1" x14ac:dyDescent="0.25">
      <c r="A6330" s="318">
        <v>92497600344</v>
      </c>
      <c r="B6330" s="318" t="s">
        <v>237</v>
      </c>
    </row>
    <row r="6331" spans="1:2" ht="12.75" customHeight="1" x14ac:dyDescent="0.25">
      <c r="A6331" s="318">
        <v>92497600345</v>
      </c>
      <c r="B6331" s="318" t="s">
        <v>237</v>
      </c>
    </row>
    <row r="6332" spans="1:2" ht="12.75" customHeight="1" x14ac:dyDescent="0.25">
      <c r="A6332" s="318">
        <v>92497600346</v>
      </c>
      <c r="B6332" s="318" t="s">
        <v>237</v>
      </c>
    </row>
    <row r="6333" spans="1:2" ht="12.75" customHeight="1" x14ac:dyDescent="0.25">
      <c r="A6333" s="318">
        <v>92497600347</v>
      </c>
      <c r="B6333" s="318" t="s">
        <v>237</v>
      </c>
    </row>
    <row r="6334" spans="1:2" ht="12.75" customHeight="1" x14ac:dyDescent="0.25">
      <c r="A6334" s="318">
        <v>92497600349</v>
      </c>
      <c r="B6334" s="318" t="s">
        <v>237</v>
      </c>
    </row>
    <row r="6335" spans="1:2" ht="12.75" customHeight="1" x14ac:dyDescent="0.25">
      <c r="A6335" s="318">
        <v>92497600350</v>
      </c>
      <c r="B6335" s="318" t="s">
        <v>237</v>
      </c>
    </row>
    <row r="6336" spans="1:2" ht="12.75" customHeight="1" x14ac:dyDescent="0.25">
      <c r="A6336" s="318">
        <v>92497600351</v>
      </c>
      <c r="B6336" s="318" t="s">
        <v>237</v>
      </c>
    </row>
    <row r="6337" spans="1:2" ht="12.75" customHeight="1" x14ac:dyDescent="0.25">
      <c r="A6337" s="318">
        <v>92497600352</v>
      </c>
      <c r="B6337" s="318" t="s">
        <v>237</v>
      </c>
    </row>
    <row r="6338" spans="1:2" ht="12.75" customHeight="1" x14ac:dyDescent="0.25">
      <c r="A6338" s="318">
        <v>92497600353</v>
      </c>
      <c r="B6338" s="318" t="s">
        <v>237</v>
      </c>
    </row>
    <row r="6339" spans="1:2" ht="12.75" customHeight="1" x14ac:dyDescent="0.25">
      <c r="A6339" s="318">
        <v>92497600354</v>
      </c>
      <c r="B6339" s="318" t="s">
        <v>237</v>
      </c>
    </row>
    <row r="6340" spans="1:2" ht="12.75" customHeight="1" x14ac:dyDescent="0.25">
      <c r="A6340" s="318">
        <v>92497600355</v>
      </c>
      <c r="B6340" s="318" t="s">
        <v>237</v>
      </c>
    </row>
    <row r="6341" spans="1:2" ht="12.75" customHeight="1" x14ac:dyDescent="0.25">
      <c r="A6341" s="318">
        <v>92497600356</v>
      </c>
      <c r="B6341" s="318" t="s">
        <v>237</v>
      </c>
    </row>
    <row r="6342" spans="1:2" ht="12.75" customHeight="1" x14ac:dyDescent="0.25">
      <c r="A6342" s="318">
        <v>92498081213</v>
      </c>
      <c r="B6342" s="318" t="s">
        <v>23</v>
      </c>
    </row>
    <row r="6343" spans="1:2" ht="12.75" customHeight="1" x14ac:dyDescent="0.25">
      <c r="A6343" s="318">
        <v>92498081214</v>
      </c>
      <c r="B6343" s="318" t="s">
        <v>23</v>
      </c>
    </row>
    <row r="6344" spans="1:2" ht="12.75" customHeight="1" x14ac:dyDescent="0.25">
      <c r="A6344" s="318">
        <v>92498081215</v>
      </c>
      <c r="B6344" s="318" t="s">
        <v>23</v>
      </c>
    </row>
    <row r="6345" spans="1:2" ht="12.75" customHeight="1" x14ac:dyDescent="0.25">
      <c r="A6345" s="318">
        <v>92498081216</v>
      </c>
      <c r="B6345" s="318" t="s">
        <v>23</v>
      </c>
    </row>
    <row r="6346" spans="1:2" ht="12.75" customHeight="1" x14ac:dyDescent="0.25">
      <c r="A6346" s="318">
        <v>92498081217</v>
      </c>
      <c r="B6346" s="318" t="s">
        <v>23</v>
      </c>
    </row>
    <row r="6347" spans="1:2" ht="12.75" customHeight="1" x14ac:dyDescent="0.25">
      <c r="A6347" s="318">
        <v>92498081218</v>
      </c>
      <c r="B6347" s="318" t="s">
        <v>23</v>
      </c>
    </row>
    <row r="6348" spans="1:2" ht="12.75" customHeight="1" x14ac:dyDescent="0.25">
      <c r="A6348" s="318">
        <v>92498081219</v>
      </c>
      <c r="B6348" s="318" t="s">
        <v>23</v>
      </c>
    </row>
    <row r="6349" spans="1:2" ht="12.75" customHeight="1" x14ac:dyDescent="0.25">
      <c r="A6349" s="318">
        <v>92498081220</v>
      </c>
      <c r="B6349" s="318" t="s">
        <v>237</v>
      </c>
    </row>
    <row r="6350" spans="1:2" ht="12.75" customHeight="1" x14ac:dyDescent="0.25">
      <c r="A6350" s="318">
        <v>92498081222</v>
      </c>
      <c r="B6350" s="318" t="s">
        <v>23</v>
      </c>
    </row>
    <row r="6351" spans="1:2" ht="12.75" customHeight="1" x14ac:dyDescent="0.25">
      <c r="A6351" s="318">
        <v>92498081223</v>
      </c>
      <c r="B6351" s="318" t="s">
        <v>237</v>
      </c>
    </row>
    <row r="6352" spans="1:2" ht="12.75" customHeight="1" x14ac:dyDescent="0.25">
      <c r="A6352" s="318">
        <v>92498081224</v>
      </c>
      <c r="B6352" s="318" t="s">
        <v>23</v>
      </c>
    </row>
    <row r="6353" spans="1:2" ht="12.75" customHeight="1" x14ac:dyDescent="0.25">
      <c r="A6353" s="318">
        <v>92498081225</v>
      </c>
      <c r="B6353" s="318" t="s">
        <v>237</v>
      </c>
    </row>
    <row r="6354" spans="1:2" ht="12.75" customHeight="1" x14ac:dyDescent="0.25">
      <c r="A6354" s="318">
        <v>92498081226</v>
      </c>
      <c r="B6354" s="318" t="s">
        <v>23</v>
      </c>
    </row>
    <row r="6355" spans="1:2" ht="12.75" customHeight="1" x14ac:dyDescent="0.25">
      <c r="A6355" s="318">
        <v>92498081227</v>
      </c>
      <c r="B6355" s="318" t="s">
        <v>237</v>
      </c>
    </row>
    <row r="6356" spans="1:2" ht="12.75" customHeight="1" x14ac:dyDescent="0.25">
      <c r="A6356" s="318">
        <v>92498081228</v>
      </c>
      <c r="B6356" s="318" t="s">
        <v>23</v>
      </c>
    </row>
    <row r="6357" spans="1:2" ht="12.75" customHeight="1" x14ac:dyDescent="0.25">
      <c r="A6357" s="318">
        <v>92498081229</v>
      </c>
      <c r="B6357" s="318" t="s">
        <v>237</v>
      </c>
    </row>
    <row r="6358" spans="1:2" ht="12.75" customHeight="1" x14ac:dyDescent="0.25">
      <c r="A6358" s="318">
        <v>92498081313</v>
      </c>
      <c r="B6358" s="318" t="s">
        <v>237</v>
      </c>
    </row>
    <row r="6359" spans="1:2" ht="12.75" customHeight="1" x14ac:dyDescent="0.25">
      <c r="A6359" s="318">
        <v>92498081314</v>
      </c>
      <c r="B6359" s="318" t="s">
        <v>237</v>
      </c>
    </row>
    <row r="6360" spans="1:2" ht="12.75" customHeight="1" x14ac:dyDescent="0.25">
      <c r="A6360" s="318">
        <v>92498081315</v>
      </c>
      <c r="B6360" s="318" t="s">
        <v>237</v>
      </c>
    </row>
    <row r="6361" spans="1:2" ht="12.75" customHeight="1" x14ac:dyDescent="0.25">
      <c r="A6361" s="318">
        <v>92498081316</v>
      </c>
      <c r="B6361" s="318" t="s">
        <v>237</v>
      </c>
    </row>
    <row r="6362" spans="1:2" ht="12.75" customHeight="1" x14ac:dyDescent="0.25">
      <c r="A6362" s="318">
        <v>92498081317</v>
      </c>
      <c r="B6362" s="318" t="s">
        <v>237</v>
      </c>
    </row>
    <row r="6363" spans="1:2" ht="12.75" customHeight="1" x14ac:dyDescent="0.25">
      <c r="A6363" s="318">
        <v>92498081318</v>
      </c>
      <c r="B6363" s="318" t="s">
        <v>237</v>
      </c>
    </row>
    <row r="6364" spans="1:2" ht="12.75" customHeight="1" x14ac:dyDescent="0.25">
      <c r="A6364" s="318">
        <v>92498081319</v>
      </c>
      <c r="B6364" s="318" t="s">
        <v>237</v>
      </c>
    </row>
    <row r="6365" spans="1:2" ht="12.75" customHeight="1" x14ac:dyDescent="0.25">
      <c r="A6365" s="318">
        <v>92498081320</v>
      </c>
      <c r="B6365" s="318" t="s">
        <v>237</v>
      </c>
    </row>
    <row r="6366" spans="1:2" ht="12.75" customHeight="1" x14ac:dyDescent="0.25">
      <c r="A6366" s="318">
        <v>92498081322</v>
      </c>
      <c r="B6366" s="318" t="s">
        <v>237</v>
      </c>
    </row>
    <row r="6367" spans="1:2" ht="12.75" customHeight="1" x14ac:dyDescent="0.25">
      <c r="A6367" s="318">
        <v>92498081323</v>
      </c>
      <c r="B6367" s="318" t="s">
        <v>237</v>
      </c>
    </row>
    <row r="6368" spans="1:2" ht="12.75" customHeight="1" x14ac:dyDescent="0.25">
      <c r="A6368" s="318">
        <v>92498081324</v>
      </c>
      <c r="B6368" s="318" t="s">
        <v>237</v>
      </c>
    </row>
    <row r="6369" spans="1:2" ht="12.75" customHeight="1" x14ac:dyDescent="0.25">
      <c r="A6369" s="318">
        <v>92498081325</v>
      </c>
      <c r="B6369" s="318" t="s">
        <v>237</v>
      </c>
    </row>
    <row r="6370" spans="1:2" ht="12.75" customHeight="1" x14ac:dyDescent="0.25">
      <c r="A6370" s="318">
        <v>92498081326</v>
      </c>
      <c r="B6370" s="318" t="s">
        <v>237</v>
      </c>
    </row>
    <row r="6371" spans="1:2" ht="12.75" customHeight="1" x14ac:dyDescent="0.25">
      <c r="A6371" s="318">
        <v>92498081327</v>
      </c>
      <c r="B6371" s="318" t="s">
        <v>237</v>
      </c>
    </row>
    <row r="6372" spans="1:2" ht="12.75" customHeight="1" x14ac:dyDescent="0.25">
      <c r="A6372" s="318">
        <v>92498081328</v>
      </c>
      <c r="B6372" s="318" t="s">
        <v>237</v>
      </c>
    </row>
    <row r="6373" spans="1:2" ht="12.75" customHeight="1" x14ac:dyDescent="0.25">
      <c r="A6373" s="318">
        <v>92498081329</v>
      </c>
      <c r="B6373" s="318" t="s">
        <v>237</v>
      </c>
    </row>
    <row r="6374" spans="1:2" ht="12.75" customHeight="1" x14ac:dyDescent="0.25">
      <c r="A6374" s="318">
        <v>92498562186</v>
      </c>
      <c r="B6374" s="318" t="s">
        <v>23</v>
      </c>
    </row>
    <row r="6375" spans="1:2" ht="12.75" customHeight="1" x14ac:dyDescent="0.25">
      <c r="A6375" s="318">
        <v>92498562187</v>
      </c>
      <c r="B6375" s="318" t="s">
        <v>23</v>
      </c>
    </row>
    <row r="6376" spans="1:2" ht="12.75" customHeight="1" x14ac:dyDescent="0.25">
      <c r="A6376" s="318">
        <v>92498562188</v>
      </c>
      <c r="B6376" s="318" t="s">
        <v>23</v>
      </c>
    </row>
    <row r="6377" spans="1:2" ht="12.75" customHeight="1" x14ac:dyDescent="0.25">
      <c r="A6377" s="318">
        <v>92498562189</v>
      </c>
      <c r="B6377" s="318" t="s">
        <v>23</v>
      </c>
    </row>
    <row r="6378" spans="1:2" ht="12.75" customHeight="1" x14ac:dyDescent="0.25">
      <c r="A6378" s="318">
        <v>92498562190</v>
      </c>
      <c r="B6378" s="318" t="s">
        <v>23</v>
      </c>
    </row>
    <row r="6379" spans="1:2" ht="12.75" customHeight="1" x14ac:dyDescent="0.25">
      <c r="A6379" s="318">
        <v>92498562191</v>
      </c>
      <c r="B6379" s="318" t="s">
        <v>23</v>
      </c>
    </row>
    <row r="6380" spans="1:2" ht="12.75" customHeight="1" x14ac:dyDescent="0.25">
      <c r="A6380" s="318">
        <v>92498562192</v>
      </c>
      <c r="B6380" s="318" t="s">
        <v>23</v>
      </c>
    </row>
    <row r="6381" spans="1:2" ht="12.75" customHeight="1" x14ac:dyDescent="0.25">
      <c r="A6381" s="318">
        <v>92498562193</v>
      </c>
      <c r="B6381" s="318" t="s">
        <v>237</v>
      </c>
    </row>
    <row r="6382" spans="1:2" ht="12.75" customHeight="1" x14ac:dyDescent="0.25">
      <c r="A6382" s="318">
        <v>92498562195</v>
      </c>
      <c r="B6382" s="318" t="s">
        <v>23</v>
      </c>
    </row>
    <row r="6383" spans="1:2" ht="12.75" customHeight="1" x14ac:dyDescent="0.25">
      <c r="A6383" s="318">
        <v>92498562196</v>
      </c>
      <c r="B6383" s="318" t="s">
        <v>237</v>
      </c>
    </row>
    <row r="6384" spans="1:2" ht="12.75" customHeight="1" x14ac:dyDescent="0.25">
      <c r="A6384" s="318">
        <v>92498562197</v>
      </c>
      <c r="B6384" s="318" t="s">
        <v>23</v>
      </c>
    </row>
    <row r="6385" spans="1:2" ht="12.75" customHeight="1" x14ac:dyDescent="0.25">
      <c r="A6385" s="318">
        <v>92498562198</v>
      </c>
      <c r="B6385" s="318" t="s">
        <v>237</v>
      </c>
    </row>
    <row r="6386" spans="1:2" ht="12.75" customHeight="1" x14ac:dyDescent="0.25">
      <c r="A6386" s="318">
        <v>92498562199</v>
      </c>
      <c r="B6386" s="318" t="s">
        <v>23</v>
      </c>
    </row>
    <row r="6387" spans="1:2" ht="12.75" customHeight="1" x14ac:dyDescent="0.25">
      <c r="A6387" s="318">
        <v>92498562200</v>
      </c>
      <c r="B6387" s="318" t="s">
        <v>237</v>
      </c>
    </row>
    <row r="6388" spans="1:2" ht="12.75" customHeight="1" x14ac:dyDescent="0.25">
      <c r="A6388" s="318">
        <v>92498562201</v>
      </c>
      <c r="B6388" s="318" t="s">
        <v>23</v>
      </c>
    </row>
    <row r="6389" spans="1:2" ht="12.75" customHeight="1" x14ac:dyDescent="0.25">
      <c r="A6389" s="318">
        <v>92498562202</v>
      </c>
      <c r="B6389" s="318" t="s">
        <v>237</v>
      </c>
    </row>
    <row r="6390" spans="1:2" ht="12.75" customHeight="1" x14ac:dyDescent="0.25">
      <c r="A6390" s="318">
        <v>92498562286</v>
      </c>
      <c r="B6390" s="318" t="s">
        <v>237</v>
      </c>
    </row>
    <row r="6391" spans="1:2" ht="12.75" customHeight="1" x14ac:dyDescent="0.25">
      <c r="A6391" s="318">
        <v>92498562287</v>
      </c>
      <c r="B6391" s="318" t="s">
        <v>237</v>
      </c>
    </row>
    <row r="6392" spans="1:2" ht="12.75" customHeight="1" x14ac:dyDescent="0.25">
      <c r="A6392" s="318">
        <v>92498562288</v>
      </c>
      <c r="B6392" s="318" t="s">
        <v>237</v>
      </c>
    </row>
    <row r="6393" spans="1:2" ht="12.75" customHeight="1" x14ac:dyDescent="0.25">
      <c r="A6393" s="318">
        <v>92498562289</v>
      </c>
      <c r="B6393" s="318" t="s">
        <v>237</v>
      </c>
    </row>
    <row r="6394" spans="1:2" ht="12.75" customHeight="1" x14ac:dyDescent="0.25">
      <c r="A6394" s="318">
        <v>92498562290</v>
      </c>
      <c r="B6394" s="318" t="s">
        <v>237</v>
      </c>
    </row>
    <row r="6395" spans="1:2" ht="12.75" customHeight="1" x14ac:dyDescent="0.25">
      <c r="A6395" s="318">
        <v>92498562291</v>
      </c>
      <c r="B6395" s="318" t="s">
        <v>237</v>
      </c>
    </row>
    <row r="6396" spans="1:2" ht="12.75" customHeight="1" x14ac:dyDescent="0.25">
      <c r="A6396" s="318">
        <v>92498562292</v>
      </c>
      <c r="B6396" s="318" t="s">
        <v>237</v>
      </c>
    </row>
    <row r="6397" spans="1:2" ht="12.75" customHeight="1" x14ac:dyDescent="0.25">
      <c r="A6397" s="318">
        <v>92498562293</v>
      </c>
      <c r="B6397" s="318" t="s">
        <v>237</v>
      </c>
    </row>
    <row r="6398" spans="1:2" ht="12.75" customHeight="1" x14ac:dyDescent="0.25">
      <c r="A6398" s="318">
        <v>92498562295</v>
      </c>
      <c r="B6398" s="318" t="s">
        <v>237</v>
      </c>
    </row>
    <row r="6399" spans="1:2" ht="12.75" customHeight="1" x14ac:dyDescent="0.25">
      <c r="A6399" s="318">
        <v>92498562296</v>
      </c>
      <c r="B6399" s="318" t="s">
        <v>237</v>
      </c>
    </row>
    <row r="6400" spans="1:2" ht="12.75" customHeight="1" x14ac:dyDescent="0.25">
      <c r="A6400" s="318">
        <v>92498562297</v>
      </c>
      <c r="B6400" s="318" t="s">
        <v>237</v>
      </c>
    </row>
    <row r="6401" spans="1:2" ht="12.75" customHeight="1" x14ac:dyDescent="0.25">
      <c r="A6401" s="318">
        <v>92498562298</v>
      </c>
      <c r="B6401" s="318" t="s">
        <v>237</v>
      </c>
    </row>
    <row r="6402" spans="1:2" ht="12.75" customHeight="1" x14ac:dyDescent="0.25">
      <c r="A6402" s="318">
        <v>92498562299</v>
      </c>
      <c r="B6402" s="318" t="s">
        <v>237</v>
      </c>
    </row>
    <row r="6403" spans="1:2" ht="12.75" customHeight="1" x14ac:dyDescent="0.25">
      <c r="A6403" s="318">
        <v>92498562300</v>
      </c>
      <c r="B6403" s="318" t="s">
        <v>237</v>
      </c>
    </row>
    <row r="6404" spans="1:2" ht="12.75" customHeight="1" x14ac:dyDescent="0.25">
      <c r="A6404" s="318">
        <v>92498562301</v>
      </c>
      <c r="B6404" s="318" t="s">
        <v>237</v>
      </c>
    </row>
    <row r="6405" spans="1:2" ht="12.75" customHeight="1" x14ac:dyDescent="0.25">
      <c r="A6405" s="318">
        <v>92498562302</v>
      </c>
      <c r="B6405" s="318" t="s">
        <v>237</v>
      </c>
    </row>
    <row r="6406" spans="1:2" ht="12.75" customHeight="1" x14ac:dyDescent="0.25">
      <c r="A6406" s="318">
        <v>92499242377</v>
      </c>
      <c r="B6406" s="318" t="s">
        <v>23</v>
      </c>
    </row>
    <row r="6407" spans="1:2" ht="12.75" customHeight="1" x14ac:dyDescent="0.25">
      <c r="A6407" s="318">
        <v>92499242378</v>
      </c>
      <c r="B6407" s="318" t="s">
        <v>23</v>
      </c>
    </row>
    <row r="6408" spans="1:2" ht="12.75" customHeight="1" x14ac:dyDescent="0.25">
      <c r="A6408" s="318">
        <v>92499242379</v>
      </c>
      <c r="B6408" s="318" t="s">
        <v>23</v>
      </c>
    </row>
    <row r="6409" spans="1:2" ht="12.75" customHeight="1" x14ac:dyDescent="0.25">
      <c r="A6409" s="318">
        <v>92499242380</v>
      </c>
      <c r="B6409" s="318" t="s">
        <v>23</v>
      </c>
    </row>
    <row r="6410" spans="1:2" ht="12.75" customHeight="1" x14ac:dyDescent="0.25">
      <c r="A6410" s="318">
        <v>92499242381</v>
      </c>
      <c r="B6410" s="318" t="s">
        <v>23</v>
      </c>
    </row>
    <row r="6411" spans="1:2" ht="12.75" customHeight="1" x14ac:dyDescent="0.25">
      <c r="A6411" s="318">
        <v>92499242382</v>
      </c>
      <c r="B6411" s="318" t="s">
        <v>23</v>
      </c>
    </row>
    <row r="6412" spans="1:2" ht="12.75" customHeight="1" x14ac:dyDescent="0.25">
      <c r="A6412" s="318">
        <v>92499242383</v>
      </c>
      <c r="B6412" s="318" t="s">
        <v>23</v>
      </c>
    </row>
    <row r="6413" spans="1:2" ht="12.75" customHeight="1" x14ac:dyDescent="0.25">
      <c r="A6413" s="318">
        <v>92499242384</v>
      </c>
      <c r="B6413" s="318" t="s">
        <v>237</v>
      </c>
    </row>
    <row r="6414" spans="1:2" ht="12.75" customHeight="1" x14ac:dyDescent="0.25">
      <c r="A6414" s="318">
        <v>92499242386</v>
      </c>
      <c r="B6414" s="318" t="s">
        <v>23</v>
      </c>
    </row>
    <row r="6415" spans="1:2" ht="12.75" customHeight="1" x14ac:dyDescent="0.25">
      <c r="A6415" s="318">
        <v>92499242387</v>
      </c>
      <c r="B6415" s="318" t="s">
        <v>237</v>
      </c>
    </row>
    <row r="6416" spans="1:2" ht="12.75" customHeight="1" x14ac:dyDescent="0.25">
      <c r="A6416" s="318">
        <v>92499242388</v>
      </c>
      <c r="B6416" s="318" t="s">
        <v>23</v>
      </c>
    </row>
    <row r="6417" spans="1:2" ht="12.75" customHeight="1" x14ac:dyDescent="0.25">
      <c r="A6417" s="318">
        <v>92499242389</v>
      </c>
      <c r="B6417" s="318" t="s">
        <v>237</v>
      </c>
    </row>
    <row r="6418" spans="1:2" ht="12.75" customHeight="1" x14ac:dyDescent="0.25">
      <c r="A6418" s="318">
        <v>92499242390</v>
      </c>
      <c r="B6418" s="318" t="s">
        <v>23</v>
      </c>
    </row>
    <row r="6419" spans="1:2" ht="12.75" customHeight="1" x14ac:dyDescent="0.25">
      <c r="A6419" s="318">
        <v>92499242391</v>
      </c>
      <c r="B6419" s="318" t="s">
        <v>237</v>
      </c>
    </row>
    <row r="6420" spans="1:2" ht="12.75" customHeight="1" x14ac:dyDescent="0.25">
      <c r="A6420" s="318">
        <v>92499242392</v>
      </c>
      <c r="B6420" s="318" t="s">
        <v>23</v>
      </c>
    </row>
    <row r="6421" spans="1:2" ht="12.75" customHeight="1" x14ac:dyDescent="0.25">
      <c r="A6421" s="318">
        <v>92499242393</v>
      </c>
      <c r="B6421" s="318" t="s">
        <v>237</v>
      </c>
    </row>
    <row r="6422" spans="1:2" ht="12.75" customHeight="1" x14ac:dyDescent="0.25">
      <c r="A6422" s="318">
        <v>92499242477</v>
      </c>
      <c r="B6422" s="318" t="s">
        <v>237</v>
      </c>
    </row>
    <row r="6423" spans="1:2" ht="12.75" customHeight="1" x14ac:dyDescent="0.25">
      <c r="A6423" s="318">
        <v>92499242478</v>
      </c>
      <c r="B6423" s="318" t="s">
        <v>237</v>
      </c>
    </row>
    <row r="6424" spans="1:2" ht="12.75" customHeight="1" x14ac:dyDescent="0.25">
      <c r="A6424" s="318">
        <v>92499242479</v>
      </c>
      <c r="B6424" s="318" t="s">
        <v>237</v>
      </c>
    </row>
    <row r="6425" spans="1:2" ht="12.75" customHeight="1" x14ac:dyDescent="0.25">
      <c r="A6425" s="318">
        <v>92499242480</v>
      </c>
      <c r="B6425" s="318" t="s">
        <v>237</v>
      </c>
    </row>
    <row r="6426" spans="1:2" ht="12.75" customHeight="1" x14ac:dyDescent="0.25">
      <c r="A6426" s="318">
        <v>92499242481</v>
      </c>
      <c r="B6426" s="318" t="s">
        <v>237</v>
      </c>
    </row>
    <row r="6427" spans="1:2" ht="12.75" customHeight="1" x14ac:dyDescent="0.25">
      <c r="A6427" s="318">
        <v>92499242482</v>
      </c>
      <c r="B6427" s="318" t="s">
        <v>237</v>
      </c>
    </row>
    <row r="6428" spans="1:2" ht="12.75" customHeight="1" x14ac:dyDescent="0.25">
      <c r="A6428" s="318">
        <v>92499242483</v>
      </c>
      <c r="B6428" s="318" t="s">
        <v>237</v>
      </c>
    </row>
    <row r="6429" spans="1:2" ht="12.75" customHeight="1" x14ac:dyDescent="0.25">
      <c r="A6429" s="318">
        <v>92499242484</v>
      </c>
      <c r="B6429" s="318" t="s">
        <v>237</v>
      </c>
    </row>
    <row r="6430" spans="1:2" ht="12.75" customHeight="1" x14ac:dyDescent="0.25">
      <c r="A6430" s="318">
        <v>92499242486</v>
      </c>
      <c r="B6430" s="318" t="s">
        <v>237</v>
      </c>
    </row>
    <row r="6431" spans="1:2" ht="12.75" customHeight="1" x14ac:dyDescent="0.25">
      <c r="A6431" s="318">
        <v>92499242487</v>
      </c>
      <c r="B6431" s="318" t="s">
        <v>237</v>
      </c>
    </row>
    <row r="6432" spans="1:2" ht="12.75" customHeight="1" x14ac:dyDescent="0.25">
      <c r="A6432" s="318">
        <v>92499242488</v>
      </c>
      <c r="B6432" s="318" t="s">
        <v>237</v>
      </c>
    </row>
    <row r="6433" spans="1:2" ht="12.75" customHeight="1" x14ac:dyDescent="0.25">
      <c r="A6433" s="318">
        <v>92499242489</v>
      </c>
      <c r="B6433" s="318" t="s">
        <v>237</v>
      </c>
    </row>
    <row r="6434" spans="1:2" ht="12.75" customHeight="1" x14ac:dyDescent="0.25">
      <c r="A6434" s="318">
        <v>92499242490</v>
      </c>
      <c r="B6434" s="318" t="s">
        <v>237</v>
      </c>
    </row>
    <row r="6435" spans="1:2" ht="12.75" customHeight="1" x14ac:dyDescent="0.25">
      <c r="A6435" s="318">
        <v>92499242491</v>
      </c>
      <c r="B6435" s="318" t="s">
        <v>237</v>
      </c>
    </row>
    <row r="6436" spans="1:2" ht="12.75" customHeight="1" x14ac:dyDescent="0.25">
      <c r="A6436" s="318">
        <v>92499242492</v>
      </c>
      <c r="B6436" s="318" t="s">
        <v>237</v>
      </c>
    </row>
    <row r="6437" spans="1:2" ht="12.75" customHeight="1" x14ac:dyDescent="0.25">
      <c r="A6437" s="318">
        <v>92499242493</v>
      </c>
      <c r="B6437" s="318" t="s">
        <v>237</v>
      </c>
    </row>
    <row r="6438" spans="1:2" ht="12.75" customHeight="1" x14ac:dyDescent="0.25">
      <c r="A6438" s="318">
        <v>92499723350</v>
      </c>
      <c r="B6438" s="318" t="s">
        <v>23</v>
      </c>
    </row>
    <row r="6439" spans="1:2" ht="12.75" customHeight="1" x14ac:dyDescent="0.25">
      <c r="A6439" s="318">
        <v>92499723351</v>
      </c>
      <c r="B6439" s="318" t="s">
        <v>23</v>
      </c>
    </row>
    <row r="6440" spans="1:2" ht="12.75" customHeight="1" x14ac:dyDescent="0.25">
      <c r="A6440" s="318">
        <v>92499723352</v>
      </c>
      <c r="B6440" s="318" t="s">
        <v>23</v>
      </c>
    </row>
    <row r="6441" spans="1:2" ht="12.75" customHeight="1" x14ac:dyDescent="0.25">
      <c r="A6441" s="318">
        <v>92499723353</v>
      </c>
      <c r="B6441" s="318" t="s">
        <v>23</v>
      </c>
    </row>
    <row r="6442" spans="1:2" ht="12.75" customHeight="1" x14ac:dyDescent="0.25">
      <c r="A6442" s="318">
        <v>92499723354</v>
      </c>
      <c r="B6442" s="318" t="s">
        <v>23</v>
      </c>
    </row>
    <row r="6443" spans="1:2" ht="12.75" customHeight="1" x14ac:dyDescent="0.25">
      <c r="A6443" s="318">
        <v>92499723355</v>
      </c>
      <c r="B6443" s="318" t="s">
        <v>23</v>
      </c>
    </row>
    <row r="6444" spans="1:2" ht="12.75" customHeight="1" x14ac:dyDescent="0.25">
      <c r="A6444" s="318">
        <v>92499723356</v>
      </c>
      <c r="B6444" s="318" t="s">
        <v>23</v>
      </c>
    </row>
    <row r="6445" spans="1:2" ht="12.75" customHeight="1" x14ac:dyDescent="0.25">
      <c r="A6445" s="318">
        <v>92499723357</v>
      </c>
      <c r="B6445" s="318" t="s">
        <v>237</v>
      </c>
    </row>
    <row r="6446" spans="1:2" ht="12.75" customHeight="1" x14ac:dyDescent="0.25">
      <c r="A6446" s="318">
        <v>92499723359</v>
      </c>
      <c r="B6446" s="318" t="s">
        <v>23</v>
      </c>
    </row>
    <row r="6447" spans="1:2" ht="12.75" customHeight="1" x14ac:dyDescent="0.25">
      <c r="A6447" s="318">
        <v>92499723360</v>
      </c>
      <c r="B6447" s="318" t="s">
        <v>237</v>
      </c>
    </row>
    <row r="6448" spans="1:2" ht="12.75" customHeight="1" x14ac:dyDescent="0.25">
      <c r="A6448" s="318">
        <v>92499723361</v>
      </c>
      <c r="B6448" s="318" t="s">
        <v>23</v>
      </c>
    </row>
    <row r="6449" spans="1:2" ht="12.75" customHeight="1" x14ac:dyDescent="0.25">
      <c r="A6449" s="318">
        <v>92499723362</v>
      </c>
      <c r="B6449" s="318" t="s">
        <v>237</v>
      </c>
    </row>
    <row r="6450" spans="1:2" ht="12.75" customHeight="1" x14ac:dyDescent="0.25">
      <c r="A6450" s="318">
        <v>92499723363</v>
      </c>
      <c r="B6450" s="318" t="s">
        <v>23</v>
      </c>
    </row>
    <row r="6451" spans="1:2" ht="12.75" customHeight="1" x14ac:dyDescent="0.25">
      <c r="A6451" s="318">
        <v>92499723364</v>
      </c>
      <c r="B6451" s="318" t="s">
        <v>237</v>
      </c>
    </row>
    <row r="6452" spans="1:2" ht="12.75" customHeight="1" x14ac:dyDescent="0.25">
      <c r="A6452" s="318">
        <v>92499723365</v>
      </c>
      <c r="B6452" s="318" t="s">
        <v>23</v>
      </c>
    </row>
    <row r="6453" spans="1:2" ht="12.75" customHeight="1" x14ac:dyDescent="0.25">
      <c r="A6453" s="318">
        <v>92499723366</v>
      </c>
      <c r="B6453" s="318" t="s">
        <v>237</v>
      </c>
    </row>
    <row r="6454" spans="1:2" ht="12.75" customHeight="1" x14ac:dyDescent="0.25">
      <c r="A6454" s="318">
        <v>92499723450</v>
      </c>
      <c r="B6454" s="318" t="s">
        <v>237</v>
      </c>
    </row>
    <row r="6455" spans="1:2" ht="12.75" customHeight="1" x14ac:dyDescent="0.25">
      <c r="A6455" s="318">
        <v>92499723451</v>
      </c>
      <c r="B6455" s="318" t="s">
        <v>237</v>
      </c>
    </row>
    <row r="6456" spans="1:2" ht="12.75" customHeight="1" x14ac:dyDescent="0.25">
      <c r="A6456" s="318">
        <v>92499723452</v>
      </c>
      <c r="B6456" s="318" t="s">
        <v>237</v>
      </c>
    </row>
    <row r="6457" spans="1:2" ht="12.75" customHeight="1" x14ac:dyDescent="0.25">
      <c r="A6457" s="318">
        <v>92499723453</v>
      </c>
      <c r="B6457" s="318" t="s">
        <v>237</v>
      </c>
    </row>
    <row r="6458" spans="1:2" ht="12.75" customHeight="1" x14ac:dyDescent="0.25">
      <c r="A6458" s="318">
        <v>92499723454</v>
      </c>
      <c r="B6458" s="318" t="s">
        <v>237</v>
      </c>
    </row>
    <row r="6459" spans="1:2" ht="12.75" customHeight="1" x14ac:dyDescent="0.25">
      <c r="A6459" s="318">
        <v>92499723455</v>
      </c>
      <c r="B6459" s="318" t="s">
        <v>237</v>
      </c>
    </row>
    <row r="6460" spans="1:2" ht="12.75" customHeight="1" x14ac:dyDescent="0.25">
      <c r="A6460" s="318">
        <v>92499723456</v>
      </c>
      <c r="B6460" s="318" t="s">
        <v>237</v>
      </c>
    </row>
    <row r="6461" spans="1:2" ht="12.75" customHeight="1" x14ac:dyDescent="0.25">
      <c r="A6461" s="318">
        <v>92499723457</v>
      </c>
      <c r="B6461" s="318" t="s">
        <v>237</v>
      </c>
    </row>
    <row r="6462" spans="1:2" ht="12.75" customHeight="1" x14ac:dyDescent="0.25">
      <c r="A6462" s="318">
        <v>92499723459</v>
      </c>
      <c r="B6462" s="318" t="s">
        <v>237</v>
      </c>
    </row>
    <row r="6463" spans="1:2" ht="12.75" customHeight="1" x14ac:dyDescent="0.25">
      <c r="A6463" s="318">
        <v>92499723460</v>
      </c>
      <c r="B6463" s="318" t="s">
        <v>237</v>
      </c>
    </row>
    <row r="6464" spans="1:2" ht="12.75" customHeight="1" x14ac:dyDescent="0.25">
      <c r="A6464" s="318">
        <v>92499723461</v>
      </c>
      <c r="B6464" s="318" t="s">
        <v>237</v>
      </c>
    </row>
    <row r="6465" spans="1:2" ht="12.75" customHeight="1" x14ac:dyDescent="0.25">
      <c r="A6465" s="318">
        <v>92499723462</v>
      </c>
      <c r="B6465" s="318" t="s">
        <v>237</v>
      </c>
    </row>
    <row r="6466" spans="1:2" ht="12.75" customHeight="1" x14ac:dyDescent="0.25">
      <c r="A6466" s="318">
        <v>92499723463</v>
      </c>
      <c r="B6466" s="318" t="s">
        <v>237</v>
      </c>
    </row>
    <row r="6467" spans="1:2" ht="12.75" customHeight="1" x14ac:dyDescent="0.25">
      <c r="A6467" s="318">
        <v>92499723464</v>
      </c>
      <c r="B6467" s="318" t="s">
        <v>237</v>
      </c>
    </row>
    <row r="6468" spans="1:2" ht="12.75" customHeight="1" x14ac:dyDescent="0.25">
      <c r="A6468" s="318">
        <v>92499723465</v>
      </c>
      <c r="B6468" s="318" t="s">
        <v>237</v>
      </c>
    </row>
    <row r="6469" spans="1:2" ht="12.75" customHeight="1" x14ac:dyDescent="0.25">
      <c r="A6469" s="318">
        <v>92499723466</v>
      </c>
      <c r="B6469" s="318" t="s">
        <v>237</v>
      </c>
    </row>
    <row r="6470" spans="1:2" ht="12.75" customHeight="1" x14ac:dyDescent="0.25">
      <c r="A6470" s="318">
        <v>92500204323</v>
      </c>
      <c r="B6470" s="318" t="s">
        <v>23</v>
      </c>
    </row>
    <row r="6471" spans="1:2" ht="12.75" customHeight="1" x14ac:dyDescent="0.25">
      <c r="A6471" s="318">
        <v>92500204324</v>
      </c>
      <c r="B6471" s="318" t="s">
        <v>23</v>
      </c>
    </row>
    <row r="6472" spans="1:2" ht="12.75" customHeight="1" x14ac:dyDescent="0.25">
      <c r="A6472" s="318">
        <v>92500204325</v>
      </c>
      <c r="B6472" s="318" t="s">
        <v>23</v>
      </c>
    </row>
    <row r="6473" spans="1:2" ht="12.75" customHeight="1" x14ac:dyDescent="0.25">
      <c r="A6473" s="318">
        <v>92500204326</v>
      </c>
      <c r="B6473" s="318" t="s">
        <v>23</v>
      </c>
    </row>
    <row r="6474" spans="1:2" ht="12.75" customHeight="1" x14ac:dyDescent="0.25">
      <c r="A6474" s="318">
        <v>92500204327</v>
      </c>
      <c r="B6474" s="318" t="s">
        <v>23</v>
      </c>
    </row>
    <row r="6475" spans="1:2" ht="12.75" customHeight="1" x14ac:dyDescent="0.25">
      <c r="A6475" s="318">
        <v>92500204328</v>
      </c>
      <c r="B6475" s="318" t="s">
        <v>23</v>
      </c>
    </row>
    <row r="6476" spans="1:2" ht="12.75" customHeight="1" x14ac:dyDescent="0.25">
      <c r="A6476" s="318">
        <v>92500204329</v>
      </c>
      <c r="B6476" s="318" t="s">
        <v>23</v>
      </c>
    </row>
    <row r="6477" spans="1:2" ht="12.75" customHeight="1" x14ac:dyDescent="0.25">
      <c r="A6477" s="318">
        <v>92500204330</v>
      </c>
      <c r="B6477" s="318" t="s">
        <v>237</v>
      </c>
    </row>
    <row r="6478" spans="1:2" ht="12.75" customHeight="1" x14ac:dyDescent="0.25">
      <c r="A6478" s="318">
        <v>92500204332</v>
      </c>
      <c r="B6478" s="318" t="s">
        <v>23</v>
      </c>
    </row>
    <row r="6479" spans="1:2" ht="12.75" customHeight="1" x14ac:dyDescent="0.25">
      <c r="A6479" s="318">
        <v>92500204333</v>
      </c>
      <c r="B6479" s="318" t="s">
        <v>237</v>
      </c>
    </row>
    <row r="6480" spans="1:2" ht="12.75" customHeight="1" x14ac:dyDescent="0.25">
      <c r="A6480" s="318">
        <v>92500204334</v>
      </c>
      <c r="B6480" s="318" t="s">
        <v>23</v>
      </c>
    </row>
    <row r="6481" spans="1:2" ht="12.75" customHeight="1" x14ac:dyDescent="0.25">
      <c r="A6481" s="318">
        <v>92500204335</v>
      </c>
      <c r="B6481" s="318" t="s">
        <v>237</v>
      </c>
    </row>
    <row r="6482" spans="1:2" ht="12.75" customHeight="1" x14ac:dyDescent="0.25">
      <c r="A6482" s="318">
        <v>92500204336</v>
      </c>
      <c r="B6482" s="318" t="s">
        <v>23</v>
      </c>
    </row>
    <row r="6483" spans="1:2" ht="12.75" customHeight="1" x14ac:dyDescent="0.25">
      <c r="A6483" s="318">
        <v>92500204337</v>
      </c>
      <c r="B6483" s="318" t="s">
        <v>237</v>
      </c>
    </row>
    <row r="6484" spans="1:2" ht="12.75" customHeight="1" x14ac:dyDescent="0.25">
      <c r="A6484" s="318">
        <v>92500204338</v>
      </c>
      <c r="B6484" s="318" t="s">
        <v>23</v>
      </c>
    </row>
    <row r="6485" spans="1:2" ht="12.75" customHeight="1" x14ac:dyDescent="0.25">
      <c r="A6485" s="318">
        <v>92500204339</v>
      </c>
      <c r="B6485" s="318" t="s">
        <v>237</v>
      </c>
    </row>
    <row r="6486" spans="1:2" ht="12.75" customHeight="1" x14ac:dyDescent="0.25">
      <c r="A6486" s="318">
        <v>92500204423</v>
      </c>
      <c r="B6486" s="318" t="s">
        <v>237</v>
      </c>
    </row>
    <row r="6487" spans="1:2" ht="12.75" customHeight="1" x14ac:dyDescent="0.25">
      <c r="A6487" s="318">
        <v>92500204424</v>
      </c>
      <c r="B6487" s="318" t="s">
        <v>237</v>
      </c>
    </row>
    <row r="6488" spans="1:2" ht="12.75" customHeight="1" x14ac:dyDescent="0.25">
      <c r="A6488" s="318">
        <v>92500204425</v>
      </c>
      <c r="B6488" s="318" t="s">
        <v>237</v>
      </c>
    </row>
    <row r="6489" spans="1:2" ht="12.75" customHeight="1" x14ac:dyDescent="0.25">
      <c r="A6489" s="318">
        <v>92500204426</v>
      </c>
      <c r="B6489" s="318" t="s">
        <v>237</v>
      </c>
    </row>
    <row r="6490" spans="1:2" ht="12.75" customHeight="1" x14ac:dyDescent="0.25">
      <c r="A6490" s="318">
        <v>92500204427</v>
      </c>
      <c r="B6490" s="318" t="s">
        <v>237</v>
      </c>
    </row>
    <row r="6491" spans="1:2" ht="12.75" customHeight="1" x14ac:dyDescent="0.25">
      <c r="A6491" s="318">
        <v>92500204428</v>
      </c>
      <c r="B6491" s="318" t="s">
        <v>237</v>
      </c>
    </row>
    <row r="6492" spans="1:2" ht="12.75" customHeight="1" x14ac:dyDescent="0.25">
      <c r="A6492" s="318">
        <v>92500204429</v>
      </c>
      <c r="B6492" s="318" t="s">
        <v>237</v>
      </c>
    </row>
    <row r="6493" spans="1:2" ht="12.75" customHeight="1" x14ac:dyDescent="0.25">
      <c r="A6493" s="318">
        <v>92500204430</v>
      </c>
      <c r="B6493" s="318" t="s">
        <v>237</v>
      </c>
    </row>
    <row r="6494" spans="1:2" ht="12.75" customHeight="1" x14ac:dyDescent="0.25">
      <c r="A6494" s="318">
        <v>92500204432</v>
      </c>
      <c r="B6494" s="318" t="s">
        <v>237</v>
      </c>
    </row>
    <row r="6495" spans="1:2" ht="12.75" customHeight="1" x14ac:dyDescent="0.25">
      <c r="A6495" s="318">
        <v>92500204433</v>
      </c>
      <c r="B6495" s="318" t="s">
        <v>237</v>
      </c>
    </row>
    <row r="6496" spans="1:2" ht="12.75" customHeight="1" x14ac:dyDescent="0.25">
      <c r="A6496" s="318">
        <v>92500204434</v>
      </c>
      <c r="B6496" s="318" t="s">
        <v>237</v>
      </c>
    </row>
    <row r="6497" spans="1:2" ht="12.75" customHeight="1" x14ac:dyDescent="0.25">
      <c r="A6497" s="318">
        <v>92500204435</v>
      </c>
      <c r="B6497" s="318" t="s">
        <v>237</v>
      </c>
    </row>
    <row r="6498" spans="1:2" ht="12.75" customHeight="1" x14ac:dyDescent="0.25">
      <c r="A6498" s="318">
        <v>92500204436</v>
      </c>
      <c r="B6498" s="318" t="s">
        <v>237</v>
      </c>
    </row>
    <row r="6499" spans="1:2" ht="12.75" customHeight="1" x14ac:dyDescent="0.25">
      <c r="A6499" s="318">
        <v>92500204437</v>
      </c>
      <c r="B6499" s="318" t="s">
        <v>237</v>
      </c>
    </row>
    <row r="6500" spans="1:2" ht="12.75" customHeight="1" x14ac:dyDescent="0.25">
      <c r="A6500" s="318">
        <v>92500204438</v>
      </c>
      <c r="B6500" s="318" t="s">
        <v>237</v>
      </c>
    </row>
    <row r="6501" spans="1:2" ht="12.75" customHeight="1" x14ac:dyDescent="0.25">
      <c r="A6501" s="318">
        <v>92500204439</v>
      </c>
      <c r="B6501" s="318" t="s">
        <v>237</v>
      </c>
    </row>
    <row r="6502" spans="1:2" ht="12.75" customHeight="1" x14ac:dyDescent="0.25">
      <c r="A6502" s="318">
        <v>92550100214</v>
      </c>
      <c r="B6502" s="318" t="s">
        <v>23</v>
      </c>
    </row>
    <row r="6503" spans="1:2" ht="12.75" customHeight="1" x14ac:dyDescent="0.25">
      <c r="A6503" s="318">
        <v>92550100215</v>
      </c>
      <c r="B6503" s="318" t="s">
        <v>23</v>
      </c>
    </row>
    <row r="6504" spans="1:2" ht="12.75" customHeight="1" x14ac:dyDescent="0.25">
      <c r="A6504" s="318">
        <v>92550100216</v>
      </c>
      <c r="B6504" s="318" t="s">
        <v>23</v>
      </c>
    </row>
    <row r="6505" spans="1:2" ht="12.75" customHeight="1" x14ac:dyDescent="0.25">
      <c r="A6505" s="318">
        <v>92550100217</v>
      </c>
      <c r="B6505" s="318" t="s">
        <v>23</v>
      </c>
    </row>
    <row r="6506" spans="1:2" ht="12.75" customHeight="1" x14ac:dyDescent="0.25">
      <c r="A6506" s="318">
        <v>92550100218</v>
      </c>
      <c r="B6506" s="318" t="s">
        <v>23</v>
      </c>
    </row>
    <row r="6507" spans="1:2" ht="12.75" customHeight="1" x14ac:dyDescent="0.25">
      <c r="A6507" s="318">
        <v>92550100219</v>
      </c>
      <c r="B6507" s="318" t="s">
        <v>23</v>
      </c>
    </row>
    <row r="6508" spans="1:2" ht="12.75" customHeight="1" x14ac:dyDescent="0.25">
      <c r="A6508" s="318">
        <v>92550100220</v>
      </c>
      <c r="B6508" s="318" t="s">
        <v>237</v>
      </c>
    </row>
    <row r="6509" spans="1:2" ht="12.75" customHeight="1" x14ac:dyDescent="0.25">
      <c r="A6509" s="318">
        <v>92550100221</v>
      </c>
      <c r="B6509" s="318" t="s">
        <v>237</v>
      </c>
    </row>
    <row r="6510" spans="1:2" ht="12.75" customHeight="1" x14ac:dyDescent="0.25">
      <c r="A6510" s="318">
        <v>92550100223</v>
      </c>
      <c r="B6510" s="318" t="s">
        <v>237</v>
      </c>
    </row>
    <row r="6511" spans="1:2" ht="12.75" customHeight="1" x14ac:dyDescent="0.25">
      <c r="A6511" s="318">
        <v>92550100224</v>
      </c>
      <c r="B6511" s="318" t="s">
        <v>237</v>
      </c>
    </row>
    <row r="6512" spans="1:2" ht="12.75" customHeight="1" x14ac:dyDescent="0.25">
      <c r="A6512" s="318">
        <v>92550100225</v>
      </c>
      <c r="B6512" s="318" t="s">
        <v>237</v>
      </c>
    </row>
    <row r="6513" spans="1:2" ht="12.75" customHeight="1" x14ac:dyDescent="0.25">
      <c r="A6513" s="318">
        <v>92550100226</v>
      </c>
      <c r="B6513" s="318" t="s">
        <v>237</v>
      </c>
    </row>
    <row r="6514" spans="1:2" ht="12.75" customHeight="1" x14ac:dyDescent="0.25">
      <c r="A6514" s="318">
        <v>92550100227</v>
      </c>
      <c r="B6514" s="318" t="s">
        <v>237</v>
      </c>
    </row>
    <row r="6515" spans="1:2" ht="12.75" customHeight="1" x14ac:dyDescent="0.25">
      <c r="A6515" s="318">
        <v>92550100228</v>
      </c>
      <c r="B6515" s="318" t="s">
        <v>237</v>
      </c>
    </row>
    <row r="6516" spans="1:2" ht="12.75" customHeight="1" x14ac:dyDescent="0.25">
      <c r="A6516" s="318">
        <v>92550100229</v>
      </c>
      <c r="B6516" s="318" t="s">
        <v>237</v>
      </c>
    </row>
    <row r="6517" spans="1:2" ht="12.75" customHeight="1" x14ac:dyDescent="0.25">
      <c r="A6517" s="318">
        <v>92550100230</v>
      </c>
      <c r="B6517" s="318" t="s">
        <v>237</v>
      </c>
    </row>
    <row r="6518" spans="1:2" ht="12.75" customHeight="1" x14ac:dyDescent="0.25">
      <c r="A6518" s="318">
        <v>92550100314</v>
      </c>
      <c r="B6518" s="318" t="s">
        <v>237</v>
      </c>
    </row>
    <row r="6519" spans="1:2" ht="12.75" customHeight="1" x14ac:dyDescent="0.25">
      <c r="A6519" s="318">
        <v>92550100315</v>
      </c>
      <c r="B6519" s="318" t="s">
        <v>237</v>
      </c>
    </row>
    <row r="6520" spans="1:2" ht="12.75" customHeight="1" x14ac:dyDescent="0.25">
      <c r="A6520" s="318">
        <v>92550100316</v>
      </c>
      <c r="B6520" s="318" t="s">
        <v>237</v>
      </c>
    </row>
    <row r="6521" spans="1:2" ht="12.75" customHeight="1" x14ac:dyDescent="0.25">
      <c r="A6521" s="318">
        <v>92550100317</v>
      </c>
      <c r="B6521" s="318" t="s">
        <v>237</v>
      </c>
    </row>
    <row r="6522" spans="1:2" ht="12.75" customHeight="1" x14ac:dyDescent="0.25">
      <c r="A6522" s="318">
        <v>92550100318</v>
      </c>
      <c r="B6522" s="318" t="s">
        <v>237</v>
      </c>
    </row>
    <row r="6523" spans="1:2" ht="12.75" customHeight="1" x14ac:dyDescent="0.25">
      <c r="A6523" s="318">
        <v>92550100319</v>
      </c>
      <c r="B6523" s="318" t="s">
        <v>237</v>
      </c>
    </row>
    <row r="6524" spans="1:2" ht="12.75" customHeight="1" x14ac:dyDescent="0.25">
      <c r="A6524" s="318">
        <v>92550100320</v>
      </c>
      <c r="B6524" s="318" t="s">
        <v>237</v>
      </c>
    </row>
    <row r="6525" spans="1:2" ht="12.75" customHeight="1" x14ac:dyDescent="0.25">
      <c r="A6525" s="318">
        <v>92550100321</v>
      </c>
      <c r="B6525" s="318" t="s">
        <v>237</v>
      </c>
    </row>
    <row r="6526" spans="1:2" ht="12.75" customHeight="1" x14ac:dyDescent="0.25">
      <c r="A6526" s="318">
        <v>92550100323</v>
      </c>
      <c r="B6526" s="318" t="s">
        <v>237</v>
      </c>
    </row>
    <row r="6527" spans="1:2" ht="12.75" customHeight="1" x14ac:dyDescent="0.25">
      <c r="A6527" s="318">
        <v>92550100324</v>
      </c>
      <c r="B6527" s="318" t="s">
        <v>237</v>
      </c>
    </row>
    <row r="6528" spans="1:2" ht="12.75" customHeight="1" x14ac:dyDescent="0.25">
      <c r="A6528" s="318">
        <v>92550100325</v>
      </c>
      <c r="B6528" s="318" t="s">
        <v>237</v>
      </c>
    </row>
    <row r="6529" spans="1:2" ht="12.75" customHeight="1" x14ac:dyDescent="0.25">
      <c r="A6529" s="318">
        <v>92550100326</v>
      </c>
      <c r="B6529" s="318" t="s">
        <v>237</v>
      </c>
    </row>
    <row r="6530" spans="1:2" ht="12.75" customHeight="1" x14ac:dyDescent="0.25">
      <c r="A6530" s="318">
        <v>92550100327</v>
      </c>
      <c r="B6530" s="318" t="s">
        <v>237</v>
      </c>
    </row>
    <row r="6531" spans="1:2" ht="12.75" customHeight="1" x14ac:dyDescent="0.25">
      <c r="A6531" s="318">
        <v>92550100328</v>
      </c>
      <c r="B6531" s="318" t="s">
        <v>237</v>
      </c>
    </row>
    <row r="6532" spans="1:2" ht="12.75" customHeight="1" x14ac:dyDescent="0.25">
      <c r="A6532" s="318">
        <v>92550100329</v>
      </c>
      <c r="B6532" s="318" t="s">
        <v>237</v>
      </c>
    </row>
    <row r="6533" spans="1:2" ht="12.75" customHeight="1" x14ac:dyDescent="0.25">
      <c r="A6533" s="318">
        <v>92550100330</v>
      </c>
      <c r="B6533" s="318" t="s">
        <v>237</v>
      </c>
    </row>
    <row r="6534" spans="1:2" ht="12.75" customHeight="1" x14ac:dyDescent="0.25">
      <c r="A6534" s="318">
        <v>92550581187</v>
      </c>
      <c r="B6534" s="318" t="s">
        <v>23</v>
      </c>
    </row>
    <row r="6535" spans="1:2" ht="12.75" customHeight="1" x14ac:dyDescent="0.25">
      <c r="A6535" s="318">
        <v>92550581188</v>
      </c>
      <c r="B6535" s="318" t="s">
        <v>23</v>
      </c>
    </row>
    <row r="6536" spans="1:2" ht="12.75" customHeight="1" x14ac:dyDescent="0.25">
      <c r="A6536" s="318">
        <v>92550581189</v>
      </c>
      <c r="B6536" s="318" t="s">
        <v>23</v>
      </c>
    </row>
    <row r="6537" spans="1:2" ht="12.75" customHeight="1" x14ac:dyDescent="0.25">
      <c r="A6537" s="318">
        <v>92550581190</v>
      </c>
      <c r="B6537" s="318" t="s">
        <v>23</v>
      </c>
    </row>
    <row r="6538" spans="1:2" ht="12.75" customHeight="1" x14ac:dyDescent="0.25">
      <c r="A6538" s="318">
        <v>92550581191</v>
      </c>
      <c r="B6538" s="318" t="s">
        <v>23</v>
      </c>
    </row>
    <row r="6539" spans="1:2" ht="12.75" customHeight="1" x14ac:dyDescent="0.25">
      <c r="A6539" s="318">
        <v>92550581192</v>
      </c>
      <c r="B6539" s="318" t="s">
        <v>23</v>
      </c>
    </row>
    <row r="6540" spans="1:2" ht="12.75" customHeight="1" x14ac:dyDescent="0.25">
      <c r="A6540" s="318">
        <v>92550581193</v>
      </c>
      <c r="B6540" s="318" t="s">
        <v>237</v>
      </c>
    </row>
    <row r="6541" spans="1:2" ht="12.75" customHeight="1" x14ac:dyDescent="0.25">
      <c r="A6541" s="318">
        <v>92550581194</v>
      </c>
      <c r="B6541" s="318" t="s">
        <v>237</v>
      </c>
    </row>
    <row r="6542" spans="1:2" ht="12.75" customHeight="1" x14ac:dyDescent="0.25">
      <c r="A6542" s="318">
        <v>92550581196</v>
      </c>
      <c r="B6542" s="318" t="s">
        <v>237</v>
      </c>
    </row>
    <row r="6543" spans="1:2" ht="12.75" customHeight="1" x14ac:dyDescent="0.25">
      <c r="A6543" s="318">
        <v>92550581197</v>
      </c>
      <c r="B6543" s="318" t="s">
        <v>237</v>
      </c>
    </row>
    <row r="6544" spans="1:2" ht="12.75" customHeight="1" x14ac:dyDescent="0.25">
      <c r="A6544" s="318">
        <v>92550581198</v>
      </c>
      <c r="B6544" s="318" t="s">
        <v>237</v>
      </c>
    </row>
    <row r="6545" spans="1:2" ht="12.75" customHeight="1" x14ac:dyDescent="0.25">
      <c r="A6545" s="318">
        <v>92550581199</v>
      </c>
      <c r="B6545" s="318" t="s">
        <v>237</v>
      </c>
    </row>
    <row r="6546" spans="1:2" ht="12.75" customHeight="1" x14ac:dyDescent="0.25">
      <c r="A6546" s="318">
        <v>92550581200</v>
      </c>
      <c r="B6546" s="318" t="s">
        <v>237</v>
      </c>
    </row>
    <row r="6547" spans="1:2" ht="12.75" customHeight="1" x14ac:dyDescent="0.25">
      <c r="A6547" s="318">
        <v>92550581201</v>
      </c>
      <c r="B6547" s="318" t="s">
        <v>237</v>
      </c>
    </row>
    <row r="6548" spans="1:2" ht="12.75" customHeight="1" x14ac:dyDescent="0.25">
      <c r="A6548" s="318">
        <v>92550581202</v>
      </c>
      <c r="B6548" s="318" t="s">
        <v>237</v>
      </c>
    </row>
    <row r="6549" spans="1:2" ht="12.75" customHeight="1" x14ac:dyDescent="0.25">
      <c r="A6549" s="318">
        <v>92550581203</v>
      </c>
      <c r="B6549" s="318" t="s">
        <v>237</v>
      </c>
    </row>
    <row r="6550" spans="1:2" ht="12.75" customHeight="1" x14ac:dyDescent="0.25">
      <c r="A6550" s="318">
        <v>92550581287</v>
      </c>
      <c r="B6550" s="318" t="s">
        <v>237</v>
      </c>
    </row>
    <row r="6551" spans="1:2" ht="12.75" customHeight="1" x14ac:dyDescent="0.25">
      <c r="A6551" s="318">
        <v>92550581288</v>
      </c>
      <c r="B6551" s="318" t="s">
        <v>237</v>
      </c>
    </row>
    <row r="6552" spans="1:2" ht="12.75" customHeight="1" x14ac:dyDescent="0.25">
      <c r="A6552" s="318">
        <v>92550581289</v>
      </c>
      <c r="B6552" s="318" t="s">
        <v>237</v>
      </c>
    </row>
    <row r="6553" spans="1:2" ht="12.75" customHeight="1" x14ac:dyDescent="0.25">
      <c r="A6553" s="318">
        <v>92550581290</v>
      </c>
      <c r="B6553" s="318" t="s">
        <v>237</v>
      </c>
    </row>
    <row r="6554" spans="1:2" ht="12.75" customHeight="1" x14ac:dyDescent="0.25">
      <c r="A6554" s="318">
        <v>92550581291</v>
      </c>
      <c r="B6554" s="318" t="s">
        <v>237</v>
      </c>
    </row>
    <row r="6555" spans="1:2" ht="12.75" customHeight="1" x14ac:dyDescent="0.25">
      <c r="A6555" s="318">
        <v>92550581292</v>
      </c>
      <c r="B6555" s="318" t="s">
        <v>237</v>
      </c>
    </row>
    <row r="6556" spans="1:2" ht="12.75" customHeight="1" x14ac:dyDescent="0.25">
      <c r="A6556" s="318">
        <v>92550581293</v>
      </c>
      <c r="B6556" s="318" t="s">
        <v>237</v>
      </c>
    </row>
    <row r="6557" spans="1:2" ht="12.75" customHeight="1" x14ac:dyDescent="0.25">
      <c r="A6557" s="318">
        <v>92550581294</v>
      </c>
      <c r="B6557" s="318" t="s">
        <v>237</v>
      </c>
    </row>
    <row r="6558" spans="1:2" ht="12.75" customHeight="1" x14ac:dyDescent="0.25">
      <c r="A6558" s="318">
        <v>92550581296</v>
      </c>
      <c r="B6558" s="318" t="s">
        <v>237</v>
      </c>
    </row>
    <row r="6559" spans="1:2" ht="12.75" customHeight="1" x14ac:dyDescent="0.25">
      <c r="A6559" s="318">
        <v>92550581297</v>
      </c>
      <c r="B6559" s="318" t="s">
        <v>237</v>
      </c>
    </row>
    <row r="6560" spans="1:2" ht="12.75" customHeight="1" x14ac:dyDescent="0.25">
      <c r="A6560" s="318">
        <v>92550581298</v>
      </c>
      <c r="B6560" s="318" t="s">
        <v>237</v>
      </c>
    </row>
    <row r="6561" spans="1:2" ht="12.75" customHeight="1" x14ac:dyDescent="0.25">
      <c r="A6561" s="318">
        <v>92550581299</v>
      </c>
      <c r="B6561" s="318" t="s">
        <v>237</v>
      </c>
    </row>
    <row r="6562" spans="1:2" ht="12.75" customHeight="1" x14ac:dyDescent="0.25">
      <c r="A6562" s="318">
        <v>92550581300</v>
      </c>
      <c r="B6562" s="318" t="s">
        <v>237</v>
      </c>
    </row>
    <row r="6563" spans="1:2" ht="12.75" customHeight="1" x14ac:dyDescent="0.25">
      <c r="A6563" s="318">
        <v>92550581301</v>
      </c>
      <c r="B6563" s="318" t="s">
        <v>237</v>
      </c>
    </row>
    <row r="6564" spans="1:2" ht="12.75" customHeight="1" x14ac:dyDescent="0.25">
      <c r="A6564" s="318">
        <v>92550581302</v>
      </c>
      <c r="B6564" s="318" t="s">
        <v>237</v>
      </c>
    </row>
    <row r="6565" spans="1:2" ht="12.75" customHeight="1" x14ac:dyDescent="0.25">
      <c r="A6565" s="318">
        <v>92550581303</v>
      </c>
      <c r="B6565" s="318" t="s">
        <v>237</v>
      </c>
    </row>
    <row r="6566" spans="1:2" ht="12.75" customHeight="1" x14ac:dyDescent="0.25">
      <c r="A6566" s="318">
        <v>92551062160</v>
      </c>
      <c r="B6566" s="318" t="s">
        <v>23</v>
      </c>
    </row>
    <row r="6567" spans="1:2" ht="12.75" customHeight="1" x14ac:dyDescent="0.25">
      <c r="A6567" s="318">
        <v>92551062161</v>
      </c>
      <c r="B6567" s="318" t="s">
        <v>23</v>
      </c>
    </row>
    <row r="6568" spans="1:2" ht="12.75" customHeight="1" x14ac:dyDescent="0.25">
      <c r="A6568" s="318">
        <v>92551062162</v>
      </c>
      <c r="B6568" s="318" t="s">
        <v>23</v>
      </c>
    </row>
    <row r="6569" spans="1:2" ht="12.75" customHeight="1" x14ac:dyDescent="0.25">
      <c r="A6569" s="318">
        <v>92551062163</v>
      </c>
      <c r="B6569" s="318" t="s">
        <v>23</v>
      </c>
    </row>
    <row r="6570" spans="1:2" ht="12.75" customHeight="1" x14ac:dyDescent="0.25">
      <c r="A6570" s="318">
        <v>92551062164</v>
      </c>
      <c r="B6570" s="318" t="s">
        <v>23</v>
      </c>
    </row>
    <row r="6571" spans="1:2" ht="12.75" customHeight="1" x14ac:dyDescent="0.25">
      <c r="A6571" s="318">
        <v>92551062165</v>
      </c>
      <c r="B6571" s="318" t="s">
        <v>23</v>
      </c>
    </row>
    <row r="6572" spans="1:2" ht="12.75" customHeight="1" x14ac:dyDescent="0.25">
      <c r="A6572" s="318">
        <v>92551062166</v>
      </c>
      <c r="B6572" s="318" t="s">
        <v>237</v>
      </c>
    </row>
    <row r="6573" spans="1:2" ht="12.75" customHeight="1" x14ac:dyDescent="0.25">
      <c r="A6573" s="318">
        <v>92551062167</v>
      </c>
      <c r="B6573" s="318" t="s">
        <v>237</v>
      </c>
    </row>
    <row r="6574" spans="1:2" ht="12.75" customHeight="1" x14ac:dyDescent="0.25">
      <c r="A6574" s="318">
        <v>92551062169</v>
      </c>
      <c r="B6574" s="318" t="s">
        <v>237</v>
      </c>
    </row>
    <row r="6575" spans="1:2" ht="12.75" customHeight="1" x14ac:dyDescent="0.25">
      <c r="A6575" s="318">
        <v>92551062170</v>
      </c>
      <c r="B6575" s="318" t="s">
        <v>237</v>
      </c>
    </row>
    <row r="6576" spans="1:2" ht="12.75" customHeight="1" x14ac:dyDescent="0.25">
      <c r="A6576" s="318">
        <v>92551062171</v>
      </c>
      <c r="B6576" s="318" t="s">
        <v>237</v>
      </c>
    </row>
    <row r="6577" spans="1:2" ht="12.75" customHeight="1" x14ac:dyDescent="0.25">
      <c r="A6577" s="318">
        <v>92551062172</v>
      </c>
      <c r="B6577" s="318" t="s">
        <v>237</v>
      </c>
    </row>
    <row r="6578" spans="1:2" ht="12.75" customHeight="1" x14ac:dyDescent="0.25">
      <c r="A6578" s="318">
        <v>92551062173</v>
      </c>
      <c r="B6578" s="318" t="s">
        <v>237</v>
      </c>
    </row>
    <row r="6579" spans="1:2" ht="12.75" customHeight="1" x14ac:dyDescent="0.25">
      <c r="A6579" s="318">
        <v>92551062174</v>
      </c>
      <c r="B6579" s="318" t="s">
        <v>237</v>
      </c>
    </row>
    <row r="6580" spans="1:2" ht="12.75" customHeight="1" x14ac:dyDescent="0.25">
      <c r="A6580" s="318">
        <v>92551062175</v>
      </c>
      <c r="B6580" s="318" t="s">
        <v>237</v>
      </c>
    </row>
    <row r="6581" spans="1:2" ht="12.75" customHeight="1" x14ac:dyDescent="0.25">
      <c r="A6581" s="318">
        <v>92551062176</v>
      </c>
      <c r="B6581" s="318" t="s">
        <v>237</v>
      </c>
    </row>
    <row r="6582" spans="1:2" ht="12.75" customHeight="1" x14ac:dyDescent="0.25">
      <c r="A6582" s="318">
        <v>92551062260</v>
      </c>
      <c r="B6582" s="318" t="s">
        <v>237</v>
      </c>
    </row>
    <row r="6583" spans="1:2" ht="12.75" customHeight="1" x14ac:dyDescent="0.25">
      <c r="A6583" s="318">
        <v>92551062261</v>
      </c>
      <c r="B6583" s="318" t="s">
        <v>237</v>
      </c>
    </row>
    <row r="6584" spans="1:2" ht="12.75" customHeight="1" x14ac:dyDescent="0.25">
      <c r="A6584" s="318">
        <v>92551062262</v>
      </c>
      <c r="B6584" s="318" t="s">
        <v>237</v>
      </c>
    </row>
    <row r="6585" spans="1:2" ht="12.75" customHeight="1" x14ac:dyDescent="0.25">
      <c r="A6585" s="318">
        <v>92551062263</v>
      </c>
      <c r="B6585" s="318" t="s">
        <v>237</v>
      </c>
    </row>
    <row r="6586" spans="1:2" ht="12.75" customHeight="1" x14ac:dyDescent="0.25">
      <c r="A6586" s="318">
        <v>92551062264</v>
      </c>
      <c r="B6586" s="318" t="s">
        <v>237</v>
      </c>
    </row>
    <row r="6587" spans="1:2" ht="12.75" customHeight="1" x14ac:dyDescent="0.25">
      <c r="A6587" s="318">
        <v>92551062265</v>
      </c>
      <c r="B6587" s="318" t="s">
        <v>237</v>
      </c>
    </row>
    <row r="6588" spans="1:2" ht="12.75" customHeight="1" x14ac:dyDescent="0.25">
      <c r="A6588" s="318">
        <v>92551062266</v>
      </c>
      <c r="B6588" s="318" t="s">
        <v>237</v>
      </c>
    </row>
    <row r="6589" spans="1:2" ht="12.75" customHeight="1" x14ac:dyDescent="0.25">
      <c r="A6589" s="318">
        <v>92551062267</v>
      </c>
      <c r="B6589" s="318" t="s">
        <v>237</v>
      </c>
    </row>
    <row r="6590" spans="1:2" ht="12.75" customHeight="1" x14ac:dyDescent="0.25">
      <c r="A6590" s="318">
        <v>92551062269</v>
      </c>
      <c r="B6590" s="318" t="s">
        <v>237</v>
      </c>
    </row>
    <row r="6591" spans="1:2" ht="12.75" customHeight="1" x14ac:dyDescent="0.25">
      <c r="A6591" s="318">
        <v>92551062270</v>
      </c>
      <c r="B6591" s="318" t="s">
        <v>237</v>
      </c>
    </row>
    <row r="6592" spans="1:2" ht="12.75" customHeight="1" x14ac:dyDescent="0.25">
      <c r="A6592" s="318">
        <v>92551062271</v>
      </c>
      <c r="B6592" s="318" t="s">
        <v>237</v>
      </c>
    </row>
    <row r="6593" spans="1:2" ht="12.75" customHeight="1" x14ac:dyDescent="0.25">
      <c r="A6593" s="318">
        <v>92551062272</v>
      </c>
      <c r="B6593" s="318" t="s">
        <v>237</v>
      </c>
    </row>
    <row r="6594" spans="1:2" ht="12.75" customHeight="1" x14ac:dyDescent="0.25">
      <c r="A6594" s="318">
        <v>92551062273</v>
      </c>
      <c r="B6594" s="318" t="s">
        <v>237</v>
      </c>
    </row>
    <row r="6595" spans="1:2" ht="12.75" customHeight="1" x14ac:dyDescent="0.25">
      <c r="A6595" s="318">
        <v>92551062274</v>
      </c>
      <c r="B6595" s="318" t="s">
        <v>237</v>
      </c>
    </row>
    <row r="6596" spans="1:2" ht="12.75" customHeight="1" x14ac:dyDescent="0.25">
      <c r="A6596" s="318">
        <v>92551062275</v>
      </c>
      <c r="B6596" s="318" t="s">
        <v>237</v>
      </c>
    </row>
    <row r="6597" spans="1:2" ht="12.75" customHeight="1" x14ac:dyDescent="0.25">
      <c r="A6597" s="318">
        <v>92551062276</v>
      </c>
      <c r="B6597" s="318" t="s">
        <v>237</v>
      </c>
    </row>
    <row r="6598" spans="1:2" ht="12.75" customHeight="1" x14ac:dyDescent="0.25">
      <c r="A6598" s="318">
        <v>92551742351</v>
      </c>
      <c r="B6598" s="318" t="s">
        <v>23</v>
      </c>
    </row>
    <row r="6599" spans="1:2" ht="12.75" customHeight="1" x14ac:dyDescent="0.25">
      <c r="A6599" s="318">
        <v>92551742352</v>
      </c>
      <c r="B6599" s="318" t="s">
        <v>23</v>
      </c>
    </row>
    <row r="6600" spans="1:2" ht="12.75" customHeight="1" x14ac:dyDescent="0.25">
      <c r="A6600" s="318">
        <v>92551742353</v>
      </c>
      <c r="B6600" s="318" t="s">
        <v>23</v>
      </c>
    </row>
    <row r="6601" spans="1:2" ht="12.75" customHeight="1" x14ac:dyDescent="0.25">
      <c r="A6601" s="318">
        <v>92551742354</v>
      </c>
      <c r="B6601" s="318" t="s">
        <v>23</v>
      </c>
    </row>
    <row r="6602" spans="1:2" ht="12.75" customHeight="1" x14ac:dyDescent="0.25">
      <c r="A6602" s="318">
        <v>92551742355</v>
      </c>
      <c r="B6602" s="318" t="s">
        <v>23</v>
      </c>
    </row>
    <row r="6603" spans="1:2" ht="12.75" customHeight="1" x14ac:dyDescent="0.25">
      <c r="A6603" s="318">
        <v>92551742356</v>
      </c>
      <c r="B6603" s="318" t="s">
        <v>23</v>
      </c>
    </row>
    <row r="6604" spans="1:2" ht="12.75" customHeight="1" x14ac:dyDescent="0.25">
      <c r="A6604" s="318">
        <v>92551742357</v>
      </c>
      <c r="B6604" s="318" t="s">
        <v>237</v>
      </c>
    </row>
    <row r="6605" spans="1:2" ht="12.75" customHeight="1" x14ac:dyDescent="0.25">
      <c r="A6605" s="318">
        <v>92551742358</v>
      </c>
      <c r="B6605" s="318" t="s">
        <v>237</v>
      </c>
    </row>
    <row r="6606" spans="1:2" ht="12.75" customHeight="1" x14ac:dyDescent="0.25">
      <c r="A6606" s="318">
        <v>92551742360</v>
      </c>
      <c r="B6606" s="318" t="s">
        <v>237</v>
      </c>
    </row>
    <row r="6607" spans="1:2" ht="12.75" customHeight="1" x14ac:dyDescent="0.25">
      <c r="A6607" s="318">
        <v>92551742361</v>
      </c>
      <c r="B6607" s="318" t="s">
        <v>237</v>
      </c>
    </row>
    <row r="6608" spans="1:2" ht="12.75" customHeight="1" x14ac:dyDescent="0.25">
      <c r="A6608" s="318">
        <v>92551742362</v>
      </c>
      <c r="B6608" s="318" t="s">
        <v>237</v>
      </c>
    </row>
    <row r="6609" spans="1:2" ht="12.75" customHeight="1" x14ac:dyDescent="0.25">
      <c r="A6609" s="318">
        <v>92551742363</v>
      </c>
      <c r="B6609" s="318" t="s">
        <v>237</v>
      </c>
    </row>
    <row r="6610" spans="1:2" ht="12.75" customHeight="1" x14ac:dyDescent="0.25">
      <c r="A6610" s="318">
        <v>92551742364</v>
      </c>
      <c r="B6610" s="318" t="s">
        <v>237</v>
      </c>
    </row>
    <row r="6611" spans="1:2" ht="12.75" customHeight="1" x14ac:dyDescent="0.25">
      <c r="A6611" s="318">
        <v>92551742365</v>
      </c>
      <c r="B6611" s="318" t="s">
        <v>237</v>
      </c>
    </row>
    <row r="6612" spans="1:2" ht="12.75" customHeight="1" x14ac:dyDescent="0.25">
      <c r="A6612" s="318">
        <v>92551742366</v>
      </c>
      <c r="B6612" s="318" t="s">
        <v>237</v>
      </c>
    </row>
    <row r="6613" spans="1:2" ht="12.75" customHeight="1" x14ac:dyDescent="0.25">
      <c r="A6613" s="318">
        <v>92551742367</v>
      </c>
      <c r="B6613" s="318" t="s">
        <v>237</v>
      </c>
    </row>
    <row r="6614" spans="1:2" ht="12.75" customHeight="1" x14ac:dyDescent="0.25">
      <c r="A6614" s="318">
        <v>92551742451</v>
      </c>
      <c r="B6614" s="318" t="s">
        <v>237</v>
      </c>
    </row>
    <row r="6615" spans="1:2" ht="12.75" customHeight="1" x14ac:dyDescent="0.25">
      <c r="A6615" s="318">
        <v>92551742452</v>
      </c>
      <c r="B6615" s="318" t="s">
        <v>237</v>
      </c>
    </row>
    <row r="6616" spans="1:2" ht="12.75" customHeight="1" x14ac:dyDescent="0.25">
      <c r="A6616" s="318">
        <v>92551742453</v>
      </c>
      <c r="B6616" s="318" t="s">
        <v>237</v>
      </c>
    </row>
    <row r="6617" spans="1:2" ht="12.75" customHeight="1" x14ac:dyDescent="0.25">
      <c r="A6617" s="318">
        <v>92551742454</v>
      </c>
      <c r="B6617" s="318" t="s">
        <v>237</v>
      </c>
    </row>
    <row r="6618" spans="1:2" ht="12.75" customHeight="1" x14ac:dyDescent="0.25">
      <c r="A6618" s="318">
        <v>92551742455</v>
      </c>
      <c r="B6618" s="318" t="s">
        <v>237</v>
      </c>
    </row>
    <row r="6619" spans="1:2" ht="12.75" customHeight="1" x14ac:dyDescent="0.25">
      <c r="A6619" s="318">
        <v>92551742456</v>
      </c>
      <c r="B6619" s="318" t="s">
        <v>237</v>
      </c>
    </row>
    <row r="6620" spans="1:2" ht="12.75" customHeight="1" x14ac:dyDescent="0.25">
      <c r="A6620" s="318">
        <v>92551742457</v>
      </c>
      <c r="B6620" s="318" t="s">
        <v>237</v>
      </c>
    </row>
    <row r="6621" spans="1:2" ht="12.75" customHeight="1" x14ac:dyDescent="0.25">
      <c r="A6621" s="318">
        <v>92551742458</v>
      </c>
      <c r="B6621" s="318" t="s">
        <v>237</v>
      </c>
    </row>
    <row r="6622" spans="1:2" ht="12.75" customHeight="1" x14ac:dyDescent="0.25">
      <c r="A6622" s="318">
        <v>92551742460</v>
      </c>
      <c r="B6622" s="318" t="s">
        <v>237</v>
      </c>
    </row>
    <row r="6623" spans="1:2" ht="12.75" customHeight="1" x14ac:dyDescent="0.25">
      <c r="A6623" s="318">
        <v>92551742461</v>
      </c>
      <c r="B6623" s="318" t="s">
        <v>237</v>
      </c>
    </row>
    <row r="6624" spans="1:2" ht="12.75" customHeight="1" x14ac:dyDescent="0.25">
      <c r="A6624" s="318">
        <v>92551742462</v>
      </c>
      <c r="B6624" s="318" t="s">
        <v>237</v>
      </c>
    </row>
    <row r="6625" spans="1:2" ht="12.75" customHeight="1" x14ac:dyDescent="0.25">
      <c r="A6625" s="318">
        <v>92551742463</v>
      </c>
      <c r="B6625" s="318" t="s">
        <v>237</v>
      </c>
    </row>
    <row r="6626" spans="1:2" ht="12.75" customHeight="1" x14ac:dyDescent="0.25">
      <c r="A6626" s="318">
        <v>92551742464</v>
      </c>
      <c r="B6626" s="318" t="s">
        <v>237</v>
      </c>
    </row>
    <row r="6627" spans="1:2" ht="12.75" customHeight="1" x14ac:dyDescent="0.25">
      <c r="A6627" s="318">
        <v>92551742465</v>
      </c>
      <c r="B6627" s="318" t="s">
        <v>237</v>
      </c>
    </row>
    <row r="6628" spans="1:2" ht="12.75" customHeight="1" x14ac:dyDescent="0.25">
      <c r="A6628" s="318">
        <v>92551742466</v>
      </c>
      <c r="B6628" s="318" t="s">
        <v>237</v>
      </c>
    </row>
    <row r="6629" spans="1:2" ht="12.75" customHeight="1" x14ac:dyDescent="0.25">
      <c r="A6629" s="318">
        <v>92551742467</v>
      </c>
      <c r="B6629" s="318" t="s">
        <v>237</v>
      </c>
    </row>
    <row r="6630" spans="1:2" ht="12.75" customHeight="1" x14ac:dyDescent="0.25">
      <c r="A6630" s="318">
        <v>92552223324</v>
      </c>
      <c r="B6630" s="318" t="s">
        <v>23</v>
      </c>
    </row>
    <row r="6631" spans="1:2" ht="12.75" customHeight="1" x14ac:dyDescent="0.25">
      <c r="A6631" s="318">
        <v>92552223325</v>
      </c>
      <c r="B6631" s="318" t="s">
        <v>23</v>
      </c>
    </row>
    <row r="6632" spans="1:2" ht="12.75" customHeight="1" x14ac:dyDescent="0.25">
      <c r="A6632" s="318">
        <v>92552223326</v>
      </c>
      <c r="B6632" s="318" t="s">
        <v>23</v>
      </c>
    </row>
    <row r="6633" spans="1:2" ht="12.75" customHeight="1" x14ac:dyDescent="0.25">
      <c r="A6633" s="318">
        <v>92552223327</v>
      </c>
      <c r="B6633" s="318" t="s">
        <v>23</v>
      </c>
    </row>
    <row r="6634" spans="1:2" ht="12.75" customHeight="1" x14ac:dyDescent="0.25">
      <c r="A6634" s="318">
        <v>92552223328</v>
      </c>
      <c r="B6634" s="318" t="s">
        <v>23</v>
      </c>
    </row>
    <row r="6635" spans="1:2" ht="12.75" customHeight="1" x14ac:dyDescent="0.25">
      <c r="A6635" s="318">
        <v>92552223329</v>
      </c>
      <c r="B6635" s="318" t="s">
        <v>23</v>
      </c>
    </row>
    <row r="6636" spans="1:2" ht="12.75" customHeight="1" x14ac:dyDescent="0.25">
      <c r="A6636" s="318">
        <v>92552223330</v>
      </c>
      <c r="B6636" s="318" t="s">
        <v>237</v>
      </c>
    </row>
    <row r="6637" spans="1:2" ht="12.75" customHeight="1" x14ac:dyDescent="0.25">
      <c r="A6637" s="318">
        <v>92552223331</v>
      </c>
      <c r="B6637" s="318" t="s">
        <v>237</v>
      </c>
    </row>
    <row r="6638" spans="1:2" ht="12.75" customHeight="1" x14ac:dyDescent="0.25">
      <c r="A6638" s="318">
        <v>92552223333</v>
      </c>
      <c r="B6638" s="318" t="s">
        <v>237</v>
      </c>
    </row>
    <row r="6639" spans="1:2" ht="12.75" customHeight="1" x14ac:dyDescent="0.25">
      <c r="A6639" s="318">
        <v>92552223334</v>
      </c>
      <c r="B6639" s="318" t="s">
        <v>237</v>
      </c>
    </row>
    <row r="6640" spans="1:2" ht="12.75" customHeight="1" x14ac:dyDescent="0.25">
      <c r="A6640" s="318">
        <v>92552223335</v>
      </c>
      <c r="B6640" s="318" t="s">
        <v>237</v>
      </c>
    </row>
    <row r="6641" spans="1:2" ht="12.75" customHeight="1" x14ac:dyDescent="0.25">
      <c r="A6641" s="318">
        <v>92552223336</v>
      </c>
      <c r="B6641" s="318" t="s">
        <v>237</v>
      </c>
    </row>
    <row r="6642" spans="1:2" ht="12.75" customHeight="1" x14ac:dyDescent="0.25">
      <c r="A6642" s="318">
        <v>92552223337</v>
      </c>
      <c r="B6642" s="318" t="s">
        <v>237</v>
      </c>
    </row>
    <row r="6643" spans="1:2" ht="12.75" customHeight="1" x14ac:dyDescent="0.25">
      <c r="A6643" s="318">
        <v>92552223338</v>
      </c>
      <c r="B6643" s="318" t="s">
        <v>237</v>
      </c>
    </row>
    <row r="6644" spans="1:2" ht="12.75" customHeight="1" x14ac:dyDescent="0.25">
      <c r="A6644" s="318">
        <v>92552223339</v>
      </c>
      <c r="B6644" s="318" t="s">
        <v>237</v>
      </c>
    </row>
    <row r="6645" spans="1:2" ht="12.75" customHeight="1" x14ac:dyDescent="0.25">
      <c r="A6645" s="318">
        <v>92552223340</v>
      </c>
      <c r="B6645" s="318" t="s">
        <v>237</v>
      </c>
    </row>
    <row r="6646" spans="1:2" ht="12.75" customHeight="1" x14ac:dyDescent="0.25">
      <c r="A6646" s="318">
        <v>92552223424</v>
      </c>
      <c r="B6646" s="318" t="s">
        <v>237</v>
      </c>
    </row>
    <row r="6647" spans="1:2" ht="12.75" customHeight="1" x14ac:dyDescent="0.25">
      <c r="A6647" s="318">
        <v>92552223425</v>
      </c>
      <c r="B6647" s="318" t="s">
        <v>237</v>
      </c>
    </row>
    <row r="6648" spans="1:2" ht="12.75" customHeight="1" x14ac:dyDescent="0.25">
      <c r="A6648" s="318">
        <v>92552223426</v>
      </c>
      <c r="B6648" s="318" t="s">
        <v>237</v>
      </c>
    </row>
    <row r="6649" spans="1:2" ht="12.75" customHeight="1" x14ac:dyDescent="0.25">
      <c r="A6649" s="318">
        <v>92552223427</v>
      </c>
      <c r="B6649" s="318" t="s">
        <v>237</v>
      </c>
    </row>
    <row r="6650" spans="1:2" ht="12.75" customHeight="1" x14ac:dyDescent="0.25">
      <c r="A6650" s="318">
        <v>92552223428</v>
      </c>
      <c r="B6650" s="318" t="s">
        <v>237</v>
      </c>
    </row>
    <row r="6651" spans="1:2" ht="12.75" customHeight="1" x14ac:dyDescent="0.25">
      <c r="A6651" s="318">
        <v>92552223429</v>
      </c>
      <c r="B6651" s="318" t="s">
        <v>237</v>
      </c>
    </row>
    <row r="6652" spans="1:2" ht="12.75" customHeight="1" x14ac:dyDescent="0.25">
      <c r="A6652" s="318">
        <v>92552223430</v>
      </c>
      <c r="B6652" s="318" t="s">
        <v>237</v>
      </c>
    </row>
    <row r="6653" spans="1:2" ht="12.75" customHeight="1" x14ac:dyDescent="0.25">
      <c r="A6653" s="318">
        <v>92552223431</v>
      </c>
      <c r="B6653" s="318" t="s">
        <v>237</v>
      </c>
    </row>
    <row r="6654" spans="1:2" ht="12.75" customHeight="1" x14ac:dyDescent="0.25">
      <c r="A6654" s="318">
        <v>92552223433</v>
      </c>
      <c r="B6654" s="318" t="s">
        <v>237</v>
      </c>
    </row>
    <row r="6655" spans="1:2" ht="12.75" customHeight="1" x14ac:dyDescent="0.25">
      <c r="A6655" s="318">
        <v>92552223434</v>
      </c>
      <c r="B6655" s="318" t="s">
        <v>237</v>
      </c>
    </row>
    <row r="6656" spans="1:2" ht="12.75" customHeight="1" x14ac:dyDescent="0.25">
      <c r="A6656" s="318">
        <v>92552223435</v>
      </c>
      <c r="B6656" s="318" t="s">
        <v>237</v>
      </c>
    </row>
    <row r="6657" spans="1:2" ht="12.75" customHeight="1" x14ac:dyDescent="0.25">
      <c r="A6657" s="318">
        <v>92552223436</v>
      </c>
      <c r="B6657" s="318" t="s">
        <v>237</v>
      </c>
    </row>
    <row r="6658" spans="1:2" ht="12.75" customHeight="1" x14ac:dyDescent="0.25">
      <c r="A6658" s="318">
        <v>92552223437</v>
      </c>
      <c r="B6658" s="318" t="s">
        <v>237</v>
      </c>
    </row>
    <row r="6659" spans="1:2" ht="12.75" customHeight="1" x14ac:dyDescent="0.25">
      <c r="A6659" s="318">
        <v>92552223438</v>
      </c>
      <c r="B6659" s="318" t="s">
        <v>237</v>
      </c>
    </row>
    <row r="6660" spans="1:2" ht="12.75" customHeight="1" x14ac:dyDescent="0.25">
      <c r="A6660" s="318">
        <v>92552223439</v>
      </c>
      <c r="B6660" s="318" t="s">
        <v>237</v>
      </c>
    </row>
    <row r="6661" spans="1:2" ht="12.75" customHeight="1" x14ac:dyDescent="0.25">
      <c r="A6661" s="318">
        <v>92552223440</v>
      </c>
      <c r="B6661" s="318" t="s">
        <v>237</v>
      </c>
    </row>
    <row r="6662" spans="1:2" ht="12.75" customHeight="1" x14ac:dyDescent="0.25">
      <c r="A6662" s="318">
        <v>92552704297</v>
      </c>
      <c r="B6662" s="318" t="s">
        <v>23</v>
      </c>
    </row>
    <row r="6663" spans="1:2" ht="12.75" customHeight="1" x14ac:dyDescent="0.25">
      <c r="A6663" s="318">
        <v>92552704298</v>
      </c>
      <c r="B6663" s="318" t="s">
        <v>23</v>
      </c>
    </row>
    <row r="6664" spans="1:2" ht="12.75" customHeight="1" x14ac:dyDescent="0.25">
      <c r="A6664" s="318">
        <v>92552704299</v>
      </c>
      <c r="B6664" s="318" t="s">
        <v>23</v>
      </c>
    </row>
    <row r="6665" spans="1:2" ht="12.75" customHeight="1" x14ac:dyDescent="0.25">
      <c r="A6665" s="318">
        <v>92552704300</v>
      </c>
      <c r="B6665" s="318" t="s">
        <v>23</v>
      </c>
    </row>
    <row r="6666" spans="1:2" ht="12.75" customHeight="1" x14ac:dyDescent="0.25">
      <c r="A6666" s="318">
        <v>92552704301</v>
      </c>
      <c r="B6666" s="318" t="s">
        <v>23</v>
      </c>
    </row>
    <row r="6667" spans="1:2" ht="12.75" customHeight="1" x14ac:dyDescent="0.25">
      <c r="A6667" s="318">
        <v>92552704302</v>
      </c>
      <c r="B6667" s="318" t="s">
        <v>23</v>
      </c>
    </row>
    <row r="6668" spans="1:2" ht="12.75" customHeight="1" x14ac:dyDescent="0.25">
      <c r="A6668" s="318">
        <v>92552704303</v>
      </c>
      <c r="B6668" s="318" t="s">
        <v>237</v>
      </c>
    </row>
    <row r="6669" spans="1:2" ht="12.75" customHeight="1" x14ac:dyDescent="0.25">
      <c r="A6669" s="318">
        <v>92552704304</v>
      </c>
      <c r="B6669" s="318" t="s">
        <v>237</v>
      </c>
    </row>
    <row r="6670" spans="1:2" ht="12.75" customHeight="1" x14ac:dyDescent="0.25">
      <c r="A6670" s="318">
        <v>92552704306</v>
      </c>
      <c r="B6670" s="318" t="s">
        <v>237</v>
      </c>
    </row>
    <row r="6671" spans="1:2" ht="12.75" customHeight="1" x14ac:dyDescent="0.25">
      <c r="A6671" s="318">
        <v>92552704307</v>
      </c>
      <c r="B6671" s="318" t="s">
        <v>237</v>
      </c>
    </row>
    <row r="6672" spans="1:2" ht="12.75" customHeight="1" x14ac:dyDescent="0.25">
      <c r="A6672" s="318">
        <v>92552704308</v>
      </c>
      <c r="B6672" s="318" t="s">
        <v>237</v>
      </c>
    </row>
    <row r="6673" spans="1:2" ht="12.75" customHeight="1" x14ac:dyDescent="0.25">
      <c r="A6673" s="318">
        <v>92552704309</v>
      </c>
      <c r="B6673" s="318" t="s">
        <v>237</v>
      </c>
    </row>
    <row r="6674" spans="1:2" ht="12.75" customHeight="1" x14ac:dyDescent="0.25">
      <c r="A6674" s="318">
        <v>92552704310</v>
      </c>
      <c r="B6674" s="318" t="s">
        <v>237</v>
      </c>
    </row>
    <row r="6675" spans="1:2" ht="12.75" customHeight="1" x14ac:dyDescent="0.25">
      <c r="A6675" s="318">
        <v>92552704311</v>
      </c>
      <c r="B6675" s="318" t="s">
        <v>237</v>
      </c>
    </row>
    <row r="6676" spans="1:2" ht="12.75" customHeight="1" x14ac:dyDescent="0.25">
      <c r="A6676" s="318">
        <v>92552704312</v>
      </c>
      <c r="B6676" s="318" t="s">
        <v>237</v>
      </c>
    </row>
    <row r="6677" spans="1:2" ht="12.75" customHeight="1" x14ac:dyDescent="0.25">
      <c r="A6677" s="318">
        <v>92552704313</v>
      </c>
      <c r="B6677" s="318" t="s">
        <v>237</v>
      </c>
    </row>
    <row r="6678" spans="1:2" ht="12.75" customHeight="1" x14ac:dyDescent="0.25">
      <c r="A6678" s="318">
        <v>92552704397</v>
      </c>
      <c r="B6678" s="318" t="s">
        <v>237</v>
      </c>
    </row>
    <row r="6679" spans="1:2" ht="12.75" customHeight="1" x14ac:dyDescent="0.25">
      <c r="A6679" s="318">
        <v>92552704398</v>
      </c>
      <c r="B6679" s="318" t="s">
        <v>237</v>
      </c>
    </row>
    <row r="6680" spans="1:2" ht="12.75" customHeight="1" x14ac:dyDescent="0.25">
      <c r="A6680" s="318">
        <v>92552704399</v>
      </c>
      <c r="B6680" s="318" t="s">
        <v>237</v>
      </c>
    </row>
    <row r="6681" spans="1:2" ht="12.75" customHeight="1" x14ac:dyDescent="0.25">
      <c r="A6681" s="318">
        <v>92552704400</v>
      </c>
      <c r="B6681" s="318" t="s">
        <v>237</v>
      </c>
    </row>
    <row r="6682" spans="1:2" ht="12.75" customHeight="1" x14ac:dyDescent="0.25">
      <c r="A6682" s="318">
        <v>92552704401</v>
      </c>
      <c r="B6682" s="318" t="s">
        <v>237</v>
      </c>
    </row>
    <row r="6683" spans="1:2" ht="12.75" customHeight="1" x14ac:dyDescent="0.25">
      <c r="A6683" s="318">
        <v>92552704402</v>
      </c>
      <c r="B6683" s="318" t="s">
        <v>237</v>
      </c>
    </row>
    <row r="6684" spans="1:2" ht="12.75" customHeight="1" x14ac:dyDescent="0.25">
      <c r="A6684" s="318">
        <v>92552704403</v>
      </c>
      <c r="B6684" s="318" t="s">
        <v>237</v>
      </c>
    </row>
    <row r="6685" spans="1:2" ht="12.75" customHeight="1" x14ac:dyDescent="0.25">
      <c r="A6685" s="318">
        <v>92552704404</v>
      </c>
      <c r="B6685" s="318" t="s">
        <v>237</v>
      </c>
    </row>
    <row r="6686" spans="1:2" ht="12.75" customHeight="1" x14ac:dyDescent="0.25">
      <c r="A6686" s="318">
        <v>92552704406</v>
      </c>
      <c r="B6686" s="318" t="s">
        <v>237</v>
      </c>
    </row>
    <row r="6687" spans="1:2" ht="12.75" customHeight="1" x14ac:dyDescent="0.25">
      <c r="A6687" s="318">
        <v>92552704407</v>
      </c>
      <c r="B6687" s="318" t="s">
        <v>237</v>
      </c>
    </row>
    <row r="6688" spans="1:2" ht="12.75" customHeight="1" x14ac:dyDescent="0.25">
      <c r="A6688" s="318">
        <v>92552704408</v>
      </c>
      <c r="B6688" s="318" t="s">
        <v>237</v>
      </c>
    </row>
    <row r="6689" spans="1:2" ht="12.75" customHeight="1" x14ac:dyDescent="0.25">
      <c r="A6689" s="318">
        <v>92552704409</v>
      </c>
      <c r="B6689" s="318" t="s">
        <v>237</v>
      </c>
    </row>
    <row r="6690" spans="1:2" ht="12.75" customHeight="1" x14ac:dyDescent="0.25">
      <c r="A6690" s="318">
        <v>92552704410</v>
      </c>
      <c r="B6690" s="318" t="s">
        <v>237</v>
      </c>
    </row>
    <row r="6691" spans="1:2" ht="12.75" customHeight="1" x14ac:dyDescent="0.25">
      <c r="A6691" s="318">
        <v>92552704411</v>
      </c>
      <c r="B6691" s="318" t="s">
        <v>237</v>
      </c>
    </row>
    <row r="6692" spans="1:2" ht="12.75" customHeight="1" x14ac:dyDescent="0.25">
      <c r="A6692" s="318">
        <v>92552704412</v>
      </c>
      <c r="B6692" s="318" t="s">
        <v>237</v>
      </c>
    </row>
    <row r="6693" spans="1:2" ht="12.75" customHeight="1" x14ac:dyDescent="0.25">
      <c r="A6693" s="318">
        <v>92552704413</v>
      </c>
      <c r="B6693" s="318" t="s">
        <v>237</v>
      </c>
    </row>
    <row r="6694" spans="1:2" ht="12.75" customHeight="1" x14ac:dyDescent="0.25">
      <c r="A6694" s="318">
        <v>92553384488</v>
      </c>
      <c r="B6694" s="318" t="s">
        <v>23</v>
      </c>
    </row>
    <row r="6695" spans="1:2" ht="12.75" customHeight="1" x14ac:dyDescent="0.25">
      <c r="A6695" s="318">
        <v>92553384489</v>
      </c>
      <c r="B6695" s="318" t="s">
        <v>23</v>
      </c>
    </row>
    <row r="6696" spans="1:2" ht="12.75" customHeight="1" x14ac:dyDescent="0.25">
      <c r="A6696" s="318">
        <v>92553384490</v>
      </c>
      <c r="B6696" s="318" t="s">
        <v>23</v>
      </c>
    </row>
    <row r="6697" spans="1:2" ht="12.75" customHeight="1" x14ac:dyDescent="0.25">
      <c r="A6697" s="318">
        <v>92553384491</v>
      </c>
      <c r="B6697" s="318" t="s">
        <v>23</v>
      </c>
    </row>
    <row r="6698" spans="1:2" ht="12.75" customHeight="1" x14ac:dyDescent="0.25">
      <c r="A6698" s="318">
        <v>92553384492</v>
      </c>
      <c r="B6698" s="318" t="s">
        <v>23</v>
      </c>
    </row>
    <row r="6699" spans="1:2" ht="12.75" customHeight="1" x14ac:dyDescent="0.25">
      <c r="A6699" s="318">
        <v>92553384493</v>
      </c>
      <c r="B6699" s="318" t="s">
        <v>23</v>
      </c>
    </row>
    <row r="6700" spans="1:2" ht="12.75" customHeight="1" x14ac:dyDescent="0.25">
      <c r="A6700" s="318">
        <v>92553384494</v>
      </c>
      <c r="B6700" s="318" t="s">
        <v>237</v>
      </c>
    </row>
    <row r="6701" spans="1:2" ht="12.75" customHeight="1" x14ac:dyDescent="0.25">
      <c r="A6701" s="318">
        <v>92553384495</v>
      </c>
      <c r="B6701" s="318" t="s">
        <v>237</v>
      </c>
    </row>
    <row r="6702" spans="1:2" ht="12.75" customHeight="1" x14ac:dyDescent="0.25">
      <c r="A6702" s="318">
        <v>92553384497</v>
      </c>
      <c r="B6702" s="318" t="s">
        <v>237</v>
      </c>
    </row>
    <row r="6703" spans="1:2" ht="12.75" customHeight="1" x14ac:dyDescent="0.25">
      <c r="A6703" s="318">
        <v>92553384498</v>
      </c>
      <c r="B6703" s="318" t="s">
        <v>237</v>
      </c>
    </row>
    <row r="6704" spans="1:2" ht="12.75" customHeight="1" x14ac:dyDescent="0.25">
      <c r="A6704" s="318">
        <v>92553384499</v>
      </c>
      <c r="B6704" s="318" t="s">
        <v>237</v>
      </c>
    </row>
    <row r="6705" spans="1:2" ht="12.75" customHeight="1" x14ac:dyDescent="0.25">
      <c r="A6705" s="318">
        <v>92553384500</v>
      </c>
      <c r="B6705" s="318" t="s">
        <v>237</v>
      </c>
    </row>
    <row r="6706" spans="1:2" ht="12.75" customHeight="1" x14ac:dyDescent="0.25">
      <c r="A6706" s="318">
        <v>92553384501</v>
      </c>
      <c r="B6706" s="318" t="s">
        <v>237</v>
      </c>
    </row>
    <row r="6707" spans="1:2" ht="12.75" customHeight="1" x14ac:dyDescent="0.25">
      <c r="A6707" s="318">
        <v>92553384502</v>
      </c>
      <c r="B6707" s="318" t="s">
        <v>237</v>
      </c>
    </row>
    <row r="6708" spans="1:2" ht="12.75" customHeight="1" x14ac:dyDescent="0.25">
      <c r="A6708" s="318">
        <v>92553384503</v>
      </c>
      <c r="B6708" s="318" t="s">
        <v>237</v>
      </c>
    </row>
    <row r="6709" spans="1:2" ht="12.75" customHeight="1" x14ac:dyDescent="0.25">
      <c r="A6709" s="318">
        <v>92553384504</v>
      </c>
      <c r="B6709" s="318" t="s">
        <v>237</v>
      </c>
    </row>
    <row r="6710" spans="1:2" ht="12.75" customHeight="1" x14ac:dyDescent="0.25">
      <c r="A6710" s="318">
        <v>92553384588</v>
      </c>
      <c r="B6710" s="318" t="s">
        <v>237</v>
      </c>
    </row>
    <row r="6711" spans="1:2" ht="12.75" customHeight="1" x14ac:dyDescent="0.25">
      <c r="A6711" s="318">
        <v>92553384589</v>
      </c>
      <c r="B6711" s="318" t="s">
        <v>237</v>
      </c>
    </row>
    <row r="6712" spans="1:2" ht="12.75" customHeight="1" x14ac:dyDescent="0.25">
      <c r="A6712" s="318">
        <v>92553384590</v>
      </c>
      <c r="B6712" s="318" t="s">
        <v>237</v>
      </c>
    </row>
    <row r="6713" spans="1:2" ht="12.75" customHeight="1" x14ac:dyDescent="0.25">
      <c r="A6713" s="318">
        <v>92553384591</v>
      </c>
      <c r="B6713" s="318" t="s">
        <v>237</v>
      </c>
    </row>
    <row r="6714" spans="1:2" ht="12.75" customHeight="1" x14ac:dyDescent="0.25">
      <c r="A6714" s="318">
        <v>92553384592</v>
      </c>
      <c r="B6714" s="318" t="s">
        <v>237</v>
      </c>
    </row>
    <row r="6715" spans="1:2" ht="12.75" customHeight="1" x14ac:dyDescent="0.25">
      <c r="A6715" s="318">
        <v>92553384593</v>
      </c>
      <c r="B6715" s="318" t="s">
        <v>237</v>
      </c>
    </row>
    <row r="6716" spans="1:2" ht="12.75" customHeight="1" x14ac:dyDescent="0.25">
      <c r="A6716" s="318">
        <v>92553384594</v>
      </c>
      <c r="B6716" s="318" t="s">
        <v>237</v>
      </c>
    </row>
    <row r="6717" spans="1:2" ht="12.75" customHeight="1" x14ac:dyDescent="0.25">
      <c r="A6717" s="318">
        <v>92553384595</v>
      </c>
      <c r="B6717" s="318" t="s">
        <v>237</v>
      </c>
    </row>
    <row r="6718" spans="1:2" ht="12.75" customHeight="1" x14ac:dyDescent="0.25">
      <c r="A6718" s="318">
        <v>92553384597</v>
      </c>
      <c r="B6718" s="318" t="s">
        <v>237</v>
      </c>
    </row>
    <row r="6719" spans="1:2" ht="12.75" customHeight="1" x14ac:dyDescent="0.25">
      <c r="A6719" s="318">
        <v>92553384598</v>
      </c>
      <c r="B6719" s="318" t="s">
        <v>237</v>
      </c>
    </row>
    <row r="6720" spans="1:2" ht="12.75" customHeight="1" x14ac:dyDescent="0.25">
      <c r="A6720" s="318">
        <v>92553384599</v>
      </c>
      <c r="B6720" s="318" t="s">
        <v>237</v>
      </c>
    </row>
    <row r="6721" spans="1:2" ht="12.75" customHeight="1" x14ac:dyDescent="0.25">
      <c r="A6721" s="318">
        <v>92553384600</v>
      </c>
      <c r="B6721" s="318" t="s">
        <v>237</v>
      </c>
    </row>
    <row r="6722" spans="1:2" ht="12.75" customHeight="1" x14ac:dyDescent="0.25">
      <c r="A6722" s="318">
        <v>92553384601</v>
      </c>
      <c r="B6722" s="318" t="s">
        <v>237</v>
      </c>
    </row>
    <row r="6723" spans="1:2" ht="12.75" customHeight="1" x14ac:dyDescent="0.25">
      <c r="A6723" s="318">
        <v>92553384602</v>
      </c>
      <c r="B6723" s="318" t="s">
        <v>237</v>
      </c>
    </row>
    <row r="6724" spans="1:2" ht="12.75" customHeight="1" x14ac:dyDescent="0.25">
      <c r="A6724" s="318">
        <v>92553384603</v>
      </c>
      <c r="B6724" s="318" t="s">
        <v>237</v>
      </c>
    </row>
    <row r="6725" spans="1:2" ht="12.75" customHeight="1" x14ac:dyDescent="0.25">
      <c r="A6725" s="318">
        <v>92553384604</v>
      </c>
      <c r="B6725" s="318" t="s">
        <v>237</v>
      </c>
    </row>
    <row r="6726" spans="1:2" ht="12.75" customHeight="1" x14ac:dyDescent="0.25">
      <c r="A6726" s="318">
        <v>92553865461</v>
      </c>
      <c r="B6726" s="318" t="s">
        <v>23</v>
      </c>
    </row>
    <row r="6727" spans="1:2" ht="12.75" customHeight="1" x14ac:dyDescent="0.25">
      <c r="A6727" s="318">
        <v>92553865462</v>
      </c>
      <c r="B6727" s="318" t="s">
        <v>23</v>
      </c>
    </row>
    <row r="6728" spans="1:2" ht="12.75" customHeight="1" x14ac:dyDescent="0.25">
      <c r="A6728" s="318">
        <v>92553865463</v>
      </c>
      <c r="B6728" s="318" t="s">
        <v>23</v>
      </c>
    </row>
    <row r="6729" spans="1:2" ht="12.75" customHeight="1" x14ac:dyDescent="0.25">
      <c r="A6729" s="318">
        <v>92553865464</v>
      </c>
      <c r="B6729" s="318" t="s">
        <v>23</v>
      </c>
    </row>
    <row r="6730" spans="1:2" ht="12.75" customHeight="1" x14ac:dyDescent="0.25">
      <c r="A6730" s="318">
        <v>92553865465</v>
      </c>
      <c r="B6730" s="318" t="s">
        <v>23</v>
      </c>
    </row>
    <row r="6731" spans="1:2" ht="12.75" customHeight="1" x14ac:dyDescent="0.25">
      <c r="A6731" s="318">
        <v>92553865466</v>
      </c>
      <c r="B6731" s="318" t="s">
        <v>23</v>
      </c>
    </row>
    <row r="6732" spans="1:2" ht="12.75" customHeight="1" x14ac:dyDescent="0.25">
      <c r="A6732" s="318">
        <v>92553865467</v>
      </c>
      <c r="B6732" s="318" t="s">
        <v>237</v>
      </c>
    </row>
    <row r="6733" spans="1:2" ht="12.75" customHeight="1" x14ac:dyDescent="0.25">
      <c r="A6733" s="318">
        <v>92553865468</v>
      </c>
      <c r="B6733" s="318" t="s">
        <v>237</v>
      </c>
    </row>
    <row r="6734" spans="1:2" ht="12.75" customHeight="1" x14ac:dyDescent="0.25">
      <c r="A6734" s="318">
        <v>92553865470</v>
      </c>
      <c r="B6734" s="318" t="s">
        <v>237</v>
      </c>
    </row>
    <row r="6735" spans="1:2" ht="12.75" customHeight="1" x14ac:dyDescent="0.25">
      <c r="A6735" s="318">
        <v>92553865471</v>
      </c>
      <c r="B6735" s="318" t="s">
        <v>237</v>
      </c>
    </row>
    <row r="6736" spans="1:2" ht="12.75" customHeight="1" x14ac:dyDescent="0.25">
      <c r="A6736" s="318">
        <v>92553865472</v>
      </c>
      <c r="B6736" s="318" t="s">
        <v>237</v>
      </c>
    </row>
    <row r="6737" spans="1:2" ht="12.75" customHeight="1" x14ac:dyDescent="0.25">
      <c r="A6737" s="318">
        <v>92553865473</v>
      </c>
      <c r="B6737" s="318" t="s">
        <v>237</v>
      </c>
    </row>
    <row r="6738" spans="1:2" ht="12.75" customHeight="1" x14ac:dyDescent="0.25">
      <c r="A6738" s="318">
        <v>92553865474</v>
      </c>
      <c r="B6738" s="318" t="s">
        <v>237</v>
      </c>
    </row>
    <row r="6739" spans="1:2" ht="12.75" customHeight="1" x14ac:dyDescent="0.25">
      <c r="A6739" s="318">
        <v>92553865475</v>
      </c>
      <c r="B6739" s="318" t="s">
        <v>237</v>
      </c>
    </row>
    <row r="6740" spans="1:2" ht="12.75" customHeight="1" x14ac:dyDescent="0.25">
      <c r="A6740" s="318">
        <v>92553865476</v>
      </c>
      <c r="B6740" s="318" t="s">
        <v>237</v>
      </c>
    </row>
    <row r="6741" spans="1:2" ht="12.75" customHeight="1" x14ac:dyDescent="0.25">
      <c r="A6741" s="318">
        <v>92553865477</v>
      </c>
      <c r="B6741" s="318" t="s">
        <v>237</v>
      </c>
    </row>
    <row r="6742" spans="1:2" ht="12.75" customHeight="1" x14ac:dyDescent="0.25">
      <c r="A6742" s="318">
        <v>92553865561</v>
      </c>
      <c r="B6742" s="318" t="s">
        <v>237</v>
      </c>
    </row>
    <row r="6743" spans="1:2" ht="12.75" customHeight="1" x14ac:dyDescent="0.25">
      <c r="A6743" s="318">
        <v>92553865562</v>
      </c>
      <c r="B6743" s="318" t="s">
        <v>237</v>
      </c>
    </row>
    <row r="6744" spans="1:2" ht="12.75" customHeight="1" x14ac:dyDescent="0.25">
      <c r="A6744" s="318">
        <v>92553865563</v>
      </c>
      <c r="B6744" s="318" t="s">
        <v>237</v>
      </c>
    </row>
    <row r="6745" spans="1:2" ht="12.75" customHeight="1" x14ac:dyDescent="0.25">
      <c r="A6745" s="318">
        <v>92553865564</v>
      </c>
      <c r="B6745" s="318" t="s">
        <v>237</v>
      </c>
    </row>
    <row r="6746" spans="1:2" ht="12.75" customHeight="1" x14ac:dyDescent="0.25">
      <c r="A6746" s="318">
        <v>92553865565</v>
      </c>
      <c r="B6746" s="318" t="s">
        <v>237</v>
      </c>
    </row>
    <row r="6747" spans="1:2" ht="12.75" customHeight="1" x14ac:dyDescent="0.25">
      <c r="A6747" s="318">
        <v>92553865566</v>
      </c>
      <c r="B6747" s="318" t="s">
        <v>237</v>
      </c>
    </row>
    <row r="6748" spans="1:2" ht="12.75" customHeight="1" x14ac:dyDescent="0.25">
      <c r="A6748" s="318">
        <v>92553865567</v>
      </c>
      <c r="B6748" s="318" t="s">
        <v>237</v>
      </c>
    </row>
    <row r="6749" spans="1:2" ht="12.75" customHeight="1" x14ac:dyDescent="0.25">
      <c r="A6749" s="318">
        <v>92553865568</v>
      </c>
      <c r="B6749" s="318" t="s">
        <v>237</v>
      </c>
    </row>
    <row r="6750" spans="1:2" ht="12.75" customHeight="1" x14ac:dyDescent="0.25">
      <c r="A6750" s="318">
        <v>92553865570</v>
      </c>
      <c r="B6750" s="318" t="s">
        <v>237</v>
      </c>
    </row>
    <row r="6751" spans="1:2" ht="12.75" customHeight="1" x14ac:dyDescent="0.25">
      <c r="A6751" s="318">
        <v>92553865571</v>
      </c>
      <c r="B6751" s="318" t="s">
        <v>237</v>
      </c>
    </row>
    <row r="6752" spans="1:2" ht="12.75" customHeight="1" x14ac:dyDescent="0.25">
      <c r="A6752" s="318">
        <v>92553865572</v>
      </c>
      <c r="B6752" s="318" t="s">
        <v>237</v>
      </c>
    </row>
    <row r="6753" spans="1:2" ht="12.75" customHeight="1" x14ac:dyDescent="0.25">
      <c r="A6753" s="318">
        <v>92553865573</v>
      </c>
      <c r="B6753" s="318" t="s">
        <v>237</v>
      </c>
    </row>
    <row r="6754" spans="1:2" ht="12.75" customHeight="1" x14ac:dyDescent="0.25">
      <c r="A6754" s="318">
        <v>92553865574</v>
      </c>
      <c r="B6754" s="318" t="s">
        <v>237</v>
      </c>
    </row>
    <row r="6755" spans="1:2" ht="12.75" customHeight="1" x14ac:dyDescent="0.25">
      <c r="A6755" s="318">
        <v>92553865575</v>
      </c>
      <c r="B6755" s="318" t="s">
        <v>237</v>
      </c>
    </row>
    <row r="6756" spans="1:2" ht="12.75" customHeight="1" x14ac:dyDescent="0.25">
      <c r="A6756" s="318">
        <v>92553865576</v>
      </c>
      <c r="B6756" s="318" t="s">
        <v>237</v>
      </c>
    </row>
    <row r="6757" spans="1:2" ht="12.75" customHeight="1" x14ac:dyDescent="0.25">
      <c r="A6757" s="318">
        <v>92553865577</v>
      </c>
      <c r="B6757" s="318" t="s">
        <v>237</v>
      </c>
    </row>
    <row r="6758" spans="1:2" ht="12.75" customHeight="1" x14ac:dyDescent="0.25">
      <c r="A6758" s="318">
        <v>92554346434</v>
      </c>
      <c r="B6758" s="318" t="s">
        <v>23</v>
      </c>
    </row>
    <row r="6759" spans="1:2" ht="12.75" customHeight="1" x14ac:dyDescent="0.25">
      <c r="A6759" s="318">
        <v>92554346435</v>
      </c>
      <c r="B6759" s="318" t="s">
        <v>23</v>
      </c>
    </row>
    <row r="6760" spans="1:2" ht="12.75" customHeight="1" x14ac:dyDescent="0.25">
      <c r="A6760" s="318">
        <v>92554346436</v>
      </c>
      <c r="B6760" s="318" t="s">
        <v>23</v>
      </c>
    </row>
    <row r="6761" spans="1:2" ht="12.75" customHeight="1" x14ac:dyDescent="0.25">
      <c r="A6761" s="318">
        <v>92554346437</v>
      </c>
      <c r="B6761" s="318" t="s">
        <v>23</v>
      </c>
    </row>
    <row r="6762" spans="1:2" ht="12.75" customHeight="1" x14ac:dyDescent="0.25">
      <c r="A6762" s="318">
        <v>92554346438</v>
      </c>
      <c r="B6762" s="318" t="s">
        <v>23</v>
      </c>
    </row>
    <row r="6763" spans="1:2" ht="12.75" customHeight="1" x14ac:dyDescent="0.25">
      <c r="A6763" s="318">
        <v>92554346439</v>
      </c>
      <c r="B6763" s="318" t="s">
        <v>23</v>
      </c>
    </row>
    <row r="6764" spans="1:2" ht="12.75" customHeight="1" x14ac:dyDescent="0.25">
      <c r="A6764" s="318">
        <v>92554346440</v>
      </c>
      <c r="B6764" s="318" t="s">
        <v>237</v>
      </c>
    </row>
    <row r="6765" spans="1:2" ht="12.75" customHeight="1" x14ac:dyDescent="0.25">
      <c r="A6765" s="318">
        <v>92554346441</v>
      </c>
      <c r="B6765" s="318" t="s">
        <v>237</v>
      </c>
    </row>
    <row r="6766" spans="1:2" ht="12.75" customHeight="1" x14ac:dyDescent="0.25">
      <c r="A6766" s="318">
        <v>92554346443</v>
      </c>
      <c r="B6766" s="318" t="s">
        <v>237</v>
      </c>
    </row>
    <row r="6767" spans="1:2" ht="12.75" customHeight="1" x14ac:dyDescent="0.25">
      <c r="A6767" s="318">
        <v>92554346444</v>
      </c>
      <c r="B6767" s="318" t="s">
        <v>237</v>
      </c>
    </row>
    <row r="6768" spans="1:2" ht="12.75" customHeight="1" x14ac:dyDescent="0.25">
      <c r="A6768" s="318">
        <v>92554346445</v>
      </c>
      <c r="B6768" s="318" t="s">
        <v>237</v>
      </c>
    </row>
    <row r="6769" spans="1:2" ht="12.75" customHeight="1" x14ac:dyDescent="0.25">
      <c r="A6769" s="318">
        <v>92554346446</v>
      </c>
      <c r="B6769" s="318" t="s">
        <v>237</v>
      </c>
    </row>
    <row r="6770" spans="1:2" ht="12.75" customHeight="1" x14ac:dyDescent="0.25">
      <c r="A6770" s="318">
        <v>92554346447</v>
      </c>
      <c r="B6770" s="318" t="s">
        <v>237</v>
      </c>
    </row>
    <row r="6771" spans="1:2" ht="12.75" customHeight="1" x14ac:dyDescent="0.25">
      <c r="A6771" s="318">
        <v>92554346448</v>
      </c>
      <c r="B6771" s="318" t="s">
        <v>237</v>
      </c>
    </row>
    <row r="6772" spans="1:2" ht="12.75" customHeight="1" x14ac:dyDescent="0.25">
      <c r="A6772" s="318">
        <v>92554346449</v>
      </c>
      <c r="B6772" s="318" t="s">
        <v>237</v>
      </c>
    </row>
    <row r="6773" spans="1:2" ht="12.75" customHeight="1" x14ac:dyDescent="0.25">
      <c r="A6773" s="318">
        <v>92554346450</v>
      </c>
      <c r="B6773" s="318" t="s">
        <v>237</v>
      </c>
    </row>
    <row r="6774" spans="1:2" ht="12.75" customHeight="1" x14ac:dyDescent="0.25">
      <c r="A6774" s="318">
        <v>92554346534</v>
      </c>
      <c r="B6774" s="318" t="s">
        <v>237</v>
      </c>
    </row>
    <row r="6775" spans="1:2" ht="12.75" customHeight="1" x14ac:dyDescent="0.25">
      <c r="A6775" s="318">
        <v>92554346535</v>
      </c>
      <c r="B6775" s="318" t="s">
        <v>237</v>
      </c>
    </row>
    <row r="6776" spans="1:2" ht="12.75" customHeight="1" x14ac:dyDescent="0.25">
      <c r="A6776" s="318">
        <v>92554346536</v>
      </c>
      <c r="B6776" s="318" t="s">
        <v>237</v>
      </c>
    </row>
    <row r="6777" spans="1:2" ht="12.75" customHeight="1" x14ac:dyDescent="0.25">
      <c r="A6777" s="318">
        <v>92554346537</v>
      </c>
      <c r="B6777" s="318" t="s">
        <v>237</v>
      </c>
    </row>
    <row r="6778" spans="1:2" ht="12.75" customHeight="1" x14ac:dyDescent="0.25">
      <c r="A6778" s="318">
        <v>92554346538</v>
      </c>
      <c r="B6778" s="318" t="s">
        <v>237</v>
      </c>
    </row>
    <row r="6779" spans="1:2" ht="12.75" customHeight="1" x14ac:dyDescent="0.25">
      <c r="A6779" s="318">
        <v>92554346539</v>
      </c>
      <c r="B6779" s="318" t="s">
        <v>237</v>
      </c>
    </row>
    <row r="6780" spans="1:2" ht="12.75" customHeight="1" x14ac:dyDescent="0.25">
      <c r="A6780" s="318">
        <v>92554346540</v>
      </c>
      <c r="B6780" s="318" t="s">
        <v>237</v>
      </c>
    </row>
    <row r="6781" spans="1:2" ht="12.75" customHeight="1" x14ac:dyDescent="0.25">
      <c r="A6781" s="318">
        <v>92554346541</v>
      </c>
      <c r="B6781" s="318" t="s">
        <v>237</v>
      </c>
    </row>
    <row r="6782" spans="1:2" ht="12.75" customHeight="1" x14ac:dyDescent="0.25">
      <c r="A6782" s="318">
        <v>92554346543</v>
      </c>
      <c r="B6782" s="318" t="s">
        <v>237</v>
      </c>
    </row>
    <row r="6783" spans="1:2" ht="12.75" customHeight="1" x14ac:dyDescent="0.25">
      <c r="A6783" s="318">
        <v>92554346544</v>
      </c>
      <c r="B6783" s="318" t="s">
        <v>237</v>
      </c>
    </row>
    <row r="6784" spans="1:2" ht="12.75" customHeight="1" x14ac:dyDescent="0.25">
      <c r="A6784" s="318">
        <v>92554346545</v>
      </c>
      <c r="B6784" s="318" t="s">
        <v>237</v>
      </c>
    </row>
    <row r="6785" spans="1:2" ht="12.75" customHeight="1" x14ac:dyDescent="0.25">
      <c r="A6785" s="318">
        <v>92554346546</v>
      </c>
      <c r="B6785" s="318" t="s">
        <v>237</v>
      </c>
    </row>
    <row r="6786" spans="1:2" ht="12.75" customHeight="1" x14ac:dyDescent="0.25">
      <c r="A6786" s="318">
        <v>92554346547</v>
      </c>
      <c r="B6786" s="318" t="s">
        <v>237</v>
      </c>
    </row>
    <row r="6787" spans="1:2" ht="12.75" customHeight="1" x14ac:dyDescent="0.25">
      <c r="A6787" s="318">
        <v>92554346548</v>
      </c>
      <c r="B6787" s="318" t="s">
        <v>237</v>
      </c>
    </row>
    <row r="6788" spans="1:2" ht="12.75" customHeight="1" x14ac:dyDescent="0.25">
      <c r="A6788" s="318">
        <v>92554346549</v>
      </c>
      <c r="B6788" s="318" t="s">
        <v>237</v>
      </c>
    </row>
    <row r="6789" spans="1:2" ht="12.75" customHeight="1" x14ac:dyDescent="0.25">
      <c r="A6789" s="318">
        <v>92554346550</v>
      </c>
      <c r="B6789" s="318" t="s">
        <v>237</v>
      </c>
    </row>
    <row r="6790" spans="1:2" ht="12.75" customHeight="1" x14ac:dyDescent="0.25">
      <c r="A6790" s="318">
        <v>92555706815</v>
      </c>
      <c r="B6790" s="318" t="s">
        <v>23</v>
      </c>
    </row>
    <row r="6791" spans="1:2" ht="12.75" customHeight="1" x14ac:dyDescent="0.25">
      <c r="A6791" s="318">
        <v>92555706816</v>
      </c>
      <c r="B6791" s="318" t="s">
        <v>23</v>
      </c>
    </row>
    <row r="6792" spans="1:2" ht="12.75" customHeight="1" x14ac:dyDescent="0.25">
      <c r="A6792" s="318">
        <v>92555706817</v>
      </c>
      <c r="B6792" s="318" t="s">
        <v>23</v>
      </c>
    </row>
    <row r="6793" spans="1:2" ht="12.75" customHeight="1" x14ac:dyDescent="0.25">
      <c r="A6793" s="318">
        <v>92555706818</v>
      </c>
      <c r="B6793" s="318" t="s">
        <v>23</v>
      </c>
    </row>
    <row r="6794" spans="1:2" ht="12.75" customHeight="1" x14ac:dyDescent="0.25">
      <c r="A6794" s="318">
        <v>92555706819</v>
      </c>
      <c r="B6794" s="318" t="s">
        <v>23</v>
      </c>
    </row>
    <row r="6795" spans="1:2" ht="12.75" customHeight="1" x14ac:dyDescent="0.25">
      <c r="A6795" s="318">
        <v>92555706820</v>
      </c>
      <c r="B6795" s="318" t="s">
        <v>23</v>
      </c>
    </row>
    <row r="6796" spans="1:2" ht="12.75" customHeight="1" x14ac:dyDescent="0.25">
      <c r="A6796" s="318">
        <v>92555706821</v>
      </c>
      <c r="B6796" s="318" t="s">
        <v>237</v>
      </c>
    </row>
    <row r="6797" spans="1:2" ht="12.75" customHeight="1" x14ac:dyDescent="0.25">
      <c r="A6797" s="318">
        <v>92555706822</v>
      </c>
      <c r="B6797" s="318" t="s">
        <v>237</v>
      </c>
    </row>
    <row r="6798" spans="1:2" ht="12.75" customHeight="1" x14ac:dyDescent="0.25">
      <c r="A6798" s="318">
        <v>92555706824</v>
      </c>
      <c r="B6798" s="318" t="s">
        <v>237</v>
      </c>
    </row>
    <row r="6799" spans="1:2" ht="12.75" customHeight="1" x14ac:dyDescent="0.25">
      <c r="A6799" s="318">
        <v>92555706825</v>
      </c>
      <c r="B6799" s="318" t="s">
        <v>237</v>
      </c>
    </row>
    <row r="6800" spans="1:2" ht="12.75" customHeight="1" x14ac:dyDescent="0.25">
      <c r="A6800" s="318">
        <v>92555706826</v>
      </c>
      <c r="B6800" s="318" t="s">
        <v>237</v>
      </c>
    </row>
    <row r="6801" spans="1:2" ht="12.75" customHeight="1" x14ac:dyDescent="0.25">
      <c r="A6801" s="318">
        <v>92555706827</v>
      </c>
      <c r="B6801" s="318" t="s">
        <v>237</v>
      </c>
    </row>
    <row r="6802" spans="1:2" ht="12.75" customHeight="1" x14ac:dyDescent="0.25">
      <c r="A6802" s="318">
        <v>92555706828</v>
      </c>
      <c r="B6802" s="318" t="s">
        <v>237</v>
      </c>
    </row>
    <row r="6803" spans="1:2" ht="12.75" customHeight="1" x14ac:dyDescent="0.25">
      <c r="A6803" s="318">
        <v>92555706829</v>
      </c>
      <c r="B6803" s="318" t="s">
        <v>237</v>
      </c>
    </row>
    <row r="6804" spans="1:2" ht="12.75" customHeight="1" x14ac:dyDescent="0.25">
      <c r="A6804" s="318">
        <v>92555706830</v>
      </c>
      <c r="B6804" s="318" t="s">
        <v>237</v>
      </c>
    </row>
    <row r="6805" spans="1:2" ht="12.75" customHeight="1" x14ac:dyDescent="0.25">
      <c r="A6805" s="318">
        <v>92555706831</v>
      </c>
      <c r="B6805" s="318" t="s">
        <v>237</v>
      </c>
    </row>
    <row r="6806" spans="1:2" ht="12.75" customHeight="1" x14ac:dyDescent="0.25">
      <c r="A6806" s="318">
        <v>92555706915</v>
      </c>
      <c r="B6806" s="318" t="s">
        <v>237</v>
      </c>
    </row>
    <row r="6807" spans="1:2" ht="12.75" customHeight="1" x14ac:dyDescent="0.25">
      <c r="A6807" s="318">
        <v>92555706916</v>
      </c>
      <c r="B6807" s="318" t="s">
        <v>237</v>
      </c>
    </row>
    <row r="6808" spans="1:2" ht="12.75" customHeight="1" x14ac:dyDescent="0.25">
      <c r="A6808" s="318">
        <v>92555706917</v>
      </c>
      <c r="B6808" s="318" t="s">
        <v>237</v>
      </c>
    </row>
    <row r="6809" spans="1:2" ht="12.75" customHeight="1" x14ac:dyDescent="0.25">
      <c r="A6809" s="318">
        <v>92555706918</v>
      </c>
      <c r="B6809" s="318" t="s">
        <v>237</v>
      </c>
    </row>
    <row r="6810" spans="1:2" ht="12.75" customHeight="1" x14ac:dyDescent="0.25">
      <c r="A6810" s="318">
        <v>92555706919</v>
      </c>
      <c r="B6810" s="318" t="s">
        <v>237</v>
      </c>
    </row>
    <row r="6811" spans="1:2" ht="12.75" customHeight="1" x14ac:dyDescent="0.25">
      <c r="A6811" s="318">
        <v>92555706920</v>
      </c>
      <c r="B6811" s="318" t="s">
        <v>237</v>
      </c>
    </row>
    <row r="6812" spans="1:2" ht="12.75" customHeight="1" x14ac:dyDescent="0.25">
      <c r="A6812" s="318">
        <v>92555706921</v>
      </c>
      <c r="B6812" s="318" t="s">
        <v>237</v>
      </c>
    </row>
    <row r="6813" spans="1:2" ht="12.75" customHeight="1" x14ac:dyDescent="0.25">
      <c r="A6813" s="318">
        <v>92555706922</v>
      </c>
      <c r="B6813" s="318" t="s">
        <v>237</v>
      </c>
    </row>
    <row r="6814" spans="1:2" ht="12.75" customHeight="1" x14ac:dyDescent="0.25">
      <c r="A6814" s="318">
        <v>92555706924</v>
      </c>
      <c r="B6814" s="318" t="s">
        <v>237</v>
      </c>
    </row>
    <row r="6815" spans="1:2" ht="12.75" customHeight="1" x14ac:dyDescent="0.25">
      <c r="A6815" s="318">
        <v>92555706925</v>
      </c>
      <c r="B6815" s="318" t="s">
        <v>237</v>
      </c>
    </row>
    <row r="6816" spans="1:2" ht="12.75" customHeight="1" x14ac:dyDescent="0.25">
      <c r="A6816" s="318">
        <v>92555706926</v>
      </c>
      <c r="B6816" s="318" t="s">
        <v>237</v>
      </c>
    </row>
    <row r="6817" spans="1:2" ht="12.75" customHeight="1" x14ac:dyDescent="0.25">
      <c r="A6817" s="318">
        <v>92555706927</v>
      </c>
      <c r="B6817" s="318" t="s">
        <v>237</v>
      </c>
    </row>
    <row r="6818" spans="1:2" ht="12.75" customHeight="1" x14ac:dyDescent="0.25">
      <c r="A6818" s="318">
        <v>92555706928</v>
      </c>
      <c r="B6818" s="318" t="s">
        <v>237</v>
      </c>
    </row>
    <row r="6819" spans="1:2" ht="12.75" customHeight="1" x14ac:dyDescent="0.25">
      <c r="A6819" s="318">
        <v>92555706929</v>
      </c>
      <c r="B6819" s="318" t="s">
        <v>237</v>
      </c>
    </row>
    <row r="6820" spans="1:2" ht="12.75" customHeight="1" x14ac:dyDescent="0.25">
      <c r="A6820" s="318">
        <v>92555706930</v>
      </c>
      <c r="B6820" s="318" t="s">
        <v>237</v>
      </c>
    </row>
    <row r="6821" spans="1:2" ht="12.75" customHeight="1" x14ac:dyDescent="0.25">
      <c r="A6821" s="318">
        <v>92555706931</v>
      </c>
      <c r="B6821" s="318" t="s">
        <v>237</v>
      </c>
    </row>
    <row r="6822" spans="1:2" ht="12.75" customHeight="1" x14ac:dyDescent="0.25">
      <c r="A6822" s="318">
        <v>92556187788</v>
      </c>
      <c r="B6822" s="318" t="s">
        <v>23</v>
      </c>
    </row>
    <row r="6823" spans="1:2" ht="12.75" customHeight="1" x14ac:dyDescent="0.25">
      <c r="A6823" s="318">
        <v>92556187789</v>
      </c>
      <c r="B6823" s="318" t="s">
        <v>23</v>
      </c>
    </row>
    <row r="6824" spans="1:2" ht="12.75" customHeight="1" x14ac:dyDescent="0.25">
      <c r="A6824" s="318">
        <v>92556187790</v>
      </c>
      <c r="B6824" s="318" t="s">
        <v>23</v>
      </c>
    </row>
    <row r="6825" spans="1:2" ht="12.75" customHeight="1" x14ac:dyDescent="0.25">
      <c r="A6825" s="318">
        <v>92556187791</v>
      </c>
      <c r="B6825" s="318" t="s">
        <v>23</v>
      </c>
    </row>
    <row r="6826" spans="1:2" ht="12.75" customHeight="1" x14ac:dyDescent="0.25">
      <c r="A6826" s="318">
        <v>92556187792</v>
      </c>
      <c r="B6826" s="318" t="s">
        <v>23</v>
      </c>
    </row>
    <row r="6827" spans="1:2" ht="12.75" customHeight="1" x14ac:dyDescent="0.25">
      <c r="A6827" s="318">
        <v>92556187793</v>
      </c>
      <c r="B6827" s="318" t="s">
        <v>23</v>
      </c>
    </row>
    <row r="6828" spans="1:2" ht="12.75" customHeight="1" x14ac:dyDescent="0.25">
      <c r="A6828" s="318">
        <v>92556187794</v>
      </c>
      <c r="B6828" s="318" t="s">
        <v>237</v>
      </c>
    </row>
    <row r="6829" spans="1:2" ht="12.75" customHeight="1" x14ac:dyDescent="0.25">
      <c r="A6829" s="318">
        <v>92556187795</v>
      </c>
      <c r="B6829" s="318" t="s">
        <v>237</v>
      </c>
    </row>
    <row r="6830" spans="1:2" ht="12.75" customHeight="1" x14ac:dyDescent="0.25">
      <c r="A6830" s="318">
        <v>92556187797</v>
      </c>
      <c r="B6830" s="318" t="s">
        <v>237</v>
      </c>
    </row>
    <row r="6831" spans="1:2" ht="12.75" customHeight="1" x14ac:dyDescent="0.25">
      <c r="A6831" s="318">
        <v>92556187798</v>
      </c>
      <c r="B6831" s="318" t="s">
        <v>237</v>
      </c>
    </row>
    <row r="6832" spans="1:2" ht="12.75" customHeight="1" x14ac:dyDescent="0.25">
      <c r="A6832" s="318">
        <v>92556187799</v>
      </c>
      <c r="B6832" s="318" t="s">
        <v>237</v>
      </c>
    </row>
    <row r="6833" spans="1:2" ht="12.75" customHeight="1" x14ac:dyDescent="0.25">
      <c r="A6833" s="318">
        <v>92556187800</v>
      </c>
      <c r="B6833" s="318" t="s">
        <v>237</v>
      </c>
    </row>
    <row r="6834" spans="1:2" ht="12.75" customHeight="1" x14ac:dyDescent="0.25">
      <c r="A6834" s="318">
        <v>92556187801</v>
      </c>
      <c r="B6834" s="318" t="s">
        <v>237</v>
      </c>
    </row>
    <row r="6835" spans="1:2" ht="12.75" customHeight="1" x14ac:dyDescent="0.25">
      <c r="A6835" s="318">
        <v>92556187802</v>
      </c>
      <c r="B6835" s="318" t="s">
        <v>237</v>
      </c>
    </row>
    <row r="6836" spans="1:2" ht="12.75" customHeight="1" x14ac:dyDescent="0.25">
      <c r="A6836" s="318">
        <v>92556187803</v>
      </c>
      <c r="B6836" s="318" t="s">
        <v>237</v>
      </c>
    </row>
    <row r="6837" spans="1:2" ht="12.75" customHeight="1" x14ac:dyDescent="0.25">
      <c r="A6837" s="318">
        <v>92556187804</v>
      </c>
      <c r="B6837" s="318" t="s">
        <v>237</v>
      </c>
    </row>
    <row r="6838" spans="1:2" ht="12.75" customHeight="1" x14ac:dyDescent="0.25">
      <c r="A6838" s="318">
        <v>92556187888</v>
      </c>
      <c r="B6838" s="318" t="s">
        <v>237</v>
      </c>
    </row>
    <row r="6839" spans="1:2" ht="12.75" customHeight="1" x14ac:dyDescent="0.25">
      <c r="A6839" s="318">
        <v>92556187889</v>
      </c>
      <c r="B6839" s="318" t="s">
        <v>237</v>
      </c>
    </row>
    <row r="6840" spans="1:2" ht="12.75" customHeight="1" x14ac:dyDescent="0.25">
      <c r="A6840" s="318">
        <v>92556187890</v>
      </c>
      <c r="B6840" s="318" t="s">
        <v>237</v>
      </c>
    </row>
    <row r="6841" spans="1:2" ht="12.75" customHeight="1" x14ac:dyDescent="0.25">
      <c r="A6841" s="318">
        <v>92556187891</v>
      </c>
      <c r="B6841" s="318" t="s">
        <v>237</v>
      </c>
    </row>
    <row r="6842" spans="1:2" ht="12.75" customHeight="1" x14ac:dyDescent="0.25">
      <c r="A6842" s="318">
        <v>92556187892</v>
      </c>
      <c r="B6842" s="318" t="s">
        <v>237</v>
      </c>
    </row>
    <row r="6843" spans="1:2" ht="12.75" customHeight="1" x14ac:dyDescent="0.25">
      <c r="A6843" s="318">
        <v>92556187893</v>
      </c>
      <c r="B6843" s="318" t="s">
        <v>237</v>
      </c>
    </row>
    <row r="6844" spans="1:2" ht="12.75" customHeight="1" x14ac:dyDescent="0.25">
      <c r="A6844" s="318">
        <v>92556187894</v>
      </c>
      <c r="B6844" s="318" t="s">
        <v>237</v>
      </c>
    </row>
    <row r="6845" spans="1:2" ht="12.75" customHeight="1" x14ac:dyDescent="0.25">
      <c r="A6845" s="318">
        <v>92556187895</v>
      </c>
      <c r="B6845" s="318" t="s">
        <v>237</v>
      </c>
    </row>
    <row r="6846" spans="1:2" ht="12.75" customHeight="1" x14ac:dyDescent="0.25">
      <c r="A6846" s="318">
        <v>92556187897</v>
      </c>
      <c r="B6846" s="318" t="s">
        <v>237</v>
      </c>
    </row>
    <row r="6847" spans="1:2" ht="12.75" customHeight="1" x14ac:dyDescent="0.25">
      <c r="A6847" s="318">
        <v>92556187898</v>
      </c>
      <c r="B6847" s="318" t="s">
        <v>237</v>
      </c>
    </row>
    <row r="6848" spans="1:2" ht="12.75" customHeight="1" x14ac:dyDescent="0.25">
      <c r="A6848" s="318">
        <v>92556187899</v>
      </c>
      <c r="B6848" s="318" t="s">
        <v>237</v>
      </c>
    </row>
    <row r="6849" spans="1:2" ht="12.75" customHeight="1" x14ac:dyDescent="0.25">
      <c r="A6849" s="318">
        <v>92556187900</v>
      </c>
      <c r="B6849" s="318" t="s">
        <v>237</v>
      </c>
    </row>
    <row r="6850" spans="1:2" ht="12.75" customHeight="1" x14ac:dyDescent="0.25">
      <c r="A6850" s="318">
        <v>92556187901</v>
      </c>
      <c r="B6850" s="318" t="s">
        <v>237</v>
      </c>
    </row>
    <row r="6851" spans="1:2" ht="12.75" customHeight="1" x14ac:dyDescent="0.25">
      <c r="A6851" s="318">
        <v>92556187902</v>
      </c>
      <c r="B6851" s="318" t="s">
        <v>237</v>
      </c>
    </row>
    <row r="6852" spans="1:2" ht="12.75" customHeight="1" x14ac:dyDescent="0.25">
      <c r="A6852" s="318">
        <v>92556187903</v>
      </c>
      <c r="B6852" s="318" t="s">
        <v>237</v>
      </c>
    </row>
    <row r="6853" spans="1:2" ht="12.75" customHeight="1" x14ac:dyDescent="0.25">
      <c r="A6853" s="318">
        <v>92556187904</v>
      </c>
      <c r="B6853" s="318" t="s">
        <v>237</v>
      </c>
    </row>
    <row r="6854" spans="1:2" ht="12.75" customHeight="1" x14ac:dyDescent="0.25">
      <c r="A6854" s="318">
        <v>92556668761</v>
      </c>
      <c r="B6854" s="318" t="s">
        <v>23</v>
      </c>
    </row>
    <row r="6855" spans="1:2" ht="12.75" customHeight="1" x14ac:dyDescent="0.25">
      <c r="A6855" s="318">
        <v>92556668762</v>
      </c>
      <c r="B6855" s="318" t="s">
        <v>23</v>
      </c>
    </row>
    <row r="6856" spans="1:2" ht="12.75" customHeight="1" x14ac:dyDescent="0.25">
      <c r="A6856" s="318">
        <v>92556668763</v>
      </c>
      <c r="B6856" s="318" t="s">
        <v>23</v>
      </c>
    </row>
    <row r="6857" spans="1:2" ht="12.75" customHeight="1" x14ac:dyDescent="0.25">
      <c r="A6857" s="318">
        <v>92556668764</v>
      </c>
      <c r="B6857" s="318" t="s">
        <v>23</v>
      </c>
    </row>
    <row r="6858" spans="1:2" ht="12.75" customHeight="1" x14ac:dyDescent="0.25">
      <c r="A6858" s="318">
        <v>92556668765</v>
      </c>
      <c r="B6858" s="318" t="s">
        <v>23</v>
      </c>
    </row>
    <row r="6859" spans="1:2" ht="12.75" customHeight="1" x14ac:dyDescent="0.25">
      <c r="A6859" s="318">
        <v>92556668766</v>
      </c>
      <c r="B6859" s="318" t="s">
        <v>23</v>
      </c>
    </row>
    <row r="6860" spans="1:2" ht="12.75" customHeight="1" x14ac:dyDescent="0.25">
      <c r="A6860" s="318">
        <v>92556668767</v>
      </c>
      <c r="B6860" s="318" t="s">
        <v>237</v>
      </c>
    </row>
    <row r="6861" spans="1:2" ht="12.75" customHeight="1" x14ac:dyDescent="0.25">
      <c r="A6861" s="318">
        <v>92556668768</v>
      </c>
      <c r="B6861" s="318" t="s">
        <v>237</v>
      </c>
    </row>
    <row r="6862" spans="1:2" ht="12.75" customHeight="1" x14ac:dyDescent="0.25">
      <c r="A6862" s="318">
        <v>92556668770</v>
      </c>
      <c r="B6862" s="318" t="s">
        <v>237</v>
      </c>
    </row>
    <row r="6863" spans="1:2" ht="12.75" customHeight="1" x14ac:dyDescent="0.25">
      <c r="A6863" s="318">
        <v>92556668771</v>
      </c>
      <c r="B6863" s="318" t="s">
        <v>237</v>
      </c>
    </row>
    <row r="6864" spans="1:2" ht="12.75" customHeight="1" x14ac:dyDescent="0.25">
      <c r="A6864" s="318">
        <v>92556668772</v>
      </c>
      <c r="B6864" s="318" t="s">
        <v>237</v>
      </c>
    </row>
    <row r="6865" spans="1:2" ht="12.75" customHeight="1" x14ac:dyDescent="0.25">
      <c r="A6865" s="318">
        <v>92556668773</v>
      </c>
      <c r="B6865" s="318" t="s">
        <v>237</v>
      </c>
    </row>
    <row r="6866" spans="1:2" ht="12.75" customHeight="1" x14ac:dyDescent="0.25">
      <c r="A6866" s="318">
        <v>92556668774</v>
      </c>
      <c r="B6866" s="318" t="s">
        <v>237</v>
      </c>
    </row>
    <row r="6867" spans="1:2" ht="12.75" customHeight="1" x14ac:dyDescent="0.25">
      <c r="A6867" s="318">
        <v>92556668775</v>
      </c>
      <c r="B6867" s="318" t="s">
        <v>237</v>
      </c>
    </row>
    <row r="6868" spans="1:2" ht="12.75" customHeight="1" x14ac:dyDescent="0.25">
      <c r="A6868" s="318">
        <v>92556668776</v>
      </c>
      <c r="B6868" s="318" t="s">
        <v>237</v>
      </c>
    </row>
    <row r="6869" spans="1:2" ht="12.75" customHeight="1" x14ac:dyDescent="0.25">
      <c r="A6869" s="318">
        <v>92556668777</v>
      </c>
      <c r="B6869" s="318" t="s">
        <v>237</v>
      </c>
    </row>
    <row r="6870" spans="1:2" ht="12.75" customHeight="1" x14ac:dyDescent="0.25">
      <c r="A6870" s="318">
        <v>92556668861</v>
      </c>
      <c r="B6870" s="318" t="s">
        <v>237</v>
      </c>
    </row>
    <row r="6871" spans="1:2" ht="12.75" customHeight="1" x14ac:dyDescent="0.25">
      <c r="A6871" s="318">
        <v>92556668862</v>
      </c>
      <c r="B6871" s="318" t="s">
        <v>237</v>
      </c>
    </row>
    <row r="6872" spans="1:2" ht="12.75" customHeight="1" x14ac:dyDescent="0.25">
      <c r="A6872" s="318">
        <v>92556668863</v>
      </c>
      <c r="B6872" s="318" t="s">
        <v>237</v>
      </c>
    </row>
    <row r="6873" spans="1:2" ht="12.75" customHeight="1" x14ac:dyDescent="0.25">
      <c r="A6873" s="318">
        <v>92556668864</v>
      </c>
      <c r="B6873" s="318" t="s">
        <v>237</v>
      </c>
    </row>
    <row r="6874" spans="1:2" ht="12.75" customHeight="1" x14ac:dyDescent="0.25">
      <c r="A6874" s="318">
        <v>92556668865</v>
      </c>
      <c r="B6874" s="318" t="s">
        <v>237</v>
      </c>
    </row>
    <row r="6875" spans="1:2" ht="12.75" customHeight="1" x14ac:dyDescent="0.25">
      <c r="A6875" s="318">
        <v>92556668866</v>
      </c>
      <c r="B6875" s="318" t="s">
        <v>237</v>
      </c>
    </row>
    <row r="6876" spans="1:2" ht="12.75" customHeight="1" x14ac:dyDescent="0.25">
      <c r="A6876" s="318">
        <v>92556668867</v>
      </c>
      <c r="B6876" s="318" t="s">
        <v>237</v>
      </c>
    </row>
    <row r="6877" spans="1:2" ht="12.75" customHeight="1" x14ac:dyDescent="0.25">
      <c r="A6877" s="318">
        <v>92556668868</v>
      </c>
      <c r="B6877" s="318" t="s">
        <v>237</v>
      </c>
    </row>
    <row r="6878" spans="1:2" ht="12.75" customHeight="1" x14ac:dyDescent="0.25">
      <c r="A6878" s="318">
        <v>92556668870</v>
      </c>
      <c r="B6878" s="318" t="s">
        <v>237</v>
      </c>
    </row>
    <row r="6879" spans="1:2" ht="12.75" customHeight="1" x14ac:dyDescent="0.25">
      <c r="A6879" s="318">
        <v>92556668871</v>
      </c>
      <c r="B6879" s="318" t="s">
        <v>237</v>
      </c>
    </row>
    <row r="6880" spans="1:2" ht="12.75" customHeight="1" x14ac:dyDescent="0.25">
      <c r="A6880" s="318">
        <v>92556668872</v>
      </c>
      <c r="B6880" s="318" t="s">
        <v>237</v>
      </c>
    </row>
    <row r="6881" spans="1:2" ht="12.75" customHeight="1" x14ac:dyDescent="0.25">
      <c r="A6881" s="318">
        <v>92556668873</v>
      </c>
      <c r="B6881" s="318" t="s">
        <v>237</v>
      </c>
    </row>
    <row r="6882" spans="1:2" ht="12.75" customHeight="1" x14ac:dyDescent="0.25">
      <c r="A6882" s="318">
        <v>92556668874</v>
      </c>
      <c r="B6882" s="318" t="s">
        <v>237</v>
      </c>
    </row>
    <row r="6883" spans="1:2" ht="12.75" customHeight="1" x14ac:dyDescent="0.25">
      <c r="A6883" s="318">
        <v>92556668875</v>
      </c>
      <c r="B6883" s="318" t="s">
        <v>237</v>
      </c>
    </row>
    <row r="6884" spans="1:2" ht="12.75" customHeight="1" x14ac:dyDescent="0.25">
      <c r="A6884" s="318">
        <v>92556668876</v>
      </c>
      <c r="B6884" s="318" t="s">
        <v>237</v>
      </c>
    </row>
    <row r="6885" spans="1:2" ht="12.75" customHeight="1" x14ac:dyDescent="0.25">
      <c r="A6885" s="318">
        <v>92556668877</v>
      </c>
      <c r="B6885" s="318" t="s">
        <v>237</v>
      </c>
    </row>
    <row r="6886" spans="1:2" ht="12.75" customHeight="1" x14ac:dyDescent="0.25">
      <c r="A6886" s="318">
        <v>92557348952</v>
      </c>
      <c r="B6886" s="318" t="s">
        <v>23</v>
      </c>
    </row>
    <row r="6887" spans="1:2" ht="12.75" customHeight="1" x14ac:dyDescent="0.25">
      <c r="A6887" s="318">
        <v>92557348953</v>
      </c>
      <c r="B6887" s="318" t="s">
        <v>23</v>
      </c>
    </row>
    <row r="6888" spans="1:2" ht="12.75" customHeight="1" x14ac:dyDescent="0.25">
      <c r="A6888" s="318">
        <v>92557348954</v>
      </c>
      <c r="B6888" s="318" t="s">
        <v>23</v>
      </c>
    </row>
    <row r="6889" spans="1:2" ht="12.75" customHeight="1" x14ac:dyDescent="0.25">
      <c r="A6889" s="318">
        <v>92557348955</v>
      </c>
      <c r="B6889" s="318" t="s">
        <v>23</v>
      </c>
    </row>
    <row r="6890" spans="1:2" ht="12.75" customHeight="1" x14ac:dyDescent="0.25">
      <c r="A6890" s="318">
        <v>92557348956</v>
      </c>
      <c r="B6890" s="318" t="s">
        <v>23</v>
      </c>
    </row>
    <row r="6891" spans="1:2" ht="12.75" customHeight="1" x14ac:dyDescent="0.25">
      <c r="A6891" s="318">
        <v>92557348957</v>
      </c>
      <c r="B6891" s="318" t="s">
        <v>23</v>
      </c>
    </row>
    <row r="6892" spans="1:2" ht="12.75" customHeight="1" x14ac:dyDescent="0.25">
      <c r="A6892" s="318">
        <v>92557348958</v>
      </c>
      <c r="B6892" s="318" t="s">
        <v>237</v>
      </c>
    </row>
    <row r="6893" spans="1:2" ht="12.75" customHeight="1" x14ac:dyDescent="0.25">
      <c r="A6893" s="318">
        <v>92557348959</v>
      </c>
      <c r="B6893" s="318" t="s">
        <v>237</v>
      </c>
    </row>
    <row r="6894" spans="1:2" ht="12.75" customHeight="1" x14ac:dyDescent="0.25">
      <c r="A6894" s="318">
        <v>92557348961</v>
      </c>
      <c r="B6894" s="318" t="s">
        <v>237</v>
      </c>
    </row>
    <row r="6895" spans="1:2" ht="12.75" customHeight="1" x14ac:dyDescent="0.25">
      <c r="A6895" s="318">
        <v>92557348962</v>
      </c>
      <c r="B6895" s="318" t="s">
        <v>237</v>
      </c>
    </row>
    <row r="6896" spans="1:2" ht="12.75" customHeight="1" x14ac:dyDescent="0.25">
      <c r="A6896" s="318">
        <v>92557348963</v>
      </c>
      <c r="B6896" s="318" t="s">
        <v>237</v>
      </c>
    </row>
    <row r="6897" spans="1:2" ht="12.75" customHeight="1" x14ac:dyDescent="0.25">
      <c r="A6897" s="318">
        <v>92557348964</v>
      </c>
      <c r="B6897" s="318" t="s">
        <v>237</v>
      </c>
    </row>
    <row r="6898" spans="1:2" ht="12.75" customHeight="1" x14ac:dyDescent="0.25">
      <c r="A6898" s="318">
        <v>92557348965</v>
      </c>
      <c r="B6898" s="318" t="s">
        <v>237</v>
      </c>
    </row>
    <row r="6899" spans="1:2" ht="12.75" customHeight="1" x14ac:dyDescent="0.25">
      <c r="A6899" s="318">
        <v>92557348966</v>
      </c>
      <c r="B6899" s="318" t="s">
        <v>237</v>
      </c>
    </row>
    <row r="6900" spans="1:2" ht="12.75" customHeight="1" x14ac:dyDescent="0.25">
      <c r="A6900" s="318">
        <v>92557348967</v>
      </c>
      <c r="B6900" s="318" t="s">
        <v>237</v>
      </c>
    </row>
    <row r="6901" spans="1:2" ht="12.75" customHeight="1" x14ac:dyDescent="0.25">
      <c r="A6901" s="318">
        <v>92557348968</v>
      </c>
      <c r="B6901" s="318" t="s">
        <v>237</v>
      </c>
    </row>
    <row r="6902" spans="1:2" ht="12.75" customHeight="1" x14ac:dyDescent="0.25">
      <c r="A6902" s="318">
        <v>92557349052</v>
      </c>
      <c r="B6902" s="318" t="s">
        <v>237</v>
      </c>
    </row>
    <row r="6903" spans="1:2" ht="12.75" customHeight="1" x14ac:dyDescent="0.25">
      <c r="A6903" s="318">
        <v>92557349053</v>
      </c>
      <c r="B6903" s="318" t="s">
        <v>237</v>
      </c>
    </row>
    <row r="6904" spans="1:2" ht="12.75" customHeight="1" x14ac:dyDescent="0.25">
      <c r="A6904" s="318">
        <v>92557349054</v>
      </c>
      <c r="B6904" s="318" t="s">
        <v>237</v>
      </c>
    </row>
    <row r="6905" spans="1:2" ht="12.75" customHeight="1" x14ac:dyDescent="0.25">
      <c r="A6905" s="318">
        <v>92557349055</v>
      </c>
      <c r="B6905" s="318" t="s">
        <v>237</v>
      </c>
    </row>
    <row r="6906" spans="1:2" ht="12.75" customHeight="1" x14ac:dyDescent="0.25">
      <c r="A6906" s="318">
        <v>92557349056</v>
      </c>
      <c r="B6906" s="318" t="s">
        <v>237</v>
      </c>
    </row>
    <row r="6907" spans="1:2" ht="12.75" customHeight="1" x14ac:dyDescent="0.25">
      <c r="A6907" s="318">
        <v>92557349057</v>
      </c>
      <c r="B6907" s="318" t="s">
        <v>237</v>
      </c>
    </row>
    <row r="6908" spans="1:2" ht="12.75" customHeight="1" x14ac:dyDescent="0.25">
      <c r="A6908" s="318">
        <v>92557349058</v>
      </c>
      <c r="B6908" s="318" t="s">
        <v>237</v>
      </c>
    </row>
    <row r="6909" spans="1:2" ht="12.75" customHeight="1" x14ac:dyDescent="0.25">
      <c r="A6909" s="318">
        <v>92557349059</v>
      </c>
      <c r="B6909" s="318" t="s">
        <v>237</v>
      </c>
    </row>
    <row r="6910" spans="1:2" ht="12.75" customHeight="1" x14ac:dyDescent="0.25">
      <c r="A6910" s="318">
        <v>92557349061</v>
      </c>
      <c r="B6910" s="318" t="s">
        <v>237</v>
      </c>
    </row>
    <row r="6911" spans="1:2" ht="12.75" customHeight="1" x14ac:dyDescent="0.25">
      <c r="A6911" s="318">
        <v>92557349062</v>
      </c>
      <c r="B6911" s="318" t="s">
        <v>237</v>
      </c>
    </row>
    <row r="6912" spans="1:2" ht="12.75" customHeight="1" x14ac:dyDescent="0.25">
      <c r="A6912" s="318">
        <v>92557349063</v>
      </c>
      <c r="B6912" s="318" t="s">
        <v>237</v>
      </c>
    </row>
    <row r="6913" spans="1:2" ht="12.75" customHeight="1" x14ac:dyDescent="0.25">
      <c r="A6913" s="318">
        <v>92557349064</v>
      </c>
      <c r="B6913" s="318" t="s">
        <v>237</v>
      </c>
    </row>
    <row r="6914" spans="1:2" ht="12.75" customHeight="1" x14ac:dyDescent="0.25">
      <c r="A6914" s="318">
        <v>92557349065</v>
      </c>
      <c r="B6914" s="318" t="s">
        <v>237</v>
      </c>
    </row>
    <row r="6915" spans="1:2" ht="12.75" customHeight="1" x14ac:dyDescent="0.25">
      <c r="A6915" s="318">
        <v>92557349066</v>
      </c>
      <c r="B6915" s="318" t="s">
        <v>237</v>
      </c>
    </row>
    <row r="6916" spans="1:2" ht="12.75" customHeight="1" x14ac:dyDescent="0.25">
      <c r="A6916" s="318">
        <v>92557349067</v>
      </c>
      <c r="B6916" s="318" t="s">
        <v>237</v>
      </c>
    </row>
    <row r="6917" spans="1:2" ht="12.75" customHeight="1" x14ac:dyDescent="0.25">
      <c r="A6917" s="318">
        <v>92557349068</v>
      </c>
      <c r="B6917" s="318" t="s">
        <v>237</v>
      </c>
    </row>
    <row r="6918" spans="1:2" ht="12.75" customHeight="1" x14ac:dyDescent="0.25">
      <c r="A6918" s="318">
        <v>92557829925</v>
      </c>
      <c r="B6918" s="318" t="s">
        <v>23</v>
      </c>
    </row>
    <row r="6919" spans="1:2" ht="12.75" customHeight="1" x14ac:dyDescent="0.25">
      <c r="A6919" s="318">
        <v>92557829926</v>
      </c>
      <c r="B6919" s="318" t="s">
        <v>23</v>
      </c>
    </row>
    <row r="6920" spans="1:2" ht="12.75" customHeight="1" x14ac:dyDescent="0.25">
      <c r="A6920" s="318">
        <v>92557829927</v>
      </c>
      <c r="B6920" s="318" t="s">
        <v>23</v>
      </c>
    </row>
    <row r="6921" spans="1:2" ht="12.75" customHeight="1" x14ac:dyDescent="0.25">
      <c r="A6921" s="318">
        <v>92557829928</v>
      </c>
      <c r="B6921" s="318" t="s">
        <v>23</v>
      </c>
    </row>
    <row r="6922" spans="1:2" ht="12.75" customHeight="1" x14ac:dyDescent="0.25">
      <c r="A6922" s="318">
        <v>92557829929</v>
      </c>
      <c r="B6922" s="318" t="s">
        <v>23</v>
      </c>
    </row>
    <row r="6923" spans="1:2" ht="12.75" customHeight="1" x14ac:dyDescent="0.25">
      <c r="A6923" s="318">
        <v>92557829930</v>
      </c>
      <c r="B6923" s="318" t="s">
        <v>23</v>
      </c>
    </row>
    <row r="6924" spans="1:2" ht="12.75" customHeight="1" x14ac:dyDescent="0.25">
      <c r="A6924" s="318">
        <v>92557829931</v>
      </c>
      <c r="B6924" s="318" t="s">
        <v>237</v>
      </c>
    </row>
    <row r="6925" spans="1:2" ht="12.75" customHeight="1" x14ac:dyDescent="0.25">
      <c r="A6925" s="318">
        <v>92557829932</v>
      </c>
      <c r="B6925" s="318" t="s">
        <v>237</v>
      </c>
    </row>
    <row r="6926" spans="1:2" ht="12.75" customHeight="1" x14ac:dyDescent="0.25">
      <c r="A6926" s="318">
        <v>92557829934</v>
      </c>
      <c r="B6926" s="318" t="s">
        <v>237</v>
      </c>
    </row>
    <row r="6927" spans="1:2" ht="12.75" customHeight="1" x14ac:dyDescent="0.25">
      <c r="A6927" s="318">
        <v>92557829935</v>
      </c>
      <c r="B6927" s="318" t="s">
        <v>237</v>
      </c>
    </row>
    <row r="6928" spans="1:2" ht="12.75" customHeight="1" x14ac:dyDescent="0.25">
      <c r="A6928" s="318">
        <v>92557829936</v>
      </c>
      <c r="B6928" s="318" t="s">
        <v>237</v>
      </c>
    </row>
    <row r="6929" spans="1:2" ht="12.75" customHeight="1" x14ac:dyDescent="0.25">
      <c r="A6929" s="318">
        <v>92557829937</v>
      </c>
      <c r="B6929" s="318" t="s">
        <v>237</v>
      </c>
    </row>
    <row r="6930" spans="1:2" ht="12.75" customHeight="1" x14ac:dyDescent="0.25">
      <c r="A6930" s="318">
        <v>92557829938</v>
      </c>
      <c r="B6930" s="318" t="s">
        <v>237</v>
      </c>
    </row>
    <row r="6931" spans="1:2" ht="12.75" customHeight="1" x14ac:dyDescent="0.25">
      <c r="A6931" s="318">
        <v>92557829939</v>
      </c>
      <c r="B6931" s="318" t="s">
        <v>237</v>
      </c>
    </row>
    <row r="6932" spans="1:2" ht="12.75" customHeight="1" x14ac:dyDescent="0.25">
      <c r="A6932" s="318">
        <v>92557829940</v>
      </c>
      <c r="B6932" s="318" t="s">
        <v>237</v>
      </c>
    </row>
    <row r="6933" spans="1:2" ht="12.75" customHeight="1" x14ac:dyDescent="0.25">
      <c r="A6933" s="318">
        <v>92557829941</v>
      </c>
      <c r="B6933" s="318" t="s">
        <v>237</v>
      </c>
    </row>
    <row r="6934" spans="1:2" ht="12.75" customHeight="1" x14ac:dyDescent="0.25">
      <c r="A6934" s="318">
        <v>92557830025</v>
      </c>
      <c r="B6934" s="318" t="s">
        <v>237</v>
      </c>
    </row>
    <row r="6935" spans="1:2" ht="12.75" customHeight="1" x14ac:dyDescent="0.25">
      <c r="A6935" s="318">
        <v>92557830026</v>
      </c>
      <c r="B6935" s="318" t="s">
        <v>237</v>
      </c>
    </row>
    <row r="6936" spans="1:2" ht="12.75" customHeight="1" x14ac:dyDescent="0.25">
      <c r="A6936" s="318">
        <v>92557830027</v>
      </c>
      <c r="B6936" s="318" t="s">
        <v>237</v>
      </c>
    </row>
    <row r="6937" spans="1:2" ht="12.75" customHeight="1" x14ac:dyDescent="0.25">
      <c r="A6937" s="318">
        <v>92557830028</v>
      </c>
      <c r="B6937" s="318" t="s">
        <v>237</v>
      </c>
    </row>
    <row r="6938" spans="1:2" ht="12.75" customHeight="1" x14ac:dyDescent="0.25">
      <c r="A6938" s="318">
        <v>92557830029</v>
      </c>
      <c r="B6938" s="318" t="s">
        <v>237</v>
      </c>
    </row>
    <row r="6939" spans="1:2" ht="12.75" customHeight="1" x14ac:dyDescent="0.25">
      <c r="A6939" s="318">
        <v>92557830030</v>
      </c>
      <c r="B6939" s="318" t="s">
        <v>237</v>
      </c>
    </row>
    <row r="6940" spans="1:2" ht="12.75" customHeight="1" x14ac:dyDescent="0.25">
      <c r="A6940" s="318">
        <v>92557830031</v>
      </c>
      <c r="B6940" s="318" t="s">
        <v>237</v>
      </c>
    </row>
    <row r="6941" spans="1:2" ht="12.75" customHeight="1" x14ac:dyDescent="0.25">
      <c r="A6941" s="318">
        <v>92557830032</v>
      </c>
      <c r="B6941" s="318" t="s">
        <v>237</v>
      </c>
    </row>
    <row r="6942" spans="1:2" ht="12.75" customHeight="1" x14ac:dyDescent="0.25">
      <c r="A6942" s="318">
        <v>92557830034</v>
      </c>
      <c r="B6942" s="318" t="s">
        <v>237</v>
      </c>
    </row>
    <row r="6943" spans="1:2" ht="12.75" customHeight="1" x14ac:dyDescent="0.25">
      <c r="A6943" s="318">
        <v>92557830035</v>
      </c>
      <c r="B6943" s="318" t="s">
        <v>237</v>
      </c>
    </row>
    <row r="6944" spans="1:2" ht="12.75" customHeight="1" x14ac:dyDescent="0.25">
      <c r="A6944" s="318">
        <v>92557830036</v>
      </c>
      <c r="B6944" s="318" t="s">
        <v>237</v>
      </c>
    </row>
    <row r="6945" spans="1:2" ht="12.75" customHeight="1" x14ac:dyDescent="0.25">
      <c r="A6945" s="318">
        <v>92557830037</v>
      </c>
      <c r="B6945" s="318" t="s">
        <v>237</v>
      </c>
    </row>
    <row r="6946" spans="1:2" ht="12.75" customHeight="1" x14ac:dyDescent="0.25">
      <c r="A6946" s="318">
        <v>92557830038</v>
      </c>
      <c r="B6946" s="318" t="s">
        <v>237</v>
      </c>
    </row>
    <row r="6947" spans="1:2" ht="12.75" customHeight="1" x14ac:dyDescent="0.25">
      <c r="A6947" s="318">
        <v>92557830039</v>
      </c>
      <c r="B6947" s="318" t="s">
        <v>237</v>
      </c>
    </row>
    <row r="6948" spans="1:2" ht="12.75" customHeight="1" x14ac:dyDescent="0.25">
      <c r="A6948" s="318">
        <v>92557830040</v>
      </c>
      <c r="B6948" s="318" t="s">
        <v>237</v>
      </c>
    </row>
    <row r="6949" spans="1:2" ht="12.75" customHeight="1" x14ac:dyDescent="0.25">
      <c r="A6949" s="318">
        <v>92557830041</v>
      </c>
      <c r="B6949" s="318" t="s">
        <v>237</v>
      </c>
    </row>
    <row r="6950" spans="1:2" ht="12.75" customHeight="1" x14ac:dyDescent="0.25">
      <c r="A6950" s="318">
        <v>92558310898</v>
      </c>
      <c r="B6950" s="318" t="s">
        <v>23</v>
      </c>
    </row>
    <row r="6951" spans="1:2" ht="12.75" customHeight="1" x14ac:dyDescent="0.25">
      <c r="A6951" s="318">
        <v>92558310899</v>
      </c>
      <c r="B6951" s="318" t="s">
        <v>23</v>
      </c>
    </row>
    <row r="6952" spans="1:2" ht="12.75" customHeight="1" x14ac:dyDescent="0.25">
      <c r="A6952" s="318">
        <v>92558310900</v>
      </c>
      <c r="B6952" s="318" t="s">
        <v>23</v>
      </c>
    </row>
    <row r="6953" spans="1:2" ht="12.75" customHeight="1" x14ac:dyDescent="0.25">
      <c r="A6953" s="318">
        <v>92558310901</v>
      </c>
      <c r="B6953" s="318" t="s">
        <v>23</v>
      </c>
    </row>
    <row r="6954" spans="1:2" ht="12.75" customHeight="1" x14ac:dyDescent="0.25">
      <c r="A6954" s="318">
        <v>92558310902</v>
      </c>
      <c r="B6954" s="318" t="s">
        <v>23</v>
      </c>
    </row>
    <row r="6955" spans="1:2" ht="12.75" customHeight="1" x14ac:dyDescent="0.25">
      <c r="A6955" s="318">
        <v>92558310903</v>
      </c>
      <c r="B6955" s="318" t="s">
        <v>23</v>
      </c>
    </row>
    <row r="6956" spans="1:2" ht="12.75" customHeight="1" x14ac:dyDescent="0.25">
      <c r="A6956" s="318">
        <v>92558310904</v>
      </c>
      <c r="B6956" s="318" t="s">
        <v>237</v>
      </c>
    </row>
    <row r="6957" spans="1:2" ht="12.75" customHeight="1" x14ac:dyDescent="0.25">
      <c r="A6957" s="318">
        <v>92558310905</v>
      </c>
      <c r="B6957" s="318" t="s">
        <v>237</v>
      </c>
    </row>
    <row r="6958" spans="1:2" ht="12.75" customHeight="1" x14ac:dyDescent="0.25">
      <c r="A6958" s="318">
        <v>92558310907</v>
      </c>
      <c r="B6958" s="318" t="s">
        <v>237</v>
      </c>
    </row>
    <row r="6959" spans="1:2" ht="12.75" customHeight="1" x14ac:dyDescent="0.25">
      <c r="A6959" s="318">
        <v>92558310908</v>
      </c>
      <c r="B6959" s="318" t="s">
        <v>237</v>
      </c>
    </row>
    <row r="6960" spans="1:2" ht="12.75" customHeight="1" x14ac:dyDescent="0.25">
      <c r="A6960" s="318">
        <v>92558310909</v>
      </c>
      <c r="B6960" s="318" t="s">
        <v>237</v>
      </c>
    </row>
    <row r="6961" spans="1:2" ht="12.75" customHeight="1" x14ac:dyDescent="0.25">
      <c r="A6961" s="318">
        <v>92558310910</v>
      </c>
      <c r="B6961" s="318" t="s">
        <v>237</v>
      </c>
    </row>
    <row r="6962" spans="1:2" ht="12.75" customHeight="1" x14ac:dyDescent="0.25">
      <c r="A6962" s="318">
        <v>92558310911</v>
      </c>
      <c r="B6962" s="318" t="s">
        <v>237</v>
      </c>
    </row>
    <row r="6963" spans="1:2" ht="12.75" customHeight="1" x14ac:dyDescent="0.25">
      <c r="A6963" s="318">
        <v>92558310912</v>
      </c>
      <c r="B6963" s="318" t="s">
        <v>237</v>
      </c>
    </row>
    <row r="6964" spans="1:2" ht="12.75" customHeight="1" x14ac:dyDescent="0.25">
      <c r="A6964" s="318">
        <v>92558310913</v>
      </c>
      <c r="B6964" s="318" t="s">
        <v>237</v>
      </c>
    </row>
    <row r="6965" spans="1:2" ht="12.75" customHeight="1" x14ac:dyDescent="0.25">
      <c r="A6965" s="318">
        <v>92558310914</v>
      </c>
      <c r="B6965" s="318" t="s">
        <v>237</v>
      </c>
    </row>
    <row r="6966" spans="1:2" ht="12.75" customHeight="1" x14ac:dyDescent="0.25">
      <c r="A6966" s="318">
        <v>92558310998</v>
      </c>
      <c r="B6966" s="318" t="s">
        <v>237</v>
      </c>
    </row>
    <row r="6967" spans="1:2" ht="12.75" customHeight="1" x14ac:dyDescent="0.25">
      <c r="A6967" s="318">
        <v>92558310999</v>
      </c>
      <c r="B6967" s="318" t="s">
        <v>237</v>
      </c>
    </row>
    <row r="6968" spans="1:2" ht="12.75" customHeight="1" x14ac:dyDescent="0.25">
      <c r="A6968" s="318">
        <v>92558311000</v>
      </c>
      <c r="B6968" s="318" t="s">
        <v>237</v>
      </c>
    </row>
    <row r="6969" spans="1:2" ht="12.75" customHeight="1" x14ac:dyDescent="0.25">
      <c r="A6969" s="318">
        <v>92558311001</v>
      </c>
      <c r="B6969" s="318" t="s">
        <v>237</v>
      </c>
    </row>
    <row r="6970" spans="1:2" ht="12.75" customHeight="1" x14ac:dyDescent="0.25">
      <c r="A6970" s="318">
        <v>92558311002</v>
      </c>
      <c r="B6970" s="318" t="s">
        <v>237</v>
      </c>
    </row>
    <row r="6971" spans="1:2" ht="12.75" customHeight="1" x14ac:dyDescent="0.25">
      <c r="A6971" s="318">
        <v>92558311003</v>
      </c>
      <c r="B6971" s="318" t="s">
        <v>237</v>
      </c>
    </row>
    <row r="6972" spans="1:2" ht="12.75" customHeight="1" x14ac:dyDescent="0.25">
      <c r="A6972" s="318">
        <v>92558311004</v>
      </c>
      <c r="B6972" s="318" t="s">
        <v>237</v>
      </c>
    </row>
    <row r="6973" spans="1:2" ht="12.75" customHeight="1" x14ac:dyDescent="0.25">
      <c r="A6973" s="318">
        <v>92558311005</v>
      </c>
      <c r="B6973" s="318" t="s">
        <v>237</v>
      </c>
    </row>
    <row r="6974" spans="1:2" ht="12.75" customHeight="1" x14ac:dyDescent="0.25">
      <c r="A6974" s="318">
        <v>92558311007</v>
      </c>
      <c r="B6974" s="318" t="s">
        <v>237</v>
      </c>
    </row>
    <row r="6975" spans="1:2" ht="12.75" customHeight="1" x14ac:dyDescent="0.25">
      <c r="A6975" s="318">
        <v>92558311008</v>
      </c>
      <c r="B6975" s="318" t="s">
        <v>237</v>
      </c>
    </row>
    <row r="6976" spans="1:2" ht="12.75" customHeight="1" x14ac:dyDescent="0.25">
      <c r="A6976" s="318">
        <v>92558311009</v>
      </c>
      <c r="B6976" s="318" t="s">
        <v>237</v>
      </c>
    </row>
    <row r="6977" spans="1:2" ht="12.75" customHeight="1" x14ac:dyDescent="0.25">
      <c r="A6977" s="318">
        <v>92558311010</v>
      </c>
      <c r="B6977" s="318" t="s">
        <v>237</v>
      </c>
    </row>
    <row r="6978" spans="1:2" ht="12.75" customHeight="1" x14ac:dyDescent="0.25">
      <c r="A6978" s="318">
        <v>92558311011</v>
      </c>
      <c r="B6978" s="318" t="s">
        <v>237</v>
      </c>
    </row>
    <row r="6979" spans="1:2" ht="12.75" customHeight="1" x14ac:dyDescent="0.25">
      <c r="A6979" s="318">
        <v>92558311012</v>
      </c>
      <c r="B6979" s="318" t="s">
        <v>237</v>
      </c>
    </row>
    <row r="6980" spans="1:2" ht="12.75" customHeight="1" x14ac:dyDescent="0.25">
      <c r="A6980" s="318">
        <v>92558311013</v>
      </c>
      <c r="B6980" s="318" t="s">
        <v>237</v>
      </c>
    </row>
    <row r="6981" spans="1:2" ht="12.75" customHeight="1" x14ac:dyDescent="0.25">
      <c r="A6981" s="318">
        <v>92558311014</v>
      </c>
      <c r="B6981" s="318" t="s">
        <v>237</v>
      </c>
    </row>
    <row r="6982" spans="1:2" ht="12.75" customHeight="1" x14ac:dyDescent="0.25">
      <c r="A6982" s="318">
        <v>92558991089</v>
      </c>
      <c r="B6982" s="318" t="s">
        <v>23</v>
      </c>
    </row>
    <row r="6983" spans="1:2" ht="12.75" customHeight="1" x14ac:dyDescent="0.25">
      <c r="A6983" s="318">
        <v>92558991090</v>
      </c>
      <c r="B6983" s="318" t="s">
        <v>23</v>
      </c>
    </row>
    <row r="6984" spans="1:2" ht="12.75" customHeight="1" x14ac:dyDescent="0.25">
      <c r="A6984" s="318">
        <v>92558991091</v>
      </c>
      <c r="B6984" s="318" t="s">
        <v>23</v>
      </c>
    </row>
    <row r="6985" spans="1:2" ht="12.75" customHeight="1" x14ac:dyDescent="0.25">
      <c r="A6985" s="318">
        <v>92558991092</v>
      </c>
      <c r="B6985" s="318" t="s">
        <v>23</v>
      </c>
    </row>
    <row r="6986" spans="1:2" ht="12.75" customHeight="1" x14ac:dyDescent="0.25">
      <c r="A6986" s="318">
        <v>92558991093</v>
      </c>
      <c r="B6986" s="318" t="s">
        <v>23</v>
      </c>
    </row>
    <row r="6987" spans="1:2" ht="12.75" customHeight="1" x14ac:dyDescent="0.25">
      <c r="A6987" s="318">
        <v>92558991094</v>
      </c>
      <c r="B6987" s="318" t="s">
        <v>23</v>
      </c>
    </row>
    <row r="6988" spans="1:2" ht="12.75" customHeight="1" x14ac:dyDescent="0.25">
      <c r="A6988" s="318">
        <v>92558991095</v>
      </c>
      <c r="B6988" s="318" t="s">
        <v>237</v>
      </c>
    </row>
    <row r="6989" spans="1:2" ht="12.75" customHeight="1" x14ac:dyDescent="0.25">
      <c r="A6989" s="318">
        <v>92558991096</v>
      </c>
      <c r="B6989" s="318" t="s">
        <v>237</v>
      </c>
    </row>
    <row r="6990" spans="1:2" ht="12.75" customHeight="1" x14ac:dyDescent="0.25">
      <c r="A6990" s="318">
        <v>92558991098</v>
      </c>
      <c r="B6990" s="318" t="s">
        <v>237</v>
      </c>
    </row>
    <row r="6991" spans="1:2" ht="12.75" customHeight="1" x14ac:dyDescent="0.25">
      <c r="A6991" s="318">
        <v>92558991099</v>
      </c>
      <c r="B6991" s="318" t="s">
        <v>237</v>
      </c>
    </row>
    <row r="6992" spans="1:2" ht="12.75" customHeight="1" x14ac:dyDescent="0.25">
      <c r="A6992" s="318">
        <v>92558991100</v>
      </c>
      <c r="B6992" s="318" t="s">
        <v>237</v>
      </c>
    </row>
    <row r="6993" spans="1:2" ht="12.75" customHeight="1" x14ac:dyDescent="0.25">
      <c r="A6993" s="318">
        <v>92558991101</v>
      </c>
      <c r="B6993" s="318" t="s">
        <v>237</v>
      </c>
    </row>
    <row r="6994" spans="1:2" ht="12.75" customHeight="1" x14ac:dyDescent="0.25">
      <c r="A6994" s="318">
        <v>92558991102</v>
      </c>
      <c r="B6994" s="318" t="s">
        <v>237</v>
      </c>
    </row>
    <row r="6995" spans="1:2" ht="12.75" customHeight="1" x14ac:dyDescent="0.25">
      <c r="A6995" s="318">
        <v>92558991103</v>
      </c>
      <c r="B6995" s="318" t="s">
        <v>237</v>
      </c>
    </row>
    <row r="6996" spans="1:2" ht="12.75" customHeight="1" x14ac:dyDescent="0.25">
      <c r="A6996" s="318">
        <v>92558991104</v>
      </c>
      <c r="B6996" s="318" t="s">
        <v>237</v>
      </c>
    </row>
    <row r="6997" spans="1:2" ht="12.75" customHeight="1" x14ac:dyDescent="0.25">
      <c r="A6997" s="318">
        <v>92558991105</v>
      </c>
      <c r="B6997" s="318" t="s">
        <v>237</v>
      </c>
    </row>
    <row r="6998" spans="1:2" ht="12.75" customHeight="1" x14ac:dyDescent="0.25">
      <c r="A6998" s="318">
        <v>92558991189</v>
      </c>
      <c r="B6998" s="318" t="s">
        <v>237</v>
      </c>
    </row>
    <row r="6999" spans="1:2" ht="12.75" customHeight="1" x14ac:dyDescent="0.25">
      <c r="A6999" s="318">
        <v>92558991190</v>
      </c>
      <c r="B6999" s="318" t="s">
        <v>237</v>
      </c>
    </row>
    <row r="7000" spans="1:2" ht="12.75" customHeight="1" x14ac:dyDescent="0.25">
      <c r="A7000" s="318">
        <v>92558991191</v>
      </c>
      <c r="B7000" s="318" t="s">
        <v>237</v>
      </c>
    </row>
    <row r="7001" spans="1:2" ht="12.75" customHeight="1" x14ac:dyDescent="0.25">
      <c r="A7001" s="318">
        <v>92558991192</v>
      </c>
      <c r="B7001" s="318" t="s">
        <v>237</v>
      </c>
    </row>
    <row r="7002" spans="1:2" ht="12.75" customHeight="1" x14ac:dyDescent="0.25">
      <c r="A7002" s="318">
        <v>92558991193</v>
      </c>
      <c r="B7002" s="318" t="s">
        <v>237</v>
      </c>
    </row>
    <row r="7003" spans="1:2" ht="12.75" customHeight="1" x14ac:dyDescent="0.25">
      <c r="A7003" s="318">
        <v>92558991194</v>
      </c>
      <c r="B7003" s="318" t="s">
        <v>237</v>
      </c>
    </row>
    <row r="7004" spans="1:2" ht="12.75" customHeight="1" x14ac:dyDescent="0.25">
      <c r="A7004" s="318">
        <v>92558991195</v>
      </c>
      <c r="B7004" s="318" t="s">
        <v>237</v>
      </c>
    </row>
    <row r="7005" spans="1:2" ht="12.75" customHeight="1" x14ac:dyDescent="0.25">
      <c r="A7005" s="318">
        <v>92558991196</v>
      </c>
      <c r="B7005" s="318" t="s">
        <v>237</v>
      </c>
    </row>
    <row r="7006" spans="1:2" ht="12.75" customHeight="1" x14ac:dyDescent="0.25">
      <c r="A7006" s="318">
        <v>92558991198</v>
      </c>
      <c r="B7006" s="318" t="s">
        <v>237</v>
      </c>
    </row>
    <row r="7007" spans="1:2" ht="12.75" customHeight="1" x14ac:dyDescent="0.25">
      <c r="A7007" s="318">
        <v>92558991199</v>
      </c>
      <c r="B7007" s="318" t="s">
        <v>237</v>
      </c>
    </row>
    <row r="7008" spans="1:2" ht="12.75" customHeight="1" x14ac:dyDescent="0.25">
      <c r="A7008" s="318">
        <v>92558991200</v>
      </c>
      <c r="B7008" s="318" t="s">
        <v>237</v>
      </c>
    </row>
    <row r="7009" spans="1:2" ht="12.75" customHeight="1" x14ac:dyDescent="0.25">
      <c r="A7009" s="318">
        <v>92558991201</v>
      </c>
      <c r="B7009" s="318" t="s">
        <v>237</v>
      </c>
    </row>
    <row r="7010" spans="1:2" ht="12.75" customHeight="1" x14ac:dyDescent="0.25">
      <c r="A7010" s="318">
        <v>92558991202</v>
      </c>
      <c r="B7010" s="318" t="s">
        <v>237</v>
      </c>
    </row>
    <row r="7011" spans="1:2" ht="12.75" customHeight="1" x14ac:dyDescent="0.25">
      <c r="A7011" s="318">
        <v>92558991203</v>
      </c>
      <c r="B7011" s="318" t="s">
        <v>237</v>
      </c>
    </row>
    <row r="7012" spans="1:2" ht="12.75" customHeight="1" x14ac:dyDescent="0.25">
      <c r="A7012" s="318">
        <v>92558991204</v>
      </c>
      <c r="B7012" s="318" t="s">
        <v>237</v>
      </c>
    </row>
    <row r="7013" spans="1:2" ht="12.75" customHeight="1" x14ac:dyDescent="0.25">
      <c r="A7013" s="318">
        <v>92558991205</v>
      </c>
      <c r="B7013" s="318" t="s">
        <v>237</v>
      </c>
    </row>
    <row r="7014" spans="1:2" ht="12.75" customHeight="1" x14ac:dyDescent="0.25">
      <c r="A7014" s="318">
        <v>92559472062</v>
      </c>
      <c r="B7014" s="318" t="s">
        <v>23</v>
      </c>
    </row>
    <row r="7015" spans="1:2" ht="12.75" customHeight="1" x14ac:dyDescent="0.25">
      <c r="A7015" s="318">
        <v>92559472063</v>
      </c>
      <c r="B7015" s="318" t="s">
        <v>23</v>
      </c>
    </row>
    <row r="7016" spans="1:2" ht="12.75" customHeight="1" x14ac:dyDescent="0.25">
      <c r="A7016" s="318">
        <v>92559472064</v>
      </c>
      <c r="B7016" s="318" t="s">
        <v>23</v>
      </c>
    </row>
    <row r="7017" spans="1:2" ht="12.75" customHeight="1" x14ac:dyDescent="0.25">
      <c r="A7017" s="318">
        <v>92559472065</v>
      </c>
      <c r="B7017" s="318" t="s">
        <v>23</v>
      </c>
    </row>
    <row r="7018" spans="1:2" ht="12.75" customHeight="1" x14ac:dyDescent="0.25">
      <c r="A7018" s="318">
        <v>92559472066</v>
      </c>
      <c r="B7018" s="318" t="s">
        <v>23</v>
      </c>
    </row>
    <row r="7019" spans="1:2" ht="12.75" customHeight="1" x14ac:dyDescent="0.25">
      <c r="A7019" s="318">
        <v>92559472067</v>
      </c>
      <c r="B7019" s="318" t="s">
        <v>23</v>
      </c>
    </row>
    <row r="7020" spans="1:2" ht="12.75" customHeight="1" x14ac:dyDescent="0.25">
      <c r="A7020" s="318">
        <v>92559472068</v>
      </c>
      <c r="B7020" s="318" t="s">
        <v>237</v>
      </c>
    </row>
    <row r="7021" spans="1:2" ht="12.75" customHeight="1" x14ac:dyDescent="0.25">
      <c r="A7021" s="318">
        <v>92559472069</v>
      </c>
      <c r="B7021" s="318" t="s">
        <v>237</v>
      </c>
    </row>
    <row r="7022" spans="1:2" ht="12.75" customHeight="1" x14ac:dyDescent="0.25">
      <c r="A7022" s="318">
        <v>92559472071</v>
      </c>
      <c r="B7022" s="318" t="s">
        <v>237</v>
      </c>
    </row>
    <row r="7023" spans="1:2" ht="12.75" customHeight="1" x14ac:dyDescent="0.25">
      <c r="A7023" s="318">
        <v>92559472072</v>
      </c>
      <c r="B7023" s="318" t="s">
        <v>237</v>
      </c>
    </row>
    <row r="7024" spans="1:2" ht="12.75" customHeight="1" x14ac:dyDescent="0.25">
      <c r="A7024" s="318">
        <v>92559472073</v>
      </c>
      <c r="B7024" s="318" t="s">
        <v>237</v>
      </c>
    </row>
    <row r="7025" spans="1:2" ht="12.75" customHeight="1" x14ac:dyDescent="0.25">
      <c r="A7025" s="318">
        <v>92559472074</v>
      </c>
      <c r="B7025" s="318" t="s">
        <v>237</v>
      </c>
    </row>
    <row r="7026" spans="1:2" ht="12.75" customHeight="1" x14ac:dyDescent="0.25">
      <c r="A7026" s="318">
        <v>92559472075</v>
      </c>
      <c r="B7026" s="318" t="s">
        <v>237</v>
      </c>
    </row>
    <row r="7027" spans="1:2" ht="12.75" customHeight="1" x14ac:dyDescent="0.25">
      <c r="A7027" s="318">
        <v>92559472076</v>
      </c>
      <c r="B7027" s="318" t="s">
        <v>237</v>
      </c>
    </row>
    <row r="7028" spans="1:2" ht="12.75" customHeight="1" x14ac:dyDescent="0.25">
      <c r="A7028" s="318">
        <v>92559472077</v>
      </c>
      <c r="B7028" s="318" t="s">
        <v>237</v>
      </c>
    </row>
    <row r="7029" spans="1:2" ht="12.75" customHeight="1" x14ac:dyDescent="0.25">
      <c r="A7029" s="318">
        <v>92559472078</v>
      </c>
      <c r="B7029" s="318" t="s">
        <v>237</v>
      </c>
    </row>
    <row r="7030" spans="1:2" ht="12.75" customHeight="1" x14ac:dyDescent="0.25">
      <c r="A7030" s="318">
        <v>92559472162</v>
      </c>
      <c r="B7030" s="318" t="s">
        <v>237</v>
      </c>
    </row>
    <row r="7031" spans="1:2" ht="12.75" customHeight="1" x14ac:dyDescent="0.25">
      <c r="A7031" s="318">
        <v>92559472163</v>
      </c>
      <c r="B7031" s="318" t="s">
        <v>237</v>
      </c>
    </row>
    <row r="7032" spans="1:2" ht="12.75" customHeight="1" x14ac:dyDescent="0.25">
      <c r="A7032" s="318">
        <v>92559472164</v>
      </c>
      <c r="B7032" s="318" t="s">
        <v>237</v>
      </c>
    </row>
    <row r="7033" spans="1:2" ht="12.75" customHeight="1" x14ac:dyDescent="0.25">
      <c r="A7033" s="318">
        <v>92559472165</v>
      </c>
      <c r="B7033" s="318" t="s">
        <v>237</v>
      </c>
    </row>
    <row r="7034" spans="1:2" ht="12.75" customHeight="1" x14ac:dyDescent="0.25">
      <c r="A7034" s="318">
        <v>92559472166</v>
      </c>
      <c r="B7034" s="318" t="s">
        <v>237</v>
      </c>
    </row>
    <row r="7035" spans="1:2" ht="12.75" customHeight="1" x14ac:dyDescent="0.25">
      <c r="A7035" s="318">
        <v>92559472167</v>
      </c>
      <c r="B7035" s="318" t="s">
        <v>237</v>
      </c>
    </row>
    <row r="7036" spans="1:2" ht="12.75" customHeight="1" x14ac:dyDescent="0.25">
      <c r="A7036" s="318">
        <v>92559472168</v>
      </c>
      <c r="B7036" s="318" t="s">
        <v>237</v>
      </c>
    </row>
    <row r="7037" spans="1:2" ht="12.75" customHeight="1" x14ac:dyDescent="0.25">
      <c r="A7037" s="318">
        <v>92559472169</v>
      </c>
      <c r="B7037" s="318" t="s">
        <v>237</v>
      </c>
    </row>
    <row r="7038" spans="1:2" ht="12.75" customHeight="1" x14ac:dyDescent="0.25">
      <c r="A7038" s="318">
        <v>92559472171</v>
      </c>
      <c r="B7038" s="318" t="s">
        <v>237</v>
      </c>
    </row>
    <row r="7039" spans="1:2" ht="12.75" customHeight="1" x14ac:dyDescent="0.25">
      <c r="A7039" s="318">
        <v>92559472172</v>
      </c>
      <c r="B7039" s="318" t="s">
        <v>237</v>
      </c>
    </row>
    <row r="7040" spans="1:2" ht="12.75" customHeight="1" x14ac:dyDescent="0.25">
      <c r="A7040" s="318">
        <v>92559472173</v>
      </c>
      <c r="B7040" s="318" t="s">
        <v>237</v>
      </c>
    </row>
    <row r="7041" spans="1:2" ht="12.75" customHeight="1" x14ac:dyDescent="0.25">
      <c r="A7041" s="318">
        <v>92559472174</v>
      </c>
      <c r="B7041" s="318" t="s">
        <v>237</v>
      </c>
    </row>
    <row r="7042" spans="1:2" ht="12.75" customHeight="1" x14ac:dyDescent="0.25">
      <c r="A7042" s="318">
        <v>92559472175</v>
      </c>
      <c r="B7042" s="318" t="s">
        <v>237</v>
      </c>
    </row>
    <row r="7043" spans="1:2" ht="12.75" customHeight="1" x14ac:dyDescent="0.25">
      <c r="A7043" s="318">
        <v>92559472176</v>
      </c>
      <c r="B7043" s="318" t="s">
        <v>237</v>
      </c>
    </row>
    <row r="7044" spans="1:2" ht="12.75" customHeight="1" x14ac:dyDescent="0.25">
      <c r="A7044" s="318">
        <v>92559472177</v>
      </c>
      <c r="B7044" s="318" t="s">
        <v>237</v>
      </c>
    </row>
    <row r="7045" spans="1:2" ht="12.75" customHeight="1" x14ac:dyDescent="0.25">
      <c r="A7045" s="318">
        <v>92559472178</v>
      </c>
      <c r="B7045" s="318" t="s">
        <v>237</v>
      </c>
    </row>
    <row r="7046" spans="1:2" ht="12.75" customHeight="1" x14ac:dyDescent="0.25">
      <c r="A7046" s="318">
        <v>92559953035</v>
      </c>
      <c r="B7046" s="318" t="s">
        <v>23</v>
      </c>
    </row>
    <row r="7047" spans="1:2" ht="12.75" customHeight="1" x14ac:dyDescent="0.25">
      <c r="A7047" s="318">
        <v>92559953036</v>
      </c>
      <c r="B7047" s="318" t="s">
        <v>23</v>
      </c>
    </row>
    <row r="7048" spans="1:2" ht="12.75" customHeight="1" x14ac:dyDescent="0.25">
      <c r="A7048" s="318">
        <v>92559953037</v>
      </c>
      <c r="B7048" s="318" t="s">
        <v>23</v>
      </c>
    </row>
    <row r="7049" spans="1:2" ht="12.75" customHeight="1" x14ac:dyDescent="0.25">
      <c r="A7049" s="318">
        <v>92559953038</v>
      </c>
      <c r="B7049" s="318" t="s">
        <v>23</v>
      </c>
    </row>
    <row r="7050" spans="1:2" ht="12.75" customHeight="1" x14ac:dyDescent="0.25">
      <c r="A7050" s="318">
        <v>92559953039</v>
      </c>
      <c r="B7050" s="318" t="s">
        <v>23</v>
      </c>
    </row>
    <row r="7051" spans="1:2" ht="12.75" customHeight="1" x14ac:dyDescent="0.25">
      <c r="A7051" s="318">
        <v>92559953040</v>
      </c>
      <c r="B7051" s="318" t="s">
        <v>23</v>
      </c>
    </row>
    <row r="7052" spans="1:2" ht="12.75" customHeight="1" x14ac:dyDescent="0.25">
      <c r="A7052" s="318">
        <v>92559953041</v>
      </c>
      <c r="B7052" s="318" t="s">
        <v>237</v>
      </c>
    </row>
    <row r="7053" spans="1:2" ht="12.75" customHeight="1" x14ac:dyDescent="0.25">
      <c r="A7053" s="318">
        <v>92559953042</v>
      </c>
      <c r="B7053" s="318" t="s">
        <v>237</v>
      </c>
    </row>
    <row r="7054" spans="1:2" ht="12.75" customHeight="1" x14ac:dyDescent="0.25">
      <c r="A7054" s="318">
        <v>92559953044</v>
      </c>
      <c r="B7054" s="318" t="s">
        <v>237</v>
      </c>
    </row>
    <row r="7055" spans="1:2" ht="12.75" customHeight="1" x14ac:dyDescent="0.25">
      <c r="A7055" s="318">
        <v>92559953045</v>
      </c>
      <c r="B7055" s="318" t="s">
        <v>237</v>
      </c>
    </row>
    <row r="7056" spans="1:2" ht="12.75" customHeight="1" x14ac:dyDescent="0.25">
      <c r="A7056" s="318">
        <v>92559953046</v>
      </c>
      <c r="B7056" s="318" t="s">
        <v>237</v>
      </c>
    </row>
    <row r="7057" spans="1:2" ht="12.75" customHeight="1" x14ac:dyDescent="0.25">
      <c r="A7057" s="318">
        <v>92559953047</v>
      </c>
      <c r="B7057" s="318" t="s">
        <v>237</v>
      </c>
    </row>
    <row r="7058" spans="1:2" ht="12.75" customHeight="1" x14ac:dyDescent="0.25">
      <c r="A7058" s="318">
        <v>92559953048</v>
      </c>
      <c r="B7058" s="318" t="s">
        <v>237</v>
      </c>
    </row>
    <row r="7059" spans="1:2" ht="12.75" customHeight="1" x14ac:dyDescent="0.25">
      <c r="A7059" s="318">
        <v>92559953049</v>
      </c>
      <c r="B7059" s="318" t="s">
        <v>237</v>
      </c>
    </row>
    <row r="7060" spans="1:2" ht="12.75" customHeight="1" x14ac:dyDescent="0.25">
      <c r="A7060" s="318">
        <v>92559953050</v>
      </c>
      <c r="B7060" s="318" t="s">
        <v>237</v>
      </c>
    </row>
    <row r="7061" spans="1:2" ht="12.75" customHeight="1" x14ac:dyDescent="0.25">
      <c r="A7061" s="318">
        <v>92559953051</v>
      </c>
      <c r="B7061" s="318" t="s">
        <v>237</v>
      </c>
    </row>
    <row r="7062" spans="1:2" ht="12.75" customHeight="1" x14ac:dyDescent="0.25">
      <c r="A7062" s="318">
        <v>92559953135</v>
      </c>
      <c r="B7062" s="318" t="s">
        <v>237</v>
      </c>
    </row>
    <row r="7063" spans="1:2" ht="12.75" customHeight="1" x14ac:dyDescent="0.25">
      <c r="A7063" s="318">
        <v>92559953136</v>
      </c>
      <c r="B7063" s="318" t="s">
        <v>237</v>
      </c>
    </row>
    <row r="7064" spans="1:2" ht="12.75" customHeight="1" x14ac:dyDescent="0.25">
      <c r="A7064" s="318">
        <v>92559953137</v>
      </c>
      <c r="B7064" s="318" t="s">
        <v>237</v>
      </c>
    </row>
    <row r="7065" spans="1:2" ht="12.75" customHeight="1" x14ac:dyDescent="0.25">
      <c r="A7065" s="318">
        <v>92559953138</v>
      </c>
      <c r="B7065" s="318" t="s">
        <v>237</v>
      </c>
    </row>
    <row r="7066" spans="1:2" ht="12.75" customHeight="1" x14ac:dyDescent="0.25">
      <c r="A7066" s="318">
        <v>92559953139</v>
      </c>
      <c r="B7066" s="318" t="s">
        <v>237</v>
      </c>
    </row>
    <row r="7067" spans="1:2" ht="12.75" customHeight="1" x14ac:dyDescent="0.25">
      <c r="A7067" s="318">
        <v>92559953140</v>
      </c>
      <c r="B7067" s="318" t="s">
        <v>237</v>
      </c>
    </row>
    <row r="7068" spans="1:2" ht="12.75" customHeight="1" x14ac:dyDescent="0.25">
      <c r="A7068" s="318">
        <v>92559953141</v>
      </c>
      <c r="B7068" s="318" t="s">
        <v>237</v>
      </c>
    </row>
    <row r="7069" spans="1:2" ht="12.75" customHeight="1" x14ac:dyDescent="0.25">
      <c r="A7069" s="318">
        <v>92559953142</v>
      </c>
      <c r="B7069" s="318" t="s">
        <v>237</v>
      </c>
    </row>
    <row r="7070" spans="1:2" ht="12.75" customHeight="1" x14ac:dyDescent="0.25">
      <c r="A7070" s="318">
        <v>92559953144</v>
      </c>
      <c r="B7070" s="318" t="s">
        <v>237</v>
      </c>
    </row>
    <row r="7071" spans="1:2" ht="12.75" customHeight="1" x14ac:dyDescent="0.25">
      <c r="A7071" s="318">
        <v>92559953145</v>
      </c>
      <c r="B7071" s="318" t="s">
        <v>237</v>
      </c>
    </row>
    <row r="7072" spans="1:2" ht="12.75" customHeight="1" x14ac:dyDescent="0.25">
      <c r="A7072" s="318">
        <v>92559953146</v>
      </c>
      <c r="B7072" s="318" t="s">
        <v>237</v>
      </c>
    </row>
    <row r="7073" spans="1:2" ht="12.75" customHeight="1" x14ac:dyDescent="0.25">
      <c r="A7073" s="318">
        <v>92559953147</v>
      </c>
      <c r="B7073" s="318" t="s">
        <v>237</v>
      </c>
    </row>
    <row r="7074" spans="1:2" ht="12.75" customHeight="1" x14ac:dyDescent="0.25">
      <c r="A7074" s="318">
        <v>92559953148</v>
      </c>
      <c r="B7074" s="318" t="s">
        <v>237</v>
      </c>
    </row>
    <row r="7075" spans="1:2" ht="12.75" customHeight="1" x14ac:dyDescent="0.25">
      <c r="A7075" s="318">
        <v>92559953149</v>
      </c>
      <c r="B7075" s="318" t="s">
        <v>237</v>
      </c>
    </row>
    <row r="7076" spans="1:2" ht="12.75" customHeight="1" x14ac:dyDescent="0.25">
      <c r="A7076" s="318">
        <v>92559953150</v>
      </c>
      <c r="B7076" s="318" t="s">
        <v>237</v>
      </c>
    </row>
    <row r="7077" spans="1:2" ht="12.75" customHeight="1" x14ac:dyDescent="0.25">
      <c r="A7077" s="318">
        <v>92559953151</v>
      </c>
      <c r="B7077" s="318" t="s">
        <v>237</v>
      </c>
    </row>
    <row r="7078" spans="1:2" ht="12.75" customHeight="1" x14ac:dyDescent="0.25">
      <c r="A7078" s="318">
        <v>92561313416</v>
      </c>
      <c r="B7078" s="318" t="s">
        <v>23</v>
      </c>
    </row>
    <row r="7079" spans="1:2" ht="12.75" customHeight="1" x14ac:dyDescent="0.25">
      <c r="A7079" s="318">
        <v>92561313417</v>
      </c>
      <c r="B7079" s="318" t="s">
        <v>23</v>
      </c>
    </row>
    <row r="7080" spans="1:2" ht="12.75" customHeight="1" x14ac:dyDescent="0.25">
      <c r="A7080" s="318">
        <v>92561313418</v>
      </c>
      <c r="B7080" s="318" t="s">
        <v>23</v>
      </c>
    </row>
    <row r="7081" spans="1:2" ht="12.75" customHeight="1" x14ac:dyDescent="0.25">
      <c r="A7081" s="318">
        <v>92561313419</v>
      </c>
      <c r="B7081" s="318" t="s">
        <v>23</v>
      </c>
    </row>
    <row r="7082" spans="1:2" ht="12.75" customHeight="1" x14ac:dyDescent="0.25">
      <c r="A7082" s="318">
        <v>92561313420</v>
      </c>
      <c r="B7082" s="318" t="s">
        <v>23</v>
      </c>
    </row>
    <row r="7083" spans="1:2" ht="12.75" customHeight="1" x14ac:dyDescent="0.25">
      <c r="A7083" s="318">
        <v>92561313421</v>
      </c>
      <c r="B7083" s="318" t="s">
        <v>23</v>
      </c>
    </row>
    <row r="7084" spans="1:2" ht="12.75" customHeight="1" x14ac:dyDescent="0.25">
      <c r="A7084" s="318">
        <v>92561313422</v>
      </c>
      <c r="B7084" s="318" t="s">
        <v>237</v>
      </c>
    </row>
    <row r="7085" spans="1:2" ht="12.75" customHeight="1" x14ac:dyDescent="0.25">
      <c r="A7085" s="318">
        <v>92561313423</v>
      </c>
      <c r="B7085" s="318" t="s">
        <v>237</v>
      </c>
    </row>
    <row r="7086" spans="1:2" ht="12.75" customHeight="1" x14ac:dyDescent="0.25">
      <c r="A7086" s="318">
        <v>92561313425</v>
      </c>
      <c r="B7086" s="318" t="s">
        <v>237</v>
      </c>
    </row>
    <row r="7087" spans="1:2" ht="12.75" customHeight="1" x14ac:dyDescent="0.25">
      <c r="A7087" s="318">
        <v>92561313426</v>
      </c>
      <c r="B7087" s="318" t="s">
        <v>237</v>
      </c>
    </row>
    <row r="7088" spans="1:2" ht="12.75" customHeight="1" x14ac:dyDescent="0.25">
      <c r="A7088" s="318">
        <v>92561313427</v>
      </c>
      <c r="B7088" s="318" t="s">
        <v>237</v>
      </c>
    </row>
    <row r="7089" spans="1:2" ht="12.75" customHeight="1" x14ac:dyDescent="0.25">
      <c r="A7089" s="318">
        <v>92561313428</v>
      </c>
      <c r="B7089" s="318" t="s">
        <v>237</v>
      </c>
    </row>
    <row r="7090" spans="1:2" ht="12.75" customHeight="1" x14ac:dyDescent="0.25">
      <c r="A7090" s="318">
        <v>92561313429</v>
      </c>
      <c r="B7090" s="318" t="s">
        <v>237</v>
      </c>
    </row>
    <row r="7091" spans="1:2" ht="12.75" customHeight="1" x14ac:dyDescent="0.25">
      <c r="A7091" s="318">
        <v>92561313430</v>
      </c>
      <c r="B7091" s="318" t="s">
        <v>237</v>
      </c>
    </row>
    <row r="7092" spans="1:2" ht="12.75" customHeight="1" x14ac:dyDescent="0.25">
      <c r="A7092" s="318">
        <v>92561313431</v>
      </c>
      <c r="B7092" s="318" t="s">
        <v>237</v>
      </c>
    </row>
    <row r="7093" spans="1:2" ht="12.75" customHeight="1" x14ac:dyDescent="0.25">
      <c r="A7093" s="318">
        <v>92561313432</v>
      </c>
      <c r="B7093" s="318" t="s">
        <v>237</v>
      </c>
    </row>
    <row r="7094" spans="1:2" ht="12.75" customHeight="1" x14ac:dyDescent="0.25">
      <c r="A7094" s="318">
        <v>92561313516</v>
      </c>
      <c r="B7094" s="318" t="s">
        <v>237</v>
      </c>
    </row>
    <row r="7095" spans="1:2" ht="12.75" customHeight="1" x14ac:dyDescent="0.25">
      <c r="A7095" s="318">
        <v>92561313517</v>
      </c>
      <c r="B7095" s="318" t="s">
        <v>237</v>
      </c>
    </row>
    <row r="7096" spans="1:2" ht="12.75" customHeight="1" x14ac:dyDescent="0.25">
      <c r="A7096" s="318">
        <v>92561313518</v>
      </c>
      <c r="B7096" s="318" t="s">
        <v>237</v>
      </c>
    </row>
    <row r="7097" spans="1:2" ht="12.75" customHeight="1" x14ac:dyDescent="0.25">
      <c r="A7097" s="318">
        <v>92561313519</v>
      </c>
      <c r="B7097" s="318" t="s">
        <v>237</v>
      </c>
    </row>
    <row r="7098" spans="1:2" ht="12.75" customHeight="1" x14ac:dyDescent="0.25">
      <c r="A7098" s="318">
        <v>92561313520</v>
      </c>
      <c r="B7098" s="318" t="s">
        <v>237</v>
      </c>
    </row>
    <row r="7099" spans="1:2" ht="12.75" customHeight="1" x14ac:dyDescent="0.25">
      <c r="A7099" s="318">
        <v>92561313521</v>
      </c>
      <c r="B7099" s="318" t="s">
        <v>237</v>
      </c>
    </row>
    <row r="7100" spans="1:2" ht="12.75" customHeight="1" x14ac:dyDescent="0.25">
      <c r="A7100" s="318">
        <v>92561313522</v>
      </c>
      <c r="B7100" s="318" t="s">
        <v>237</v>
      </c>
    </row>
    <row r="7101" spans="1:2" ht="12.75" customHeight="1" x14ac:dyDescent="0.25">
      <c r="A7101" s="318">
        <v>92561313523</v>
      </c>
      <c r="B7101" s="318" t="s">
        <v>237</v>
      </c>
    </row>
    <row r="7102" spans="1:2" ht="12.75" customHeight="1" x14ac:dyDescent="0.25">
      <c r="A7102" s="318">
        <v>92561313525</v>
      </c>
      <c r="B7102" s="318" t="s">
        <v>237</v>
      </c>
    </row>
    <row r="7103" spans="1:2" ht="12.75" customHeight="1" x14ac:dyDescent="0.25">
      <c r="A7103" s="318">
        <v>92561313526</v>
      </c>
      <c r="B7103" s="318" t="s">
        <v>237</v>
      </c>
    </row>
    <row r="7104" spans="1:2" ht="12.75" customHeight="1" x14ac:dyDescent="0.25">
      <c r="A7104" s="318">
        <v>92561313527</v>
      </c>
      <c r="B7104" s="318" t="s">
        <v>237</v>
      </c>
    </row>
    <row r="7105" spans="1:2" ht="12.75" customHeight="1" x14ac:dyDescent="0.25">
      <c r="A7105" s="318">
        <v>92561313528</v>
      </c>
      <c r="B7105" s="318" t="s">
        <v>237</v>
      </c>
    </row>
    <row r="7106" spans="1:2" ht="12.75" customHeight="1" x14ac:dyDescent="0.25">
      <c r="A7106" s="318">
        <v>92561313529</v>
      </c>
      <c r="B7106" s="318" t="s">
        <v>237</v>
      </c>
    </row>
    <row r="7107" spans="1:2" ht="12.75" customHeight="1" x14ac:dyDescent="0.25">
      <c r="A7107" s="318">
        <v>92561313530</v>
      </c>
      <c r="B7107" s="318" t="s">
        <v>237</v>
      </c>
    </row>
    <row r="7108" spans="1:2" ht="12.75" customHeight="1" x14ac:dyDescent="0.25">
      <c r="A7108" s="318">
        <v>92561313531</v>
      </c>
      <c r="B7108" s="318" t="s">
        <v>237</v>
      </c>
    </row>
    <row r="7109" spans="1:2" ht="12.75" customHeight="1" x14ac:dyDescent="0.25">
      <c r="A7109" s="318">
        <v>92561313532</v>
      </c>
      <c r="B7109" s="318" t="s">
        <v>237</v>
      </c>
    </row>
    <row r="7110" spans="1:2" ht="12.75" customHeight="1" x14ac:dyDescent="0.25">
      <c r="A7110" s="318">
        <v>92561794389</v>
      </c>
      <c r="B7110" s="318" t="s">
        <v>23</v>
      </c>
    </row>
    <row r="7111" spans="1:2" ht="12.75" customHeight="1" x14ac:dyDescent="0.25">
      <c r="A7111" s="318">
        <v>92561794390</v>
      </c>
      <c r="B7111" s="318" t="s">
        <v>23</v>
      </c>
    </row>
    <row r="7112" spans="1:2" ht="12.75" customHeight="1" x14ac:dyDescent="0.25">
      <c r="A7112" s="318">
        <v>92561794391</v>
      </c>
      <c r="B7112" s="318" t="s">
        <v>23</v>
      </c>
    </row>
    <row r="7113" spans="1:2" ht="12.75" customHeight="1" x14ac:dyDescent="0.25">
      <c r="A7113" s="318">
        <v>92561794392</v>
      </c>
      <c r="B7113" s="318" t="s">
        <v>23</v>
      </c>
    </row>
    <row r="7114" spans="1:2" ht="12.75" customHeight="1" x14ac:dyDescent="0.25">
      <c r="A7114" s="318">
        <v>92561794393</v>
      </c>
      <c r="B7114" s="318" t="s">
        <v>23</v>
      </c>
    </row>
    <row r="7115" spans="1:2" ht="12.75" customHeight="1" x14ac:dyDescent="0.25">
      <c r="A7115" s="318">
        <v>92561794394</v>
      </c>
      <c r="B7115" s="318" t="s">
        <v>23</v>
      </c>
    </row>
    <row r="7116" spans="1:2" ht="12.75" customHeight="1" x14ac:dyDescent="0.25">
      <c r="A7116" s="318">
        <v>92561794395</v>
      </c>
      <c r="B7116" s="318" t="s">
        <v>237</v>
      </c>
    </row>
    <row r="7117" spans="1:2" ht="12.75" customHeight="1" x14ac:dyDescent="0.25">
      <c r="A7117" s="318">
        <v>92561794396</v>
      </c>
      <c r="B7117" s="318" t="s">
        <v>237</v>
      </c>
    </row>
    <row r="7118" spans="1:2" ht="12.75" customHeight="1" x14ac:dyDescent="0.25">
      <c r="A7118" s="318">
        <v>92561794398</v>
      </c>
      <c r="B7118" s="318" t="s">
        <v>237</v>
      </c>
    </row>
    <row r="7119" spans="1:2" ht="12.75" customHeight="1" x14ac:dyDescent="0.25">
      <c r="A7119" s="318">
        <v>92561794399</v>
      </c>
      <c r="B7119" s="318" t="s">
        <v>237</v>
      </c>
    </row>
    <row r="7120" spans="1:2" ht="12.75" customHeight="1" x14ac:dyDescent="0.25">
      <c r="A7120" s="318">
        <v>92561794400</v>
      </c>
      <c r="B7120" s="318" t="s">
        <v>237</v>
      </c>
    </row>
    <row r="7121" spans="1:2" ht="12.75" customHeight="1" x14ac:dyDescent="0.25">
      <c r="A7121" s="318">
        <v>92561794401</v>
      </c>
      <c r="B7121" s="318" t="s">
        <v>237</v>
      </c>
    </row>
    <row r="7122" spans="1:2" ht="12.75" customHeight="1" x14ac:dyDescent="0.25">
      <c r="A7122" s="318">
        <v>92561794402</v>
      </c>
      <c r="B7122" s="318" t="s">
        <v>237</v>
      </c>
    </row>
    <row r="7123" spans="1:2" ht="12.75" customHeight="1" x14ac:dyDescent="0.25">
      <c r="A7123" s="318">
        <v>92561794403</v>
      </c>
      <c r="B7123" s="318" t="s">
        <v>237</v>
      </c>
    </row>
    <row r="7124" spans="1:2" ht="12.75" customHeight="1" x14ac:dyDescent="0.25">
      <c r="A7124" s="318">
        <v>92561794404</v>
      </c>
      <c r="B7124" s="318" t="s">
        <v>237</v>
      </c>
    </row>
    <row r="7125" spans="1:2" ht="12.75" customHeight="1" x14ac:dyDescent="0.25">
      <c r="A7125" s="318">
        <v>92561794405</v>
      </c>
      <c r="B7125" s="318" t="s">
        <v>237</v>
      </c>
    </row>
    <row r="7126" spans="1:2" ht="12.75" customHeight="1" x14ac:dyDescent="0.25">
      <c r="A7126" s="318">
        <v>92561794489</v>
      </c>
      <c r="B7126" s="318" t="s">
        <v>237</v>
      </c>
    </row>
    <row r="7127" spans="1:2" ht="12.75" customHeight="1" x14ac:dyDescent="0.25">
      <c r="A7127" s="318">
        <v>92561794490</v>
      </c>
      <c r="B7127" s="318" t="s">
        <v>237</v>
      </c>
    </row>
    <row r="7128" spans="1:2" ht="12.75" customHeight="1" x14ac:dyDescent="0.25">
      <c r="A7128" s="318">
        <v>92561794491</v>
      </c>
      <c r="B7128" s="318" t="s">
        <v>237</v>
      </c>
    </row>
    <row r="7129" spans="1:2" ht="12.75" customHeight="1" x14ac:dyDescent="0.25">
      <c r="A7129" s="318">
        <v>92561794492</v>
      </c>
      <c r="B7129" s="318" t="s">
        <v>237</v>
      </c>
    </row>
    <row r="7130" spans="1:2" ht="12.75" customHeight="1" x14ac:dyDescent="0.25">
      <c r="A7130" s="318">
        <v>92561794493</v>
      </c>
      <c r="B7130" s="318" t="s">
        <v>237</v>
      </c>
    </row>
    <row r="7131" spans="1:2" ht="12.75" customHeight="1" x14ac:dyDescent="0.25">
      <c r="A7131" s="318">
        <v>92561794494</v>
      </c>
      <c r="B7131" s="318" t="s">
        <v>237</v>
      </c>
    </row>
    <row r="7132" spans="1:2" ht="12.75" customHeight="1" x14ac:dyDescent="0.25">
      <c r="A7132" s="318">
        <v>92561794495</v>
      </c>
      <c r="B7132" s="318" t="s">
        <v>237</v>
      </c>
    </row>
    <row r="7133" spans="1:2" ht="12.75" customHeight="1" x14ac:dyDescent="0.25">
      <c r="A7133" s="318">
        <v>92561794496</v>
      </c>
      <c r="B7133" s="318" t="s">
        <v>237</v>
      </c>
    </row>
    <row r="7134" spans="1:2" ht="12.75" customHeight="1" x14ac:dyDescent="0.25">
      <c r="A7134" s="318">
        <v>92561794498</v>
      </c>
      <c r="B7134" s="318" t="s">
        <v>237</v>
      </c>
    </row>
    <row r="7135" spans="1:2" ht="12.75" customHeight="1" x14ac:dyDescent="0.25">
      <c r="A7135" s="318">
        <v>92561794499</v>
      </c>
      <c r="B7135" s="318" t="s">
        <v>237</v>
      </c>
    </row>
    <row r="7136" spans="1:2" ht="12.75" customHeight="1" x14ac:dyDescent="0.25">
      <c r="A7136" s="318">
        <v>92561794500</v>
      </c>
      <c r="B7136" s="318" t="s">
        <v>237</v>
      </c>
    </row>
    <row r="7137" spans="1:2" ht="12.75" customHeight="1" x14ac:dyDescent="0.25">
      <c r="A7137" s="318">
        <v>92561794501</v>
      </c>
      <c r="B7137" s="318" t="s">
        <v>237</v>
      </c>
    </row>
    <row r="7138" spans="1:2" ht="12.75" customHeight="1" x14ac:dyDescent="0.25">
      <c r="A7138" s="318">
        <v>92561794502</v>
      </c>
      <c r="B7138" s="318" t="s">
        <v>237</v>
      </c>
    </row>
    <row r="7139" spans="1:2" ht="12.75" customHeight="1" x14ac:dyDescent="0.25">
      <c r="A7139" s="318">
        <v>92561794503</v>
      </c>
      <c r="B7139" s="318" t="s">
        <v>237</v>
      </c>
    </row>
    <row r="7140" spans="1:2" ht="12.75" customHeight="1" x14ac:dyDescent="0.25">
      <c r="A7140" s="318">
        <v>92561794504</v>
      </c>
      <c r="B7140" s="318" t="s">
        <v>237</v>
      </c>
    </row>
    <row r="7141" spans="1:2" ht="12.75" customHeight="1" x14ac:dyDescent="0.25">
      <c r="A7141" s="318">
        <v>92561794505</v>
      </c>
      <c r="B7141" s="318" t="s">
        <v>237</v>
      </c>
    </row>
    <row r="7142" spans="1:2" ht="12.75" customHeight="1" x14ac:dyDescent="0.25">
      <c r="A7142" s="318">
        <v>92562275362</v>
      </c>
      <c r="B7142" s="318" t="s">
        <v>23</v>
      </c>
    </row>
    <row r="7143" spans="1:2" ht="12.75" customHeight="1" x14ac:dyDescent="0.25">
      <c r="A7143" s="318">
        <v>92562275363</v>
      </c>
      <c r="B7143" s="318" t="s">
        <v>23</v>
      </c>
    </row>
    <row r="7144" spans="1:2" ht="12.75" customHeight="1" x14ac:dyDescent="0.25">
      <c r="A7144" s="318">
        <v>92562275364</v>
      </c>
      <c r="B7144" s="318" t="s">
        <v>23</v>
      </c>
    </row>
    <row r="7145" spans="1:2" ht="12.75" customHeight="1" x14ac:dyDescent="0.25">
      <c r="A7145" s="318">
        <v>92562275365</v>
      </c>
      <c r="B7145" s="318" t="s">
        <v>23</v>
      </c>
    </row>
    <row r="7146" spans="1:2" ht="12.75" customHeight="1" x14ac:dyDescent="0.25">
      <c r="A7146" s="318">
        <v>92562275366</v>
      </c>
      <c r="B7146" s="318" t="s">
        <v>23</v>
      </c>
    </row>
    <row r="7147" spans="1:2" ht="12.75" customHeight="1" x14ac:dyDescent="0.25">
      <c r="A7147" s="318">
        <v>92562275367</v>
      </c>
      <c r="B7147" s="318" t="s">
        <v>23</v>
      </c>
    </row>
    <row r="7148" spans="1:2" ht="12.75" customHeight="1" x14ac:dyDescent="0.25">
      <c r="A7148" s="318">
        <v>92562275368</v>
      </c>
      <c r="B7148" s="318" t="s">
        <v>237</v>
      </c>
    </row>
    <row r="7149" spans="1:2" ht="12.75" customHeight="1" x14ac:dyDescent="0.25">
      <c r="A7149" s="318">
        <v>92562275369</v>
      </c>
      <c r="B7149" s="318" t="s">
        <v>237</v>
      </c>
    </row>
    <row r="7150" spans="1:2" ht="12.75" customHeight="1" x14ac:dyDescent="0.25">
      <c r="A7150" s="318">
        <v>92562275371</v>
      </c>
      <c r="B7150" s="318" t="s">
        <v>237</v>
      </c>
    </row>
    <row r="7151" spans="1:2" ht="12.75" customHeight="1" x14ac:dyDescent="0.25">
      <c r="A7151" s="318">
        <v>92562275372</v>
      </c>
      <c r="B7151" s="318" t="s">
        <v>237</v>
      </c>
    </row>
    <row r="7152" spans="1:2" ht="12.75" customHeight="1" x14ac:dyDescent="0.25">
      <c r="A7152" s="318">
        <v>92562275373</v>
      </c>
      <c r="B7152" s="318" t="s">
        <v>237</v>
      </c>
    </row>
    <row r="7153" spans="1:2" ht="12.75" customHeight="1" x14ac:dyDescent="0.25">
      <c r="A7153" s="318">
        <v>92562275374</v>
      </c>
      <c r="B7153" s="318" t="s">
        <v>237</v>
      </c>
    </row>
    <row r="7154" spans="1:2" ht="12.75" customHeight="1" x14ac:dyDescent="0.25">
      <c r="A7154" s="318">
        <v>92562275375</v>
      </c>
      <c r="B7154" s="318" t="s">
        <v>237</v>
      </c>
    </row>
    <row r="7155" spans="1:2" ht="12.75" customHeight="1" x14ac:dyDescent="0.25">
      <c r="A7155" s="318">
        <v>92562275376</v>
      </c>
      <c r="B7155" s="318" t="s">
        <v>237</v>
      </c>
    </row>
    <row r="7156" spans="1:2" ht="12.75" customHeight="1" x14ac:dyDescent="0.25">
      <c r="A7156" s="318">
        <v>92562275377</v>
      </c>
      <c r="B7156" s="318" t="s">
        <v>237</v>
      </c>
    </row>
    <row r="7157" spans="1:2" ht="12.75" customHeight="1" x14ac:dyDescent="0.25">
      <c r="A7157" s="318">
        <v>92562275378</v>
      </c>
      <c r="B7157" s="318" t="s">
        <v>237</v>
      </c>
    </row>
    <row r="7158" spans="1:2" ht="12.75" customHeight="1" x14ac:dyDescent="0.25">
      <c r="A7158" s="318">
        <v>92562275462</v>
      </c>
      <c r="B7158" s="318" t="s">
        <v>237</v>
      </c>
    </row>
    <row r="7159" spans="1:2" ht="12.75" customHeight="1" x14ac:dyDescent="0.25">
      <c r="A7159" s="318">
        <v>92562275463</v>
      </c>
      <c r="B7159" s="318" t="s">
        <v>237</v>
      </c>
    </row>
    <row r="7160" spans="1:2" ht="12.75" customHeight="1" x14ac:dyDescent="0.25">
      <c r="A7160" s="318">
        <v>92562275464</v>
      </c>
      <c r="B7160" s="318" t="s">
        <v>237</v>
      </c>
    </row>
    <row r="7161" spans="1:2" ht="12.75" customHeight="1" x14ac:dyDescent="0.25">
      <c r="A7161" s="318">
        <v>92562275465</v>
      </c>
      <c r="B7161" s="318" t="s">
        <v>237</v>
      </c>
    </row>
    <row r="7162" spans="1:2" ht="12.75" customHeight="1" x14ac:dyDescent="0.25">
      <c r="A7162" s="318">
        <v>92562275466</v>
      </c>
      <c r="B7162" s="318" t="s">
        <v>237</v>
      </c>
    </row>
    <row r="7163" spans="1:2" ht="12.75" customHeight="1" x14ac:dyDescent="0.25">
      <c r="A7163" s="318">
        <v>92562275467</v>
      </c>
      <c r="B7163" s="318" t="s">
        <v>237</v>
      </c>
    </row>
    <row r="7164" spans="1:2" ht="12.75" customHeight="1" x14ac:dyDescent="0.25">
      <c r="A7164" s="318">
        <v>92562275468</v>
      </c>
      <c r="B7164" s="318" t="s">
        <v>237</v>
      </c>
    </row>
    <row r="7165" spans="1:2" ht="12.75" customHeight="1" x14ac:dyDescent="0.25">
      <c r="A7165" s="318">
        <v>92562275469</v>
      </c>
      <c r="B7165" s="318" t="s">
        <v>237</v>
      </c>
    </row>
    <row r="7166" spans="1:2" ht="12.75" customHeight="1" x14ac:dyDescent="0.25">
      <c r="A7166" s="318">
        <v>92562275471</v>
      </c>
      <c r="B7166" s="318" t="s">
        <v>237</v>
      </c>
    </row>
    <row r="7167" spans="1:2" ht="12.75" customHeight="1" x14ac:dyDescent="0.25">
      <c r="A7167" s="318">
        <v>92562275472</v>
      </c>
      <c r="B7167" s="318" t="s">
        <v>237</v>
      </c>
    </row>
    <row r="7168" spans="1:2" ht="12.75" customHeight="1" x14ac:dyDescent="0.25">
      <c r="A7168" s="318">
        <v>92562275473</v>
      </c>
      <c r="B7168" s="318" t="s">
        <v>237</v>
      </c>
    </row>
    <row r="7169" spans="1:2" ht="12.75" customHeight="1" x14ac:dyDescent="0.25">
      <c r="A7169" s="318">
        <v>92562275474</v>
      </c>
      <c r="B7169" s="318" t="s">
        <v>237</v>
      </c>
    </row>
    <row r="7170" spans="1:2" ht="12.75" customHeight="1" x14ac:dyDescent="0.25">
      <c r="A7170" s="318">
        <v>92562275475</v>
      </c>
      <c r="B7170" s="318" t="s">
        <v>237</v>
      </c>
    </row>
    <row r="7171" spans="1:2" ht="12.75" customHeight="1" x14ac:dyDescent="0.25">
      <c r="A7171" s="318">
        <v>92562275476</v>
      </c>
      <c r="B7171" s="318" t="s">
        <v>237</v>
      </c>
    </row>
    <row r="7172" spans="1:2" ht="12.75" customHeight="1" x14ac:dyDescent="0.25">
      <c r="A7172" s="318">
        <v>92562275477</v>
      </c>
      <c r="B7172" s="318" t="s">
        <v>237</v>
      </c>
    </row>
    <row r="7173" spans="1:2" ht="12.75" customHeight="1" x14ac:dyDescent="0.25">
      <c r="A7173" s="318">
        <v>92562275478</v>
      </c>
      <c r="B7173" s="318" t="s">
        <v>237</v>
      </c>
    </row>
    <row r="7174" spans="1:2" ht="12.75" customHeight="1" x14ac:dyDescent="0.25">
      <c r="A7174" s="318">
        <v>92562955553</v>
      </c>
      <c r="B7174" s="318" t="s">
        <v>23</v>
      </c>
    </row>
    <row r="7175" spans="1:2" ht="12.75" customHeight="1" x14ac:dyDescent="0.25">
      <c r="A7175" s="318">
        <v>92562955554</v>
      </c>
      <c r="B7175" s="318" t="s">
        <v>23</v>
      </c>
    </row>
    <row r="7176" spans="1:2" ht="12.75" customHeight="1" x14ac:dyDescent="0.25">
      <c r="A7176" s="318">
        <v>92562955555</v>
      </c>
      <c r="B7176" s="318" t="s">
        <v>23</v>
      </c>
    </row>
    <row r="7177" spans="1:2" ht="12.75" customHeight="1" x14ac:dyDescent="0.25">
      <c r="A7177" s="318">
        <v>92562955556</v>
      </c>
      <c r="B7177" s="318" t="s">
        <v>23</v>
      </c>
    </row>
    <row r="7178" spans="1:2" ht="12.75" customHeight="1" x14ac:dyDescent="0.25">
      <c r="A7178" s="318">
        <v>92562955557</v>
      </c>
      <c r="B7178" s="318" t="s">
        <v>23</v>
      </c>
    </row>
    <row r="7179" spans="1:2" ht="12.75" customHeight="1" x14ac:dyDescent="0.25">
      <c r="A7179" s="318">
        <v>92562955558</v>
      </c>
      <c r="B7179" s="318" t="s">
        <v>23</v>
      </c>
    </row>
    <row r="7180" spans="1:2" ht="12.75" customHeight="1" x14ac:dyDescent="0.25">
      <c r="A7180" s="318">
        <v>92562955559</v>
      </c>
      <c r="B7180" s="318" t="s">
        <v>237</v>
      </c>
    </row>
    <row r="7181" spans="1:2" ht="12.75" customHeight="1" x14ac:dyDescent="0.25">
      <c r="A7181" s="318">
        <v>92562955560</v>
      </c>
      <c r="B7181" s="318" t="s">
        <v>237</v>
      </c>
    </row>
    <row r="7182" spans="1:2" ht="12.75" customHeight="1" x14ac:dyDescent="0.25">
      <c r="A7182" s="318">
        <v>92562955562</v>
      </c>
      <c r="B7182" s="318" t="s">
        <v>237</v>
      </c>
    </row>
    <row r="7183" spans="1:2" ht="12.75" customHeight="1" x14ac:dyDescent="0.25">
      <c r="A7183" s="318">
        <v>92562955563</v>
      </c>
      <c r="B7183" s="318" t="s">
        <v>237</v>
      </c>
    </row>
    <row r="7184" spans="1:2" ht="12.75" customHeight="1" x14ac:dyDescent="0.25">
      <c r="A7184" s="318">
        <v>92562955564</v>
      </c>
      <c r="B7184" s="318" t="s">
        <v>237</v>
      </c>
    </row>
    <row r="7185" spans="1:2" ht="12.75" customHeight="1" x14ac:dyDescent="0.25">
      <c r="A7185" s="318">
        <v>92562955565</v>
      </c>
      <c r="B7185" s="318" t="s">
        <v>237</v>
      </c>
    </row>
    <row r="7186" spans="1:2" ht="12.75" customHeight="1" x14ac:dyDescent="0.25">
      <c r="A7186" s="318">
        <v>92562955566</v>
      </c>
      <c r="B7186" s="318" t="s">
        <v>237</v>
      </c>
    </row>
    <row r="7187" spans="1:2" ht="12.75" customHeight="1" x14ac:dyDescent="0.25">
      <c r="A7187" s="318">
        <v>92562955567</v>
      </c>
      <c r="B7187" s="318" t="s">
        <v>237</v>
      </c>
    </row>
    <row r="7188" spans="1:2" ht="12.75" customHeight="1" x14ac:dyDescent="0.25">
      <c r="A7188" s="318">
        <v>92562955568</v>
      </c>
      <c r="B7188" s="318" t="s">
        <v>237</v>
      </c>
    </row>
    <row r="7189" spans="1:2" ht="12.75" customHeight="1" x14ac:dyDescent="0.25">
      <c r="A7189" s="318">
        <v>92562955569</v>
      </c>
      <c r="B7189" s="318" t="s">
        <v>237</v>
      </c>
    </row>
    <row r="7190" spans="1:2" ht="12.75" customHeight="1" x14ac:dyDescent="0.25">
      <c r="A7190" s="318">
        <v>92562955653</v>
      </c>
      <c r="B7190" s="318" t="s">
        <v>237</v>
      </c>
    </row>
    <row r="7191" spans="1:2" ht="12.75" customHeight="1" x14ac:dyDescent="0.25">
      <c r="A7191" s="318">
        <v>92562955654</v>
      </c>
      <c r="B7191" s="318" t="s">
        <v>237</v>
      </c>
    </row>
    <row r="7192" spans="1:2" ht="12.75" customHeight="1" x14ac:dyDescent="0.25">
      <c r="A7192" s="318">
        <v>92562955655</v>
      </c>
      <c r="B7192" s="318" t="s">
        <v>237</v>
      </c>
    </row>
    <row r="7193" spans="1:2" ht="12.75" customHeight="1" x14ac:dyDescent="0.25">
      <c r="A7193" s="318">
        <v>92562955656</v>
      </c>
      <c r="B7193" s="318" t="s">
        <v>237</v>
      </c>
    </row>
    <row r="7194" spans="1:2" ht="12.75" customHeight="1" x14ac:dyDescent="0.25">
      <c r="A7194" s="318">
        <v>92562955657</v>
      </c>
      <c r="B7194" s="318" t="s">
        <v>237</v>
      </c>
    </row>
    <row r="7195" spans="1:2" ht="12.75" customHeight="1" x14ac:dyDescent="0.25">
      <c r="A7195" s="318">
        <v>92562955658</v>
      </c>
      <c r="B7195" s="318" t="s">
        <v>237</v>
      </c>
    </row>
    <row r="7196" spans="1:2" ht="12.75" customHeight="1" x14ac:dyDescent="0.25">
      <c r="A7196" s="318">
        <v>92562955659</v>
      </c>
      <c r="B7196" s="318" t="s">
        <v>237</v>
      </c>
    </row>
    <row r="7197" spans="1:2" ht="12.75" customHeight="1" x14ac:dyDescent="0.25">
      <c r="A7197" s="318">
        <v>92562955660</v>
      </c>
      <c r="B7197" s="318" t="s">
        <v>237</v>
      </c>
    </row>
    <row r="7198" spans="1:2" ht="12.75" customHeight="1" x14ac:dyDescent="0.25">
      <c r="A7198" s="318">
        <v>92562955662</v>
      </c>
      <c r="B7198" s="318" t="s">
        <v>237</v>
      </c>
    </row>
    <row r="7199" spans="1:2" ht="12.75" customHeight="1" x14ac:dyDescent="0.25">
      <c r="A7199" s="318">
        <v>92562955663</v>
      </c>
      <c r="B7199" s="318" t="s">
        <v>237</v>
      </c>
    </row>
    <row r="7200" spans="1:2" ht="12.75" customHeight="1" x14ac:dyDescent="0.25">
      <c r="A7200" s="318">
        <v>92562955664</v>
      </c>
      <c r="B7200" s="318" t="s">
        <v>237</v>
      </c>
    </row>
    <row r="7201" spans="1:2" ht="12.75" customHeight="1" x14ac:dyDescent="0.25">
      <c r="A7201" s="318">
        <v>92562955665</v>
      </c>
      <c r="B7201" s="318" t="s">
        <v>237</v>
      </c>
    </row>
    <row r="7202" spans="1:2" ht="12.75" customHeight="1" x14ac:dyDescent="0.25">
      <c r="A7202" s="318">
        <v>92562955666</v>
      </c>
      <c r="B7202" s="318" t="s">
        <v>237</v>
      </c>
    </row>
    <row r="7203" spans="1:2" ht="12.75" customHeight="1" x14ac:dyDescent="0.25">
      <c r="A7203" s="318">
        <v>92562955667</v>
      </c>
      <c r="B7203" s="318" t="s">
        <v>237</v>
      </c>
    </row>
    <row r="7204" spans="1:2" ht="12.75" customHeight="1" x14ac:dyDescent="0.25">
      <c r="A7204" s="318">
        <v>92562955668</v>
      </c>
      <c r="B7204" s="318" t="s">
        <v>237</v>
      </c>
    </row>
    <row r="7205" spans="1:2" ht="12.75" customHeight="1" x14ac:dyDescent="0.25">
      <c r="A7205" s="318">
        <v>92562955669</v>
      </c>
      <c r="B7205" s="318" t="s">
        <v>237</v>
      </c>
    </row>
    <row r="7206" spans="1:2" ht="12.75" customHeight="1" x14ac:dyDescent="0.25">
      <c r="A7206" s="318">
        <v>92563436526</v>
      </c>
      <c r="B7206" s="318" t="s">
        <v>23</v>
      </c>
    </row>
    <row r="7207" spans="1:2" ht="12.75" customHeight="1" x14ac:dyDescent="0.25">
      <c r="A7207" s="318">
        <v>92563436527</v>
      </c>
      <c r="B7207" s="318" t="s">
        <v>23</v>
      </c>
    </row>
    <row r="7208" spans="1:2" ht="12.75" customHeight="1" x14ac:dyDescent="0.25">
      <c r="A7208" s="318">
        <v>92563436528</v>
      </c>
      <c r="B7208" s="318" t="s">
        <v>23</v>
      </c>
    </row>
    <row r="7209" spans="1:2" ht="12.75" customHeight="1" x14ac:dyDescent="0.25">
      <c r="A7209" s="318">
        <v>92563436529</v>
      </c>
      <c r="B7209" s="318" t="s">
        <v>23</v>
      </c>
    </row>
    <row r="7210" spans="1:2" ht="12.75" customHeight="1" x14ac:dyDescent="0.25">
      <c r="A7210" s="318">
        <v>92563436530</v>
      </c>
      <c r="B7210" s="318" t="s">
        <v>23</v>
      </c>
    </row>
    <row r="7211" spans="1:2" ht="12.75" customHeight="1" x14ac:dyDescent="0.25">
      <c r="A7211" s="318">
        <v>92563436531</v>
      </c>
      <c r="B7211" s="318" t="s">
        <v>23</v>
      </c>
    </row>
    <row r="7212" spans="1:2" ht="12.75" customHeight="1" x14ac:dyDescent="0.25">
      <c r="A7212" s="318">
        <v>92563436532</v>
      </c>
      <c r="B7212" s="318" t="s">
        <v>237</v>
      </c>
    </row>
    <row r="7213" spans="1:2" ht="12.75" customHeight="1" x14ac:dyDescent="0.25">
      <c r="A7213" s="318">
        <v>92563436533</v>
      </c>
      <c r="B7213" s="318" t="s">
        <v>237</v>
      </c>
    </row>
    <row r="7214" spans="1:2" ht="12.75" customHeight="1" x14ac:dyDescent="0.25">
      <c r="A7214" s="318">
        <v>92563436535</v>
      </c>
      <c r="B7214" s="318" t="s">
        <v>237</v>
      </c>
    </row>
    <row r="7215" spans="1:2" ht="12.75" customHeight="1" x14ac:dyDescent="0.25">
      <c r="A7215" s="318">
        <v>92563436536</v>
      </c>
      <c r="B7215" s="318" t="s">
        <v>237</v>
      </c>
    </row>
    <row r="7216" spans="1:2" ht="12.75" customHeight="1" x14ac:dyDescent="0.25">
      <c r="A7216" s="318">
        <v>92563436537</v>
      </c>
      <c r="B7216" s="318" t="s">
        <v>237</v>
      </c>
    </row>
    <row r="7217" spans="1:2" ht="12.75" customHeight="1" x14ac:dyDescent="0.25">
      <c r="A7217" s="318">
        <v>92563436538</v>
      </c>
      <c r="B7217" s="318" t="s">
        <v>237</v>
      </c>
    </row>
    <row r="7218" spans="1:2" ht="12.75" customHeight="1" x14ac:dyDescent="0.25">
      <c r="A7218" s="318">
        <v>92563436539</v>
      </c>
      <c r="B7218" s="318" t="s">
        <v>237</v>
      </c>
    </row>
    <row r="7219" spans="1:2" ht="12.75" customHeight="1" x14ac:dyDescent="0.25">
      <c r="A7219" s="318">
        <v>92563436540</v>
      </c>
      <c r="B7219" s="318" t="s">
        <v>237</v>
      </c>
    </row>
    <row r="7220" spans="1:2" ht="12.75" customHeight="1" x14ac:dyDescent="0.25">
      <c r="A7220" s="318">
        <v>92563436541</v>
      </c>
      <c r="B7220" s="318" t="s">
        <v>237</v>
      </c>
    </row>
    <row r="7221" spans="1:2" ht="12.75" customHeight="1" x14ac:dyDescent="0.25">
      <c r="A7221" s="318">
        <v>92563436542</v>
      </c>
      <c r="B7221" s="318" t="s">
        <v>237</v>
      </c>
    </row>
    <row r="7222" spans="1:2" ht="12.75" customHeight="1" x14ac:dyDescent="0.25">
      <c r="A7222" s="318">
        <v>92563436626</v>
      </c>
      <c r="B7222" s="318" t="s">
        <v>237</v>
      </c>
    </row>
    <row r="7223" spans="1:2" ht="12.75" customHeight="1" x14ac:dyDescent="0.25">
      <c r="A7223" s="318">
        <v>92563436627</v>
      </c>
      <c r="B7223" s="318" t="s">
        <v>237</v>
      </c>
    </row>
    <row r="7224" spans="1:2" ht="12.75" customHeight="1" x14ac:dyDescent="0.25">
      <c r="A7224" s="318">
        <v>92563436628</v>
      </c>
      <c r="B7224" s="318" t="s">
        <v>237</v>
      </c>
    </row>
    <row r="7225" spans="1:2" ht="12.75" customHeight="1" x14ac:dyDescent="0.25">
      <c r="A7225" s="318">
        <v>92563436629</v>
      </c>
      <c r="B7225" s="318" t="s">
        <v>237</v>
      </c>
    </row>
    <row r="7226" spans="1:2" ht="12.75" customHeight="1" x14ac:dyDescent="0.25">
      <c r="A7226" s="318">
        <v>92563436630</v>
      </c>
      <c r="B7226" s="318" t="s">
        <v>237</v>
      </c>
    </row>
    <row r="7227" spans="1:2" ht="12.75" customHeight="1" x14ac:dyDescent="0.25">
      <c r="A7227" s="318">
        <v>92563436631</v>
      </c>
      <c r="B7227" s="318" t="s">
        <v>237</v>
      </c>
    </row>
    <row r="7228" spans="1:2" ht="12.75" customHeight="1" x14ac:dyDescent="0.25">
      <c r="A7228" s="318">
        <v>92563436632</v>
      </c>
      <c r="B7228" s="318" t="s">
        <v>237</v>
      </c>
    </row>
    <row r="7229" spans="1:2" ht="12.75" customHeight="1" x14ac:dyDescent="0.25">
      <c r="A7229" s="318">
        <v>92563436633</v>
      </c>
      <c r="B7229" s="318" t="s">
        <v>237</v>
      </c>
    </row>
    <row r="7230" spans="1:2" ht="12.75" customHeight="1" x14ac:dyDescent="0.25">
      <c r="A7230" s="318">
        <v>92563436635</v>
      </c>
      <c r="B7230" s="318" t="s">
        <v>237</v>
      </c>
    </row>
    <row r="7231" spans="1:2" ht="12.75" customHeight="1" x14ac:dyDescent="0.25">
      <c r="A7231" s="318">
        <v>92563436636</v>
      </c>
      <c r="B7231" s="318" t="s">
        <v>237</v>
      </c>
    </row>
    <row r="7232" spans="1:2" ht="12.75" customHeight="1" x14ac:dyDescent="0.25">
      <c r="A7232" s="318">
        <v>92563436637</v>
      </c>
      <c r="B7232" s="318" t="s">
        <v>237</v>
      </c>
    </row>
    <row r="7233" spans="1:2" ht="12.75" customHeight="1" x14ac:dyDescent="0.25">
      <c r="A7233" s="318">
        <v>92563436638</v>
      </c>
      <c r="B7233" s="318" t="s">
        <v>237</v>
      </c>
    </row>
    <row r="7234" spans="1:2" ht="12.75" customHeight="1" x14ac:dyDescent="0.25">
      <c r="A7234" s="318">
        <v>92563436639</v>
      </c>
      <c r="B7234" s="318" t="s">
        <v>237</v>
      </c>
    </row>
    <row r="7235" spans="1:2" ht="12.75" customHeight="1" x14ac:dyDescent="0.25">
      <c r="A7235" s="318">
        <v>92563436640</v>
      </c>
      <c r="B7235" s="318" t="s">
        <v>237</v>
      </c>
    </row>
    <row r="7236" spans="1:2" ht="12.75" customHeight="1" x14ac:dyDescent="0.25">
      <c r="A7236" s="318">
        <v>92563436641</v>
      </c>
      <c r="B7236" s="318" t="s">
        <v>237</v>
      </c>
    </row>
    <row r="7237" spans="1:2" ht="12.75" customHeight="1" x14ac:dyDescent="0.25">
      <c r="A7237" s="318">
        <v>92563436642</v>
      </c>
      <c r="B7237" s="318" t="s">
        <v>237</v>
      </c>
    </row>
    <row r="7238" spans="1:2" ht="12.75" customHeight="1" x14ac:dyDescent="0.25">
      <c r="A7238" s="318">
        <v>92563917499</v>
      </c>
      <c r="B7238" s="318" t="s">
        <v>23</v>
      </c>
    </row>
    <row r="7239" spans="1:2" ht="12.75" customHeight="1" x14ac:dyDescent="0.25">
      <c r="A7239" s="318">
        <v>92563917500</v>
      </c>
      <c r="B7239" s="318" t="s">
        <v>23</v>
      </c>
    </row>
    <row r="7240" spans="1:2" ht="12.75" customHeight="1" x14ac:dyDescent="0.25">
      <c r="A7240" s="318">
        <v>92563917501</v>
      </c>
      <c r="B7240" s="318" t="s">
        <v>23</v>
      </c>
    </row>
    <row r="7241" spans="1:2" ht="12.75" customHeight="1" x14ac:dyDescent="0.25">
      <c r="A7241" s="318">
        <v>92563917502</v>
      </c>
      <c r="B7241" s="318" t="s">
        <v>23</v>
      </c>
    </row>
    <row r="7242" spans="1:2" ht="12.75" customHeight="1" x14ac:dyDescent="0.25">
      <c r="A7242" s="318">
        <v>92563917503</v>
      </c>
      <c r="B7242" s="318" t="s">
        <v>23</v>
      </c>
    </row>
    <row r="7243" spans="1:2" ht="12.75" customHeight="1" x14ac:dyDescent="0.25">
      <c r="A7243" s="318">
        <v>92563917504</v>
      </c>
      <c r="B7243" s="318" t="s">
        <v>23</v>
      </c>
    </row>
    <row r="7244" spans="1:2" ht="12.75" customHeight="1" x14ac:dyDescent="0.25">
      <c r="A7244" s="318">
        <v>92563917505</v>
      </c>
      <c r="B7244" s="318" t="s">
        <v>237</v>
      </c>
    </row>
    <row r="7245" spans="1:2" ht="12.75" customHeight="1" x14ac:dyDescent="0.25">
      <c r="A7245" s="318">
        <v>92563917506</v>
      </c>
      <c r="B7245" s="318" t="s">
        <v>237</v>
      </c>
    </row>
    <row r="7246" spans="1:2" ht="12.75" customHeight="1" x14ac:dyDescent="0.25">
      <c r="A7246" s="318">
        <v>92563917508</v>
      </c>
      <c r="B7246" s="318" t="s">
        <v>237</v>
      </c>
    </row>
    <row r="7247" spans="1:2" ht="12.75" customHeight="1" x14ac:dyDescent="0.25">
      <c r="A7247" s="318">
        <v>92563917509</v>
      </c>
      <c r="B7247" s="318" t="s">
        <v>237</v>
      </c>
    </row>
    <row r="7248" spans="1:2" ht="12.75" customHeight="1" x14ac:dyDescent="0.25">
      <c r="A7248" s="318">
        <v>92563917510</v>
      </c>
      <c r="B7248" s="318" t="s">
        <v>237</v>
      </c>
    </row>
    <row r="7249" spans="1:2" ht="12.75" customHeight="1" x14ac:dyDescent="0.25">
      <c r="A7249" s="318">
        <v>92563917511</v>
      </c>
      <c r="B7249" s="318" t="s">
        <v>237</v>
      </c>
    </row>
    <row r="7250" spans="1:2" ht="12.75" customHeight="1" x14ac:dyDescent="0.25">
      <c r="A7250" s="318">
        <v>92563917512</v>
      </c>
      <c r="B7250" s="318" t="s">
        <v>237</v>
      </c>
    </row>
    <row r="7251" spans="1:2" ht="12.75" customHeight="1" x14ac:dyDescent="0.25">
      <c r="A7251" s="318">
        <v>92563917513</v>
      </c>
      <c r="B7251" s="318" t="s">
        <v>237</v>
      </c>
    </row>
    <row r="7252" spans="1:2" ht="12.75" customHeight="1" x14ac:dyDescent="0.25">
      <c r="A7252" s="318">
        <v>92563917514</v>
      </c>
      <c r="B7252" s="318" t="s">
        <v>237</v>
      </c>
    </row>
    <row r="7253" spans="1:2" ht="12.75" customHeight="1" x14ac:dyDescent="0.25">
      <c r="A7253" s="318">
        <v>92563917515</v>
      </c>
      <c r="B7253" s="318" t="s">
        <v>237</v>
      </c>
    </row>
    <row r="7254" spans="1:2" ht="12.75" customHeight="1" x14ac:dyDescent="0.25">
      <c r="A7254" s="318">
        <v>92563917599</v>
      </c>
      <c r="B7254" s="318" t="s">
        <v>237</v>
      </c>
    </row>
    <row r="7255" spans="1:2" ht="12.75" customHeight="1" x14ac:dyDescent="0.25">
      <c r="A7255" s="318">
        <v>92563917600</v>
      </c>
      <c r="B7255" s="318" t="s">
        <v>237</v>
      </c>
    </row>
    <row r="7256" spans="1:2" ht="12.75" customHeight="1" x14ac:dyDescent="0.25">
      <c r="A7256" s="318">
        <v>92563917601</v>
      </c>
      <c r="B7256" s="318" t="s">
        <v>237</v>
      </c>
    </row>
    <row r="7257" spans="1:2" ht="12.75" customHeight="1" x14ac:dyDescent="0.25">
      <c r="A7257" s="318">
        <v>92563917602</v>
      </c>
      <c r="B7257" s="318" t="s">
        <v>237</v>
      </c>
    </row>
    <row r="7258" spans="1:2" ht="12.75" customHeight="1" x14ac:dyDescent="0.25">
      <c r="A7258" s="318">
        <v>92563917603</v>
      </c>
      <c r="B7258" s="318" t="s">
        <v>237</v>
      </c>
    </row>
    <row r="7259" spans="1:2" ht="12.75" customHeight="1" x14ac:dyDescent="0.25">
      <c r="A7259" s="318">
        <v>92563917604</v>
      </c>
      <c r="B7259" s="318" t="s">
        <v>237</v>
      </c>
    </row>
    <row r="7260" spans="1:2" ht="12.75" customHeight="1" x14ac:dyDescent="0.25">
      <c r="A7260" s="318">
        <v>92563917605</v>
      </c>
      <c r="B7260" s="318" t="s">
        <v>237</v>
      </c>
    </row>
    <row r="7261" spans="1:2" ht="12.75" customHeight="1" x14ac:dyDescent="0.25">
      <c r="A7261" s="318">
        <v>92563917606</v>
      </c>
      <c r="B7261" s="318" t="s">
        <v>237</v>
      </c>
    </row>
    <row r="7262" spans="1:2" ht="12.75" customHeight="1" x14ac:dyDescent="0.25">
      <c r="A7262" s="318">
        <v>92563917608</v>
      </c>
      <c r="B7262" s="318" t="s">
        <v>237</v>
      </c>
    </row>
    <row r="7263" spans="1:2" ht="12.75" customHeight="1" x14ac:dyDescent="0.25">
      <c r="A7263" s="318">
        <v>92563917609</v>
      </c>
      <c r="B7263" s="318" t="s">
        <v>237</v>
      </c>
    </row>
    <row r="7264" spans="1:2" ht="12.75" customHeight="1" x14ac:dyDescent="0.25">
      <c r="A7264" s="318">
        <v>92563917610</v>
      </c>
      <c r="B7264" s="318" t="s">
        <v>237</v>
      </c>
    </row>
    <row r="7265" spans="1:2" ht="12.75" customHeight="1" x14ac:dyDescent="0.25">
      <c r="A7265" s="318">
        <v>92563917611</v>
      </c>
      <c r="B7265" s="318" t="s">
        <v>237</v>
      </c>
    </row>
    <row r="7266" spans="1:2" ht="12.75" customHeight="1" x14ac:dyDescent="0.25">
      <c r="A7266" s="318">
        <v>92563917612</v>
      </c>
      <c r="B7266" s="318" t="s">
        <v>237</v>
      </c>
    </row>
    <row r="7267" spans="1:2" ht="12.75" customHeight="1" x14ac:dyDescent="0.25">
      <c r="A7267" s="318">
        <v>92563917613</v>
      </c>
      <c r="B7267" s="318" t="s">
        <v>237</v>
      </c>
    </row>
    <row r="7268" spans="1:2" ht="12.75" customHeight="1" x14ac:dyDescent="0.25">
      <c r="A7268" s="318">
        <v>92563917614</v>
      </c>
      <c r="B7268" s="318" t="s">
        <v>237</v>
      </c>
    </row>
    <row r="7269" spans="1:2" ht="12.75" customHeight="1" x14ac:dyDescent="0.25">
      <c r="A7269" s="318">
        <v>92563917615</v>
      </c>
      <c r="B7269" s="318" t="s">
        <v>237</v>
      </c>
    </row>
    <row r="7270" spans="1:2" ht="12.75" customHeight="1" x14ac:dyDescent="0.25">
      <c r="A7270" s="318">
        <v>92564597690</v>
      </c>
      <c r="B7270" s="318" t="s">
        <v>23</v>
      </c>
    </row>
    <row r="7271" spans="1:2" ht="12.75" customHeight="1" x14ac:dyDescent="0.25">
      <c r="A7271" s="318">
        <v>92564597691</v>
      </c>
      <c r="B7271" s="318" t="s">
        <v>23</v>
      </c>
    </row>
    <row r="7272" spans="1:2" ht="12.75" customHeight="1" x14ac:dyDescent="0.25">
      <c r="A7272" s="318">
        <v>92564597692</v>
      </c>
      <c r="B7272" s="318" t="s">
        <v>23</v>
      </c>
    </row>
    <row r="7273" spans="1:2" ht="12.75" customHeight="1" x14ac:dyDescent="0.25">
      <c r="A7273" s="318">
        <v>92564597693</v>
      </c>
      <c r="B7273" s="318" t="s">
        <v>23</v>
      </c>
    </row>
    <row r="7274" spans="1:2" ht="12.75" customHeight="1" x14ac:dyDescent="0.25">
      <c r="A7274" s="318">
        <v>92564597694</v>
      </c>
      <c r="B7274" s="318" t="s">
        <v>23</v>
      </c>
    </row>
    <row r="7275" spans="1:2" ht="12.75" customHeight="1" x14ac:dyDescent="0.25">
      <c r="A7275" s="318">
        <v>92564597695</v>
      </c>
      <c r="B7275" s="318" t="s">
        <v>23</v>
      </c>
    </row>
    <row r="7276" spans="1:2" ht="12.75" customHeight="1" x14ac:dyDescent="0.25">
      <c r="A7276" s="318">
        <v>92564597696</v>
      </c>
      <c r="B7276" s="318" t="s">
        <v>237</v>
      </c>
    </row>
    <row r="7277" spans="1:2" ht="12.75" customHeight="1" x14ac:dyDescent="0.25">
      <c r="A7277" s="318">
        <v>92564597697</v>
      </c>
      <c r="B7277" s="318" t="s">
        <v>237</v>
      </c>
    </row>
    <row r="7278" spans="1:2" ht="12.75" customHeight="1" x14ac:dyDescent="0.25">
      <c r="A7278" s="318">
        <v>92564597699</v>
      </c>
      <c r="B7278" s="318" t="s">
        <v>237</v>
      </c>
    </row>
    <row r="7279" spans="1:2" ht="12.75" customHeight="1" x14ac:dyDescent="0.25">
      <c r="A7279" s="318">
        <v>92564597700</v>
      </c>
      <c r="B7279" s="318" t="s">
        <v>237</v>
      </c>
    </row>
    <row r="7280" spans="1:2" ht="12.75" customHeight="1" x14ac:dyDescent="0.25">
      <c r="A7280" s="318">
        <v>92564597701</v>
      </c>
      <c r="B7280" s="318" t="s">
        <v>237</v>
      </c>
    </row>
    <row r="7281" spans="1:2" ht="12.75" customHeight="1" x14ac:dyDescent="0.25">
      <c r="A7281" s="318">
        <v>92564597702</v>
      </c>
      <c r="B7281" s="318" t="s">
        <v>237</v>
      </c>
    </row>
    <row r="7282" spans="1:2" ht="12.75" customHeight="1" x14ac:dyDescent="0.25">
      <c r="A7282" s="318">
        <v>92564597703</v>
      </c>
      <c r="B7282" s="318" t="s">
        <v>237</v>
      </c>
    </row>
    <row r="7283" spans="1:2" ht="12.75" customHeight="1" x14ac:dyDescent="0.25">
      <c r="A7283" s="318">
        <v>92564597704</v>
      </c>
      <c r="B7283" s="318" t="s">
        <v>237</v>
      </c>
    </row>
    <row r="7284" spans="1:2" ht="12.75" customHeight="1" x14ac:dyDescent="0.25">
      <c r="A7284" s="318">
        <v>92564597705</v>
      </c>
      <c r="B7284" s="318" t="s">
        <v>237</v>
      </c>
    </row>
    <row r="7285" spans="1:2" ht="12.75" customHeight="1" x14ac:dyDescent="0.25">
      <c r="A7285" s="318">
        <v>92564597706</v>
      </c>
      <c r="B7285" s="318" t="s">
        <v>237</v>
      </c>
    </row>
    <row r="7286" spans="1:2" ht="12.75" customHeight="1" x14ac:dyDescent="0.25">
      <c r="A7286" s="318">
        <v>92564597790</v>
      </c>
      <c r="B7286" s="318" t="s">
        <v>237</v>
      </c>
    </row>
    <row r="7287" spans="1:2" ht="12.75" customHeight="1" x14ac:dyDescent="0.25">
      <c r="A7287" s="318">
        <v>92564597791</v>
      </c>
      <c r="B7287" s="318" t="s">
        <v>237</v>
      </c>
    </row>
    <row r="7288" spans="1:2" ht="12.75" customHeight="1" x14ac:dyDescent="0.25">
      <c r="A7288" s="318">
        <v>92564597792</v>
      </c>
      <c r="B7288" s="318" t="s">
        <v>237</v>
      </c>
    </row>
    <row r="7289" spans="1:2" ht="12.75" customHeight="1" x14ac:dyDescent="0.25">
      <c r="A7289" s="318">
        <v>92564597793</v>
      </c>
      <c r="B7289" s="318" t="s">
        <v>237</v>
      </c>
    </row>
    <row r="7290" spans="1:2" ht="12.75" customHeight="1" x14ac:dyDescent="0.25">
      <c r="A7290" s="318">
        <v>92564597794</v>
      </c>
      <c r="B7290" s="318" t="s">
        <v>237</v>
      </c>
    </row>
    <row r="7291" spans="1:2" ht="12.75" customHeight="1" x14ac:dyDescent="0.25">
      <c r="A7291" s="318">
        <v>92564597795</v>
      </c>
      <c r="B7291" s="318" t="s">
        <v>237</v>
      </c>
    </row>
    <row r="7292" spans="1:2" ht="12.75" customHeight="1" x14ac:dyDescent="0.25">
      <c r="A7292" s="318">
        <v>92564597796</v>
      </c>
      <c r="B7292" s="318" t="s">
        <v>237</v>
      </c>
    </row>
    <row r="7293" spans="1:2" ht="12.75" customHeight="1" x14ac:dyDescent="0.25">
      <c r="A7293" s="318">
        <v>92564597797</v>
      </c>
      <c r="B7293" s="318" t="s">
        <v>237</v>
      </c>
    </row>
    <row r="7294" spans="1:2" ht="12.75" customHeight="1" x14ac:dyDescent="0.25">
      <c r="A7294" s="318">
        <v>92564597799</v>
      </c>
      <c r="B7294" s="318" t="s">
        <v>237</v>
      </c>
    </row>
    <row r="7295" spans="1:2" ht="12.75" customHeight="1" x14ac:dyDescent="0.25">
      <c r="A7295" s="318">
        <v>92564597800</v>
      </c>
      <c r="B7295" s="318" t="s">
        <v>237</v>
      </c>
    </row>
    <row r="7296" spans="1:2" ht="12.75" customHeight="1" x14ac:dyDescent="0.25">
      <c r="A7296" s="318">
        <v>92564597801</v>
      </c>
      <c r="B7296" s="318" t="s">
        <v>237</v>
      </c>
    </row>
    <row r="7297" spans="1:2" ht="12.75" customHeight="1" x14ac:dyDescent="0.25">
      <c r="A7297" s="318">
        <v>92564597802</v>
      </c>
      <c r="B7297" s="318" t="s">
        <v>237</v>
      </c>
    </row>
    <row r="7298" spans="1:2" ht="12.75" customHeight="1" x14ac:dyDescent="0.25">
      <c r="A7298" s="318">
        <v>92564597803</v>
      </c>
      <c r="B7298" s="318" t="s">
        <v>237</v>
      </c>
    </row>
    <row r="7299" spans="1:2" ht="12.75" customHeight="1" x14ac:dyDescent="0.25">
      <c r="A7299" s="318">
        <v>92564597804</v>
      </c>
      <c r="B7299" s="318" t="s">
        <v>237</v>
      </c>
    </row>
    <row r="7300" spans="1:2" ht="12.75" customHeight="1" x14ac:dyDescent="0.25">
      <c r="A7300" s="318">
        <v>92564597805</v>
      </c>
      <c r="B7300" s="318" t="s">
        <v>237</v>
      </c>
    </row>
    <row r="7301" spans="1:2" ht="12.75" customHeight="1" x14ac:dyDescent="0.25">
      <c r="A7301" s="318">
        <v>92564597806</v>
      </c>
      <c r="B7301" s="318" t="s">
        <v>237</v>
      </c>
    </row>
    <row r="7302" spans="1:2" ht="12.75" customHeight="1" x14ac:dyDescent="0.25">
      <c r="A7302" s="318">
        <v>92565078663</v>
      </c>
      <c r="B7302" s="318" t="s">
        <v>23</v>
      </c>
    </row>
    <row r="7303" spans="1:2" ht="12.75" customHeight="1" x14ac:dyDescent="0.25">
      <c r="A7303" s="318">
        <v>92565078664</v>
      </c>
      <c r="B7303" s="318" t="s">
        <v>23</v>
      </c>
    </row>
    <row r="7304" spans="1:2" ht="12.75" customHeight="1" x14ac:dyDescent="0.25">
      <c r="A7304" s="318">
        <v>92565078665</v>
      </c>
      <c r="B7304" s="318" t="s">
        <v>23</v>
      </c>
    </row>
    <row r="7305" spans="1:2" ht="12.75" customHeight="1" x14ac:dyDescent="0.25">
      <c r="A7305" s="318">
        <v>92565078666</v>
      </c>
      <c r="B7305" s="318" t="s">
        <v>23</v>
      </c>
    </row>
    <row r="7306" spans="1:2" ht="12.75" customHeight="1" x14ac:dyDescent="0.25">
      <c r="A7306" s="318">
        <v>92565078667</v>
      </c>
      <c r="B7306" s="318" t="s">
        <v>23</v>
      </c>
    </row>
    <row r="7307" spans="1:2" ht="12.75" customHeight="1" x14ac:dyDescent="0.25">
      <c r="A7307" s="318">
        <v>92565078668</v>
      </c>
      <c r="B7307" s="318" t="s">
        <v>23</v>
      </c>
    </row>
    <row r="7308" spans="1:2" ht="12.75" customHeight="1" x14ac:dyDescent="0.25">
      <c r="A7308" s="318">
        <v>92565078669</v>
      </c>
      <c r="B7308" s="318" t="s">
        <v>237</v>
      </c>
    </row>
    <row r="7309" spans="1:2" ht="12.75" customHeight="1" x14ac:dyDescent="0.25">
      <c r="A7309" s="318">
        <v>92565078670</v>
      </c>
      <c r="B7309" s="318" t="s">
        <v>237</v>
      </c>
    </row>
    <row r="7310" spans="1:2" ht="12.75" customHeight="1" x14ac:dyDescent="0.25">
      <c r="A7310" s="318">
        <v>92565078672</v>
      </c>
      <c r="B7310" s="318" t="s">
        <v>237</v>
      </c>
    </row>
    <row r="7311" spans="1:2" ht="12.75" customHeight="1" x14ac:dyDescent="0.25">
      <c r="A7311" s="318">
        <v>92565078673</v>
      </c>
      <c r="B7311" s="318" t="s">
        <v>237</v>
      </c>
    </row>
    <row r="7312" spans="1:2" ht="12.75" customHeight="1" x14ac:dyDescent="0.25">
      <c r="A7312" s="318">
        <v>92565078674</v>
      </c>
      <c r="B7312" s="318" t="s">
        <v>237</v>
      </c>
    </row>
    <row r="7313" spans="1:2" ht="12.75" customHeight="1" x14ac:dyDescent="0.25">
      <c r="A7313" s="318">
        <v>92565078675</v>
      </c>
      <c r="B7313" s="318" t="s">
        <v>237</v>
      </c>
    </row>
    <row r="7314" spans="1:2" ht="12.75" customHeight="1" x14ac:dyDescent="0.25">
      <c r="A7314" s="318">
        <v>92565078676</v>
      </c>
      <c r="B7314" s="318" t="s">
        <v>237</v>
      </c>
    </row>
    <row r="7315" spans="1:2" ht="12.75" customHeight="1" x14ac:dyDescent="0.25">
      <c r="A7315" s="318">
        <v>92565078677</v>
      </c>
      <c r="B7315" s="318" t="s">
        <v>237</v>
      </c>
    </row>
    <row r="7316" spans="1:2" ht="12.75" customHeight="1" x14ac:dyDescent="0.25">
      <c r="A7316" s="318">
        <v>92565078678</v>
      </c>
      <c r="B7316" s="318" t="s">
        <v>237</v>
      </c>
    </row>
    <row r="7317" spans="1:2" ht="12.75" customHeight="1" x14ac:dyDescent="0.25">
      <c r="A7317" s="318">
        <v>92565078679</v>
      </c>
      <c r="B7317" s="318" t="s">
        <v>237</v>
      </c>
    </row>
    <row r="7318" spans="1:2" ht="12.75" customHeight="1" x14ac:dyDescent="0.25">
      <c r="A7318" s="318">
        <v>92565078763</v>
      </c>
      <c r="B7318" s="318" t="s">
        <v>237</v>
      </c>
    </row>
    <row r="7319" spans="1:2" ht="12.75" customHeight="1" x14ac:dyDescent="0.25">
      <c r="A7319" s="318">
        <v>92565078764</v>
      </c>
      <c r="B7319" s="318" t="s">
        <v>237</v>
      </c>
    </row>
    <row r="7320" spans="1:2" ht="12.75" customHeight="1" x14ac:dyDescent="0.25">
      <c r="A7320" s="318">
        <v>92565078765</v>
      </c>
      <c r="B7320" s="318" t="s">
        <v>237</v>
      </c>
    </row>
    <row r="7321" spans="1:2" ht="12.75" customHeight="1" x14ac:dyDescent="0.25">
      <c r="A7321" s="318">
        <v>92565078766</v>
      </c>
      <c r="B7321" s="318" t="s">
        <v>237</v>
      </c>
    </row>
    <row r="7322" spans="1:2" ht="12.75" customHeight="1" x14ac:dyDescent="0.25">
      <c r="A7322" s="318">
        <v>92565078767</v>
      </c>
      <c r="B7322" s="318" t="s">
        <v>237</v>
      </c>
    </row>
    <row r="7323" spans="1:2" ht="12.75" customHeight="1" x14ac:dyDescent="0.25">
      <c r="A7323" s="318">
        <v>92565078768</v>
      </c>
      <c r="B7323" s="318" t="s">
        <v>237</v>
      </c>
    </row>
    <row r="7324" spans="1:2" ht="12.75" customHeight="1" x14ac:dyDescent="0.25">
      <c r="A7324" s="318">
        <v>92565078769</v>
      </c>
      <c r="B7324" s="318" t="s">
        <v>237</v>
      </c>
    </row>
    <row r="7325" spans="1:2" ht="12.75" customHeight="1" x14ac:dyDescent="0.25">
      <c r="A7325" s="318">
        <v>92565078770</v>
      </c>
      <c r="B7325" s="318" t="s">
        <v>237</v>
      </c>
    </row>
    <row r="7326" spans="1:2" ht="12.75" customHeight="1" x14ac:dyDescent="0.25">
      <c r="A7326" s="318">
        <v>92565078772</v>
      </c>
      <c r="B7326" s="318" t="s">
        <v>237</v>
      </c>
    </row>
    <row r="7327" spans="1:2" ht="12.75" customHeight="1" x14ac:dyDescent="0.25">
      <c r="A7327" s="318">
        <v>92565078773</v>
      </c>
      <c r="B7327" s="318" t="s">
        <v>237</v>
      </c>
    </row>
    <row r="7328" spans="1:2" ht="12.75" customHeight="1" x14ac:dyDescent="0.25">
      <c r="A7328" s="318">
        <v>92565078774</v>
      </c>
      <c r="B7328" s="318" t="s">
        <v>237</v>
      </c>
    </row>
    <row r="7329" spans="1:2" ht="12.75" customHeight="1" x14ac:dyDescent="0.25">
      <c r="A7329" s="318">
        <v>92565078775</v>
      </c>
      <c r="B7329" s="318" t="s">
        <v>237</v>
      </c>
    </row>
    <row r="7330" spans="1:2" ht="12.75" customHeight="1" x14ac:dyDescent="0.25">
      <c r="A7330" s="318">
        <v>92565078776</v>
      </c>
      <c r="B7330" s="318" t="s">
        <v>237</v>
      </c>
    </row>
    <row r="7331" spans="1:2" ht="12.75" customHeight="1" x14ac:dyDescent="0.25">
      <c r="A7331" s="318">
        <v>92565078777</v>
      </c>
      <c r="B7331" s="318" t="s">
        <v>237</v>
      </c>
    </row>
    <row r="7332" spans="1:2" ht="12.75" customHeight="1" x14ac:dyDescent="0.25">
      <c r="A7332" s="318">
        <v>92565078778</v>
      </c>
      <c r="B7332" s="318" t="s">
        <v>237</v>
      </c>
    </row>
    <row r="7333" spans="1:2" ht="12.75" customHeight="1" x14ac:dyDescent="0.25">
      <c r="A7333" s="318">
        <v>92565078779</v>
      </c>
      <c r="B7333" s="318" t="s">
        <v>237</v>
      </c>
    </row>
    <row r="7334" spans="1:2" ht="12.75" customHeight="1" x14ac:dyDescent="0.25">
      <c r="A7334" s="318">
        <v>92565559636</v>
      </c>
      <c r="B7334" s="318" t="s">
        <v>23</v>
      </c>
    </row>
    <row r="7335" spans="1:2" ht="12.75" customHeight="1" x14ac:dyDescent="0.25">
      <c r="A7335" s="318">
        <v>92565559637</v>
      </c>
      <c r="B7335" s="318" t="s">
        <v>23</v>
      </c>
    </row>
    <row r="7336" spans="1:2" ht="12.75" customHeight="1" x14ac:dyDescent="0.25">
      <c r="A7336" s="318">
        <v>92565559638</v>
      </c>
      <c r="B7336" s="318" t="s">
        <v>23</v>
      </c>
    </row>
    <row r="7337" spans="1:2" ht="12.75" customHeight="1" x14ac:dyDescent="0.25">
      <c r="A7337" s="318">
        <v>92565559639</v>
      </c>
      <c r="B7337" s="318" t="s">
        <v>23</v>
      </c>
    </row>
    <row r="7338" spans="1:2" ht="12.75" customHeight="1" x14ac:dyDescent="0.25">
      <c r="A7338" s="318">
        <v>92565559640</v>
      </c>
      <c r="B7338" s="318" t="s">
        <v>23</v>
      </c>
    </row>
    <row r="7339" spans="1:2" ht="12.75" customHeight="1" x14ac:dyDescent="0.25">
      <c r="A7339" s="318">
        <v>92565559641</v>
      </c>
      <c r="B7339" s="318" t="s">
        <v>23</v>
      </c>
    </row>
    <row r="7340" spans="1:2" ht="12.75" customHeight="1" x14ac:dyDescent="0.25">
      <c r="A7340" s="318">
        <v>92565559642</v>
      </c>
      <c r="B7340" s="318" t="s">
        <v>237</v>
      </c>
    </row>
    <row r="7341" spans="1:2" ht="12.75" customHeight="1" x14ac:dyDescent="0.25">
      <c r="A7341" s="318">
        <v>92565559643</v>
      </c>
      <c r="B7341" s="318" t="s">
        <v>237</v>
      </c>
    </row>
    <row r="7342" spans="1:2" ht="12.75" customHeight="1" x14ac:dyDescent="0.25">
      <c r="A7342" s="318">
        <v>92565559645</v>
      </c>
      <c r="B7342" s="318" t="s">
        <v>237</v>
      </c>
    </row>
    <row r="7343" spans="1:2" ht="12.75" customHeight="1" x14ac:dyDescent="0.25">
      <c r="A7343" s="318">
        <v>92565559646</v>
      </c>
      <c r="B7343" s="318" t="s">
        <v>237</v>
      </c>
    </row>
    <row r="7344" spans="1:2" ht="12.75" customHeight="1" x14ac:dyDescent="0.25">
      <c r="A7344" s="318">
        <v>92565559647</v>
      </c>
      <c r="B7344" s="318" t="s">
        <v>237</v>
      </c>
    </row>
    <row r="7345" spans="1:2" ht="12.75" customHeight="1" x14ac:dyDescent="0.25">
      <c r="A7345" s="318">
        <v>92565559648</v>
      </c>
      <c r="B7345" s="318" t="s">
        <v>237</v>
      </c>
    </row>
    <row r="7346" spans="1:2" ht="12.75" customHeight="1" x14ac:dyDescent="0.25">
      <c r="A7346" s="318">
        <v>92565559649</v>
      </c>
      <c r="B7346" s="318" t="s">
        <v>237</v>
      </c>
    </row>
    <row r="7347" spans="1:2" ht="12.75" customHeight="1" x14ac:dyDescent="0.25">
      <c r="A7347" s="318">
        <v>92565559650</v>
      </c>
      <c r="B7347" s="318" t="s">
        <v>237</v>
      </c>
    </row>
    <row r="7348" spans="1:2" ht="12.75" customHeight="1" x14ac:dyDescent="0.25">
      <c r="A7348" s="318">
        <v>92565559651</v>
      </c>
      <c r="B7348" s="318" t="s">
        <v>237</v>
      </c>
    </row>
    <row r="7349" spans="1:2" ht="12.75" customHeight="1" x14ac:dyDescent="0.25">
      <c r="A7349" s="318">
        <v>92565559652</v>
      </c>
      <c r="B7349" s="318" t="s">
        <v>237</v>
      </c>
    </row>
    <row r="7350" spans="1:2" ht="12.75" customHeight="1" x14ac:dyDescent="0.25">
      <c r="A7350" s="318">
        <v>92565559736</v>
      </c>
      <c r="B7350" s="318" t="s">
        <v>237</v>
      </c>
    </row>
    <row r="7351" spans="1:2" ht="12.75" customHeight="1" x14ac:dyDescent="0.25">
      <c r="A7351" s="318">
        <v>92565559737</v>
      </c>
      <c r="B7351" s="318" t="s">
        <v>237</v>
      </c>
    </row>
    <row r="7352" spans="1:2" ht="12.75" customHeight="1" x14ac:dyDescent="0.25">
      <c r="A7352" s="318">
        <v>92565559738</v>
      </c>
      <c r="B7352" s="318" t="s">
        <v>237</v>
      </c>
    </row>
    <row r="7353" spans="1:2" ht="12.75" customHeight="1" x14ac:dyDescent="0.25">
      <c r="A7353" s="318">
        <v>92565559739</v>
      </c>
      <c r="B7353" s="318" t="s">
        <v>237</v>
      </c>
    </row>
    <row r="7354" spans="1:2" ht="12.75" customHeight="1" x14ac:dyDescent="0.25">
      <c r="A7354" s="318">
        <v>92565559740</v>
      </c>
      <c r="B7354" s="318" t="s">
        <v>237</v>
      </c>
    </row>
    <row r="7355" spans="1:2" ht="12.75" customHeight="1" x14ac:dyDescent="0.25">
      <c r="A7355" s="318">
        <v>92565559741</v>
      </c>
      <c r="B7355" s="318" t="s">
        <v>237</v>
      </c>
    </row>
    <row r="7356" spans="1:2" ht="12.75" customHeight="1" x14ac:dyDescent="0.25">
      <c r="A7356" s="318">
        <v>92565559742</v>
      </c>
      <c r="B7356" s="318" t="s">
        <v>237</v>
      </c>
    </row>
    <row r="7357" spans="1:2" ht="12.75" customHeight="1" x14ac:dyDescent="0.25">
      <c r="A7357" s="318">
        <v>92565559743</v>
      </c>
      <c r="B7357" s="318" t="s">
        <v>237</v>
      </c>
    </row>
    <row r="7358" spans="1:2" ht="12.75" customHeight="1" x14ac:dyDescent="0.25">
      <c r="A7358" s="318">
        <v>92565559745</v>
      </c>
      <c r="B7358" s="318" t="s">
        <v>237</v>
      </c>
    </row>
    <row r="7359" spans="1:2" ht="12.75" customHeight="1" x14ac:dyDescent="0.25">
      <c r="A7359" s="318">
        <v>92565559746</v>
      </c>
      <c r="B7359" s="318" t="s">
        <v>237</v>
      </c>
    </row>
    <row r="7360" spans="1:2" ht="12.75" customHeight="1" x14ac:dyDescent="0.25">
      <c r="A7360" s="318">
        <v>92565559747</v>
      </c>
      <c r="B7360" s="318" t="s">
        <v>237</v>
      </c>
    </row>
    <row r="7361" spans="1:2" ht="12.75" customHeight="1" x14ac:dyDescent="0.25">
      <c r="A7361" s="318">
        <v>92565559748</v>
      </c>
      <c r="B7361" s="318" t="s">
        <v>237</v>
      </c>
    </row>
    <row r="7362" spans="1:2" ht="12.75" customHeight="1" x14ac:dyDescent="0.25">
      <c r="A7362" s="318">
        <v>92565559749</v>
      </c>
      <c r="B7362" s="318" t="s">
        <v>237</v>
      </c>
    </row>
    <row r="7363" spans="1:2" ht="12.75" customHeight="1" x14ac:dyDescent="0.25">
      <c r="A7363" s="318">
        <v>92565559750</v>
      </c>
      <c r="B7363" s="318" t="s">
        <v>237</v>
      </c>
    </row>
    <row r="7364" spans="1:2" ht="12.75" customHeight="1" x14ac:dyDescent="0.25">
      <c r="A7364" s="318">
        <v>92565559751</v>
      </c>
      <c r="B7364" s="318" t="s">
        <v>237</v>
      </c>
    </row>
    <row r="7365" spans="1:2" ht="12.75" customHeight="1" x14ac:dyDescent="0.25">
      <c r="A7365" s="318">
        <v>92565559752</v>
      </c>
      <c r="B7365" s="318" t="s">
        <v>237</v>
      </c>
    </row>
    <row r="7366" spans="1:2" ht="12.75" customHeight="1" x14ac:dyDescent="0.25">
      <c r="A7366" s="318">
        <v>92615455527</v>
      </c>
      <c r="B7366" s="318" t="s">
        <v>23</v>
      </c>
    </row>
    <row r="7367" spans="1:2" ht="12.75" customHeight="1" x14ac:dyDescent="0.25">
      <c r="A7367" s="318">
        <v>92615455528</v>
      </c>
      <c r="B7367" s="318" t="s">
        <v>23</v>
      </c>
    </row>
    <row r="7368" spans="1:2" ht="12.75" customHeight="1" x14ac:dyDescent="0.25">
      <c r="A7368" s="318">
        <v>92615455529</v>
      </c>
      <c r="B7368" s="318" t="s">
        <v>23</v>
      </c>
    </row>
    <row r="7369" spans="1:2" ht="12.75" customHeight="1" x14ac:dyDescent="0.25">
      <c r="A7369" s="318">
        <v>92615455530</v>
      </c>
      <c r="B7369" s="318" t="s">
        <v>23</v>
      </c>
    </row>
    <row r="7370" spans="1:2" ht="12.75" customHeight="1" x14ac:dyDescent="0.25">
      <c r="A7370" s="318">
        <v>92615455531</v>
      </c>
      <c r="B7370" s="318" t="s">
        <v>23</v>
      </c>
    </row>
    <row r="7371" spans="1:2" ht="12.75" customHeight="1" x14ac:dyDescent="0.25">
      <c r="A7371" s="318">
        <v>92615455532</v>
      </c>
      <c r="B7371" s="318" t="s">
        <v>23</v>
      </c>
    </row>
    <row r="7372" spans="1:2" ht="12.75" customHeight="1" x14ac:dyDescent="0.25">
      <c r="A7372" s="318">
        <v>92615455533</v>
      </c>
      <c r="B7372" s="318" t="s">
        <v>23</v>
      </c>
    </row>
    <row r="7373" spans="1:2" ht="12.75" customHeight="1" x14ac:dyDescent="0.25">
      <c r="A7373" s="318">
        <v>92615455534</v>
      </c>
      <c r="B7373" s="318" t="s">
        <v>23</v>
      </c>
    </row>
    <row r="7374" spans="1:2" ht="12.75" customHeight="1" x14ac:dyDescent="0.25">
      <c r="A7374" s="318">
        <v>92615455536</v>
      </c>
      <c r="B7374" s="318" t="s">
        <v>237</v>
      </c>
    </row>
    <row r="7375" spans="1:2" ht="12.75" customHeight="1" x14ac:dyDescent="0.25">
      <c r="A7375" s="318">
        <v>92615455537</v>
      </c>
      <c r="B7375" s="318" t="s">
        <v>237</v>
      </c>
    </row>
    <row r="7376" spans="1:2" ht="12.75" customHeight="1" x14ac:dyDescent="0.25">
      <c r="A7376" s="318">
        <v>92615455538</v>
      </c>
      <c r="B7376" s="318" t="s">
        <v>237</v>
      </c>
    </row>
    <row r="7377" spans="1:2" ht="12.75" customHeight="1" x14ac:dyDescent="0.25">
      <c r="A7377" s="318">
        <v>92615455539</v>
      </c>
      <c r="B7377" s="318" t="s">
        <v>237</v>
      </c>
    </row>
    <row r="7378" spans="1:2" ht="12.75" customHeight="1" x14ac:dyDescent="0.25">
      <c r="A7378" s="318">
        <v>92615455540</v>
      </c>
      <c r="B7378" s="318" t="s">
        <v>237</v>
      </c>
    </row>
    <row r="7379" spans="1:2" ht="12.75" customHeight="1" x14ac:dyDescent="0.25">
      <c r="A7379" s="318">
        <v>92615455541</v>
      </c>
      <c r="B7379" s="318" t="s">
        <v>237</v>
      </c>
    </row>
    <row r="7380" spans="1:2" ht="12.75" customHeight="1" x14ac:dyDescent="0.25">
      <c r="A7380" s="318">
        <v>92615455542</v>
      </c>
      <c r="B7380" s="318" t="s">
        <v>237</v>
      </c>
    </row>
    <row r="7381" spans="1:2" ht="12.75" customHeight="1" x14ac:dyDescent="0.25">
      <c r="A7381" s="318">
        <v>92615455543</v>
      </c>
      <c r="B7381" s="318" t="s">
        <v>237</v>
      </c>
    </row>
    <row r="7382" spans="1:2" ht="12.75" customHeight="1" x14ac:dyDescent="0.25">
      <c r="A7382" s="318">
        <v>92615455627</v>
      </c>
      <c r="B7382" s="318" t="s">
        <v>237</v>
      </c>
    </row>
    <row r="7383" spans="1:2" ht="12.75" customHeight="1" x14ac:dyDescent="0.25">
      <c r="A7383" s="318">
        <v>92615455628</v>
      </c>
      <c r="B7383" s="318" t="s">
        <v>237</v>
      </c>
    </row>
    <row r="7384" spans="1:2" ht="12.75" customHeight="1" x14ac:dyDescent="0.25">
      <c r="A7384" s="318">
        <v>92615455629</v>
      </c>
      <c r="B7384" s="318" t="s">
        <v>237</v>
      </c>
    </row>
    <row r="7385" spans="1:2" ht="12.75" customHeight="1" x14ac:dyDescent="0.25">
      <c r="A7385" s="318">
        <v>92615455630</v>
      </c>
      <c r="B7385" s="318" t="s">
        <v>237</v>
      </c>
    </row>
    <row r="7386" spans="1:2" ht="12.75" customHeight="1" x14ac:dyDescent="0.25">
      <c r="A7386" s="318">
        <v>92615455631</v>
      </c>
      <c r="B7386" s="318" t="s">
        <v>237</v>
      </c>
    </row>
    <row r="7387" spans="1:2" ht="12.75" customHeight="1" x14ac:dyDescent="0.25">
      <c r="A7387" s="318">
        <v>92615455632</v>
      </c>
      <c r="B7387" s="318" t="s">
        <v>237</v>
      </c>
    </row>
    <row r="7388" spans="1:2" ht="12.75" customHeight="1" x14ac:dyDescent="0.25">
      <c r="A7388" s="318">
        <v>92615455633</v>
      </c>
      <c r="B7388" s="318" t="s">
        <v>237</v>
      </c>
    </row>
    <row r="7389" spans="1:2" ht="12.75" customHeight="1" x14ac:dyDescent="0.25">
      <c r="A7389" s="318">
        <v>92615455634</v>
      </c>
      <c r="B7389" s="318" t="s">
        <v>237</v>
      </c>
    </row>
    <row r="7390" spans="1:2" ht="12.75" customHeight="1" x14ac:dyDescent="0.25">
      <c r="A7390" s="318">
        <v>92615455636</v>
      </c>
      <c r="B7390" s="318" t="s">
        <v>237</v>
      </c>
    </row>
    <row r="7391" spans="1:2" ht="12.75" customHeight="1" x14ac:dyDescent="0.25">
      <c r="A7391" s="318">
        <v>92615455637</v>
      </c>
      <c r="B7391" s="318" t="s">
        <v>237</v>
      </c>
    </row>
    <row r="7392" spans="1:2" ht="12.75" customHeight="1" x14ac:dyDescent="0.25">
      <c r="A7392" s="318">
        <v>92615455638</v>
      </c>
      <c r="B7392" s="318" t="s">
        <v>237</v>
      </c>
    </row>
    <row r="7393" spans="1:2" ht="12.75" customHeight="1" x14ac:dyDescent="0.25">
      <c r="A7393" s="318">
        <v>92615455639</v>
      </c>
      <c r="B7393" s="318" t="s">
        <v>237</v>
      </c>
    </row>
    <row r="7394" spans="1:2" ht="12.75" customHeight="1" x14ac:dyDescent="0.25">
      <c r="A7394" s="318">
        <v>92615455640</v>
      </c>
      <c r="B7394" s="318" t="s">
        <v>237</v>
      </c>
    </row>
    <row r="7395" spans="1:2" ht="12.75" customHeight="1" x14ac:dyDescent="0.25">
      <c r="A7395" s="318">
        <v>92615455641</v>
      </c>
      <c r="B7395" s="318" t="s">
        <v>237</v>
      </c>
    </row>
    <row r="7396" spans="1:2" ht="12.75" customHeight="1" x14ac:dyDescent="0.25">
      <c r="A7396" s="318">
        <v>92615455642</v>
      </c>
      <c r="B7396" s="318" t="s">
        <v>237</v>
      </c>
    </row>
    <row r="7397" spans="1:2" ht="12.75" customHeight="1" x14ac:dyDescent="0.25">
      <c r="A7397" s="318">
        <v>92615455643</v>
      </c>
      <c r="B7397" s="318" t="s">
        <v>237</v>
      </c>
    </row>
    <row r="7398" spans="1:2" ht="12.75" customHeight="1" x14ac:dyDescent="0.25">
      <c r="A7398" s="318">
        <v>92615936500</v>
      </c>
      <c r="B7398" s="318" t="s">
        <v>23</v>
      </c>
    </row>
    <row r="7399" spans="1:2" ht="12.75" customHeight="1" x14ac:dyDescent="0.25">
      <c r="A7399" s="318">
        <v>92615936501</v>
      </c>
      <c r="B7399" s="318" t="s">
        <v>23</v>
      </c>
    </row>
    <row r="7400" spans="1:2" ht="12.75" customHeight="1" x14ac:dyDescent="0.25">
      <c r="A7400" s="318">
        <v>92615936502</v>
      </c>
      <c r="B7400" s="318" t="s">
        <v>23</v>
      </c>
    </row>
    <row r="7401" spans="1:2" ht="12.75" customHeight="1" x14ac:dyDescent="0.25">
      <c r="A7401" s="318">
        <v>92615936503</v>
      </c>
      <c r="B7401" s="318" t="s">
        <v>23</v>
      </c>
    </row>
    <row r="7402" spans="1:2" ht="12.75" customHeight="1" x14ac:dyDescent="0.25">
      <c r="A7402" s="318">
        <v>92615936504</v>
      </c>
      <c r="B7402" s="318" t="s">
        <v>23</v>
      </c>
    </row>
    <row r="7403" spans="1:2" ht="12.75" customHeight="1" x14ac:dyDescent="0.25">
      <c r="A7403" s="318">
        <v>92615936505</v>
      </c>
      <c r="B7403" s="318" t="s">
        <v>23</v>
      </c>
    </row>
    <row r="7404" spans="1:2" ht="12.75" customHeight="1" x14ac:dyDescent="0.25">
      <c r="A7404" s="318">
        <v>92615936506</v>
      </c>
      <c r="B7404" s="318" t="s">
        <v>23</v>
      </c>
    </row>
    <row r="7405" spans="1:2" ht="12.75" customHeight="1" x14ac:dyDescent="0.25">
      <c r="A7405" s="318">
        <v>92615936507</v>
      </c>
      <c r="B7405" s="318" t="s">
        <v>23</v>
      </c>
    </row>
    <row r="7406" spans="1:2" ht="12.75" customHeight="1" x14ac:dyDescent="0.25">
      <c r="A7406" s="318">
        <v>92615936509</v>
      </c>
      <c r="B7406" s="318" t="s">
        <v>237</v>
      </c>
    </row>
    <row r="7407" spans="1:2" ht="12.75" customHeight="1" x14ac:dyDescent="0.25">
      <c r="A7407" s="318">
        <v>92615936510</v>
      </c>
      <c r="B7407" s="318" t="s">
        <v>237</v>
      </c>
    </row>
    <row r="7408" spans="1:2" ht="12.75" customHeight="1" x14ac:dyDescent="0.25">
      <c r="A7408" s="318">
        <v>92615936511</v>
      </c>
      <c r="B7408" s="318" t="s">
        <v>237</v>
      </c>
    </row>
    <row r="7409" spans="1:2" ht="12.75" customHeight="1" x14ac:dyDescent="0.25">
      <c r="A7409" s="318">
        <v>92615936512</v>
      </c>
      <c r="B7409" s="318" t="s">
        <v>237</v>
      </c>
    </row>
    <row r="7410" spans="1:2" ht="12.75" customHeight="1" x14ac:dyDescent="0.25">
      <c r="A7410" s="318">
        <v>92615936513</v>
      </c>
      <c r="B7410" s="318" t="s">
        <v>237</v>
      </c>
    </row>
    <row r="7411" spans="1:2" ht="12.75" customHeight="1" x14ac:dyDescent="0.25">
      <c r="A7411" s="318">
        <v>92615936514</v>
      </c>
      <c r="B7411" s="318" t="s">
        <v>237</v>
      </c>
    </row>
    <row r="7412" spans="1:2" ht="12.75" customHeight="1" x14ac:dyDescent="0.25">
      <c r="A7412" s="318">
        <v>92615936515</v>
      </c>
      <c r="B7412" s="318" t="s">
        <v>237</v>
      </c>
    </row>
    <row r="7413" spans="1:2" ht="12.75" customHeight="1" x14ac:dyDescent="0.25">
      <c r="A7413" s="318">
        <v>92615936516</v>
      </c>
      <c r="B7413" s="318" t="s">
        <v>237</v>
      </c>
    </row>
    <row r="7414" spans="1:2" ht="12.75" customHeight="1" x14ac:dyDescent="0.25">
      <c r="A7414" s="318">
        <v>92615936600</v>
      </c>
      <c r="B7414" s="318" t="s">
        <v>237</v>
      </c>
    </row>
    <row r="7415" spans="1:2" ht="12.75" customHeight="1" x14ac:dyDescent="0.25">
      <c r="A7415" s="318">
        <v>92615936601</v>
      </c>
      <c r="B7415" s="318" t="s">
        <v>237</v>
      </c>
    </row>
    <row r="7416" spans="1:2" ht="12.75" customHeight="1" x14ac:dyDescent="0.25">
      <c r="A7416" s="318">
        <v>92615936602</v>
      </c>
      <c r="B7416" s="318" t="s">
        <v>237</v>
      </c>
    </row>
    <row r="7417" spans="1:2" ht="12.75" customHeight="1" x14ac:dyDescent="0.25">
      <c r="A7417" s="318">
        <v>92615936603</v>
      </c>
      <c r="B7417" s="318" t="s">
        <v>237</v>
      </c>
    </row>
    <row r="7418" spans="1:2" ht="12.75" customHeight="1" x14ac:dyDescent="0.25">
      <c r="A7418" s="318">
        <v>92615936604</v>
      </c>
      <c r="B7418" s="318" t="s">
        <v>237</v>
      </c>
    </row>
    <row r="7419" spans="1:2" ht="12.75" customHeight="1" x14ac:dyDescent="0.25">
      <c r="A7419" s="318">
        <v>92615936605</v>
      </c>
      <c r="B7419" s="318" t="s">
        <v>237</v>
      </c>
    </row>
    <row r="7420" spans="1:2" ht="12.75" customHeight="1" x14ac:dyDescent="0.25">
      <c r="A7420" s="318">
        <v>92615936606</v>
      </c>
      <c r="B7420" s="318" t="s">
        <v>237</v>
      </c>
    </row>
    <row r="7421" spans="1:2" ht="12.75" customHeight="1" x14ac:dyDescent="0.25">
      <c r="A7421" s="318">
        <v>92615936607</v>
      </c>
      <c r="B7421" s="318" t="s">
        <v>237</v>
      </c>
    </row>
    <row r="7422" spans="1:2" ht="12.75" customHeight="1" x14ac:dyDescent="0.25">
      <c r="A7422" s="318">
        <v>92615936609</v>
      </c>
      <c r="B7422" s="318" t="s">
        <v>237</v>
      </c>
    </row>
    <row r="7423" spans="1:2" ht="12.75" customHeight="1" x14ac:dyDescent="0.25">
      <c r="A7423" s="318">
        <v>92615936610</v>
      </c>
      <c r="B7423" s="318" t="s">
        <v>237</v>
      </c>
    </row>
    <row r="7424" spans="1:2" ht="12.75" customHeight="1" x14ac:dyDescent="0.25">
      <c r="A7424" s="318">
        <v>92615936611</v>
      </c>
      <c r="B7424" s="318" t="s">
        <v>237</v>
      </c>
    </row>
    <row r="7425" spans="1:2" ht="12.75" customHeight="1" x14ac:dyDescent="0.25">
      <c r="A7425" s="318">
        <v>92615936612</v>
      </c>
      <c r="B7425" s="318" t="s">
        <v>237</v>
      </c>
    </row>
    <row r="7426" spans="1:2" ht="12.75" customHeight="1" x14ac:dyDescent="0.25">
      <c r="A7426" s="318">
        <v>92615936613</v>
      </c>
      <c r="B7426" s="318" t="s">
        <v>237</v>
      </c>
    </row>
    <row r="7427" spans="1:2" ht="12.75" customHeight="1" x14ac:dyDescent="0.25">
      <c r="A7427" s="318">
        <v>92615936614</v>
      </c>
      <c r="B7427" s="318" t="s">
        <v>237</v>
      </c>
    </row>
    <row r="7428" spans="1:2" ht="12.75" customHeight="1" x14ac:dyDescent="0.25">
      <c r="A7428" s="318">
        <v>92615936615</v>
      </c>
      <c r="B7428" s="318" t="s">
        <v>237</v>
      </c>
    </row>
    <row r="7429" spans="1:2" ht="12.75" customHeight="1" x14ac:dyDescent="0.25">
      <c r="A7429" s="318">
        <v>92615936616</v>
      </c>
      <c r="B7429" s="318" t="s">
        <v>237</v>
      </c>
    </row>
    <row r="7430" spans="1:2" ht="12.75" customHeight="1" x14ac:dyDescent="0.25">
      <c r="A7430" s="318">
        <v>92616417473</v>
      </c>
      <c r="B7430" s="318" t="s">
        <v>23</v>
      </c>
    </row>
    <row r="7431" spans="1:2" ht="12.75" customHeight="1" x14ac:dyDescent="0.25">
      <c r="A7431" s="318">
        <v>92616417474</v>
      </c>
      <c r="B7431" s="318" t="s">
        <v>23</v>
      </c>
    </row>
    <row r="7432" spans="1:2" ht="12.75" customHeight="1" x14ac:dyDescent="0.25">
      <c r="A7432" s="318">
        <v>92616417475</v>
      </c>
      <c r="B7432" s="318" t="s">
        <v>23</v>
      </c>
    </row>
    <row r="7433" spans="1:2" ht="12.75" customHeight="1" x14ac:dyDescent="0.25">
      <c r="A7433" s="318">
        <v>92616417476</v>
      </c>
      <c r="B7433" s="318" t="s">
        <v>23</v>
      </c>
    </row>
    <row r="7434" spans="1:2" ht="12.75" customHeight="1" x14ac:dyDescent="0.25">
      <c r="A7434" s="318">
        <v>92616417477</v>
      </c>
      <c r="B7434" s="318" t="s">
        <v>23</v>
      </c>
    </row>
    <row r="7435" spans="1:2" ht="12.75" customHeight="1" x14ac:dyDescent="0.25">
      <c r="A7435" s="318">
        <v>92616417478</v>
      </c>
      <c r="B7435" s="318" t="s">
        <v>23</v>
      </c>
    </row>
    <row r="7436" spans="1:2" ht="12.75" customHeight="1" x14ac:dyDescent="0.25">
      <c r="A7436" s="318">
        <v>92616417479</v>
      </c>
      <c r="B7436" s="318" t="s">
        <v>23</v>
      </c>
    </row>
    <row r="7437" spans="1:2" ht="12.75" customHeight="1" x14ac:dyDescent="0.25">
      <c r="A7437" s="318">
        <v>92616417480</v>
      </c>
      <c r="B7437" s="318" t="s">
        <v>23</v>
      </c>
    </row>
    <row r="7438" spans="1:2" ht="12.75" customHeight="1" x14ac:dyDescent="0.25">
      <c r="A7438" s="318">
        <v>92616417482</v>
      </c>
      <c r="B7438" s="318" t="s">
        <v>23</v>
      </c>
    </row>
    <row r="7439" spans="1:2" ht="12.75" customHeight="1" x14ac:dyDescent="0.25">
      <c r="A7439" s="318">
        <v>92616417483</v>
      </c>
      <c r="B7439" s="318" t="s">
        <v>23</v>
      </c>
    </row>
    <row r="7440" spans="1:2" ht="12.75" customHeight="1" x14ac:dyDescent="0.25">
      <c r="A7440" s="318">
        <v>92616417484</v>
      </c>
      <c r="B7440" s="318" t="s">
        <v>23</v>
      </c>
    </row>
    <row r="7441" spans="1:2" ht="12.75" customHeight="1" x14ac:dyDescent="0.25">
      <c r="A7441" s="318">
        <v>92616417485</v>
      </c>
      <c r="B7441" s="318" t="s">
        <v>23</v>
      </c>
    </row>
    <row r="7442" spans="1:2" ht="12.75" customHeight="1" x14ac:dyDescent="0.25">
      <c r="A7442" s="318">
        <v>92616417486</v>
      </c>
      <c r="B7442" s="318" t="s">
        <v>23</v>
      </c>
    </row>
    <row r="7443" spans="1:2" ht="12.75" customHeight="1" x14ac:dyDescent="0.25">
      <c r="A7443" s="318">
        <v>92616417487</v>
      </c>
      <c r="B7443" s="318" t="s">
        <v>23</v>
      </c>
    </row>
    <row r="7444" spans="1:2" ht="12.75" customHeight="1" x14ac:dyDescent="0.25">
      <c r="A7444" s="318">
        <v>92616417488</v>
      </c>
      <c r="B7444" s="318" t="s">
        <v>23</v>
      </c>
    </row>
    <row r="7445" spans="1:2" ht="12.75" customHeight="1" x14ac:dyDescent="0.25">
      <c r="A7445" s="318">
        <v>92616417489</v>
      </c>
      <c r="B7445" s="318" t="s">
        <v>23</v>
      </c>
    </row>
    <row r="7446" spans="1:2" ht="12.75" customHeight="1" x14ac:dyDescent="0.25">
      <c r="A7446" s="318">
        <v>92616417573</v>
      </c>
      <c r="B7446" s="318" t="s">
        <v>237</v>
      </c>
    </row>
    <row r="7447" spans="1:2" ht="12.75" customHeight="1" x14ac:dyDescent="0.25">
      <c r="A7447" s="318">
        <v>92616417574</v>
      </c>
      <c r="B7447" s="318" t="s">
        <v>237</v>
      </c>
    </row>
    <row r="7448" spans="1:2" ht="12.75" customHeight="1" x14ac:dyDescent="0.25">
      <c r="A7448" s="318">
        <v>92616417575</v>
      </c>
      <c r="B7448" s="318" t="s">
        <v>237</v>
      </c>
    </row>
    <row r="7449" spans="1:2" ht="12.75" customHeight="1" x14ac:dyDescent="0.25">
      <c r="A7449" s="318">
        <v>92616417576</v>
      </c>
      <c r="B7449" s="318" t="s">
        <v>237</v>
      </c>
    </row>
    <row r="7450" spans="1:2" ht="12.75" customHeight="1" x14ac:dyDescent="0.25">
      <c r="A7450" s="318">
        <v>92616417577</v>
      </c>
      <c r="B7450" s="318" t="s">
        <v>237</v>
      </c>
    </row>
    <row r="7451" spans="1:2" ht="12.75" customHeight="1" x14ac:dyDescent="0.25">
      <c r="A7451" s="318">
        <v>92616417578</v>
      </c>
      <c r="B7451" s="318" t="s">
        <v>237</v>
      </c>
    </row>
    <row r="7452" spans="1:2" ht="12.75" customHeight="1" x14ac:dyDescent="0.25">
      <c r="A7452" s="318">
        <v>92616417579</v>
      </c>
      <c r="B7452" s="318" t="s">
        <v>237</v>
      </c>
    </row>
    <row r="7453" spans="1:2" ht="12.75" customHeight="1" x14ac:dyDescent="0.25">
      <c r="A7453" s="318">
        <v>92616417580</v>
      </c>
      <c r="B7453" s="318" t="s">
        <v>237</v>
      </c>
    </row>
    <row r="7454" spans="1:2" ht="12.75" customHeight="1" x14ac:dyDescent="0.25">
      <c r="A7454" s="318">
        <v>92616417582</v>
      </c>
      <c r="B7454" s="318" t="s">
        <v>237</v>
      </c>
    </row>
    <row r="7455" spans="1:2" ht="12.75" customHeight="1" x14ac:dyDescent="0.25">
      <c r="A7455" s="318">
        <v>92616417583</v>
      </c>
      <c r="B7455" s="318" t="s">
        <v>237</v>
      </c>
    </row>
    <row r="7456" spans="1:2" ht="12.75" customHeight="1" x14ac:dyDescent="0.25">
      <c r="A7456" s="318">
        <v>92616417584</v>
      </c>
      <c r="B7456" s="318" t="s">
        <v>237</v>
      </c>
    </row>
    <row r="7457" spans="1:2" ht="12.75" customHeight="1" x14ac:dyDescent="0.25">
      <c r="A7457" s="318">
        <v>92616417585</v>
      </c>
      <c r="B7457" s="318" t="s">
        <v>237</v>
      </c>
    </row>
    <row r="7458" spans="1:2" ht="12.75" customHeight="1" x14ac:dyDescent="0.25">
      <c r="A7458" s="318">
        <v>92616417586</v>
      </c>
      <c r="B7458" s="318" t="s">
        <v>237</v>
      </c>
    </row>
    <row r="7459" spans="1:2" ht="12.75" customHeight="1" x14ac:dyDescent="0.25">
      <c r="A7459" s="318">
        <v>92616417587</v>
      </c>
      <c r="B7459" s="318" t="s">
        <v>237</v>
      </c>
    </row>
    <row r="7460" spans="1:2" ht="12.75" customHeight="1" x14ac:dyDescent="0.25">
      <c r="A7460" s="318">
        <v>92616417588</v>
      </c>
      <c r="B7460" s="318" t="s">
        <v>237</v>
      </c>
    </row>
    <row r="7461" spans="1:2" ht="12.75" customHeight="1" x14ac:dyDescent="0.25">
      <c r="A7461" s="318">
        <v>92616417589</v>
      </c>
      <c r="B7461" s="318" t="s">
        <v>237</v>
      </c>
    </row>
    <row r="7462" spans="1:2" ht="12.75" customHeight="1" x14ac:dyDescent="0.25">
      <c r="A7462" s="318">
        <v>92617097664</v>
      </c>
      <c r="B7462" s="318" t="s">
        <v>23</v>
      </c>
    </row>
    <row r="7463" spans="1:2" ht="12.75" customHeight="1" x14ac:dyDescent="0.25">
      <c r="A7463" s="318">
        <v>92617097665</v>
      </c>
      <c r="B7463" s="318" t="s">
        <v>23</v>
      </c>
    </row>
    <row r="7464" spans="1:2" ht="12.75" customHeight="1" x14ac:dyDescent="0.25">
      <c r="A7464" s="318">
        <v>92617097666</v>
      </c>
      <c r="B7464" s="318" t="s">
        <v>23</v>
      </c>
    </row>
    <row r="7465" spans="1:2" ht="12.75" customHeight="1" x14ac:dyDescent="0.25">
      <c r="A7465" s="318">
        <v>92617097667</v>
      </c>
      <c r="B7465" s="318" t="s">
        <v>23</v>
      </c>
    </row>
    <row r="7466" spans="1:2" ht="12.75" customHeight="1" x14ac:dyDescent="0.25">
      <c r="A7466" s="318">
        <v>92617097668</v>
      </c>
      <c r="B7466" s="318" t="s">
        <v>23</v>
      </c>
    </row>
    <row r="7467" spans="1:2" ht="12.75" customHeight="1" x14ac:dyDescent="0.25">
      <c r="A7467" s="318">
        <v>92617097669</v>
      </c>
      <c r="B7467" s="318" t="s">
        <v>23</v>
      </c>
    </row>
    <row r="7468" spans="1:2" ht="12.75" customHeight="1" x14ac:dyDescent="0.25">
      <c r="A7468" s="318">
        <v>92617097670</v>
      </c>
      <c r="B7468" s="318" t="s">
        <v>23</v>
      </c>
    </row>
    <row r="7469" spans="1:2" ht="12.75" customHeight="1" x14ac:dyDescent="0.25">
      <c r="A7469" s="318">
        <v>92617097671</v>
      </c>
      <c r="B7469" s="318" t="s">
        <v>23</v>
      </c>
    </row>
    <row r="7470" spans="1:2" ht="12.75" customHeight="1" x14ac:dyDescent="0.25">
      <c r="A7470" s="318">
        <v>92617097673</v>
      </c>
      <c r="B7470" s="318" t="s">
        <v>237</v>
      </c>
    </row>
    <row r="7471" spans="1:2" ht="12.75" customHeight="1" x14ac:dyDescent="0.25">
      <c r="A7471" s="318">
        <v>92617097674</v>
      </c>
      <c r="B7471" s="318" t="s">
        <v>237</v>
      </c>
    </row>
    <row r="7472" spans="1:2" ht="12.75" customHeight="1" x14ac:dyDescent="0.25">
      <c r="A7472" s="318">
        <v>92617097675</v>
      </c>
      <c r="B7472" s="318" t="s">
        <v>237</v>
      </c>
    </row>
    <row r="7473" spans="1:2" ht="12.75" customHeight="1" x14ac:dyDescent="0.25">
      <c r="A7473" s="318">
        <v>92617097676</v>
      </c>
      <c r="B7473" s="318" t="s">
        <v>237</v>
      </c>
    </row>
    <row r="7474" spans="1:2" ht="12.75" customHeight="1" x14ac:dyDescent="0.25">
      <c r="A7474" s="318">
        <v>92617097677</v>
      </c>
      <c r="B7474" s="318" t="s">
        <v>237</v>
      </c>
    </row>
    <row r="7475" spans="1:2" ht="12.75" customHeight="1" x14ac:dyDescent="0.25">
      <c r="A7475" s="318">
        <v>92617097678</v>
      </c>
      <c r="B7475" s="318" t="s">
        <v>237</v>
      </c>
    </row>
    <row r="7476" spans="1:2" ht="12.75" customHeight="1" x14ac:dyDescent="0.25">
      <c r="A7476" s="318">
        <v>92617097679</v>
      </c>
      <c r="B7476" s="318" t="s">
        <v>237</v>
      </c>
    </row>
    <row r="7477" spans="1:2" ht="12.75" customHeight="1" x14ac:dyDescent="0.25">
      <c r="A7477" s="318">
        <v>92617097680</v>
      </c>
      <c r="B7477" s="318" t="s">
        <v>237</v>
      </c>
    </row>
    <row r="7478" spans="1:2" ht="12.75" customHeight="1" x14ac:dyDescent="0.25">
      <c r="A7478" s="318">
        <v>92617097764</v>
      </c>
      <c r="B7478" s="318" t="s">
        <v>237</v>
      </c>
    </row>
    <row r="7479" spans="1:2" ht="12.75" customHeight="1" x14ac:dyDescent="0.25">
      <c r="A7479" s="318">
        <v>92617097765</v>
      </c>
      <c r="B7479" s="318" t="s">
        <v>237</v>
      </c>
    </row>
    <row r="7480" spans="1:2" ht="12.75" customHeight="1" x14ac:dyDescent="0.25">
      <c r="A7480" s="318">
        <v>92617097766</v>
      </c>
      <c r="B7480" s="318" t="s">
        <v>237</v>
      </c>
    </row>
    <row r="7481" spans="1:2" ht="12.75" customHeight="1" x14ac:dyDescent="0.25">
      <c r="A7481" s="318">
        <v>92617097767</v>
      </c>
      <c r="B7481" s="318" t="s">
        <v>237</v>
      </c>
    </row>
    <row r="7482" spans="1:2" ht="12.75" customHeight="1" x14ac:dyDescent="0.25">
      <c r="A7482" s="318">
        <v>92617097768</v>
      </c>
      <c r="B7482" s="318" t="s">
        <v>237</v>
      </c>
    </row>
    <row r="7483" spans="1:2" ht="12.75" customHeight="1" x14ac:dyDescent="0.25">
      <c r="A7483" s="318">
        <v>92617097769</v>
      </c>
      <c r="B7483" s="318" t="s">
        <v>237</v>
      </c>
    </row>
    <row r="7484" spans="1:2" ht="12.75" customHeight="1" x14ac:dyDescent="0.25">
      <c r="A7484" s="318">
        <v>92617097770</v>
      </c>
      <c r="B7484" s="318" t="s">
        <v>237</v>
      </c>
    </row>
    <row r="7485" spans="1:2" ht="12.75" customHeight="1" x14ac:dyDescent="0.25">
      <c r="A7485" s="318">
        <v>92617097771</v>
      </c>
      <c r="B7485" s="318" t="s">
        <v>237</v>
      </c>
    </row>
    <row r="7486" spans="1:2" ht="12.75" customHeight="1" x14ac:dyDescent="0.25">
      <c r="A7486" s="318">
        <v>92617097773</v>
      </c>
      <c r="B7486" s="318" t="s">
        <v>237</v>
      </c>
    </row>
    <row r="7487" spans="1:2" ht="12.75" customHeight="1" x14ac:dyDescent="0.25">
      <c r="A7487" s="318">
        <v>92617097774</v>
      </c>
      <c r="B7487" s="318" t="s">
        <v>237</v>
      </c>
    </row>
    <row r="7488" spans="1:2" ht="12.75" customHeight="1" x14ac:dyDescent="0.25">
      <c r="A7488" s="318">
        <v>92617097775</v>
      </c>
      <c r="B7488" s="318" t="s">
        <v>237</v>
      </c>
    </row>
    <row r="7489" spans="1:2" ht="12.75" customHeight="1" x14ac:dyDescent="0.25">
      <c r="A7489" s="318">
        <v>92617097776</v>
      </c>
      <c r="B7489" s="318" t="s">
        <v>237</v>
      </c>
    </row>
    <row r="7490" spans="1:2" ht="12.75" customHeight="1" x14ac:dyDescent="0.25">
      <c r="A7490" s="318">
        <v>92617097777</v>
      </c>
      <c r="B7490" s="318" t="s">
        <v>237</v>
      </c>
    </row>
    <row r="7491" spans="1:2" ht="12.75" customHeight="1" x14ac:dyDescent="0.25">
      <c r="A7491" s="318">
        <v>92617097778</v>
      </c>
      <c r="B7491" s="318" t="s">
        <v>237</v>
      </c>
    </row>
    <row r="7492" spans="1:2" ht="12.75" customHeight="1" x14ac:dyDescent="0.25">
      <c r="A7492" s="318">
        <v>92617097779</v>
      </c>
      <c r="B7492" s="318" t="s">
        <v>237</v>
      </c>
    </row>
    <row r="7493" spans="1:2" ht="12.75" customHeight="1" x14ac:dyDescent="0.25">
      <c r="A7493" s="318">
        <v>92617097780</v>
      </c>
      <c r="B7493" s="318" t="s">
        <v>237</v>
      </c>
    </row>
    <row r="7494" spans="1:2" ht="12.75" customHeight="1" x14ac:dyDescent="0.25">
      <c r="A7494" s="318">
        <v>92617578637</v>
      </c>
      <c r="B7494" s="318" t="s">
        <v>23</v>
      </c>
    </row>
    <row r="7495" spans="1:2" ht="12.75" customHeight="1" x14ac:dyDescent="0.25">
      <c r="A7495" s="318">
        <v>92617578638</v>
      </c>
      <c r="B7495" s="318" t="s">
        <v>23</v>
      </c>
    </row>
    <row r="7496" spans="1:2" ht="12.75" customHeight="1" x14ac:dyDescent="0.25">
      <c r="A7496" s="318">
        <v>92617578639</v>
      </c>
      <c r="B7496" s="318" t="s">
        <v>23</v>
      </c>
    </row>
    <row r="7497" spans="1:2" ht="12.75" customHeight="1" x14ac:dyDescent="0.25">
      <c r="A7497" s="318">
        <v>92617578640</v>
      </c>
      <c r="B7497" s="318" t="s">
        <v>23</v>
      </c>
    </row>
    <row r="7498" spans="1:2" ht="12.75" customHeight="1" x14ac:dyDescent="0.25">
      <c r="A7498" s="318">
        <v>92617578641</v>
      </c>
      <c r="B7498" s="318" t="s">
        <v>23</v>
      </c>
    </row>
    <row r="7499" spans="1:2" ht="12.75" customHeight="1" x14ac:dyDescent="0.25">
      <c r="A7499" s="318">
        <v>92617578642</v>
      </c>
      <c r="B7499" s="318" t="s">
        <v>23</v>
      </c>
    </row>
    <row r="7500" spans="1:2" ht="12.75" customHeight="1" x14ac:dyDescent="0.25">
      <c r="A7500" s="318">
        <v>92617578643</v>
      </c>
      <c r="B7500" s="318" t="s">
        <v>23</v>
      </c>
    </row>
    <row r="7501" spans="1:2" ht="12.75" customHeight="1" x14ac:dyDescent="0.25">
      <c r="A7501" s="318">
        <v>92617578644</v>
      </c>
      <c r="B7501" s="318" t="s">
        <v>23</v>
      </c>
    </row>
    <row r="7502" spans="1:2" ht="12.75" customHeight="1" x14ac:dyDescent="0.25">
      <c r="A7502" s="318">
        <v>92617578646</v>
      </c>
      <c r="B7502" s="318" t="s">
        <v>237</v>
      </c>
    </row>
    <row r="7503" spans="1:2" ht="12.75" customHeight="1" x14ac:dyDescent="0.25">
      <c r="A7503" s="318">
        <v>92617578647</v>
      </c>
      <c r="B7503" s="318" t="s">
        <v>237</v>
      </c>
    </row>
    <row r="7504" spans="1:2" ht="12.75" customHeight="1" x14ac:dyDescent="0.25">
      <c r="A7504" s="318">
        <v>92617578648</v>
      </c>
      <c r="B7504" s="318" t="s">
        <v>237</v>
      </c>
    </row>
    <row r="7505" spans="1:2" ht="12.75" customHeight="1" x14ac:dyDescent="0.25">
      <c r="A7505" s="318">
        <v>92617578649</v>
      </c>
      <c r="B7505" s="318" t="s">
        <v>237</v>
      </c>
    </row>
    <row r="7506" spans="1:2" ht="12.75" customHeight="1" x14ac:dyDescent="0.25">
      <c r="A7506" s="318">
        <v>92617578650</v>
      </c>
      <c r="B7506" s="318" t="s">
        <v>237</v>
      </c>
    </row>
    <row r="7507" spans="1:2" ht="12.75" customHeight="1" x14ac:dyDescent="0.25">
      <c r="A7507" s="318">
        <v>92617578651</v>
      </c>
      <c r="B7507" s="318" t="s">
        <v>237</v>
      </c>
    </row>
    <row r="7508" spans="1:2" ht="12.75" customHeight="1" x14ac:dyDescent="0.25">
      <c r="A7508" s="318">
        <v>92617578652</v>
      </c>
      <c r="B7508" s="318" t="s">
        <v>237</v>
      </c>
    </row>
    <row r="7509" spans="1:2" ht="12.75" customHeight="1" x14ac:dyDescent="0.25">
      <c r="A7509" s="318">
        <v>92617578653</v>
      </c>
      <c r="B7509" s="318" t="s">
        <v>237</v>
      </c>
    </row>
    <row r="7510" spans="1:2" ht="12.75" customHeight="1" x14ac:dyDescent="0.25">
      <c r="A7510" s="318">
        <v>92617578737</v>
      </c>
      <c r="B7510" s="318" t="s">
        <v>237</v>
      </c>
    </row>
    <row r="7511" spans="1:2" ht="12.75" customHeight="1" x14ac:dyDescent="0.25">
      <c r="A7511" s="318">
        <v>92617578738</v>
      </c>
      <c r="B7511" s="318" t="s">
        <v>237</v>
      </c>
    </row>
    <row r="7512" spans="1:2" ht="12.75" customHeight="1" x14ac:dyDescent="0.25">
      <c r="A7512" s="318">
        <v>92617578739</v>
      </c>
      <c r="B7512" s="318" t="s">
        <v>237</v>
      </c>
    </row>
    <row r="7513" spans="1:2" ht="12.75" customHeight="1" x14ac:dyDescent="0.25">
      <c r="A7513" s="318">
        <v>92617578740</v>
      </c>
      <c r="B7513" s="318" t="s">
        <v>237</v>
      </c>
    </row>
    <row r="7514" spans="1:2" ht="12.75" customHeight="1" x14ac:dyDescent="0.25">
      <c r="A7514" s="318">
        <v>92617578741</v>
      </c>
      <c r="B7514" s="318" t="s">
        <v>237</v>
      </c>
    </row>
    <row r="7515" spans="1:2" ht="12.75" customHeight="1" x14ac:dyDescent="0.25">
      <c r="A7515" s="318">
        <v>92617578742</v>
      </c>
      <c r="B7515" s="318" t="s">
        <v>237</v>
      </c>
    </row>
    <row r="7516" spans="1:2" ht="12.75" customHeight="1" x14ac:dyDescent="0.25">
      <c r="A7516" s="318">
        <v>92617578743</v>
      </c>
      <c r="B7516" s="318" t="s">
        <v>237</v>
      </c>
    </row>
    <row r="7517" spans="1:2" ht="12.75" customHeight="1" x14ac:dyDescent="0.25">
      <c r="A7517" s="318">
        <v>92617578744</v>
      </c>
      <c r="B7517" s="318" t="s">
        <v>237</v>
      </c>
    </row>
    <row r="7518" spans="1:2" ht="12.75" customHeight="1" x14ac:dyDescent="0.25">
      <c r="A7518" s="318">
        <v>92617578746</v>
      </c>
      <c r="B7518" s="318" t="s">
        <v>237</v>
      </c>
    </row>
    <row r="7519" spans="1:2" ht="12.75" customHeight="1" x14ac:dyDescent="0.25">
      <c r="A7519" s="318">
        <v>92617578747</v>
      </c>
      <c r="B7519" s="318" t="s">
        <v>237</v>
      </c>
    </row>
    <row r="7520" spans="1:2" ht="12.75" customHeight="1" x14ac:dyDescent="0.25">
      <c r="A7520" s="318">
        <v>92617578748</v>
      </c>
      <c r="B7520" s="318" t="s">
        <v>237</v>
      </c>
    </row>
    <row r="7521" spans="1:2" ht="12.75" customHeight="1" x14ac:dyDescent="0.25">
      <c r="A7521" s="318">
        <v>92617578749</v>
      </c>
      <c r="B7521" s="318" t="s">
        <v>237</v>
      </c>
    </row>
    <row r="7522" spans="1:2" ht="12.75" customHeight="1" x14ac:dyDescent="0.25">
      <c r="A7522" s="318">
        <v>92617578750</v>
      </c>
      <c r="B7522" s="318" t="s">
        <v>237</v>
      </c>
    </row>
    <row r="7523" spans="1:2" ht="12.75" customHeight="1" x14ac:dyDescent="0.25">
      <c r="A7523" s="318">
        <v>92617578751</v>
      </c>
      <c r="B7523" s="318" t="s">
        <v>237</v>
      </c>
    </row>
    <row r="7524" spans="1:2" ht="12.75" customHeight="1" x14ac:dyDescent="0.25">
      <c r="A7524" s="318">
        <v>92617578752</v>
      </c>
      <c r="B7524" s="318" t="s">
        <v>237</v>
      </c>
    </row>
    <row r="7525" spans="1:2" ht="12.75" customHeight="1" x14ac:dyDescent="0.25">
      <c r="A7525" s="318">
        <v>92617578753</v>
      </c>
      <c r="B7525" s="318" t="s">
        <v>237</v>
      </c>
    </row>
    <row r="7526" spans="1:2" ht="12.75" customHeight="1" x14ac:dyDescent="0.25">
      <c r="A7526" s="318">
        <v>92618059610</v>
      </c>
      <c r="B7526" s="318" t="s">
        <v>23</v>
      </c>
    </row>
    <row r="7527" spans="1:2" ht="12.75" customHeight="1" x14ac:dyDescent="0.25">
      <c r="A7527" s="318">
        <v>92618059611</v>
      </c>
      <c r="B7527" s="318" t="s">
        <v>23</v>
      </c>
    </row>
    <row r="7528" spans="1:2" ht="12.75" customHeight="1" x14ac:dyDescent="0.25">
      <c r="A7528" s="318">
        <v>92618059612</v>
      </c>
      <c r="B7528" s="318" t="s">
        <v>23</v>
      </c>
    </row>
    <row r="7529" spans="1:2" ht="12.75" customHeight="1" x14ac:dyDescent="0.25">
      <c r="A7529" s="318">
        <v>92618059613</v>
      </c>
      <c r="B7529" s="318" t="s">
        <v>23</v>
      </c>
    </row>
    <row r="7530" spans="1:2" ht="12.75" customHeight="1" x14ac:dyDescent="0.25">
      <c r="A7530" s="318">
        <v>92618059614</v>
      </c>
      <c r="B7530" s="318" t="s">
        <v>23</v>
      </c>
    </row>
    <row r="7531" spans="1:2" ht="12.75" customHeight="1" x14ac:dyDescent="0.25">
      <c r="A7531" s="318">
        <v>92618059615</v>
      </c>
      <c r="B7531" s="318" t="s">
        <v>23</v>
      </c>
    </row>
    <row r="7532" spans="1:2" ht="12.75" customHeight="1" x14ac:dyDescent="0.25">
      <c r="A7532" s="318">
        <v>92618059616</v>
      </c>
      <c r="B7532" s="318" t="s">
        <v>23</v>
      </c>
    </row>
    <row r="7533" spans="1:2" ht="12.75" customHeight="1" x14ac:dyDescent="0.25">
      <c r="A7533" s="318">
        <v>92618059617</v>
      </c>
      <c r="B7533" s="318" t="s">
        <v>23</v>
      </c>
    </row>
    <row r="7534" spans="1:2" ht="12.75" customHeight="1" x14ac:dyDescent="0.25">
      <c r="A7534" s="318">
        <v>92618059619</v>
      </c>
      <c r="B7534" s="318" t="s">
        <v>23</v>
      </c>
    </row>
    <row r="7535" spans="1:2" ht="12.75" customHeight="1" x14ac:dyDescent="0.25">
      <c r="A7535" s="318">
        <v>92618059620</v>
      </c>
      <c r="B7535" s="318" t="s">
        <v>23</v>
      </c>
    </row>
    <row r="7536" spans="1:2" ht="12.75" customHeight="1" x14ac:dyDescent="0.25">
      <c r="A7536" s="318">
        <v>92618059621</v>
      </c>
      <c r="B7536" s="318" t="s">
        <v>23</v>
      </c>
    </row>
    <row r="7537" spans="1:2" ht="12.75" customHeight="1" x14ac:dyDescent="0.25">
      <c r="A7537" s="318">
        <v>92618059622</v>
      </c>
      <c r="B7537" s="318" t="s">
        <v>23</v>
      </c>
    </row>
    <row r="7538" spans="1:2" ht="12.75" customHeight="1" x14ac:dyDescent="0.25">
      <c r="A7538" s="318">
        <v>92618059623</v>
      </c>
      <c r="B7538" s="318" t="s">
        <v>23</v>
      </c>
    </row>
    <row r="7539" spans="1:2" ht="12.75" customHeight="1" x14ac:dyDescent="0.25">
      <c r="A7539" s="318">
        <v>92618059624</v>
      </c>
      <c r="B7539" s="318" t="s">
        <v>23</v>
      </c>
    </row>
    <row r="7540" spans="1:2" ht="12.75" customHeight="1" x14ac:dyDescent="0.25">
      <c r="A7540" s="318">
        <v>92618059625</v>
      </c>
      <c r="B7540" s="318" t="s">
        <v>23</v>
      </c>
    </row>
    <row r="7541" spans="1:2" ht="12.75" customHeight="1" x14ac:dyDescent="0.25">
      <c r="A7541" s="318">
        <v>92618059626</v>
      </c>
      <c r="B7541" s="318" t="s">
        <v>23</v>
      </c>
    </row>
    <row r="7542" spans="1:2" ht="12.75" customHeight="1" x14ac:dyDescent="0.25">
      <c r="A7542" s="318">
        <v>92618059710</v>
      </c>
      <c r="B7542" s="318" t="s">
        <v>237</v>
      </c>
    </row>
    <row r="7543" spans="1:2" ht="12.75" customHeight="1" x14ac:dyDescent="0.25">
      <c r="A7543" s="318">
        <v>92618059711</v>
      </c>
      <c r="B7543" s="318" t="s">
        <v>237</v>
      </c>
    </row>
    <row r="7544" spans="1:2" ht="12.75" customHeight="1" x14ac:dyDescent="0.25">
      <c r="A7544" s="318">
        <v>92618059712</v>
      </c>
      <c r="B7544" s="318" t="s">
        <v>237</v>
      </c>
    </row>
    <row r="7545" spans="1:2" ht="12.75" customHeight="1" x14ac:dyDescent="0.25">
      <c r="A7545" s="318">
        <v>92618059713</v>
      </c>
      <c r="B7545" s="318" t="s">
        <v>237</v>
      </c>
    </row>
    <row r="7546" spans="1:2" ht="12.75" customHeight="1" x14ac:dyDescent="0.25">
      <c r="A7546" s="318">
        <v>92618059714</v>
      </c>
      <c r="B7546" s="318" t="s">
        <v>237</v>
      </c>
    </row>
    <row r="7547" spans="1:2" ht="12.75" customHeight="1" x14ac:dyDescent="0.25">
      <c r="A7547" s="318">
        <v>92618059715</v>
      </c>
      <c r="B7547" s="318" t="s">
        <v>237</v>
      </c>
    </row>
    <row r="7548" spans="1:2" ht="12.75" customHeight="1" x14ac:dyDescent="0.25">
      <c r="A7548" s="318">
        <v>92618059716</v>
      </c>
      <c r="B7548" s="318" t="s">
        <v>237</v>
      </c>
    </row>
    <row r="7549" spans="1:2" ht="12.75" customHeight="1" x14ac:dyDescent="0.25">
      <c r="A7549" s="318">
        <v>92618059717</v>
      </c>
      <c r="B7549" s="318" t="s">
        <v>237</v>
      </c>
    </row>
    <row r="7550" spans="1:2" ht="12.75" customHeight="1" x14ac:dyDescent="0.25">
      <c r="A7550" s="318">
        <v>92618059719</v>
      </c>
      <c r="B7550" s="318" t="s">
        <v>237</v>
      </c>
    </row>
    <row r="7551" spans="1:2" ht="12.75" customHeight="1" x14ac:dyDescent="0.25">
      <c r="A7551" s="318">
        <v>92618059720</v>
      </c>
      <c r="B7551" s="318" t="s">
        <v>237</v>
      </c>
    </row>
    <row r="7552" spans="1:2" ht="12.75" customHeight="1" x14ac:dyDescent="0.25">
      <c r="A7552" s="318">
        <v>92618059721</v>
      </c>
      <c r="B7552" s="318" t="s">
        <v>237</v>
      </c>
    </row>
    <row r="7553" spans="1:2" ht="12.75" customHeight="1" x14ac:dyDescent="0.25">
      <c r="A7553" s="318">
        <v>92618059722</v>
      </c>
      <c r="B7553" s="318" t="s">
        <v>237</v>
      </c>
    </row>
    <row r="7554" spans="1:2" ht="12.75" customHeight="1" x14ac:dyDescent="0.25">
      <c r="A7554" s="318">
        <v>92618059723</v>
      </c>
      <c r="B7554" s="318" t="s">
        <v>237</v>
      </c>
    </row>
    <row r="7555" spans="1:2" ht="12.75" customHeight="1" x14ac:dyDescent="0.25">
      <c r="A7555" s="318">
        <v>92618059724</v>
      </c>
      <c r="B7555" s="318" t="s">
        <v>237</v>
      </c>
    </row>
    <row r="7556" spans="1:2" ht="12.75" customHeight="1" x14ac:dyDescent="0.25">
      <c r="A7556" s="318">
        <v>92618059725</v>
      </c>
      <c r="B7556" s="318" t="s">
        <v>237</v>
      </c>
    </row>
    <row r="7557" spans="1:2" ht="12.75" customHeight="1" x14ac:dyDescent="0.25">
      <c r="A7557" s="318">
        <v>92618059726</v>
      </c>
      <c r="B7557" s="318" t="s">
        <v>237</v>
      </c>
    </row>
    <row r="7558" spans="1:2" ht="12.75" customHeight="1" x14ac:dyDescent="0.25">
      <c r="A7558" s="318">
        <v>92618739801</v>
      </c>
      <c r="B7558" s="318" t="s">
        <v>23</v>
      </c>
    </row>
    <row r="7559" spans="1:2" ht="12.75" customHeight="1" x14ac:dyDescent="0.25">
      <c r="A7559" s="318">
        <v>92618739802</v>
      </c>
      <c r="B7559" s="318" t="s">
        <v>23</v>
      </c>
    </row>
    <row r="7560" spans="1:2" ht="12.75" customHeight="1" x14ac:dyDescent="0.25">
      <c r="A7560" s="318">
        <v>92618739803</v>
      </c>
      <c r="B7560" s="318" t="s">
        <v>23</v>
      </c>
    </row>
    <row r="7561" spans="1:2" ht="12.75" customHeight="1" x14ac:dyDescent="0.25">
      <c r="A7561" s="318">
        <v>92618739804</v>
      </c>
      <c r="B7561" s="318" t="s">
        <v>23</v>
      </c>
    </row>
    <row r="7562" spans="1:2" ht="12.75" customHeight="1" x14ac:dyDescent="0.25">
      <c r="A7562" s="318">
        <v>92618739805</v>
      </c>
      <c r="B7562" s="318" t="s">
        <v>23</v>
      </c>
    </row>
    <row r="7563" spans="1:2" ht="12.75" customHeight="1" x14ac:dyDescent="0.25">
      <c r="A7563" s="318">
        <v>92618739806</v>
      </c>
      <c r="B7563" s="318" t="s">
        <v>23</v>
      </c>
    </row>
    <row r="7564" spans="1:2" ht="12.75" customHeight="1" x14ac:dyDescent="0.25">
      <c r="A7564" s="318">
        <v>92618739807</v>
      </c>
      <c r="B7564" s="318" t="s">
        <v>23</v>
      </c>
    </row>
    <row r="7565" spans="1:2" ht="12.75" customHeight="1" x14ac:dyDescent="0.25">
      <c r="A7565" s="318">
        <v>92618739808</v>
      </c>
      <c r="B7565" s="318" t="s">
        <v>23</v>
      </c>
    </row>
    <row r="7566" spans="1:2" ht="12.75" customHeight="1" x14ac:dyDescent="0.25">
      <c r="A7566" s="318">
        <v>92618739810</v>
      </c>
      <c r="B7566" s="318" t="s">
        <v>23</v>
      </c>
    </row>
    <row r="7567" spans="1:2" ht="12.75" customHeight="1" x14ac:dyDescent="0.25">
      <c r="A7567" s="318">
        <v>92618739811</v>
      </c>
      <c r="B7567" s="318" t="s">
        <v>23</v>
      </c>
    </row>
    <row r="7568" spans="1:2" ht="12.75" customHeight="1" x14ac:dyDescent="0.25">
      <c r="A7568" s="318">
        <v>92618739812</v>
      </c>
      <c r="B7568" s="318" t="s">
        <v>23</v>
      </c>
    </row>
    <row r="7569" spans="1:2" ht="12.75" customHeight="1" x14ac:dyDescent="0.25">
      <c r="A7569" s="318">
        <v>92618739813</v>
      </c>
      <c r="B7569" s="318" t="s">
        <v>23</v>
      </c>
    </row>
    <row r="7570" spans="1:2" ht="12.75" customHeight="1" x14ac:dyDescent="0.25">
      <c r="A7570" s="318">
        <v>92618739814</v>
      </c>
      <c r="B7570" s="318" t="s">
        <v>23</v>
      </c>
    </row>
    <row r="7571" spans="1:2" ht="12.75" customHeight="1" x14ac:dyDescent="0.25">
      <c r="A7571" s="318">
        <v>92618739815</v>
      </c>
      <c r="B7571" s="318" t="s">
        <v>23</v>
      </c>
    </row>
    <row r="7572" spans="1:2" ht="12.75" customHeight="1" x14ac:dyDescent="0.25">
      <c r="A7572" s="318">
        <v>92618739816</v>
      </c>
      <c r="B7572" s="318" t="s">
        <v>23</v>
      </c>
    </row>
    <row r="7573" spans="1:2" ht="12.75" customHeight="1" x14ac:dyDescent="0.25">
      <c r="A7573" s="318">
        <v>92618739817</v>
      </c>
      <c r="B7573" s="318" t="s">
        <v>23</v>
      </c>
    </row>
    <row r="7574" spans="1:2" ht="12.75" customHeight="1" x14ac:dyDescent="0.25">
      <c r="A7574" s="318">
        <v>92618739901</v>
      </c>
      <c r="B7574" s="318" t="s">
        <v>237</v>
      </c>
    </row>
    <row r="7575" spans="1:2" ht="12.75" customHeight="1" x14ac:dyDescent="0.25">
      <c r="A7575" s="318">
        <v>92618739902</v>
      </c>
      <c r="B7575" s="318" t="s">
        <v>237</v>
      </c>
    </row>
    <row r="7576" spans="1:2" ht="12.75" customHeight="1" x14ac:dyDescent="0.25">
      <c r="A7576" s="318">
        <v>92618739903</v>
      </c>
      <c r="B7576" s="318" t="s">
        <v>237</v>
      </c>
    </row>
    <row r="7577" spans="1:2" ht="12.75" customHeight="1" x14ac:dyDescent="0.25">
      <c r="A7577" s="318">
        <v>92618739904</v>
      </c>
      <c r="B7577" s="318" t="s">
        <v>237</v>
      </c>
    </row>
    <row r="7578" spans="1:2" ht="12.75" customHeight="1" x14ac:dyDescent="0.25">
      <c r="A7578" s="318">
        <v>92618739905</v>
      </c>
      <c r="B7578" s="318" t="s">
        <v>237</v>
      </c>
    </row>
    <row r="7579" spans="1:2" ht="12.75" customHeight="1" x14ac:dyDescent="0.25">
      <c r="A7579" s="318">
        <v>92618739906</v>
      </c>
      <c r="B7579" s="318" t="s">
        <v>237</v>
      </c>
    </row>
    <row r="7580" spans="1:2" ht="12.75" customHeight="1" x14ac:dyDescent="0.25">
      <c r="A7580" s="318">
        <v>92618739907</v>
      </c>
      <c r="B7580" s="318" t="s">
        <v>237</v>
      </c>
    </row>
    <row r="7581" spans="1:2" ht="12.75" customHeight="1" x14ac:dyDescent="0.25">
      <c r="A7581" s="318">
        <v>92618739908</v>
      </c>
      <c r="B7581" s="318" t="s">
        <v>237</v>
      </c>
    </row>
    <row r="7582" spans="1:2" ht="12.75" customHeight="1" x14ac:dyDescent="0.25">
      <c r="A7582" s="318">
        <v>92618739910</v>
      </c>
      <c r="B7582" s="318" t="s">
        <v>237</v>
      </c>
    </row>
    <row r="7583" spans="1:2" ht="12.75" customHeight="1" x14ac:dyDescent="0.25">
      <c r="A7583" s="318">
        <v>92618739911</v>
      </c>
      <c r="B7583" s="318" t="s">
        <v>237</v>
      </c>
    </row>
    <row r="7584" spans="1:2" ht="12.75" customHeight="1" x14ac:dyDescent="0.25">
      <c r="A7584" s="318">
        <v>92618739912</v>
      </c>
      <c r="B7584" s="318" t="s">
        <v>237</v>
      </c>
    </row>
    <row r="7585" spans="1:2" ht="12.75" customHeight="1" x14ac:dyDescent="0.25">
      <c r="A7585" s="318">
        <v>92618739913</v>
      </c>
      <c r="B7585" s="318" t="s">
        <v>237</v>
      </c>
    </row>
    <row r="7586" spans="1:2" ht="12.75" customHeight="1" x14ac:dyDescent="0.25">
      <c r="A7586" s="318">
        <v>92618739914</v>
      </c>
      <c r="B7586" s="318" t="s">
        <v>237</v>
      </c>
    </row>
    <row r="7587" spans="1:2" ht="12.75" customHeight="1" x14ac:dyDescent="0.25">
      <c r="A7587" s="318">
        <v>92618739915</v>
      </c>
      <c r="B7587" s="318" t="s">
        <v>237</v>
      </c>
    </row>
    <row r="7588" spans="1:2" ht="12.75" customHeight="1" x14ac:dyDescent="0.25">
      <c r="A7588" s="318">
        <v>92618739916</v>
      </c>
      <c r="B7588" s="318" t="s">
        <v>237</v>
      </c>
    </row>
    <row r="7589" spans="1:2" ht="12.75" customHeight="1" x14ac:dyDescent="0.25">
      <c r="A7589" s="318">
        <v>92618739917</v>
      </c>
      <c r="B7589" s="318" t="s">
        <v>237</v>
      </c>
    </row>
    <row r="7590" spans="1:2" ht="12.75" customHeight="1" x14ac:dyDescent="0.25">
      <c r="A7590" s="318">
        <v>92619220774</v>
      </c>
      <c r="B7590" s="318" t="s">
        <v>23</v>
      </c>
    </row>
    <row r="7591" spans="1:2" ht="12.75" customHeight="1" x14ac:dyDescent="0.25">
      <c r="A7591" s="318">
        <v>92619220775</v>
      </c>
      <c r="B7591" s="318" t="s">
        <v>23</v>
      </c>
    </row>
    <row r="7592" spans="1:2" ht="12.75" customHeight="1" x14ac:dyDescent="0.25">
      <c r="A7592" s="318">
        <v>92619220776</v>
      </c>
      <c r="B7592" s="318" t="s">
        <v>23</v>
      </c>
    </row>
    <row r="7593" spans="1:2" ht="12.75" customHeight="1" x14ac:dyDescent="0.25">
      <c r="A7593" s="318">
        <v>92619220777</v>
      </c>
      <c r="B7593" s="318" t="s">
        <v>23</v>
      </c>
    </row>
    <row r="7594" spans="1:2" ht="12.75" customHeight="1" x14ac:dyDescent="0.25">
      <c r="A7594" s="318">
        <v>92619220778</v>
      </c>
      <c r="B7594" s="318" t="s">
        <v>23</v>
      </c>
    </row>
    <row r="7595" spans="1:2" ht="12.75" customHeight="1" x14ac:dyDescent="0.25">
      <c r="A7595" s="318">
        <v>92619220779</v>
      </c>
      <c r="B7595" s="318" t="s">
        <v>23</v>
      </c>
    </row>
    <row r="7596" spans="1:2" ht="12.75" customHeight="1" x14ac:dyDescent="0.25">
      <c r="A7596" s="318">
        <v>92619220780</v>
      </c>
      <c r="B7596" s="318" t="s">
        <v>23</v>
      </c>
    </row>
    <row r="7597" spans="1:2" ht="12.75" customHeight="1" x14ac:dyDescent="0.25">
      <c r="A7597" s="318">
        <v>92619220781</v>
      </c>
      <c r="B7597" s="318" t="s">
        <v>23</v>
      </c>
    </row>
    <row r="7598" spans="1:2" ht="12.75" customHeight="1" x14ac:dyDescent="0.25">
      <c r="A7598" s="318">
        <v>92619220783</v>
      </c>
      <c r="B7598" s="318" t="s">
        <v>23</v>
      </c>
    </row>
    <row r="7599" spans="1:2" ht="12.75" customHeight="1" x14ac:dyDescent="0.25">
      <c r="A7599" s="318">
        <v>92619220784</v>
      </c>
      <c r="B7599" s="318" t="s">
        <v>23</v>
      </c>
    </row>
    <row r="7600" spans="1:2" ht="12.75" customHeight="1" x14ac:dyDescent="0.25">
      <c r="A7600" s="318">
        <v>92619220785</v>
      </c>
      <c r="B7600" s="318" t="s">
        <v>23</v>
      </c>
    </row>
    <row r="7601" spans="1:2" ht="12.75" customHeight="1" x14ac:dyDescent="0.25">
      <c r="A7601" s="318">
        <v>92619220786</v>
      </c>
      <c r="B7601" s="318" t="s">
        <v>23</v>
      </c>
    </row>
    <row r="7602" spans="1:2" ht="12.75" customHeight="1" x14ac:dyDescent="0.25">
      <c r="A7602" s="318">
        <v>92619220787</v>
      </c>
      <c r="B7602" s="318" t="s">
        <v>23</v>
      </c>
    </row>
    <row r="7603" spans="1:2" ht="12.75" customHeight="1" x14ac:dyDescent="0.25">
      <c r="A7603" s="318">
        <v>92619220788</v>
      </c>
      <c r="B7603" s="318" t="s">
        <v>23</v>
      </c>
    </row>
    <row r="7604" spans="1:2" ht="12.75" customHeight="1" x14ac:dyDescent="0.25">
      <c r="A7604" s="318">
        <v>92619220789</v>
      </c>
      <c r="B7604" s="318" t="s">
        <v>23</v>
      </c>
    </row>
    <row r="7605" spans="1:2" ht="12.75" customHeight="1" x14ac:dyDescent="0.25">
      <c r="A7605" s="318">
        <v>92619220790</v>
      </c>
      <c r="B7605" s="318" t="s">
        <v>23</v>
      </c>
    </row>
    <row r="7606" spans="1:2" ht="12.75" customHeight="1" x14ac:dyDescent="0.25">
      <c r="A7606" s="318">
        <v>92619220874</v>
      </c>
      <c r="B7606" s="318" t="s">
        <v>237</v>
      </c>
    </row>
    <row r="7607" spans="1:2" ht="12.75" customHeight="1" x14ac:dyDescent="0.25">
      <c r="A7607" s="318">
        <v>92619220875</v>
      </c>
      <c r="B7607" s="318" t="s">
        <v>237</v>
      </c>
    </row>
    <row r="7608" spans="1:2" ht="12.75" customHeight="1" x14ac:dyDescent="0.25">
      <c r="A7608" s="318">
        <v>92619220876</v>
      </c>
      <c r="B7608" s="318" t="s">
        <v>237</v>
      </c>
    </row>
    <row r="7609" spans="1:2" ht="12.75" customHeight="1" x14ac:dyDescent="0.25">
      <c r="A7609" s="318">
        <v>92619220877</v>
      </c>
      <c r="B7609" s="318" t="s">
        <v>237</v>
      </c>
    </row>
    <row r="7610" spans="1:2" ht="12.75" customHeight="1" x14ac:dyDescent="0.25">
      <c r="A7610" s="318">
        <v>92619220878</v>
      </c>
      <c r="B7610" s="318" t="s">
        <v>237</v>
      </c>
    </row>
    <row r="7611" spans="1:2" ht="12.75" customHeight="1" x14ac:dyDescent="0.25">
      <c r="A7611" s="318">
        <v>92619220879</v>
      </c>
      <c r="B7611" s="318" t="s">
        <v>237</v>
      </c>
    </row>
    <row r="7612" spans="1:2" ht="12.75" customHeight="1" x14ac:dyDescent="0.25">
      <c r="A7612" s="318">
        <v>92619220880</v>
      </c>
      <c r="B7612" s="318" t="s">
        <v>237</v>
      </c>
    </row>
    <row r="7613" spans="1:2" ht="12.75" customHeight="1" x14ac:dyDescent="0.25">
      <c r="A7613" s="318">
        <v>92619220881</v>
      </c>
      <c r="B7613" s="318" t="s">
        <v>237</v>
      </c>
    </row>
    <row r="7614" spans="1:2" ht="12.75" customHeight="1" x14ac:dyDescent="0.25">
      <c r="A7614" s="318">
        <v>92619220883</v>
      </c>
      <c r="B7614" s="318" t="s">
        <v>237</v>
      </c>
    </row>
    <row r="7615" spans="1:2" ht="12.75" customHeight="1" x14ac:dyDescent="0.25">
      <c r="A7615" s="318">
        <v>92619220884</v>
      </c>
      <c r="B7615" s="318" t="s">
        <v>237</v>
      </c>
    </row>
    <row r="7616" spans="1:2" ht="12.75" customHeight="1" x14ac:dyDescent="0.25">
      <c r="A7616" s="318">
        <v>92619220885</v>
      </c>
      <c r="B7616" s="318" t="s">
        <v>237</v>
      </c>
    </row>
    <row r="7617" spans="1:2" ht="12.75" customHeight="1" x14ac:dyDescent="0.25">
      <c r="A7617" s="318">
        <v>92619220886</v>
      </c>
      <c r="B7617" s="318" t="s">
        <v>237</v>
      </c>
    </row>
    <row r="7618" spans="1:2" ht="12.75" customHeight="1" x14ac:dyDescent="0.25">
      <c r="A7618" s="318">
        <v>92619220887</v>
      </c>
      <c r="B7618" s="318" t="s">
        <v>237</v>
      </c>
    </row>
    <row r="7619" spans="1:2" ht="12.75" customHeight="1" x14ac:dyDescent="0.25">
      <c r="A7619" s="318">
        <v>92619220888</v>
      </c>
      <c r="B7619" s="318" t="s">
        <v>237</v>
      </c>
    </row>
    <row r="7620" spans="1:2" ht="12.75" customHeight="1" x14ac:dyDescent="0.25">
      <c r="A7620" s="318">
        <v>92619220889</v>
      </c>
      <c r="B7620" s="318" t="s">
        <v>237</v>
      </c>
    </row>
    <row r="7621" spans="1:2" ht="12.75" customHeight="1" x14ac:dyDescent="0.25">
      <c r="A7621" s="318">
        <v>92619220890</v>
      </c>
      <c r="B7621" s="318" t="s">
        <v>237</v>
      </c>
    </row>
    <row r="7622" spans="1:2" ht="12.75" customHeight="1" x14ac:dyDescent="0.25">
      <c r="A7622" s="318">
        <v>92619701747</v>
      </c>
      <c r="B7622" s="318" t="s">
        <v>23</v>
      </c>
    </row>
    <row r="7623" spans="1:2" ht="12.75" customHeight="1" x14ac:dyDescent="0.25">
      <c r="A7623" s="318">
        <v>92619701748</v>
      </c>
      <c r="B7623" s="318" t="s">
        <v>23</v>
      </c>
    </row>
    <row r="7624" spans="1:2" ht="12.75" customHeight="1" x14ac:dyDescent="0.25">
      <c r="A7624" s="318">
        <v>92619701749</v>
      </c>
      <c r="B7624" s="318" t="s">
        <v>23</v>
      </c>
    </row>
    <row r="7625" spans="1:2" ht="12.75" customHeight="1" x14ac:dyDescent="0.25">
      <c r="A7625" s="318">
        <v>92619701750</v>
      </c>
      <c r="B7625" s="318" t="s">
        <v>23</v>
      </c>
    </row>
    <row r="7626" spans="1:2" ht="12.75" customHeight="1" x14ac:dyDescent="0.25">
      <c r="A7626" s="318">
        <v>92619701751</v>
      </c>
      <c r="B7626" s="318" t="s">
        <v>23</v>
      </c>
    </row>
    <row r="7627" spans="1:2" ht="12.75" customHeight="1" x14ac:dyDescent="0.25">
      <c r="A7627" s="318">
        <v>92619701752</v>
      </c>
      <c r="B7627" s="318" t="s">
        <v>23</v>
      </c>
    </row>
    <row r="7628" spans="1:2" ht="12.75" customHeight="1" x14ac:dyDescent="0.25">
      <c r="A7628" s="318">
        <v>92619701753</v>
      </c>
      <c r="B7628" s="318" t="s">
        <v>23</v>
      </c>
    </row>
    <row r="7629" spans="1:2" ht="12.75" customHeight="1" x14ac:dyDescent="0.25">
      <c r="A7629" s="318">
        <v>92619701754</v>
      </c>
      <c r="B7629" s="318" t="s">
        <v>23</v>
      </c>
    </row>
    <row r="7630" spans="1:2" ht="12.75" customHeight="1" x14ac:dyDescent="0.25">
      <c r="A7630" s="318">
        <v>92619701756</v>
      </c>
      <c r="B7630" s="318" t="s">
        <v>23</v>
      </c>
    </row>
    <row r="7631" spans="1:2" ht="12.75" customHeight="1" x14ac:dyDescent="0.25">
      <c r="A7631" s="318">
        <v>92619701757</v>
      </c>
      <c r="B7631" s="318" t="s">
        <v>23</v>
      </c>
    </row>
    <row r="7632" spans="1:2" ht="12.75" customHeight="1" x14ac:dyDescent="0.25">
      <c r="A7632" s="318">
        <v>92619701758</v>
      </c>
      <c r="B7632" s="318" t="s">
        <v>23</v>
      </c>
    </row>
    <row r="7633" spans="1:2" ht="12.75" customHeight="1" x14ac:dyDescent="0.25">
      <c r="A7633" s="318">
        <v>92619701759</v>
      </c>
      <c r="B7633" s="318" t="s">
        <v>23</v>
      </c>
    </row>
    <row r="7634" spans="1:2" ht="12.75" customHeight="1" x14ac:dyDescent="0.25">
      <c r="A7634" s="318">
        <v>92619701760</v>
      </c>
      <c r="B7634" s="318" t="s">
        <v>23</v>
      </c>
    </row>
    <row r="7635" spans="1:2" ht="12.75" customHeight="1" x14ac:dyDescent="0.25">
      <c r="A7635" s="318">
        <v>92619701761</v>
      </c>
      <c r="B7635" s="318" t="s">
        <v>23</v>
      </c>
    </row>
    <row r="7636" spans="1:2" ht="12.75" customHeight="1" x14ac:dyDescent="0.25">
      <c r="A7636" s="318">
        <v>92619701762</v>
      </c>
      <c r="B7636" s="318" t="s">
        <v>23</v>
      </c>
    </row>
    <row r="7637" spans="1:2" ht="12.75" customHeight="1" x14ac:dyDescent="0.25">
      <c r="A7637" s="318">
        <v>92619701763</v>
      </c>
      <c r="B7637" s="318" t="s">
        <v>23</v>
      </c>
    </row>
    <row r="7638" spans="1:2" ht="12.75" customHeight="1" x14ac:dyDescent="0.25">
      <c r="A7638" s="318">
        <v>92619701847</v>
      </c>
      <c r="B7638" s="318" t="s">
        <v>237</v>
      </c>
    </row>
    <row r="7639" spans="1:2" ht="12.75" customHeight="1" x14ac:dyDescent="0.25">
      <c r="A7639" s="318">
        <v>92619701848</v>
      </c>
      <c r="B7639" s="318" t="s">
        <v>237</v>
      </c>
    </row>
    <row r="7640" spans="1:2" ht="12.75" customHeight="1" x14ac:dyDescent="0.25">
      <c r="A7640" s="318">
        <v>92619701849</v>
      </c>
      <c r="B7640" s="318" t="s">
        <v>237</v>
      </c>
    </row>
    <row r="7641" spans="1:2" ht="12.75" customHeight="1" x14ac:dyDescent="0.25">
      <c r="A7641" s="318">
        <v>92619701850</v>
      </c>
      <c r="B7641" s="318" t="s">
        <v>237</v>
      </c>
    </row>
    <row r="7642" spans="1:2" ht="12.75" customHeight="1" x14ac:dyDescent="0.25">
      <c r="A7642" s="318">
        <v>92619701851</v>
      </c>
      <c r="B7642" s="318" t="s">
        <v>237</v>
      </c>
    </row>
    <row r="7643" spans="1:2" ht="12.75" customHeight="1" x14ac:dyDescent="0.25">
      <c r="A7643" s="318">
        <v>92619701852</v>
      </c>
      <c r="B7643" s="318" t="s">
        <v>237</v>
      </c>
    </row>
    <row r="7644" spans="1:2" ht="12.75" customHeight="1" x14ac:dyDescent="0.25">
      <c r="A7644" s="318">
        <v>92619701853</v>
      </c>
      <c r="B7644" s="318" t="s">
        <v>237</v>
      </c>
    </row>
    <row r="7645" spans="1:2" ht="12.75" customHeight="1" x14ac:dyDescent="0.25">
      <c r="A7645" s="318">
        <v>92619701854</v>
      </c>
      <c r="B7645" s="318" t="s">
        <v>237</v>
      </c>
    </row>
    <row r="7646" spans="1:2" ht="12.75" customHeight="1" x14ac:dyDescent="0.25">
      <c r="A7646" s="318">
        <v>92619701856</v>
      </c>
      <c r="B7646" s="318" t="s">
        <v>237</v>
      </c>
    </row>
    <row r="7647" spans="1:2" ht="12.75" customHeight="1" x14ac:dyDescent="0.25">
      <c r="A7647" s="318">
        <v>92619701857</v>
      </c>
      <c r="B7647" s="318" t="s">
        <v>237</v>
      </c>
    </row>
    <row r="7648" spans="1:2" ht="12.75" customHeight="1" x14ac:dyDescent="0.25">
      <c r="A7648" s="318">
        <v>92619701858</v>
      </c>
      <c r="B7648" s="318" t="s">
        <v>237</v>
      </c>
    </row>
    <row r="7649" spans="1:2" ht="12.75" customHeight="1" x14ac:dyDescent="0.25">
      <c r="A7649" s="318">
        <v>92619701859</v>
      </c>
      <c r="B7649" s="318" t="s">
        <v>237</v>
      </c>
    </row>
    <row r="7650" spans="1:2" ht="12.75" customHeight="1" x14ac:dyDescent="0.25">
      <c r="A7650" s="318">
        <v>92619701860</v>
      </c>
      <c r="B7650" s="318" t="s">
        <v>237</v>
      </c>
    </row>
    <row r="7651" spans="1:2" ht="12.75" customHeight="1" x14ac:dyDescent="0.25">
      <c r="A7651" s="318">
        <v>92619701861</v>
      </c>
      <c r="B7651" s="318" t="s">
        <v>237</v>
      </c>
    </row>
    <row r="7652" spans="1:2" ht="12.75" customHeight="1" x14ac:dyDescent="0.25">
      <c r="A7652" s="318">
        <v>92619701862</v>
      </c>
      <c r="B7652" s="318" t="s">
        <v>237</v>
      </c>
    </row>
    <row r="7653" spans="1:2" ht="12.75" customHeight="1" x14ac:dyDescent="0.25">
      <c r="A7653" s="318">
        <v>92619701863</v>
      </c>
      <c r="B7653" s="318" t="s">
        <v>237</v>
      </c>
    </row>
    <row r="7654" spans="1:2" ht="12.75" customHeight="1" x14ac:dyDescent="0.25">
      <c r="A7654" s="318">
        <v>92621062128</v>
      </c>
      <c r="B7654" s="318" t="s">
        <v>23</v>
      </c>
    </row>
    <row r="7655" spans="1:2" ht="12.75" customHeight="1" x14ac:dyDescent="0.25">
      <c r="A7655" s="318">
        <v>92621062129</v>
      </c>
      <c r="B7655" s="318" t="s">
        <v>23</v>
      </c>
    </row>
    <row r="7656" spans="1:2" ht="12.75" customHeight="1" x14ac:dyDescent="0.25">
      <c r="A7656" s="318">
        <v>92621062130</v>
      </c>
      <c r="B7656" s="318" t="s">
        <v>23</v>
      </c>
    </row>
    <row r="7657" spans="1:2" ht="12.75" customHeight="1" x14ac:dyDescent="0.25">
      <c r="A7657" s="318">
        <v>92621062131</v>
      </c>
      <c r="B7657" s="318" t="s">
        <v>23</v>
      </c>
    </row>
    <row r="7658" spans="1:2" ht="12.75" customHeight="1" x14ac:dyDescent="0.25">
      <c r="A7658" s="318">
        <v>92621062132</v>
      </c>
      <c r="B7658" s="318" t="s">
        <v>23</v>
      </c>
    </row>
    <row r="7659" spans="1:2" ht="12.75" customHeight="1" x14ac:dyDescent="0.25">
      <c r="A7659" s="318">
        <v>92621062133</v>
      </c>
      <c r="B7659" s="318" t="s">
        <v>23</v>
      </c>
    </row>
    <row r="7660" spans="1:2" ht="12.75" customHeight="1" x14ac:dyDescent="0.25">
      <c r="A7660" s="318">
        <v>92621062134</v>
      </c>
      <c r="B7660" s="318" t="s">
        <v>23</v>
      </c>
    </row>
    <row r="7661" spans="1:2" ht="12.75" customHeight="1" x14ac:dyDescent="0.25">
      <c r="A7661" s="318">
        <v>92621062135</v>
      </c>
      <c r="B7661" s="318" t="s">
        <v>23</v>
      </c>
    </row>
    <row r="7662" spans="1:2" ht="12.75" customHeight="1" x14ac:dyDescent="0.25">
      <c r="A7662" s="318">
        <v>92621062137</v>
      </c>
      <c r="B7662" s="318" t="s">
        <v>237</v>
      </c>
    </row>
    <row r="7663" spans="1:2" ht="12.75" customHeight="1" x14ac:dyDescent="0.25">
      <c r="A7663" s="318">
        <v>92621062138</v>
      </c>
      <c r="B7663" s="318" t="s">
        <v>237</v>
      </c>
    </row>
    <row r="7664" spans="1:2" ht="12.75" customHeight="1" x14ac:dyDescent="0.25">
      <c r="A7664" s="318">
        <v>92621062139</v>
      </c>
      <c r="B7664" s="318" t="s">
        <v>237</v>
      </c>
    </row>
    <row r="7665" spans="1:2" ht="12.75" customHeight="1" x14ac:dyDescent="0.25">
      <c r="A7665" s="318">
        <v>92621062140</v>
      </c>
      <c r="B7665" s="318" t="s">
        <v>237</v>
      </c>
    </row>
    <row r="7666" spans="1:2" ht="12.75" customHeight="1" x14ac:dyDescent="0.25">
      <c r="A7666" s="318">
        <v>92621062141</v>
      </c>
      <c r="B7666" s="318" t="s">
        <v>237</v>
      </c>
    </row>
    <row r="7667" spans="1:2" ht="12.75" customHeight="1" x14ac:dyDescent="0.25">
      <c r="A7667" s="318">
        <v>92621062142</v>
      </c>
      <c r="B7667" s="318" t="s">
        <v>237</v>
      </c>
    </row>
    <row r="7668" spans="1:2" ht="12.75" customHeight="1" x14ac:dyDescent="0.25">
      <c r="A7668" s="318">
        <v>92621062143</v>
      </c>
      <c r="B7668" s="318" t="s">
        <v>237</v>
      </c>
    </row>
    <row r="7669" spans="1:2" ht="12.75" customHeight="1" x14ac:dyDescent="0.25">
      <c r="A7669" s="318">
        <v>92621062144</v>
      </c>
      <c r="B7669" s="318" t="s">
        <v>237</v>
      </c>
    </row>
    <row r="7670" spans="1:2" ht="12.75" customHeight="1" x14ac:dyDescent="0.25">
      <c r="A7670" s="318">
        <v>92621062228</v>
      </c>
      <c r="B7670" s="318" t="s">
        <v>237</v>
      </c>
    </row>
    <row r="7671" spans="1:2" ht="12.75" customHeight="1" x14ac:dyDescent="0.25">
      <c r="A7671" s="318">
        <v>92621062229</v>
      </c>
      <c r="B7671" s="318" t="s">
        <v>237</v>
      </c>
    </row>
    <row r="7672" spans="1:2" ht="12.75" customHeight="1" x14ac:dyDescent="0.25">
      <c r="A7672" s="318">
        <v>92621062230</v>
      </c>
      <c r="B7672" s="318" t="s">
        <v>237</v>
      </c>
    </row>
    <row r="7673" spans="1:2" ht="12.75" customHeight="1" x14ac:dyDescent="0.25">
      <c r="A7673" s="318">
        <v>92621062231</v>
      </c>
      <c r="B7673" s="318" t="s">
        <v>237</v>
      </c>
    </row>
    <row r="7674" spans="1:2" ht="12.75" customHeight="1" x14ac:dyDescent="0.25">
      <c r="A7674" s="318">
        <v>92621062232</v>
      </c>
      <c r="B7674" s="318" t="s">
        <v>237</v>
      </c>
    </row>
    <row r="7675" spans="1:2" ht="12.75" customHeight="1" x14ac:dyDescent="0.25">
      <c r="A7675" s="318">
        <v>92621062233</v>
      </c>
      <c r="B7675" s="318" t="s">
        <v>237</v>
      </c>
    </row>
    <row r="7676" spans="1:2" ht="12.75" customHeight="1" x14ac:dyDescent="0.25">
      <c r="A7676" s="318">
        <v>92621062234</v>
      </c>
      <c r="B7676" s="318" t="s">
        <v>237</v>
      </c>
    </row>
    <row r="7677" spans="1:2" ht="12.75" customHeight="1" x14ac:dyDescent="0.25">
      <c r="A7677" s="318">
        <v>92621062235</v>
      </c>
      <c r="B7677" s="318" t="s">
        <v>237</v>
      </c>
    </row>
    <row r="7678" spans="1:2" ht="12.75" customHeight="1" x14ac:dyDescent="0.25">
      <c r="A7678" s="318">
        <v>92621062237</v>
      </c>
      <c r="B7678" s="318" t="s">
        <v>237</v>
      </c>
    </row>
    <row r="7679" spans="1:2" ht="12.75" customHeight="1" x14ac:dyDescent="0.25">
      <c r="A7679" s="318">
        <v>92621062238</v>
      </c>
      <c r="B7679" s="318" t="s">
        <v>237</v>
      </c>
    </row>
    <row r="7680" spans="1:2" ht="12.75" customHeight="1" x14ac:dyDescent="0.25">
      <c r="A7680" s="318">
        <v>92621062239</v>
      </c>
      <c r="B7680" s="318" t="s">
        <v>237</v>
      </c>
    </row>
    <row r="7681" spans="1:2" ht="12.75" customHeight="1" x14ac:dyDescent="0.25">
      <c r="A7681" s="318">
        <v>92621062240</v>
      </c>
      <c r="B7681" s="318" t="s">
        <v>237</v>
      </c>
    </row>
    <row r="7682" spans="1:2" ht="12.75" customHeight="1" x14ac:dyDescent="0.25">
      <c r="A7682" s="318">
        <v>92621062241</v>
      </c>
      <c r="B7682" s="318" t="s">
        <v>237</v>
      </c>
    </row>
    <row r="7683" spans="1:2" ht="12.75" customHeight="1" x14ac:dyDescent="0.25">
      <c r="A7683" s="318">
        <v>92621062242</v>
      </c>
      <c r="B7683" s="318" t="s">
        <v>237</v>
      </c>
    </row>
    <row r="7684" spans="1:2" ht="12.75" customHeight="1" x14ac:dyDescent="0.25">
      <c r="A7684" s="318">
        <v>92621062243</v>
      </c>
      <c r="B7684" s="318" t="s">
        <v>237</v>
      </c>
    </row>
    <row r="7685" spans="1:2" ht="12.75" customHeight="1" x14ac:dyDescent="0.25">
      <c r="A7685" s="318">
        <v>92621062244</v>
      </c>
      <c r="B7685" s="318" t="s">
        <v>237</v>
      </c>
    </row>
    <row r="7686" spans="1:2" ht="12.75" customHeight="1" x14ac:dyDescent="0.25">
      <c r="A7686" s="318">
        <v>92621543101</v>
      </c>
      <c r="B7686" s="318" t="s">
        <v>23</v>
      </c>
    </row>
    <row r="7687" spans="1:2" ht="12.75" customHeight="1" x14ac:dyDescent="0.25">
      <c r="A7687" s="318">
        <v>92621543102</v>
      </c>
      <c r="B7687" s="318" t="s">
        <v>23</v>
      </c>
    </row>
    <row r="7688" spans="1:2" ht="12.75" customHeight="1" x14ac:dyDescent="0.25">
      <c r="A7688" s="318">
        <v>92621543103</v>
      </c>
      <c r="B7688" s="318" t="s">
        <v>23</v>
      </c>
    </row>
    <row r="7689" spans="1:2" ht="12.75" customHeight="1" x14ac:dyDescent="0.25">
      <c r="A7689" s="318">
        <v>92621543104</v>
      </c>
      <c r="B7689" s="318" t="s">
        <v>23</v>
      </c>
    </row>
    <row r="7690" spans="1:2" ht="12.75" customHeight="1" x14ac:dyDescent="0.25">
      <c r="A7690" s="318">
        <v>92621543105</v>
      </c>
      <c r="B7690" s="318" t="s">
        <v>23</v>
      </c>
    </row>
    <row r="7691" spans="1:2" ht="12.75" customHeight="1" x14ac:dyDescent="0.25">
      <c r="A7691" s="318">
        <v>92621543106</v>
      </c>
      <c r="B7691" s="318" t="s">
        <v>23</v>
      </c>
    </row>
    <row r="7692" spans="1:2" ht="12.75" customHeight="1" x14ac:dyDescent="0.25">
      <c r="A7692" s="318">
        <v>92621543107</v>
      </c>
      <c r="B7692" s="318" t="s">
        <v>23</v>
      </c>
    </row>
    <row r="7693" spans="1:2" ht="12.75" customHeight="1" x14ac:dyDescent="0.25">
      <c r="A7693" s="318">
        <v>92621543108</v>
      </c>
      <c r="B7693" s="318" t="s">
        <v>23</v>
      </c>
    </row>
    <row r="7694" spans="1:2" ht="12.75" customHeight="1" x14ac:dyDescent="0.25">
      <c r="A7694" s="318">
        <v>92621543110</v>
      </c>
      <c r="B7694" s="318" t="s">
        <v>237</v>
      </c>
    </row>
    <row r="7695" spans="1:2" ht="12.75" customHeight="1" x14ac:dyDescent="0.25">
      <c r="A7695" s="318">
        <v>92621543111</v>
      </c>
      <c r="B7695" s="318" t="s">
        <v>237</v>
      </c>
    </row>
    <row r="7696" spans="1:2" ht="12.75" customHeight="1" x14ac:dyDescent="0.25">
      <c r="A7696" s="318">
        <v>92621543112</v>
      </c>
      <c r="B7696" s="318" t="s">
        <v>237</v>
      </c>
    </row>
    <row r="7697" spans="1:2" ht="12.75" customHeight="1" x14ac:dyDescent="0.25">
      <c r="A7697" s="318">
        <v>92621543113</v>
      </c>
      <c r="B7697" s="318" t="s">
        <v>237</v>
      </c>
    </row>
    <row r="7698" spans="1:2" ht="12.75" customHeight="1" x14ac:dyDescent="0.25">
      <c r="A7698" s="318">
        <v>92621543114</v>
      </c>
      <c r="B7698" s="318" t="s">
        <v>237</v>
      </c>
    </row>
    <row r="7699" spans="1:2" ht="12.75" customHeight="1" x14ac:dyDescent="0.25">
      <c r="A7699" s="318">
        <v>92621543115</v>
      </c>
      <c r="B7699" s="318" t="s">
        <v>237</v>
      </c>
    </row>
    <row r="7700" spans="1:2" ht="12.75" customHeight="1" x14ac:dyDescent="0.25">
      <c r="A7700" s="318">
        <v>92621543116</v>
      </c>
      <c r="B7700" s="318" t="s">
        <v>237</v>
      </c>
    </row>
    <row r="7701" spans="1:2" ht="12.75" customHeight="1" x14ac:dyDescent="0.25">
      <c r="A7701" s="318">
        <v>92621543117</v>
      </c>
      <c r="B7701" s="318" t="s">
        <v>237</v>
      </c>
    </row>
    <row r="7702" spans="1:2" ht="12.75" customHeight="1" x14ac:dyDescent="0.25">
      <c r="A7702" s="318">
        <v>92621543201</v>
      </c>
      <c r="B7702" s="318" t="s">
        <v>237</v>
      </c>
    </row>
    <row r="7703" spans="1:2" ht="12.75" customHeight="1" x14ac:dyDescent="0.25">
      <c r="A7703" s="318">
        <v>92621543202</v>
      </c>
      <c r="B7703" s="318" t="s">
        <v>237</v>
      </c>
    </row>
    <row r="7704" spans="1:2" ht="12.75" customHeight="1" x14ac:dyDescent="0.25">
      <c r="A7704" s="318">
        <v>92621543203</v>
      </c>
      <c r="B7704" s="318" t="s">
        <v>237</v>
      </c>
    </row>
    <row r="7705" spans="1:2" ht="12.75" customHeight="1" x14ac:dyDescent="0.25">
      <c r="A7705" s="318">
        <v>92621543204</v>
      </c>
      <c r="B7705" s="318" t="s">
        <v>237</v>
      </c>
    </row>
    <row r="7706" spans="1:2" ht="12.75" customHeight="1" x14ac:dyDescent="0.25">
      <c r="A7706" s="318">
        <v>92621543205</v>
      </c>
      <c r="B7706" s="318" t="s">
        <v>237</v>
      </c>
    </row>
    <row r="7707" spans="1:2" ht="12.75" customHeight="1" x14ac:dyDescent="0.25">
      <c r="A7707" s="318">
        <v>92621543206</v>
      </c>
      <c r="B7707" s="318" t="s">
        <v>237</v>
      </c>
    </row>
    <row r="7708" spans="1:2" ht="12.75" customHeight="1" x14ac:dyDescent="0.25">
      <c r="A7708" s="318">
        <v>92621543207</v>
      </c>
      <c r="B7708" s="318" t="s">
        <v>237</v>
      </c>
    </row>
    <row r="7709" spans="1:2" ht="12.75" customHeight="1" x14ac:dyDescent="0.25">
      <c r="A7709" s="318">
        <v>92621543208</v>
      </c>
      <c r="B7709" s="318" t="s">
        <v>237</v>
      </c>
    </row>
    <row r="7710" spans="1:2" ht="12.75" customHeight="1" x14ac:dyDescent="0.25">
      <c r="A7710" s="318">
        <v>92621543210</v>
      </c>
      <c r="B7710" s="318" t="s">
        <v>237</v>
      </c>
    </row>
    <row r="7711" spans="1:2" ht="12.75" customHeight="1" x14ac:dyDescent="0.25">
      <c r="A7711" s="318">
        <v>92621543211</v>
      </c>
      <c r="B7711" s="318" t="s">
        <v>237</v>
      </c>
    </row>
    <row r="7712" spans="1:2" ht="12.75" customHeight="1" x14ac:dyDescent="0.25">
      <c r="A7712" s="318">
        <v>92621543212</v>
      </c>
      <c r="B7712" s="318" t="s">
        <v>237</v>
      </c>
    </row>
    <row r="7713" spans="1:2" ht="12.75" customHeight="1" x14ac:dyDescent="0.25">
      <c r="A7713" s="318">
        <v>92621543213</v>
      </c>
      <c r="B7713" s="318" t="s">
        <v>237</v>
      </c>
    </row>
    <row r="7714" spans="1:2" ht="12.75" customHeight="1" x14ac:dyDescent="0.25">
      <c r="A7714" s="318">
        <v>92621543214</v>
      </c>
      <c r="B7714" s="318" t="s">
        <v>237</v>
      </c>
    </row>
    <row r="7715" spans="1:2" ht="12.75" customHeight="1" x14ac:dyDescent="0.25">
      <c r="A7715" s="318">
        <v>92621543215</v>
      </c>
      <c r="B7715" s="318" t="s">
        <v>237</v>
      </c>
    </row>
    <row r="7716" spans="1:2" ht="12.75" customHeight="1" x14ac:dyDescent="0.25">
      <c r="A7716" s="318">
        <v>92621543216</v>
      </c>
      <c r="B7716" s="318" t="s">
        <v>237</v>
      </c>
    </row>
    <row r="7717" spans="1:2" ht="12.75" customHeight="1" x14ac:dyDescent="0.25">
      <c r="A7717" s="318">
        <v>92621543217</v>
      </c>
      <c r="B7717" s="318" t="s">
        <v>237</v>
      </c>
    </row>
    <row r="7718" spans="1:2" ht="12.75" customHeight="1" x14ac:dyDescent="0.25">
      <c r="A7718" s="318">
        <v>92622024074</v>
      </c>
      <c r="B7718" s="318" t="s">
        <v>23</v>
      </c>
    </row>
    <row r="7719" spans="1:2" ht="12.75" customHeight="1" x14ac:dyDescent="0.25">
      <c r="A7719" s="318">
        <v>92622024075</v>
      </c>
      <c r="B7719" s="318" t="s">
        <v>23</v>
      </c>
    </row>
    <row r="7720" spans="1:2" ht="12.75" customHeight="1" x14ac:dyDescent="0.25">
      <c r="A7720" s="318">
        <v>92622024076</v>
      </c>
      <c r="B7720" s="318" t="s">
        <v>23</v>
      </c>
    </row>
    <row r="7721" spans="1:2" ht="12.75" customHeight="1" x14ac:dyDescent="0.25">
      <c r="A7721" s="318">
        <v>92622024077</v>
      </c>
      <c r="B7721" s="318" t="s">
        <v>23</v>
      </c>
    </row>
    <row r="7722" spans="1:2" ht="12.75" customHeight="1" x14ac:dyDescent="0.25">
      <c r="A7722" s="318">
        <v>92622024078</v>
      </c>
      <c r="B7722" s="318" t="s">
        <v>23</v>
      </c>
    </row>
    <row r="7723" spans="1:2" ht="12.75" customHeight="1" x14ac:dyDescent="0.25">
      <c r="A7723" s="318">
        <v>92622024079</v>
      </c>
      <c r="B7723" s="318" t="s">
        <v>23</v>
      </c>
    </row>
    <row r="7724" spans="1:2" ht="12.75" customHeight="1" x14ac:dyDescent="0.25">
      <c r="A7724" s="318">
        <v>92622024080</v>
      </c>
      <c r="B7724" s="318" t="s">
        <v>23</v>
      </c>
    </row>
    <row r="7725" spans="1:2" ht="12.75" customHeight="1" x14ac:dyDescent="0.25">
      <c r="A7725" s="318">
        <v>92622024081</v>
      </c>
      <c r="B7725" s="318" t="s">
        <v>23</v>
      </c>
    </row>
    <row r="7726" spans="1:2" ht="12.75" customHeight="1" x14ac:dyDescent="0.25">
      <c r="A7726" s="318">
        <v>92622024083</v>
      </c>
      <c r="B7726" s="318" t="s">
        <v>23</v>
      </c>
    </row>
    <row r="7727" spans="1:2" ht="12.75" customHeight="1" x14ac:dyDescent="0.25">
      <c r="A7727" s="318">
        <v>92622024084</v>
      </c>
      <c r="B7727" s="318" t="s">
        <v>23</v>
      </c>
    </row>
    <row r="7728" spans="1:2" ht="12.75" customHeight="1" x14ac:dyDescent="0.25">
      <c r="A7728" s="318">
        <v>92622024085</v>
      </c>
      <c r="B7728" s="318" t="s">
        <v>23</v>
      </c>
    </row>
    <row r="7729" spans="1:2" ht="12.75" customHeight="1" x14ac:dyDescent="0.25">
      <c r="A7729" s="318">
        <v>92622024086</v>
      </c>
      <c r="B7729" s="318" t="s">
        <v>23</v>
      </c>
    </row>
    <row r="7730" spans="1:2" ht="12.75" customHeight="1" x14ac:dyDescent="0.25">
      <c r="A7730" s="318">
        <v>92622024087</v>
      </c>
      <c r="B7730" s="318" t="s">
        <v>23</v>
      </c>
    </row>
    <row r="7731" spans="1:2" ht="12.75" customHeight="1" x14ac:dyDescent="0.25">
      <c r="A7731" s="318">
        <v>92622024088</v>
      </c>
      <c r="B7731" s="318" t="s">
        <v>23</v>
      </c>
    </row>
    <row r="7732" spans="1:2" ht="12.75" customHeight="1" x14ac:dyDescent="0.25">
      <c r="A7732" s="318">
        <v>92622024089</v>
      </c>
      <c r="B7732" s="318" t="s">
        <v>23</v>
      </c>
    </row>
    <row r="7733" spans="1:2" ht="12.75" customHeight="1" x14ac:dyDescent="0.25">
      <c r="A7733" s="318">
        <v>92622024090</v>
      </c>
      <c r="B7733" s="318" t="s">
        <v>23</v>
      </c>
    </row>
    <row r="7734" spans="1:2" ht="12.75" customHeight="1" x14ac:dyDescent="0.25">
      <c r="A7734" s="318">
        <v>92622024174</v>
      </c>
      <c r="B7734" s="318" t="s">
        <v>237</v>
      </c>
    </row>
    <row r="7735" spans="1:2" ht="12.75" customHeight="1" x14ac:dyDescent="0.25">
      <c r="A7735" s="318">
        <v>92622024175</v>
      </c>
      <c r="B7735" s="318" t="s">
        <v>237</v>
      </c>
    </row>
    <row r="7736" spans="1:2" ht="12.75" customHeight="1" x14ac:dyDescent="0.25">
      <c r="A7736" s="318">
        <v>92622024176</v>
      </c>
      <c r="B7736" s="318" t="s">
        <v>237</v>
      </c>
    </row>
    <row r="7737" spans="1:2" ht="12.75" customHeight="1" x14ac:dyDescent="0.25">
      <c r="A7737" s="318">
        <v>92622024177</v>
      </c>
      <c r="B7737" s="318" t="s">
        <v>237</v>
      </c>
    </row>
    <row r="7738" spans="1:2" ht="12.75" customHeight="1" x14ac:dyDescent="0.25">
      <c r="A7738" s="318">
        <v>92622024178</v>
      </c>
      <c r="B7738" s="318" t="s">
        <v>237</v>
      </c>
    </row>
    <row r="7739" spans="1:2" ht="12.75" customHeight="1" x14ac:dyDescent="0.25">
      <c r="A7739" s="318">
        <v>92622024179</v>
      </c>
      <c r="B7739" s="318" t="s">
        <v>237</v>
      </c>
    </row>
    <row r="7740" spans="1:2" ht="12.75" customHeight="1" x14ac:dyDescent="0.25">
      <c r="A7740" s="318">
        <v>92622024180</v>
      </c>
      <c r="B7740" s="318" t="s">
        <v>237</v>
      </c>
    </row>
    <row r="7741" spans="1:2" ht="12.75" customHeight="1" x14ac:dyDescent="0.25">
      <c r="A7741" s="318">
        <v>92622024181</v>
      </c>
      <c r="B7741" s="318" t="s">
        <v>237</v>
      </c>
    </row>
    <row r="7742" spans="1:2" ht="12.75" customHeight="1" x14ac:dyDescent="0.25">
      <c r="A7742" s="318">
        <v>92622024183</v>
      </c>
      <c r="B7742" s="318" t="s">
        <v>237</v>
      </c>
    </row>
    <row r="7743" spans="1:2" ht="12.75" customHeight="1" x14ac:dyDescent="0.25">
      <c r="A7743" s="318">
        <v>92622024184</v>
      </c>
      <c r="B7743" s="318" t="s">
        <v>237</v>
      </c>
    </row>
    <row r="7744" spans="1:2" ht="12.75" customHeight="1" x14ac:dyDescent="0.25">
      <c r="A7744" s="318">
        <v>92622024185</v>
      </c>
      <c r="B7744" s="318" t="s">
        <v>237</v>
      </c>
    </row>
    <row r="7745" spans="1:2" ht="12.75" customHeight="1" x14ac:dyDescent="0.25">
      <c r="A7745" s="318">
        <v>92622024186</v>
      </c>
      <c r="B7745" s="318" t="s">
        <v>237</v>
      </c>
    </row>
    <row r="7746" spans="1:2" ht="12.75" customHeight="1" x14ac:dyDescent="0.25">
      <c r="A7746" s="318">
        <v>92622024187</v>
      </c>
      <c r="B7746" s="318" t="s">
        <v>237</v>
      </c>
    </row>
    <row r="7747" spans="1:2" ht="12.75" customHeight="1" x14ac:dyDescent="0.25">
      <c r="A7747" s="318">
        <v>92622024188</v>
      </c>
      <c r="B7747" s="318" t="s">
        <v>237</v>
      </c>
    </row>
    <row r="7748" spans="1:2" ht="12.75" customHeight="1" x14ac:dyDescent="0.25">
      <c r="A7748" s="318">
        <v>92622024189</v>
      </c>
      <c r="B7748" s="318" t="s">
        <v>237</v>
      </c>
    </row>
    <row r="7749" spans="1:2" ht="12.75" customHeight="1" x14ac:dyDescent="0.25">
      <c r="A7749" s="318">
        <v>92622024190</v>
      </c>
      <c r="B7749" s="318" t="s">
        <v>237</v>
      </c>
    </row>
    <row r="7750" spans="1:2" ht="12.75" customHeight="1" x14ac:dyDescent="0.25">
      <c r="A7750" s="318">
        <v>92622704265</v>
      </c>
      <c r="B7750" s="318" t="s">
        <v>23</v>
      </c>
    </row>
    <row r="7751" spans="1:2" ht="12.75" customHeight="1" x14ac:dyDescent="0.25">
      <c r="A7751" s="318">
        <v>92622704266</v>
      </c>
      <c r="B7751" s="318" t="s">
        <v>23</v>
      </c>
    </row>
    <row r="7752" spans="1:2" ht="12.75" customHeight="1" x14ac:dyDescent="0.25">
      <c r="A7752" s="318">
        <v>92622704267</v>
      </c>
      <c r="B7752" s="318" t="s">
        <v>23</v>
      </c>
    </row>
    <row r="7753" spans="1:2" ht="12.75" customHeight="1" x14ac:dyDescent="0.25">
      <c r="A7753" s="318">
        <v>92622704268</v>
      </c>
      <c r="B7753" s="318" t="s">
        <v>23</v>
      </c>
    </row>
    <row r="7754" spans="1:2" ht="12.75" customHeight="1" x14ac:dyDescent="0.25">
      <c r="A7754" s="318">
        <v>92622704269</v>
      </c>
      <c r="B7754" s="318" t="s">
        <v>23</v>
      </c>
    </row>
    <row r="7755" spans="1:2" ht="12.75" customHeight="1" x14ac:dyDescent="0.25">
      <c r="A7755" s="318">
        <v>92622704270</v>
      </c>
      <c r="B7755" s="318" t="s">
        <v>23</v>
      </c>
    </row>
    <row r="7756" spans="1:2" ht="12.75" customHeight="1" x14ac:dyDescent="0.25">
      <c r="A7756" s="318">
        <v>92622704271</v>
      </c>
      <c r="B7756" s="318" t="s">
        <v>23</v>
      </c>
    </row>
    <row r="7757" spans="1:2" ht="12.75" customHeight="1" x14ac:dyDescent="0.25">
      <c r="A7757" s="318">
        <v>92622704272</v>
      </c>
      <c r="B7757" s="318" t="s">
        <v>23</v>
      </c>
    </row>
    <row r="7758" spans="1:2" ht="12.75" customHeight="1" x14ac:dyDescent="0.25">
      <c r="A7758" s="318">
        <v>92622704274</v>
      </c>
      <c r="B7758" s="318" t="s">
        <v>237</v>
      </c>
    </row>
    <row r="7759" spans="1:2" ht="12.75" customHeight="1" x14ac:dyDescent="0.25">
      <c r="A7759" s="318">
        <v>92622704275</v>
      </c>
      <c r="B7759" s="318" t="s">
        <v>237</v>
      </c>
    </row>
    <row r="7760" spans="1:2" ht="12.75" customHeight="1" x14ac:dyDescent="0.25">
      <c r="A7760" s="318">
        <v>92622704276</v>
      </c>
      <c r="B7760" s="318" t="s">
        <v>237</v>
      </c>
    </row>
    <row r="7761" spans="1:2" ht="12.75" customHeight="1" x14ac:dyDescent="0.25">
      <c r="A7761" s="318">
        <v>92622704277</v>
      </c>
      <c r="B7761" s="318" t="s">
        <v>237</v>
      </c>
    </row>
    <row r="7762" spans="1:2" ht="12.75" customHeight="1" x14ac:dyDescent="0.25">
      <c r="A7762" s="318">
        <v>92622704278</v>
      </c>
      <c r="B7762" s="318" t="s">
        <v>237</v>
      </c>
    </row>
    <row r="7763" spans="1:2" ht="12.75" customHeight="1" x14ac:dyDescent="0.25">
      <c r="A7763" s="318">
        <v>92622704279</v>
      </c>
      <c r="B7763" s="318" t="s">
        <v>237</v>
      </c>
    </row>
    <row r="7764" spans="1:2" ht="12.75" customHeight="1" x14ac:dyDescent="0.25">
      <c r="A7764" s="318">
        <v>92622704280</v>
      </c>
      <c r="B7764" s="318" t="s">
        <v>237</v>
      </c>
    </row>
    <row r="7765" spans="1:2" ht="12.75" customHeight="1" x14ac:dyDescent="0.25">
      <c r="A7765" s="318">
        <v>92622704281</v>
      </c>
      <c r="B7765" s="318" t="s">
        <v>237</v>
      </c>
    </row>
    <row r="7766" spans="1:2" ht="12.75" customHeight="1" x14ac:dyDescent="0.25">
      <c r="A7766" s="318">
        <v>92622704365</v>
      </c>
      <c r="B7766" s="318" t="s">
        <v>237</v>
      </c>
    </row>
    <row r="7767" spans="1:2" ht="12.75" customHeight="1" x14ac:dyDescent="0.25">
      <c r="A7767" s="318">
        <v>92622704366</v>
      </c>
      <c r="B7767" s="318" t="s">
        <v>237</v>
      </c>
    </row>
    <row r="7768" spans="1:2" ht="12.75" customHeight="1" x14ac:dyDescent="0.25">
      <c r="A7768" s="318">
        <v>92622704367</v>
      </c>
      <c r="B7768" s="318" t="s">
        <v>237</v>
      </c>
    </row>
    <row r="7769" spans="1:2" ht="12.75" customHeight="1" x14ac:dyDescent="0.25">
      <c r="A7769" s="318">
        <v>92622704368</v>
      </c>
      <c r="B7769" s="318" t="s">
        <v>237</v>
      </c>
    </row>
    <row r="7770" spans="1:2" ht="12.75" customHeight="1" x14ac:dyDescent="0.25">
      <c r="A7770" s="318">
        <v>92622704369</v>
      </c>
      <c r="B7770" s="318" t="s">
        <v>237</v>
      </c>
    </row>
    <row r="7771" spans="1:2" ht="12.75" customHeight="1" x14ac:dyDescent="0.25">
      <c r="A7771" s="318">
        <v>92622704370</v>
      </c>
      <c r="B7771" s="318" t="s">
        <v>237</v>
      </c>
    </row>
    <row r="7772" spans="1:2" ht="12.75" customHeight="1" x14ac:dyDescent="0.25">
      <c r="A7772" s="318">
        <v>92622704371</v>
      </c>
      <c r="B7772" s="318" t="s">
        <v>237</v>
      </c>
    </row>
    <row r="7773" spans="1:2" ht="12.75" customHeight="1" x14ac:dyDescent="0.25">
      <c r="A7773" s="318">
        <v>92622704372</v>
      </c>
      <c r="B7773" s="318" t="s">
        <v>237</v>
      </c>
    </row>
    <row r="7774" spans="1:2" ht="12.75" customHeight="1" x14ac:dyDescent="0.25">
      <c r="A7774" s="318">
        <v>92622704374</v>
      </c>
      <c r="B7774" s="318" t="s">
        <v>237</v>
      </c>
    </row>
    <row r="7775" spans="1:2" ht="12.75" customHeight="1" x14ac:dyDescent="0.25">
      <c r="A7775" s="318">
        <v>92622704375</v>
      </c>
      <c r="B7775" s="318" t="s">
        <v>237</v>
      </c>
    </row>
    <row r="7776" spans="1:2" ht="12.75" customHeight="1" x14ac:dyDescent="0.25">
      <c r="A7776" s="318">
        <v>92622704376</v>
      </c>
      <c r="B7776" s="318" t="s">
        <v>237</v>
      </c>
    </row>
    <row r="7777" spans="1:2" ht="12.75" customHeight="1" x14ac:dyDescent="0.25">
      <c r="A7777" s="318">
        <v>92622704377</v>
      </c>
      <c r="B7777" s="318" t="s">
        <v>237</v>
      </c>
    </row>
    <row r="7778" spans="1:2" ht="12.75" customHeight="1" x14ac:dyDescent="0.25">
      <c r="A7778" s="318">
        <v>92622704378</v>
      </c>
      <c r="B7778" s="318" t="s">
        <v>237</v>
      </c>
    </row>
    <row r="7779" spans="1:2" ht="12.75" customHeight="1" x14ac:dyDescent="0.25">
      <c r="A7779" s="318">
        <v>92622704379</v>
      </c>
      <c r="B7779" s="318" t="s">
        <v>237</v>
      </c>
    </row>
    <row r="7780" spans="1:2" ht="12.75" customHeight="1" x14ac:dyDescent="0.25">
      <c r="A7780" s="318">
        <v>92622704380</v>
      </c>
      <c r="B7780" s="318" t="s">
        <v>237</v>
      </c>
    </row>
    <row r="7781" spans="1:2" ht="12.75" customHeight="1" x14ac:dyDescent="0.25">
      <c r="A7781" s="318">
        <v>92622704381</v>
      </c>
      <c r="B7781" s="318" t="s">
        <v>237</v>
      </c>
    </row>
    <row r="7782" spans="1:2" ht="12.75" customHeight="1" x14ac:dyDescent="0.25">
      <c r="A7782" s="318">
        <v>92623185238</v>
      </c>
      <c r="B7782" s="318" t="s">
        <v>23</v>
      </c>
    </row>
    <row r="7783" spans="1:2" ht="12.75" customHeight="1" x14ac:dyDescent="0.25">
      <c r="A7783" s="318">
        <v>92623185239</v>
      </c>
      <c r="B7783" s="318" t="s">
        <v>23</v>
      </c>
    </row>
    <row r="7784" spans="1:2" ht="12.75" customHeight="1" x14ac:dyDescent="0.25">
      <c r="A7784" s="318">
        <v>92623185240</v>
      </c>
      <c r="B7784" s="318" t="s">
        <v>23</v>
      </c>
    </row>
    <row r="7785" spans="1:2" ht="12.75" customHeight="1" x14ac:dyDescent="0.25">
      <c r="A7785" s="318">
        <v>92623185241</v>
      </c>
      <c r="B7785" s="318" t="s">
        <v>23</v>
      </c>
    </row>
    <row r="7786" spans="1:2" ht="12.75" customHeight="1" x14ac:dyDescent="0.25">
      <c r="A7786" s="318">
        <v>92623185242</v>
      </c>
      <c r="B7786" s="318" t="s">
        <v>23</v>
      </c>
    </row>
    <row r="7787" spans="1:2" ht="12.75" customHeight="1" x14ac:dyDescent="0.25">
      <c r="A7787" s="318">
        <v>92623185243</v>
      </c>
      <c r="B7787" s="318" t="s">
        <v>23</v>
      </c>
    </row>
    <row r="7788" spans="1:2" ht="12.75" customHeight="1" x14ac:dyDescent="0.25">
      <c r="A7788" s="318">
        <v>92623185244</v>
      </c>
      <c r="B7788" s="318" t="s">
        <v>23</v>
      </c>
    </row>
    <row r="7789" spans="1:2" ht="12.75" customHeight="1" x14ac:dyDescent="0.25">
      <c r="A7789" s="318">
        <v>92623185245</v>
      </c>
      <c r="B7789" s="318" t="s">
        <v>23</v>
      </c>
    </row>
    <row r="7790" spans="1:2" ht="12.75" customHeight="1" x14ac:dyDescent="0.25">
      <c r="A7790" s="318">
        <v>92623185247</v>
      </c>
      <c r="B7790" s="318" t="s">
        <v>237</v>
      </c>
    </row>
    <row r="7791" spans="1:2" ht="12.75" customHeight="1" x14ac:dyDescent="0.25">
      <c r="A7791" s="318">
        <v>92623185248</v>
      </c>
      <c r="B7791" s="318" t="s">
        <v>237</v>
      </c>
    </row>
    <row r="7792" spans="1:2" ht="12.75" customHeight="1" x14ac:dyDescent="0.25">
      <c r="A7792" s="318">
        <v>92623185249</v>
      </c>
      <c r="B7792" s="318" t="s">
        <v>237</v>
      </c>
    </row>
    <row r="7793" spans="1:2" ht="12.75" customHeight="1" x14ac:dyDescent="0.25">
      <c r="A7793" s="318">
        <v>92623185250</v>
      </c>
      <c r="B7793" s="318" t="s">
        <v>237</v>
      </c>
    </row>
    <row r="7794" spans="1:2" ht="12.75" customHeight="1" x14ac:dyDescent="0.25">
      <c r="A7794" s="318">
        <v>92623185251</v>
      </c>
      <c r="B7794" s="318" t="s">
        <v>237</v>
      </c>
    </row>
    <row r="7795" spans="1:2" ht="12.75" customHeight="1" x14ac:dyDescent="0.25">
      <c r="A7795" s="318">
        <v>92623185252</v>
      </c>
      <c r="B7795" s="318" t="s">
        <v>237</v>
      </c>
    </row>
    <row r="7796" spans="1:2" ht="12.75" customHeight="1" x14ac:dyDescent="0.25">
      <c r="A7796" s="318">
        <v>92623185253</v>
      </c>
      <c r="B7796" s="318" t="s">
        <v>237</v>
      </c>
    </row>
    <row r="7797" spans="1:2" ht="12.75" customHeight="1" x14ac:dyDescent="0.25">
      <c r="A7797" s="318">
        <v>92623185254</v>
      </c>
      <c r="B7797" s="318" t="s">
        <v>237</v>
      </c>
    </row>
    <row r="7798" spans="1:2" ht="12.75" customHeight="1" x14ac:dyDescent="0.25">
      <c r="A7798" s="318">
        <v>92623185338</v>
      </c>
      <c r="B7798" s="318" t="s">
        <v>237</v>
      </c>
    </row>
    <row r="7799" spans="1:2" ht="12.75" customHeight="1" x14ac:dyDescent="0.25">
      <c r="A7799" s="318">
        <v>92623185339</v>
      </c>
      <c r="B7799" s="318" t="s">
        <v>237</v>
      </c>
    </row>
    <row r="7800" spans="1:2" ht="12.75" customHeight="1" x14ac:dyDescent="0.25">
      <c r="A7800" s="318">
        <v>92623185340</v>
      </c>
      <c r="B7800" s="318" t="s">
        <v>237</v>
      </c>
    </row>
    <row r="7801" spans="1:2" ht="12.75" customHeight="1" x14ac:dyDescent="0.25">
      <c r="A7801" s="318">
        <v>92623185341</v>
      </c>
      <c r="B7801" s="318" t="s">
        <v>237</v>
      </c>
    </row>
    <row r="7802" spans="1:2" ht="12.75" customHeight="1" x14ac:dyDescent="0.25">
      <c r="A7802" s="318">
        <v>92623185342</v>
      </c>
      <c r="B7802" s="318" t="s">
        <v>237</v>
      </c>
    </row>
    <row r="7803" spans="1:2" ht="12.75" customHeight="1" x14ac:dyDescent="0.25">
      <c r="A7803" s="318">
        <v>92623185343</v>
      </c>
      <c r="B7803" s="318" t="s">
        <v>237</v>
      </c>
    </row>
    <row r="7804" spans="1:2" ht="12.75" customHeight="1" x14ac:dyDescent="0.25">
      <c r="A7804" s="318">
        <v>92623185344</v>
      </c>
      <c r="B7804" s="318" t="s">
        <v>237</v>
      </c>
    </row>
    <row r="7805" spans="1:2" ht="12.75" customHeight="1" x14ac:dyDescent="0.25">
      <c r="A7805" s="318">
        <v>92623185345</v>
      </c>
      <c r="B7805" s="318" t="s">
        <v>237</v>
      </c>
    </row>
    <row r="7806" spans="1:2" ht="12.75" customHeight="1" x14ac:dyDescent="0.25">
      <c r="A7806" s="318">
        <v>92623185347</v>
      </c>
      <c r="B7806" s="318" t="s">
        <v>237</v>
      </c>
    </row>
    <row r="7807" spans="1:2" ht="12.75" customHeight="1" x14ac:dyDescent="0.25">
      <c r="A7807" s="318">
        <v>92623185348</v>
      </c>
      <c r="B7807" s="318" t="s">
        <v>237</v>
      </c>
    </row>
    <row r="7808" spans="1:2" ht="12.75" customHeight="1" x14ac:dyDescent="0.25">
      <c r="A7808" s="318">
        <v>92623185349</v>
      </c>
      <c r="B7808" s="318" t="s">
        <v>237</v>
      </c>
    </row>
    <row r="7809" spans="1:2" ht="12.75" customHeight="1" x14ac:dyDescent="0.25">
      <c r="A7809" s="318">
        <v>92623185350</v>
      </c>
      <c r="B7809" s="318" t="s">
        <v>237</v>
      </c>
    </row>
    <row r="7810" spans="1:2" ht="12.75" customHeight="1" x14ac:dyDescent="0.25">
      <c r="A7810" s="318">
        <v>92623185351</v>
      </c>
      <c r="B7810" s="318" t="s">
        <v>237</v>
      </c>
    </row>
    <row r="7811" spans="1:2" ht="12.75" customHeight="1" x14ac:dyDescent="0.25">
      <c r="A7811" s="318">
        <v>92623185352</v>
      </c>
      <c r="B7811" s="318" t="s">
        <v>237</v>
      </c>
    </row>
    <row r="7812" spans="1:2" ht="12.75" customHeight="1" x14ac:dyDescent="0.25">
      <c r="A7812" s="318">
        <v>92623185353</v>
      </c>
      <c r="B7812" s="318" t="s">
        <v>237</v>
      </c>
    </row>
    <row r="7813" spans="1:2" ht="12.75" customHeight="1" x14ac:dyDescent="0.25">
      <c r="A7813" s="318">
        <v>92623185354</v>
      </c>
      <c r="B7813" s="318" t="s">
        <v>237</v>
      </c>
    </row>
    <row r="7814" spans="1:2" ht="12.75" customHeight="1" x14ac:dyDescent="0.25">
      <c r="A7814" s="318">
        <v>92623666211</v>
      </c>
      <c r="B7814" s="318" t="s">
        <v>23</v>
      </c>
    </row>
    <row r="7815" spans="1:2" ht="12.75" customHeight="1" x14ac:dyDescent="0.25">
      <c r="A7815" s="318">
        <v>92623666212</v>
      </c>
      <c r="B7815" s="318" t="s">
        <v>23</v>
      </c>
    </row>
    <row r="7816" spans="1:2" ht="12.75" customHeight="1" x14ac:dyDescent="0.25">
      <c r="A7816" s="318">
        <v>92623666213</v>
      </c>
      <c r="B7816" s="318" t="s">
        <v>23</v>
      </c>
    </row>
    <row r="7817" spans="1:2" ht="12.75" customHeight="1" x14ac:dyDescent="0.25">
      <c r="A7817" s="318">
        <v>92623666214</v>
      </c>
      <c r="B7817" s="318" t="s">
        <v>23</v>
      </c>
    </row>
    <row r="7818" spans="1:2" ht="12.75" customHeight="1" x14ac:dyDescent="0.25">
      <c r="A7818" s="318">
        <v>92623666215</v>
      </c>
      <c r="B7818" s="318" t="s">
        <v>23</v>
      </c>
    </row>
    <row r="7819" spans="1:2" ht="12.75" customHeight="1" x14ac:dyDescent="0.25">
      <c r="A7819" s="318">
        <v>92623666216</v>
      </c>
      <c r="B7819" s="318" t="s">
        <v>23</v>
      </c>
    </row>
    <row r="7820" spans="1:2" ht="12.75" customHeight="1" x14ac:dyDescent="0.25">
      <c r="A7820" s="318">
        <v>92623666217</v>
      </c>
      <c r="B7820" s="318" t="s">
        <v>23</v>
      </c>
    </row>
    <row r="7821" spans="1:2" ht="12.75" customHeight="1" x14ac:dyDescent="0.25">
      <c r="A7821" s="318">
        <v>92623666218</v>
      </c>
      <c r="B7821" s="318" t="s">
        <v>23</v>
      </c>
    </row>
    <row r="7822" spans="1:2" ht="12.75" customHeight="1" x14ac:dyDescent="0.25">
      <c r="A7822" s="318">
        <v>92623666220</v>
      </c>
      <c r="B7822" s="318" t="s">
        <v>23</v>
      </c>
    </row>
    <row r="7823" spans="1:2" ht="12.75" customHeight="1" x14ac:dyDescent="0.25">
      <c r="A7823" s="318">
        <v>92623666221</v>
      </c>
      <c r="B7823" s="318" t="s">
        <v>23</v>
      </c>
    </row>
    <row r="7824" spans="1:2" ht="12.75" customHeight="1" x14ac:dyDescent="0.25">
      <c r="A7824" s="318">
        <v>92623666222</v>
      </c>
      <c r="B7824" s="318" t="s">
        <v>23</v>
      </c>
    </row>
    <row r="7825" spans="1:2" ht="12.75" customHeight="1" x14ac:dyDescent="0.25">
      <c r="A7825" s="318">
        <v>92623666223</v>
      </c>
      <c r="B7825" s="318" t="s">
        <v>23</v>
      </c>
    </row>
    <row r="7826" spans="1:2" ht="12.75" customHeight="1" x14ac:dyDescent="0.25">
      <c r="A7826" s="318">
        <v>92623666224</v>
      </c>
      <c r="B7826" s="318" t="s">
        <v>23</v>
      </c>
    </row>
    <row r="7827" spans="1:2" ht="12.75" customHeight="1" x14ac:dyDescent="0.25">
      <c r="A7827" s="318">
        <v>92623666225</v>
      </c>
      <c r="B7827" s="318" t="s">
        <v>23</v>
      </c>
    </row>
    <row r="7828" spans="1:2" ht="12.75" customHeight="1" x14ac:dyDescent="0.25">
      <c r="A7828" s="318">
        <v>92623666226</v>
      </c>
      <c r="B7828" s="318" t="s">
        <v>23</v>
      </c>
    </row>
    <row r="7829" spans="1:2" ht="12.75" customHeight="1" x14ac:dyDescent="0.25">
      <c r="A7829" s="318">
        <v>92623666227</v>
      </c>
      <c r="B7829" s="318" t="s">
        <v>23</v>
      </c>
    </row>
    <row r="7830" spans="1:2" ht="12.75" customHeight="1" x14ac:dyDescent="0.25">
      <c r="A7830" s="318">
        <v>92623666311</v>
      </c>
      <c r="B7830" s="318" t="s">
        <v>237</v>
      </c>
    </row>
    <row r="7831" spans="1:2" ht="12.75" customHeight="1" x14ac:dyDescent="0.25">
      <c r="A7831" s="318">
        <v>92623666312</v>
      </c>
      <c r="B7831" s="318" t="s">
        <v>237</v>
      </c>
    </row>
    <row r="7832" spans="1:2" ht="12.75" customHeight="1" x14ac:dyDescent="0.25">
      <c r="A7832" s="318">
        <v>92623666313</v>
      </c>
      <c r="B7832" s="318" t="s">
        <v>237</v>
      </c>
    </row>
    <row r="7833" spans="1:2" ht="12.75" customHeight="1" x14ac:dyDescent="0.25">
      <c r="A7833" s="318">
        <v>92623666314</v>
      </c>
      <c r="B7833" s="318" t="s">
        <v>237</v>
      </c>
    </row>
    <row r="7834" spans="1:2" ht="12.75" customHeight="1" x14ac:dyDescent="0.25">
      <c r="A7834" s="318">
        <v>92623666315</v>
      </c>
      <c r="B7834" s="318" t="s">
        <v>237</v>
      </c>
    </row>
    <row r="7835" spans="1:2" ht="12.75" customHeight="1" x14ac:dyDescent="0.25">
      <c r="A7835" s="318">
        <v>92623666316</v>
      </c>
      <c r="B7835" s="318" t="s">
        <v>237</v>
      </c>
    </row>
    <row r="7836" spans="1:2" ht="12.75" customHeight="1" x14ac:dyDescent="0.25">
      <c r="A7836" s="318">
        <v>92623666317</v>
      </c>
      <c r="B7836" s="318" t="s">
        <v>237</v>
      </c>
    </row>
    <row r="7837" spans="1:2" ht="12.75" customHeight="1" x14ac:dyDescent="0.25">
      <c r="A7837" s="318">
        <v>92623666318</v>
      </c>
      <c r="B7837" s="318" t="s">
        <v>237</v>
      </c>
    </row>
    <row r="7838" spans="1:2" ht="12.75" customHeight="1" x14ac:dyDescent="0.25">
      <c r="A7838" s="318">
        <v>92623666320</v>
      </c>
      <c r="B7838" s="318" t="s">
        <v>237</v>
      </c>
    </row>
    <row r="7839" spans="1:2" ht="12.75" customHeight="1" x14ac:dyDescent="0.25">
      <c r="A7839" s="318">
        <v>92623666321</v>
      </c>
      <c r="B7839" s="318" t="s">
        <v>237</v>
      </c>
    </row>
    <row r="7840" spans="1:2" ht="12.75" customHeight="1" x14ac:dyDescent="0.25">
      <c r="A7840" s="318">
        <v>92623666322</v>
      </c>
      <c r="B7840" s="318" t="s">
        <v>237</v>
      </c>
    </row>
    <row r="7841" spans="1:2" ht="12.75" customHeight="1" x14ac:dyDescent="0.25">
      <c r="A7841" s="318">
        <v>92623666323</v>
      </c>
      <c r="B7841" s="318" t="s">
        <v>237</v>
      </c>
    </row>
    <row r="7842" spans="1:2" ht="12.75" customHeight="1" x14ac:dyDescent="0.25">
      <c r="A7842" s="318">
        <v>92623666324</v>
      </c>
      <c r="B7842" s="318" t="s">
        <v>237</v>
      </c>
    </row>
    <row r="7843" spans="1:2" ht="12.75" customHeight="1" x14ac:dyDescent="0.25">
      <c r="A7843" s="318">
        <v>92623666325</v>
      </c>
      <c r="B7843" s="318" t="s">
        <v>237</v>
      </c>
    </row>
    <row r="7844" spans="1:2" ht="12.75" customHeight="1" x14ac:dyDescent="0.25">
      <c r="A7844" s="318">
        <v>92623666326</v>
      </c>
      <c r="B7844" s="318" t="s">
        <v>237</v>
      </c>
    </row>
    <row r="7845" spans="1:2" ht="12.75" customHeight="1" x14ac:dyDescent="0.25">
      <c r="A7845" s="318">
        <v>92623666327</v>
      </c>
      <c r="B7845" s="318" t="s">
        <v>237</v>
      </c>
    </row>
    <row r="7846" spans="1:2" ht="12.75" customHeight="1" x14ac:dyDescent="0.25">
      <c r="A7846" s="318">
        <v>92624346402</v>
      </c>
      <c r="B7846" s="318" t="s">
        <v>23</v>
      </c>
    </row>
    <row r="7847" spans="1:2" ht="12.75" customHeight="1" x14ac:dyDescent="0.25">
      <c r="A7847" s="318">
        <v>92624346403</v>
      </c>
      <c r="B7847" s="318" t="s">
        <v>23</v>
      </c>
    </row>
    <row r="7848" spans="1:2" ht="12.75" customHeight="1" x14ac:dyDescent="0.25">
      <c r="A7848" s="318">
        <v>92624346404</v>
      </c>
      <c r="B7848" s="318" t="s">
        <v>23</v>
      </c>
    </row>
    <row r="7849" spans="1:2" ht="12.75" customHeight="1" x14ac:dyDescent="0.25">
      <c r="A7849" s="318">
        <v>92624346405</v>
      </c>
      <c r="B7849" s="318" t="s">
        <v>23</v>
      </c>
    </row>
    <row r="7850" spans="1:2" ht="12.75" customHeight="1" x14ac:dyDescent="0.25">
      <c r="A7850" s="318">
        <v>92624346406</v>
      </c>
      <c r="B7850" s="318" t="s">
        <v>23</v>
      </c>
    </row>
    <row r="7851" spans="1:2" ht="12.75" customHeight="1" x14ac:dyDescent="0.25">
      <c r="A7851" s="318">
        <v>92624346407</v>
      </c>
      <c r="B7851" s="318" t="s">
        <v>23</v>
      </c>
    </row>
    <row r="7852" spans="1:2" ht="12.75" customHeight="1" x14ac:dyDescent="0.25">
      <c r="A7852" s="318">
        <v>92624346408</v>
      </c>
      <c r="B7852" s="318" t="s">
        <v>23</v>
      </c>
    </row>
    <row r="7853" spans="1:2" ht="12.75" customHeight="1" x14ac:dyDescent="0.25">
      <c r="A7853" s="318">
        <v>92624346409</v>
      </c>
      <c r="B7853" s="318" t="s">
        <v>23</v>
      </c>
    </row>
    <row r="7854" spans="1:2" ht="12.75" customHeight="1" x14ac:dyDescent="0.25">
      <c r="A7854" s="318">
        <v>92624346411</v>
      </c>
      <c r="B7854" s="318" t="s">
        <v>23</v>
      </c>
    </row>
    <row r="7855" spans="1:2" ht="12.75" customHeight="1" x14ac:dyDescent="0.25">
      <c r="A7855" s="318">
        <v>92624346412</v>
      </c>
      <c r="B7855" s="318" t="s">
        <v>23</v>
      </c>
    </row>
    <row r="7856" spans="1:2" ht="12.75" customHeight="1" x14ac:dyDescent="0.25">
      <c r="A7856" s="318">
        <v>92624346413</v>
      </c>
      <c r="B7856" s="318" t="s">
        <v>23</v>
      </c>
    </row>
    <row r="7857" spans="1:2" ht="12.75" customHeight="1" x14ac:dyDescent="0.25">
      <c r="A7857" s="318">
        <v>92624346414</v>
      </c>
      <c r="B7857" s="318" t="s">
        <v>23</v>
      </c>
    </row>
    <row r="7858" spans="1:2" ht="12.75" customHeight="1" x14ac:dyDescent="0.25">
      <c r="A7858" s="318">
        <v>92624346415</v>
      </c>
      <c r="B7858" s="318" t="s">
        <v>23</v>
      </c>
    </row>
    <row r="7859" spans="1:2" ht="12.75" customHeight="1" x14ac:dyDescent="0.25">
      <c r="A7859" s="318">
        <v>92624346416</v>
      </c>
      <c r="B7859" s="318" t="s">
        <v>23</v>
      </c>
    </row>
    <row r="7860" spans="1:2" ht="12.75" customHeight="1" x14ac:dyDescent="0.25">
      <c r="A7860" s="318">
        <v>92624346417</v>
      </c>
      <c r="B7860" s="318" t="s">
        <v>23</v>
      </c>
    </row>
    <row r="7861" spans="1:2" ht="12.75" customHeight="1" x14ac:dyDescent="0.25">
      <c r="A7861" s="318">
        <v>92624346418</v>
      </c>
      <c r="B7861" s="318" t="s">
        <v>23</v>
      </c>
    </row>
    <row r="7862" spans="1:2" ht="12.75" customHeight="1" x14ac:dyDescent="0.25">
      <c r="A7862" s="318">
        <v>92624346502</v>
      </c>
      <c r="B7862" s="318" t="s">
        <v>237</v>
      </c>
    </row>
    <row r="7863" spans="1:2" ht="12.75" customHeight="1" x14ac:dyDescent="0.25">
      <c r="A7863" s="318">
        <v>92624346503</v>
      </c>
      <c r="B7863" s="318" t="s">
        <v>237</v>
      </c>
    </row>
    <row r="7864" spans="1:2" ht="12.75" customHeight="1" x14ac:dyDescent="0.25">
      <c r="A7864" s="318">
        <v>92624346504</v>
      </c>
      <c r="B7864" s="318" t="s">
        <v>237</v>
      </c>
    </row>
    <row r="7865" spans="1:2" ht="12.75" customHeight="1" x14ac:dyDescent="0.25">
      <c r="A7865" s="318">
        <v>92624346505</v>
      </c>
      <c r="B7865" s="318" t="s">
        <v>237</v>
      </c>
    </row>
    <row r="7866" spans="1:2" ht="12.75" customHeight="1" x14ac:dyDescent="0.25">
      <c r="A7866" s="318">
        <v>92624346506</v>
      </c>
      <c r="B7866" s="318" t="s">
        <v>237</v>
      </c>
    </row>
    <row r="7867" spans="1:2" ht="12.75" customHeight="1" x14ac:dyDescent="0.25">
      <c r="A7867" s="318">
        <v>92624346507</v>
      </c>
      <c r="B7867" s="318" t="s">
        <v>237</v>
      </c>
    </row>
    <row r="7868" spans="1:2" ht="12.75" customHeight="1" x14ac:dyDescent="0.25">
      <c r="A7868" s="318">
        <v>92624346508</v>
      </c>
      <c r="B7868" s="318" t="s">
        <v>237</v>
      </c>
    </row>
    <row r="7869" spans="1:2" ht="12.75" customHeight="1" x14ac:dyDescent="0.25">
      <c r="A7869" s="318">
        <v>92624346509</v>
      </c>
      <c r="B7869" s="318" t="s">
        <v>237</v>
      </c>
    </row>
    <row r="7870" spans="1:2" ht="12.75" customHeight="1" x14ac:dyDescent="0.25">
      <c r="A7870" s="318">
        <v>92624346511</v>
      </c>
      <c r="B7870" s="318" t="s">
        <v>237</v>
      </c>
    </row>
    <row r="7871" spans="1:2" ht="12.75" customHeight="1" x14ac:dyDescent="0.25">
      <c r="A7871" s="318">
        <v>92624346512</v>
      </c>
      <c r="B7871" s="318" t="s">
        <v>237</v>
      </c>
    </row>
    <row r="7872" spans="1:2" ht="12.75" customHeight="1" x14ac:dyDescent="0.25">
      <c r="A7872" s="318">
        <v>92624346513</v>
      </c>
      <c r="B7872" s="318" t="s">
        <v>237</v>
      </c>
    </row>
    <row r="7873" spans="1:2" ht="12.75" customHeight="1" x14ac:dyDescent="0.25">
      <c r="A7873" s="318">
        <v>92624346514</v>
      </c>
      <c r="B7873" s="318" t="s">
        <v>237</v>
      </c>
    </row>
    <row r="7874" spans="1:2" ht="12.75" customHeight="1" x14ac:dyDescent="0.25">
      <c r="A7874" s="318">
        <v>92624346515</v>
      </c>
      <c r="B7874" s="318" t="s">
        <v>237</v>
      </c>
    </row>
    <row r="7875" spans="1:2" ht="12.75" customHeight="1" x14ac:dyDescent="0.25">
      <c r="A7875" s="318">
        <v>92624346516</v>
      </c>
      <c r="B7875" s="318" t="s">
        <v>237</v>
      </c>
    </row>
    <row r="7876" spans="1:2" ht="12.75" customHeight="1" x14ac:dyDescent="0.25">
      <c r="A7876" s="318">
        <v>92624346517</v>
      </c>
      <c r="B7876" s="318" t="s">
        <v>237</v>
      </c>
    </row>
    <row r="7877" spans="1:2" ht="12.75" customHeight="1" x14ac:dyDescent="0.25">
      <c r="A7877" s="318">
        <v>92624346518</v>
      </c>
      <c r="B7877" s="318" t="s">
        <v>237</v>
      </c>
    </row>
    <row r="7878" spans="1:2" ht="12.75" customHeight="1" x14ac:dyDescent="0.25">
      <c r="A7878" s="318">
        <v>92624827375</v>
      </c>
      <c r="B7878" s="318" t="s">
        <v>23</v>
      </c>
    </row>
    <row r="7879" spans="1:2" ht="12.75" customHeight="1" x14ac:dyDescent="0.25">
      <c r="A7879" s="318">
        <v>92624827376</v>
      </c>
      <c r="B7879" s="318" t="s">
        <v>23</v>
      </c>
    </row>
    <row r="7880" spans="1:2" ht="12.75" customHeight="1" x14ac:dyDescent="0.25">
      <c r="A7880" s="318">
        <v>92624827377</v>
      </c>
      <c r="B7880" s="318" t="s">
        <v>23</v>
      </c>
    </row>
    <row r="7881" spans="1:2" ht="12.75" customHeight="1" x14ac:dyDescent="0.25">
      <c r="A7881" s="318">
        <v>92624827378</v>
      </c>
      <c r="B7881" s="318" t="s">
        <v>23</v>
      </c>
    </row>
    <row r="7882" spans="1:2" ht="12.75" customHeight="1" x14ac:dyDescent="0.25">
      <c r="A7882" s="318">
        <v>92624827379</v>
      </c>
      <c r="B7882" s="318" t="s">
        <v>23</v>
      </c>
    </row>
    <row r="7883" spans="1:2" ht="12.75" customHeight="1" x14ac:dyDescent="0.25">
      <c r="A7883" s="318">
        <v>92624827380</v>
      </c>
      <c r="B7883" s="318" t="s">
        <v>23</v>
      </c>
    </row>
    <row r="7884" spans="1:2" ht="12.75" customHeight="1" x14ac:dyDescent="0.25">
      <c r="A7884" s="318">
        <v>92624827381</v>
      </c>
      <c r="B7884" s="318" t="s">
        <v>23</v>
      </c>
    </row>
    <row r="7885" spans="1:2" ht="12.75" customHeight="1" x14ac:dyDescent="0.25">
      <c r="A7885" s="318">
        <v>92624827382</v>
      </c>
      <c r="B7885" s="318" t="s">
        <v>23</v>
      </c>
    </row>
    <row r="7886" spans="1:2" ht="12.75" customHeight="1" x14ac:dyDescent="0.25">
      <c r="A7886" s="318">
        <v>92624827384</v>
      </c>
      <c r="B7886" s="318" t="s">
        <v>23</v>
      </c>
    </row>
    <row r="7887" spans="1:2" ht="12.75" customHeight="1" x14ac:dyDescent="0.25">
      <c r="A7887" s="318">
        <v>92624827385</v>
      </c>
      <c r="B7887" s="318" t="s">
        <v>23</v>
      </c>
    </row>
    <row r="7888" spans="1:2" ht="12.75" customHeight="1" x14ac:dyDescent="0.25">
      <c r="A7888" s="318">
        <v>92624827386</v>
      </c>
      <c r="B7888" s="318" t="s">
        <v>23</v>
      </c>
    </row>
    <row r="7889" spans="1:2" ht="12.75" customHeight="1" x14ac:dyDescent="0.25">
      <c r="A7889" s="318">
        <v>92624827387</v>
      </c>
      <c r="B7889" s="318" t="s">
        <v>23</v>
      </c>
    </row>
    <row r="7890" spans="1:2" ht="12.75" customHeight="1" x14ac:dyDescent="0.25">
      <c r="A7890" s="318">
        <v>92624827388</v>
      </c>
      <c r="B7890" s="318" t="s">
        <v>23</v>
      </c>
    </row>
    <row r="7891" spans="1:2" ht="12.75" customHeight="1" x14ac:dyDescent="0.25">
      <c r="A7891" s="318">
        <v>92624827389</v>
      </c>
      <c r="B7891" s="318" t="s">
        <v>23</v>
      </c>
    </row>
    <row r="7892" spans="1:2" ht="12.75" customHeight="1" x14ac:dyDescent="0.25">
      <c r="A7892" s="318">
        <v>92624827390</v>
      </c>
      <c r="B7892" s="318" t="s">
        <v>23</v>
      </c>
    </row>
    <row r="7893" spans="1:2" ht="12.75" customHeight="1" x14ac:dyDescent="0.25">
      <c r="A7893" s="318">
        <v>92624827391</v>
      </c>
      <c r="B7893" s="318" t="s">
        <v>23</v>
      </c>
    </row>
    <row r="7894" spans="1:2" ht="12.75" customHeight="1" x14ac:dyDescent="0.25">
      <c r="A7894" s="318">
        <v>92624827475</v>
      </c>
      <c r="B7894" s="318" t="s">
        <v>237</v>
      </c>
    </row>
    <row r="7895" spans="1:2" ht="12.75" customHeight="1" x14ac:dyDescent="0.25">
      <c r="A7895" s="318">
        <v>92624827476</v>
      </c>
      <c r="B7895" s="318" t="s">
        <v>237</v>
      </c>
    </row>
    <row r="7896" spans="1:2" ht="12.75" customHeight="1" x14ac:dyDescent="0.25">
      <c r="A7896" s="318">
        <v>92624827477</v>
      </c>
      <c r="B7896" s="318" t="s">
        <v>237</v>
      </c>
    </row>
    <row r="7897" spans="1:2" ht="12.75" customHeight="1" x14ac:dyDescent="0.25">
      <c r="A7897" s="318">
        <v>92624827478</v>
      </c>
      <c r="B7897" s="318" t="s">
        <v>237</v>
      </c>
    </row>
    <row r="7898" spans="1:2" ht="12.75" customHeight="1" x14ac:dyDescent="0.25">
      <c r="A7898" s="318">
        <v>92624827479</v>
      </c>
      <c r="B7898" s="318" t="s">
        <v>237</v>
      </c>
    </row>
    <row r="7899" spans="1:2" ht="12.75" customHeight="1" x14ac:dyDescent="0.25">
      <c r="A7899" s="318">
        <v>92624827480</v>
      </c>
      <c r="B7899" s="318" t="s">
        <v>237</v>
      </c>
    </row>
    <row r="7900" spans="1:2" ht="12.75" customHeight="1" x14ac:dyDescent="0.25">
      <c r="A7900" s="318">
        <v>92624827481</v>
      </c>
      <c r="B7900" s="318" t="s">
        <v>237</v>
      </c>
    </row>
    <row r="7901" spans="1:2" ht="12.75" customHeight="1" x14ac:dyDescent="0.25">
      <c r="A7901" s="318">
        <v>92624827482</v>
      </c>
      <c r="B7901" s="318" t="s">
        <v>237</v>
      </c>
    </row>
    <row r="7902" spans="1:2" ht="12.75" customHeight="1" x14ac:dyDescent="0.25">
      <c r="A7902" s="318">
        <v>92624827484</v>
      </c>
      <c r="B7902" s="318" t="s">
        <v>237</v>
      </c>
    </row>
    <row r="7903" spans="1:2" ht="12.75" customHeight="1" x14ac:dyDescent="0.25">
      <c r="A7903" s="318">
        <v>92624827485</v>
      </c>
      <c r="B7903" s="318" t="s">
        <v>237</v>
      </c>
    </row>
    <row r="7904" spans="1:2" ht="12.75" customHeight="1" x14ac:dyDescent="0.25">
      <c r="A7904" s="318">
        <v>92624827486</v>
      </c>
      <c r="B7904" s="318" t="s">
        <v>237</v>
      </c>
    </row>
    <row r="7905" spans="1:2" ht="12.75" customHeight="1" x14ac:dyDescent="0.25">
      <c r="A7905" s="318">
        <v>92624827487</v>
      </c>
      <c r="B7905" s="318" t="s">
        <v>237</v>
      </c>
    </row>
    <row r="7906" spans="1:2" ht="12.75" customHeight="1" x14ac:dyDescent="0.25">
      <c r="A7906" s="318">
        <v>92624827488</v>
      </c>
      <c r="B7906" s="318" t="s">
        <v>237</v>
      </c>
    </row>
    <row r="7907" spans="1:2" ht="12.75" customHeight="1" x14ac:dyDescent="0.25">
      <c r="A7907" s="318">
        <v>92624827489</v>
      </c>
      <c r="B7907" s="318" t="s">
        <v>237</v>
      </c>
    </row>
    <row r="7908" spans="1:2" ht="12.75" customHeight="1" x14ac:dyDescent="0.25">
      <c r="A7908" s="318">
        <v>92624827490</v>
      </c>
      <c r="B7908" s="318" t="s">
        <v>237</v>
      </c>
    </row>
    <row r="7909" spans="1:2" ht="12.75" customHeight="1" x14ac:dyDescent="0.25">
      <c r="A7909" s="318">
        <v>92624827491</v>
      </c>
      <c r="B7909" s="318" t="s">
        <v>237</v>
      </c>
    </row>
    <row r="7910" spans="1:2" ht="12.75" customHeight="1" x14ac:dyDescent="0.25">
      <c r="A7910" s="318">
        <v>92625308348</v>
      </c>
      <c r="B7910" s="318" t="s">
        <v>23</v>
      </c>
    </row>
    <row r="7911" spans="1:2" ht="12.75" customHeight="1" x14ac:dyDescent="0.25">
      <c r="A7911" s="318">
        <v>92625308349</v>
      </c>
      <c r="B7911" s="318" t="s">
        <v>23</v>
      </c>
    </row>
    <row r="7912" spans="1:2" ht="12.75" customHeight="1" x14ac:dyDescent="0.25">
      <c r="A7912" s="318">
        <v>92625308350</v>
      </c>
      <c r="B7912" s="318" t="s">
        <v>23</v>
      </c>
    </row>
    <row r="7913" spans="1:2" ht="12.75" customHeight="1" x14ac:dyDescent="0.25">
      <c r="A7913" s="318">
        <v>92625308351</v>
      </c>
      <c r="B7913" s="318" t="s">
        <v>23</v>
      </c>
    </row>
    <row r="7914" spans="1:2" ht="12.75" customHeight="1" x14ac:dyDescent="0.25">
      <c r="A7914" s="318">
        <v>92625308352</v>
      </c>
      <c r="B7914" s="318" t="s">
        <v>23</v>
      </c>
    </row>
    <row r="7915" spans="1:2" ht="12.75" customHeight="1" x14ac:dyDescent="0.25">
      <c r="A7915" s="318">
        <v>92625308353</v>
      </c>
      <c r="B7915" s="318" t="s">
        <v>23</v>
      </c>
    </row>
    <row r="7916" spans="1:2" ht="12.75" customHeight="1" x14ac:dyDescent="0.25">
      <c r="A7916" s="318">
        <v>92625308354</v>
      </c>
      <c r="B7916" s="318" t="s">
        <v>23</v>
      </c>
    </row>
    <row r="7917" spans="1:2" ht="12.75" customHeight="1" x14ac:dyDescent="0.25">
      <c r="A7917" s="318">
        <v>92625308355</v>
      </c>
      <c r="B7917" s="318" t="s">
        <v>23</v>
      </c>
    </row>
    <row r="7918" spans="1:2" ht="12.75" customHeight="1" x14ac:dyDescent="0.25">
      <c r="A7918" s="318">
        <v>92625308357</v>
      </c>
      <c r="B7918" s="318" t="s">
        <v>23</v>
      </c>
    </row>
    <row r="7919" spans="1:2" ht="12.75" customHeight="1" x14ac:dyDescent="0.25">
      <c r="A7919" s="318">
        <v>92625308358</v>
      </c>
      <c r="B7919" s="318" t="s">
        <v>23</v>
      </c>
    </row>
    <row r="7920" spans="1:2" ht="12.75" customHeight="1" x14ac:dyDescent="0.25">
      <c r="A7920" s="318">
        <v>92625308359</v>
      </c>
      <c r="B7920" s="318" t="s">
        <v>23</v>
      </c>
    </row>
    <row r="7921" spans="1:2" ht="12.75" customHeight="1" x14ac:dyDescent="0.25">
      <c r="A7921" s="318">
        <v>92625308360</v>
      </c>
      <c r="B7921" s="318" t="s">
        <v>23</v>
      </c>
    </row>
    <row r="7922" spans="1:2" ht="12.75" customHeight="1" x14ac:dyDescent="0.25">
      <c r="A7922" s="318">
        <v>92625308361</v>
      </c>
      <c r="B7922" s="318" t="s">
        <v>23</v>
      </c>
    </row>
    <row r="7923" spans="1:2" ht="12.75" customHeight="1" x14ac:dyDescent="0.25">
      <c r="A7923" s="318">
        <v>92625308362</v>
      </c>
      <c r="B7923" s="318" t="s">
        <v>23</v>
      </c>
    </row>
    <row r="7924" spans="1:2" ht="12.75" customHeight="1" x14ac:dyDescent="0.25">
      <c r="A7924" s="318">
        <v>92625308363</v>
      </c>
      <c r="B7924" s="318" t="s">
        <v>23</v>
      </c>
    </row>
    <row r="7925" spans="1:2" ht="12.75" customHeight="1" x14ac:dyDescent="0.25">
      <c r="A7925" s="318">
        <v>92625308364</v>
      </c>
      <c r="B7925" s="318" t="s">
        <v>23</v>
      </c>
    </row>
    <row r="7926" spans="1:2" ht="12.75" customHeight="1" x14ac:dyDescent="0.25">
      <c r="A7926" s="318">
        <v>92625308448</v>
      </c>
      <c r="B7926" s="318" t="s">
        <v>237</v>
      </c>
    </row>
    <row r="7927" spans="1:2" ht="12.75" customHeight="1" x14ac:dyDescent="0.25">
      <c r="A7927" s="318">
        <v>92625308449</v>
      </c>
      <c r="B7927" s="318" t="s">
        <v>237</v>
      </c>
    </row>
    <row r="7928" spans="1:2" ht="12.75" customHeight="1" x14ac:dyDescent="0.25">
      <c r="A7928" s="318">
        <v>92625308450</v>
      </c>
      <c r="B7928" s="318" t="s">
        <v>237</v>
      </c>
    </row>
    <row r="7929" spans="1:2" ht="12.75" customHeight="1" x14ac:dyDescent="0.25">
      <c r="A7929" s="318">
        <v>92625308451</v>
      </c>
      <c r="B7929" s="318" t="s">
        <v>237</v>
      </c>
    </row>
    <row r="7930" spans="1:2" ht="12.75" customHeight="1" x14ac:dyDescent="0.25">
      <c r="A7930" s="318">
        <v>92625308452</v>
      </c>
      <c r="B7930" s="318" t="s">
        <v>237</v>
      </c>
    </row>
    <row r="7931" spans="1:2" ht="12.75" customHeight="1" x14ac:dyDescent="0.25">
      <c r="A7931" s="318">
        <v>92625308453</v>
      </c>
      <c r="B7931" s="318" t="s">
        <v>237</v>
      </c>
    </row>
    <row r="7932" spans="1:2" ht="12.75" customHeight="1" x14ac:dyDescent="0.25">
      <c r="A7932" s="318">
        <v>92625308454</v>
      </c>
      <c r="B7932" s="318" t="s">
        <v>237</v>
      </c>
    </row>
    <row r="7933" spans="1:2" ht="12.75" customHeight="1" x14ac:dyDescent="0.25">
      <c r="A7933" s="318">
        <v>92625308455</v>
      </c>
      <c r="B7933" s="318" t="s">
        <v>237</v>
      </c>
    </row>
    <row r="7934" spans="1:2" ht="12.75" customHeight="1" x14ac:dyDescent="0.25">
      <c r="A7934" s="318">
        <v>92625308457</v>
      </c>
      <c r="B7934" s="318" t="s">
        <v>237</v>
      </c>
    </row>
    <row r="7935" spans="1:2" ht="12.75" customHeight="1" x14ac:dyDescent="0.25">
      <c r="A7935" s="318">
        <v>92625308458</v>
      </c>
      <c r="B7935" s="318" t="s">
        <v>237</v>
      </c>
    </row>
    <row r="7936" spans="1:2" ht="12.75" customHeight="1" x14ac:dyDescent="0.25">
      <c r="A7936" s="318">
        <v>92625308459</v>
      </c>
      <c r="B7936" s="318" t="s">
        <v>237</v>
      </c>
    </row>
    <row r="7937" spans="1:2" ht="12.75" customHeight="1" x14ac:dyDescent="0.25">
      <c r="A7937" s="318">
        <v>92625308460</v>
      </c>
      <c r="B7937" s="318" t="s">
        <v>237</v>
      </c>
    </row>
    <row r="7938" spans="1:2" ht="12.75" customHeight="1" x14ac:dyDescent="0.25">
      <c r="A7938" s="318">
        <v>92625308461</v>
      </c>
      <c r="B7938" s="318" t="s">
        <v>237</v>
      </c>
    </row>
    <row r="7939" spans="1:2" ht="12.75" customHeight="1" x14ac:dyDescent="0.25">
      <c r="A7939" s="318">
        <v>92625308462</v>
      </c>
      <c r="B7939" s="318" t="s">
        <v>237</v>
      </c>
    </row>
    <row r="7940" spans="1:2" ht="12.75" customHeight="1" x14ac:dyDescent="0.25">
      <c r="A7940" s="318">
        <v>92625308463</v>
      </c>
      <c r="B7940" s="318" t="s">
        <v>237</v>
      </c>
    </row>
    <row r="7941" spans="1:2" ht="12.75" customHeight="1" x14ac:dyDescent="0.25">
      <c r="A7941" s="318">
        <v>92625308464</v>
      </c>
      <c r="B7941" s="318" t="s">
        <v>237</v>
      </c>
    </row>
    <row r="7942" spans="1:2" ht="12.75" customHeight="1" x14ac:dyDescent="0.25">
      <c r="A7942" s="318">
        <v>92626668729</v>
      </c>
      <c r="B7942" s="318" t="s">
        <v>23</v>
      </c>
    </row>
    <row r="7943" spans="1:2" ht="12.75" customHeight="1" x14ac:dyDescent="0.25">
      <c r="A7943" s="318">
        <v>92626668730</v>
      </c>
      <c r="B7943" s="318" t="s">
        <v>23</v>
      </c>
    </row>
    <row r="7944" spans="1:2" ht="12.75" customHeight="1" x14ac:dyDescent="0.25">
      <c r="A7944" s="318">
        <v>92626668731</v>
      </c>
      <c r="B7944" s="318" t="s">
        <v>23</v>
      </c>
    </row>
    <row r="7945" spans="1:2" ht="12.75" customHeight="1" x14ac:dyDescent="0.25">
      <c r="A7945" s="318">
        <v>92626668732</v>
      </c>
      <c r="B7945" s="318" t="s">
        <v>23</v>
      </c>
    </row>
    <row r="7946" spans="1:2" ht="12.75" customHeight="1" x14ac:dyDescent="0.25">
      <c r="A7946" s="318">
        <v>92626668733</v>
      </c>
      <c r="B7946" s="318" t="s">
        <v>23</v>
      </c>
    </row>
    <row r="7947" spans="1:2" ht="12.75" customHeight="1" x14ac:dyDescent="0.25">
      <c r="A7947" s="318">
        <v>92626668734</v>
      </c>
      <c r="B7947" s="318" t="s">
        <v>23</v>
      </c>
    </row>
    <row r="7948" spans="1:2" ht="12.75" customHeight="1" x14ac:dyDescent="0.25">
      <c r="A7948" s="318">
        <v>92626668735</v>
      </c>
      <c r="B7948" s="318" t="s">
        <v>23</v>
      </c>
    </row>
    <row r="7949" spans="1:2" ht="12.75" customHeight="1" x14ac:dyDescent="0.25">
      <c r="A7949" s="318">
        <v>92626668736</v>
      </c>
      <c r="B7949" s="318" t="s">
        <v>23</v>
      </c>
    </row>
    <row r="7950" spans="1:2" ht="12.75" customHeight="1" x14ac:dyDescent="0.25">
      <c r="A7950" s="318">
        <v>92626668738</v>
      </c>
      <c r="B7950" s="318" t="s">
        <v>23</v>
      </c>
    </row>
    <row r="7951" spans="1:2" ht="12.75" customHeight="1" x14ac:dyDescent="0.25">
      <c r="A7951" s="318">
        <v>92626668739</v>
      </c>
      <c r="B7951" s="318" t="s">
        <v>23</v>
      </c>
    </row>
    <row r="7952" spans="1:2" ht="12.75" customHeight="1" x14ac:dyDescent="0.25">
      <c r="A7952" s="318">
        <v>92626668740</v>
      </c>
      <c r="B7952" s="318" t="s">
        <v>23</v>
      </c>
    </row>
    <row r="7953" spans="1:2" ht="12.75" customHeight="1" x14ac:dyDescent="0.25">
      <c r="A7953" s="318">
        <v>92626668741</v>
      </c>
      <c r="B7953" s="318" t="s">
        <v>23</v>
      </c>
    </row>
    <row r="7954" spans="1:2" ht="12.75" customHeight="1" x14ac:dyDescent="0.25">
      <c r="A7954" s="318">
        <v>92626668742</v>
      </c>
      <c r="B7954" s="318" t="s">
        <v>23</v>
      </c>
    </row>
    <row r="7955" spans="1:2" ht="12.75" customHeight="1" x14ac:dyDescent="0.25">
      <c r="A7955" s="318">
        <v>92626668743</v>
      </c>
      <c r="B7955" s="318" t="s">
        <v>23</v>
      </c>
    </row>
    <row r="7956" spans="1:2" ht="12.75" customHeight="1" x14ac:dyDescent="0.25">
      <c r="A7956" s="318">
        <v>92626668744</v>
      </c>
      <c r="B7956" s="318" t="s">
        <v>23</v>
      </c>
    </row>
    <row r="7957" spans="1:2" ht="12.75" customHeight="1" x14ac:dyDescent="0.25">
      <c r="A7957" s="318">
        <v>92626668745</v>
      </c>
      <c r="B7957" s="318" t="s">
        <v>23</v>
      </c>
    </row>
    <row r="7958" spans="1:2" ht="12.75" customHeight="1" x14ac:dyDescent="0.25">
      <c r="A7958" s="318">
        <v>92626668829</v>
      </c>
      <c r="B7958" s="318" t="s">
        <v>237</v>
      </c>
    </row>
    <row r="7959" spans="1:2" ht="12.75" customHeight="1" x14ac:dyDescent="0.25">
      <c r="A7959" s="318">
        <v>92626668830</v>
      </c>
      <c r="B7959" s="318" t="s">
        <v>237</v>
      </c>
    </row>
    <row r="7960" spans="1:2" ht="12.75" customHeight="1" x14ac:dyDescent="0.25">
      <c r="A7960" s="318">
        <v>92626668831</v>
      </c>
      <c r="B7960" s="318" t="s">
        <v>237</v>
      </c>
    </row>
    <row r="7961" spans="1:2" ht="12.75" customHeight="1" x14ac:dyDescent="0.25">
      <c r="A7961" s="318">
        <v>92626668832</v>
      </c>
      <c r="B7961" s="318" t="s">
        <v>237</v>
      </c>
    </row>
    <row r="7962" spans="1:2" ht="12.75" customHeight="1" x14ac:dyDescent="0.25">
      <c r="A7962" s="318">
        <v>92626668833</v>
      </c>
      <c r="B7962" s="318" t="s">
        <v>237</v>
      </c>
    </row>
    <row r="7963" spans="1:2" ht="12.75" customHeight="1" x14ac:dyDescent="0.25">
      <c r="A7963" s="318">
        <v>92626668834</v>
      </c>
      <c r="B7963" s="318" t="s">
        <v>237</v>
      </c>
    </row>
    <row r="7964" spans="1:2" ht="12.75" customHeight="1" x14ac:dyDescent="0.25">
      <c r="A7964" s="318">
        <v>92626668835</v>
      </c>
      <c r="B7964" s="318" t="s">
        <v>237</v>
      </c>
    </row>
    <row r="7965" spans="1:2" ht="12.75" customHeight="1" x14ac:dyDescent="0.25">
      <c r="A7965" s="318">
        <v>92626668836</v>
      </c>
      <c r="B7965" s="318" t="s">
        <v>237</v>
      </c>
    </row>
    <row r="7966" spans="1:2" ht="12.75" customHeight="1" x14ac:dyDescent="0.25">
      <c r="A7966" s="318">
        <v>92626668838</v>
      </c>
      <c r="B7966" s="318" t="s">
        <v>237</v>
      </c>
    </row>
    <row r="7967" spans="1:2" ht="12.75" customHeight="1" x14ac:dyDescent="0.25">
      <c r="A7967" s="318">
        <v>92626668839</v>
      </c>
      <c r="B7967" s="318" t="s">
        <v>237</v>
      </c>
    </row>
    <row r="7968" spans="1:2" ht="12.75" customHeight="1" x14ac:dyDescent="0.25">
      <c r="A7968" s="318">
        <v>92626668840</v>
      </c>
      <c r="B7968" s="318" t="s">
        <v>237</v>
      </c>
    </row>
    <row r="7969" spans="1:2" ht="12.75" customHeight="1" x14ac:dyDescent="0.25">
      <c r="A7969" s="318">
        <v>92626668841</v>
      </c>
      <c r="B7969" s="318" t="s">
        <v>237</v>
      </c>
    </row>
    <row r="7970" spans="1:2" ht="12.75" customHeight="1" x14ac:dyDescent="0.25">
      <c r="A7970" s="318">
        <v>92626668842</v>
      </c>
      <c r="B7970" s="318" t="s">
        <v>237</v>
      </c>
    </row>
    <row r="7971" spans="1:2" ht="12.75" customHeight="1" x14ac:dyDescent="0.25">
      <c r="A7971" s="318">
        <v>92626668843</v>
      </c>
      <c r="B7971" s="318" t="s">
        <v>237</v>
      </c>
    </row>
    <row r="7972" spans="1:2" ht="12.75" customHeight="1" x14ac:dyDescent="0.25">
      <c r="A7972" s="318">
        <v>92626668844</v>
      </c>
      <c r="B7972" s="318" t="s">
        <v>237</v>
      </c>
    </row>
    <row r="7973" spans="1:2" ht="12.75" customHeight="1" x14ac:dyDescent="0.25">
      <c r="A7973" s="318">
        <v>92626668845</v>
      </c>
      <c r="B7973" s="318" t="s">
        <v>237</v>
      </c>
    </row>
    <row r="7974" spans="1:2" ht="12.75" customHeight="1" x14ac:dyDescent="0.25">
      <c r="A7974" s="318">
        <v>92627149702</v>
      </c>
      <c r="B7974" s="318" t="s">
        <v>23</v>
      </c>
    </row>
    <row r="7975" spans="1:2" ht="12.75" customHeight="1" x14ac:dyDescent="0.25">
      <c r="A7975" s="318">
        <v>92627149703</v>
      </c>
      <c r="B7975" s="318" t="s">
        <v>23</v>
      </c>
    </row>
    <row r="7976" spans="1:2" ht="12.75" customHeight="1" x14ac:dyDescent="0.25">
      <c r="A7976" s="318">
        <v>92627149704</v>
      </c>
      <c r="B7976" s="318" t="s">
        <v>23</v>
      </c>
    </row>
    <row r="7977" spans="1:2" ht="12.75" customHeight="1" x14ac:dyDescent="0.25">
      <c r="A7977" s="318">
        <v>92627149705</v>
      </c>
      <c r="B7977" s="318" t="s">
        <v>23</v>
      </c>
    </row>
    <row r="7978" spans="1:2" ht="12.75" customHeight="1" x14ac:dyDescent="0.25">
      <c r="A7978" s="318">
        <v>92627149706</v>
      </c>
      <c r="B7978" s="318" t="s">
        <v>23</v>
      </c>
    </row>
    <row r="7979" spans="1:2" ht="12.75" customHeight="1" x14ac:dyDescent="0.25">
      <c r="A7979" s="318">
        <v>92627149707</v>
      </c>
      <c r="B7979" s="318" t="s">
        <v>23</v>
      </c>
    </row>
    <row r="7980" spans="1:2" ht="12.75" customHeight="1" x14ac:dyDescent="0.25">
      <c r="A7980" s="318">
        <v>92627149708</v>
      </c>
      <c r="B7980" s="318" t="s">
        <v>23</v>
      </c>
    </row>
    <row r="7981" spans="1:2" ht="12.75" customHeight="1" x14ac:dyDescent="0.25">
      <c r="A7981" s="318">
        <v>92627149709</v>
      </c>
      <c r="B7981" s="318" t="s">
        <v>23</v>
      </c>
    </row>
    <row r="7982" spans="1:2" ht="12.75" customHeight="1" x14ac:dyDescent="0.25">
      <c r="A7982" s="318">
        <v>92627149711</v>
      </c>
      <c r="B7982" s="318" t="s">
        <v>23</v>
      </c>
    </row>
    <row r="7983" spans="1:2" ht="12.75" customHeight="1" x14ac:dyDescent="0.25">
      <c r="A7983" s="318">
        <v>92627149712</v>
      </c>
      <c r="B7983" s="318" t="s">
        <v>23</v>
      </c>
    </row>
    <row r="7984" spans="1:2" ht="12.75" customHeight="1" x14ac:dyDescent="0.25">
      <c r="A7984" s="318">
        <v>92627149713</v>
      </c>
      <c r="B7984" s="318" t="s">
        <v>23</v>
      </c>
    </row>
    <row r="7985" spans="1:2" ht="12.75" customHeight="1" x14ac:dyDescent="0.25">
      <c r="A7985" s="318">
        <v>92627149714</v>
      </c>
      <c r="B7985" s="318" t="s">
        <v>23</v>
      </c>
    </row>
    <row r="7986" spans="1:2" ht="12.75" customHeight="1" x14ac:dyDescent="0.25">
      <c r="A7986" s="318">
        <v>92627149715</v>
      </c>
      <c r="B7986" s="318" t="s">
        <v>23</v>
      </c>
    </row>
    <row r="7987" spans="1:2" ht="12.75" customHeight="1" x14ac:dyDescent="0.25">
      <c r="A7987" s="318">
        <v>92627149716</v>
      </c>
      <c r="B7987" s="318" t="s">
        <v>23</v>
      </c>
    </row>
    <row r="7988" spans="1:2" ht="12.75" customHeight="1" x14ac:dyDescent="0.25">
      <c r="A7988" s="318">
        <v>92627149717</v>
      </c>
      <c r="B7988" s="318" t="s">
        <v>23</v>
      </c>
    </row>
    <row r="7989" spans="1:2" ht="12.75" customHeight="1" x14ac:dyDescent="0.25">
      <c r="A7989" s="318">
        <v>92627149718</v>
      </c>
      <c r="B7989" s="318" t="s">
        <v>23</v>
      </c>
    </row>
    <row r="7990" spans="1:2" ht="12.75" customHeight="1" x14ac:dyDescent="0.25">
      <c r="A7990" s="318">
        <v>92627149802</v>
      </c>
      <c r="B7990" s="318" t="s">
        <v>237</v>
      </c>
    </row>
    <row r="7991" spans="1:2" ht="12.75" customHeight="1" x14ac:dyDescent="0.25">
      <c r="A7991" s="318">
        <v>92627149803</v>
      </c>
      <c r="B7991" s="318" t="s">
        <v>237</v>
      </c>
    </row>
    <row r="7992" spans="1:2" ht="12.75" customHeight="1" x14ac:dyDescent="0.25">
      <c r="A7992" s="318">
        <v>92627149804</v>
      </c>
      <c r="B7992" s="318" t="s">
        <v>237</v>
      </c>
    </row>
    <row r="7993" spans="1:2" ht="12.75" customHeight="1" x14ac:dyDescent="0.25">
      <c r="A7993" s="318">
        <v>92627149805</v>
      </c>
      <c r="B7993" s="318" t="s">
        <v>237</v>
      </c>
    </row>
    <row r="7994" spans="1:2" ht="12.75" customHeight="1" x14ac:dyDescent="0.25">
      <c r="A7994" s="318">
        <v>92627149806</v>
      </c>
      <c r="B7994" s="318" t="s">
        <v>237</v>
      </c>
    </row>
    <row r="7995" spans="1:2" ht="12.75" customHeight="1" x14ac:dyDescent="0.25">
      <c r="A7995" s="318">
        <v>92627149807</v>
      </c>
      <c r="B7995" s="318" t="s">
        <v>237</v>
      </c>
    </row>
    <row r="7996" spans="1:2" ht="12.75" customHeight="1" x14ac:dyDescent="0.25">
      <c r="A7996" s="318">
        <v>92627149808</v>
      </c>
      <c r="B7996" s="318" t="s">
        <v>237</v>
      </c>
    </row>
    <row r="7997" spans="1:2" ht="12.75" customHeight="1" x14ac:dyDescent="0.25">
      <c r="A7997" s="318">
        <v>92627149809</v>
      </c>
      <c r="B7997" s="318" t="s">
        <v>237</v>
      </c>
    </row>
    <row r="7998" spans="1:2" ht="12.75" customHeight="1" x14ac:dyDescent="0.25">
      <c r="A7998" s="318">
        <v>92627149811</v>
      </c>
      <c r="B7998" s="318" t="s">
        <v>237</v>
      </c>
    </row>
    <row r="7999" spans="1:2" ht="12.75" customHeight="1" x14ac:dyDescent="0.25">
      <c r="A7999" s="318">
        <v>92627149812</v>
      </c>
      <c r="B7999" s="318" t="s">
        <v>237</v>
      </c>
    </row>
    <row r="8000" spans="1:2" ht="12.75" customHeight="1" x14ac:dyDescent="0.25">
      <c r="A8000" s="318">
        <v>92627149813</v>
      </c>
      <c r="B8000" s="318" t="s">
        <v>237</v>
      </c>
    </row>
    <row r="8001" spans="1:2" ht="12.75" customHeight="1" x14ac:dyDescent="0.25">
      <c r="A8001" s="318">
        <v>92627149814</v>
      </c>
      <c r="B8001" s="318" t="s">
        <v>237</v>
      </c>
    </row>
    <row r="8002" spans="1:2" ht="12.75" customHeight="1" x14ac:dyDescent="0.25">
      <c r="A8002" s="318">
        <v>92627149815</v>
      </c>
      <c r="B8002" s="318" t="s">
        <v>237</v>
      </c>
    </row>
    <row r="8003" spans="1:2" ht="12.75" customHeight="1" x14ac:dyDescent="0.25">
      <c r="A8003" s="318">
        <v>92627149816</v>
      </c>
      <c r="B8003" s="318" t="s">
        <v>237</v>
      </c>
    </row>
    <row r="8004" spans="1:2" ht="12.75" customHeight="1" x14ac:dyDescent="0.25">
      <c r="A8004" s="318">
        <v>92627149817</v>
      </c>
      <c r="B8004" s="318" t="s">
        <v>237</v>
      </c>
    </row>
    <row r="8005" spans="1:2" ht="12.75" customHeight="1" x14ac:dyDescent="0.25">
      <c r="A8005" s="318">
        <v>92627149818</v>
      </c>
      <c r="B8005" s="318" t="s">
        <v>237</v>
      </c>
    </row>
    <row r="8006" spans="1:2" ht="12.75" customHeight="1" x14ac:dyDescent="0.25">
      <c r="A8006" s="318">
        <v>92627630675</v>
      </c>
      <c r="B8006" s="318" t="s">
        <v>23</v>
      </c>
    </row>
    <row r="8007" spans="1:2" ht="12.75" customHeight="1" x14ac:dyDescent="0.25">
      <c r="A8007" s="318">
        <v>92627630676</v>
      </c>
      <c r="B8007" s="318" t="s">
        <v>23</v>
      </c>
    </row>
    <row r="8008" spans="1:2" ht="12.75" customHeight="1" x14ac:dyDescent="0.25">
      <c r="A8008" s="318">
        <v>92627630677</v>
      </c>
      <c r="B8008" s="318" t="s">
        <v>23</v>
      </c>
    </row>
    <row r="8009" spans="1:2" ht="12.75" customHeight="1" x14ac:dyDescent="0.25">
      <c r="A8009" s="318">
        <v>92627630678</v>
      </c>
      <c r="B8009" s="318" t="s">
        <v>23</v>
      </c>
    </row>
    <row r="8010" spans="1:2" ht="12.75" customHeight="1" x14ac:dyDescent="0.25">
      <c r="A8010" s="318">
        <v>92627630679</v>
      </c>
      <c r="B8010" s="318" t="s">
        <v>23</v>
      </c>
    </row>
    <row r="8011" spans="1:2" ht="12.75" customHeight="1" x14ac:dyDescent="0.25">
      <c r="A8011" s="318">
        <v>92627630680</v>
      </c>
      <c r="B8011" s="318" t="s">
        <v>23</v>
      </c>
    </row>
    <row r="8012" spans="1:2" ht="12.75" customHeight="1" x14ac:dyDescent="0.25">
      <c r="A8012" s="318">
        <v>92627630681</v>
      </c>
      <c r="B8012" s="318" t="s">
        <v>23</v>
      </c>
    </row>
    <row r="8013" spans="1:2" ht="12.75" customHeight="1" x14ac:dyDescent="0.25">
      <c r="A8013" s="318">
        <v>92627630682</v>
      </c>
      <c r="B8013" s="318" t="s">
        <v>23</v>
      </c>
    </row>
    <row r="8014" spans="1:2" ht="12.75" customHeight="1" x14ac:dyDescent="0.25">
      <c r="A8014" s="318">
        <v>92627630684</v>
      </c>
      <c r="B8014" s="318" t="s">
        <v>23</v>
      </c>
    </row>
    <row r="8015" spans="1:2" ht="12.75" customHeight="1" x14ac:dyDescent="0.25">
      <c r="A8015" s="318">
        <v>92627630685</v>
      </c>
      <c r="B8015" s="318" t="s">
        <v>23</v>
      </c>
    </row>
    <row r="8016" spans="1:2" ht="12.75" customHeight="1" x14ac:dyDescent="0.25">
      <c r="A8016" s="318">
        <v>92627630686</v>
      </c>
      <c r="B8016" s="318" t="s">
        <v>23</v>
      </c>
    </row>
    <row r="8017" spans="1:2" ht="12.75" customHeight="1" x14ac:dyDescent="0.25">
      <c r="A8017" s="318">
        <v>92627630687</v>
      </c>
      <c r="B8017" s="318" t="s">
        <v>23</v>
      </c>
    </row>
    <row r="8018" spans="1:2" ht="12.75" customHeight="1" x14ac:dyDescent="0.25">
      <c r="A8018" s="318">
        <v>92627630688</v>
      </c>
      <c r="B8018" s="318" t="s">
        <v>23</v>
      </c>
    </row>
    <row r="8019" spans="1:2" ht="12.75" customHeight="1" x14ac:dyDescent="0.25">
      <c r="A8019" s="318">
        <v>92627630689</v>
      </c>
      <c r="B8019" s="318" t="s">
        <v>23</v>
      </c>
    </row>
    <row r="8020" spans="1:2" ht="12.75" customHeight="1" x14ac:dyDescent="0.25">
      <c r="A8020" s="318">
        <v>92627630690</v>
      </c>
      <c r="B8020" s="318" t="s">
        <v>23</v>
      </c>
    </row>
    <row r="8021" spans="1:2" ht="12.75" customHeight="1" x14ac:dyDescent="0.25">
      <c r="A8021" s="318">
        <v>92627630691</v>
      </c>
      <c r="B8021" s="318" t="s">
        <v>23</v>
      </c>
    </row>
    <row r="8022" spans="1:2" ht="12.75" customHeight="1" x14ac:dyDescent="0.25">
      <c r="A8022" s="318">
        <v>92627630775</v>
      </c>
      <c r="B8022" s="318" t="s">
        <v>237</v>
      </c>
    </row>
    <row r="8023" spans="1:2" ht="12.75" customHeight="1" x14ac:dyDescent="0.25">
      <c r="A8023" s="318">
        <v>92627630776</v>
      </c>
      <c r="B8023" s="318" t="s">
        <v>237</v>
      </c>
    </row>
    <row r="8024" spans="1:2" ht="12.75" customHeight="1" x14ac:dyDescent="0.25">
      <c r="A8024" s="318">
        <v>92627630777</v>
      </c>
      <c r="B8024" s="318" t="s">
        <v>237</v>
      </c>
    </row>
    <row r="8025" spans="1:2" ht="12.75" customHeight="1" x14ac:dyDescent="0.25">
      <c r="A8025" s="318">
        <v>92627630778</v>
      </c>
      <c r="B8025" s="318" t="s">
        <v>237</v>
      </c>
    </row>
    <row r="8026" spans="1:2" ht="12.75" customHeight="1" x14ac:dyDescent="0.25">
      <c r="A8026" s="318">
        <v>92627630779</v>
      </c>
      <c r="B8026" s="318" t="s">
        <v>237</v>
      </c>
    </row>
    <row r="8027" spans="1:2" ht="12.75" customHeight="1" x14ac:dyDescent="0.25">
      <c r="A8027" s="318">
        <v>92627630780</v>
      </c>
      <c r="B8027" s="318" t="s">
        <v>237</v>
      </c>
    </row>
    <row r="8028" spans="1:2" ht="12.75" customHeight="1" x14ac:dyDescent="0.25">
      <c r="A8028" s="318">
        <v>92627630781</v>
      </c>
      <c r="B8028" s="318" t="s">
        <v>237</v>
      </c>
    </row>
    <row r="8029" spans="1:2" ht="12.75" customHeight="1" x14ac:dyDescent="0.25">
      <c r="A8029" s="318">
        <v>92627630782</v>
      </c>
      <c r="B8029" s="318" t="s">
        <v>237</v>
      </c>
    </row>
    <row r="8030" spans="1:2" ht="12.75" customHeight="1" x14ac:dyDescent="0.25">
      <c r="A8030" s="318">
        <v>92627630784</v>
      </c>
      <c r="B8030" s="318" t="s">
        <v>237</v>
      </c>
    </row>
    <row r="8031" spans="1:2" ht="12.75" customHeight="1" x14ac:dyDescent="0.25">
      <c r="A8031" s="318">
        <v>92627630785</v>
      </c>
      <c r="B8031" s="318" t="s">
        <v>237</v>
      </c>
    </row>
    <row r="8032" spans="1:2" ht="12.75" customHeight="1" x14ac:dyDescent="0.25">
      <c r="A8032" s="318">
        <v>92627630786</v>
      </c>
      <c r="B8032" s="318" t="s">
        <v>237</v>
      </c>
    </row>
    <row r="8033" spans="1:2" ht="12.75" customHeight="1" x14ac:dyDescent="0.25">
      <c r="A8033" s="318">
        <v>92627630787</v>
      </c>
      <c r="B8033" s="318" t="s">
        <v>237</v>
      </c>
    </row>
    <row r="8034" spans="1:2" ht="12.75" customHeight="1" x14ac:dyDescent="0.25">
      <c r="A8034" s="318">
        <v>92627630788</v>
      </c>
      <c r="B8034" s="318" t="s">
        <v>237</v>
      </c>
    </row>
    <row r="8035" spans="1:2" ht="12.75" customHeight="1" x14ac:dyDescent="0.25">
      <c r="A8035" s="318">
        <v>92627630789</v>
      </c>
      <c r="B8035" s="318" t="s">
        <v>237</v>
      </c>
    </row>
    <row r="8036" spans="1:2" ht="12.75" customHeight="1" x14ac:dyDescent="0.25">
      <c r="A8036" s="318">
        <v>92627630790</v>
      </c>
      <c r="B8036" s="318" t="s">
        <v>237</v>
      </c>
    </row>
    <row r="8037" spans="1:2" ht="12.75" customHeight="1" x14ac:dyDescent="0.25">
      <c r="A8037" s="318">
        <v>92627630791</v>
      </c>
      <c r="B8037" s="318" t="s">
        <v>237</v>
      </c>
    </row>
    <row r="8038" spans="1:2" ht="12.75" customHeight="1" x14ac:dyDescent="0.25">
      <c r="A8038" s="318">
        <v>92628310866</v>
      </c>
      <c r="B8038" s="318" t="s">
        <v>23</v>
      </c>
    </row>
    <row r="8039" spans="1:2" ht="12.75" customHeight="1" x14ac:dyDescent="0.25">
      <c r="A8039" s="318">
        <v>92628310867</v>
      </c>
      <c r="B8039" s="318" t="s">
        <v>23</v>
      </c>
    </row>
    <row r="8040" spans="1:2" ht="12.75" customHeight="1" x14ac:dyDescent="0.25">
      <c r="A8040" s="318">
        <v>92628310868</v>
      </c>
      <c r="B8040" s="318" t="s">
        <v>23</v>
      </c>
    </row>
    <row r="8041" spans="1:2" ht="12.75" customHeight="1" x14ac:dyDescent="0.25">
      <c r="A8041" s="318">
        <v>92628310869</v>
      </c>
      <c r="B8041" s="318" t="s">
        <v>23</v>
      </c>
    </row>
    <row r="8042" spans="1:2" ht="12.75" customHeight="1" x14ac:dyDescent="0.25">
      <c r="A8042" s="318">
        <v>92628310870</v>
      </c>
      <c r="B8042" s="318" t="s">
        <v>23</v>
      </c>
    </row>
    <row r="8043" spans="1:2" ht="12.75" customHeight="1" x14ac:dyDescent="0.25">
      <c r="A8043" s="318">
        <v>92628310871</v>
      </c>
      <c r="B8043" s="318" t="s">
        <v>23</v>
      </c>
    </row>
    <row r="8044" spans="1:2" ht="12.75" customHeight="1" x14ac:dyDescent="0.25">
      <c r="A8044" s="318">
        <v>92628310872</v>
      </c>
      <c r="B8044" s="318" t="s">
        <v>23</v>
      </c>
    </row>
    <row r="8045" spans="1:2" ht="12.75" customHeight="1" x14ac:dyDescent="0.25">
      <c r="A8045" s="318">
        <v>92628310873</v>
      </c>
      <c r="B8045" s="318" t="s">
        <v>23</v>
      </c>
    </row>
    <row r="8046" spans="1:2" ht="12.75" customHeight="1" x14ac:dyDescent="0.25">
      <c r="A8046" s="318">
        <v>92628310875</v>
      </c>
      <c r="B8046" s="318" t="s">
        <v>23</v>
      </c>
    </row>
    <row r="8047" spans="1:2" ht="12.75" customHeight="1" x14ac:dyDescent="0.25">
      <c r="A8047" s="318">
        <v>92628310876</v>
      </c>
      <c r="B8047" s="318" t="s">
        <v>23</v>
      </c>
    </row>
    <row r="8048" spans="1:2" ht="12.75" customHeight="1" x14ac:dyDescent="0.25">
      <c r="A8048" s="318">
        <v>92628310877</v>
      </c>
      <c r="B8048" s="318" t="s">
        <v>23</v>
      </c>
    </row>
    <row r="8049" spans="1:2" ht="12.75" customHeight="1" x14ac:dyDescent="0.25">
      <c r="A8049" s="318">
        <v>92628310878</v>
      </c>
      <c r="B8049" s="318" t="s">
        <v>23</v>
      </c>
    </row>
    <row r="8050" spans="1:2" ht="12.75" customHeight="1" x14ac:dyDescent="0.25">
      <c r="A8050" s="318">
        <v>92628310879</v>
      </c>
      <c r="B8050" s="318" t="s">
        <v>23</v>
      </c>
    </row>
    <row r="8051" spans="1:2" ht="12.75" customHeight="1" x14ac:dyDescent="0.25">
      <c r="A8051" s="318">
        <v>92628310880</v>
      </c>
      <c r="B8051" s="318" t="s">
        <v>23</v>
      </c>
    </row>
    <row r="8052" spans="1:2" ht="12.75" customHeight="1" x14ac:dyDescent="0.25">
      <c r="A8052" s="318">
        <v>92628310881</v>
      </c>
      <c r="B8052" s="318" t="s">
        <v>23</v>
      </c>
    </row>
    <row r="8053" spans="1:2" ht="12.75" customHeight="1" x14ac:dyDescent="0.25">
      <c r="A8053" s="318">
        <v>92628310882</v>
      </c>
      <c r="B8053" s="318" t="s">
        <v>23</v>
      </c>
    </row>
    <row r="8054" spans="1:2" ht="12.75" customHeight="1" x14ac:dyDescent="0.25">
      <c r="A8054" s="318">
        <v>92628310966</v>
      </c>
      <c r="B8054" s="318" t="s">
        <v>237</v>
      </c>
    </row>
    <row r="8055" spans="1:2" ht="12.75" customHeight="1" x14ac:dyDescent="0.25">
      <c r="A8055" s="318">
        <v>92628310967</v>
      </c>
      <c r="B8055" s="318" t="s">
        <v>237</v>
      </c>
    </row>
    <row r="8056" spans="1:2" ht="12.75" customHeight="1" x14ac:dyDescent="0.25">
      <c r="A8056" s="318">
        <v>92628310968</v>
      </c>
      <c r="B8056" s="318" t="s">
        <v>237</v>
      </c>
    </row>
    <row r="8057" spans="1:2" ht="12.75" customHeight="1" x14ac:dyDescent="0.25">
      <c r="A8057" s="318">
        <v>92628310969</v>
      </c>
      <c r="B8057" s="318" t="s">
        <v>237</v>
      </c>
    </row>
    <row r="8058" spans="1:2" ht="12.75" customHeight="1" x14ac:dyDescent="0.25">
      <c r="A8058" s="318">
        <v>92628310970</v>
      </c>
      <c r="B8058" s="318" t="s">
        <v>237</v>
      </c>
    </row>
    <row r="8059" spans="1:2" ht="12.75" customHeight="1" x14ac:dyDescent="0.25">
      <c r="A8059" s="318">
        <v>92628310971</v>
      </c>
      <c r="B8059" s="318" t="s">
        <v>237</v>
      </c>
    </row>
    <row r="8060" spans="1:2" ht="12.75" customHeight="1" x14ac:dyDescent="0.25">
      <c r="A8060" s="318">
        <v>92628310972</v>
      </c>
      <c r="B8060" s="318" t="s">
        <v>237</v>
      </c>
    </row>
    <row r="8061" spans="1:2" ht="12.75" customHeight="1" x14ac:dyDescent="0.25">
      <c r="A8061" s="318">
        <v>92628310973</v>
      </c>
      <c r="B8061" s="318" t="s">
        <v>237</v>
      </c>
    </row>
    <row r="8062" spans="1:2" ht="12.75" customHeight="1" x14ac:dyDescent="0.25">
      <c r="A8062" s="318">
        <v>92628310975</v>
      </c>
      <c r="B8062" s="318" t="s">
        <v>237</v>
      </c>
    </row>
    <row r="8063" spans="1:2" ht="12.75" customHeight="1" x14ac:dyDescent="0.25">
      <c r="A8063" s="318">
        <v>92628310976</v>
      </c>
      <c r="B8063" s="318" t="s">
        <v>237</v>
      </c>
    </row>
    <row r="8064" spans="1:2" ht="12.75" customHeight="1" x14ac:dyDescent="0.25">
      <c r="A8064" s="318">
        <v>92628310977</v>
      </c>
      <c r="B8064" s="318" t="s">
        <v>237</v>
      </c>
    </row>
    <row r="8065" spans="1:2" ht="12.75" customHeight="1" x14ac:dyDescent="0.25">
      <c r="A8065" s="318">
        <v>92628310978</v>
      </c>
      <c r="B8065" s="318" t="s">
        <v>237</v>
      </c>
    </row>
    <row r="8066" spans="1:2" ht="12.75" customHeight="1" x14ac:dyDescent="0.25">
      <c r="A8066" s="318">
        <v>92628310979</v>
      </c>
      <c r="B8066" s="318" t="s">
        <v>237</v>
      </c>
    </row>
    <row r="8067" spans="1:2" ht="12.75" customHeight="1" x14ac:dyDescent="0.25">
      <c r="A8067" s="318">
        <v>92628310980</v>
      </c>
      <c r="B8067" s="318" t="s">
        <v>237</v>
      </c>
    </row>
    <row r="8068" spans="1:2" ht="12.75" customHeight="1" x14ac:dyDescent="0.25">
      <c r="A8068" s="318">
        <v>92628310981</v>
      </c>
      <c r="B8068" s="318" t="s">
        <v>237</v>
      </c>
    </row>
    <row r="8069" spans="1:2" ht="12.75" customHeight="1" x14ac:dyDescent="0.25">
      <c r="A8069" s="318">
        <v>92628310982</v>
      </c>
      <c r="B8069" s="318" t="s">
        <v>237</v>
      </c>
    </row>
    <row r="8070" spans="1:2" ht="12.75" customHeight="1" x14ac:dyDescent="0.25">
      <c r="A8070" s="318">
        <v>92628791839</v>
      </c>
      <c r="B8070" s="318" t="s">
        <v>23</v>
      </c>
    </row>
    <row r="8071" spans="1:2" ht="12.75" customHeight="1" x14ac:dyDescent="0.25">
      <c r="A8071" s="318">
        <v>92628791840</v>
      </c>
      <c r="B8071" s="318" t="s">
        <v>23</v>
      </c>
    </row>
    <row r="8072" spans="1:2" ht="12.75" customHeight="1" x14ac:dyDescent="0.25">
      <c r="A8072" s="318">
        <v>92628791841</v>
      </c>
      <c r="B8072" s="318" t="s">
        <v>23</v>
      </c>
    </row>
    <row r="8073" spans="1:2" ht="12.75" customHeight="1" x14ac:dyDescent="0.25">
      <c r="A8073" s="318">
        <v>92628791842</v>
      </c>
      <c r="B8073" s="318" t="s">
        <v>23</v>
      </c>
    </row>
    <row r="8074" spans="1:2" ht="12.75" customHeight="1" x14ac:dyDescent="0.25">
      <c r="A8074" s="318">
        <v>92628791843</v>
      </c>
      <c r="B8074" s="318" t="s">
        <v>23</v>
      </c>
    </row>
    <row r="8075" spans="1:2" ht="12.75" customHeight="1" x14ac:dyDescent="0.25">
      <c r="A8075" s="318">
        <v>92628791844</v>
      </c>
      <c r="B8075" s="318" t="s">
        <v>23</v>
      </c>
    </row>
    <row r="8076" spans="1:2" ht="12.75" customHeight="1" x14ac:dyDescent="0.25">
      <c r="A8076" s="318">
        <v>92628791845</v>
      </c>
      <c r="B8076" s="318" t="s">
        <v>23</v>
      </c>
    </row>
    <row r="8077" spans="1:2" ht="12.75" customHeight="1" x14ac:dyDescent="0.25">
      <c r="A8077" s="318">
        <v>92628791846</v>
      </c>
      <c r="B8077" s="318" t="s">
        <v>23</v>
      </c>
    </row>
    <row r="8078" spans="1:2" ht="12.75" customHeight="1" x14ac:dyDescent="0.25">
      <c r="A8078" s="318">
        <v>92628791848</v>
      </c>
      <c r="B8078" s="318" t="s">
        <v>23</v>
      </c>
    </row>
    <row r="8079" spans="1:2" ht="12.75" customHeight="1" x14ac:dyDescent="0.25">
      <c r="A8079" s="318">
        <v>92628791849</v>
      </c>
      <c r="B8079" s="318" t="s">
        <v>23</v>
      </c>
    </row>
    <row r="8080" spans="1:2" ht="12.75" customHeight="1" x14ac:dyDescent="0.25">
      <c r="A8080" s="318">
        <v>92628791850</v>
      </c>
      <c r="B8080" s="318" t="s">
        <v>23</v>
      </c>
    </row>
    <row r="8081" spans="1:2" ht="12.75" customHeight="1" x14ac:dyDescent="0.25">
      <c r="A8081" s="318">
        <v>92628791851</v>
      </c>
      <c r="B8081" s="318" t="s">
        <v>23</v>
      </c>
    </row>
    <row r="8082" spans="1:2" ht="12.75" customHeight="1" x14ac:dyDescent="0.25">
      <c r="A8082" s="318">
        <v>92628791852</v>
      </c>
      <c r="B8082" s="318" t="s">
        <v>23</v>
      </c>
    </row>
    <row r="8083" spans="1:2" ht="12.75" customHeight="1" x14ac:dyDescent="0.25">
      <c r="A8083" s="318">
        <v>92628791853</v>
      </c>
      <c r="B8083" s="318" t="s">
        <v>23</v>
      </c>
    </row>
    <row r="8084" spans="1:2" ht="12.75" customHeight="1" x14ac:dyDescent="0.25">
      <c r="A8084" s="318">
        <v>92628791854</v>
      </c>
      <c r="B8084" s="318" t="s">
        <v>23</v>
      </c>
    </row>
    <row r="8085" spans="1:2" ht="12.75" customHeight="1" x14ac:dyDescent="0.25">
      <c r="A8085" s="318">
        <v>92628791855</v>
      </c>
      <c r="B8085" s="318" t="s">
        <v>23</v>
      </c>
    </row>
    <row r="8086" spans="1:2" ht="12.75" customHeight="1" x14ac:dyDescent="0.25">
      <c r="A8086" s="318">
        <v>92628791939</v>
      </c>
      <c r="B8086" s="318" t="s">
        <v>237</v>
      </c>
    </row>
    <row r="8087" spans="1:2" ht="12.75" customHeight="1" x14ac:dyDescent="0.25">
      <c r="A8087" s="318">
        <v>92628791940</v>
      </c>
      <c r="B8087" s="318" t="s">
        <v>237</v>
      </c>
    </row>
    <row r="8088" spans="1:2" ht="12.75" customHeight="1" x14ac:dyDescent="0.25">
      <c r="A8088" s="318">
        <v>92628791941</v>
      </c>
      <c r="B8088" s="318" t="s">
        <v>237</v>
      </c>
    </row>
    <row r="8089" spans="1:2" ht="12.75" customHeight="1" x14ac:dyDescent="0.25">
      <c r="A8089" s="318">
        <v>92628791942</v>
      </c>
      <c r="B8089" s="318" t="s">
        <v>237</v>
      </c>
    </row>
    <row r="8090" spans="1:2" ht="12.75" customHeight="1" x14ac:dyDescent="0.25">
      <c r="A8090" s="318">
        <v>92628791943</v>
      </c>
      <c r="B8090" s="318" t="s">
        <v>237</v>
      </c>
    </row>
    <row r="8091" spans="1:2" ht="12.75" customHeight="1" x14ac:dyDescent="0.25">
      <c r="A8091" s="318">
        <v>92628791944</v>
      </c>
      <c r="B8091" s="318" t="s">
        <v>237</v>
      </c>
    </row>
    <row r="8092" spans="1:2" ht="12.75" customHeight="1" x14ac:dyDescent="0.25">
      <c r="A8092" s="318">
        <v>92628791945</v>
      </c>
      <c r="B8092" s="318" t="s">
        <v>237</v>
      </c>
    </row>
    <row r="8093" spans="1:2" ht="12.75" customHeight="1" x14ac:dyDescent="0.25">
      <c r="A8093" s="318">
        <v>92628791946</v>
      </c>
      <c r="B8093" s="318" t="s">
        <v>237</v>
      </c>
    </row>
    <row r="8094" spans="1:2" ht="12.75" customHeight="1" x14ac:dyDescent="0.25">
      <c r="A8094" s="318">
        <v>92628791948</v>
      </c>
      <c r="B8094" s="318" t="s">
        <v>237</v>
      </c>
    </row>
    <row r="8095" spans="1:2" ht="12.75" customHeight="1" x14ac:dyDescent="0.25">
      <c r="A8095" s="318">
        <v>92628791949</v>
      </c>
      <c r="B8095" s="318" t="s">
        <v>237</v>
      </c>
    </row>
    <row r="8096" spans="1:2" ht="12.75" customHeight="1" x14ac:dyDescent="0.25">
      <c r="A8096" s="318">
        <v>92628791950</v>
      </c>
      <c r="B8096" s="318" t="s">
        <v>237</v>
      </c>
    </row>
    <row r="8097" spans="1:2" ht="12.75" customHeight="1" x14ac:dyDescent="0.25">
      <c r="A8097" s="318">
        <v>92628791951</v>
      </c>
      <c r="B8097" s="318" t="s">
        <v>237</v>
      </c>
    </row>
    <row r="8098" spans="1:2" ht="12.75" customHeight="1" x14ac:dyDescent="0.25">
      <c r="A8098" s="318">
        <v>92628791952</v>
      </c>
      <c r="B8098" s="318" t="s">
        <v>237</v>
      </c>
    </row>
    <row r="8099" spans="1:2" ht="12.75" customHeight="1" x14ac:dyDescent="0.25">
      <c r="A8099" s="318">
        <v>92628791953</v>
      </c>
      <c r="B8099" s="318" t="s">
        <v>237</v>
      </c>
    </row>
    <row r="8100" spans="1:2" ht="12.75" customHeight="1" x14ac:dyDescent="0.25">
      <c r="A8100" s="318">
        <v>92628791954</v>
      </c>
      <c r="B8100" s="318" t="s">
        <v>237</v>
      </c>
    </row>
    <row r="8101" spans="1:2" ht="12.75" customHeight="1" x14ac:dyDescent="0.25">
      <c r="A8101" s="318">
        <v>92628791955</v>
      </c>
      <c r="B8101" s="318" t="s">
        <v>237</v>
      </c>
    </row>
    <row r="8102" spans="1:2" ht="12.75" customHeight="1" x14ac:dyDescent="0.25">
      <c r="A8102" s="318">
        <v>92629272812</v>
      </c>
      <c r="B8102" s="318" t="s">
        <v>23</v>
      </c>
    </row>
    <row r="8103" spans="1:2" ht="12.75" customHeight="1" x14ac:dyDescent="0.25">
      <c r="A8103" s="318">
        <v>92629272813</v>
      </c>
      <c r="B8103" s="318" t="s">
        <v>23</v>
      </c>
    </row>
    <row r="8104" spans="1:2" ht="12.75" customHeight="1" x14ac:dyDescent="0.25">
      <c r="A8104" s="318">
        <v>92629272814</v>
      </c>
      <c r="B8104" s="318" t="s">
        <v>23</v>
      </c>
    </row>
    <row r="8105" spans="1:2" ht="12.75" customHeight="1" x14ac:dyDescent="0.25">
      <c r="A8105" s="318">
        <v>92629272815</v>
      </c>
      <c r="B8105" s="318" t="s">
        <v>23</v>
      </c>
    </row>
    <row r="8106" spans="1:2" ht="12.75" customHeight="1" x14ac:dyDescent="0.25">
      <c r="A8106" s="318">
        <v>92629272816</v>
      </c>
      <c r="B8106" s="318" t="s">
        <v>23</v>
      </c>
    </row>
    <row r="8107" spans="1:2" ht="12.75" customHeight="1" x14ac:dyDescent="0.25">
      <c r="A8107" s="318">
        <v>92629272817</v>
      </c>
      <c r="B8107" s="318" t="s">
        <v>23</v>
      </c>
    </row>
    <row r="8108" spans="1:2" ht="12.75" customHeight="1" x14ac:dyDescent="0.25">
      <c r="A8108" s="318">
        <v>92629272818</v>
      </c>
      <c r="B8108" s="318" t="s">
        <v>23</v>
      </c>
    </row>
    <row r="8109" spans="1:2" ht="12.75" customHeight="1" x14ac:dyDescent="0.25">
      <c r="A8109" s="318">
        <v>92629272819</v>
      </c>
      <c r="B8109" s="318" t="s">
        <v>23</v>
      </c>
    </row>
    <row r="8110" spans="1:2" ht="12.75" customHeight="1" x14ac:dyDescent="0.25">
      <c r="A8110" s="318">
        <v>92629272821</v>
      </c>
      <c r="B8110" s="318" t="s">
        <v>23</v>
      </c>
    </row>
    <row r="8111" spans="1:2" ht="12.75" customHeight="1" x14ac:dyDescent="0.25">
      <c r="A8111" s="318">
        <v>92629272822</v>
      </c>
      <c r="B8111" s="318" t="s">
        <v>23</v>
      </c>
    </row>
    <row r="8112" spans="1:2" ht="12.75" customHeight="1" x14ac:dyDescent="0.25">
      <c r="A8112" s="318">
        <v>92629272823</v>
      </c>
      <c r="B8112" s="318" t="s">
        <v>23</v>
      </c>
    </row>
    <row r="8113" spans="1:2" ht="12.75" customHeight="1" x14ac:dyDescent="0.25">
      <c r="A8113" s="318">
        <v>92629272824</v>
      </c>
      <c r="B8113" s="318" t="s">
        <v>23</v>
      </c>
    </row>
    <row r="8114" spans="1:2" ht="12.75" customHeight="1" x14ac:dyDescent="0.25">
      <c r="A8114" s="318">
        <v>92629272825</v>
      </c>
      <c r="B8114" s="318" t="s">
        <v>23</v>
      </c>
    </row>
    <row r="8115" spans="1:2" ht="12.75" customHeight="1" x14ac:dyDescent="0.25">
      <c r="A8115" s="318">
        <v>92629272826</v>
      </c>
      <c r="B8115" s="318" t="s">
        <v>23</v>
      </c>
    </row>
    <row r="8116" spans="1:2" ht="12.75" customHeight="1" x14ac:dyDescent="0.25">
      <c r="A8116" s="318">
        <v>92629272827</v>
      </c>
      <c r="B8116" s="318" t="s">
        <v>23</v>
      </c>
    </row>
    <row r="8117" spans="1:2" ht="12.75" customHeight="1" x14ac:dyDescent="0.25">
      <c r="A8117" s="318">
        <v>92629272828</v>
      </c>
      <c r="B8117" s="318" t="s">
        <v>23</v>
      </c>
    </row>
    <row r="8118" spans="1:2" ht="12.75" customHeight="1" x14ac:dyDescent="0.25">
      <c r="A8118" s="318">
        <v>92629272912</v>
      </c>
      <c r="B8118" s="318" t="s">
        <v>237</v>
      </c>
    </row>
    <row r="8119" spans="1:2" ht="12.75" customHeight="1" x14ac:dyDescent="0.25">
      <c r="A8119" s="318">
        <v>92629272913</v>
      </c>
      <c r="B8119" s="318" t="s">
        <v>237</v>
      </c>
    </row>
    <row r="8120" spans="1:2" ht="12.75" customHeight="1" x14ac:dyDescent="0.25">
      <c r="A8120" s="318">
        <v>92629272914</v>
      </c>
      <c r="B8120" s="318" t="s">
        <v>237</v>
      </c>
    </row>
    <row r="8121" spans="1:2" ht="12.75" customHeight="1" x14ac:dyDescent="0.25">
      <c r="A8121" s="318">
        <v>92629272915</v>
      </c>
      <c r="B8121" s="318" t="s">
        <v>237</v>
      </c>
    </row>
    <row r="8122" spans="1:2" ht="12.75" customHeight="1" x14ac:dyDescent="0.25">
      <c r="A8122" s="318">
        <v>92629272916</v>
      </c>
      <c r="B8122" s="318" t="s">
        <v>237</v>
      </c>
    </row>
    <row r="8123" spans="1:2" ht="12.75" customHeight="1" x14ac:dyDescent="0.25">
      <c r="A8123" s="318">
        <v>92629272917</v>
      </c>
      <c r="B8123" s="318" t="s">
        <v>237</v>
      </c>
    </row>
    <row r="8124" spans="1:2" ht="12.75" customHeight="1" x14ac:dyDescent="0.25">
      <c r="A8124" s="318">
        <v>92629272918</v>
      </c>
      <c r="B8124" s="318" t="s">
        <v>237</v>
      </c>
    </row>
    <row r="8125" spans="1:2" ht="12.75" customHeight="1" x14ac:dyDescent="0.25">
      <c r="A8125" s="318">
        <v>92629272919</v>
      </c>
      <c r="B8125" s="318" t="s">
        <v>237</v>
      </c>
    </row>
    <row r="8126" spans="1:2" ht="12.75" customHeight="1" x14ac:dyDescent="0.25">
      <c r="A8126" s="318">
        <v>92629272921</v>
      </c>
      <c r="B8126" s="318" t="s">
        <v>237</v>
      </c>
    </row>
    <row r="8127" spans="1:2" ht="12.75" customHeight="1" x14ac:dyDescent="0.25">
      <c r="A8127" s="318">
        <v>92629272922</v>
      </c>
      <c r="B8127" s="318" t="s">
        <v>237</v>
      </c>
    </row>
    <row r="8128" spans="1:2" ht="12.75" customHeight="1" x14ac:dyDescent="0.25">
      <c r="A8128" s="318">
        <v>92629272923</v>
      </c>
      <c r="B8128" s="318" t="s">
        <v>237</v>
      </c>
    </row>
    <row r="8129" spans="1:2" ht="12.75" customHeight="1" x14ac:dyDescent="0.25">
      <c r="A8129" s="318">
        <v>92629272924</v>
      </c>
      <c r="B8129" s="318" t="s">
        <v>237</v>
      </c>
    </row>
    <row r="8130" spans="1:2" ht="12.75" customHeight="1" x14ac:dyDescent="0.25">
      <c r="A8130" s="318">
        <v>92629272925</v>
      </c>
      <c r="B8130" s="318" t="s">
        <v>237</v>
      </c>
    </row>
    <row r="8131" spans="1:2" ht="12.75" customHeight="1" x14ac:dyDescent="0.25">
      <c r="A8131" s="318">
        <v>92629272926</v>
      </c>
      <c r="B8131" s="318" t="s">
        <v>237</v>
      </c>
    </row>
    <row r="8132" spans="1:2" ht="12.75" customHeight="1" x14ac:dyDescent="0.25">
      <c r="A8132" s="318">
        <v>92629272927</v>
      </c>
      <c r="B8132" s="318" t="s">
        <v>237</v>
      </c>
    </row>
    <row r="8133" spans="1:2" ht="12.75" customHeight="1" x14ac:dyDescent="0.25">
      <c r="A8133" s="318">
        <v>92629272928</v>
      </c>
      <c r="B8133" s="318" t="s">
        <v>237</v>
      </c>
    </row>
    <row r="8134" spans="1:2" ht="12.75" customHeight="1" x14ac:dyDescent="0.25">
      <c r="A8134" s="318">
        <v>92629953003</v>
      </c>
      <c r="B8134" s="318" t="s">
        <v>23</v>
      </c>
    </row>
    <row r="8135" spans="1:2" ht="12.75" customHeight="1" x14ac:dyDescent="0.25">
      <c r="A8135" s="318">
        <v>92629953004</v>
      </c>
      <c r="B8135" s="318" t="s">
        <v>23</v>
      </c>
    </row>
    <row r="8136" spans="1:2" ht="12.75" customHeight="1" x14ac:dyDescent="0.25">
      <c r="A8136" s="318">
        <v>92629953005</v>
      </c>
      <c r="B8136" s="318" t="s">
        <v>23</v>
      </c>
    </row>
    <row r="8137" spans="1:2" ht="12.75" customHeight="1" x14ac:dyDescent="0.25">
      <c r="A8137" s="318">
        <v>92629953006</v>
      </c>
      <c r="B8137" s="318" t="s">
        <v>23</v>
      </c>
    </row>
    <row r="8138" spans="1:2" ht="12.75" customHeight="1" x14ac:dyDescent="0.25">
      <c r="A8138" s="318">
        <v>92629953007</v>
      </c>
      <c r="B8138" s="318" t="s">
        <v>23</v>
      </c>
    </row>
    <row r="8139" spans="1:2" ht="12.75" customHeight="1" x14ac:dyDescent="0.25">
      <c r="A8139" s="318">
        <v>92629953008</v>
      </c>
      <c r="B8139" s="318" t="s">
        <v>23</v>
      </c>
    </row>
    <row r="8140" spans="1:2" ht="12.75" customHeight="1" x14ac:dyDescent="0.25">
      <c r="A8140" s="318">
        <v>92629953009</v>
      </c>
      <c r="B8140" s="318" t="s">
        <v>23</v>
      </c>
    </row>
    <row r="8141" spans="1:2" ht="12.75" customHeight="1" x14ac:dyDescent="0.25">
      <c r="A8141" s="318">
        <v>92629953010</v>
      </c>
      <c r="B8141" s="318" t="s">
        <v>23</v>
      </c>
    </row>
    <row r="8142" spans="1:2" ht="12.75" customHeight="1" x14ac:dyDescent="0.25">
      <c r="A8142" s="318">
        <v>92629953012</v>
      </c>
      <c r="B8142" s="318" t="s">
        <v>23</v>
      </c>
    </row>
    <row r="8143" spans="1:2" ht="12.75" customHeight="1" x14ac:dyDescent="0.25">
      <c r="A8143" s="318">
        <v>92629953013</v>
      </c>
      <c r="B8143" s="318" t="s">
        <v>23</v>
      </c>
    </row>
    <row r="8144" spans="1:2" ht="12.75" customHeight="1" x14ac:dyDescent="0.25">
      <c r="A8144" s="318">
        <v>92629953014</v>
      </c>
      <c r="B8144" s="318" t="s">
        <v>23</v>
      </c>
    </row>
    <row r="8145" spans="1:2" ht="12.75" customHeight="1" x14ac:dyDescent="0.25">
      <c r="A8145" s="318">
        <v>92629953015</v>
      </c>
      <c r="B8145" s="318" t="s">
        <v>23</v>
      </c>
    </row>
    <row r="8146" spans="1:2" ht="12.75" customHeight="1" x14ac:dyDescent="0.25">
      <c r="A8146" s="318">
        <v>92629953016</v>
      </c>
      <c r="B8146" s="318" t="s">
        <v>23</v>
      </c>
    </row>
    <row r="8147" spans="1:2" ht="12.75" customHeight="1" x14ac:dyDescent="0.25">
      <c r="A8147" s="318">
        <v>92629953017</v>
      </c>
      <c r="B8147" s="318" t="s">
        <v>23</v>
      </c>
    </row>
    <row r="8148" spans="1:2" ht="12.75" customHeight="1" x14ac:dyDescent="0.25">
      <c r="A8148" s="318">
        <v>92629953018</v>
      </c>
      <c r="B8148" s="318" t="s">
        <v>23</v>
      </c>
    </row>
    <row r="8149" spans="1:2" ht="12.75" customHeight="1" x14ac:dyDescent="0.25">
      <c r="A8149" s="318">
        <v>92629953019</v>
      </c>
      <c r="B8149" s="318" t="s">
        <v>23</v>
      </c>
    </row>
    <row r="8150" spans="1:2" ht="12.75" customHeight="1" x14ac:dyDescent="0.25">
      <c r="A8150" s="318">
        <v>92629953103</v>
      </c>
      <c r="B8150" s="318" t="s">
        <v>237</v>
      </c>
    </row>
    <row r="8151" spans="1:2" ht="12.75" customHeight="1" x14ac:dyDescent="0.25">
      <c r="A8151" s="318">
        <v>92629953104</v>
      </c>
      <c r="B8151" s="318" t="s">
        <v>237</v>
      </c>
    </row>
    <row r="8152" spans="1:2" ht="12.75" customHeight="1" x14ac:dyDescent="0.25">
      <c r="A8152" s="318">
        <v>92629953105</v>
      </c>
      <c r="B8152" s="318" t="s">
        <v>237</v>
      </c>
    </row>
    <row r="8153" spans="1:2" ht="12.75" customHeight="1" x14ac:dyDescent="0.25">
      <c r="A8153" s="318">
        <v>92629953106</v>
      </c>
      <c r="B8153" s="318" t="s">
        <v>237</v>
      </c>
    </row>
    <row r="8154" spans="1:2" ht="12.75" customHeight="1" x14ac:dyDescent="0.25">
      <c r="A8154" s="318">
        <v>92629953107</v>
      </c>
      <c r="B8154" s="318" t="s">
        <v>237</v>
      </c>
    </row>
    <row r="8155" spans="1:2" ht="12.75" customHeight="1" x14ac:dyDescent="0.25">
      <c r="A8155" s="318">
        <v>92629953108</v>
      </c>
      <c r="B8155" s="318" t="s">
        <v>237</v>
      </c>
    </row>
    <row r="8156" spans="1:2" ht="12.75" customHeight="1" x14ac:dyDescent="0.25">
      <c r="A8156" s="318">
        <v>92629953109</v>
      </c>
      <c r="B8156" s="318" t="s">
        <v>237</v>
      </c>
    </row>
    <row r="8157" spans="1:2" ht="12.75" customHeight="1" x14ac:dyDescent="0.25">
      <c r="A8157" s="318">
        <v>92629953110</v>
      </c>
      <c r="B8157" s="318" t="s">
        <v>237</v>
      </c>
    </row>
    <row r="8158" spans="1:2" ht="12.75" customHeight="1" x14ac:dyDescent="0.25">
      <c r="A8158" s="318">
        <v>92629953112</v>
      </c>
      <c r="B8158" s="318" t="s">
        <v>237</v>
      </c>
    </row>
    <row r="8159" spans="1:2" ht="12.75" customHeight="1" x14ac:dyDescent="0.25">
      <c r="A8159" s="318">
        <v>92629953113</v>
      </c>
      <c r="B8159" s="318" t="s">
        <v>237</v>
      </c>
    </row>
    <row r="8160" spans="1:2" ht="12.75" customHeight="1" x14ac:dyDescent="0.25">
      <c r="A8160" s="318">
        <v>92629953114</v>
      </c>
      <c r="B8160" s="318" t="s">
        <v>237</v>
      </c>
    </row>
    <row r="8161" spans="1:2" ht="12.75" customHeight="1" x14ac:dyDescent="0.25">
      <c r="A8161" s="318">
        <v>92629953115</v>
      </c>
      <c r="B8161" s="318" t="s">
        <v>237</v>
      </c>
    </row>
    <row r="8162" spans="1:2" ht="12.75" customHeight="1" x14ac:dyDescent="0.25">
      <c r="A8162" s="318">
        <v>92629953116</v>
      </c>
      <c r="B8162" s="318" t="s">
        <v>237</v>
      </c>
    </row>
    <row r="8163" spans="1:2" ht="12.75" customHeight="1" x14ac:dyDescent="0.25">
      <c r="A8163" s="318">
        <v>92629953117</v>
      </c>
      <c r="B8163" s="318" t="s">
        <v>237</v>
      </c>
    </row>
    <row r="8164" spans="1:2" ht="12.75" customHeight="1" x14ac:dyDescent="0.25">
      <c r="A8164" s="318">
        <v>92629953118</v>
      </c>
      <c r="B8164" s="318" t="s">
        <v>237</v>
      </c>
    </row>
    <row r="8165" spans="1:2" ht="12.75" customHeight="1" x14ac:dyDescent="0.25">
      <c r="A8165" s="318">
        <v>92629953119</v>
      </c>
      <c r="B8165" s="318" t="s">
        <v>237</v>
      </c>
    </row>
    <row r="8166" spans="1:2" ht="12.75" customHeight="1" x14ac:dyDescent="0.25">
      <c r="A8166" s="318">
        <v>92630433976</v>
      </c>
      <c r="B8166" s="318" t="s">
        <v>23</v>
      </c>
    </row>
    <row r="8167" spans="1:2" ht="12.75" customHeight="1" x14ac:dyDescent="0.25">
      <c r="A8167" s="318">
        <v>92630433977</v>
      </c>
      <c r="B8167" s="318" t="s">
        <v>23</v>
      </c>
    </row>
    <row r="8168" spans="1:2" ht="12.75" customHeight="1" x14ac:dyDescent="0.25">
      <c r="A8168" s="318">
        <v>92630433978</v>
      </c>
      <c r="B8168" s="318" t="s">
        <v>23</v>
      </c>
    </row>
    <row r="8169" spans="1:2" ht="12.75" customHeight="1" x14ac:dyDescent="0.25">
      <c r="A8169" s="318">
        <v>92630433979</v>
      </c>
      <c r="B8169" s="318" t="s">
        <v>23</v>
      </c>
    </row>
    <row r="8170" spans="1:2" ht="12.75" customHeight="1" x14ac:dyDescent="0.25">
      <c r="A8170" s="318">
        <v>92630433980</v>
      </c>
      <c r="B8170" s="318" t="s">
        <v>23</v>
      </c>
    </row>
    <row r="8171" spans="1:2" ht="12.75" customHeight="1" x14ac:dyDescent="0.25">
      <c r="A8171" s="318">
        <v>92630433981</v>
      </c>
      <c r="B8171" s="318" t="s">
        <v>23</v>
      </c>
    </row>
    <row r="8172" spans="1:2" ht="12.75" customHeight="1" x14ac:dyDescent="0.25">
      <c r="A8172" s="318">
        <v>92630433982</v>
      </c>
      <c r="B8172" s="318" t="s">
        <v>23</v>
      </c>
    </row>
    <row r="8173" spans="1:2" ht="12.75" customHeight="1" x14ac:dyDescent="0.25">
      <c r="A8173" s="318">
        <v>92630433983</v>
      </c>
      <c r="B8173" s="318" t="s">
        <v>23</v>
      </c>
    </row>
    <row r="8174" spans="1:2" ht="12.75" customHeight="1" x14ac:dyDescent="0.25">
      <c r="A8174" s="318">
        <v>92630433985</v>
      </c>
      <c r="B8174" s="318" t="s">
        <v>23</v>
      </c>
    </row>
    <row r="8175" spans="1:2" ht="12.75" customHeight="1" x14ac:dyDescent="0.25">
      <c r="A8175" s="318">
        <v>92630433986</v>
      </c>
      <c r="B8175" s="318" t="s">
        <v>23</v>
      </c>
    </row>
    <row r="8176" spans="1:2" ht="12.75" customHeight="1" x14ac:dyDescent="0.25">
      <c r="A8176" s="318">
        <v>92630433987</v>
      </c>
      <c r="B8176" s="318" t="s">
        <v>23</v>
      </c>
    </row>
    <row r="8177" spans="1:2" ht="12.75" customHeight="1" x14ac:dyDescent="0.25">
      <c r="A8177" s="318">
        <v>92630433988</v>
      </c>
      <c r="B8177" s="318" t="s">
        <v>23</v>
      </c>
    </row>
    <row r="8178" spans="1:2" ht="12.75" customHeight="1" x14ac:dyDescent="0.25">
      <c r="A8178" s="318">
        <v>92630433989</v>
      </c>
      <c r="B8178" s="318" t="s">
        <v>23</v>
      </c>
    </row>
    <row r="8179" spans="1:2" ht="12.75" customHeight="1" x14ac:dyDescent="0.25">
      <c r="A8179" s="318">
        <v>92630433990</v>
      </c>
      <c r="B8179" s="318" t="s">
        <v>23</v>
      </c>
    </row>
    <row r="8180" spans="1:2" ht="12.75" customHeight="1" x14ac:dyDescent="0.25">
      <c r="A8180" s="318">
        <v>92630433991</v>
      </c>
      <c r="B8180" s="318" t="s">
        <v>23</v>
      </c>
    </row>
    <row r="8181" spans="1:2" ht="12.75" customHeight="1" x14ac:dyDescent="0.25">
      <c r="A8181" s="318">
        <v>92630433992</v>
      </c>
      <c r="B8181" s="318" t="s">
        <v>23</v>
      </c>
    </row>
    <row r="8182" spans="1:2" ht="12.75" customHeight="1" x14ac:dyDescent="0.25">
      <c r="A8182" s="318">
        <v>92630434076</v>
      </c>
      <c r="B8182" s="318" t="s">
        <v>237</v>
      </c>
    </row>
    <row r="8183" spans="1:2" ht="12.75" customHeight="1" x14ac:dyDescent="0.25">
      <c r="A8183" s="318">
        <v>92630434077</v>
      </c>
      <c r="B8183" s="318" t="s">
        <v>237</v>
      </c>
    </row>
    <row r="8184" spans="1:2" ht="12.75" customHeight="1" x14ac:dyDescent="0.25">
      <c r="A8184" s="318">
        <v>92630434078</v>
      </c>
      <c r="B8184" s="318" t="s">
        <v>237</v>
      </c>
    </row>
    <row r="8185" spans="1:2" ht="12.75" customHeight="1" x14ac:dyDescent="0.25">
      <c r="A8185" s="318">
        <v>92630434079</v>
      </c>
      <c r="B8185" s="318" t="s">
        <v>237</v>
      </c>
    </row>
    <row r="8186" spans="1:2" ht="12.75" customHeight="1" x14ac:dyDescent="0.25">
      <c r="A8186" s="318">
        <v>92630434080</v>
      </c>
      <c r="B8186" s="318" t="s">
        <v>237</v>
      </c>
    </row>
    <row r="8187" spans="1:2" ht="12.75" customHeight="1" x14ac:dyDescent="0.25">
      <c r="A8187" s="318">
        <v>92630434081</v>
      </c>
      <c r="B8187" s="318" t="s">
        <v>237</v>
      </c>
    </row>
    <row r="8188" spans="1:2" ht="12.75" customHeight="1" x14ac:dyDescent="0.25">
      <c r="A8188" s="318">
        <v>92630434082</v>
      </c>
      <c r="B8188" s="318" t="s">
        <v>237</v>
      </c>
    </row>
    <row r="8189" spans="1:2" ht="12.75" customHeight="1" x14ac:dyDescent="0.25">
      <c r="A8189" s="318">
        <v>92630434083</v>
      </c>
      <c r="B8189" s="318" t="s">
        <v>237</v>
      </c>
    </row>
    <row r="8190" spans="1:2" ht="12.75" customHeight="1" x14ac:dyDescent="0.25">
      <c r="A8190" s="318">
        <v>92630434085</v>
      </c>
      <c r="B8190" s="318" t="s">
        <v>237</v>
      </c>
    </row>
    <row r="8191" spans="1:2" ht="12.75" customHeight="1" x14ac:dyDescent="0.25">
      <c r="A8191" s="318">
        <v>92630434086</v>
      </c>
      <c r="B8191" s="318" t="s">
        <v>237</v>
      </c>
    </row>
    <row r="8192" spans="1:2" ht="12.75" customHeight="1" x14ac:dyDescent="0.25">
      <c r="A8192" s="318">
        <v>92630434087</v>
      </c>
      <c r="B8192" s="318" t="s">
        <v>237</v>
      </c>
    </row>
    <row r="8193" spans="1:2" ht="12.75" customHeight="1" x14ac:dyDescent="0.25">
      <c r="A8193" s="318">
        <v>92630434088</v>
      </c>
      <c r="B8193" s="318" t="s">
        <v>237</v>
      </c>
    </row>
    <row r="8194" spans="1:2" ht="12.75" customHeight="1" x14ac:dyDescent="0.25">
      <c r="A8194" s="318">
        <v>92630434089</v>
      </c>
      <c r="B8194" s="318" t="s">
        <v>237</v>
      </c>
    </row>
    <row r="8195" spans="1:2" ht="12.75" customHeight="1" x14ac:dyDescent="0.25">
      <c r="A8195" s="318">
        <v>92630434090</v>
      </c>
      <c r="B8195" s="318" t="s">
        <v>237</v>
      </c>
    </row>
    <row r="8196" spans="1:2" ht="12.75" customHeight="1" x14ac:dyDescent="0.25">
      <c r="A8196" s="318">
        <v>92630434091</v>
      </c>
      <c r="B8196" s="318" t="s">
        <v>237</v>
      </c>
    </row>
    <row r="8197" spans="1:2" ht="12.75" customHeight="1" x14ac:dyDescent="0.25">
      <c r="A8197" s="318">
        <v>92630434092</v>
      </c>
      <c r="B8197" s="318" t="s">
        <v>237</v>
      </c>
    </row>
    <row r="8198" spans="1:2" ht="12.75" customHeight="1" x14ac:dyDescent="0.25">
      <c r="A8198" s="318">
        <v>92630914949</v>
      </c>
      <c r="B8198" s="318" t="s">
        <v>23</v>
      </c>
    </row>
    <row r="8199" spans="1:2" ht="12.75" customHeight="1" x14ac:dyDescent="0.25">
      <c r="A8199" s="318">
        <v>92630914950</v>
      </c>
      <c r="B8199" s="318" t="s">
        <v>23</v>
      </c>
    </row>
    <row r="8200" spans="1:2" ht="12.75" customHeight="1" x14ac:dyDescent="0.25">
      <c r="A8200" s="318">
        <v>92630914951</v>
      </c>
      <c r="B8200" s="318" t="s">
        <v>23</v>
      </c>
    </row>
    <row r="8201" spans="1:2" ht="12.75" customHeight="1" x14ac:dyDescent="0.25">
      <c r="A8201" s="318">
        <v>92630914952</v>
      </c>
      <c r="B8201" s="318" t="s">
        <v>23</v>
      </c>
    </row>
    <row r="8202" spans="1:2" ht="12.75" customHeight="1" x14ac:dyDescent="0.25">
      <c r="A8202" s="318">
        <v>92630914953</v>
      </c>
      <c r="B8202" s="318" t="s">
        <v>23</v>
      </c>
    </row>
    <row r="8203" spans="1:2" ht="12.75" customHeight="1" x14ac:dyDescent="0.25">
      <c r="A8203" s="318">
        <v>92630914954</v>
      </c>
      <c r="B8203" s="318" t="s">
        <v>23</v>
      </c>
    </row>
    <row r="8204" spans="1:2" ht="12.75" customHeight="1" x14ac:dyDescent="0.25">
      <c r="A8204" s="318">
        <v>92630914955</v>
      </c>
      <c r="B8204" s="318" t="s">
        <v>23</v>
      </c>
    </row>
    <row r="8205" spans="1:2" ht="12.75" customHeight="1" x14ac:dyDescent="0.25">
      <c r="A8205" s="318">
        <v>92630914956</v>
      </c>
      <c r="B8205" s="318" t="s">
        <v>23</v>
      </c>
    </row>
    <row r="8206" spans="1:2" ht="12.75" customHeight="1" x14ac:dyDescent="0.25">
      <c r="A8206" s="318">
        <v>92630914958</v>
      </c>
      <c r="B8206" s="318" t="s">
        <v>23</v>
      </c>
    </row>
    <row r="8207" spans="1:2" ht="12.75" customHeight="1" x14ac:dyDescent="0.25">
      <c r="A8207" s="318">
        <v>92630914959</v>
      </c>
      <c r="B8207" s="318" t="s">
        <v>23</v>
      </c>
    </row>
    <row r="8208" spans="1:2" ht="12.75" customHeight="1" x14ac:dyDescent="0.25">
      <c r="A8208" s="318">
        <v>92630914960</v>
      </c>
      <c r="B8208" s="318" t="s">
        <v>23</v>
      </c>
    </row>
    <row r="8209" spans="1:2" ht="12.75" customHeight="1" x14ac:dyDescent="0.25">
      <c r="A8209" s="318">
        <v>92630914961</v>
      </c>
      <c r="B8209" s="318" t="s">
        <v>23</v>
      </c>
    </row>
    <row r="8210" spans="1:2" ht="12.75" customHeight="1" x14ac:dyDescent="0.25">
      <c r="A8210" s="318">
        <v>92630914962</v>
      </c>
      <c r="B8210" s="318" t="s">
        <v>23</v>
      </c>
    </row>
    <row r="8211" spans="1:2" ht="12.75" customHeight="1" x14ac:dyDescent="0.25">
      <c r="A8211" s="318">
        <v>92630914963</v>
      </c>
      <c r="B8211" s="318" t="s">
        <v>23</v>
      </c>
    </row>
    <row r="8212" spans="1:2" ht="12.75" customHeight="1" x14ac:dyDescent="0.25">
      <c r="A8212" s="318">
        <v>92630914964</v>
      </c>
      <c r="B8212" s="318" t="s">
        <v>23</v>
      </c>
    </row>
    <row r="8213" spans="1:2" ht="12.75" customHeight="1" x14ac:dyDescent="0.25">
      <c r="A8213" s="318">
        <v>92630914965</v>
      </c>
      <c r="B8213" s="318" t="s">
        <v>23</v>
      </c>
    </row>
    <row r="8214" spans="1:2" ht="12.75" customHeight="1" x14ac:dyDescent="0.25">
      <c r="A8214" s="318">
        <v>92630915049</v>
      </c>
      <c r="B8214" s="318" t="s">
        <v>237</v>
      </c>
    </row>
    <row r="8215" spans="1:2" ht="12.75" customHeight="1" x14ac:dyDescent="0.25">
      <c r="A8215" s="318">
        <v>92630915050</v>
      </c>
      <c r="B8215" s="318" t="s">
        <v>237</v>
      </c>
    </row>
    <row r="8216" spans="1:2" ht="12.75" customHeight="1" x14ac:dyDescent="0.25">
      <c r="A8216" s="318">
        <v>92630915051</v>
      </c>
      <c r="B8216" s="318" t="s">
        <v>237</v>
      </c>
    </row>
    <row r="8217" spans="1:2" ht="12.75" customHeight="1" x14ac:dyDescent="0.25">
      <c r="A8217" s="318">
        <v>92630915052</v>
      </c>
      <c r="B8217" s="318" t="s">
        <v>237</v>
      </c>
    </row>
    <row r="8218" spans="1:2" ht="12.75" customHeight="1" x14ac:dyDescent="0.25">
      <c r="A8218" s="318">
        <v>92630915053</v>
      </c>
      <c r="B8218" s="318" t="s">
        <v>237</v>
      </c>
    </row>
    <row r="8219" spans="1:2" ht="12.75" customHeight="1" x14ac:dyDescent="0.25">
      <c r="A8219" s="318">
        <v>92630915054</v>
      </c>
      <c r="B8219" s="318" t="s">
        <v>237</v>
      </c>
    </row>
    <row r="8220" spans="1:2" ht="12.75" customHeight="1" x14ac:dyDescent="0.25">
      <c r="A8220" s="318">
        <v>92630915055</v>
      </c>
      <c r="B8220" s="318" t="s">
        <v>237</v>
      </c>
    </row>
    <row r="8221" spans="1:2" ht="12.75" customHeight="1" x14ac:dyDescent="0.25">
      <c r="A8221" s="318">
        <v>92630915056</v>
      </c>
      <c r="B8221" s="318" t="s">
        <v>237</v>
      </c>
    </row>
    <row r="8222" spans="1:2" ht="12.75" customHeight="1" x14ac:dyDescent="0.25">
      <c r="A8222" s="318">
        <v>92630915058</v>
      </c>
      <c r="B8222" s="318" t="s">
        <v>237</v>
      </c>
    </row>
    <row r="8223" spans="1:2" ht="12.75" customHeight="1" x14ac:dyDescent="0.25">
      <c r="A8223" s="318">
        <v>92630915059</v>
      </c>
      <c r="B8223" s="318" t="s">
        <v>237</v>
      </c>
    </row>
    <row r="8224" spans="1:2" ht="12.75" customHeight="1" x14ac:dyDescent="0.25">
      <c r="A8224" s="318">
        <v>92630915060</v>
      </c>
      <c r="B8224" s="318" t="s">
        <v>237</v>
      </c>
    </row>
    <row r="8225" spans="1:2" ht="12.75" customHeight="1" x14ac:dyDescent="0.25">
      <c r="A8225" s="318">
        <v>92630915061</v>
      </c>
      <c r="B8225" s="318" t="s">
        <v>237</v>
      </c>
    </row>
    <row r="8226" spans="1:2" ht="12.75" customHeight="1" x14ac:dyDescent="0.25">
      <c r="A8226" s="318">
        <v>92630915062</v>
      </c>
      <c r="B8226" s="318" t="s">
        <v>237</v>
      </c>
    </row>
    <row r="8227" spans="1:2" ht="12.75" customHeight="1" x14ac:dyDescent="0.25">
      <c r="A8227" s="318">
        <v>92630915063</v>
      </c>
      <c r="B8227" s="318" t="s">
        <v>237</v>
      </c>
    </row>
    <row r="8228" spans="1:2" ht="12.75" customHeight="1" x14ac:dyDescent="0.25">
      <c r="A8228" s="318">
        <v>92630915064</v>
      </c>
      <c r="B8228" s="318" t="s">
        <v>237</v>
      </c>
    </row>
    <row r="8229" spans="1:2" ht="12.75" customHeight="1" x14ac:dyDescent="0.25">
      <c r="A8229" s="318">
        <v>92630915065</v>
      </c>
      <c r="B8229" s="318" t="s">
        <v>237</v>
      </c>
    </row>
    <row r="8230" spans="1:2" ht="12.75" customHeight="1" x14ac:dyDescent="0.25">
      <c r="A8230" s="318">
        <v>93562145604</v>
      </c>
      <c r="B8230" s="318" t="s">
        <v>23</v>
      </c>
    </row>
    <row r="8231" spans="1:2" ht="12.75" customHeight="1" x14ac:dyDescent="0.25">
      <c r="A8231" s="318">
        <v>93562145605</v>
      </c>
      <c r="B8231" s="318" t="s">
        <v>23</v>
      </c>
    </row>
    <row r="8232" spans="1:2" ht="12.75" customHeight="1" x14ac:dyDescent="0.25">
      <c r="A8232" s="318">
        <v>93562145606</v>
      </c>
      <c r="B8232" s="318" t="s">
        <v>23</v>
      </c>
    </row>
    <row r="8233" spans="1:2" ht="12.75" customHeight="1" x14ac:dyDescent="0.25">
      <c r="A8233" s="318">
        <v>93562145607</v>
      </c>
      <c r="B8233" s="318" t="s">
        <v>23</v>
      </c>
    </row>
    <row r="8234" spans="1:2" ht="12.75" customHeight="1" x14ac:dyDescent="0.25">
      <c r="A8234" s="318">
        <v>93562145608</v>
      </c>
      <c r="B8234" s="318" t="s">
        <v>23</v>
      </c>
    </row>
    <row r="8235" spans="1:2" ht="12.75" customHeight="1" x14ac:dyDescent="0.25">
      <c r="A8235" s="318">
        <v>93562145609</v>
      </c>
      <c r="B8235" s="318" t="s">
        <v>23</v>
      </c>
    </row>
    <row r="8236" spans="1:2" ht="12.75" customHeight="1" x14ac:dyDescent="0.25">
      <c r="A8236" s="318">
        <v>93562145610</v>
      </c>
      <c r="B8236" s="318" t="s">
        <v>23</v>
      </c>
    </row>
    <row r="8237" spans="1:2" ht="12.75" customHeight="1" x14ac:dyDescent="0.25">
      <c r="A8237" s="318">
        <v>93562145611</v>
      </c>
      <c r="B8237" s="318" t="s">
        <v>237</v>
      </c>
    </row>
    <row r="8238" spans="1:2" ht="12.75" customHeight="1" x14ac:dyDescent="0.25">
      <c r="A8238" s="318">
        <v>93562145613</v>
      </c>
      <c r="B8238" s="318" t="s">
        <v>237</v>
      </c>
    </row>
    <row r="8239" spans="1:2" ht="12.75" customHeight="1" x14ac:dyDescent="0.25">
      <c r="A8239" s="318">
        <v>93562145614</v>
      </c>
      <c r="B8239" s="318" t="s">
        <v>237</v>
      </c>
    </row>
    <row r="8240" spans="1:2" ht="12.75" customHeight="1" x14ac:dyDescent="0.25">
      <c r="A8240" s="318">
        <v>93562145615</v>
      </c>
      <c r="B8240" s="318" t="s">
        <v>237</v>
      </c>
    </row>
    <row r="8241" spans="1:2" ht="12.75" customHeight="1" x14ac:dyDescent="0.25">
      <c r="A8241" s="318">
        <v>93562145616</v>
      </c>
      <c r="B8241" s="318" t="s">
        <v>237</v>
      </c>
    </row>
    <row r="8242" spans="1:2" ht="12.75" customHeight="1" x14ac:dyDescent="0.25">
      <c r="A8242" s="318">
        <v>93562145617</v>
      </c>
      <c r="B8242" s="318" t="s">
        <v>237</v>
      </c>
    </row>
    <row r="8243" spans="1:2" ht="12.75" customHeight="1" x14ac:dyDescent="0.25">
      <c r="A8243" s="318">
        <v>93562145618</v>
      </c>
      <c r="B8243" s="318" t="s">
        <v>237</v>
      </c>
    </row>
    <row r="8244" spans="1:2" ht="12.75" customHeight="1" x14ac:dyDescent="0.25">
      <c r="A8244" s="318">
        <v>93562145619</v>
      </c>
      <c r="B8244" s="318" t="s">
        <v>237</v>
      </c>
    </row>
    <row r="8245" spans="1:2" ht="12.75" customHeight="1" x14ac:dyDescent="0.25">
      <c r="A8245" s="318">
        <v>93562145620</v>
      </c>
      <c r="B8245" s="318" t="s">
        <v>237</v>
      </c>
    </row>
    <row r="8246" spans="1:2" ht="12.75" customHeight="1" x14ac:dyDescent="0.25">
      <c r="A8246" s="318">
        <v>93562145704</v>
      </c>
      <c r="B8246" s="318" t="s">
        <v>237</v>
      </c>
    </row>
    <row r="8247" spans="1:2" ht="12.75" customHeight="1" x14ac:dyDescent="0.25">
      <c r="A8247" s="318">
        <v>93562145705</v>
      </c>
      <c r="B8247" s="318" t="s">
        <v>237</v>
      </c>
    </row>
    <row r="8248" spans="1:2" ht="12.75" customHeight="1" x14ac:dyDescent="0.25">
      <c r="A8248" s="318">
        <v>93562145706</v>
      </c>
      <c r="B8248" s="318" t="s">
        <v>237</v>
      </c>
    </row>
    <row r="8249" spans="1:2" ht="12.75" customHeight="1" x14ac:dyDescent="0.25">
      <c r="A8249" s="318">
        <v>93562145707</v>
      </c>
      <c r="B8249" s="318" t="s">
        <v>237</v>
      </c>
    </row>
    <row r="8250" spans="1:2" ht="12.75" customHeight="1" x14ac:dyDescent="0.25">
      <c r="A8250" s="318">
        <v>93562145708</v>
      </c>
      <c r="B8250" s="318" t="s">
        <v>237</v>
      </c>
    </row>
    <row r="8251" spans="1:2" ht="12.75" customHeight="1" x14ac:dyDescent="0.25">
      <c r="A8251" s="318">
        <v>93562145709</v>
      </c>
      <c r="B8251" s="318" t="s">
        <v>237</v>
      </c>
    </row>
    <row r="8252" spans="1:2" ht="12.75" customHeight="1" x14ac:dyDescent="0.25">
      <c r="A8252" s="318">
        <v>93562145710</v>
      </c>
      <c r="B8252" s="318" t="s">
        <v>237</v>
      </c>
    </row>
    <row r="8253" spans="1:2" ht="12.75" customHeight="1" x14ac:dyDescent="0.25">
      <c r="A8253" s="318">
        <v>93562145711</v>
      </c>
      <c r="B8253" s="318" t="s">
        <v>237</v>
      </c>
    </row>
    <row r="8254" spans="1:2" ht="12.75" customHeight="1" x14ac:dyDescent="0.25">
      <c r="A8254" s="318">
        <v>93562145713</v>
      </c>
      <c r="B8254" s="318" t="s">
        <v>237</v>
      </c>
    </row>
    <row r="8255" spans="1:2" ht="12.75" customHeight="1" x14ac:dyDescent="0.25">
      <c r="A8255" s="318">
        <v>93562145714</v>
      </c>
      <c r="B8255" s="318" t="s">
        <v>237</v>
      </c>
    </row>
    <row r="8256" spans="1:2" ht="12.75" customHeight="1" x14ac:dyDescent="0.25">
      <c r="A8256" s="318">
        <v>93562145715</v>
      </c>
      <c r="B8256" s="318" t="s">
        <v>237</v>
      </c>
    </row>
    <row r="8257" spans="1:2" ht="12.75" customHeight="1" x14ac:dyDescent="0.25">
      <c r="A8257" s="318">
        <v>93562145716</v>
      </c>
      <c r="B8257" s="318" t="s">
        <v>237</v>
      </c>
    </row>
    <row r="8258" spans="1:2" ht="12.75" customHeight="1" x14ac:dyDescent="0.25">
      <c r="A8258" s="318">
        <v>93562145717</v>
      </c>
      <c r="B8258" s="318" t="s">
        <v>237</v>
      </c>
    </row>
    <row r="8259" spans="1:2" ht="12.75" customHeight="1" x14ac:dyDescent="0.25">
      <c r="A8259" s="318">
        <v>93562145718</v>
      </c>
      <c r="B8259" s="318" t="s">
        <v>237</v>
      </c>
    </row>
    <row r="8260" spans="1:2" ht="12.75" customHeight="1" x14ac:dyDescent="0.25">
      <c r="A8260" s="318">
        <v>93562145719</v>
      </c>
      <c r="B8260" s="318" t="s">
        <v>237</v>
      </c>
    </row>
    <row r="8261" spans="1:2" ht="12.75" customHeight="1" x14ac:dyDescent="0.25">
      <c r="A8261" s="318">
        <v>93562145720</v>
      </c>
      <c r="B8261" s="318" t="s">
        <v>237</v>
      </c>
    </row>
    <row r="8262" spans="1:2" ht="12.75" customHeight="1" x14ac:dyDescent="0.25">
      <c r="A8262" s="318">
        <v>93562626577</v>
      </c>
      <c r="B8262" s="318" t="s">
        <v>23</v>
      </c>
    </row>
    <row r="8263" spans="1:2" ht="12.75" customHeight="1" x14ac:dyDescent="0.25">
      <c r="A8263" s="318">
        <v>93562626578</v>
      </c>
      <c r="B8263" s="318" t="s">
        <v>23</v>
      </c>
    </row>
    <row r="8264" spans="1:2" ht="12.75" customHeight="1" x14ac:dyDescent="0.25">
      <c r="A8264" s="318">
        <v>93562626579</v>
      </c>
      <c r="B8264" s="318" t="s">
        <v>23</v>
      </c>
    </row>
    <row r="8265" spans="1:2" ht="12.75" customHeight="1" x14ac:dyDescent="0.25">
      <c r="A8265" s="318">
        <v>93562626580</v>
      </c>
      <c r="B8265" s="318" t="s">
        <v>23</v>
      </c>
    </row>
    <row r="8266" spans="1:2" ht="12.75" customHeight="1" x14ac:dyDescent="0.25">
      <c r="A8266" s="318">
        <v>93562626581</v>
      </c>
      <c r="B8266" s="318" t="s">
        <v>23</v>
      </c>
    </row>
    <row r="8267" spans="1:2" ht="12.75" customHeight="1" x14ac:dyDescent="0.25">
      <c r="A8267" s="318">
        <v>93562626582</v>
      </c>
      <c r="B8267" s="318" t="s">
        <v>23</v>
      </c>
    </row>
    <row r="8268" spans="1:2" ht="12.75" customHeight="1" x14ac:dyDescent="0.25">
      <c r="A8268" s="318">
        <v>93562626583</v>
      </c>
      <c r="B8268" s="318" t="s">
        <v>23</v>
      </c>
    </row>
    <row r="8269" spans="1:2" ht="12.75" customHeight="1" x14ac:dyDescent="0.25">
      <c r="A8269" s="318">
        <v>93562626584</v>
      </c>
      <c r="B8269" s="318" t="s">
        <v>237</v>
      </c>
    </row>
    <row r="8270" spans="1:2" ht="12.75" customHeight="1" x14ac:dyDescent="0.25">
      <c r="A8270" s="318">
        <v>93562626586</v>
      </c>
      <c r="B8270" s="318" t="s">
        <v>237</v>
      </c>
    </row>
    <row r="8271" spans="1:2" ht="12.75" customHeight="1" x14ac:dyDescent="0.25">
      <c r="A8271" s="318">
        <v>93562626587</v>
      </c>
      <c r="B8271" s="318" t="s">
        <v>237</v>
      </c>
    </row>
    <row r="8272" spans="1:2" ht="12.75" customHeight="1" x14ac:dyDescent="0.25">
      <c r="A8272" s="318">
        <v>93562626588</v>
      </c>
      <c r="B8272" s="318" t="s">
        <v>237</v>
      </c>
    </row>
    <row r="8273" spans="1:2" ht="12.75" customHeight="1" x14ac:dyDescent="0.25">
      <c r="A8273" s="318">
        <v>93562626589</v>
      </c>
      <c r="B8273" s="318" t="s">
        <v>237</v>
      </c>
    </row>
    <row r="8274" spans="1:2" ht="12.75" customHeight="1" x14ac:dyDescent="0.25">
      <c r="A8274" s="318">
        <v>93562626590</v>
      </c>
      <c r="B8274" s="318" t="s">
        <v>237</v>
      </c>
    </row>
    <row r="8275" spans="1:2" ht="12.75" customHeight="1" x14ac:dyDescent="0.25">
      <c r="A8275" s="318">
        <v>93562626591</v>
      </c>
      <c r="B8275" s="318" t="s">
        <v>237</v>
      </c>
    </row>
    <row r="8276" spans="1:2" ht="12.75" customHeight="1" x14ac:dyDescent="0.25">
      <c r="A8276" s="318">
        <v>93562626592</v>
      </c>
      <c r="B8276" s="318" t="s">
        <v>237</v>
      </c>
    </row>
    <row r="8277" spans="1:2" ht="12.75" customHeight="1" x14ac:dyDescent="0.25">
      <c r="A8277" s="318">
        <v>93562626593</v>
      </c>
      <c r="B8277" s="318" t="s">
        <v>237</v>
      </c>
    </row>
    <row r="8278" spans="1:2" ht="12.75" customHeight="1" x14ac:dyDescent="0.25">
      <c r="A8278" s="318">
        <v>93562626677</v>
      </c>
      <c r="B8278" s="318" t="s">
        <v>237</v>
      </c>
    </row>
    <row r="8279" spans="1:2" ht="12.75" customHeight="1" x14ac:dyDescent="0.25">
      <c r="A8279" s="318">
        <v>93562626678</v>
      </c>
      <c r="B8279" s="318" t="s">
        <v>237</v>
      </c>
    </row>
    <row r="8280" spans="1:2" ht="12.75" customHeight="1" x14ac:dyDescent="0.25">
      <c r="A8280" s="318">
        <v>93562626679</v>
      </c>
      <c r="B8280" s="318" t="s">
        <v>237</v>
      </c>
    </row>
    <row r="8281" spans="1:2" ht="12.75" customHeight="1" x14ac:dyDescent="0.25">
      <c r="A8281" s="318">
        <v>93562626680</v>
      </c>
      <c r="B8281" s="318" t="s">
        <v>237</v>
      </c>
    </row>
    <row r="8282" spans="1:2" ht="12.75" customHeight="1" x14ac:dyDescent="0.25">
      <c r="A8282" s="318">
        <v>93562626681</v>
      </c>
      <c r="B8282" s="318" t="s">
        <v>237</v>
      </c>
    </row>
    <row r="8283" spans="1:2" ht="12.75" customHeight="1" x14ac:dyDescent="0.25">
      <c r="A8283" s="318">
        <v>93562626682</v>
      </c>
      <c r="B8283" s="318" t="s">
        <v>237</v>
      </c>
    </row>
    <row r="8284" spans="1:2" ht="12.75" customHeight="1" x14ac:dyDescent="0.25">
      <c r="A8284" s="318">
        <v>93562626683</v>
      </c>
      <c r="B8284" s="318" t="s">
        <v>237</v>
      </c>
    </row>
    <row r="8285" spans="1:2" ht="12.75" customHeight="1" x14ac:dyDescent="0.25">
      <c r="A8285" s="318">
        <v>93562626684</v>
      </c>
      <c r="B8285" s="318" t="s">
        <v>237</v>
      </c>
    </row>
    <row r="8286" spans="1:2" ht="12.75" customHeight="1" x14ac:dyDescent="0.25">
      <c r="A8286" s="318">
        <v>93562626686</v>
      </c>
      <c r="B8286" s="318" t="s">
        <v>237</v>
      </c>
    </row>
    <row r="8287" spans="1:2" ht="12.75" customHeight="1" x14ac:dyDescent="0.25">
      <c r="A8287" s="318">
        <v>93562626687</v>
      </c>
      <c r="B8287" s="318" t="s">
        <v>237</v>
      </c>
    </row>
    <row r="8288" spans="1:2" ht="12.75" customHeight="1" x14ac:dyDescent="0.25">
      <c r="A8288" s="318">
        <v>93562626688</v>
      </c>
      <c r="B8288" s="318" t="s">
        <v>237</v>
      </c>
    </row>
    <row r="8289" spans="1:2" ht="12.75" customHeight="1" x14ac:dyDescent="0.25">
      <c r="A8289" s="318">
        <v>93562626689</v>
      </c>
      <c r="B8289" s="318" t="s">
        <v>237</v>
      </c>
    </row>
    <row r="8290" spans="1:2" ht="12.75" customHeight="1" x14ac:dyDescent="0.25">
      <c r="A8290" s="318">
        <v>93562626690</v>
      </c>
      <c r="B8290" s="318" t="s">
        <v>237</v>
      </c>
    </row>
    <row r="8291" spans="1:2" ht="12.75" customHeight="1" x14ac:dyDescent="0.25">
      <c r="A8291" s="318">
        <v>93562626691</v>
      </c>
      <c r="B8291" s="318" t="s">
        <v>237</v>
      </c>
    </row>
    <row r="8292" spans="1:2" ht="12.75" customHeight="1" x14ac:dyDescent="0.25">
      <c r="A8292" s="318">
        <v>93562626692</v>
      </c>
      <c r="B8292" s="318" t="s">
        <v>237</v>
      </c>
    </row>
    <row r="8293" spans="1:2" ht="12.75" customHeight="1" x14ac:dyDescent="0.25">
      <c r="A8293" s="318">
        <v>93562626693</v>
      </c>
      <c r="B8293" s="318" t="s">
        <v>237</v>
      </c>
    </row>
    <row r="8294" spans="1:2" ht="12.75" customHeight="1" x14ac:dyDescent="0.25">
      <c r="A8294" s="318">
        <v>93563107550</v>
      </c>
      <c r="B8294" s="318" t="s">
        <v>23</v>
      </c>
    </row>
    <row r="8295" spans="1:2" ht="12.75" customHeight="1" x14ac:dyDescent="0.25">
      <c r="A8295" s="318">
        <v>93563107551</v>
      </c>
      <c r="B8295" s="318" t="s">
        <v>23</v>
      </c>
    </row>
    <row r="8296" spans="1:2" ht="12.75" customHeight="1" x14ac:dyDescent="0.25">
      <c r="A8296" s="318">
        <v>93563107552</v>
      </c>
      <c r="B8296" s="318" t="s">
        <v>23</v>
      </c>
    </row>
    <row r="8297" spans="1:2" ht="12.75" customHeight="1" x14ac:dyDescent="0.25">
      <c r="A8297" s="318">
        <v>93563107553</v>
      </c>
      <c r="B8297" s="318" t="s">
        <v>23</v>
      </c>
    </row>
    <row r="8298" spans="1:2" ht="12.75" customHeight="1" x14ac:dyDescent="0.25">
      <c r="A8298" s="318">
        <v>93563107554</v>
      </c>
      <c r="B8298" s="318" t="s">
        <v>23</v>
      </c>
    </row>
    <row r="8299" spans="1:2" ht="12.75" customHeight="1" x14ac:dyDescent="0.25">
      <c r="A8299" s="318">
        <v>93563107555</v>
      </c>
      <c r="B8299" s="318" t="s">
        <v>23</v>
      </c>
    </row>
    <row r="8300" spans="1:2" ht="12.75" customHeight="1" x14ac:dyDescent="0.25">
      <c r="A8300" s="318">
        <v>93563107556</v>
      </c>
      <c r="B8300" s="318" t="s">
        <v>23</v>
      </c>
    </row>
    <row r="8301" spans="1:2" ht="12.75" customHeight="1" x14ac:dyDescent="0.25">
      <c r="A8301" s="318">
        <v>93563107557</v>
      </c>
      <c r="B8301" s="318" t="s">
        <v>237</v>
      </c>
    </row>
    <row r="8302" spans="1:2" ht="12.75" customHeight="1" x14ac:dyDescent="0.25">
      <c r="A8302" s="318">
        <v>93563107559</v>
      </c>
      <c r="B8302" s="318" t="s">
        <v>23</v>
      </c>
    </row>
    <row r="8303" spans="1:2" ht="12.75" customHeight="1" x14ac:dyDescent="0.25">
      <c r="A8303" s="318">
        <v>93563107560</v>
      </c>
      <c r="B8303" s="318" t="s">
        <v>237</v>
      </c>
    </row>
    <row r="8304" spans="1:2" ht="12.75" customHeight="1" x14ac:dyDescent="0.25">
      <c r="A8304" s="318">
        <v>93563107561</v>
      </c>
      <c r="B8304" s="318" t="s">
        <v>23</v>
      </c>
    </row>
    <row r="8305" spans="1:2" ht="12.75" customHeight="1" x14ac:dyDescent="0.25">
      <c r="A8305" s="318">
        <v>93563107562</v>
      </c>
      <c r="B8305" s="318" t="s">
        <v>237</v>
      </c>
    </row>
    <row r="8306" spans="1:2" ht="12.75" customHeight="1" x14ac:dyDescent="0.25">
      <c r="A8306" s="318">
        <v>93563107563</v>
      </c>
      <c r="B8306" s="318" t="s">
        <v>23</v>
      </c>
    </row>
    <row r="8307" spans="1:2" ht="12.75" customHeight="1" x14ac:dyDescent="0.25">
      <c r="A8307" s="318">
        <v>93563107564</v>
      </c>
      <c r="B8307" s="318" t="s">
        <v>237</v>
      </c>
    </row>
    <row r="8308" spans="1:2" ht="12.75" customHeight="1" x14ac:dyDescent="0.25">
      <c r="A8308" s="318">
        <v>93563107565</v>
      </c>
      <c r="B8308" s="318" t="s">
        <v>23</v>
      </c>
    </row>
    <row r="8309" spans="1:2" ht="12.75" customHeight="1" x14ac:dyDescent="0.25">
      <c r="A8309" s="318">
        <v>93563107566</v>
      </c>
      <c r="B8309" s="318" t="s">
        <v>237</v>
      </c>
    </row>
    <row r="8310" spans="1:2" ht="12.75" customHeight="1" x14ac:dyDescent="0.25">
      <c r="A8310" s="318">
        <v>93563107650</v>
      </c>
      <c r="B8310" s="318" t="s">
        <v>237</v>
      </c>
    </row>
    <row r="8311" spans="1:2" ht="12.75" customHeight="1" x14ac:dyDescent="0.25">
      <c r="A8311" s="318">
        <v>93563107651</v>
      </c>
      <c r="B8311" s="318" t="s">
        <v>237</v>
      </c>
    </row>
    <row r="8312" spans="1:2" ht="12.75" customHeight="1" x14ac:dyDescent="0.25">
      <c r="A8312" s="318">
        <v>93563107652</v>
      </c>
      <c r="B8312" s="318" t="s">
        <v>237</v>
      </c>
    </row>
    <row r="8313" spans="1:2" ht="12.75" customHeight="1" x14ac:dyDescent="0.25">
      <c r="A8313" s="318">
        <v>93563107653</v>
      </c>
      <c r="B8313" s="318" t="s">
        <v>237</v>
      </c>
    </row>
    <row r="8314" spans="1:2" ht="12.75" customHeight="1" x14ac:dyDescent="0.25">
      <c r="A8314" s="318">
        <v>93563107654</v>
      </c>
      <c r="B8314" s="318" t="s">
        <v>237</v>
      </c>
    </row>
    <row r="8315" spans="1:2" ht="12.75" customHeight="1" x14ac:dyDescent="0.25">
      <c r="A8315" s="318">
        <v>93563107655</v>
      </c>
      <c r="B8315" s="318" t="s">
        <v>237</v>
      </c>
    </row>
    <row r="8316" spans="1:2" ht="12.75" customHeight="1" x14ac:dyDescent="0.25">
      <c r="A8316" s="318">
        <v>93563107656</v>
      </c>
      <c r="B8316" s="318" t="s">
        <v>237</v>
      </c>
    </row>
    <row r="8317" spans="1:2" ht="12.75" customHeight="1" x14ac:dyDescent="0.25">
      <c r="A8317" s="318">
        <v>93563107657</v>
      </c>
      <c r="B8317" s="318" t="s">
        <v>237</v>
      </c>
    </row>
    <row r="8318" spans="1:2" ht="12.75" customHeight="1" x14ac:dyDescent="0.25">
      <c r="A8318" s="318">
        <v>93563107659</v>
      </c>
      <c r="B8318" s="318" t="s">
        <v>237</v>
      </c>
    </row>
    <row r="8319" spans="1:2" ht="12.75" customHeight="1" x14ac:dyDescent="0.25">
      <c r="A8319" s="318">
        <v>93563107660</v>
      </c>
      <c r="B8319" s="318" t="s">
        <v>237</v>
      </c>
    </row>
    <row r="8320" spans="1:2" ht="12.75" customHeight="1" x14ac:dyDescent="0.25">
      <c r="A8320" s="318">
        <v>93563107661</v>
      </c>
      <c r="B8320" s="318" t="s">
        <v>237</v>
      </c>
    </row>
    <row r="8321" spans="1:2" ht="12.75" customHeight="1" x14ac:dyDescent="0.25">
      <c r="A8321" s="318">
        <v>93563107662</v>
      </c>
      <c r="B8321" s="318" t="s">
        <v>237</v>
      </c>
    </row>
    <row r="8322" spans="1:2" ht="12.75" customHeight="1" x14ac:dyDescent="0.25">
      <c r="A8322" s="318">
        <v>93563107663</v>
      </c>
      <c r="B8322" s="318" t="s">
        <v>237</v>
      </c>
    </row>
    <row r="8323" spans="1:2" ht="12.75" customHeight="1" x14ac:dyDescent="0.25">
      <c r="A8323" s="318">
        <v>93563107664</v>
      </c>
      <c r="B8323" s="318" t="s">
        <v>237</v>
      </c>
    </row>
    <row r="8324" spans="1:2" ht="12.75" customHeight="1" x14ac:dyDescent="0.25">
      <c r="A8324" s="318">
        <v>93563107665</v>
      </c>
      <c r="B8324" s="318" t="s">
        <v>237</v>
      </c>
    </row>
    <row r="8325" spans="1:2" ht="12.75" customHeight="1" x14ac:dyDescent="0.25">
      <c r="A8325" s="318">
        <v>93563107666</v>
      </c>
      <c r="B8325" s="318" t="s">
        <v>237</v>
      </c>
    </row>
    <row r="8326" spans="1:2" ht="12.75" customHeight="1" x14ac:dyDescent="0.25">
      <c r="A8326" s="318">
        <v>93563787741</v>
      </c>
      <c r="B8326" s="318" t="s">
        <v>23</v>
      </c>
    </row>
    <row r="8327" spans="1:2" ht="12.75" customHeight="1" x14ac:dyDescent="0.25">
      <c r="A8327" s="318">
        <v>93563787742</v>
      </c>
      <c r="B8327" s="318" t="s">
        <v>23</v>
      </c>
    </row>
    <row r="8328" spans="1:2" ht="12.75" customHeight="1" x14ac:dyDescent="0.25">
      <c r="A8328" s="318">
        <v>93563787743</v>
      </c>
      <c r="B8328" s="318" t="s">
        <v>23</v>
      </c>
    </row>
    <row r="8329" spans="1:2" ht="12.75" customHeight="1" x14ac:dyDescent="0.25">
      <c r="A8329" s="318">
        <v>93563787744</v>
      </c>
      <c r="B8329" s="318" t="s">
        <v>23</v>
      </c>
    </row>
    <row r="8330" spans="1:2" ht="12.75" customHeight="1" x14ac:dyDescent="0.25">
      <c r="A8330" s="318">
        <v>93563787745</v>
      </c>
      <c r="B8330" s="318" t="s">
        <v>23</v>
      </c>
    </row>
    <row r="8331" spans="1:2" ht="12.75" customHeight="1" x14ac:dyDescent="0.25">
      <c r="A8331" s="318">
        <v>93563787746</v>
      </c>
      <c r="B8331" s="318" t="s">
        <v>23</v>
      </c>
    </row>
    <row r="8332" spans="1:2" ht="12.75" customHeight="1" x14ac:dyDescent="0.25">
      <c r="A8332" s="318">
        <v>93563787747</v>
      </c>
      <c r="B8332" s="318" t="s">
        <v>23</v>
      </c>
    </row>
    <row r="8333" spans="1:2" ht="12.75" customHeight="1" x14ac:dyDescent="0.25">
      <c r="A8333" s="318">
        <v>93563787748</v>
      </c>
      <c r="B8333" s="318" t="s">
        <v>237</v>
      </c>
    </row>
    <row r="8334" spans="1:2" ht="12.75" customHeight="1" x14ac:dyDescent="0.25">
      <c r="A8334" s="318">
        <v>93563787750</v>
      </c>
      <c r="B8334" s="318" t="s">
        <v>237</v>
      </c>
    </row>
    <row r="8335" spans="1:2" ht="12.75" customHeight="1" x14ac:dyDescent="0.25">
      <c r="A8335" s="318">
        <v>93563787751</v>
      </c>
      <c r="B8335" s="318" t="s">
        <v>237</v>
      </c>
    </row>
    <row r="8336" spans="1:2" ht="12.75" customHeight="1" x14ac:dyDescent="0.25">
      <c r="A8336" s="318">
        <v>93563787752</v>
      </c>
      <c r="B8336" s="318" t="s">
        <v>237</v>
      </c>
    </row>
    <row r="8337" spans="1:2" ht="12.75" customHeight="1" x14ac:dyDescent="0.25">
      <c r="A8337" s="318">
        <v>93563787753</v>
      </c>
      <c r="B8337" s="318" t="s">
        <v>237</v>
      </c>
    </row>
    <row r="8338" spans="1:2" ht="12.75" customHeight="1" x14ac:dyDescent="0.25">
      <c r="A8338" s="318">
        <v>93563787754</v>
      </c>
      <c r="B8338" s="318" t="s">
        <v>237</v>
      </c>
    </row>
    <row r="8339" spans="1:2" ht="12.75" customHeight="1" x14ac:dyDescent="0.25">
      <c r="A8339" s="318">
        <v>93563787755</v>
      </c>
      <c r="B8339" s="318" t="s">
        <v>237</v>
      </c>
    </row>
    <row r="8340" spans="1:2" ht="12.75" customHeight="1" x14ac:dyDescent="0.25">
      <c r="A8340" s="318">
        <v>93563787756</v>
      </c>
      <c r="B8340" s="318" t="s">
        <v>237</v>
      </c>
    </row>
    <row r="8341" spans="1:2" ht="12.75" customHeight="1" x14ac:dyDescent="0.25">
      <c r="A8341" s="318">
        <v>93563787757</v>
      </c>
      <c r="B8341" s="318" t="s">
        <v>237</v>
      </c>
    </row>
    <row r="8342" spans="1:2" ht="12.75" customHeight="1" x14ac:dyDescent="0.25">
      <c r="A8342" s="318">
        <v>93563787841</v>
      </c>
      <c r="B8342" s="318" t="s">
        <v>237</v>
      </c>
    </row>
    <row r="8343" spans="1:2" ht="12.75" customHeight="1" x14ac:dyDescent="0.25">
      <c r="A8343" s="318">
        <v>93563787842</v>
      </c>
      <c r="B8343" s="318" t="s">
        <v>237</v>
      </c>
    </row>
    <row r="8344" spans="1:2" ht="12.75" customHeight="1" x14ac:dyDescent="0.25">
      <c r="A8344" s="318">
        <v>93563787843</v>
      </c>
      <c r="B8344" s="318" t="s">
        <v>237</v>
      </c>
    </row>
    <row r="8345" spans="1:2" ht="12.75" customHeight="1" x14ac:dyDescent="0.25">
      <c r="A8345" s="318">
        <v>93563787844</v>
      </c>
      <c r="B8345" s="318" t="s">
        <v>237</v>
      </c>
    </row>
    <row r="8346" spans="1:2" ht="12.75" customHeight="1" x14ac:dyDescent="0.25">
      <c r="A8346" s="318">
        <v>93563787845</v>
      </c>
      <c r="B8346" s="318" t="s">
        <v>237</v>
      </c>
    </row>
    <row r="8347" spans="1:2" ht="12.75" customHeight="1" x14ac:dyDescent="0.25">
      <c r="A8347" s="318">
        <v>93563787846</v>
      </c>
      <c r="B8347" s="318" t="s">
        <v>237</v>
      </c>
    </row>
    <row r="8348" spans="1:2" ht="12.75" customHeight="1" x14ac:dyDescent="0.25">
      <c r="A8348" s="318">
        <v>93563787847</v>
      </c>
      <c r="B8348" s="318" t="s">
        <v>237</v>
      </c>
    </row>
    <row r="8349" spans="1:2" ht="12.75" customHeight="1" x14ac:dyDescent="0.25">
      <c r="A8349" s="318">
        <v>93563787848</v>
      </c>
      <c r="B8349" s="318" t="s">
        <v>237</v>
      </c>
    </row>
    <row r="8350" spans="1:2" ht="12.75" customHeight="1" x14ac:dyDescent="0.25">
      <c r="A8350" s="318">
        <v>93563787850</v>
      </c>
      <c r="B8350" s="318" t="s">
        <v>237</v>
      </c>
    </row>
    <row r="8351" spans="1:2" ht="12.75" customHeight="1" x14ac:dyDescent="0.25">
      <c r="A8351" s="318">
        <v>93563787851</v>
      </c>
      <c r="B8351" s="318" t="s">
        <v>237</v>
      </c>
    </row>
    <row r="8352" spans="1:2" ht="12.75" customHeight="1" x14ac:dyDescent="0.25">
      <c r="A8352" s="318">
        <v>93563787852</v>
      </c>
      <c r="B8352" s="318" t="s">
        <v>237</v>
      </c>
    </row>
    <row r="8353" spans="1:2" ht="12.75" customHeight="1" x14ac:dyDescent="0.25">
      <c r="A8353" s="318">
        <v>93563787853</v>
      </c>
      <c r="B8353" s="318" t="s">
        <v>237</v>
      </c>
    </row>
    <row r="8354" spans="1:2" ht="12.75" customHeight="1" x14ac:dyDescent="0.25">
      <c r="A8354" s="318">
        <v>93563787854</v>
      </c>
      <c r="B8354" s="318" t="s">
        <v>237</v>
      </c>
    </row>
    <row r="8355" spans="1:2" ht="12.75" customHeight="1" x14ac:dyDescent="0.25">
      <c r="A8355" s="318">
        <v>93563787855</v>
      </c>
      <c r="B8355" s="318" t="s">
        <v>237</v>
      </c>
    </row>
    <row r="8356" spans="1:2" ht="12.75" customHeight="1" x14ac:dyDescent="0.25">
      <c r="A8356" s="318">
        <v>93563787856</v>
      </c>
      <c r="B8356" s="318" t="s">
        <v>237</v>
      </c>
    </row>
    <row r="8357" spans="1:2" ht="12.75" customHeight="1" x14ac:dyDescent="0.25">
      <c r="A8357" s="318">
        <v>93563787857</v>
      </c>
      <c r="B8357" s="318" t="s">
        <v>237</v>
      </c>
    </row>
    <row r="8358" spans="1:2" ht="12.75" customHeight="1" x14ac:dyDescent="0.25">
      <c r="A8358" s="318">
        <v>93564268714</v>
      </c>
      <c r="B8358" s="318" t="s">
        <v>23</v>
      </c>
    </row>
    <row r="8359" spans="1:2" ht="12.75" customHeight="1" x14ac:dyDescent="0.25">
      <c r="A8359" s="318">
        <v>93564268715</v>
      </c>
      <c r="B8359" s="318" t="s">
        <v>23</v>
      </c>
    </row>
    <row r="8360" spans="1:2" ht="12.75" customHeight="1" x14ac:dyDescent="0.25">
      <c r="A8360" s="318">
        <v>93564268716</v>
      </c>
      <c r="B8360" s="318" t="s">
        <v>23</v>
      </c>
    </row>
    <row r="8361" spans="1:2" ht="12.75" customHeight="1" x14ac:dyDescent="0.25">
      <c r="A8361" s="318">
        <v>93564268717</v>
      </c>
      <c r="B8361" s="318" t="s">
        <v>23</v>
      </c>
    </row>
    <row r="8362" spans="1:2" ht="12.75" customHeight="1" x14ac:dyDescent="0.25">
      <c r="A8362" s="318">
        <v>93564268718</v>
      </c>
      <c r="B8362" s="318" t="s">
        <v>23</v>
      </c>
    </row>
    <row r="8363" spans="1:2" ht="12.75" customHeight="1" x14ac:dyDescent="0.25">
      <c r="A8363" s="318">
        <v>93564268719</v>
      </c>
      <c r="B8363" s="318" t="s">
        <v>23</v>
      </c>
    </row>
    <row r="8364" spans="1:2" ht="12.75" customHeight="1" x14ac:dyDescent="0.25">
      <c r="A8364" s="318">
        <v>93564268720</v>
      </c>
      <c r="B8364" s="318" t="s">
        <v>23</v>
      </c>
    </row>
    <row r="8365" spans="1:2" ht="12.75" customHeight="1" x14ac:dyDescent="0.25">
      <c r="A8365" s="318">
        <v>93564268721</v>
      </c>
      <c r="B8365" s="318" t="s">
        <v>237</v>
      </c>
    </row>
    <row r="8366" spans="1:2" ht="12.75" customHeight="1" x14ac:dyDescent="0.25">
      <c r="A8366" s="318">
        <v>93564268723</v>
      </c>
      <c r="B8366" s="318" t="s">
        <v>237</v>
      </c>
    </row>
    <row r="8367" spans="1:2" ht="12.75" customHeight="1" x14ac:dyDescent="0.25">
      <c r="A8367" s="318">
        <v>93564268724</v>
      </c>
      <c r="B8367" s="318" t="s">
        <v>237</v>
      </c>
    </row>
    <row r="8368" spans="1:2" ht="12.75" customHeight="1" x14ac:dyDescent="0.25">
      <c r="A8368" s="318">
        <v>93564268725</v>
      </c>
      <c r="B8368" s="318" t="s">
        <v>237</v>
      </c>
    </row>
    <row r="8369" spans="1:2" ht="12.75" customHeight="1" x14ac:dyDescent="0.25">
      <c r="A8369" s="318">
        <v>93564268726</v>
      </c>
      <c r="B8369" s="318" t="s">
        <v>237</v>
      </c>
    </row>
    <row r="8370" spans="1:2" ht="12.75" customHeight="1" x14ac:dyDescent="0.25">
      <c r="A8370" s="318">
        <v>93564268727</v>
      </c>
      <c r="B8370" s="318" t="s">
        <v>237</v>
      </c>
    </row>
    <row r="8371" spans="1:2" ht="12.75" customHeight="1" x14ac:dyDescent="0.25">
      <c r="A8371" s="318">
        <v>93564268728</v>
      </c>
      <c r="B8371" s="318" t="s">
        <v>237</v>
      </c>
    </row>
    <row r="8372" spans="1:2" ht="12.75" customHeight="1" x14ac:dyDescent="0.25">
      <c r="A8372" s="318">
        <v>93564268729</v>
      </c>
      <c r="B8372" s="318" t="s">
        <v>237</v>
      </c>
    </row>
    <row r="8373" spans="1:2" ht="12.75" customHeight="1" x14ac:dyDescent="0.25">
      <c r="A8373" s="318">
        <v>93564268730</v>
      </c>
      <c r="B8373" s="318" t="s">
        <v>237</v>
      </c>
    </row>
    <row r="8374" spans="1:2" ht="12.75" customHeight="1" x14ac:dyDescent="0.25">
      <c r="A8374" s="318">
        <v>93564268814</v>
      </c>
      <c r="B8374" s="318" t="s">
        <v>237</v>
      </c>
    </row>
    <row r="8375" spans="1:2" ht="12.75" customHeight="1" x14ac:dyDescent="0.25">
      <c r="A8375" s="318">
        <v>93564268815</v>
      </c>
      <c r="B8375" s="318" t="s">
        <v>237</v>
      </c>
    </row>
    <row r="8376" spans="1:2" ht="12.75" customHeight="1" x14ac:dyDescent="0.25">
      <c r="A8376" s="318">
        <v>93564268816</v>
      </c>
      <c r="B8376" s="318" t="s">
        <v>237</v>
      </c>
    </row>
    <row r="8377" spans="1:2" ht="12.75" customHeight="1" x14ac:dyDescent="0.25">
      <c r="A8377" s="318">
        <v>93564268817</v>
      </c>
      <c r="B8377" s="318" t="s">
        <v>237</v>
      </c>
    </row>
    <row r="8378" spans="1:2" ht="12.75" customHeight="1" x14ac:dyDescent="0.25">
      <c r="A8378" s="318">
        <v>93564268818</v>
      </c>
      <c r="B8378" s="318" t="s">
        <v>237</v>
      </c>
    </row>
    <row r="8379" spans="1:2" ht="12.75" customHeight="1" x14ac:dyDescent="0.25">
      <c r="A8379" s="318">
        <v>93564268819</v>
      </c>
      <c r="B8379" s="318" t="s">
        <v>237</v>
      </c>
    </row>
    <row r="8380" spans="1:2" ht="12.75" customHeight="1" x14ac:dyDescent="0.25">
      <c r="A8380" s="318">
        <v>93564268820</v>
      </c>
      <c r="B8380" s="318" t="s">
        <v>237</v>
      </c>
    </row>
    <row r="8381" spans="1:2" ht="12.75" customHeight="1" x14ac:dyDescent="0.25">
      <c r="A8381" s="318">
        <v>93564268821</v>
      </c>
      <c r="B8381" s="318" t="s">
        <v>237</v>
      </c>
    </row>
    <row r="8382" spans="1:2" ht="12.75" customHeight="1" x14ac:dyDescent="0.25">
      <c r="A8382" s="318">
        <v>93564268823</v>
      </c>
      <c r="B8382" s="318" t="s">
        <v>237</v>
      </c>
    </row>
    <row r="8383" spans="1:2" ht="12.75" customHeight="1" x14ac:dyDescent="0.25">
      <c r="A8383" s="318">
        <v>93564268824</v>
      </c>
      <c r="B8383" s="318" t="s">
        <v>237</v>
      </c>
    </row>
    <row r="8384" spans="1:2" ht="12.75" customHeight="1" x14ac:dyDescent="0.25">
      <c r="A8384" s="318">
        <v>93564268825</v>
      </c>
      <c r="B8384" s="318" t="s">
        <v>237</v>
      </c>
    </row>
    <row r="8385" spans="1:2" ht="12.75" customHeight="1" x14ac:dyDescent="0.25">
      <c r="A8385" s="318">
        <v>93564268826</v>
      </c>
      <c r="B8385" s="318" t="s">
        <v>237</v>
      </c>
    </row>
    <row r="8386" spans="1:2" ht="12.75" customHeight="1" x14ac:dyDescent="0.25">
      <c r="A8386" s="318">
        <v>93564268827</v>
      </c>
      <c r="B8386" s="318" t="s">
        <v>237</v>
      </c>
    </row>
    <row r="8387" spans="1:2" ht="12.75" customHeight="1" x14ac:dyDescent="0.25">
      <c r="A8387" s="318">
        <v>93564268828</v>
      </c>
      <c r="B8387" s="318" t="s">
        <v>237</v>
      </c>
    </row>
    <row r="8388" spans="1:2" ht="12.75" customHeight="1" x14ac:dyDescent="0.25">
      <c r="A8388" s="318">
        <v>93564268829</v>
      </c>
      <c r="B8388" s="318" t="s">
        <v>237</v>
      </c>
    </row>
    <row r="8389" spans="1:2" ht="12.75" customHeight="1" x14ac:dyDescent="0.25">
      <c r="A8389" s="318">
        <v>93564268830</v>
      </c>
      <c r="B8389" s="318" t="s">
        <v>237</v>
      </c>
    </row>
    <row r="8390" spans="1:2" ht="12.75" customHeight="1" x14ac:dyDescent="0.25">
      <c r="A8390" s="318">
        <v>93564749687</v>
      </c>
      <c r="B8390" s="318" t="s">
        <v>23</v>
      </c>
    </row>
    <row r="8391" spans="1:2" ht="12.75" customHeight="1" x14ac:dyDescent="0.25">
      <c r="A8391" s="318">
        <v>93564749688</v>
      </c>
      <c r="B8391" s="318" t="s">
        <v>23</v>
      </c>
    </row>
    <row r="8392" spans="1:2" ht="12.75" customHeight="1" x14ac:dyDescent="0.25">
      <c r="A8392" s="318">
        <v>93564749689</v>
      </c>
      <c r="B8392" s="318" t="s">
        <v>23</v>
      </c>
    </row>
    <row r="8393" spans="1:2" ht="12.75" customHeight="1" x14ac:dyDescent="0.25">
      <c r="A8393" s="318">
        <v>93564749690</v>
      </c>
      <c r="B8393" s="318" t="s">
        <v>23</v>
      </c>
    </row>
    <row r="8394" spans="1:2" ht="12.75" customHeight="1" x14ac:dyDescent="0.25">
      <c r="A8394" s="318">
        <v>93564749691</v>
      </c>
      <c r="B8394" s="318" t="s">
        <v>23</v>
      </c>
    </row>
    <row r="8395" spans="1:2" ht="12.75" customHeight="1" x14ac:dyDescent="0.25">
      <c r="A8395" s="318">
        <v>93564749692</v>
      </c>
      <c r="B8395" s="318" t="s">
        <v>23</v>
      </c>
    </row>
    <row r="8396" spans="1:2" ht="12.75" customHeight="1" x14ac:dyDescent="0.25">
      <c r="A8396" s="318">
        <v>93564749693</v>
      </c>
      <c r="B8396" s="318" t="s">
        <v>23</v>
      </c>
    </row>
    <row r="8397" spans="1:2" ht="12.75" customHeight="1" x14ac:dyDescent="0.25">
      <c r="A8397" s="318">
        <v>93564749694</v>
      </c>
      <c r="B8397" s="318" t="s">
        <v>237</v>
      </c>
    </row>
    <row r="8398" spans="1:2" ht="12.75" customHeight="1" x14ac:dyDescent="0.25">
      <c r="A8398" s="318">
        <v>93564749696</v>
      </c>
      <c r="B8398" s="318" t="s">
        <v>23</v>
      </c>
    </row>
    <row r="8399" spans="1:2" ht="12.75" customHeight="1" x14ac:dyDescent="0.25">
      <c r="A8399" s="318">
        <v>93564749697</v>
      </c>
      <c r="B8399" s="318" t="s">
        <v>237</v>
      </c>
    </row>
    <row r="8400" spans="1:2" ht="12.75" customHeight="1" x14ac:dyDescent="0.25">
      <c r="A8400" s="318">
        <v>93564749698</v>
      </c>
      <c r="B8400" s="318" t="s">
        <v>23</v>
      </c>
    </row>
    <row r="8401" spans="1:2" ht="12.75" customHeight="1" x14ac:dyDescent="0.25">
      <c r="A8401" s="318">
        <v>93564749699</v>
      </c>
      <c r="B8401" s="318" t="s">
        <v>237</v>
      </c>
    </row>
    <row r="8402" spans="1:2" ht="12.75" customHeight="1" x14ac:dyDescent="0.25">
      <c r="A8402" s="318">
        <v>93564749700</v>
      </c>
      <c r="B8402" s="318" t="s">
        <v>23</v>
      </c>
    </row>
    <row r="8403" spans="1:2" ht="12.75" customHeight="1" x14ac:dyDescent="0.25">
      <c r="A8403" s="318">
        <v>93564749701</v>
      </c>
      <c r="B8403" s="318" t="s">
        <v>237</v>
      </c>
    </row>
    <row r="8404" spans="1:2" ht="12.75" customHeight="1" x14ac:dyDescent="0.25">
      <c r="A8404" s="318">
        <v>93564749702</v>
      </c>
      <c r="B8404" s="318" t="s">
        <v>23</v>
      </c>
    </row>
    <row r="8405" spans="1:2" ht="12.75" customHeight="1" x14ac:dyDescent="0.25">
      <c r="A8405" s="318">
        <v>93564749703</v>
      </c>
      <c r="B8405" s="318" t="s">
        <v>237</v>
      </c>
    </row>
    <row r="8406" spans="1:2" ht="12.75" customHeight="1" x14ac:dyDescent="0.25">
      <c r="A8406" s="318">
        <v>93564749787</v>
      </c>
      <c r="B8406" s="318" t="s">
        <v>237</v>
      </c>
    </row>
    <row r="8407" spans="1:2" ht="12.75" customHeight="1" x14ac:dyDescent="0.25">
      <c r="A8407" s="318">
        <v>93564749788</v>
      </c>
      <c r="B8407" s="318" t="s">
        <v>237</v>
      </c>
    </row>
    <row r="8408" spans="1:2" ht="12.75" customHeight="1" x14ac:dyDescent="0.25">
      <c r="A8408" s="318">
        <v>93564749789</v>
      </c>
      <c r="B8408" s="318" t="s">
        <v>237</v>
      </c>
    </row>
    <row r="8409" spans="1:2" ht="12.75" customHeight="1" x14ac:dyDescent="0.25">
      <c r="A8409" s="318">
        <v>93564749790</v>
      </c>
      <c r="B8409" s="318" t="s">
        <v>237</v>
      </c>
    </row>
    <row r="8410" spans="1:2" ht="12.75" customHeight="1" x14ac:dyDescent="0.25">
      <c r="A8410" s="318">
        <v>93564749791</v>
      </c>
      <c r="B8410" s="318" t="s">
        <v>237</v>
      </c>
    </row>
    <row r="8411" spans="1:2" ht="12.75" customHeight="1" x14ac:dyDescent="0.25">
      <c r="A8411" s="318">
        <v>93564749792</v>
      </c>
      <c r="B8411" s="318" t="s">
        <v>237</v>
      </c>
    </row>
    <row r="8412" spans="1:2" ht="12.75" customHeight="1" x14ac:dyDescent="0.25">
      <c r="A8412" s="318">
        <v>93564749793</v>
      </c>
      <c r="B8412" s="318" t="s">
        <v>237</v>
      </c>
    </row>
    <row r="8413" spans="1:2" ht="12.75" customHeight="1" x14ac:dyDescent="0.25">
      <c r="A8413" s="318">
        <v>93564749794</v>
      </c>
      <c r="B8413" s="318" t="s">
        <v>237</v>
      </c>
    </row>
    <row r="8414" spans="1:2" ht="12.75" customHeight="1" x14ac:dyDescent="0.25">
      <c r="A8414" s="318">
        <v>93564749796</v>
      </c>
      <c r="B8414" s="318" t="s">
        <v>237</v>
      </c>
    </row>
    <row r="8415" spans="1:2" ht="12.75" customHeight="1" x14ac:dyDescent="0.25">
      <c r="A8415" s="318">
        <v>93564749797</v>
      </c>
      <c r="B8415" s="318" t="s">
        <v>237</v>
      </c>
    </row>
    <row r="8416" spans="1:2" ht="12.75" customHeight="1" x14ac:dyDescent="0.25">
      <c r="A8416" s="318">
        <v>93564749798</v>
      </c>
      <c r="B8416" s="318" t="s">
        <v>237</v>
      </c>
    </row>
    <row r="8417" spans="1:2" ht="12.75" customHeight="1" x14ac:dyDescent="0.25">
      <c r="A8417" s="318">
        <v>93564749799</v>
      </c>
      <c r="B8417" s="318" t="s">
        <v>237</v>
      </c>
    </row>
    <row r="8418" spans="1:2" ht="12.75" customHeight="1" x14ac:dyDescent="0.25">
      <c r="A8418" s="318">
        <v>93564749800</v>
      </c>
      <c r="B8418" s="318" t="s">
        <v>237</v>
      </c>
    </row>
    <row r="8419" spans="1:2" ht="12.75" customHeight="1" x14ac:dyDescent="0.25">
      <c r="A8419" s="318">
        <v>93564749801</v>
      </c>
      <c r="B8419" s="318" t="s">
        <v>237</v>
      </c>
    </row>
    <row r="8420" spans="1:2" ht="12.75" customHeight="1" x14ac:dyDescent="0.25">
      <c r="A8420" s="318">
        <v>93564749802</v>
      </c>
      <c r="B8420" s="318" t="s">
        <v>237</v>
      </c>
    </row>
    <row r="8421" spans="1:2" ht="12.75" customHeight="1" x14ac:dyDescent="0.25">
      <c r="A8421" s="318">
        <v>93564749803</v>
      </c>
      <c r="B8421" s="318" t="s">
        <v>237</v>
      </c>
    </row>
    <row r="8422" spans="1:2" ht="12.75" customHeight="1" x14ac:dyDescent="0.25">
      <c r="A8422" s="318">
        <v>93565429878</v>
      </c>
      <c r="B8422" s="318" t="s">
        <v>23</v>
      </c>
    </row>
    <row r="8423" spans="1:2" ht="12.75" customHeight="1" x14ac:dyDescent="0.25">
      <c r="A8423" s="318">
        <v>93565429879</v>
      </c>
      <c r="B8423" s="318" t="s">
        <v>23</v>
      </c>
    </row>
    <row r="8424" spans="1:2" ht="12.75" customHeight="1" x14ac:dyDescent="0.25">
      <c r="A8424" s="318">
        <v>93565429880</v>
      </c>
      <c r="B8424" s="318" t="s">
        <v>23</v>
      </c>
    </row>
    <row r="8425" spans="1:2" ht="12.75" customHeight="1" x14ac:dyDescent="0.25">
      <c r="A8425" s="318">
        <v>93565429881</v>
      </c>
      <c r="B8425" s="318" t="s">
        <v>23</v>
      </c>
    </row>
    <row r="8426" spans="1:2" ht="12.75" customHeight="1" x14ac:dyDescent="0.25">
      <c r="A8426" s="318">
        <v>93565429882</v>
      </c>
      <c r="B8426" s="318" t="s">
        <v>23</v>
      </c>
    </row>
    <row r="8427" spans="1:2" ht="12.75" customHeight="1" x14ac:dyDescent="0.25">
      <c r="A8427" s="318">
        <v>93565429883</v>
      </c>
      <c r="B8427" s="318" t="s">
        <v>23</v>
      </c>
    </row>
    <row r="8428" spans="1:2" ht="12.75" customHeight="1" x14ac:dyDescent="0.25">
      <c r="A8428" s="318">
        <v>93565429884</v>
      </c>
      <c r="B8428" s="318" t="s">
        <v>23</v>
      </c>
    </row>
    <row r="8429" spans="1:2" ht="12.75" customHeight="1" x14ac:dyDescent="0.25">
      <c r="A8429" s="318">
        <v>93565429885</v>
      </c>
      <c r="B8429" s="318" t="s">
        <v>237</v>
      </c>
    </row>
    <row r="8430" spans="1:2" ht="12.75" customHeight="1" x14ac:dyDescent="0.25">
      <c r="A8430" s="318">
        <v>93565429887</v>
      </c>
      <c r="B8430" s="318" t="s">
        <v>23</v>
      </c>
    </row>
    <row r="8431" spans="1:2" ht="12.75" customHeight="1" x14ac:dyDescent="0.25">
      <c r="A8431" s="318">
        <v>93565429888</v>
      </c>
      <c r="B8431" s="318" t="s">
        <v>237</v>
      </c>
    </row>
    <row r="8432" spans="1:2" ht="12.75" customHeight="1" x14ac:dyDescent="0.25">
      <c r="A8432" s="318">
        <v>93565429889</v>
      </c>
      <c r="B8432" s="318" t="s">
        <v>23</v>
      </c>
    </row>
    <row r="8433" spans="1:2" ht="12.75" customHeight="1" x14ac:dyDescent="0.25">
      <c r="A8433" s="318">
        <v>93565429890</v>
      </c>
      <c r="B8433" s="318" t="s">
        <v>237</v>
      </c>
    </row>
    <row r="8434" spans="1:2" ht="12.75" customHeight="1" x14ac:dyDescent="0.25">
      <c r="A8434" s="318">
        <v>93565429891</v>
      </c>
      <c r="B8434" s="318" t="s">
        <v>23</v>
      </c>
    </row>
    <row r="8435" spans="1:2" ht="12.75" customHeight="1" x14ac:dyDescent="0.25">
      <c r="A8435" s="318">
        <v>93565429892</v>
      </c>
      <c r="B8435" s="318" t="s">
        <v>237</v>
      </c>
    </row>
    <row r="8436" spans="1:2" ht="12.75" customHeight="1" x14ac:dyDescent="0.25">
      <c r="A8436" s="318">
        <v>93565429893</v>
      </c>
      <c r="B8436" s="318" t="s">
        <v>23</v>
      </c>
    </row>
    <row r="8437" spans="1:2" ht="12.75" customHeight="1" x14ac:dyDescent="0.25">
      <c r="A8437" s="318">
        <v>93565429894</v>
      </c>
      <c r="B8437" s="318" t="s">
        <v>237</v>
      </c>
    </row>
    <row r="8438" spans="1:2" ht="12.75" customHeight="1" x14ac:dyDescent="0.25">
      <c r="A8438" s="318">
        <v>93565429978</v>
      </c>
      <c r="B8438" s="318" t="s">
        <v>237</v>
      </c>
    </row>
    <row r="8439" spans="1:2" ht="12.75" customHeight="1" x14ac:dyDescent="0.25">
      <c r="A8439" s="318">
        <v>93565429979</v>
      </c>
      <c r="B8439" s="318" t="s">
        <v>237</v>
      </c>
    </row>
    <row r="8440" spans="1:2" ht="12.75" customHeight="1" x14ac:dyDescent="0.25">
      <c r="A8440" s="318">
        <v>93565429980</v>
      </c>
      <c r="B8440" s="318" t="s">
        <v>237</v>
      </c>
    </row>
    <row r="8441" spans="1:2" ht="12.75" customHeight="1" x14ac:dyDescent="0.25">
      <c r="A8441" s="318">
        <v>93565429981</v>
      </c>
      <c r="B8441" s="318" t="s">
        <v>237</v>
      </c>
    </row>
    <row r="8442" spans="1:2" ht="12.75" customHeight="1" x14ac:dyDescent="0.25">
      <c r="A8442" s="318">
        <v>93565429982</v>
      </c>
      <c r="B8442" s="318" t="s">
        <v>237</v>
      </c>
    </row>
    <row r="8443" spans="1:2" ht="12.75" customHeight="1" x14ac:dyDescent="0.25">
      <c r="A8443" s="318">
        <v>93565429983</v>
      </c>
      <c r="B8443" s="318" t="s">
        <v>237</v>
      </c>
    </row>
    <row r="8444" spans="1:2" ht="12.75" customHeight="1" x14ac:dyDescent="0.25">
      <c r="A8444" s="318">
        <v>93565429984</v>
      </c>
      <c r="B8444" s="318" t="s">
        <v>237</v>
      </c>
    </row>
    <row r="8445" spans="1:2" ht="12.75" customHeight="1" x14ac:dyDescent="0.25">
      <c r="A8445" s="318">
        <v>93565429985</v>
      </c>
      <c r="B8445" s="318" t="s">
        <v>237</v>
      </c>
    </row>
    <row r="8446" spans="1:2" ht="12.75" customHeight="1" x14ac:dyDescent="0.25">
      <c r="A8446" s="318">
        <v>93565429987</v>
      </c>
      <c r="B8446" s="318" t="s">
        <v>237</v>
      </c>
    </row>
    <row r="8447" spans="1:2" ht="12.75" customHeight="1" x14ac:dyDescent="0.25">
      <c r="A8447" s="318">
        <v>93565429988</v>
      </c>
      <c r="B8447" s="318" t="s">
        <v>237</v>
      </c>
    </row>
    <row r="8448" spans="1:2" ht="12.75" customHeight="1" x14ac:dyDescent="0.25">
      <c r="A8448" s="318">
        <v>93565429989</v>
      </c>
      <c r="B8448" s="318" t="s">
        <v>237</v>
      </c>
    </row>
    <row r="8449" spans="1:2" ht="12.75" customHeight="1" x14ac:dyDescent="0.25">
      <c r="A8449" s="318">
        <v>93565429990</v>
      </c>
      <c r="B8449" s="318" t="s">
        <v>237</v>
      </c>
    </row>
    <row r="8450" spans="1:2" ht="12.75" customHeight="1" x14ac:dyDescent="0.25">
      <c r="A8450" s="318">
        <v>93565429991</v>
      </c>
      <c r="B8450" s="318" t="s">
        <v>237</v>
      </c>
    </row>
    <row r="8451" spans="1:2" ht="12.75" customHeight="1" x14ac:dyDescent="0.25">
      <c r="A8451" s="318">
        <v>93565429992</v>
      </c>
      <c r="B8451" s="318" t="s">
        <v>237</v>
      </c>
    </row>
    <row r="8452" spans="1:2" ht="12.75" customHeight="1" x14ac:dyDescent="0.25">
      <c r="A8452" s="318">
        <v>93565429993</v>
      </c>
      <c r="B8452" s="318" t="s">
        <v>237</v>
      </c>
    </row>
    <row r="8453" spans="1:2" ht="12.75" customHeight="1" x14ac:dyDescent="0.25">
      <c r="A8453" s="318">
        <v>93565429994</v>
      </c>
      <c r="B8453" s="318" t="s">
        <v>237</v>
      </c>
    </row>
    <row r="8454" spans="1:2" ht="12.75" customHeight="1" x14ac:dyDescent="0.25">
      <c r="A8454" s="318">
        <v>93565910851</v>
      </c>
      <c r="B8454" s="318" t="s">
        <v>23</v>
      </c>
    </row>
    <row r="8455" spans="1:2" ht="12.75" customHeight="1" x14ac:dyDescent="0.25">
      <c r="A8455" s="318">
        <v>93565910852</v>
      </c>
      <c r="B8455" s="318" t="s">
        <v>23</v>
      </c>
    </row>
    <row r="8456" spans="1:2" ht="12.75" customHeight="1" x14ac:dyDescent="0.25">
      <c r="A8456" s="318">
        <v>93565910853</v>
      </c>
      <c r="B8456" s="318" t="s">
        <v>23</v>
      </c>
    </row>
    <row r="8457" spans="1:2" ht="12.75" customHeight="1" x14ac:dyDescent="0.25">
      <c r="A8457" s="318">
        <v>93565910854</v>
      </c>
      <c r="B8457" s="318" t="s">
        <v>23</v>
      </c>
    </row>
    <row r="8458" spans="1:2" ht="12.75" customHeight="1" x14ac:dyDescent="0.25">
      <c r="A8458" s="318">
        <v>93565910855</v>
      </c>
      <c r="B8458" s="318" t="s">
        <v>23</v>
      </c>
    </row>
    <row r="8459" spans="1:2" ht="12.75" customHeight="1" x14ac:dyDescent="0.25">
      <c r="A8459" s="318">
        <v>93565910856</v>
      </c>
      <c r="B8459" s="318" t="s">
        <v>23</v>
      </c>
    </row>
    <row r="8460" spans="1:2" ht="12.75" customHeight="1" x14ac:dyDescent="0.25">
      <c r="A8460" s="318">
        <v>93565910857</v>
      </c>
      <c r="B8460" s="318" t="s">
        <v>23</v>
      </c>
    </row>
    <row r="8461" spans="1:2" ht="12.75" customHeight="1" x14ac:dyDescent="0.25">
      <c r="A8461" s="318">
        <v>93565910858</v>
      </c>
      <c r="B8461" s="318" t="s">
        <v>237</v>
      </c>
    </row>
    <row r="8462" spans="1:2" ht="12.75" customHeight="1" x14ac:dyDescent="0.25">
      <c r="A8462" s="318">
        <v>93565910860</v>
      </c>
      <c r="B8462" s="318" t="s">
        <v>23</v>
      </c>
    </row>
    <row r="8463" spans="1:2" ht="12.75" customHeight="1" x14ac:dyDescent="0.25">
      <c r="A8463" s="318">
        <v>93565910861</v>
      </c>
      <c r="B8463" s="318" t="s">
        <v>237</v>
      </c>
    </row>
    <row r="8464" spans="1:2" ht="12.75" customHeight="1" x14ac:dyDescent="0.25">
      <c r="A8464" s="318">
        <v>93565910862</v>
      </c>
      <c r="B8464" s="318" t="s">
        <v>23</v>
      </c>
    </row>
    <row r="8465" spans="1:2" ht="12.75" customHeight="1" x14ac:dyDescent="0.25">
      <c r="A8465" s="318">
        <v>93565910863</v>
      </c>
      <c r="B8465" s="318" t="s">
        <v>237</v>
      </c>
    </row>
    <row r="8466" spans="1:2" ht="12.75" customHeight="1" x14ac:dyDescent="0.25">
      <c r="A8466" s="318">
        <v>93565910864</v>
      </c>
      <c r="B8466" s="318" t="s">
        <v>23</v>
      </c>
    </row>
    <row r="8467" spans="1:2" ht="12.75" customHeight="1" x14ac:dyDescent="0.25">
      <c r="A8467" s="318">
        <v>93565910865</v>
      </c>
      <c r="B8467" s="318" t="s">
        <v>237</v>
      </c>
    </row>
    <row r="8468" spans="1:2" ht="12.75" customHeight="1" x14ac:dyDescent="0.25">
      <c r="A8468" s="318">
        <v>93565910866</v>
      </c>
      <c r="B8468" s="318" t="s">
        <v>23</v>
      </c>
    </row>
    <row r="8469" spans="1:2" ht="12.75" customHeight="1" x14ac:dyDescent="0.25">
      <c r="A8469" s="318">
        <v>93565910867</v>
      </c>
      <c r="B8469" s="318" t="s">
        <v>237</v>
      </c>
    </row>
    <row r="8470" spans="1:2" ht="12.75" customHeight="1" x14ac:dyDescent="0.25">
      <c r="A8470" s="318">
        <v>93565910951</v>
      </c>
      <c r="B8470" s="318" t="s">
        <v>237</v>
      </c>
    </row>
    <row r="8471" spans="1:2" ht="12.75" customHeight="1" x14ac:dyDescent="0.25">
      <c r="A8471" s="318">
        <v>93565910952</v>
      </c>
      <c r="B8471" s="318" t="s">
        <v>237</v>
      </c>
    </row>
    <row r="8472" spans="1:2" ht="12.75" customHeight="1" x14ac:dyDescent="0.25">
      <c r="A8472" s="318">
        <v>93565910953</v>
      </c>
      <c r="B8472" s="318" t="s">
        <v>237</v>
      </c>
    </row>
    <row r="8473" spans="1:2" ht="12.75" customHeight="1" x14ac:dyDescent="0.25">
      <c r="A8473" s="318">
        <v>93565910954</v>
      </c>
      <c r="B8473" s="318" t="s">
        <v>237</v>
      </c>
    </row>
    <row r="8474" spans="1:2" ht="12.75" customHeight="1" x14ac:dyDescent="0.25">
      <c r="A8474" s="318">
        <v>93565910955</v>
      </c>
      <c r="B8474" s="318" t="s">
        <v>237</v>
      </c>
    </row>
    <row r="8475" spans="1:2" ht="12.75" customHeight="1" x14ac:dyDescent="0.25">
      <c r="A8475" s="318">
        <v>93565910956</v>
      </c>
      <c r="B8475" s="318" t="s">
        <v>237</v>
      </c>
    </row>
    <row r="8476" spans="1:2" ht="12.75" customHeight="1" x14ac:dyDescent="0.25">
      <c r="A8476" s="318">
        <v>93565910957</v>
      </c>
      <c r="B8476" s="318" t="s">
        <v>237</v>
      </c>
    </row>
    <row r="8477" spans="1:2" ht="12.75" customHeight="1" x14ac:dyDescent="0.25">
      <c r="A8477" s="318">
        <v>93565910958</v>
      </c>
      <c r="B8477" s="318" t="s">
        <v>237</v>
      </c>
    </row>
    <row r="8478" spans="1:2" ht="12.75" customHeight="1" x14ac:dyDescent="0.25">
      <c r="A8478" s="318">
        <v>93565910960</v>
      </c>
      <c r="B8478" s="318" t="s">
        <v>237</v>
      </c>
    </row>
    <row r="8479" spans="1:2" ht="12.75" customHeight="1" x14ac:dyDescent="0.25">
      <c r="A8479" s="318">
        <v>93565910961</v>
      </c>
      <c r="B8479" s="318" t="s">
        <v>237</v>
      </c>
    </row>
    <row r="8480" spans="1:2" ht="12.75" customHeight="1" x14ac:dyDescent="0.25">
      <c r="A8480" s="318">
        <v>93565910962</v>
      </c>
      <c r="B8480" s="318" t="s">
        <v>237</v>
      </c>
    </row>
    <row r="8481" spans="1:2" ht="12.75" customHeight="1" x14ac:dyDescent="0.25">
      <c r="A8481" s="318">
        <v>93565910963</v>
      </c>
      <c r="B8481" s="318" t="s">
        <v>237</v>
      </c>
    </row>
    <row r="8482" spans="1:2" ht="12.75" customHeight="1" x14ac:dyDescent="0.25">
      <c r="A8482" s="318">
        <v>93565910964</v>
      </c>
      <c r="B8482" s="318" t="s">
        <v>237</v>
      </c>
    </row>
    <row r="8483" spans="1:2" ht="12.75" customHeight="1" x14ac:dyDescent="0.25">
      <c r="A8483" s="318">
        <v>93565910965</v>
      </c>
      <c r="B8483" s="318" t="s">
        <v>237</v>
      </c>
    </row>
    <row r="8484" spans="1:2" ht="12.75" customHeight="1" x14ac:dyDescent="0.25">
      <c r="A8484" s="318">
        <v>93565910966</v>
      </c>
      <c r="B8484" s="318" t="s">
        <v>237</v>
      </c>
    </row>
    <row r="8485" spans="1:2" ht="12.75" customHeight="1" x14ac:dyDescent="0.25">
      <c r="A8485" s="318">
        <v>93565910967</v>
      </c>
      <c r="B8485" s="318" t="s">
        <v>237</v>
      </c>
    </row>
    <row r="8486" spans="1:2" ht="12.75" customHeight="1" x14ac:dyDescent="0.25">
      <c r="A8486" s="318">
        <v>93566391824</v>
      </c>
      <c r="B8486" s="318" t="s">
        <v>23</v>
      </c>
    </row>
    <row r="8487" spans="1:2" ht="12.75" customHeight="1" x14ac:dyDescent="0.25">
      <c r="A8487" s="318">
        <v>93566391825</v>
      </c>
      <c r="B8487" s="318" t="s">
        <v>23</v>
      </c>
    </row>
    <row r="8488" spans="1:2" ht="12.75" customHeight="1" x14ac:dyDescent="0.25">
      <c r="A8488" s="318">
        <v>93566391826</v>
      </c>
      <c r="B8488" s="318" t="s">
        <v>23</v>
      </c>
    </row>
    <row r="8489" spans="1:2" ht="12.75" customHeight="1" x14ac:dyDescent="0.25">
      <c r="A8489" s="318">
        <v>93566391827</v>
      </c>
      <c r="B8489" s="318" t="s">
        <v>23</v>
      </c>
    </row>
    <row r="8490" spans="1:2" ht="12.75" customHeight="1" x14ac:dyDescent="0.25">
      <c r="A8490" s="318">
        <v>93566391828</v>
      </c>
      <c r="B8490" s="318" t="s">
        <v>23</v>
      </c>
    </row>
    <row r="8491" spans="1:2" ht="12.75" customHeight="1" x14ac:dyDescent="0.25">
      <c r="A8491" s="318">
        <v>93566391829</v>
      </c>
      <c r="B8491" s="318" t="s">
        <v>23</v>
      </c>
    </row>
    <row r="8492" spans="1:2" ht="12.75" customHeight="1" x14ac:dyDescent="0.25">
      <c r="A8492" s="318">
        <v>93566391830</v>
      </c>
      <c r="B8492" s="318" t="s">
        <v>23</v>
      </c>
    </row>
    <row r="8493" spans="1:2" ht="12.75" customHeight="1" x14ac:dyDescent="0.25">
      <c r="A8493" s="318">
        <v>93566391831</v>
      </c>
      <c r="B8493" s="318" t="s">
        <v>237</v>
      </c>
    </row>
    <row r="8494" spans="1:2" ht="12.75" customHeight="1" x14ac:dyDescent="0.25">
      <c r="A8494" s="318">
        <v>93566391833</v>
      </c>
      <c r="B8494" s="318" t="s">
        <v>23</v>
      </c>
    </row>
    <row r="8495" spans="1:2" ht="12.75" customHeight="1" x14ac:dyDescent="0.25">
      <c r="A8495" s="318">
        <v>93566391834</v>
      </c>
      <c r="B8495" s="318" t="s">
        <v>237</v>
      </c>
    </row>
    <row r="8496" spans="1:2" ht="12.75" customHeight="1" x14ac:dyDescent="0.25">
      <c r="A8496" s="318">
        <v>93566391835</v>
      </c>
      <c r="B8496" s="318" t="s">
        <v>23</v>
      </c>
    </row>
    <row r="8497" spans="1:2" ht="12.75" customHeight="1" x14ac:dyDescent="0.25">
      <c r="A8497" s="318">
        <v>93566391836</v>
      </c>
      <c r="B8497" s="318" t="s">
        <v>237</v>
      </c>
    </row>
    <row r="8498" spans="1:2" ht="12.75" customHeight="1" x14ac:dyDescent="0.25">
      <c r="A8498" s="318">
        <v>93566391837</v>
      </c>
      <c r="B8498" s="318" t="s">
        <v>23</v>
      </c>
    </row>
    <row r="8499" spans="1:2" ht="12.75" customHeight="1" x14ac:dyDescent="0.25">
      <c r="A8499" s="318">
        <v>93566391838</v>
      </c>
      <c r="B8499" s="318" t="s">
        <v>237</v>
      </c>
    </row>
    <row r="8500" spans="1:2" ht="12.75" customHeight="1" x14ac:dyDescent="0.25">
      <c r="A8500" s="318">
        <v>93566391839</v>
      </c>
      <c r="B8500" s="318" t="s">
        <v>23</v>
      </c>
    </row>
    <row r="8501" spans="1:2" ht="12.75" customHeight="1" x14ac:dyDescent="0.25">
      <c r="A8501" s="318">
        <v>93566391840</v>
      </c>
      <c r="B8501" s="318" t="s">
        <v>237</v>
      </c>
    </row>
    <row r="8502" spans="1:2" ht="12.75" customHeight="1" x14ac:dyDescent="0.25">
      <c r="A8502" s="318">
        <v>93566391924</v>
      </c>
      <c r="B8502" s="318" t="s">
        <v>237</v>
      </c>
    </row>
    <row r="8503" spans="1:2" ht="12.75" customHeight="1" x14ac:dyDescent="0.25">
      <c r="A8503" s="318">
        <v>93566391925</v>
      </c>
      <c r="B8503" s="318" t="s">
        <v>237</v>
      </c>
    </row>
    <row r="8504" spans="1:2" ht="12.75" customHeight="1" x14ac:dyDescent="0.25">
      <c r="A8504" s="318">
        <v>93566391926</v>
      </c>
      <c r="B8504" s="318" t="s">
        <v>237</v>
      </c>
    </row>
    <row r="8505" spans="1:2" ht="12.75" customHeight="1" x14ac:dyDescent="0.25">
      <c r="A8505" s="318">
        <v>93566391927</v>
      </c>
      <c r="B8505" s="318" t="s">
        <v>237</v>
      </c>
    </row>
    <row r="8506" spans="1:2" ht="12.75" customHeight="1" x14ac:dyDescent="0.25">
      <c r="A8506" s="318">
        <v>93566391928</v>
      </c>
      <c r="B8506" s="318" t="s">
        <v>237</v>
      </c>
    </row>
    <row r="8507" spans="1:2" ht="12.75" customHeight="1" x14ac:dyDescent="0.25">
      <c r="A8507" s="318">
        <v>93566391929</v>
      </c>
      <c r="B8507" s="318" t="s">
        <v>237</v>
      </c>
    </row>
    <row r="8508" spans="1:2" ht="12.75" customHeight="1" x14ac:dyDescent="0.25">
      <c r="A8508" s="318">
        <v>93566391930</v>
      </c>
      <c r="B8508" s="318" t="s">
        <v>237</v>
      </c>
    </row>
    <row r="8509" spans="1:2" ht="12.75" customHeight="1" x14ac:dyDescent="0.25">
      <c r="A8509" s="318">
        <v>93566391931</v>
      </c>
      <c r="B8509" s="318" t="s">
        <v>237</v>
      </c>
    </row>
    <row r="8510" spans="1:2" ht="12.75" customHeight="1" x14ac:dyDescent="0.25">
      <c r="A8510" s="318">
        <v>93566391933</v>
      </c>
      <c r="B8510" s="318" t="s">
        <v>237</v>
      </c>
    </row>
    <row r="8511" spans="1:2" ht="12.75" customHeight="1" x14ac:dyDescent="0.25">
      <c r="A8511" s="318">
        <v>93566391934</v>
      </c>
      <c r="B8511" s="318" t="s">
        <v>237</v>
      </c>
    </row>
    <row r="8512" spans="1:2" ht="12.75" customHeight="1" x14ac:dyDescent="0.25">
      <c r="A8512" s="318">
        <v>93566391935</v>
      </c>
      <c r="B8512" s="318" t="s">
        <v>237</v>
      </c>
    </row>
    <row r="8513" spans="1:2" ht="12.75" customHeight="1" x14ac:dyDescent="0.25">
      <c r="A8513" s="318">
        <v>93566391936</v>
      </c>
      <c r="B8513" s="318" t="s">
        <v>237</v>
      </c>
    </row>
    <row r="8514" spans="1:2" ht="12.75" customHeight="1" x14ac:dyDescent="0.25">
      <c r="A8514" s="318">
        <v>93566391937</v>
      </c>
      <c r="B8514" s="318" t="s">
        <v>237</v>
      </c>
    </row>
    <row r="8515" spans="1:2" ht="12.75" customHeight="1" x14ac:dyDescent="0.25">
      <c r="A8515" s="318">
        <v>93566391938</v>
      </c>
      <c r="B8515" s="318" t="s">
        <v>237</v>
      </c>
    </row>
    <row r="8516" spans="1:2" ht="12.75" customHeight="1" x14ac:dyDescent="0.25">
      <c r="A8516" s="318">
        <v>93566391939</v>
      </c>
      <c r="B8516" s="318" t="s">
        <v>237</v>
      </c>
    </row>
    <row r="8517" spans="1:2" ht="12.75" customHeight="1" x14ac:dyDescent="0.25">
      <c r="A8517" s="318">
        <v>93566391940</v>
      </c>
      <c r="B8517" s="318" t="s">
        <v>237</v>
      </c>
    </row>
    <row r="8518" spans="1:2" ht="12.75" customHeight="1" x14ac:dyDescent="0.25">
      <c r="A8518" s="318">
        <v>93567752205</v>
      </c>
      <c r="B8518" s="318" t="s">
        <v>23</v>
      </c>
    </row>
    <row r="8519" spans="1:2" ht="12.75" customHeight="1" x14ac:dyDescent="0.25">
      <c r="A8519" s="318">
        <v>93567752206</v>
      </c>
      <c r="B8519" s="318" t="s">
        <v>23</v>
      </c>
    </row>
    <row r="8520" spans="1:2" ht="12.75" customHeight="1" x14ac:dyDescent="0.25">
      <c r="A8520" s="318">
        <v>93567752207</v>
      </c>
      <c r="B8520" s="318" t="s">
        <v>23</v>
      </c>
    </row>
    <row r="8521" spans="1:2" ht="12.75" customHeight="1" x14ac:dyDescent="0.25">
      <c r="A8521" s="318">
        <v>93567752208</v>
      </c>
      <c r="B8521" s="318" t="s">
        <v>23</v>
      </c>
    </row>
    <row r="8522" spans="1:2" ht="12.75" customHeight="1" x14ac:dyDescent="0.25">
      <c r="A8522" s="318">
        <v>93567752209</v>
      </c>
      <c r="B8522" s="318" t="s">
        <v>23</v>
      </c>
    </row>
    <row r="8523" spans="1:2" ht="12.75" customHeight="1" x14ac:dyDescent="0.25">
      <c r="A8523" s="318">
        <v>93567752210</v>
      </c>
      <c r="B8523" s="318" t="s">
        <v>23</v>
      </c>
    </row>
    <row r="8524" spans="1:2" ht="12.75" customHeight="1" x14ac:dyDescent="0.25">
      <c r="A8524" s="318">
        <v>93567752211</v>
      </c>
      <c r="B8524" s="318" t="s">
        <v>23</v>
      </c>
    </row>
    <row r="8525" spans="1:2" ht="12.75" customHeight="1" x14ac:dyDescent="0.25">
      <c r="A8525" s="318">
        <v>93567752212</v>
      </c>
      <c r="B8525" s="318" t="s">
        <v>237</v>
      </c>
    </row>
    <row r="8526" spans="1:2" ht="12.75" customHeight="1" x14ac:dyDescent="0.25">
      <c r="A8526" s="318">
        <v>93567752214</v>
      </c>
      <c r="B8526" s="318" t="s">
        <v>237</v>
      </c>
    </row>
    <row r="8527" spans="1:2" ht="12.75" customHeight="1" x14ac:dyDescent="0.25">
      <c r="A8527" s="318">
        <v>93567752215</v>
      </c>
      <c r="B8527" s="318" t="s">
        <v>237</v>
      </c>
    </row>
    <row r="8528" spans="1:2" ht="12.75" customHeight="1" x14ac:dyDescent="0.25">
      <c r="A8528" s="318">
        <v>93567752216</v>
      </c>
      <c r="B8528" s="318" t="s">
        <v>237</v>
      </c>
    </row>
    <row r="8529" spans="1:2" ht="12.75" customHeight="1" x14ac:dyDescent="0.25">
      <c r="A8529" s="318">
        <v>93567752217</v>
      </c>
      <c r="B8529" s="318" t="s">
        <v>237</v>
      </c>
    </row>
    <row r="8530" spans="1:2" ht="12.75" customHeight="1" x14ac:dyDescent="0.25">
      <c r="A8530" s="318">
        <v>93567752218</v>
      </c>
      <c r="B8530" s="318" t="s">
        <v>237</v>
      </c>
    </row>
    <row r="8531" spans="1:2" ht="12.75" customHeight="1" x14ac:dyDescent="0.25">
      <c r="A8531" s="318">
        <v>93567752219</v>
      </c>
      <c r="B8531" s="318" t="s">
        <v>237</v>
      </c>
    </row>
    <row r="8532" spans="1:2" ht="12.75" customHeight="1" x14ac:dyDescent="0.25">
      <c r="A8532" s="318">
        <v>93567752220</v>
      </c>
      <c r="B8532" s="318" t="s">
        <v>237</v>
      </c>
    </row>
    <row r="8533" spans="1:2" ht="12.75" customHeight="1" x14ac:dyDescent="0.25">
      <c r="A8533" s="318">
        <v>93567752221</v>
      </c>
      <c r="B8533" s="318" t="s">
        <v>237</v>
      </c>
    </row>
    <row r="8534" spans="1:2" ht="12.75" customHeight="1" x14ac:dyDescent="0.25">
      <c r="A8534" s="318">
        <v>93567752305</v>
      </c>
      <c r="B8534" s="318" t="s">
        <v>237</v>
      </c>
    </row>
    <row r="8535" spans="1:2" ht="12.75" customHeight="1" x14ac:dyDescent="0.25">
      <c r="A8535" s="318">
        <v>93567752306</v>
      </c>
      <c r="B8535" s="318" t="s">
        <v>237</v>
      </c>
    </row>
    <row r="8536" spans="1:2" ht="12.75" customHeight="1" x14ac:dyDescent="0.25">
      <c r="A8536" s="318">
        <v>93567752307</v>
      </c>
      <c r="B8536" s="318" t="s">
        <v>237</v>
      </c>
    </row>
    <row r="8537" spans="1:2" ht="12.75" customHeight="1" x14ac:dyDescent="0.25">
      <c r="A8537" s="318">
        <v>93567752308</v>
      </c>
      <c r="B8537" s="318" t="s">
        <v>237</v>
      </c>
    </row>
    <row r="8538" spans="1:2" ht="12.75" customHeight="1" x14ac:dyDescent="0.25">
      <c r="A8538" s="318">
        <v>93567752309</v>
      </c>
      <c r="B8538" s="318" t="s">
        <v>237</v>
      </c>
    </row>
    <row r="8539" spans="1:2" ht="12.75" customHeight="1" x14ac:dyDescent="0.25">
      <c r="A8539" s="318">
        <v>93567752310</v>
      </c>
      <c r="B8539" s="318" t="s">
        <v>237</v>
      </c>
    </row>
    <row r="8540" spans="1:2" ht="12.75" customHeight="1" x14ac:dyDescent="0.25">
      <c r="A8540" s="318">
        <v>93567752311</v>
      </c>
      <c r="B8540" s="318" t="s">
        <v>237</v>
      </c>
    </row>
    <row r="8541" spans="1:2" ht="12.75" customHeight="1" x14ac:dyDescent="0.25">
      <c r="A8541" s="318">
        <v>93567752312</v>
      </c>
      <c r="B8541" s="318" t="s">
        <v>237</v>
      </c>
    </row>
    <row r="8542" spans="1:2" ht="12.75" customHeight="1" x14ac:dyDescent="0.25">
      <c r="A8542" s="318">
        <v>93567752314</v>
      </c>
      <c r="B8542" s="318" t="s">
        <v>237</v>
      </c>
    </row>
    <row r="8543" spans="1:2" ht="12.75" customHeight="1" x14ac:dyDescent="0.25">
      <c r="A8543" s="318">
        <v>93567752315</v>
      </c>
      <c r="B8543" s="318" t="s">
        <v>237</v>
      </c>
    </row>
    <row r="8544" spans="1:2" ht="12.75" customHeight="1" x14ac:dyDescent="0.25">
      <c r="A8544" s="318">
        <v>93567752316</v>
      </c>
      <c r="B8544" s="318" t="s">
        <v>237</v>
      </c>
    </row>
    <row r="8545" spans="1:2" ht="12.75" customHeight="1" x14ac:dyDescent="0.25">
      <c r="A8545" s="318">
        <v>93567752317</v>
      </c>
      <c r="B8545" s="318" t="s">
        <v>237</v>
      </c>
    </row>
    <row r="8546" spans="1:2" ht="12.75" customHeight="1" x14ac:dyDescent="0.25">
      <c r="A8546" s="318">
        <v>93567752318</v>
      </c>
      <c r="B8546" s="318" t="s">
        <v>237</v>
      </c>
    </row>
    <row r="8547" spans="1:2" ht="12.75" customHeight="1" x14ac:dyDescent="0.25">
      <c r="A8547" s="318">
        <v>93567752319</v>
      </c>
      <c r="B8547" s="318" t="s">
        <v>237</v>
      </c>
    </row>
    <row r="8548" spans="1:2" ht="12.75" customHeight="1" x14ac:dyDescent="0.25">
      <c r="A8548" s="318">
        <v>93567752320</v>
      </c>
      <c r="B8548" s="318" t="s">
        <v>237</v>
      </c>
    </row>
    <row r="8549" spans="1:2" ht="12.75" customHeight="1" x14ac:dyDescent="0.25">
      <c r="A8549" s="318">
        <v>93567752321</v>
      </c>
      <c r="B8549" s="318" t="s">
        <v>237</v>
      </c>
    </row>
    <row r="8550" spans="1:2" ht="12.75" customHeight="1" x14ac:dyDescent="0.25">
      <c r="A8550" s="318">
        <v>93568233178</v>
      </c>
      <c r="B8550" s="318" t="s">
        <v>23</v>
      </c>
    </row>
    <row r="8551" spans="1:2" ht="12.75" customHeight="1" x14ac:dyDescent="0.25">
      <c r="A8551" s="318">
        <v>93568233179</v>
      </c>
      <c r="B8551" s="318" t="s">
        <v>23</v>
      </c>
    </row>
    <row r="8552" spans="1:2" ht="12.75" customHeight="1" x14ac:dyDescent="0.25">
      <c r="A8552" s="318">
        <v>93568233180</v>
      </c>
      <c r="B8552" s="318" t="s">
        <v>23</v>
      </c>
    </row>
    <row r="8553" spans="1:2" ht="12.75" customHeight="1" x14ac:dyDescent="0.25">
      <c r="A8553" s="318">
        <v>93568233181</v>
      </c>
      <c r="B8553" s="318" t="s">
        <v>23</v>
      </c>
    </row>
    <row r="8554" spans="1:2" ht="12.75" customHeight="1" x14ac:dyDescent="0.25">
      <c r="A8554" s="318">
        <v>93568233182</v>
      </c>
      <c r="B8554" s="318" t="s">
        <v>23</v>
      </c>
    </row>
    <row r="8555" spans="1:2" ht="12.75" customHeight="1" x14ac:dyDescent="0.25">
      <c r="A8555" s="318">
        <v>93568233183</v>
      </c>
      <c r="B8555" s="318" t="s">
        <v>23</v>
      </c>
    </row>
    <row r="8556" spans="1:2" ht="12.75" customHeight="1" x14ac:dyDescent="0.25">
      <c r="A8556" s="318">
        <v>93568233184</v>
      </c>
      <c r="B8556" s="318" t="s">
        <v>23</v>
      </c>
    </row>
    <row r="8557" spans="1:2" ht="12.75" customHeight="1" x14ac:dyDescent="0.25">
      <c r="A8557" s="318">
        <v>93568233185</v>
      </c>
      <c r="B8557" s="318" t="s">
        <v>237</v>
      </c>
    </row>
    <row r="8558" spans="1:2" ht="12.75" customHeight="1" x14ac:dyDescent="0.25">
      <c r="A8558" s="318">
        <v>93568233187</v>
      </c>
      <c r="B8558" s="318" t="s">
        <v>237</v>
      </c>
    </row>
    <row r="8559" spans="1:2" ht="12.75" customHeight="1" x14ac:dyDescent="0.25">
      <c r="A8559" s="318">
        <v>93568233188</v>
      </c>
      <c r="B8559" s="318" t="s">
        <v>237</v>
      </c>
    </row>
    <row r="8560" spans="1:2" ht="12.75" customHeight="1" x14ac:dyDescent="0.25">
      <c r="A8560" s="318">
        <v>93568233189</v>
      </c>
      <c r="B8560" s="318" t="s">
        <v>237</v>
      </c>
    </row>
    <row r="8561" spans="1:2" ht="12.75" customHeight="1" x14ac:dyDescent="0.25">
      <c r="A8561" s="318">
        <v>93568233190</v>
      </c>
      <c r="B8561" s="318" t="s">
        <v>237</v>
      </c>
    </row>
    <row r="8562" spans="1:2" ht="12.75" customHeight="1" x14ac:dyDescent="0.25">
      <c r="A8562" s="318">
        <v>93568233191</v>
      </c>
      <c r="B8562" s="318" t="s">
        <v>237</v>
      </c>
    </row>
    <row r="8563" spans="1:2" ht="12.75" customHeight="1" x14ac:dyDescent="0.25">
      <c r="A8563" s="318">
        <v>93568233192</v>
      </c>
      <c r="B8563" s="318" t="s">
        <v>237</v>
      </c>
    </row>
    <row r="8564" spans="1:2" ht="12.75" customHeight="1" x14ac:dyDescent="0.25">
      <c r="A8564" s="318">
        <v>93568233193</v>
      </c>
      <c r="B8564" s="318" t="s">
        <v>237</v>
      </c>
    </row>
    <row r="8565" spans="1:2" ht="12.75" customHeight="1" x14ac:dyDescent="0.25">
      <c r="A8565" s="318">
        <v>93568233194</v>
      </c>
      <c r="B8565" s="318" t="s">
        <v>237</v>
      </c>
    </row>
    <row r="8566" spans="1:2" ht="12.75" customHeight="1" x14ac:dyDescent="0.25">
      <c r="A8566" s="318">
        <v>93568233278</v>
      </c>
      <c r="B8566" s="318" t="s">
        <v>237</v>
      </c>
    </row>
    <row r="8567" spans="1:2" ht="12.75" customHeight="1" x14ac:dyDescent="0.25">
      <c r="A8567" s="318">
        <v>93568233279</v>
      </c>
      <c r="B8567" s="318" t="s">
        <v>237</v>
      </c>
    </row>
    <row r="8568" spans="1:2" ht="12.75" customHeight="1" x14ac:dyDescent="0.25">
      <c r="A8568" s="318">
        <v>93568233280</v>
      </c>
      <c r="B8568" s="318" t="s">
        <v>237</v>
      </c>
    </row>
    <row r="8569" spans="1:2" ht="12.75" customHeight="1" x14ac:dyDescent="0.25">
      <c r="A8569" s="318">
        <v>93568233281</v>
      </c>
      <c r="B8569" s="318" t="s">
        <v>237</v>
      </c>
    </row>
    <row r="8570" spans="1:2" ht="12.75" customHeight="1" x14ac:dyDescent="0.25">
      <c r="A8570" s="318">
        <v>93568233282</v>
      </c>
      <c r="B8570" s="318" t="s">
        <v>237</v>
      </c>
    </row>
    <row r="8571" spans="1:2" ht="12.75" customHeight="1" x14ac:dyDescent="0.25">
      <c r="A8571" s="318">
        <v>93568233283</v>
      </c>
      <c r="B8571" s="318" t="s">
        <v>237</v>
      </c>
    </row>
    <row r="8572" spans="1:2" ht="12.75" customHeight="1" x14ac:dyDescent="0.25">
      <c r="A8572" s="318">
        <v>93568233284</v>
      </c>
      <c r="B8572" s="318" t="s">
        <v>237</v>
      </c>
    </row>
    <row r="8573" spans="1:2" ht="12.75" customHeight="1" x14ac:dyDescent="0.25">
      <c r="A8573" s="318">
        <v>93568233285</v>
      </c>
      <c r="B8573" s="318" t="s">
        <v>237</v>
      </c>
    </row>
    <row r="8574" spans="1:2" ht="12.75" customHeight="1" x14ac:dyDescent="0.25">
      <c r="A8574" s="318">
        <v>93568233287</v>
      </c>
      <c r="B8574" s="318" t="s">
        <v>237</v>
      </c>
    </row>
    <row r="8575" spans="1:2" ht="12.75" customHeight="1" x14ac:dyDescent="0.25">
      <c r="A8575" s="318">
        <v>93568233288</v>
      </c>
      <c r="B8575" s="318" t="s">
        <v>237</v>
      </c>
    </row>
    <row r="8576" spans="1:2" ht="12.75" customHeight="1" x14ac:dyDescent="0.25">
      <c r="A8576" s="318">
        <v>93568233289</v>
      </c>
      <c r="B8576" s="318" t="s">
        <v>237</v>
      </c>
    </row>
    <row r="8577" spans="1:2" ht="12.75" customHeight="1" x14ac:dyDescent="0.25">
      <c r="A8577" s="318">
        <v>93568233290</v>
      </c>
      <c r="B8577" s="318" t="s">
        <v>237</v>
      </c>
    </row>
    <row r="8578" spans="1:2" ht="12.75" customHeight="1" x14ac:dyDescent="0.25">
      <c r="A8578" s="318">
        <v>93568233291</v>
      </c>
      <c r="B8578" s="318" t="s">
        <v>237</v>
      </c>
    </row>
    <row r="8579" spans="1:2" ht="12.75" customHeight="1" x14ac:dyDescent="0.25">
      <c r="A8579" s="318">
        <v>93568233292</v>
      </c>
      <c r="B8579" s="318" t="s">
        <v>237</v>
      </c>
    </row>
    <row r="8580" spans="1:2" ht="12.75" customHeight="1" x14ac:dyDescent="0.25">
      <c r="A8580" s="318">
        <v>93568233293</v>
      </c>
      <c r="B8580" s="318" t="s">
        <v>237</v>
      </c>
    </row>
    <row r="8581" spans="1:2" ht="12.75" customHeight="1" x14ac:dyDescent="0.25">
      <c r="A8581" s="318">
        <v>93568233294</v>
      </c>
      <c r="B8581" s="318" t="s">
        <v>237</v>
      </c>
    </row>
    <row r="8582" spans="1:2" ht="12.75" customHeight="1" x14ac:dyDescent="0.25">
      <c r="A8582" s="318">
        <v>93568714151</v>
      </c>
      <c r="B8582" s="318" t="s">
        <v>23</v>
      </c>
    </row>
    <row r="8583" spans="1:2" ht="12.75" customHeight="1" x14ac:dyDescent="0.25">
      <c r="A8583" s="318">
        <v>93568714152</v>
      </c>
      <c r="B8583" s="318" t="s">
        <v>23</v>
      </c>
    </row>
    <row r="8584" spans="1:2" ht="12.75" customHeight="1" x14ac:dyDescent="0.25">
      <c r="A8584" s="318">
        <v>93568714153</v>
      </c>
      <c r="B8584" s="318" t="s">
        <v>23</v>
      </c>
    </row>
    <row r="8585" spans="1:2" ht="12.75" customHeight="1" x14ac:dyDescent="0.25">
      <c r="A8585" s="318">
        <v>93568714154</v>
      </c>
      <c r="B8585" s="318" t="s">
        <v>23</v>
      </c>
    </row>
    <row r="8586" spans="1:2" ht="12.75" customHeight="1" x14ac:dyDescent="0.25">
      <c r="A8586" s="318">
        <v>93568714155</v>
      </c>
      <c r="B8586" s="318" t="s">
        <v>23</v>
      </c>
    </row>
    <row r="8587" spans="1:2" ht="12.75" customHeight="1" x14ac:dyDescent="0.25">
      <c r="A8587" s="318">
        <v>93568714156</v>
      </c>
      <c r="B8587" s="318" t="s">
        <v>23</v>
      </c>
    </row>
    <row r="8588" spans="1:2" ht="12.75" customHeight="1" x14ac:dyDescent="0.25">
      <c r="A8588" s="318">
        <v>93568714157</v>
      </c>
      <c r="B8588" s="318" t="s">
        <v>23</v>
      </c>
    </row>
    <row r="8589" spans="1:2" ht="12.75" customHeight="1" x14ac:dyDescent="0.25">
      <c r="A8589" s="318">
        <v>93568714158</v>
      </c>
      <c r="B8589" s="318" t="s">
        <v>237</v>
      </c>
    </row>
    <row r="8590" spans="1:2" ht="12.75" customHeight="1" x14ac:dyDescent="0.25">
      <c r="A8590" s="318">
        <v>93568714160</v>
      </c>
      <c r="B8590" s="318" t="s">
        <v>23</v>
      </c>
    </row>
    <row r="8591" spans="1:2" ht="12.75" customHeight="1" x14ac:dyDescent="0.25">
      <c r="A8591" s="318">
        <v>93568714161</v>
      </c>
      <c r="B8591" s="318" t="s">
        <v>237</v>
      </c>
    </row>
    <row r="8592" spans="1:2" ht="12.75" customHeight="1" x14ac:dyDescent="0.25">
      <c r="A8592" s="318">
        <v>93568714162</v>
      </c>
      <c r="B8592" s="318" t="s">
        <v>23</v>
      </c>
    </row>
    <row r="8593" spans="1:2" ht="12.75" customHeight="1" x14ac:dyDescent="0.25">
      <c r="A8593" s="318">
        <v>93568714163</v>
      </c>
      <c r="B8593" s="318" t="s">
        <v>237</v>
      </c>
    </row>
    <row r="8594" spans="1:2" ht="12.75" customHeight="1" x14ac:dyDescent="0.25">
      <c r="A8594" s="318">
        <v>93568714164</v>
      </c>
      <c r="B8594" s="318" t="s">
        <v>23</v>
      </c>
    </row>
    <row r="8595" spans="1:2" ht="12.75" customHeight="1" x14ac:dyDescent="0.25">
      <c r="A8595" s="318">
        <v>93568714165</v>
      </c>
      <c r="B8595" s="318" t="s">
        <v>237</v>
      </c>
    </row>
    <row r="8596" spans="1:2" ht="12.75" customHeight="1" x14ac:dyDescent="0.25">
      <c r="A8596" s="318">
        <v>93568714166</v>
      </c>
      <c r="B8596" s="318" t="s">
        <v>23</v>
      </c>
    </row>
    <row r="8597" spans="1:2" ht="12.75" customHeight="1" x14ac:dyDescent="0.25">
      <c r="A8597" s="318">
        <v>93568714167</v>
      </c>
      <c r="B8597" s="318" t="s">
        <v>237</v>
      </c>
    </row>
    <row r="8598" spans="1:2" ht="12.75" customHeight="1" x14ac:dyDescent="0.25">
      <c r="A8598" s="318">
        <v>93568714251</v>
      </c>
      <c r="B8598" s="318" t="s">
        <v>237</v>
      </c>
    </row>
    <row r="8599" spans="1:2" ht="12.75" customHeight="1" x14ac:dyDescent="0.25">
      <c r="A8599" s="318">
        <v>93568714252</v>
      </c>
      <c r="B8599" s="318" t="s">
        <v>237</v>
      </c>
    </row>
    <row r="8600" spans="1:2" ht="12.75" customHeight="1" x14ac:dyDescent="0.25">
      <c r="A8600" s="318">
        <v>93568714253</v>
      </c>
      <c r="B8600" s="318" t="s">
        <v>237</v>
      </c>
    </row>
    <row r="8601" spans="1:2" ht="12.75" customHeight="1" x14ac:dyDescent="0.25">
      <c r="A8601" s="318">
        <v>93568714254</v>
      </c>
      <c r="B8601" s="318" t="s">
        <v>237</v>
      </c>
    </row>
    <row r="8602" spans="1:2" ht="12.75" customHeight="1" x14ac:dyDescent="0.25">
      <c r="A8602" s="318">
        <v>93568714255</v>
      </c>
      <c r="B8602" s="318" t="s">
        <v>237</v>
      </c>
    </row>
    <row r="8603" spans="1:2" ht="12.75" customHeight="1" x14ac:dyDescent="0.25">
      <c r="A8603" s="318">
        <v>93568714256</v>
      </c>
      <c r="B8603" s="318" t="s">
        <v>237</v>
      </c>
    </row>
    <row r="8604" spans="1:2" ht="12.75" customHeight="1" x14ac:dyDescent="0.25">
      <c r="A8604" s="318">
        <v>93568714257</v>
      </c>
      <c r="B8604" s="318" t="s">
        <v>237</v>
      </c>
    </row>
    <row r="8605" spans="1:2" ht="12.75" customHeight="1" x14ac:dyDescent="0.25">
      <c r="A8605" s="318">
        <v>93568714258</v>
      </c>
      <c r="B8605" s="318" t="s">
        <v>237</v>
      </c>
    </row>
    <row r="8606" spans="1:2" ht="12.75" customHeight="1" x14ac:dyDescent="0.25">
      <c r="A8606" s="318">
        <v>93568714260</v>
      </c>
      <c r="B8606" s="318" t="s">
        <v>237</v>
      </c>
    </row>
    <row r="8607" spans="1:2" ht="12.75" customHeight="1" x14ac:dyDescent="0.25">
      <c r="A8607" s="318">
        <v>93568714261</v>
      </c>
      <c r="B8607" s="318" t="s">
        <v>237</v>
      </c>
    </row>
    <row r="8608" spans="1:2" ht="12.75" customHeight="1" x14ac:dyDescent="0.25">
      <c r="A8608" s="318">
        <v>93568714262</v>
      </c>
      <c r="B8608" s="318" t="s">
        <v>237</v>
      </c>
    </row>
    <row r="8609" spans="1:2" ht="12.75" customHeight="1" x14ac:dyDescent="0.25">
      <c r="A8609" s="318">
        <v>93568714263</v>
      </c>
      <c r="B8609" s="318" t="s">
        <v>237</v>
      </c>
    </row>
    <row r="8610" spans="1:2" ht="12.75" customHeight="1" x14ac:dyDescent="0.25">
      <c r="A8610" s="318">
        <v>93568714264</v>
      </c>
      <c r="B8610" s="318" t="s">
        <v>237</v>
      </c>
    </row>
    <row r="8611" spans="1:2" ht="12.75" customHeight="1" x14ac:dyDescent="0.25">
      <c r="A8611" s="318">
        <v>93568714265</v>
      </c>
      <c r="B8611" s="318" t="s">
        <v>237</v>
      </c>
    </row>
    <row r="8612" spans="1:2" ht="12.75" customHeight="1" x14ac:dyDescent="0.25">
      <c r="A8612" s="318">
        <v>93568714266</v>
      </c>
      <c r="B8612" s="318" t="s">
        <v>237</v>
      </c>
    </row>
    <row r="8613" spans="1:2" ht="12.75" customHeight="1" x14ac:dyDescent="0.25">
      <c r="A8613" s="318">
        <v>93568714267</v>
      </c>
      <c r="B8613" s="318" t="s">
        <v>237</v>
      </c>
    </row>
    <row r="8614" spans="1:2" ht="12.75" customHeight="1" x14ac:dyDescent="0.25">
      <c r="A8614" s="318">
        <v>93569394342</v>
      </c>
      <c r="B8614" s="318" t="s">
        <v>23</v>
      </c>
    </row>
    <row r="8615" spans="1:2" ht="12.75" customHeight="1" x14ac:dyDescent="0.25">
      <c r="A8615" s="318">
        <v>93569394343</v>
      </c>
      <c r="B8615" s="318" t="s">
        <v>23</v>
      </c>
    </row>
    <row r="8616" spans="1:2" ht="12.75" customHeight="1" x14ac:dyDescent="0.25">
      <c r="A8616" s="318">
        <v>93569394344</v>
      </c>
      <c r="B8616" s="318" t="s">
        <v>23</v>
      </c>
    </row>
    <row r="8617" spans="1:2" ht="12.75" customHeight="1" x14ac:dyDescent="0.25">
      <c r="A8617" s="318">
        <v>93569394345</v>
      </c>
      <c r="B8617" s="318" t="s">
        <v>23</v>
      </c>
    </row>
    <row r="8618" spans="1:2" ht="12.75" customHeight="1" x14ac:dyDescent="0.25">
      <c r="A8618" s="318">
        <v>93569394346</v>
      </c>
      <c r="B8618" s="318" t="s">
        <v>23</v>
      </c>
    </row>
    <row r="8619" spans="1:2" ht="12.75" customHeight="1" x14ac:dyDescent="0.25">
      <c r="A8619" s="318">
        <v>93569394347</v>
      </c>
      <c r="B8619" s="318" t="s">
        <v>23</v>
      </c>
    </row>
    <row r="8620" spans="1:2" ht="12.75" customHeight="1" x14ac:dyDescent="0.25">
      <c r="A8620" s="318">
        <v>93569394348</v>
      </c>
      <c r="B8620" s="318" t="s">
        <v>23</v>
      </c>
    </row>
    <row r="8621" spans="1:2" ht="12.75" customHeight="1" x14ac:dyDescent="0.25">
      <c r="A8621" s="318">
        <v>93569394349</v>
      </c>
      <c r="B8621" s="318" t="s">
        <v>237</v>
      </c>
    </row>
    <row r="8622" spans="1:2" ht="12.75" customHeight="1" x14ac:dyDescent="0.25">
      <c r="A8622" s="318">
        <v>93569394351</v>
      </c>
      <c r="B8622" s="318" t="s">
        <v>237</v>
      </c>
    </row>
    <row r="8623" spans="1:2" ht="12.75" customHeight="1" x14ac:dyDescent="0.25">
      <c r="A8623" s="318">
        <v>93569394352</v>
      </c>
      <c r="B8623" s="318" t="s">
        <v>237</v>
      </c>
    </row>
    <row r="8624" spans="1:2" ht="12.75" customHeight="1" x14ac:dyDescent="0.25">
      <c r="A8624" s="318">
        <v>93569394353</v>
      </c>
      <c r="B8624" s="318" t="s">
        <v>237</v>
      </c>
    </row>
    <row r="8625" spans="1:2" ht="12.75" customHeight="1" x14ac:dyDescent="0.25">
      <c r="A8625" s="318">
        <v>93569394354</v>
      </c>
      <c r="B8625" s="318" t="s">
        <v>237</v>
      </c>
    </row>
    <row r="8626" spans="1:2" ht="12.75" customHeight="1" x14ac:dyDescent="0.25">
      <c r="A8626" s="318">
        <v>93569394355</v>
      </c>
      <c r="B8626" s="318" t="s">
        <v>237</v>
      </c>
    </row>
    <row r="8627" spans="1:2" ht="12.75" customHeight="1" x14ac:dyDescent="0.25">
      <c r="A8627" s="318">
        <v>93569394356</v>
      </c>
      <c r="B8627" s="318" t="s">
        <v>237</v>
      </c>
    </row>
    <row r="8628" spans="1:2" ht="12.75" customHeight="1" x14ac:dyDescent="0.25">
      <c r="A8628" s="318">
        <v>93569394357</v>
      </c>
      <c r="B8628" s="318" t="s">
        <v>237</v>
      </c>
    </row>
    <row r="8629" spans="1:2" ht="12.75" customHeight="1" x14ac:dyDescent="0.25">
      <c r="A8629" s="318">
        <v>93569394358</v>
      </c>
      <c r="B8629" s="318" t="s">
        <v>237</v>
      </c>
    </row>
    <row r="8630" spans="1:2" ht="12.75" customHeight="1" x14ac:dyDescent="0.25">
      <c r="A8630" s="318">
        <v>93569394442</v>
      </c>
      <c r="B8630" s="318" t="s">
        <v>237</v>
      </c>
    </row>
    <row r="8631" spans="1:2" ht="12.75" customHeight="1" x14ac:dyDescent="0.25">
      <c r="A8631" s="318">
        <v>93569394443</v>
      </c>
      <c r="B8631" s="318" t="s">
        <v>237</v>
      </c>
    </row>
    <row r="8632" spans="1:2" ht="12.75" customHeight="1" x14ac:dyDescent="0.25">
      <c r="A8632" s="318">
        <v>93569394444</v>
      </c>
      <c r="B8632" s="318" t="s">
        <v>237</v>
      </c>
    </row>
    <row r="8633" spans="1:2" ht="12.75" customHeight="1" x14ac:dyDescent="0.25">
      <c r="A8633" s="318">
        <v>93569394445</v>
      </c>
      <c r="B8633" s="318" t="s">
        <v>237</v>
      </c>
    </row>
    <row r="8634" spans="1:2" ht="12.75" customHeight="1" x14ac:dyDescent="0.25">
      <c r="A8634" s="318">
        <v>93569394446</v>
      </c>
      <c r="B8634" s="318" t="s">
        <v>237</v>
      </c>
    </row>
    <row r="8635" spans="1:2" ht="12.75" customHeight="1" x14ac:dyDescent="0.25">
      <c r="A8635" s="318">
        <v>93569394447</v>
      </c>
      <c r="B8635" s="318" t="s">
        <v>237</v>
      </c>
    </row>
    <row r="8636" spans="1:2" ht="12.75" customHeight="1" x14ac:dyDescent="0.25">
      <c r="A8636" s="318">
        <v>93569394448</v>
      </c>
      <c r="B8636" s="318" t="s">
        <v>237</v>
      </c>
    </row>
    <row r="8637" spans="1:2" ht="12.75" customHeight="1" x14ac:dyDescent="0.25">
      <c r="A8637" s="318">
        <v>93569394449</v>
      </c>
      <c r="B8637" s="318" t="s">
        <v>237</v>
      </c>
    </row>
    <row r="8638" spans="1:2" ht="12.75" customHeight="1" x14ac:dyDescent="0.25">
      <c r="A8638" s="318">
        <v>93569394451</v>
      </c>
      <c r="B8638" s="318" t="s">
        <v>237</v>
      </c>
    </row>
    <row r="8639" spans="1:2" ht="12.75" customHeight="1" x14ac:dyDescent="0.25">
      <c r="A8639" s="318">
        <v>93569394452</v>
      </c>
      <c r="B8639" s="318" t="s">
        <v>237</v>
      </c>
    </row>
    <row r="8640" spans="1:2" ht="12.75" customHeight="1" x14ac:dyDescent="0.25">
      <c r="A8640" s="318">
        <v>93569394453</v>
      </c>
      <c r="B8640" s="318" t="s">
        <v>237</v>
      </c>
    </row>
    <row r="8641" spans="1:2" ht="12.75" customHeight="1" x14ac:dyDescent="0.25">
      <c r="A8641" s="318">
        <v>93569394454</v>
      </c>
      <c r="B8641" s="318" t="s">
        <v>237</v>
      </c>
    </row>
    <row r="8642" spans="1:2" ht="12.75" customHeight="1" x14ac:dyDescent="0.25">
      <c r="A8642" s="318">
        <v>93569394455</v>
      </c>
      <c r="B8642" s="318" t="s">
        <v>237</v>
      </c>
    </row>
    <row r="8643" spans="1:2" ht="12.75" customHeight="1" x14ac:dyDescent="0.25">
      <c r="A8643" s="318">
        <v>93569394456</v>
      </c>
      <c r="B8643" s="318" t="s">
        <v>237</v>
      </c>
    </row>
    <row r="8644" spans="1:2" ht="12.75" customHeight="1" x14ac:dyDescent="0.25">
      <c r="A8644" s="318">
        <v>93569394457</v>
      </c>
      <c r="B8644" s="318" t="s">
        <v>237</v>
      </c>
    </row>
    <row r="8645" spans="1:2" ht="12.75" customHeight="1" x14ac:dyDescent="0.25">
      <c r="A8645" s="318">
        <v>93569394458</v>
      </c>
      <c r="B8645" s="318" t="s">
        <v>237</v>
      </c>
    </row>
    <row r="8646" spans="1:2" ht="12.75" customHeight="1" x14ac:dyDescent="0.25">
      <c r="A8646" s="318">
        <v>93569875315</v>
      </c>
      <c r="B8646" s="318" t="s">
        <v>23</v>
      </c>
    </row>
    <row r="8647" spans="1:2" ht="12.75" customHeight="1" x14ac:dyDescent="0.25">
      <c r="A8647" s="318">
        <v>93569875316</v>
      </c>
      <c r="B8647" s="318" t="s">
        <v>23</v>
      </c>
    </row>
    <row r="8648" spans="1:2" ht="12.75" customHeight="1" x14ac:dyDescent="0.25">
      <c r="A8648" s="318">
        <v>93569875317</v>
      </c>
      <c r="B8648" s="318" t="s">
        <v>23</v>
      </c>
    </row>
    <row r="8649" spans="1:2" ht="12.75" customHeight="1" x14ac:dyDescent="0.25">
      <c r="A8649" s="318">
        <v>93569875318</v>
      </c>
      <c r="B8649" s="318" t="s">
        <v>23</v>
      </c>
    </row>
    <row r="8650" spans="1:2" ht="12.75" customHeight="1" x14ac:dyDescent="0.25">
      <c r="A8650" s="318">
        <v>93569875319</v>
      </c>
      <c r="B8650" s="318" t="s">
        <v>23</v>
      </c>
    </row>
    <row r="8651" spans="1:2" ht="12.75" customHeight="1" x14ac:dyDescent="0.25">
      <c r="A8651" s="318">
        <v>93569875320</v>
      </c>
      <c r="B8651" s="318" t="s">
        <v>23</v>
      </c>
    </row>
    <row r="8652" spans="1:2" ht="12.75" customHeight="1" x14ac:dyDescent="0.25">
      <c r="A8652" s="318">
        <v>93569875321</v>
      </c>
      <c r="B8652" s="318" t="s">
        <v>23</v>
      </c>
    </row>
    <row r="8653" spans="1:2" ht="12.75" customHeight="1" x14ac:dyDescent="0.25">
      <c r="A8653" s="318">
        <v>93569875322</v>
      </c>
      <c r="B8653" s="318" t="s">
        <v>237</v>
      </c>
    </row>
    <row r="8654" spans="1:2" ht="12.75" customHeight="1" x14ac:dyDescent="0.25">
      <c r="A8654" s="318">
        <v>93569875324</v>
      </c>
      <c r="B8654" s="318" t="s">
        <v>237</v>
      </c>
    </row>
    <row r="8655" spans="1:2" ht="12.75" customHeight="1" x14ac:dyDescent="0.25">
      <c r="A8655" s="318">
        <v>93569875325</v>
      </c>
      <c r="B8655" s="318" t="s">
        <v>237</v>
      </c>
    </row>
    <row r="8656" spans="1:2" ht="12.75" customHeight="1" x14ac:dyDescent="0.25">
      <c r="A8656" s="318">
        <v>93569875326</v>
      </c>
      <c r="B8656" s="318" t="s">
        <v>237</v>
      </c>
    </row>
    <row r="8657" spans="1:2" ht="12.75" customHeight="1" x14ac:dyDescent="0.25">
      <c r="A8657" s="318">
        <v>93569875327</v>
      </c>
      <c r="B8657" s="318" t="s">
        <v>237</v>
      </c>
    </row>
    <row r="8658" spans="1:2" ht="12.75" customHeight="1" x14ac:dyDescent="0.25">
      <c r="A8658" s="318">
        <v>93569875328</v>
      </c>
      <c r="B8658" s="318" t="s">
        <v>237</v>
      </c>
    </row>
    <row r="8659" spans="1:2" ht="12.75" customHeight="1" x14ac:dyDescent="0.25">
      <c r="A8659" s="318">
        <v>93569875329</v>
      </c>
      <c r="B8659" s="318" t="s">
        <v>237</v>
      </c>
    </row>
    <row r="8660" spans="1:2" ht="12.75" customHeight="1" x14ac:dyDescent="0.25">
      <c r="A8660" s="318">
        <v>93569875330</v>
      </c>
      <c r="B8660" s="318" t="s">
        <v>237</v>
      </c>
    </row>
    <row r="8661" spans="1:2" ht="12.75" customHeight="1" x14ac:dyDescent="0.25">
      <c r="A8661" s="318">
        <v>93569875331</v>
      </c>
      <c r="B8661" s="318" t="s">
        <v>237</v>
      </c>
    </row>
    <row r="8662" spans="1:2" ht="12.75" customHeight="1" x14ac:dyDescent="0.25">
      <c r="A8662" s="318">
        <v>93569875415</v>
      </c>
      <c r="B8662" s="318" t="s">
        <v>237</v>
      </c>
    </row>
    <row r="8663" spans="1:2" ht="12.75" customHeight="1" x14ac:dyDescent="0.25">
      <c r="A8663" s="318">
        <v>93569875416</v>
      </c>
      <c r="B8663" s="318" t="s">
        <v>237</v>
      </c>
    </row>
    <row r="8664" spans="1:2" ht="12.75" customHeight="1" x14ac:dyDescent="0.25">
      <c r="A8664" s="318">
        <v>93569875417</v>
      </c>
      <c r="B8664" s="318" t="s">
        <v>237</v>
      </c>
    </row>
    <row r="8665" spans="1:2" ht="12.75" customHeight="1" x14ac:dyDescent="0.25">
      <c r="A8665" s="318">
        <v>93569875418</v>
      </c>
      <c r="B8665" s="318" t="s">
        <v>237</v>
      </c>
    </row>
    <row r="8666" spans="1:2" ht="12.75" customHeight="1" x14ac:dyDescent="0.25">
      <c r="A8666" s="318">
        <v>93569875419</v>
      </c>
      <c r="B8666" s="318" t="s">
        <v>237</v>
      </c>
    </row>
    <row r="8667" spans="1:2" ht="12.75" customHeight="1" x14ac:dyDescent="0.25">
      <c r="A8667" s="318">
        <v>93569875420</v>
      </c>
      <c r="B8667" s="318" t="s">
        <v>237</v>
      </c>
    </row>
    <row r="8668" spans="1:2" ht="12.75" customHeight="1" x14ac:dyDescent="0.25">
      <c r="A8668" s="318">
        <v>93569875421</v>
      </c>
      <c r="B8668" s="318" t="s">
        <v>237</v>
      </c>
    </row>
    <row r="8669" spans="1:2" ht="12.75" customHeight="1" x14ac:dyDescent="0.25">
      <c r="A8669" s="318">
        <v>93569875422</v>
      </c>
      <c r="B8669" s="318" t="s">
        <v>237</v>
      </c>
    </row>
    <row r="8670" spans="1:2" ht="12.75" customHeight="1" x14ac:dyDescent="0.25">
      <c r="A8670" s="318">
        <v>93569875424</v>
      </c>
      <c r="B8670" s="318" t="s">
        <v>237</v>
      </c>
    </row>
    <row r="8671" spans="1:2" ht="12.75" customHeight="1" x14ac:dyDescent="0.25">
      <c r="A8671" s="318">
        <v>93569875425</v>
      </c>
      <c r="B8671" s="318" t="s">
        <v>237</v>
      </c>
    </row>
    <row r="8672" spans="1:2" ht="12.75" customHeight="1" x14ac:dyDescent="0.25">
      <c r="A8672" s="318">
        <v>93569875426</v>
      </c>
      <c r="B8672" s="318" t="s">
        <v>237</v>
      </c>
    </row>
    <row r="8673" spans="1:2" ht="12.75" customHeight="1" x14ac:dyDescent="0.25">
      <c r="A8673" s="318">
        <v>93569875427</v>
      </c>
      <c r="B8673" s="318" t="s">
        <v>237</v>
      </c>
    </row>
    <row r="8674" spans="1:2" ht="12.75" customHeight="1" x14ac:dyDescent="0.25">
      <c r="A8674" s="318">
        <v>93569875428</v>
      </c>
      <c r="B8674" s="318" t="s">
        <v>237</v>
      </c>
    </row>
    <row r="8675" spans="1:2" ht="12.75" customHeight="1" x14ac:dyDescent="0.25">
      <c r="A8675" s="318">
        <v>93569875429</v>
      </c>
      <c r="B8675" s="318" t="s">
        <v>237</v>
      </c>
    </row>
    <row r="8676" spans="1:2" ht="12.75" customHeight="1" x14ac:dyDescent="0.25">
      <c r="A8676" s="318">
        <v>93569875430</v>
      </c>
      <c r="B8676" s="318" t="s">
        <v>237</v>
      </c>
    </row>
    <row r="8677" spans="1:2" ht="12.75" customHeight="1" x14ac:dyDescent="0.25">
      <c r="A8677" s="318">
        <v>93569875431</v>
      </c>
      <c r="B8677" s="318" t="s">
        <v>237</v>
      </c>
    </row>
    <row r="8678" spans="1:2" ht="12.75" customHeight="1" x14ac:dyDescent="0.25">
      <c r="A8678" s="318">
        <v>93570356288</v>
      </c>
      <c r="B8678" s="318" t="s">
        <v>23</v>
      </c>
    </row>
    <row r="8679" spans="1:2" ht="12.75" customHeight="1" x14ac:dyDescent="0.25">
      <c r="A8679" s="318">
        <v>93570356289</v>
      </c>
      <c r="B8679" s="318" t="s">
        <v>23</v>
      </c>
    </row>
    <row r="8680" spans="1:2" ht="12.75" customHeight="1" x14ac:dyDescent="0.25">
      <c r="A8680" s="318">
        <v>93570356290</v>
      </c>
      <c r="B8680" s="318" t="s">
        <v>23</v>
      </c>
    </row>
    <row r="8681" spans="1:2" ht="12.75" customHeight="1" x14ac:dyDescent="0.25">
      <c r="A8681" s="318">
        <v>93570356291</v>
      </c>
      <c r="B8681" s="318" t="s">
        <v>23</v>
      </c>
    </row>
    <row r="8682" spans="1:2" ht="12.75" customHeight="1" x14ac:dyDescent="0.25">
      <c r="A8682" s="318">
        <v>93570356292</v>
      </c>
      <c r="B8682" s="318" t="s">
        <v>23</v>
      </c>
    </row>
    <row r="8683" spans="1:2" ht="12.75" customHeight="1" x14ac:dyDescent="0.25">
      <c r="A8683" s="318">
        <v>93570356293</v>
      </c>
      <c r="B8683" s="318" t="s">
        <v>23</v>
      </c>
    </row>
    <row r="8684" spans="1:2" ht="12.75" customHeight="1" x14ac:dyDescent="0.25">
      <c r="A8684" s="318">
        <v>93570356294</v>
      </c>
      <c r="B8684" s="318" t="s">
        <v>23</v>
      </c>
    </row>
    <row r="8685" spans="1:2" ht="12.75" customHeight="1" x14ac:dyDescent="0.25">
      <c r="A8685" s="318">
        <v>93570356295</v>
      </c>
      <c r="B8685" s="318" t="s">
        <v>237</v>
      </c>
    </row>
    <row r="8686" spans="1:2" ht="12.75" customHeight="1" x14ac:dyDescent="0.25">
      <c r="A8686" s="318">
        <v>93570356297</v>
      </c>
      <c r="B8686" s="318" t="s">
        <v>23</v>
      </c>
    </row>
    <row r="8687" spans="1:2" ht="12.75" customHeight="1" x14ac:dyDescent="0.25">
      <c r="A8687" s="318">
        <v>93570356298</v>
      </c>
      <c r="B8687" s="318" t="s">
        <v>237</v>
      </c>
    </row>
    <row r="8688" spans="1:2" ht="12.75" customHeight="1" x14ac:dyDescent="0.25">
      <c r="A8688" s="318">
        <v>93570356299</v>
      </c>
      <c r="B8688" s="318" t="s">
        <v>23</v>
      </c>
    </row>
    <row r="8689" spans="1:2" ht="12.75" customHeight="1" x14ac:dyDescent="0.25">
      <c r="A8689" s="318">
        <v>93570356300</v>
      </c>
      <c r="B8689" s="318" t="s">
        <v>237</v>
      </c>
    </row>
    <row r="8690" spans="1:2" ht="12.75" customHeight="1" x14ac:dyDescent="0.25">
      <c r="A8690" s="318">
        <v>93570356301</v>
      </c>
      <c r="B8690" s="318" t="s">
        <v>23</v>
      </c>
    </row>
    <row r="8691" spans="1:2" ht="12.75" customHeight="1" x14ac:dyDescent="0.25">
      <c r="A8691" s="318">
        <v>93570356302</v>
      </c>
      <c r="B8691" s="318" t="s">
        <v>237</v>
      </c>
    </row>
    <row r="8692" spans="1:2" ht="12.75" customHeight="1" x14ac:dyDescent="0.25">
      <c r="A8692" s="318">
        <v>93570356303</v>
      </c>
      <c r="B8692" s="318" t="s">
        <v>23</v>
      </c>
    </row>
    <row r="8693" spans="1:2" ht="12.75" customHeight="1" x14ac:dyDescent="0.25">
      <c r="A8693" s="318">
        <v>93570356304</v>
      </c>
      <c r="B8693" s="318" t="s">
        <v>237</v>
      </c>
    </row>
    <row r="8694" spans="1:2" ht="12.75" customHeight="1" x14ac:dyDescent="0.25">
      <c r="A8694" s="318">
        <v>93570356388</v>
      </c>
      <c r="B8694" s="318" t="s">
        <v>237</v>
      </c>
    </row>
    <row r="8695" spans="1:2" ht="12.75" customHeight="1" x14ac:dyDescent="0.25">
      <c r="A8695" s="318">
        <v>93570356389</v>
      </c>
      <c r="B8695" s="318" t="s">
        <v>237</v>
      </c>
    </row>
    <row r="8696" spans="1:2" ht="12.75" customHeight="1" x14ac:dyDescent="0.25">
      <c r="A8696" s="318">
        <v>93570356390</v>
      </c>
      <c r="B8696" s="318" t="s">
        <v>237</v>
      </c>
    </row>
    <row r="8697" spans="1:2" ht="12.75" customHeight="1" x14ac:dyDescent="0.25">
      <c r="A8697" s="318">
        <v>93570356391</v>
      </c>
      <c r="B8697" s="318" t="s">
        <v>237</v>
      </c>
    </row>
    <row r="8698" spans="1:2" ht="12.75" customHeight="1" x14ac:dyDescent="0.25">
      <c r="A8698" s="318">
        <v>93570356392</v>
      </c>
      <c r="B8698" s="318" t="s">
        <v>237</v>
      </c>
    </row>
    <row r="8699" spans="1:2" ht="12.75" customHeight="1" x14ac:dyDescent="0.25">
      <c r="A8699" s="318">
        <v>93570356393</v>
      </c>
      <c r="B8699" s="318" t="s">
        <v>237</v>
      </c>
    </row>
    <row r="8700" spans="1:2" ht="12.75" customHeight="1" x14ac:dyDescent="0.25">
      <c r="A8700" s="318">
        <v>93570356394</v>
      </c>
      <c r="B8700" s="318" t="s">
        <v>237</v>
      </c>
    </row>
    <row r="8701" spans="1:2" ht="12.75" customHeight="1" x14ac:dyDescent="0.25">
      <c r="A8701" s="318">
        <v>93570356395</v>
      </c>
      <c r="B8701" s="318" t="s">
        <v>237</v>
      </c>
    </row>
    <row r="8702" spans="1:2" ht="12.75" customHeight="1" x14ac:dyDescent="0.25">
      <c r="A8702" s="318">
        <v>93570356397</v>
      </c>
      <c r="B8702" s="318" t="s">
        <v>237</v>
      </c>
    </row>
    <row r="8703" spans="1:2" ht="12.75" customHeight="1" x14ac:dyDescent="0.25">
      <c r="A8703" s="318">
        <v>93570356398</v>
      </c>
      <c r="B8703" s="318" t="s">
        <v>237</v>
      </c>
    </row>
    <row r="8704" spans="1:2" ht="12.75" customHeight="1" x14ac:dyDescent="0.25">
      <c r="A8704" s="318">
        <v>93570356399</v>
      </c>
      <c r="B8704" s="318" t="s">
        <v>237</v>
      </c>
    </row>
    <row r="8705" spans="1:2" ht="12.75" customHeight="1" x14ac:dyDescent="0.25">
      <c r="A8705" s="318">
        <v>93570356400</v>
      </c>
      <c r="B8705" s="318" t="s">
        <v>237</v>
      </c>
    </row>
    <row r="8706" spans="1:2" ht="12.75" customHeight="1" x14ac:dyDescent="0.25">
      <c r="A8706" s="318">
        <v>93570356401</v>
      </c>
      <c r="B8706" s="318" t="s">
        <v>237</v>
      </c>
    </row>
    <row r="8707" spans="1:2" ht="12.75" customHeight="1" x14ac:dyDescent="0.25">
      <c r="A8707" s="318">
        <v>93570356402</v>
      </c>
      <c r="B8707" s="318" t="s">
        <v>237</v>
      </c>
    </row>
    <row r="8708" spans="1:2" ht="12.75" customHeight="1" x14ac:dyDescent="0.25">
      <c r="A8708" s="318">
        <v>93570356403</v>
      </c>
      <c r="B8708" s="318" t="s">
        <v>237</v>
      </c>
    </row>
    <row r="8709" spans="1:2" ht="12.75" customHeight="1" x14ac:dyDescent="0.25">
      <c r="A8709" s="318">
        <v>93570356404</v>
      </c>
      <c r="B8709" s="318" t="s">
        <v>237</v>
      </c>
    </row>
    <row r="8710" spans="1:2" ht="12.75" customHeight="1" x14ac:dyDescent="0.25">
      <c r="A8710" s="318">
        <v>93571036479</v>
      </c>
      <c r="B8710" s="318" t="s">
        <v>23</v>
      </c>
    </row>
    <row r="8711" spans="1:2" ht="12.75" customHeight="1" x14ac:dyDescent="0.25">
      <c r="A8711" s="318">
        <v>93571036480</v>
      </c>
      <c r="B8711" s="318" t="s">
        <v>23</v>
      </c>
    </row>
    <row r="8712" spans="1:2" ht="12.75" customHeight="1" x14ac:dyDescent="0.25">
      <c r="A8712" s="318">
        <v>93571036481</v>
      </c>
      <c r="B8712" s="318" t="s">
        <v>23</v>
      </c>
    </row>
    <row r="8713" spans="1:2" ht="12.75" customHeight="1" x14ac:dyDescent="0.25">
      <c r="A8713" s="318">
        <v>93571036482</v>
      </c>
      <c r="B8713" s="318" t="s">
        <v>23</v>
      </c>
    </row>
    <row r="8714" spans="1:2" ht="12.75" customHeight="1" x14ac:dyDescent="0.25">
      <c r="A8714" s="318">
        <v>93571036483</v>
      </c>
      <c r="B8714" s="318" t="s">
        <v>23</v>
      </c>
    </row>
    <row r="8715" spans="1:2" ht="12.75" customHeight="1" x14ac:dyDescent="0.25">
      <c r="A8715" s="318">
        <v>93571036484</v>
      </c>
      <c r="B8715" s="318" t="s">
        <v>23</v>
      </c>
    </row>
    <row r="8716" spans="1:2" ht="12.75" customHeight="1" x14ac:dyDescent="0.25">
      <c r="A8716" s="318">
        <v>93571036485</v>
      </c>
      <c r="B8716" s="318" t="s">
        <v>23</v>
      </c>
    </row>
    <row r="8717" spans="1:2" ht="12.75" customHeight="1" x14ac:dyDescent="0.25">
      <c r="A8717" s="318">
        <v>93571036486</v>
      </c>
      <c r="B8717" s="318" t="s">
        <v>237</v>
      </c>
    </row>
    <row r="8718" spans="1:2" ht="12.75" customHeight="1" x14ac:dyDescent="0.25">
      <c r="A8718" s="318">
        <v>93571036488</v>
      </c>
      <c r="B8718" s="318" t="s">
        <v>23</v>
      </c>
    </row>
    <row r="8719" spans="1:2" ht="12.75" customHeight="1" x14ac:dyDescent="0.25">
      <c r="A8719" s="318">
        <v>93571036489</v>
      </c>
      <c r="B8719" s="318" t="s">
        <v>237</v>
      </c>
    </row>
    <row r="8720" spans="1:2" ht="12.75" customHeight="1" x14ac:dyDescent="0.25">
      <c r="A8720" s="318">
        <v>93571036490</v>
      </c>
      <c r="B8720" s="318" t="s">
        <v>23</v>
      </c>
    </row>
    <row r="8721" spans="1:2" ht="12.75" customHeight="1" x14ac:dyDescent="0.25">
      <c r="A8721" s="318">
        <v>93571036491</v>
      </c>
      <c r="B8721" s="318" t="s">
        <v>237</v>
      </c>
    </row>
    <row r="8722" spans="1:2" ht="12.75" customHeight="1" x14ac:dyDescent="0.25">
      <c r="A8722" s="318">
        <v>93571036492</v>
      </c>
      <c r="B8722" s="318" t="s">
        <v>23</v>
      </c>
    </row>
    <row r="8723" spans="1:2" ht="12.75" customHeight="1" x14ac:dyDescent="0.25">
      <c r="A8723" s="318">
        <v>93571036493</v>
      </c>
      <c r="B8723" s="318" t="s">
        <v>237</v>
      </c>
    </row>
    <row r="8724" spans="1:2" ht="12.75" customHeight="1" x14ac:dyDescent="0.25">
      <c r="A8724" s="318">
        <v>93571036494</v>
      </c>
      <c r="B8724" s="318" t="s">
        <v>23</v>
      </c>
    </row>
    <row r="8725" spans="1:2" ht="12.75" customHeight="1" x14ac:dyDescent="0.25">
      <c r="A8725" s="318">
        <v>93571036495</v>
      </c>
      <c r="B8725" s="318" t="s">
        <v>237</v>
      </c>
    </row>
    <row r="8726" spans="1:2" ht="12.75" customHeight="1" x14ac:dyDescent="0.25">
      <c r="A8726" s="318">
        <v>93571036579</v>
      </c>
      <c r="B8726" s="318" t="s">
        <v>237</v>
      </c>
    </row>
    <row r="8727" spans="1:2" ht="12.75" customHeight="1" x14ac:dyDescent="0.25">
      <c r="A8727" s="318">
        <v>93571036580</v>
      </c>
      <c r="B8727" s="318" t="s">
        <v>237</v>
      </c>
    </row>
    <row r="8728" spans="1:2" ht="12.75" customHeight="1" x14ac:dyDescent="0.25">
      <c r="A8728" s="318">
        <v>93571036581</v>
      </c>
      <c r="B8728" s="318" t="s">
        <v>237</v>
      </c>
    </row>
    <row r="8729" spans="1:2" ht="12.75" customHeight="1" x14ac:dyDescent="0.25">
      <c r="A8729" s="318">
        <v>93571036582</v>
      </c>
      <c r="B8729" s="318" t="s">
        <v>237</v>
      </c>
    </row>
    <row r="8730" spans="1:2" ht="12.75" customHeight="1" x14ac:dyDescent="0.25">
      <c r="A8730" s="318">
        <v>93571036583</v>
      </c>
      <c r="B8730" s="318" t="s">
        <v>237</v>
      </c>
    </row>
    <row r="8731" spans="1:2" ht="12.75" customHeight="1" x14ac:dyDescent="0.25">
      <c r="A8731" s="318">
        <v>93571036584</v>
      </c>
      <c r="B8731" s="318" t="s">
        <v>237</v>
      </c>
    </row>
    <row r="8732" spans="1:2" ht="12.75" customHeight="1" x14ac:dyDescent="0.25">
      <c r="A8732" s="318">
        <v>93571036585</v>
      </c>
      <c r="B8732" s="318" t="s">
        <v>237</v>
      </c>
    </row>
    <row r="8733" spans="1:2" ht="12.75" customHeight="1" x14ac:dyDescent="0.25">
      <c r="A8733" s="318">
        <v>93571036586</v>
      </c>
      <c r="B8733" s="318" t="s">
        <v>237</v>
      </c>
    </row>
    <row r="8734" spans="1:2" ht="12.75" customHeight="1" x14ac:dyDescent="0.25">
      <c r="A8734" s="318">
        <v>93571036588</v>
      </c>
      <c r="B8734" s="318" t="s">
        <v>237</v>
      </c>
    </row>
    <row r="8735" spans="1:2" ht="12.75" customHeight="1" x14ac:dyDescent="0.25">
      <c r="A8735" s="318">
        <v>93571036589</v>
      </c>
      <c r="B8735" s="318" t="s">
        <v>237</v>
      </c>
    </row>
    <row r="8736" spans="1:2" ht="12.75" customHeight="1" x14ac:dyDescent="0.25">
      <c r="A8736" s="318">
        <v>93571036590</v>
      </c>
      <c r="B8736" s="318" t="s">
        <v>237</v>
      </c>
    </row>
    <row r="8737" spans="1:2" ht="12.75" customHeight="1" x14ac:dyDescent="0.25">
      <c r="A8737" s="318">
        <v>93571036591</v>
      </c>
      <c r="B8737" s="318" t="s">
        <v>237</v>
      </c>
    </row>
    <row r="8738" spans="1:2" ht="12.75" customHeight="1" x14ac:dyDescent="0.25">
      <c r="A8738" s="318">
        <v>93571036592</v>
      </c>
      <c r="B8738" s="318" t="s">
        <v>237</v>
      </c>
    </row>
    <row r="8739" spans="1:2" ht="12.75" customHeight="1" x14ac:dyDescent="0.25">
      <c r="A8739" s="318">
        <v>93571036593</v>
      </c>
      <c r="B8739" s="318" t="s">
        <v>237</v>
      </c>
    </row>
    <row r="8740" spans="1:2" ht="12.75" customHeight="1" x14ac:dyDescent="0.25">
      <c r="A8740" s="318">
        <v>93571036594</v>
      </c>
      <c r="B8740" s="318" t="s">
        <v>237</v>
      </c>
    </row>
    <row r="8741" spans="1:2" ht="12.75" customHeight="1" x14ac:dyDescent="0.25">
      <c r="A8741" s="318">
        <v>93571036595</v>
      </c>
      <c r="B8741" s="318" t="s">
        <v>237</v>
      </c>
    </row>
    <row r="8742" spans="1:2" ht="12.75" customHeight="1" x14ac:dyDescent="0.25">
      <c r="A8742" s="318">
        <v>93571517452</v>
      </c>
      <c r="B8742" s="318" t="s">
        <v>23</v>
      </c>
    </row>
    <row r="8743" spans="1:2" ht="12.75" customHeight="1" x14ac:dyDescent="0.25">
      <c r="A8743" s="318">
        <v>93571517453</v>
      </c>
      <c r="B8743" s="318" t="s">
        <v>23</v>
      </c>
    </row>
    <row r="8744" spans="1:2" ht="12.75" customHeight="1" x14ac:dyDescent="0.25">
      <c r="A8744" s="318">
        <v>93571517454</v>
      </c>
      <c r="B8744" s="318" t="s">
        <v>23</v>
      </c>
    </row>
    <row r="8745" spans="1:2" ht="12.75" customHeight="1" x14ac:dyDescent="0.25">
      <c r="A8745" s="318">
        <v>93571517455</v>
      </c>
      <c r="B8745" s="318" t="s">
        <v>23</v>
      </c>
    </row>
    <row r="8746" spans="1:2" ht="12.75" customHeight="1" x14ac:dyDescent="0.25">
      <c r="A8746" s="318">
        <v>93571517456</v>
      </c>
      <c r="B8746" s="318" t="s">
        <v>23</v>
      </c>
    </row>
    <row r="8747" spans="1:2" ht="12.75" customHeight="1" x14ac:dyDescent="0.25">
      <c r="A8747" s="318">
        <v>93571517457</v>
      </c>
      <c r="B8747" s="318" t="s">
        <v>23</v>
      </c>
    </row>
    <row r="8748" spans="1:2" ht="12.75" customHeight="1" x14ac:dyDescent="0.25">
      <c r="A8748" s="318">
        <v>93571517458</v>
      </c>
      <c r="B8748" s="318" t="s">
        <v>23</v>
      </c>
    </row>
    <row r="8749" spans="1:2" ht="12.75" customHeight="1" x14ac:dyDescent="0.25">
      <c r="A8749" s="318">
        <v>93571517459</v>
      </c>
      <c r="B8749" s="318" t="s">
        <v>237</v>
      </c>
    </row>
    <row r="8750" spans="1:2" ht="12.75" customHeight="1" x14ac:dyDescent="0.25">
      <c r="A8750" s="318">
        <v>93571517461</v>
      </c>
      <c r="B8750" s="318" t="s">
        <v>23</v>
      </c>
    </row>
    <row r="8751" spans="1:2" ht="12.75" customHeight="1" x14ac:dyDescent="0.25">
      <c r="A8751" s="318">
        <v>93571517462</v>
      </c>
      <c r="B8751" s="318" t="s">
        <v>237</v>
      </c>
    </row>
    <row r="8752" spans="1:2" ht="12.75" customHeight="1" x14ac:dyDescent="0.25">
      <c r="A8752" s="318">
        <v>93571517463</v>
      </c>
      <c r="B8752" s="318" t="s">
        <v>23</v>
      </c>
    </row>
    <row r="8753" spans="1:2" ht="12.75" customHeight="1" x14ac:dyDescent="0.25">
      <c r="A8753" s="318">
        <v>93571517464</v>
      </c>
      <c r="B8753" s="318" t="s">
        <v>237</v>
      </c>
    </row>
    <row r="8754" spans="1:2" ht="12.75" customHeight="1" x14ac:dyDescent="0.25">
      <c r="A8754" s="318">
        <v>93571517465</v>
      </c>
      <c r="B8754" s="318" t="s">
        <v>23</v>
      </c>
    </row>
    <row r="8755" spans="1:2" ht="12.75" customHeight="1" x14ac:dyDescent="0.25">
      <c r="A8755" s="318">
        <v>93571517466</v>
      </c>
      <c r="B8755" s="318" t="s">
        <v>237</v>
      </c>
    </row>
    <row r="8756" spans="1:2" ht="12.75" customHeight="1" x14ac:dyDescent="0.25">
      <c r="A8756" s="318">
        <v>93571517467</v>
      </c>
      <c r="B8756" s="318" t="s">
        <v>23</v>
      </c>
    </row>
    <row r="8757" spans="1:2" ht="12.75" customHeight="1" x14ac:dyDescent="0.25">
      <c r="A8757" s="318">
        <v>93571517468</v>
      </c>
      <c r="B8757" s="318" t="s">
        <v>237</v>
      </c>
    </row>
    <row r="8758" spans="1:2" ht="12.75" customHeight="1" x14ac:dyDescent="0.25">
      <c r="A8758" s="318">
        <v>93571517552</v>
      </c>
      <c r="B8758" s="318" t="s">
        <v>237</v>
      </c>
    </row>
    <row r="8759" spans="1:2" ht="12.75" customHeight="1" x14ac:dyDescent="0.25">
      <c r="A8759" s="318">
        <v>93571517553</v>
      </c>
      <c r="B8759" s="318" t="s">
        <v>237</v>
      </c>
    </row>
    <row r="8760" spans="1:2" ht="12.75" customHeight="1" x14ac:dyDescent="0.25">
      <c r="A8760" s="318">
        <v>93571517554</v>
      </c>
      <c r="B8760" s="318" t="s">
        <v>237</v>
      </c>
    </row>
    <row r="8761" spans="1:2" ht="12.75" customHeight="1" x14ac:dyDescent="0.25">
      <c r="A8761" s="318">
        <v>93571517555</v>
      </c>
      <c r="B8761" s="318" t="s">
        <v>237</v>
      </c>
    </row>
    <row r="8762" spans="1:2" ht="12.75" customHeight="1" x14ac:dyDescent="0.25">
      <c r="A8762" s="318">
        <v>93571517556</v>
      </c>
      <c r="B8762" s="318" t="s">
        <v>237</v>
      </c>
    </row>
    <row r="8763" spans="1:2" ht="12.75" customHeight="1" x14ac:dyDescent="0.25">
      <c r="A8763" s="318">
        <v>93571517557</v>
      </c>
      <c r="B8763" s="318" t="s">
        <v>237</v>
      </c>
    </row>
    <row r="8764" spans="1:2" ht="12.75" customHeight="1" x14ac:dyDescent="0.25">
      <c r="A8764" s="318">
        <v>93571517558</v>
      </c>
      <c r="B8764" s="318" t="s">
        <v>237</v>
      </c>
    </row>
    <row r="8765" spans="1:2" ht="12.75" customHeight="1" x14ac:dyDescent="0.25">
      <c r="A8765" s="318">
        <v>93571517559</v>
      </c>
      <c r="B8765" s="318" t="s">
        <v>237</v>
      </c>
    </row>
    <row r="8766" spans="1:2" ht="12.75" customHeight="1" x14ac:dyDescent="0.25">
      <c r="A8766" s="318">
        <v>93571517561</v>
      </c>
      <c r="B8766" s="318" t="s">
        <v>237</v>
      </c>
    </row>
    <row r="8767" spans="1:2" ht="12.75" customHeight="1" x14ac:dyDescent="0.25">
      <c r="A8767" s="318">
        <v>93571517562</v>
      </c>
      <c r="B8767" s="318" t="s">
        <v>237</v>
      </c>
    </row>
    <row r="8768" spans="1:2" ht="12.75" customHeight="1" x14ac:dyDescent="0.25">
      <c r="A8768" s="318">
        <v>93571517563</v>
      </c>
      <c r="B8768" s="318" t="s">
        <v>237</v>
      </c>
    </row>
    <row r="8769" spans="1:2" ht="12.75" customHeight="1" x14ac:dyDescent="0.25">
      <c r="A8769" s="318">
        <v>93571517564</v>
      </c>
      <c r="B8769" s="318" t="s">
        <v>237</v>
      </c>
    </row>
    <row r="8770" spans="1:2" ht="12.75" customHeight="1" x14ac:dyDescent="0.25">
      <c r="A8770" s="318">
        <v>93571517565</v>
      </c>
      <c r="B8770" s="318" t="s">
        <v>237</v>
      </c>
    </row>
    <row r="8771" spans="1:2" ht="12.75" customHeight="1" x14ac:dyDescent="0.25">
      <c r="A8771" s="318">
        <v>93571517566</v>
      </c>
      <c r="B8771" s="318" t="s">
        <v>237</v>
      </c>
    </row>
    <row r="8772" spans="1:2" ht="12.75" customHeight="1" x14ac:dyDescent="0.25">
      <c r="A8772" s="318">
        <v>93571517567</v>
      </c>
      <c r="B8772" s="318" t="s">
        <v>237</v>
      </c>
    </row>
    <row r="8773" spans="1:2" ht="12.75" customHeight="1" x14ac:dyDescent="0.25">
      <c r="A8773" s="318">
        <v>93571517568</v>
      </c>
      <c r="B8773" s="318" t="s">
        <v>237</v>
      </c>
    </row>
    <row r="8774" spans="1:2" ht="12.75" customHeight="1" x14ac:dyDescent="0.25">
      <c r="A8774" s="318">
        <v>93571998425</v>
      </c>
      <c r="B8774" s="318" t="s">
        <v>23</v>
      </c>
    </row>
    <row r="8775" spans="1:2" ht="12.75" customHeight="1" x14ac:dyDescent="0.25">
      <c r="A8775" s="318">
        <v>93571998426</v>
      </c>
      <c r="B8775" s="318" t="s">
        <v>23</v>
      </c>
    </row>
    <row r="8776" spans="1:2" ht="12.75" customHeight="1" x14ac:dyDescent="0.25">
      <c r="A8776" s="318">
        <v>93571998427</v>
      </c>
      <c r="B8776" s="318" t="s">
        <v>23</v>
      </c>
    </row>
    <row r="8777" spans="1:2" ht="12.75" customHeight="1" x14ac:dyDescent="0.25">
      <c r="A8777" s="318">
        <v>93571998428</v>
      </c>
      <c r="B8777" s="318" t="s">
        <v>23</v>
      </c>
    </row>
    <row r="8778" spans="1:2" ht="12.75" customHeight="1" x14ac:dyDescent="0.25">
      <c r="A8778" s="318">
        <v>93571998429</v>
      </c>
      <c r="B8778" s="318" t="s">
        <v>23</v>
      </c>
    </row>
    <row r="8779" spans="1:2" ht="12.75" customHeight="1" x14ac:dyDescent="0.25">
      <c r="A8779" s="318">
        <v>93571998430</v>
      </c>
      <c r="B8779" s="318" t="s">
        <v>23</v>
      </c>
    </row>
    <row r="8780" spans="1:2" ht="12.75" customHeight="1" x14ac:dyDescent="0.25">
      <c r="A8780" s="318">
        <v>93571998431</v>
      </c>
      <c r="B8780" s="318" t="s">
        <v>23</v>
      </c>
    </row>
    <row r="8781" spans="1:2" ht="12.75" customHeight="1" x14ac:dyDescent="0.25">
      <c r="A8781" s="318">
        <v>93571998432</v>
      </c>
      <c r="B8781" s="318" t="s">
        <v>237</v>
      </c>
    </row>
    <row r="8782" spans="1:2" ht="12.75" customHeight="1" x14ac:dyDescent="0.25">
      <c r="A8782" s="318">
        <v>93571998434</v>
      </c>
      <c r="B8782" s="318" t="s">
        <v>23</v>
      </c>
    </row>
    <row r="8783" spans="1:2" ht="12.75" customHeight="1" x14ac:dyDescent="0.25">
      <c r="A8783" s="318">
        <v>93571998435</v>
      </c>
      <c r="B8783" s="318" t="s">
        <v>237</v>
      </c>
    </row>
    <row r="8784" spans="1:2" ht="12.75" customHeight="1" x14ac:dyDescent="0.25">
      <c r="A8784" s="318">
        <v>93571998436</v>
      </c>
      <c r="B8784" s="318" t="s">
        <v>23</v>
      </c>
    </row>
    <row r="8785" spans="1:2" ht="12.75" customHeight="1" x14ac:dyDescent="0.25">
      <c r="A8785" s="318">
        <v>93571998437</v>
      </c>
      <c r="B8785" s="318" t="s">
        <v>237</v>
      </c>
    </row>
    <row r="8786" spans="1:2" ht="12.75" customHeight="1" x14ac:dyDescent="0.25">
      <c r="A8786" s="318">
        <v>93571998438</v>
      </c>
      <c r="B8786" s="318" t="s">
        <v>23</v>
      </c>
    </row>
    <row r="8787" spans="1:2" ht="12.75" customHeight="1" x14ac:dyDescent="0.25">
      <c r="A8787" s="318">
        <v>93571998439</v>
      </c>
      <c r="B8787" s="318" t="s">
        <v>237</v>
      </c>
    </row>
    <row r="8788" spans="1:2" ht="12.75" customHeight="1" x14ac:dyDescent="0.25">
      <c r="A8788" s="318">
        <v>93571998440</v>
      </c>
      <c r="B8788" s="318" t="s">
        <v>23</v>
      </c>
    </row>
    <row r="8789" spans="1:2" ht="12.75" customHeight="1" x14ac:dyDescent="0.25">
      <c r="A8789" s="318">
        <v>93571998441</v>
      </c>
      <c r="B8789" s="318" t="s">
        <v>237</v>
      </c>
    </row>
    <row r="8790" spans="1:2" ht="12.75" customHeight="1" x14ac:dyDescent="0.25">
      <c r="A8790" s="318">
        <v>93571998525</v>
      </c>
      <c r="B8790" s="318" t="s">
        <v>237</v>
      </c>
    </row>
    <row r="8791" spans="1:2" ht="12.75" customHeight="1" x14ac:dyDescent="0.25">
      <c r="A8791" s="318">
        <v>93571998526</v>
      </c>
      <c r="B8791" s="318" t="s">
        <v>237</v>
      </c>
    </row>
    <row r="8792" spans="1:2" ht="12.75" customHeight="1" x14ac:dyDescent="0.25">
      <c r="A8792" s="318">
        <v>93571998527</v>
      </c>
      <c r="B8792" s="318" t="s">
        <v>237</v>
      </c>
    </row>
    <row r="8793" spans="1:2" ht="12.75" customHeight="1" x14ac:dyDescent="0.25">
      <c r="A8793" s="318">
        <v>93571998528</v>
      </c>
      <c r="B8793" s="318" t="s">
        <v>237</v>
      </c>
    </row>
    <row r="8794" spans="1:2" ht="12.75" customHeight="1" x14ac:dyDescent="0.25">
      <c r="A8794" s="318">
        <v>93571998529</v>
      </c>
      <c r="B8794" s="318" t="s">
        <v>237</v>
      </c>
    </row>
    <row r="8795" spans="1:2" ht="12.75" customHeight="1" x14ac:dyDescent="0.25">
      <c r="A8795" s="318">
        <v>93571998530</v>
      </c>
      <c r="B8795" s="318" t="s">
        <v>237</v>
      </c>
    </row>
    <row r="8796" spans="1:2" ht="12.75" customHeight="1" x14ac:dyDescent="0.25">
      <c r="A8796" s="318">
        <v>93571998531</v>
      </c>
      <c r="B8796" s="318" t="s">
        <v>237</v>
      </c>
    </row>
    <row r="8797" spans="1:2" ht="12.75" customHeight="1" x14ac:dyDescent="0.25">
      <c r="A8797" s="318">
        <v>93571998532</v>
      </c>
      <c r="B8797" s="318" t="s">
        <v>237</v>
      </c>
    </row>
    <row r="8798" spans="1:2" ht="12.75" customHeight="1" x14ac:dyDescent="0.25">
      <c r="A8798" s="318">
        <v>93571998534</v>
      </c>
      <c r="B8798" s="318" t="s">
        <v>237</v>
      </c>
    </row>
    <row r="8799" spans="1:2" ht="12.75" customHeight="1" x14ac:dyDescent="0.25">
      <c r="A8799" s="318">
        <v>93571998535</v>
      </c>
      <c r="B8799" s="318" t="s">
        <v>237</v>
      </c>
    </row>
    <row r="8800" spans="1:2" ht="12.75" customHeight="1" x14ac:dyDescent="0.25">
      <c r="A8800" s="318">
        <v>93571998536</v>
      </c>
      <c r="B8800" s="318" t="s">
        <v>237</v>
      </c>
    </row>
    <row r="8801" spans="1:2" ht="12.75" customHeight="1" x14ac:dyDescent="0.25">
      <c r="A8801" s="318">
        <v>93571998537</v>
      </c>
      <c r="B8801" s="318" t="s">
        <v>237</v>
      </c>
    </row>
    <row r="8802" spans="1:2" ht="12.75" customHeight="1" x14ac:dyDescent="0.25">
      <c r="A8802" s="318">
        <v>93571998538</v>
      </c>
      <c r="B8802" s="318" t="s">
        <v>237</v>
      </c>
    </row>
    <row r="8803" spans="1:2" ht="12.75" customHeight="1" x14ac:dyDescent="0.25">
      <c r="A8803" s="318">
        <v>93571998539</v>
      </c>
      <c r="B8803" s="318" t="s">
        <v>237</v>
      </c>
    </row>
    <row r="8804" spans="1:2" ht="12.75" customHeight="1" x14ac:dyDescent="0.25">
      <c r="A8804" s="318">
        <v>93571998540</v>
      </c>
      <c r="B8804" s="318" t="s">
        <v>237</v>
      </c>
    </row>
    <row r="8805" spans="1:2" ht="12.75" customHeight="1" x14ac:dyDescent="0.25">
      <c r="A8805" s="318">
        <v>93571998541</v>
      </c>
      <c r="B8805" s="318" t="s">
        <v>237</v>
      </c>
    </row>
    <row r="8806" spans="1:2" ht="12.75" customHeight="1" x14ac:dyDescent="0.25">
      <c r="A8806" s="318">
        <v>93573358806</v>
      </c>
      <c r="B8806" s="318" t="s">
        <v>23</v>
      </c>
    </row>
    <row r="8807" spans="1:2" ht="12.75" customHeight="1" x14ac:dyDescent="0.25">
      <c r="A8807" s="318">
        <v>93573358807</v>
      </c>
      <c r="B8807" s="318" t="s">
        <v>23</v>
      </c>
    </row>
    <row r="8808" spans="1:2" ht="12.75" customHeight="1" x14ac:dyDescent="0.25">
      <c r="A8808" s="318">
        <v>93573358808</v>
      </c>
      <c r="B8808" s="318" t="s">
        <v>23</v>
      </c>
    </row>
    <row r="8809" spans="1:2" ht="12.75" customHeight="1" x14ac:dyDescent="0.25">
      <c r="A8809" s="318">
        <v>93573358809</v>
      </c>
      <c r="B8809" s="318" t="s">
        <v>23</v>
      </c>
    </row>
    <row r="8810" spans="1:2" ht="12.75" customHeight="1" x14ac:dyDescent="0.25">
      <c r="A8810" s="318">
        <v>93573358810</v>
      </c>
      <c r="B8810" s="318" t="s">
        <v>23</v>
      </c>
    </row>
    <row r="8811" spans="1:2" ht="12.75" customHeight="1" x14ac:dyDescent="0.25">
      <c r="A8811" s="318">
        <v>93573358811</v>
      </c>
      <c r="B8811" s="318" t="s">
        <v>23</v>
      </c>
    </row>
    <row r="8812" spans="1:2" ht="12.75" customHeight="1" x14ac:dyDescent="0.25">
      <c r="A8812" s="318">
        <v>93573358812</v>
      </c>
      <c r="B8812" s="318" t="s">
        <v>23</v>
      </c>
    </row>
    <row r="8813" spans="1:2" ht="12.75" customHeight="1" x14ac:dyDescent="0.25">
      <c r="A8813" s="318">
        <v>93573358813</v>
      </c>
      <c r="B8813" s="318" t="s">
        <v>237</v>
      </c>
    </row>
    <row r="8814" spans="1:2" ht="12.75" customHeight="1" x14ac:dyDescent="0.25">
      <c r="A8814" s="318">
        <v>93573358815</v>
      </c>
      <c r="B8814" s="318" t="s">
        <v>23</v>
      </c>
    </row>
    <row r="8815" spans="1:2" ht="12.75" customHeight="1" x14ac:dyDescent="0.25">
      <c r="A8815" s="318">
        <v>93573358816</v>
      </c>
      <c r="B8815" s="318" t="s">
        <v>237</v>
      </c>
    </row>
    <row r="8816" spans="1:2" ht="12.75" customHeight="1" x14ac:dyDescent="0.25">
      <c r="A8816" s="318">
        <v>93573358817</v>
      </c>
      <c r="B8816" s="318" t="s">
        <v>23</v>
      </c>
    </row>
    <row r="8817" spans="1:2" ht="12.75" customHeight="1" x14ac:dyDescent="0.25">
      <c r="A8817" s="318">
        <v>93573358818</v>
      </c>
      <c r="B8817" s="318" t="s">
        <v>237</v>
      </c>
    </row>
    <row r="8818" spans="1:2" ht="12.75" customHeight="1" x14ac:dyDescent="0.25">
      <c r="A8818" s="318">
        <v>93573358819</v>
      </c>
      <c r="B8818" s="318" t="s">
        <v>23</v>
      </c>
    </row>
    <row r="8819" spans="1:2" ht="12.75" customHeight="1" x14ac:dyDescent="0.25">
      <c r="A8819" s="318">
        <v>93573358820</v>
      </c>
      <c r="B8819" s="318" t="s">
        <v>237</v>
      </c>
    </row>
    <row r="8820" spans="1:2" ht="12.75" customHeight="1" x14ac:dyDescent="0.25">
      <c r="A8820" s="318">
        <v>93573358821</v>
      </c>
      <c r="B8820" s="318" t="s">
        <v>23</v>
      </c>
    </row>
    <row r="8821" spans="1:2" ht="12.75" customHeight="1" x14ac:dyDescent="0.25">
      <c r="A8821" s="318">
        <v>93573358822</v>
      </c>
      <c r="B8821" s="318" t="s">
        <v>237</v>
      </c>
    </row>
    <row r="8822" spans="1:2" ht="12.75" customHeight="1" x14ac:dyDescent="0.25">
      <c r="A8822" s="318">
        <v>93573358906</v>
      </c>
      <c r="B8822" s="318" t="s">
        <v>237</v>
      </c>
    </row>
    <row r="8823" spans="1:2" ht="12.75" customHeight="1" x14ac:dyDescent="0.25">
      <c r="A8823" s="318">
        <v>93573358907</v>
      </c>
      <c r="B8823" s="318" t="s">
        <v>237</v>
      </c>
    </row>
    <row r="8824" spans="1:2" ht="12.75" customHeight="1" x14ac:dyDescent="0.25">
      <c r="A8824" s="318">
        <v>93573358908</v>
      </c>
      <c r="B8824" s="318" t="s">
        <v>237</v>
      </c>
    </row>
    <row r="8825" spans="1:2" ht="12.75" customHeight="1" x14ac:dyDescent="0.25">
      <c r="A8825" s="318">
        <v>93573358909</v>
      </c>
      <c r="B8825" s="318" t="s">
        <v>237</v>
      </c>
    </row>
    <row r="8826" spans="1:2" ht="12.75" customHeight="1" x14ac:dyDescent="0.25">
      <c r="A8826" s="318">
        <v>93573358910</v>
      </c>
      <c r="B8826" s="318" t="s">
        <v>237</v>
      </c>
    </row>
    <row r="8827" spans="1:2" ht="12.75" customHeight="1" x14ac:dyDescent="0.25">
      <c r="A8827" s="318">
        <v>93573358911</v>
      </c>
      <c r="B8827" s="318" t="s">
        <v>237</v>
      </c>
    </row>
    <row r="8828" spans="1:2" ht="12.75" customHeight="1" x14ac:dyDescent="0.25">
      <c r="A8828" s="318">
        <v>93573358912</v>
      </c>
      <c r="B8828" s="318" t="s">
        <v>237</v>
      </c>
    </row>
    <row r="8829" spans="1:2" ht="12.75" customHeight="1" x14ac:dyDescent="0.25">
      <c r="A8829" s="318">
        <v>93573358913</v>
      </c>
      <c r="B8829" s="318" t="s">
        <v>237</v>
      </c>
    </row>
    <row r="8830" spans="1:2" ht="12.75" customHeight="1" x14ac:dyDescent="0.25">
      <c r="A8830" s="318">
        <v>93573358915</v>
      </c>
      <c r="B8830" s="318" t="s">
        <v>237</v>
      </c>
    </row>
    <row r="8831" spans="1:2" ht="12.75" customHeight="1" x14ac:dyDescent="0.25">
      <c r="A8831" s="318">
        <v>93573358916</v>
      </c>
      <c r="B8831" s="318" t="s">
        <v>237</v>
      </c>
    </row>
    <row r="8832" spans="1:2" ht="12.75" customHeight="1" x14ac:dyDescent="0.25">
      <c r="A8832" s="318">
        <v>93573358917</v>
      </c>
      <c r="B8832" s="318" t="s">
        <v>237</v>
      </c>
    </row>
    <row r="8833" spans="1:2" ht="12.75" customHeight="1" x14ac:dyDescent="0.25">
      <c r="A8833" s="318">
        <v>93573358918</v>
      </c>
      <c r="B8833" s="318" t="s">
        <v>237</v>
      </c>
    </row>
    <row r="8834" spans="1:2" ht="12.75" customHeight="1" x14ac:dyDescent="0.25">
      <c r="A8834" s="318">
        <v>93573358919</v>
      </c>
      <c r="B8834" s="318" t="s">
        <v>237</v>
      </c>
    </row>
    <row r="8835" spans="1:2" ht="12.75" customHeight="1" x14ac:dyDescent="0.25">
      <c r="A8835" s="318">
        <v>93573358920</v>
      </c>
      <c r="B8835" s="318" t="s">
        <v>237</v>
      </c>
    </row>
    <row r="8836" spans="1:2" ht="12.75" customHeight="1" x14ac:dyDescent="0.25">
      <c r="A8836" s="318">
        <v>93573358921</v>
      </c>
      <c r="B8836" s="318" t="s">
        <v>237</v>
      </c>
    </row>
    <row r="8837" spans="1:2" ht="12.75" customHeight="1" x14ac:dyDescent="0.25">
      <c r="A8837" s="318">
        <v>93573358922</v>
      </c>
      <c r="B8837" s="318" t="s">
        <v>237</v>
      </c>
    </row>
    <row r="8838" spans="1:2" ht="12.75" customHeight="1" x14ac:dyDescent="0.25">
      <c r="A8838" s="318">
        <v>93573839779</v>
      </c>
      <c r="B8838" s="318" t="s">
        <v>23</v>
      </c>
    </row>
    <row r="8839" spans="1:2" ht="12.75" customHeight="1" x14ac:dyDescent="0.25">
      <c r="A8839" s="318">
        <v>93573839780</v>
      </c>
      <c r="B8839" s="318" t="s">
        <v>23</v>
      </c>
    </row>
    <row r="8840" spans="1:2" ht="12.75" customHeight="1" x14ac:dyDescent="0.25">
      <c r="A8840" s="318">
        <v>93573839781</v>
      </c>
      <c r="B8840" s="318" t="s">
        <v>23</v>
      </c>
    </row>
    <row r="8841" spans="1:2" ht="12.75" customHeight="1" x14ac:dyDescent="0.25">
      <c r="A8841" s="318">
        <v>93573839782</v>
      </c>
      <c r="B8841" s="318" t="s">
        <v>23</v>
      </c>
    </row>
    <row r="8842" spans="1:2" ht="12.75" customHeight="1" x14ac:dyDescent="0.25">
      <c r="A8842" s="318">
        <v>93573839783</v>
      </c>
      <c r="B8842" s="318" t="s">
        <v>23</v>
      </c>
    </row>
    <row r="8843" spans="1:2" ht="12.75" customHeight="1" x14ac:dyDescent="0.25">
      <c r="A8843" s="318">
        <v>93573839784</v>
      </c>
      <c r="B8843" s="318" t="s">
        <v>23</v>
      </c>
    </row>
    <row r="8844" spans="1:2" ht="12.75" customHeight="1" x14ac:dyDescent="0.25">
      <c r="A8844" s="318">
        <v>93573839785</v>
      </c>
      <c r="B8844" s="318" t="s">
        <v>23</v>
      </c>
    </row>
    <row r="8845" spans="1:2" ht="12.75" customHeight="1" x14ac:dyDescent="0.25">
      <c r="A8845" s="318">
        <v>93573839786</v>
      </c>
      <c r="B8845" s="318" t="s">
        <v>237</v>
      </c>
    </row>
    <row r="8846" spans="1:2" ht="12.75" customHeight="1" x14ac:dyDescent="0.25">
      <c r="A8846" s="318">
        <v>93573839788</v>
      </c>
      <c r="B8846" s="318" t="s">
        <v>23</v>
      </c>
    </row>
    <row r="8847" spans="1:2" ht="12.75" customHeight="1" x14ac:dyDescent="0.25">
      <c r="A8847" s="318">
        <v>93573839789</v>
      </c>
      <c r="B8847" s="318" t="s">
        <v>237</v>
      </c>
    </row>
    <row r="8848" spans="1:2" ht="12.75" customHeight="1" x14ac:dyDescent="0.25">
      <c r="A8848" s="318">
        <v>93573839790</v>
      </c>
      <c r="B8848" s="318" t="s">
        <v>23</v>
      </c>
    </row>
    <row r="8849" spans="1:2" ht="12.75" customHeight="1" x14ac:dyDescent="0.25">
      <c r="A8849" s="318">
        <v>93573839791</v>
      </c>
      <c r="B8849" s="318" t="s">
        <v>237</v>
      </c>
    </row>
    <row r="8850" spans="1:2" ht="12.75" customHeight="1" x14ac:dyDescent="0.25">
      <c r="A8850" s="318">
        <v>93573839792</v>
      </c>
      <c r="B8850" s="318" t="s">
        <v>23</v>
      </c>
    </row>
    <row r="8851" spans="1:2" ht="12.75" customHeight="1" x14ac:dyDescent="0.25">
      <c r="A8851" s="318">
        <v>93573839793</v>
      </c>
      <c r="B8851" s="318" t="s">
        <v>237</v>
      </c>
    </row>
    <row r="8852" spans="1:2" ht="12.75" customHeight="1" x14ac:dyDescent="0.25">
      <c r="A8852" s="318">
        <v>93573839794</v>
      </c>
      <c r="B8852" s="318" t="s">
        <v>23</v>
      </c>
    </row>
    <row r="8853" spans="1:2" ht="12.75" customHeight="1" x14ac:dyDescent="0.25">
      <c r="A8853" s="318">
        <v>93573839795</v>
      </c>
      <c r="B8853" s="318" t="s">
        <v>237</v>
      </c>
    </row>
    <row r="8854" spans="1:2" ht="12.75" customHeight="1" x14ac:dyDescent="0.25">
      <c r="A8854" s="318">
        <v>93573839879</v>
      </c>
      <c r="B8854" s="318" t="s">
        <v>237</v>
      </c>
    </row>
    <row r="8855" spans="1:2" ht="12.75" customHeight="1" x14ac:dyDescent="0.25">
      <c r="A8855" s="318">
        <v>93573839880</v>
      </c>
      <c r="B8855" s="318" t="s">
        <v>237</v>
      </c>
    </row>
    <row r="8856" spans="1:2" ht="12.75" customHeight="1" x14ac:dyDescent="0.25">
      <c r="A8856" s="318">
        <v>93573839881</v>
      </c>
      <c r="B8856" s="318" t="s">
        <v>237</v>
      </c>
    </row>
    <row r="8857" spans="1:2" ht="12.75" customHeight="1" x14ac:dyDescent="0.25">
      <c r="A8857" s="318">
        <v>93573839882</v>
      </c>
      <c r="B8857" s="318" t="s">
        <v>237</v>
      </c>
    </row>
    <row r="8858" spans="1:2" ht="12.75" customHeight="1" x14ac:dyDescent="0.25">
      <c r="A8858" s="318">
        <v>93573839883</v>
      </c>
      <c r="B8858" s="318" t="s">
        <v>237</v>
      </c>
    </row>
    <row r="8859" spans="1:2" ht="12.75" customHeight="1" x14ac:dyDescent="0.25">
      <c r="A8859" s="318">
        <v>93573839884</v>
      </c>
      <c r="B8859" s="318" t="s">
        <v>237</v>
      </c>
    </row>
    <row r="8860" spans="1:2" ht="12.75" customHeight="1" x14ac:dyDescent="0.25">
      <c r="A8860" s="318">
        <v>93573839885</v>
      </c>
      <c r="B8860" s="318" t="s">
        <v>237</v>
      </c>
    </row>
    <row r="8861" spans="1:2" ht="12.75" customHeight="1" x14ac:dyDescent="0.25">
      <c r="A8861" s="318">
        <v>93573839886</v>
      </c>
      <c r="B8861" s="318" t="s">
        <v>237</v>
      </c>
    </row>
    <row r="8862" spans="1:2" ht="12.75" customHeight="1" x14ac:dyDescent="0.25">
      <c r="A8862" s="318">
        <v>93573839888</v>
      </c>
      <c r="B8862" s="318" t="s">
        <v>237</v>
      </c>
    </row>
    <row r="8863" spans="1:2" ht="12.75" customHeight="1" x14ac:dyDescent="0.25">
      <c r="A8863" s="318">
        <v>93573839889</v>
      </c>
      <c r="B8863" s="318" t="s">
        <v>237</v>
      </c>
    </row>
    <row r="8864" spans="1:2" ht="12.75" customHeight="1" x14ac:dyDescent="0.25">
      <c r="A8864" s="318">
        <v>93573839890</v>
      </c>
      <c r="B8864" s="318" t="s">
        <v>237</v>
      </c>
    </row>
    <row r="8865" spans="1:2" ht="12.75" customHeight="1" x14ac:dyDescent="0.25">
      <c r="A8865" s="318">
        <v>93573839891</v>
      </c>
      <c r="B8865" s="318" t="s">
        <v>237</v>
      </c>
    </row>
    <row r="8866" spans="1:2" ht="12.75" customHeight="1" x14ac:dyDescent="0.25">
      <c r="A8866" s="318">
        <v>93573839892</v>
      </c>
      <c r="B8866" s="318" t="s">
        <v>237</v>
      </c>
    </row>
    <row r="8867" spans="1:2" ht="12.75" customHeight="1" x14ac:dyDescent="0.25">
      <c r="A8867" s="318">
        <v>93573839893</v>
      </c>
      <c r="B8867" s="318" t="s">
        <v>237</v>
      </c>
    </row>
    <row r="8868" spans="1:2" ht="12.75" customHeight="1" x14ac:dyDescent="0.25">
      <c r="A8868" s="318">
        <v>93573839894</v>
      </c>
      <c r="B8868" s="318" t="s">
        <v>237</v>
      </c>
    </row>
    <row r="8869" spans="1:2" ht="12.75" customHeight="1" x14ac:dyDescent="0.25">
      <c r="A8869" s="318">
        <v>93573839895</v>
      </c>
      <c r="B8869" s="318" t="s">
        <v>237</v>
      </c>
    </row>
    <row r="8870" spans="1:2" ht="12.75" customHeight="1" x14ac:dyDescent="0.25">
      <c r="A8870" s="318">
        <v>93574320752</v>
      </c>
      <c r="B8870" s="318" t="s">
        <v>23</v>
      </c>
    </row>
    <row r="8871" spans="1:2" ht="12.75" customHeight="1" x14ac:dyDescent="0.25">
      <c r="A8871" s="318">
        <v>93574320753</v>
      </c>
      <c r="B8871" s="318" t="s">
        <v>23</v>
      </c>
    </row>
    <row r="8872" spans="1:2" ht="12.75" customHeight="1" x14ac:dyDescent="0.25">
      <c r="A8872" s="318">
        <v>93574320754</v>
      </c>
      <c r="B8872" s="318" t="s">
        <v>23</v>
      </c>
    </row>
    <row r="8873" spans="1:2" ht="12.75" customHeight="1" x14ac:dyDescent="0.25">
      <c r="A8873" s="318">
        <v>93574320755</v>
      </c>
      <c r="B8873" s="318" t="s">
        <v>23</v>
      </c>
    </row>
    <row r="8874" spans="1:2" ht="12.75" customHeight="1" x14ac:dyDescent="0.25">
      <c r="A8874" s="318">
        <v>93574320756</v>
      </c>
      <c r="B8874" s="318" t="s">
        <v>23</v>
      </c>
    </row>
    <row r="8875" spans="1:2" ht="12.75" customHeight="1" x14ac:dyDescent="0.25">
      <c r="A8875" s="318">
        <v>93574320757</v>
      </c>
      <c r="B8875" s="318" t="s">
        <v>23</v>
      </c>
    </row>
    <row r="8876" spans="1:2" ht="12.75" customHeight="1" x14ac:dyDescent="0.25">
      <c r="A8876" s="318">
        <v>93574320758</v>
      </c>
      <c r="B8876" s="318" t="s">
        <v>23</v>
      </c>
    </row>
    <row r="8877" spans="1:2" ht="12.75" customHeight="1" x14ac:dyDescent="0.25">
      <c r="A8877" s="318">
        <v>93574320759</v>
      </c>
      <c r="B8877" s="318" t="s">
        <v>237</v>
      </c>
    </row>
    <row r="8878" spans="1:2" ht="12.75" customHeight="1" x14ac:dyDescent="0.25">
      <c r="A8878" s="318">
        <v>93574320761</v>
      </c>
      <c r="B8878" s="318" t="s">
        <v>23</v>
      </c>
    </row>
    <row r="8879" spans="1:2" ht="12.75" customHeight="1" x14ac:dyDescent="0.25">
      <c r="A8879" s="318">
        <v>93574320762</v>
      </c>
      <c r="B8879" s="318" t="s">
        <v>237</v>
      </c>
    </row>
    <row r="8880" spans="1:2" ht="12.75" customHeight="1" x14ac:dyDescent="0.25">
      <c r="A8880" s="318">
        <v>93574320763</v>
      </c>
      <c r="B8880" s="318" t="s">
        <v>23</v>
      </c>
    </row>
    <row r="8881" spans="1:2" ht="12.75" customHeight="1" x14ac:dyDescent="0.25">
      <c r="A8881" s="318">
        <v>93574320764</v>
      </c>
      <c r="B8881" s="318" t="s">
        <v>237</v>
      </c>
    </row>
    <row r="8882" spans="1:2" ht="12.75" customHeight="1" x14ac:dyDescent="0.25">
      <c r="A8882" s="318">
        <v>93574320765</v>
      </c>
      <c r="B8882" s="318" t="s">
        <v>23</v>
      </c>
    </row>
    <row r="8883" spans="1:2" ht="12.75" customHeight="1" x14ac:dyDescent="0.25">
      <c r="A8883" s="318">
        <v>93574320766</v>
      </c>
      <c r="B8883" s="318" t="s">
        <v>237</v>
      </c>
    </row>
    <row r="8884" spans="1:2" ht="12.75" customHeight="1" x14ac:dyDescent="0.25">
      <c r="A8884" s="318">
        <v>93574320767</v>
      </c>
      <c r="B8884" s="318" t="s">
        <v>23</v>
      </c>
    </row>
    <row r="8885" spans="1:2" ht="12.75" customHeight="1" x14ac:dyDescent="0.25">
      <c r="A8885" s="318">
        <v>93574320768</v>
      </c>
      <c r="B8885" s="318" t="s">
        <v>237</v>
      </c>
    </row>
    <row r="8886" spans="1:2" ht="12.75" customHeight="1" x14ac:dyDescent="0.25">
      <c r="A8886" s="318">
        <v>93574320852</v>
      </c>
      <c r="B8886" s="318" t="s">
        <v>237</v>
      </c>
    </row>
    <row r="8887" spans="1:2" ht="12.75" customHeight="1" x14ac:dyDescent="0.25">
      <c r="A8887" s="318">
        <v>93574320853</v>
      </c>
      <c r="B8887" s="318" t="s">
        <v>237</v>
      </c>
    </row>
    <row r="8888" spans="1:2" ht="12.75" customHeight="1" x14ac:dyDescent="0.25">
      <c r="A8888" s="318">
        <v>93574320854</v>
      </c>
      <c r="B8888" s="318" t="s">
        <v>237</v>
      </c>
    </row>
    <row r="8889" spans="1:2" ht="12.75" customHeight="1" x14ac:dyDescent="0.25">
      <c r="A8889" s="318">
        <v>93574320855</v>
      </c>
      <c r="B8889" s="318" t="s">
        <v>237</v>
      </c>
    </row>
    <row r="8890" spans="1:2" ht="12.75" customHeight="1" x14ac:dyDescent="0.25">
      <c r="A8890" s="318">
        <v>93574320856</v>
      </c>
      <c r="B8890" s="318" t="s">
        <v>237</v>
      </c>
    </row>
    <row r="8891" spans="1:2" ht="12.75" customHeight="1" x14ac:dyDescent="0.25">
      <c r="A8891" s="318">
        <v>93574320857</v>
      </c>
      <c r="B8891" s="318" t="s">
        <v>237</v>
      </c>
    </row>
    <row r="8892" spans="1:2" ht="12.75" customHeight="1" x14ac:dyDescent="0.25">
      <c r="A8892" s="318">
        <v>93574320858</v>
      </c>
      <c r="B8892" s="318" t="s">
        <v>237</v>
      </c>
    </row>
    <row r="8893" spans="1:2" ht="12.75" customHeight="1" x14ac:dyDescent="0.25">
      <c r="A8893" s="318">
        <v>93574320859</v>
      </c>
      <c r="B8893" s="318" t="s">
        <v>237</v>
      </c>
    </row>
    <row r="8894" spans="1:2" ht="12.75" customHeight="1" x14ac:dyDescent="0.25">
      <c r="A8894" s="318">
        <v>93574320861</v>
      </c>
      <c r="B8894" s="318" t="s">
        <v>237</v>
      </c>
    </row>
    <row r="8895" spans="1:2" ht="12.75" customHeight="1" x14ac:dyDescent="0.25">
      <c r="A8895" s="318">
        <v>93574320862</v>
      </c>
      <c r="B8895" s="318" t="s">
        <v>237</v>
      </c>
    </row>
    <row r="8896" spans="1:2" ht="12.75" customHeight="1" x14ac:dyDescent="0.25">
      <c r="A8896" s="318">
        <v>93574320863</v>
      </c>
      <c r="B8896" s="318" t="s">
        <v>237</v>
      </c>
    </row>
    <row r="8897" spans="1:2" ht="12.75" customHeight="1" x14ac:dyDescent="0.25">
      <c r="A8897" s="318">
        <v>93574320864</v>
      </c>
      <c r="B8897" s="318" t="s">
        <v>237</v>
      </c>
    </row>
    <row r="8898" spans="1:2" ht="12.75" customHeight="1" x14ac:dyDescent="0.25">
      <c r="A8898" s="318">
        <v>93574320865</v>
      </c>
      <c r="B8898" s="318" t="s">
        <v>237</v>
      </c>
    </row>
    <row r="8899" spans="1:2" ht="12.75" customHeight="1" x14ac:dyDescent="0.25">
      <c r="A8899" s="318">
        <v>93574320866</v>
      </c>
      <c r="B8899" s="318" t="s">
        <v>237</v>
      </c>
    </row>
    <row r="8900" spans="1:2" ht="12.75" customHeight="1" x14ac:dyDescent="0.25">
      <c r="A8900" s="318">
        <v>93574320867</v>
      </c>
      <c r="B8900" s="318" t="s">
        <v>237</v>
      </c>
    </row>
    <row r="8901" spans="1:2" ht="12.75" customHeight="1" x14ac:dyDescent="0.25">
      <c r="A8901" s="318">
        <v>93574320868</v>
      </c>
      <c r="B8901" s="318" t="s">
        <v>237</v>
      </c>
    </row>
    <row r="8902" spans="1:2" ht="12.75" customHeight="1" x14ac:dyDescent="0.25">
      <c r="A8902" s="318">
        <v>93575000943</v>
      </c>
      <c r="B8902" s="318" t="s">
        <v>23</v>
      </c>
    </row>
    <row r="8903" spans="1:2" ht="12.75" customHeight="1" x14ac:dyDescent="0.25">
      <c r="A8903" s="318">
        <v>93575000944</v>
      </c>
      <c r="B8903" s="318" t="s">
        <v>23</v>
      </c>
    </row>
    <row r="8904" spans="1:2" ht="12.75" customHeight="1" x14ac:dyDescent="0.25">
      <c r="A8904" s="318">
        <v>93575000945</v>
      </c>
      <c r="B8904" s="318" t="s">
        <v>23</v>
      </c>
    </row>
    <row r="8905" spans="1:2" ht="12.75" customHeight="1" x14ac:dyDescent="0.25">
      <c r="A8905" s="318">
        <v>93575000946</v>
      </c>
      <c r="B8905" s="318" t="s">
        <v>23</v>
      </c>
    </row>
    <row r="8906" spans="1:2" ht="12.75" customHeight="1" x14ac:dyDescent="0.25">
      <c r="A8906" s="318">
        <v>93575000947</v>
      </c>
      <c r="B8906" s="318" t="s">
        <v>23</v>
      </c>
    </row>
    <row r="8907" spans="1:2" ht="12.75" customHeight="1" x14ac:dyDescent="0.25">
      <c r="A8907" s="318">
        <v>93575000948</v>
      </c>
      <c r="B8907" s="318" t="s">
        <v>23</v>
      </c>
    </row>
    <row r="8908" spans="1:2" ht="12.75" customHeight="1" x14ac:dyDescent="0.25">
      <c r="A8908" s="318">
        <v>93575000949</v>
      </c>
      <c r="B8908" s="318" t="s">
        <v>23</v>
      </c>
    </row>
    <row r="8909" spans="1:2" ht="12.75" customHeight="1" x14ac:dyDescent="0.25">
      <c r="A8909" s="318">
        <v>93575000950</v>
      </c>
      <c r="B8909" s="318" t="s">
        <v>237</v>
      </c>
    </row>
    <row r="8910" spans="1:2" ht="12.75" customHeight="1" x14ac:dyDescent="0.25">
      <c r="A8910" s="318">
        <v>93575000952</v>
      </c>
      <c r="B8910" s="318" t="s">
        <v>23</v>
      </c>
    </row>
    <row r="8911" spans="1:2" ht="12.75" customHeight="1" x14ac:dyDescent="0.25">
      <c r="A8911" s="318">
        <v>93575000953</v>
      </c>
      <c r="B8911" s="318" t="s">
        <v>237</v>
      </c>
    </row>
    <row r="8912" spans="1:2" ht="12.75" customHeight="1" x14ac:dyDescent="0.25">
      <c r="A8912" s="318">
        <v>93575000954</v>
      </c>
      <c r="B8912" s="318" t="s">
        <v>23</v>
      </c>
    </row>
    <row r="8913" spans="1:2" ht="12.75" customHeight="1" x14ac:dyDescent="0.25">
      <c r="A8913" s="318">
        <v>93575000955</v>
      </c>
      <c r="B8913" s="318" t="s">
        <v>237</v>
      </c>
    </row>
    <row r="8914" spans="1:2" ht="12.75" customHeight="1" x14ac:dyDescent="0.25">
      <c r="A8914" s="318">
        <v>93575000956</v>
      </c>
      <c r="B8914" s="318" t="s">
        <v>23</v>
      </c>
    </row>
    <row r="8915" spans="1:2" ht="12.75" customHeight="1" x14ac:dyDescent="0.25">
      <c r="A8915" s="318">
        <v>93575000957</v>
      </c>
      <c r="B8915" s="318" t="s">
        <v>237</v>
      </c>
    </row>
    <row r="8916" spans="1:2" ht="12.75" customHeight="1" x14ac:dyDescent="0.25">
      <c r="A8916" s="318">
        <v>93575000958</v>
      </c>
      <c r="B8916" s="318" t="s">
        <v>23</v>
      </c>
    </row>
    <row r="8917" spans="1:2" ht="12.75" customHeight="1" x14ac:dyDescent="0.25">
      <c r="A8917" s="318">
        <v>93575000959</v>
      </c>
      <c r="B8917" s="318" t="s">
        <v>237</v>
      </c>
    </row>
    <row r="8918" spans="1:2" ht="12.75" customHeight="1" x14ac:dyDescent="0.25">
      <c r="A8918" s="318">
        <v>93575001043</v>
      </c>
      <c r="B8918" s="318" t="s">
        <v>237</v>
      </c>
    </row>
    <row r="8919" spans="1:2" ht="12.75" customHeight="1" x14ac:dyDescent="0.25">
      <c r="A8919" s="318">
        <v>93575001044</v>
      </c>
      <c r="B8919" s="318" t="s">
        <v>237</v>
      </c>
    </row>
    <row r="8920" spans="1:2" ht="12.75" customHeight="1" x14ac:dyDescent="0.25">
      <c r="A8920" s="318">
        <v>93575001045</v>
      </c>
      <c r="B8920" s="318" t="s">
        <v>237</v>
      </c>
    </row>
    <row r="8921" spans="1:2" ht="12.75" customHeight="1" x14ac:dyDescent="0.25">
      <c r="A8921" s="318">
        <v>93575001046</v>
      </c>
      <c r="B8921" s="318" t="s">
        <v>237</v>
      </c>
    </row>
    <row r="8922" spans="1:2" ht="12.75" customHeight="1" x14ac:dyDescent="0.25">
      <c r="A8922" s="318">
        <v>93575001047</v>
      </c>
      <c r="B8922" s="318" t="s">
        <v>237</v>
      </c>
    </row>
    <row r="8923" spans="1:2" ht="12.75" customHeight="1" x14ac:dyDescent="0.25">
      <c r="A8923" s="318">
        <v>93575001048</v>
      </c>
      <c r="B8923" s="318" t="s">
        <v>237</v>
      </c>
    </row>
    <row r="8924" spans="1:2" ht="12.75" customHeight="1" x14ac:dyDescent="0.25">
      <c r="A8924" s="318">
        <v>93575001049</v>
      </c>
      <c r="B8924" s="318" t="s">
        <v>237</v>
      </c>
    </row>
    <row r="8925" spans="1:2" ht="12.75" customHeight="1" x14ac:dyDescent="0.25">
      <c r="A8925" s="318">
        <v>93575001050</v>
      </c>
      <c r="B8925" s="318" t="s">
        <v>237</v>
      </c>
    </row>
    <row r="8926" spans="1:2" ht="12.75" customHeight="1" x14ac:dyDescent="0.25">
      <c r="A8926" s="318">
        <v>93575001052</v>
      </c>
      <c r="B8926" s="318" t="s">
        <v>237</v>
      </c>
    </row>
    <row r="8927" spans="1:2" ht="12.75" customHeight="1" x14ac:dyDescent="0.25">
      <c r="A8927" s="318">
        <v>93575001053</v>
      </c>
      <c r="B8927" s="318" t="s">
        <v>237</v>
      </c>
    </row>
    <row r="8928" spans="1:2" ht="12.75" customHeight="1" x14ac:dyDescent="0.25">
      <c r="A8928" s="318">
        <v>93575001054</v>
      </c>
      <c r="B8928" s="318" t="s">
        <v>237</v>
      </c>
    </row>
    <row r="8929" spans="1:2" ht="12.75" customHeight="1" x14ac:dyDescent="0.25">
      <c r="A8929" s="318">
        <v>93575001055</v>
      </c>
      <c r="B8929" s="318" t="s">
        <v>237</v>
      </c>
    </row>
    <row r="8930" spans="1:2" ht="12.75" customHeight="1" x14ac:dyDescent="0.25">
      <c r="A8930" s="318">
        <v>93575001056</v>
      </c>
      <c r="B8930" s="318" t="s">
        <v>237</v>
      </c>
    </row>
    <row r="8931" spans="1:2" ht="12.75" customHeight="1" x14ac:dyDescent="0.25">
      <c r="A8931" s="318">
        <v>93575001057</v>
      </c>
      <c r="B8931" s="318" t="s">
        <v>237</v>
      </c>
    </row>
    <row r="8932" spans="1:2" ht="12.75" customHeight="1" x14ac:dyDescent="0.25">
      <c r="A8932" s="318">
        <v>93575001058</v>
      </c>
      <c r="B8932" s="318" t="s">
        <v>237</v>
      </c>
    </row>
    <row r="8933" spans="1:2" ht="12.75" customHeight="1" x14ac:dyDescent="0.25">
      <c r="A8933" s="318">
        <v>93575001059</v>
      </c>
      <c r="B8933" s="318" t="s">
        <v>237</v>
      </c>
    </row>
    <row r="8934" spans="1:2" ht="12.75" customHeight="1" x14ac:dyDescent="0.25">
      <c r="A8934" s="318">
        <v>93575481916</v>
      </c>
      <c r="B8934" s="318" t="s">
        <v>23</v>
      </c>
    </row>
    <row r="8935" spans="1:2" ht="12.75" customHeight="1" x14ac:dyDescent="0.25">
      <c r="A8935" s="318">
        <v>93575481917</v>
      </c>
      <c r="B8935" s="318" t="s">
        <v>23</v>
      </c>
    </row>
    <row r="8936" spans="1:2" ht="12.75" customHeight="1" x14ac:dyDescent="0.25">
      <c r="A8936" s="318">
        <v>93575481918</v>
      </c>
      <c r="B8936" s="318" t="s">
        <v>23</v>
      </c>
    </row>
    <row r="8937" spans="1:2" ht="12.75" customHeight="1" x14ac:dyDescent="0.25">
      <c r="A8937" s="318">
        <v>93575481919</v>
      </c>
      <c r="B8937" s="318" t="s">
        <v>23</v>
      </c>
    </row>
    <row r="8938" spans="1:2" ht="12.75" customHeight="1" x14ac:dyDescent="0.25">
      <c r="A8938" s="318">
        <v>93575481920</v>
      </c>
      <c r="B8938" s="318" t="s">
        <v>23</v>
      </c>
    </row>
    <row r="8939" spans="1:2" ht="12.75" customHeight="1" x14ac:dyDescent="0.25">
      <c r="A8939" s="318">
        <v>93575481921</v>
      </c>
      <c r="B8939" s="318" t="s">
        <v>23</v>
      </c>
    </row>
    <row r="8940" spans="1:2" ht="12.75" customHeight="1" x14ac:dyDescent="0.25">
      <c r="A8940" s="318">
        <v>93575481922</v>
      </c>
      <c r="B8940" s="318" t="s">
        <v>23</v>
      </c>
    </row>
    <row r="8941" spans="1:2" ht="12.75" customHeight="1" x14ac:dyDescent="0.25">
      <c r="A8941" s="318">
        <v>93575481923</v>
      </c>
      <c r="B8941" s="318" t="s">
        <v>237</v>
      </c>
    </row>
    <row r="8942" spans="1:2" ht="12.75" customHeight="1" x14ac:dyDescent="0.25">
      <c r="A8942" s="318">
        <v>93575481925</v>
      </c>
      <c r="B8942" s="318" t="s">
        <v>23</v>
      </c>
    </row>
    <row r="8943" spans="1:2" ht="12.75" customHeight="1" x14ac:dyDescent="0.25">
      <c r="A8943" s="318">
        <v>93575481926</v>
      </c>
      <c r="B8943" s="318" t="s">
        <v>237</v>
      </c>
    </row>
    <row r="8944" spans="1:2" ht="12.75" customHeight="1" x14ac:dyDescent="0.25">
      <c r="A8944" s="318">
        <v>93575481927</v>
      </c>
      <c r="B8944" s="318" t="s">
        <v>23</v>
      </c>
    </row>
    <row r="8945" spans="1:2" ht="12.75" customHeight="1" x14ac:dyDescent="0.25">
      <c r="A8945" s="318">
        <v>93575481928</v>
      </c>
      <c r="B8945" s="318" t="s">
        <v>237</v>
      </c>
    </row>
    <row r="8946" spans="1:2" ht="12.75" customHeight="1" x14ac:dyDescent="0.25">
      <c r="A8946" s="318">
        <v>93575481929</v>
      </c>
      <c r="B8946" s="318" t="s">
        <v>23</v>
      </c>
    </row>
    <row r="8947" spans="1:2" ht="12.75" customHeight="1" x14ac:dyDescent="0.25">
      <c r="A8947" s="318">
        <v>93575481930</v>
      </c>
      <c r="B8947" s="318" t="s">
        <v>237</v>
      </c>
    </row>
    <row r="8948" spans="1:2" ht="12.75" customHeight="1" x14ac:dyDescent="0.25">
      <c r="A8948" s="318">
        <v>93575481931</v>
      </c>
      <c r="B8948" s="318" t="s">
        <v>23</v>
      </c>
    </row>
    <row r="8949" spans="1:2" ht="12.75" customHeight="1" x14ac:dyDescent="0.25">
      <c r="A8949" s="318">
        <v>93575481932</v>
      </c>
      <c r="B8949" s="318" t="s">
        <v>237</v>
      </c>
    </row>
    <row r="8950" spans="1:2" ht="12.75" customHeight="1" x14ac:dyDescent="0.25">
      <c r="A8950" s="318">
        <v>93575482016</v>
      </c>
      <c r="B8950" s="318" t="s">
        <v>237</v>
      </c>
    </row>
    <row r="8951" spans="1:2" ht="12.75" customHeight="1" x14ac:dyDescent="0.25">
      <c r="A8951" s="318">
        <v>93575482017</v>
      </c>
      <c r="B8951" s="318" t="s">
        <v>237</v>
      </c>
    </row>
    <row r="8952" spans="1:2" ht="12.75" customHeight="1" x14ac:dyDescent="0.25">
      <c r="A8952" s="318">
        <v>93575482018</v>
      </c>
      <c r="B8952" s="318" t="s">
        <v>237</v>
      </c>
    </row>
    <row r="8953" spans="1:2" ht="12.75" customHeight="1" x14ac:dyDescent="0.25">
      <c r="A8953" s="318">
        <v>93575482019</v>
      </c>
      <c r="B8953" s="318" t="s">
        <v>237</v>
      </c>
    </row>
    <row r="8954" spans="1:2" ht="12.75" customHeight="1" x14ac:dyDescent="0.25">
      <c r="A8954" s="318">
        <v>93575482020</v>
      </c>
      <c r="B8954" s="318" t="s">
        <v>237</v>
      </c>
    </row>
    <row r="8955" spans="1:2" ht="12.75" customHeight="1" x14ac:dyDescent="0.25">
      <c r="A8955" s="318">
        <v>93575482021</v>
      </c>
      <c r="B8955" s="318" t="s">
        <v>237</v>
      </c>
    </row>
    <row r="8956" spans="1:2" ht="12.75" customHeight="1" x14ac:dyDescent="0.25">
      <c r="A8956" s="318">
        <v>93575482022</v>
      </c>
      <c r="B8956" s="318" t="s">
        <v>237</v>
      </c>
    </row>
    <row r="8957" spans="1:2" ht="12.75" customHeight="1" x14ac:dyDescent="0.25">
      <c r="A8957" s="318">
        <v>93575482023</v>
      </c>
      <c r="B8957" s="318" t="s">
        <v>237</v>
      </c>
    </row>
    <row r="8958" spans="1:2" ht="12.75" customHeight="1" x14ac:dyDescent="0.25">
      <c r="A8958" s="318">
        <v>93575482025</v>
      </c>
      <c r="B8958" s="318" t="s">
        <v>237</v>
      </c>
    </row>
    <row r="8959" spans="1:2" ht="12.75" customHeight="1" x14ac:dyDescent="0.25">
      <c r="A8959" s="318">
        <v>93575482026</v>
      </c>
      <c r="B8959" s="318" t="s">
        <v>237</v>
      </c>
    </row>
    <row r="8960" spans="1:2" ht="12.75" customHeight="1" x14ac:dyDescent="0.25">
      <c r="A8960" s="318">
        <v>93575482027</v>
      </c>
      <c r="B8960" s="318" t="s">
        <v>237</v>
      </c>
    </row>
    <row r="8961" spans="1:2" ht="12.75" customHeight="1" x14ac:dyDescent="0.25">
      <c r="A8961" s="318">
        <v>93575482028</v>
      </c>
      <c r="B8961" s="318" t="s">
        <v>237</v>
      </c>
    </row>
    <row r="8962" spans="1:2" ht="12.75" customHeight="1" x14ac:dyDescent="0.25">
      <c r="A8962" s="318">
        <v>93575482029</v>
      </c>
      <c r="B8962" s="318" t="s">
        <v>237</v>
      </c>
    </row>
    <row r="8963" spans="1:2" ht="12.75" customHeight="1" x14ac:dyDescent="0.25">
      <c r="A8963" s="318">
        <v>93575482030</v>
      </c>
      <c r="B8963" s="318" t="s">
        <v>237</v>
      </c>
    </row>
    <row r="8964" spans="1:2" ht="12.75" customHeight="1" x14ac:dyDescent="0.25">
      <c r="A8964" s="318">
        <v>93575482031</v>
      </c>
      <c r="B8964" s="318" t="s">
        <v>237</v>
      </c>
    </row>
    <row r="8965" spans="1:2" ht="12.75" customHeight="1" x14ac:dyDescent="0.25">
      <c r="A8965" s="318">
        <v>93575482032</v>
      </c>
      <c r="B8965" s="318" t="s">
        <v>237</v>
      </c>
    </row>
    <row r="8966" spans="1:2" ht="12.75" customHeight="1" x14ac:dyDescent="0.25">
      <c r="A8966" s="318">
        <v>93575962889</v>
      </c>
      <c r="B8966" s="318" t="s">
        <v>23</v>
      </c>
    </row>
    <row r="8967" spans="1:2" ht="12.75" customHeight="1" x14ac:dyDescent="0.25">
      <c r="A8967" s="318">
        <v>93575962890</v>
      </c>
      <c r="B8967" s="318" t="s">
        <v>23</v>
      </c>
    </row>
    <row r="8968" spans="1:2" ht="12.75" customHeight="1" x14ac:dyDescent="0.25">
      <c r="A8968" s="318">
        <v>93575962891</v>
      </c>
      <c r="B8968" s="318" t="s">
        <v>23</v>
      </c>
    </row>
    <row r="8969" spans="1:2" ht="12.75" customHeight="1" x14ac:dyDescent="0.25">
      <c r="A8969" s="318">
        <v>93575962892</v>
      </c>
      <c r="B8969" s="318" t="s">
        <v>23</v>
      </c>
    </row>
    <row r="8970" spans="1:2" ht="12.75" customHeight="1" x14ac:dyDescent="0.25">
      <c r="A8970" s="318">
        <v>93575962893</v>
      </c>
      <c r="B8970" s="318" t="s">
        <v>23</v>
      </c>
    </row>
    <row r="8971" spans="1:2" ht="12.75" customHeight="1" x14ac:dyDescent="0.25">
      <c r="A8971" s="318">
        <v>93575962894</v>
      </c>
      <c r="B8971" s="318" t="s">
        <v>23</v>
      </c>
    </row>
    <row r="8972" spans="1:2" ht="12.75" customHeight="1" x14ac:dyDescent="0.25">
      <c r="A8972" s="318">
        <v>93575962895</v>
      </c>
      <c r="B8972" s="318" t="s">
        <v>23</v>
      </c>
    </row>
    <row r="8973" spans="1:2" ht="12.75" customHeight="1" x14ac:dyDescent="0.25">
      <c r="A8973" s="318">
        <v>93575962896</v>
      </c>
      <c r="B8973" s="318" t="s">
        <v>237</v>
      </c>
    </row>
    <row r="8974" spans="1:2" ht="12.75" customHeight="1" x14ac:dyDescent="0.25">
      <c r="A8974" s="318">
        <v>93575962898</v>
      </c>
      <c r="B8974" s="318" t="s">
        <v>23</v>
      </c>
    </row>
    <row r="8975" spans="1:2" ht="12.75" customHeight="1" x14ac:dyDescent="0.25">
      <c r="A8975" s="318">
        <v>93575962899</v>
      </c>
      <c r="B8975" s="318" t="s">
        <v>237</v>
      </c>
    </row>
    <row r="8976" spans="1:2" ht="12.75" customHeight="1" x14ac:dyDescent="0.25">
      <c r="A8976" s="318">
        <v>93575962900</v>
      </c>
      <c r="B8976" s="318" t="s">
        <v>23</v>
      </c>
    </row>
    <row r="8977" spans="1:2" ht="12.75" customHeight="1" x14ac:dyDescent="0.25">
      <c r="A8977" s="318">
        <v>93575962901</v>
      </c>
      <c r="B8977" s="318" t="s">
        <v>237</v>
      </c>
    </row>
    <row r="8978" spans="1:2" ht="12.75" customHeight="1" x14ac:dyDescent="0.25">
      <c r="A8978" s="318">
        <v>93575962902</v>
      </c>
      <c r="B8978" s="318" t="s">
        <v>23</v>
      </c>
    </row>
    <row r="8979" spans="1:2" ht="12.75" customHeight="1" x14ac:dyDescent="0.25">
      <c r="A8979" s="318">
        <v>93575962903</v>
      </c>
      <c r="B8979" s="318" t="s">
        <v>237</v>
      </c>
    </row>
    <row r="8980" spans="1:2" ht="12.75" customHeight="1" x14ac:dyDescent="0.25">
      <c r="A8980" s="318">
        <v>93575962904</v>
      </c>
      <c r="B8980" s="318" t="s">
        <v>23</v>
      </c>
    </row>
    <row r="8981" spans="1:2" ht="12.75" customHeight="1" x14ac:dyDescent="0.25">
      <c r="A8981" s="318">
        <v>93575962905</v>
      </c>
      <c r="B8981" s="318" t="s">
        <v>237</v>
      </c>
    </row>
    <row r="8982" spans="1:2" ht="12.75" customHeight="1" x14ac:dyDescent="0.25">
      <c r="A8982" s="318">
        <v>93575962989</v>
      </c>
      <c r="B8982" s="318" t="s">
        <v>237</v>
      </c>
    </row>
    <row r="8983" spans="1:2" ht="12.75" customHeight="1" x14ac:dyDescent="0.25">
      <c r="A8983" s="318">
        <v>93575962990</v>
      </c>
      <c r="B8983" s="318" t="s">
        <v>237</v>
      </c>
    </row>
    <row r="8984" spans="1:2" ht="12.75" customHeight="1" x14ac:dyDescent="0.25">
      <c r="A8984" s="318">
        <v>93575962991</v>
      </c>
      <c r="B8984" s="318" t="s">
        <v>237</v>
      </c>
    </row>
    <row r="8985" spans="1:2" ht="12.75" customHeight="1" x14ac:dyDescent="0.25">
      <c r="A8985" s="318">
        <v>93575962992</v>
      </c>
      <c r="B8985" s="318" t="s">
        <v>237</v>
      </c>
    </row>
    <row r="8986" spans="1:2" ht="12.75" customHeight="1" x14ac:dyDescent="0.25">
      <c r="A8986" s="318">
        <v>93575962993</v>
      </c>
      <c r="B8986" s="318" t="s">
        <v>237</v>
      </c>
    </row>
    <row r="8987" spans="1:2" ht="12.75" customHeight="1" x14ac:dyDescent="0.25">
      <c r="A8987" s="318">
        <v>93575962994</v>
      </c>
      <c r="B8987" s="318" t="s">
        <v>237</v>
      </c>
    </row>
    <row r="8988" spans="1:2" ht="12.75" customHeight="1" x14ac:dyDescent="0.25">
      <c r="A8988" s="318">
        <v>93575962995</v>
      </c>
      <c r="B8988" s="318" t="s">
        <v>237</v>
      </c>
    </row>
    <row r="8989" spans="1:2" ht="12.75" customHeight="1" x14ac:dyDescent="0.25">
      <c r="A8989" s="318">
        <v>93575962996</v>
      </c>
      <c r="B8989" s="318" t="s">
        <v>237</v>
      </c>
    </row>
    <row r="8990" spans="1:2" ht="12.75" customHeight="1" x14ac:dyDescent="0.25">
      <c r="A8990" s="318">
        <v>93575962998</v>
      </c>
      <c r="B8990" s="318" t="s">
        <v>237</v>
      </c>
    </row>
    <row r="8991" spans="1:2" ht="12.75" customHeight="1" x14ac:dyDescent="0.25">
      <c r="A8991" s="318">
        <v>93575962999</v>
      </c>
      <c r="B8991" s="318" t="s">
        <v>237</v>
      </c>
    </row>
    <row r="8992" spans="1:2" ht="12.75" customHeight="1" x14ac:dyDescent="0.25">
      <c r="A8992" s="318">
        <v>93575963000</v>
      </c>
      <c r="B8992" s="318" t="s">
        <v>237</v>
      </c>
    </row>
    <row r="8993" spans="1:2" ht="12.75" customHeight="1" x14ac:dyDescent="0.25">
      <c r="A8993" s="318">
        <v>93575963001</v>
      </c>
      <c r="B8993" s="318" t="s">
        <v>237</v>
      </c>
    </row>
    <row r="8994" spans="1:2" ht="12.75" customHeight="1" x14ac:dyDescent="0.25">
      <c r="A8994" s="318">
        <v>93575963002</v>
      </c>
      <c r="B8994" s="318" t="s">
        <v>237</v>
      </c>
    </row>
    <row r="8995" spans="1:2" ht="12.75" customHeight="1" x14ac:dyDescent="0.25">
      <c r="A8995" s="318">
        <v>93575963003</v>
      </c>
      <c r="B8995" s="318" t="s">
        <v>237</v>
      </c>
    </row>
    <row r="8996" spans="1:2" ht="12.75" customHeight="1" x14ac:dyDescent="0.25">
      <c r="A8996" s="318">
        <v>93575963004</v>
      </c>
      <c r="B8996" s="318" t="s">
        <v>237</v>
      </c>
    </row>
    <row r="8997" spans="1:2" ht="12.75" customHeight="1" x14ac:dyDescent="0.25">
      <c r="A8997" s="318">
        <v>93575963005</v>
      </c>
      <c r="B8997" s="318" t="s">
        <v>237</v>
      </c>
    </row>
    <row r="8998" spans="1:2" ht="12.75" customHeight="1" x14ac:dyDescent="0.25">
      <c r="A8998" s="318">
        <v>93576643080</v>
      </c>
      <c r="B8998" s="318" t="s">
        <v>23</v>
      </c>
    </row>
    <row r="8999" spans="1:2" ht="12.75" customHeight="1" x14ac:dyDescent="0.25">
      <c r="A8999" s="318">
        <v>93576643081</v>
      </c>
      <c r="B8999" s="318" t="s">
        <v>23</v>
      </c>
    </row>
    <row r="9000" spans="1:2" ht="12.75" customHeight="1" x14ac:dyDescent="0.25">
      <c r="A9000" s="318">
        <v>93576643082</v>
      </c>
      <c r="B9000" s="318" t="s">
        <v>23</v>
      </c>
    </row>
    <row r="9001" spans="1:2" ht="12.75" customHeight="1" x14ac:dyDescent="0.25">
      <c r="A9001" s="318">
        <v>93576643083</v>
      </c>
      <c r="B9001" s="318" t="s">
        <v>23</v>
      </c>
    </row>
    <row r="9002" spans="1:2" ht="12.75" customHeight="1" x14ac:dyDescent="0.25">
      <c r="A9002" s="318">
        <v>93576643084</v>
      </c>
      <c r="B9002" s="318" t="s">
        <v>23</v>
      </c>
    </row>
    <row r="9003" spans="1:2" ht="12.75" customHeight="1" x14ac:dyDescent="0.25">
      <c r="A9003" s="318">
        <v>93576643085</v>
      </c>
      <c r="B9003" s="318" t="s">
        <v>23</v>
      </c>
    </row>
    <row r="9004" spans="1:2" ht="12.75" customHeight="1" x14ac:dyDescent="0.25">
      <c r="A9004" s="318">
        <v>93576643086</v>
      </c>
      <c r="B9004" s="318" t="s">
        <v>23</v>
      </c>
    </row>
    <row r="9005" spans="1:2" ht="12.75" customHeight="1" x14ac:dyDescent="0.25">
      <c r="A9005" s="318">
        <v>93576643087</v>
      </c>
      <c r="B9005" s="318" t="s">
        <v>237</v>
      </c>
    </row>
    <row r="9006" spans="1:2" ht="12.75" customHeight="1" x14ac:dyDescent="0.25">
      <c r="A9006" s="318">
        <v>93576643089</v>
      </c>
      <c r="B9006" s="318" t="s">
        <v>23</v>
      </c>
    </row>
    <row r="9007" spans="1:2" ht="12.75" customHeight="1" x14ac:dyDescent="0.25">
      <c r="A9007" s="318">
        <v>93576643090</v>
      </c>
      <c r="B9007" s="318" t="s">
        <v>237</v>
      </c>
    </row>
    <row r="9008" spans="1:2" ht="12.75" customHeight="1" x14ac:dyDescent="0.25">
      <c r="A9008" s="318">
        <v>93576643091</v>
      </c>
      <c r="B9008" s="318" t="s">
        <v>23</v>
      </c>
    </row>
    <row r="9009" spans="1:2" ht="12.75" customHeight="1" x14ac:dyDescent="0.25">
      <c r="A9009" s="318">
        <v>93576643092</v>
      </c>
      <c r="B9009" s="318" t="s">
        <v>237</v>
      </c>
    </row>
    <row r="9010" spans="1:2" ht="12.75" customHeight="1" x14ac:dyDescent="0.25">
      <c r="A9010" s="318">
        <v>93576643093</v>
      </c>
      <c r="B9010" s="318" t="s">
        <v>23</v>
      </c>
    </row>
    <row r="9011" spans="1:2" ht="12.75" customHeight="1" x14ac:dyDescent="0.25">
      <c r="A9011" s="318">
        <v>93576643094</v>
      </c>
      <c r="B9011" s="318" t="s">
        <v>237</v>
      </c>
    </row>
    <row r="9012" spans="1:2" ht="12.75" customHeight="1" x14ac:dyDescent="0.25">
      <c r="A9012" s="318">
        <v>93576643095</v>
      </c>
      <c r="B9012" s="318" t="s">
        <v>23</v>
      </c>
    </row>
    <row r="9013" spans="1:2" ht="12.75" customHeight="1" x14ac:dyDescent="0.25">
      <c r="A9013" s="318">
        <v>93576643096</v>
      </c>
      <c r="B9013" s="318" t="s">
        <v>237</v>
      </c>
    </row>
    <row r="9014" spans="1:2" ht="12.75" customHeight="1" x14ac:dyDescent="0.25">
      <c r="A9014" s="318">
        <v>93576643180</v>
      </c>
      <c r="B9014" s="318" t="s">
        <v>237</v>
      </c>
    </row>
    <row r="9015" spans="1:2" ht="12.75" customHeight="1" x14ac:dyDescent="0.25">
      <c r="A9015" s="318">
        <v>93576643181</v>
      </c>
      <c r="B9015" s="318" t="s">
        <v>237</v>
      </c>
    </row>
    <row r="9016" spans="1:2" ht="12.75" customHeight="1" x14ac:dyDescent="0.25">
      <c r="A9016" s="318">
        <v>93576643182</v>
      </c>
      <c r="B9016" s="318" t="s">
        <v>237</v>
      </c>
    </row>
    <row r="9017" spans="1:2" ht="12.75" customHeight="1" x14ac:dyDescent="0.25">
      <c r="A9017" s="318">
        <v>93576643183</v>
      </c>
      <c r="B9017" s="318" t="s">
        <v>237</v>
      </c>
    </row>
    <row r="9018" spans="1:2" ht="12.75" customHeight="1" x14ac:dyDescent="0.25">
      <c r="A9018" s="318">
        <v>93576643184</v>
      </c>
      <c r="B9018" s="318" t="s">
        <v>237</v>
      </c>
    </row>
    <row r="9019" spans="1:2" ht="12.75" customHeight="1" x14ac:dyDescent="0.25">
      <c r="A9019" s="318">
        <v>93576643185</v>
      </c>
      <c r="B9019" s="318" t="s">
        <v>237</v>
      </c>
    </row>
    <row r="9020" spans="1:2" ht="12.75" customHeight="1" x14ac:dyDescent="0.25">
      <c r="A9020" s="318">
        <v>93576643186</v>
      </c>
      <c r="B9020" s="318" t="s">
        <v>237</v>
      </c>
    </row>
    <row r="9021" spans="1:2" ht="12.75" customHeight="1" x14ac:dyDescent="0.25">
      <c r="A9021" s="318">
        <v>93576643187</v>
      </c>
      <c r="B9021" s="318" t="s">
        <v>237</v>
      </c>
    </row>
    <row r="9022" spans="1:2" ht="12.75" customHeight="1" x14ac:dyDescent="0.25">
      <c r="A9022" s="318">
        <v>93576643189</v>
      </c>
      <c r="B9022" s="318" t="s">
        <v>237</v>
      </c>
    </row>
    <row r="9023" spans="1:2" ht="12.75" customHeight="1" x14ac:dyDescent="0.25">
      <c r="A9023" s="318">
        <v>93576643190</v>
      </c>
      <c r="B9023" s="318" t="s">
        <v>237</v>
      </c>
    </row>
    <row r="9024" spans="1:2" ht="12.75" customHeight="1" x14ac:dyDescent="0.25">
      <c r="A9024" s="318">
        <v>93576643191</v>
      </c>
      <c r="B9024" s="318" t="s">
        <v>237</v>
      </c>
    </row>
    <row r="9025" spans="1:2" ht="12.75" customHeight="1" x14ac:dyDescent="0.25">
      <c r="A9025" s="318">
        <v>93576643192</v>
      </c>
      <c r="B9025" s="318" t="s">
        <v>237</v>
      </c>
    </row>
    <row r="9026" spans="1:2" ht="12.75" customHeight="1" x14ac:dyDescent="0.25">
      <c r="A9026" s="318">
        <v>93576643193</v>
      </c>
      <c r="B9026" s="318" t="s">
        <v>237</v>
      </c>
    </row>
    <row r="9027" spans="1:2" ht="12.75" customHeight="1" x14ac:dyDescent="0.25">
      <c r="A9027" s="318">
        <v>93576643194</v>
      </c>
      <c r="B9027" s="318" t="s">
        <v>237</v>
      </c>
    </row>
    <row r="9028" spans="1:2" ht="12.75" customHeight="1" x14ac:dyDescent="0.25">
      <c r="A9028" s="318">
        <v>93576643195</v>
      </c>
      <c r="B9028" s="318" t="s">
        <v>237</v>
      </c>
    </row>
    <row r="9029" spans="1:2" ht="12.75" customHeight="1" x14ac:dyDescent="0.25">
      <c r="A9029" s="318">
        <v>93576643196</v>
      </c>
      <c r="B9029" s="318" t="s">
        <v>237</v>
      </c>
    </row>
    <row r="9030" spans="1:2" ht="12.75" customHeight="1" x14ac:dyDescent="0.25">
      <c r="A9030" s="318">
        <v>93577124053</v>
      </c>
      <c r="B9030" s="318" t="s">
        <v>23</v>
      </c>
    </row>
    <row r="9031" spans="1:2" ht="12.75" customHeight="1" x14ac:dyDescent="0.25">
      <c r="A9031" s="318">
        <v>93577124054</v>
      </c>
      <c r="B9031" s="318" t="s">
        <v>23</v>
      </c>
    </row>
    <row r="9032" spans="1:2" ht="12.75" customHeight="1" x14ac:dyDescent="0.25">
      <c r="A9032" s="318">
        <v>93577124055</v>
      </c>
      <c r="B9032" s="318" t="s">
        <v>23</v>
      </c>
    </row>
    <row r="9033" spans="1:2" ht="12.75" customHeight="1" x14ac:dyDescent="0.25">
      <c r="A9033" s="318">
        <v>93577124056</v>
      </c>
      <c r="B9033" s="318" t="s">
        <v>23</v>
      </c>
    </row>
    <row r="9034" spans="1:2" ht="12.75" customHeight="1" x14ac:dyDescent="0.25">
      <c r="A9034" s="318">
        <v>93577124057</v>
      </c>
      <c r="B9034" s="318" t="s">
        <v>23</v>
      </c>
    </row>
    <row r="9035" spans="1:2" ht="12.75" customHeight="1" x14ac:dyDescent="0.25">
      <c r="A9035" s="318">
        <v>93577124058</v>
      </c>
      <c r="B9035" s="318" t="s">
        <v>23</v>
      </c>
    </row>
    <row r="9036" spans="1:2" ht="12.75" customHeight="1" x14ac:dyDescent="0.25">
      <c r="A9036" s="318">
        <v>93577124059</v>
      </c>
      <c r="B9036" s="318" t="s">
        <v>23</v>
      </c>
    </row>
    <row r="9037" spans="1:2" ht="12.75" customHeight="1" x14ac:dyDescent="0.25">
      <c r="A9037" s="318">
        <v>93577124060</v>
      </c>
      <c r="B9037" s="318" t="s">
        <v>237</v>
      </c>
    </row>
    <row r="9038" spans="1:2" ht="12.75" customHeight="1" x14ac:dyDescent="0.25">
      <c r="A9038" s="318">
        <v>93577124062</v>
      </c>
      <c r="B9038" s="318" t="s">
        <v>23</v>
      </c>
    </row>
    <row r="9039" spans="1:2" ht="12.75" customHeight="1" x14ac:dyDescent="0.25">
      <c r="A9039" s="318">
        <v>93577124063</v>
      </c>
      <c r="B9039" s="318" t="s">
        <v>237</v>
      </c>
    </row>
    <row r="9040" spans="1:2" ht="12.75" customHeight="1" x14ac:dyDescent="0.25">
      <c r="A9040" s="318">
        <v>93577124064</v>
      </c>
      <c r="B9040" s="318" t="s">
        <v>23</v>
      </c>
    </row>
    <row r="9041" spans="1:2" ht="12.75" customHeight="1" x14ac:dyDescent="0.25">
      <c r="A9041" s="318">
        <v>93577124065</v>
      </c>
      <c r="B9041" s="318" t="s">
        <v>237</v>
      </c>
    </row>
    <row r="9042" spans="1:2" ht="12.75" customHeight="1" x14ac:dyDescent="0.25">
      <c r="A9042" s="318">
        <v>93577124066</v>
      </c>
      <c r="B9042" s="318" t="s">
        <v>23</v>
      </c>
    </row>
    <row r="9043" spans="1:2" ht="12.75" customHeight="1" x14ac:dyDescent="0.25">
      <c r="A9043" s="318">
        <v>93577124067</v>
      </c>
      <c r="B9043" s="318" t="s">
        <v>237</v>
      </c>
    </row>
    <row r="9044" spans="1:2" ht="12.75" customHeight="1" x14ac:dyDescent="0.25">
      <c r="A9044" s="318">
        <v>93577124068</v>
      </c>
      <c r="B9044" s="318" t="s">
        <v>23</v>
      </c>
    </row>
    <row r="9045" spans="1:2" ht="12.75" customHeight="1" x14ac:dyDescent="0.25">
      <c r="A9045" s="318">
        <v>93577124069</v>
      </c>
      <c r="B9045" s="318" t="s">
        <v>237</v>
      </c>
    </row>
    <row r="9046" spans="1:2" ht="12.75" customHeight="1" x14ac:dyDescent="0.25">
      <c r="A9046" s="318">
        <v>93577124153</v>
      </c>
      <c r="B9046" s="318" t="s">
        <v>237</v>
      </c>
    </row>
    <row r="9047" spans="1:2" ht="12.75" customHeight="1" x14ac:dyDescent="0.25">
      <c r="A9047" s="318">
        <v>93577124154</v>
      </c>
      <c r="B9047" s="318" t="s">
        <v>237</v>
      </c>
    </row>
    <row r="9048" spans="1:2" ht="12.75" customHeight="1" x14ac:dyDescent="0.25">
      <c r="A9048" s="318">
        <v>93577124155</v>
      </c>
      <c r="B9048" s="318" t="s">
        <v>237</v>
      </c>
    </row>
    <row r="9049" spans="1:2" ht="12.75" customHeight="1" x14ac:dyDescent="0.25">
      <c r="A9049" s="318">
        <v>93577124156</v>
      </c>
      <c r="B9049" s="318" t="s">
        <v>237</v>
      </c>
    </row>
    <row r="9050" spans="1:2" ht="12.75" customHeight="1" x14ac:dyDescent="0.25">
      <c r="A9050" s="318">
        <v>93577124157</v>
      </c>
      <c r="B9050" s="318" t="s">
        <v>237</v>
      </c>
    </row>
    <row r="9051" spans="1:2" ht="12.75" customHeight="1" x14ac:dyDescent="0.25">
      <c r="A9051" s="318">
        <v>93577124158</v>
      </c>
      <c r="B9051" s="318" t="s">
        <v>237</v>
      </c>
    </row>
    <row r="9052" spans="1:2" ht="12.75" customHeight="1" x14ac:dyDescent="0.25">
      <c r="A9052" s="318">
        <v>93577124159</v>
      </c>
      <c r="B9052" s="318" t="s">
        <v>237</v>
      </c>
    </row>
    <row r="9053" spans="1:2" ht="12.75" customHeight="1" x14ac:dyDescent="0.25">
      <c r="A9053" s="318">
        <v>93577124160</v>
      </c>
      <c r="B9053" s="318" t="s">
        <v>237</v>
      </c>
    </row>
    <row r="9054" spans="1:2" ht="12.75" customHeight="1" x14ac:dyDescent="0.25">
      <c r="A9054" s="318">
        <v>93577124162</v>
      </c>
      <c r="B9054" s="318" t="s">
        <v>237</v>
      </c>
    </row>
    <row r="9055" spans="1:2" ht="12.75" customHeight="1" x14ac:dyDescent="0.25">
      <c r="A9055" s="318">
        <v>93577124163</v>
      </c>
      <c r="B9055" s="318" t="s">
        <v>237</v>
      </c>
    </row>
    <row r="9056" spans="1:2" ht="12.75" customHeight="1" x14ac:dyDescent="0.25">
      <c r="A9056" s="318">
        <v>93577124164</v>
      </c>
      <c r="B9056" s="318" t="s">
        <v>237</v>
      </c>
    </row>
    <row r="9057" spans="1:2" ht="12.75" customHeight="1" x14ac:dyDescent="0.25">
      <c r="A9057" s="318">
        <v>93577124165</v>
      </c>
      <c r="B9057" s="318" t="s">
        <v>237</v>
      </c>
    </row>
    <row r="9058" spans="1:2" ht="12.75" customHeight="1" x14ac:dyDescent="0.25">
      <c r="A9058" s="318">
        <v>93577124166</v>
      </c>
      <c r="B9058" s="318" t="s">
        <v>237</v>
      </c>
    </row>
    <row r="9059" spans="1:2" ht="12.75" customHeight="1" x14ac:dyDescent="0.25">
      <c r="A9059" s="318">
        <v>93577124167</v>
      </c>
      <c r="B9059" s="318" t="s">
        <v>237</v>
      </c>
    </row>
    <row r="9060" spans="1:2" ht="12.75" customHeight="1" x14ac:dyDescent="0.25">
      <c r="A9060" s="318">
        <v>93577124168</v>
      </c>
      <c r="B9060" s="318" t="s">
        <v>237</v>
      </c>
    </row>
    <row r="9061" spans="1:2" ht="12.75" customHeight="1" x14ac:dyDescent="0.25">
      <c r="A9061" s="318">
        <v>93577124169</v>
      </c>
      <c r="B9061" s="318" t="s">
        <v>237</v>
      </c>
    </row>
    <row r="9062" spans="1:2" ht="12.75" customHeight="1" x14ac:dyDescent="0.25">
      <c r="A9062" s="318">
        <v>93577605026</v>
      </c>
      <c r="B9062" s="318" t="s">
        <v>23</v>
      </c>
    </row>
    <row r="9063" spans="1:2" ht="12.75" customHeight="1" x14ac:dyDescent="0.25">
      <c r="A9063" s="318">
        <v>93577605027</v>
      </c>
      <c r="B9063" s="318" t="s">
        <v>23</v>
      </c>
    </row>
    <row r="9064" spans="1:2" ht="12.75" customHeight="1" x14ac:dyDescent="0.25">
      <c r="A9064" s="318">
        <v>93577605028</v>
      </c>
      <c r="B9064" s="318" t="s">
        <v>23</v>
      </c>
    </row>
    <row r="9065" spans="1:2" ht="12.75" customHeight="1" x14ac:dyDescent="0.25">
      <c r="A9065" s="318">
        <v>93577605029</v>
      </c>
      <c r="B9065" s="318" t="s">
        <v>23</v>
      </c>
    </row>
    <row r="9066" spans="1:2" ht="12.75" customHeight="1" x14ac:dyDescent="0.25">
      <c r="A9066" s="318">
        <v>93577605030</v>
      </c>
      <c r="B9066" s="318" t="s">
        <v>23</v>
      </c>
    </row>
    <row r="9067" spans="1:2" ht="12.75" customHeight="1" x14ac:dyDescent="0.25">
      <c r="A9067" s="318">
        <v>93577605031</v>
      </c>
      <c r="B9067" s="318" t="s">
        <v>23</v>
      </c>
    </row>
    <row r="9068" spans="1:2" ht="12.75" customHeight="1" x14ac:dyDescent="0.25">
      <c r="A9068" s="318">
        <v>93577605032</v>
      </c>
      <c r="B9068" s="318" t="s">
        <v>23</v>
      </c>
    </row>
    <row r="9069" spans="1:2" ht="12.75" customHeight="1" x14ac:dyDescent="0.25">
      <c r="A9069" s="318">
        <v>93577605033</v>
      </c>
      <c r="B9069" s="318" t="s">
        <v>237</v>
      </c>
    </row>
    <row r="9070" spans="1:2" ht="12.75" customHeight="1" x14ac:dyDescent="0.25">
      <c r="A9070" s="318">
        <v>93577605035</v>
      </c>
      <c r="B9070" s="318" t="s">
        <v>23</v>
      </c>
    </row>
    <row r="9071" spans="1:2" ht="12.75" customHeight="1" x14ac:dyDescent="0.25">
      <c r="A9071" s="318">
        <v>93577605036</v>
      </c>
      <c r="B9071" s="318" t="s">
        <v>237</v>
      </c>
    </row>
    <row r="9072" spans="1:2" ht="12.75" customHeight="1" x14ac:dyDescent="0.25">
      <c r="A9072" s="318">
        <v>93577605037</v>
      </c>
      <c r="B9072" s="318" t="s">
        <v>23</v>
      </c>
    </row>
    <row r="9073" spans="1:2" ht="12.75" customHeight="1" x14ac:dyDescent="0.25">
      <c r="A9073" s="318">
        <v>93577605038</v>
      </c>
      <c r="B9073" s="318" t="s">
        <v>237</v>
      </c>
    </row>
    <row r="9074" spans="1:2" ht="12.75" customHeight="1" x14ac:dyDescent="0.25">
      <c r="A9074" s="318">
        <v>93577605039</v>
      </c>
      <c r="B9074" s="318" t="s">
        <v>23</v>
      </c>
    </row>
    <row r="9075" spans="1:2" ht="12.75" customHeight="1" x14ac:dyDescent="0.25">
      <c r="A9075" s="318">
        <v>93577605040</v>
      </c>
      <c r="B9075" s="318" t="s">
        <v>237</v>
      </c>
    </row>
    <row r="9076" spans="1:2" ht="12.75" customHeight="1" x14ac:dyDescent="0.25">
      <c r="A9076" s="318">
        <v>93577605041</v>
      </c>
      <c r="B9076" s="318" t="s">
        <v>23</v>
      </c>
    </row>
    <row r="9077" spans="1:2" ht="12.75" customHeight="1" x14ac:dyDescent="0.25">
      <c r="A9077" s="318">
        <v>93577605042</v>
      </c>
      <c r="B9077" s="318" t="s">
        <v>237</v>
      </c>
    </row>
    <row r="9078" spans="1:2" ht="12.75" customHeight="1" x14ac:dyDescent="0.25">
      <c r="A9078" s="318">
        <v>93577605126</v>
      </c>
      <c r="B9078" s="318" t="s">
        <v>237</v>
      </c>
    </row>
    <row r="9079" spans="1:2" ht="12.75" customHeight="1" x14ac:dyDescent="0.25">
      <c r="A9079" s="318">
        <v>93577605127</v>
      </c>
      <c r="B9079" s="318" t="s">
        <v>237</v>
      </c>
    </row>
    <row r="9080" spans="1:2" ht="12.75" customHeight="1" x14ac:dyDescent="0.25">
      <c r="A9080" s="318">
        <v>93577605128</v>
      </c>
      <c r="B9080" s="318" t="s">
        <v>237</v>
      </c>
    </row>
    <row r="9081" spans="1:2" ht="12.75" customHeight="1" x14ac:dyDescent="0.25">
      <c r="A9081" s="318">
        <v>93577605129</v>
      </c>
      <c r="B9081" s="318" t="s">
        <v>237</v>
      </c>
    </row>
    <row r="9082" spans="1:2" ht="12.75" customHeight="1" x14ac:dyDescent="0.25">
      <c r="A9082" s="318">
        <v>93577605130</v>
      </c>
      <c r="B9082" s="318" t="s">
        <v>237</v>
      </c>
    </row>
    <row r="9083" spans="1:2" ht="12.75" customHeight="1" x14ac:dyDescent="0.25">
      <c r="A9083" s="318">
        <v>93577605131</v>
      </c>
      <c r="B9083" s="318" t="s">
        <v>237</v>
      </c>
    </row>
    <row r="9084" spans="1:2" ht="12.75" customHeight="1" x14ac:dyDescent="0.25">
      <c r="A9084" s="318">
        <v>93577605132</v>
      </c>
      <c r="B9084" s="318" t="s">
        <v>237</v>
      </c>
    </row>
    <row r="9085" spans="1:2" ht="12.75" customHeight="1" x14ac:dyDescent="0.25">
      <c r="A9085" s="318">
        <v>93577605133</v>
      </c>
      <c r="B9085" s="318" t="s">
        <v>237</v>
      </c>
    </row>
    <row r="9086" spans="1:2" ht="12.75" customHeight="1" x14ac:dyDescent="0.25">
      <c r="A9086" s="318">
        <v>93577605135</v>
      </c>
      <c r="B9086" s="318" t="s">
        <v>237</v>
      </c>
    </row>
    <row r="9087" spans="1:2" ht="12.75" customHeight="1" x14ac:dyDescent="0.25">
      <c r="A9087" s="318">
        <v>93577605136</v>
      </c>
      <c r="B9087" s="318" t="s">
        <v>237</v>
      </c>
    </row>
    <row r="9088" spans="1:2" ht="12.75" customHeight="1" x14ac:dyDescent="0.25">
      <c r="A9088" s="318">
        <v>93577605137</v>
      </c>
      <c r="B9088" s="318" t="s">
        <v>237</v>
      </c>
    </row>
    <row r="9089" spans="1:2" ht="12.75" customHeight="1" x14ac:dyDescent="0.25">
      <c r="A9089" s="318">
        <v>93577605138</v>
      </c>
      <c r="B9089" s="318" t="s">
        <v>237</v>
      </c>
    </row>
    <row r="9090" spans="1:2" ht="12.75" customHeight="1" x14ac:dyDescent="0.25">
      <c r="A9090" s="318">
        <v>93577605139</v>
      </c>
      <c r="B9090" s="318" t="s">
        <v>237</v>
      </c>
    </row>
    <row r="9091" spans="1:2" ht="12.75" customHeight="1" x14ac:dyDescent="0.25">
      <c r="A9091" s="318">
        <v>93577605140</v>
      </c>
      <c r="B9091" s="318" t="s">
        <v>237</v>
      </c>
    </row>
    <row r="9092" spans="1:2" ht="12.75" customHeight="1" x14ac:dyDescent="0.25">
      <c r="A9092" s="318">
        <v>93577605141</v>
      </c>
      <c r="B9092" s="318" t="s">
        <v>237</v>
      </c>
    </row>
    <row r="9093" spans="1:2" ht="12.75" customHeight="1" x14ac:dyDescent="0.25">
      <c r="A9093" s="318">
        <v>93577605142</v>
      </c>
      <c r="B9093" s="318" t="s">
        <v>237</v>
      </c>
    </row>
    <row r="9094" spans="1:2" ht="12.75" customHeight="1" x14ac:dyDescent="0.25">
      <c r="A9094" s="318">
        <v>93627500917</v>
      </c>
      <c r="B9094" s="318" t="s">
        <v>23</v>
      </c>
    </row>
    <row r="9095" spans="1:2" ht="12.75" customHeight="1" x14ac:dyDescent="0.25">
      <c r="A9095" s="318">
        <v>93627500918</v>
      </c>
      <c r="B9095" s="318" t="s">
        <v>23</v>
      </c>
    </row>
    <row r="9096" spans="1:2" ht="12.75" customHeight="1" x14ac:dyDescent="0.25">
      <c r="A9096" s="318">
        <v>93627500919</v>
      </c>
      <c r="B9096" s="318" t="s">
        <v>23</v>
      </c>
    </row>
    <row r="9097" spans="1:2" ht="12.75" customHeight="1" x14ac:dyDescent="0.25">
      <c r="A9097" s="318">
        <v>93627500920</v>
      </c>
      <c r="B9097" s="318" t="s">
        <v>23</v>
      </c>
    </row>
    <row r="9098" spans="1:2" ht="12.75" customHeight="1" x14ac:dyDescent="0.25">
      <c r="A9098" s="318">
        <v>93627500921</v>
      </c>
      <c r="B9098" s="318" t="s">
        <v>23</v>
      </c>
    </row>
    <row r="9099" spans="1:2" ht="12.75" customHeight="1" x14ac:dyDescent="0.25">
      <c r="A9099" s="318">
        <v>93627500922</v>
      </c>
      <c r="B9099" s="318" t="s">
        <v>23</v>
      </c>
    </row>
    <row r="9100" spans="1:2" ht="12.75" customHeight="1" x14ac:dyDescent="0.25">
      <c r="A9100" s="318">
        <v>93627500923</v>
      </c>
      <c r="B9100" s="318" t="s">
        <v>237</v>
      </c>
    </row>
    <row r="9101" spans="1:2" ht="12.75" customHeight="1" x14ac:dyDescent="0.25">
      <c r="A9101" s="318">
        <v>93627500924</v>
      </c>
      <c r="B9101" s="318" t="s">
        <v>237</v>
      </c>
    </row>
    <row r="9102" spans="1:2" ht="12.75" customHeight="1" x14ac:dyDescent="0.25">
      <c r="A9102" s="318">
        <v>93627500926</v>
      </c>
      <c r="B9102" s="318" t="s">
        <v>237</v>
      </c>
    </row>
    <row r="9103" spans="1:2" ht="12.75" customHeight="1" x14ac:dyDescent="0.25">
      <c r="A9103" s="318">
        <v>93627500927</v>
      </c>
      <c r="B9103" s="318" t="s">
        <v>237</v>
      </c>
    </row>
    <row r="9104" spans="1:2" ht="12.75" customHeight="1" x14ac:dyDescent="0.25">
      <c r="A9104" s="318">
        <v>93627500928</v>
      </c>
      <c r="B9104" s="318" t="s">
        <v>237</v>
      </c>
    </row>
    <row r="9105" spans="1:2" ht="12.75" customHeight="1" x14ac:dyDescent="0.25">
      <c r="A9105" s="318">
        <v>93627500929</v>
      </c>
      <c r="B9105" s="318" t="s">
        <v>237</v>
      </c>
    </row>
    <row r="9106" spans="1:2" ht="12.75" customHeight="1" x14ac:dyDescent="0.25">
      <c r="A9106" s="318">
        <v>93627500930</v>
      </c>
      <c r="B9106" s="318" t="s">
        <v>237</v>
      </c>
    </row>
    <row r="9107" spans="1:2" ht="12.75" customHeight="1" x14ac:dyDescent="0.25">
      <c r="A9107" s="318">
        <v>93627500931</v>
      </c>
      <c r="B9107" s="318" t="s">
        <v>237</v>
      </c>
    </row>
    <row r="9108" spans="1:2" ht="12.75" customHeight="1" x14ac:dyDescent="0.25">
      <c r="A9108" s="318">
        <v>93627500932</v>
      </c>
      <c r="B9108" s="318" t="s">
        <v>237</v>
      </c>
    </row>
    <row r="9109" spans="1:2" ht="12.75" customHeight="1" x14ac:dyDescent="0.25">
      <c r="A9109" s="318">
        <v>93627500933</v>
      </c>
      <c r="B9109" s="318" t="s">
        <v>237</v>
      </c>
    </row>
    <row r="9110" spans="1:2" ht="12.75" customHeight="1" x14ac:dyDescent="0.25">
      <c r="A9110" s="318">
        <v>93627501017</v>
      </c>
      <c r="B9110" s="318" t="s">
        <v>237</v>
      </c>
    </row>
    <row r="9111" spans="1:2" ht="12.75" customHeight="1" x14ac:dyDescent="0.25">
      <c r="A9111" s="318">
        <v>93627501018</v>
      </c>
      <c r="B9111" s="318" t="s">
        <v>237</v>
      </c>
    </row>
    <row r="9112" spans="1:2" ht="12.75" customHeight="1" x14ac:dyDescent="0.25">
      <c r="A9112" s="318">
        <v>93627501019</v>
      </c>
      <c r="B9112" s="318" t="s">
        <v>237</v>
      </c>
    </row>
    <row r="9113" spans="1:2" ht="12.75" customHeight="1" x14ac:dyDescent="0.25">
      <c r="A9113" s="318">
        <v>93627501020</v>
      </c>
      <c r="B9113" s="318" t="s">
        <v>237</v>
      </c>
    </row>
    <row r="9114" spans="1:2" ht="12.75" customHeight="1" x14ac:dyDescent="0.25">
      <c r="A9114" s="318">
        <v>93627501021</v>
      </c>
      <c r="B9114" s="318" t="s">
        <v>237</v>
      </c>
    </row>
    <row r="9115" spans="1:2" ht="12.75" customHeight="1" x14ac:dyDescent="0.25">
      <c r="A9115" s="318">
        <v>93627501022</v>
      </c>
      <c r="B9115" s="318" t="s">
        <v>237</v>
      </c>
    </row>
    <row r="9116" spans="1:2" ht="12.75" customHeight="1" x14ac:dyDescent="0.25">
      <c r="A9116" s="318">
        <v>93627501023</v>
      </c>
      <c r="B9116" s="318" t="s">
        <v>237</v>
      </c>
    </row>
    <row r="9117" spans="1:2" ht="12.75" customHeight="1" x14ac:dyDescent="0.25">
      <c r="A9117" s="318">
        <v>93627501024</v>
      </c>
      <c r="B9117" s="318" t="s">
        <v>237</v>
      </c>
    </row>
    <row r="9118" spans="1:2" ht="12.75" customHeight="1" x14ac:dyDescent="0.25">
      <c r="A9118" s="318">
        <v>93627501026</v>
      </c>
      <c r="B9118" s="318" t="s">
        <v>237</v>
      </c>
    </row>
    <row r="9119" spans="1:2" ht="12.75" customHeight="1" x14ac:dyDescent="0.25">
      <c r="A9119" s="318">
        <v>93627501027</v>
      </c>
      <c r="B9119" s="318" t="s">
        <v>237</v>
      </c>
    </row>
    <row r="9120" spans="1:2" ht="12.75" customHeight="1" x14ac:dyDescent="0.25">
      <c r="A9120" s="318">
        <v>93627501028</v>
      </c>
      <c r="B9120" s="318" t="s">
        <v>237</v>
      </c>
    </row>
    <row r="9121" spans="1:2" ht="12.75" customHeight="1" x14ac:dyDescent="0.25">
      <c r="A9121" s="318">
        <v>93627501029</v>
      </c>
      <c r="B9121" s="318" t="s">
        <v>237</v>
      </c>
    </row>
    <row r="9122" spans="1:2" ht="12.75" customHeight="1" x14ac:dyDescent="0.25">
      <c r="A9122" s="318">
        <v>93627501030</v>
      </c>
      <c r="B9122" s="318" t="s">
        <v>237</v>
      </c>
    </row>
    <row r="9123" spans="1:2" ht="12.75" customHeight="1" x14ac:dyDescent="0.25">
      <c r="A9123" s="318">
        <v>93627501031</v>
      </c>
      <c r="B9123" s="318" t="s">
        <v>237</v>
      </c>
    </row>
    <row r="9124" spans="1:2" ht="12.75" customHeight="1" x14ac:dyDescent="0.25">
      <c r="A9124" s="318">
        <v>93627501032</v>
      </c>
      <c r="B9124" s="318" t="s">
        <v>237</v>
      </c>
    </row>
    <row r="9125" spans="1:2" ht="12.75" customHeight="1" x14ac:dyDescent="0.25">
      <c r="A9125" s="318">
        <v>93627501033</v>
      </c>
      <c r="B9125" s="318" t="s">
        <v>237</v>
      </c>
    </row>
    <row r="9126" spans="1:2" ht="12.75" customHeight="1" x14ac:dyDescent="0.25">
      <c r="A9126" s="318">
        <v>93627981890</v>
      </c>
      <c r="B9126" s="318" t="s">
        <v>23</v>
      </c>
    </row>
    <row r="9127" spans="1:2" ht="12.75" customHeight="1" x14ac:dyDescent="0.25">
      <c r="A9127" s="318">
        <v>93627981891</v>
      </c>
      <c r="B9127" s="318" t="s">
        <v>23</v>
      </c>
    </row>
    <row r="9128" spans="1:2" ht="12.75" customHeight="1" x14ac:dyDescent="0.25">
      <c r="A9128" s="318">
        <v>93627981892</v>
      </c>
      <c r="B9128" s="318" t="s">
        <v>23</v>
      </c>
    </row>
    <row r="9129" spans="1:2" ht="12.75" customHeight="1" x14ac:dyDescent="0.25">
      <c r="A9129" s="318">
        <v>93627981893</v>
      </c>
      <c r="B9129" s="318" t="s">
        <v>23</v>
      </c>
    </row>
    <row r="9130" spans="1:2" ht="12.75" customHeight="1" x14ac:dyDescent="0.25">
      <c r="A9130" s="318">
        <v>93627981894</v>
      </c>
      <c r="B9130" s="318" t="s">
        <v>23</v>
      </c>
    </row>
    <row r="9131" spans="1:2" ht="12.75" customHeight="1" x14ac:dyDescent="0.25">
      <c r="A9131" s="318">
        <v>93627981895</v>
      </c>
      <c r="B9131" s="318" t="s">
        <v>23</v>
      </c>
    </row>
    <row r="9132" spans="1:2" ht="12.75" customHeight="1" x14ac:dyDescent="0.25">
      <c r="A9132" s="318">
        <v>93627981896</v>
      </c>
      <c r="B9132" s="318" t="s">
        <v>237</v>
      </c>
    </row>
    <row r="9133" spans="1:2" ht="12.75" customHeight="1" x14ac:dyDescent="0.25">
      <c r="A9133" s="318">
        <v>93627981897</v>
      </c>
      <c r="B9133" s="318" t="s">
        <v>237</v>
      </c>
    </row>
    <row r="9134" spans="1:2" ht="12.75" customHeight="1" x14ac:dyDescent="0.25">
      <c r="A9134" s="318">
        <v>93627981899</v>
      </c>
      <c r="B9134" s="318" t="s">
        <v>237</v>
      </c>
    </row>
    <row r="9135" spans="1:2" ht="12.75" customHeight="1" x14ac:dyDescent="0.25">
      <c r="A9135" s="318">
        <v>93627981900</v>
      </c>
      <c r="B9135" s="318" t="s">
        <v>237</v>
      </c>
    </row>
    <row r="9136" spans="1:2" ht="12.75" customHeight="1" x14ac:dyDescent="0.25">
      <c r="A9136" s="318">
        <v>93627981901</v>
      </c>
      <c r="B9136" s="318" t="s">
        <v>237</v>
      </c>
    </row>
    <row r="9137" spans="1:2" ht="12.75" customHeight="1" x14ac:dyDescent="0.25">
      <c r="A9137" s="318">
        <v>93627981902</v>
      </c>
      <c r="B9137" s="318" t="s">
        <v>237</v>
      </c>
    </row>
    <row r="9138" spans="1:2" ht="12.75" customHeight="1" x14ac:dyDescent="0.25">
      <c r="A9138" s="318">
        <v>93627981903</v>
      </c>
      <c r="B9138" s="318" t="s">
        <v>237</v>
      </c>
    </row>
    <row r="9139" spans="1:2" ht="12.75" customHeight="1" x14ac:dyDescent="0.25">
      <c r="A9139" s="318">
        <v>93627981904</v>
      </c>
      <c r="B9139" s="318" t="s">
        <v>237</v>
      </c>
    </row>
    <row r="9140" spans="1:2" ht="12.75" customHeight="1" x14ac:dyDescent="0.25">
      <c r="A9140" s="318">
        <v>93627981905</v>
      </c>
      <c r="B9140" s="318" t="s">
        <v>237</v>
      </c>
    </row>
    <row r="9141" spans="1:2" ht="12.75" customHeight="1" x14ac:dyDescent="0.25">
      <c r="A9141" s="318">
        <v>93627981906</v>
      </c>
      <c r="B9141" s="318" t="s">
        <v>237</v>
      </c>
    </row>
    <row r="9142" spans="1:2" ht="12.75" customHeight="1" x14ac:dyDescent="0.25">
      <c r="A9142" s="318">
        <v>93627981990</v>
      </c>
      <c r="B9142" s="318" t="s">
        <v>237</v>
      </c>
    </row>
    <row r="9143" spans="1:2" ht="12.75" customHeight="1" x14ac:dyDescent="0.25">
      <c r="A9143" s="318">
        <v>93627981991</v>
      </c>
      <c r="B9143" s="318" t="s">
        <v>237</v>
      </c>
    </row>
    <row r="9144" spans="1:2" ht="12.75" customHeight="1" x14ac:dyDescent="0.25">
      <c r="A9144" s="318">
        <v>93627981992</v>
      </c>
      <c r="B9144" s="318" t="s">
        <v>237</v>
      </c>
    </row>
    <row r="9145" spans="1:2" ht="12.75" customHeight="1" x14ac:dyDescent="0.25">
      <c r="A9145" s="318">
        <v>93627981993</v>
      </c>
      <c r="B9145" s="318" t="s">
        <v>237</v>
      </c>
    </row>
    <row r="9146" spans="1:2" ht="12.75" customHeight="1" x14ac:dyDescent="0.25">
      <c r="A9146" s="318">
        <v>93627981994</v>
      </c>
      <c r="B9146" s="318" t="s">
        <v>237</v>
      </c>
    </row>
    <row r="9147" spans="1:2" ht="12.75" customHeight="1" x14ac:dyDescent="0.25">
      <c r="A9147" s="318">
        <v>93627981995</v>
      </c>
      <c r="B9147" s="318" t="s">
        <v>237</v>
      </c>
    </row>
    <row r="9148" spans="1:2" ht="12.75" customHeight="1" x14ac:dyDescent="0.25">
      <c r="A9148" s="318">
        <v>93627981996</v>
      </c>
      <c r="B9148" s="318" t="s">
        <v>237</v>
      </c>
    </row>
    <row r="9149" spans="1:2" ht="12.75" customHeight="1" x14ac:dyDescent="0.25">
      <c r="A9149" s="318">
        <v>93627981997</v>
      </c>
      <c r="B9149" s="318" t="s">
        <v>237</v>
      </c>
    </row>
    <row r="9150" spans="1:2" ht="12.75" customHeight="1" x14ac:dyDescent="0.25">
      <c r="A9150" s="318">
        <v>93627981999</v>
      </c>
      <c r="B9150" s="318" t="s">
        <v>237</v>
      </c>
    </row>
    <row r="9151" spans="1:2" ht="12.75" customHeight="1" x14ac:dyDescent="0.25">
      <c r="A9151" s="318">
        <v>93627982000</v>
      </c>
      <c r="B9151" s="318" t="s">
        <v>237</v>
      </c>
    </row>
    <row r="9152" spans="1:2" ht="12.75" customHeight="1" x14ac:dyDescent="0.25">
      <c r="A9152" s="318">
        <v>93627982001</v>
      </c>
      <c r="B9152" s="318" t="s">
        <v>237</v>
      </c>
    </row>
    <row r="9153" spans="1:2" ht="12.75" customHeight="1" x14ac:dyDescent="0.25">
      <c r="A9153" s="318">
        <v>93627982002</v>
      </c>
      <c r="B9153" s="318" t="s">
        <v>237</v>
      </c>
    </row>
    <row r="9154" spans="1:2" ht="12.75" customHeight="1" x14ac:dyDescent="0.25">
      <c r="A9154" s="318">
        <v>93627982003</v>
      </c>
      <c r="B9154" s="318" t="s">
        <v>237</v>
      </c>
    </row>
    <row r="9155" spans="1:2" ht="12.75" customHeight="1" x14ac:dyDescent="0.25">
      <c r="A9155" s="318">
        <v>93627982004</v>
      </c>
      <c r="B9155" s="318" t="s">
        <v>237</v>
      </c>
    </row>
    <row r="9156" spans="1:2" ht="12.75" customHeight="1" x14ac:dyDescent="0.25">
      <c r="A9156" s="318">
        <v>93627982005</v>
      </c>
      <c r="B9156" s="318" t="s">
        <v>237</v>
      </c>
    </row>
    <row r="9157" spans="1:2" ht="12.75" customHeight="1" x14ac:dyDescent="0.25">
      <c r="A9157" s="318">
        <v>93627982006</v>
      </c>
      <c r="B9157" s="318" t="s">
        <v>237</v>
      </c>
    </row>
    <row r="9158" spans="1:2" ht="12.75" customHeight="1" x14ac:dyDescent="0.25">
      <c r="A9158" s="318">
        <v>93628462863</v>
      </c>
      <c r="B9158" s="318" t="s">
        <v>23</v>
      </c>
    </row>
    <row r="9159" spans="1:2" ht="12.75" customHeight="1" x14ac:dyDescent="0.25">
      <c r="A9159" s="318">
        <v>93628462864</v>
      </c>
      <c r="B9159" s="318" t="s">
        <v>23</v>
      </c>
    </row>
    <row r="9160" spans="1:2" ht="12.75" customHeight="1" x14ac:dyDescent="0.25">
      <c r="A9160" s="318">
        <v>93628462865</v>
      </c>
      <c r="B9160" s="318" t="s">
        <v>23</v>
      </c>
    </row>
    <row r="9161" spans="1:2" ht="12.75" customHeight="1" x14ac:dyDescent="0.25">
      <c r="A9161" s="318">
        <v>93628462866</v>
      </c>
      <c r="B9161" s="318" t="s">
        <v>23</v>
      </c>
    </row>
    <row r="9162" spans="1:2" ht="12.75" customHeight="1" x14ac:dyDescent="0.25">
      <c r="A9162" s="318">
        <v>93628462867</v>
      </c>
      <c r="B9162" s="318" t="s">
        <v>23</v>
      </c>
    </row>
    <row r="9163" spans="1:2" ht="12.75" customHeight="1" x14ac:dyDescent="0.25">
      <c r="A9163" s="318">
        <v>93628462868</v>
      </c>
      <c r="B9163" s="318" t="s">
        <v>23</v>
      </c>
    </row>
    <row r="9164" spans="1:2" ht="12.75" customHeight="1" x14ac:dyDescent="0.25">
      <c r="A9164" s="318">
        <v>93628462869</v>
      </c>
      <c r="B9164" s="318" t="s">
        <v>237</v>
      </c>
    </row>
    <row r="9165" spans="1:2" ht="12.75" customHeight="1" x14ac:dyDescent="0.25">
      <c r="A9165" s="318">
        <v>93628462870</v>
      </c>
      <c r="B9165" s="318" t="s">
        <v>237</v>
      </c>
    </row>
    <row r="9166" spans="1:2" ht="12.75" customHeight="1" x14ac:dyDescent="0.25">
      <c r="A9166" s="318">
        <v>93628462872</v>
      </c>
      <c r="B9166" s="318" t="s">
        <v>237</v>
      </c>
    </row>
    <row r="9167" spans="1:2" ht="12.75" customHeight="1" x14ac:dyDescent="0.25">
      <c r="A9167" s="318">
        <v>93628462873</v>
      </c>
      <c r="B9167" s="318" t="s">
        <v>237</v>
      </c>
    </row>
    <row r="9168" spans="1:2" ht="12.75" customHeight="1" x14ac:dyDescent="0.25">
      <c r="A9168" s="318">
        <v>93628462874</v>
      </c>
      <c r="B9168" s="318" t="s">
        <v>237</v>
      </c>
    </row>
    <row r="9169" spans="1:2" ht="12.75" customHeight="1" x14ac:dyDescent="0.25">
      <c r="A9169" s="318">
        <v>93628462875</v>
      </c>
      <c r="B9169" s="318" t="s">
        <v>237</v>
      </c>
    </row>
    <row r="9170" spans="1:2" ht="12.75" customHeight="1" x14ac:dyDescent="0.25">
      <c r="A9170" s="318">
        <v>93628462876</v>
      </c>
      <c r="B9170" s="318" t="s">
        <v>237</v>
      </c>
    </row>
    <row r="9171" spans="1:2" ht="12.75" customHeight="1" x14ac:dyDescent="0.25">
      <c r="A9171" s="318">
        <v>93628462877</v>
      </c>
      <c r="B9171" s="318" t="s">
        <v>237</v>
      </c>
    </row>
    <row r="9172" spans="1:2" ht="12.75" customHeight="1" x14ac:dyDescent="0.25">
      <c r="A9172" s="318">
        <v>93628462878</v>
      </c>
      <c r="B9172" s="318" t="s">
        <v>237</v>
      </c>
    </row>
    <row r="9173" spans="1:2" ht="12.75" customHeight="1" x14ac:dyDescent="0.25">
      <c r="A9173" s="318">
        <v>93628462879</v>
      </c>
      <c r="B9173" s="318" t="s">
        <v>237</v>
      </c>
    </row>
    <row r="9174" spans="1:2" ht="12.75" customHeight="1" x14ac:dyDescent="0.25">
      <c r="A9174" s="318">
        <v>93628462963</v>
      </c>
      <c r="B9174" s="318" t="s">
        <v>237</v>
      </c>
    </row>
    <row r="9175" spans="1:2" ht="12.75" customHeight="1" x14ac:dyDescent="0.25">
      <c r="A9175" s="318">
        <v>93628462964</v>
      </c>
      <c r="B9175" s="318" t="s">
        <v>237</v>
      </c>
    </row>
    <row r="9176" spans="1:2" ht="12.75" customHeight="1" x14ac:dyDescent="0.25">
      <c r="A9176" s="318">
        <v>93628462965</v>
      </c>
      <c r="B9176" s="318" t="s">
        <v>237</v>
      </c>
    </row>
    <row r="9177" spans="1:2" ht="12.75" customHeight="1" x14ac:dyDescent="0.25">
      <c r="A9177" s="318">
        <v>93628462966</v>
      </c>
      <c r="B9177" s="318" t="s">
        <v>237</v>
      </c>
    </row>
    <row r="9178" spans="1:2" ht="12.75" customHeight="1" x14ac:dyDescent="0.25">
      <c r="A9178" s="318">
        <v>93628462967</v>
      </c>
      <c r="B9178" s="318" t="s">
        <v>237</v>
      </c>
    </row>
    <row r="9179" spans="1:2" ht="12.75" customHeight="1" x14ac:dyDescent="0.25">
      <c r="A9179" s="318">
        <v>93628462968</v>
      </c>
      <c r="B9179" s="318" t="s">
        <v>237</v>
      </c>
    </row>
    <row r="9180" spans="1:2" ht="12.75" customHeight="1" x14ac:dyDescent="0.25">
      <c r="A9180" s="318">
        <v>93628462969</v>
      </c>
      <c r="B9180" s="318" t="s">
        <v>237</v>
      </c>
    </row>
    <row r="9181" spans="1:2" ht="12.75" customHeight="1" x14ac:dyDescent="0.25">
      <c r="A9181" s="318">
        <v>93628462970</v>
      </c>
      <c r="B9181" s="318" t="s">
        <v>237</v>
      </c>
    </row>
    <row r="9182" spans="1:2" ht="12.75" customHeight="1" x14ac:dyDescent="0.25">
      <c r="A9182" s="318">
        <v>93628462972</v>
      </c>
      <c r="B9182" s="318" t="s">
        <v>237</v>
      </c>
    </row>
    <row r="9183" spans="1:2" ht="12.75" customHeight="1" x14ac:dyDescent="0.25">
      <c r="A9183" s="318">
        <v>93628462973</v>
      </c>
      <c r="B9183" s="318" t="s">
        <v>237</v>
      </c>
    </row>
    <row r="9184" spans="1:2" ht="12.75" customHeight="1" x14ac:dyDescent="0.25">
      <c r="A9184" s="318">
        <v>93628462974</v>
      </c>
      <c r="B9184" s="318" t="s">
        <v>237</v>
      </c>
    </row>
    <row r="9185" spans="1:2" ht="12.75" customHeight="1" x14ac:dyDescent="0.25">
      <c r="A9185" s="318">
        <v>93628462975</v>
      </c>
      <c r="B9185" s="318" t="s">
        <v>237</v>
      </c>
    </row>
    <row r="9186" spans="1:2" ht="12.75" customHeight="1" x14ac:dyDescent="0.25">
      <c r="A9186" s="318">
        <v>93628462976</v>
      </c>
      <c r="B9186" s="318" t="s">
        <v>237</v>
      </c>
    </row>
    <row r="9187" spans="1:2" ht="12.75" customHeight="1" x14ac:dyDescent="0.25">
      <c r="A9187" s="318">
        <v>93628462977</v>
      </c>
      <c r="B9187" s="318" t="s">
        <v>237</v>
      </c>
    </row>
    <row r="9188" spans="1:2" ht="12.75" customHeight="1" x14ac:dyDescent="0.25">
      <c r="A9188" s="318">
        <v>93628462978</v>
      </c>
      <c r="B9188" s="318" t="s">
        <v>237</v>
      </c>
    </row>
    <row r="9189" spans="1:2" ht="12.75" customHeight="1" x14ac:dyDescent="0.25">
      <c r="A9189" s="318">
        <v>93628462979</v>
      </c>
      <c r="B9189" s="318" t="s">
        <v>237</v>
      </c>
    </row>
    <row r="9190" spans="1:2" ht="12.75" customHeight="1" x14ac:dyDescent="0.25">
      <c r="A9190" s="318">
        <v>93629143054</v>
      </c>
      <c r="B9190" s="318" t="s">
        <v>23</v>
      </c>
    </row>
    <row r="9191" spans="1:2" ht="12.75" customHeight="1" x14ac:dyDescent="0.25">
      <c r="A9191" s="318">
        <v>93629143055</v>
      </c>
      <c r="B9191" s="318" t="s">
        <v>23</v>
      </c>
    </row>
    <row r="9192" spans="1:2" ht="12.75" customHeight="1" x14ac:dyDescent="0.25">
      <c r="A9192" s="318">
        <v>93629143056</v>
      </c>
      <c r="B9192" s="318" t="s">
        <v>23</v>
      </c>
    </row>
    <row r="9193" spans="1:2" ht="12.75" customHeight="1" x14ac:dyDescent="0.25">
      <c r="A9193" s="318">
        <v>93629143057</v>
      </c>
      <c r="B9193" s="318" t="s">
        <v>23</v>
      </c>
    </row>
    <row r="9194" spans="1:2" ht="12.75" customHeight="1" x14ac:dyDescent="0.25">
      <c r="A9194" s="318">
        <v>93629143058</v>
      </c>
      <c r="B9194" s="318" t="s">
        <v>23</v>
      </c>
    </row>
    <row r="9195" spans="1:2" ht="12.75" customHeight="1" x14ac:dyDescent="0.25">
      <c r="A9195" s="318">
        <v>93629143059</v>
      </c>
      <c r="B9195" s="318" t="s">
        <v>23</v>
      </c>
    </row>
    <row r="9196" spans="1:2" ht="12.75" customHeight="1" x14ac:dyDescent="0.25">
      <c r="A9196" s="318">
        <v>93629143060</v>
      </c>
      <c r="B9196" s="318" t="s">
        <v>237</v>
      </c>
    </row>
    <row r="9197" spans="1:2" ht="12.75" customHeight="1" x14ac:dyDescent="0.25">
      <c r="A9197" s="318">
        <v>93629143061</v>
      </c>
      <c r="B9197" s="318" t="s">
        <v>237</v>
      </c>
    </row>
    <row r="9198" spans="1:2" ht="12.75" customHeight="1" x14ac:dyDescent="0.25">
      <c r="A9198" s="318">
        <v>93629143063</v>
      </c>
      <c r="B9198" s="318" t="s">
        <v>237</v>
      </c>
    </row>
    <row r="9199" spans="1:2" ht="12.75" customHeight="1" x14ac:dyDescent="0.25">
      <c r="A9199" s="318">
        <v>93629143064</v>
      </c>
      <c r="B9199" s="318" t="s">
        <v>237</v>
      </c>
    </row>
    <row r="9200" spans="1:2" ht="12.75" customHeight="1" x14ac:dyDescent="0.25">
      <c r="A9200" s="318">
        <v>93629143065</v>
      </c>
      <c r="B9200" s="318" t="s">
        <v>237</v>
      </c>
    </row>
    <row r="9201" spans="1:2" ht="12.75" customHeight="1" x14ac:dyDescent="0.25">
      <c r="A9201" s="318">
        <v>93629143066</v>
      </c>
      <c r="B9201" s="318" t="s">
        <v>237</v>
      </c>
    </row>
    <row r="9202" spans="1:2" ht="12.75" customHeight="1" x14ac:dyDescent="0.25">
      <c r="A9202" s="318">
        <v>93629143067</v>
      </c>
      <c r="B9202" s="318" t="s">
        <v>237</v>
      </c>
    </row>
    <row r="9203" spans="1:2" ht="12.75" customHeight="1" x14ac:dyDescent="0.25">
      <c r="A9203" s="318">
        <v>93629143068</v>
      </c>
      <c r="B9203" s="318" t="s">
        <v>237</v>
      </c>
    </row>
    <row r="9204" spans="1:2" ht="12.75" customHeight="1" x14ac:dyDescent="0.25">
      <c r="A9204" s="318">
        <v>93629143069</v>
      </c>
      <c r="B9204" s="318" t="s">
        <v>237</v>
      </c>
    </row>
    <row r="9205" spans="1:2" ht="12.75" customHeight="1" x14ac:dyDescent="0.25">
      <c r="A9205" s="318">
        <v>93629143070</v>
      </c>
      <c r="B9205" s="318" t="s">
        <v>237</v>
      </c>
    </row>
    <row r="9206" spans="1:2" ht="12.75" customHeight="1" x14ac:dyDescent="0.25">
      <c r="A9206" s="318">
        <v>93629143154</v>
      </c>
      <c r="B9206" s="318" t="s">
        <v>237</v>
      </c>
    </row>
    <row r="9207" spans="1:2" ht="12.75" customHeight="1" x14ac:dyDescent="0.25">
      <c r="A9207" s="318">
        <v>93629143155</v>
      </c>
      <c r="B9207" s="318" t="s">
        <v>237</v>
      </c>
    </row>
    <row r="9208" spans="1:2" ht="12.75" customHeight="1" x14ac:dyDescent="0.25">
      <c r="A9208" s="318">
        <v>93629143156</v>
      </c>
      <c r="B9208" s="318" t="s">
        <v>237</v>
      </c>
    </row>
    <row r="9209" spans="1:2" ht="12.75" customHeight="1" x14ac:dyDescent="0.25">
      <c r="A9209" s="318">
        <v>93629143157</v>
      </c>
      <c r="B9209" s="318" t="s">
        <v>237</v>
      </c>
    </row>
    <row r="9210" spans="1:2" ht="12.75" customHeight="1" x14ac:dyDescent="0.25">
      <c r="A9210" s="318">
        <v>93629143158</v>
      </c>
      <c r="B9210" s="318" t="s">
        <v>237</v>
      </c>
    </row>
    <row r="9211" spans="1:2" ht="12.75" customHeight="1" x14ac:dyDescent="0.25">
      <c r="A9211" s="318">
        <v>93629143159</v>
      </c>
      <c r="B9211" s="318" t="s">
        <v>237</v>
      </c>
    </row>
    <row r="9212" spans="1:2" ht="12.75" customHeight="1" x14ac:dyDescent="0.25">
      <c r="A9212" s="318">
        <v>93629143160</v>
      </c>
      <c r="B9212" s="318" t="s">
        <v>237</v>
      </c>
    </row>
    <row r="9213" spans="1:2" ht="12.75" customHeight="1" x14ac:dyDescent="0.25">
      <c r="A9213" s="318">
        <v>93629143161</v>
      </c>
      <c r="B9213" s="318" t="s">
        <v>237</v>
      </c>
    </row>
    <row r="9214" spans="1:2" ht="12.75" customHeight="1" x14ac:dyDescent="0.25">
      <c r="A9214" s="318">
        <v>93629143163</v>
      </c>
      <c r="B9214" s="318" t="s">
        <v>237</v>
      </c>
    </row>
    <row r="9215" spans="1:2" ht="12.75" customHeight="1" x14ac:dyDescent="0.25">
      <c r="A9215" s="318">
        <v>93629143164</v>
      </c>
      <c r="B9215" s="318" t="s">
        <v>237</v>
      </c>
    </row>
    <row r="9216" spans="1:2" ht="12.75" customHeight="1" x14ac:dyDescent="0.25">
      <c r="A9216" s="318">
        <v>93629143165</v>
      </c>
      <c r="B9216" s="318" t="s">
        <v>237</v>
      </c>
    </row>
    <row r="9217" spans="1:2" ht="12.75" customHeight="1" x14ac:dyDescent="0.25">
      <c r="A9217" s="318">
        <v>93629143166</v>
      </c>
      <c r="B9217" s="318" t="s">
        <v>237</v>
      </c>
    </row>
    <row r="9218" spans="1:2" ht="12.75" customHeight="1" x14ac:dyDescent="0.25">
      <c r="A9218" s="318">
        <v>93629143167</v>
      </c>
      <c r="B9218" s="318" t="s">
        <v>237</v>
      </c>
    </row>
    <row r="9219" spans="1:2" ht="12.75" customHeight="1" x14ac:dyDescent="0.25">
      <c r="A9219" s="318">
        <v>93629143168</v>
      </c>
      <c r="B9219" s="318" t="s">
        <v>237</v>
      </c>
    </row>
    <row r="9220" spans="1:2" ht="12.75" customHeight="1" x14ac:dyDescent="0.25">
      <c r="A9220" s="318">
        <v>93629143169</v>
      </c>
      <c r="B9220" s="318" t="s">
        <v>237</v>
      </c>
    </row>
    <row r="9221" spans="1:2" ht="12.75" customHeight="1" x14ac:dyDescent="0.25">
      <c r="A9221" s="318">
        <v>93629143170</v>
      </c>
      <c r="B9221" s="318" t="s">
        <v>237</v>
      </c>
    </row>
    <row r="9222" spans="1:2" ht="12.75" customHeight="1" x14ac:dyDescent="0.25">
      <c r="A9222" s="318">
        <v>93629624027</v>
      </c>
      <c r="B9222" s="318" t="s">
        <v>23</v>
      </c>
    </row>
    <row r="9223" spans="1:2" ht="12.75" customHeight="1" x14ac:dyDescent="0.25">
      <c r="A9223" s="318">
        <v>93629624028</v>
      </c>
      <c r="B9223" s="318" t="s">
        <v>23</v>
      </c>
    </row>
    <row r="9224" spans="1:2" ht="12.75" customHeight="1" x14ac:dyDescent="0.25">
      <c r="A9224" s="318">
        <v>93629624029</v>
      </c>
      <c r="B9224" s="318" t="s">
        <v>23</v>
      </c>
    </row>
    <row r="9225" spans="1:2" ht="12.75" customHeight="1" x14ac:dyDescent="0.25">
      <c r="A9225" s="318">
        <v>93629624030</v>
      </c>
      <c r="B9225" s="318" t="s">
        <v>23</v>
      </c>
    </row>
    <row r="9226" spans="1:2" ht="12.75" customHeight="1" x14ac:dyDescent="0.25">
      <c r="A9226" s="318">
        <v>93629624031</v>
      </c>
      <c r="B9226" s="318" t="s">
        <v>23</v>
      </c>
    </row>
    <row r="9227" spans="1:2" ht="12.75" customHeight="1" x14ac:dyDescent="0.25">
      <c r="A9227" s="318">
        <v>93629624032</v>
      </c>
      <c r="B9227" s="318" t="s">
        <v>23</v>
      </c>
    </row>
    <row r="9228" spans="1:2" ht="12.75" customHeight="1" x14ac:dyDescent="0.25">
      <c r="A9228" s="318">
        <v>93629624033</v>
      </c>
      <c r="B9228" s="318" t="s">
        <v>237</v>
      </c>
    </row>
    <row r="9229" spans="1:2" ht="12.75" customHeight="1" x14ac:dyDescent="0.25">
      <c r="A9229" s="318">
        <v>93629624034</v>
      </c>
      <c r="B9229" s="318" t="s">
        <v>237</v>
      </c>
    </row>
    <row r="9230" spans="1:2" ht="12.75" customHeight="1" x14ac:dyDescent="0.25">
      <c r="A9230" s="318">
        <v>93629624036</v>
      </c>
      <c r="B9230" s="318" t="s">
        <v>237</v>
      </c>
    </row>
    <row r="9231" spans="1:2" ht="12.75" customHeight="1" x14ac:dyDescent="0.25">
      <c r="A9231" s="318">
        <v>93629624037</v>
      </c>
      <c r="B9231" s="318" t="s">
        <v>237</v>
      </c>
    </row>
    <row r="9232" spans="1:2" ht="12.75" customHeight="1" x14ac:dyDescent="0.25">
      <c r="A9232" s="318">
        <v>93629624038</v>
      </c>
      <c r="B9232" s="318" t="s">
        <v>237</v>
      </c>
    </row>
    <row r="9233" spans="1:2" ht="12.75" customHeight="1" x14ac:dyDescent="0.25">
      <c r="A9233" s="318">
        <v>93629624039</v>
      </c>
      <c r="B9233" s="318" t="s">
        <v>237</v>
      </c>
    </row>
    <row r="9234" spans="1:2" ht="12.75" customHeight="1" x14ac:dyDescent="0.25">
      <c r="A9234" s="318">
        <v>93629624040</v>
      </c>
      <c r="B9234" s="318" t="s">
        <v>237</v>
      </c>
    </row>
    <row r="9235" spans="1:2" ht="12.75" customHeight="1" x14ac:dyDescent="0.25">
      <c r="A9235" s="318">
        <v>93629624041</v>
      </c>
      <c r="B9235" s="318" t="s">
        <v>237</v>
      </c>
    </row>
    <row r="9236" spans="1:2" ht="12.75" customHeight="1" x14ac:dyDescent="0.25">
      <c r="A9236" s="318">
        <v>93629624042</v>
      </c>
      <c r="B9236" s="318" t="s">
        <v>237</v>
      </c>
    </row>
    <row r="9237" spans="1:2" ht="12.75" customHeight="1" x14ac:dyDescent="0.25">
      <c r="A9237" s="318">
        <v>93629624043</v>
      </c>
      <c r="B9237" s="318" t="s">
        <v>237</v>
      </c>
    </row>
    <row r="9238" spans="1:2" ht="12.75" customHeight="1" x14ac:dyDescent="0.25">
      <c r="A9238" s="318">
        <v>93629624127</v>
      </c>
      <c r="B9238" s="318" t="s">
        <v>237</v>
      </c>
    </row>
    <row r="9239" spans="1:2" ht="12.75" customHeight="1" x14ac:dyDescent="0.25">
      <c r="A9239" s="318">
        <v>93629624128</v>
      </c>
      <c r="B9239" s="318" t="s">
        <v>237</v>
      </c>
    </row>
    <row r="9240" spans="1:2" ht="12.75" customHeight="1" x14ac:dyDescent="0.25">
      <c r="A9240" s="318">
        <v>93629624129</v>
      </c>
      <c r="B9240" s="318" t="s">
        <v>237</v>
      </c>
    </row>
    <row r="9241" spans="1:2" ht="12.75" customHeight="1" x14ac:dyDescent="0.25">
      <c r="A9241" s="318">
        <v>93629624130</v>
      </c>
      <c r="B9241" s="318" t="s">
        <v>237</v>
      </c>
    </row>
    <row r="9242" spans="1:2" ht="12.75" customHeight="1" x14ac:dyDescent="0.25">
      <c r="A9242" s="318">
        <v>93629624131</v>
      </c>
      <c r="B9242" s="318" t="s">
        <v>237</v>
      </c>
    </row>
    <row r="9243" spans="1:2" ht="12.75" customHeight="1" x14ac:dyDescent="0.25">
      <c r="A9243" s="318">
        <v>93629624132</v>
      </c>
      <c r="B9243" s="318" t="s">
        <v>237</v>
      </c>
    </row>
    <row r="9244" spans="1:2" ht="12.75" customHeight="1" x14ac:dyDescent="0.25">
      <c r="A9244" s="318">
        <v>93629624133</v>
      </c>
      <c r="B9244" s="318" t="s">
        <v>237</v>
      </c>
    </row>
    <row r="9245" spans="1:2" ht="12.75" customHeight="1" x14ac:dyDescent="0.25">
      <c r="A9245" s="318">
        <v>93629624134</v>
      </c>
      <c r="B9245" s="318" t="s">
        <v>237</v>
      </c>
    </row>
    <row r="9246" spans="1:2" ht="12.75" customHeight="1" x14ac:dyDescent="0.25">
      <c r="A9246" s="318">
        <v>93629624136</v>
      </c>
      <c r="B9246" s="318" t="s">
        <v>237</v>
      </c>
    </row>
    <row r="9247" spans="1:2" ht="12.75" customHeight="1" x14ac:dyDescent="0.25">
      <c r="A9247" s="318">
        <v>93629624137</v>
      </c>
      <c r="B9247" s="318" t="s">
        <v>237</v>
      </c>
    </row>
    <row r="9248" spans="1:2" ht="12.75" customHeight="1" x14ac:dyDescent="0.25">
      <c r="A9248" s="318">
        <v>93629624138</v>
      </c>
      <c r="B9248" s="318" t="s">
        <v>237</v>
      </c>
    </row>
    <row r="9249" spans="1:2" ht="12.75" customHeight="1" x14ac:dyDescent="0.25">
      <c r="A9249" s="318">
        <v>93629624139</v>
      </c>
      <c r="B9249" s="318" t="s">
        <v>237</v>
      </c>
    </row>
    <row r="9250" spans="1:2" ht="12.75" customHeight="1" x14ac:dyDescent="0.25">
      <c r="A9250" s="318">
        <v>93629624140</v>
      </c>
      <c r="B9250" s="318" t="s">
        <v>237</v>
      </c>
    </row>
    <row r="9251" spans="1:2" ht="12.75" customHeight="1" x14ac:dyDescent="0.25">
      <c r="A9251" s="318">
        <v>93629624141</v>
      </c>
      <c r="B9251" s="318" t="s">
        <v>237</v>
      </c>
    </row>
    <row r="9252" spans="1:2" ht="12.75" customHeight="1" x14ac:dyDescent="0.25">
      <c r="A9252" s="318">
        <v>93629624142</v>
      </c>
      <c r="B9252" s="318" t="s">
        <v>237</v>
      </c>
    </row>
    <row r="9253" spans="1:2" ht="12.75" customHeight="1" x14ac:dyDescent="0.25">
      <c r="A9253" s="318">
        <v>93629624143</v>
      </c>
      <c r="B9253" s="318" t="s">
        <v>237</v>
      </c>
    </row>
    <row r="9254" spans="1:2" ht="12.75" customHeight="1" x14ac:dyDescent="0.25">
      <c r="A9254" s="318">
        <v>93630105000</v>
      </c>
      <c r="B9254" s="318" t="s">
        <v>23</v>
      </c>
    </row>
    <row r="9255" spans="1:2" ht="12.75" customHeight="1" x14ac:dyDescent="0.25">
      <c r="A9255" s="318">
        <v>93630105001</v>
      </c>
      <c r="B9255" s="318" t="s">
        <v>23</v>
      </c>
    </row>
    <row r="9256" spans="1:2" ht="12.75" customHeight="1" x14ac:dyDescent="0.25">
      <c r="A9256" s="318">
        <v>93630105002</v>
      </c>
      <c r="B9256" s="318" t="s">
        <v>23</v>
      </c>
    </row>
    <row r="9257" spans="1:2" ht="12.75" customHeight="1" x14ac:dyDescent="0.25">
      <c r="A9257" s="318">
        <v>93630105003</v>
      </c>
      <c r="B9257" s="318" t="s">
        <v>23</v>
      </c>
    </row>
    <row r="9258" spans="1:2" ht="12.75" customHeight="1" x14ac:dyDescent="0.25">
      <c r="A9258" s="318">
        <v>93630105004</v>
      </c>
      <c r="B9258" s="318" t="s">
        <v>23</v>
      </c>
    </row>
    <row r="9259" spans="1:2" ht="12.75" customHeight="1" x14ac:dyDescent="0.25">
      <c r="A9259" s="318">
        <v>93630105005</v>
      </c>
      <c r="B9259" s="318" t="s">
        <v>23</v>
      </c>
    </row>
    <row r="9260" spans="1:2" ht="12.75" customHeight="1" x14ac:dyDescent="0.25">
      <c r="A9260" s="318">
        <v>93630105006</v>
      </c>
      <c r="B9260" s="318" t="s">
        <v>237</v>
      </c>
    </row>
    <row r="9261" spans="1:2" ht="12.75" customHeight="1" x14ac:dyDescent="0.25">
      <c r="A9261" s="318">
        <v>93630105007</v>
      </c>
      <c r="B9261" s="318" t="s">
        <v>237</v>
      </c>
    </row>
    <row r="9262" spans="1:2" ht="12.75" customHeight="1" x14ac:dyDescent="0.25">
      <c r="A9262" s="318">
        <v>93630105009</v>
      </c>
      <c r="B9262" s="318" t="s">
        <v>237</v>
      </c>
    </row>
    <row r="9263" spans="1:2" ht="12.75" customHeight="1" x14ac:dyDescent="0.25">
      <c r="A9263" s="318">
        <v>93630105010</v>
      </c>
      <c r="B9263" s="318" t="s">
        <v>237</v>
      </c>
    </row>
    <row r="9264" spans="1:2" ht="12.75" customHeight="1" x14ac:dyDescent="0.25">
      <c r="A9264" s="318">
        <v>93630105011</v>
      </c>
      <c r="B9264" s="318" t="s">
        <v>237</v>
      </c>
    </row>
    <row r="9265" spans="1:2" ht="12.75" customHeight="1" x14ac:dyDescent="0.25">
      <c r="A9265" s="318">
        <v>93630105012</v>
      </c>
      <c r="B9265" s="318" t="s">
        <v>237</v>
      </c>
    </row>
    <row r="9266" spans="1:2" ht="12.75" customHeight="1" x14ac:dyDescent="0.25">
      <c r="A9266" s="318">
        <v>93630105013</v>
      </c>
      <c r="B9266" s="318" t="s">
        <v>237</v>
      </c>
    </row>
    <row r="9267" spans="1:2" ht="12.75" customHeight="1" x14ac:dyDescent="0.25">
      <c r="A9267" s="318">
        <v>93630105014</v>
      </c>
      <c r="B9267" s="318" t="s">
        <v>237</v>
      </c>
    </row>
    <row r="9268" spans="1:2" ht="12.75" customHeight="1" x14ac:dyDescent="0.25">
      <c r="A9268" s="318">
        <v>93630105015</v>
      </c>
      <c r="B9268" s="318" t="s">
        <v>237</v>
      </c>
    </row>
    <row r="9269" spans="1:2" ht="12.75" customHeight="1" x14ac:dyDescent="0.25">
      <c r="A9269" s="318">
        <v>93630105016</v>
      </c>
      <c r="B9269" s="318" t="s">
        <v>237</v>
      </c>
    </row>
    <row r="9270" spans="1:2" ht="12.75" customHeight="1" x14ac:dyDescent="0.25">
      <c r="A9270" s="318">
        <v>93630105100</v>
      </c>
      <c r="B9270" s="318" t="s">
        <v>237</v>
      </c>
    </row>
    <row r="9271" spans="1:2" ht="12.75" customHeight="1" x14ac:dyDescent="0.25">
      <c r="A9271" s="318">
        <v>93630105101</v>
      </c>
      <c r="B9271" s="318" t="s">
        <v>237</v>
      </c>
    </row>
    <row r="9272" spans="1:2" ht="12.75" customHeight="1" x14ac:dyDescent="0.25">
      <c r="A9272" s="318">
        <v>93630105102</v>
      </c>
      <c r="B9272" s="318" t="s">
        <v>237</v>
      </c>
    </row>
    <row r="9273" spans="1:2" ht="12.75" customHeight="1" x14ac:dyDescent="0.25">
      <c r="A9273" s="318">
        <v>93630105103</v>
      </c>
      <c r="B9273" s="318" t="s">
        <v>237</v>
      </c>
    </row>
    <row r="9274" spans="1:2" ht="12.75" customHeight="1" x14ac:dyDescent="0.25">
      <c r="A9274" s="318">
        <v>93630105104</v>
      </c>
      <c r="B9274" s="318" t="s">
        <v>237</v>
      </c>
    </row>
    <row r="9275" spans="1:2" ht="12.75" customHeight="1" x14ac:dyDescent="0.25">
      <c r="A9275" s="318">
        <v>93630105105</v>
      </c>
      <c r="B9275" s="318" t="s">
        <v>237</v>
      </c>
    </row>
    <row r="9276" spans="1:2" ht="12.75" customHeight="1" x14ac:dyDescent="0.25">
      <c r="A9276" s="318">
        <v>93630105106</v>
      </c>
      <c r="B9276" s="318" t="s">
        <v>237</v>
      </c>
    </row>
    <row r="9277" spans="1:2" ht="12.75" customHeight="1" x14ac:dyDescent="0.25">
      <c r="A9277" s="318">
        <v>93630105107</v>
      </c>
      <c r="B9277" s="318" t="s">
        <v>237</v>
      </c>
    </row>
    <row r="9278" spans="1:2" ht="12.75" customHeight="1" x14ac:dyDescent="0.25">
      <c r="A9278" s="318">
        <v>93630105109</v>
      </c>
      <c r="B9278" s="318" t="s">
        <v>237</v>
      </c>
    </row>
    <row r="9279" spans="1:2" ht="12.75" customHeight="1" x14ac:dyDescent="0.25">
      <c r="A9279" s="318">
        <v>93630105110</v>
      </c>
      <c r="B9279" s="318" t="s">
        <v>237</v>
      </c>
    </row>
    <row r="9280" spans="1:2" ht="12.75" customHeight="1" x14ac:dyDescent="0.25">
      <c r="A9280" s="318">
        <v>93630105111</v>
      </c>
      <c r="B9280" s="318" t="s">
        <v>237</v>
      </c>
    </row>
    <row r="9281" spans="1:2" ht="12.75" customHeight="1" x14ac:dyDescent="0.25">
      <c r="A9281" s="318">
        <v>93630105112</v>
      </c>
      <c r="B9281" s="318" t="s">
        <v>237</v>
      </c>
    </row>
    <row r="9282" spans="1:2" ht="12.75" customHeight="1" x14ac:dyDescent="0.25">
      <c r="A9282" s="318">
        <v>93630105113</v>
      </c>
      <c r="B9282" s="318" t="s">
        <v>237</v>
      </c>
    </row>
    <row r="9283" spans="1:2" ht="12.75" customHeight="1" x14ac:dyDescent="0.25">
      <c r="A9283" s="318">
        <v>93630105114</v>
      </c>
      <c r="B9283" s="318" t="s">
        <v>237</v>
      </c>
    </row>
    <row r="9284" spans="1:2" ht="12.75" customHeight="1" x14ac:dyDescent="0.25">
      <c r="A9284" s="318">
        <v>93630105115</v>
      </c>
      <c r="B9284" s="318" t="s">
        <v>237</v>
      </c>
    </row>
    <row r="9285" spans="1:2" ht="12.75" customHeight="1" x14ac:dyDescent="0.25">
      <c r="A9285" s="318">
        <v>93630105116</v>
      </c>
      <c r="B9285" s="318" t="s">
        <v>237</v>
      </c>
    </row>
    <row r="9286" spans="1:2" ht="12.75" customHeight="1" x14ac:dyDescent="0.25">
      <c r="A9286" s="318">
        <v>93630785191</v>
      </c>
      <c r="B9286" s="318" t="s">
        <v>23</v>
      </c>
    </row>
    <row r="9287" spans="1:2" ht="12.75" customHeight="1" x14ac:dyDescent="0.25">
      <c r="A9287" s="318">
        <v>93630785192</v>
      </c>
      <c r="B9287" s="318" t="s">
        <v>23</v>
      </c>
    </row>
    <row r="9288" spans="1:2" ht="12.75" customHeight="1" x14ac:dyDescent="0.25">
      <c r="A9288" s="318">
        <v>93630785193</v>
      </c>
      <c r="B9288" s="318" t="s">
        <v>23</v>
      </c>
    </row>
    <row r="9289" spans="1:2" ht="12.75" customHeight="1" x14ac:dyDescent="0.25">
      <c r="A9289" s="318">
        <v>93630785194</v>
      </c>
      <c r="B9289" s="318" t="s">
        <v>23</v>
      </c>
    </row>
    <row r="9290" spans="1:2" ht="12.75" customHeight="1" x14ac:dyDescent="0.25">
      <c r="A9290" s="318">
        <v>93630785195</v>
      </c>
      <c r="B9290" s="318" t="s">
        <v>23</v>
      </c>
    </row>
    <row r="9291" spans="1:2" ht="12.75" customHeight="1" x14ac:dyDescent="0.25">
      <c r="A9291" s="318">
        <v>93630785196</v>
      </c>
      <c r="B9291" s="318" t="s">
        <v>23</v>
      </c>
    </row>
    <row r="9292" spans="1:2" ht="12.75" customHeight="1" x14ac:dyDescent="0.25">
      <c r="A9292" s="318">
        <v>93630785197</v>
      </c>
      <c r="B9292" s="318" t="s">
        <v>237</v>
      </c>
    </row>
    <row r="9293" spans="1:2" ht="12.75" customHeight="1" x14ac:dyDescent="0.25">
      <c r="A9293" s="318">
        <v>93630785198</v>
      </c>
      <c r="B9293" s="318" t="s">
        <v>237</v>
      </c>
    </row>
    <row r="9294" spans="1:2" ht="12.75" customHeight="1" x14ac:dyDescent="0.25">
      <c r="A9294" s="318">
        <v>93630785200</v>
      </c>
      <c r="B9294" s="318" t="s">
        <v>237</v>
      </c>
    </row>
    <row r="9295" spans="1:2" ht="12.75" customHeight="1" x14ac:dyDescent="0.25">
      <c r="A9295" s="318">
        <v>93630785201</v>
      </c>
      <c r="B9295" s="318" t="s">
        <v>237</v>
      </c>
    </row>
    <row r="9296" spans="1:2" ht="12.75" customHeight="1" x14ac:dyDescent="0.25">
      <c r="A9296" s="318">
        <v>93630785202</v>
      </c>
      <c r="B9296" s="318" t="s">
        <v>237</v>
      </c>
    </row>
    <row r="9297" spans="1:2" ht="12.75" customHeight="1" x14ac:dyDescent="0.25">
      <c r="A9297" s="318">
        <v>93630785203</v>
      </c>
      <c r="B9297" s="318" t="s">
        <v>237</v>
      </c>
    </row>
    <row r="9298" spans="1:2" ht="12.75" customHeight="1" x14ac:dyDescent="0.25">
      <c r="A9298" s="318">
        <v>93630785204</v>
      </c>
      <c r="B9298" s="318" t="s">
        <v>237</v>
      </c>
    </row>
    <row r="9299" spans="1:2" ht="12.75" customHeight="1" x14ac:dyDescent="0.25">
      <c r="A9299" s="318">
        <v>93630785205</v>
      </c>
      <c r="B9299" s="318" t="s">
        <v>237</v>
      </c>
    </row>
    <row r="9300" spans="1:2" ht="12.75" customHeight="1" x14ac:dyDescent="0.25">
      <c r="A9300" s="318">
        <v>93630785206</v>
      </c>
      <c r="B9300" s="318" t="s">
        <v>237</v>
      </c>
    </row>
    <row r="9301" spans="1:2" ht="12.75" customHeight="1" x14ac:dyDescent="0.25">
      <c r="A9301" s="318">
        <v>93630785207</v>
      </c>
      <c r="B9301" s="318" t="s">
        <v>237</v>
      </c>
    </row>
    <row r="9302" spans="1:2" ht="12.75" customHeight="1" x14ac:dyDescent="0.25">
      <c r="A9302" s="318">
        <v>93630785291</v>
      </c>
      <c r="B9302" s="318" t="s">
        <v>237</v>
      </c>
    </row>
    <row r="9303" spans="1:2" ht="12.75" customHeight="1" x14ac:dyDescent="0.25">
      <c r="A9303" s="318">
        <v>93630785292</v>
      </c>
      <c r="B9303" s="318" t="s">
        <v>237</v>
      </c>
    </row>
    <row r="9304" spans="1:2" ht="12.75" customHeight="1" x14ac:dyDescent="0.25">
      <c r="A9304" s="318">
        <v>93630785293</v>
      </c>
      <c r="B9304" s="318" t="s">
        <v>237</v>
      </c>
    </row>
    <row r="9305" spans="1:2" ht="12.75" customHeight="1" x14ac:dyDescent="0.25">
      <c r="A9305" s="318">
        <v>93630785294</v>
      </c>
      <c r="B9305" s="318" t="s">
        <v>237</v>
      </c>
    </row>
    <row r="9306" spans="1:2" ht="12.75" customHeight="1" x14ac:dyDescent="0.25">
      <c r="A9306" s="318">
        <v>93630785295</v>
      </c>
      <c r="B9306" s="318" t="s">
        <v>237</v>
      </c>
    </row>
    <row r="9307" spans="1:2" ht="12.75" customHeight="1" x14ac:dyDescent="0.25">
      <c r="A9307" s="318">
        <v>93630785296</v>
      </c>
      <c r="B9307" s="318" t="s">
        <v>237</v>
      </c>
    </row>
    <row r="9308" spans="1:2" ht="12.75" customHeight="1" x14ac:dyDescent="0.25">
      <c r="A9308" s="318">
        <v>93630785297</v>
      </c>
      <c r="B9308" s="318" t="s">
        <v>237</v>
      </c>
    </row>
    <row r="9309" spans="1:2" ht="12.75" customHeight="1" x14ac:dyDescent="0.25">
      <c r="A9309" s="318">
        <v>93630785298</v>
      </c>
      <c r="B9309" s="318" t="s">
        <v>237</v>
      </c>
    </row>
    <row r="9310" spans="1:2" ht="12.75" customHeight="1" x14ac:dyDescent="0.25">
      <c r="A9310" s="318">
        <v>93630785300</v>
      </c>
      <c r="B9310" s="318" t="s">
        <v>237</v>
      </c>
    </row>
    <row r="9311" spans="1:2" ht="12.75" customHeight="1" x14ac:dyDescent="0.25">
      <c r="A9311" s="318">
        <v>93630785301</v>
      </c>
      <c r="B9311" s="318" t="s">
        <v>237</v>
      </c>
    </row>
    <row r="9312" spans="1:2" ht="12.75" customHeight="1" x14ac:dyDescent="0.25">
      <c r="A9312" s="318">
        <v>93630785302</v>
      </c>
      <c r="B9312" s="318" t="s">
        <v>237</v>
      </c>
    </row>
    <row r="9313" spans="1:2" ht="12.75" customHeight="1" x14ac:dyDescent="0.25">
      <c r="A9313" s="318">
        <v>93630785303</v>
      </c>
      <c r="B9313" s="318" t="s">
        <v>237</v>
      </c>
    </row>
    <row r="9314" spans="1:2" ht="12.75" customHeight="1" x14ac:dyDescent="0.25">
      <c r="A9314" s="318">
        <v>93630785304</v>
      </c>
      <c r="B9314" s="318" t="s">
        <v>237</v>
      </c>
    </row>
    <row r="9315" spans="1:2" ht="12.75" customHeight="1" x14ac:dyDescent="0.25">
      <c r="A9315" s="318">
        <v>93630785305</v>
      </c>
      <c r="B9315" s="318" t="s">
        <v>237</v>
      </c>
    </row>
    <row r="9316" spans="1:2" ht="12.75" customHeight="1" x14ac:dyDescent="0.25">
      <c r="A9316" s="318">
        <v>93630785306</v>
      </c>
      <c r="B9316" s="318" t="s">
        <v>237</v>
      </c>
    </row>
    <row r="9317" spans="1:2" ht="12.75" customHeight="1" x14ac:dyDescent="0.25">
      <c r="A9317" s="318">
        <v>93630785307</v>
      </c>
      <c r="B9317" s="318" t="s">
        <v>237</v>
      </c>
    </row>
    <row r="9318" spans="1:2" ht="12.75" customHeight="1" x14ac:dyDescent="0.25">
      <c r="A9318" s="318">
        <v>93631266164</v>
      </c>
      <c r="B9318" s="318" t="s">
        <v>23</v>
      </c>
    </row>
    <row r="9319" spans="1:2" ht="12.75" customHeight="1" x14ac:dyDescent="0.25">
      <c r="A9319" s="318">
        <v>93631266165</v>
      </c>
      <c r="B9319" s="318" t="s">
        <v>23</v>
      </c>
    </row>
    <row r="9320" spans="1:2" ht="12.75" customHeight="1" x14ac:dyDescent="0.25">
      <c r="A9320" s="318">
        <v>93631266166</v>
      </c>
      <c r="B9320" s="318" t="s">
        <v>23</v>
      </c>
    </row>
    <row r="9321" spans="1:2" ht="12.75" customHeight="1" x14ac:dyDescent="0.25">
      <c r="A9321" s="318">
        <v>93631266167</v>
      </c>
      <c r="B9321" s="318" t="s">
        <v>23</v>
      </c>
    </row>
    <row r="9322" spans="1:2" ht="12.75" customHeight="1" x14ac:dyDescent="0.25">
      <c r="A9322" s="318">
        <v>93631266168</v>
      </c>
      <c r="B9322" s="318" t="s">
        <v>23</v>
      </c>
    </row>
    <row r="9323" spans="1:2" ht="12.75" customHeight="1" x14ac:dyDescent="0.25">
      <c r="A9323" s="318">
        <v>93631266169</v>
      </c>
      <c r="B9323" s="318" t="s">
        <v>23</v>
      </c>
    </row>
    <row r="9324" spans="1:2" ht="12.75" customHeight="1" x14ac:dyDescent="0.25">
      <c r="A9324" s="318">
        <v>93631266170</v>
      </c>
      <c r="B9324" s="318" t="s">
        <v>237</v>
      </c>
    </row>
    <row r="9325" spans="1:2" ht="12.75" customHeight="1" x14ac:dyDescent="0.25">
      <c r="A9325" s="318">
        <v>93631266171</v>
      </c>
      <c r="B9325" s="318" t="s">
        <v>237</v>
      </c>
    </row>
    <row r="9326" spans="1:2" ht="12.75" customHeight="1" x14ac:dyDescent="0.25">
      <c r="A9326" s="318">
        <v>93631266173</v>
      </c>
      <c r="B9326" s="318" t="s">
        <v>237</v>
      </c>
    </row>
    <row r="9327" spans="1:2" ht="12.75" customHeight="1" x14ac:dyDescent="0.25">
      <c r="A9327" s="318">
        <v>93631266174</v>
      </c>
      <c r="B9327" s="318" t="s">
        <v>237</v>
      </c>
    </row>
    <row r="9328" spans="1:2" ht="12.75" customHeight="1" x14ac:dyDescent="0.25">
      <c r="A9328" s="318">
        <v>93631266175</v>
      </c>
      <c r="B9328" s="318" t="s">
        <v>237</v>
      </c>
    </row>
    <row r="9329" spans="1:2" ht="12.75" customHeight="1" x14ac:dyDescent="0.25">
      <c r="A9329" s="318">
        <v>93631266176</v>
      </c>
      <c r="B9329" s="318" t="s">
        <v>237</v>
      </c>
    </row>
    <row r="9330" spans="1:2" ht="12.75" customHeight="1" x14ac:dyDescent="0.25">
      <c r="A9330" s="318">
        <v>93631266177</v>
      </c>
      <c r="B9330" s="318" t="s">
        <v>237</v>
      </c>
    </row>
    <row r="9331" spans="1:2" ht="12.75" customHeight="1" x14ac:dyDescent="0.25">
      <c r="A9331" s="318">
        <v>93631266178</v>
      </c>
      <c r="B9331" s="318" t="s">
        <v>237</v>
      </c>
    </row>
    <row r="9332" spans="1:2" ht="12.75" customHeight="1" x14ac:dyDescent="0.25">
      <c r="A9332" s="318">
        <v>93631266179</v>
      </c>
      <c r="B9332" s="318" t="s">
        <v>237</v>
      </c>
    </row>
    <row r="9333" spans="1:2" ht="12.75" customHeight="1" x14ac:dyDescent="0.25">
      <c r="A9333" s="318">
        <v>93631266180</v>
      </c>
      <c r="B9333" s="318" t="s">
        <v>237</v>
      </c>
    </row>
    <row r="9334" spans="1:2" ht="12.75" customHeight="1" x14ac:dyDescent="0.25">
      <c r="A9334" s="318">
        <v>93631266264</v>
      </c>
      <c r="B9334" s="318" t="s">
        <v>237</v>
      </c>
    </row>
    <row r="9335" spans="1:2" ht="12.75" customHeight="1" x14ac:dyDescent="0.25">
      <c r="A9335" s="318">
        <v>93631266265</v>
      </c>
      <c r="B9335" s="318" t="s">
        <v>237</v>
      </c>
    </row>
    <row r="9336" spans="1:2" ht="12.75" customHeight="1" x14ac:dyDescent="0.25">
      <c r="A9336" s="318">
        <v>93631266266</v>
      </c>
      <c r="B9336" s="318" t="s">
        <v>237</v>
      </c>
    </row>
    <row r="9337" spans="1:2" ht="12.75" customHeight="1" x14ac:dyDescent="0.25">
      <c r="A9337" s="318">
        <v>93631266267</v>
      </c>
      <c r="B9337" s="318" t="s">
        <v>237</v>
      </c>
    </row>
    <row r="9338" spans="1:2" ht="12.75" customHeight="1" x14ac:dyDescent="0.25">
      <c r="A9338" s="318">
        <v>93631266268</v>
      </c>
      <c r="B9338" s="318" t="s">
        <v>237</v>
      </c>
    </row>
    <row r="9339" spans="1:2" ht="12.75" customHeight="1" x14ac:dyDescent="0.25">
      <c r="A9339" s="318">
        <v>93631266269</v>
      </c>
      <c r="B9339" s="318" t="s">
        <v>237</v>
      </c>
    </row>
    <row r="9340" spans="1:2" ht="12.75" customHeight="1" x14ac:dyDescent="0.25">
      <c r="A9340" s="318">
        <v>93631266270</v>
      </c>
      <c r="B9340" s="318" t="s">
        <v>237</v>
      </c>
    </row>
    <row r="9341" spans="1:2" ht="12.75" customHeight="1" x14ac:dyDescent="0.25">
      <c r="A9341" s="318">
        <v>93631266271</v>
      </c>
      <c r="B9341" s="318" t="s">
        <v>237</v>
      </c>
    </row>
    <row r="9342" spans="1:2" ht="12.75" customHeight="1" x14ac:dyDescent="0.25">
      <c r="A9342" s="318">
        <v>93631266273</v>
      </c>
      <c r="B9342" s="318" t="s">
        <v>237</v>
      </c>
    </row>
    <row r="9343" spans="1:2" ht="12.75" customHeight="1" x14ac:dyDescent="0.25">
      <c r="A9343" s="318">
        <v>93631266274</v>
      </c>
      <c r="B9343" s="318" t="s">
        <v>237</v>
      </c>
    </row>
    <row r="9344" spans="1:2" ht="12.75" customHeight="1" x14ac:dyDescent="0.25">
      <c r="A9344" s="318">
        <v>93631266275</v>
      </c>
      <c r="B9344" s="318" t="s">
        <v>237</v>
      </c>
    </row>
    <row r="9345" spans="1:2" ht="12.75" customHeight="1" x14ac:dyDescent="0.25">
      <c r="A9345" s="318">
        <v>93631266276</v>
      </c>
      <c r="B9345" s="318" t="s">
        <v>237</v>
      </c>
    </row>
    <row r="9346" spans="1:2" ht="12.75" customHeight="1" x14ac:dyDescent="0.25">
      <c r="A9346" s="318">
        <v>93631266277</v>
      </c>
      <c r="B9346" s="318" t="s">
        <v>237</v>
      </c>
    </row>
    <row r="9347" spans="1:2" ht="12.75" customHeight="1" x14ac:dyDescent="0.25">
      <c r="A9347" s="318">
        <v>93631266278</v>
      </c>
      <c r="B9347" s="318" t="s">
        <v>237</v>
      </c>
    </row>
    <row r="9348" spans="1:2" ht="12.75" customHeight="1" x14ac:dyDescent="0.25">
      <c r="A9348" s="318">
        <v>93631266279</v>
      </c>
      <c r="B9348" s="318" t="s">
        <v>237</v>
      </c>
    </row>
    <row r="9349" spans="1:2" ht="12.75" customHeight="1" x14ac:dyDescent="0.25">
      <c r="A9349" s="318">
        <v>93631266280</v>
      </c>
      <c r="B9349" s="318" t="s">
        <v>237</v>
      </c>
    </row>
    <row r="9350" spans="1:2" ht="12.75" customHeight="1" x14ac:dyDescent="0.25">
      <c r="A9350" s="318">
        <v>93631747137</v>
      </c>
      <c r="B9350" s="318" t="s">
        <v>23</v>
      </c>
    </row>
    <row r="9351" spans="1:2" ht="12.75" customHeight="1" x14ac:dyDescent="0.25">
      <c r="A9351" s="318">
        <v>93631747138</v>
      </c>
      <c r="B9351" s="318" t="s">
        <v>23</v>
      </c>
    </row>
    <row r="9352" spans="1:2" ht="12.75" customHeight="1" x14ac:dyDescent="0.25">
      <c r="A9352" s="318">
        <v>93631747139</v>
      </c>
      <c r="B9352" s="318" t="s">
        <v>23</v>
      </c>
    </row>
    <row r="9353" spans="1:2" ht="12.75" customHeight="1" x14ac:dyDescent="0.25">
      <c r="A9353" s="318">
        <v>93631747140</v>
      </c>
      <c r="B9353" s="318" t="s">
        <v>23</v>
      </c>
    </row>
    <row r="9354" spans="1:2" ht="12.75" customHeight="1" x14ac:dyDescent="0.25">
      <c r="A9354" s="318">
        <v>93631747141</v>
      </c>
      <c r="B9354" s="318" t="s">
        <v>23</v>
      </c>
    </row>
    <row r="9355" spans="1:2" ht="12.75" customHeight="1" x14ac:dyDescent="0.25">
      <c r="A9355" s="318">
        <v>93631747142</v>
      </c>
      <c r="B9355" s="318" t="s">
        <v>23</v>
      </c>
    </row>
    <row r="9356" spans="1:2" ht="12.75" customHeight="1" x14ac:dyDescent="0.25">
      <c r="A9356" s="318">
        <v>93631747143</v>
      </c>
      <c r="B9356" s="318" t="s">
        <v>237</v>
      </c>
    </row>
    <row r="9357" spans="1:2" ht="12.75" customHeight="1" x14ac:dyDescent="0.25">
      <c r="A9357" s="318">
        <v>93631747144</v>
      </c>
      <c r="B9357" s="318" t="s">
        <v>237</v>
      </c>
    </row>
    <row r="9358" spans="1:2" ht="12.75" customHeight="1" x14ac:dyDescent="0.25">
      <c r="A9358" s="318">
        <v>93631747146</v>
      </c>
      <c r="B9358" s="318" t="s">
        <v>237</v>
      </c>
    </row>
    <row r="9359" spans="1:2" ht="12.75" customHeight="1" x14ac:dyDescent="0.25">
      <c r="A9359" s="318">
        <v>93631747147</v>
      </c>
      <c r="B9359" s="318" t="s">
        <v>237</v>
      </c>
    </row>
    <row r="9360" spans="1:2" ht="12.75" customHeight="1" x14ac:dyDescent="0.25">
      <c r="A9360" s="318">
        <v>93631747148</v>
      </c>
      <c r="B9360" s="318" t="s">
        <v>237</v>
      </c>
    </row>
    <row r="9361" spans="1:2" ht="12.75" customHeight="1" x14ac:dyDescent="0.25">
      <c r="A9361" s="318">
        <v>93631747149</v>
      </c>
      <c r="B9361" s="318" t="s">
        <v>237</v>
      </c>
    </row>
    <row r="9362" spans="1:2" ht="12.75" customHeight="1" x14ac:dyDescent="0.25">
      <c r="A9362" s="318">
        <v>93631747150</v>
      </c>
      <c r="B9362" s="318" t="s">
        <v>237</v>
      </c>
    </row>
    <row r="9363" spans="1:2" ht="12.75" customHeight="1" x14ac:dyDescent="0.25">
      <c r="A9363" s="318">
        <v>93631747151</v>
      </c>
      <c r="B9363" s="318" t="s">
        <v>237</v>
      </c>
    </row>
    <row r="9364" spans="1:2" ht="12.75" customHeight="1" x14ac:dyDescent="0.25">
      <c r="A9364" s="318">
        <v>93631747152</v>
      </c>
      <c r="B9364" s="318" t="s">
        <v>237</v>
      </c>
    </row>
    <row r="9365" spans="1:2" ht="12.75" customHeight="1" x14ac:dyDescent="0.25">
      <c r="A9365" s="318">
        <v>93631747153</v>
      </c>
      <c r="B9365" s="318" t="s">
        <v>237</v>
      </c>
    </row>
    <row r="9366" spans="1:2" ht="12.75" customHeight="1" x14ac:dyDescent="0.25">
      <c r="A9366" s="318">
        <v>93631747237</v>
      </c>
      <c r="B9366" s="318" t="s">
        <v>237</v>
      </c>
    </row>
    <row r="9367" spans="1:2" ht="12.75" customHeight="1" x14ac:dyDescent="0.25">
      <c r="A9367" s="318">
        <v>93631747238</v>
      </c>
      <c r="B9367" s="318" t="s">
        <v>237</v>
      </c>
    </row>
    <row r="9368" spans="1:2" ht="12.75" customHeight="1" x14ac:dyDescent="0.25">
      <c r="A9368" s="318">
        <v>93631747239</v>
      </c>
      <c r="B9368" s="318" t="s">
        <v>237</v>
      </c>
    </row>
    <row r="9369" spans="1:2" ht="12.75" customHeight="1" x14ac:dyDescent="0.25">
      <c r="A9369" s="318">
        <v>93631747240</v>
      </c>
      <c r="B9369" s="318" t="s">
        <v>237</v>
      </c>
    </row>
    <row r="9370" spans="1:2" ht="12.75" customHeight="1" x14ac:dyDescent="0.25">
      <c r="A9370" s="318">
        <v>93631747241</v>
      </c>
      <c r="B9370" s="318" t="s">
        <v>237</v>
      </c>
    </row>
    <row r="9371" spans="1:2" ht="12.75" customHeight="1" x14ac:dyDescent="0.25">
      <c r="A9371" s="318">
        <v>93631747242</v>
      </c>
      <c r="B9371" s="318" t="s">
        <v>237</v>
      </c>
    </row>
    <row r="9372" spans="1:2" ht="12.75" customHeight="1" x14ac:dyDescent="0.25">
      <c r="A9372" s="318">
        <v>93631747243</v>
      </c>
      <c r="B9372" s="318" t="s">
        <v>237</v>
      </c>
    </row>
    <row r="9373" spans="1:2" ht="12.75" customHeight="1" x14ac:dyDescent="0.25">
      <c r="A9373" s="318">
        <v>93631747244</v>
      </c>
      <c r="B9373" s="318" t="s">
        <v>237</v>
      </c>
    </row>
    <row r="9374" spans="1:2" ht="12.75" customHeight="1" x14ac:dyDescent="0.25">
      <c r="A9374" s="318">
        <v>93631747246</v>
      </c>
      <c r="B9374" s="318" t="s">
        <v>237</v>
      </c>
    </row>
    <row r="9375" spans="1:2" ht="12.75" customHeight="1" x14ac:dyDescent="0.25">
      <c r="A9375" s="318">
        <v>93631747247</v>
      </c>
      <c r="B9375" s="318" t="s">
        <v>237</v>
      </c>
    </row>
    <row r="9376" spans="1:2" ht="12.75" customHeight="1" x14ac:dyDescent="0.25">
      <c r="A9376" s="318">
        <v>93631747248</v>
      </c>
      <c r="B9376" s="318" t="s">
        <v>237</v>
      </c>
    </row>
    <row r="9377" spans="1:2" ht="12.75" customHeight="1" x14ac:dyDescent="0.25">
      <c r="A9377" s="318">
        <v>93631747249</v>
      </c>
      <c r="B9377" s="318" t="s">
        <v>237</v>
      </c>
    </row>
    <row r="9378" spans="1:2" ht="12.75" customHeight="1" x14ac:dyDescent="0.25">
      <c r="A9378" s="318">
        <v>93631747250</v>
      </c>
      <c r="B9378" s="318" t="s">
        <v>237</v>
      </c>
    </row>
    <row r="9379" spans="1:2" ht="12.75" customHeight="1" x14ac:dyDescent="0.25">
      <c r="A9379" s="318">
        <v>93631747251</v>
      </c>
      <c r="B9379" s="318" t="s">
        <v>237</v>
      </c>
    </row>
    <row r="9380" spans="1:2" ht="12.75" customHeight="1" x14ac:dyDescent="0.25">
      <c r="A9380" s="318">
        <v>93631747252</v>
      </c>
      <c r="B9380" s="318" t="s">
        <v>237</v>
      </c>
    </row>
    <row r="9381" spans="1:2" ht="12.75" customHeight="1" x14ac:dyDescent="0.25">
      <c r="A9381" s="318">
        <v>93631747253</v>
      </c>
      <c r="B9381" s="318" t="s">
        <v>237</v>
      </c>
    </row>
    <row r="9382" spans="1:2" ht="12.75" customHeight="1" x14ac:dyDescent="0.25">
      <c r="A9382" s="318">
        <v>93633107518</v>
      </c>
      <c r="B9382" s="318" t="s">
        <v>23</v>
      </c>
    </row>
    <row r="9383" spans="1:2" ht="12.75" customHeight="1" x14ac:dyDescent="0.25">
      <c r="A9383" s="318">
        <v>93633107519</v>
      </c>
      <c r="B9383" s="318" t="s">
        <v>23</v>
      </c>
    </row>
    <row r="9384" spans="1:2" ht="12.75" customHeight="1" x14ac:dyDescent="0.25">
      <c r="A9384" s="318">
        <v>93633107520</v>
      </c>
      <c r="B9384" s="318" t="s">
        <v>23</v>
      </c>
    </row>
    <row r="9385" spans="1:2" ht="12.75" customHeight="1" x14ac:dyDescent="0.25">
      <c r="A9385" s="318">
        <v>93633107521</v>
      </c>
      <c r="B9385" s="318" t="s">
        <v>23</v>
      </c>
    </row>
    <row r="9386" spans="1:2" ht="12.75" customHeight="1" x14ac:dyDescent="0.25">
      <c r="A9386" s="318">
        <v>93633107522</v>
      </c>
      <c r="B9386" s="318" t="s">
        <v>23</v>
      </c>
    </row>
    <row r="9387" spans="1:2" ht="12.75" customHeight="1" x14ac:dyDescent="0.25">
      <c r="A9387" s="318">
        <v>93633107523</v>
      </c>
      <c r="B9387" s="318" t="s">
        <v>23</v>
      </c>
    </row>
    <row r="9388" spans="1:2" ht="12.75" customHeight="1" x14ac:dyDescent="0.25">
      <c r="A9388" s="318">
        <v>93633107524</v>
      </c>
      <c r="B9388" s="318" t="s">
        <v>237</v>
      </c>
    </row>
    <row r="9389" spans="1:2" ht="12.75" customHeight="1" x14ac:dyDescent="0.25">
      <c r="A9389" s="318">
        <v>93633107525</v>
      </c>
      <c r="B9389" s="318" t="s">
        <v>237</v>
      </c>
    </row>
    <row r="9390" spans="1:2" ht="12.75" customHeight="1" x14ac:dyDescent="0.25">
      <c r="A9390" s="318">
        <v>93633107527</v>
      </c>
      <c r="B9390" s="318" t="s">
        <v>237</v>
      </c>
    </row>
    <row r="9391" spans="1:2" ht="12.75" customHeight="1" x14ac:dyDescent="0.25">
      <c r="A9391" s="318">
        <v>93633107528</v>
      </c>
      <c r="B9391" s="318" t="s">
        <v>237</v>
      </c>
    </row>
    <row r="9392" spans="1:2" ht="12.75" customHeight="1" x14ac:dyDescent="0.25">
      <c r="A9392" s="318">
        <v>93633107529</v>
      </c>
      <c r="B9392" s="318" t="s">
        <v>237</v>
      </c>
    </row>
    <row r="9393" spans="1:2" ht="12.75" customHeight="1" x14ac:dyDescent="0.25">
      <c r="A9393" s="318">
        <v>93633107530</v>
      </c>
      <c r="B9393" s="318" t="s">
        <v>237</v>
      </c>
    </row>
    <row r="9394" spans="1:2" ht="12.75" customHeight="1" x14ac:dyDescent="0.25">
      <c r="A9394" s="318">
        <v>93633107531</v>
      </c>
      <c r="B9394" s="318" t="s">
        <v>237</v>
      </c>
    </row>
    <row r="9395" spans="1:2" ht="12.75" customHeight="1" x14ac:dyDescent="0.25">
      <c r="A9395" s="318">
        <v>93633107532</v>
      </c>
      <c r="B9395" s="318" t="s">
        <v>237</v>
      </c>
    </row>
    <row r="9396" spans="1:2" ht="12.75" customHeight="1" x14ac:dyDescent="0.25">
      <c r="A9396" s="318">
        <v>93633107533</v>
      </c>
      <c r="B9396" s="318" t="s">
        <v>237</v>
      </c>
    </row>
    <row r="9397" spans="1:2" ht="12.75" customHeight="1" x14ac:dyDescent="0.25">
      <c r="A9397" s="318">
        <v>93633107534</v>
      </c>
      <c r="B9397" s="318" t="s">
        <v>237</v>
      </c>
    </row>
    <row r="9398" spans="1:2" ht="12.75" customHeight="1" x14ac:dyDescent="0.25">
      <c r="A9398" s="318">
        <v>93633107618</v>
      </c>
      <c r="B9398" s="318" t="s">
        <v>237</v>
      </c>
    </row>
    <row r="9399" spans="1:2" ht="12.75" customHeight="1" x14ac:dyDescent="0.25">
      <c r="A9399" s="318">
        <v>93633107619</v>
      </c>
      <c r="B9399" s="318" t="s">
        <v>237</v>
      </c>
    </row>
    <row r="9400" spans="1:2" ht="12.75" customHeight="1" x14ac:dyDescent="0.25">
      <c r="A9400" s="318">
        <v>93633107620</v>
      </c>
      <c r="B9400" s="318" t="s">
        <v>237</v>
      </c>
    </row>
    <row r="9401" spans="1:2" ht="12.75" customHeight="1" x14ac:dyDescent="0.25">
      <c r="A9401" s="318">
        <v>93633107621</v>
      </c>
      <c r="B9401" s="318" t="s">
        <v>237</v>
      </c>
    </row>
    <row r="9402" spans="1:2" ht="12.75" customHeight="1" x14ac:dyDescent="0.25">
      <c r="A9402" s="318">
        <v>93633107622</v>
      </c>
      <c r="B9402" s="318" t="s">
        <v>237</v>
      </c>
    </row>
    <row r="9403" spans="1:2" ht="12.75" customHeight="1" x14ac:dyDescent="0.25">
      <c r="A9403" s="318">
        <v>93633107623</v>
      </c>
      <c r="B9403" s="318" t="s">
        <v>237</v>
      </c>
    </row>
    <row r="9404" spans="1:2" ht="12.75" customHeight="1" x14ac:dyDescent="0.25">
      <c r="A9404" s="318">
        <v>93633107624</v>
      </c>
      <c r="B9404" s="318" t="s">
        <v>237</v>
      </c>
    </row>
    <row r="9405" spans="1:2" ht="12.75" customHeight="1" x14ac:dyDescent="0.25">
      <c r="A9405" s="318">
        <v>93633107625</v>
      </c>
      <c r="B9405" s="318" t="s">
        <v>237</v>
      </c>
    </row>
    <row r="9406" spans="1:2" ht="12.75" customHeight="1" x14ac:dyDescent="0.25">
      <c r="A9406" s="318">
        <v>93633107627</v>
      </c>
      <c r="B9406" s="318" t="s">
        <v>237</v>
      </c>
    </row>
    <row r="9407" spans="1:2" ht="12.75" customHeight="1" x14ac:dyDescent="0.25">
      <c r="A9407" s="318">
        <v>93633107628</v>
      </c>
      <c r="B9407" s="318" t="s">
        <v>237</v>
      </c>
    </row>
    <row r="9408" spans="1:2" ht="12.75" customHeight="1" x14ac:dyDescent="0.25">
      <c r="A9408" s="318">
        <v>93633107629</v>
      </c>
      <c r="B9408" s="318" t="s">
        <v>237</v>
      </c>
    </row>
    <row r="9409" spans="1:2" ht="12.75" customHeight="1" x14ac:dyDescent="0.25">
      <c r="A9409" s="318">
        <v>93633107630</v>
      </c>
      <c r="B9409" s="318" t="s">
        <v>237</v>
      </c>
    </row>
    <row r="9410" spans="1:2" ht="12.75" customHeight="1" x14ac:dyDescent="0.25">
      <c r="A9410" s="318">
        <v>93633107631</v>
      </c>
      <c r="B9410" s="318" t="s">
        <v>237</v>
      </c>
    </row>
    <row r="9411" spans="1:2" ht="12.75" customHeight="1" x14ac:dyDescent="0.25">
      <c r="A9411" s="318">
        <v>93633107632</v>
      </c>
      <c r="B9411" s="318" t="s">
        <v>237</v>
      </c>
    </row>
    <row r="9412" spans="1:2" ht="12.75" customHeight="1" x14ac:dyDescent="0.25">
      <c r="A9412" s="318">
        <v>93633107633</v>
      </c>
      <c r="B9412" s="318" t="s">
        <v>237</v>
      </c>
    </row>
    <row r="9413" spans="1:2" ht="12.75" customHeight="1" x14ac:dyDescent="0.25">
      <c r="A9413" s="318">
        <v>93633107634</v>
      </c>
      <c r="B9413" s="318" t="s">
        <v>237</v>
      </c>
    </row>
    <row r="9414" spans="1:2" ht="12.75" customHeight="1" x14ac:dyDescent="0.25">
      <c r="A9414" s="318">
        <v>93633588491</v>
      </c>
      <c r="B9414" s="318" t="s">
        <v>23</v>
      </c>
    </row>
    <row r="9415" spans="1:2" ht="12.75" customHeight="1" x14ac:dyDescent="0.25">
      <c r="A9415" s="318">
        <v>93633588492</v>
      </c>
      <c r="B9415" s="318" t="s">
        <v>23</v>
      </c>
    </row>
    <row r="9416" spans="1:2" ht="12.75" customHeight="1" x14ac:dyDescent="0.25">
      <c r="A9416" s="318">
        <v>93633588493</v>
      </c>
      <c r="B9416" s="318" t="s">
        <v>23</v>
      </c>
    </row>
    <row r="9417" spans="1:2" ht="12.75" customHeight="1" x14ac:dyDescent="0.25">
      <c r="A9417" s="318">
        <v>93633588494</v>
      </c>
      <c r="B9417" s="318" t="s">
        <v>23</v>
      </c>
    </row>
    <row r="9418" spans="1:2" ht="12.75" customHeight="1" x14ac:dyDescent="0.25">
      <c r="A9418" s="318">
        <v>93633588495</v>
      </c>
      <c r="B9418" s="318" t="s">
        <v>23</v>
      </c>
    </row>
    <row r="9419" spans="1:2" ht="12.75" customHeight="1" x14ac:dyDescent="0.25">
      <c r="A9419" s="318">
        <v>93633588496</v>
      </c>
      <c r="B9419" s="318" t="s">
        <v>23</v>
      </c>
    </row>
    <row r="9420" spans="1:2" ht="12.75" customHeight="1" x14ac:dyDescent="0.25">
      <c r="A9420" s="318">
        <v>93633588497</v>
      </c>
      <c r="B9420" s="318" t="s">
        <v>237</v>
      </c>
    </row>
    <row r="9421" spans="1:2" ht="12.75" customHeight="1" x14ac:dyDescent="0.25">
      <c r="A9421" s="318">
        <v>93633588498</v>
      </c>
      <c r="B9421" s="318" t="s">
        <v>237</v>
      </c>
    </row>
    <row r="9422" spans="1:2" ht="12.75" customHeight="1" x14ac:dyDescent="0.25">
      <c r="A9422" s="318">
        <v>93633588500</v>
      </c>
      <c r="B9422" s="318" t="s">
        <v>237</v>
      </c>
    </row>
    <row r="9423" spans="1:2" ht="12.75" customHeight="1" x14ac:dyDescent="0.25">
      <c r="A9423" s="318">
        <v>93633588501</v>
      </c>
      <c r="B9423" s="318" t="s">
        <v>237</v>
      </c>
    </row>
    <row r="9424" spans="1:2" ht="12.75" customHeight="1" x14ac:dyDescent="0.25">
      <c r="A9424" s="318">
        <v>93633588502</v>
      </c>
      <c r="B9424" s="318" t="s">
        <v>237</v>
      </c>
    </row>
    <row r="9425" spans="1:2" ht="12.75" customHeight="1" x14ac:dyDescent="0.25">
      <c r="A9425" s="318">
        <v>93633588503</v>
      </c>
      <c r="B9425" s="318" t="s">
        <v>237</v>
      </c>
    </row>
    <row r="9426" spans="1:2" ht="12.75" customHeight="1" x14ac:dyDescent="0.25">
      <c r="A9426" s="318">
        <v>93633588504</v>
      </c>
      <c r="B9426" s="318" t="s">
        <v>237</v>
      </c>
    </row>
    <row r="9427" spans="1:2" ht="12.75" customHeight="1" x14ac:dyDescent="0.25">
      <c r="A9427" s="318">
        <v>93633588505</v>
      </c>
      <c r="B9427" s="318" t="s">
        <v>237</v>
      </c>
    </row>
    <row r="9428" spans="1:2" ht="12.75" customHeight="1" x14ac:dyDescent="0.25">
      <c r="A9428" s="318">
        <v>93633588506</v>
      </c>
      <c r="B9428" s="318" t="s">
        <v>237</v>
      </c>
    </row>
    <row r="9429" spans="1:2" ht="12.75" customHeight="1" x14ac:dyDescent="0.25">
      <c r="A9429" s="318">
        <v>93633588507</v>
      </c>
      <c r="B9429" s="318" t="s">
        <v>237</v>
      </c>
    </row>
    <row r="9430" spans="1:2" ht="12.75" customHeight="1" x14ac:dyDescent="0.25">
      <c r="A9430" s="318">
        <v>93633588591</v>
      </c>
      <c r="B9430" s="318" t="s">
        <v>237</v>
      </c>
    </row>
    <row r="9431" spans="1:2" ht="12.75" customHeight="1" x14ac:dyDescent="0.25">
      <c r="A9431" s="318">
        <v>93633588592</v>
      </c>
      <c r="B9431" s="318" t="s">
        <v>237</v>
      </c>
    </row>
    <row r="9432" spans="1:2" ht="12.75" customHeight="1" x14ac:dyDescent="0.25">
      <c r="A9432" s="318">
        <v>93633588593</v>
      </c>
      <c r="B9432" s="318" t="s">
        <v>237</v>
      </c>
    </row>
    <row r="9433" spans="1:2" ht="12.75" customHeight="1" x14ac:dyDescent="0.25">
      <c r="A9433" s="318">
        <v>93633588594</v>
      </c>
      <c r="B9433" s="318" t="s">
        <v>237</v>
      </c>
    </row>
    <row r="9434" spans="1:2" ht="12.75" customHeight="1" x14ac:dyDescent="0.25">
      <c r="A9434" s="318">
        <v>93633588595</v>
      </c>
      <c r="B9434" s="318" t="s">
        <v>237</v>
      </c>
    </row>
    <row r="9435" spans="1:2" ht="12.75" customHeight="1" x14ac:dyDescent="0.25">
      <c r="A9435" s="318">
        <v>93633588596</v>
      </c>
      <c r="B9435" s="318" t="s">
        <v>237</v>
      </c>
    </row>
    <row r="9436" spans="1:2" ht="12.75" customHeight="1" x14ac:dyDescent="0.25">
      <c r="A9436" s="318">
        <v>93633588597</v>
      </c>
      <c r="B9436" s="318" t="s">
        <v>237</v>
      </c>
    </row>
    <row r="9437" spans="1:2" ht="12.75" customHeight="1" x14ac:dyDescent="0.25">
      <c r="A9437" s="318">
        <v>93633588598</v>
      </c>
      <c r="B9437" s="318" t="s">
        <v>237</v>
      </c>
    </row>
    <row r="9438" spans="1:2" ht="12.75" customHeight="1" x14ac:dyDescent="0.25">
      <c r="A9438" s="318">
        <v>93633588600</v>
      </c>
      <c r="B9438" s="318" t="s">
        <v>237</v>
      </c>
    </row>
    <row r="9439" spans="1:2" ht="12.75" customHeight="1" x14ac:dyDescent="0.25">
      <c r="A9439" s="318">
        <v>93633588601</v>
      </c>
      <c r="B9439" s="318" t="s">
        <v>237</v>
      </c>
    </row>
    <row r="9440" spans="1:2" ht="12.75" customHeight="1" x14ac:dyDescent="0.25">
      <c r="A9440" s="318">
        <v>93633588602</v>
      </c>
      <c r="B9440" s="318" t="s">
        <v>237</v>
      </c>
    </row>
    <row r="9441" spans="1:2" ht="12.75" customHeight="1" x14ac:dyDescent="0.25">
      <c r="A9441" s="318">
        <v>93633588603</v>
      </c>
      <c r="B9441" s="318" t="s">
        <v>237</v>
      </c>
    </row>
    <row r="9442" spans="1:2" ht="12.75" customHeight="1" x14ac:dyDescent="0.25">
      <c r="A9442" s="318">
        <v>93633588604</v>
      </c>
      <c r="B9442" s="318" t="s">
        <v>237</v>
      </c>
    </row>
    <row r="9443" spans="1:2" ht="12.75" customHeight="1" x14ac:dyDescent="0.25">
      <c r="A9443" s="318">
        <v>93633588605</v>
      </c>
      <c r="B9443" s="318" t="s">
        <v>237</v>
      </c>
    </row>
    <row r="9444" spans="1:2" ht="12.75" customHeight="1" x14ac:dyDescent="0.25">
      <c r="A9444" s="318">
        <v>93633588606</v>
      </c>
      <c r="B9444" s="318" t="s">
        <v>237</v>
      </c>
    </row>
    <row r="9445" spans="1:2" ht="12.75" customHeight="1" x14ac:dyDescent="0.25">
      <c r="A9445" s="318">
        <v>93633588607</v>
      </c>
      <c r="B9445" s="318" t="s">
        <v>237</v>
      </c>
    </row>
    <row r="9446" spans="1:2" ht="12.75" customHeight="1" x14ac:dyDescent="0.25">
      <c r="A9446" s="318">
        <v>93634069464</v>
      </c>
      <c r="B9446" s="318" t="s">
        <v>23</v>
      </c>
    </row>
    <row r="9447" spans="1:2" ht="12.75" customHeight="1" x14ac:dyDescent="0.25">
      <c r="A9447" s="318">
        <v>93634069465</v>
      </c>
      <c r="B9447" s="318" t="s">
        <v>23</v>
      </c>
    </row>
    <row r="9448" spans="1:2" ht="12.75" customHeight="1" x14ac:dyDescent="0.25">
      <c r="A9448" s="318">
        <v>93634069466</v>
      </c>
      <c r="B9448" s="318" t="s">
        <v>23</v>
      </c>
    </row>
    <row r="9449" spans="1:2" ht="12.75" customHeight="1" x14ac:dyDescent="0.25">
      <c r="A9449" s="318">
        <v>93634069467</v>
      </c>
      <c r="B9449" s="318" t="s">
        <v>23</v>
      </c>
    </row>
    <row r="9450" spans="1:2" ht="12.75" customHeight="1" x14ac:dyDescent="0.25">
      <c r="A9450" s="318">
        <v>93634069468</v>
      </c>
      <c r="B9450" s="318" t="s">
        <v>23</v>
      </c>
    </row>
    <row r="9451" spans="1:2" ht="12.75" customHeight="1" x14ac:dyDescent="0.25">
      <c r="A9451" s="318">
        <v>93634069469</v>
      </c>
      <c r="B9451" s="318" t="s">
        <v>23</v>
      </c>
    </row>
    <row r="9452" spans="1:2" ht="12.75" customHeight="1" x14ac:dyDescent="0.25">
      <c r="A9452" s="318">
        <v>93634069470</v>
      </c>
      <c r="B9452" s="318" t="s">
        <v>237</v>
      </c>
    </row>
    <row r="9453" spans="1:2" ht="12.75" customHeight="1" x14ac:dyDescent="0.25">
      <c r="A9453" s="318">
        <v>93634069471</v>
      </c>
      <c r="B9453" s="318" t="s">
        <v>237</v>
      </c>
    </row>
    <row r="9454" spans="1:2" ht="12.75" customHeight="1" x14ac:dyDescent="0.25">
      <c r="A9454" s="318">
        <v>93634069473</v>
      </c>
      <c r="B9454" s="318" t="s">
        <v>237</v>
      </c>
    </row>
    <row r="9455" spans="1:2" ht="12.75" customHeight="1" x14ac:dyDescent="0.25">
      <c r="A9455" s="318">
        <v>93634069474</v>
      </c>
      <c r="B9455" s="318" t="s">
        <v>237</v>
      </c>
    </row>
    <row r="9456" spans="1:2" ht="12.75" customHeight="1" x14ac:dyDescent="0.25">
      <c r="A9456" s="318">
        <v>93634069475</v>
      </c>
      <c r="B9456" s="318" t="s">
        <v>237</v>
      </c>
    </row>
    <row r="9457" spans="1:2" ht="12.75" customHeight="1" x14ac:dyDescent="0.25">
      <c r="A9457" s="318">
        <v>93634069476</v>
      </c>
      <c r="B9457" s="318" t="s">
        <v>237</v>
      </c>
    </row>
    <row r="9458" spans="1:2" ht="12.75" customHeight="1" x14ac:dyDescent="0.25">
      <c r="A9458" s="318">
        <v>93634069477</v>
      </c>
      <c r="B9458" s="318" t="s">
        <v>237</v>
      </c>
    </row>
    <row r="9459" spans="1:2" ht="12.75" customHeight="1" x14ac:dyDescent="0.25">
      <c r="A9459" s="318">
        <v>93634069478</v>
      </c>
      <c r="B9459" s="318" t="s">
        <v>237</v>
      </c>
    </row>
    <row r="9460" spans="1:2" ht="12.75" customHeight="1" x14ac:dyDescent="0.25">
      <c r="A9460" s="318">
        <v>93634069479</v>
      </c>
      <c r="B9460" s="318" t="s">
        <v>237</v>
      </c>
    </row>
    <row r="9461" spans="1:2" ht="12.75" customHeight="1" x14ac:dyDescent="0.25">
      <c r="A9461" s="318">
        <v>93634069480</v>
      </c>
      <c r="B9461" s="318" t="s">
        <v>237</v>
      </c>
    </row>
    <row r="9462" spans="1:2" ht="12.75" customHeight="1" x14ac:dyDescent="0.25">
      <c r="A9462" s="318">
        <v>93634069564</v>
      </c>
      <c r="B9462" s="318" t="s">
        <v>237</v>
      </c>
    </row>
    <row r="9463" spans="1:2" ht="12.75" customHeight="1" x14ac:dyDescent="0.25">
      <c r="A9463" s="318">
        <v>93634069565</v>
      </c>
      <c r="B9463" s="318" t="s">
        <v>237</v>
      </c>
    </row>
    <row r="9464" spans="1:2" ht="12.75" customHeight="1" x14ac:dyDescent="0.25">
      <c r="A9464" s="318">
        <v>93634069566</v>
      </c>
      <c r="B9464" s="318" t="s">
        <v>237</v>
      </c>
    </row>
    <row r="9465" spans="1:2" ht="12.75" customHeight="1" x14ac:dyDescent="0.25">
      <c r="A9465" s="318">
        <v>93634069567</v>
      </c>
      <c r="B9465" s="318" t="s">
        <v>237</v>
      </c>
    </row>
    <row r="9466" spans="1:2" ht="12.75" customHeight="1" x14ac:dyDescent="0.25">
      <c r="A9466" s="318">
        <v>93634069568</v>
      </c>
      <c r="B9466" s="318" t="s">
        <v>237</v>
      </c>
    </row>
    <row r="9467" spans="1:2" ht="12.75" customHeight="1" x14ac:dyDescent="0.25">
      <c r="A9467" s="318">
        <v>93634069569</v>
      </c>
      <c r="B9467" s="318" t="s">
        <v>237</v>
      </c>
    </row>
    <row r="9468" spans="1:2" ht="12.75" customHeight="1" x14ac:dyDescent="0.25">
      <c r="A9468" s="318">
        <v>93634069570</v>
      </c>
      <c r="B9468" s="318" t="s">
        <v>237</v>
      </c>
    </row>
    <row r="9469" spans="1:2" ht="12.75" customHeight="1" x14ac:dyDescent="0.25">
      <c r="A9469" s="318">
        <v>93634069571</v>
      </c>
      <c r="B9469" s="318" t="s">
        <v>237</v>
      </c>
    </row>
    <row r="9470" spans="1:2" ht="12.75" customHeight="1" x14ac:dyDescent="0.25">
      <c r="A9470" s="318">
        <v>93634069573</v>
      </c>
      <c r="B9470" s="318" t="s">
        <v>237</v>
      </c>
    </row>
    <row r="9471" spans="1:2" ht="12.75" customHeight="1" x14ac:dyDescent="0.25">
      <c r="A9471" s="318">
        <v>93634069574</v>
      </c>
      <c r="B9471" s="318" t="s">
        <v>237</v>
      </c>
    </row>
    <row r="9472" spans="1:2" ht="12.75" customHeight="1" x14ac:dyDescent="0.25">
      <c r="A9472" s="318">
        <v>93634069575</v>
      </c>
      <c r="B9472" s="318" t="s">
        <v>237</v>
      </c>
    </row>
    <row r="9473" spans="1:2" ht="12.75" customHeight="1" x14ac:dyDescent="0.25">
      <c r="A9473" s="318">
        <v>93634069576</v>
      </c>
      <c r="B9473" s="318" t="s">
        <v>237</v>
      </c>
    </row>
    <row r="9474" spans="1:2" ht="12.75" customHeight="1" x14ac:dyDescent="0.25">
      <c r="A9474" s="318">
        <v>93634069577</v>
      </c>
      <c r="B9474" s="318" t="s">
        <v>237</v>
      </c>
    </row>
    <row r="9475" spans="1:2" ht="12.75" customHeight="1" x14ac:dyDescent="0.25">
      <c r="A9475" s="318">
        <v>93634069578</v>
      </c>
      <c r="B9475" s="318" t="s">
        <v>237</v>
      </c>
    </row>
    <row r="9476" spans="1:2" ht="12.75" customHeight="1" x14ac:dyDescent="0.25">
      <c r="A9476" s="318">
        <v>93634069579</v>
      </c>
      <c r="B9476" s="318" t="s">
        <v>237</v>
      </c>
    </row>
    <row r="9477" spans="1:2" ht="12.75" customHeight="1" x14ac:dyDescent="0.25">
      <c r="A9477" s="318">
        <v>93634069580</v>
      </c>
      <c r="B9477" s="318" t="s">
        <v>237</v>
      </c>
    </row>
    <row r="9478" spans="1:2" ht="12.75" customHeight="1" x14ac:dyDescent="0.25">
      <c r="A9478" s="318">
        <v>93634749655</v>
      </c>
      <c r="B9478" s="318" t="s">
        <v>23</v>
      </c>
    </row>
    <row r="9479" spans="1:2" ht="12.75" customHeight="1" x14ac:dyDescent="0.25">
      <c r="A9479" s="318">
        <v>93634749656</v>
      </c>
      <c r="B9479" s="318" t="s">
        <v>23</v>
      </c>
    </row>
    <row r="9480" spans="1:2" ht="12.75" customHeight="1" x14ac:dyDescent="0.25">
      <c r="A9480" s="318">
        <v>93634749657</v>
      </c>
      <c r="B9480" s="318" t="s">
        <v>23</v>
      </c>
    </row>
    <row r="9481" spans="1:2" ht="12.75" customHeight="1" x14ac:dyDescent="0.25">
      <c r="A9481" s="318">
        <v>93634749658</v>
      </c>
      <c r="B9481" s="318" t="s">
        <v>23</v>
      </c>
    </row>
    <row r="9482" spans="1:2" ht="12.75" customHeight="1" x14ac:dyDescent="0.25">
      <c r="A9482" s="318">
        <v>93634749659</v>
      </c>
      <c r="B9482" s="318" t="s">
        <v>23</v>
      </c>
    </row>
    <row r="9483" spans="1:2" ht="12.75" customHeight="1" x14ac:dyDescent="0.25">
      <c r="A9483" s="318">
        <v>93634749660</v>
      </c>
      <c r="B9483" s="318" t="s">
        <v>23</v>
      </c>
    </row>
    <row r="9484" spans="1:2" ht="12.75" customHeight="1" x14ac:dyDescent="0.25">
      <c r="A9484" s="318">
        <v>93634749661</v>
      </c>
      <c r="B9484" s="318" t="s">
        <v>237</v>
      </c>
    </row>
    <row r="9485" spans="1:2" ht="12.75" customHeight="1" x14ac:dyDescent="0.25">
      <c r="A9485" s="318">
        <v>93634749662</v>
      </c>
      <c r="B9485" s="318" t="s">
        <v>237</v>
      </c>
    </row>
    <row r="9486" spans="1:2" ht="12.75" customHeight="1" x14ac:dyDescent="0.25">
      <c r="A9486" s="318">
        <v>93634749664</v>
      </c>
      <c r="B9486" s="318" t="s">
        <v>237</v>
      </c>
    </row>
    <row r="9487" spans="1:2" ht="12.75" customHeight="1" x14ac:dyDescent="0.25">
      <c r="A9487" s="318">
        <v>93634749665</v>
      </c>
      <c r="B9487" s="318" t="s">
        <v>237</v>
      </c>
    </row>
    <row r="9488" spans="1:2" ht="12.75" customHeight="1" x14ac:dyDescent="0.25">
      <c r="A9488" s="318">
        <v>93634749666</v>
      </c>
      <c r="B9488" s="318" t="s">
        <v>237</v>
      </c>
    </row>
    <row r="9489" spans="1:2" ht="12.75" customHeight="1" x14ac:dyDescent="0.25">
      <c r="A9489" s="318">
        <v>93634749667</v>
      </c>
      <c r="B9489" s="318" t="s">
        <v>237</v>
      </c>
    </row>
    <row r="9490" spans="1:2" ht="12.75" customHeight="1" x14ac:dyDescent="0.25">
      <c r="A9490" s="318">
        <v>93634749668</v>
      </c>
      <c r="B9490" s="318" t="s">
        <v>237</v>
      </c>
    </row>
    <row r="9491" spans="1:2" ht="12.75" customHeight="1" x14ac:dyDescent="0.25">
      <c r="A9491" s="318">
        <v>93634749669</v>
      </c>
      <c r="B9491" s="318" t="s">
        <v>237</v>
      </c>
    </row>
    <row r="9492" spans="1:2" ht="12.75" customHeight="1" x14ac:dyDescent="0.25">
      <c r="A9492" s="318">
        <v>93634749670</v>
      </c>
      <c r="B9492" s="318" t="s">
        <v>237</v>
      </c>
    </row>
    <row r="9493" spans="1:2" ht="12.75" customHeight="1" x14ac:dyDescent="0.25">
      <c r="A9493" s="318">
        <v>93634749671</v>
      </c>
      <c r="B9493" s="318" t="s">
        <v>237</v>
      </c>
    </row>
    <row r="9494" spans="1:2" ht="12.75" customHeight="1" x14ac:dyDescent="0.25">
      <c r="A9494" s="318">
        <v>93634749755</v>
      </c>
      <c r="B9494" s="318" t="s">
        <v>237</v>
      </c>
    </row>
    <row r="9495" spans="1:2" ht="12.75" customHeight="1" x14ac:dyDescent="0.25">
      <c r="A9495" s="318">
        <v>93634749756</v>
      </c>
      <c r="B9495" s="318" t="s">
        <v>237</v>
      </c>
    </row>
    <row r="9496" spans="1:2" ht="12.75" customHeight="1" x14ac:dyDescent="0.25">
      <c r="A9496" s="318">
        <v>93634749757</v>
      </c>
      <c r="B9496" s="318" t="s">
        <v>237</v>
      </c>
    </row>
    <row r="9497" spans="1:2" ht="12.75" customHeight="1" x14ac:dyDescent="0.25">
      <c r="A9497" s="318">
        <v>93634749758</v>
      </c>
      <c r="B9497" s="318" t="s">
        <v>237</v>
      </c>
    </row>
    <row r="9498" spans="1:2" ht="12.75" customHeight="1" x14ac:dyDescent="0.25">
      <c r="A9498" s="318">
        <v>93634749759</v>
      </c>
      <c r="B9498" s="318" t="s">
        <v>237</v>
      </c>
    </row>
    <row r="9499" spans="1:2" ht="12.75" customHeight="1" x14ac:dyDescent="0.25">
      <c r="A9499" s="318">
        <v>93634749760</v>
      </c>
      <c r="B9499" s="318" t="s">
        <v>237</v>
      </c>
    </row>
    <row r="9500" spans="1:2" ht="12.75" customHeight="1" x14ac:dyDescent="0.25">
      <c r="A9500" s="318">
        <v>93634749761</v>
      </c>
      <c r="B9500" s="318" t="s">
        <v>237</v>
      </c>
    </row>
    <row r="9501" spans="1:2" ht="12.75" customHeight="1" x14ac:dyDescent="0.25">
      <c r="A9501" s="318">
        <v>93634749762</v>
      </c>
      <c r="B9501" s="318" t="s">
        <v>237</v>
      </c>
    </row>
    <row r="9502" spans="1:2" ht="12.75" customHeight="1" x14ac:dyDescent="0.25">
      <c r="A9502" s="318">
        <v>93634749764</v>
      </c>
      <c r="B9502" s="318" t="s">
        <v>237</v>
      </c>
    </row>
    <row r="9503" spans="1:2" ht="12.75" customHeight="1" x14ac:dyDescent="0.25">
      <c r="A9503" s="318">
        <v>93634749765</v>
      </c>
      <c r="B9503" s="318" t="s">
        <v>237</v>
      </c>
    </row>
    <row r="9504" spans="1:2" ht="12.75" customHeight="1" x14ac:dyDescent="0.25">
      <c r="A9504" s="318">
        <v>93634749766</v>
      </c>
      <c r="B9504" s="318" t="s">
        <v>237</v>
      </c>
    </row>
    <row r="9505" spans="1:2" ht="12.75" customHeight="1" x14ac:dyDescent="0.25">
      <c r="A9505" s="318">
        <v>93634749767</v>
      </c>
      <c r="B9505" s="318" t="s">
        <v>237</v>
      </c>
    </row>
    <row r="9506" spans="1:2" ht="12.75" customHeight="1" x14ac:dyDescent="0.25">
      <c r="A9506" s="318">
        <v>93634749768</v>
      </c>
      <c r="B9506" s="318" t="s">
        <v>237</v>
      </c>
    </row>
    <row r="9507" spans="1:2" ht="12.75" customHeight="1" x14ac:dyDescent="0.25">
      <c r="A9507" s="318">
        <v>93634749769</v>
      </c>
      <c r="B9507" s="318" t="s">
        <v>237</v>
      </c>
    </row>
    <row r="9508" spans="1:2" ht="12.75" customHeight="1" x14ac:dyDescent="0.25">
      <c r="A9508" s="318">
        <v>93634749770</v>
      </c>
      <c r="B9508" s="318" t="s">
        <v>237</v>
      </c>
    </row>
    <row r="9509" spans="1:2" ht="12.75" customHeight="1" x14ac:dyDescent="0.25">
      <c r="A9509" s="318">
        <v>93634749771</v>
      </c>
      <c r="B9509" s="318" t="s">
        <v>237</v>
      </c>
    </row>
    <row r="9510" spans="1:2" ht="12.75" customHeight="1" x14ac:dyDescent="0.25">
      <c r="A9510" s="318">
        <v>93635230628</v>
      </c>
      <c r="B9510" s="318" t="s">
        <v>23</v>
      </c>
    </row>
    <row r="9511" spans="1:2" ht="12.75" customHeight="1" x14ac:dyDescent="0.25">
      <c r="A9511" s="318">
        <v>93635230629</v>
      </c>
      <c r="B9511" s="318" t="s">
        <v>23</v>
      </c>
    </row>
    <row r="9512" spans="1:2" ht="12.75" customHeight="1" x14ac:dyDescent="0.25">
      <c r="A9512" s="318">
        <v>93635230630</v>
      </c>
      <c r="B9512" s="318" t="s">
        <v>23</v>
      </c>
    </row>
    <row r="9513" spans="1:2" ht="12.75" customHeight="1" x14ac:dyDescent="0.25">
      <c r="A9513" s="318">
        <v>93635230631</v>
      </c>
      <c r="B9513" s="318" t="s">
        <v>23</v>
      </c>
    </row>
    <row r="9514" spans="1:2" ht="12.75" customHeight="1" x14ac:dyDescent="0.25">
      <c r="A9514" s="318">
        <v>93635230632</v>
      </c>
      <c r="B9514" s="318" t="s">
        <v>23</v>
      </c>
    </row>
    <row r="9515" spans="1:2" ht="12.75" customHeight="1" x14ac:dyDescent="0.25">
      <c r="A9515" s="318">
        <v>93635230633</v>
      </c>
      <c r="B9515" s="318" t="s">
        <v>23</v>
      </c>
    </row>
    <row r="9516" spans="1:2" ht="12.75" customHeight="1" x14ac:dyDescent="0.25">
      <c r="A9516" s="318">
        <v>93635230634</v>
      </c>
      <c r="B9516" s="318" t="s">
        <v>237</v>
      </c>
    </row>
    <row r="9517" spans="1:2" ht="12.75" customHeight="1" x14ac:dyDescent="0.25">
      <c r="A9517" s="318">
        <v>93635230635</v>
      </c>
      <c r="B9517" s="318" t="s">
        <v>237</v>
      </c>
    </row>
    <row r="9518" spans="1:2" ht="12.75" customHeight="1" x14ac:dyDescent="0.25">
      <c r="A9518" s="318">
        <v>93635230637</v>
      </c>
      <c r="B9518" s="318" t="s">
        <v>237</v>
      </c>
    </row>
    <row r="9519" spans="1:2" ht="12.75" customHeight="1" x14ac:dyDescent="0.25">
      <c r="A9519" s="318">
        <v>93635230638</v>
      </c>
      <c r="B9519" s="318" t="s">
        <v>237</v>
      </c>
    </row>
    <row r="9520" spans="1:2" ht="12.75" customHeight="1" x14ac:dyDescent="0.25">
      <c r="A9520" s="318">
        <v>93635230639</v>
      </c>
      <c r="B9520" s="318" t="s">
        <v>237</v>
      </c>
    </row>
    <row r="9521" spans="1:2" ht="12.75" customHeight="1" x14ac:dyDescent="0.25">
      <c r="A9521" s="318">
        <v>93635230640</v>
      </c>
      <c r="B9521" s="318" t="s">
        <v>237</v>
      </c>
    </row>
    <row r="9522" spans="1:2" ht="12.75" customHeight="1" x14ac:dyDescent="0.25">
      <c r="A9522" s="318">
        <v>93635230641</v>
      </c>
      <c r="B9522" s="318" t="s">
        <v>237</v>
      </c>
    </row>
    <row r="9523" spans="1:2" ht="12.75" customHeight="1" x14ac:dyDescent="0.25">
      <c r="A9523" s="318">
        <v>93635230642</v>
      </c>
      <c r="B9523" s="318" t="s">
        <v>237</v>
      </c>
    </row>
    <row r="9524" spans="1:2" ht="12.75" customHeight="1" x14ac:dyDescent="0.25">
      <c r="A9524" s="318">
        <v>93635230643</v>
      </c>
      <c r="B9524" s="318" t="s">
        <v>237</v>
      </c>
    </row>
    <row r="9525" spans="1:2" ht="12.75" customHeight="1" x14ac:dyDescent="0.25">
      <c r="A9525" s="318">
        <v>93635230644</v>
      </c>
      <c r="B9525" s="318" t="s">
        <v>237</v>
      </c>
    </row>
    <row r="9526" spans="1:2" ht="12.75" customHeight="1" x14ac:dyDescent="0.25">
      <c r="A9526" s="318">
        <v>93635230728</v>
      </c>
      <c r="B9526" s="318" t="s">
        <v>237</v>
      </c>
    </row>
    <row r="9527" spans="1:2" ht="12.75" customHeight="1" x14ac:dyDescent="0.25">
      <c r="A9527" s="318">
        <v>93635230729</v>
      </c>
      <c r="B9527" s="318" t="s">
        <v>237</v>
      </c>
    </row>
    <row r="9528" spans="1:2" ht="12.75" customHeight="1" x14ac:dyDescent="0.25">
      <c r="A9528" s="318">
        <v>93635230730</v>
      </c>
      <c r="B9528" s="318" t="s">
        <v>237</v>
      </c>
    </row>
    <row r="9529" spans="1:2" ht="12.75" customHeight="1" x14ac:dyDescent="0.25">
      <c r="A9529" s="318">
        <v>93635230731</v>
      </c>
      <c r="B9529" s="318" t="s">
        <v>237</v>
      </c>
    </row>
    <row r="9530" spans="1:2" ht="12.75" customHeight="1" x14ac:dyDescent="0.25">
      <c r="A9530" s="318">
        <v>93635230732</v>
      </c>
      <c r="B9530" s="318" t="s">
        <v>237</v>
      </c>
    </row>
    <row r="9531" spans="1:2" ht="12.75" customHeight="1" x14ac:dyDescent="0.25">
      <c r="A9531" s="318">
        <v>93635230733</v>
      </c>
      <c r="B9531" s="318" t="s">
        <v>237</v>
      </c>
    </row>
    <row r="9532" spans="1:2" ht="12.75" customHeight="1" x14ac:dyDescent="0.25">
      <c r="A9532" s="318">
        <v>93635230734</v>
      </c>
      <c r="B9532" s="318" t="s">
        <v>237</v>
      </c>
    </row>
    <row r="9533" spans="1:2" ht="12.75" customHeight="1" x14ac:dyDescent="0.25">
      <c r="A9533" s="318">
        <v>93635230735</v>
      </c>
      <c r="B9533" s="318" t="s">
        <v>237</v>
      </c>
    </row>
    <row r="9534" spans="1:2" ht="12.75" customHeight="1" x14ac:dyDescent="0.25">
      <c r="A9534" s="318">
        <v>93635230737</v>
      </c>
      <c r="B9534" s="318" t="s">
        <v>237</v>
      </c>
    </row>
    <row r="9535" spans="1:2" ht="12.75" customHeight="1" x14ac:dyDescent="0.25">
      <c r="A9535" s="318">
        <v>93635230738</v>
      </c>
      <c r="B9535" s="318" t="s">
        <v>237</v>
      </c>
    </row>
    <row r="9536" spans="1:2" ht="12.75" customHeight="1" x14ac:dyDescent="0.25">
      <c r="A9536" s="318">
        <v>93635230739</v>
      </c>
      <c r="B9536" s="318" t="s">
        <v>237</v>
      </c>
    </row>
    <row r="9537" spans="1:2" ht="12.75" customHeight="1" x14ac:dyDescent="0.25">
      <c r="A9537" s="318">
        <v>93635230740</v>
      </c>
      <c r="B9537" s="318" t="s">
        <v>237</v>
      </c>
    </row>
    <row r="9538" spans="1:2" ht="12.75" customHeight="1" x14ac:dyDescent="0.25">
      <c r="A9538" s="318">
        <v>93635230741</v>
      </c>
      <c r="B9538" s="318" t="s">
        <v>237</v>
      </c>
    </row>
    <row r="9539" spans="1:2" ht="12.75" customHeight="1" x14ac:dyDescent="0.25">
      <c r="A9539" s="318">
        <v>93635230742</v>
      </c>
      <c r="B9539" s="318" t="s">
        <v>237</v>
      </c>
    </row>
    <row r="9540" spans="1:2" ht="12.75" customHeight="1" x14ac:dyDescent="0.25">
      <c r="A9540" s="318">
        <v>93635230743</v>
      </c>
      <c r="B9540" s="318" t="s">
        <v>237</v>
      </c>
    </row>
    <row r="9541" spans="1:2" ht="12.75" customHeight="1" x14ac:dyDescent="0.25">
      <c r="A9541" s="318">
        <v>93635230744</v>
      </c>
      <c r="B9541" s="318" t="s">
        <v>237</v>
      </c>
    </row>
    <row r="9542" spans="1:2" ht="12.75" customHeight="1" x14ac:dyDescent="0.25">
      <c r="A9542" s="318">
        <v>93635711601</v>
      </c>
      <c r="B9542" s="318" t="s">
        <v>23</v>
      </c>
    </row>
    <row r="9543" spans="1:2" ht="12.75" customHeight="1" x14ac:dyDescent="0.25">
      <c r="A9543" s="318">
        <v>93635711602</v>
      </c>
      <c r="B9543" s="318" t="s">
        <v>23</v>
      </c>
    </row>
    <row r="9544" spans="1:2" ht="12.75" customHeight="1" x14ac:dyDescent="0.25">
      <c r="A9544" s="318">
        <v>93635711603</v>
      </c>
      <c r="B9544" s="318" t="s">
        <v>23</v>
      </c>
    </row>
    <row r="9545" spans="1:2" ht="12.75" customHeight="1" x14ac:dyDescent="0.25">
      <c r="A9545" s="318">
        <v>93635711604</v>
      </c>
      <c r="B9545" s="318" t="s">
        <v>23</v>
      </c>
    </row>
    <row r="9546" spans="1:2" ht="12.75" customHeight="1" x14ac:dyDescent="0.25">
      <c r="A9546" s="318">
        <v>93635711605</v>
      </c>
      <c r="B9546" s="318" t="s">
        <v>23</v>
      </c>
    </row>
    <row r="9547" spans="1:2" ht="12.75" customHeight="1" x14ac:dyDescent="0.25">
      <c r="A9547" s="318">
        <v>93635711606</v>
      </c>
      <c r="B9547" s="318" t="s">
        <v>23</v>
      </c>
    </row>
    <row r="9548" spans="1:2" ht="12.75" customHeight="1" x14ac:dyDescent="0.25">
      <c r="A9548" s="318">
        <v>93635711607</v>
      </c>
      <c r="B9548" s="318" t="s">
        <v>237</v>
      </c>
    </row>
    <row r="9549" spans="1:2" ht="12.75" customHeight="1" x14ac:dyDescent="0.25">
      <c r="A9549" s="318">
        <v>93635711608</v>
      </c>
      <c r="B9549" s="318" t="s">
        <v>237</v>
      </c>
    </row>
    <row r="9550" spans="1:2" ht="12.75" customHeight="1" x14ac:dyDescent="0.25">
      <c r="A9550" s="318">
        <v>93635711610</v>
      </c>
      <c r="B9550" s="318" t="s">
        <v>237</v>
      </c>
    </row>
    <row r="9551" spans="1:2" ht="12.75" customHeight="1" x14ac:dyDescent="0.25">
      <c r="A9551" s="318">
        <v>93635711611</v>
      </c>
      <c r="B9551" s="318" t="s">
        <v>237</v>
      </c>
    </row>
    <row r="9552" spans="1:2" ht="12.75" customHeight="1" x14ac:dyDescent="0.25">
      <c r="A9552" s="318">
        <v>93635711612</v>
      </c>
      <c r="B9552" s="318" t="s">
        <v>237</v>
      </c>
    </row>
    <row r="9553" spans="1:2" ht="12.75" customHeight="1" x14ac:dyDescent="0.25">
      <c r="A9553" s="318">
        <v>93635711613</v>
      </c>
      <c r="B9553" s="318" t="s">
        <v>237</v>
      </c>
    </row>
    <row r="9554" spans="1:2" ht="12.75" customHeight="1" x14ac:dyDescent="0.25">
      <c r="A9554" s="318">
        <v>93635711614</v>
      </c>
      <c r="B9554" s="318" t="s">
        <v>237</v>
      </c>
    </row>
    <row r="9555" spans="1:2" ht="12.75" customHeight="1" x14ac:dyDescent="0.25">
      <c r="A9555" s="318">
        <v>93635711615</v>
      </c>
      <c r="B9555" s="318" t="s">
        <v>237</v>
      </c>
    </row>
    <row r="9556" spans="1:2" ht="12.75" customHeight="1" x14ac:dyDescent="0.25">
      <c r="A9556" s="318">
        <v>93635711616</v>
      </c>
      <c r="B9556" s="318" t="s">
        <v>237</v>
      </c>
    </row>
    <row r="9557" spans="1:2" ht="12.75" customHeight="1" x14ac:dyDescent="0.25">
      <c r="A9557" s="318">
        <v>93635711617</v>
      </c>
      <c r="B9557" s="318" t="s">
        <v>237</v>
      </c>
    </row>
    <row r="9558" spans="1:2" ht="12.75" customHeight="1" x14ac:dyDescent="0.25">
      <c r="A9558" s="318">
        <v>93635711701</v>
      </c>
      <c r="B9558" s="318" t="s">
        <v>237</v>
      </c>
    </row>
    <row r="9559" spans="1:2" ht="12.75" customHeight="1" x14ac:dyDescent="0.25">
      <c r="A9559" s="318">
        <v>93635711702</v>
      </c>
      <c r="B9559" s="318" t="s">
        <v>237</v>
      </c>
    </row>
    <row r="9560" spans="1:2" ht="12.75" customHeight="1" x14ac:dyDescent="0.25">
      <c r="A9560" s="318">
        <v>93635711703</v>
      </c>
      <c r="B9560" s="318" t="s">
        <v>237</v>
      </c>
    </row>
    <row r="9561" spans="1:2" ht="12.75" customHeight="1" x14ac:dyDescent="0.25">
      <c r="A9561" s="318">
        <v>93635711704</v>
      </c>
      <c r="B9561" s="318" t="s">
        <v>237</v>
      </c>
    </row>
    <row r="9562" spans="1:2" ht="12.75" customHeight="1" x14ac:dyDescent="0.25">
      <c r="A9562" s="318">
        <v>93635711705</v>
      </c>
      <c r="B9562" s="318" t="s">
        <v>237</v>
      </c>
    </row>
    <row r="9563" spans="1:2" ht="12.75" customHeight="1" x14ac:dyDescent="0.25">
      <c r="A9563" s="318">
        <v>93635711706</v>
      </c>
      <c r="B9563" s="318" t="s">
        <v>237</v>
      </c>
    </row>
    <row r="9564" spans="1:2" ht="12.75" customHeight="1" x14ac:dyDescent="0.25">
      <c r="A9564" s="318">
        <v>93635711707</v>
      </c>
      <c r="B9564" s="318" t="s">
        <v>237</v>
      </c>
    </row>
    <row r="9565" spans="1:2" ht="12.75" customHeight="1" x14ac:dyDescent="0.25">
      <c r="A9565" s="318">
        <v>93635711708</v>
      </c>
      <c r="B9565" s="318" t="s">
        <v>237</v>
      </c>
    </row>
    <row r="9566" spans="1:2" ht="12.75" customHeight="1" x14ac:dyDescent="0.25">
      <c r="A9566" s="318">
        <v>93635711710</v>
      </c>
      <c r="B9566" s="318" t="s">
        <v>237</v>
      </c>
    </row>
    <row r="9567" spans="1:2" ht="12.75" customHeight="1" x14ac:dyDescent="0.25">
      <c r="A9567" s="318">
        <v>93635711711</v>
      </c>
      <c r="B9567" s="318" t="s">
        <v>237</v>
      </c>
    </row>
    <row r="9568" spans="1:2" ht="12.75" customHeight="1" x14ac:dyDescent="0.25">
      <c r="A9568" s="318">
        <v>93635711712</v>
      </c>
      <c r="B9568" s="318" t="s">
        <v>237</v>
      </c>
    </row>
    <row r="9569" spans="1:2" ht="12.75" customHeight="1" x14ac:dyDescent="0.25">
      <c r="A9569" s="318">
        <v>93635711713</v>
      </c>
      <c r="B9569" s="318" t="s">
        <v>237</v>
      </c>
    </row>
    <row r="9570" spans="1:2" ht="12.75" customHeight="1" x14ac:dyDescent="0.25">
      <c r="A9570" s="318">
        <v>93635711714</v>
      </c>
      <c r="B9570" s="318" t="s">
        <v>237</v>
      </c>
    </row>
    <row r="9571" spans="1:2" ht="12.75" customHeight="1" x14ac:dyDescent="0.25">
      <c r="A9571" s="318">
        <v>93635711715</v>
      </c>
      <c r="B9571" s="318" t="s">
        <v>237</v>
      </c>
    </row>
    <row r="9572" spans="1:2" ht="12.75" customHeight="1" x14ac:dyDescent="0.25">
      <c r="A9572" s="318">
        <v>93635711716</v>
      </c>
      <c r="B9572" s="318" t="s">
        <v>237</v>
      </c>
    </row>
    <row r="9573" spans="1:2" ht="12.75" customHeight="1" x14ac:dyDescent="0.25">
      <c r="A9573" s="318">
        <v>93635711717</v>
      </c>
      <c r="B9573" s="318" t="s">
        <v>237</v>
      </c>
    </row>
    <row r="9574" spans="1:2" ht="12.75" customHeight="1" x14ac:dyDescent="0.25">
      <c r="A9574" s="318">
        <v>93636391792</v>
      </c>
      <c r="B9574" s="318" t="s">
        <v>23</v>
      </c>
    </row>
    <row r="9575" spans="1:2" ht="12.75" customHeight="1" x14ac:dyDescent="0.25">
      <c r="A9575" s="318">
        <v>93636391793</v>
      </c>
      <c r="B9575" s="318" t="s">
        <v>23</v>
      </c>
    </row>
    <row r="9576" spans="1:2" ht="12.75" customHeight="1" x14ac:dyDescent="0.25">
      <c r="A9576" s="318">
        <v>93636391794</v>
      </c>
      <c r="B9576" s="318" t="s">
        <v>23</v>
      </c>
    </row>
    <row r="9577" spans="1:2" ht="12.75" customHeight="1" x14ac:dyDescent="0.25">
      <c r="A9577" s="318">
        <v>93636391795</v>
      </c>
      <c r="B9577" s="318" t="s">
        <v>23</v>
      </c>
    </row>
    <row r="9578" spans="1:2" ht="12.75" customHeight="1" x14ac:dyDescent="0.25">
      <c r="A9578" s="318">
        <v>93636391796</v>
      </c>
      <c r="B9578" s="318" t="s">
        <v>23</v>
      </c>
    </row>
    <row r="9579" spans="1:2" ht="12.75" customHeight="1" x14ac:dyDescent="0.25">
      <c r="A9579" s="318">
        <v>93636391797</v>
      </c>
      <c r="B9579" s="318" t="s">
        <v>23</v>
      </c>
    </row>
    <row r="9580" spans="1:2" ht="12.75" customHeight="1" x14ac:dyDescent="0.25">
      <c r="A9580" s="318">
        <v>93636391798</v>
      </c>
      <c r="B9580" s="318" t="s">
        <v>237</v>
      </c>
    </row>
    <row r="9581" spans="1:2" ht="12.75" customHeight="1" x14ac:dyDescent="0.25">
      <c r="A9581" s="318">
        <v>93636391799</v>
      </c>
      <c r="B9581" s="318" t="s">
        <v>237</v>
      </c>
    </row>
    <row r="9582" spans="1:2" ht="12.75" customHeight="1" x14ac:dyDescent="0.25">
      <c r="A9582" s="318">
        <v>93636391801</v>
      </c>
      <c r="B9582" s="318" t="s">
        <v>237</v>
      </c>
    </row>
    <row r="9583" spans="1:2" ht="12.75" customHeight="1" x14ac:dyDescent="0.25">
      <c r="A9583" s="318">
        <v>93636391802</v>
      </c>
      <c r="B9583" s="318" t="s">
        <v>237</v>
      </c>
    </row>
    <row r="9584" spans="1:2" ht="12.75" customHeight="1" x14ac:dyDescent="0.25">
      <c r="A9584" s="318">
        <v>93636391803</v>
      </c>
      <c r="B9584" s="318" t="s">
        <v>237</v>
      </c>
    </row>
    <row r="9585" spans="1:2" ht="12.75" customHeight="1" x14ac:dyDescent="0.25">
      <c r="A9585" s="318">
        <v>93636391804</v>
      </c>
      <c r="B9585" s="318" t="s">
        <v>237</v>
      </c>
    </row>
    <row r="9586" spans="1:2" ht="12.75" customHeight="1" x14ac:dyDescent="0.25">
      <c r="A9586" s="318">
        <v>93636391805</v>
      </c>
      <c r="B9586" s="318" t="s">
        <v>237</v>
      </c>
    </row>
    <row r="9587" spans="1:2" ht="12.75" customHeight="1" x14ac:dyDescent="0.25">
      <c r="A9587" s="318">
        <v>93636391806</v>
      </c>
      <c r="B9587" s="318" t="s">
        <v>237</v>
      </c>
    </row>
    <row r="9588" spans="1:2" ht="12.75" customHeight="1" x14ac:dyDescent="0.25">
      <c r="A9588" s="318">
        <v>93636391807</v>
      </c>
      <c r="B9588" s="318" t="s">
        <v>237</v>
      </c>
    </row>
    <row r="9589" spans="1:2" ht="12.75" customHeight="1" x14ac:dyDescent="0.25">
      <c r="A9589" s="318">
        <v>93636391808</v>
      </c>
      <c r="B9589" s="318" t="s">
        <v>237</v>
      </c>
    </row>
    <row r="9590" spans="1:2" ht="12.75" customHeight="1" x14ac:dyDescent="0.25">
      <c r="A9590" s="318">
        <v>93636391892</v>
      </c>
      <c r="B9590" s="318" t="s">
        <v>237</v>
      </c>
    </row>
    <row r="9591" spans="1:2" ht="12.75" customHeight="1" x14ac:dyDescent="0.25">
      <c r="A9591" s="318">
        <v>93636391893</v>
      </c>
      <c r="B9591" s="318" t="s">
        <v>237</v>
      </c>
    </row>
    <row r="9592" spans="1:2" ht="12.75" customHeight="1" x14ac:dyDescent="0.25">
      <c r="A9592" s="318">
        <v>93636391894</v>
      </c>
      <c r="B9592" s="318" t="s">
        <v>237</v>
      </c>
    </row>
    <row r="9593" spans="1:2" ht="12.75" customHeight="1" x14ac:dyDescent="0.25">
      <c r="A9593" s="318">
        <v>93636391895</v>
      </c>
      <c r="B9593" s="318" t="s">
        <v>237</v>
      </c>
    </row>
    <row r="9594" spans="1:2" ht="12.75" customHeight="1" x14ac:dyDescent="0.25">
      <c r="A9594" s="318">
        <v>93636391896</v>
      </c>
      <c r="B9594" s="318" t="s">
        <v>237</v>
      </c>
    </row>
    <row r="9595" spans="1:2" ht="12.75" customHeight="1" x14ac:dyDescent="0.25">
      <c r="A9595" s="318">
        <v>93636391897</v>
      </c>
      <c r="B9595" s="318" t="s">
        <v>237</v>
      </c>
    </row>
    <row r="9596" spans="1:2" ht="12.75" customHeight="1" x14ac:dyDescent="0.25">
      <c r="A9596" s="318">
        <v>93636391898</v>
      </c>
      <c r="B9596" s="318" t="s">
        <v>237</v>
      </c>
    </row>
    <row r="9597" spans="1:2" ht="12.75" customHeight="1" x14ac:dyDescent="0.25">
      <c r="A9597" s="318">
        <v>93636391899</v>
      </c>
      <c r="B9597" s="318" t="s">
        <v>237</v>
      </c>
    </row>
    <row r="9598" spans="1:2" ht="12.75" customHeight="1" x14ac:dyDescent="0.25">
      <c r="A9598" s="318">
        <v>93636391901</v>
      </c>
      <c r="B9598" s="318" t="s">
        <v>237</v>
      </c>
    </row>
    <row r="9599" spans="1:2" ht="12.75" customHeight="1" x14ac:dyDescent="0.25">
      <c r="A9599" s="318">
        <v>93636391902</v>
      </c>
      <c r="B9599" s="318" t="s">
        <v>237</v>
      </c>
    </row>
    <row r="9600" spans="1:2" ht="12.75" customHeight="1" x14ac:dyDescent="0.25">
      <c r="A9600" s="318">
        <v>93636391903</v>
      </c>
      <c r="B9600" s="318" t="s">
        <v>237</v>
      </c>
    </row>
    <row r="9601" spans="1:2" ht="12.75" customHeight="1" x14ac:dyDescent="0.25">
      <c r="A9601" s="318">
        <v>93636391904</v>
      </c>
      <c r="B9601" s="318" t="s">
        <v>237</v>
      </c>
    </row>
    <row r="9602" spans="1:2" ht="12.75" customHeight="1" x14ac:dyDescent="0.25">
      <c r="A9602" s="318">
        <v>93636391905</v>
      </c>
      <c r="B9602" s="318" t="s">
        <v>237</v>
      </c>
    </row>
    <row r="9603" spans="1:2" ht="12.75" customHeight="1" x14ac:dyDescent="0.25">
      <c r="A9603" s="318">
        <v>93636391906</v>
      </c>
      <c r="B9603" s="318" t="s">
        <v>237</v>
      </c>
    </row>
    <row r="9604" spans="1:2" ht="12.75" customHeight="1" x14ac:dyDescent="0.25">
      <c r="A9604" s="318">
        <v>93636391907</v>
      </c>
      <c r="B9604" s="318" t="s">
        <v>237</v>
      </c>
    </row>
    <row r="9605" spans="1:2" ht="12.75" customHeight="1" x14ac:dyDescent="0.25">
      <c r="A9605" s="318">
        <v>93636391908</v>
      </c>
      <c r="B9605" s="318" t="s">
        <v>237</v>
      </c>
    </row>
    <row r="9606" spans="1:2" ht="12.75" customHeight="1" x14ac:dyDescent="0.25">
      <c r="A9606" s="318">
        <v>93636872765</v>
      </c>
      <c r="B9606" s="318" t="s">
        <v>23</v>
      </c>
    </row>
    <row r="9607" spans="1:2" ht="12.75" customHeight="1" x14ac:dyDescent="0.25">
      <c r="A9607" s="318">
        <v>93636872766</v>
      </c>
      <c r="B9607" s="318" t="s">
        <v>23</v>
      </c>
    </row>
    <row r="9608" spans="1:2" ht="12.75" customHeight="1" x14ac:dyDescent="0.25">
      <c r="A9608" s="318">
        <v>93636872767</v>
      </c>
      <c r="B9608" s="318" t="s">
        <v>23</v>
      </c>
    </row>
    <row r="9609" spans="1:2" ht="12.75" customHeight="1" x14ac:dyDescent="0.25">
      <c r="A9609" s="318">
        <v>93636872768</v>
      </c>
      <c r="B9609" s="318" t="s">
        <v>23</v>
      </c>
    </row>
    <row r="9610" spans="1:2" ht="12.75" customHeight="1" x14ac:dyDescent="0.25">
      <c r="A9610" s="318">
        <v>93636872769</v>
      </c>
      <c r="B9610" s="318" t="s">
        <v>23</v>
      </c>
    </row>
    <row r="9611" spans="1:2" ht="12.75" customHeight="1" x14ac:dyDescent="0.25">
      <c r="A9611" s="318">
        <v>93636872770</v>
      </c>
      <c r="B9611" s="318" t="s">
        <v>23</v>
      </c>
    </row>
    <row r="9612" spans="1:2" ht="12.75" customHeight="1" x14ac:dyDescent="0.25">
      <c r="A9612" s="318">
        <v>93636872771</v>
      </c>
      <c r="B9612" s="318" t="s">
        <v>237</v>
      </c>
    </row>
    <row r="9613" spans="1:2" ht="12.75" customHeight="1" x14ac:dyDescent="0.25">
      <c r="A9613" s="318">
        <v>93636872772</v>
      </c>
      <c r="B9613" s="318" t="s">
        <v>237</v>
      </c>
    </row>
    <row r="9614" spans="1:2" ht="12.75" customHeight="1" x14ac:dyDescent="0.25">
      <c r="A9614" s="318">
        <v>93636872774</v>
      </c>
      <c r="B9614" s="318" t="s">
        <v>237</v>
      </c>
    </row>
    <row r="9615" spans="1:2" ht="12.75" customHeight="1" x14ac:dyDescent="0.25">
      <c r="A9615" s="318">
        <v>93636872775</v>
      </c>
      <c r="B9615" s="318" t="s">
        <v>237</v>
      </c>
    </row>
    <row r="9616" spans="1:2" ht="12.75" customHeight="1" x14ac:dyDescent="0.25">
      <c r="A9616" s="318">
        <v>93636872776</v>
      </c>
      <c r="B9616" s="318" t="s">
        <v>237</v>
      </c>
    </row>
    <row r="9617" spans="1:2" ht="12.75" customHeight="1" x14ac:dyDescent="0.25">
      <c r="A9617" s="318">
        <v>93636872777</v>
      </c>
      <c r="B9617" s="318" t="s">
        <v>237</v>
      </c>
    </row>
    <row r="9618" spans="1:2" ht="12.75" customHeight="1" x14ac:dyDescent="0.25">
      <c r="A9618" s="318">
        <v>93636872778</v>
      </c>
      <c r="B9618" s="318" t="s">
        <v>237</v>
      </c>
    </row>
    <row r="9619" spans="1:2" ht="12.75" customHeight="1" x14ac:dyDescent="0.25">
      <c r="A9619" s="318">
        <v>93636872779</v>
      </c>
      <c r="B9619" s="318" t="s">
        <v>237</v>
      </c>
    </row>
    <row r="9620" spans="1:2" ht="12.75" customHeight="1" x14ac:dyDescent="0.25">
      <c r="A9620" s="318">
        <v>93636872780</v>
      </c>
      <c r="B9620" s="318" t="s">
        <v>237</v>
      </c>
    </row>
    <row r="9621" spans="1:2" ht="12.75" customHeight="1" x14ac:dyDescent="0.25">
      <c r="A9621" s="318">
        <v>93636872781</v>
      </c>
      <c r="B9621" s="318" t="s">
        <v>237</v>
      </c>
    </row>
    <row r="9622" spans="1:2" ht="12.75" customHeight="1" x14ac:dyDescent="0.25">
      <c r="A9622" s="318">
        <v>93636872865</v>
      </c>
      <c r="B9622" s="318" t="s">
        <v>237</v>
      </c>
    </row>
    <row r="9623" spans="1:2" ht="12.75" customHeight="1" x14ac:dyDescent="0.25">
      <c r="A9623" s="318">
        <v>93636872866</v>
      </c>
      <c r="B9623" s="318" t="s">
        <v>237</v>
      </c>
    </row>
    <row r="9624" spans="1:2" ht="12.75" customHeight="1" x14ac:dyDescent="0.25">
      <c r="A9624" s="318">
        <v>93636872867</v>
      </c>
      <c r="B9624" s="318" t="s">
        <v>237</v>
      </c>
    </row>
    <row r="9625" spans="1:2" ht="12.75" customHeight="1" x14ac:dyDescent="0.25">
      <c r="A9625" s="318">
        <v>93636872868</v>
      </c>
      <c r="B9625" s="318" t="s">
        <v>237</v>
      </c>
    </row>
    <row r="9626" spans="1:2" ht="12.75" customHeight="1" x14ac:dyDescent="0.25">
      <c r="A9626" s="318">
        <v>93636872869</v>
      </c>
      <c r="B9626" s="318" t="s">
        <v>237</v>
      </c>
    </row>
    <row r="9627" spans="1:2" ht="12.75" customHeight="1" x14ac:dyDescent="0.25">
      <c r="A9627" s="318">
        <v>93636872870</v>
      </c>
      <c r="B9627" s="318" t="s">
        <v>237</v>
      </c>
    </row>
    <row r="9628" spans="1:2" ht="12.75" customHeight="1" x14ac:dyDescent="0.25">
      <c r="A9628" s="318">
        <v>93636872871</v>
      </c>
      <c r="B9628" s="318" t="s">
        <v>237</v>
      </c>
    </row>
    <row r="9629" spans="1:2" ht="12.75" customHeight="1" x14ac:dyDescent="0.25">
      <c r="A9629" s="318">
        <v>93636872872</v>
      </c>
      <c r="B9629" s="318" t="s">
        <v>237</v>
      </c>
    </row>
    <row r="9630" spans="1:2" ht="12.75" customHeight="1" x14ac:dyDescent="0.25">
      <c r="A9630" s="318">
        <v>93636872874</v>
      </c>
      <c r="B9630" s="318" t="s">
        <v>237</v>
      </c>
    </row>
    <row r="9631" spans="1:2" ht="12.75" customHeight="1" x14ac:dyDescent="0.25">
      <c r="A9631" s="318">
        <v>93636872875</v>
      </c>
      <c r="B9631" s="318" t="s">
        <v>237</v>
      </c>
    </row>
    <row r="9632" spans="1:2" ht="12.75" customHeight="1" x14ac:dyDescent="0.25">
      <c r="A9632" s="318">
        <v>93636872876</v>
      </c>
      <c r="B9632" s="318" t="s">
        <v>237</v>
      </c>
    </row>
    <row r="9633" spans="1:2" ht="12.75" customHeight="1" x14ac:dyDescent="0.25">
      <c r="A9633" s="318">
        <v>93636872877</v>
      </c>
      <c r="B9633" s="318" t="s">
        <v>237</v>
      </c>
    </row>
    <row r="9634" spans="1:2" ht="12.75" customHeight="1" x14ac:dyDescent="0.25">
      <c r="A9634" s="318">
        <v>93636872878</v>
      </c>
      <c r="B9634" s="318" t="s">
        <v>237</v>
      </c>
    </row>
    <row r="9635" spans="1:2" ht="12.75" customHeight="1" x14ac:dyDescent="0.25">
      <c r="A9635" s="318">
        <v>93636872879</v>
      </c>
      <c r="B9635" s="318" t="s">
        <v>237</v>
      </c>
    </row>
    <row r="9636" spans="1:2" ht="12.75" customHeight="1" x14ac:dyDescent="0.25">
      <c r="A9636" s="318">
        <v>93636872880</v>
      </c>
      <c r="B9636" s="318" t="s">
        <v>237</v>
      </c>
    </row>
    <row r="9637" spans="1:2" ht="12.75" customHeight="1" x14ac:dyDescent="0.25">
      <c r="A9637" s="318">
        <v>93636872881</v>
      </c>
      <c r="B9637" s="318" t="s">
        <v>237</v>
      </c>
    </row>
    <row r="9638" spans="1:2" ht="12.75" customHeight="1" x14ac:dyDescent="0.25">
      <c r="A9638" s="318">
        <v>93637353738</v>
      </c>
      <c r="B9638" s="318" t="s">
        <v>23</v>
      </c>
    </row>
    <row r="9639" spans="1:2" ht="12.75" customHeight="1" x14ac:dyDescent="0.25">
      <c r="A9639" s="318">
        <v>93637353739</v>
      </c>
      <c r="B9639" s="318" t="s">
        <v>23</v>
      </c>
    </row>
    <row r="9640" spans="1:2" ht="12.75" customHeight="1" x14ac:dyDescent="0.25">
      <c r="A9640" s="318">
        <v>93637353740</v>
      </c>
      <c r="B9640" s="318" t="s">
        <v>23</v>
      </c>
    </row>
    <row r="9641" spans="1:2" ht="12.75" customHeight="1" x14ac:dyDescent="0.25">
      <c r="A9641" s="318">
        <v>93637353741</v>
      </c>
      <c r="B9641" s="318" t="s">
        <v>23</v>
      </c>
    </row>
    <row r="9642" spans="1:2" ht="12.75" customHeight="1" x14ac:dyDescent="0.25">
      <c r="A9642" s="318">
        <v>93637353742</v>
      </c>
      <c r="B9642" s="318" t="s">
        <v>23</v>
      </c>
    </row>
    <row r="9643" spans="1:2" ht="12.75" customHeight="1" x14ac:dyDescent="0.25">
      <c r="A9643" s="318">
        <v>93637353743</v>
      </c>
      <c r="B9643" s="318" t="s">
        <v>23</v>
      </c>
    </row>
    <row r="9644" spans="1:2" ht="12.75" customHeight="1" x14ac:dyDescent="0.25">
      <c r="A9644" s="318">
        <v>93637353744</v>
      </c>
      <c r="B9644" s="318" t="s">
        <v>237</v>
      </c>
    </row>
    <row r="9645" spans="1:2" ht="12.75" customHeight="1" x14ac:dyDescent="0.25">
      <c r="A9645" s="318">
        <v>93637353745</v>
      </c>
      <c r="B9645" s="318" t="s">
        <v>237</v>
      </c>
    </row>
    <row r="9646" spans="1:2" ht="12.75" customHeight="1" x14ac:dyDescent="0.25">
      <c r="A9646" s="318">
        <v>93637353747</v>
      </c>
      <c r="B9646" s="318" t="s">
        <v>237</v>
      </c>
    </row>
    <row r="9647" spans="1:2" ht="12.75" customHeight="1" x14ac:dyDescent="0.25">
      <c r="A9647" s="318">
        <v>93637353748</v>
      </c>
      <c r="B9647" s="318" t="s">
        <v>237</v>
      </c>
    </row>
    <row r="9648" spans="1:2" ht="12.75" customHeight="1" x14ac:dyDescent="0.25">
      <c r="A9648" s="318">
        <v>93637353749</v>
      </c>
      <c r="B9648" s="318" t="s">
        <v>237</v>
      </c>
    </row>
    <row r="9649" spans="1:2" ht="12.75" customHeight="1" x14ac:dyDescent="0.25">
      <c r="A9649" s="318">
        <v>93637353750</v>
      </c>
      <c r="B9649" s="318" t="s">
        <v>237</v>
      </c>
    </row>
    <row r="9650" spans="1:2" ht="12.75" customHeight="1" x14ac:dyDescent="0.25">
      <c r="A9650" s="318">
        <v>93637353751</v>
      </c>
      <c r="B9650" s="318" t="s">
        <v>237</v>
      </c>
    </row>
    <row r="9651" spans="1:2" ht="12.75" customHeight="1" x14ac:dyDescent="0.25">
      <c r="A9651" s="318">
        <v>93637353752</v>
      </c>
      <c r="B9651" s="318" t="s">
        <v>237</v>
      </c>
    </row>
    <row r="9652" spans="1:2" ht="12.75" customHeight="1" x14ac:dyDescent="0.25">
      <c r="A9652" s="318">
        <v>93637353753</v>
      </c>
      <c r="B9652" s="318" t="s">
        <v>237</v>
      </c>
    </row>
    <row r="9653" spans="1:2" ht="12.75" customHeight="1" x14ac:dyDescent="0.25">
      <c r="A9653" s="318">
        <v>93637353754</v>
      </c>
      <c r="B9653" s="318" t="s">
        <v>237</v>
      </c>
    </row>
    <row r="9654" spans="1:2" ht="12.75" customHeight="1" x14ac:dyDescent="0.25">
      <c r="A9654" s="318">
        <v>93637353838</v>
      </c>
      <c r="B9654" s="318" t="s">
        <v>237</v>
      </c>
    </row>
    <row r="9655" spans="1:2" ht="12.75" customHeight="1" x14ac:dyDescent="0.25">
      <c r="A9655" s="318">
        <v>93637353839</v>
      </c>
      <c r="B9655" s="318" t="s">
        <v>237</v>
      </c>
    </row>
    <row r="9656" spans="1:2" ht="12.75" customHeight="1" x14ac:dyDescent="0.25">
      <c r="A9656" s="318">
        <v>93637353840</v>
      </c>
      <c r="B9656" s="318" t="s">
        <v>237</v>
      </c>
    </row>
    <row r="9657" spans="1:2" ht="12.75" customHeight="1" x14ac:dyDescent="0.25">
      <c r="A9657" s="318">
        <v>93637353841</v>
      </c>
      <c r="B9657" s="318" t="s">
        <v>237</v>
      </c>
    </row>
    <row r="9658" spans="1:2" ht="12.75" customHeight="1" x14ac:dyDescent="0.25">
      <c r="A9658" s="318">
        <v>93637353842</v>
      </c>
      <c r="B9658" s="318" t="s">
        <v>237</v>
      </c>
    </row>
    <row r="9659" spans="1:2" ht="12.75" customHeight="1" x14ac:dyDescent="0.25">
      <c r="A9659" s="318">
        <v>93637353843</v>
      </c>
      <c r="B9659" s="318" t="s">
        <v>237</v>
      </c>
    </row>
    <row r="9660" spans="1:2" ht="12.75" customHeight="1" x14ac:dyDescent="0.25">
      <c r="A9660" s="318">
        <v>93637353844</v>
      </c>
      <c r="B9660" s="318" t="s">
        <v>237</v>
      </c>
    </row>
    <row r="9661" spans="1:2" ht="12.75" customHeight="1" x14ac:dyDescent="0.25">
      <c r="A9661" s="318">
        <v>93637353845</v>
      </c>
      <c r="B9661" s="318" t="s">
        <v>237</v>
      </c>
    </row>
    <row r="9662" spans="1:2" ht="12.75" customHeight="1" x14ac:dyDescent="0.25">
      <c r="A9662" s="318">
        <v>93637353847</v>
      </c>
      <c r="B9662" s="318" t="s">
        <v>237</v>
      </c>
    </row>
    <row r="9663" spans="1:2" ht="12.75" customHeight="1" x14ac:dyDescent="0.25">
      <c r="A9663" s="318">
        <v>93637353848</v>
      </c>
      <c r="B9663" s="318" t="s">
        <v>237</v>
      </c>
    </row>
    <row r="9664" spans="1:2" ht="12.75" customHeight="1" x14ac:dyDescent="0.25">
      <c r="A9664" s="318">
        <v>93637353849</v>
      </c>
      <c r="B9664" s="318" t="s">
        <v>237</v>
      </c>
    </row>
    <row r="9665" spans="1:2" ht="12.75" customHeight="1" x14ac:dyDescent="0.25">
      <c r="A9665" s="318">
        <v>93637353850</v>
      </c>
      <c r="B9665" s="318" t="s">
        <v>237</v>
      </c>
    </row>
    <row r="9666" spans="1:2" ht="12.75" customHeight="1" x14ac:dyDescent="0.25">
      <c r="A9666" s="318">
        <v>93637353851</v>
      </c>
      <c r="B9666" s="318" t="s">
        <v>237</v>
      </c>
    </row>
    <row r="9667" spans="1:2" ht="12.75" customHeight="1" x14ac:dyDescent="0.25">
      <c r="A9667" s="318">
        <v>93637353852</v>
      </c>
      <c r="B9667" s="318" t="s">
        <v>237</v>
      </c>
    </row>
    <row r="9668" spans="1:2" ht="12.75" customHeight="1" x14ac:dyDescent="0.25">
      <c r="A9668" s="318">
        <v>93637353853</v>
      </c>
      <c r="B9668" s="318" t="s">
        <v>237</v>
      </c>
    </row>
    <row r="9669" spans="1:2" ht="12.75" customHeight="1" x14ac:dyDescent="0.25">
      <c r="A9669" s="318">
        <v>93637353854</v>
      </c>
      <c r="B9669" s="318" t="s">
        <v>237</v>
      </c>
    </row>
    <row r="9670" spans="1:2" ht="12.75" customHeight="1" x14ac:dyDescent="0.25">
      <c r="A9670" s="318">
        <v>93638714119</v>
      </c>
      <c r="B9670" s="318" t="s">
        <v>23</v>
      </c>
    </row>
    <row r="9671" spans="1:2" ht="12.75" customHeight="1" x14ac:dyDescent="0.25">
      <c r="A9671" s="318">
        <v>93638714120</v>
      </c>
      <c r="B9671" s="318" t="s">
        <v>23</v>
      </c>
    </row>
    <row r="9672" spans="1:2" ht="12.75" customHeight="1" x14ac:dyDescent="0.25">
      <c r="A9672" s="318">
        <v>93638714121</v>
      </c>
      <c r="B9672" s="318" t="s">
        <v>23</v>
      </c>
    </row>
    <row r="9673" spans="1:2" ht="12.75" customHeight="1" x14ac:dyDescent="0.25">
      <c r="A9673" s="318">
        <v>93638714122</v>
      </c>
      <c r="B9673" s="318" t="s">
        <v>23</v>
      </c>
    </row>
    <row r="9674" spans="1:2" ht="12.75" customHeight="1" x14ac:dyDescent="0.25">
      <c r="A9674" s="318">
        <v>93638714123</v>
      </c>
      <c r="B9674" s="318" t="s">
        <v>23</v>
      </c>
    </row>
    <row r="9675" spans="1:2" ht="12.75" customHeight="1" x14ac:dyDescent="0.25">
      <c r="A9675" s="318">
        <v>93638714124</v>
      </c>
      <c r="B9675" s="318" t="s">
        <v>23</v>
      </c>
    </row>
    <row r="9676" spans="1:2" ht="12.75" customHeight="1" x14ac:dyDescent="0.25">
      <c r="A9676" s="318">
        <v>93638714125</v>
      </c>
      <c r="B9676" s="318" t="s">
        <v>237</v>
      </c>
    </row>
    <row r="9677" spans="1:2" ht="12.75" customHeight="1" x14ac:dyDescent="0.25">
      <c r="A9677" s="318">
        <v>93638714126</v>
      </c>
      <c r="B9677" s="318" t="s">
        <v>237</v>
      </c>
    </row>
    <row r="9678" spans="1:2" ht="12.75" customHeight="1" x14ac:dyDescent="0.25">
      <c r="A9678" s="318">
        <v>93638714128</v>
      </c>
      <c r="B9678" s="318" t="s">
        <v>237</v>
      </c>
    </row>
    <row r="9679" spans="1:2" ht="12.75" customHeight="1" x14ac:dyDescent="0.25">
      <c r="A9679" s="318">
        <v>93638714129</v>
      </c>
      <c r="B9679" s="318" t="s">
        <v>237</v>
      </c>
    </row>
    <row r="9680" spans="1:2" ht="12.75" customHeight="1" x14ac:dyDescent="0.25">
      <c r="A9680" s="318">
        <v>93638714130</v>
      </c>
      <c r="B9680" s="318" t="s">
        <v>237</v>
      </c>
    </row>
    <row r="9681" spans="1:2" ht="12.75" customHeight="1" x14ac:dyDescent="0.25">
      <c r="A9681" s="318">
        <v>93638714131</v>
      </c>
      <c r="B9681" s="318" t="s">
        <v>237</v>
      </c>
    </row>
    <row r="9682" spans="1:2" ht="12.75" customHeight="1" x14ac:dyDescent="0.25">
      <c r="A9682" s="318">
        <v>93638714132</v>
      </c>
      <c r="B9682" s="318" t="s">
        <v>237</v>
      </c>
    </row>
    <row r="9683" spans="1:2" ht="12.75" customHeight="1" x14ac:dyDescent="0.25">
      <c r="A9683" s="318">
        <v>93638714133</v>
      </c>
      <c r="B9683" s="318" t="s">
        <v>237</v>
      </c>
    </row>
    <row r="9684" spans="1:2" ht="12.75" customHeight="1" x14ac:dyDescent="0.25">
      <c r="A9684" s="318">
        <v>93638714134</v>
      </c>
      <c r="B9684" s="318" t="s">
        <v>237</v>
      </c>
    </row>
    <row r="9685" spans="1:2" ht="12.75" customHeight="1" x14ac:dyDescent="0.25">
      <c r="A9685" s="318">
        <v>93638714135</v>
      </c>
      <c r="B9685" s="318" t="s">
        <v>237</v>
      </c>
    </row>
    <row r="9686" spans="1:2" ht="12.75" customHeight="1" x14ac:dyDescent="0.25">
      <c r="A9686" s="318">
        <v>93638714219</v>
      </c>
      <c r="B9686" s="318" t="s">
        <v>237</v>
      </c>
    </row>
    <row r="9687" spans="1:2" ht="12.75" customHeight="1" x14ac:dyDescent="0.25">
      <c r="A9687" s="318">
        <v>93638714220</v>
      </c>
      <c r="B9687" s="318" t="s">
        <v>237</v>
      </c>
    </row>
    <row r="9688" spans="1:2" ht="12.75" customHeight="1" x14ac:dyDescent="0.25">
      <c r="A9688" s="318">
        <v>93638714221</v>
      </c>
      <c r="B9688" s="318" t="s">
        <v>237</v>
      </c>
    </row>
    <row r="9689" spans="1:2" ht="12.75" customHeight="1" x14ac:dyDescent="0.25">
      <c r="A9689" s="318">
        <v>93638714222</v>
      </c>
      <c r="B9689" s="318" t="s">
        <v>237</v>
      </c>
    </row>
    <row r="9690" spans="1:2" ht="12.75" customHeight="1" x14ac:dyDescent="0.25">
      <c r="A9690" s="318">
        <v>93638714223</v>
      </c>
      <c r="B9690" s="318" t="s">
        <v>237</v>
      </c>
    </row>
    <row r="9691" spans="1:2" ht="12.75" customHeight="1" x14ac:dyDescent="0.25">
      <c r="A9691" s="318">
        <v>93638714224</v>
      </c>
      <c r="B9691" s="318" t="s">
        <v>237</v>
      </c>
    </row>
    <row r="9692" spans="1:2" ht="12.75" customHeight="1" x14ac:dyDescent="0.25">
      <c r="A9692" s="318">
        <v>93638714225</v>
      </c>
      <c r="B9692" s="318" t="s">
        <v>237</v>
      </c>
    </row>
    <row r="9693" spans="1:2" ht="12.75" customHeight="1" x14ac:dyDescent="0.25">
      <c r="A9693" s="318">
        <v>93638714226</v>
      </c>
      <c r="B9693" s="318" t="s">
        <v>237</v>
      </c>
    </row>
    <row r="9694" spans="1:2" ht="12.75" customHeight="1" x14ac:dyDescent="0.25">
      <c r="A9694" s="318">
        <v>93638714228</v>
      </c>
      <c r="B9694" s="318" t="s">
        <v>237</v>
      </c>
    </row>
    <row r="9695" spans="1:2" ht="12.75" customHeight="1" x14ac:dyDescent="0.25">
      <c r="A9695" s="318">
        <v>93638714229</v>
      </c>
      <c r="B9695" s="318" t="s">
        <v>237</v>
      </c>
    </row>
    <row r="9696" spans="1:2" ht="12.75" customHeight="1" x14ac:dyDescent="0.25">
      <c r="A9696" s="318">
        <v>93638714230</v>
      </c>
      <c r="B9696" s="318" t="s">
        <v>237</v>
      </c>
    </row>
    <row r="9697" spans="1:2" ht="12.75" customHeight="1" x14ac:dyDescent="0.25">
      <c r="A9697" s="318">
        <v>93638714231</v>
      </c>
      <c r="B9697" s="318" t="s">
        <v>237</v>
      </c>
    </row>
    <row r="9698" spans="1:2" ht="12.75" customHeight="1" x14ac:dyDescent="0.25">
      <c r="A9698" s="318">
        <v>93638714232</v>
      </c>
      <c r="B9698" s="318" t="s">
        <v>237</v>
      </c>
    </row>
    <row r="9699" spans="1:2" ht="12.75" customHeight="1" x14ac:dyDescent="0.25">
      <c r="A9699" s="318">
        <v>93638714233</v>
      </c>
      <c r="B9699" s="318" t="s">
        <v>237</v>
      </c>
    </row>
    <row r="9700" spans="1:2" ht="12.75" customHeight="1" x14ac:dyDescent="0.25">
      <c r="A9700" s="318">
        <v>93638714234</v>
      </c>
      <c r="B9700" s="318" t="s">
        <v>237</v>
      </c>
    </row>
    <row r="9701" spans="1:2" ht="12.75" customHeight="1" x14ac:dyDescent="0.25">
      <c r="A9701" s="318">
        <v>93638714235</v>
      </c>
      <c r="B9701" s="318" t="s">
        <v>237</v>
      </c>
    </row>
    <row r="9702" spans="1:2" ht="12.75" customHeight="1" x14ac:dyDescent="0.25">
      <c r="A9702" s="318">
        <v>93639195092</v>
      </c>
      <c r="B9702" s="318" t="s">
        <v>23</v>
      </c>
    </row>
    <row r="9703" spans="1:2" ht="12.75" customHeight="1" x14ac:dyDescent="0.25">
      <c r="A9703" s="318">
        <v>93639195093</v>
      </c>
      <c r="B9703" s="318" t="s">
        <v>23</v>
      </c>
    </row>
    <row r="9704" spans="1:2" ht="12.75" customHeight="1" x14ac:dyDescent="0.25">
      <c r="A9704" s="318">
        <v>93639195094</v>
      </c>
      <c r="B9704" s="318" t="s">
        <v>23</v>
      </c>
    </row>
    <row r="9705" spans="1:2" ht="12.75" customHeight="1" x14ac:dyDescent="0.25">
      <c r="A9705" s="318">
        <v>93639195095</v>
      </c>
      <c r="B9705" s="318" t="s">
        <v>23</v>
      </c>
    </row>
    <row r="9706" spans="1:2" ht="12.75" customHeight="1" x14ac:dyDescent="0.25">
      <c r="A9706" s="318">
        <v>93639195096</v>
      </c>
      <c r="B9706" s="318" t="s">
        <v>23</v>
      </c>
    </row>
    <row r="9707" spans="1:2" ht="12.75" customHeight="1" x14ac:dyDescent="0.25">
      <c r="A9707" s="318">
        <v>93639195097</v>
      </c>
      <c r="B9707" s="318" t="s">
        <v>23</v>
      </c>
    </row>
    <row r="9708" spans="1:2" ht="12.75" customHeight="1" x14ac:dyDescent="0.25">
      <c r="A9708" s="318">
        <v>93639195098</v>
      </c>
      <c r="B9708" s="318" t="s">
        <v>237</v>
      </c>
    </row>
    <row r="9709" spans="1:2" ht="12.75" customHeight="1" x14ac:dyDescent="0.25">
      <c r="A9709" s="318">
        <v>93639195099</v>
      </c>
      <c r="B9709" s="318" t="s">
        <v>237</v>
      </c>
    </row>
    <row r="9710" spans="1:2" ht="12.75" customHeight="1" x14ac:dyDescent="0.25">
      <c r="A9710" s="318">
        <v>93639195101</v>
      </c>
      <c r="B9710" s="318" t="s">
        <v>237</v>
      </c>
    </row>
    <row r="9711" spans="1:2" ht="12.75" customHeight="1" x14ac:dyDescent="0.25">
      <c r="A9711" s="318">
        <v>93639195102</v>
      </c>
      <c r="B9711" s="318" t="s">
        <v>237</v>
      </c>
    </row>
    <row r="9712" spans="1:2" ht="12.75" customHeight="1" x14ac:dyDescent="0.25">
      <c r="A9712" s="318">
        <v>93639195103</v>
      </c>
      <c r="B9712" s="318" t="s">
        <v>237</v>
      </c>
    </row>
    <row r="9713" spans="1:2" ht="12.75" customHeight="1" x14ac:dyDescent="0.25">
      <c r="A9713" s="318">
        <v>93639195104</v>
      </c>
      <c r="B9713" s="318" t="s">
        <v>237</v>
      </c>
    </row>
    <row r="9714" spans="1:2" ht="12.75" customHeight="1" x14ac:dyDescent="0.25">
      <c r="A9714" s="318">
        <v>93639195105</v>
      </c>
      <c r="B9714" s="318" t="s">
        <v>237</v>
      </c>
    </row>
    <row r="9715" spans="1:2" ht="12.75" customHeight="1" x14ac:dyDescent="0.25">
      <c r="A9715" s="318">
        <v>93639195106</v>
      </c>
      <c r="B9715" s="318" t="s">
        <v>237</v>
      </c>
    </row>
    <row r="9716" spans="1:2" ht="12.75" customHeight="1" x14ac:dyDescent="0.25">
      <c r="A9716" s="318">
        <v>93639195107</v>
      </c>
      <c r="B9716" s="318" t="s">
        <v>237</v>
      </c>
    </row>
    <row r="9717" spans="1:2" ht="12.75" customHeight="1" x14ac:dyDescent="0.25">
      <c r="A9717" s="318">
        <v>93639195108</v>
      </c>
      <c r="B9717" s="318" t="s">
        <v>237</v>
      </c>
    </row>
    <row r="9718" spans="1:2" ht="12.75" customHeight="1" x14ac:dyDescent="0.25">
      <c r="A9718" s="318">
        <v>93639195192</v>
      </c>
      <c r="B9718" s="318" t="s">
        <v>237</v>
      </c>
    </row>
    <row r="9719" spans="1:2" ht="12.75" customHeight="1" x14ac:dyDescent="0.25">
      <c r="A9719" s="318">
        <v>93639195193</v>
      </c>
      <c r="B9719" s="318" t="s">
        <v>237</v>
      </c>
    </row>
    <row r="9720" spans="1:2" ht="12.75" customHeight="1" x14ac:dyDescent="0.25">
      <c r="A9720" s="318">
        <v>93639195194</v>
      </c>
      <c r="B9720" s="318" t="s">
        <v>237</v>
      </c>
    </row>
    <row r="9721" spans="1:2" ht="12.75" customHeight="1" x14ac:dyDescent="0.25">
      <c r="A9721" s="318">
        <v>93639195195</v>
      </c>
      <c r="B9721" s="318" t="s">
        <v>237</v>
      </c>
    </row>
    <row r="9722" spans="1:2" ht="12.75" customHeight="1" x14ac:dyDescent="0.25">
      <c r="A9722" s="318">
        <v>93639195196</v>
      </c>
      <c r="B9722" s="318" t="s">
        <v>237</v>
      </c>
    </row>
    <row r="9723" spans="1:2" ht="12.75" customHeight="1" x14ac:dyDescent="0.25">
      <c r="A9723" s="318">
        <v>93639195197</v>
      </c>
      <c r="B9723" s="318" t="s">
        <v>237</v>
      </c>
    </row>
    <row r="9724" spans="1:2" ht="12.75" customHeight="1" x14ac:dyDescent="0.25">
      <c r="A9724" s="318">
        <v>93639195198</v>
      </c>
      <c r="B9724" s="318" t="s">
        <v>237</v>
      </c>
    </row>
    <row r="9725" spans="1:2" ht="12.75" customHeight="1" x14ac:dyDescent="0.25">
      <c r="A9725" s="318">
        <v>93639195199</v>
      </c>
      <c r="B9725" s="318" t="s">
        <v>237</v>
      </c>
    </row>
    <row r="9726" spans="1:2" ht="12.75" customHeight="1" x14ac:dyDescent="0.25">
      <c r="A9726" s="318">
        <v>93639195201</v>
      </c>
      <c r="B9726" s="318" t="s">
        <v>237</v>
      </c>
    </row>
    <row r="9727" spans="1:2" ht="12.75" customHeight="1" x14ac:dyDescent="0.25">
      <c r="A9727" s="318">
        <v>93639195202</v>
      </c>
      <c r="B9727" s="318" t="s">
        <v>237</v>
      </c>
    </row>
    <row r="9728" spans="1:2" ht="12.75" customHeight="1" x14ac:dyDescent="0.25">
      <c r="A9728" s="318">
        <v>93639195203</v>
      </c>
      <c r="B9728" s="318" t="s">
        <v>237</v>
      </c>
    </row>
    <row r="9729" spans="1:2" ht="12.75" customHeight="1" x14ac:dyDescent="0.25">
      <c r="A9729" s="318">
        <v>93639195204</v>
      </c>
      <c r="B9729" s="318" t="s">
        <v>237</v>
      </c>
    </row>
    <row r="9730" spans="1:2" ht="12.75" customHeight="1" x14ac:dyDescent="0.25">
      <c r="A9730" s="318">
        <v>93639195205</v>
      </c>
      <c r="B9730" s="318" t="s">
        <v>237</v>
      </c>
    </row>
    <row r="9731" spans="1:2" ht="12.75" customHeight="1" x14ac:dyDescent="0.25">
      <c r="A9731" s="318">
        <v>93639195206</v>
      </c>
      <c r="B9731" s="318" t="s">
        <v>237</v>
      </c>
    </row>
    <row r="9732" spans="1:2" ht="12.75" customHeight="1" x14ac:dyDescent="0.25">
      <c r="A9732" s="318">
        <v>93639195207</v>
      </c>
      <c r="B9732" s="318" t="s">
        <v>237</v>
      </c>
    </row>
    <row r="9733" spans="1:2" ht="12.75" customHeight="1" x14ac:dyDescent="0.25">
      <c r="A9733" s="318">
        <v>93639195208</v>
      </c>
      <c r="B9733" s="318" t="s">
        <v>237</v>
      </c>
    </row>
    <row r="9734" spans="1:2" ht="12.75" customHeight="1" x14ac:dyDescent="0.25">
      <c r="A9734" s="318">
        <v>93639676065</v>
      </c>
      <c r="B9734" s="318" t="s">
        <v>23</v>
      </c>
    </row>
    <row r="9735" spans="1:2" ht="12.75" customHeight="1" x14ac:dyDescent="0.25">
      <c r="A9735" s="318">
        <v>93639676066</v>
      </c>
      <c r="B9735" s="318" t="s">
        <v>23</v>
      </c>
    </row>
    <row r="9736" spans="1:2" ht="12.75" customHeight="1" x14ac:dyDescent="0.25">
      <c r="A9736" s="318">
        <v>93639676067</v>
      </c>
      <c r="B9736" s="318" t="s">
        <v>23</v>
      </c>
    </row>
    <row r="9737" spans="1:2" ht="12.75" customHeight="1" x14ac:dyDescent="0.25">
      <c r="A9737" s="318">
        <v>93639676068</v>
      </c>
      <c r="B9737" s="318" t="s">
        <v>23</v>
      </c>
    </row>
    <row r="9738" spans="1:2" ht="12.75" customHeight="1" x14ac:dyDescent="0.25">
      <c r="A9738" s="318">
        <v>93639676069</v>
      </c>
      <c r="B9738" s="318" t="s">
        <v>23</v>
      </c>
    </row>
    <row r="9739" spans="1:2" ht="12.75" customHeight="1" x14ac:dyDescent="0.25">
      <c r="A9739" s="318">
        <v>93639676070</v>
      </c>
      <c r="B9739" s="318" t="s">
        <v>23</v>
      </c>
    </row>
    <row r="9740" spans="1:2" ht="12.75" customHeight="1" x14ac:dyDescent="0.25">
      <c r="A9740" s="318">
        <v>93639676071</v>
      </c>
      <c r="B9740" s="318" t="s">
        <v>237</v>
      </c>
    </row>
    <row r="9741" spans="1:2" ht="12.75" customHeight="1" x14ac:dyDescent="0.25">
      <c r="A9741" s="318">
        <v>93639676072</v>
      </c>
      <c r="B9741" s="318" t="s">
        <v>237</v>
      </c>
    </row>
    <row r="9742" spans="1:2" ht="12.75" customHeight="1" x14ac:dyDescent="0.25">
      <c r="A9742" s="318">
        <v>93639676074</v>
      </c>
      <c r="B9742" s="318" t="s">
        <v>237</v>
      </c>
    </row>
    <row r="9743" spans="1:2" ht="12.75" customHeight="1" x14ac:dyDescent="0.25">
      <c r="A9743" s="318">
        <v>93639676075</v>
      </c>
      <c r="B9743" s="318" t="s">
        <v>237</v>
      </c>
    </row>
    <row r="9744" spans="1:2" ht="12.75" customHeight="1" x14ac:dyDescent="0.25">
      <c r="A9744" s="318">
        <v>93639676076</v>
      </c>
      <c r="B9744" s="318" t="s">
        <v>237</v>
      </c>
    </row>
    <row r="9745" spans="1:2" ht="12.75" customHeight="1" x14ac:dyDescent="0.25">
      <c r="A9745" s="318">
        <v>93639676077</v>
      </c>
      <c r="B9745" s="318" t="s">
        <v>237</v>
      </c>
    </row>
    <row r="9746" spans="1:2" ht="12.75" customHeight="1" x14ac:dyDescent="0.25">
      <c r="A9746" s="318">
        <v>93639676078</v>
      </c>
      <c r="B9746" s="318" t="s">
        <v>237</v>
      </c>
    </row>
    <row r="9747" spans="1:2" ht="12.75" customHeight="1" x14ac:dyDescent="0.25">
      <c r="A9747" s="318">
        <v>93639676079</v>
      </c>
      <c r="B9747" s="318" t="s">
        <v>237</v>
      </c>
    </row>
    <row r="9748" spans="1:2" ht="12.75" customHeight="1" x14ac:dyDescent="0.25">
      <c r="A9748" s="318">
        <v>93639676080</v>
      </c>
      <c r="B9748" s="318" t="s">
        <v>237</v>
      </c>
    </row>
    <row r="9749" spans="1:2" ht="12.75" customHeight="1" x14ac:dyDescent="0.25">
      <c r="A9749" s="318">
        <v>93639676081</v>
      </c>
      <c r="B9749" s="318" t="s">
        <v>237</v>
      </c>
    </row>
    <row r="9750" spans="1:2" ht="12.75" customHeight="1" x14ac:dyDescent="0.25">
      <c r="A9750" s="318">
        <v>93639676165</v>
      </c>
      <c r="B9750" s="318" t="s">
        <v>237</v>
      </c>
    </row>
    <row r="9751" spans="1:2" ht="12.75" customHeight="1" x14ac:dyDescent="0.25">
      <c r="A9751" s="318">
        <v>93639676166</v>
      </c>
      <c r="B9751" s="318" t="s">
        <v>237</v>
      </c>
    </row>
    <row r="9752" spans="1:2" ht="12.75" customHeight="1" x14ac:dyDescent="0.25">
      <c r="A9752" s="318">
        <v>93639676167</v>
      </c>
      <c r="B9752" s="318" t="s">
        <v>237</v>
      </c>
    </row>
    <row r="9753" spans="1:2" ht="12.75" customHeight="1" x14ac:dyDescent="0.25">
      <c r="A9753" s="318">
        <v>93639676168</v>
      </c>
      <c r="B9753" s="318" t="s">
        <v>237</v>
      </c>
    </row>
    <row r="9754" spans="1:2" ht="12.75" customHeight="1" x14ac:dyDescent="0.25">
      <c r="A9754" s="318">
        <v>93639676169</v>
      </c>
      <c r="B9754" s="318" t="s">
        <v>237</v>
      </c>
    </row>
    <row r="9755" spans="1:2" ht="12.75" customHeight="1" x14ac:dyDescent="0.25">
      <c r="A9755" s="318">
        <v>93639676170</v>
      </c>
      <c r="B9755" s="318" t="s">
        <v>237</v>
      </c>
    </row>
    <row r="9756" spans="1:2" ht="12.75" customHeight="1" x14ac:dyDescent="0.25">
      <c r="A9756" s="318">
        <v>93639676171</v>
      </c>
      <c r="B9756" s="318" t="s">
        <v>237</v>
      </c>
    </row>
    <row r="9757" spans="1:2" ht="12.75" customHeight="1" x14ac:dyDescent="0.25">
      <c r="A9757" s="318">
        <v>93639676172</v>
      </c>
      <c r="B9757" s="318" t="s">
        <v>237</v>
      </c>
    </row>
    <row r="9758" spans="1:2" ht="12.75" customHeight="1" x14ac:dyDescent="0.25">
      <c r="A9758" s="318">
        <v>93639676174</v>
      </c>
      <c r="B9758" s="318" t="s">
        <v>237</v>
      </c>
    </row>
    <row r="9759" spans="1:2" ht="12.75" customHeight="1" x14ac:dyDescent="0.25">
      <c r="A9759" s="318">
        <v>93639676175</v>
      </c>
      <c r="B9759" s="318" t="s">
        <v>237</v>
      </c>
    </row>
    <row r="9760" spans="1:2" ht="12.75" customHeight="1" x14ac:dyDescent="0.25">
      <c r="A9760" s="318">
        <v>93639676176</v>
      </c>
      <c r="B9760" s="318" t="s">
        <v>237</v>
      </c>
    </row>
    <row r="9761" spans="1:2" ht="12.75" customHeight="1" x14ac:dyDescent="0.25">
      <c r="A9761" s="318">
        <v>93639676177</v>
      </c>
      <c r="B9761" s="318" t="s">
        <v>237</v>
      </c>
    </row>
    <row r="9762" spans="1:2" ht="12.75" customHeight="1" x14ac:dyDescent="0.25">
      <c r="A9762" s="318">
        <v>93639676178</v>
      </c>
      <c r="B9762" s="318" t="s">
        <v>237</v>
      </c>
    </row>
    <row r="9763" spans="1:2" ht="12.75" customHeight="1" x14ac:dyDescent="0.25">
      <c r="A9763" s="318">
        <v>93639676179</v>
      </c>
      <c r="B9763" s="318" t="s">
        <v>237</v>
      </c>
    </row>
    <row r="9764" spans="1:2" ht="12.75" customHeight="1" x14ac:dyDescent="0.25">
      <c r="A9764" s="318">
        <v>93639676180</v>
      </c>
      <c r="B9764" s="318" t="s">
        <v>237</v>
      </c>
    </row>
    <row r="9765" spans="1:2" ht="12.75" customHeight="1" x14ac:dyDescent="0.25">
      <c r="A9765" s="318">
        <v>93639676181</v>
      </c>
      <c r="B9765" s="318" t="s">
        <v>237</v>
      </c>
    </row>
    <row r="9766" spans="1:2" ht="12.75" customHeight="1" x14ac:dyDescent="0.25">
      <c r="A9766" s="318">
        <v>93640356256</v>
      </c>
      <c r="B9766" s="318" t="s">
        <v>23</v>
      </c>
    </row>
    <row r="9767" spans="1:2" ht="12.75" customHeight="1" x14ac:dyDescent="0.25">
      <c r="A9767" s="318">
        <v>93640356257</v>
      </c>
      <c r="B9767" s="318" t="s">
        <v>23</v>
      </c>
    </row>
    <row r="9768" spans="1:2" ht="12.75" customHeight="1" x14ac:dyDescent="0.25">
      <c r="A9768" s="318">
        <v>93640356258</v>
      </c>
      <c r="B9768" s="318" t="s">
        <v>23</v>
      </c>
    </row>
    <row r="9769" spans="1:2" ht="12.75" customHeight="1" x14ac:dyDescent="0.25">
      <c r="A9769" s="318">
        <v>93640356259</v>
      </c>
      <c r="B9769" s="318" t="s">
        <v>23</v>
      </c>
    </row>
    <row r="9770" spans="1:2" ht="12.75" customHeight="1" x14ac:dyDescent="0.25">
      <c r="A9770" s="318">
        <v>93640356260</v>
      </c>
      <c r="B9770" s="318" t="s">
        <v>23</v>
      </c>
    </row>
    <row r="9771" spans="1:2" ht="12.75" customHeight="1" x14ac:dyDescent="0.25">
      <c r="A9771" s="318">
        <v>93640356261</v>
      </c>
      <c r="B9771" s="318" t="s">
        <v>23</v>
      </c>
    </row>
    <row r="9772" spans="1:2" ht="12.75" customHeight="1" x14ac:dyDescent="0.25">
      <c r="A9772" s="318">
        <v>93640356262</v>
      </c>
      <c r="B9772" s="318" t="s">
        <v>237</v>
      </c>
    </row>
    <row r="9773" spans="1:2" ht="12.75" customHeight="1" x14ac:dyDescent="0.25">
      <c r="A9773" s="318">
        <v>93640356263</v>
      </c>
      <c r="B9773" s="318" t="s">
        <v>237</v>
      </c>
    </row>
    <row r="9774" spans="1:2" ht="12.75" customHeight="1" x14ac:dyDescent="0.25">
      <c r="A9774" s="318">
        <v>93640356265</v>
      </c>
      <c r="B9774" s="318" t="s">
        <v>237</v>
      </c>
    </row>
    <row r="9775" spans="1:2" ht="12.75" customHeight="1" x14ac:dyDescent="0.25">
      <c r="A9775" s="318">
        <v>93640356266</v>
      </c>
      <c r="B9775" s="318" t="s">
        <v>237</v>
      </c>
    </row>
    <row r="9776" spans="1:2" ht="12.75" customHeight="1" x14ac:dyDescent="0.25">
      <c r="A9776" s="318">
        <v>93640356267</v>
      </c>
      <c r="B9776" s="318" t="s">
        <v>237</v>
      </c>
    </row>
    <row r="9777" spans="1:2" ht="12.75" customHeight="1" x14ac:dyDescent="0.25">
      <c r="A9777" s="318">
        <v>93640356268</v>
      </c>
      <c r="B9777" s="318" t="s">
        <v>237</v>
      </c>
    </row>
    <row r="9778" spans="1:2" ht="12.75" customHeight="1" x14ac:dyDescent="0.25">
      <c r="A9778" s="318">
        <v>93640356269</v>
      </c>
      <c r="B9778" s="318" t="s">
        <v>237</v>
      </c>
    </row>
    <row r="9779" spans="1:2" ht="12.75" customHeight="1" x14ac:dyDescent="0.25">
      <c r="A9779" s="318">
        <v>93640356270</v>
      </c>
      <c r="B9779" s="318" t="s">
        <v>237</v>
      </c>
    </row>
    <row r="9780" spans="1:2" ht="12.75" customHeight="1" x14ac:dyDescent="0.25">
      <c r="A9780" s="318">
        <v>93640356271</v>
      </c>
      <c r="B9780" s="318" t="s">
        <v>237</v>
      </c>
    </row>
    <row r="9781" spans="1:2" ht="12.75" customHeight="1" x14ac:dyDescent="0.25">
      <c r="A9781" s="318">
        <v>93640356272</v>
      </c>
      <c r="B9781" s="318" t="s">
        <v>237</v>
      </c>
    </row>
    <row r="9782" spans="1:2" ht="12.75" customHeight="1" x14ac:dyDescent="0.25">
      <c r="A9782" s="318">
        <v>93640356356</v>
      </c>
      <c r="B9782" s="318" t="s">
        <v>237</v>
      </c>
    </row>
    <row r="9783" spans="1:2" ht="12.75" customHeight="1" x14ac:dyDescent="0.25">
      <c r="A9783" s="318">
        <v>93640356357</v>
      </c>
      <c r="B9783" s="318" t="s">
        <v>237</v>
      </c>
    </row>
    <row r="9784" spans="1:2" ht="12.75" customHeight="1" x14ac:dyDescent="0.25">
      <c r="A9784" s="318">
        <v>93640356358</v>
      </c>
      <c r="B9784" s="318" t="s">
        <v>237</v>
      </c>
    </row>
    <row r="9785" spans="1:2" ht="12.75" customHeight="1" x14ac:dyDescent="0.25">
      <c r="A9785" s="318">
        <v>93640356359</v>
      </c>
      <c r="B9785" s="318" t="s">
        <v>237</v>
      </c>
    </row>
    <row r="9786" spans="1:2" ht="12.75" customHeight="1" x14ac:dyDescent="0.25">
      <c r="A9786" s="318">
        <v>93640356360</v>
      </c>
      <c r="B9786" s="318" t="s">
        <v>237</v>
      </c>
    </row>
    <row r="9787" spans="1:2" ht="12.75" customHeight="1" x14ac:dyDescent="0.25">
      <c r="A9787" s="318">
        <v>93640356361</v>
      </c>
      <c r="B9787" s="318" t="s">
        <v>237</v>
      </c>
    </row>
    <row r="9788" spans="1:2" ht="12.75" customHeight="1" x14ac:dyDescent="0.25">
      <c r="A9788" s="318">
        <v>93640356362</v>
      </c>
      <c r="B9788" s="318" t="s">
        <v>237</v>
      </c>
    </row>
    <row r="9789" spans="1:2" ht="12.75" customHeight="1" x14ac:dyDescent="0.25">
      <c r="A9789" s="318">
        <v>93640356363</v>
      </c>
      <c r="B9789" s="318" t="s">
        <v>237</v>
      </c>
    </row>
    <row r="9790" spans="1:2" ht="12.75" customHeight="1" x14ac:dyDescent="0.25">
      <c r="A9790" s="318">
        <v>93640356365</v>
      </c>
      <c r="B9790" s="318" t="s">
        <v>237</v>
      </c>
    </row>
    <row r="9791" spans="1:2" ht="12.75" customHeight="1" x14ac:dyDescent="0.25">
      <c r="A9791" s="318">
        <v>93640356366</v>
      </c>
      <c r="B9791" s="318" t="s">
        <v>237</v>
      </c>
    </row>
    <row r="9792" spans="1:2" ht="12.75" customHeight="1" x14ac:dyDescent="0.25">
      <c r="A9792" s="318">
        <v>93640356367</v>
      </c>
      <c r="B9792" s="318" t="s">
        <v>237</v>
      </c>
    </row>
    <row r="9793" spans="1:2" ht="12.75" customHeight="1" x14ac:dyDescent="0.25">
      <c r="A9793" s="318">
        <v>93640356368</v>
      </c>
      <c r="B9793" s="318" t="s">
        <v>237</v>
      </c>
    </row>
    <row r="9794" spans="1:2" ht="12.75" customHeight="1" x14ac:dyDescent="0.25">
      <c r="A9794" s="318">
        <v>93640356369</v>
      </c>
      <c r="B9794" s="318" t="s">
        <v>237</v>
      </c>
    </row>
    <row r="9795" spans="1:2" ht="12.75" customHeight="1" x14ac:dyDescent="0.25">
      <c r="A9795" s="318">
        <v>93640356370</v>
      </c>
      <c r="B9795" s="318" t="s">
        <v>237</v>
      </c>
    </row>
    <row r="9796" spans="1:2" ht="12.75" customHeight="1" x14ac:dyDescent="0.25">
      <c r="A9796" s="318">
        <v>93640356371</v>
      </c>
      <c r="B9796" s="318" t="s">
        <v>237</v>
      </c>
    </row>
    <row r="9797" spans="1:2" ht="12.75" customHeight="1" x14ac:dyDescent="0.25">
      <c r="A9797" s="318">
        <v>93640356372</v>
      </c>
      <c r="B9797" s="318" t="s">
        <v>237</v>
      </c>
    </row>
    <row r="9798" spans="1:2" ht="12.75" customHeight="1" x14ac:dyDescent="0.25">
      <c r="A9798" s="318">
        <v>93640837229</v>
      </c>
      <c r="B9798" s="318" t="s">
        <v>23</v>
      </c>
    </row>
    <row r="9799" spans="1:2" ht="12.75" customHeight="1" x14ac:dyDescent="0.25">
      <c r="A9799" s="318">
        <v>93640837230</v>
      </c>
      <c r="B9799" s="318" t="s">
        <v>23</v>
      </c>
    </row>
    <row r="9800" spans="1:2" ht="12.75" customHeight="1" x14ac:dyDescent="0.25">
      <c r="A9800" s="318">
        <v>93640837231</v>
      </c>
      <c r="B9800" s="318" t="s">
        <v>23</v>
      </c>
    </row>
    <row r="9801" spans="1:2" ht="12.75" customHeight="1" x14ac:dyDescent="0.25">
      <c r="A9801" s="318">
        <v>93640837232</v>
      </c>
      <c r="B9801" s="318" t="s">
        <v>23</v>
      </c>
    </row>
    <row r="9802" spans="1:2" ht="12.75" customHeight="1" x14ac:dyDescent="0.25">
      <c r="A9802" s="318">
        <v>93640837233</v>
      </c>
      <c r="B9802" s="318" t="s">
        <v>23</v>
      </c>
    </row>
    <row r="9803" spans="1:2" ht="12.75" customHeight="1" x14ac:dyDescent="0.25">
      <c r="A9803" s="318">
        <v>93640837234</v>
      </c>
      <c r="B9803" s="318" t="s">
        <v>23</v>
      </c>
    </row>
    <row r="9804" spans="1:2" ht="12.75" customHeight="1" x14ac:dyDescent="0.25">
      <c r="A9804" s="318">
        <v>93640837235</v>
      </c>
      <c r="B9804" s="318" t="s">
        <v>237</v>
      </c>
    </row>
    <row r="9805" spans="1:2" ht="12.75" customHeight="1" x14ac:dyDescent="0.25">
      <c r="A9805" s="318">
        <v>93640837236</v>
      </c>
      <c r="B9805" s="318" t="s">
        <v>237</v>
      </c>
    </row>
    <row r="9806" spans="1:2" ht="12.75" customHeight="1" x14ac:dyDescent="0.25">
      <c r="A9806" s="318">
        <v>93640837238</v>
      </c>
      <c r="B9806" s="318" t="s">
        <v>237</v>
      </c>
    </row>
    <row r="9807" spans="1:2" ht="12.75" customHeight="1" x14ac:dyDescent="0.25">
      <c r="A9807" s="318">
        <v>93640837239</v>
      </c>
      <c r="B9807" s="318" t="s">
        <v>237</v>
      </c>
    </row>
    <row r="9808" spans="1:2" ht="12.75" customHeight="1" x14ac:dyDescent="0.25">
      <c r="A9808" s="318">
        <v>93640837240</v>
      </c>
      <c r="B9808" s="318" t="s">
        <v>237</v>
      </c>
    </row>
    <row r="9809" spans="1:2" ht="12.75" customHeight="1" x14ac:dyDescent="0.25">
      <c r="A9809" s="318">
        <v>93640837241</v>
      </c>
      <c r="B9809" s="318" t="s">
        <v>237</v>
      </c>
    </row>
    <row r="9810" spans="1:2" ht="12.75" customHeight="1" x14ac:dyDescent="0.25">
      <c r="A9810" s="318">
        <v>93640837242</v>
      </c>
      <c r="B9810" s="318" t="s">
        <v>237</v>
      </c>
    </row>
    <row r="9811" spans="1:2" ht="12.75" customHeight="1" x14ac:dyDescent="0.25">
      <c r="A9811" s="318">
        <v>93640837243</v>
      </c>
      <c r="B9811" s="318" t="s">
        <v>237</v>
      </c>
    </row>
    <row r="9812" spans="1:2" ht="12.75" customHeight="1" x14ac:dyDescent="0.25">
      <c r="A9812" s="318">
        <v>93640837244</v>
      </c>
      <c r="B9812" s="318" t="s">
        <v>237</v>
      </c>
    </row>
    <row r="9813" spans="1:2" ht="12.75" customHeight="1" x14ac:dyDescent="0.25">
      <c r="A9813" s="318">
        <v>93640837245</v>
      </c>
      <c r="B9813" s="318" t="s">
        <v>237</v>
      </c>
    </row>
    <row r="9814" spans="1:2" ht="12.75" customHeight="1" x14ac:dyDescent="0.25">
      <c r="A9814" s="318">
        <v>93640837329</v>
      </c>
      <c r="B9814" s="318" t="s">
        <v>237</v>
      </c>
    </row>
    <row r="9815" spans="1:2" ht="12.75" customHeight="1" x14ac:dyDescent="0.25">
      <c r="A9815" s="318">
        <v>93640837330</v>
      </c>
      <c r="B9815" s="318" t="s">
        <v>237</v>
      </c>
    </row>
    <row r="9816" spans="1:2" ht="12.75" customHeight="1" x14ac:dyDescent="0.25">
      <c r="A9816" s="318">
        <v>93640837331</v>
      </c>
      <c r="B9816" s="318" t="s">
        <v>237</v>
      </c>
    </row>
    <row r="9817" spans="1:2" ht="12.75" customHeight="1" x14ac:dyDescent="0.25">
      <c r="A9817" s="318">
        <v>93640837332</v>
      </c>
      <c r="B9817" s="318" t="s">
        <v>237</v>
      </c>
    </row>
    <row r="9818" spans="1:2" ht="12.75" customHeight="1" x14ac:dyDescent="0.25">
      <c r="A9818" s="318">
        <v>93640837333</v>
      </c>
      <c r="B9818" s="318" t="s">
        <v>237</v>
      </c>
    </row>
    <row r="9819" spans="1:2" ht="12.75" customHeight="1" x14ac:dyDescent="0.25">
      <c r="A9819" s="318">
        <v>93640837334</v>
      </c>
      <c r="B9819" s="318" t="s">
        <v>237</v>
      </c>
    </row>
    <row r="9820" spans="1:2" ht="12.75" customHeight="1" x14ac:dyDescent="0.25">
      <c r="A9820" s="318">
        <v>93640837335</v>
      </c>
      <c r="B9820" s="318" t="s">
        <v>237</v>
      </c>
    </row>
    <row r="9821" spans="1:2" ht="12.75" customHeight="1" x14ac:dyDescent="0.25">
      <c r="A9821" s="318">
        <v>93640837336</v>
      </c>
      <c r="B9821" s="318" t="s">
        <v>237</v>
      </c>
    </row>
    <row r="9822" spans="1:2" ht="12.75" customHeight="1" x14ac:dyDescent="0.25">
      <c r="A9822" s="318">
        <v>93640837338</v>
      </c>
      <c r="B9822" s="318" t="s">
        <v>237</v>
      </c>
    </row>
    <row r="9823" spans="1:2" ht="12.75" customHeight="1" x14ac:dyDescent="0.25">
      <c r="A9823" s="318">
        <v>93640837339</v>
      </c>
      <c r="B9823" s="318" t="s">
        <v>237</v>
      </c>
    </row>
    <row r="9824" spans="1:2" ht="12.75" customHeight="1" x14ac:dyDescent="0.25">
      <c r="A9824" s="318">
        <v>93640837340</v>
      </c>
      <c r="B9824" s="318" t="s">
        <v>237</v>
      </c>
    </row>
    <row r="9825" spans="1:2" ht="12.75" customHeight="1" x14ac:dyDescent="0.25">
      <c r="A9825" s="318">
        <v>93640837341</v>
      </c>
      <c r="B9825" s="318" t="s">
        <v>237</v>
      </c>
    </row>
    <row r="9826" spans="1:2" ht="12.75" customHeight="1" x14ac:dyDescent="0.25">
      <c r="A9826" s="318">
        <v>93640837342</v>
      </c>
      <c r="B9826" s="318" t="s">
        <v>237</v>
      </c>
    </row>
    <row r="9827" spans="1:2" ht="12.75" customHeight="1" x14ac:dyDescent="0.25">
      <c r="A9827" s="318">
        <v>93640837343</v>
      </c>
      <c r="B9827" s="318" t="s">
        <v>237</v>
      </c>
    </row>
    <row r="9828" spans="1:2" ht="12.75" customHeight="1" x14ac:dyDescent="0.25">
      <c r="A9828" s="318">
        <v>93640837344</v>
      </c>
      <c r="B9828" s="318" t="s">
        <v>237</v>
      </c>
    </row>
    <row r="9829" spans="1:2" ht="12.75" customHeight="1" x14ac:dyDescent="0.25">
      <c r="A9829" s="318">
        <v>93640837345</v>
      </c>
      <c r="B9829" s="318" t="s">
        <v>237</v>
      </c>
    </row>
    <row r="9830" spans="1:2" ht="12.75" customHeight="1" x14ac:dyDescent="0.25">
      <c r="A9830" s="318">
        <v>93641318202</v>
      </c>
      <c r="B9830" s="318" t="s">
        <v>23</v>
      </c>
    </row>
    <row r="9831" spans="1:2" ht="12.75" customHeight="1" x14ac:dyDescent="0.25">
      <c r="A9831" s="318">
        <v>93641318203</v>
      </c>
      <c r="B9831" s="318" t="s">
        <v>23</v>
      </c>
    </row>
    <row r="9832" spans="1:2" ht="12.75" customHeight="1" x14ac:dyDescent="0.25">
      <c r="A9832" s="318">
        <v>93641318204</v>
      </c>
      <c r="B9832" s="318" t="s">
        <v>23</v>
      </c>
    </row>
    <row r="9833" spans="1:2" ht="12.75" customHeight="1" x14ac:dyDescent="0.25">
      <c r="A9833" s="318">
        <v>93641318205</v>
      </c>
      <c r="B9833" s="318" t="s">
        <v>23</v>
      </c>
    </row>
    <row r="9834" spans="1:2" ht="12.75" customHeight="1" x14ac:dyDescent="0.25">
      <c r="A9834" s="318">
        <v>93641318206</v>
      </c>
      <c r="B9834" s="318" t="s">
        <v>23</v>
      </c>
    </row>
    <row r="9835" spans="1:2" ht="12.75" customHeight="1" x14ac:dyDescent="0.25">
      <c r="A9835" s="318">
        <v>93641318207</v>
      </c>
      <c r="B9835" s="318" t="s">
        <v>23</v>
      </c>
    </row>
    <row r="9836" spans="1:2" ht="12.75" customHeight="1" x14ac:dyDescent="0.25">
      <c r="A9836" s="318">
        <v>93641318208</v>
      </c>
      <c r="B9836" s="318" t="s">
        <v>237</v>
      </c>
    </row>
    <row r="9837" spans="1:2" ht="12.75" customHeight="1" x14ac:dyDescent="0.25">
      <c r="A9837" s="318">
        <v>93641318209</v>
      </c>
      <c r="B9837" s="318" t="s">
        <v>237</v>
      </c>
    </row>
    <row r="9838" spans="1:2" ht="12.75" customHeight="1" x14ac:dyDescent="0.25">
      <c r="A9838" s="318">
        <v>93641318211</v>
      </c>
      <c r="B9838" s="318" t="s">
        <v>237</v>
      </c>
    </row>
    <row r="9839" spans="1:2" ht="12.75" customHeight="1" x14ac:dyDescent="0.25">
      <c r="A9839" s="318">
        <v>93641318212</v>
      </c>
      <c r="B9839" s="318" t="s">
        <v>237</v>
      </c>
    </row>
    <row r="9840" spans="1:2" ht="12.75" customHeight="1" x14ac:dyDescent="0.25">
      <c r="A9840" s="318">
        <v>93641318213</v>
      </c>
      <c r="B9840" s="318" t="s">
        <v>237</v>
      </c>
    </row>
    <row r="9841" spans="1:2" ht="12.75" customHeight="1" x14ac:dyDescent="0.25">
      <c r="A9841" s="318">
        <v>93641318214</v>
      </c>
      <c r="B9841" s="318" t="s">
        <v>237</v>
      </c>
    </row>
    <row r="9842" spans="1:2" ht="12.75" customHeight="1" x14ac:dyDescent="0.25">
      <c r="A9842" s="318">
        <v>93641318215</v>
      </c>
      <c r="B9842" s="318" t="s">
        <v>237</v>
      </c>
    </row>
    <row r="9843" spans="1:2" ht="12.75" customHeight="1" x14ac:dyDescent="0.25">
      <c r="A9843" s="318">
        <v>93641318216</v>
      </c>
      <c r="B9843" s="318" t="s">
        <v>237</v>
      </c>
    </row>
    <row r="9844" spans="1:2" ht="12.75" customHeight="1" x14ac:dyDescent="0.25">
      <c r="A9844" s="318">
        <v>93641318217</v>
      </c>
      <c r="B9844" s="318" t="s">
        <v>237</v>
      </c>
    </row>
    <row r="9845" spans="1:2" ht="12.75" customHeight="1" x14ac:dyDescent="0.25">
      <c r="A9845" s="318">
        <v>93641318218</v>
      </c>
      <c r="B9845" s="318" t="s">
        <v>237</v>
      </c>
    </row>
    <row r="9846" spans="1:2" ht="12.75" customHeight="1" x14ac:dyDescent="0.25">
      <c r="A9846" s="318">
        <v>93641318302</v>
      </c>
      <c r="B9846" s="318" t="s">
        <v>237</v>
      </c>
    </row>
    <row r="9847" spans="1:2" ht="12.75" customHeight="1" x14ac:dyDescent="0.25">
      <c r="A9847" s="318">
        <v>93641318303</v>
      </c>
      <c r="B9847" s="318" t="s">
        <v>237</v>
      </c>
    </row>
    <row r="9848" spans="1:2" ht="12.75" customHeight="1" x14ac:dyDescent="0.25">
      <c r="A9848" s="318">
        <v>93641318304</v>
      </c>
      <c r="B9848" s="318" t="s">
        <v>237</v>
      </c>
    </row>
    <row r="9849" spans="1:2" ht="12.75" customHeight="1" x14ac:dyDescent="0.25">
      <c r="A9849" s="318">
        <v>93641318305</v>
      </c>
      <c r="B9849" s="318" t="s">
        <v>237</v>
      </c>
    </row>
    <row r="9850" spans="1:2" ht="12.75" customHeight="1" x14ac:dyDescent="0.25">
      <c r="A9850" s="318">
        <v>93641318306</v>
      </c>
      <c r="B9850" s="318" t="s">
        <v>237</v>
      </c>
    </row>
    <row r="9851" spans="1:2" ht="12.75" customHeight="1" x14ac:dyDescent="0.25">
      <c r="A9851" s="318">
        <v>93641318307</v>
      </c>
      <c r="B9851" s="318" t="s">
        <v>237</v>
      </c>
    </row>
    <row r="9852" spans="1:2" ht="12.75" customHeight="1" x14ac:dyDescent="0.25">
      <c r="A9852" s="318">
        <v>93641318308</v>
      </c>
      <c r="B9852" s="318" t="s">
        <v>237</v>
      </c>
    </row>
    <row r="9853" spans="1:2" ht="12.75" customHeight="1" x14ac:dyDescent="0.25">
      <c r="A9853" s="318">
        <v>93641318309</v>
      </c>
      <c r="B9853" s="318" t="s">
        <v>237</v>
      </c>
    </row>
    <row r="9854" spans="1:2" ht="12.75" customHeight="1" x14ac:dyDescent="0.25">
      <c r="A9854" s="318">
        <v>93641318311</v>
      </c>
      <c r="B9854" s="318" t="s">
        <v>237</v>
      </c>
    </row>
    <row r="9855" spans="1:2" ht="12.75" customHeight="1" x14ac:dyDescent="0.25">
      <c r="A9855" s="318">
        <v>93641318312</v>
      </c>
      <c r="B9855" s="318" t="s">
        <v>237</v>
      </c>
    </row>
    <row r="9856" spans="1:2" ht="12.75" customHeight="1" x14ac:dyDescent="0.25">
      <c r="A9856" s="318">
        <v>93641318313</v>
      </c>
      <c r="B9856" s="318" t="s">
        <v>237</v>
      </c>
    </row>
    <row r="9857" spans="1:2" ht="12.75" customHeight="1" x14ac:dyDescent="0.25">
      <c r="A9857" s="318">
        <v>93641318314</v>
      </c>
      <c r="B9857" s="318" t="s">
        <v>237</v>
      </c>
    </row>
    <row r="9858" spans="1:2" ht="12.75" customHeight="1" x14ac:dyDescent="0.25">
      <c r="A9858" s="318">
        <v>93641318315</v>
      </c>
      <c r="B9858" s="318" t="s">
        <v>237</v>
      </c>
    </row>
    <row r="9859" spans="1:2" ht="12.75" customHeight="1" x14ac:dyDescent="0.25">
      <c r="A9859" s="318">
        <v>93641318316</v>
      </c>
      <c r="B9859" s="318" t="s">
        <v>237</v>
      </c>
    </row>
    <row r="9860" spans="1:2" ht="12.75" customHeight="1" x14ac:dyDescent="0.25">
      <c r="A9860" s="318">
        <v>93641318317</v>
      </c>
      <c r="B9860" s="318" t="s">
        <v>237</v>
      </c>
    </row>
    <row r="9861" spans="1:2" ht="12.75" customHeight="1" x14ac:dyDescent="0.25">
      <c r="A9861" s="318">
        <v>93641318318</v>
      </c>
      <c r="B9861" s="318" t="s">
        <v>237</v>
      </c>
    </row>
    <row r="9862" spans="1:2" ht="12.75" customHeight="1" x14ac:dyDescent="0.25">
      <c r="A9862" s="318">
        <v>93641998393</v>
      </c>
      <c r="B9862" s="318" t="s">
        <v>23</v>
      </c>
    </row>
    <row r="9863" spans="1:2" ht="12.75" customHeight="1" x14ac:dyDescent="0.25">
      <c r="A9863" s="318">
        <v>93641998394</v>
      </c>
      <c r="B9863" s="318" t="s">
        <v>23</v>
      </c>
    </row>
    <row r="9864" spans="1:2" ht="12.75" customHeight="1" x14ac:dyDescent="0.25">
      <c r="A9864" s="318">
        <v>93641998395</v>
      </c>
      <c r="B9864" s="318" t="s">
        <v>23</v>
      </c>
    </row>
    <row r="9865" spans="1:2" ht="12.75" customHeight="1" x14ac:dyDescent="0.25">
      <c r="A9865" s="318">
        <v>93641998396</v>
      </c>
      <c r="B9865" s="318" t="s">
        <v>23</v>
      </c>
    </row>
    <row r="9866" spans="1:2" ht="12.75" customHeight="1" x14ac:dyDescent="0.25">
      <c r="A9866" s="318">
        <v>93641998397</v>
      </c>
      <c r="B9866" s="318" t="s">
        <v>23</v>
      </c>
    </row>
    <row r="9867" spans="1:2" ht="12.75" customHeight="1" x14ac:dyDescent="0.25">
      <c r="A9867" s="318">
        <v>93641998398</v>
      </c>
      <c r="B9867" s="318" t="s">
        <v>23</v>
      </c>
    </row>
    <row r="9868" spans="1:2" ht="12.75" customHeight="1" x14ac:dyDescent="0.25">
      <c r="A9868" s="318">
        <v>93641998399</v>
      </c>
      <c r="B9868" s="318" t="s">
        <v>237</v>
      </c>
    </row>
    <row r="9869" spans="1:2" ht="12.75" customHeight="1" x14ac:dyDescent="0.25">
      <c r="A9869" s="318">
        <v>93641998400</v>
      </c>
      <c r="B9869" s="318" t="s">
        <v>237</v>
      </c>
    </row>
    <row r="9870" spans="1:2" ht="12.75" customHeight="1" x14ac:dyDescent="0.25">
      <c r="A9870" s="318">
        <v>93641998402</v>
      </c>
      <c r="B9870" s="318" t="s">
        <v>237</v>
      </c>
    </row>
    <row r="9871" spans="1:2" ht="12.75" customHeight="1" x14ac:dyDescent="0.25">
      <c r="A9871" s="318">
        <v>93641998403</v>
      </c>
      <c r="B9871" s="318" t="s">
        <v>237</v>
      </c>
    </row>
    <row r="9872" spans="1:2" ht="12.75" customHeight="1" x14ac:dyDescent="0.25">
      <c r="A9872" s="318">
        <v>93641998404</v>
      </c>
      <c r="B9872" s="318" t="s">
        <v>237</v>
      </c>
    </row>
    <row r="9873" spans="1:2" ht="12.75" customHeight="1" x14ac:dyDescent="0.25">
      <c r="A9873" s="318">
        <v>93641998405</v>
      </c>
      <c r="B9873" s="318" t="s">
        <v>237</v>
      </c>
    </row>
    <row r="9874" spans="1:2" ht="12.75" customHeight="1" x14ac:dyDescent="0.25">
      <c r="A9874" s="318">
        <v>93641998406</v>
      </c>
      <c r="B9874" s="318" t="s">
        <v>237</v>
      </c>
    </row>
    <row r="9875" spans="1:2" ht="12.75" customHeight="1" x14ac:dyDescent="0.25">
      <c r="A9875" s="318">
        <v>93641998407</v>
      </c>
      <c r="B9875" s="318" t="s">
        <v>237</v>
      </c>
    </row>
    <row r="9876" spans="1:2" ht="12.75" customHeight="1" x14ac:dyDescent="0.25">
      <c r="A9876" s="318">
        <v>93641998408</v>
      </c>
      <c r="B9876" s="318" t="s">
        <v>237</v>
      </c>
    </row>
    <row r="9877" spans="1:2" ht="12.75" customHeight="1" x14ac:dyDescent="0.25">
      <c r="A9877" s="318">
        <v>93641998409</v>
      </c>
      <c r="B9877" s="318" t="s">
        <v>237</v>
      </c>
    </row>
    <row r="9878" spans="1:2" ht="12.75" customHeight="1" x14ac:dyDescent="0.25">
      <c r="A9878" s="318">
        <v>93641998493</v>
      </c>
      <c r="B9878" s="318" t="s">
        <v>237</v>
      </c>
    </row>
    <row r="9879" spans="1:2" ht="12.75" customHeight="1" x14ac:dyDescent="0.25">
      <c r="A9879" s="318">
        <v>93641998494</v>
      </c>
      <c r="B9879" s="318" t="s">
        <v>237</v>
      </c>
    </row>
    <row r="9880" spans="1:2" ht="12.75" customHeight="1" x14ac:dyDescent="0.25">
      <c r="A9880" s="318">
        <v>93641998495</v>
      </c>
      <c r="B9880" s="318" t="s">
        <v>237</v>
      </c>
    </row>
    <row r="9881" spans="1:2" ht="12.75" customHeight="1" x14ac:dyDescent="0.25">
      <c r="A9881" s="318">
        <v>93641998496</v>
      </c>
      <c r="B9881" s="318" t="s">
        <v>237</v>
      </c>
    </row>
    <row r="9882" spans="1:2" ht="12.75" customHeight="1" x14ac:dyDescent="0.25">
      <c r="A9882" s="318">
        <v>93641998497</v>
      </c>
      <c r="B9882" s="318" t="s">
        <v>237</v>
      </c>
    </row>
    <row r="9883" spans="1:2" ht="12.75" customHeight="1" x14ac:dyDescent="0.25">
      <c r="A9883" s="318">
        <v>93641998498</v>
      </c>
      <c r="B9883" s="318" t="s">
        <v>237</v>
      </c>
    </row>
    <row r="9884" spans="1:2" ht="12.75" customHeight="1" x14ac:dyDescent="0.25">
      <c r="A9884" s="318">
        <v>93641998499</v>
      </c>
      <c r="B9884" s="318" t="s">
        <v>237</v>
      </c>
    </row>
    <row r="9885" spans="1:2" ht="12.75" customHeight="1" x14ac:dyDescent="0.25">
      <c r="A9885" s="318">
        <v>93641998500</v>
      </c>
      <c r="B9885" s="318" t="s">
        <v>237</v>
      </c>
    </row>
    <row r="9886" spans="1:2" ht="12.75" customHeight="1" x14ac:dyDescent="0.25">
      <c r="A9886" s="318">
        <v>93641998502</v>
      </c>
      <c r="B9886" s="318" t="s">
        <v>237</v>
      </c>
    </row>
    <row r="9887" spans="1:2" ht="12.75" customHeight="1" x14ac:dyDescent="0.25">
      <c r="A9887" s="318">
        <v>93641998503</v>
      </c>
      <c r="B9887" s="318" t="s">
        <v>237</v>
      </c>
    </row>
    <row r="9888" spans="1:2" ht="12.75" customHeight="1" x14ac:dyDescent="0.25">
      <c r="A9888" s="318">
        <v>93641998504</v>
      </c>
      <c r="B9888" s="318" t="s">
        <v>237</v>
      </c>
    </row>
    <row r="9889" spans="1:2" ht="12.75" customHeight="1" x14ac:dyDescent="0.25">
      <c r="A9889" s="318">
        <v>93641998505</v>
      </c>
      <c r="B9889" s="318" t="s">
        <v>237</v>
      </c>
    </row>
    <row r="9890" spans="1:2" ht="12.75" customHeight="1" x14ac:dyDescent="0.25">
      <c r="A9890" s="318">
        <v>93641998506</v>
      </c>
      <c r="B9890" s="318" t="s">
        <v>237</v>
      </c>
    </row>
    <row r="9891" spans="1:2" ht="12.75" customHeight="1" x14ac:dyDescent="0.25">
      <c r="A9891" s="318">
        <v>93641998507</v>
      </c>
      <c r="B9891" s="318" t="s">
        <v>237</v>
      </c>
    </row>
    <row r="9892" spans="1:2" ht="12.75" customHeight="1" x14ac:dyDescent="0.25">
      <c r="A9892" s="318">
        <v>93641998508</v>
      </c>
      <c r="B9892" s="318" t="s">
        <v>237</v>
      </c>
    </row>
    <row r="9893" spans="1:2" ht="12.75" customHeight="1" x14ac:dyDescent="0.25">
      <c r="A9893" s="318">
        <v>93641998509</v>
      </c>
      <c r="B9893" s="318" t="s">
        <v>237</v>
      </c>
    </row>
    <row r="9894" spans="1:2" ht="12.75" customHeight="1" x14ac:dyDescent="0.25">
      <c r="A9894" s="318">
        <v>93642479366</v>
      </c>
      <c r="B9894" s="318" t="s">
        <v>23</v>
      </c>
    </row>
    <row r="9895" spans="1:2" ht="12.75" customHeight="1" x14ac:dyDescent="0.25">
      <c r="A9895" s="318">
        <v>93642479367</v>
      </c>
      <c r="B9895" s="318" t="s">
        <v>23</v>
      </c>
    </row>
    <row r="9896" spans="1:2" ht="12.75" customHeight="1" x14ac:dyDescent="0.25">
      <c r="A9896" s="318">
        <v>93642479368</v>
      </c>
      <c r="B9896" s="318" t="s">
        <v>23</v>
      </c>
    </row>
    <row r="9897" spans="1:2" ht="12.75" customHeight="1" x14ac:dyDescent="0.25">
      <c r="A9897" s="318">
        <v>93642479369</v>
      </c>
      <c r="B9897" s="318" t="s">
        <v>23</v>
      </c>
    </row>
    <row r="9898" spans="1:2" ht="12.75" customHeight="1" x14ac:dyDescent="0.25">
      <c r="A9898" s="318">
        <v>93642479370</v>
      </c>
      <c r="B9898" s="318" t="s">
        <v>23</v>
      </c>
    </row>
    <row r="9899" spans="1:2" ht="12.75" customHeight="1" x14ac:dyDescent="0.25">
      <c r="A9899" s="318">
        <v>93642479371</v>
      </c>
      <c r="B9899" s="318" t="s">
        <v>23</v>
      </c>
    </row>
    <row r="9900" spans="1:2" ht="12.75" customHeight="1" x14ac:dyDescent="0.25">
      <c r="A9900" s="318">
        <v>93642479372</v>
      </c>
      <c r="B9900" s="318" t="s">
        <v>237</v>
      </c>
    </row>
    <row r="9901" spans="1:2" ht="12.75" customHeight="1" x14ac:dyDescent="0.25">
      <c r="A9901" s="318">
        <v>93642479373</v>
      </c>
      <c r="B9901" s="318" t="s">
        <v>237</v>
      </c>
    </row>
    <row r="9902" spans="1:2" ht="12.75" customHeight="1" x14ac:dyDescent="0.25">
      <c r="A9902" s="318">
        <v>93642479375</v>
      </c>
      <c r="B9902" s="318" t="s">
        <v>237</v>
      </c>
    </row>
    <row r="9903" spans="1:2" ht="12.75" customHeight="1" x14ac:dyDescent="0.25">
      <c r="A9903" s="318">
        <v>93642479376</v>
      </c>
      <c r="B9903" s="318" t="s">
        <v>237</v>
      </c>
    </row>
    <row r="9904" spans="1:2" ht="12.75" customHeight="1" x14ac:dyDescent="0.25">
      <c r="A9904" s="318">
        <v>93642479377</v>
      </c>
      <c r="B9904" s="318" t="s">
        <v>237</v>
      </c>
    </row>
    <row r="9905" spans="1:2" ht="12.75" customHeight="1" x14ac:dyDescent="0.25">
      <c r="A9905" s="318">
        <v>93642479378</v>
      </c>
      <c r="B9905" s="318" t="s">
        <v>237</v>
      </c>
    </row>
    <row r="9906" spans="1:2" ht="12.75" customHeight="1" x14ac:dyDescent="0.25">
      <c r="A9906" s="318">
        <v>93642479379</v>
      </c>
      <c r="B9906" s="318" t="s">
        <v>237</v>
      </c>
    </row>
    <row r="9907" spans="1:2" ht="12.75" customHeight="1" x14ac:dyDescent="0.25">
      <c r="A9907" s="318">
        <v>93642479380</v>
      </c>
      <c r="B9907" s="318" t="s">
        <v>237</v>
      </c>
    </row>
    <row r="9908" spans="1:2" ht="12.75" customHeight="1" x14ac:dyDescent="0.25">
      <c r="A9908" s="318">
        <v>93642479381</v>
      </c>
      <c r="B9908" s="318" t="s">
        <v>237</v>
      </c>
    </row>
    <row r="9909" spans="1:2" ht="12.75" customHeight="1" x14ac:dyDescent="0.25">
      <c r="A9909" s="318">
        <v>93642479382</v>
      </c>
      <c r="B9909" s="318" t="s">
        <v>237</v>
      </c>
    </row>
    <row r="9910" spans="1:2" ht="12.75" customHeight="1" x14ac:dyDescent="0.25">
      <c r="A9910" s="318">
        <v>93642479466</v>
      </c>
      <c r="B9910" s="318" t="s">
        <v>237</v>
      </c>
    </row>
    <row r="9911" spans="1:2" ht="12.75" customHeight="1" x14ac:dyDescent="0.25">
      <c r="A9911" s="318">
        <v>93642479467</v>
      </c>
      <c r="B9911" s="318" t="s">
        <v>237</v>
      </c>
    </row>
    <row r="9912" spans="1:2" ht="12.75" customHeight="1" x14ac:dyDescent="0.25">
      <c r="A9912" s="318">
        <v>93642479468</v>
      </c>
      <c r="B9912" s="318" t="s">
        <v>237</v>
      </c>
    </row>
    <row r="9913" spans="1:2" ht="12.75" customHeight="1" x14ac:dyDescent="0.25">
      <c r="A9913" s="318">
        <v>93642479469</v>
      </c>
      <c r="B9913" s="318" t="s">
        <v>237</v>
      </c>
    </row>
    <row r="9914" spans="1:2" ht="12.75" customHeight="1" x14ac:dyDescent="0.25">
      <c r="A9914" s="318">
        <v>93642479470</v>
      </c>
      <c r="B9914" s="318" t="s">
        <v>237</v>
      </c>
    </row>
    <row r="9915" spans="1:2" ht="12.75" customHeight="1" x14ac:dyDescent="0.25">
      <c r="A9915" s="318">
        <v>93642479471</v>
      </c>
      <c r="B9915" s="318" t="s">
        <v>237</v>
      </c>
    </row>
    <row r="9916" spans="1:2" ht="12.75" customHeight="1" x14ac:dyDescent="0.25">
      <c r="A9916" s="318">
        <v>93642479472</v>
      </c>
      <c r="B9916" s="318" t="s">
        <v>237</v>
      </c>
    </row>
    <row r="9917" spans="1:2" ht="12.75" customHeight="1" x14ac:dyDescent="0.25">
      <c r="A9917" s="318">
        <v>93642479473</v>
      </c>
      <c r="B9917" s="318" t="s">
        <v>237</v>
      </c>
    </row>
    <row r="9918" spans="1:2" ht="12.75" customHeight="1" x14ac:dyDescent="0.25">
      <c r="A9918" s="318">
        <v>93642479475</v>
      </c>
      <c r="B9918" s="318" t="s">
        <v>237</v>
      </c>
    </row>
    <row r="9919" spans="1:2" ht="12.75" customHeight="1" x14ac:dyDescent="0.25">
      <c r="A9919" s="318">
        <v>93642479476</v>
      </c>
      <c r="B9919" s="318" t="s">
        <v>237</v>
      </c>
    </row>
    <row r="9920" spans="1:2" ht="12.75" customHeight="1" x14ac:dyDescent="0.25">
      <c r="A9920" s="318">
        <v>93642479477</v>
      </c>
      <c r="B9920" s="318" t="s">
        <v>237</v>
      </c>
    </row>
    <row r="9921" spans="1:2" ht="12.75" customHeight="1" x14ac:dyDescent="0.25">
      <c r="A9921" s="318">
        <v>93642479478</v>
      </c>
      <c r="B9921" s="318" t="s">
        <v>237</v>
      </c>
    </row>
    <row r="9922" spans="1:2" ht="12.75" customHeight="1" x14ac:dyDescent="0.25">
      <c r="A9922" s="318">
        <v>93642479479</v>
      </c>
      <c r="B9922" s="318" t="s">
        <v>237</v>
      </c>
    </row>
    <row r="9923" spans="1:2" ht="12.75" customHeight="1" x14ac:dyDescent="0.25">
      <c r="A9923" s="318">
        <v>93642479480</v>
      </c>
      <c r="B9923" s="318" t="s">
        <v>237</v>
      </c>
    </row>
    <row r="9924" spans="1:2" ht="12.75" customHeight="1" x14ac:dyDescent="0.25">
      <c r="A9924" s="318">
        <v>93642479481</v>
      </c>
      <c r="B9924" s="318" t="s">
        <v>237</v>
      </c>
    </row>
    <row r="9925" spans="1:2" ht="12.75" customHeight="1" x14ac:dyDescent="0.25">
      <c r="A9925" s="318">
        <v>93642479482</v>
      </c>
      <c r="B9925" s="318" t="s">
        <v>237</v>
      </c>
    </row>
    <row r="9926" spans="1:2" ht="12.75" customHeight="1" x14ac:dyDescent="0.25">
      <c r="A9926" s="318">
        <v>93642960339</v>
      </c>
      <c r="B9926" s="318" t="s">
        <v>23</v>
      </c>
    </row>
    <row r="9927" spans="1:2" ht="12.75" customHeight="1" x14ac:dyDescent="0.25">
      <c r="A9927" s="318">
        <v>93642960340</v>
      </c>
      <c r="B9927" s="318" t="s">
        <v>23</v>
      </c>
    </row>
    <row r="9928" spans="1:2" ht="12.75" customHeight="1" x14ac:dyDescent="0.25">
      <c r="A9928" s="318">
        <v>93642960341</v>
      </c>
      <c r="B9928" s="318" t="s">
        <v>23</v>
      </c>
    </row>
    <row r="9929" spans="1:2" ht="12.75" customHeight="1" x14ac:dyDescent="0.25">
      <c r="A9929" s="318">
        <v>93642960342</v>
      </c>
      <c r="B9929" s="318" t="s">
        <v>23</v>
      </c>
    </row>
    <row r="9930" spans="1:2" ht="12.75" customHeight="1" x14ac:dyDescent="0.25">
      <c r="A9930" s="318">
        <v>93642960343</v>
      </c>
      <c r="B9930" s="318" t="s">
        <v>23</v>
      </c>
    </row>
    <row r="9931" spans="1:2" ht="12.75" customHeight="1" x14ac:dyDescent="0.25">
      <c r="A9931" s="318">
        <v>93642960344</v>
      </c>
      <c r="B9931" s="318" t="s">
        <v>23</v>
      </c>
    </row>
    <row r="9932" spans="1:2" ht="12.75" customHeight="1" x14ac:dyDescent="0.25">
      <c r="A9932" s="318">
        <v>93642960345</v>
      </c>
      <c r="B9932" s="318" t="s">
        <v>237</v>
      </c>
    </row>
    <row r="9933" spans="1:2" ht="12.75" customHeight="1" x14ac:dyDescent="0.25">
      <c r="A9933" s="318">
        <v>93642960346</v>
      </c>
      <c r="B9933" s="318" t="s">
        <v>237</v>
      </c>
    </row>
    <row r="9934" spans="1:2" ht="12.75" customHeight="1" x14ac:dyDescent="0.25">
      <c r="A9934" s="318">
        <v>93642960348</v>
      </c>
      <c r="B9934" s="318" t="s">
        <v>237</v>
      </c>
    </row>
    <row r="9935" spans="1:2" ht="12.75" customHeight="1" x14ac:dyDescent="0.25">
      <c r="A9935" s="318">
        <v>93642960349</v>
      </c>
      <c r="B9935" s="318" t="s">
        <v>237</v>
      </c>
    </row>
    <row r="9936" spans="1:2" ht="12.75" customHeight="1" x14ac:dyDescent="0.25">
      <c r="A9936" s="318">
        <v>93642960350</v>
      </c>
      <c r="B9936" s="318" t="s">
        <v>237</v>
      </c>
    </row>
    <row r="9937" spans="1:2" ht="12.75" customHeight="1" x14ac:dyDescent="0.25">
      <c r="A9937" s="318">
        <v>93642960351</v>
      </c>
      <c r="B9937" s="318" t="s">
        <v>237</v>
      </c>
    </row>
    <row r="9938" spans="1:2" ht="12.75" customHeight="1" x14ac:dyDescent="0.25">
      <c r="A9938" s="318">
        <v>93642960352</v>
      </c>
      <c r="B9938" s="318" t="s">
        <v>237</v>
      </c>
    </row>
    <row r="9939" spans="1:2" ht="12.75" customHeight="1" x14ac:dyDescent="0.25">
      <c r="A9939" s="318">
        <v>93642960353</v>
      </c>
      <c r="B9939" s="318" t="s">
        <v>237</v>
      </c>
    </row>
    <row r="9940" spans="1:2" ht="12.75" customHeight="1" x14ac:dyDescent="0.25">
      <c r="A9940" s="318">
        <v>93642960354</v>
      </c>
      <c r="B9940" s="318" t="s">
        <v>237</v>
      </c>
    </row>
    <row r="9941" spans="1:2" ht="12.75" customHeight="1" x14ac:dyDescent="0.25">
      <c r="A9941" s="318">
        <v>93642960355</v>
      </c>
      <c r="B9941" s="318" t="s">
        <v>237</v>
      </c>
    </row>
    <row r="9942" spans="1:2" ht="12.75" customHeight="1" x14ac:dyDescent="0.25">
      <c r="A9942" s="318">
        <v>93642960439</v>
      </c>
      <c r="B9942" s="318" t="s">
        <v>237</v>
      </c>
    </row>
    <row r="9943" spans="1:2" ht="12.75" customHeight="1" x14ac:dyDescent="0.25">
      <c r="A9943" s="318">
        <v>93642960440</v>
      </c>
      <c r="B9943" s="318" t="s">
        <v>237</v>
      </c>
    </row>
    <row r="9944" spans="1:2" ht="12.75" customHeight="1" x14ac:dyDescent="0.25">
      <c r="A9944" s="318">
        <v>93642960441</v>
      </c>
      <c r="B9944" s="318" t="s">
        <v>237</v>
      </c>
    </row>
    <row r="9945" spans="1:2" ht="12.75" customHeight="1" x14ac:dyDescent="0.25">
      <c r="A9945" s="318">
        <v>93642960442</v>
      </c>
      <c r="B9945" s="318" t="s">
        <v>237</v>
      </c>
    </row>
    <row r="9946" spans="1:2" ht="12.75" customHeight="1" x14ac:dyDescent="0.25">
      <c r="A9946" s="318">
        <v>93642960443</v>
      </c>
      <c r="B9946" s="318" t="s">
        <v>237</v>
      </c>
    </row>
    <row r="9947" spans="1:2" ht="12.75" customHeight="1" x14ac:dyDescent="0.25">
      <c r="A9947" s="318">
        <v>93642960444</v>
      </c>
      <c r="B9947" s="318" t="s">
        <v>237</v>
      </c>
    </row>
    <row r="9948" spans="1:2" ht="12.75" customHeight="1" x14ac:dyDescent="0.25">
      <c r="A9948" s="318">
        <v>93642960445</v>
      </c>
      <c r="B9948" s="318" t="s">
        <v>237</v>
      </c>
    </row>
    <row r="9949" spans="1:2" ht="12.75" customHeight="1" x14ac:dyDescent="0.25">
      <c r="A9949" s="318">
        <v>93642960446</v>
      </c>
      <c r="B9949" s="318" t="s">
        <v>237</v>
      </c>
    </row>
    <row r="9950" spans="1:2" ht="12.75" customHeight="1" x14ac:dyDescent="0.25">
      <c r="A9950" s="318">
        <v>93642960448</v>
      </c>
      <c r="B9950" s="318" t="s">
        <v>237</v>
      </c>
    </row>
    <row r="9951" spans="1:2" ht="12.75" customHeight="1" x14ac:dyDescent="0.25">
      <c r="A9951" s="318">
        <v>93642960449</v>
      </c>
      <c r="B9951" s="318" t="s">
        <v>237</v>
      </c>
    </row>
    <row r="9952" spans="1:2" ht="12.75" customHeight="1" x14ac:dyDescent="0.25">
      <c r="A9952" s="318">
        <v>93642960450</v>
      </c>
      <c r="B9952" s="318" t="s">
        <v>237</v>
      </c>
    </row>
    <row r="9953" spans="1:2" ht="12.75" customHeight="1" x14ac:dyDescent="0.25">
      <c r="A9953" s="318">
        <v>93642960451</v>
      </c>
      <c r="B9953" s="318" t="s">
        <v>237</v>
      </c>
    </row>
    <row r="9954" spans="1:2" ht="12.75" customHeight="1" x14ac:dyDescent="0.25">
      <c r="A9954" s="318">
        <v>93642960452</v>
      </c>
      <c r="B9954" s="318" t="s">
        <v>237</v>
      </c>
    </row>
    <row r="9955" spans="1:2" ht="12.75" customHeight="1" x14ac:dyDescent="0.25">
      <c r="A9955" s="318">
        <v>93642960453</v>
      </c>
      <c r="B9955" s="318" t="s">
        <v>237</v>
      </c>
    </row>
    <row r="9956" spans="1:2" ht="12.75" customHeight="1" x14ac:dyDescent="0.25">
      <c r="A9956" s="318">
        <v>93642960454</v>
      </c>
      <c r="B9956" s="318" t="s">
        <v>237</v>
      </c>
    </row>
    <row r="9957" spans="1:2" ht="12.75" customHeight="1" x14ac:dyDescent="0.25">
      <c r="A9957" s="318">
        <v>93642960455</v>
      </c>
      <c r="B9957" s="318" t="s">
        <v>237</v>
      </c>
    </row>
    <row r="9958" spans="1:2" ht="12.75" customHeight="1" x14ac:dyDescent="0.25">
      <c r="A9958" s="318">
        <v>93692856230</v>
      </c>
      <c r="B9958" s="318" t="s">
        <v>23</v>
      </c>
    </row>
    <row r="9959" spans="1:2" ht="12.75" customHeight="1" x14ac:dyDescent="0.25">
      <c r="A9959" s="318">
        <v>93692856231</v>
      </c>
      <c r="B9959" s="318" t="s">
        <v>23</v>
      </c>
    </row>
    <row r="9960" spans="1:2" ht="12.75" customHeight="1" x14ac:dyDescent="0.25">
      <c r="A9960" s="318">
        <v>93692856232</v>
      </c>
      <c r="B9960" s="318" t="s">
        <v>23</v>
      </c>
    </row>
    <row r="9961" spans="1:2" ht="12.75" customHeight="1" x14ac:dyDescent="0.25">
      <c r="A9961" s="318">
        <v>93692856233</v>
      </c>
      <c r="B9961" s="318" t="s">
        <v>23</v>
      </c>
    </row>
    <row r="9962" spans="1:2" ht="12.75" customHeight="1" x14ac:dyDescent="0.25">
      <c r="A9962" s="318">
        <v>93692856234</v>
      </c>
      <c r="B9962" s="318" t="s">
        <v>23</v>
      </c>
    </row>
    <row r="9963" spans="1:2" ht="12.75" customHeight="1" x14ac:dyDescent="0.25">
      <c r="A9963" s="318">
        <v>93692856235</v>
      </c>
      <c r="B9963" s="318" t="s">
        <v>23</v>
      </c>
    </row>
    <row r="9964" spans="1:2" ht="12.75" customHeight="1" x14ac:dyDescent="0.25">
      <c r="A9964" s="318">
        <v>93692856236</v>
      </c>
      <c r="B9964" s="318" t="s">
        <v>23</v>
      </c>
    </row>
    <row r="9965" spans="1:2" ht="12.75" customHeight="1" x14ac:dyDescent="0.25">
      <c r="A9965" s="318">
        <v>93692856237</v>
      </c>
      <c r="B9965" s="318" t="s">
        <v>23</v>
      </c>
    </row>
    <row r="9966" spans="1:2" ht="12.75" customHeight="1" x14ac:dyDescent="0.25">
      <c r="A9966" s="318">
        <v>93692856239</v>
      </c>
      <c r="B9966" s="318" t="s">
        <v>237</v>
      </c>
    </row>
    <row r="9967" spans="1:2" ht="12.75" customHeight="1" x14ac:dyDescent="0.25">
      <c r="A9967" s="318">
        <v>93692856240</v>
      </c>
      <c r="B9967" s="318" t="s">
        <v>237</v>
      </c>
    </row>
    <row r="9968" spans="1:2" ht="12.75" customHeight="1" x14ac:dyDescent="0.25">
      <c r="A9968" s="318">
        <v>93692856241</v>
      </c>
      <c r="B9968" s="318" t="s">
        <v>237</v>
      </c>
    </row>
    <row r="9969" spans="1:2" ht="12.75" customHeight="1" x14ac:dyDescent="0.25">
      <c r="A9969" s="318">
        <v>93692856242</v>
      </c>
      <c r="B9969" s="318" t="s">
        <v>237</v>
      </c>
    </row>
    <row r="9970" spans="1:2" ht="12.75" customHeight="1" x14ac:dyDescent="0.25">
      <c r="A9970" s="318">
        <v>93692856243</v>
      </c>
      <c r="B9970" s="318" t="s">
        <v>237</v>
      </c>
    </row>
    <row r="9971" spans="1:2" ht="12.75" customHeight="1" x14ac:dyDescent="0.25">
      <c r="A9971" s="318">
        <v>93692856244</v>
      </c>
      <c r="B9971" s="318" t="s">
        <v>237</v>
      </c>
    </row>
    <row r="9972" spans="1:2" ht="12.75" customHeight="1" x14ac:dyDescent="0.25">
      <c r="A9972" s="318">
        <v>93692856245</v>
      </c>
      <c r="B9972" s="318" t="s">
        <v>237</v>
      </c>
    </row>
    <row r="9973" spans="1:2" ht="12.75" customHeight="1" x14ac:dyDescent="0.25">
      <c r="A9973" s="318">
        <v>93692856246</v>
      </c>
      <c r="B9973" s="318" t="s">
        <v>237</v>
      </c>
    </row>
    <row r="9974" spans="1:2" ht="12.75" customHeight="1" x14ac:dyDescent="0.25">
      <c r="A9974" s="318">
        <v>93692856330</v>
      </c>
      <c r="B9974" s="318" t="s">
        <v>237</v>
      </c>
    </row>
    <row r="9975" spans="1:2" ht="12.75" customHeight="1" x14ac:dyDescent="0.25">
      <c r="A9975" s="318">
        <v>93692856331</v>
      </c>
      <c r="B9975" s="318" t="s">
        <v>237</v>
      </c>
    </row>
    <row r="9976" spans="1:2" ht="12.75" customHeight="1" x14ac:dyDescent="0.25">
      <c r="A9976" s="318">
        <v>93692856332</v>
      </c>
      <c r="B9976" s="318" t="s">
        <v>237</v>
      </c>
    </row>
    <row r="9977" spans="1:2" ht="12.75" customHeight="1" x14ac:dyDescent="0.25">
      <c r="A9977" s="318">
        <v>93692856333</v>
      </c>
      <c r="B9977" s="318" t="s">
        <v>237</v>
      </c>
    </row>
    <row r="9978" spans="1:2" ht="12.75" customHeight="1" x14ac:dyDescent="0.25">
      <c r="A9978" s="318">
        <v>93692856334</v>
      </c>
      <c r="B9978" s="318" t="s">
        <v>237</v>
      </c>
    </row>
    <row r="9979" spans="1:2" ht="12.75" customHeight="1" x14ac:dyDescent="0.25">
      <c r="A9979" s="318">
        <v>93692856335</v>
      </c>
      <c r="B9979" s="318" t="s">
        <v>237</v>
      </c>
    </row>
    <row r="9980" spans="1:2" ht="12.75" customHeight="1" x14ac:dyDescent="0.25">
      <c r="A9980" s="318">
        <v>93692856336</v>
      </c>
      <c r="B9980" s="318" t="s">
        <v>237</v>
      </c>
    </row>
    <row r="9981" spans="1:2" ht="12.75" customHeight="1" x14ac:dyDescent="0.25">
      <c r="A9981" s="318">
        <v>93692856337</v>
      </c>
      <c r="B9981" s="318" t="s">
        <v>237</v>
      </c>
    </row>
    <row r="9982" spans="1:2" ht="12.75" customHeight="1" x14ac:dyDescent="0.25">
      <c r="A9982" s="318">
        <v>93692856339</v>
      </c>
      <c r="B9982" s="318" t="s">
        <v>237</v>
      </c>
    </row>
    <row r="9983" spans="1:2" ht="12.75" customHeight="1" x14ac:dyDescent="0.25">
      <c r="A9983" s="318">
        <v>93692856340</v>
      </c>
      <c r="B9983" s="318" t="s">
        <v>237</v>
      </c>
    </row>
    <row r="9984" spans="1:2" ht="12.75" customHeight="1" x14ac:dyDescent="0.25">
      <c r="A9984" s="318">
        <v>93692856341</v>
      </c>
      <c r="B9984" s="318" t="s">
        <v>237</v>
      </c>
    </row>
    <row r="9985" spans="1:2" ht="12.75" customHeight="1" x14ac:dyDescent="0.25">
      <c r="A9985" s="318">
        <v>93692856342</v>
      </c>
      <c r="B9985" s="318" t="s">
        <v>237</v>
      </c>
    </row>
    <row r="9986" spans="1:2" ht="12.75" customHeight="1" x14ac:dyDescent="0.25">
      <c r="A9986" s="318">
        <v>93692856343</v>
      </c>
      <c r="B9986" s="318" t="s">
        <v>237</v>
      </c>
    </row>
    <row r="9987" spans="1:2" ht="12.75" customHeight="1" x14ac:dyDescent="0.25">
      <c r="A9987" s="318">
        <v>93692856344</v>
      </c>
      <c r="B9987" s="318" t="s">
        <v>237</v>
      </c>
    </row>
    <row r="9988" spans="1:2" ht="12.75" customHeight="1" x14ac:dyDescent="0.25">
      <c r="A9988" s="318">
        <v>93692856345</v>
      </c>
      <c r="B9988" s="318" t="s">
        <v>237</v>
      </c>
    </row>
    <row r="9989" spans="1:2" ht="12.75" customHeight="1" x14ac:dyDescent="0.25">
      <c r="A9989" s="318">
        <v>93692856346</v>
      </c>
      <c r="B9989" s="318" t="s">
        <v>237</v>
      </c>
    </row>
    <row r="9990" spans="1:2" ht="12.75" customHeight="1" x14ac:dyDescent="0.25">
      <c r="A9990" s="318">
        <v>93693337203</v>
      </c>
      <c r="B9990" s="318" t="s">
        <v>23</v>
      </c>
    </row>
    <row r="9991" spans="1:2" ht="12.75" customHeight="1" x14ac:dyDescent="0.25">
      <c r="A9991" s="318">
        <v>93693337204</v>
      </c>
      <c r="B9991" s="318" t="s">
        <v>23</v>
      </c>
    </row>
    <row r="9992" spans="1:2" ht="12.75" customHeight="1" x14ac:dyDescent="0.25">
      <c r="A9992" s="318">
        <v>93693337205</v>
      </c>
      <c r="B9992" s="318" t="s">
        <v>23</v>
      </c>
    </row>
    <row r="9993" spans="1:2" ht="12.75" customHeight="1" x14ac:dyDescent="0.25">
      <c r="A9993" s="318">
        <v>93693337206</v>
      </c>
      <c r="B9993" s="318" t="s">
        <v>23</v>
      </c>
    </row>
    <row r="9994" spans="1:2" ht="12.75" customHeight="1" x14ac:dyDescent="0.25">
      <c r="A9994" s="318">
        <v>93693337207</v>
      </c>
      <c r="B9994" s="318" t="s">
        <v>23</v>
      </c>
    </row>
    <row r="9995" spans="1:2" ht="12.75" customHeight="1" x14ac:dyDescent="0.25">
      <c r="A9995" s="318">
        <v>93693337208</v>
      </c>
      <c r="B9995" s="318" t="s">
        <v>23</v>
      </c>
    </row>
    <row r="9996" spans="1:2" ht="12.75" customHeight="1" x14ac:dyDescent="0.25">
      <c r="A9996" s="318">
        <v>93693337209</v>
      </c>
      <c r="B9996" s="318" t="s">
        <v>23</v>
      </c>
    </row>
    <row r="9997" spans="1:2" ht="12.75" customHeight="1" x14ac:dyDescent="0.25">
      <c r="A9997" s="318">
        <v>93693337210</v>
      </c>
      <c r="B9997" s="318" t="s">
        <v>23</v>
      </c>
    </row>
    <row r="9998" spans="1:2" ht="12.75" customHeight="1" x14ac:dyDescent="0.25">
      <c r="A9998" s="318">
        <v>93693337212</v>
      </c>
      <c r="B9998" s="318" t="s">
        <v>237</v>
      </c>
    </row>
    <row r="9999" spans="1:2" ht="12.75" customHeight="1" x14ac:dyDescent="0.25">
      <c r="A9999" s="318">
        <v>93693337213</v>
      </c>
      <c r="B9999" s="318" t="s">
        <v>237</v>
      </c>
    </row>
    <row r="10000" spans="1:2" ht="12.75" customHeight="1" x14ac:dyDescent="0.25">
      <c r="A10000" s="318">
        <v>93693337214</v>
      </c>
      <c r="B10000" s="318" t="s">
        <v>237</v>
      </c>
    </row>
    <row r="10001" spans="1:2" ht="12.75" customHeight="1" x14ac:dyDescent="0.25">
      <c r="A10001" s="318">
        <v>93693337215</v>
      </c>
      <c r="B10001" s="318" t="s">
        <v>237</v>
      </c>
    </row>
    <row r="10002" spans="1:2" ht="12.75" customHeight="1" x14ac:dyDescent="0.25">
      <c r="A10002" s="318">
        <v>93693337216</v>
      </c>
      <c r="B10002" s="318" t="s">
        <v>237</v>
      </c>
    </row>
    <row r="10003" spans="1:2" ht="12.75" customHeight="1" x14ac:dyDescent="0.25">
      <c r="A10003" s="318">
        <v>93693337217</v>
      </c>
      <c r="B10003" s="318" t="s">
        <v>237</v>
      </c>
    </row>
    <row r="10004" spans="1:2" ht="12.75" customHeight="1" x14ac:dyDescent="0.25">
      <c r="A10004" s="318">
        <v>93693337218</v>
      </c>
      <c r="B10004" s="318" t="s">
        <v>237</v>
      </c>
    </row>
    <row r="10005" spans="1:2" ht="12.75" customHeight="1" x14ac:dyDescent="0.25">
      <c r="A10005" s="318">
        <v>93693337219</v>
      </c>
      <c r="B10005" s="318" t="s">
        <v>237</v>
      </c>
    </row>
    <row r="10006" spans="1:2" ht="12.75" customHeight="1" x14ac:dyDescent="0.25">
      <c r="A10006" s="318">
        <v>93693337303</v>
      </c>
      <c r="B10006" s="318" t="s">
        <v>237</v>
      </c>
    </row>
    <row r="10007" spans="1:2" ht="12.75" customHeight="1" x14ac:dyDescent="0.25">
      <c r="A10007" s="318">
        <v>93693337304</v>
      </c>
      <c r="B10007" s="318" t="s">
        <v>237</v>
      </c>
    </row>
    <row r="10008" spans="1:2" ht="12.75" customHeight="1" x14ac:dyDescent="0.25">
      <c r="A10008" s="318">
        <v>93693337305</v>
      </c>
      <c r="B10008" s="318" t="s">
        <v>237</v>
      </c>
    </row>
    <row r="10009" spans="1:2" ht="12.75" customHeight="1" x14ac:dyDescent="0.25">
      <c r="A10009" s="318">
        <v>93693337306</v>
      </c>
      <c r="B10009" s="318" t="s">
        <v>237</v>
      </c>
    </row>
    <row r="10010" spans="1:2" ht="12.75" customHeight="1" x14ac:dyDescent="0.25">
      <c r="A10010" s="318">
        <v>93693337307</v>
      </c>
      <c r="B10010" s="318" t="s">
        <v>237</v>
      </c>
    </row>
    <row r="10011" spans="1:2" ht="12.75" customHeight="1" x14ac:dyDescent="0.25">
      <c r="A10011" s="318">
        <v>93693337308</v>
      </c>
      <c r="B10011" s="318" t="s">
        <v>237</v>
      </c>
    </row>
    <row r="10012" spans="1:2" ht="12.75" customHeight="1" x14ac:dyDescent="0.25">
      <c r="A10012" s="318">
        <v>93693337309</v>
      </c>
      <c r="B10012" s="318" t="s">
        <v>237</v>
      </c>
    </row>
    <row r="10013" spans="1:2" ht="12.75" customHeight="1" x14ac:dyDescent="0.25">
      <c r="A10013" s="318">
        <v>93693337310</v>
      </c>
      <c r="B10013" s="318" t="s">
        <v>237</v>
      </c>
    </row>
    <row r="10014" spans="1:2" ht="12.75" customHeight="1" x14ac:dyDescent="0.25">
      <c r="A10014" s="318">
        <v>93693337312</v>
      </c>
      <c r="B10014" s="318" t="s">
        <v>237</v>
      </c>
    </row>
    <row r="10015" spans="1:2" ht="12.75" customHeight="1" x14ac:dyDescent="0.25">
      <c r="A10015" s="318">
        <v>93693337313</v>
      </c>
      <c r="B10015" s="318" t="s">
        <v>237</v>
      </c>
    </row>
    <row r="10016" spans="1:2" ht="12.75" customHeight="1" x14ac:dyDescent="0.25">
      <c r="A10016" s="318">
        <v>93693337314</v>
      </c>
      <c r="B10016" s="318" t="s">
        <v>237</v>
      </c>
    </row>
    <row r="10017" spans="1:2" ht="12.75" customHeight="1" x14ac:dyDescent="0.25">
      <c r="A10017" s="318">
        <v>93693337315</v>
      </c>
      <c r="B10017" s="318" t="s">
        <v>237</v>
      </c>
    </row>
    <row r="10018" spans="1:2" ht="12.75" customHeight="1" x14ac:dyDescent="0.25">
      <c r="A10018" s="318">
        <v>93693337316</v>
      </c>
      <c r="B10018" s="318" t="s">
        <v>237</v>
      </c>
    </row>
    <row r="10019" spans="1:2" ht="12.75" customHeight="1" x14ac:dyDescent="0.25">
      <c r="A10019" s="318">
        <v>93693337317</v>
      </c>
      <c r="B10019" s="318" t="s">
        <v>237</v>
      </c>
    </row>
    <row r="10020" spans="1:2" ht="12.75" customHeight="1" x14ac:dyDescent="0.25">
      <c r="A10020" s="318">
        <v>93693337318</v>
      </c>
      <c r="B10020" s="318" t="s">
        <v>237</v>
      </c>
    </row>
    <row r="10021" spans="1:2" ht="12.75" customHeight="1" x14ac:dyDescent="0.25">
      <c r="A10021" s="318">
        <v>93693337319</v>
      </c>
      <c r="B10021" s="318" t="s">
        <v>237</v>
      </c>
    </row>
    <row r="10022" spans="1:2" ht="12.75" customHeight="1" x14ac:dyDescent="0.25">
      <c r="A10022" s="318">
        <v>93693818176</v>
      </c>
      <c r="B10022" s="318" t="s">
        <v>23</v>
      </c>
    </row>
    <row r="10023" spans="1:2" ht="12.75" customHeight="1" x14ac:dyDescent="0.25">
      <c r="A10023" s="318">
        <v>93693818177</v>
      </c>
      <c r="B10023" s="318" t="s">
        <v>23</v>
      </c>
    </row>
    <row r="10024" spans="1:2" ht="12.75" customHeight="1" x14ac:dyDescent="0.25">
      <c r="A10024" s="318">
        <v>93693818178</v>
      </c>
      <c r="B10024" s="318" t="s">
        <v>23</v>
      </c>
    </row>
    <row r="10025" spans="1:2" ht="12.75" customHeight="1" x14ac:dyDescent="0.25">
      <c r="A10025" s="318">
        <v>93693818179</v>
      </c>
      <c r="B10025" s="318" t="s">
        <v>23</v>
      </c>
    </row>
    <row r="10026" spans="1:2" ht="12.75" customHeight="1" x14ac:dyDescent="0.25">
      <c r="A10026" s="318">
        <v>93693818180</v>
      </c>
      <c r="B10026" s="318" t="s">
        <v>23</v>
      </c>
    </row>
    <row r="10027" spans="1:2" ht="12.75" customHeight="1" x14ac:dyDescent="0.25">
      <c r="A10027" s="318">
        <v>93693818181</v>
      </c>
      <c r="B10027" s="318" t="s">
        <v>23</v>
      </c>
    </row>
    <row r="10028" spans="1:2" ht="12.75" customHeight="1" x14ac:dyDescent="0.25">
      <c r="A10028" s="318">
        <v>93693818182</v>
      </c>
      <c r="B10028" s="318" t="s">
        <v>23</v>
      </c>
    </row>
    <row r="10029" spans="1:2" ht="12.75" customHeight="1" x14ac:dyDescent="0.25">
      <c r="A10029" s="318">
        <v>93693818183</v>
      </c>
      <c r="B10029" s="318" t="s">
        <v>23</v>
      </c>
    </row>
    <row r="10030" spans="1:2" ht="12.75" customHeight="1" x14ac:dyDescent="0.25">
      <c r="A10030" s="318">
        <v>93693818185</v>
      </c>
      <c r="B10030" s="318" t="s">
        <v>23</v>
      </c>
    </row>
    <row r="10031" spans="1:2" ht="12.75" customHeight="1" x14ac:dyDescent="0.25">
      <c r="A10031" s="318">
        <v>93693818186</v>
      </c>
      <c r="B10031" s="318" t="s">
        <v>23</v>
      </c>
    </row>
    <row r="10032" spans="1:2" ht="12.75" customHeight="1" x14ac:dyDescent="0.25">
      <c r="A10032" s="318">
        <v>93693818187</v>
      </c>
      <c r="B10032" s="318" t="s">
        <v>23</v>
      </c>
    </row>
    <row r="10033" spans="1:2" ht="12.75" customHeight="1" x14ac:dyDescent="0.25">
      <c r="A10033" s="318">
        <v>93693818188</v>
      </c>
      <c r="B10033" s="318" t="s">
        <v>23</v>
      </c>
    </row>
    <row r="10034" spans="1:2" ht="12.75" customHeight="1" x14ac:dyDescent="0.25">
      <c r="A10034" s="318">
        <v>93693818189</v>
      </c>
      <c r="B10034" s="318" t="s">
        <v>23</v>
      </c>
    </row>
    <row r="10035" spans="1:2" ht="12.75" customHeight="1" x14ac:dyDescent="0.25">
      <c r="A10035" s="318">
        <v>93693818190</v>
      </c>
      <c r="B10035" s="318" t="s">
        <v>23</v>
      </c>
    </row>
    <row r="10036" spans="1:2" ht="12.75" customHeight="1" x14ac:dyDescent="0.25">
      <c r="A10036" s="318">
        <v>93693818191</v>
      </c>
      <c r="B10036" s="318" t="s">
        <v>23</v>
      </c>
    </row>
    <row r="10037" spans="1:2" ht="12.75" customHeight="1" x14ac:dyDescent="0.25">
      <c r="A10037" s="318">
        <v>93693818192</v>
      </c>
      <c r="B10037" s="318" t="s">
        <v>23</v>
      </c>
    </row>
    <row r="10038" spans="1:2" ht="12.75" customHeight="1" x14ac:dyDescent="0.25">
      <c r="A10038" s="318">
        <v>93693818276</v>
      </c>
      <c r="B10038" s="318" t="s">
        <v>237</v>
      </c>
    </row>
    <row r="10039" spans="1:2" ht="12.75" customHeight="1" x14ac:dyDescent="0.25">
      <c r="A10039" s="318">
        <v>93693818277</v>
      </c>
      <c r="B10039" s="318" t="s">
        <v>237</v>
      </c>
    </row>
    <row r="10040" spans="1:2" ht="12.75" customHeight="1" x14ac:dyDescent="0.25">
      <c r="A10040" s="318">
        <v>93693818278</v>
      </c>
      <c r="B10040" s="318" t="s">
        <v>237</v>
      </c>
    </row>
    <row r="10041" spans="1:2" ht="12.75" customHeight="1" x14ac:dyDescent="0.25">
      <c r="A10041" s="318">
        <v>93693818279</v>
      </c>
      <c r="B10041" s="318" t="s">
        <v>237</v>
      </c>
    </row>
    <row r="10042" spans="1:2" ht="12.75" customHeight="1" x14ac:dyDescent="0.25">
      <c r="A10042" s="318">
        <v>93693818280</v>
      </c>
      <c r="B10042" s="318" t="s">
        <v>237</v>
      </c>
    </row>
    <row r="10043" spans="1:2" ht="12.75" customHeight="1" x14ac:dyDescent="0.25">
      <c r="A10043" s="318">
        <v>93693818281</v>
      </c>
      <c r="B10043" s="318" t="s">
        <v>237</v>
      </c>
    </row>
    <row r="10044" spans="1:2" ht="12.75" customHeight="1" x14ac:dyDescent="0.25">
      <c r="A10044" s="318">
        <v>93693818282</v>
      </c>
      <c r="B10044" s="318" t="s">
        <v>237</v>
      </c>
    </row>
    <row r="10045" spans="1:2" ht="12.75" customHeight="1" x14ac:dyDescent="0.25">
      <c r="A10045" s="318">
        <v>93693818283</v>
      </c>
      <c r="B10045" s="318" t="s">
        <v>237</v>
      </c>
    </row>
    <row r="10046" spans="1:2" ht="12.75" customHeight="1" x14ac:dyDescent="0.25">
      <c r="A10046" s="318">
        <v>93693818285</v>
      </c>
      <c r="B10046" s="318" t="s">
        <v>237</v>
      </c>
    </row>
    <row r="10047" spans="1:2" ht="12.75" customHeight="1" x14ac:dyDescent="0.25">
      <c r="A10047" s="318">
        <v>93693818286</v>
      </c>
      <c r="B10047" s="318" t="s">
        <v>237</v>
      </c>
    </row>
    <row r="10048" spans="1:2" ht="12.75" customHeight="1" x14ac:dyDescent="0.25">
      <c r="A10048" s="318">
        <v>93693818287</v>
      </c>
      <c r="B10048" s="318" t="s">
        <v>237</v>
      </c>
    </row>
    <row r="10049" spans="1:2" ht="12.75" customHeight="1" x14ac:dyDescent="0.25">
      <c r="A10049" s="318">
        <v>93693818288</v>
      </c>
      <c r="B10049" s="318" t="s">
        <v>237</v>
      </c>
    </row>
    <row r="10050" spans="1:2" ht="12.75" customHeight="1" x14ac:dyDescent="0.25">
      <c r="A10050" s="318">
        <v>93693818289</v>
      </c>
      <c r="B10050" s="318" t="s">
        <v>237</v>
      </c>
    </row>
    <row r="10051" spans="1:2" ht="12.75" customHeight="1" x14ac:dyDescent="0.25">
      <c r="A10051" s="318">
        <v>93693818290</v>
      </c>
      <c r="B10051" s="318" t="s">
        <v>237</v>
      </c>
    </row>
    <row r="10052" spans="1:2" ht="12.75" customHeight="1" x14ac:dyDescent="0.25">
      <c r="A10052" s="318">
        <v>93693818291</v>
      </c>
      <c r="B10052" s="318" t="s">
        <v>237</v>
      </c>
    </row>
    <row r="10053" spans="1:2" ht="12.75" customHeight="1" x14ac:dyDescent="0.25">
      <c r="A10053" s="318">
        <v>93693818292</v>
      </c>
      <c r="B10053" s="318" t="s">
        <v>237</v>
      </c>
    </row>
    <row r="10054" spans="1:2" ht="12.75" customHeight="1" x14ac:dyDescent="0.25">
      <c r="A10054" s="318">
        <v>93694498367</v>
      </c>
      <c r="B10054" s="318" t="s">
        <v>23</v>
      </c>
    </row>
    <row r="10055" spans="1:2" ht="12.75" customHeight="1" x14ac:dyDescent="0.25">
      <c r="A10055" s="318">
        <v>93694498368</v>
      </c>
      <c r="B10055" s="318" t="s">
        <v>23</v>
      </c>
    </row>
    <row r="10056" spans="1:2" ht="12.75" customHeight="1" x14ac:dyDescent="0.25">
      <c r="A10056" s="318">
        <v>93694498369</v>
      </c>
      <c r="B10056" s="318" t="s">
        <v>23</v>
      </c>
    </row>
    <row r="10057" spans="1:2" ht="12.75" customHeight="1" x14ac:dyDescent="0.25">
      <c r="A10057" s="318">
        <v>93694498370</v>
      </c>
      <c r="B10057" s="318" t="s">
        <v>23</v>
      </c>
    </row>
    <row r="10058" spans="1:2" ht="12.75" customHeight="1" x14ac:dyDescent="0.25">
      <c r="A10058" s="318">
        <v>93694498371</v>
      </c>
      <c r="B10058" s="318" t="s">
        <v>23</v>
      </c>
    </row>
    <row r="10059" spans="1:2" ht="12.75" customHeight="1" x14ac:dyDescent="0.25">
      <c r="A10059" s="318">
        <v>93694498372</v>
      </c>
      <c r="B10059" s="318" t="s">
        <v>23</v>
      </c>
    </row>
    <row r="10060" spans="1:2" ht="12.75" customHeight="1" x14ac:dyDescent="0.25">
      <c r="A10060" s="318">
        <v>93694498373</v>
      </c>
      <c r="B10060" s="318" t="s">
        <v>23</v>
      </c>
    </row>
    <row r="10061" spans="1:2" ht="12.75" customHeight="1" x14ac:dyDescent="0.25">
      <c r="A10061" s="318">
        <v>93694498374</v>
      </c>
      <c r="B10061" s="318" t="s">
        <v>23</v>
      </c>
    </row>
    <row r="10062" spans="1:2" ht="12.75" customHeight="1" x14ac:dyDescent="0.25">
      <c r="A10062" s="318">
        <v>93694498376</v>
      </c>
      <c r="B10062" s="318" t="s">
        <v>237</v>
      </c>
    </row>
    <row r="10063" spans="1:2" ht="12.75" customHeight="1" x14ac:dyDescent="0.25">
      <c r="A10063" s="318">
        <v>93694498377</v>
      </c>
      <c r="B10063" s="318" t="s">
        <v>237</v>
      </c>
    </row>
    <row r="10064" spans="1:2" ht="12.75" customHeight="1" x14ac:dyDescent="0.25">
      <c r="A10064" s="318">
        <v>93694498378</v>
      </c>
      <c r="B10064" s="318" t="s">
        <v>237</v>
      </c>
    </row>
    <row r="10065" spans="1:2" ht="12.75" customHeight="1" x14ac:dyDescent="0.25">
      <c r="A10065" s="318">
        <v>93694498379</v>
      </c>
      <c r="B10065" s="318" t="s">
        <v>237</v>
      </c>
    </row>
    <row r="10066" spans="1:2" ht="12.75" customHeight="1" x14ac:dyDescent="0.25">
      <c r="A10066" s="318">
        <v>93694498380</v>
      </c>
      <c r="B10066" s="318" t="s">
        <v>237</v>
      </c>
    </row>
    <row r="10067" spans="1:2" ht="12.75" customHeight="1" x14ac:dyDescent="0.25">
      <c r="A10067" s="318">
        <v>93694498381</v>
      </c>
      <c r="B10067" s="318" t="s">
        <v>237</v>
      </c>
    </row>
    <row r="10068" spans="1:2" ht="12.75" customHeight="1" x14ac:dyDescent="0.25">
      <c r="A10068" s="318">
        <v>93694498382</v>
      </c>
      <c r="B10068" s="318" t="s">
        <v>237</v>
      </c>
    </row>
    <row r="10069" spans="1:2" ht="12.75" customHeight="1" x14ac:dyDescent="0.25">
      <c r="A10069" s="318">
        <v>93694498383</v>
      </c>
      <c r="B10069" s="318" t="s">
        <v>237</v>
      </c>
    </row>
    <row r="10070" spans="1:2" ht="12.75" customHeight="1" x14ac:dyDescent="0.25">
      <c r="A10070" s="318">
        <v>93694498467</v>
      </c>
      <c r="B10070" s="318" t="s">
        <v>237</v>
      </c>
    </row>
    <row r="10071" spans="1:2" ht="12.75" customHeight="1" x14ac:dyDescent="0.25">
      <c r="A10071" s="318">
        <v>93694498468</v>
      </c>
      <c r="B10071" s="318" t="s">
        <v>237</v>
      </c>
    </row>
    <row r="10072" spans="1:2" ht="12.75" customHeight="1" x14ac:dyDescent="0.25">
      <c r="A10072" s="318">
        <v>93694498469</v>
      </c>
      <c r="B10072" s="318" t="s">
        <v>237</v>
      </c>
    </row>
    <row r="10073" spans="1:2" ht="12.75" customHeight="1" x14ac:dyDescent="0.25">
      <c r="A10073" s="318">
        <v>93694498470</v>
      </c>
      <c r="B10073" s="318" t="s">
        <v>237</v>
      </c>
    </row>
    <row r="10074" spans="1:2" ht="12.75" customHeight="1" x14ac:dyDescent="0.25">
      <c r="A10074" s="318">
        <v>93694498471</v>
      </c>
      <c r="B10074" s="318" t="s">
        <v>237</v>
      </c>
    </row>
    <row r="10075" spans="1:2" ht="12.75" customHeight="1" x14ac:dyDescent="0.25">
      <c r="A10075" s="318">
        <v>93694498472</v>
      </c>
      <c r="B10075" s="318" t="s">
        <v>237</v>
      </c>
    </row>
    <row r="10076" spans="1:2" ht="12.75" customHeight="1" x14ac:dyDescent="0.25">
      <c r="A10076" s="318">
        <v>93694498473</v>
      </c>
      <c r="B10076" s="318" t="s">
        <v>237</v>
      </c>
    </row>
    <row r="10077" spans="1:2" ht="12.75" customHeight="1" x14ac:dyDescent="0.25">
      <c r="A10077" s="318">
        <v>93694498474</v>
      </c>
      <c r="B10077" s="318" t="s">
        <v>237</v>
      </c>
    </row>
    <row r="10078" spans="1:2" ht="12.75" customHeight="1" x14ac:dyDescent="0.25">
      <c r="A10078" s="318">
        <v>93694498476</v>
      </c>
      <c r="B10078" s="318" t="s">
        <v>237</v>
      </c>
    </row>
    <row r="10079" spans="1:2" ht="12.75" customHeight="1" x14ac:dyDescent="0.25">
      <c r="A10079" s="318">
        <v>93694498477</v>
      </c>
      <c r="B10079" s="318" t="s">
        <v>237</v>
      </c>
    </row>
    <row r="10080" spans="1:2" ht="12.75" customHeight="1" x14ac:dyDescent="0.25">
      <c r="A10080" s="318">
        <v>93694498478</v>
      </c>
      <c r="B10080" s="318" t="s">
        <v>237</v>
      </c>
    </row>
    <row r="10081" spans="1:2" ht="12.75" customHeight="1" x14ac:dyDescent="0.25">
      <c r="A10081" s="318">
        <v>93694498479</v>
      </c>
      <c r="B10081" s="318" t="s">
        <v>237</v>
      </c>
    </row>
    <row r="10082" spans="1:2" ht="12.75" customHeight="1" x14ac:dyDescent="0.25">
      <c r="A10082" s="318">
        <v>93694498480</v>
      </c>
      <c r="B10082" s="318" t="s">
        <v>237</v>
      </c>
    </row>
    <row r="10083" spans="1:2" ht="12.75" customHeight="1" x14ac:dyDescent="0.25">
      <c r="A10083" s="318">
        <v>93694498481</v>
      </c>
      <c r="B10083" s="318" t="s">
        <v>237</v>
      </c>
    </row>
    <row r="10084" spans="1:2" ht="12.75" customHeight="1" x14ac:dyDescent="0.25">
      <c r="A10084" s="318">
        <v>93694498482</v>
      </c>
      <c r="B10084" s="318" t="s">
        <v>237</v>
      </c>
    </row>
    <row r="10085" spans="1:2" ht="12.75" customHeight="1" x14ac:dyDescent="0.25">
      <c r="A10085" s="318">
        <v>93694498483</v>
      </c>
      <c r="B10085" s="318" t="s">
        <v>237</v>
      </c>
    </row>
    <row r="10086" spans="1:2" ht="12.75" customHeight="1" x14ac:dyDescent="0.25">
      <c r="A10086" s="318">
        <v>93694979340</v>
      </c>
      <c r="B10086" s="318" t="s">
        <v>23</v>
      </c>
    </row>
    <row r="10087" spans="1:2" ht="12.75" customHeight="1" x14ac:dyDescent="0.25">
      <c r="A10087" s="318">
        <v>93694979341</v>
      </c>
      <c r="B10087" s="318" t="s">
        <v>23</v>
      </c>
    </row>
    <row r="10088" spans="1:2" ht="12.75" customHeight="1" x14ac:dyDescent="0.25">
      <c r="A10088" s="318">
        <v>93694979342</v>
      </c>
      <c r="B10088" s="318" t="s">
        <v>23</v>
      </c>
    </row>
    <row r="10089" spans="1:2" ht="12.75" customHeight="1" x14ac:dyDescent="0.25">
      <c r="A10089" s="318">
        <v>93694979343</v>
      </c>
      <c r="B10089" s="318" t="s">
        <v>23</v>
      </c>
    </row>
    <row r="10090" spans="1:2" ht="12.75" customHeight="1" x14ac:dyDescent="0.25">
      <c r="A10090" s="318">
        <v>93694979344</v>
      </c>
      <c r="B10090" s="318" t="s">
        <v>23</v>
      </c>
    </row>
    <row r="10091" spans="1:2" ht="12.75" customHeight="1" x14ac:dyDescent="0.25">
      <c r="A10091" s="318">
        <v>93694979345</v>
      </c>
      <c r="B10091" s="318" t="s">
        <v>23</v>
      </c>
    </row>
    <row r="10092" spans="1:2" ht="12.75" customHeight="1" x14ac:dyDescent="0.25">
      <c r="A10092" s="318">
        <v>93694979346</v>
      </c>
      <c r="B10092" s="318" t="s">
        <v>23</v>
      </c>
    </row>
    <row r="10093" spans="1:2" ht="12.75" customHeight="1" x14ac:dyDescent="0.25">
      <c r="A10093" s="318">
        <v>93694979347</v>
      </c>
      <c r="B10093" s="318" t="s">
        <v>23</v>
      </c>
    </row>
    <row r="10094" spans="1:2" ht="12.75" customHeight="1" x14ac:dyDescent="0.25">
      <c r="A10094" s="318">
        <v>93694979349</v>
      </c>
      <c r="B10094" s="318" t="s">
        <v>237</v>
      </c>
    </row>
    <row r="10095" spans="1:2" ht="12.75" customHeight="1" x14ac:dyDescent="0.25">
      <c r="A10095" s="318">
        <v>93694979350</v>
      </c>
      <c r="B10095" s="318" t="s">
        <v>237</v>
      </c>
    </row>
    <row r="10096" spans="1:2" ht="12.75" customHeight="1" x14ac:dyDescent="0.25">
      <c r="A10096" s="318">
        <v>93694979351</v>
      </c>
      <c r="B10096" s="318" t="s">
        <v>237</v>
      </c>
    </row>
    <row r="10097" spans="1:2" ht="12.75" customHeight="1" x14ac:dyDescent="0.25">
      <c r="A10097" s="318">
        <v>93694979352</v>
      </c>
      <c r="B10097" s="318" t="s">
        <v>237</v>
      </c>
    </row>
    <row r="10098" spans="1:2" ht="12.75" customHeight="1" x14ac:dyDescent="0.25">
      <c r="A10098" s="318">
        <v>93694979353</v>
      </c>
      <c r="B10098" s="318" t="s">
        <v>237</v>
      </c>
    </row>
    <row r="10099" spans="1:2" ht="12.75" customHeight="1" x14ac:dyDescent="0.25">
      <c r="A10099" s="318">
        <v>93694979354</v>
      </c>
      <c r="B10099" s="318" t="s">
        <v>237</v>
      </c>
    </row>
    <row r="10100" spans="1:2" ht="12.75" customHeight="1" x14ac:dyDescent="0.25">
      <c r="A10100" s="318">
        <v>93694979355</v>
      </c>
      <c r="B10100" s="318" t="s">
        <v>237</v>
      </c>
    </row>
    <row r="10101" spans="1:2" ht="12.75" customHeight="1" x14ac:dyDescent="0.25">
      <c r="A10101" s="318">
        <v>93694979356</v>
      </c>
      <c r="B10101" s="318" t="s">
        <v>237</v>
      </c>
    </row>
    <row r="10102" spans="1:2" ht="12.75" customHeight="1" x14ac:dyDescent="0.25">
      <c r="A10102" s="318">
        <v>93694979440</v>
      </c>
      <c r="B10102" s="318" t="s">
        <v>237</v>
      </c>
    </row>
    <row r="10103" spans="1:2" ht="12.75" customHeight="1" x14ac:dyDescent="0.25">
      <c r="A10103" s="318">
        <v>93694979441</v>
      </c>
      <c r="B10103" s="318" t="s">
        <v>237</v>
      </c>
    </row>
    <row r="10104" spans="1:2" ht="12.75" customHeight="1" x14ac:dyDescent="0.25">
      <c r="A10104" s="318">
        <v>93694979442</v>
      </c>
      <c r="B10104" s="318" t="s">
        <v>237</v>
      </c>
    </row>
    <row r="10105" spans="1:2" ht="12.75" customHeight="1" x14ac:dyDescent="0.25">
      <c r="A10105" s="318">
        <v>93694979443</v>
      </c>
      <c r="B10105" s="318" t="s">
        <v>237</v>
      </c>
    </row>
    <row r="10106" spans="1:2" ht="12.75" customHeight="1" x14ac:dyDescent="0.25">
      <c r="A10106" s="318">
        <v>93694979444</v>
      </c>
      <c r="B10106" s="318" t="s">
        <v>237</v>
      </c>
    </row>
    <row r="10107" spans="1:2" ht="12.75" customHeight="1" x14ac:dyDescent="0.25">
      <c r="A10107" s="318">
        <v>93694979445</v>
      </c>
      <c r="B10107" s="318" t="s">
        <v>237</v>
      </c>
    </row>
    <row r="10108" spans="1:2" ht="12.75" customHeight="1" x14ac:dyDescent="0.25">
      <c r="A10108" s="318">
        <v>93694979446</v>
      </c>
      <c r="B10108" s="318" t="s">
        <v>237</v>
      </c>
    </row>
    <row r="10109" spans="1:2" ht="12.75" customHeight="1" x14ac:dyDescent="0.25">
      <c r="A10109" s="318">
        <v>93694979447</v>
      </c>
      <c r="B10109" s="318" t="s">
        <v>237</v>
      </c>
    </row>
    <row r="10110" spans="1:2" ht="12.75" customHeight="1" x14ac:dyDescent="0.25">
      <c r="A10110" s="318">
        <v>93694979449</v>
      </c>
      <c r="B10110" s="318" t="s">
        <v>237</v>
      </c>
    </row>
    <row r="10111" spans="1:2" ht="12.75" customHeight="1" x14ac:dyDescent="0.25">
      <c r="A10111" s="318">
        <v>93694979450</v>
      </c>
      <c r="B10111" s="318" t="s">
        <v>237</v>
      </c>
    </row>
    <row r="10112" spans="1:2" ht="12.75" customHeight="1" x14ac:dyDescent="0.25">
      <c r="A10112" s="318">
        <v>93694979451</v>
      </c>
      <c r="B10112" s="318" t="s">
        <v>237</v>
      </c>
    </row>
    <row r="10113" spans="1:2" ht="12.75" customHeight="1" x14ac:dyDescent="0.25">
      <c r="A10113" s="318">
        <v>93694979452</v>
      </c>
      <c r="B10113" s="318" t="s">
        <v>237</v>
      </c>
    </row>
    <row r="10114" spans="1:2" ht="12.75" customHeight="1" x14ac:dyDescent="0.25">
      <c r="A10114" s="318">
        <v>93694979453</v>
      </c>
      <c r="B10114" s="318" t="s">
        <v>237</v>
      </c>
    </row>
    <row r="10115" spans="1:2" ht="12.75" customHeight="1" x14ac:dyDescent="0.25">
      <c r="A10115" s="318">
        <v>93694979454</v>
      </c>
      <c r="B10115" s="318" t="s">
        <v>237</v>
      </c>
    </row>
    <row r="10116" spans="1:2" ht="12.75" customHeight="1" x14ac:dyDescent="0.25">
      <c r="A10116" s="318">
        <v>93694979455</v>
      </c>
      <c r="B10116" s="318" t="s">
        <v>237</v>
      </c>
    </row>
    <row r="10117" spans="1:2" ht="12.75" customHeight="1" x14ac:dyDescent="0.25">
      <c r="A10117" s="318">
        <v>93694979456</v>
      </c>
      <c r="B10117" s="318" t="s">
        <v>237</v>
      </c>
    </row>
    <row r="10118" spans="1:2" ht="12.75" customHeight="1" x14ac:dyDescent="0.25">
      <c r="A10118" s="318">
        <v>93695460313</v>
      </c>
      <c r="B10118" s="318" t="s">
        <v>23</v>
      </c>
    </row>
    <row r="10119" spans="1:2" ht="12.75" customHeight="1" x14ac:dyDescent="0.25">
      <c r="A10119" s="318">
        <v>93695460314</v>
      </c>
      <c r="B10119" s="318" t="s">
        <v>23</v>
      </c>
    </row>
    <row r="10120" spans="1:2" ht="12.75" customHeight="1" x14ac:dyDescent="0.25">
      <c r="A10120" s="318">
        <v>93695460315</v>
      </c>
      <c r="B10120" s="318" t="s">
        <v>23</v>
      </c>
    </row>
    <row r="10121" spans="1:2" ht="12.75" customHeight="1" x14ac:dyDescent="0.25">
      <c r="A10121" s="318">
        <v>93695460316</v>
      </c>
      <c r="B10121" s="318" t="s">
        <v>23</v>
      </c>
    </row>
    <row r="10122" spans="1:2" ht="12.75" customHeight="1" x14ac:dyDescent="0.25">
      <c r="A10122" s="318">
        <v>93695460317</v>
      </c>
      <c r="B10122" s="318" t="s">
        <v>23</v>
      </c>
    </row>
    <row r="10123" spans="1:2" ht="12.75" customHeight="1" x14ac:dyDescent="0.25">
      <c r="A10123" s="318">
        <v>93695460318</v>
      </c>
      <c r="B10123" s="318" t="s">
        <v>23</v>
      </c>
    </row>
    <row r="10124" spans="1:2" ht="12.75" customHeight="1" x14ac:dyDescent="0.25">
      <c r="A10124" s="318">
        <v>93695460319</v>
      </c>
      <c r="B10124" s="318" t="s">
        <v>23</v>
      </c>
    </row>
    <row r="10125" spans="1:2" ht="12.75" customHeight="1" x14ac:dyDescent="0.25">
      <c r="A10125" s="318">
        <v>93695460320</v>
      </c>
      <c r="B10125" s="318" t="s">
        <v>23</v>
      </c>
    </row>
    <row r="10126" spans="1:2" ht="12.75" customHeight="1" x14ac:dyDescent="0.25">
      <c r="A10126" s="318">
        <v>93695460322</v>
      </c>
      <c r="B10126" s="318" t="s">
        <v>23</v>
      </c>
    </row>
    <row r="10127" spans="1:2" ht="12.75" customHeight="1" x14ac:dyDescent="0.25">
      <c r="A10127" s="318">
        <v>93695460323</v>
      </c>
      <c r="B10127" s="318" t="s">
        <v>23</v>
      </c>
    </row>
    <row r="10128" spans="1:2" ht="12.75" customHeight="1" x14ac:dyDescent="0.25">
      <c r="A10128" s="318">
        <v>93695460324</v>
      </c>
      <c r="B10128" s="318" t="s">
        <v>23</v>
      </c>
    </row>
    <row r="10129" spans="1:2" ht="12.75" customHeight="1" x14ac:dyDescent="0.25">
      <c r="A10129" s="318">
        <v>93695460325</v>
      </c>
      <c r="B10129" s="318" t="s">
        <v>23</v>
      </c>
    </row>
    <row r="10130" spans="1:2" ht="12.75" customHeight="1" x14ac:dyDescent="0.25">
      <c r="A10130" s="318">
        <v>93695460326</v>
      </c>
      <c r="B10130" s="318" t="s">
        <v>23</v>
      </c>
    </row>
    <row r="10131" spans="1:2" ht="12.75" customHeight="1" x14ac:dyDescent="0.25">
      <c r="A10131" s="318">
        <v>93695460327</v>
      </c>
      <c r="B10131" s="318" t="s">
        <v>23</v>
      </c>
    </row>
    <row r="10132" spans="1:2" ht="12.75" customHeight="1" x14ac:dyDescent="0.25">
      <c r="A10132" s="318">
        <v>93695460328</v>
      </c>
      <c r="B10132" s="318" t="s">
        <v>23</v>
      </c>
    </row>
    <row r="10133" spans="1:2" ht="12.75" customHeight="1" x14ac:dyDescent="0.25">
      <c r="A10133" s="318">
        <v>93695460329</v>
      </c>
      <c r="B10133" s="318" t="s">
        <v>23</v>
      </c>
    </row>
    <row r="10134" spans="1:2" ht="12.75" customHeight="1" x14ac:dyDescent="0.25">
      <c r="A10134" s="318">
        <v>93695460413</v>
      </c>
      <c r="B10134" s="318" t="s">
        <v>237</v>
      </c>
    </row>
    <row r="10135" spans="1:2" ht="12.75" customHeight="1" x14ac:dyDescent="0.25">
      <c r="A10135" s="318">
        <v>93695460414</v>
      </c>
      <c r="B10135" s="318" t="s">
        <v>237</v>
      </c>
    </row>
    <row r="10136" spans="1:2" ht="12.75" customHeight="1" x14ac:dyDescent="0.25">
      <c r="A10136" s="318">
        <v>93695460415</v>
      </c>
      <c r="B10136" s="318" t="s">
        <v>237</v>
      </c>
    </row>
    <row r="10137" spans="1:2" ht="12.75" customHeight="1" x14ac:dyDescent="0.25">
      <c r="A10137" s="318">
        <v>93695460416</v>
      </c>
      <c r="B10137" s="318" t="s">
        <v>237</v>
      </c>
    </row>
    <row r="10138" spans="1:2" ht="12.75" customHeight="1" x14ac:dyDescent="0.25">
      <c r="A10138" s="318">
        <v>93695460417</v>
      </c>
      <c r="B10138" s="318" t="s">
        <v>237</v>
      </c>
    </row>
    <row r="10139" spans="1:2" ht="12.75" customHeight="1" x14ac:dyDescent="0.25">
      <c r="A10139" s="318">
        <v>93695460418</v>
      </c>
      <c r="B10139" s="318" t="s">
        <v>237</v>
      </c>
    </row>
    <row r="10140" spans="1:2" ht="12.75" customHeight="1" x14ac:dyDescent="0.25">
      <c r="A10140" s="318">
        <v>93695460419</v>
      </c>
      <c r="B10140" s="318" t="s">
        <v>237</v>
      </c>
    </row>
    <row r="10141" spans="1:2" ht="12.75" customHeight="1" x14ac:dyDescent="0.25">
      <c r="A10141" s="318">
        <v>93695460420</v>
      </c>
      <c r="B10141" s="318" t="s">
        <v>237</v>
      </c>
    </row>
    <row r="10142" spans="1:2" ht="12.75" customHeight="1" x14ac:dyDescent="0.25">
      <c r="A10142" s="318">
        <v>93695460422</v>
      </c>
      <c r="B10142" s="318" t="s">
        <v>237</v>
      </c>
    </row>
    <row r="10143" spans="1:2" ht="12.75" customHeight="1" x14ac:dyDescent="0.25">
      <c r="A10143" s="318">
        <v>93695460423</v>
      </c>
      <c r="B10143" s="318" t="s">
        <v>237</v>
      </c>
    </row>
    <row r="10144" spans="1:2" ht="12.75" customHeight="1" x14ac:dyDescent="0.25">
      <c r="A10144" s="318">
        <v>93695460424</v>
      </c>
      <c r="B10144" s="318" t="s">
        <v>237</v>
      </c>
    </row>
    <row r="10145" spans="1:2" ht="12.75" customHeight="1" x14ac:dyDescent="0.25">
      <c r="A10145" s="318">
        <v>93695460425</v>
      </c>
      <c r="B10145" s="318" t="s">
        <v>237</v>
      </c>
    </row>
    <row r="10146" spans="1:2" ht="12.75" customHeight="1" x14ac:dyDescent="0.25">
      <c r="A10146" s="318">
        <v>93695460426</v>
      </c>
      <c r="B10146" s="318" t="s">
        <v>237</v>
      </c>
    </row>
    <row r="10147" spans="1:2" ht="12.75" customHeight="1" x14ac:dyDescent="0.25">
      <c r="A10147" s="318">
        <v>93695460427</v>
      </c>
      <c r="B10147" s="318" t="s">
        <v>237</v>
      </c>
    </row>
    <row r="10148" spans="1:2" ht="12.75" customHeight="1" x14ac:dyDescent="0.25">
      <c r="A10148" s="318">
        <v>93695460428</v>
      </c>
      <c r="B10148" s="318" t="s">
        <v>237</v>
      </c>
    </row>
    <row r="10149" spans="1:2" ht="12.75" customHeight="1" x14ac:dyDescent="0.25">
      <c r="A10149" s="318">
        <v>93695460429</v>
      </c>
      <c r="B10149" s="318" t="s">
        <v>237</v>
      </c>
    </row>
    <row r="10150" spans="1:2" ht="12.75" customHeight="1" x14ac:dyDescent="0.25">
      <c r="A10150" s="318">
        <v>93696140504</v>
      </c>
      <c r="B10150" s="318" t="s">
        <v>23</v>
      </c>
    </row>
    <row r="10151" spans="1:2" ht="12.75" customHeight="1" x14ac:dyDescent="0.25">
      <c r="A10151" s="318">
        <v>93696140505</v>
      </c>
      <c r="B10151" s="318" t="s">
        <v>23</v>
      </c>
    </row>
    <row r="10152" spans="1:2" ht="12.75" customHeight="1" x14ac:dyDescent="0.25">
      <c r="A10152" s="318">
        <v>93696140506</v>
      </c>
      <c r="B10152" s="318" t="s">
        <v>23</v>
      </c>
    </row>
    <row r="10153" spans="1:2" ht="12.75" customHeight="1" x14ac:dyDescent="0.25">
      <c r="A10153" s="318">
        <v>93696140507</v>
      </c>
      <c r="B10153" s="318" t="s">
        <v>23</v>
      </c>
    </row>
    <row r="10154" spans="1:2" ht="12.75" customHeight="1" x14ac:dyDescent="0.25">
      <c r="A10154" s="318">
        <v>93696140508</v>
      </c>
      <c r="B10154" s="318" t="s">
        <v>23</v>
      </c>
    </row>
    <row r="10155" spans="1:2" ht="12.75" customHeight="1" x14ac:dyDescent="0.25">
      <c r="A10155" s="318">
        <v>93696140509</v>
      </c>
      <c r="B10155" s="318" t="s">
        <v>23</v>
      </c>
    </row>
    <row r="10156" spans="1:2" ht="12.75" customHeight="1" x14ac:dyDescent="0.25">
      <c r="A10156" s="318">
        <v>93696140510</v>
      </c>
      <c r="B10156" s="318" t="s">
        <v>23</v>
      </c>
    </row>
    <row r="10157" spans="1:2" ht="12.75" customHeight="1" x14ac:dyDescent="0.25">
      <c r="A10157" s="318">
        <v>93696140511</v>
      </c>
      <c r="B10157" s="318" t="s">
        <v>23</v>
      </c>
    </row>
    <row r="10158" spans="1:2" ht="12.75" customHeight="1" x14ac:dyDescent="0.25">
      <c r="A10158" s="318">
        <v>93696140513</v>
      </c>
      <c r="B10158" s="318" t="s">
        <v>23</v>
      </c>
    </row>
    <row r="10159" spans="1:2" ht="12.75" customHeight="1" x14ac:dyDescent="0.25">
      <c r="A10159" s="318">
        <v>93696140514</v>
      </c>
      <c r="B10159" s="318" t="s">
        <v>23</v>
      </c>
    </row>
    <row r="10160" spans="1:2" ht="12.75" customHeight="1" x14ac:dyDescent="0.25">
      <c r="A10160" s="318">
        <v>93696140515</v>
      </c>
      <c r="B10160" s="318" t="s">
        <v>23</v>
      </c>
    </row>
    <row r="10161" spans="1:2" ht="12.75" customHeight="1" x14ac:dyDescent="0.25">
      <c r="A10161" s="318">
        <v>93696140516</v>
      </c>
      <c r="B10161" s="318" t="s">
        <v>23</v>
      </c>
    </row>
    <row r="10162" spans="1:2" ht="12.75" customHeight="1" x14ac:dyDescent="0.25">
      <c r="A10162" s="318">
        <v>93696140517</v>
      </c>
      <c r="B10162" s="318" t="s">
        <v>23</v>
      </c>
    </row>
    <row r="10163" spans="1:2" ht="12.75" customHeight="1" x14ac:dyDescent="0.25">
      <c r="A10163" s="318">
        <v>93696140518</v>
      </c>
      <c r="B10163" s="318" t="s">
        <v>23</v>
      </c>
    </row>
    <row r="10164" spans="1:2" ht="12.75" customHeight="1" x14ac:dyDescent="0.25">
      <c r="A10164" s="318">
        <v>93696140519</v>
      </c>
      <c r="B10164" s="318" t="s">
        <v>23</v>
      </c>
    </row>
    <row r="10165" spans="1:2" ht="12.75" customHeight="1" x14ac:dyDescent="0.25">
      <c r="A10165" s="318">
        <v>93696140520</v>
      </c>
      <c r="B10165" s="318" t="s">
        <v>23</v>
      </c>
    </row>
    <row r="10166" spans="1:2" ht="12.75" customHeight="1" x14ac:dyDescent="0.25">
      <c r="A10166" s="318">
        <v>93696140604</v>
      </c>
      <c r="B10166" s="318" t="s">
        <v>237</v>
      </c>
    </row>
    <row r="10167" spans="1:2" ht="12.75" customHeight="1" x14ac:dyDescent="0.25">
      <c r="A10167" s="318">
        <v>93696140605</v>
      </c>
      <c r="B10167" s="318" t="s">
        <v>237</v>
      </c>
    </row>
    <row r="10168" spans="1:2" ht="12.75" customHeight="1" x14ac:dyDescent="0.25">
      <c r="A10168" s="318">
        <v>93696140606</v>
      </c>
      <c r="B10168" s="318" t="s">
        <v>237</v>
      </c>
    </row>
    <row r="10169" spans="1:2" ht="12.75" customHeight="1" x14ac:dyDescent="0.25">
      <c r="A10169" s="318">
        <v>93696140607</v>
      </c>
      <c r="B10169" s="318" t="s">
        <v>237</v>
      </c>
    </row>
    <row r="10170" spans="1:2" ht="12.75" customHeight="1" x14ac:dyDescent="0.25">
      <c r="A10170" s="318">
        <v>93696140608</v>
      </c>
      <c r="B10170" s="318" t="s">
        <v>237</v>
      </c>
    </row>
    <row r="10171" spans="1:2" ht="12.75" customHeight="1" x14ac:dyDescent="0.25">
      <c r="A10171" s="318">
        <v>93696140609</v>
      </c>
      <c r="B10171" s="318" t="s">
        <v>237</v>
      </c>
    </row>
    <row r="10172" spans="1:2" ht="12.75" customHeight="1" x14ac:dyDescent="0.25">
      <c r="A10172" s="318">
        <v>93696140610</v>
      </c>
      <c r="B10172" s="318" t="s">
        <v>237</v>
      </c>
    </row>
    <row r="10173" spans="1:2" ht="12.75" customHeight="1" x14ac:dyDescent="0.25">
      <c r="A10173" s="318">
        <v>93696140611</v>
      </c>
      <c r="B10173" s="318" t="s">
        <v>237</v>
      </c>
    </row>
    <row r="10174" spans="1:2" ht="12.75" customHeight="1" x14ac:dyDescent="0.25">
      <c r="A10174" s="318">
        <v>93696140613</v>
      </c>
      <c r="B10174" s="318" t="s">
        <v>237</v>
      </c>
    </row>
    <row r="10175" spans="1:2" ht="12.75" customHeight="1" x14ac:dyDescent="0.25">
      <c r="A10175" s="318">
        <v>93696140614</v>
      </c>
      <c r="B10175" s="318" t="s">
        <v>237</v>
      </c>
    </row>
    <row r="10176" spans="1:2" ht="12.75" customHeight="1" x14ac:dyDescent="0.25">
      <c r="A10176" s="318">
        <v>93696140615</v>
      </c>
      <c r="B10176" s="318" t="s">
        <v>237</v>
      </c>
    </row>
    <row r="10177" spans="1:2" ht="12.75" customHeight="1" x14ac:dyDescent="0.25">
      <c r="A10177" s="318">
        <v>93696140616</v>
      </c>
      <c r="B10177" s="318" t="s">
        <v>237</v>
      </c>
    </row>
    <row r="10178" spans="1:2" ht="12.75" customHeight="1" x14ac:dyDescent="0.25">
      <c r="A10178" s="318">
        <v>93696140617</v>
      </c>
      <c r="B10178" s="318" t="s">
        <v>237</v>
      </c>
    </row>
    <row r="10179" spans="1:2" ht="12.75" customHeight="1" x14ac:dyDescent="0.25">
      <c r="A10179" s="318">
        <v>93696140618</v>
      </c>
      <c r="B10179" s="318" t="s">
        <v>237</v>
      </c>
    </row>
    <row r="10180" spans="1:2" ht="12.75" customHeight="1" x14ac:dyDescent="0.25">
      <c r="A10180" s="318">
        <v>93696140619</v>
      </c>
      <c r="B10180" s="318" t="s">
        <v>237</v>
      </c>
    </row>
    <row r="10181" spans="1:2" ht="12.75" customHeight="1" x14ac:dyDescent="0.25">
      <c r="A10181" s="318">
        <v>93696140620</v>
      </c>
      <c r="B10181" s="318" t="s">
        <v>237</v>
      </c>
    </row>
    <row r="10182" spans="1:2" ht="12.75" customHeight="1" x14ac:dyDescent="0.25">
      <c r="A10182" s="318">
        <v>93696621477</v>
      </c>
      <c r="B10182" s="318" t="s">
        <v>23</v>
      </c>
    </row>
    <row r="10183" spans="1:2" ht="12.75" customHeight="1" x14ac:dyDescent="0.25">
      <c r="A10183" s="318">
        <v>93696621478</v>
      </c>
      <c r="B10183" s="318" t="s">
        <v>23</v>
      </c>
    </row>
    <row r="10184" spans="1:2" ht="12.75" customHeight="1" x14ac:dyDescent="0.25">
      <c r="A10184" s="318">
        <v>93696621479</v>
      </c>
      <c r="B10184" s="318" t="s">
        <v>23</v>
      </c>
    </row>
    <row r="10185" spans="1:2" ht="12.75" customHeight="1" x14ac:dyDescent="0.25">
      <c r="A10185" s="318">
        <v>93696621480</v>
      </c>
      <c r="B10185" s="318" t="s">
        <v>23</v>
      </c>
    </row>
    <row r="10186" spans="1:2" ht="12.75" customHeight="1" x14ac:dyDescent="0.25">
      <c r="A10186" s="318">
        <v>93696621481</v>
      </c>
      <c r="B10186" s="318" t="s">
        <v>23</v>
      </c>
    </row>
    <row r="10187" spans="1:2" ht="12.75" customHeight="1" x14ac:dyDescent="0.25">
      <c r="A10187" s="318">
        <v>93696621482</v>
      </c>
      <c r="B10187" s="318" t="s">
        <v>23</v>
      </c>
    </row>
    <row r="10188" spans="1:2" ht="12.75" customHeight="1" x14ac:dyDescent="0.25">
      <c r="A10188" s="318">
        <v>93696621483</v>
      </c>
      <c r="B10188" s="318" t="s">
        <v>23</v>
      </c>
    </row>
    <row r="10189" spans="1:2" ht="12.75" customHeight="1" x14ac:dyDescent="0.25">
      <c r="A10189" s="318">
        <v>93696621484</v>
      </c>
      <c r="B10189" s="318" t="s">
        <v>23</v>
      </c>
    </row>
    <row r="10190" spans="1:2" ht="12.75" customHeight="1" x14ac:dyDescent="0.25">
      <c r="A10190" s="318">
        <v>93696621486</v>
      </c>
      <c r="B10190" s="318" t="s">
        <v>23</v>
      </c>
    </row>
    <row r="10191" spans="1:2" ht="12.75" customHeight="1" x14ac:dyDescent="0.25">
      <c r="A10191" s="318">
        <v>93696621487</v>
      </c>
      <c r="B10191" s="318" t="s">
        <v>23</v>
      </c>
    </row>
    <row r="10192" spans="1:2" ht="12.75" customHeight="1" x14ac:dyDescent="0.25">
      <c r="A10192" s="318">
        <v>93696621488</v>
      </c>
      <c r="B10192" s="318" t="s">
        <v>23</v>
      </c>
    </row>
    <row r="10193" spans="1:2" ht="12.75" customHeight="1" x14ac:dyDescent="0.25">
      <c r="A10193" s="318">
        <v>93696621489</v>
      </c>
      <c r="B10193" s="318" t="s">
        <v>23</v>
      </c>
    </row>
    <row r="10194" spans="1:2" ht="12.75" customHeight="1" x14ac:dyDescent="0.25">
      <c r="A10194" s="318">
        <v>93696621490</v>
      </c>
      <c r="B10194" s="318" t="s">
        <v>23</v>
      </c>
    </row>
    <row r="10195" spans="1:2" ht="12.75" customHeight="1" x14ac:dyDescent="0.25">
      <c r="A10195" s="318">
        <v>93696621491</v>
      </c>
      <c r="B10195" s="318" t="s">
        <v>23</v>
      </c>
    </row>
    <row r="10196" spans="1:2" ht="12.75" customHeight="1" x14ac:dyDescent="0.25">
      <c r="A10196" s="318">
        <v>93696621492</v>
      </c>
      <c r="B10196" s="318" t="s">
        <v>23</v>
      </c>
    </row>
    <row r="10197" spans="1:2" ht="12.75" customHeight="1" x14ac:dyDescent="0.25">
      <c r="A10197" s="318">
        <v>93696621493</v>
      </c>
      <c r="B10197" s="318" t="s">
        <v>23</v>
      </c>
    </row>
    <row r="10198" spans="1:2" ht="12.75" customHeight="1" x14ac:dyDescent="0.25">
      <c r="A10198" s="318">
        <v>93696621577</v>
      </c>
      <c r="B10198" s="318" t="s">
        <v>237</v>
      </c>
    </row>
    <row r="10199" spans="1:2" ht="12.75" customHeight="1" x14ac:dyDescent="0.25">
      <c r="A10199" s="318">
        <v>93696621578</v>
      </c>
      <c r="B10199" s="318" t="s">
        <v>237</v>
      </c>
    </row>
    <row r="10200" spans="1:2" ht="12.75" customHeight="1" x14ac:dyDescent="0.25">
      <c r="A10200" s="318">
        <v>93696621579</v>
      </c>
      <c r="B10200" s="318" t="s">
        <v>237</v>
      </c>
    </row>
    <row r="10201" spans="1:2" ht="12.75" customHeight="1" x14ac:dyDescent="0.25">
      <c r="A10201" s="318">
        <v>93696621580</v>
      </c>
      <c r="B10201" s="318" t="s">
        <v>237</v>
      </c>
    </row>
    <row r="10202" spans="1:2" ht="12.75" customHeight="1" x14ac:dyDescent="0.25">
      <c r="A10202" s="318">
        <v>93696621581</v>
      </c>
      <c r="B10202" s="318" t="s">
        <v>237</v>
      </c>
    </row>
    <row r="10203" spans="1:2" ht="12.75" customHeight="1" x14ac:dyDescent="0.25">
      <c r="A10203" s="318">
        <v>93696621582</v>
      </c>
      <c r="B10203" s="318" t="s">
        <v>237</v>
      </c>
    </row>
    <row r="10204" spans="1:2" ht="12.75" customHeight="1" x14ac:dyDescent="0.25">
      <c r="A10204" s="318">
        <v>93696621583</v>
      </c>
      <c r="B10204" s="318" t="s">
        <v>237</v>
      </c>
    </row>
    <row r="10205" spans="1:2" ht="12.75" customHeight="1" x14ac:dyDescent="0.25">
      <c r="A10205" s="318">
        <v>93696621584</v>
      </c>
      <c r="B10205" s="318" t="s">
        <v>237</v>
      </c>
    </row>
    <row r="10206" spans="1:2" ht="12.75" customHeight="1" x14ac:dyDescent="0.25">
      <c r="A10206" s="318">
        <v>93696621586</v>
      </c>
      <c r="B10206" s="318" t="s">
        <v>237</v>
      </c>
    </row>
    <row r="10207" spans="1:2" ht="12.75" customHeight="1" x14ac:dyDescent="0.25">
      <c r="A10207" s="318">
        <v>93696621587</v>
      </c>
      <c r="B10207" s="318" t="s">
        <v>237</v>
      </c>
    </row>
    <row r="10208" spans="1:2" ht="12.75" customHeight="1" x14ac:dyDescent="0.25">
      <c r="A10208" s="318">
        <v>93696621588</v>
      </c>
      <c r="B10208" s="318" t="s">
        <v>237</v>
      </c>
    </row>
    <row r="10209" spans="1:2" ht="12.75" customHeight="1" x14ac:dyDescent="0.25">
      <c r="A10209" s="318">
        <v>93696621589</v>
      </c>
      <c r="B10209" s="318" t="s">
        <v>237</v>
      </c>
    </row>
    <row r="10210" spans="1:2" ht="12.75" customHeight="1" x14ac:dyDescent="0.25">
      <c r="A10210" s="318">
        <v>93696621590</v>
      </c>
      <c r="B10210" s="318" t="s">
        <v>237</v>
      </c>
    </row>
    <row r="10211" spans="1:2" ht="12.75" customHeight="1" x14ac:dyDescent="0.25">
      <c r="A10211" s="318">
        <v>93696621591</v>
      </c>
      <c r="B10211" s="318" t="s">
        <v>237</v>
      </c>
    </row>
    <row r="10212" spans="1:2" ht="12.75" customHeight="1" x14ac:dyDescent="0.25">
      <c r="A10212" s="318">
        <v>93696621592</v>
      </c>
      <c r="B10212" s="318" t="s">
        <v>237</v>
      </c>
    </row>
    <row r="10213" spans="1:2" ht="12.75" customHeight="1" x14ac:dyDescent="0.25">
      <c r="A10213" s="318">
        <v>93696621593</v>
      </c>
      <c r="B10213" s="318" t="s">
        <v>237</v>
      </c>
    </row>
    <row r="10214" spans="1:2" ht="12.75" customHeight="1" x14ac:dyDescent="0.25">
      <c r="A10214" s="318">
        <v>93697102450</v>
      </c>
      <c r="B10214" s="318" t="s">
        <v>23</v>
      </c>
    </row>
    <row r="10215" spans="1:2" ht="12.75" customHeight="1" x14ac:dyDescent="0.25">
      <c r="A10215" s="318">
        <v>93697102451</v>
      </c>
      <c r="B10215" s="318" t="s">
        <v>23</v>
      </c>
    </row>
    <row r="10216" spans="1:2" ht="12.75" customHeight="1" x14ac:dyDescent="0.25">
      <c r="A10216" s="318">
        <v>93697102452</v>
      </c>
      <c r="B10216" s="318" t="s">
        <v>23</v>
      </c>
    </row>
    <row r="10217" spans="1:2" ht="12.75" customHeight="1" x14ac:dyDescent="0.25">
      <c r="A10217" s="318">
        <v>93697102453</v>
      </c>
      <c r="B10217" s="318" t="s">
        <v>23</v>
      </c>
    </row>
    <row r="10218" spans="1:2" ht="12.75" customHeight="1" x14ac:dyDescent="0.25">
      <c r="A10218" s="318">
        <v>93697102454</v>
      </c>
      <c r="B10218" s="318" t="s">
        <v>23</v>
      </c>
    </row>
    <row r="10219" spans="1:2" ht="12.75" customHeight="1" x14ac:dyDescent="0.25">
      <c r="A10219" s="318">
        <v>93697102455</v>
      </c>
      <c r="B10219" s="318" t="s">
        <v>23</v>
      </c>
    </row>
    <row r="10220" spans="1:2" ht="12.75" customHeight="1" x14ac:dyDescent="0.25">
      <c r="A10220" s="318">
        <v>93697102456</v>
      </c>
      <c r="B10220" s="318" t="s">
        <v>23</v>
      </c>
    </row>
    <row r="10221" spans="1:2" ht="12.75" customHeight="1" x14ac:dyDescent="0.25">
      <c r="A10221" s="318">
        <v>93697102457</v>
      </c>
      <c r="B10221" s="318" t="s">
        <v>23</v>
      </c>
    </row>
    <row r="10222" spans="1:2" ht="12.75" customHeight="1" x14ac:dyDescent="0.25">
      <c r="A10222" s="318">
        <v>93697102459</v>
      </c>
      <c r="B10222" s="318" t="s">
        <v>23</v>
      </c>
    </row>
    <row r="10223" spans="1:2" ht="12.75" customHeight="1" x14ac:dyDescent="0.25">
      <c r="A10223" s="318">
        <v>93697102460</v>
      </c>
      <c r="B10223" s="318" t="s">
        <v>23</v>
      </c>
    </row>
    <row r="10224" spans="1:2" ht="12.75" customHeight="1" x14ac:dyDescent="0.25">
      <c r="A10224" s="318">
        <v>93697102461</v>
      </c>
      <c r="B10224" s="318" t="s">
        <v>23</v>
      </c>
    </row>
    <row r="10225" spans="1:2" ht="12.75" customHeight="1" x14ac:dyDescent="0.25">
      <c r="A10225" s="318">
        <v>93697102462</v>
      </c>
      <c r="B10225" s="318" t="s">
        <v>23</v>
      </c>
    </row>
    <row r="10226" spans="1:2" ht="12.75" customHeight="1" x14ac:dyDescent="0.25">
      <c r="A10226" s="318">
        <v>93697102463</v>
      </c>
      <c r="B10226" s="318" t="s">
        <v>23</v>
      </c>
    </row>
    <row r="10227" spans="1:2" ht="12.75" customHeight="1" x14ac:dyDescent="0.25">
      <c r="A10227" s="318">
        <v>93697102464</v>
      </c>
      <c r="B10227" s="318" t="s">
        <v>23</v>
      </c>
    </row>
    <row r="10228" spans="1:2" ht="12.75" customHeight="1" x14ac:dyDescent="0.25">
      <c r="A10228" s="318">
        <v>93697102465</v>
      </c>
      <c r="B10228" s="318" t="s">
        <v>23</v>
      </c>
    </row>
    <row r="10229" spans="1:2" ht="12.75" customHeight="1" x14ac:dyDescent="0.25">
      <c r="A10229" s="318">
        <v>93697102466</v>
      </c>
      <c r="B10229" s="318" t="s">
        <v>23</v>
      </c>
    </row>
    <row r="10230" spans="1:2" ht="12.75" customHeight="1" x14ac:dyDescent="0.25">
      <c r="A10230" s="318">
        <v>93697102550</v>
      </c>
      <c r="B10230" s="318" t="s">
        <v>237</v>
      </c>
    </row>
    <row r="10231" spans="1:2" ht="12.75" customHeight="1" x14ac:dyDescent="0.25">
      <c r="A10231" s="318">
        <v>93697102551</v>
      </c>
      <c r="B10231" s="318" t="s">
        <v>237</v>
      </c>
    </row>
    <row r="10232" spans="1:2" ht="12.75" customHeight="1" x14ac:dyDescent="0.25">
      <c r="A10232" s="318">
        <v>93697102552</v>
      </c>
      <c r="B10232" s="318" t="s">
        <v>237</v>
      </c>
    </row>
    <row r="10233" spans="1:2" ht="12.75" customHeight="1" x14ac:dyDescent="0.25">
      <c r="A10233" s="318">
        <v>93697102553</v>
      </c>
      <c r="B10233" s="318" t="s">
        <v>237</v>
      </c>
    </row>
    <row r="10234" spans="1:2" ht="12.75" customHeight="1" x14ac:dyDescent="0.25">
      <c r="A10234" s="318">
        <v>93697102554</v>
      </c>
      <c r="B10234" s="318" t="s">
        <v>237</v>
      </c>
    </row>
    <row r="10235" spans="1:2" ht="12.75" customHeight="1" x14ac:dyDescent="0.25">
      <c r="A10235" s="318">
        <v>93697102555</v>
      </c>
      <c r="B10235" s="318" t="s">
        <v>237</v>
      </c>
    </row>
    <row r="10236" spans="1:2" ht="12.75" customHeight="1" x14ac:dyDescent="0.25">
      <c r="A10236" s="318">
        <v>93697102556</v>
      </c>
      <c r="B10236" s="318" t="s">
        <v>237</v>
      </c>
    </row>
    <row r="10237" spans="1:2" ht="12.75" customHeight="1" x14ac:dyDescent="0.25">
      <c r="A10237" s="318">
        <v>93697102557</v>
      </c>
      <c r="B10237" s="318" t="s">
        <v>237</v>
      </c>
    </row>
    <row r="10238" spans="1:2" ht="12.75" customHeight="1" x14ac:dyDescent="0.25">
      <c r="A10238" s="318">
        <v>93697102559</v>
      </c>
      <c r="B10238" s="318" t="s">
        <v>237</v>
      </c>
    </row>
    <row r="10239" spans="1:2" ht="12.75" customHeight="1" x14ac:dyDescent="0.25">
      <c r="A10239" s="318">
        <v>93697102560</v>
      </c>
      <c r="B10239" s="318" t="s">
        <v>237</v>
      </c>
    </row>
    <row r="10240" spans="1:2" ht="12.75" customHeight="1" x14ac:dyDescent="0.25">
      <c r="A10240" s="318">
        <v>93697102561</v>
      </c>
      <c r="B10240" s="318" t="s">
        <v>237</v>
      </c>
    </row>
    <row r="10241" spans="1:2" ht="12.75" customHeight="1" x14ac:dyDescent="0.25">
      <c r="A10241" s="318">
        <v>93697102562</v>
      </c>
      <c r="B10241" s="318" t="s">
        <v>237</v>
      </c>
    </row>
    <row r="10242" spans="1:2" ht="12.75" customHeight="1" x14ac:dyDescent="0.25">
      <c r="A10242" s="318">
        <v>93697102563</v>
      </c>
      <c r="B10242" s="318" t="s">
        <v>237</v>
      </c>
    </row>
    <row r="10243" spans="1:2" ht="12.75" customHeight="1" x14ac:dyDescent="0.25">
      <c r="A10243" s="318">
        <v>93697102564</v>
      </c>
      <c r="B10243" s="318" t="s">
        <v>237</v>
      </c>
    </row>
    <row r="10244" spans="1:2" ht="12.75" customHeight="1" x14ac:dyDescent="0.25">
      <c r="A10244" s="318">
        <v>93697102565</v>
      </c>
      <c r="B10244" s="318" t="s">
        <v>237</v>
      </c>
    </row>
    <row r="10245" spans="1:2" ht="12.75" customHeight="1" x14ac:dyDescent="0.25">
      <c r="A10245" s="318">
        <v>93697102566</v>
      </c>
      <c r="B10245" s="318" t="s">
        <v>237</v>
      </c>
    </row>
    <row r="10246" spans="1:2" ht="12.75" customHeight="1" x14ac:dyDescent="0.25">
      <c r="A10246" s="318">
        <v>93698462831</v>
      </c>
      <c r="B10246" s="318" t="s">
        <v>23</v>
      </c>
    </row>
    <row r="10247" spans="1:2" ht="12.75" customHeight="1" x14ac:dyDescent="0.25">
      <c r="A10247" s="318">
        <v>93698462832</v>
      </c>
      <c r="B10247" s="318" t="s">
        <v>23</v>
      </c>
    </row>
    <row r="10248" spans="1:2" ht="12.75" customHeight="1" x14ac:dyDescent="0.25">
      <c r="A10248" s="318">
        <v>93698462833</v>
      </c>
      <c r="B10248" s="318" t="s">
        <v>23</v>
      </c>
    </row>
    <row r="10249" spans="1:2" ht="12.75" customHeight="1" x14ac:dyDescent="0.25">
      <c r="A10249" s="318">
        <v>93698462834</v>
      </c>
      <c r="B10249" s="318" t="s">
        <v>23</v>
      </c>
    </row>
    <row r="10250" spans="1:2" ht="12.75" customHeight="1" x14ac:dyDescent="0.25">
      <c r="A10250" s="318">
        <v>93698462835</v>
      </c>
      <c r="B10250" s="318" t="s">
        <v>23</v>
      </c>
    </row>
    <row r="10251" spans="1:2" ht="12.75" customHeight="1" x14ac:dyDescent="0.25">
      <c r="A10251" s="318">
        <v>93698462836</v>
      </c>
      <c r="B10251" s="318" t="s">
        <v>23</v>
      </c>
    </row>
    <row r="10252" spans="1:2" ht="12.75" customHeight="1" x14ac:dyDescent="0.25">
      <c r="A10252" s="318">
        <v>93698462837</v>
      </c>
      <c r="B10252" s="318" t="s">
        <v>23</v>
      </c>
    </row>
    <row r="10253" spans="1:2" ht="12.75" customHeight="1" x14ac:dyDescent="0.25">
      <c r="A10253" s="318">
        <v>93698462838</v>
      </c>
      <c r="B10253" s="318" t="s">
        <v>23</v>
      </c>
    </row>
    <row r="10254" spans="1:2" ht="12.75" customHeight="1" x14ac:dyDescent="0.25">
      <c r="A10254" s="318">
        <v>93698462840</v>
      </c>
      <c r="B10254" s="318" t="s">
        <v>237</v>
      </c>
    </row>
    <row r="10255" spans="1:2" ht="12.75" customHeight="1" x14ac:dyDescent="0.25">
      <c r="A10255" s="318">
        <v>93698462841</v>
      </c>
      <c r="B10255" s="318" t="s">
        <v>237</v>
      </c>
    </row>
    <row r="10256" spans="1:2" ht="12.75" customHeight="1" x14ac:dyDescent="0.25">
      <c r="A10256" s="318">
        <v>93698462842</v>
      </c>
      <c r="B10256" s="318" t="s">
        <v>237</v>
      </c>
    </row>
    <row r="10257" spans="1:2" ht="12.75" customHeight="1" x14ac:dyDescent="0.25">
      <c r="A10257" s="318">
        <v>93698462843</v>
      </c>
      <c r="B10257" s="318" t="s">
        <v>237</v>
      </c>
    </row>
    <row r="10258" spans="1:2" ht="12.75" customHeight="1" x14ac:dyDescent="0.25">
      <c r="A10258" s="318">
        <v>93698462844</v>
      </c>
      <c r="B10258" s="318" t="s">
        <v>237</v>
      </c>
    </row>
    <row r="10259" spans="1:2" ht="12.75" customHeight="1" x14ac:dyDescent="0.25">
      <c r="A10259" s="318">
        <v>93698462845</v>
      </c>
      <c r="B10259" s="318" t="s">
        <v>237</v>
      </c>
    </row>
    <row r="10260" spans="1:2" ht="12.75" customHeight="1" x14ac:dyDescent="0.25">
      <c r="A10260" s="318">
        <v>93698462846</v>
      </c>
      <c r="B10260" s="318" t="s">
        <v>237</v>
      </c>
    </row>
    <row r="10261" spans="1:2" ht="12.75" customHeight="1" x14ac:dyDescent="0.25">
      <c r="A10261" s="318">
        <v>93698462847</v>
      </c>
      <c r="B10261" s="318" t="s">
        <v>237</v>
      </c>
    </row>
    <row r="10262" spans="1:2" ht="12.75" customHeight="1" x14ac:dyDescent="0.25">
      <c r="A10262" s="318">
        <v>93698462931</v>
      </c>
      <c r="B10262" s="318" t="s">
        <v>237</v>
      </c>
    </row>
    <row r="10263" spans="1:2" ht="12.75" customHeight="1" x14ac:dyDescent="0.25">
      <c r="A10263" s="318">
        <v>93698462932</v>
      </c>
      <c r="B10263" s="318" t="s">
        <v>237</v>
      </c>
    </row>
    <row r="10264" spans="1:2" ht="12.75" customHeight="1" x14ac:dyDescent="0.25">
      <c r="A10264" s="318">
        <v>93698462933</v>
      </c>
      <c r="B10264" s="318" t="s">
        <v>237</v>
      </c>
    </row>
    <row r="10265" spans="1:2" ht="12.75" customHeight="1" x14ac:dyDescent="0.25">
      <c r="A10265" s="318">
        <v>93698462934</v>
      </c>
      <c r="B10265" s="318" t="s">
        <v>237</v>
      </c>
    </row>
    <row r="10266" spans="1:2" ht="12.75" customHeight="1" x14ac:dyDescent="0.25">
      <c r="A10266" s="318">
        <v>93698462935</v>
      </c>
      <c r="B10266" s="318" t="s">
        <v>237</v>
      </c>
    </row>
    <row r="10267" spans="1:2" ht="12.75" customHeight="1" x14ac:dyDescent="0.25">
      <c r="A10267" s="318">
        <v>93698462936</v>
      </c>
      <c r="B10267" s="318" t="s">
        <v>237</v>
      </c>
    </row>
    <row r="10268" spans="1:2" ht="12.75" customHeight="1" x14ac:dyDescent="0.25">
      <c r="A10268" s="318">
        <v>93698462937</v>
      </c>
      <c r="B10268" s="318" t="s">
        <v>237</v>
      </c>
    </row>
    <row r="10269" spans="1:2" ht="12.75" customHeight="1" x14ac:dyDescent="0.25">
      <c r="A10269" s="318">
        <v>93698462938</v>
      </c>
      <c r="B10269" s="318" t="s">
        <v>237</v>
      </c>
    </row>
    <row r="10270" spans="1:2" ht="12.75" customHeight="1" x14ac:dyDescent="0.25">
      <c r="A10270" s="318">
        <v>93698462940</v>
      </c>
      <c r="B10270" s="318" t="s">
        <v>237</v>
      </c>
    </row>
    <row r="10271" spans="1:2" ht="12.75" customHeight="1" x14ac:dyDescent="0.25">
      <c r="A10271" s="318">
        <v>93698462941</v>
      </c>
      <c r="B10271" s="318" t="s">
        <v>237</v>
      </c>
    </row>
    <row r="10272" spans="1:2" ht="12.75" customHeight="1" x14ac:dyDescent="0.25">
      <c r="A10272" s="318">
        <v>93698462942</v>
      </c>
      <c r="B10272" s="318" t="s">
        <v>237</v>
      </c>
    </row>
    <row r="10273" spans="1:2" ht="12.75" customHeight="1" x14ac:dyDescent="0.25">
      <c r="A10273" s="318">
        <v>93698462943</v>
      </c>
      <c r="B10273" s="318" t="s">
        <v>237</v>
      </c>
    </row>
    <row r="10274" spans="1:2" ht="12.75" customHeight="1" x14ac:dyDescent="0.25">
      <c r="A10274" s="318">
        <v>93698462944</v>
      </c>
      <c r="B10274" s="318" t="s">
        <v>237</v>
      </c>
    </row>
    <row r="10275" spans="1:2" ht="12.75" customHeight="1" x14ac:dyDescent="0.25">
      <c r="A10275" s="318">
        <v>93698462945</v>
      </c>
      <c r="B10275" s="318" t="s">
        <v>237</v>
      </c>
    </row>
    <row r="10276" spans="1:2" ht="12.75" customHeight="1" x14ac:dyDescent="0.25">
      <c r="A10276" s="318">
        <v>93698462946</v>
      </c>
      <c r="B10276" s="318" t="s">
        <v>237</v>
      </c>
    </row>
    <row r="10277" spans="1:2" ht="12.75" customHeight="1" x14ac:dyDescent="0.25">
      <c r="A10277" s="318">
        <v>93698462947</v>
      </c>
      <c r="B10277" s="318" t="s">
        <v>237</v>
      </c>
    </row>
    <row r="10278" spans="1:2" ht="12.75" customHeight="1" x14ac:dyDescent="0.25">
      <c r="A10278" s="318">
        <v>93698943804</v>
      </c>
      <c r="B10278" s="318" t="s">
        <v>23</v>
      </c>
    </row>
    <row r="10279" spans="1:2" ht="12.75" customHeight="1" x14ac:dyDescent="0.25">
      <c r="A10279" s="318">
        <v>93698943805</v>
      </c>
      <c r="B10279" s="318" t="s">
        <v>23</v>
      </c>
    </row>
    <row r="10280" spans="1:2" ht="12.75" customHeight="1" x14ac:dyDescent="0.25">
      <c r="A10280" s="318">
        <v>93698943806</v>
      </c>
      <c r="B10280" s="318" t="s">
        <v>23</v>
      </c>
    </row>
    <row r="10281" spans="1:2" ht="12.75" customHeight="1" x14ac:dyDescent="0.25">
      <c r="A10281" s="318">
        <v>93698943807</v>
      </c>
      <c r="B10281" s="318" t="s">
        <v>23</v>
      </c>
    </row>
    <row r="10282" spans="1:2" ht="12.75" customHeight="1" x14ac:dyDescent="0.25">
      <c r="A10282" s="318">
        <v>93698943808</v>
      </c>
      <c r="B10282" s="318" t="s">
        <v>23</v>
      </c>
    </row>
    <row r="10283" spans="1:2" ht="12.75" customHeight="1" x14ac:dyDescent="0.25">
      <c r="A10283" s="318">
        <v>93698943809</v>
      </c>
      <c r="B10283" s="318" t="s">
        <v>23</v>
      </c>
    </row>
    <row r="10284" spans="1:2" ht="12.75" customHeight="1" x14ac:dyDescent="0.25">
      <c r="A10284" s="318">
        <v>93698943810</v>
      </c>
      <c r="B10284" s="318" t="s">
        <v>23</v>
      </c>
    </row>
    <row r="10285" spans="1:2" ht="12.75" customHeight="1" x14ac:dyDescent="0.25">
      <c r="A10285" s="318">
        <v>93698943811</v>
      </c>
      <c r="B10285" s="318" t="s">
        <v>23</v>
      </c>
    </row>
    <row r="10286" spans="1:2" ht="12.75" customHeight="1" x14ac:dyDescent="0.25">
      <c r="A10286" s="318">
        <v>93698943813</v>
      </c>
      <c r="B10286" s="318" t="s">
        <v>237</v>
      </c>
    </row>
    <row r="10287" spans="1:2" ht="12.75" customHeight="1" x14ac:dyDescent="0.25">
      <c r="A10287" s="318">
        <v>93698943814</v>
      </c>
      <c r="B10287" s="318" t="s">
        <v>237</v>
      </c>
    </row>
    <row r="10288" spans="1:2" ht="12.75" customHeight="1" x14ac:dyDescent="0.25">
      <c r="A10288" s="318">
        <v>93698943815</v>
      </c>
      <c r="B10288" s="318" t="s">
        <v>237</v>
      </c>
    </row>
    <row r="10289" spans="1:2" ht="12.75" customHeight="1" x14ac:dyDescent="0.25">
      <c r="A10289" s="318">
        <v>93698943816</v>
      </c>
      <c r="B10289" s="318" t="s">
        <v>237</v>
      </c>
    </row>
    <row r="10290" spans="1:2" ht="12.75" customHeight="1" x14ac:dyDescent="0.25">
      <c r="A10290" s="318">
        <v>93698943817</v>
      </c>
      <c r="B10290" s="318" t="s">
        <v>237</v>
      </c>
    </row>
    <row r="10291" spans="1:2" ht="12.75" customHeight="1" x14ac:dyDescent="0.25">
      <c r="A10291" s="318">
        <v>93698943818</v>
      </c>
      <c r="B10291" s="318" t="s">
        <v>237</v>
      </c>
    </row>
    <row r="10292" spans="1:2" ht="12.75" customHeight="1" x14ac:dyDescent="0.25">
      <c r="A10292" s="318">
        <v>93698943819</v>
      </c>
      <c r="B10292" s="318" t="s">
        <v>237</v>
      </c>
    </row>
    <row r="10293" spans="1:2" ht="12.75" customHeight="1" x14ac:dyDescent="0.25">
      <c r="A10293" s="318">
        <v>93698943820</v>
      </c>
      <c r="B10293" s="318" t="s">
        <v>237</v>
      </c>
    </row>
    <row r="10294" spans="1:2" ht="12.75" customHeight="1" x14ac:dyDescent="0.25">
      <c r="A10294" s="318">
        <v>93698943904</v>
      </c>
      <c r="B10294" s="318" t="s">
        <v>237</v>
      </c>
    </row>
    <row r="10295" spans="1:2" ht="12.75" customHeight="1" x14ac:dyDescent="0.25">
      <c r="A10295" s="318">
        <v>93698943905</v>
      </c>
      <c r="B10295" s="318" t="s">
        <v>237</v>
      </c>
    </row>
    <row r="10296" spans="1:2" ht="12.75" customHeight="1" x14ac:dyDescent="0.25">
      <c r="A10296" s="318">
        <v>93698943906</v>
      </c>
      <c r="B10296" s="318" t="s">
        <v>237</v>
      </c>
    </row>
    <row r="10297" spans="1:2" ht="12.75" customHeight="1" x14ac:dyDescent="0.25">
      <c r="A10297" s="318">
        <v>93698943907</v>
      </c>
      <c r="B10297" s="318" t="s">
        <v>237</v>
      </c>
    </row>
    <row r="10298" spans="1:2" ht="12.75" customHeight="1" x14ac:dyDescent="0.25">
      <c r="A10298" s="318">
        <v>93698943908</v>
      </c>
      <c r="B10298" s="318" t="s">
        <v>237</v>
      </c>
    </row>
    <row r="10299" spans="1:2" ht="12.75" customHeight="1" x14ac:dyDescent="0.25">
      <c r="A10299" s="318">
        <v>93698943909</v>
      </c>
      <c r="B10299" s="318" t="s">
        <v>237</v>
      </c>
    </row>
    <row r="10300" spans="1:2" ht="12.75" customHeight="1" x14ac:dyDescent="0.25">
      <c r="A10300" s="318">
        <v>93698943910</v>
      </c>
      <c r="B10300" s="318" t="s">
        <v>237</v>
      </c>
    </row>
    <row r="10301" spans="1:2" ht="12.75" customHeight="1" x14ac:dyDescent="0.25">
      <c r="A10301" s="318">
        <v>93698943911</v>
      </c>
      <c r="B10301" s="318" t="s">
        <v>237</v>
      </c>
    </row>
    <row r="10302" spans="1:2" ht="12.75" customHeight="1" x14ac:dyDescent="0.25">
      <c r="A10302" s="318">
        <v>93698943913</v>
      </c>
      <c r="B10302" s="318" t="s">
        <v>237</v>
      </c>
    </row>
    <row r="10303" spans="1:2" ht="12.75" customHeight="1" x14ac:dyDescent="0.25">
      <c r="A10303" s="318">
        <v>93698943914</v>
      </c>
      <c r="B10303" s="318" t="s">
        <v>237</v>
      </c>
    </row>
    <row r="10304" spans="1:2" ht="12.75" customHeight="1" x14ac:dyDescent="0.25">
      <c r="A10304" s="318">
        <v>93698943915</v>
      </c>
      <c r="B10304" s="318" t="s">
        <v>237</v>
      </c>
    </row>
    <row r="10305" spans="1:2" ht="12.75" customHeight="1" x14ac:dyDescent="0.25">
      <c r="A10305" s="318">
        <v>93698943916</v>
      </c>
      <c r="B10305" s="318" t="s">
        <v>237</v>
      </c>
    </row>
    <row r="10306" spans="1:2" ht="12.75" customHeight="1" x14ac:dyDescent="0.25">
      <c r="A10306" s="318">
        <v>93698943917</v>
      </c>
      <c r="B10306" s="318" t="s">
        <v>237</v>
      </c>
    </row>
    <row r="10307" spans="1:2" ht="12.75" customHeight="1" x14ac:dyDescent="0.25">
      <c r="A10307" s="318">
        <v>93698943918</v>
      </c>
      <c r="B10307" s="318" t="s">
        <v>237</v>
      </c>
    </row>
    <row r="10308" spans="1:2" ht="12.75" customHeight="1" x14ac:dyDescent="0.25">
      <c r="A10308" s="318">
        <v>93698943919</v>
      </c>
      <c r="B10308" s="318" t="s">
        <v>237</v>
      </c>
    </row>
    <row r="10309" spans="1:2" ht="12.75" customHeight="1" x14ac:dyDescent="0.25">
      <c r="A10309" s="318">
        <v>93698943920</v>
      </c>
      <c r="B10309" s="318" t="s">
        <v>237</v>
      </c>
    </row>
    <row r="10310" spans="1:2" ht="12.75" customHeight="1" x14ac:dyDescent="0.25">
      <c r="A10310" s="318">
        <v>93699424777</v>
      </c>
      <c r="B10310" s="318" t="s">
        <v>23</v>
      </c>
    </row>
    <row r="10311" spans="1:2" ht="12.75" customHeight="1" x14ac:dyDescent="0.25">
      <c r="A10311" s="318">
        <v>93699424778</v>
      </c>
      <c r="B10311" s="318" t="s">
        <v>23</v>
      </c>
    </row>
    <row r="10312" spans="1:2" ht="12.75" customHeight="1" x14ac:dyDescent="0.25">
      <c r="A10312" s="318">
        <v>93699424779</v>
      </c>
      <c r="B10312" s="318" t="s">
        <v>23</v>
      </c>
    </row>
    <row r="10313" spans="1:2" ht="12.75" customHeight="1" x14ac:dyDescent="0.25">
      <c r="A10313" s="318">
        <v>93699424780</v>
      </c>
      <c r="B10313" s="318" t="s">
        <v>23</v>
      </c>
    </row>
    <row r="10314" spans="1:2" ht="12.75" customHeight="1" x14ac:dyDescent="0.25">
      <c r="A10314" s="318">
        <v>93699424781</v>
      </c>
      <c r="B10314" s="318" t="s">
        <v>23</v>
      </c>
    </row>
    <row r="10315" spans="1:2" ht="12.75" customHeight="1" x14ac:dyDescent="0.25">
      <c r="A10315" s="318">
        <v>93699424782</v>
      </c>
      <c r="B10315" s="318" t="s">
        <v>23</v>
      </c>
    </row>
    <row r="10316" spans="1:2" ht="12.75" customHeight="1" x14ac:dyDescent="0.25">
      <c r="A10316" s="318">
        <v>93699424783</v>
      </c>
      <c r="B10316" s="318" t="s">
        <v>23</v>
      </c>
    </row>
    <row r="10317" spans="1:2" ht="12.75" customHeight="1" x14ac:dyDescent="0.25">
      <c r="A10317" s="318">
        <v>93699424784</v>
      </c>
      <c r="B10317" s="318" t="s">
        <v>23</v>
      </c>
    </row>
    <row r="10318" spans="1:2" ht="12.75" customHeight="1" x14ac:dyDescent="0.25">
      <c r="A10318" s="318">
        <v>93699424786</v>
      </c>
      <c r="B10318" s="318" t="s">
        <v>23</v>
      </c>
    </row>
    <row r="10319" spans="1:2" ht="12.75" customHeight="1" x14ac:dyDescent="0.25">
      <c r="A10319" s="318">
        <v>93699424787</v>
      </c>
      <c r="B10319" s="318" t="s">
        <v>23</v>
      </c>
    </row>
    <row r="10320" spans="1:2" ht="12.75" customHeight="1" x14ac:dyDescent="0.25">
      <c r="A10320" s="318">
        <v>93699424788</v>
      </c>
      <c r="B10320" s="318" t="s">
        <v>23</v>
      </c>
    </row>
    <row r="10321" spans="1:2" ht="12.75" customHeight="1" x14ac:dyDescent="0.25">
      <c r="A10321" s="318">
        <v>93699424789</v>
      </c>
      <c r="B10321" s="318" t="s">
        <v>23</v>
      </c>
    </row>
    <row r="10322" spans="1:2" ht="12.75" customHeight="1" x14ac:dyDescent="0.25">
      <c r="A10322" s="318">
        <v>93699424790</v>
      </c>
      <c r="B10322" s="318" t="s">
        <v>23</v>
      </c>
    </row>
    <row r="10323" spans="1:2" ht="12.75" customHeight="1" x14ac:dyDescent="0.25">
      <c r="A10323" s="318">
        <v>93699424791</v>
      </c>
      <c r="B10323" s="318" t="s">
        <v>23</v>
      </c>
    </row>
    <row r="10324" spans="1:2" ht="12.75" customHeight="1" x14ac:dyDescent="0.25">
      <c r="A10324" s="318">
        <v>93699424792</v>
      </c>
      <c r="B10324" s="318" t="s">
        <v>23</v>
      </c>
    </row>
    <row r="10325" spans="1:2" ht="12.75" customHeight="1" x14ac:dyDescent="0.25">
      <c r="A10325" s="318">
        <v>93699424793</v>
      </c>
      <c r="B10325" s="318" t="s">
        <v>23</v>
      </c>
    </row>
    <row r="10326" spans="1:2" ht="12.75" customHeight="1" x14ac:dyDescent="0.25">
      <c r="A10326" s="318">
        <v>93699424877</v>
      </c>
      <c r="B10326" s="318" t="s">
        <v>237</v>
      </c>
    </row>
    <row r="10327" spans="1:2" ht="12.75" customHeight="1" x14ac:dyDescent="0.25">
      <c r="A10327" s="318">
        <v>93699424878</v>
      </c>
      <c r="B10327" s="318" t="s">
        <v>237</v>
      </c>
    </row>
    <row r="10328" spans="1:2" ht="12.75" customHeight="1" x14ac:dyDescent="0.25">
      <c r="A10328" s="318">
        <v>93699424879</v>
      </c>
      <c r="B10328" s="318" t="s">
        <v>237</v>
      </c>
    </row>
    <row r="10329" spans="1:2" ht="12.75" customHeight="1" x14ac:dyDescent="0.25">
      <c r="A10329" s="318">
        <v>93699424880</v>
      </c>
      <c r="B10329" s="318" t="s">
        <v>237</v>
      </c>
    </row>
    <row r="10330" spans="1:2" ht="12.75" customHeight="1" x14ac:dyDescent="0.25">
      <c r="A10330" s="318">
        <v>93699424881</v>
      </c>
      <c r="B10330" s="318" t="s">
        <v>237</v>
      </c>
    </row>
    <row r="10331" spans="1:2" ht="12.75" customHeight="1" x14ac:dyDescent="0.25">
      <c r="A10331" s="318">
        <v>93699424882</v>
      </c>
      <c r="B10331" s="318" t="s">
        <v>237</v>
      </c>
    </row>
    <row r="10332" spans="1:2" ht="12.75" customHeight="1" x14ac:dyDescent="0.25">
      <c r="A10332" s="318">
        <v>93699424883</v>
      </c>
      <c r="B10332" s="318" t="s">
        <v>237</v>
      </c>
    </row>
    <row r="10333" spans="1:2" ht="12.75" customHeight="1" x14ac:dyDescent="0.25">
      <c r="A10333" s="318">
        <v>93699424884</v>
      </c>
      <c r="B10333" s="318" t="s">
        <v>237</v>
      </c>
    </row>
    <row r="10334" spans="1:2" ht="12.75" customHeight="1" x14ac:dyDescent="0.25">
      <c r="A10334" s="318">
        <v>93699424886</v>
      </c>
      <c r="B10334" s="318" t="s">
        <v>237</v>
      </c>
    </row>
    <row r="10335" spans="1:2" ht="12.75" customHeight="1" x14ac:dyDescent="0.25">
      <c r="A10335" s="318">
        <v>93699424887</v>
      </c>
      <c r="B10335" s="318" t="s">
        <v>237</v>
      </c>
    </row>
    <row r="10336" spans="1:2" ht="12.75" customHeight="1" x14ac:dyDescent="0.25">
      <c r="A10336" s="318">
        <v>93699424888</v>
      </c>
      <c r="B10336" s="318" t="s">
        <v>237</v>
      </c>
    </row>
    <row r="10337" spans="1:2" ht="12.75" customHeight="1" x14ac:dyDescent="0.25">
      <c r="A10337" s="318">
        <v>93699424889</v>
      </c>
      <c r="B10337" s="318" t="s">
        <v>237</v>
      </c>
    </row>
    <row r="10338" spans="1:2" ht="12.75" customHeight="1" x14ac:dyDescent="0.25">
      <c r="A10338" s="318">
        <v>93699424890</v>
      </c>
      <c r="B10338" s="318" t="s">
        <v>237</v>
      </c>
    </row>
    <row r="10339" spans="1:2" ht="12.75" customHeight="1" x14ac:dyDescent="0.25">
      <c r="A10339" s="318">
        <v>93699424891</v>
      </c>
      <c r="B10339" s="318" t="s">
        <v>237</v>
      </c>
    </row>
    <row r="10340" spans="1:2" ht="12.75" customHeight="1" x14ac:dyDescent="0.25">
      <c r="A10340" s="318">
        <v>93699424892</v>
      </c>
      <c r="B10340" s="318" t="s">
        <v>237</v>
      </c>
    </row>
    <row r="10341" spans="1:2" ht="12.75" customHeight="1" x14ac:dyDescent="0.25">
      <c r="A10341" s="318">
        <v>93699424893</v>
      </c>
      <c r="B10341" s="318" t="s">
        <v>237</v>
      </c>
    </row>
    <row r="10342" spans="1:2" ht="12.75" customHeight="1" x14ac:dyDescent="0.25">
      <c r="A10342" s="318">
        <v>93700104968</v>
      </c>
      <c r="B10342" s="318" t="s">
        <v>23</v>
      </c>
    </row>
    <row r="10343" spans="1:2" ht="12.75" customHeight="1" x14ac:dyDescent="0.25">
      <c r="A10343" s="318">
        <v>93700104969</v>
      </c>
      <c r="B10343" s="318" t="s">
        <v>23</v>
      </c>
    </row>
    <row r="10344" spans="1:2" ht="12.75" customHeight="1" x14ac:dyDescent="0.25">
      <c r="A10344" s="318">
        <v>93700104970</v>
      </c>
      <c r="B10344" s="318" t="s">
        <v>23</v>
      </c>
    </row>
    <row r="10345" spans="1:2" ht="12.75" customHeight="1" x14ac:dyDescent="0.25">
      <c r="A10345" s="318">
        <v>93700104971</v>
      </c>
      <c r="B10345" s="318" t="s">
        <v>23</v>
      </c>
    </row>
    <row r="10346" spans="1:2" ht="12.75" customHeight="1" x14ac:dyDescent="0.25">
      <c r="A10346" s="318">
        <v>93700104972</v>
      </c>
      <c r="B10346" s="318" t="s">
        <v>23</v>
      </c>
    </row>
    <row r="10347" spans="1:2" ht="12.75" customHeight="1" x14ac:dyDescent="0.25">
      <c r="A10347" s="318">
        <v>93700104973</v>
      </c>
      <c r="B10347" s="318" t="s">
        <v>23</v>
      </c>
    </row>
    <row r="10348" spans="1:2" ht="12.75" customHeight="1" x14ac:dyDescent="0.25">
      <c r="A10348" s="318">
        <v>93700104974</v>
      </c>
      <c r="B10348" s="318" t="s">
        <v>23</v>
      </c>
    </row>
    <row r="10349" spans="1:2" ht="12.75" customHeight="1" x14ac:dyDescent="0.25">
      <c r="A10349" s="318">
        <v>93700104975</v>
      </c>
      <c r="B10349" s="318" t="s">
        <v>23</v>
      </c>
    </row>
    <row r="10350" spans="1:2" ht="12.75" customHeight="1" x14ac:dyDescent="0.25">
      <c r="A10350" s="318">
        <v>93700104977</v>
      </c>
      <c r="B10350" s="318" t="s">
        <v>237</v>
      </c>
    </row>
    <row r="10351" spans="1:2" ht="12.75" customHeight="1" x14ac:dyDescent="0.25">
      <c r="A10351" s="318">
        <v>93700104978</v>
      </c>
      <c r="B10351" s="318" t="s">
        <v>237</v>
      </c>
    </row>
    <row r="10352" spans="1:2" ht="12.75" customHeight="1" x14ac:dyDescent="0.25">
      <c r="A10352" s="318">
        <v>93700104979</v>
      </c>
      <c r="B10352" s="318" t="s">
        <v>237</v>
      </c>
    </row>
    <row r="10353" spans="1:2" ht="12.75" customHeight="1" x14ac:dyDescent="0.25">
      <c r="A10353" s="318">
        <v>93700104980</v>
      </c>
      <c r="B10353" s="318" t="s">
        <v>237</v>
      </c>
    </row>
    <row r="10354" spans="1:2" ht="12.75" customHeight="1" x14ac:dyDescent="0.25">
      <c r="A10354" s="318">
        <v>93700104981</v>
      </c>
      <c r="B10354" s="318" t="s">
        <v>237</v>
      </c>
    </row>
    <row r="10355" spans="1:2" ht="12.75" customHeight="1" x14ac:dyDescent="0.25">
      <c r="A10355" s="318">
        <v>93700104982</v>
      </c>
      <c r="B10355" s="318" t="s">
        <v>237</v>
      </c>
    </row>
    <row r="10356" spans="1:2" ht="12.75" customHeight="1" x14ac:dyDescent="0.25">
      <c r="A10356" s="318">
        <v>93700104983</v>
      </c>
      <c r="B10356" s="318" t="s">
        <v>237</v>
      </c>
    </row>
    <row r="10357" spans="1:2" ht="12.75" customHeight="1" x14ac:dyDescent="0.25">
      <c r="A10357" s="318">
        <v>93700104984</v>
      </c>
      <c r="B10357" s="318" t="s">
        <v>237</v>
      </c>
    </row>
    <row r="10358" spans="1:2" ht="12.75" customHeight="1" x14ac:dyDescent="0.25">
      <c r="A10358" s="318">
        <v>93700105068</v>
      </c>
      <c r="B10358" s="318" t="s">
        <v>237</v>
      </c>
    </row>
    <row r="10359" spans="1:2" ht="12.75" customHeight="1" x14ac:dyDescent="0.25">
      <c r="A10359" s="318">
        <v>93700105069</v>
      </c>
      <c r="B10359" s="318" t="s">
        <v>237</v>
      </c>
    </row>
    <row r="10360" spans="1:2" ht="12.75" customHeight="1" x14ac:dyDescent="0.25">
      <c r="A10360" s="318">
        <v>93700105070</v>
      </c>
      <c r="B10360" s="318" t="s">
        <v>237</v>
      </c>
    </row>
    <row r="10361" spans="1:2" ht="12.75" customHeight="1" x14ac:dyDescent="0.25">
      <c r="A10361" s="318">
        <v>93700105071</v>
      </c>
      <c r="B10361" s="318" t="s">
        <v>237</v>
      </c>
    </row>
    <row r="10362" spans="1:2" ht="12.75" customHeight="1" x14ac:dyDescent="0.25">
      <c r="A10362" s="318">
        <v>93700105072</v>
      </c>
      <c r="B10362" s="318" t="s">
        <v>237</v>
      </c>
    </row>
    <row r="10363" spans="1:2" ht="12.75" customHeight="1" x14ac:dyDescent="0.25">
      <c r="A10363" s="318">
        <v>93700105073</v>
      </c>
      <c r="B10363" s="318" t="s">
        <v>237</v>
      </c>
    </row>
    <row r="10364" spans="1:2" ht="12.75" customHeight="1" x14ac:dyDescent="0.25">
      <c r="A10364" s="318">
        <v>93700105074</v>
      </c>
      <c r="B10364" s="318" t="s">
        <v>237</v>
      </c>
    </row>
    <row r="10365" spans="1:2" ht="12.75" customHeight="1" x14ac:dyDescent="0.25">
      <c r="A10365" s="318">
        <v>93700105075</v>
      </c>
      <c r="B10365" s="318" t="s">
        <v>237</v>
      </c>
    </row>
    <row r="10366" spans="1:2" ht="12.75" customHeight="1" x14ac:dyDescent="0.25">
      <c r="A10366" s="318">
        <v>93700105077</v>
      </c>
      <c r="B10366" s="318" t="s">
        <v>237</v>
      </c>
    </row>
    <row r="10367" spans="1:2" ht="12.75" customHeight="1" x14ac:dyDescent="0.25">
      <c r="A10367" s="318">
        <v>93700105078</v>
      </c>
      <c r="B10367" s="318" t="s">
        <v>237</v>
      </c>
    </row>
    <row r="10368" spans="1:2" ht="12.75" customHeight="1" x14ac:dyDescent="0.25">
      <c r="A10368" s="318">
        <v>93700105079</v>
      </c>
      <c r="B10368" s="318" t="s">
        <v>237</v>
      </c>
    </row>
    <row r="10369" spans="1:2" ht="12.75" customHeight="1" x14ac:dyDescent="0.25">
      <c r="A10369" s="318">
        <v>93700105080</v>
      </c>
      <c r="B10369" s="318" t="s">
        <v>237</v>
      </c>
    </row>
    <row r="10370" spans="1:2" ht="12.75" customHeight="1" x14ac:dyDescent="0.25">
      <c r="A10370" s="318">
        <v>93700105081</v>
      </c>
      <c r="B10370" s="318" t="s">
        <v>237</v>
      </c>
    </row>
    <row r="10371" spans="1:2" ht="12.75" customHeight="1" x14ac:dyDescent="0.25">
      <c r="A10371" s="318">
        <v>93700105082</v>
      </c>
      <c r="B10371" s="318" t="s">
        <v>237</v>
      </c>
    </row>
    <row r="10372" spans="1:2" ht="12.75" customHeight="1" x14ac:dyDescent="0.25">
      <c r="A10372" s="318">
        <v>93700105083</v>
      </c>
      <c r="B10372" s="318" t="s">
        <v>237</v>
      </c>
    </row>
    <row r="10373" spans="1:2" ht="12.75" customHeight="1" x14ac:dyDescent="0.25">
      <c r="A10373" s="318">
        <v>93700105084</v>
      </c>
      <c r="B10373" s="318" t="s">
        <v>237</v>
      </c>
    </row>
    <row r="10374" spans="1:2" ht="12.75" customHeight="1" x14ac:dyDescent="0.25">
      <c r="A10374" s="318">
        <v>93700585941</v>
      </c>
      <c r="B10374" s="318" t="s">
        <v>23</v>
      </c>
    </row>
    <row r="10375" spans="1:2" ht="12.75" customHeight="1" x14ac:dyDescent="0.25">
      <c r="A10375" s="318">
        <v>93700585942</v>
      </c>
      <c r="B10375" s="318" t="s">
        <v>23</v>
      </c>
    </row>
    <row r="10376" spans="1:2" ht="12.75" customHeight="1" x14ac:dyDescent="0.25">
      <c r="A10376" s="318">
        <v>93700585943</v>
      </c>
      <c r="B10376" s="318" t="s">
        <v>23</v>
      </c>
    </row>
    <row r="10377" spans="1:2" ht="12.75" customHeight="1" x14ac:dyDescent="0.25">
      <c r="A10377" s="318">
        <v>93700585944</v>
      </c>
      <c r="B10377" s="318" t="s">
        <v>23</v>
      </c>
    </row>
    <row r="10378" spans="1:2" ht="12.75" customHeight="1" x14ac:dyDescent="0.25">
      <c r="A10378" s="318">
        <v>93700585945</v>
      </c>
      <c r="B10378" s="318" t="s">
        <v>23</v>
      </c>
    </row>
    <row r="10379" spans="1:2" ht="12.75" customHeight="1" x14ac:dyDescent="0.25">
      <c r="A10379" s="318">
        <v>93700585946</v>
      </c>
      <c r="B10379" s="318" t="s">
        <v>23</v>
      </c>
    </row>
    <row r="10380" spans="1:2" ht="12.75" customHeight="1" x14ac:dyDescent="0.25">
      <c r="A10380" s="318">
        <v>93700585947</v>
      </c>
      <c r="B10380" s="318" t="s">
        <v>23</v>
      </c>
    </row>
    <row r="10381" spans="1:2" ht="12.75" customHeight="1" x14ac:dyDescent="0.25">
      <c r="A10381" s="318">
        <v>93700585948</v>
      </c>
      <c r="B10381" s="318" t="s">
        <v>23</v>
      </c>
    </row>
    <row r="10382" spans="1:2" ht="12.75" customHeight="1" x14ac:dyDescent="0.25">
      <c r="A10382" s="318">
        <v>93700585950</v>
      </c>
      <c r="B10382" s="318" t="s">
        <v>237</v>
      </c>
    </row>
    <row r="10383" spans="1:2" ht="12.75" customHeight="1" x14ac:dyDescent="0.25">
      <c r="A10383" s="318">
        <v>93700585951</v>
      </c>
      <c r="B10383" s="318" t="s">
        <v>237</v>
      </c>
    </row>
    <row r="10384" spans="1:2" ht="12.75" customHeight="1" x14ac:dyDescent="0.25">
      <c r="A10384" s="318">
        <v>93700585952</v>
      </c>
      <c r="B10384" s="318" t="s">
        <v>237</v>
      </c>
    </row>
    <row r="10385" spans="1:2" ht="12.75" customHeight="1" x14ac:dyDescent="0.25">
      <c r="A10385" s="318">
        <v>93700585953</v>
      </c>
      <c r="B10385" s="318" t="s">
        <v>237</v>
      </c>
    </row>
    <row r="10386" spans="1:2" ht="12.75" customHeight="1" x14ac:dyDescent="0.25">
      <c r="A10386" s="318">
        <v>93700585954</v>
      </c>
      <c r="B10386" s="318" t="s">
        <v>237</v>
      </c>
    </row>
    <row r="10387" spans="1:2" ht="12.75" customHeight="1" x14ac:dyDescent="0.25">
      <c r="A10387" s="318">
        <v>93700585955</v>
      </c>
      <c r="B10387" s="318" t="s">
        <v>237</v>
      </c>
    </row>
    <row r="10388" spans="1:2" ht="12.75" customHeight="1" x14ac:dyDescent="0.25">
      <c r="A10388" s="318">
        <v>93700585956</v>
      </c>
      <c r="B10388" s="318" t="s">
        <v>237</v>
      </c>
    </row>
    <row r="10389" spans="1:2" ht="12.75" customHeight="1" x14ac:dyDescent="0.25">
      <c r="A10389" s="318">
        <v>93700585957</v>
      </c>
      <c r="B10389" s="318" t="s">
        <v>237</v>
      </c>
    </row>
    <row r="10390" spans="1:2" ht="12.75" customHeight="1" x14ac:dyDescent="0.25">
      <c r="A10390" s="318">
        <v>93700586041</v>
      </c>
      <c r="B10390" s="318" t="s">
        <v>237</v>
      </c>
    </row>
    <row r="10391" spans="1:2" ht="12.75" customHeight="1" x14ac:dyDescent="0.25">
      <c r="A10391" s="318">
        <v>93700586042</v>
      </c>
      <c r="B10391" s="318" t="s">
        <v>237</v>
      </c>
    </row>
    <row r="10392" spans="1:2" ht="12.75" customHeight="1" x14ac:dyDescent="0.25">
      <c r="A10392" s="318">
        <v>93700586043</v>
      </c>
      <c r="B10392" s="318" t="s">
        <v>237</v>
      </c>
    </row>
    <row r="10393" spans="1:2" ht="12.75" customHeight="1" x14ac:dyDescent="0.25">
      <c r="A10393" s="318">
        <v>93700586044</v>
      </c>
      <c r="B10393" s="318" t="s">
        <v>237</v>
      </c>
    </row>
    <row r="10394" spans="1:2" ht="12.75" customHeight="1" x14ac:dyDescent="0.25">
      <c r="A10394" s="318">
        <v>93700586045</v>
      </c>
      <c r="B10394" s="318" t="s">
        <v>237</v>
      </c>
    </row>
    <row r="10395" spans="1:2" ht="12.75" customHeight="1" x14ac:dyDescent="0.25">
      <c r="A10395" s="318">
        <v>93700586046</v>
      </c>
      <c r="B10395" s="318" t="s">
        <v>237</v>
      </c>
    </row>
    <row r="10396" spans="1:2" ht="12.75" customHeight="1" x14ac:dyDescent="0.25">
      <c r="A10396" s="318">
        <v>93700586047</v>
      </c>
      <c r="B10396" s="318" t="s">
        <v>237</v>
      </c>
    </row>
    <row r="10397" spans="1:2" ht="12.75" customHeight="1" x14ac:dyDescent="0.25">
      <c r="A10397" s="318">
        <v>93700586048</v>
      </c>
      <c r="B10397" s="318" t="s">
        <v>237</v>
      </c>
    </row>
    <row r="10398" spans="1:2" ht="12.75" customHeight="1" x14ac:dyDescent="0.25">
      <c r="A10398" s="318">
        <v>93700586050</v>
      </c>
      <c r="B10398" s="318" t="s">
        <v>237</v>
      </c>
    </row>
    <row r="10399" spans="1:2" ht="12.75" customHeight="1" x14ac:dyDescent="0.25">
      <c r="A10399" s="318">
        <v>93700586051</v>
      </c>
      <c r="B10399" s="318" t="s">
        <v>237</v>
      </c>
    </row>
    <row r="10400" spans="1:2" ht="12.75" customHeight="1" x14ac:dyDescent="0.25">
      <c r="A10400" s="318">
        <v>93700586052</v>
      </c>
      <c r="B10400" s="318" t="s">
        <v>237</v>
      </c>
    </row>
    <row r="10401" spans="1:2" ht="12.75" customHeight="1" x14ac:dyDescent="0.25">
      <c r="A10401" s="318">
        <v>93700586053</v>
      </c>
      <c r="B10401" s="318" t="s">
        <v>237</v>
      </c>
    </row>
    <row r="10402" spans="1:2" ht="12.75" customHeight="1" x14ac:dyDescent="0.25">
      <c r="A10402" s="318">
        <v>93700586054</v>
      </c>
      <c r="B10402" s="318" t="s">
        <v>237</v>
      </c>
    </row>
    <row r="10403" spans="1:2" ht="12.75" customHeight="1" x14ac:dyDescent="0.25">
      <c r="A10403" s="318">
        <v>93700586055</v>
      </c>
      <c r="B10403" s="318" t="s">
        <v>237</v>
      </c>
    </row>
    <row r="10404" spans="1:2" ht="12.75" customHeight="1" x14ac:dyDescent="0.25">
      <c r="A10404" s="318">
        <v>93700586056</v>
      </c>
      <c r="B10404" s="318" t="s">
        <v>237</v>
      </c>
    </row>
    <row r="10405" spans="1:2" ht="12.75" customHeight="1" x14ac:dyDescent="0.25">
      <c r="A10405" s="318">
        <v>93700586057</v>
      </c>
      <c r="B10405" s="318" t="s">
        <v>237</v>
      </c>
    </row>
    <row r="10406" spans="1:2" ht="12.75" customHeight="1" x14ac:dyDescent="0.25">
      <c r="A10406" s="318">
        <v>93701066914</v>
      </c>
      <c r="B10406" s="318" t="s">
        <v>23</v>
      </c>
    </row>
    <row r="10407" spans="1:2" ht="12.75" customHeight="1" x14ac:dyDescent="0.25">
      <c r="A10407" s="318">
        <v>93701066915</v>
      </c>
      <c r="B10407" s="318" t="s">
        <v>23</v>
      </c>
    </row>
    <row r="10408" spans="1:2" ht="12.75" customHeight="1" x14ac:dyDescent="0.25">
      <c r="A10408" s="318">
        <v>93701066916</v>
      </c>
      <c r="B10408" s="318" t="s">
        <v>23</v>
      </c>
    </row>
    <row r="10409" spans="1:2" ht="12.75" customHeight="1" x14ac:dyDescent="0.25">
      <c r="A10409" s="318">
        <v>93701066917</v>
      </c>
      <c r="B10409" s="318" t="s">
        <v>23</v>
      </c>
    </row>
    <row r="10410" spans="1:2" ht="12.75" customHeight="1" x14ac:dyDescent="0.25">
      <c r="A10410" s="318">
        <v>93701066918</v>
      </c>
      <c r="B10410" s="318" t="s">
        <v>23</v>
      </c>
    </row>
    <row r="10411" spans="1:2" ht="12.75" customHeight="1" x14ac:dyDescent="0.25">
      <c r="A10411" s="318">
        <v>93701066919</v>
      </c>
      <c r="B10411" s="318" t="s">
        <v>23</v>
      </c>
    </row>
    <row r="10412" spans="1:2" ht="12.75" customHeight="1" x14ac:dyDescent="0.25">
      <c r="A10412" s="318">
        <v>93701066920</v>
      </c>
      <c r="B10412" s="318" t="s">
        <v>23</v>
      </c>
    </row>
    <row r="10413" spans="1:2" ht="12.75" customHeight="1" x14ac:dyDescent="0.25">
      <c r="A10413" s="318">
        <v>93701066921</v>
      </c>
      <c r="B10413" s="318" t="s">
        <v>23</v>
      </c>
    </row>
    <row r="10414" spans="1:2" ht="12.75" customHeight="1" x14ac:dyDescent="0.25">
      <c r="A10414" s="318">
        <v>93701066923</v>
      </c>
      <c r="B10414" s="318" t="s">
        <v>23</v>
      </c>
    </row>
    <row r="10415" spans="1:2" ht="12.75" customHeight="1" x14ac:dyDescent="0.25">
      <c r="A10415" s="318">
        <v>93701066924</v>
      </c>
      <c r="B10415" s="318" t="s">
        <v>23</v>
      </c>
    </row>
    <row r="10416" spans="1:2" ht="12.75" customHeight="1" x14ac:dyDescent="0.25">
      <c r="A10416" s="318">
        <v>93701066925</v>
      </c>
      <c r="B10416" s="318" t="s">
        <v>23</v>
      </c>
    </row>
    <row r="10417" spans="1:2" ht="12.75" customHeight="1" x14ac:dyDescent="0.25">
      <c r="A10417" s="318">
        <v>93701066926</v>
      </c>
      <c r="B10417" s="318" t="s">
        <v>23</v>
      </c>
    </row>
    <row r="10418" spans="1:2" ht="12.75" customHeight="1" x14ac:dyDescent="0.25">
      <c r="A10418" s="318">
        <v>93701066927</v>
      </c>
      <c r="B10418" s="318" t="s">
        <v>23</v>
      </c>
    </row>
    <row r="10419" spans="1:2" ht="12.75" customHeight="1" x14ac:dyDescent="0.25">
      <c r="A10419" s="318">
        <v>93701066928</v>
      </c>
      <c r="B10419" s="318" t="s">
        <v>23</v>
      </c>
    </row>
    <row r="10420" spans="1:2" ht="12.75" customHeight="1" x14ac:dyDescent="0.25">
      <c r="A10420" s="318">
        <v>93701066929</v>
      </c>
      <c r="B10420" s="318" t="s">
        <v>23</v>
      </c>
    </row>
    <row r="10421" spans="1:2" ht="12.75" customHeight="1" x14ac:dyDescent="0.25">
      <c r="A10421" s="318">
        <v>93701066930</v>
      </c>
      <c r="B10421" s="318" t="s">
        <v>23</v>
      </c>
    </row>
    <row r="10422" spans="1:2" ht="12.75" customHeight="1" x14ac:dyDescent="0.25">
      <c r="A10422" s="318">
        <v>93701067014</v>
      </c>
      <c r="B10422" s="318" t="s">
        <v>237</v>
      </c>
    </row>
    <row r="10423" spans="1:2" ht="12.75" customHeight="1" x14ac:dyDescent="0.25">
      <c r="A10423" s="318">
        <v>93701067015</v>
      </c>
      <c r="B10423" s="318" t="s">
        <v>237</v>
      </c>
    </row>
    <row r="10424" spans="1:2" ht="12.75" customHeight="1" x14ac:dyDescent="0.25">
      <c r="A10424" s="318">
        <v>93701067016</v>
      </c>
      <c r="B10424" s="318" t="s">
        <v>237</v>
      </c>
    </row>
    <row r="10425" spans="1:2" ht="12.75" customHeight="1" x14ac:dyDescent="0.25">
      <c r="A10425" s="318">
        <v>93701067017</v>
      </c>
      <c r="B10425" s="318" t="s">
        <v>237</v>
      </c>
    </row>
    <row r="10426" spans="1:2" ht="12.75" customHeight="1" x14ac:dyDescent="0.25">
      <c r="A10426" s="318">
        <v>93701067018</v>
      </c>
      <c r="B10426" s="318" t="s">
        <v>237</v>
      </c>
    </row>
    <row r="10427" spans="1:2" ht="12.75" customHeight="1" x14ac:dyDescent="0.25">
      <c r="A10427" s="318">
        <v>93701067019</v>
      </c>
      <c r="B10427" s="318" t="s">
        <v>237</v>
      </c>
    </row>
    <row r="10428" spans="1:2" ht="12.75" customHeight="1" x14ac:dyDescent="0.25">
      <c r="A10428" s="318">
        <v>93701067020</v>
      </c>
      <c r="B10428" s="318" t="s">
        <v>237</v>
      </c>
    </row>
    <row r="10429" spans="1:2" ht="12.75" customHeight="1" x14ac:dyDescent="0.25">
      <c r="A10429" s="318">
        <v>93701067021</v>
      </c>
      <c r="B10429" s="318" t="s">
        <v>237</v>
      </c>
    </row>
    <row r="10430" spans="1:2" ht="12.75" customHeight="1" x14ac:dyDescent="0.25">
      <c r="A10430" s="318">
        <v>93701067023</v>
      </c>
      <c r="B10430" s="318" t="s">
        <v>237</v>
      </c>
    </row>
    <row r="10431" spans="1:2" ht="12.75" customHeight="1" x14ac:dyDescent="0.25">
      <c r="A10431" s="318">
        <v>93701067024</v>
      </c>
      <c r="B10431" s="318" t="s">
        <v>237</v>
      </c>
    </row>
    <row r="10432" spans="1:2" ht="12.75" customHeight="1" x14ac:dyDescent="0.25">
      <c r="A10432" s="318">
        <v>93701067025</v>
      </c>
      <c r="B10432" s="318" t="s">
        <v>237</v>
      </c>
    </row>
    <row r="10433" spans="1:2" ht="12.75" customHeight="1" x14ac:dyDescent="0.25">
      <c r="A10433" s="318">
        <v>93701067026</v>
      </c>
      <c r="B10433" s="318" t="s">
        <v>237</v>
      </c>
    </row>
    <row r="10434" spans="1:2" ht="12.75" customHeight="1" x14ac:dyDescent="0.25">
      <c r="A10434" s="318">
        <v>93701067027</v>
      </c>
      <c r="B10434" s="318" t="s">
        <v>237</v>
      </c>
    </row>
    <row r="10435" spans="1:2" ht="12.75" customHeight="1" x14ac:dyDescent="0.25">
      <c r="A10435" s="318">
        <v>93701067028</v>
      </c>
      <c r="B10435" s="318" t="s">
        <v>237</v>
      </c>
    </row>
    <row r="10436" spans="1:2" ht="12.75" customHeight="1" x14ac:dyDescent="0.25">
      <c r="A10436" s="318">
        <v>93701067029</v>
      </c>
      <c r="B10436" s="318" t="s">
        <v>237</v>
      </c>
    </row>
    <row r="10437" spans="1:2" ht="12.75" customHeight="1" x14ac:dyDescent="0.25">
      <c r="A10437" s="318">
        <v>93701067030</v>
      </c>
      <c r="B10437" s="318" t="s">
        <v>237</v>
      </c>
    </row>
    <row r="10438" spans="1:2" ht="12.75" customHeight="1" x14ac:dyDescent="0.25">
      <c r="A10438" s="318">
        <v>93701747105</v>
      </c>
      <c r="B10438" s="318" t="s">
        <v>23</v>
      </c>
    </row>
    <row r="10439" spans="1:2" ht="12.75" customHeight="1" x14ac:dyDescent="0.25">
      <c r="A10439" s="318">
        <v>93701747106</v>
      </c>
      <c r="B10439" s="318" t="s">
        <v>23</v>
      </c>
    </row>
    <row r="10440" spans="1:2" ht="12.75" customHeight="1" x14ac:dyDescent="0.25">
      <c r="A10440" s="318">
        <v>93701747107</v>
      </c>
      <c r="B10440" s="318" t="s">
        <v>23</v>
      </c>
    </row>
    <row r="10441" spans="1:2" ht="12.75" customHeight="1" x14ac:dyDescent="0.25">
      <c r="A10441" s="318">
        <v>93701747108</v>
      </c>
      <c r="B10441" s="318" t="s">
        <v>23</v>
      </c>
    </row>
    <row r="10442" spans="1:2" ht="12.75" customHeight="1" x14ac:dyDescent="0.25">
      <c r="A10442" s="318">
        <v>93701747109</v>
      </c>
      <c r="B10442" s="318" t="s">
        <v>23</v>
      </c>
    </row>
    <row r="10443" spans="1:2" ht="12.75" customHeight="1" x14ac:dyDescent="0.25">
      <c r="A10443" s="318">
        <v>93701747110</v>
      </c>
      <c r="B10443" s="318" t="s">
        <v>23</v>
      </c>
    </row>
    <row r="10444" spans="1:2" ht="12.75" customHeight="1" x14ac:dyDescent="0.25">
      <c r="A10444" s="318">
        <v>93701747111</v>
      </c>
      <c r="B10444" s="318" t="s">
        <v>23</v>
      </c>
    </row>
    <row r="10445" spans="1:2" ht="12.75" customHeight="1" x14ac:dyDescent="0.25">
      <c r="A10445" s="318">
        <v>93701747112</v>
      </c>
      <c r="B10445" s="318" t="s">
        <v>23</v>
      </c>
    </row>
    <row r="10446" spans="1:2" ht="12.75" customHeight="1" x14ac:dyDescent="0.25">
      <c r="A10446" s="318">
        <v>93701747114</v>
      </c>
      <c r="B10446" s="318" t="s">
        <v>23</v>
      </c>
    </row>
    <row r="10447" spans="1:2" ht="12.75" customHeight="1" x14ac:dyDescent="0.25">
      <c r="A10447" s="318">
        <v>93701747115</v>
      </c>
      <c r="B10447" s="318" t="s">
        <v>23</v>
      </c>
    </row>
    <row r="10448" spans="1:2" ht="12.75" customHeight="1" x14ac:dyDescent="0.25">
      <c r="A10448" s="318">
        <v>93701747116</v>
      </c>
      <c r="B10448" s="318" t="s">
        <v>23</v>
      </c>
    </row>
    <row r="10449" spans="1:2" ht="12.75" customHeight="1" x14ac:dyDescent="0.25">
      <c r="A10449" s="318">
        <v>93701747117</v>
      </c>
      <c r="B10449" s="318" t="s">
        <v>23</v>
      </c>
    </row>
    <row r="10450" spans="1:2" ht="12.75" customHeight="1" x14ac:dyDescent="0.25">
      <c r="A10450" s="318">
        <v>93701747118</v>
      </c>
      <c r="B10450" s="318" t="s">
        <v>23</v>
      </c>
    </row>
    <row r="10451" spans="1:2" ht="12.75" customHeight="1" x14ac:dyDescent="0.25">
      <c r="A10451" s="318">
        <v>93701747119</v>
      </c>
      <c r="B10451" s="318" t="s">
        <v>23</v>
      </c>
    </row>
    <row r="10452" spans="1:2" ht="12.75" customHeight="1" x14ac:dyDescent="0.25">
      <c r="A10452" s="318">
        <v>93701747120</v>
      </c>
      <c r="B10452" s="318" t="s">
        <v>23</v>
      </c>
    </row>
    <row r="10453" spans="1:2" ht="12.75" customHeight="1" x14ac:dyDescent="0.25">
      <c r="A10453" s="318">
        <v>93701747121</v>
      </c>
      <c r="B10453" s="318" t="s">
        <v>23</v>
      </c>
    </row>
    <row r="10454" spans="1:2" ht="12.75" customHeight="1" x14ac:dyDescent="0.25">
      <c r="A10454" s="318">
        <v>93701747205</v>
      </c>
      <c r="B10454" s="318" t="s">
        <v>237</v>
      </c>
    </row>
    <row r="10455" spans="1:2" ht="12.75" customHeight="1" x14ac:dyDescent="0.25">
      <c r="A10455" s="318">
        <v>93701747206</v>
      </c>
      <c r="B10455" s="318" t="s">
        <v>237</v>
      </c>
    </row>
    <row r="10456" spans="1:2" ht="12.75" customHeight="1" x14ac:dyDescent="0.25">
      <c r="A10456" s="318">
        <v>93701747207</v>
      </c>
      <c r="B10456" s="318" t="s">
        <v>237</v>
      </c>
    </row>
    <row r="10457" spans="1:2" ht="12.75" customHeight="1" x14ac:dyDescent="0.25">
      <c r="A10457" s="318">
        <v>93701747208</v>
      </c>
      <c r="B10457" s="318" t="s">
        <v>237</v>
      </c>
    </row>
    <row r="10458" spans="1:2" ht="12.75" customHeight="1" x14ac:dyDescent="0.25">
      <c r="A10458" s="318">
        <v>93701747209</v>
      </c>
      <c r="B10458" s="318" t="s">
        <v>237</v>
      </c>
    </row>
    <row r="10459" spans="1:2" ht="12.75" customHeight="1" x14ac:dyDescent="0.25">
      <c r="A10459" s="318">
        <v>93701747210</v>
      </c>
      <c r="B10459" s="318" t="s">
        <v>237</v>
      </c>
    </row>
    <row r="10460" spans="1:2" ht="12.75" customHeight="1" x14ac:dyDescent="0.25">
      <c r="A10460" s="318">
        <v>93701747211</v>
      </c>
      <c r="B10460" s="318" t="s">
        <v>237</v>
      </c>
    </row>
    <row r="10461" spans="1:2" ht="12.75" customHeight="1" x14ac:dyDescent="0.25">
      <c r="A10461" s="318">
        <v>93701747212</v>
      </c>
      <c r="B10461" s="318" t="s">
        <v>237</v>
      </c>
    </row>
    <row r="10462" spans="1:2" ht="12.75" customHeight="1" x14ac:dyDescent="0.25">
      <c r="A10462" s="318">
        <v>93701747214</v>
      </c>
      <c r="B10462" s="318" t="s">
        <v>237</v>
      </c>
    </row>
    <row r="10463" spans="1:2" ht="12.75" customHeight="1" x14ac:dyDescent="0.25">
      <c r="A10463" s="318">
        <v>93701747215</v>
      </c>
      <c r="B10463" s="318" t="s">
        <v>237</v>
      </c>
    </row>
    <row r="10464" spans="1:2" ht="12.75" customHeight="1" x14ac:dyDescent="0.25">
      <c r="A10464" s="318">
        <v>93701747216</v>
      </c>
      <c r="B10464" s="318" t="s">
        <v>237</v>
      </c>
    </row>
    <row r="10465" spans="1:2" ht="12.75" customHeight="1" x14ac:dyDescent="0.25">
      <c r="A10465" s="318">
        <v>93701747217</v>
      </c>
      <c r="B10465" s="318" t="s">
        <v>237</v>
      </c>
    </row>
    <row r="10466" spans="1:2" ht="12.75" customHeight="1" x14ac:dyDescent="0.25">
      <c r="A10466" s="318">
        <v>93701747218</v>
      </c>
      <c r="B10466" s="318" t="s">
        <v>237</v>
      </c>
    </row>
    <row r="10467" spans="1:2" ht="12.75" customHeight="1" x14ac:dyDescent="0.25">
      <c r="A10467" s="318">
        <v>93701747219</v>
      </c>
      <c r="B10467" s="318" t="s">
        <v>237</v>
      </c>
    </row>
    <row r="10468" spans="1:2" ht="12.75" customHeight="1" x14ac:dyDescent="0.25">
      <c r="A10468" s="318">
        <v>93701747220</v>
      </c>
      <c r="B10468" s="318" t="s">
        <v>237</v>
      </c>
    </row>
    <row r="10469" spans="1:2" ht="12.75" customHeight="1" x14ac:dyDescent="0.25">
      <c r="A10469" s="318">
        <v>93701747221</v>
      </c>
      <c r="B10469" s="318" t="s">
        <v>237</v>
      </c>
    </row>
    <row r="10470" spans="1:2" ht="12.75" customHeight="1" x14ac:dyDescent="0.25">
      <c r="A10470" s="318">
        <v>93702228078</v>
      </c>
      <c r="B10470" s="318" t="s">
        <v>23</v>
      </c>
    </row>
    <row r="10471" spans="1:2" ht="12.75" customHeight="1" x14ac:dyDescent="0.25">
      <c r="A10471" s="318">
        <v>93702228079</v>
      </c>
      <c r="B10471" s="318" t="s">
        <v>23</v>
      </c>
    </row>
    <row r="10472" spans="1:2" ht="12.75" customHeight="1" x14ac:dyDescent="0.25">
      <c r="A10472" s="318">
        <v>93702228080</v>
      </c>
      <c r="B10472" s="318" t="s">
        <v>23</v>
      </c>
    </row>
    <row r="10473" spans="1:2" ht="12.75" customHeight="1" x14ac:dyDescent="0.25">
      <c r="A10473" s="318">
        <v>93702228081</v>
      </c>
      <c r="B10473" s="318" t="s">
        <v>23</v>
      </c>
    </row>
    <row r="10474" spans="1:2" ht="12.75" customHeight="1" x14ac:dyDescent="0.25">
      <c r="A10474" s="318">
        <v>93702228082</v>
      </c>
      <c r="B10474" s="318" t="s">
        <v>23</v>
      </c>
    </row>
    <row r="10475" spans="1:2" ht="12.75" customHeight="1" x14ac:dyDescent="0.25">
      <c r="A10475" s="318">
        <v>93702228083</v>
      </c>
      <c r="B10475" s="318" t="s">
        <v>23</v>
      </c>
    </row>
    <row r="10476" spans="1:2" ht="12.75" customHeight="1" x14ac:dyDescent="0.25">
      <c r="A10476" s="318">
        <v>93702228084</v>
      </c>
      <c r="B10476" s="318" t="s">
        <v>23</v>
      </c>
    </row>
    <row r="10477" spans="1:2" ht="12.75" customHeight="1" x14ac:dyDescent="0.25">
      <c r="A10477" s="318">
        <v>93702228085</v>
      </c>
      <c r="B10477" s="318" t="s">
        <v>23</v>
      </c>
    </row>
    <row r="10478" spans="1:2" ht="12.75" customHeight="1" x14ac:dyDescent="0.25">
      <c r="A10478" s="318">
        <v>93702228087</v>
      </c>
      <c r="B10478" s="318" t="s">
        <v>23</v>
      </c>
    </row>
    <row r="10479" spans="1:2" ht="12.75" customHeight="1" x14ac:dyDescent="0.25">
      <c r="A10479" s="318">
        <v>93702228088</v>
      </c>
      <c r="B10479" s="318" t="s">
        <v>23</v>
      </c>
    </row>
    <row r="10480" spans="1:2" ht="12.75" customHeight="1" x14ac:dyDescent="0.25">
      <c r="A10480" s="318">
        <v>93702228089</v>
      </c>
      <c r="B10480" s="318" t="s">
        <v>23</v>
      </c>
    </row>
    <row r="10481" spans="1:2" ht="12.75" customHeight="1" x14ac:dyDescent="0.25">
      <c r="A10481" s="318">
        <v>93702228090</v>
      </c>
      <c r="B10481" s="318" t="s">
        <v>23</v>
      </c>
    </row>
    <row r="10482" spans="1:2" ht="12.75" customHeight="1" x14ac:dyDescent="0.25">
      <c r="A10482" s="318">
        <v>93702228091</v>
      </c>
      <c r="B10482" s="318" t="s">
        <v>23</v>
      </c>
    </row>
    <row r="10483" spans="1:2" ht="12.75" customHeight="1" x14ac:dyDescent="0.25">
      <c r="A10483" s="318">
        <v>93702228092</v>
      </c>
      <c r="B10483" s="318" t="s">
        <v>23</v>
      </c>
    </row>
    <row r="10484" spans="1:2" ht="12.75" customHeight="1" x14ac:dyDescent="0.25">
      <c r="A10484" s="318">
        <v>93702228093</v>
      </c>
      <c r="B10484" s="318" t="s">
        <v>23</v>
      </c>
    </row>
    <row r="10485" spans="1:2" ht="12.75" customHeight="1" x14ac:dyDescent="0.25">
      <c r="A10485" s="318">
        <v>93702228094</v>
      </c>
      <c r="B10485" s="318" t="s">
        <v>23</v>
      </c>
    </row>
    <row r="10486" spans="1:2" ht="12.75" customHeight="1" x14ac:dyDescent="0.25">
      <c r="A10486" s="318">
        <v>93702228178</v>
      </c>
      <c r="B10486" s="318" t="s">
        <v>237</v>
      </c>
    </row>
    <row r="10487" spans="1:2" ht="12.75" customHeight="1" x14ac:dyDescent="0.25">
      <c r="A10487" s="318">
        <v>93702228179</v>
      </c>
      <c r="B10487" s="318" t="s">
        <v>237</v>
      </c>
    </row>
    <row r="10488" spans="1:2" ht="12.75" customHeight="1" x14ac:dyDescent="0.25">
      <c r="A10488" s="318">
        <v>93702228180</v>
      </c>
      <c r="B10488" s="318" t="s">
        <v>237</v>
      </c>
    </row>
    <row r="10489" spans="1:2" ht="12.75" customHeight="1" x14ac:dyDescent="0.25">
      <c r="A10489" s="318">
        <v>93702228181</v>
      </c>
      <c r="B10489" s="318" t="s">
        <v>237</v>
      </c>
    </row>
    <row r="10490" spans="1:2" ht="12.75" customHeight="1" x14ac:dyDescent="0.25">
      <c r="A10490" s="318">
        <v>93702228182</v>
      </c>
      <c r="B10490" s="318" t="s">
        <v>237</v>
      </c>
    </row>
    <row r="10491" spans="1:2" ht="12.75" customHeight="1" x14ac:dyDescent="0.25">
      <c r="A10491" s="318">
        <v>93702228183</v>
      </c>
      <c r="B10491" s="318" t="s">
        <v>237</v>
      </c>
    </row>
    <row r="10492" spans="1:2" ht="12.75" customHeight="1" x14ac:dyDescent="0.25">
      <c r="A10492" s="318">
        <v>93702228184</v>
      </c>
      <c r="B10492" s="318" t="s">
        <v>237</v>
      </c>
    </row>
    <row r="10493" spans="1:2" ht="12.75" customHeight="1" x14ac:dyDescent="0.25">
      <c r="A10493" s="318">
        <v>93702228185</v>
      </c>
      <c r="B10493" s="318" t="s">
        <v>237</v>
      </c>
    </row>
    <row r="10494" spans="1:2" ht="12.75" customHeight="1" x14ac:dyDescent="0.25">
      <c r="A10494" s="318">
        <v>93702228187</v>
      </c>
      <c r="B10494" s="318" t="s">
        <v>237</v>
      </c>
    </row>
    <row r="10495" spans="1:2" ht="12.75" customHeight="1" x14ac:dyDescent="0.25">
      <c r="A10495" s="318">
        <v>93702228188</v>
      </c>
      <c r="B10495" s="318" t="s">
        <v>237</v>
      </c>
    </row>
    <row r="10496" spans="1:2" ht="12.75" customHeight="1" x14ac:dyDescent="0.25">
      <c r="A10496" s="318">
        <v>93702228189</v>
      </c>
      <c r="B10496" s="318" t="s">
        <v>237</v>
      </c>
    </row>
    <row r="10497" spans="1:2" ht="12.75" customHeight="1" x14ac:dyDescent="0.25">
      <c r="A10497" s="318">
        <v>93702228190</v>
      </c>
      <c r="B10497" s="318" t="s">
        <v>237</v>
      </c>
    </row>
    <row r="10498" spans="1:2" ht="12.75" customHeight="1" x14ac:dyDescent="0.25">
      <c r="A10498" s="318">
        <v>93702228191</v>
      </c>
      <c r="B10498" s="318" t="s">
        <v>237</v>
      </c>
    </row>
    <row r="10499" spans="1:2" ht="12.75" customHeight="1" x14ac:dyDescent="0.25">
      <c r="A10499" s="318">
        <v>93702228192</v>
      </c>
      <c r="B10499" s="318" t="s">
        <v>237</v>
      </c>
    </row>
    <row r="10500" spans="1:2" ht="12.75" customHeight="1" x14ac:dyDescent="0.25">
      <c r="A10500" s="318">
        <v>93702228193</v>
      </c>
      <c r="B10500" s="318" t="s">
        <v>237</v>
      </c>
    </row>
    <row r="10501" spans="1:2" ht="12.75" customHeight="1" x14ac:dyDescent="0.25">
      <c r="A10501" s="318">
        <v>93702228194</v>
      </c>
      <c r="B10501" s="318" t="s">
        <v>237</v>
      </c>
    </row>
    <row r="10502" spans="1:2" ht="12.75" customHeight="1" x14ac:dyDescent="0.25">
      <c r="A10502" s="318">
        <v>93702709051</v>
      </c>
      <c r="B10502" s="318" t="s">
        <v>23</v>
      </c>
    </row>
    <row r="10503" spans="1:2" ht="12.75" customHeight="1" x14ac:dyDescent="0.25">
      <c r="A10503" s="318">
        <v>93702709052</v>
      </c>
      <c r="B10503" s="318" t="s">
        <v>23</v>
      </c>
    </row>
    <row r="10504" spans="1:2" ht="12.75" customHeight="1" x14ac:dyDescent="0.25">
      <c r="A10504" s="318">
        <v>93702709053</v>
      </c>
      <c r="B10504" s="318" t="s">
        <v>23</v>
      </c>
    </row>
    <row r="10505" spans="1:2" ht="12.75" customHeight="1" x14ac:dyDescent="0.25">
      <c r="A10505" s="318">
        <v>93702709054</v>
      </c>
      <c r="B10505" s="318" t="s">
        <v>23</v>
      </c>
    </row>
    <row r="10506" spans="1:2" ht="12.75" customHeight="1" x14ac:dyDescent="0.25">
      <c r="A10506" s="318">
        <v>93702709055</v>
      </c>
      <c r="B10506" s="318" t="s">
        <v>23</v>
      </c>
    </row>
    <row r="10507" spans="1:2" ht="12.75" customHeight="1" x14ac:dyDescent="0.25">
      <c r="A10507" s="318">
        <v>93702709056</v>
      </c>
      <c r="B10507" s="318" t="s">
        <v>23</v>
      </c>
    </row>
    <row r="10508" spans="1:2" ht="12.75" customHeight="1" x14ac:dyDescent="0.25">
      <c r="A10508" s="318">
        <v>93702709057</v>
      </c>
      <c r="B10508" s="318" t="s">
        <v>23</v>
      </c>
    </row>
    <row r="10509" spans="1:2" ht="12.75" customHeight="1" x14ac:dyDescent="0.25">
      <c r="A10509" s="318">
        <v>93702709058</v>
      </c>
      <c r="B10509" s="318" t="s">
        <v>23</v>
      </c>
    </row>
    <row r="10510" spans="1:2" ht="12.75" customHeight="1" x14ac:dyDescent="0.25">
      <c r="A10510" s="318">
        <v>93702709060</v>
      </c>
      <c r="B10510" s="318" t="s">
        <v>23</v>
      </c>
    </row>
    <row r="10511" spans="1:2" ht="12.75" customHeight="1" x14ac:dyDescent="0.25">
      <c r="A10511" s="318">
        <v>93702709061</v>
      </c>
      <c r="B10511" s="318" t="s">
        <v>23</v>
      </c>
    </row>
    <row r="10512" spans="1:2" ht="12.75" customHeight="1" x14ac:dyDescent="0.25">
      <c r="A10512" s="318">
        <v>93702709062</v>
      </c>
      <c r="B10512" s="318" t="s">
        <v>23</v>
      </c>
    </row>
    <row r="10513" spans="1:2" ht="12.75" customHeight="1" x14ac:dyDescent="0.25">
      <c r="A10513" s="318">
        <v>93702709063</v>
      </c>
      <c r="B10513" s="318" t="s">
        <v>23</v>
      </c>
    </row>
    <row r="10514" spans="1:2" ht="12.75" customHeight="1" x14ac:dyDescent="0.25">
      <c r="A10514" s="318">
        <v>93702709064</v>
      </c>
      <c r="B10514" s="318" t="s">
        <v>23</v>
      </c>
    </row>
    <row r="10515" spans="1:2" ht="12.75" customHeight="1" x14ac:dyDescent="0.25">
      <c r="A10515" s="318">
        <v>93702709065</v>
      </c>
      <c r="B10515" s="318" t="s">
        <v>23</v>
      </c>
    </row>
    <row r="10516" spans="1:2" ht="12.75" customHeight="1" x14ac:dyDescent="0.25">
      <c r="A10516" s="318">
        <v>93702709066</v>
      </c>
      <c r="B10516" s="318" t="s">
        <v>23</v>
      </c>
    </row>
    <row r="10517" spans="1:2" ht="12.75" customHeight="1" x14ac:dyDescent="0.25">
      <c r="A10517" s="318">
        <v>93702709067</v>
      </c>
      <c r="B10517" s="318" t="s">
        <v>23</v>
      </c>
    </row>
    <row r="10518" spans="1:2" ht="12.75" customHeight="1" x14ac:dyDescent="0.25">
      <c r="A10518" s="318">
        <v>93702709151</v>
      </c>
      <c r="B10518" s="318" t="s">
        <v>237</v>
      </c>
    </row>
    <row r="10519" spans="1:2" ht="12.75" customHeight="1" x14ac:dyDescent="0.25">
      <c r="A10519" s="318">
        <v>93702709152</v>
      </c>
      <c r="B10519" s="318" t="s">
        <v>237</v>
      </c>
    </row>
    <row r="10520" spans="1:2" ht="12.75" customHeight="1" x14ac:dyDescent="0.25">
      <c r="A10520" s="318">
        <v>93702709153</v>
      </c>
      <c r="B10520" s="318" t="s">
        <v>237</v>
      </c>
    </row>
    <row r="10521" spans="1:2" ht="12.75" customHeight="1" x14ac:dyDescent="0.25">
      <c r="A10521" s="318">
        <v>93702709154</v>
      </c>
      <c r="B10521" s="318" t="s">
        <v>237</v>
      </c>
    </row>
    <row r="10522" spans="1:2" ht="12.75" customHeight="1" x14ac:dyDescent="0.25">
      <c r="A10522" s="318">
        <v>93702709155</v>
      </c>
      <c r="B10522" s="318" t="s">
        <v>237</v>
      </c>
    </row>
    <row r="10523" spans="1:2" ht="12.75" customHeight="1" x14ac:dyDescent="0.25">
      <c r="A10523" s="318">
        <v>93702709156</v>
      </c>
      <c r="B10523" s="318" t="s">
        <v>237</v>
      </c>
    </row>
    <row r="10524" spans="1:2" ht="12.75" customHeight="1" x14ac:dyDescent="0.25">
      <c r="A10524" s="318">
        <v>93702709157</v>
      </c>
      <c r="B10524" s="318" t="s">
        <v>237</v>
      </c>
    </row>
    <row r="10525" spans="1:2" ht="12.75" customHeight="1" x14ac:dyDescent="0.25">
      <c r="A10525" s="318">
        <v>93702709158</v>
      </c>
      <c r="B10525" s="318" t="s">
        <v>237</v>
      </c>
    </row>
    <row r="10526" spans="1:2" ht="12.75" customHeight="1" x14ac:dyDescent="0.25">
      <c r="A10526" s="318">
        <v>93702709160</v>
      </c>
      <c r="B10526" s="318" t="s">
        <v>237</v>
      </c>
    </row>
    <row r="10527" spans="1:2" ht="12.75" customHeight="1" x14ac:dyDescent="0.25">
      <c r="A10527" s="318">
        <v>93702709161</v>
      </c>
      <c r="B10527" s="318" t="s">
        <v>237</v>
      </c>
    </row>
    <row r="10528" spans="1:2" ht="12.75" customHeight="1" x14ac:dyDescent="0.25">
      <c r="A10528" s="318">
        <v>93702709162</v>
      </c>
      <c r="B10528" s="318" t="s">
        <v>237</v>
      </c>
    </row>
    <row r="10529" spans="1:2" ht="12.75" customHeight="1" x14ac:dyDescent="0.25">
      <c r="A10529" s="318">
        <v>93702709163</v>
      </c>
      <c r="B10529" s="318" t="s">
        <v>237</v>
      </c>
    </row>
    <row r="10530" spans="1:2" ht="12.75" customHeight="1" x14ac:dyDescent="0.25">
      <c r="A10530" s="318">
        <v>93702709164</v>
      </c>
      <c r="B10530" s="318" t="s">
        <v>237</v>
      </c>
    </row>
    <row r="10531" spans="1:2" ht="12.75" customHeight="1" x14ac:dyDescent="0.25">
      <c r="A10531" s="318">
        <v>93702709165</v>
      </c>
      <c r="B10531" s="318" t="s">
        <v>237</v>
      </c>
    </row>
    <row r="10532" spans="1:2" ht="12.75" customHeight="1" x14ac:dyDescent="0.25">
      <c r="A10532" s="318">
        <v>93702709166</v>
      </c>
      <c r="B10532" s="318" t="s">
        <v>237</v>
      </c>
    </row>
    <row r="10533" spans="1:2" ht="12.75" customHeight="1" x14ac:dyDescent="0.25">
      <c r="A10533" s="318">
        <v>93702709167</v>
      </c>
      <c r="B10533" s="318" t="s">
        <v>237</v>
      </c>
    </row>
    <row r="10534" spans="1:2" ht="12.75" customHeight="1" x14ac:dyDescent="0.25">
      <c r="A10534" s="318">
        <v>93704069432</v>
      </c>
      <c r="B10534" s="318" t="s">
        <v>23</v>
      </c>
    </row>
    <row r="10535" spans="1:2" ht="12.75" customHeight="1" x14ac:dyDescent="0.25">
      <c r="A10535" s="318">
        <v>93704069433</v>
      </c>
      <c r="B10535" s="318" t="s">
        <v>23</v>
      </c>
    </row>
    <row r="10536" spans="1:2" ht="12.75" customHeight="1" x14ac:dyDescent="0.25">
      <c r="A10536" s="318">
        <v>93704069434</v>
      </c>
      <c r="B10536" s="318" t="s">
        <v>23</v>
      </c>
    </row>
    <row r="10537" spans="1:2" ht="12.75" customHeight="1" x14ac:dyDescent="0.25">
      <c r="A10537" s="318">
        <v>93704069435</v>
      </c>
      <c r="B10537" s="318" t="s">
        <v>23</v>
      </c>
    </row>
    <row r="10538" spans="1:2" ht="12.75" customHeight="1" x14ac:dyDescent="0.25">
      <c r="A10538" s="318">
        <v>93704069436</v>
      </c>
      <c r="B10538" s="318" t="s">
        <v>23</v>
      </c>
    </row>
    <row r="10539" spans="1:2" ht="12.75" customHeight="1" x14ac:dyDescent="0.25">
      <c r="A10539" s="318">
        <v>93704069437</v>
      </c>
      <c r="B10539" s="318" t="s">
        <v>23</v>
      </c>
    </row>
    <row r="10540" spans="1:2" ht="12.75" customHeight="1" x14ac:dyDescent="0.25">
      <c r="A10540" s="318">
        <v>93704069438</v>
      </c>
      <c r="B10540" s="318" t="s">
        <v>23</v>
      </c>
    </row>
    <row r="10541" spans="1:2" ht="12.75" customHeight="1" x14ac:dyDescent="0.25">
      <c r="A10541" s="318">
        <v>93704069439</v>
      </c>
      <c r="B10541" s="318" t="s">
        <v>23</v>
      </c>
    </row>
    <row r="10542" spans="1:2" ht="12.75" customHeight="1" x14ac:dyDescent="0.25">
      <c r="A10542" s="318">
        <v>93704069441</v>
      </c>
      <c r="B10542" s="318" t="s">
        <v>23</v>
      </c>
    </row>
    <row r="10543" spans="1:2" ht="12.75" customHeight="1" x14ac:dyDescent="0.25">
      <c r="A10543" s="318">
        <v>93704069442</v>
      </c>
      <c r="B10543" s="318" t="s">
        <v>23</v>
      </c>
    </row>
    <row r="10544" spans="1:2" ht="12.75" customHeight="1" x14ac:dyDescent="0.25">
      <c r="A10544" s="318">
        <v>93704069443</v>
      </c>
      <c r="B10544" s="318" t="s">
        <v>23</v>
      </c>
    </row>
    <row r="10545" spans="1:2" ht="12.75" customHeight="1" x14ac:dyDescent="0.25">
      <c r="A10545" s="318">
        <v>93704069444</v>
      </c>
      <c r="B10545" s="318" t="s">
        <v>23</v>
      </c>
    </row>
    <row r="10546" spans="1:2" ht="12.75" customHeight="1" x14ac:dyDescent="0.25">
      <c r="A10546" s="318">
        <v>93704069445</v>
      </c>
      <c r="B10546" s="318" t="s">
        <v>23</v>
      </c>
    </row>
    <row r="10547" spans="1:2" ht="12.75" customHeight="1" x14ac:dyDescent="0.25">
      <c r="A10547" s="318">
        <v>93704069446</v>
      </c>
      <c r="B10547" s="318" t="s">
        <v>23</v>
      </c>
    </row>
    <row r="10548" spans="1:2" ht="12.75" customHeight="1" x14ac:dyDescent="0.25">
      <c r="A10548" s="318">
        <v>93704069447</v>
      </c>
      <c r="B10548" s="318" t="s">
        <v>23</v>
      </c>
    </row>
    <row r="10549" spans="1:2" ht="12.75" customHeight="1" x14ac:dyDescent="0.25">
      <c r="A10549" s="318">
        <v>93704069448</v>
      </c>
      <c r="B10549" s="318" t="s">
        <v>23</v>
      </c>
    </row>
    <row r="10550" spans="1:2" ht="12.75" customHeight="1" x14ac:dyDescent="0.25">
      <c r="A10550" s="318">
        <v>93704069532</v>
      </c>
      <c r="B10550" s="318" t="s">
        <v>237</v>
      </c>
    </row>
    <row r="10551" spans="1:2" ht="12.75" customHeight="1" x14ac:dyDescent="0.25">
      <c r="A10551" s="318">
        <v>93704069533</v>
      </c>
      <c r="B10551" s="318" t="s">
        <v>237</v>
      </c>
    </row>
    <row r="10552" spans="1:2" ht="12.75" customHeight="1" x14ac:dyDescent="0.25">
      <c r="A10552" s="318">
        <v>93704069534</v>
      </c>
      <c r="B10552" s="318" t="s">
        <v>237</v>
      </c>
    </row>
    <row r="10553" spans="1:2" ht="12.75" customHeight="1" x14ac:dyDescent="0.25">
      <c r="A10553" s="318">
        <v>93704069535</v>
      </c>
      <c r="B10553" s="318" t="s">
        <v>237</v>
      </c>
    </row>
    <row r="10554" spans="1:2" ht="12.75" customHeight="1" x14ac:dyDescent="0.25">
      <c r="A10554" s="318">
        <v>93704069536</v>
      </c>
      <c r="B10554" s="318" t="s">
        <v>237</v>
      </c>
    </row>
    <row r="10555" spans="1:2" ht="12.75" customHeight="1" x14ac:dyDescent="0.25">
      <c r="A10555" s="318">
        <v>93704069537</v>
      </c>
      <c r="B10555" s="318" t="s">
        <v>237</v>
      </c>
    </row>
    <row r="10556" spans="1:2" ht="12.75" customHeight="1" x14ac:dyDescent="0.25">
      <c r="A10556" s="318">
        <v>93704069538</v>
      </c>
      <c r="B10556" s="318" t="s">
        <v>237</v>
      </c>
    </row>
    <row r="10557" spans="1:2" ht="12.75" customHeight="1" x14ac:dyDescent="0.25">
      <c r="A10557" s="318">
        <v>93704069539</v>
      </c>
      <c r="B10557" s="318" t="s">
        <v>237</v>
      </c>
    </row>
    <row r="10558" spans="1:2" ht="12.75" customHeight="1" x14ac:dyDescent="0.25">
      <c r="A10558" s="318">
        <v>93704069541</v>
      </c>
      <c r="B10558" s="318" t="s">
        <v>237</v>
      </c>
    </row>
    <row r="10559" spans="1:2" ht="12.75" customHeight="1" x14ac:dyDescent="0.25">
      <c r="A10559" s="318">
        <v>93704069542</v>
      </c>
      <c r="B10559" s="318" t="s">
        <v>237</v>
      </c>
    </row>
    <row r="10560" spans="1:2" ht="12.75" customHeight="1" x14ac:dyDescent="0.25">
      <c r="A10560" s="318">
        <v>93704069543</v>
      </c>
      <c r="B10560" s="318" t="s">
        <v>237</v>
      </c>
    </row>
    <row r="10561" spans="1:2" ht="12.75" customHeight="1" x14ac:dyDescent="0.25">
      <c r="A10561" s="318">
        <v>93704069544</v>
      </c>
      <c r="B10561" s="318" t="s">
        <v>237</v>
      </c>
    </row>
    <row r="10562" spans="1:2" ht="12.75" customHeight="1" x14ac:dyDescent="0.25">
      <c r="A10562" s="318">
        <v>93704069545</v>
      </c>
      <c r="B10562" s="318" t="s">
        <v>237</v>
      </c>
    </row>
    <row r="10563" spans="1:2" ht="12.75" customHeight="1" x14ac:dyDescent="0.25">
      <c r="A10563" s="318">
        <v>93704069546</v>
      </c>
      <c r="B10563" s="318" t="s">
        <v>237</v>
      </c>
    </row>
    <row r="10564" spans="1:2" ht="12.75" customHeight="1" x14ac:dyDescent="0.25">
      <c r="A10564" s="318">
        <v>93704069547</v>
      </c>
      <c r="B10564" s="318" t="s">
        <v>237</v>
      </c>
    </row>
    <row r="10565" spans="1:2" ht="12.75" customHeight="1" x14ac:dyDescent="0.25">
      <c r="A10565" s="318">
        <v>93704069548</v>
      </c>
      <c r="B10565" s="318" t="s">
        <v>237</v>
      </c>
    </row>
    <row r="10566" spans="1:2" ht="12.75" customHeight="1" x14ac:dyDescent="0.25">
      <c r="A10566" s="318">
        <v>93704550405</v>
      </c>
      <c r="B10566" s="318" t="s">
        <v>23</v>
      </c>
    </row>
    <row r="10567" spans="1:2" ht="12.75" customHeight="1" x14ac:dyDescent="0.25">
      <c r="A10567" s="318">
        <v>93704550406</v>
      </c>
      <c r="B10567" s="318" t="s">
        <v>23</v>
      </c>
    </row>
    <row r="10568" spans="1:2" ht="12.75" customHeight="1" x14ac:dyDescent="0.25">
      <c r="A10568" s="318">
        <v>93704550407</v>
      </c>
      <c r="B10568" s="318" t="s">
        <v>23</v>
      </c>
    </row>
    <row r="10569" spans="1:2" ht="12.75" customHeight="1" x14ac:dyDescent="0.25">
      <c r="A10569" s="318">
        <v>93704550408</v>
      </c>
      <c r="B10569" s="318" t="s">
        <v>23</v>
      </c>
    </row>
    <row r="10570" spans="1:2" ht="12.75" customHeight="1" x14ac:dyDescent="0.25">
      <c r="A10570" s="318">
        <v>93704550409</v>
      </c>
      <c r="B10570" s="318" t="s">
        <v>23</v>
      </c>
    </row>
    <row r="10571" spans="1:2" ht="12.75" customHeight="1" x14ac:dyDescent="0.25">
      <c r="A10571" s="318">
        <v>93704550410</v>
      </c>
      <c r="B10571" s="318" t="s">
        <v>23</v>
      </c>
    </row>
    <row r="10572" spans="1:2" ht="12.75" customHeight="1" x14ac:dyDescent="0.25">
      <c r="A10572" s="318">
        <v>93704550411</v>
      </c>
      <c r="B10572" s="318" t="s">
        <v>23</v>
      </c>
    </row>
    <row r="10573" spans="1:2" ht="12.75" customHeight="1" x14ac:dyDescent="0.25">
      <c r="A10573" s="318">
        <v>93704550412</v>
      </c>
      <c r="B10573" s="318" t="s">
        <v>23</v>
      </c>
    </row>
    <row r="10574" spans="1:2" ht="12.75" customHeight="1" x14ac:dyDescent="0.25">
      <c r="A10574" s="318">
        <v>93704550414</v>
      </c>
      <c r="B10574" s="318" t="s">
        <v>23</v>
      </c>
    </row>
    <row r="10575" spans="1:2" ht="12.75" customHeight="1" x14ac:dyDescent="0.25">
      <c r="A10575" s="318">
        <v>93704550415</v>
      </c>
      <c r="B10575" s="318" t="s">
        <v>23</v>
      </c>
    </row>
    <row r="10576" spans="1:2" ht="12.75" customHeight="1" x14ac:dyDescent="0.25">
      <c r="A10576" s="318">
        <v>93704550416</v>
      </c>
      <c r="B10576" s="318" t="s">
        <v>23</v>
      </c>
    </row>
    <row r="10577" spans="1:2" ht="12.75" customHeight="1" x14ac:dyDescent="0.25">
      <c r="A10577" s="318">
        <v>93704550417</v>
      </c>
      <c r="B10577" s="318" t="s">
        <v>23</v>
      </c>
    </row>
    <row r="10578" spans="1:2" ht="12.75" customHeight="1" x14ac:dyDescent="0.25">
      <c r="A10578" s="318">
        <v>93704550418</v>
      </c>
      <c r="B10578" s="318" t="s">
        <v>23</v>
      </c>
    </row>
    <row r="10579" spans="1:2" ht="12.75" customHeight="1" x14ac:dyDescent="0.25">
      <c r="A10579" s="318">
        <v>93704550419</v>
      </c>
      <c r="B10579" s="318" t="s">
        <v>23</v>
      </c>
    </row>
    <row r="10580" spans="1:2" ht="12.75" customHeight="1" x14ac:dyDescent="0.25">
      <c r="A10580" s="318">
        <v>93704550420</v>
      </c>
      <c r="B10580" s="318" t="s">
        <v>23</v>
      </c>
    </row>
    <row r="10581" spans="1:2" ht="12.75" customHeight="1" x14ac:dyDescent="0.25">
      <c r="A10581" s="318">
        <v>93704550421</v>
      </c>
      <c r="B10581" s="318" t="s">
        <v>23</v>
      </c>
    </row>
    <row r="10582" spans="1:2" ht="12.75" customHeight="1" x14ac:dyDescent="0.25">
      <c r="A10582" s="318">
        <v>93704550505</v>
      </c>
      <c r="B10582" s="318" t="s">
        <v>237</v>
      </c>
    </row>
    <row r="10583" spans="1:2" ht="12.75" customHeight="1" x14ac:dyDescent="0.25">
      <c r="A10583" s="318">
        <v>93704550506</v>
      </c>
      <c r="B10583" s="318" t="s">
        <v>237</v>
      </c>
    </row>
    <row r="10584" spans="1:2" ht="12.75" customHeight="1" x14ac:dyDescent="0.25">
      <c r="A10584" s="318">
        <v>93704550507</v>
      </c>
      <c r="B10584" s="318" t="s">
        <v>237</v>
      </c>
    </row>
    <row r="10585" spans="1:2" ht="12.75" customHeight="1" x14ac:dyDescent="0.25">
      <c r="A10585" s="318">
        <v>93704550508</v>
      </c>
      <c r="B10585" s="318" t="s">
        <v>237</v>
      </c>
    </row>
    <row r="10586" spans="1:2" ht="12.75" customHeight="1" x14ac:dyDescent="0.25">
      <c r="A10586" s="318">
        <v>93704550509</v>
      </c>
      <c r="B10586" s="318" t="s">
        <v>237</v>
      </c>
    </row>
    <row r="10587" spans="1:2" ht="12.75" customHeight="1" x14ac:dyDescent="0.25">
      <c r="A10587" s="318">
        <v>93704550510</v>
      </c>
      <c r="B10587" s="318" t="s">
        <v>237</v>
      </c>
    </row>
    <row r="10588" spans="1:2" ht="12.75" customHeight="1" x14ac:dyDescent="0.25">
      <c r="A10588" s="318">
        <v>93704550511</v>
      </c>
      <c r="B10588" s="318" t="s">
        <v>237</v>
      </c>
    </row>
    <row r="10589" spans="1:2" ht="12.75" customHeight="1" x14ac:dyDescent="0.25">
      <c r="A10589" s="318">
        <v>93704550512</v>
      </c>
      <c r="B10589" s="318" t="s">
        <v>237</v>
      </c>
    </row>
    <row r="10590" spans="1:2" ht="12.75" customHeight="1" x14ac:dyDescent="0.25">
      <c r="A10590" s="318">
        <v>93704550514</v>
      </c>
      <c r="B10590" s="318" t="s">
        <v>237</v>
      </c>
    </row>
    <row r="10591" spans="1:2" ht="12.75" customHeight="1" x14ac:dyDescent="0.25">
      <c r="A10591" s="318">
        <v>93704550515</v>
      </c>
      <c r="B10591" s="318" t="s">
        <v>237</v>
      </c>
    </row>
    <row r="10592" spans="1:2" ht="12.75" customHeight="1" x14ac:dyDescent="0.25">
      <c r="A10592" s="318">
        <v>93704550516</v>
      </c>
      <c r="B10592" s="318" t="s">
        <v>237</v>
      </c>
    </row>
    <row r="10593" spans="1:2" ht="12.75" customHeight="1" x14ac:dyDescent="0.25">
      <c r="A10593" s="318">
        <v>93704550517</v>
      </c>
      <c r="B10593" s="318" t="s">
        <v>237</v>
      </c>
    </row>
    <row r="10594" spans="1:2" ht="12.75" customHeight="1" x14ac:dyDescent="0.25">
      <c r="A10594" s="318">
        <v>93704550518</v>
      </c>
      <c r="B10594" s="318" t="s">
        <v>237</v>
      </c>
    </row>
    <row r="10595" spans="1:2" ht="12.75" customHeight="1" x14ac:dyDescent="0.25">
      <c r="A10595" s="318">
        <v>93704550519</v>
      </c>
      <c r="B10595" s="318" t="s">
        <v>237</v>
      </c>
    </row>
    <row r="10596" spans="1:2" ht="12.75" customHeight="1" x14ac:dyDescent="0.25">
      <c r="A10596" s="318">
        <v>93704550520</v>
      </c>
      <c r="B10596" s="318" t="s">
        <v>237</v>
      </c>
    </row>
    <row r="10597" spans="1:2" ht="12.75" customHeight="1" x14ac:dyDescent="0.25">
      <c r="A10597" s="318">
        <v>93704550521</v>
      </c>
      <c r="B10597" s="318" t="s">
        <v>237</v>
      </c>
    </row>
    <row r="10598" spans="1:2" ht="12.75" customHeight="1" x14ac:dyDescent="0.25">
      <c r="A10598" s="318">
        <v>93705031378</v>
      </c>
      <c r="B10598" s="318" t="s">
        <v>23</v>
      </c>
    </row>
    <row r="10599" spans="1:2" ht="12.75" customHeight="1" x14ac:dyDescent="0.25">
      <c r="A10599" s="318">
        <v>93705031379</v>
      </c>
      <c r="B10599" s="318" t="s">
        <v>23</v>
      </c>
    </row>
    <row r="10600" spans="1:2" ht="12.75" customHeight="1" x14ac:dyDescent="0.25">
      <c r="A10600" s="318">
        <v>93705031380</v>
      </c>
      <c r="B10600" s="318" t="s">
        <v>23</v>
      </c>
    </row>
    <row r="10601" spans="1:2" ht="12.75" customHeight="1" x14ac:dyDescent="0.25">
      <c r="A10601" s="318">
        <v>93705031381</v>
      </c>
      <c r="B10601" s="318" t="s">
        <v>23</v>
      </c>
    </row>
    <row r="10602" spans="1:2" ht="12.75" customHeight="1" x14ac:dyDescent="0.25">
      <c r="A10602" s="318">
        <v>93705031382</v>
      </c>
      <c r="B10602" s="318" t="s">
        <v>23</v>
      </c>
    </row>
    <row r="10603" spans="1:2" ht="12.75" customHeight="1" x14ac:dyDescent="0.25">
      <c r="A10603" s="318">
        <v>93705031383</v>
      </c>
      <c r="B10603" s="318" t="s">
        <v>23</v>
      </c>
    </row>
    <row r="10604" spans="1:2" ht="12.75" customHeight="1" x14ac:dyDescent="0.25">
      <c r="A10604" s="318">
        <v>93705031384</v>
      </c>
      <c r="B10604" s="318" t="s">
        <v>23</v>
      </c>
    </row>
    <row r="10605" spans="1:2" ht="12.75" customHeight="1" x14ac:dyDescent="0.25">
      <c r="A10605" s="318">
        <v>93705031385</v>
      </c>
      <c r="B10605" s="318" t="s">
        <v>23</v>
      </c>
    </row>
    <row r="10606" spans="1:2" ht="12.75" customHeight="1" x14ac:dyDescent="0.25">
      <c r="A10606" s="318">
        <v>93705031387</v>
      </c>
      <c r="B10606" s="318" t="s">
        <v>23</v>
      </c>
    </row>
    <row r="10607" spans="1:2" ht="12.75" customHeight="1" x14ac:dyDescent="0.25">
      <c r="A10607" s="318">
        <v>93705031388</v>
      </c>
      <c r="B10607" s="318" t="s">
        <v>23</v>
      </c>
    </row>
    <row r="10608" spans="1:2" ht="12.75" customHeight="1" x14ac:dyDescent="0.25">
      <c r="A10608" s="318">
        <v>93705031389</v>
      </c>
      <c r="B10608" s="318" t="s">
        <v>23</v>
      </c>
    </row>
    <row r="10609" spans="1:2" ht="12.75" customHeight="1" x14ac:dyDescent="0.25">
      <c r="A10609" s="318">
        <v>93705031390</v>
      </c>
      <c r="B10609" s="318" t="s">
        <v>23</v>
      </c>
    </row>
    <row r="10610" spans="1:2" ht="12.75" customHeight="1" x14ac:dyDescent="0.25">
      <c r="A10610" s="318">
        <v>93705031391</v>
      </c>
      <c r="B10610" s="318" t="s">
        <v>23</v>
      </c>
    </row>
    <row r="10611" spans="1:2" ht="12.75" customHeight="1" x14ac:dyDescent="0.25">
      <c r="A10611" s="318">
        <v>93705031392</v>
      </c>
      <c r="B10611" s="318" t="s">
        <v>23</v>
      </c>
    </row>
    <row r="10612" spans="1:2" ht="12.75" customHeight="1" x14ac:dyDescent="0.25">
      <c r="A10612" s="318">
        <v>93705031393</v>
      </c>
      <c r="B10612" s="318" t="s">
        <v>23</v>
      </c>
    </row>
    <row r="10613" spans="1:2" ht="12.75" customHeight="1" x14ac:dyDescent="0.25">
      <c r="A10613" s="318">
        <v>93705031394</v>
      </c>
      <c r="B10613" s="318" t="s">
        <v>23</v>
      </c>
    </row>
    <row r="10614" spans="1:2" ht="12.75" customHeight="1" x14ac:dyDescent="0.25">
      <c r="A10614" s="318">
        <v>93705031478</v>
      </c>
      <c r="B10614" s="318" t="s">
        <v>237</v>
      </c>
    </row>
    <row r="10615" spans="1:2" ht="12.75" customHeight="1" x14ac:dyDescent="0.25">
      <c r="A10615" s="318">
        <v>93705031479</v>
      </c>
      <c r="B10615" s="318" t="s">
        <v>237</v>
      </c>
    </row>
    <row r="10616" spans="1:2" ht="12.75" customHeight="1" x14ac:dyDescent="0.25">
      <c r="A10616" s="318">
        <v>93705031480</v>
      </c>
      <c r="B10616" s="318" t="s">
        <v>237</v>
      </c>
    </row>
    <row r="10617" spans="1:2" ht="12.75" customHeight="1" x14ac:dyDescent="0.25">
      <c r="A10617" s="318">
        <v>93705031481</v>
      </c>
      <c r="B10617" s="318" t="s">
        <v>237</v>
      </c>
    </row>
    <row r="10618" spans="1:2" ht="12.75" customHeight="1" x14ac:dyDescent="0.25">
      <c r="A10618" s="318">
        <v>93705031482</v>
      </c>
      <c r="B10618" s="318" t="s">
        <v>237</v>
      </c>
    </row>
    <row r="10619" spans="1:2" ht="12.75" customHeight="1" x14ac:dyDescent="0.25">
      <c r="A10619" s="318">
        <v>93705031483</v>
      </c>
      <c r="B10619" s="318" t="s">
        <v>237</v>
      </c>
    </row>
    <row r="10620" spans="1:2" ht="12.75" customHeight="1" x14ac:dyDescent="0.25">
      <c r="A10620" s="318">
        <v>93705031484</v>
      </c>
      <c r="B10620" s="318" t="s">
        <v>237</v>
      </c>
    </row>
    <row r="10621" spans="1:2" ht="12.75" customHeight="1" x14ac:dyDescent="0.25">
      <c r="A10621" s="318">
        <v>93705031485</v>
      </c>
      <c r="B10621" s="318" t="s">
        <v>237</v>
      </c>
    </row>
    <row r="10622" spans="1:2" ht="12.75" customHeight="1" x14ac:dyDescent="0.25">
      <c r="A10622" s="318">
        <v>93705031487</v>
      </c>
      <c r="B10622" s="318" t="s">
        <v>237</v>
      </c>
    </row>
    <row r="10623" spans="1:2" ht="12.75" customHeight="1" x14ac:dyDescent="0.25">
      <c r="A10623" s="318">
        <v>93705031488</v>
      </c>
      <c r="B10623" s="318" t="s">
        <v>237</v>
      </c>
    </row>
    <row r="10624" spans="1:2" ht="12.75" customHeight="1" x14ac:dyDescent="0.25">
      <c r="A10624" s="318">
        <v>93705031489</v>
      </c>
      <c r="B10624" s="318" t="s">
        <v>237</v>
      </c>
    </row>
    <row r="10625" spans="1:2" ht="12.75" customHeight="1" x14ac:dyDescent="0.25">
      <c r="A10625" s="318">
        <v>93705031490</v>
      </c>
      <c r="B10625" s="318" t="s">
        <v>237</v>
      </c>
    </row>
    <row r="10626" spans="1:2" ht="12.75" customHeight="1" x14ac:dyDescent="0.25">
      <c r="A10626" s="318">
        <v>93705031491</v>
      </c>
      <c r="B10626" s="318" t="s">
        <v>237</v>
      </c>
    </row>
    <row r="10627" spans="1:2" ht="12.75" customHeight="1" x14ac:dyDescent="0.25">
      <c r="A10627" s="318">
        <v>93705031492</v>
      </c>
      <c r="B10627" s="318" t="s">
        <v>237</v>
      </c>
    </row>
    <row r="10628" spans="1:2" ht="12.75" customHeight="1" x14ac:dyDescent="0.25">
      <c r="A10628" s="318">
        <v>93705031493</v>
      </c>
      <c r="B10628" s="318" t="s">
        <v>237</v>
      </c>
    </row>
    <row r="10629" spans="1:2" ht="12.75" customHeight="1" x14ac:dyDescent="0.25">
      <c r="A10629" s="318">
        <v>93705031494</v>
      </c>
      <c r="B10629" s="318" t="s">
        <v>237</v>
      </c>
    </row>
    <row r="10630" spans="1:2" ht="12.75" customHeight="1" x14ac:dyDescent="0.25">
      <c r="A10630" s="318">
        <v>93705711569</v>
      </c>
      <c r="B10630" s="318" t="s">
        <v>23</v>
      </c>
    </row>
    <row r="10631" spans="1:2" ht="12.75" customHeight="1" x14ac:dyDescent="0.25">
      <c r="A10631" s="318">
        <v>93705711570</v>
      </c>
      <c r="B10631" s="318" t="s">
        <v>23</v>
      </c>
    </row>
    <row r="10632" spans="1:2" ht="12.75" customHeight="1" x14ac:dyDescent="0.25">
      <c r="A10632" s="318">
        <v>93705711571</v>
      </c>
      <c r="B10632" s="318" t="s">
        <v>23</v>
      </c>
    </row>
    <row r="10633" spans="1:2" ht="12.75" customHeight="1" x14ac:dyDescent="0.25">
      <c r="A10633" s="318">
        <v>93705711572</v>
      </c>
      <c r="B10633" s="318" t="s">
        <v>23</v>
      </c>
    </row>
    <row r="10634" spans="1:2" ht="12.75" customHeight="1" x14ac:dyDescent="0.25">
      <c r="A10634" s="318">
        <v>93705711573</v>
      </c>
      <c r="B10634" s="318" t="s">
        <v>23</v>
      </c>
    </row>
    <row r="10635" spans="1:2" ht="12.75" customHeight="1" x14ac:dyDescent="0.25">
      <c r="A10635" s="318">
        <v>93705711574</v>
      </c>
      <c r="B10635" s="318" t="s">
        <v>23</v>
      </c>
    </row>
    <row r="10636" spans="1:2" ht="12.75" customHeight="1" x14ac:dyDescent="0.25">
      <c r="A10636" s="318">
        <v>93705711575</v>
      </c>
      <c r="B10636" s="318" t="s">
        <v>23</v>
      </c>
    </row>
    <row r="10637" spans="1:2" ht="12.75" customHeight="1" x14ac:dyDescent="0.25">
      <c r="A10637" s="318">
        <v>93705711576</v>
      </c>
      <c r="B10637" s="318" t="s">
        <v>23</v>
      </c>
    </row>
    <row r="10638" spans="1:2" ht="12.75" customHeight="1" x14ac:dyDescent="0.25">
      <c r="A10638" s="318">
        <v>93705711578</v>
      </c>
      <c r="B10638" s="318" t="s">
        <v>23</v>
      </c>
    </row>
    <row r="10639" spans="1:2" ht="12.75" customHeight="1" x14ac:dyDescent="0.25">
      <c r="A10639" s="318">
        <v>93705711579</v>
      </c>
      <c r="B10639" s="318" t="s">
        <v>23</v>
      </c>
    </row>
    <row r="10640" spans="1:2" ht="12.75" customHeight="1" x14ac:dyDescent="0.25">
      <c r="A10640" s="318">
        <v>93705711580</v>
      </c>
      <c r="B10640" s="318" t="s">
        <v>23</v>
      </c>
    </row>
    <row r="10641" spans="1:2" ht="12.75" customHeight="1" x14ac:dyDescent="0.25">
      <c r="A10641" s="318">
        <v>93705711581</v>
      </c>
      <c r="B10641" s="318" t="s">
        <v>23</v>
      </c>
    </row>
    <row r="10642" spans="1:2" ht="12.75" customHeight="1" x14ac:dyDescent="0.25">
      <c r="A10642" s="318">
        <v>93705711582</v>
      </c>
      <c r="B10642" s="318" t="s">
        <v>23</v>
      </c>
    </row>
    <row r="10643" spans="1:2" ht="12.75" customHeight="1" x14ac:dyDescent="0.25">
      <c r="A10643" s="318">
        <v>93705711583</v>
      </c>
      <c r="B10643" s="318" t="s">
        <v>23</v>
      </c>
    </row>
    <row r="10644" spans="1:2" ht="12.75" customHeight="1" x14ac:dyDescent="0.25">
      <c r="A10644" s="318">
        <v>93705711584</v>
      </c>
      <c r="B10644" s="318" t="s">
        <v>23</v>
      </c>
    </row>
    <row r="10645" spans="1:2" ht="12.75" customHeight="1" x14ac:dyDescent="0.25">
      <c r="A10645" s="318">
        <v>93705711585</v>
      </c>
      <c r="B10645" s="318" t="s">
        <v>23</v>
      </c>
    </row>
    <row r="10646" spans="1:2" ht="12.75" customHeight="1" x14ac:dyDescent="0.25">
      <c r="A10646" s="318">
        <v>93705711669</v>
      </c>
      <c r="B10646" s="318" t="s">
        <v>237</v>
      </c>
    </row>
    <row r="10647" spans="1:2" ht="12.75" customHeight="1" x14ac:dyDescent="0.25">
      <c r="A10647" s="318">
        <v>93705711670</v>
      </c>
      <c r="B10647" s="318" t="s">
        <v>237</v>
      </c>
    </row>
    <row r="10648" spans="1:2" ht="12.75" customHeight="1" x14ac:dyDescent="0.25">
      <c r="A10648" s="318">
        <v>93705711671</v>
      </c>
      <c r="B10648" s="318" t="s">
        <v>237</v>
      </c>
    </row>
    <row r="10649" spans="1:2" ht="12.75" customHeight="1" x14ac:dyDescent="0.25">
      <c r="A10649" s="318">
        <v>93705711672</v>
      </c>
      <c r="B10649" s="318" t="s">
        <v>237</v>
      </c>
    </row>
    <row r="10650" spans="1:2" ht="12.75" customHeight="1" x14ac:dyDescent="0.25">
      <c r="A10650" s="318">
        <v>93705711673</v>
      </c>
      <c r="B10650" s="318" t="s">
        <v>237</v>
      </c>
    </row>
    <row r="10651" spans="1:2" ht="12.75" customHeight="1" x14ac:dyDescent="0.25">
      <c r="A10651" s="318">
        <v>93705711674</v>
      </c>
      <c r="B10651" s="318" t="s">
        <v>237</v>
      </c>
    </row>
    <row r="10652" spans="1:2" ht="12.75" customHeight="1" x14ac:dyDescent="0.25">
      <c r="A10652" s="318">
        <v>93705711675</v>
      </c>
      <c r="B10652" s="318" t="s">
        <v>237</v>
      </c>
    </row>
    <row r="10653" spans="1:2" ht="12.75" customHeight="1" x14ac:dyDescent="0.25">
      <c r="A10653" s="318">
        <v>93705711676</v>
      </c>
      <c r="B10653" s="318" t="s">
        <v>237</v>
      </c>
    </row>
    <row r="10654" spans="1:2" ht="12.75" customHeight="1" x14ac:dyDescent="0.25">
      <c r="A10654" s="318">
        <v>93705711678</v>
      </c>
      <c r="B10654" s="318" t="s">
        <v>237</v>
      </c>
    </row>
    <row r="10655" spans="1:2" ht="12.75" customHeight="1" x14ac:dyDescent="0.25">
      <c r="A10655" s="318">
        <v>93705711679</v>
      </c>
      <c r="B10655" s="318" t="s">
        <v>237</v>
      </c>
    </row>
    <row r="10656" spans="1:2" ht="12.75" customHeight="1" x14ac:dyDescent="0.25">
      <c r="A10656" s="318">
        <v>93705711680</v>
      </c>
      <c r="B10656" s="318" t="s">
        <v>237</v>
      </c>
    </row>
    <row r="10657" spans="1:2" ht="12.75" customHeight="1" x14ac:dyDescent="0.25">
      <c r="A10657" s="318">
        <v>93705711681</v>
      </c>
      <c r="B10657" s="318" t="s">
        <v>237</v>
      </c>
    </row>
    <row r="10658" spans="1:2" ht="12.75" customHeight="1" x14ac:dyDescent="0.25">
      <c r="A10658" s="318">
        <v>93705711682</v>
      </c>
      <c r="B10658" s="318" t="s">
        <v>237</v>
      </c>
    </row>
    <row r="10659" spans="1:2" ht="12.75" customHeight="1" x14ac:dyDescent="0.25">
      <c r="A10659" s="318">
        <v>93705711683</v>
      </c>
      <c r="B10659" s="318" t="s">
        <v>237</v>
      </c>
    </row>
    <row r="10660" spans="1:2" ht="12.75" customHeight="1" x14ac:dyDescent="0.25">
      <c r="A10660" s="318">
        <v>93705711684</v>
      </c>
      <c r="B10660" s="318" t="s">
        <v>237</v>
      </c>
    </row>
    <row r="10661" spans="1:2" ht="12.75" customHeight="1" x14ac:dyDescent="0.25">
      <c r="A10661" s="318">
        <v>93705711685</v>
      </c>
      <c r="B10661" s="318" t="s">
        <v>237</v>
      </c>
    </row>
    <row r="10662" spans="1:2" ht="12.75" customHeight="1" x14ac:dyDescent="0.25">
      <c r="A10662" s="318">
        <v>93706192542</v>
      </c>
      <c r="B10662" s="318" t="s">
        <v>23</v>
      </c>
    </row>
    <row r="10663" spans="1:2" ht="12.75" customHeight="1" x14ac:dyDescent="0.25">
      <c r="A10663" s="318">
        <v>93706192543</v>
      </c>
      <c r="B10663" s="318" t="s">
        <v>23</v>
      </c>
    </row>
    <row r="10664" spans="1:2" ht="12.75" customHeight="1" x14ac:dyDescent="0.25">
      <c r="A10664" s="318">
        <v>93706192544</v>
      </c>
      <c r="B10664" s="318" t="s">
        <v>23</v>
      </c>
    </row>
    <row r="10665" spans="1:2" ht="12.75" customHeight="1" x14ac:dyDescent="0.25">
      <c r="A10665" s="318">
        <v>93706192545</v>
      </c>
      <c r="B10665" s="318" t="s">
        <v>23</v>
      </c>
    </row>
    <row r="10666" spans="1:2" ht="12.75" customHeight="1" x14ac:dyDescent="0.25">
      <c r="A10666" s="318">
        <v>93706192546</v>
      </c>
      <c r="B10666" s="318" t="s">
        <v>23</v>
      </c>
    </row>
    <row r="10667" spans="1:2" ht="12.75" customHeight="1" x14ac:dyDescent="0.25">
      <c r="A10667" s="318">
        <v>93706192547</v>
      </c>
      <c r="B10667" s="318" t="s">
        <v>23</v>
      </c>
    </row>
    <row r="10668" spans="1:2" ht="12.75" customHeight="1" x14ac:dyDescent="0.25">
      <c r="A10668" s="318">
        <v>93706192548</v>
      </c>
      <c r="B10668" s="318" t="s">
        <v>23</v>
      </c>
    </row>
    <row r="10669" spans="1:2" ht="12.75" customHeight="1" x14ac:dyDescent="0.25">
      <c r="A10669" s="318">
        <v>93706192549</v>
      </c>
      <c r="B10669" s="318" t="s">
        <v>23</v>
      </c>
    </row>
    <row r="10670" spans="1:2" ht="12.75" customHeight="1" x14ac:dyDescent="0.25">
      <c r="A10670" s="318">
        <v>93706192551</v>
      </c>
      <c r="B10670" s="318" t="s">
        <v>23</v>
      </c>
    </row>
    <row r="10671" spans="1:2" ht="12.75" customHeight="1" x14ac:dyDescent="0.25">
      <c r="A10671" s="318">
        <v>93706192552</v>
      </c>
      <c r="B10671" s="318" t="s">
        <v>23</v>
      </c>
    </row>
    <row r="10672" spans="1:2" ht="12.75" customHeight="1" x14ac:dyDescent="0.25">
      <c r="A10672" s="318">
        <v>93706192553</v>
      </c>
      <c r="B10672" s="318" t="s">
        <v>23</v>
      </c>
    </row>
    <row r="10673" spans="1:2" ht="12.75" customHeight="1" x14ac:dyDescent="0.25">
      <c r="A10673" s="318">
        <v>93706192554</v>
      </c>
      <c r="B10673" s="318" t="s">
        <v>23</v>
      </c>
    </row>
    <row r="10674" spans="1:2" ht="12.75" customHeight="1" x14ac:dyDescent="0.25">
      <c r="A10674" s="318">
        <v>93706192555</v>
      </c>
      <c r="B10674" s="318" t="s">
        <v>23</v>
      </c>
    </row>
    <row r="10675" spans="1:2" ht="12.75" customHeight="1" x14ac:dyDescent="0.25">
      <c r="A10675" s="318">
        <v>93706192556</v>
      </c>
      <c r="B10675" s="318" t="s">
        <v>23</v>
      </c>
    </row>
    <row r="10676" spans="1:2" ht="12.75" customHeight="1" x14ac:dyDescent="0.25">
      <c r="A10676" s="318">
        <v>93706192557</v>
      </c>
      <c r="B10676" s="318" t="s">
        <v>23</v>
      </c>
    </row>
    <row r="10677" spans="1:2" ht="12.75" customHeight="1" x14ac:dyDescent="0.25">
      <c r="A10677" s="318">
        <v>93706192558</v>
      </c>
      <c r="B10677" s="318" t="s">
        <v>23</v>
      </c>
    </row>
    <row r="10678" spans="1:2" ht="12.75" customHeight="1" x14ac:dyDescent="0.25">
      <c r="A10678" s="318">
        <v>93706192642</v>
      </c>
      <c r="B10678" s="318" t="s">
        <v>237</v>
      </c>
    </row>
    <row r="10679" spans="1:2" ht="12.75" customHeight="1" x14ac:dyDescent="0.25">
      <c r="A10679" s="318">
        <v>93706192643</v>
      </c>
      <c r="B10679" s="318" t="s">
        <v>237</v>
      </c>
    </row>
    <row r="10680" spans="1:2" ht="12.75" customHeight="1" x14ac:dyDescent="0.25">
      <c r="A10680" s="318">
        <v>93706192644</v>
      </c>
      <c r="B10680" s="318" t="s">
        <v>237</v>
      </c>
    </row>
    <row r="10681" spans="1:2" ht="12.75" customHeight="1" x14ac:dyDescent="0.25">
      <c r="A10681" s="318">
        <v>93706192645</v>
      </c>
      <c r="B10681" s="318" t="s">
        <v>237</v>
      </c>
    </row>
    <row r="10682" spans="1:2" ht="12.75" customHeight="1" x14ac:dyDescent="0.25">
      <c r="A10682" s="318">
        <v>93706192646</v>
      </c>
      <c r="B10682" s="318" t="s">
        <v>237</v>
      </c>
    </row>
    <row r="10683" spans="1:2" ht="12.75" customHeight="1" x14ac:dyDescent="0.25">
      <c r="A10683" s="318">
        <v>93706192647</v>
      </c>
      <c r="B10683" s="318" t="s">
        <v>237</v>
      </c>
    </row>
    <row r="10684" spans="1:2" ht="12.75" customHeight="1" x14ac:dyDescent="0.25">
      <c r="A10684" s="318">
        <v>93706192648</v>
      </c>
      <c r="B10684" s="318" t="s">
        <v>237</v>
      </c>
    </row>
    <row r="10685" spans="1:2" ht="12.75" customHeight="1" x14ac:dyDescent="0.25">
      <c r="A10685" s="318">
        <v>93706192649</v>
      </c>
      <c r="B10685" s="318" t="s">
        <v>237</v>
      </c>
    </row>
    <row r="10686" spans="1:2" ht="12.75" customHeight="1" x14ac:dyDescent="0.25">
      <c r="A10686" s="318">
        <v>93706192651</v>
      </c>
      <c r="B10686" s="318" t="s">
        <v>237</v>
      </c>
    </row>
    <row r="10687" spans="1:2" ht="12.75" customHeight="1" x14ac:dyDescent="0.25">
      <c r="A10687" s="318">
        <v>93706192652</v>
      </c>
      <c r="B10687" s="318" t="s">
        <v>237</v>
      </c>
    </row>
    <row r="10688" spans="1:2" ht="12.75" customHeight="1" x14ac:dyDescent="0.25">
      <c r="A10688" s="318">
        <v>93706192653</v>
      </c>
      <c r="B10688" s="318" t="s">
        <v>237</v>
      </c>
    </row>
    <row r="10689" spans="1:2" ht="12.75" customHeight="1" x14ac:dyDescent="0.25">
      <c r="A10689" s="318">
        <v>93706192654</v>
      </c>
      <c r="B10689" s="318" t="s">
        <v>237</v>
      </c>
    </row>
    <row r="10690" spans="1:2" ht="12.75" customHeight="1" x14ac:dyDescent="0.25">
      <c r="A10690" s="318">
        <v>93706192655</v>
      </c>
      <c r="B10690" s="318" t="s">
        <v>237</v>
      </c>
    </row>
    <row r="10691" spans="1:2" ht="12.75" customHeight="1" x14ac:dyDescent="0.25">
      <c r="A10691" s="318">
        <v>93706192656</v>
      </c>
      <c r="B10691" s="318" t="s">
        <v>237</v>
      </c>
    </row>
    <row r="10692" spans="1:2" ht="12.75" customHeight="1" x14ac:dyDescent="0.25">
      <c r="A10692" s="318">
        <v>93706192657</v>
      </c>
      <c r="B10692" s="318" t="s">
        <v>237</v>
      </c>
    </row>
    <row r="10693" spans="1:2" ht="12.75" customHeight="1" x14ac:dyDescent="0.25">
      <c r="A10693" s="318">
        <v>93706192658</v>
      </c>
      <c r="B10693" s="318" t="s">
        <v>237</v>
      </c>
    </row>
    <row r="10694" spans="1:2" ht="12.75" customHeight="1" x14ac:dyDescent="0.25">
      <c r="A10694" s="318">
        <v>93706673515</v>
      </c>
      <c r="B10694" s="318" t="s">
        <v>23</v>
      </c>
    </row>
    <row r="10695" spans="1:2" ht="12.75" customHeight="1" x14ac:dyDescent="0.25">
      <c r="A10695" s="318">
        <v>93706673516</v>
      </c>
      <c r="B10695" s="318" t="s">
        <v>23</v>
      </c>
    </row>
    <row r="10696" spans="1:2" ht="12.75" customHeight="1" x14ac:dyDescent="0.25">
      <c r="A10696" s="318">
        <v>93706673517</v>
      </c>
      <c r="B10696" s="318" t="s">
        <v>23</v>
      </c>
    </row>
    <row r="10697" spans="1:2" ht="12.75" customHeight="1" x14ac:dyDescent="0.25">
      <c r="A10697" s="318">
        <v>93706673518</v>
      </c>
      <c r="B10697" s="318" t="s">
        <v>23</v>
      </c>
    </row>
    <row r="10698" spans="1:2" ht="12.75" customHeight="1" x14ac:dyDescent="0.25">
      <c r="A10698" s="318">
        <v>93706673519</v>
      </c>
      <c r="B10698" s="318" t="s">
        <v>23</v>
      </c>
    </row>
    <row r="10699" spans="1:2" ht="12.75" customHeight="1" x14ac:dyDescent="0.25">
      <c r="A10699" s="318">
        <v>93706673520</v>
      </c>
      <c r="B10699" s="318" t="s">
        <v>23</v>
      </c>
    </row>
    <row r="10700" spans="1:2" ht="12.75" customHeight="1" x14ac:dyDescent="0.25">
      <c r="A10700" s="318">
        <v>93706673521</v>
      </c>
      <c r="B10700" s="318" t="s">
        <v>23</v>
      </c>
    </row>
    <row r="10701" spans="1:2" ht="12.75" customHeight="1" x14ac:dyDescent="0.25">
      <c r="A10701" s="318">
        <v>93706673522</v>
      </c>
      <c r="B10701" s="318" t="s">
        <v>23</v>
      </c>
    </row>
    <row r="10702" spans="1:2" ht="12.75" customHeight="1" x14ac:dyDescent="0.25">
      <c r="A10702" s="318">
        <v>93706673524</v>
      </c>
      <c r="B10702" s="318" t="s">
        <v>23</v>
      </c>
    </row>
    <row r="10703" spans="1:2" ht="12.75" customHeight="1" x14ac:dyDescent="0.25">
      <c r="A10703" s="318">
        <v>93706673525</v>
      </c>
      <c r="B10703" s="318" t="s">
        <v>23</v>
      </c>
    </row>
    <row r="10704" spans="1:2" ht="12.75" customHeight="1" x14ac:dyDescent="0.25">
      <c r="A10704" s="318">
        <v>93706673526</v>
      </c>
      <c r="B10704" s="318" t="s">
        <v>23</v>
      </c>
    </row>
    <row r="10705" spans="1:2" ht="12.75" customHeight="1" x14ac:dyDescent="0.25">
      <c r="A10705" s="318">
        <v>93706673527</v>
      </c>
      <c r="B10705" s="318" t="s">
        <v>23</v>
      </c>
    </row>
    <row r="10706" spans="1:2" ht="12.75" customHeight="1" x14ac:dyDescent="0.25">
      <c r="A10706" s="318">
        <v>93706673528</v>
      </c>
      <c r="B10706" s="318" t="s">
        <v>23</v>
      </c>
    </row>
    <row r="10707" spans="1:2" ht="12.75" customHeight="1" x14ac:dyDescent="0.25">
      <c r="A10707" s="318">
        <v>93706673529</v>
      </c>
      <c r="B10707" s="318" t="s">
        <v>23</v>
      </c>
    </row>
    <row r="10708" spans="1:2" ht="12.75" customHeight="1" x14ac:dyDescent="0.25">
      <c r="A10708" s="318">
        <v>93706673530</v>
      </c>
      <c r="B10708" s="318" t="s">
        <v>23</v>
      </c>
    </row>
    <row r="10709" spans="1:2" ht="12.75" customHeight="1" x14ac:dyDescent="0.25">
      <c r="A10709" s="318">
        <v>93706673531</v>
      </c>
      <c r="B10709" s="318" t="s">
        <v>23</v>
      </c>
    </row>
    <row r="10710" spans="1:2" ht="12.75" customHeight="1" x14ac:dyDescent="0.25">
      <c r="A10710" s="318">
        <v>93706673615</v>
      </c>
      <c r="B10710" s="318" t="s">
        <v>237</v>
      </c>
    </row>
    <row r="10711" spans="1:2" ht="12.75" customHeight="1" x14ac:dyDescent="0.25">
      <c r="A10711" s="318">
        <v>93706673616</v>
      </c>
      <c r="B10711" s="318" t="s">
        <v>237</v>
      </c>
    </row>
    <row r="10712" spans="1:2" ht="12.75" customHeight="1" x14ac:dyDescent="0.25">
      <c r="A10712" s="318">
        <v>93706673617</v>
      </c>
      <c r="B10712" s="318" t="s">
        <v>237</v>
      </c>
    </row>
    <row r="10713" spans="1:2" ht="12.75" customHeight="1" x14ac:dyDescent="0.25">
      <c r="A10713" s="318">
        <v>93706673618</v>
      </c>
      <c r="B10713" s="318" t="s">
        <v>237</v>
      </c>
    </row>
    <row r="10714" spans="1:2" ht="12.75" customHeight="1" x14ac:dyDescent="0.25">
      <c r="A10714" s="318">
        <v>93706673619</v>
      </c>
      <c r="B10714" s="318" t="s">
        <v>237</v>
      </c>
    </row>
    <row r="10715" spans="1:2" ht="12.75" customHeight="1" x14ac:dyDescent="0.25">
      <c r="A10715" s="318">
        <v>93706673620</v>
      </c>
      <c r="B10715" s="318" t="s">
        <v>237</v>
      </c>
    </row>
    <row r="10716" spans="1:2" ht="12.75" customHeight="1" x14ac:dyDescent="0.25">
      <c r="A10716" s="318">
        <v>93706673621</v>
      </c>
      <c r="B10716" s="318" t="s">
        <v>237</v>
      </c>
    </row>
    <row r="10717" spans="1:2" ht="12.75" customHeight="1" x14ac:dyDescent="0.25">
      <c r="A10717" s="318">
        <v>93706673622</v>
      </c>
      <c r="B10717" s="318" t="s">
        <v>237</v>
      </c>
    </row>
    <row r="10718" spans="1:2" ht="12.75" customHeight="1" x14ac:dyDescent="0.25">
      <c r="A10718" s="318">
        <v>93706673624</v>
      </c>
      <c r="B10718" s="318" t="s">
        <v>237</v>
      </c>
    </row>
    <row r="10719" spans="1:2" ht="12.75" customHeight="1" x14ac:dyDescent="0.25">
      <c r="A10719" s="318">
        <v>93706673625</v>
      </c>
      <c r="B10719" s="318" t="s">
        <v>237</v>
      </c>
    </row>
    <row r="10720" spans="1:2" ht="12.75" customHeight="1" x14ac:dyDescent="0.25">
      <c r="A10720" s="318">
        <v>93706673626</v>
      </c>
      <c r="B10720" s="318" t="s">
        <v>237</v>
      </c>
    </row>
    <row r="10721" spans="1:2" ht="12.75" customHeight="1" x14ac:dyDescent="0.25">
      <c r="A10721" s="318">
        <v>93706673627</v>
      </c>
      <c r="B10721" s="318" t="s">
        <v>237</v>
      </c>
    </row>
    <row r="10722" spans="1:2" ht="12.75" customHeight="1" x14ac:dyDescent="0.25">
      <c r="A10722" s="318">
        <v>93706673628</v>
      </c>
      <c r="B10722" s="318" t="s">
        <v>237</v>
      </c>
    </row>
    <row r="10723" spans="1:2" ht="12.75" customHeight="1" x14ac:dyDescent="0.25">
      <c r="A10723" s="318">
        <v>93706673629</v>
      </c>
      <c r="B10723" s="318" t="s">
        <v>237</v>
      </c>
    </row>
    <row r="10724" spans="1:2" ht="12.75" customHeight="1" x14ac:dyDescent="0.25">
      <c r="A10724" s="318">
        <v>93706673630</v>
      </c>
      <c r="B10724" s="318" t="s">
        <v>237</v>
      </c>
    </row>
    <row r="10725" spans="1:2" ht="12.75" customHeight="1" x14ac:dyDescent="0.25">
      <c r="A10725" s="318">
        <v>93706673631</v>
      </c>
      <c r="B10725" s="318" t="s">
        <v>237</v>
      </c>
    </row>
    <row r="10726" spans="1:2" ht="12.75" customHeight="1" x14ac:dyDescent="0.25">
      <c r="A10726" s="318">
        <v>93707353706</v>
      </c>
      <c r="B10726" s="318" t="s">
        <v>23</v>
      </c>
    </row>
    <row r="10727" spans="1:2" ht="12.75" customHeight="1" x14ac:dyDescent="0.25">
      <c r="A10727" s="318">
        <v>93707353707</v>
      </c>
      <c r="B10727" s="318" t="s">
        <v>23</v>
      </c>
    </row>
    <row r="10728" spans="1:2" ht="12.75" customHeight="1" x14ac:dyDescent="0.25">
      <c r="A10728" s="318">
        <v>93707353708</v>
      </c>
      <c r="B10728" s="318" t="s">
        <v>23</v>
      </c>
    </row>
    <row r="10729" spans="1:2" ht="12.75" customHeight="1" x14ac:dyDescent="0.25">
      <c r="A10729" s="318">
        <v>93707353709</v>
      </c>
      <c r="B10729" s="318" t="s">
        <v>23</v>
      </c>
    </row>
    <row r="10730" spans="1:2" ht="12.75" customHeight="1" x14ac:dyDescent="0.25">
      <c r="A10730" s="318">
        <v>93707353710</v>
      </c>
      <c r="B10730" s="318" t="s">
        <v>23</v>
      </c>
    </row>
    <row r="10731" spans="1:2" ht="12.75" customHeight="1" x14ac:dyDescent="0.25">
      <c r="A10731" s="318">
        <v>93707353711</v>
      </c>
      <c r="B10731" s="318" t="s">
        <v>23</v>
      </c>
    </row>
    <row r="10732" spans="1:2" ht="12.75" customHeight="1" x14ac:dyDescent="0.25">
      <c r="A10732" s="318">
        <v>93707353712</v>
      </c>
      <c r="B10732" s="318" t="s">
        <v>23</v>
      </c>
    </row>
    <row r="10733" spans="1:2" ht="12.75" customHeight="1" x14ac:dyDescent="0.25">
      <c r="A10733" s="318">
        <v>93707353713</v>
      </c>
      <c r="B10733" s="318" t="s">
        <v>23</v>
      </c>
    </row>
    <row r="10734" spans="1:2" ht="12.75" customHeight="1" x14ac:dyDescent="0.25">
      <c r="A10734" s="318">
        <v>93707353715</v>
      </c>
      <c r="B10734" s="318" t="s">
        <v>23</v>
      </c>
    </row>
    <row r="10735" spans="1:2" ht="12.75" customHeight="1" x14ac:dyDescent="0.25">
      <c r="A10735" s="318">
        <v>93707353716</v>
      </c>
      <c r="B10735" s="318" t="s">
        <v>23</v>
      </c>
    </row>
    <row r="10736" spans="1:2" ht="12.75" customHeight="1" x14ac:dyDescent="0.25">
      <c r="A10736" s="318">
        <v>93707353717</v>
      </c>
      <c r="B10736" s="318" t="s">
        <v>23</v>
      </c>
    </row>
    <row r="10737" spans="1:2" ht="12.75" customHeight="1" x14ac:dyDescent="0.25">
      <c r="A10737" s="318">
        <v>93707353718</v>
      </c>
      <c r="B10737" s="318" t="s">
        <v>23</v>
      </c>
    </row>
    <row r="10738" spans="1:2" ht="12.75" customHeight="1" x14ac:dyDescent="0.25">
      <c r="A10738" s="318">
        <v>93707353719</v>
      </c>
      <c r="B10738" s="318" t="s">
        <v>23</v>
      </c>
    </row>
    <row r="10739" spans="1:2" ht="12.75" customHeight="1" x14ac:dyDescent="0.25">
      <c r="A10739" s="318">
        <v>93707353720</v>
      </c>
      <c r="B10739" s="318" t="s">
        <v>23</v>
      </c>
    </row>
    <row r="10740" spans="1:2" ht="12.75" customHeight="1" x14ac:dyDescent="0.25">
      <c r="A10740" s="318">
        <v>93707353721</v>
      </c>
      <c r="B10740" s="318" t="s">
        <v>23</v>
      </c>
    </row>
    <row r="10741" spans="1:2" ht="12.75" customHeight="1" x14ac:dyDescent="0.25">
      <c r="A10741" s="318">
        <v>93707353722</v>
      </c>
      <c r="B10741" s="318" t="s">
        <v>23</v>
      </c>
    </row>
    <row r="10742" spans="1:2" ht="12.75" customHeight="1" x14ac:dyDescent="0.25">
      <c r="A10742" s="318">
        <v>93707353806</v>
      </c>
      <c r="B10742" s="318" t="s">
        <v>237</v>
      </c>
    </row>
    <row r="10743" spans="1:2" ht="12.75" customHeight="1" x14ac:dyDescent="0.25">
      <c r="A10743" s="318">
        <v>93707353807</v>
      </c>
      <c r="B10743" s="318" t="s">
        <v>237</v>
      </c>
    </row>
    <row r="10744" spans="1:2" ht="12.75" customHeight="1" x14ac:dyDescent="0.25">
      <c r="A10744" s="318">
        <v>93707353808</v>
      </c>
      <c r="B10744" s="318" t="s">
        <v>237</v>
      </c>
    </row>
    <row r="10745" spans="1:2" ht="12.75" customHeight="1" x14ac:dyDescent="0.25">
      <c r="A10745" s="318">
        <v>93707353809</v>
      </c>
      <c r="B10745" s="318" t="s">
        <v>237</v>
      </c>
    </row>
    <row r="10746" spans="1:2" ht="12.75" customHeight="1" x14ac:dyDescent="0.25">
      <c r="A10746" s="318">
        <v>93707353810</v>
      </c>
      <c r="B10746" s="318" t="s">
        <v>237</v>
      </c>
    </row>
    <row r="10747" spans="1:2" ht="12.75" customHeight="1" x14ac:dyDescent="0.25">
      <c r="A10747" s="318">
        <v>93707353811</v>
      </c>
      <c r="B10747" s="318" t="s">
        <v>237</v>
      </c>
    </row>
    <row r="10748" spans="1:2" ht="12.75" customHeight="1" x14ac:dyDescent="0.25">
      <c r="A10748" s="318">
        <v>93707353812</v>
      </c>
      <c r="B10748" s="318" t="s">
        <v>237</v>
      </c>
    </row>
    <row r="10749" spans="1:2" ht="12.75" customHeight="1" x14ac:dyDescent="0.25">
      <c r="A10749" s="318">
        <v>93707353813</v>
      </c>
      <c r="B10749" s="318" t="s">
        <v>237</v>
      </c>
    </row>
    <row r="10750" spans="1:2" ht="12.75" customHeight="1" x14ac:dyDescent="0.25">
      <c r="A10750" s="318">
        <v>93707353815</v>
      </c>
      <c r="B10750" s="318" t="s">
        <v>237</v>
      </c>
    </row>
    <row r="10751" spans="1:2" ht="12.75" customHeight="1" x14ac:dyDescent="0.25">
      <c r="A10751" s="318">
        <v>93707353816</v>
      </c>
      <c r="B10751" s="318" t="s">
        <v>237</v>
      </c>
    </row>
    <row r="10752" spans="1:2" ht="12.75" customHeight="1" x14ac:dyDescent="0.25">
      <c r="A10752" s="318">
        <v>93707353817</v>
      </c>
      <c r="B10752" s="318" t="s">
        <v>237</v>
      </c>
    </row>
    <row r="10753" spans="1:2" ht="12.75" customHeight="1" x14ac:dyDescent="0.25">
      <c r="A10753" s="318">
        <v>93707353818</v>
      </c>
      <c r="B10753" s="318" t="s">
        <v>237</v>
      </c>
    </row>
    <row r="10754" spans="1:2" ht="12.75" customHeight="1" x14ac:dyDescent="0.25">
      <c r="A10754" s="318">
        <v>93707353819</v>
      </c>
      <c r="B10754" s="318" t="s">
        <v>237</v>
      </c>
    </row>
    <row r="10755" spans="1:2" ht="12.75" customHeight="1" x14ac:dyDescent="0.25">
      <c r="A10755" s="318">
        <v>93707353820</v>
      </c>
      <c r="B10755" s="318" t="s">
        <v>237</v>
      </c>
    </row>
    <row r="10756" spans="1:2" ht="12.75" customHeight="1" x14ac:dyDescent="0.25">
      <c r="A10756" s="318">
        <v>93707353821</v>
      </c>
      <c r="B10756" s="318" t="s">
        <v>237</v>
      </c>
    </row>
    <row r="10757" spans="1:2" ht="12.75" customHeight="1" x14ac:dyDescent="0.25">
      <c r="A10757" s="318">
        <v>93707353822</v>
      </c>
      <c r="B10757" s="318" t="s">
        <v>237</v>
      </c>
    </row>
    <row r="10758" spans="1:2" ht="12.75" customHeight="1" x14ac:dyDescent="0.25">
      <c r="A10758" s="318">
        <v>93707834679</v>
      </c>
      <c r="B10758" s="318" t="s">
        <v>23</v>
      </c>
    </row>
    <row r="10759" spans="1:2" ht="12.75" customHeight="1" x14ac:dyDescent="0.25">
      <c r="A10759" s="318">
        <v>93707834680</v>
      </c>
      <c r="B10759" s="318" t="s">
        <v>23</v>
      </c>
    </row>
    <row r="10760" spans="1:2" ht="12.75" customHeight="1" x14ac:dyDescent="0.25">
      <c r="A10760" s="318">
        <v>93707834681</v>
      </c>
      <c r="B10760" s="318" t="s">
        <v>23</v>
      </c>
    </row>
    <row r="10761" spans="1:2" ht="12.75" customHeight="1" x14ac:dyDescent="0.25">
      <c r="A10761" s="318">
        <v>93707834682</v>
      </c>
      <c r="B10761" s="318" t="s">
        <v>23</v>
      </c>
    </row>
    <row r="10762" spans="1:2" ht="12.75" customHeight="1" x14ac:dyDescent="0.25">
      <c r="A10762" s="318">
        <v>93707834683</v>
      </c>
      <c r="B10762" s="318" t="s">
        <v>23</v>
      </c>
    </row>
    <row r="10763" spans="1:2" ht="12.75" customHeight="1" x14ac:dyDescent="0.25">
      <c r="A10763" s="318">
        <v>93707834684</v>
      </c>
      <c r="B10763" s="318" t="s">
        <v>23</v>
      </c>
    </row>
    <row r="10764" spans="1:2" ht="12.75" customHeight="1" x14ac:dyDescent="0.25">
      <c r="A10764" s="318">
        <v>93707834685</v>
      </c>
      <c r="B10764" s="318" t="s">
        <v>23</v>
      </c>
    </row>
    <row r="10765" spans="1:2" ht="12.75" customHeight="1" x14ac:dyDescent="0.25">
      <c r="A10765" s="318">
        <v>93707834686</v>
      </c>
      <c r="B10765" s="318" t="s">
        <v>23</v>
      </c>
    </row>
    <row r="10766" spans="1:2" ht="12.75" customHeight="1" x14ac:dyDescent="0.25">
      <c r="A10766" s="318">
        <v>93707834688</v>
      </c>
      <c r="B10766" s="318" t="s">
        <v>23</v>
      </c>
    </row>
    <row r="10767" spans="1:2" ht="12.75" customHeight="1" x14ac:dyDescent="0.25">
      <c r="A10767" s="318">
        <v>93707834689</v>
      </c>
      <c r="B10767" s="318" t="s">
        <v>23</v>
      </c>
    </row>
    <row r="10768" spans="1:2" ht="12.75" customHeight="1" x14ac:dyDescent="0.25">
      <c r="A10768" s="318">
        <v>93707834690</v>
      </c>
      <c r="B10768" s="318" t="s">
        <v>23</v>
      </c>
    </row>
    <row r="10769" spans="1:2" ht="12.75" customHeight="1" x14ac:dyDescent="0.25">
      <c r="A10769" s="318">
        <v>93707834691</v>
      </c>
      <c r="B10769" s="318" t="s">
        <v>23</v>
      </c>
    </row>
    <row r="10770" spans="1:2" ht="12.75" customHeight="1" x14ac:dyDescent="0.25">
      <c r="A10770" s="318">
        <v>93707834692</v>
      </c>
      <c r="B10770" s="318" t="s">
        <v>23</v>
      </c>
    </row>
    <row r="10771" spans="1:2" ht="12.75" customHeight="1" x14ac:dyDescent="0.25">
      <c r="A10771" s="318">
        <v>93707834693</v>
      </c>
      <c r="B10771" s="318" t="s">
        <v>23</v>
      </c>
    </row>
    <row r="10772" spans="1:2" ht="12.75" customHeight="1" x14ac:dyDescent="0.25">
      <c r="A10772" s="318">
        <v>93707834694</v>
      </c>
      <c r="B10772" s="318" t="s">
        <v>23</v>
      </c>
    </row>
    <row r="10773" spans="1:2" ht="12.75" customHeight="1" x14ac:dyDescent="0.25">
      <c r="A10773" s="318">
        <v>93707834695</v>
      </c>
      <c r="B10773" s="318" t="s">
        <v>23</v>
      </c>
    </row>
    <row r="10774" spans="1:2" ht="12.75" customHeight="1" x14ac:dyDescent="0.25">
      <c r="A10774" s="318">
        <v>93707834779</v>
      </c>
      <c r="B10774" s="318" t="s">
        <v>237</v>
      </c>
    </row>
    <row r="10775" spans="1:2" ht="12.75" customHeight="1" x14ac:dyDescent="0.25">
      <c r="A10775" s="318">
        <v>93707834780</v>
      </c>
      <c r="B10775" s="318" t="s">
        <v>237</v>
      </c>
    </row>
    <row r="10776" spans="1:2" ht="12.75" customHeight="1" x14ac:dyDescent="0.25">
      <c r="A10776" s="318">
        <v>93707834781</v>
      </c>
      <c r="B10776" s="318" t="s">
        <v>237</v>
      </c>
    </row>
    <row r="10777" spans="1:2" ht="12.75" customHeight="1" x14ac:dyDescent="0.25">
      <c r="A10777" s="318">
        <v>93707834782</v>
      </c>
      <c r="B10777" s="318" t="s">
        <v>237</v>
      </c>
    </row>
    <row r="10778" spans="1:2" ht="12.75" customHeight="1" x14ac:dyDescent="0.25">
      <c r="A10778" s="318">
        <v>93707834783</v>
      </c>
      <c r="B10778" s="318" t="s">
        <v>237</v>
      </c>
    </row>
    <row r="10779" spans="1:2" ht="12.75" customHeight="1" x14ac:dyDescent="0.25">
      <c r="A10779" s="318">
        <v>93707834784</v>
      </c>
      <c r="B10779" s="318" t="s">
        <v>237</v>
      </c>
    </row>
    <row r="10780" spans="1:2" ht="12.75" customHeight="1" x14ac:dyDescent="0.25">
      <c r="A10780" s="318">
        <v>93707834785</v>
      </c>
      <c r="B10780" s="318" t="s">
        <v>237</v>
      </c>
    </row>
    <row r="10781" spans="1:2" ht="12.75" customHeight="1" x14ac:dyDescent="0.25">
      <c r="A10781" s="318">
        <v>93707834786</v>
      </c>
      <c r="B10781" s="318" t="s">
        <v>237</v>
      </c>
    </row>
    <row r="10782" spans="1:2" ht="12.75" customHeight="1" x14ac:dyDescent="0.25">
      <c r="A10782" s="318">
        <v>93707834788</v>
      </c>
      <c r="B10782" s="318" t="s">
        <v>237</v>
      </c>
    </row>
    <row r="10783" spans="1:2" ht="12.75" customHeight="1" x14ac:dyDescent="0.25">
      <c r="A10783" s="318">
        <v>93707834789</v>
      </c>
      <c r="B10783" s="318" t="s">
        <v>237</v>
      </c>
    </row>
    <row r="10784" spans="1:2" ht="12.75" customHeight="1" x14ac:dyDescent="0.25">
      <c r="A10784" s="318">
        <v>93707834790</v>
      </c>
      <c r="B10784" s="318" t="s">
        <v>237</v>
      </c>
    </row>
    <row r="10785" spans="1:2" ht="12.75" customHeight="1" x14ac:dyDescent="0.25">
      <c r="A10785" s="318">
        <v>93707834791</v>
      </c>
      <c r="B10785" s="318" t="s">
        <v>237</v>
      </c>
    </row>
    <row r="10786" spans="1:2" ht="12.75" customHeight="1" x14ac:dyDescent="0.25">
      <c r="A10786" s="318">
        <v>93707834792</v>
      </c>
      <c r="B10786" s="318" t="s">
        <v>237</v>
      </c>
    </row>
    <row r="10787" spans="1:2" ht="12.75" customHeight="1" x14ac:dyDescent="0.25">
      <c r="A10787" s="318">
        <v>93707834793</v>
      </c>
      <c r="B10787" s="318" t="s">
        <v>237</v>
      </c>
    </row>
    <row r="10788" spans="1:2" ht="12.75" customHeight="1" x14ac:dyDescent="0.25">
      <c r="A10788" s="318">
        <v>93707834794</v>
      </c>
      <c r="B10788" s="318" t="s">
        <v>237</v>
      </c>
    </row>
    <row r="10789" spans="1:2" ht="12.75" customHeight="1" x14ac:dyDescent="0.25">
      <c r="A10789" s="318">
        <v>93707834795</v>
      </c>
      <c r="B10789" s="318" t="s">
        <v>237</v>
      </c>
    </row>
    <row r="10790" spans="1:2" ht="12.75" customHeight="1" x14ac:dyDescent="0.25">
      <c r="A10790" s="318">
        <v>93708315652</v>
      </c>
      <c r="B10790" s="318" t="s">
        <v>23</v>
      </c>
    </row>
    <row r="10791" spans="1:2" ht="12.75" customHeight="1" x14ac:dyDescent="0.25">
      <c r="A10791" s="318">
        <v>93708315653</v>
      </c>
      <c r="B10791" s="318" t="s">
        <v>23</v>
      </c>
    </row>
    <row r="10792" spans="1:2" ht="12.75" customHeight="1" x14ac:dyDescent="0.25">
      <c r="A10792" s="318">
        <v>93708315654</v>
      </c>
      <c r="B10792" s="318" t="s">
        <v>23</v>
      </c>
    </row>
    <row r="10793" spans="1:2" ht="12.75" customHeight="1" x14ac:dyDescent="0.25">
      <c r="A10793" s="318">
        <v>93708315655</v>
      </c>
      <c r="B10793" s="318" t="s">
        <v>23</v>
      </c>
    </row>
    <row r="10794" spans="1:2" ht="12.75" customHeight="1" x14ac:dyDescent="0.25">
      <c r="A10794" s="318">
        <v>93708315656</v>
      </c>
      <c r="B10794" s="318" t="s">
        <v>23</v>
      </c>
    </row>
    <row r="10795" spans="1:2" ht="12.75" customHeight="1" x14ac:dyDescent="0.25">
      <c r="A10795" s="318">
        <v>93708315657</v>
      </c>
      <c r="B10795" s="318" t="s">
        <v>23</v>
      </c>
    </row>
    <row r="10796" spans="1:2" ht="12.75" customHeight="1" x14ac:dyDescent="0.25">
      <c r="A10796" s="318">
        <v>93708315658</v>
      </c>
      <c r="B10796" s="318" t="s">
        <v>23</v>
      </c>
    </row>
    <row r="10797" spans="1:2" ht="12.75" customHeight="1" x14ac:dyDescent="0.25">
      <c r="A10797" s="318">
        <v>93708315659</v>
      </c>
      <c r="B10797" s="318" t="s">
        <v>23</v>
      </c>
    </row>
    <row r="10798" spans="1:2" ht="12.75" customHeight="1" x14ac:dyDescent="0.25">
      <c r="A10798" s="318">
        <v>93708315661</v>
      </c>
      <c r="B10798" s="318" t="s">
        <v>23</v>
      </c>
    </row>
    <row r="10799" spans="1:2" ht="12.75" customHeight="1" x14ac:dyDescent="0.25">
      <c r="A10799" s="318">
        <v>93708315662</v>
      </c>
      <c r="B10799" s="318" t="s">
        <v>23</v>
      </c>
    </row>
    <row r="10800" spans="1:2" ht="12.75" customHeight="1" x14ac:dyDescent="0.25">
      <c r="A10800" s="318">
        <v>93708315663</v>
      </c>
      <c r="B10800" s="318" t="s">
        <v>23</v>
      </c>
    </row>
    <row r="10801" spans="1:2" ht="12.75" customHeight="1" x14ac:dyDescent="0.25">
      <c r="A10801" s="318">
        <v>93708315664</v>
      </c>
      <c r="B10801" s="318" t="s">
        <v>23</v>
      </c>
    </row>
    <row r="10802" spans="1:2" ht="12.75" customHeight="1" x14ac:dyDescent="0.25">
      <c r="A10802" s="318">
        <v>93708315665</v>
      </c>
      <c r="B10802" s="318" t="s">
        <v>23</v>
      </c>
    </row>
    <row r="10803" spans="1:2" ht="12.75" customHeight="1" x14ac:dyDescent="0.25">
      <c r="A10803" s="318">
        <v>93708315666</v>
      </c>
      <c r="B10803" s="318" t="s">
        <v>23</v>
      </c>
    </row>
    <row r="10804" spans="1:2" ht="12.75" customHeight="1" x14ac:dyDescent="0.25">
      <c r="A10804" s="318">
        <v>93708315667</v>
      </c>
      <c r="B10804" s="318" t="s">
        <v>23</v>
      </c>
    </row>
    <row r="10805" spans="1:2" ht="12.75" customHeight="1" x14ac:dyDescent="0.25">
      <c r="A10805" s="318">
        <v>93708315668</v>
      </c>
      <c r="B10805" s="318" t="s">
        <v>23</v>
      </c>
    </row>
    <row r="10806" spans="1:2" ht="12.75" customHeight="1" x14ac:dyDescent="0.25">
      <c r="A10806" s="318">
        <v>93708315752</v>
      </c>
      <c r="B10806" s="318" t="s">
        <v>237</v>
      </c>
    </row>
    <row r="10807" spans="1:2" ht="12.75" customHeight="1" x14ac:dyDescent="0.25">
      <c r="A10807" s="318">
        <v>93708315753</v>
      </c>
      <c r="B10807" s="318" t="s">
        <v>237</v>
      </c>
    </row>
    <row r="10808" spans="1:2" ht="12.75" customHeight="1" x14ac:dyDescent="0.25">
      <c r="A10808" s="318">
        <v>93708315754</v>
      </c>
      <c r="B10808" s="318" t="s">
        <v>237</v>
      </c>
    </row>
    <row r="10809" spans="1:2" ht="12.75" customHeight="1" x14ac:dyDescent="0.25">
      <c r="A10809" s="318">
        <v>93708315755</v>
      </c>
      <c r="B10809" s="318" t="s">
        <v>237</v>
      </c>
    </row>
    <row r="10810" spans="1:2" ht="12.75" customHeight="1" x14ac:dyDescent="0.25">
      <c r="A10810" s="318">
        <v>93708315756</v>
      </c>
      <c r="B10810" s="318" t="s">
        <v>237</v>
      </c>
    </row>
    <row r="10811" spans="1:2" ht="12.75" customHeight="1" x14ac:dyDescent="0.25">
      <c r="A10811" s="318">
        <v>93708315757</v>
      </c>
      <c r="B10811" s="318" t="s">
        <v>237</v>
      </c>
    </row>
    <row r="10812" spans="1:2" ht="12.75" customHeight="1" x14ac:dyDescent="0.25">
      <c r="A10812" s="318">
        <v>93708315758</v>
      </c>
      <c r="B10812" s="318" t="s">
        <v>237</v>
      </c>
    </row>
    <row r="10813" spans="1:2" ht="12.75" customHeight="1" x14ac:dyDescent="0.25">
      <c r="A10813" s="318">
        <v>93708315759</v>
      </c>
      <c r="B10813" s="318" t="s">
        <v>237</v>
      </c>
    </row>
    <row r="10814" spans="1:2" ht="12.75" customHeight="1" x14ac:dyDescent="0.25">
      <c r="A10814" s="318">
        <v>93708315761</v>
      </c>
      <c r="B10814" s="318" t="s">
        <v>237</v>
      </c>
    </row>
    <row r="10815" spans="1:2" ht="12.75" customHeight="1" x14ac:dyDescent="0.25">
      <c r="A10815" s="318">
        <v>93708315762</v>
      </c>
      <c r="B10815" s="318" t="s">
        <v>237</v>
      </c>
    </row>
    <row r="10816" spans="1:2" ht="12.75" customHeight="1" x14ac:dyDescent="0.25">
      <c r="A10816" s="318">
        <v>93708315763</v>
      </c>
      <c r="B10816" s="318" t="s">
        <v>237</v>
      </c>
    </row>
    <row r="10817" spans="1:2" ht="12.75" customHeight="1" x14ac:dyDescent="0.25">
      <c r="A10817" s="318">
        <v>93708315764</v>
      </c>
      <c r="B10817" s="318" t="s">
        <v>237</v>
      </c>
    </row>
    <row r="10818" spans="1:2" ht="12.75" customHeight="1" x14ac:dyDescent="0.25">
      <c r="A10818" s="318">
        <v>93708315765</v>
      </c>
      <c r="B10818" s="318" t="s">
        <v>237</v>
      </c>
    </row>
    <row r="10819" spans="1:2" ht="12.75" customHeight="1" x14ac:dyDescent="0.25">
      <c r="A10819" s="318">
        <v>93708315766</v>
      </c>
      <c r="B10819" s="318" t="s">
        <v>237</v>
      </c>
    </row>
    <row r="10820" spans="1:2" ht="12.75" customHeight="1" x14ac:dyDescent="0.25">
      <c r="A10820" s="318">
        <v>93708315767</v>
      </c>
      <c r="B10820" s="318" t="s">
        <v>237</v>
      </c>
    </row>
    <row r="10821" spans="1:2" ht="12.75" customHeight="1" x14ac:dyDescent="0.25">
      <c r="A10821" s="318">
        <v>93708315768</v>
      </c>
      <c r="B10821" s="318" t="s">
        <v>237</v>
      </c>
    </row>
    <row r="10822" spans="1:2" ht="12.75" customHeight="1" x14ac:dyDescent="0.25">
      <c r="A10822" s="318">
        <v>94323982949</v>
      </c>
      <c r="B10822" s="318" t="s">
        <v>23</v>
      </c>
    </row>
    <row r="10823" spans="1:2" ht="12.75" customHeight="1" x14ac:dyDescent="0.25">
      <c r="A10823" s="318">
        <v>94323982950</v>
      </c>
      <c r="B10823" s="318" t="s">
        <v>23</v>
      </c>
    </row>
    <row r="10824" spans="1:2" ht="12.75" customHeight="1" x14ac:dyDescent="0.25">
      <c r="A10824" s="318">
        <v>94323982951</v>
      </c>
      <c r="B10824" s="318" t="s">
        <v>23</v>
      </c>
    </row>
    <row r="10825" spans="1:2" ht="12.75" customHeight="1" x14ac:dyDescent="0.25">
      <c r="A10825" s="318">
        <v>94323982952</v>
      </c>
      <c r="B10825" s="318" t="s">
        <v>23</v>
      </c>
    </row>
    <row r="10826" spans="1:2" ht="12.75" customHeight="1" x14ac:dyDescent="0.25">
      <c r="A10826" s="318">
        <v>94323982953</v>
      </c>
      <c r="B10826" s="318" t="s">
        <v>23</v>
      </c>
    </row>
    <row r="10827" spans="1:2" ht="12.75" customHeight="1" x14ac:dyDescent="0.25">
      <c r="A10827" s="318">
        <v>94323982954</v>
      </c>
      <c r="B10827" s="318" t="s">
        <v>23</v>
      </c>
    </row>
    <row r="10828" spans="1:2" ht="12.75" customHeight="1" x14ac:dyDescent="0.25">
      <c r="A10828" s="318">
        <v>94323982955</v>
      </c>
      <c r="B10828" s="318" t="s">
        <v>23</v>
      </c>
    </row>
    <row r="10829" spans="1:2" ht="12.75" customHeight="1" x14ac:dyDescent="0.25">
      <c r="A10829" s="318">
        <v>94323982956</v>
      </c>
      <c r="B10829" s="318" t="s">
        <v>237</v>
      </c>
    </row>
    <row r="10830" spans="1:2" ht="12.75" customHeight="1" x14ac:dyDescent="0.25">
      <c r="A10830" s="318">
        <v>94323982958</v>
      </c>
      <c r="B10830" s="318" t="s">
        <v>237</v>
      </c>
    </row>
    <row r="10831" spans="1:2" ht="12.75" customHeight="1" x14ac:dyDescent="0.25">
      <c r="A10831" s="318">
        <v>94323982959</v>
      </c>
      <c r="B10831" s="318" t="s">
        <v>237</v>
      </c>
    </row>
    <row r="10832" spans="1:2" ht="12.75" customHeight="1" x14ac:dyDescent="0.25">
      <c r="A10832" s="318">
        <v>94323982960</v>
      </c>
      <c r="B10832" s="318" t="s">
        <v>237</v>
      </c>
    </row>
    <row r="10833" spans="1:2" ht="12.75" customHeight="1" x14ac:dyDescent="0.25">
      <c r="A10833" s="318">
        <v>94323982961</v>
      </c>
      <c r="B10833" s="318" t="s">
        <v>237</v>
      </c>
    </row>
    <row r="10834" spans="1:2" ht="12.75" customHeight="1" x14ac:dyDescent="0.25">
      <c r="A10834" s="318">
        <v>94323982962</v>
      </c>
      <c r="B10834" s="318" t="s">
        <v>237</v>
      </c>
    </row>
    <row r="10835" spans="1:2" ht="12.75" customHeight="1" x14ac:dyDescent="0.25">
      <c r="A10835" s="318">
        <v>94323982963</v>
      </c>
      <c r="B10835" s="318" t="s">
        <v>237</v>
      </c>
    </row>
    <row r="10836" spans="1:2" ht="12.75" customHeight="1" x14ac:dyDescent="0.25">
      <c r="A10836" s="318">
        <v>94323982964</v>
      </c>
      <c r="B10836" s="318" t="s">
        <v>237</v>
      </c>
    </row>
    <row r="10837" spans="1:2" ht="12.75" customHeight="1" x14ac:dyDescent="0.25">
      <c r="A10837" s="318">
        <v>94323982965</v>
      </c>
      <c r="B10837" s="318" t="s">
        <v>237</v>
      </c>
    </row>
    <row r="10838" spans="1:2" ht="12.75" customHeight="1" x14ac:dyDescent="0.25">
      <c r="A10838" s="318">
        <v>94323983049</v>
      </c>
      <c r="B10838" s="318" t="s">
        <v>237</v>
      </c>
    </row>
    <row r="10839" spans="1:2" ht="12.75" customHeight="1" x14ac:dyDescent="0.25">
      <c r="A10839" s="318">
        <v>94323983050</v>
      </c>
      <c r="B10839" s="318" t="s">
        <v>237</v>
      </c>
    </row>
    <row r="10840" spans="1:2" ht="12.75" customHeight="1" x14ac:dyDescent="0.25">
      <c r="A10840" s="318">
        <v>94323983051</v>
      </c>
      <c r="B10840" s="318" t="s">
        <v>237</v>
      </c>
    </row>
    <row r="10841" spans="1:2" ht="12.75" customHeight="1" x14ac:dyDescent="0.25">
      <c r="A10841" s="318">
        <v>94323983052</v>
      </c>
      <c r="B10841" s="318" t="s">
        <v>237</v>
      </c>
    </row>
    <row r="10842" spans="1:2" ht="12.75" customHeight="1" x14ac:dyDescent="0.25">
      <c r="A10842" s="318">
        <v>94323983053</v>
      </c>
      <c r="B10842" s="318" t="s">
        <v>237</v>
      </c>
    </row>
    <row r="10843" spans="1:2" ht="12.75" customHeight="1" x14ac:dyDescent="0.25">
      <c r="A10843" s="318">
        <v>94323983054</v>
      </c>
      <c r="B10843" s="318" t="s">
        <v>237</v>
      </c>
    </row>
    <row r="10844" spans="1:2" ht="12.75" customHeight="1" x14ac:dyDescent="0.25">
      <c r="A10844" s="318">
        <v>94323983055</v>
      </c>
      <c r="B10844" s="318" t="s">
        <v>237</v>
      </c>
    </row>
    <row r="10845" spans="1:2" ht="12.75" customHeight="1" x14ac:dyDescent="0.25">
      <c r="A10845" s="318">
        <v>94323983056</v>
      </c>
      <c r="B10845" s="318" t="s">
        <v>237</v>
      </c>
    </row>
    <row r="10846" spans="1:2" ht="12.75" customHeight="1" x14ac:dyDescent="0.25">
      <c r="A10846" s="318">
        <v>94323983058</v>
      </c>
      <c r="B10846" s="318" t="s">
        <v>237</v>
      </c>
    </row>
    <row r="10847" spans="1:2" ht="12.75" customHeight="1" x14ac:dyDescent="0.25">
      <c r="A10847" s="318">
        <v>94323983059</v>
      </c>
      <c r="B10847" s="318" t="s">
        <v>237</v>
      </c>
    </row>
    <row r="10848" spans="1:2" ht="12.75" customHeight="1" x14ac:dyDescent="0.25">
      <c r="A10848" s="318">
        <v>94323983060</v>
      </c>
      <c r="B10848" s="318" t="s">
        <v>237</v>
      </c>
    </row>
    <row r="10849" spans="1:2" ht="12.75" customHeight="1" x14ac:dyDescent="0.25">
      <c r="A10849" s="318">
        <v>94323983061</v>
      </c>
      <c r="B10849" s="318" t="s">
        <v>237</v>
      </c>
    </row>
    <row r="10850" spans="1:2" ht="12.75" customHeight="1" x14ac:dyDescent="0.25">
      <c r="A10850" s="318">
        <v>94323983062</v>
      </c>
      <c r="B10850" s="318" t="s">
        <v>237</v>
      </c>
    </row>
    <row r="10851" spans="1:2" ht="12.75" customHeight="1" x14ac:dyDescent="0.25">
      <c r="A10851" s="318">
        <v>94323983063</v>
      </c>
      <c r="B10851" s="318" t="s">
        <v>237</v>
      </c>
    </row>
    <row r="10852" spans="1:2" ht="12.75" customHeight="1" x14ac:dyDescent="0.25">
      <c r="A10852" s="318">
        <v>94323983064</v>
      </c>
      <c r="B10852" s="318" t="s">
        <v>237</v>
      </c>
    </row>
    <row r="10853" spans="1:2" ht="12.75" customHeight="1" x14ac:dyDescent="0.25">
      <c r="A10853" s="318">
        <v>94323983065</v>
      </c>
      <c r="B10853" s="318" t="s">
        <v>237</v>
      </c>
    </row>
    <row r="10854" spans="1:2" ht="12.75" customHeight="1" x14ac:dyDescent="0.25">
      <c r="A10854" s="318">
        <v>94324463922</v>
      </c>
      <c r="B10854" s="318" t="s">
        <v>23</v>
      </c>
    </row>
    <row r="10855" spans="1:2" ht="12.75" customHeight="1" x14ac:dyDescent="0.25">
      <c r="A10855" s="318">
        <v>94324463923</v>
      </c>
      <c r="B10855" s="318" t="s">
        <v>23</v>
      </c>
    </row>
    <row r="10856" spans="1:2" ht="12.75" customHeight="1" x14ac:dyDescent="0.25">
      <c r="A10856" s="318">
        <v>94324463924</v>
      </c>
      <c r="B10856" s="318" t="s">
        <v>23</v>
      </c>
    </row>
    <row r="10857" spans="1:2" ht="12.75" customHeight="1" x14ac:dyDescent="0.25">
      <c r="A10857" s="318">
        <v>94324463925</v>
      </c>
      <c r="B10857" s="318" t="s">
        <v>23</v>
      </c>
    </row>
    <row r="10858" spans="1:2" ht="12.75" customHeight="1" x14ac:dyDescent="0.25">
      <c r="A10858" s="318">
        <v>94324463926</v>
      </c>
      <c r="B10858" s="318" t="s">
        <v>23</v>
      </c>
    </row>
    <row r="10859" spans="1:2" ht="12.75" customHeight="1" x14ac:dyDescent="0.25">
      <c r="A10859" s="318">
        <v>94324463927</v>
      </c>
      <c r="B10859" s="318" t="s">
        <v>23</v>
      </c>
    </row>
    <row r="10860" spans="1:2" ht="12.75" customHeight="1" x14ac:dyDescent="0.25">
      <c r="A10860" s="318">
        <v>94324463928</v>
      </c>
      <c r="B10860" s="318" t="s">
        <v>23</v>
      </c>
    </row>
    <row r="10861" spans="1:2" ht="12.75" customHeight="1" x14ac:dyDescent="0.25">
      <c r="A10861" s="318">
        <v>94324463929</v>
      </c>
      <c r="B10861" s="318" t="s">
        <v>237</v>
      </c>
    </row>
    <row r="10862" spans="1:2" ht="12.75" customHeight="1" x14ac:dyDescent="0.25">
      <c r="A10862" s="318">
        <v>94324463931</v>
      </c>
      <c r="B10862" s="318" t="s">
        <v>237</v>
      </c>
    </row>
    <row r="10863" spans="1:2" ht="12.75" customHeight="1" x14ac:dyDescent="0.25">
      <c r="A10863" s="318">
        <v>94324463932</v>
      </c>
      <c r="B10863" s="318" t="s">
        <v>237</v>
      </c>
    </row>
    <row r="10864" spans="1:2" ht="12.75" customHeight="1" x14ac:dyDescent="0.25">
      <c r="A10864" s="318">
        <v>94324463933</v>
      </c>
      <c r="B10864" s="318" t="s">
        <v>237</v>
      </c>
    </row>
    <row r="10865" spans="1:2" ht="12.75" customHeight="1" x14ac:dyDescent="0.25">
      <c r="A10865" s="318">
        <v>94324463934</v>
      </c>
      <c r="B10865" s="318" t="s">
        <v>237</v>
      </c>
    </row>
    <row r="10866" spans="1:2" ht="12.75" customHeight="1" x14ac:dyDescent="0.25">
      <c r="A10866" s="318">
        <v>94324463935</v>
      </c>
      <c r="B10866" s="318" t="s">
        <v>237</v>
      </c>
    </row>
    <row r="10867" spans="1:2" ht="12.75" customHeight="1" x14ac:dyDescent="0.25">
      <c r="A10867" s="318">
        <v>94324463936</v>
      </c>
      <c r="B10867" s="318" t="s">
        <v>237</v>
      </c>
    </row>
    <row r="10868" spans="1:2" ht="12.75" customHeight="1" x14ac:dyDescent="0.25">
      <c r="A10868" s="318">
        <v>94324463937</v>
      </c>
      <c r="B10868" s="318" t="s">
        <v>237</v>
      </c>
    </row>
    <row r="10869" spans="1:2" ht="12.75" customHeight="1" x14ac:dyDescent="0.25">
      <c r="A10869" s="318">
        <v>94324463938</v>
      </c>
      <c r="B10869" s="318" t="s">
        <v>237</v>
      </c>
    </row>
    <row r="10870" spans="1:2" ht="12.75" customHeight="1" x14ac:dyDescent="0.25">
      <c r="A10870" s="318">
        <v>94324464022</v>
      </c>
      <c r="B10870" s="318" t="s">
        <v>237</v>
      </c>
    </row>
    <row r="10871" spans="1:2" ht="12.75" customHeight="1" x14ac:dyDescent="0.25">
      <c r="A10871" s="318">
        <v>94324464023</v>
      </c>
      <c r="B10871" s="318" t="s">
        <v>237</v>
      </c>
    </row>
    <row r="10872" spans="1:2" ht="12.75" customHeight="1" x14ac:dyDescent="0.25">
      <c r="A10872" s="318">
        <v>94324464024</v>
      </c>
      <c r="B10872" s="318" t="s">
        <v>237</v>
      </c>
    </row>
    <row r="10873" spans="1:2" ht="12.75" customHeight="1" x14ac:dyDescent="0.25">
      <c r="A10873" s="318">
        <v>94324464025</v>
      </c>
      <c r="B10873" s="318" t="s">
        <v>237</v>
      </c>
    </row>
    <row r="10874" spans="1:2" ht="12.75" customHeight="1" x14ac:dyDescent="0.25">
      <c r="A10874" s="318">
        <v>94324464026</v>
      </c>
      <c r="B10874" s="318" t="s">
        <v>237</v>
      </c>
    </row>
    <row r="10875" spans="1:2" ht="12.75" customHeight="1" x14ac:dyDescent="0.25">
      <c r="A10875" s="318">
        <v>94324464027</v>
      </c>
      <c r="B10875" s="318" t="s">
        <v>237</v>
      </c>
    </row>
    <row r="10876" spans="1:2" ht="12.75" customHeight="1" x14ac:dyDescent="0.25">
      <c r="A10876" s="318">
        <v>94324464028</v>
      </c>
      <c r="B10876" s="318" t="s">
        <v>237</v>
      </c>
    </row>
    <row r="10877" spans="1:2" ht="12.75" customHeight="1" x14ac:dyDescent="0.25">
      <c r="A10877" s="318">
        <v>94324464029</v>
      </c>
      <c r="B10877" s="318" t="s">
        <v>237</v>
      </c>
    </row>
    <row r="10878" spans="1:2" ht="12.75" customHeight="1" x14ac:dyDescent="0.25">
      <c r="A10878" s="318">
        <v>94324464031</v>
      </c>
      <c r="B10878" s="318" t="s">
        <v>237</v>
      </c>
    </row>
    <row r="10879" spans="1:2" ht="12.75" customHeight="1" x14ac:dyDescent="0.25">
      <c r="A10879" s="318">
        <v>94324464032</v>
      </c>
      <c r="B10879" s="318" t="s">
        <v>237</v>
      </c>
    </row>
    <row r="10880" spans="1:2" ht="12.75" customHeight="1" x14ac:dyDescent="0.25">
      <c r="A10880" s="318">
        <v>94324464033</v>
      </c>
      <c r="B10880" s="318" t="s">
        <v>237</v>
      </c>
    </row>
    <row r="10881" spans="1:2" ht="12.75" customHeight="1" x14ac:dyDescent="0.25">
      <c r="A10881" s="318">
        <v>94324464034</v>
      </c>
      <c r="B10881" s="318" t="s">
        <v>237</v>
      </c>
    </row>
    <row r="10882" spans="1:2" ht="12.75" customHeight="1" x14ac:dyDescent="0.25">
      <c r="A10882" s="318">
        <v>94324464035</v>
      </c>
      <c r="B10882" s="318" t="s">
        <v>237</v>
      </c>
    </row>
    <row r="10883" spans="1:2" ht="12.75" customHeight="1" x14ac:dyDescent="0.25">
      <c r="A10883" s="318">
        <v>94324464036</v>
      </c>
      <c r="B10883" s="318" t="s">
        <v>237</v>
      </c>
    </row>
    <row r="10884" spans="1:2" ht="12.75" customHeight="1" x14ac:dyDescent="0.25">
      <c r="A10884" s="318">
        <v>94324464037</v>
      </c>
      <c r="B10884" s="318" t="s">
        <v>237</v>
      </c>
    </row>
    <row r="10885" spans="1:2" ht="12.75" customHeight="1" x14ac:dyDescent="0.25">
      <c r="A10885" s="318">
        <v>94324464038</v>
      </c>
      <c r="B10885" s="318" t="s">
        <v>237</v>
      </c>
    </row>
    <row r="10886" spans="1:2" ht="12.75" customHeight="1" x14ac:dyDescent="0.25">
      <c r="A10886" s="318">
        <v>94324944895</v>
      </c>
      <c r="B10886" s="318" t="s">
        <v>23</v>
      </c>
    </row>
    <row r="10887" spans="1:2" ht="12.75" customHeight="1" x14ac:dyDescent="0.25">
      <c r="A10887" s="318">
        <v>94324944896</v>
      </c>
      <c r="B10887" s="318" t="s">
        <v>23</v>
      </c>
    </row>
    <row r="10888" spans="1:2" ht="12.75" customHeight="1" x14ac:dyDescent="0.25">
      <c r="A10888" s="318">
        <v>94324944897</v>
      </c>
      <c r="B10888" s="318" t="s">
        <v>23</v>
      </c>
    </row>
    <row r="10889" spans="1:2" ht="12.75" customHeight="1" x14ac:dyDescent="0.25">
      <c r="A10889" s="318">
        <v>94324944898</v>
      </c>
      <c r="B10889" s="318" t="s">
        <v>23</v>
      </c>
    </row>
    <row r="10890" spans="1:2" ht="12.75" customHeight="1" x14ac:dyDescent="0.25">
      <c r="A10890" s="318">
        <v>94324944899</v>
      </c>
      <c r="B10890" s="318" t="s">
        <v>23</v>
      </c>
    </row>
    <row r="10891" spans="1:2" ht="12.75" customHeight="1" x14ac:dyDescent="0.25">
      <c r="A10891" s="318">
        <v>94324944900</v>
      </c>
      <c r="B10891" s="318" t="s">
        <v>23</v>
      </c>
    </row>
    <row r="10892" spans="1:2" ht="12.75" customHeight="1" x14ac:dyDescent="0.25">
      <c r="A10892" s="318">
        <v>94324944901</v>
      </c>
      <c r="B10892" s="318" t="s">
        <v>23</v>
      </c>
    </row>
    <row r="10893" spans="1:2" ht="12.75" customHeight="1" x14ac:dyDescent="0.25">
      <c r="A10893" s="318">
        <v>94324944902</v>
      </c>
      <c r="B10893" s="318" t="s">
        <v>237</v>
      </c>
    </row>
    <row r="10894" spans="1:2" ht="12.75" customHeight="1" x14ac:dyDescent="0.25">
      <c r="A10894" s="318">
        <v>94324944904</v>
      </c>
      <c r="B10894" s="318" t="s">
        <v>23</v>
      </c>
    </row>
    <row r="10895" spans="1:2" ht="12.75" customHeight="1" x14ac:dyDescent="0.25">
      <c r="A10895" s="318">
        <v>94324944905</v>
      </c>
      <c r="B10895" s="318" t="s">
        <v>237</v>
      </c>
    </row>
    <row r="10896" spans="1:2" ht="12.75" customHeight="1" x14ac:dyDescent="0.25">
      <c r="A10896" s="318">
        <v>94324944906</v>
      </c>
      <c r="B10896" s="318" t="s">
        <v>23</v>
      </c>
    </row>
    <row r="10897" spans="1:2" ht="12.75" customHeight="1" x14ac:dyDescent="0.25">
      <c r="A10897" s="318">
        <v>94324944907</v>
      </c>
      <c r="B10897" s="318" t="s">
        <v>237</v>
      </c>
    </row>
    <row r="10898" spans="1:2" ht="12.75" customHeight="1" x14ac:dyDescent="0.25">
      <c r="A10898" s="318">
        <v>94324944908</v>
      </c>
      <c r="B10898" s="318" t="s">
        <v>23</v>
      </c>
    </row>
    <row r="10899" spans="1:2" ht="12.75" customHeight="1" x14ac:dyDescent="0.25">
      <c r="A10899" s="318">
        <v>94324944909</v>
      </c>
      <c r="B10899" s="318" t="s">
        <v>237</v>
      </c>
    </row>
    <row r="10900" spans="1:2" ht="12.75" customHeight="1" x14ac:dyDescent="0.25">
      <c r="A10900" s="318">
        <v>94324944910</v>
      </c>
      <c r="B10900" s="318" t="s">
        <v>23</v>
      </c>
    </row>
    <row r="10901" spans="1:2" ht="12.75" customHeight="1" x14ac:dyDescent="0.25">
      <c r="A10901" s="318">
        <v>94324944911</v>
      </c>
      <c r="B10901" s="318" t="s">
        <v>237</v>
      </c>
    </row>
    <row r="10902" spans="1:2" ht="12.75" customHeight="1" x14ac:dyDescent="0.25">
      <c r="A10902" s="318">
        <v>94324944995</v>
      </c>
      <c r="B10902" s="318" t="s">
        <v>237</v>
      </c>
    </row>
    <row r="10903" spans="1:2" ht="12.75" customHeight="1" x14ac:dyDescent="0.25">
      <c r="A10903" s="318">
        <v>94324944996</v>
      </c>
      <c r="B10903" s="318" t="s">
        <v>237</v>
      </c>
    </row>
    <row r="10904" spans="1:2" ht="12.75" customHeight="1" x14ac:dyDescent="0.25">
      <c r="A10904" s="318">
        <v>94324944997</v>
      </c>
      <c r="B10904" s="318" t="s">
        <v>237</v>
      </c>
    </row>
    <row r="10905" spans="1:2" ht="12.75" customHeight="1" x14ac:dyDescent="0.25">
      <c r="A10905" s="318">
        <v>94324944998</v>
      </c>
      <c r="B10905" s="318" t="s">
        <v>237</v>
      </c>
    </row>
    <row r="10906" spans="1:2" ht="12.75" customHeight="1" x14ac:dyDescent="0.25">
      <c r="A10906" s="318">
        <v>94324944999</v>
      </c>
      <c r="B10906" s="318" t="s">
        <v>237</v>
      </c>
    </row>
    <row r="10907" spans="1:2" ht="12.75" customHeight="1" x14ac:dyDescent="0.25">
      <c r="A10907" s="318">
        <v>94324945000</v>
      </c>
      <c r="B10907" s="318" t="s">
        <v>237</v>
      </c>
    </row>
    <row r="10908" spans="1:2" ht="12.75" customHeight="1" x14ac:dyDescent="0.25">
      <c r="A10908" s="318">
        <v>94324945001</v>
      </c>
      <c r="B10908" s="318" t="s">
        <v>237</v>
      </c>
    </row>
    <row r="10909" spans="1:2" ht="12.75" customHeight="1" x14ac:dyDescent="0.25">
      <c r="A10909" s="318">
        <v>94324945002</v>
      </c>
      <c r="B10909" s="318" t="s">
        <v>237</v>
      </c>
    </row>
    <row r="10910" spans="1:2" ht="12.75" customHeight="1" x14ac:dyDescent="0.25">
      <c r="A10910" s="318">
        <v>94324945004</v>
      </c>
      <c r="B10910" s="318" t="s">
        <v>237</v>
      </c>
    </row>
    <row r="10911" spans="1:2" ht="12.75" customHeight="1" x14ac:dyDescent="0.25">
      <c r="A10911" s="318">
        <v>94324945005</v>
      </c>
      <c r="B10911" s="318" t="s">
        <v>237</v>
      </c>
    </row>
    <row r="10912" spans="1:2" ht="12.75" customHeight="1" x14ac:dyDescent="0.25">
      <c r="A10912" s="318">
        <v>94324945006</v>
      </c>
      <c r="B10912" s="318" t="s">
        <v>237</v>
      </c>
    </row>
    <row r="10913" spans="1:2" ht="12.75" customHeight="1" x14ac:dyDescent="0.25">
      <c r="A10913" s="318">
        <v>94324945007</v>
      </c>
      <c r="B10913" s="318" t="s">
        <v>237</v>
      </c>
    </row>
    <row r="10914" spans="1:2" ht="12.75" customHeight="1" x14ac:dyDescent="0.25">
      <c r="A10914" s="318">
        <v>94324945008</v>
      </c>
      <c r="B10914" s="318" t="s">
        <v>237</v>
      </c>
    </row>
    <row r="10915" spans="1:2" ht="12.75" customHeight="1" x14ac:dyDescent="0.25">
      <c r="A10915" s="318">
        <v>94324945009</v>
      </c>
      <c r="B10915" s="318" t="s">
        <v>237</v>
      </c>
    </row>
    <row r="10916" spans="1:2" ht="12.75" customHeight="1" x14ac:dyDescent="0.25">
      <c r="A10916" s="318">
        <v>94324945010</v>
      </c>
      <c r="B10916" s="318" t="s">
        <v>237</v>
      </c>
    </row>
    <row r="10917" spans="1:2" ht="12.75" customHeight="1" x14ac:dyDescent="0.25">
      <c r="A10917" s="318">
        <v>94324945011</v>
      </c>
      <c r="B10917" s="318" t="s">
        <v>237</v>
      </c>
    </row>
    <row r="10918" spans="1:2" ht="12.75" customHeight="1" x14ac:dyDescent="0.25">
      <c r="A10918" s="318">
        <v>94325625086</v>
      </c>
      <c r="B10918" s="318" t="s">
        <v>23</v>
      </c>
    </row>
    <row r="10919" spans="1:2" ht="12.75" customHeight="1" x14ac:dyDescent="0.25">
      <c r="A10919" s="318">
        <v>94325625087</v>
      </c>
      <c r="B10919" s="318" t="s">
        <v>23</v>
      </c>
    </row>
    <row r="10920" spans="1:2" ht="12.75" customHeight="1" x14ac:dyDescent="0.25">
      <c r="A10920" s="318">
        <v>94325625088</v>
      </c>
      <c r="B10920" s="318" t="s">
        <v>23</v>
      </c>
    </row>
    <row r="10921" spans="1:2" ht="12.75" customHeight="1" x14ac:dyDescent="0.25">
      <c r="A10921" s="318">
        <v>94325625089</v>
      </c>
      <c r="B10921" s="318" t="s">
        <v>23</v>
      </c>
    </row>
    <row r="10922" spans="1:2" ht="12.75" customHeight="1" x14ac:dyDescent="0.25">
      <c r="A10922" s="318">
        <v>94325625090</v>
      </c>
      <c r="B10922" s="318" t="s">
        <v>23</v>
      </c>
    </row>
    <row r="10923" spans="1:2" ht="12.75" customHeight="1" x14ac:dyDescent="0.25">
      <c r="A10923" s="318">
        <v>94325625091</v>
      </c>
      <c r="B10923" s="318" t="s">
        <v>23</v>
      </c>
    </row>
    <row r="10924" spans="1:2" ht="12.75" customHeight="1" x14ac:dyDescent="0.25">
      <c r="A10924" s="318">
        <v>94325625092</v>
      </c>
      <c r="B10924" s="318" t="s">
        <v>23</v>
      </c>
    </row>
    <row r="10925" spans="1:2" ht="12.75" customHeight="1" x14ac:dyDescent="0.25">
      <c r="A10925" s="318">
        <v>94325625093</v>
      </c>
      <c r="B10925" s="318" t="s">
        <v>237</v>
      </c>
    </row>
    <row r="10926" spans="1:2" ht="12.75" customHeight="1" x14ac:dyDescent="0.25">
      <c r="A10926" s="318">
        <v>94325625095</v>
      </c>
      <c r="B10926" s="318" t="s">
        <v>237</v>
      </c>
    </row>
    <row r="10927" spans="1:2" ht="12.75" customHeight="1" x14ac:dyDescent="0.25">
      <c r="A10927" s="318">
        <v>94325625096</v>
      </c>
      <c r="B10927" s="318" t="s">
        <v>237</v>
      </c>
    </row>
    <row r="10928" spans="1:2" ht="12.75" customHeight="1" x14ac:dyDescent="0.25">
      <c r="A10928" s="318">
        <v>94325625097</v>
      </c>
      <c r="B10928" s="318" t="s">
        <v>237</v>
      </c>
    </row>
    <row r="10929" spans="1:2" ht="12.75" customHeight="1" x14ac:dyDescent="0.25">
      <c r="A10929" s="318">
        <v>94325625098</v>
      </c>
      <c r="B10929" s="318" t="s">
        <v>237</v>
      </c>
    </row>
    <row r="10930" spans="1:2" ht="12.75" customHeight="1" x14ac:dyDescent="0.25">
      <c r="A10930" s="318">
        <v>94325625099</v>
      </c>
      <c r="B10930" s="318" t="s">
        <v>237</v>
      </c>
    </row>
    <row r="10931" spans="1:2" ht="12.75" customHeight="1" x14ac:dyDescent="0.25">
      <c r="A10931" s="318">
        <v>94325625100</v>
      </c>
      <c r="B10931" s="318" t="s">
        <v>237</v>
      </c>
    </row>
    <row r="10932" spans="1:2" ht="12.75" customHeight="1" x14ac:dyDescent="0.25">
      <c r="A10932" s="318">
        <v>94325625101</v>
      </c>
      <c r="B10932" s="318" t="s">
        <v>237</v>
      </c>
    </row>
    <row r="10933" spans="1:2" ht="12.75" customHeight="1" x14ac:dyDescent="0.25">
      <c r="A10933" s="318">
        <v>94325625102</v>
      </c>
      <c r="B10933" s="318" t="s">
        <v>237</v>
      </c>
    </row>
    <row r="10934" spans="1:2" ht="12.75" customHeight="1" x14ac:dyDescent="0.25">
      <c r="A10934" s="318">
        <v>94325625186</v>
      </c>
      <c r="B10934" s="318" t="s">
        <v>237</v>
      </c>
    </row>
    <row r="10935" spans="1:2" ht="12.75" customHeight="1" x14ac:dyDescent="0.25">
      <c r="A10935" s="318">
        <v>94325625187</v>
      </c>
      <c r="B10935" s="318" t="s">
        <v>237</v>
      </c>
    </row>
    <row r="10936" spans="1:2" ht="12.75" customHeight="1" x14ac:dyDescent="0.25">
      <c r="A10936" s="318">
        <v>94325625188</v>
      </c>
      <c r="B10936" s="318" t="s">
        <v>237</v>
      </c>
    </row>
    <row r="10937" spans="1:2" ht="12.75" customHeight="1" x14ac:dyDescent="0.25">
      <c r="A10937" s="318">
        <v>94325625189</v>
      </c>
      <c r="B10937" s="318" t="s">
        <v>237</v>
      </c>
    </row>
    <row r="10938" spans="1:2" ht="12.75" customHeight="1" x14ac:dyDescent="0.25">
      <c r="A10938" s="318">
        <v>94325625190</v>
      </c>
      <c r="B10938" s="318" t="s">
        <v>237</v>
      </c>
    </row>
    <row r="10939" spans="1:2" ht="12.75" customHeight="1" x14ac:dyDescent="0.25">
      <c r="A10939" s="318">
        <v>94325625191</v>
      </c>
      <c r="B10939" s="318" t="s">
        <v>237</v>
      </c>
    </row>
    <row r="10940" spans="1:2" ht="12.75" customHeight="1" x14ac:dyDescent="0.25">
      <c r="A10940" s="318">
        <v>94325625192</v>
      </c>
      <c r="B10940" s="318" t="s">
        <v>237</v>
      </c>
    </row>
    <row r="10941" spans="1:2" ht="12.75" customHeight="1" x14ac:dyDescent="0.25">
      <c r="A10941" s="318">
        <v>94325625193</v>
      </c>
      <c r="B10941" s="318" t="s">
        <v>237</v>
      </c>
    </row>
    <row r="10942" spans="1:2" ht="12.75" customHeight="1" x14ac:dyDescent="0.25">
      <c r="A10942" s="318">
        <v>94325625195</v>
      </c>
      <c r="B10942" s="318" t="s">
        <v>237</v>
      </c>
    </row>
    <row r="10943" spans="1:2" ht="12.75" customHeight="1" x14ac:dyDescent="0.25">
      <c r="A10943" s="318">
        <v>94325625196</v>
      </c>
      <c r="B10943" s="318" t="s">
        <v>237</v>
      </c>
    </row>
    <row r="10944" spans="1:2" ht="12.75" customHeight="1" x14ac:dyDescent="0.25">
      <c r="A10944" s="318">
        <v>94325625197</v>
      </c>
      <c r="B10944" s="318" t="s">
        <v>237</v>
      </c>
    </row>
    <row r="10945" spans="1:2" ht="12.75" customHeight="1" x14ac:dyDescent="0.25">
      <c r="A10945" s="318">
        <v>94325625198</v>
      </c>
      <c r="B10945" s="318" t="s">
        <v>237</v>
      </c>
    </row>
    <row r="10946" spans="1:2" ht="12.75" customHeight="1" x14ac:dyDescent="0.25">
      <c r="A10946" s="318">
        <v>94325625199</v>
      </c>
      <c r="B10946" s="318" t="s">
        <v>237</v>
      </c>
    </row>
    <row r="10947" spans="1:2" ht="12.75" customHeight="1" x14ac:dyDescent="0.25">
      <c r="A10947" s="318">
        <v>94325625200</v>
      </c>
      <c r="B10947" s="318" t="s">
        <v>237</v>
      </c>
    </row>
    <row r="10948" spans="1:2" ht="12.75" customHeight="1" x14ac:dyDescent="0.25">
      <c r="A10948" s="318">
        <v>94325625201</v>
      </c>
      <c r="B10948" s="318" t="s">
        <v>237</v>
      </c>
    </row>
    <row r="10949" spans="1:2" ht="12.75" customHeight="1" x14ac:dyDescent="0.25">
      <c r="A10949" s="318">
        <v>94325625202</v>
      </c>
      <c r="B10949" s="318" t="s">
        <v>237</v>
      </c>
    </row>
    <row r="10950" spans="1:2" ht="12.75" customHeight="1" x14ac:dyDescent="0.25">
      <c r="A10950" s="318">
        <v>94326106059</v>
      </c>
      <c r="B10950" s="318" t="s">
        <v>23</v>
      </c>
    </row>
    <row r="10951" spans="1:2" ht="12.75" customHeight="1" x14ac:dyDescent="0.25">
      <c r="A10951" s="318">
        <v>94326106060</v>
      </c>
      <c r="B10951" s="318" t="s">
        <v>23</v>
      </c>
    </row>
    <row r="10952" spans="1:2" ht="12.75" customHeight="1" x14ac:dyDescent="0.25">
      <c r="A10952" s="318">
        <v>94326106061</v>
      </c>
      <c r="B10952" s="318" t="s">
        <v>23</v>
      </c>
    </row>
    <row r="10953" spans="1:2" ht="12.75" customHeight="1" x14ac:dyDescent="0.25">
      <c r="A10953" s="318">
        <v>94326106062</v>
      </c>
      <c r="B10953" s="318" t="s">
        <v>23</v>
      </c>
    </row>
    <row r="10954" spans="1:2" ht="12.75" customHeight="1" x14ac:dyDescent="0.25">
      <c r="A10954" s="318">
        <v>94326106063</v>
      </c>
      <c r="B10954" s="318" t="s">
        <v>23</v>
      </c>
    </row>
    <row r="10955" spans="1:2" ht="12.75" customHeight="1" x14ac:dyDescent="0.25">
      <c r="A10955" s="318">
        <v>94326106064</v>
      </c>
      <c r="B10955" s="318" t="s">
        <v>23</v>
      </c>
    </row>
    <row r="10956" spans="1:2" ht="12.75" customHeight="1" x14ac:dyDescent="0.25">
      <c r="A10956" s="318">
        <v>94326106065</v>
      </c>
      <c r="B10956" s="318" t="s">
        <v>23</v>
      </c>
    </row>
    <row r="10957" spans="1:2" ht="12.75" customHeight="1" x14ac:dyDescent="0.25">
      <c r="A10957" s="318">
        <v>94326106066</v>
      </c>
      <c r="B10957" s="318" t="s">
        <v>237</v>
      </c>
    </row>
    <row r="10958" spans="1:2" ht="12.75" customHeight="1" x14ac:dyDescent="0.25">
      <c r="A10958" s="318">
        <v>94326106068</v>
      </c>
      <c r="B10958" s="318" t="s">
        <v>237</v>
      </c>
    </row>
    <row r="10959" spans="1:2" ht="12.75" customHeight="1" x14ac:dyDescent="0.25">
      <c r="A10959" s="318">
        <v>94326106069</v>
      </c>
      <c r="B10959" s="318" t="s">
        <v>237</v>
      </c>
    </row>
    <row r="10960" spans="1:2" ht="12.75" customHeight="1" x14ac:dyDescent="0.25">
      <c r="A10960" s="318">
        <v>94326106070</v>
      </c>
      <c r="B10960" s="318" t="s">
        <v>237</v>
      </c>
    </row>
    <row r="10961" spans="1:2" ht="12.75" customHeight="1" x14ac:dyDescent="0.25">
      <c r="A10961" s="318">
        <v>94326106071</v>
      </c>
      <c r="B10961" s="318" t="s">
        <v>237</v>
      </c>
    </row>
    <row r="10962" spans="1:2" ht="12.75" customHeight="1" x14ac:dyDescent="0.25">
      <c r="A10962" s="318">
        <v>94326106072</v>
      </c>
      <c r="B10962" s="318" t="s">
        <v>237</v>
      </c>
    </row>
    <row r="10963" spans="1:2" ht="12.75" customHeight="1" x14ac:dyDescent="0.25">
      <c r="A10963" s="318">
        <v>94326106073</v>
      </c>
      <c r="B10963" s="318" t="s">
        <v>237</v>
      </c>
    </row>
    <row r="10964" spans="1:2" ht="12.75" customHeight="1" x14ac:dyDescent="0.25">
      <c r="A10964" s="318">
        <v>94326106074</v>
      </c>
      <c r="B10964" s="318" t="s">
        <v>237</v>
      </c>
    </row>
    <row r="10965" spans="1:2" ht="12.75" customHeight="1" x14ac:dyDescent="0.25">
      <c r="A10965" s="318">
        <v>94326106075</v>
      </c>
      <c r="B10965" s="318" t="s">
        <v>237</v>
      </c>
    </row>
    <row r="10966" spans="1:2" ht="12.75" customHeight="1" x14ac:dyDescent="0.25">
      <c r="A10966" s="318">
        <v>94326106159</v>
      </c>
      <c r="B10966" s="318" t="s">
        <v>237</v>
      </c>
    </row>
    <row r="10967" spans="1:2" ht="12.75" customHeight="1" x14ac:dyDescent="0.25">
      <c r="A10967" s="318">
        <v>94326106160</v>
      </c>
      <c r="B10967" s="318" t="s">
        <v>237</v>
      </c>
    </row>
    <row r="10968" spans="1:2" ht="12.75" customHeight="1" x14ac:dyDescent="0.25">
      <c r="A10968" s="318">
        <v>94326106161</v>
      </c>
      <c r="B10968" s="318" t="s">
        <v>237</v>
      </c>
    </row>
    <row r="10969" spans="1:2" ht="12.75" customHeight="1" x14ac:dyDescent="0.25">
      <c r="A10969" s="318">
        <v>94326106162</v>
      </c>
      <c r="B10969" s="318" t="s">
        <v>237</v>
      </c>
    </row>
    <row r="10970" spans="1:2" ht="12.75" customHeight="1" x14ac:dyDescent="0.25">
      <c r="A10970" s="318">
        <v>94326106163</v>
      </c>
      <c r="B10970" s="318" t="s">
        <v>237</v>
      </c>
    </row>
    <row r="10971" spans="1:2" ht="12.75" customHeight="1" x14ac:dyDescent="0.25">
      <c r="A10971" s="318">
        <v>94326106164</v>
      </c>
      <c r="B10971" s="318" t="s">
        <v>237</v>
      </c>
    </row>
    <row r="10972" spans="1:2" ht="12.75" customHeight="1" x14ac:dyDescent="0.25">
      <c r="A10972" s="318">
        <v>94326106165</v>
      </c>
      <c r="B10972" s="318" t="s">
        <v>237</v>
      </c>
    </row>
    <row r="10973" spans="1:2" ht="12.75" customHeight="1" x14ac:dyDescent="0.25">
      <c r="A10973" s="318">
        <v>94326106166</v>
      </c>
      <c r="B10973" s="318" t="s">
        <v>237</v>
      </c>
    </row>
    <row r="10974" spans="1:2" ht="12.75" customHeight="1" x14ac:dyDescent="0.25">
      <c r="A10974" s="318">
        <v>94326106168</v>
      </c>
      <c r="B10974" s="318" t="s">
        <v>237</v>
      </c>
    </row>
    <row r="10975" spans="1:2" ht="12.75" customHeight="1" x14ac:dyDescent="0.25">
      <c r="A10975" s="318">
        <v>94326106169</v>
      </c>
      <c r="B10975" s="318" t="s">
        <v>237</v>
      </c>
    </row>
    <row r="10976" spans="1:2" ht="12.75" customHeight="1" x14ac:dyDescent="0.25">
      <c r="A10976" s="318">
        <v>94326106170</v>
      </c>
      <c r="B10976" s="318" t="s">
        <v>237</v>
      </c>
    </row>
    <row r="10977" spans="1:2" ht="12.75" customHeight="1" x14ac:dyDescent="0.25">
      <c r="A10977" s="318">
        <v>94326106171</v>
      </c>
      <c r="B10977" s="318" t="s">
        <v>237</v>
      </c>
    </row>
    <row r="10978" spans="1:2" ht="12.75" customHeight="1" x14ac:dyDescent="0.25">
      <c r="A10978" s="318">
        <v>94326106172</v>
      </c>
      <c r="B10978" s="318" t="s">
        <v>237</v>
      </c>
    </row>
    <row r="10979" spans="1:2" ht="12.75" customHeight="1" x14ac:dyDescent="0.25">
      <c r="A10979" s="318">
        <v>94326106173</v>
      </c>
      <c r="B10979" s="318" t="s">
        <v>237</v>
      </c>
    </row>
    <row r="10980" spans="1:2" ht="12.75" customHeight="1" x14ac:dyDescent="0.25">
      <c r="A10980" s="318">
        <v>94326106174</v>
      </c>
      <c r="B10980" s="318" t="s">
        <v>237</v>
      </c>
    </row>
    <row r="10981" spans="1:2" ht="12.75" customHeight="1" x14ac:dyDescent="0.25">
      <c r="A10981" s="318">
        <v>94326106175</v>
      </c>
      <c r="B10981" s="318" t="s">
        <v>237</v>
      </c>
    </row>
    <row r="10982" spans="1:2" ht="12.75" customHeight="1" x14ac:dyDescent="0.25">
      <c r="A10982" s="318">
        <v>94326587032</v>
      </c>
      <c r="B10982" s="318" t="s">
        <v>23</v>
      </c>
    </row>
    <row r="10983" spans="1:2" ht="12.75" customHeight="1" x14ac:dyDescent="0.25">
      <c r="A10983" s="318">
        <v>94326587033</v>
      </c>
      <c r="B10983" s="318" t="s">
        <v>23</v>
      </c>
    </row>
    <row r="10984" spans="1:2" ht="12.75" customHeight="1" x14ac:dyDescent="0.25">
      <c r="A10984" s="318">
        <v>94326587034</v>
      </c>
      <c r="B10984" s="318" t="s">
        <v>23</v>
      </c>
    </row>
    <row r="10985" spans="1:2" ht="12.75" customHeight="1" x14ac:dyDescent="0.25">
      <c r="A10985" s="318">
        <v>94326587035</v>
      </c>
      <c r="B10985" s="318" t="s">
        <v>23</v>
      </c>
    </row>
    <row r="10986" spans="1:2" ht="12.75" customHeight="1" x14ac:dyDescent="0.25">
      <c r="A10986" s="318">
        <v>94326587036</v>
      </c>
      <c r="B10986" s="318" t="s">
        <v>23</v>
      </c>
    </row>
    <row r="10987" spans="1:2" ht="12.75" customHeight="1" x14ac:dyDescent="0.25">
      <c r="A10987" s="318">
        <v>94326587037</v>
      </c>
      <c r="B10987" s="318" t="s">
        <v>23</v>
      </c>
    </row>
    <row r="10988" spans="1:2" ht="12.75" customHeight="1" x14ac:dyDescent="0.25">
      <c r="A10988" s="318">
        <v>94326587038</v>
      </c>
      <c r="B10988" s="318" t="s">
        <v>23</v>
      </c>
    </row>
    <row r="10989" spans="1:2" ht="12.75" customHeight="1" x14ac:dyDescent="0.25">
      <c r="A10989" s="318">
        <v>94326587039</v>
      </c>
      <c r="B10989" s="318" t="s">
        <v>237</v>
      </c>
    </row>
    <row r="10990" spans="1:2" ht="12.75" customHeight="1" x14ac:dyDescent="0.25">
      <c r="A10990" s="318">
        <v>94326587041</v>
      </c>
      <c r="B10990" s="318" t="s">
        <v>23</v>
      </c>
    </row>
    <row r="10991" spans="1:2" ht="12.75" customHeight="1" x14ac:dyDescent="0.25">
      <c r="A10991" s="318">
        <v>94326587042</v>
      </c>
      <c r="B10991" s="318" t="s">
        <v>237</v>
      </c>
    </row>
    <row r="10992" spans="1:2" ht="12.75" customHeight="1" x14ac:dyDescent="0.25">
      <c r="A10992" s="318">
        <v>94326587043</v>
      </c>
      <c r="B10992" s="318" t="s">
        <v>23</v>
      </c>
    </row>
    <row r="10993" spans="1:2" ht="12.75" customHeight="1" x14ac:dyDescent="0.25">
      <c r="A10993" s="318">
        <v>94326587044</v>
      </c>
      <c r="B10993" s="318" t="s">
        <v>237</v>
      </c>
    </row>
    <row r="10994" spans="1:2" ht="12.75" customHeight="1" x14ac:dyDescent="0.25">
      <c r="A10994" s="318">
        <v>94326587045</v>
      </c>
      <c r="B10994" s="318" t="s">
        <v>23</v>
      </c>
    </row>
    <row r="10995" spans="1:2" ht="12.75" customHeight="1" x14ac:dyDescent="0.25">
      <c r="A10995" s="318">
        <v>94326587046</v>
      </c>
      <c r="B10995" s="318" t="s">
        <v>237</v>
      </c>
    </row>
    <row r="10996" spans="1:2" ht="12.75" customHeight="1" x14ac:dyDescent="0.25">
      <c r="A10996" s="318">
        <v>94326587047</v>
      </c>
      <c r="B10996" s="318" t="s">
        <v>23</v>
      </c>
    </row>
    <row r="10997" spans="1:2" ht="12.75" customHeight="1" x14ac:dyDescent="0.25">
      <c r="A10997" s="318">
        <v>94326587048</v>
      </c>
      <c r="B10997" s="318" t="s">
        <v>237</v>
      </c>
    </row>
    <row r="10998" spans="1:2" ht="12.75" customHeight="1" x14ac:dyDescent="0.25">
      <c r="A10998" s="318">
        <v>94326587132</v>
      </c>
      <c r="B10998" s="318" t="s">
        <v>237</v>
      </c>
    </row>
    <row r="10999" spans="1:2" ht="12.75" customHeight="1" x14ac:dyDescent="0.25">
      <c r="A10999" s="318">
        <v>94326587133</v>
      </c>
      <c r="B10999" s="318" t="s">
        <v>237</v>
      </c>
    </row>
    <row r="11000" spans="1:2" ht="12.75" customHeight="1" x14ac:dyDescent="0.25">
      <c r="A11000" s="318">
        <v>94326587134</v>
      </c>
      <c r="B11000" s="318" t="s">
        <v>237</v>
      </c>
    </row>
    <row r="11001" spans="1:2" ht="12.75" customHeight="1" x14ac:dyDescent="0.25">
      <c r="A11001" s="318">
        <v>94326587135</v>
      </c>
      <c r="B11001" s="318" t="s">
        <v>237</v>
      </c>
    </row>
    <row r="11002" spans="1:2" ht="12.75" customHeight="1" x14ac:dyDescent="0.25">
      <c r="A11002" s="318">
        <v>94326587136</v>
      </c>
      <c r="B11002" s="318" t="s">
        <v>237</v>
      </c>
    </row>
    <row r="11003" spans="1:2" ht="12.75" customHeight="1" x14ac:dyDescent="0.25">
      <c r="A11003" s="318">
        <v>94326587137</v>
      </c>
      <c r="B11003" s="318" t="s">
        <v>237</v>
      </c>
    </row>
    <row r="11004" spans="1:2" ht="12.75" customHeight="1" x14ac:dyDescent="0.25">
      <c r="A11004" s="318">
        <v>94326587138</v>
      </c>
      <c r="B11004" s="318" t="s">
        <v>237</v>
      </c>
    </row>
    <row r="11005" spans="1:2" ht="12.75" customHeight="1" x14ac:dyDescent="0.25">
      <c r="A11005" s="318">
        <v>94326587139</v>
      </c>
      <c r="B11005" s="318" t="s">
        <v>237</v>
      </c>
    </row>
    <row r="11006" spans="1:2" ht="12.75" customHeight="1" x14ac:dyDescent="0.25">
      <c r="A11006" s="318">
        <v>94326587141</v>
      </c>
      <c r="B11006" s="318" t="s">
        <v>237</v>
      </c>
    </row>
    <row r="11007" spans="1:2" ht="12.75" customHeight="1" x14ac:dyDescent="0.25">
      <c r="A11007" s="318">
        <v>94326587142</v>
      </c>
      <c r="B11007" s="318" t="s">
        <v>237</v>
      </c>
    </row>
    <row r="11008" spans="1:2" ht="12.75" customHeight="1" x14ac:dyDescent="0.25">
      <c r="A11008" s="318">
        <v>94326587143</v>
      </c>
      <c r="B11008" s="318" t="s">
        <v>237</v>
      </c>
    </row>
    <row r="11009" spans="1:2" ht="12.75" customHeight="1" x14ac:dyDescent="0.25">
      <c r="A11009" s="318">
        <v>94326587144</v>
      </c>
      <c r="B11009" s="318" t="s">
        <v>237</v>
      </c>
    </row>
    <row r="11010" spans="1:2" ht="12.75" customHeight="1" x14ac:dyDescent="0.25">
      <c r="A11010" s="318">
        <v>94326587145</v>
      </c>
      <c r="B11010" s="318" t="s">
        <v>237</v>
      </c>
    </row>
    <row r="11011" spans="1:2" ht="12.75" customHeight="1" x14ac:dyDescent="0.25">
      <c r="A11011" s="318">
        <v>94326587146</v>
      </c>
      <c r="B11011" s="318" t="s">
        <v>237</v>
      </c>
    </row>
    <row r="11012" spans="1:2" ht="12.75" customHeight="1" x14ac:dyDescent="0.25">
      <c r="A11012" s="318">
        <v>94326587147</v>
      </c>
      <c r="B11012" s="318" t="s">
        <v>237</v>
      </c>
    </row>
    <row r="11013" spans="1:2" ht="12.75" customHeight="1" x14ac:dyDescent="0.25">
      <c r="A11013" s="318">
        <v>94326587148</v>
      </c>
      <c r="B11013" s="318" t="s">
        <v>237</v>
      </c>
    </row>
    <row r="11014" spans="1:2" ht="12.75" customHeight="1" x14ac:dyDescent="0.25">
      <c r="A11014" s="318">
        <v>94327267223</v>
      </c>
      <c r="B11014" s="318" t="s">
        <v>23</v>
      </c>
    </row>
    <row r="11015" spans="1:2" ht="12.75" customHeight="1" x14ac:dyDescent="0.25">
      <c r="A11015" s="318">
        <v>94327267224</v>
      </c>
      <c r="B11015" s="318" t="s">
        <v>23</v>
      </c>
    </row>
    <row r="11016" spans="1:2" ht="12.75" customHeight="1" x14ac:dyDescent="0.25">
      <c r="A11016" s="318">
        <v>94327267225</v>
      </c>
      <c r="B11016" s="318" t="s">
        <v>23</v>
      </c>
    </row>
    <row r="11017" spans="1:2" ht="12.75" customHeight="1" x14ac:dyDescent="0.25">
      <c r="A11017" s="318">
        <v>94327267226</v>
      </c>
      <c r="B11017" s="318" t="s">
        <v>23</v>
      </c>
    </row>
    <row r="11018" spans="1:2" ht="12.75" customHeight="1" x14ac:dyDescent="0.25">
      <c r="A11018" s="318">
        <v>94327267227</v>
      </c>
      <c r="B11018" s="318" t="s">
        <v>23</v>
      </c>
    </row>
    <row r="11019" spans="1:2" ht="12.75" customHeight="1" x14ac:dyDescent="0.25">
      <c r="A11019" s="318">
        <v>94327267228</v>
      </c>
      <c r="B11019" s="318" t="s">
        <v>23</v>
      </c>
    </row>
    <row r="11020" spans="1:2" ht="12.75" customHeight="1" x14ac:dyDescent="0.25">
      <c r="A11020" s="318">
        <v>94327267229</v>
      </c>
      <c r="B11020" s="318" t="s">
        <v>23</v>
      </c>
    </row>
    <row r="11021" spans="1:2" ht="12.75" customHeight="1" x14ac:dyDescent="0.25">
      <c r="A11021" s="318">
        <v>94327267230</v>
      </c>
      <c r="B11021" s="318" t="s">
        <v>237</v>
      </c>
    </row>
    <row r="11022" spans="1:2" ht="12.75" customHeight="1" x14ac:dyDescent="0.25">
      <c r="A11022" s="318">
        <v>94327267232</v>
      </c>
      <c r="B11022" s="318" t="s">
        <v>23</v>
      </c>
    </row>
    <row r="11023" spans="1:2" ht="12.75" customHeight="1" x14ac:dyDescent="0.25">
      <c r="A11023" s="318">
        <v>94327267233</v>
      </c>
      <c r="B11023" s="318" t="s">
        <v>237</v>
      </c>
    </row>
    <row r="11024" spans="1:2" ht="12.75" customHeight="1" x14ac:dyDescent="0.25">
      <c r="A11024" s="318">
        <v>94327267234</v>
      </c>
      <c r="B11024" s="318" t="s">
        <v>23</v>
      </c>
    </row>
    <row r="11025" spans="1:2" ht="12.75" customHeight="1" x14ac:dyDescent="0.25">
      <c r="A11025" s="318">
        <v>94327267235</v>
      </c>
      <c r="B11025" s="318" t="s">
        <v>237</v>
      </c>
    </row>
    <row r="11026" spans="1:2" ht="12.75" customHeight="1" x14ac:dyDescent="0.25">
      <c r="A11026" s="318">
        <v>94327267236</v>
      </c>
      <c r="B11026" s="318" t="s">
        <v>23</v>
      </c>
    </row>
    <row r="11027" spans="1:2" ht="12.75" customHeight="1" x14ac:dyDescent="0.25">
      <c r="A11027" s="318">
        <v>94327267237</v>
      </c>
      <c r="B11027" s="318" t="s">
        <v>237</v>
      </c>
    </row>
    <row r="11028" spans="1:2" ht="12.75" customHeight="1" x14ac:dyDescent="0.25">
      <c r="A11028" s="318">
        <v>94327267238</v>
      </c>
      <c r="B11028" s="318" t="s">
        <v>23</v>
      </c>
    </row>
    <row r="11029" spans="1:2" ht="12.75" customHeight="1" x14ac:dyDescent="0.25">
      <c r="A11029" s="318">
        <v>94327267239</v>
      </c>
      <c r="B11029" s="318" t="s">
        <v>237</v>
      </c>
    </row>
    <row r="11030" spans="1:2" ht="12.75" customHeight="1" x14ac:dyDescent="0.25">
      <c r="A11030" s="318">
        <v>94327267323</v>
      </c>
      <c r="B11030" s="318" t="s">
        <v>237</v>
      </c>
    </row>
    <row r="11031" spans="1:2" ht="12.75" customHeight="1" x14ac:dyDescent="0.25">
      <c r="A11031" s="318">
        <v>94327267324</v>
      </c>
      <c r="B11031" s="318" t="s">
        <v>237</v>
      </c>
    </row>
    <row r="11032" spans="1:2" ht="12.75" customHeight="1" x14ac:dyDescent="0.25">
      <c r="A11032" s="318">
        <v>94327267325</v>
      </c>
      <c r="B11032" s="318" t="s">
        <v>237</v>
      </c>
    </row>
    <row r="11033" spans="1:2" ht="12.75" customHeight="1" x14ac:dyDescent="0.25">
      <c r="A11033" s="318">
        <v>94327267326</v>
      </c>
      <c r="B11033" s="318" t="s">
        <v>237</v>
      </c>
    </row>
    <row r="11034" spans="1:2" ht="12.75" customHeight="1" x14ac:dyDescent="0.25">
      <c r="A11034" s="318">
        <v>94327267327</v>
      </c>
      <c r="B11034" s="318" t="s">
        <v>237</v>
      </c>
    </row>
    <row r="11035" spans="1:2" ht="12.75" customHeight="1" x14ac:dyDescent="0.25">
      <c r="A11035" s="318">
        <v>94327267328</v>
      </c>
      <c r="B11035" s="318" t="s">
        <v>237</v>
      </c>
    </row>
    <row r="11036" spans="1:2" ht="12.75" customHeight="1" x14ac:dyDescent="0.25">
      <c r="A11036" s="318">
        <v>94327267329</v>
      </c>
      <c r="B11036" s="318" t="s">
        <v>237</v>
      </c>
    </row>
    <row r="11037" spans="1:2" ht="12.75" customHeight="1" x14ac:dyDescent="0.25">
      <c r="A11037" s="318">
        <v>94327267330</v>
      </c>
      <c r="B11037" s="318" t="s">
        <v>237</v>
      </c>
    </row>
    <row r="11038" spans="1:2" ht="12.75" customHeight="1" x14ac:dyDescent="0.25">
      <c r="A11038" s="318">
        <v>94327267332</v>
      </c>
      <c r="B11038" s="318" t="s">
        <v>237</v>
      </c>
    </row>
    <row r="11039" spans="1:2" ht="12.75" customHeight="1" x14ac:dyDescent="0.25">
      <c r="A11039" s="318">
        <v>94327267333</v>
      </c>
      <c r="B11039" s="318" t="s">
        <v>237</v>
      </c>
    </row>
    <row r="11040" spans="1:2" ht="12.75" customHeight="1" x14ac:dyDescent="0.25">
      <c r="A11040" s="318">
        <v>94327267334</v>
      </c>
      <c r="B11040" s="318" t="s">
        <v>237</v>
      </c>
    </row>
    <row r="11041" spans="1:2" ht="12.75" customHeight="1" x14ac:dyDescent="0.25">
      <c r="A11041" s="318">
        <v>94327267335</v>
      </c>
      <c r="B11041" s="318" t="s">
        <v>237</v>
      </c>
    </row>
    <row r="11042" spans="1:2" ht="12.75" customHeight="1" x14ac:dyDescent="0.25">
      <c r="A11042" s="318">
        <v>94327267336</v>
      </c>
      <c r="B11042" s="318" t="s">
        <v>237</v>
      </c>
    </row>
    <row r="11043" spans="1:2" ht="12.75" customHeight="1" x14ac:dyDescent="0.25">
      <c r="A11043" s="318">
        <v>94327267337</v>
      </c>
      <c r="B11043" s="318" t="s">
        <v>237</v>
      </c>
    </row>
    <row r="11044" spans="1:2" ht="12.75" customHeight="1" x14ac:dyDescent="0.25">
      <c r="A11044" s="318">
        <v>94327267338</v>
      </c>
      <c r="B11044" s="318" t="s">
        <v>237</v>
      </c>
    </row>
    <row r="11045" spans="1:2" ht="12.75" customHeight="1" x14ac:dyDescent="0.25">
      <c r="A11045" s="318">
        <v>94327267339</v>
      </c>
      <c r="B11045" s="318" t="s">
        <v>237</v>
      </c>
    </row>
    <row r="11046" spans="1:2" ht="12.75" customHeight="1" x14ac:dyDescent="0.25">
      <c r="A11046" s="318">
        <v>94327748196</v>
      </c>
      <c r="B11046" s="318" t="s">
        <v>23</v>
      </c>
    </row>
    <row r="11047" spans="1:2" ht="12.75" customHeight="1" x14ac:dyDescent="0.25">
      <c r="A11047" s="318">
        <v>94327748197</v>
      </c>
      <c r="B11047" s="318" t="s">
        <v>23</v>
      </c>
    </row>
    <row r="11048" spans="1:2" ht="12.75" customHeight="1" x14ac:dyDescent="0.25">
      <c r="A11048" s="318">
        <v>94327748198</v>
      </c>
      <c r="B11048" s="318" t="s">
        <v>23</v>
      </c>
    </row>
    <row r="11049" spans="1:2" ht="12.75" customHeight="1" x14ac:dyDescent="0.25">
      <c r="A11049" s="318">
        <v>94327748199</v>
      </c>
      <c r="B11049" s="318" t="s">
        <v>23</v>
      </c>
    </row>
    <row r="11050" spans="1:2" ht="12.75" customHeight="1" x14ac:dyDescent="0.25">
      <c r="A11050" s="318">
        <v>94327748200</v>
      </c>
      <c r="B11050" s="318" t="s">
        <v>23</v>
      </c>
    </row>
    <row r="11051" spans="1:2" ht="12.75" customHeight="1" x14ac:dyDescent="0.25">
      <c r="A11051" s="318">
        <v>94327748201</v>
      </c>
      <c r="B11051" s="318" t="s">
        <v>23</v>
      </c>
    </row>
    <row r="11052" spans="1:2" ht="12.75" customHeight="1" x14ac:dyDescent="0.25">
      <c r="A11052" s="318">
        <v>94327748202</v>
      </c>
      <c r="B11052" s="318" t="s">
        <v>23</v>
      </c>
    </row>
    <row r="11053" spans="1:2" ht="12.75" customHeight="1" x14ac:dyDescent="0.25">
      <c r="A11053" s="318">
        <v>94327748203</v>
      </c>
      <c r="B11053" s="318" t="s">
        <v>237</v>
      </c>
    </row>
    <row r="11054" spans="1:2" ht="12.75" customHeight="1" x14ac:dyDescent="0.25">
      <c r="A11054" s="318">
        <v>94327748205</v>
      </c>
      <c r="B11054" s="318" t="s">
        <v>23</v>
      </c>
    </row>
    <row r="11055" spans="1:2" ht="12.75" customHeight="1" x14ac:dyDescent="0.25">
      <c r="A11055" s="318">
        <v>94327748206</v>
      </c>
      <c r="B11055" s="318" t="s">
        <v>237</v>
      </c>
    </row>
    <row r="11056" spans="1:2" ht="12.75" customHeight="1" x14ac:dyDescent="0.25">
      <c r="A11056" s="318">
        <v>94327748207</v>
      </c>
      <c r="B11056" s="318" t="s">
        <v>23</v>
      </c>
    </row>
    <row r="11057" spans="1:2" ht="12.75" customHeight="1" x14ac:dyDescent="0.25">
      <c r="A11057" s="318">
        <v>94327748208</v>
      </c>
      <c r="B11057" s="318" t="s">
        <v>237</v>
      </c>
    </row>
    <row r="11058" spans="1:2" ht="12.75" customHeight="1" x14ac:dyDescent="0.25">
      <c r="A11058" s="318">
        <v>94327748209</v>
      </c>
      <c r="B11058" s="318" t="s">
        <v>23</v>
      </c>
    </row>
    <row r="11059" spans="1:2" ht="12.75" customHeight="1" x14ac:dyDescent="0.25">
      <c r="A11059" s="318">
        <v>94327748210</v>
      </c>
      <c r="B11059" s="318" t="s">
        <v>237</v>
      </c>
    </row>
    <row r="11060" spans="1:2" ht="12.75" customHeight="1" x14ac:dyDescent="0.25">
      <c r="A11060" s="318">
        <v>94327748211</v>
      </c>
      <c r="B11060" s="318" t="s">
        <v>23</v>
      </c>
    </row>
    <row r="11061" spans="1:2" ht="12.75" customHeight="1" x14ac:dyDescent="0.25">
      <c r="A11061" s="318">
        <v>94327748212</v>
      </c>
      <c r="B11061" s="318" t="s">
        <v>237</v>
      </c>
    </row>
    <row r="11062" spans="1:2" ht="12.75" customHeight="1" x14ac:dyDescent="0.25">
      <c r="A11062" s="318">
        <v>94327748296</v>
      </c>
      <c r="B11062" s="318" t="s">
        <v>237</v>
      </c>
    </row>
    <row r="11063" spans="1:2" ht="12.75" customHeight="1" x14ac:dyDescent="0.25">
      <c r="A11063" s="318">
        <v>94327748297</v>
      </c>
      <c r="B11063" s="318" t="s">
        <v>237</v>
      </c>
    </row>
    <row r="11064" spans="1:2" ht="12.75" customHeight="1" x14ac:dyDescent="0.25">
      <c r="A11064" s="318">
        <v>94327748298</v>
      </c>
      <c r="B11064" s="318" t="s">
        <v>237</v>
      </c>
    </row>
    <row r="11065" spans="1:2" ht="12.75" customHeight="1" x14ac:dyDescent="0.25">
      <c r="A11065" s="318">
        <v>94327748299</v>
      </c>
      <c r="B11065" s="318" t="s">
        <v>237</v>
      </c>
    </row>
    <row r="11066" spans="1:2" ht="12.75" customHeight="1" x14ac:dyDescent="0.25">
      <c r="A11066" s="318">
        <v>94327748300</v>
      </c>
      <c r="B11066" s="318" t="s">
        <v>237</v>
      </c>
    </row>
    <row r="11067" spans="1:2" ht="12.75" customHeight="1" x14ac:dyDescent="0.25">
      <c r="A11067" s="318">
        <v>94327748301</v>
      </c>
      <c r="B11067" s="318" t="s">
        <v>237</v>
      </c>
    </row>
    <row r="11068" spans="1:2" ht="12.75" customHeight="1" x14ac:dyDescent="0.25">
      <c r="A11068" s="318">
        <v>94327748302</v>
      </c>
      <c r="B11068" s="318" t="s">
        <v>237</v>
      </c>
    </row>
    <row r="11069" spans="1:2" ht="12.75" customHeight="1" x14ac:dyDescent="0.25">
      <c r="A11069" s="318">
        <v>94327748303</v>
      </c>
      <c r="B11069" s="318" t="s">
        <v>237</v>
      </c>
    </row>
    <row r="11070" spans="1:2" ht="12.75" customHeight="1" x14ac:dyDescent="0.25">
      <c r="A11070" s="318">
        <v>94327748305</v>
      </c>
      <c r="B11070" s="318" t="s">
        <v>237</v>
      </c>
    </row>
    <row r="11071" spans="1:2" ht="12.75" customHeight="1" x14ac:dyDescent="0.25">
      <c r="A11071" s="318">
        <v>94327748306</v>
      </c>
      <c r="B11071" s="318" t="s">
        <v>237</v>
      </c>
    </row>
    <row r="11072" spans="1:2" ht="12.75" customHeight="1" x14ac:dyDescent="0.25">
      <c r="A11072" s="318">
        <v>94327748307</v>
      </c>
      <c r="B11072" s="318" t="s">
        <v>237</v>
      </c>
    </row>
    <row r="11073" spans="1:2" ht="12.75" customHeight="1" x14ac:dyDescent="0.25">
      <c r="A11073" s="318">
        <v>94327748308</v>
      </c>
      <c r="B11073" s="318" t="s">
        <v>237</v>
      </c>
    </row>
    <row r="11074" spans="1:2" ht="12.75" customHeight="1" x14ac:dyDescent="0.25">
      <c r="A11074" s="318">
        <v>94327748309</v>
      </c>
      <c r="B11074" s="318" t="s">
        <v>237</v>
      </c>
    </row>
    <row r="11075" spans="1:2" ht="12.75" customHeight="1" x14ac:dyDescent="0.25">
      <c r="A11075" s="318">
        <v>94327748310</v>
      </c>
      <c r="B11075" s="318" t="s">
        <v>237</v>
      </c>
    </row>
    <row r="11076" spans="1:2" ht="12.75" customHeight="1" x14ac:dyDescent="0.25">
      <c r="A11076" s="318">
        <v>94327748311</v>
      </c>
      <c r="B11076" s="318" t="s">
        <v>237</v>
      </c>
    </row>
    <row r="11077" spans="1:2" ht="12.75" customHeight="1" x14ac:dyDescent="0.25">
      <c r="A11077" s="318">
        <v>94327748312</v>
      </c>
      <c r="B11077" s="318" t="s">
        <v>237</v>
      </c>
    </row>
    <row r="11078" spans="1:2" ht="12.75" customHeight="1" x14ac:dyDescent="0.25">
      <c r="A11078" s="318">
        <v>94328229169</v>
      </c>
      <c r="B11078" s="318" t="s">
        <v>23</v>
      </c>
    </row>
    <row r="11079" spans="1:2" ht="12.75" customHeight="1" x14ac:dyDescent="0.25">
      <c r="A11079" s="318">
        <v>94328229170</v>
      </c>
      <c r="B11079" s="318" t="s">
        <v>23</v>
      </c>
    </row>
    <row r="11080" spans="1:2" ht="12.75" customHeight="1" x14ac:dyDescent="0.25">
      <c r="A11080" s="318">
        <v>94328229171</v>
      </c>
      <c r="B11080" s="318" t="s">
        <v>23</v>
      </c>
    </row>
    <row r="11081" spans="1:2" ht="12.75" customHeight="1" x14ac:dyDescent="0.25">
      <c r="A11081" s="318">
        <v>94328229172</v>
      </c>
      <c r="B11081" s="318" t="s">
        <v>23</v>
      </c>
    </row>
    <row r="11082" spans="1:2" ht="12.75" customHeight="1" x14ac:dyDescent="0.25">
      <c r="A11082" s="318">
        <v>94328229173</v>
      </c>
      <c r="B11082" s="318" t="s">
        <v>23</v>
      </c>
    </row>
    <row r="11083" spans="1:2" ht="12.75" customHeight="1" x14ac:dyDescent="0.25">
      <c r="A11083" s="318">
        <v>94328229174</v>
      </c>
      <c r="B11083" s="318" t="s">
        <v>23</v>
      </c>
    </row>
    <row r="11084" spans="1:2" ht="12.75" customHeight="1" x14ac:dyDescent="0.25">
      <c r="A11084" s="318">
        <v>94328229175</v>
      </c>
      <c r="B11084" s="318" t="s">
        <v>23</v>
      </c>
    </row>
    <row r="11085" spans="1:2" ht="12.75" customHeight="1" x14ac:dyDescent="0.25">
      <c r="A11085" s="318">
        <v>94328229176</v>
      </c>
      <c r="B11085" s="318" t="s">
        <v>237</v>
      </c>
    </row>
    <row r="11086" spans="1:2" ht="12.75" customHeight="1" x14ac:dyDescent="0.25">
      <c r="A11086" s="318">
        <v>94328229178</v>
      </c>
      <c r="B11086" s="318" t="s">
        <v>23</v>
      </c>
    </row>
    <row r="11087" spans="1:2" ht="12.75" customHeight="1" x14ac:dyDescent="0.25">
      <c r="A11087" s="318">
        <v>94328229179</v>
      </c>
      <c r="B11087" s="318" t="s">
        <v>237</v>
      </c>
    </row>
    <row r="11088" spans="1:2" ht="12.75" customHeight="1" x14ac:dyDescent="0.25">
      <c r="A11088" s="318">
        <v>94328229180</v>
      </c>
      <c r="B11088" s="318" t="s">
        <v>23</v>
      </c>
    </row>
    <row r="11089" spans="1:2" ht="12.75" customHeight="1" x14ac:dyDescent="0.25">
      <c r="A11089" s="318">
        <v>94328229181</v>
      </c>
      <c r="B11089" s="318" t="s">
        <v>237</v>
      </c>
    </row>
    <row r="11090" spans="1:2" ht="12.75" customHeight="1" x14ac:dyDescent="0.25">
      <c r="A11090" s="318">
        <v>94328229182</v>
      </c>
      <c r="B11090" s="318" t="s">
        <v>23</v>
      </c>
    </row>
    <row r="11091" spans="1:2" ht="12.75" customHeight="1" x14ac:dyDescent="0.25">
      <c r="A11091" s="318">
        <v>94328229183</v>
      </c>
      <c r="B11091" s="318" t="s">
        <v>237</v>
      </c>
    </row>
    <row r="11092" spans="1:2" ht="12.75" customHeight="1" x14ac:dyDescent="0.25">
      <c r="A11092" s="318">
        <v>94328229184</v>
      </c>
      <c r="B11092" s="318" t="s">
        <v>23</v>
      </c>
    </row>
    <row r="11093" spans="1:2" ht="12.75" customHeight="1" x14ac:dyDescent="0.25">
      <c r="A11093" s="318">
        <v>94328229185</v>
      </c>
      <c r="B11093" s="318" t="s">
        <v>237</v>
      </c>
    </row>
    <row r="11094" spans="1:2" ht="12.75" customHeight="1" x14ac:dyDescent="0.25">
      <c r="A11094" s="318">
        <v>94328229269</v>
      </c>
      <c r="B11094" s="318" t="s">
        <v>237</v>
      </c>
    </row>
    <row r="11095" spans="1:2" ht="12.75" customHeight="1" x14ac:dyDescent="0.25">
      <c r="A11095" s="318">
        <v>94328229270</v>
      </c>
      <c r="B11095" s="318" t="s">
        <v>237</v>
      </c>
    </row>
    <row r="11096" spans="1:2" ht="12.75" customHeight="1" x14ac:dyDescent="0.25">
      <c r="A11096" s="318">
        <v>94328229271</v>
      </c>
      <c r="B11096" s="318" t="s">
        <v>237</v>
      </c>
    </row>
    <row r="11097" spans="1:2" ht="12.75" customHeight="1" x14ac:dyDescent="0.25">
      <c r="A11097" s="318">
        <v>94328229272</v>
      </c>
      <c r="B11097" s="318" t="s">
        <v>237</v>
      </c>
    </row>
    <row r="11098" spans="1:2" ht="12.75" customHeight="1" x14ac:dyDescent="0.25">
      <c r="A11098" s="318">
        <v>94328229273</v>
      </c>
      <c r="B11098" s="318" t="s">
        <v>237</v>
      </c>
    </row>
    <row r="11099" spans="1:2" ht="12.75" customHeight="1" x14ac:dyDescent="0.25">
      <c r="A11099" s="318">
        <v>94328229274</v>
      </c>
      <c r="B11099" s="318" t="s">
        <v>237</v>
      </c>
    </row>
    <row r="11100" spans="1:2" ht="12.75" customHeight="1" x14ac:dyDescent="0.25">
      <c r="A11100" s="318">
        <v>94328229275</v>
      </c>
      <c r="B11100" s="318" t="s">
        <v>237</v>
      </c>
    </row>
    <row r="11101" spans="1:2" ht="12.75" customHeight="1" x14ac:dyDescent="0.25">
      <c r="A11101" s="318">
        <v>94328229276</v>
      </c>
      <c r="B11101" s="318" t="s">
        <v>237</v>
      </c>
    </row>
    <row r="11102" spans="1:2" ht="12.75" customHeight="1" x14ac:dyDescent="0.25">
      <c r="A11102" s="318">
        <v>94328229278</v>
      </c>
      <c r="B11102" s="318" t="s">
        <v>237</v>
      </c>
    </row>
    <row r="11103" spans="1:2" ht="12.75" customHeight="1" x14ac:dyDescent="0.25">
      <c r="A11103" s="318">
        <v>94328229279</v>
      </c>
      <c r="B11103" s="318" t="s">
        <v>237</v>
      </c>
    </row>
    <row r="11104" spans="1:2" ht="12.75" customHeight="1" x14ac:dyDescent="0.25">
      <c r="A11104" s="318">
        <v>94328229280</v>
      </c>
      <c r="B11104" s="318" t="s">
        <v>237</v>
      </c>
    </row>
    <row r="11105" spans="1:2" ht="12.75" customHeight="1" x14ac:dyDescent="0.25">
      <c r="A11105" s="318">
        <v>94328229281</v>
      </c>
      <c r="B11105" s="318" t="s">
        <v>237</v>
      </c>
    </row>
    <row r="11106" spans="1:2" ht="12.75" customHeight="1" x14ac:dyDescent="0.25">
      <c r="A11106" s="318">
        <v>94328229282</v>
      </c>
      <c r="B11106" s="318" t="s">
        <v>237</v>
      </c>
    </row>
    <row r="11107" spans="1:2" ht="12.75" customHeight="1" x14ac:dyDescent="0.25">
      <c r="A11107" s="318">
        <v>94328229283</v>
      </c>
      <c r="B11107" s="318" t="s">
        <v>237</v>
      </c>
    </row>
    <row r="11108" spans="1:2" ht="12.75" customHeight="1" x14ac:dyDescent="0.25">
      <c r="A11108" s="318">
        <v>94328229284</v>
      </c>
      <c r="B11108" s="318" t="s">
        <v>237</v>
      </c>
    </row>
    <row r="11109" spans="1:2" ht="12.75" customHeight="1" x14ac:dyDescent="0.25">
      <c r="A11109" s="318">
        <v>94328229285</v>
      </c>
      <c r="B11109" s="318" t="s">
        <v>237</v>
      </c>
    </row>
    <row r="11110" spans="1:2" ht="12.75" customHeight="1" x14ac:dyDescent="0.25">
      <c r="A11110" s="318">
        <v>94329589550</v>
      </c>
      <c r="B11110" s="318" t="s">
        <v>23</v>
      </c>
    </row>
    <row r="11111" spans="1:2" ht="12.75" customHeight="1" x14ac:dyDescent="0.25">
      <c r="A11111" s="318">
        <v>94329589551</v>
      </c>
      <c r="B11111" s="318" t="s">
        <v>23</v>
      </c>
    </row>
    <row r="11112" spans="1:2" ht="12.75" customHeight="1" x14ac:dyDescent="0.25">
      <c r="A11112" s="318">
        <v>94329589552</v>
      </c>
      <c r="B11112" s="318" t="s">
        <v>23</v>
      </c>
    </row>
    <row r="11113" spans="1:2" ht="12.75" customHeight="1" x14ac:dyDescent="0.25">
      <c r="A11113" s="318">
        <v>94329589553</v>
      </c>
      <c r="B11113" s="318" t="s">
        <v>23</v>
      </c>
    </row>
    <row r="11114" spans="1:2" ht="12.75" customHeight="1" x14ac:dyDescent="0.25">
      <c r="A11114" s="318">
        <v>94329589554</v>
      </c>
      <c r="B11114" s="318" t="s">
        <v>23</v>
      </c>
    </row>
    <row r="11115" spans="1:2" ht="12.75" customHeight="1" x14ac:dyDescent="0.25">
      <c r="A11115" s="318">
        <v>94329589555</v>
      </c>
      <c r="B11115" s="318" t="s">
        <v>23</v>
      </c>
    </row>
    <row r="11116" spans="1:2" ht="12.75" customHeight="1" x14ac:dyDescent="0.25">
      <c r="A11116" s="318">
        <v>94329589556</v>
      </c>
      <c r="B11116" s="318" t="s">
        <v>23</v>
      </c>
    </row>
    <row r="11117" spans="1:2" ht="12.75" customHeight="1" x14ac:dyDescent="0.25">
      <c r="A11117" s="318">
        <v>94329589557</v>
      </c>
      <c r="B11117" s="318" t="s">
        <v>237</v>
      </c>
    </row>
    <row r="11118" spans="1:2" ht="12.75" customHeight="1" x14ac:dyDescent="0.25">
      <c r="A11118" s="318">
        <v>94329589559</v>
      </c>
      <c r="B11118" s="318" t="s">
        <v>237</v>
      </c>
    </row>
    <row r="11119" spans="1:2" ht="12.75" customHeight="1" x14ac:dyDescent="0.25">
      <c r="A11119" s="318">
        <v>94329589560</v>
      </c>
      <c r="B11119" s="318" t="s">
        <v>237</v>
      </c>
    </row>
    <row r="11120" spans="1:2" ht="12.75" customHeight="1" x14ac:dyDescent="0.25">
      <c r="A11120" s="318">
        <v>94329589561</v>
      </c>
      <c r="B11120" s="318" t="s">
        <v>237</v>
      </c>
    </row>
    <row r="11121" spans="1:2" ht="12.75" customHeight="1" x14ac:dyDescent="0.25">
      <c r="A11121" s="318">
        <v>94329589562</v>
      </c>
      <c r="B11121" s="318" t="s">
        <v>237</v>
      </c>
    </row>
    <row r="11122" spans="1:2" ht="12.75" customHeight="1" x14ac:dyDescent="0.25">
      <c r="A11122" s="318">
        <v>94329589563</v>
      </c>
      <c r="B11122" s="318" t="s">
        <v>237</v>
      </c>
    </row>
    <row r="11123" spans="1:2" ht="12.75" customHeight="1" x14ac:dyDescent="0.25">
      <c r="A11123" s="318">
        <v>94329589564</v>
      </c>
      <c r="B11123" s="318" t="s">
        <v>237</v>
      </c>
    </row>
    <row r="11124" spans="1:2" ht="12.75" customHeight="1" x14ac:dyDescent="0.25">
      <c r="A11124" s="318">
        <v>94329589565</v>
      </c>
      <c r="B11124" s="318" t="s">
        <v>237</v>
      </c>
    </row>
    <row r="11125" spans="1:2" ht="12.75" customHeight="1" x14ac:dyDescent="0.25">
      <c r="A11125" s="318">
        <v>94329589566</v>
      </c>
      <c r="B11125" s="318" t="s">
        <v>237</v>
      </c>
    </row>
    <row r="11126" spans="1:2" ht="12.75" customHeight="1" x14ac:dyDescent="0.25">
      <c r="A11126" s="318">
        <v>94329589650</v>
      </c>
      <c r="B11126" s="318" t="s">
        <v>237</v>
      </c>
    </row>
    <row r="11127" spans="1:2" ht="12.75" customHeight="1" x14ac:dyDescent="0.25">
      <c r="A11127" s="318">
        <v>94329589651</v>
      </c>
      <c r="B11127" s="318" t="s">
        <v>237</v>
      </c>
    </row>
    <row r="11128" spans="1:2" ht="12.75" customHeight="1" x14ac:dyDescent="0.25">
      <c r="A11128" s="318">
        <v>94329589652</v>
      </c>
      <c r="B11128" s="318" t="s">
        <v>237</v>
      </c>
    </row>
    <row r="11129" spans="1:2" ht="12.75" customHeight="1" x14ac:dyDescent="0.25">
      <c r="A11129" s="318">
        <v>94329589653</v>
      </c>
      <c r="B11129" s="318" t="s">
        <v>237</v>
      </c>
    </row>
    <row r="11130" spans="1:2" ht="12.75" customHeight="1" x14ac:dyDescent="0.25">
      <c r="A11130" s="318">
        <v>94329589654</v>
      </c>
      <c r="B11130" s="318" t="s">
        <v>237</v>
      </c>
    </row>
    <row r="11131" spans="1:2" ht="12.75" customHeight="1" x14ac:dyDescent="0.25">
      <c r="A11131" s="318">
        <v>94329589655</v>
      </c>
      <c r="B11131" s="318" t="s">
        <v>237</v>
      </c>
    </row>
    <row r="11132" spans="1:2" ht="12.75" customHeight="1" x14ac:dyDescent="0.25">
      <c r="A11132" s="318">
        <v>94329589656</v>
      </c>
      <c r="B11132" s="318" t="s">
        <v>237</v>
      </c>
    </row>
    <row r="11133" spans="1:2" ht="12.75" customHeight="1" x14ac:dyDescent="0.25">
      <c r="A11133" s="318">
        <v>94329589657</v>
      </c>
      <c r="B11133" s="318" t="s">
        <v>237</v>
      </c>
    </row>
    <row r="11134" spans="1:2" ht="12.75" customHeight="1" x14ac:dyDescent="0.25">
      <c r="A11134" s="318">
        <v>94329589659</v>
      </c>
      <c r="B11134" s="318" t="s">
        <v>237</v>
      </c>
    </row>
    <row r="11135" spans="1:2" ht="12.75" customHeight="1" x14ac:dyDescent="0.25">
      <c r="A11135" s="318">
        <v>94329589660</v>
      </c>
      <c r="B11135" s="318" t="s">
        <v>237</v>
      </c>
    </row>
    <row r="11136" spans="1:2" ht="12.75" customHeight="1" x14ac:dyDescent="0.25">
      <c r="A11136" s="318">
        <v>94329589661</v>
      </c>
      <c r="B11136" s="318" t="s">
        <v>237</v>
      </c>
    </row>
    <row r="11137" spans="1:2" ht="12.75" customHeight="1" x14ac:dyDescent="0.25">
      <c r="A11137" s="318">
        <v>94329589662</v>
      </c>
      <c r="B11137" s="318" t="s">
        <v>237</v>
      </c>
    </row>
    <row r="11138" spans="1:2" ht="12.75" customHeight="1" x14ac:dyDescent="0.25">
      <c r="A11138" s="318">
        <v>94329589663</v>
      </c>
      <c r="B11138" s="318" t="s">
        <v>237</v>
      </c>
    </row>
    <row r="11139" spans="1:2" ht="12.75" customHeight="1" x14ac:dyDescent="0.25">
      <c r="A11139" s="318">
        <v>94329589664</v>
      </c>
      <c r="B11139" s="318" t="s">
        <v>237</v>
      </c>
    </row>
    <row r="11140" spans="1:2" ht="12.75" customHeight="1" x14ac:dyDescent="0.25">
      <c r="A11140" s="318">
        <v>94329589665</v>
      </c>
      <c r="B11140" s="318" t="s">
        <v>237</v>
      </c>
    </row>
    <row r="11141" spans="1:2" ht="12.75" customHeight="1" x14ac:dyDescent="0.25">
      <c r="A11141" s="318">
        <v>94329589666</v>
      </c>
      <c r="B11141" s="318" t="s">
        <v>237</v>
      </c>
    </row>
    <row r="11142" spans="1:2" ht="12.75" customHeight="1" x14ac:dyDescent="0.25">
      <c r="A11142" s="318">
        <v>94330070523</v>
      </c>
      <c r="B11142" s="318" t="s">
        <v>23</v>
      </c>
    </row>
    <row r="11143" spans="1:2" ht="12.75" customHeight="1" x14ac:dyDescent="0.25">
      <c r="A11143" s="318">
        <v>94330070524</v>
      </c>
      <c r="B11143" s="318" t="s">
        <v>23</v>
      </c>
    </row>
    <row r="11144" spans="1:2" ht="12.75" customHeight="1" x14ac:dyDescent="0.25">
      <c r="A11144" s="318">
        <v>94330070525</v>
      </c>
      <c r="B11144" s="318" t="s">
        <v>23</v>
      </c>
    </row>
    <row r="11145" spans="1:2" ht="12.75" customHeight="1" x14ac:dyDescent="0.25">
      <c r="A11145" s="318">
        <v>94330070526</v>
      </c>
      <c r="B11145" s="318" t="s">
        <v>23</v>
      </c>
    </row>
    <row r="11146" spans="1:2" ht="12.75" customHeight="1" x14ac:dyDescent="0.25">
      <c r="A11146" s="318">
        <v>94330070527</v>
      </c>
      <c r="B11146" s="318" t="s">
        <v>23</v>
      </c>
    </row>
    <row r="11147" spans="1:2" ht="12.75" customHeight="1" x14ac:dyDescent="0.25">
      <c r="A11147" s="318">
        <v>94330070528</v>
      </c>
      <c r="B11147" s="318" t="s">
        <v>23</v>
      </c>
    </row>
    <row r="11148" spans="1:2" ht="12.75" customHeight="1" x14ac:dyDescent="0.25">
      <c r="A11148" s="318">
        <v>94330070529</v>
      </c>
      <c r="B11148" s="318" t="s">
        <v>23</v>
      </c>
    </row>
    <row r="11149" spans="1:2" ht="12.75" customHeight="1" x14ac:dyDescent="0.25">
      <c r="A11149" s="318">
        <v>94330070530</v>
      </c>
      <c r="B11149" s="318" t="s">
        <v>237</v>
      </c>
    </row>
    <row r="11150" spans="1:2" ht="12.75" customHeight="1" x14ac:dyDescent="0.25">
      <c r="A11150" s="318">
        <v>94330070532</v>
      </c>
      <c r="B11150" s="318" t="s">
        <v>237</v>
      </c>
    </row>
    <row r="11151" spans="1:2" ht="12.75" customHeight="1" x14ac:dyDescent="0.25">
      <c r="A11151" s="318">
        <v>94330070533</v>
      </c>
      <c r="B11151" s="318" t="s">
        <v>237</v>
      </c>
    </row>
    <row r="11152" spans="1:2" ht="12.75" customHeight="1" x14ac:dyDescent="0.25">
      <c r="A11152" s="318">
        <v>94330070534</v>
      </c>
      <c r="B11152" s="318" t="s">
        <v>237</v>
      </c>
    </row>
    <row r="11153" spans="1:2" ht="12.75" customHeight="1" x14ac:dyDescent="0.25">
      <c r="A11153" s="318">
        <v>94330070535</v>
      </c>
      <c r="B11153" s="318" t="s">
        <v>237</v>
      </c>
    </row>
    <row r="11154" spans="1:2" ht="12.75" customHeight="1" x14ac:dyDescent="0.25">
      <c r="A11154" s="318">
        <v>94330070536</v>
      </c>
      <c r="B11154" s="318" t="s">
        <v>237</v>
      </c>
    </row>
    <row r="11155" spans="1:2" ht="12.75" customHeight="1" x14ac:dyDescent="0.25">
      <c r="A11155" s="318">
        <v>94330070537</v>
      </c>
      <c r="B11155" s="318" t="s">
        <v>237</v>
      </c>
    </row>
    <row r="11156" spans="1:2" ht="12.75" customHeight="1" x14ac:dyDescent="0.25">
      <c r="A11156" s="318">
        <v>94330070538</v>
      </c>
      <c r="B11156" s="318" t="s">
        <v>237</v>
      </c>
    </row>
    <row r="11157" spans="1:2" ht="12.75" customHeight="1" x14ac:dyDescent="0.25">
      <c r="A11157" s="318">
        <v>94330070539</v>
      </c>
      <c r="B11157" s="318" t="s">
        <v>237</v>
      </c>
    </row>
    <row r="11158" spans="1:2" ht="12.75" customHeight="1" x14ac:dyDescent="0.25">
      <c r="A11158" s="318">
        <v>94330070623</v>
      </c>
      <c r="B11158" s="318" t="s">
        <v>237</v>
      </c>
    </row>
    <row r="11159" spans="1:2" ht="12.75" customHeight="1" x14ac:dyDescent="0.25">
      <c r="A11159" s="318">
        <v>94330070624</v>
      </c>
      <c r="B11159" s="318" t="s">
        <v>237</v>
      </c>
    </row>
    <row r="11160" spans="1:2" ht="12.75" customHeight="1" x14ac:dyDescent="0.25">
      <c r="A11160" s="318">
        <v>94330070625</v>
      </c>
      <c r="B11160" s="318" t="s">
        <v>237</v>
      </c>
    </row>
    <row r="11161" spans="1:2" ht="12.75" customHeight="1" x14ac:dyDescent="0.25">
      <c r="A11161" s="318">
        <v>94330070626</v>
      </c>
      <c r="B11161" s="318" t="s">
        <v>237</v>
      </c>
    </row>
    <row r="11162" spans="1:2" ht="12.75" customHeight="1" x14ac:dyDescent="0.25">
      <c r="A11162" s="318">
        <v>94330070627</v>
      </c>
      <c r="B11162" s="318" t="s">
        <v>237</v>
      </c>
    </row>
    <row r="11163" spans="1:2" ht="12.75" customHeight="1" x14ac:dyDescent="0.25">
      <c r="A11163" s="318">
        <v>94330070628</v>
      </c>
      <c r="B11163" s="318" t="s">
        <v>237</v>
      </c>
    </row>
    <row r="11164" spans="1:2" ht="12.75" customHeight="1" x14ac:dyDescent="0.25">
      <c r="A11164" s="318">
        <v>94330070629</v>
      </c>
      <c r="B11164" s="318" t="s">
        <v>237</v>
      </c>
    </row>
    <row r="11165" spans="1:2" ht="12.75" customHeight="1" x14ac:dyDescent="0.25">
      <c r="A11165" s="318">
        <v>94330070630</v>
      </c>
      <c r="B11165" s="318" t="s">
        <v>237</v>
      </c>
    </row>
    <row r="11166" spans="1:2" ht="12.75" customHeight="1" x14ac:dyDescent="0.25">
      <c r="A11166" s="318">
        <v>94330070632</v>
      </c>
      <c r="B11166" s="318" t="s">
        <v>237</v>
      </c>
    </row>
    <row r="11167" spans="1:2" ht="12.75" customHeight="1" x14ac:dyDescent="0.25">
      <c r="A11167" s="318">
        <v>94330070633</v>
      </c>
      <c r="B11167" s="318" t="s">
        <v>237</v>
      </c>
    </row>
    <row r="11168" spans="1:2" ht="12.75" customHeight="1" x14ac:dyDescent="0.25">
      <c r="A11168" s="318">
        <v>94330070634</v>
      </c>
      <c r="B11168" s="318" t="s">
        <v>237</v>
      </c>
    </row>
    <row r="11169" spans="1:2" ht="12.75" customHeight="1" x14ac:dyDescent="0.25">
      <c r="A11169" s="318">
        <v>94330070635</v>
      </c>
      <c r="B11169" s="318" t="s">
        <v>237</v>
      </c>
    </row>
    <row r="11170" spans="1:2" ht="12.75" customHeight="1" x14ac:dyDescent="0.25">
      <c r="A11170" s="318">
        <v>94330070636</v>
      </c>
      <c r="B11170" s="318" t="s">
        <v>237</v>
      </c>
    </row>
    <row r="11171" spans="1:2" ht="12.75" customHeight="1" x14ac:dyDescent="0.25">
      <c r="A11171" s="318">
        <v>94330070637</v>
      </c>
      <c r="B11171" s="318" t="s">
        <v>237</v>
      </c>
    </row>
    <row r="11172" spans="1:2" ht="12.75" customHeight="1" x14ac:dyDescent="0.25">
      <c r="A11172" s="318">
        <v>94330070638</v>
      </c>
      <c r="B11172" s="318" t="s">
        <v>237</v>
      </c>
    </row>
    <row r="11173" spans="1:2" ht="12.75" customHeight="1" x14ac:dyDescent="0.25">
      <c r="A11173" s="318">
        <v>94330070639</v>
      </c>
      <c r="B11173" s="318" t="s">
        <v>237</v>
      </c>
    </row>
    <row r="11174" spans="1:2" ht="12.75" customHeight="1" x14ac:dyDescent="0.25">
      <c r="A11174" s="318">
        <v>94330551496</v>
      </c>
      <c r="B11174" s="318" t="s">
        <v>23</v>
      </c>
    </row>
    <row r="11175" spans="1:2" ht="12.75" customHeight="1" x14ac:dyDescent="0.25">
      <c r="A11175" s="318">
        <v>94330551497</v>
      </c>
      <c r="B11175" s="318" t="s">
        <v>23</v>
      </c>
    </row>
    <row r="11176" spans="1:2" ht="12.75" customHeight="1" x14ac:dyDescent="0.25">
      <c r="A11176" s="318">
        <v>94330551498</v>
      </c>
      <c r="B11176" s="318" t="s">
        <v>23</v>
      </c>
    </row>
    <row r="11177" spans="1:2" ht="12.75" customHeight="1" x14ac:dyDescent="0.25">
      <c r="A11177" s="318">
        <v>94330551499</v>
      </c>
      <c r="B11177" s="318" t="s">
        <v>23</v>
      </c>
    </row>
    <row r="11178" spans="1:2" ht="12.75" customHeight="1" x14ac:dyDescent="0.25">
      <c r="A11178" s="318">
        <v>94330551500</v>
      </c>
      <c r="B11178" s="318" t="s">
        <v>23</v>
      </c>
    </row>
    <row r="11179" spans="1:2" ht="12.75" customHeight="1" x14ac:dyDescent="0.25">
      <c r="A11179" s="318">
        <v>94330551501</v>
      </c>
      <c r="B11179" s="318" t="s">
        <v>23</v>
      </c>
    </row>
    <row r="11180" spans="1:2" ht="12.75" customHeight="1" x14ac:dyDescent="0.25">
      <c r="A11180" s="318">
        <v>94330551502</v>
      </c>
      <c r="B11180" s="318" t="s">
        <v>23</v>
      </c>
    </row>
    <row r="11181" spans="1:2" ht="12.75" customHeight="1" x14ac:dyDescent="0.25">
      <c r="A11181" s="318">
        <v>94330551503</v>
      </c>
      <c r="B11181" s="318" t="s">
        <v>237</v>
      </c>
    </row>
    <row r="11182" spans="1:2" ht="12.75" customHeight="1" x14ac:dyDescent="0.25">
      <c r="A11182" s="318">
        <v>94330551505</v>
      </c>
      <c r="B11182" s="318" t="s">
        <v>23</v>
      </c>
    </row>
    <row r="11183" spans="1:2" ht="12.75" customHeight="1" x14ac:dyDescent="0.25">
      <c r="A11183" s="318">
        <v>94330551506</v>
      </c>
      <c r="B11183" s="318" t="s">
        <v>237</v>
      </c>
    </row>
    <row r="11184" spans="1:2" ht="12.75" customHeight="1" x14ac:dyDescent="0.25">
      <c r="A11184" s="318">
        <v>94330551507</v>
      </c>
      <c r="B11184" s="318" t="s">
        <v>23</v>
      </c>
    </row>
    <row r="11185" spans="1:2" ht="12.75" customHeight="1" x14ac:dyDescent="0.25">
      <c r="A11185" s="318">
        <v>94330551508</v>
      </c>
      <c r="B11185" s="318" t="s">
        <v>237</v>
      </c>
    </row>
    <row r="11186" spans="1:2" ht="12.75" customHeight="1" x14ac:dyDescent="0.25">
      <c r="A11186" s="318">
        <v>94330551509</v>
      </c>
      <c r="B11186" s="318" t="s">
        <v>23</v>
      </c>
    </row>
    <row r="11187" spans="1:2" ht="12.75" customHeight="1" x14ac:dyDescent="0.25">
      <c r="A11187" s="318">
        <v>94330551510</v>
      </c>
      <c r="B11187" s="318" t="s">
        <v>237</v>
      </c>
    </row>
    <row r="11188" spans="1:2" ht="12.75" customHeight="1" x14ac:dyDescent="0.25">
      <c r="A11188" s="318">
        <v>94330551511</v>
      </c>
      <c r="B11188" s="318" t="s">
        <v>23</v>
      </c>
    </row>
    <row r="11189" spans="1:2" ht="12.75" customHeight="1" x14ac:dyDescent="0.25">
      <c r="A11189" s="318">
        <v>94330551512</v>
      </c>
      <c r="B11189" s="318" t="s">
        <v>237</v>
      </c>
    </row>
    <row r="11190" spans="1:2" ht="12.75" customHeight="1" x14ac:dyDescent="0.25">
      <c r="A11190" s="318">
        <v>94330551596</v>
      </c>
      <c r="B11190" s="318" t="s">
        <v>237</v>
      </c>
    </row>
    <row r="11191" spans="1:2" ht="12.75" customHeight="1" x14ac:dyDescent="0.25">
      <c r="A11191" s="318">
        <v>94330551597</v>
      </c>
      <c r="B11191" s="318" t="s">
        <v>237</v>
      </c>
    </row>
    <row r="11192" spans="1:2" ht="12.75" customHeight="1" x14ac:dyDescent="0.25">
      <c r="A11192" s="318">
        <v>94330551598</v>
      </c>
      <c r="B11192" s="318" t="s">
        <v>237</v>
      </c>
    </row>
    <row r="11193" spans="1:2" ht="12.75" customHeight="1" x14ac:dyDescent="0.25">
      <c r="A11193" s="318">
        <v>94330551599</v>
      </c>
      <c r="B11193" s="318" t="s">
        <v>237</v>
      </c>
    </row>
    <row r="11194" spans="1:2" ht="12.75" customHeight="1" x14ac:dyDescent="0.25">
      <c r="A11194" s="318">
        <v>94330551600</v>
      </c>
      <c r="B11194" s="318" t="s">
        <v>237</v>
      </c>
    </row>
    <row r="11195" spans="1:2" ht="12.75" customHeight="1" x14ac:dyDescent="0.25">
      <c r="A11195" s="318">
        <v>94330551601</v>
      </c>
      <c r="B11195" s="318" t="s">
        <v>237</v>
      </c>
    </row>
    <row r="11196" spans="1:2" ht="12.75" customHeight="1" x14ac:dyDescent="0.25">
      <c r="A11196" s="318">
        <v>94330551602</v>
      </c>
      <c r="B11196" s="318" t="s">
        <v>237</v>
      </c>
    </row>
    <row r="11197" spans="1:2" ht="12.75" customHeight="1" x14ac:dyDescent="0.25">
      <c r="A11197" s="318">
        <v>94330551603</v>
      </c>
      <c r="B11197" s="318" t="s">
        <v>237</v>
      </c>
    </row>
    <row r="11198" spans="1:2" ht="12.75" customHeight="1" x14ac:dyDescent="0.25">
      <c r="A11198" s="318">
        <v>94330551605</v>
      </c>
      <c r="B11198" s="318" t="s">
        <v>237</v>
      </c>
    </row>
    <row r="11199" spans="1:2" ht="12.75" customHeight="1" x14ac:dyDescent="0.25">
      <c r="A11199" s="318">
        <v>94330551606</v>
      </c>
      <c r="B11199" s="318" t="s">
        <v>237</v>
      </c>
    </row>
    <row r="11200" spans="1:2" ht="12.75" customHeight="1" x14ac:dyDescent="0.25">
      <c r="A11200" s="318">
        <v>94330551607</v>
      </c>
      <c r="B11200" s="318" t="s">
        <v>237</v>
      </c>
    </row>
    <row r="11201" spans="1:2" ht="12.75" customHeight="1" x14ac:dyDescent="0.25">
      <c r="A11201" s="318">
        <v>94330551608</v>
      </c>
      <c r="B11201" s="318" t="s">
        <v>237</v>
      </c>
    </row>
    <row r="11202" spans="1:2" ht="12.75" customHeight="1" x14ac:dyDescent="0.25">
      <c r="A11202" s="318">
        <v>94330551609</v>
      </c>
      <c r="B11202" s="318" t="s">
        <v>237</v>
      </c>
    </row>
    <row r="11203" spans="1:2" ht="12.75" customHeight="1" x14ac:dyDescent="0.25">
      <c r="A11203" s="318">
        <v>94330551610</v>
      </c>
      <c r="B11203" s="318" t="s">
        <v>237</v>
      </c>
    </row>
    <row r="11204" spans="1:2" ht="12.75" customHeight="1" x14ac:dyDescent="0.25">
      <c r="A11204" s="318">
        <v>94330551611</v>
      </c>
      <c r="B11204" s="318" t="s">
        <v>237</v>
      </c>
    </row>
    <row r="11205" spans="1:2" ht="12.75" customHeight="1" x14ac:dyDescent="0.25">
      <c r="A11205" s="318">
        <v>94330551612</v>
      </c>
      <c r="B11205" s="318" t="s">
        <v>237</v>
      </c>
    </row>
    <row r="11206" spans="1:2" ht="12.75" customHeight="1" x14ac:dyDescent="0.25">
      <c r="A11206" s="318">
        <v>94331231687</v>
      </c>
      <c r="B11206" s="318" t="s">
        <v>23</v>
      </c>
    </row>
    <row r="11207" spans="1:2" ht="12.75" customHeight="1" x14ac:dyDescent="0.25">
      <c r="A11207" s="318">
        <v>94331231688</v>
      </c>
      <c r="B11207" s="318" t="s">
        <v>23</v>
      </c>
    </row>
    <row r="11208" spans="1:2" ht="12.75" customHeight="1" x14ac:dyDescent="0.25">
      <c r="A11208" s="318">
        <v>94331231689</v>
      </c>
      <c r="B11208" s="318" t="s">
        <v>23</v>
      </c>
    </row>
    <row r="11209" spans="1:2" ht="12.75" customHeight="1" x14ac:dyDescent="0.25">
      <c r="A11209" s="318">
        <v>94331231690</v>
      </c>
      <c r="B11209" s="318" t="s">
        <v>23</v>
      </c>
    </row>
    <row r="11210" spans="1:2" ht="12.75" customHeight="1" x14ac:dyDescent="0.25">
      <c r="A11210" s="318">
        <v>94331231691</v>
      </c>
      <c r="B11210" s="318" t="s">
        <v>23</v>
      </c>
    </row>
    <row r="11211" spans="1:2" ht="12.75" customHeight="1" x14ac:dyDescent="0.25">
      <c r="A11211" s="318">
        <v>94331231692</v>
      </c>
      <c r="B11211" s="318" t="s">
        <v>23</v>
      </c>
    </row>
    <row r="11212" spans="1:2" ht="12.75" customHeight="1" x14ac:dyDescent="0.25">
      <c r="A11212" s="318">
        <v>94331231693</v>
      </c>
      <c r="B11212" s="318" t="s">
        <v>23</v>
      </c>
    </row>
    <row r="11213" spans="1:2" ht="12.75" customHeight="1" x14ac:dyDescent="0.25">
      <c r="A11213" s="318">
        <v>94331231694</v>
      </c>
      <c r="B11213" s="318" t="s">
        <v>237</v>
      </c>
    </row>
    <row r="11214" spans="1:2" ht="12.75" customHeight="1" x14ac:dyDescent="0.25">
      <c r="A11214" s="318">
        <v>94331231696</v>
      </c>
      <c r="B11214" s="318" t="s">
        <v>237</v>
      </c>
    </row>
    <row r="11215" spans="1:2" ht="12.75" customHeight="1" x14ac:dyDescent="0.25">
      <c r="A11215" s="318">
        <v>94331231697</v>
      </c>
      <c r="B11215" s="318" t="s">
        <v>237</v>
      </c>
    </row>
    <row r="11216" spans="1:2" ht="12.75" customHeight="1" x14ac:dyDescent="0.25">
      <c r="A11216" s="318">
        <v>94331231698</v>
      </c>
      <c r="B11216" s="318" t="s">
        <v>237</v>
      </c>
    </row>
    <row r="11217" spans="1:2" ht="12.75" customHeight="1" x14ac:dyDescent="0.25">
      <c r="A11217" s="318">
        <v>94331231699</v>
      </c>
      <c r="B11217" s="318" t="s">
        <v>237</v>
      </c>
    </row>
    <row r="11218" spans="1:2" ht="12.75" customHeight="1" x14ac:dyDescent="0.25">
      <c r="A11218" s="318">
        <v>94331231700</v>
      </c>
      <c r="B11218" s="318" t="s">
        <v>237</v>
      </c>
    </row>
    <row r="11219" spans="1:2" ht="12.75" customHeight="1" x14ac:dyDescent="0.25">
      <c r="A11219" s="318">
        <v>94331231701</v>
      </c>
      <c r="B11219" s="318" t="s">
        <v>237</v>
      </c>
    </row>
    <row r="11220" spans="1:2" ht="12.75" customHeight="1" x14ac:dyDescent="0.25">
      <c r="A11220" s="318">
        <v>94331231702</v>
      </c>
      <c r="B11220" s="318" t="s">
        <v>237</v>
      </c>
    </row>
    <row r="11221" spans="1:2" ht="12.75" customHeight="1" x14ac:dyDescent="0.25">
      <c r="A11221" s="318">
        <v>94331231703</v>
      </c>
      <c r="B11221" s="318" t="s">
        <v>237</v>
      </c>
    </row>
    <row r="11222" spans="1:2" ht="12.75" customHeight="1" x14ac:dyDescent="0.25">
      <c r="A11222" s="318">
        <v>94331231787</v>
      </c>
      <c r="B11222" s="318" t="s">
        <v>237</v>
      </c>
    </row>
    <row r="11223" spans="1:2" ht="12.75" customHeight="1" x14ac:dyDescent="0.25">
      <c r="A11223" s="318">
        <v>94331231788</v>
      </c>
      <c r="B11223" s="318" t="s">
        <v>237</v>
      </c>
    </row>
    <row r="11224" spans="1:2" ht="12.75" customHeight="1" x14ac:dyDescent="0.25">
      <c r="A11224" s="318">
        <v>94331231789</v>
      </c>
      <c r="B11224" s="318" t="s">
        <v>237</v>
      </c>
    </row>
    <row r="11225" spans="1:2" ht="12.75" customHeight="1" x14ac:dyDescent="0.25">
      <c r="A11225" s="318">
        <v>94331231790</v>
      </c>
      <c r="B11225" s="318" t="s">
        <v>237</v>
      </c>
    </row>
    <row r="11226" spans="1:2" ht="12.75" customHeight="1" x14ac:dyDescent="0.25">
      <c r="A11226" s="318">
        <v>94331231791</v>
      </c>
      <c r="B11226" s="318" t="s">
        <v>237</v>
      </c>
    </row>
    <row r="11227" spans="1:2" ht="12.75" customHeight="1" x14ac:dyDescent="0.25">
      <c r="A11227" s="318">
        <v>94331231792</v>
      </c>
      <c r="B11227" s="318" t="s">
        <v>237</v>
      </c>
    </row>
    <row r="11228" spans="1:2" ht="12.75" customHeight="1" x14ac:dyDescent="0.25">
      <c r="A11228" s="318">
        <v>94331231793</v>
      </c>
      <c r="B11228" s="318" t="s">
        <v>237</v>
      </c>
    </row>
    <row r="11229" spans="1:2" ht="12.75" customHeight="1" x14ac:dyDescent="0.25">
      <c r="A11229" s="318">
        <v>94331231794</v>
      </c>
      <c r="B11229" s="318" t="s">
        <v>237</v>
      </c>
    </row>
    <row r="11230" spans="1:2" ht="12.75" customHeight="1" x14ac:dyDescent="0.25">
      <c r="A11230" s="318">
        <v>94331231796</v>
      </c>
      <c r="B11230" s="318" t="s">
        <v>237</v>
      </c>
    </row>
    <row r="11231" spans="1:2" ht="12.75" customHeight="1" x14ac:dyDescent="0.25">
      <c r="A11231" s="318">
        <v>94331231797</v>
      </c>
      <c r="B11231" s="318" t="s">
        <v>237</v>
      </c>
    </row>
    <row r="11232" spans="1:2" ht="12.75" customHeight="1" x14ac:dyDescent="0.25">
      <c r="A11232" s="318">
        <v>94331231798</v>
      </c>
      <c r="B11232" s="318" t="s">
        <v>237</v>
      </c>
    </row>
    <row r="11233" spans="1:2" ht="12.75" customHeight="1" x14ac:dyDescent="0.25">
      <c r="A11233" s="318">
        <v>94331231799</v>
      </c>
      <c r="B11233" s="318" t="s">
        <v>237</v>
      </c>
    </row>
    <row r="11234" spans="1:2" ht="12.75" customHeight="1" x14ac:dyDescent="0.25">
      <c r="A11234" s="318">
        <v>94331231800</v>
      </c>
      <c r="B11234" s="318" t="s">
        <v>237</v>
      </c>
    </row>
    <row r="11235" spans="1:2" ht="12.75" customHeight="1" x14ac:dyDescent="0.25">
      <c r="A11235" s="318">
        <v>94331231801</v>
      </c>
      <c r="B11235" s="318" t="s">
        <v>237</v>
      </c>
    </row>
    <row r="11236" spans="1:2" ht="12.75" customHeight="1" x14ac:dyDescent="0.25">
      <c r="A11236" s="318">
        <v>94331231802</v>
      </c>
      <c r="B11236" s="318" t="s">
        <v>237</v>
      </c>
    </row>
    <row r="11237" spans="1:2" ht="12.75" customHeight="1" x14ac:dyDescent="0.25">
      <c r="A11237" s="318">
        <v>94331231803</v>
      </c>
      <c r="B11237" s="318" t="s">
        <v>237</v>
      </c>
    </row>
    <row r="11238" spans="1:2" ht="12.75" customHeight="1" x14ac:dyDescent="0.25">
      <c r="A11238" s="318">
        <v>94331712660</v>
      </c>
      <c r="B11238" s="318" t="s">
        <v>23</v>
      </c>
    </row>
    <row r="11239" spans="1:2" ht="12.75" customHeight="1" x14ac:dyDescent="0.25">
      <c r="A11239" s="318">
        <v>94331712661</v>
      </c>
      <c r="B11239" s="318" t="s">
        <v>23</v>
      </c>
    </row>
    <row r="11240" spans="1:2" ht="12.75" customHeight="1" x14ac:dyDescent="0.25">
      <c r="A11240" s="318">
        <v>94331712662</v>
      </c>
      <c r="B11240" s="318" t="s">
        <v>23</v>
      </c>
    </row>
    <row r="11241" spans="1:2" ht="12.75" customHeight="1" x14ac:dyDescent="0.25">
      <c r="A11241" s="318">
        <v>94331712663</v>
      </c>
      <c r="B11241" s="318" t="s">
        <v>23</v>
      </c>
    </row>
    <row r="11242" spans="1:2" ht="12.75" customHeight="1" x14ac:dyDescent="0.25">
      <c r="A11242" s="318">
        <v>94331712664</v>
      </c>
      <c r="B11242" s="318" t="s">
        <v>23</v>
      </c>
    </row>
    <row r="11243" spans="1:2" ht="12.75" customHeight="1" x14ac:dyDescent="0.25">
      <c r="A11243" s="318">
        <v>94331712665</v>
      </c>
      <c r="B11243" s="318" t="s">
        <v>23</v>
      </c>
    </row>
    <row r="11244" spans="1:2" ht="12.75" customHeight="1" x14ac:dyDescent="0.25">
      <c r="A11244" s="318">
        <v>94331712666</v>
      </c>
      <c r="B11244" s="318" t="s">
        <v>23</v>
      </c>
    </row>
    <row r="11245" spans="1:2" ht="12.75" customHeight="1" x14ac:dyDescent="0.25">
      <c r="A11245" s="318">
        <v>94331712667</v>
      </c>
      <c r="B11245" s="318" t="s">
        <v>237</v>
      </c>
    </row>
    <row r="11246" spans="1:2" ht="12.75" customHeight="1" x14ac:dyDescent="0.25">
      <c r="A11246" s="318">
        <v>94331712669</v>
      </c>
      <c r="B11246" s="318" t="s">
        <v>237</v>
      </c>
    </row>
    <row r="11247" spans="1:2" ht="12.75" customHeight="1" x14ac:dyDescent="0.25">
      <c r="A11247" s="318">
        <v>94331712670</v>
      </c>
      <c r="B11247" s="318" t="s">
        <v>237</v>
      </c>
    </row>
    <row r="11248" spans="1:2" ht="12.75" customHeight="1" x14ac:dyDescent="0.25">
      <c r="A11248" s="318">
        <v>94331712671</v>
      </c>
      <c r="B11248" s="318" t="s">
        <v>237</v>
      </c>
    </row>
    <row r="11249" spans="1:2" ht="12.75" customHeight="1" x14ac:dyDescent="0.25">
      <c r="A11249" s="318">
        <v>94331712672</v>
      </c>
      <c r="B11249" s="318" t="s">
        <v>237</v>
      </c>
    </row>
    <row r="11250" spans="1:2" ht="12.75" customHeight="1" x14ac:dyDescent="0.25">
      <c r="A11250" s="318">
        <v>94331712673</v>
      </c>
      <c r="B11250" s="318" t="s">
        <v>237</v>
      </c>
    </row>
    <row r="11251" spans="1:2" ht="12.75" customHeight="1" x14ac:dyDescent="0.25">
      <c r="A11251" s="318">
        <v>94331712674</v>
      </c>
      <c r="B11251" s="318" t="s">
        <v>237</v>
      </c>
    </row>
    <row r="11252" spans="1:2" ht="12.75" customHeight="1" x14ac:dyDescent="0.25">
      <c r="A11252" s="318">
        <v>94331712675</v>
      </c>
      <c r="B11252" s="318" t="s">
        <v>237</v>
      </c>
    </row>
    <row r="11253" spans="1:2" ht="12.75" customHeight="1" x14ac:dyDescent="0.25">
      <c r="A11253" s="318">
        <v>94331712676</v>
      </c>
      <c r="B11253" s="318" t="s">
        <v>237</v>
      </c>
    </row>
    <row r="11254" spans="1:2" ht="12.75" customHeight="1" x14ac:dyDescent="0.25">
      <c r="A11254" s="318">
        <v>94331712760</v>
      </c>
      <c r="B11254" s="318" t="s">
        <v>237</v>
      </c>
    </row>
    <row r="11255" spans="1:2" ht="12.75" customHeight="1" x14ac:dyDescent="0.25">
      <c r="A11255" s="318">
        <v>94331712761</v>
      </c>
      <c r="B11255" s="318" t="s">
        <v>237</v>
      </c>
    </row>
    <row r="11256" spans="1:2" ht="12.75" customHeight="1" x14ac:dyDescent="0.25">
      <c r="A11256" s="318">
        <v>94331712762</v>
      </c>
      <c r="B11256" s="318" t="s">
        <v>237</v>
      </c>
    </row>
    <row r="11257" spans="1:2" ht="12.75" customHeight="1" x14ac:dyDescent="0.25">
      <c r="A11257" s="318">
        <v>94331712763</v>
      </c>
      <c r="B11257" s="318" t="s">
        <v>237</v>
      </c>
    </row>
    <row r="11258" spans="1:2" ht="12.75" customHeight="1" x14ac:dyDescent="0.25">
      <c r="A11258" s="318">
        <v>94331712764</v>
      </c>
      <c r="B11258" s="318" t="s">
        <v>237</v>
      </c>
    </row>
    <row r="11259" spans="1:2" ht="12.75" customHeight="1" x14ac:dyDescent="0.25">
      <c r="A11259" s="318">
        <v>94331712765</v>
      </c>
      <c r="B11259" s="318" t="s">
        <v>237</v>
      </c>
    </row>
    <row r="11260" spans="1:2" ht="12.75" customHeight="1" x14ac:dyDescent="0.25">
      <c r="A11260" s="318">
        <v>94331712766</v>
      </c>
      <c r="B11260" s="318" t="s">
        <v>237</v>
      </c>
    </row>
    <row r="11261" spans="1:2" ht="12.75" customHeight="1" x14ac:dyDescent="0.25">
      <c r="A11261" s="318">
        <v>94331712767</v>
      </c>
      <c r="B11261" s="318" t="s">
        <v>237</v>
      </c>
    </row>
    <row r="11262" spans="1:2" ht="12.75" customHeight="1" x14ac:dyDescent="0.25">
      <c r="A11262" s="318">
        <v>94331712769</v>
      </c>
      <c r="B11262" s="318" t="s">
        <v>237</v>
      </c>
    </row>
    <row r="11263" spans="1:2" ht="12.75" customHeight="1" x14ac:dyDescent="0.25">
      <c r="A11263" s="318">
        <v>94331712770</v>
      </c>
      <c r="B11263" s="318" t="s">
        <v>237</v>
      </c>
    </row>
    <row r="11264" spans="1:2" ht="12.75" customHeight="1" x14ac:dyDescent="0.25">
      <c r="A11264" s="318">
        <v>94331712771</v>
      </c>
      <c r="B11264" s="318" t="s">
        <v>237</v>
      </c>
    </row>
    <row r="11265" spans="1:2" ht="12.75" customHeight="1" x14ac:dyDescent="0.25">
      <c r="A11265" s="318">
        <v>94331712772</v>
      </c>
      <c r="B11265" s="318" t="s">
        <v>237</v>
      </c>
    </row>
    <row r="11266" spans="1:2" ht="12.75" customHeight="1" x14ac:dyDescent="0.25">
      <c r="A11266" s="318">
        <v>94331712773</v>
      </c>
      <c r="B11266" s="318" t="s">
        <v>237</v>
      </c>
    </row>
    <row r="11267" spans="1:2" ht="12.75" customHeight="1" x14ac:dyDescent="0.25">
      <c r="A11267" s="318">
        <v>94331712774</v>
      </c>
      <c r="B11267" s="318" t="s">
        <v>237</v>
      </c>
    </row>
    <row r="11268" spans="1:2" ht="12.75" customHeight="1" x14ac:dyDescent="0.25">
      <c r="A11268" s="318">
        <v>94331712775</v>
      </c>
      <c r="B11268" s="318" t="s">
        <v>237</v>
      </c>
    </row>
    <row r="11269" spans="1:2" ht="12.75" customHeight="1" x14ac:dyDescent="0.25">
      <c r="A11269" s="318">
        <v>94331712776</v>
      </c>
      <c r="B11269" s="318" t="s">
        <v>237</v>
      </c>
    </row>
    <row r="11270" spans="1:2" ht="12.75" customHeight="1" x14ac:dyDescent="0.25">
      <c r="A11270" s="318">
        <v>94332193633</v>
      </c>
      <c r="B11270" s="318" t="s">
        <v>23</v>
      </c>
    </row>
    <row r="11271" spans="1:2" ht="12.75" customHeight="1" x14ac:dyDescent="0.25">
      <c r="A11271" s="318">
        <v>94332193634</v>
      </c>
      <c r="B11271" s="318" t="s">
        <v>23</v>
      </c>
    </row>
    <row r="11272" spans="1:2" ht="12.75" customHeight="1" x14ac:dyDescent="0.25">
      <c r="A11272" s="318">
        <v>94332193635</v>
      </c>
      <c r="B11272" s="318" t="s">
        <v>23</v>
      </c>
    </row>
    <row r="11273" spans="1:2" ht="12.75" customHeight="1" x14ac:dyDescent="0.25">
      <c r="A11273" s="318">
        <v>94332193636</v>
      </c>
      <c r="B11273" s="318" t="s">
        <v>23</v>
      </c>
    </row>
    <row r="11274" spans="1:2" ht="12.75" customHeight="1" x14ac:dyDescent="0.25">
      <c r="A11274" s="318">
        <v>94332193637</v>
      </c>
      <c r="B11274" s="318" t="s">
        <v>23</v>
      </c>
    </row>
    <row r="11275" spans="1:2" ht="12.75" customHeight="1" x14ac:dyDescent="0.25">
      <c r="A11275" s="318">
        <v>94332193638</v>
      </c>
      <c r="B11275" s="318" t="s">
        <v>23</v>
      </c>
    </row>
    <row r="11276" spans="1:2" ht="12.75" customHeight="1" x14ac:dyDescent="0.25">
      <c r="A11276" s="318">
        <v>94332193639</v>
      </c>
      <c r="B11276" s="318" t="s">
        <v>23</v>
      </c>
    </row>
    <row r="11277" spans="1:2" ht="12.75" customHeight="1" x14ac:dyDescent="0.25">
      <c r="A11277" s="318">
        <v>94332193640</v>
      </c>
      <c r="B11277" s="318" t="s">
        <v>237</v>
      </c>
    </row>
    <row r="11278" spans="1:2" ht="12.75" customHeight="1" x14ac:dyDescent="0.25">
      <c r="A11278" s="318">
        <v>94332193642</v>
      </c>
      <c r="B11278" s="318" t="s">
        <v>23</v>
      </c>
    </row>
    <row r="11279" spans="1:2" ht="12.75" customHeight="1" x14ac:dyDescent="0.25">
      <c r="A11279" s="318">
        <v>94332193643</v>
      </c>
      <c r="B11279" s="318" t="s">
        <v>237</v>
      </c>
    </row>
    <row r="11280" spans="1:2" ht="12.75" customHeight="1" x14ac:dyDescent="0.25">
      <c r="A11280" s="318">
        <v>94332193644</v>
      </c>
      <c r="B11280" s="318" t="s">
        <v>23</v>
      </c>
    </row>
    <row r="11281" spans="1:2" ht="12.75" customHeight="1" x14ac:dyDescent="0.25">
      <c r="A11281" s="318">
        <v>94332193645</v>
      </c>
      <c r="B11281" s="318" t="s">
        <v>237</v>
      </c>
    </row>
    <row r="11282" spans="1:2" ht="12.75" customHeight="1" x14ac:dyDescent="0.25">
      <c r="A11282" s="318">
        <v>94332193646</v>
      </c>
      <c r="B11282" s="318" t="s">
        <v>23</v>
      </c>
    </row>
    <row r="11283" spans="1:2" ht="12.75" customHeight="1" x14ac:dyDescent="0.25">
      <c r="A11283" s="318">
        <v>94332193647</v>
      </c>
      <c r="B11283" s="318" t="s">
        <v>237</v>
      </c>
    </row>
    <row r="11284" spans="1:2" ht="12.75" customHeight="1" x14ac:dyDescent="0.25">
      <c r="A11284" s="318">
        <v>94332193648</v>
      </c>
      <c r="B11284" s="318" t="s">
        <v>23</v>
      </c>
    </row>
    <row r="11285" spans="1:2" ht="12.75" customHeight="1" x14ac:dyDescent="0.25">
      <c r="A11285" s="318">
        <v>94332193649</v>
      </c>
      <c r="B11285" s="318" t="s">
        <v>237</v>
      </c>
    </row>
    <row r="11286" spans="1:2" ht="12.75" customHeight="1" x14ac:dyDescent="0.25">
      <c r="A11286" s="318">
        <v>94332193733</v>
      </c>
      <c r="B11286" s="318" t="s">
        <v>237</v>
      </c>
    </row>
    <row r="11287" spans="1:2" ht="12.75" customHeight="1" x14ac:dyDescent="0.25">
      <c r="A11287" s="318">
        <v>94332193734</v>
      </c>
      <c r="B11287" s="318" t="s">
        <v>237</v>
      </c>
    </row>
    <row r="11288" spans="1:2" ht="12.75" customHeight="1" x14ac:dyDescent="0.25">
      <c r="A11288" s="318">
        <v>94332193735</v>
      </c>
      <c r="B11288" s="318" t="s">
        <v>237</v>
      </c>
    </row>
    <row r="11289" spans="1:2" ht="12.75" customHeight="1" x14ac:dyDescent="0.25">
      <c r="A11289" s="318">
        <v>94332193736</v>
      </c>
      <c r="B11289" s="318" t="s">
        <v>237</v>
      </c>
    </row>
    <row r="11290" spans="1:2" ht="12.75" customHeight="1" x14ac:dyDescent="0.25">
      <c r="A11290" s="318">
        <v>94332193737</v>
      </c>
      <c r="B11290" s="318" t="s">
        <v>237</v>
      </c>
    </row>
    <row r="11291" spans="1:2" ht="12.75" customHeight="1" x14ac:dyDescent="0.25">
      <c r="A11291" s="318">
        <v>94332193738</v>
      </c>
      <c r="B11291" s="318" t="s">
        <v>237</v>
      </c>
    </row>
    <row r="11292" spans="1:2" ht="12.75" customHeight="1" x14ac:dyDescent="0.25">
      <c r="A11292" s="318">
        <v>94332193739</v>
      </c>
      <c r="B11292" s="318" t="s">
        <v>237</v>
      </c>
    </row>
    <row r="11293" spans="1:2" ht="12.75" customHeight="1" x14ac:dyDescent="0.25">
      <c r="A11293" s="318">
        <v>94332193740</v>
      </c>
      <c r="B11293" s="318" t="s">
        <v>237</v>
      </c>
    </row>
    <row r="11294" spans="1:2" ht="12.75" customHeight="1" x14ac:dyDescent="0.25">
      <c r="A11294" s="318">
        <v>94332193742</v>
      </c>
      <c r="B11294" s="318" t="s">
        <v>237</v>
      </c>
    </row>
    <row r="11295" spans="1:2" ht="12.75" customHeight="1" x14ac:dyDescent="0.25">
      <c r="A11295" s="318">
        <v>94332193743</v>
      </c>
      <c r="B11295" s="318" t="s">
        <v>237</v>
      </c>
    </row>
    <row r="11296" spans="1:2" ht="12.75" customHeight="1" x14ac:dyDescent="0.25">
      <c r="A11296" s="318">
        <v>94332193744</v>
      </c>
      <c r="B11296" s="318" t="s">
        <v>237</v>
      </c>
    </row>
    <row r="11297" spans="1:2" ht="12.75" customHeight="1" x14ac:dyDescent="0.25">
      <c r="A11297" s="318">
        <v>94332193745</v>
      </c>
      <c r="B11297" s="318" t="s">
        <v>237</v>
      </c>
    </row>
    <row r="11298" spans="1:2" ht="12.75" customHeight="1" x14ac:dyDescent="0.25">
      <c r="A11298" s="318">
        <v>94332193746</v>
      </c>
      <c r="B11298" s="318" t="s">
        <v>237</v>
      </c>
    </row>
    <row r="11299" spans="1:2" ht="12.75" customHeight="1" x14ac:dyDescent="0.25">
      <c r="A11299" s="318">
        <v>94332193747</v>
      </c>
      <c r="B11299" s="318" t="s">
        <v>237</v>
      </c>
    </row>
    <row r="11300" spans="1:2" ht="12.75" customHeight="1" x14ac:dyDescent="0.25">
      <c r="A11300" s="318">
        <v>94332193748</v>
      </c>
      <c r="B11300" s="318" t="s">
        <v>237</v>
      </c>
    </row>
    <row r="11301" spans="1:2" ht="12.75" customHeight="1" x14ac:dyDescent="0.25">
      <c r="A11301" s="318">
        <v>94332193749</v>
      </c>
      <c r="B11301" s="318" t="s">
        <v>237</v>
      </c>
    </row>
    <row r="11302" spans="1:2" ht="12.75" customHeight="1" x14ac:dyDescent="0.25">
      <c r="A11302" s="318">
        <v>94332873824</v>
      </c>
      <c r="B11302" s="318" t="s">
        <v>23</v>
      </c>
    </row>
    <row r="11303" spans="1:2" ht="12.75" customHeight="1" x14ac:dyDescent="0.25">
      <c r="A11303" s="318">
        <v>94332873825</v>
      </c>
      <c r="B11303" s="318" t="s">
        <v>23</v>
      </c>
    </row>
    <row r="11304" spans="1:2" ht="12.75" customHeight="1" x14ac:dyDescent="0.25">
      <c r="A11304" s="318">
        <v>94332873826</v>
      </c>
      <c r="B11304" s="318" t="s">
        <v>23</v>
      </c>
    </row>
    <row r="11305" spans="1:2" ht="12.75" customHeight="1" x14ac:dyDescent="0.25">
      <c r="A11305" s="318">
        <v>94332873827</v>
      </c>
      <c r="B11305" s="318" t="s">
        <v>23</v>
      </c>
    </row>
    <row r="11306" spans="1:2" ht="12.75" customHeight="1" x14ac:dyDescent="0.25">
      <c r="A11306" s="318">
        <v>94332873828</v>
      </c>
      <c r="B11306" s="318" t="s">
        <v>23</v>
      </c>
    </row>
    <row r="11307" spans="1:2" ht="12.75" customHeight="1" x14ac:dyDescent="0.25">
      <c r="A11307" s="318">
        <v>94332873829</v>
      </c>
      <c r="B11307" s="318" t="s">
        <v>23</v>
      </c>
    </row>
    <row r="11308" spans="1:2" ht="12.75" customHeight="1" x14ac:dyDescent="0.25">
      <c r="A11308" s="318">
        <v>94332873830</v>
      </c>
      <c r="B11308" s="318" t="s">
        <v>23</v>
      </c>
    </row>
    <row r="11309" spans="1:2" ht="12.75" customHeight="1" x14ac:dyDescent="0.25">
      <c r="A11309" s="318">
        <v>94332873831</v>
      </c>
      <c r="B11309" s="318" t="s">
        <v>237</v>
      </c>
    </row>
    <row r="11310" spans="1:2" ht="12.75" customHeight="1" x14ac:dyDescent="0.25">
      <c r="A11310" s="318">
        <v>94332873833</v>
      </c>
      <c r="B11310" s="318" t="s">
        <v>23</v>
      </c>
    </row>
    <row r="11311" spans="1:2" ht="12.75" customHeight="1" x14ac:dyDescent="0.25">
      <c r="A11311" s="318">
        <v>94332873834</v>
      </c>
      <c r="B11311" s="318" t="s">
        <v>237</v>
      </c>
    </row>
    <row r="11312" spans="1:2" ht="12.75" customHeight="1" x14ac:dyDescent="0.25">
      <c r="A11312" s="318">
        <v>94332873835</v>
      </c>
      <c r="B11312" s="318" t="s">
        <v>23</v>
      </c>
    </row>
    <row r="11313" spans="1:2" ht="12.75" customHeight="1" x14ac:dyDescent="0.25">
      <c r="A11313" s="318">
        <v>94332873836</v>
      </c>
      <c r="B11313" s="318" t="s">
        <v>237</v>
      </c>
    </row>
    <row r="11314" spans="1:2" ht="12.75" customHeight="1" x14ac:dyDescent="0.25">
      <c r="A11314" s="318">
        <v>94332873837</v>
      </c>
      <c r="B11314" s="318" t="s">
        <v>23</v>
      </c>
    </row>
    <row r="11315" spans="1:2" ht="12.75" customHeight="1" x14ac:dyDescent="0.25">
      <c r="A11315" s="318">
        <v>94332873838</v>
      </c>
      <c r="B11315" s="318" t="s">
        <v>237</v>
      </c>
    </row>
    <row r="11316" spans="1:2" ht="12.75" customHeight="1" x14ac:dyDescent="0.25">
      <c r="A11316" s="318">
        <v>94332873839</v>
      </c>
      <c r="B11316" s="318" t="s">
        <v>23</v>
      </c>
    </row>
    <row r="11317" spans="1:2" ht="12.75" customHeight="1" x14ac:dyDescent="0.25">
      <c r="A11317" s="318">
        <v>94332873840</v>
      </c>
      <c r="B11317" s="318" t="s">
        <v>237</v>
      </c>
    </row>
    <row r="11318" spans="1:2" ht="12.75" customHeight="1" x14ac:dyDescent="0.25">
      <c r="A11318" s="318">
        <v>94332873924</v>
      </c>
      <c r="B11318" s="318" t="s">
        <v>237</v>
      </c>
    </row>
    <row r="11319" spans="1:2" ht="12.75" customHeight="1" x14ac:dyDescent="0.25">
      <c r="A11319" s="318">
        <v>94332873925</v>
      </c>
      <c r="B11319" s="318" t="s">
        <v>237</v>
      </c>
    </row>
    <row r="11320" spans="1:2" ht="12.75" customHeight="1" x14ac:dyDescent="0.25">
      <c r="A11320" s="318">
        <v>94332873926</v>
      </c>
      <c r="B11320" s="318" t="s">
        <v>237</v>
      </c>
    </row>
    <row r="11321" spans="1:2" ht="12.75" customHeight="1" x14ac:dyDescent="0.25">
      <c r="A11321" s="318">
        <v>94332873927</v>
      </c>
      <c r="B11321" s="318" t="s">
        <v>237</v>
      </c>
    </row>
    <row r="11322" spans="1:2" ht="12.75" customHeight="1" x14ac:dyDescent="0.25">
      <c r="A11322" s="318">
        <v>94332873928</v>
      </c>
      <c r="B11322" s="318" t="s">
        <v>237</v>
      </c>
    </row>
    <row r="11323" spans="1:2" ht="12.75" customHeight="1" x14ac:dyDescent="0.25">
      <c r="A11323" s="318">
        <v>94332873929</v>
      </c>
      <c r="B11323" s="318" t="s">
        <v>237</v>
      </c>
    </row>
    <row r="11324" spans="1:2" ht="12.75" customHeight="1" x14ac:dyDescent="0.25">
      <c r="A11324" s="318">
        <v>94332873930</v>
      </c>
      <c r="B11324" s="318" t="s">
        <v>237</v>
      </c>
    </row>
    <row r="11325" spans="1:2" ht="12.75" customHeight="1" x14ac:dyDescent="0.25">
      <c r="A11325" s="318">
        <v>94332873931</v>
      </c>
      <c r="B11325" s="318" t="s">
        <v>237</v>
      </c>
    </row>
    <row r="11326" spans="1:2" ht="12.75" customHeight="1" x14ac:dyDescent="0.25">
      <c r="A11326" s="318">
        <v>94332873933</v>
      </c>
      <c r="B11326" s="318" t="s">
        <v>237</v>
      </c>
    </row>
    <row r="11327" spans="1:2" ht="12.75" customHeight="1" x14ac:dyDescent="0.25">
      <c r="A11327" s="318">
        <v>94332873934</v>
      </c>
      <c r="B11327" s="318" t="s">
        <v>237</v>
      </c>
    </row>
    <row r="11328" spans="1:2" ht="12.75" customHeight="1" x14ac:dyDescent="0.25">
      <c r="A11328" s="318">
        <v>94332873935</v>
      </c>
      <c r="B11328" s="318" t="s">
        <v>237</v>
      </c>
    </row>
    <row r="11329" spans="1:2" ht="12.75" customHeight="1" x14ac:dyDescent="0.25">
      <c r="A11329" s="318">
        <v>94332873936</v>
      </c>
      <c r="B11329" s="318" t="s">
        <v>237</v>
      </c>
    </row>
    <row r="11330" spans="1:2" ht="12.75" customHeight="1" x14ac:dyDescent="0.25">
      <c r="A11330" s="318">
        <v>94332873937</v>
      </c>
      <c r="B11330" s="318" t="s">
        <v>237</v>
      </c>
    </row>
    <row r="11331" spans="1:2" ht="12.75" customHeight="1" x14ac:dyDescent="0.25">
      <c r="A11331" s="318">
        <v>94332873938</v>
      </c>
      <c r="B11331" s="318" t="s">
        <v>237</v>
      </c>
    </row>
    <row r="11332" spans="1:2" ht="12.75" customHeight="1" x14ac:dyDescent="0.25">
      <c r="A11332" s="318">
        <v>94332873939</v>
      </c>
      <c r="B11332" s="318" t="s">
        <v>237</v>
      </c>
    </row>
    <row r="11333" spans="1:2" ht="12.75" customHeight="1" x14ac:dyDescent="0.25">
      <c r="A11333" s="318">
        <v>94332873940</v>
      </c>
      <c r="B11333" s="318" t="s">
        <v>237</v>
      </c>
    </row>
    <row r="11334" spans="1:2" ht="12.75" customHeight="1" x14ac:dyDescent="0.25">
      <c r="A11334" s="318">
        <v>94333354797</v>
      </c>
      <c r="B11334" s="318" t="s">
        <v>23</v>
      </c>
    </row>
    <row r="11335" spans="1:2" ht="12.75" customHeight="1" x14ac:dyDescent="0.25">
      <c r="A11335" s="318">
        <v>94333354798</v>
      </c>
      <c r="B11335" s="318" t="s">
        <v>23</v>
      </c>
    </row>
    <row r="11336" spans="1:2" ht="12.75" customHeight="1" x14ac:dyDescent="0.25">
      <c r="A11336" s="318">
        <v>94333354799</v>
      </c>
      <c r="B11336" s="318" t="s">
        <v>23</v>
      </c>
    </row>
    <row r="11337" spans="1:2" ht="12.75" customHeight="1" x14ac:dyDescent="0.25">
      <c r="A11337" s="318">
        <v>94333354800</v>
      </c>
      <c r="B11337" s="318" t="s">
        <v>23</v>
      </c>
    </row>
    <row r="11338" spans="1:2" ht="12.75" customHeight="1" x14ac:dyDescent="0.25">
      <c r="A11338" s="318">
        <v>94333354801</v>
      </c>
      <c r="B11338" s="318" t="s">
        <v>23</v>
      </c>
    </row>
    <row r="11339" spans="1:2" ht="12.75" customHeight="1" x14ac:dyDescent="0.25">
      <c r="A11339" s="318">
        <v>94333354802</v>
      </c>
      <c r="B11339" s="318" t="s">
        <v>23</v>
      </c>
    </row>
    <row r="11340" spans="1:2" ht="12.75" customHeight="1" x14ac:dyDescent="0.25">
      <c r="A11340" s="318">
        <v>94333354803</v>
      </c>
      <c r="B11340" s="318" t="s">
        <v>23</v>
      </c>
    </row>
    <row r="11341" spans="1:2" ht="12.75" customHeight="1" x14ac:dyDescent="0.25">
      <c r="A11341" s="318">
        <v>94333354804</v>
      </c>
      <c r="B11341" s="318" t="s">
        <v>237</v>
      </c>
    </row>
    <row r="11342" spans="1:2" ht="12.75" customHeight="1" x14ac:dyDescent="0.25">
      <c r="A11342" s="318">
        <v>94333354806</v>
      </c>
      <c r="B11342" s="318" t="s">
        <v>23</v>
      </c>
    </row>
    <row r="11343" spans="1:2" ht="12.75" customHeight="1" x14ac:dyDescent="0.25">
      <c r="A11343" s="318">
        <v>94333354807</v>
      </c>
      <c r="B11343" s="318" t="s">
        <v>237</v>
      </c>
    </row>
    <row r="11344" spans="1:2" ht="12.75" customHeight="1" x14ac:dyDescent="0.25">
      <c r="A11344" s="318">
        <v>94333354808</v>
      </c>
      <c r="B11344" s="318" t="s">
        <v>23</v>
      </c>
    </row>
    <row r="11345" spans="1:2" ht="12.75" customHeight="1" x14ac:dyDescent="0.25">
      <c r="A11345" s="318">
        <v>94333354809</v>
      </c>
      <c r="B11345" s="318" t="s">
        <v>237</v>
      </c>
    </row>
    <row r="11346" spans="1:2" ht="12.75" customHeight="1" x14ac:dyDescent="0.25">
      <c r="A11346" s="318">
        <v>94333354810</v>
      </c>
      <c r="B11346" s="318" t="s">
        <v>23</v>
      </c>
    </row>
    <row r="11347" spans="1:2" ht="12.75" customHeight="1" x14ac:dyDescent="0.25">
      <c r="A11347" s="318">
        <v>94333354811</v>
      </c>
      <c r="B11347" s="318" t="s">
        <v>237</v>
      </c>
    </row>
    <row r="11348" spans="1:2" ht="12.75" customHeight="1" x14ac:dyDescent="0.25">
      <c r="A11348" s="318">
        <v>94333354812</v>
      </c>
      <c r="B11348" s="318" t="s">
        <v>23</v>
      </c>
    </row>
    <row r="11349" spans="1:2" ht="12.75" customHeight="1" x14ac:dyDescent="0.25">
      <c r="A11349" s="318">
        <v>94333354813</v>
      </c>
      <c r="B11349" s="318" t="s">
        <v>237</v>
      </c>
    </row>
    <row r="11350" spans="1:2" ht="12.75" customHeight="1" x14ac:dyDescent="0.25">
      <c r="A11350" s="318">
        <v>94333354897</v>
      </c>
      <c r="B11350" s="318" t="s">
        <v>237</v>
      </c>
    </row>
    <row r="11351" spans="1:2" ht="12.75" customHeight="1" x14ac:dyDescent="0.25">
      <c r="A11351" s="318">
        <v>94333354898</v>
      </c>
      <c r="B11351" s="318" t="s">
        <v>237</v>
      </c>
    </row>
    <row r="11352" spans="1:2" ht="12.75" customHeight="1" x14ac:dyDescent="0.25">
      <c r="A11352" s="318">
        <v>94333354899</v>
      </c>
      <c r="B11352" s="318" t="s">
        <v>237</v>
      </c>
    </row>
    <row r="11353" spans="1:2" ht="12.75" customHeight="1" x14ac:dyDescent="0.25">
      <c r="A11353" s="318">
        <v>94333354900</v>
      </c>
      <c r="B11353" s="318" t="s">
        <v>237</v>
      </c>
    </row>
    <row r="11354" spans="1:2" ht="12.75" customHeight="1" x14ac:dyDescent="0.25">
      <c r="A11354" s="318">
        <v>94333354901</v>
      </c>
      <c r="B11354" s="318" t="s">
        <v>237</v>
      </c>
    </row>
    <row r="11355" spans="1:2" ht="12.75" customHeight="1" x14ac:dyDescent="0.25">
      <c r="A11355" s="318">
        <v>94333354902</v>
      </c>
      <c r="B11355" s="318" t="s">
        <v>237</v>
      </c>
    </row>
    <row r="11356" spans="1:2" ht="12.75" customHeight="1" x14ac:dyDescent="0.25">
      <c r="A11356" s="318">
        <v>94333354903</v>
      </c>
      <c r="B11356" s="318" t="s">
        <v>237</v>
      </c>
    </row>
    <row r="11357" spans="1:2" ht="12.75" customHeight="1" x14ac:dyDescent="0.25">
      <c r="A11357" s="318">
        <v>94333354904</v>
      </c>
      <c r="B11357" s="318" t="s">
        <v>237</v>
      </c>
    </row>
    <row r="11358" spans="1:2" ht="12.75" customHeight="1" x14ac:dyDescent="0.25">
      <c r="A11358" s="318">
        <v>94333354906</v>
      </c>
      <c r="B11358" s="318" t="s">
        <v>237</v>
      </c>
    </row>
    <row r="11359" spans="1:2" ht="12.75" customHeight="1" x14ac:dyDescent="0.25">
      <c r="A11359" s="318">
        <v>94333354907</v>
      </c>
      <c r="B11359" s="318" t="s">
        <v>237</v>
      </c>
    </row>
    <row r="11360" spans="1:2" ht="12.75" customHeight="1" x14ac:dyDescent="0.25">
      <c r="A11360" s="318">
        <v>94333354908</v>
      </c>
      <c r="B11360" s="318" t="s">
        <v>237</v>
      </c>
    </row>
    <row r="11361" spans="1:2" ht="12.75" customHeight="1" x14ac:dyDescent="0.25">
      <c r="A11361" s="318">
        <v>94333354909</v>
      </c>
      <c r="B11361" s="318" t="s">
        <v>237</v>
      </c>
    </row>
    <row r="11362" spans="1:2" ht="12.75" customHeight="1" x14ac:dyDescent="0.25">
      <c r="A11362" s="318">
        <v>94333354910</v>
      </c>
      <c r="B11362" s="318" t="s">
        <v>237</v>
      </c>
    </row>
    <row r="11363" spans="1:2" ht="12.75" customHeight="1" x14ac:dyDescent="0.25">
      <c r="A11363" s="318">
        <v>94333354911</v>
      </c>
      <c r="B11363" s="318" t="s">
        <v>237</v>
      </c>
    </row>
    <row r="11364" spans="1:2" ht="12.75" customHeight="1" x14ac:dyDescent="0.25">
      <c r="A11364" s="318">
        <v>94333354912</v>
      </c>
      <c r="B11364" s="318" t="s">
        <v>237</v>
      </c>
    </row>
    <row r="11365" spans="1:2" ht="12.75" customHeight="1" x14ac:dyDescent="0.25">
      <c r="A11365" s="318">
        <v>94333354913</v>
      </c>
      <c r="B11365" s="318" t="s">
        <v>237</v>
      </c>
    </row>
    <row r="11366" spans="1:2" ht="12.75" customHeight="1" x14ac:dyDescent="0.25">
      <c r="A11366" s="318">
        <v>94333835770</v>
      </c>
      <c r="B11366" s="318" t="s">
        <v>23</v>
      </c>
    </row>
    <row r="11367" spans="1:2" ht="12.75" customHeight="1" x14ac:dyDescent="0.25">
      <c r="A11367" s="318">
        <v>94333835771</v>
      </c>
      <c r="B11367" s="318" t="s">
        <v>23</v>
      </c>
    </row>
    <row r="11368" spans="1:2" ht="12.75" customHeight="1" x14ac:dyDescent="0.25">
      <c r="A11368" s="318">
        <v>94333835772</v>
      </c>
      <c r="B11368" s="318" t="s">
        <v>23</v>
      </c>
    </row>
    <row r="11369" spans="1:2" ht="12.75" customHeight="1" x14ac:dyDescent="0.25">
      <c r="A11369" s="318">
        <v>94333835773</v>
      </c>
      <c r="B11369" s="318" t="s">
        <v>23</v>
      </c>
    </row>
    <row r="11370" spans="1:2" ht="12.75" customHeight="1" x14ac:dyDescent="0.25">
      <c r="A11370" s="318">
        <v>94333835774</v>
      </c>
      <c r="B11370" s="318" t="s">
        <v>23</v>
      </c>
    </row>
    <row r="11371" spans="1:2" ht="12.75" customHeight="1" x14ac:dyDescent="0.25">
      <c r="A11371" s="318">
        <v>94333835775</v>
      </c>
      <c r="B11371" s="318" t="s">
        <v>23</v>
      </c>
    </row>
    <row r="11372" spans="1:2" ht="12.75" customHeight="1" x14ac:dyDescent="0.25">
      <c r="A11372" s="318">
        <v>94333835776</v>
      </c>
      <c r="B11372" s="318" t="s">
        <v>23</v>
      </c>
    </row>
    <row r="11373" spans="1:2" ht="12.75" customHeight="1" x14ac:dyDescent="0.25">
      <c r="A11373" s="318">
        <v>94333835777</v>
      </c>
      <c r="B11373" s="318" t="s">
        <v>237</v>
      </c>
    </row>
    <row r="11374" spans="1:2" ht="12.75" customHeight="1" x14ac:dyDescent="0.25">
      <c r="A11374" s="318">
        <v>94333835779</v>
      </c>
      <c r="B11374" s="318" t="s">
        <v>23</v>
      </c>
    </row>
    <row r="11375" spans="1:2" ht="12.75" customHeight="1" x14ac:dyDescent="0.25">
      <c r="A11375" s="318">
        <v>94333835780</v>
      </c>
      <c r="B11375" s="318" t="s">
        <v>237</v>
      </c>
    </row>
    <row r="11376" spans="1:2" ht="12.75" customHeight="1" x14ac:dyDescent="0.25">
      <c r="A11376" s="318">
        <v>94333835781</v>
      </c>
      <c r="B11376" s="318" t="s">
        <v>23</v>
      </c>
    </row>
    <row r="11377" spans="1:2" ht="12.75" customHeight="1" x14ac:dyDescent="0.25">
      <c r="A11377" s="318">
        <v>94333835782</v>
      </c>
      <c r="B11377" s="318" t="s">
        <v>237</v>
      </c>
    </row>
    <row r="11378" spans="1:2" ht="12.75" customHeight="1" x14ac:dyDescent="0.25">
      <c r="A11378" s="318">
        <v>94333835783</v>
      </c>
      <c r="B11378" s="318" t="s">
        <v>23</v>
      </c>
    </row>
    <row r="11379" spans="1:2" ht="12.75" customHeight="1" x14ac:dyDescent="0.25">
      <c r="A11379" s="318">
        <v>94333835784</v>
      </c>
      <c r="B11379" s="318" t="s">
        <v>237</v>
      </c>
    </row>
    <row r="11380" spans="1:2" ht="12.75" customHeight="1" x14ac:dyDescent="0.25">
      <c r="A11380" s="318">
        <v>94333835785</v>
      </c>
      <c r="B11380" s="318" t="s">
        <v>23</v>
      </c>
    </row>
    <row r="11381" spans="1:2" ht="12.75" customHeight="1" x14ac:dyDescent="0.25">
      <c r="A11381" s="318">
        <v>94333835786</v>
      </c>
      <c r="B11381" s="318" t="s">
        <v>237</v>
      </c>
    </row>
    <row r="11382" spans="1:2" ht="12.75" customHeight="1" x14ac:dyDescent="0.25">
      <c r="A11382" s="318">
        <v>94333835870</v>
      </c>
      <c r="B11382" s="318" t="s">
        <v>237</v>
      </c>
    </row>
    <row r="11383" spans="1:2" ht="12.75" customHeight="1" x14ac:dyDescent="0.25">
      <c r="A11383" s="318">
        <v>94333835871</v>
      </c>
      <c r="B11383" s="318" t="s">
        <v>237</v>
      </c>
    </row>
    <row r="11384" spans="1:2" ht="12.75" customHeight="1" x14ac:dyDescent="0.25">
      <c r="A11384" s="318">
        <v>94333835872</v>
      </c>
      <c r="B11384" s="318" t="s">
        <v>237</v>
      </c>
    </row>
    <row r="11385" spans="1:2" ht="12.75" customHeight="1" x14ac:dyDescent="0.25">
      <c r="A11385" s="318">
        <v>94333835873</v>
      </c>
      <c r="B11385" s="318" t="s">
        <v>237</v>
      </c>
    </row>
    <row r="11386" spans="1:2" ht="12.75" customHeight="1" x14ac:dyDescent="0.25">
      <c r="A11386" s="318">
        <v>94333835874</v>
      </c>
      <c r="B11386" s="318" t="s">
        <v>237</v>
      </c>
    </row>
    <row r="11387" spans="1:2" ht="12.75" customHeight="1" x14ac:dyDescent="0.25">
      <c r="A11387" s="318">
        <v>94333835875</v>
      </c>
      <c r="B11387" s="318" t="s">
        <v>237</v>
      </c>
    </row>
    <row r="11388" spans="1:2" ht="12.75" customHeight="1" x14ac:dyDescent="0.25">
      <c r="A11388" s="318">
        <v>94333835876</v>
      </c>
      <c r="B11388" s="318" t="s">
        <v>237</v>
      </c>
    </row>
    <row r="11389" spans="1:2" ht="12.75" customHeight="1" x14ac:dyDescent="0.25">
      <c r="A11389" s="318">
        <v>94333835877</v>
      </c>
      <c r="B11389" s="318" t="s">
        <v>237</v>
      </c>
    </row>
    <row r="11390" spans="1:2" ht="12.75" customHeight="1" x14ac:dyDescent="0.25">
      <c r="A11390" s="318">
        <v>94333835879</v>
      </c>
      <c r="B11390" s="318" t="s">
        <v>237</v>
      </c>
    </row>
    <row r="11391" spans="1:2" ht="12.75" customHeight="1" x14ac:dyDescent="0.25">
      <c r="A11391" s="318">
        <v>94333835880</v>
      </c>
      <c r="B11391" s="318" t="s">
        <v>237</v>
      </c>
    </row>
    <row r="11392" spans="1:2" ht="12.75" customHeight="1" x14ac:dyDescent="0.25">
      <c r="A11392" s="318">
        <v>94333835881</v>
      </c>
      <c r="B11392" s="318" t="s">
        <v>237</v>
      </c>
    </row>
    <row r="11393" spans="1:2" ht="12.75" customHeight="1" x14ac:dyDescent="0.25">
      <c r="A11393" s="318">
        <v>94333835882</v>
      </c>
      <c r="B11393" s="318" t="s">
        <v>237</v>
      </c>
    </row>
    <row r="11394" spans="1:2" ht="12.75" customHeight="1" x14ac:dyDescent="0.25">
      <c r="A11394" s="318">
        <v>94333835883</v>
      </c>
      <c r="B11394" s="318" t="s">
        <v>237</v>
      </c>
    </row>
    <row r="11395" spans="1:2" ht="12.75" customHeight="1" x14ac:dyDescent="0.25">
      <c r="A11395" s="318">
        <v>94333835884</v>
      </c>
      <c r="B11395" s="318" t="s">
        <v>237</v>
      </c>
    </row>
    <row r="11396" spans="1:2" ht="12.75" customHeight="1" x14ac:dyDescent="0.25">
      <c r="A11396" s="318">
        <v>94333835885</v>
      </c>
      <c r="B11396" s="318" t="s">
        <v>237</v>
      </c>
    </row>
    <row r="11397" spans="1:2" ht="12.75" customHeight="1" x14ac:dyDescent="0.25">
      <c r="A11397" s="318">
        <v>94333835886</v>
      </c>
      <c r="B11397" s="318" t="s">
        <v>237</v>
      </c>
    </row>
    <row r="11398" spans="1:2" ht="12.75" customHeight="1" x14ac:dyDescent="0.25">
      <c r="A11398" s="318">
        <v>94335196151</v>
      </c>
      <c r="B11398" s="318" t="s">
        <v>23</v>
      </c>
    </row>
    <row r="11399" spans="1:2" ht="12.75" customHeight="1" x14ac:dyDescent="0.25">
      <c r="A11399" s="318">
        <v>94335196152</v>
      </c>
      <c r="B11399" s="318" t="s">
        <v>23</v>
      </c>
    </row>
    <row r="11400" spans="1:2" ht="12.75" customHeight="1" x14ac:dyDescent="0.25">
      <c r="A11400" s="318">
        <v>94335196153</v>
      </c>
      <c r="B11400" s="318" t="s">
        <v>23</v>
      </c>
    </row>
    <row r="11401" spans="1:2" ht="12.75" customHeight="1" x14ac:dyDescent="0.25">
      <c r="A11401" s="318">
        <v>94335196154</v>
      </c>
      <c r="B11401" s="318" t="s">
        <v>23</v>
      </c>
    </row>
    <row r="11402" spans="1:2" ht="12.75" customHeight="1" x14ac:dyDescent="0.25">
      <c r="A11402" s="318">
        <v>94335196155</v>
      </c>
      <c r="B11402" s="318" t="s">
        <v>23</v>
      </c>
    </row>
    <row r="11403" spans="1:2" ht="12.75" customHeight="1" x14ac:dyDescent="0.25">
      <c r="A11403" s="318">
        <v>94335196156</v>
      </c>
      <c r="B11403" s="318" t="s">
        <v>23</v>
      </c>
    </row>
    <row r="11404" spans="1:2" ht="12.75" customHeight="1" x14ac:dyDescent="0.25">
      <c r="A11404" s="318">
        <v>94335196157</v>
      </c>
      <c r="B11404" s="318" t="s">
        <v>23</v>
      </c>
    </row>
    <row r="11405" spans="1:2" ht="12.75" customHeight="1" x14ac:dyDescent="0.25">
      <c r="A11405" s="318">
        <v>94335196158</v>
      </c>
      <c r="B11405" s="318" t="s">
        <v>237</v>
      </c>
    </row>
    <row r="11406" spans="1:2" ht="12.75" customHeight="1" x14ac:dyDescent="0.25">
      <c r="A11406" s="318">
        <v>94335196160</v>
      </c>
      <c r="B11406" s="318" t="s">
        <v>23</v>
      </c>
    </row>
    <row r="11407" spans="1:2" ht="12.75" customHeight="1" x14ac:dyDescent="0.25">
      <c r="A11407" s="318">
        <v>94335196161</v>
      </c>
      <c r="B11407" s="318" t="s">
        <v>237</v>
      </c>
    </row>
    <row r="11408" spans="1:2" ht="12.75" customHeight="1" x14ac:dyDescent="0.25">
      <c r="A11408" s="318">
        <v>94335196162</v>
      </c>
      <c r="B11408" s="318" t="s">
        <v>23</v>
      </c>
    </row>
    <row r="11409" spans="1:2" ht="12.75" customHeight="1" x14ac:dyDescent="0.25">
      <c r="A11409" s="318">
        <v>94335196163</v>
      </c>
      <c r="B11409" s="318" t="s">
        <v>237</v>
      </c>
    </row>
    <row r="11410" spans="1:2" ht="12.75" customHeight="1" x14ac:dyDescent="0.25">
      <c r="A11410" s="318">
        <v>94335196164</v>
      </c>
      <c r="B11410" s="318" t="s">
        <v>23</v>
      </c>
    </row>
    <row r="11411" spans="1:2" ht="12.75" customHeight="1" x14ac:dyDescent="0.25">
      <c r="A11411" s="318">
        <v>94335196165</v>
      </c>
      <c r="B11411" s="318" t="s">
        <v>237</v>
      </c>
    </row>
    <row r="11412" spans="1:2" ht="12.75" customHeight="1" x14ac:dyDescent="0.25">
      <c r="A11412" s="318">
        <v>94335196166</v>
      </c>
      <c r="B11412" s="318" t="s">
        <v>23</v>
      </c>
    </row>
    <row r="11413" spans="1:2" ht="12.75" customHeight="1" x14ac:dyDescent="0.25">
      <c r="A11413" s="318">
        <v>94335196167</v>
      </c>
      <c r="B11413" s="318" t="s">
        <v>237</v>
      </c>
    </row>
    <row r="11414" spans="1:2" ht="12.75" customHeight="1" x14ac:dyDescent="0.25">
      <c r="A11414" s="318">
        <v>94335196251</v>
      </c>
      <c r="B11414" s="318" t="s">
        <v>237</v>
      </c>
    </row>
    <row r="11415" spans="1:2" ht="12.75" customHeight="1" x14ac:dyDescent="0.25">
      <c r="A11415" s="318">
        <v>94335196252</v>
      </c>
      <c r="B11415" s="318" t="s">
        <v>237</v>
      </c>
    </row>
    <row r="11416" spans="1:2" ht="12.75" customHeight="1" x14ac:dyDescent="0.25">
      <c r="A11416" s="318">
        <v>94335196253</v>
      </c>
      <c r="B11416" s="318" t="s">
        <v>237</v>
      </c>
    </row>
    <row r="11417" spans="1:2" ht="12.75" customHeight="1" x14ac:dyDescent="0.25">
      <c r="A11417" s="318">
        <v>94335196254</v>
      </c>
      <c r="B11417" s="318" t="s">
        <v>237</v>
      </c>
    </row>
    <row r="11418" spans="1:2" ht="12.75" customHeight="1" x14ac:dyDescent="0.25">
      <c r="A11418" s="318">
        <v>94335196255</v>
      </c>
      <c r="B11418" s="318" t="s">
        <v>237</v>
      </c>
    </row>
    <row r="11419" spans="1:2" ht="12.75" customHeight="1" x14ac:dyDescent="0.25">
      <c r="A11419" s="318">
        <v>94335196256</v>
      </c>
      <c r="B11419" s="318" t="s">
        <v>237</v>
      </c>
    </row>
    <row r="11420" spans="1:2" ht="12.75" customHeight="1" x14ac:dyDescent="0.25">
      <c r="A11420" s="318">
        <v>94335196257</v>
      </c>
      <c r="B11420" s="318" t="s">
        <v>237</v>
      </c>
    </row>
    <row r="11421" spans="1:2" ht="12.75" customHeight="1" x14ac:dyDescent="0.25">
      <c r="A11421" s="318">
        <v>94335196258</v>
      </c>
      <c r="B11421" s="318" t="s">
        <v>237</v>
      </c>
    </row>
    <row r="11422" spans="1:2" ht="12.75" customHeight="1" x14ac:dyDescent="0.25">
      <c r="A11422" s="318">
        <v>94335196260</v>
      </c>
      <c r="B11422" s="318" t="s">
        <v>237</v>
      </c>
    </row>
    <row r="11423" spans="1:2" ht="12.75" customHeight="1" x14ac:dyDescent="0.25">
      <c r="A11423" s="318">
        <v>94335196261</v>
      </c>
      <c r="B11423" s="318" t="s">
        <v>237</v>
      </c>
    </row>
    <row r="11424" spans="1:2" ht="12.75" customHeight="1" x14ac:dyDescent="0.25">
      <c r="A11424" s="318">
        <v>94335196262</v>
      </c>
      <c r="B11424" s="318" t="s">
        <v>237</v>
      </c>
    </row>
    <row r="11425" spans="1:2" ht="12.75" customHeight="1" x14ac:dyDescent="0.25">
      <c r="A11425" s="318">
        <v>94335196263</v>
      </c>
      <c r="B11425" s="318" t="s">
        <v>237</v>
      </c>
    </row>
    <row r="11426" spans="1:2" ht="12.75" customHeight="1" x14ac:dyDescent="0.25">
      <c r="A11426" s="318">
        <v>94335196264</v>
      </c>
      <c r="B11426" s="318" t="s">
        <v>237</v>
      </c>
    </row>
    <row r="11427" spans="1:2" ht="12.75" customHeight="1" x14ac:dyDescent="0.25">
      <c r="A11427" s="318">
        <v>94335196265</v>
      </c>
      <c r="B11427" s="318" t="s">
        <v>237</v>
      </c>
    </row>
    <row r="11428" spans="1:2" ht="12.75" customHeight="1" x14ac:dyDescent="0.25">
      <c r="A11428" s="318">
        <v>94335196266</v>
      </c>
      <c r="B11428" s="318" t="s">
        <v>237</v>
      </c>
    </row>
    <row r="11429" spans="1:2" ht="12.75" customHeight="1" x14ac:dyDescent="0.25">
      <c r="A11429" s="318">
        <v>94335196267</v>
      </c>
      <c r="B11429" s="318" t="s">
        <v>237</v>
      </c>
    </row>
    <row r="11430" spans="1:2" ht="12.75" customHeight="1" x14ac:dyDescent="0.25">
      <c r="A11430" s="318">
        <v>94335677124</v>
      </c>
      <c r="B11430" s="318" t="s">
        <v>23</v>
      </c>
    </row>
    <row r="11431" spans="1:2" ht="12.75" customHeight="1" x14ac:dyDescent="0.25">
      <c r="A11431" s="318">
        <v>94335677125</v>
      </c>
      <c r="B11431" s="318" t="s">
        <v>23</v>
      </c>
    </row>
    <row r="11432" spans="1:2" ht="12.75" customHeight="1" x14ac:dyDescent="0.25">
      <c r="A11432" s="318">
        <v>94335677126</v>
      </c>
      <c r="B11432" s="318" t="s">
        <v>23</v>
      </c>
    </row>
    <row r="11433" spans="1:2" ht="12.75" customHeight="1" x14ac:dyDescent="0.25">
      <c r="A11433" s="318">
        <v>94335677127</v>
      </c>
      <c r="B11433" s="318" t="s">
        <v>23</v>
      </c>
    </row>
    <row r="11434" spans="1:2" ht="12.75" customHeight="1" x14ac:dyDescent="0.25">
      <c r="A11434" s="318">
        <v>94335677128</v>
      </c>
      <c r="B11434" s="318" t="s">
        <v>23</v>
      </c>
    </row>
    <row r="11435" spans="1:2" ht="12.75" customHeight="1" x14ac:dyDescent="0.25">
      <c r="A11435" s="318">
        <v>94335677129</v>
      </c>
      <c r="B11435" s="318" t="s">
        <v>23</v>
      </c>
    </row>
    <row r="11436" spans="1:2" ht="12.75" customHeight="1" x14ac:dyDescent="0.25">
      <c r="A11436" s="318">
        <v>94335677130</v>
      </c>
      <c r="B11436" s="318" t="s">
        <v>23</v>
      </c>
    </row>
    <row r="11437" spans="1:2" ht="12.75" customHeight="1" x14ac:dyDescent="0.25">
      <c r="A11437" s="318">
        <v>94335677131</v>
      </c>
      <c r="B11437" s="318" t="s">
        <v>237</v>
      </c>
    </row>
    <row r="11438" spans="1:2" ht="12.75" customHeight="1" x14ac:dyDescent="0.25">
      <c r="A11438" s="318">
        <v>94335677133</v>
      </c>
      <c r="B11438" s="318" t="s">
        <v>23</v>
      </c>
    </row>
    <row r="11439" spans="1:2" ht="12.75" customHeight="1" x14ac:dyDescent="0.25">
      <c r="A11439" s="318">
        <v>94335677134</v>
      </c>
      <c r="B11439" s="318" t="s">
        <v>237</v>
      </c>
    </row>
    <row r="11440" spans="1:2" ht="12.75" customHeight="1" x14ac:dyDescent="0.25">
      <c r="A11440" s="318">
        <v>94335677135</v>
      </c>
      <c r="B11440" s="318" t="s">
        <v>23</v>
      </c>
    </row>
    <row r="11441" spans="1:2" ht="12.75" customHeight="1" x14ac:dyDescent="0.25">
      <c r="A11441" s="318">
        <v>94335677136</v>
      </c>
      <c r="B11441" s="318" t="s">
        <v>237</v>
      </c>
    </row>
    <row r="11442" spans="1:2" ht="12.75" customHeight="1" x14ac:dyDescent="0.25">
      <c r="A11442" s="318">
        <v>94335677137</v>
      </c>
      <c r="B11442" s="318" t="s">
        <v>23</v>
      </c>
    </row>
    <row r="11443" spans="1:2" ht="12.75" customHeight="1" x14ac:dyDescent="0.25">
      <c r="A11443" s="318">
        <v>94335677138</v>
      </c>
      <c r="B11443" s="318" t="s">
        <v>237</v>
      </c>
    </row>
    <row r="11444" spans="1:2" ht="12.75" customHeight="1" x14ac:dyDescent="0.25">
      <c r="A11444" s="318">
        <v>94335677139</v>
      </c>
      <c r="B11444" s="318" t="s">
        <v>23</v>
      </c>
    </row>
    <row r="11445" spans="1:2" ht="12.75" customHeight="1" x14ac:dyDescent="0.25">
      <c r="A11445" s="318">
        <v>94335677140</v>
      </c>
      <c r="B11445" s="318" t="s">
        <v>237</v>
      </c>
    </row>
    <row r="11446" spans="1:2" ht="12.75" customHeight="1" x14ac:dyDescent="0.25">
      <c r="A11446" s="318">
        <v>94335677224</v>
      </c>
      <c r="B11446" s="318" t="s">
        <v>237</v>
      </c>
    </row>
    <row r="11447" spans="1:2" ht="12.75" customHeight="1" x14ac:dyDescent="0.25">
      <c r="A11447" s="318">
        <v>94335677225</v>
      </c>
      <c r="B11447" s="318" t="s">
        <v>237</v>
      </c>
    </row>
    <row r="11448" spans="1:2" ht="12.75" customHeight="1" x14ac:dyDescent="0.25">
      <c r="A11448" s="318">
        <v>94335677226</v>
      </c>
      <c r="B11448" s="318" t="s">
        <v>237</v>
      </c>
    </row>
    <row r="11449" spans="1:2" ht="12.75" customHeight="1" x14ac:dyDescent="0.25">
      <c r="A11449" s="318">
        <v>94335677227</v>
      </c>
      <c r="B11449" s="318" t="s">
        <v>237</v>
      </c>
    </row>
    <row r="11450" spans="1:2" ht="12.75" customHeight="1" x14ac:dyDescent="0.25">
      <c r="A11450" s="318">
        <v>94335677228</v>
      </c>
      <c r="B11450" s="318" t="s">
        <v>237</v>
      </c>
    </row>
    <row r="11451" spans="1:2" ht="12.75" customHeight="1" x14ac:dyDescent="0.25">
      <c r="A11451" s="318">
        <v>94335677229</v>
      </c>
      <c r="B11451" s="318" t="s">
        <v>237</v>
      </c>
    </row>
    <row r="11452" spans="1:2" ht="12.75" customHeight="1" x14ac:dyDescent="0.25">
      <c r="A11452" s="318">
        <v>94335677230</v>
      </c>
      <c r="B11452" s="318" t="s">
        <v>237</v>
      </c>
    </row>
    <row r="11453" spans="1:2" ht="12.75" customHeight="1" x14ac:dyDescent="0.25">
      <c r="A11453" s="318">
        <v>94335677231</v>
      </c>
      <c r="B11453" s="318" t="s">
        <v>237</v>
      </c>
    </row>
    <row r="11454" spans="1:2" ht="12.75" customHeight="1" x14ac:dyDescent="0.25">
      <c r="A11454" s="318">
        <v>94335677233</v>
      </c>
      <c r="B11454" s="318" t="s">
        <v>237</v>
      </c>
    </row>
    <row r="11455" spans="1:2" ht="12.75" customHeight="1" x14ac:dyDescent="0.25">
      <c r="A11455" s="318">
        <v>94335677234</v>
      </c>
      <c r="B11455" s="318" t="s">
        <v>237</v>
      </c>
    </row>
    <row r="11456" spans="1:2" ht="12.75" customHeight="1" x14ac:dyDescent="0.25">
      <c r="A11456" s="318">
        <v>94335677235</v>
      </c>
      <c r="B11456" s="318" t="s">
        <v>237</v>
      </c>
    </row>
    <row r="11457" spans="1:2" ht="12.75" customHeight="1" x14ac:dyDescent="0.25">
      <c r="A11457" s="318">
        <v>94335677236</v>
      </c>
      <c r="B11457" s="318" t="s">
        <v>237</v>
      </c>
    </row>
    <row r="11458" spans="1:2" ht="12.75" customHeight="1" x14ac:dyDescent="0.25">
      <c r="A11458" s="318">
        <v>94335677237</v>
      </c>
      <c r="B11458" s="318" t="s">
        <v>237</v>
      </c>
    </row>
    <row r="11459" spans="1:2" ht="12.75" customHeight="1" x14ac:dyDescent="0.25">
      <c r="A11459" s="318">
        <v>94335677238</v>
      </c>
      <c r="B11459" s="318" t="s">
        <v>237</v>
      </c>
    </row>
    <row r="11460" spans="1:2" ht="12.75" customHeight="1" x14ac:dyDescent="0.25">
      <c r="A11460" s="318">
        <v>94335677239</v>
      </c>
      <c r="B11460" s="318" t="s">
        <v>237</v>
      </c>
    </row>
    <row r="11461" spans="1:2" ht="12.75" customHeight="1" x14ac:dyDescent="0.25">
      <c r="A11461" s="318">
        <v>94335677240</v>
      </c>
      <c r="B11461" s="318" t="s">
        <v>237</v>
      </c>
    </row>
    <row r="11462" spans="1:2" ht="12.75" customHeight="1" x14ac:dyDescent="0.25">
      <c r="A11462" s="318">
        <v>94336158097</v>
      </c>
      <c r="B11462" s="318" t="s">
        <v>23</v>
      </c>
    </row>
    <row r="11463" spans="1:2" ht="12.75" customHeight="1" x14ac:dyDescent="0.25">
      <c r="A11463" s="318">
        <v>94336158098</v>
      </c>
      <c r="B11463" s="318" t="s">
        <v>23</v>
      </c>
    </row>
    <row r="11464" spans="1:2" ht="12.75" customHeight="1" x14ac:dyDescent="0.25">
      <c r="A11464" s="318">
        <v>94336158099</v>
      </c>
      <c r="B11464" s="318" t="s">
        <v>23</v>
      </c>
    </row>
    <row r="11465" spans="1:2" ht="12.75" customHeight="1" x14ac:dyDescent="0.25">
      <c r="A11465" s="318">
        <v>94336158100</v>
      </c>
      <c r="B11465" s="318" t="s">
        <v>23</v>
      </c>
    </row>
    <row r="11466" spans="1:2" ht="12.75" customHeight="1" x14ac:dyDescent="0.25">
      <c r="A11466" s="318">
        <v>94336158101</v>
      </c>
      <c r="B11466" s="318" t="s">
        <v>23</v>
      </c>
    </row>
    <row r="11467" spans="1:2" ht="12.75" customHeight="1" x14ac:dyDescent="0.25">
      <c r="A11467" s="318">
        <v>94336158102</v>
      </c>
      <c r="B11467" s="318" t="s">
        <v>23</v>
      </c>
    </row>
    <row r="11468" spans="1:2" ht="12.75" customHeight="1" x14ac:dyDescent="0.25">
      <c r="A11468" s="318">
        <v>94336158103</v>
      </c>
      <c r="B11468" s="318" t="s">
        <v>23</v>
      </c>
    </row>
    <row r="11469" spans="1:2" ht="12.75" customHeight="1" x14ac:dyDescent="0.25">
      <c r="A11469" s="318">
        <v>94336158104</v>
      </c>
      <c r="B11469" s="318" t="s">
        <v>237</v>
      </c>
    </row>
    <row r="11470" spans="1:2" ht="12.75" customHeight="1" x14ac:dyDescent="0.25">
      <c r="A11470" s="318">
        <v>94336158106</v>
      </c>
      <c r="B11470" s="318" t="s">
        <v>23</v>
      </c>
    </row>
    <row r="11471" spans="1:2" ht="12.75" customHeight="1" x14ac:dyDescent="0.25">
      <c r="A11471" s="318">
        <v>94336158107</v>
      </c>
      <c r="B11471" s="318" t="s">
        <v>237</v>
      </c>
    </row>
    <row r="11472" spans="1:2" ht="12.75" customHeight="1" x14ac:dyDescent="0.25">
      <c r="A11472" s="318">
        <v>94336158108</v>
      </c>
      <c r="B11472" s="318" t="s">
        <v>23</v>
      </c>
    </row>
    <row r="11473" spans="1:2" ht="12.75" customHeight="1" x14ac:dyDescent="0.25">
      <c r="A11473" s="318">
        <v>94336158109</v>
      </c>
      <c r="B11473" s="318" t="s">
        <v>237</v>
      </c>
    </row>
    <row r="11474" spans="1:2" ht="12.75" customHeight="1" x14ac:dyDescent="0.25">
      <c r="A11474" s="318">
        <v>94336158110</v>
      </c>
      <c r="B11474" s="318" t="s">
        <v>23</v>
      </c>
    </row>
    <row r="11475" spans="1:2" ht="12.75" customHeight="1" x14ac:dyDescent="0.25">
      <c r="A11475" s="318">
        <v>94336158111</v>
      </c>
      <c r="B11475" s="318" t="s">
        <v>237</v>
      </c>
    </row>
    <row r="11476" spans="1:2" ht="12.75" customHeight="1" x14ac:dyDescent="0.25">
      <c r="A11476" s="318">
        <v>94336158112</v>
      </c>
      <c r="B11476" s="318" t="s">
        <v>23</v>
      </c>
    </row>
    <row r="11477" spans="1:2" ht="12.75" customHeight="1" x14ac:dyDescent="0.25">
      <c r="A11477" s="318">
        <v>94336158113</v>
      </c>
      <c r="B11477" s="318" t="s">
        <v>237</v>
      </c>
    </row>
    <row r="11478" spans="1:2" ht="12.75" customHeight="1" x14ac:dyDescent="0.25">
      <c r="A11478" s="318">
        <v>94336158197</v>
      </c>
      <c r="B11478" s="318" t="s">
        <v>237</v>
      </c>
    </row>
    <row r="11479" spans="1:2" ht="12.75" customHeight="1" x14ac:dyDescent="0.25">
      <c r="A11479" s="318">
        <v>94336158198</v>
      </c>
      <c r="B11479" s="318" t="s">
        <v>237</v>
      </c>
    </row>
    <row r="11480" spans="1:2" ht="12.75" customHeight="1" x14ac:dyDescent="0.25">
      <c r="A11480" s="318">
        <v>94336158199</v>
      </c>
      <c r="B11480" s="318" t="s">
        <v>237</v>
      </c>
    </row>
    <row r="11481" spans="1:2" ht="12.75" customHeight="1" x14ac:dyDescent="0.25">
      <c r="A11481" s="318">
        <v>94336158200</v>
      </c>
      <c r="B11481" s="318" t="s">
        <v>237</v>
      </c>
    </row>
    <row r="11482" spans="1:2" ht="12.75" customHeight="1" x14ac:dyDescent="0.25">
      <c r="A11482" s="318">
        <v>94336158201</v>
      </c>
      <c r="B11482" s="318" t="s">
        <v>237</v>
      </c>
    </row>
    <row r="11483" spans="1:2" ht="12.75" customHeight="1" x14ac:dyDescent="0.25">
      <c r="A11483" s="318">
        <v>94336158202</v>
      </c>
      <c r="B11483" s="318" t="s">
        <v>237</v>
      </c>
    </row>
    <row r="11484" spans="1:2" ht="12.75" customHeight="1" x14ac:dyDescent="0.25">
      <c r="A11484" s="318">
        <v>94336158203</v>
      </c>
      <c r="B11484" s="318" t="s">
        <v>237</v>
      </c>
    </row>
    <row r="11485" spans="1:2" ht="12.75" customHeight="1" x14ac:dyDescent="0.25">
      <c r="A11485" s="318">
        <v>94336158204</v>
      </c>
      <c r="B11485" s="318" t="s">
        <v>237</v>
      </c>
    </row>
    <row r="11486" spans="1:2" ht="12.75" customHeight="1" x14ac:dyDescent="0.25">
      <c r="A11486" s="318">
        <v>94336158206</v>
      </c>
      <c r="B11486" s="318" t="s">
        <v>237</v>
      </c>
    </row>
    <row r="11487" spans="1:2" ht="12.75" customHeight="1" x14ac:dyDescent="0.25">
      <c r="A11487" s="318">
        <v>94336158207</v>
      </c>
      <c r="B11487" s="318" t="s">
        <v>237</v>
      </c>
    </row>
    <row r="11488" spans="1:2" ht="12.75" customHeight="1" x14ac:dyDescent="0.25">
      <c r="A11488" s="318">
        <v>94336158208</v>
      </c>
      <c r="B11488" s="318" t="s">
        <v>237</v>
      </c>
    </row>
    <row r="11489" spans="1:2" ht="12.75" customHeight="1" x14ac:dyDescent="0.25">
      <c r="A11489" s="318">
        <v>94336158209</v>
      </c>
      <c r="B11489" s="318" t="s">
        <v>237</v>
      </c>
    </row>
    <row r="11490" spans="1:2" ht="12.75" customHeight="1" x14ac:dyDescent="0.25">
      <c r="A11490" s="318">
        <v>94336158210</v>
      </c>
      <c r="B11490" s="318" t="s">
        <v>237</v>
      </c>
    </row>
    <row r="11491" spans="1:2" ht="12.75" customHeight="1" x14ac:dyDescent="0.25">
      <c r="A11491" s="318">
        <v>94336158211</v>
      </c>
      <c r="B11491" s="318" t="s">
        <v>237</v>
      </c>
    </row>
    <row r="11492" spans="1:2" ht="12.75" customHeight="1" x14ac:dyDescent="0.25">
      <c r="A11492" s="318">
        <v>94336158212</v>
      </c>
      <c r="B11492" s="318" t="s">
        <v>237</v>
      </c>
    </row>
    <row r="11493" spans="1:2" ht="12.75" customHeight="1" x14ac:dyDescent="0.25">
      <c r="A11493" s="318">
        <v>94336158213</v>
      </c>
      <c r="B11493" s="318" t="s">
        <v>237</v>
      </c>
    </row>
    <row r="11494" spans="1:2" ht="12.75" customHeight="1" x14ac:dyDescent="0.25">
      <c r="A11494" s="318">
        <v>94336838288</v>
      </c>
      <c r="B11494" s="318" t="s">
        <v>23</v>
      </c>
    </row>
    <row r="11495" spans="1:2" ht="12.75" customHeight="1" x14ac:dyDescent="0.25">
      <c r="A11495" s="318">
        <v>94336838289</v>
      </c>
      <c r="B11495" s="318" t="s">
        <v>23</v>
      </c>
    </row>
    <row r="11496" spans="1:2" ht="12.75" customHeight="1" x14ac:dyDescent="0.25">
      <c r="A11496" s="318">
        <v>94336838290</v>
      </c>
      <c r="B11496" s="318" t="s">
        <v>23</v>
      </c>
    </row>
    <row r="11497" spans="1:2" ht="12.75" customHeight="1" x14ac:dyDescent="0.25">
      <c r="A11497" s="318">
        <v>94336838291</v>
      </c>
      <c r="B11497" s="318" t="s">
        <v>23</v>
      </c>
    </row>
    <row r="11498" spans="1:2" ht="12.75" customHeight="1" x14ac:dyDescent="0.25">
      <c r="A11498" s="318">
        <v>94336838292</v>
      </c>
      <c r="B11498" s="318" t="s">
        <v>23</v>
      </c>
    </row>
    <row r="11499" spans="1:2" ht="12.75" customHeight="1" x14ac:dyDescent="0.25">
      <c r="A11499" s="318">
        <v>94336838293</v>
      </c>
      <c r="B11499" s="318" t="s">
        <v>23</v>
      </c>
    </row>
    <row r="11500" spans="1:2" ht="12.75" customHeight="1" x14ac:dyDescent="0.25">
      <c r="A11500" s="318">
        <v>94336838294</v>
      </c>
      <c r="B11500" s="318" t="s">
        <v>23</v>
      </c>
    </row>
    <row r="11501" spans="1:2" ht="12.75" customHeight="1" x14ac:dyDescent="0.25">
      <c r="A11501" s="318">
        <v>94336838295</v>
      </c>
      <c r="B11501" s="318" t="s">
        <v>237</v>
      </c>
    </row>
    <row r="11502" spans="1:2" ht="12.75" customHeight="1" x14ac:dyDescent="0.25">
      <c r="A11502" s="318">
        <v>94336838297</v>
      </c>
      <c r="B11502" s="318" t="s">
        <v>23</v>
      </c>
    </row>
    <row r="11503" spans="1:2" ht="12.75" customHeight="1" x14ac:dyDescent="0.25">
      <c r="A11503" s="318">
        <v>94336838298</v>
      </c>
      <c r="B11503" s="318" t="s">
        <v>237</v>
      </c>
    </row>
    <row r="11504" spans="1:2" ht="12.75" customHeight="1" x14ac:dyDescent="0.25">
      <c r="A11504" s="318">
        <v>94336838299</v>
      </c>
      <c r="B11504" s="318" t="s">
        <v>23</v>
      </c>
    </row>
    <row r="11505" spans="1:2" ht="12.75" customHeight="1" x14ac:dyDescent="0.25">
      <c r="A11505" s="318">
        <v>94336838300</v>
      </c>
      <c r="B11505" s="318" t="s">
        <v>237</v>
      </c>
    </row>
    <row r="11506" spans="1:2" ht="12.75" customHeight="1" x14ac:dyDescent="0.25">
      <c r="A11506" s="318">
        <v>94336838301</v>
      </c>
      <c r="B11506" s="318" t="s">
        <v>23</v>
      </c>
    </row>
    <row r="11507" spans="1:2" ht="12.75" customHeight="1" x14ac:dyDescent="0.25">
      <c r="A11507" s="318">
        <v>94336838302</v>
      </c>
      <c r="B11507" s="318" t="s">
        <v>237</v>
      </c>
    </row>
    <row r="11508" spans="1:2" ht="12.75" customHeight="1" x14ac:dyDescent="0.25">
      <c r="A11508" s="318">
        <v>94336838303</v>
      </c>
      <c r="B11508" s="318" t="s">
        <v>23</v>
      </c>
    </row>
    <row r="11509" spans="1:2" ht="12.75" customHeight="1" x14ac:dyDescent="0.25">
      <c r="A11509" s="318">
        <v>94336838304</v>
      </c>
      <c r="B11509" s="318" t="s">
        <v>237</v>
      </c>
    </row>
    <row r="11510" spans="1:2" ht="12.75" customHeight="1" x14ac:dyDescent="0.25">
      <c r="A11510" s="318">
        <v>94336838388</v>
      </c>
      <c r="B11510" s="318" t="s">
        <v>237</v>
      </c>
    </row>
    <row r="11511" spans="1:2" ht="12.75" customHeight="1" x14ac:dyDescent="0.25">
      <c r="A11511" s="318">
        <v>94336838389</v>
      </c>
      <c r="B11511" s="318" t="s">
        <v>237</v>
      </c>
    </row>
    <row r="11512" spans="1:2" ht="12.75" customHeight="1" x14ac:dyDescent="0.25">
      <c r="A11512" s="318">
        <v>94336838390</v>
      </c>
      <c r="B11512" s="318" t="s">
        <v>237</v>
      </c>
    </row>
    <row r="11513" spans="1:2" ht="12.75" customHeight="1" x14ac:dyDescent="0.25">
      <c r="A11513" s="318">
        <v>94336838391</v>
      </c>
      <c r="B11513" s="318" t="s">
        <v>237</v>
      </c>
    </row>
    <row r="11514" spans="1:2" ht="12.75" customHeight="1" x14ac:dyDescent="0.25">
      <c r="A11514" s="318">
        <v>94336838392</v>
      </c>
      <c r="B11514" s="318" t="s">
        <v>237</v>
      </c>
    </row>
    <row r="11515" spans="1:2" ht="12.75" customHeight="1" x14ac:dyDescent="0.25">
      <c r="A11515" s="318">
        <v>94336838393</v>
      </c>
      <c r="B11515" s="318" t="s">
        <v>237</v>
      </c>
    </row>
    <row r="11516" spans="1:2" ht="12.75" customHeight="1" x14ac:dyDescent="0.25">
      <c r="A11516" s="318">
        <v>94336838394</v>
      </c>
      <c r="B11516" s="318" t="s">
        <v>237</v>
      </c>
    </row>
    <row r="11517" spans="1:2" ht="12.75" customHeight="1" x14ac:dyDescent="0.25">
      <c r="A11517" s="318">
        <v>94336838395</v>
      </c>
      <c r="B11517" s="318" t="s">
        <v>237</v>
      </c>
    </row>
    <row r="11518" spans="1:2" ht="12.75" customHeight="1" x14ac:dyDescent="0.25">
      <c r="A11518" s="318">
        <v>94336838397</v>
      </c>
      <c r="B11518" s="318" t="s">
        <v>237</v>
      </c>
    </row>
    <row r="11519" spans="1:2" ht="12.75" customHeight="1" x14ac:dyDescent="0.25">
      <c r="A11519" s="318">
        <v>94336838398</v>
      </c>
      <c r="B11519" s="318" t="s">
        <v>237</v>
      </c>
    </row>
    <row r="11520" spans="1:2" ht="12.75" customHeight="1" x14ac:dyDescent="0.25">
      <c r="A11520" s="318">
        <v>94336838399</v>
      </c>
      <c r="B11520" s="318" t="s">
        <v>237</v>
      </c>
    </row>
    <row r="11521" spans="1:2" ht="12.75" customHeight="1" x14ac:dyDescent="0.25">
      <c r="A11521" s="318">
        <v>94336838400</v>
      </c>
      <c r="B11521" s="318" t="s">
        <v>237</v>
      </c>
    </row>
    <row r="11522" spans="1:2" ht="12.75" customHeight="1" x14ac:dyDescent="0.25">
      <c r="A11522" s="318">
        <v>94336838401</v>
      </c>
      <c r="B11522" s="318" t="s">
        <v>237</v>
      </c>
    </row>
    <row r="11523" spans="1:2" ht="12.75" customHeight="1" x14ac:dyDescent="0.25">
      <c r="A11523" s="318">
        <v>94336838402</v>
      </c>
      <c r="B11523" s="318" t="s">
        <v>237</v>
      </c>
    </row>
    <row r="11524" spans="1:2" ht="12.75" customHeight="1" x14ac:dyDescent="0.25">
      <c r="A11524" s="318">
        <v>94336838403</v>
      </c>
      <c r="B11524" s="318" t="s">
        <v>237</v>
      </c>
    </row>
    <row r="11525" spans="1:2" ht="12.75" customHeight="1" x14ac:dyDescent="0.25">
      <c r="A11525" s="318">
        <v>94336838404</v>
      </c>
      <c r="B11525" s="318" t="s">
        <v>237</v>
      </c>
    </row>
    <row r="11526" spans="1:2" ht="12.75" customHeight="1" x14ac:dyDescent="0.25">
      <c r="A11526" s="318">
        <v>94337319261</v>
      </c>
      <c r="B11526" s="318" t="s">
        <v>23</v>
      </c>
    </row>
    <row r="11527" spans="1:2" ht="12.75" customHeight="1" x14ac:dyDescent="0.25">
      <c r="A11527" s="318">
        <v>94337319262</v>
      </c>
      <c r="B11527" s="318" t="s">
        <v>23</v>
      </c>
    </row>
    <row r="11528" spans="1:2" ht="12.75" customHeight="1" x14ac:dyDescent="0.25">
      <c r="A11528" s="318">
        <v>94337319263</v>
      </c>
      <c r="B11528" s="318" t="s">
        <v>23</v>
      </c>
    </row>
    <row r="11529" spans="1:2" ht="12.75" customHeight="1" x14ac:dyDescent="0.25">
      <c r="A11529" s="318">
        <v>94337319264</v>
      </c>
      <c r="B11529" s="318" t="s">
        <v>23</v>
      </c>
    </row>
    <row r="11530" spans="1:2" ht="12.75" customHeight="1" x14ac:dyDescent="0.25">
      <c r="A11530" s="318">
        <v>94337319265</v>
      </c>
      <c r="B11530" s="318" t="s">
        <v>23</v>
      </c>
    </row>
    <row r="11531" spans="1:2" ht="12.75" customHeight="1" x14ac:dyDescent="0.25">
      <c r="A11531" s="318">
        <v>94337319266</v>
      </c>
      <c r="B11531" s="318" t="s">
        <v>23</v>
      </c>
    </row>
    <row r="11532" spans="1:2" ht="12.75" customHeight="1" x14ac:dyDescent="0.25">
      <c r="A11532" s="318">
        <v>94337319267</v>
      </c>
      <c r="B11532" s="318" t="s">
        <v>23</v>
      </c>
    </row>
    <row r="11533" spans="1:2" ht="12.75" customHeight="1" x14ac:dyDescent="0.25">
      <c r="A11533" s="318">
        <v>94337319268</v>
      </c>
      <c r="B11533" s="318" t="s">
        <v>237</v>
      </c>
    </row>
    <row r="11534" spans="1:2" ht="12.75" customHeight="1" x14ac:dyDescent="0.25">
      <c r="A11534" s="318">
        <v>94337319270</v>
      </c>
      <c r="B11534" s="318" t="s">
        <v>23</v>
      </c>
    </row>
    <row r="11535" spans="1:2" ht="12.75" customHeight="1" x14ac:dyDescent="0.25">
      <c r="A11535" s="318">
        <v>94337319271</v>
      </c>
      <c r="B11535" s="318" t="s">
        <v>237</v>
      </c>
    </row>
    <row r="11536" spans="1:2" ht="12.75" customHeight="1" x14ac:dyDescent="0.25">
      <c r="A11536" s="318">
        <v>94337319272</v>
      </c>
      <c r="B11536" s="318" t="s">
        <v>23</v>
      </c>
    </row>
    <row r="11537" spans="1:2" ht="12.75" customHeight="1" x14ac:dyDescent="0.25">
      <c r="A11537" s="318">
        <v>94337319273</v>
      </c>
      <c r="B11537" s="318" t="s">
        <v>237</v>
      </c>
    </row>
    <row r="11538" spans="1:2" ht="12.75" customHeight="1" x14ac:dyDescent="0.25">
      <c r="A11538" s="318">
        <v>94337319274</v>
      </c>
      <c r="B11538" s="318" t="s">
        <v>23</v>
      </c>
    </row>
    <row r="11539" spans="1:2" ht="12.75" customHeight="1" x14ac:dyDescent="0.25">
      <c r="A11539" s="318">
        <v>94337319275</v>
      </c>
      <c r="B11539" s="318" t="s">
        <v>237</v>
      </c>
    </row>
    <row r="11540" spans="1:2" ht="12.75" customHeight="1" x14ac:dyDescent="0.25">
      <c r="A11540" s="318">
        <v>94337319276</v>
      </c>
      <c r="B11540" s="318" t="s">
        <v>23</v>
      </c>
    </row>
    <row r="11541" spans="1:2" ht="12.75" customHeight="1" x14ac:dyDescent="0.25">
      <c r="A11541" s="318">
        <v>94337319277</v>
      </c>
      <c r="B11541" s="318" t="s">
        <v>237</v>
      </c>
    </row>
    <row r="11542" spans="1:2" ht="12.75" customHeight="1" x14ac:dyDescent="0.25">
      <c r="A11542" s="318">
        <v>94337319361</v>
      </c>
      <c r="B11542" s="318" t="s">
        <v>237</v>
      </c>
    </row>
    <row r="11543" spans="1:2" ht="12.75" customHeight="1" x14ac:dyDescent="0.25">
      <c r="A11543" s="318">
        <v>94337319362</v>
      </c>
      <c r="B11543" s="318" t="s">
        <v>237</v>
      </c>
    </row>
    <row r="11544" spans="1:2" ht="12.75" customHeight="1" x14ac:dyDescent="0.25">
      <c r="A11544" s="318">
        <v>94337319363</v>
      </c>
      <c r="B11544" s="318" t="s">
        <v>237</v>
      </c>
    </row>
    <row r="11545" spans="1:2" ht="12.75" customHeight="1" x14ac:dyDescent="0.25">
      <c r="A11545" s="318">
        <v>94337319364</v>
      </c>
      <c r="B11545" s="318" t="s">
        <v>237</v>
      </c>
    </row>
    <row r="11546" spans="1:2" ht="12.75" customHeight="1" x14ac:dyDescent="0.25">
      <c r="A11546" s="318">
        <v>94337319365</v>
      </c>
      <c r="B11546" s="318" t="s">
        <v>237</v>
      </c>
    </row>
    <row r="11547" spans="1:2" ht="12.75" customHeight="1" x14ac:dyDescent="0.25">
      <c r="A11547" s="318">
        <v>94337319366</v>
      </c>
      <c r="B11547" s="318" t="s">
        <v>237</v>
      </c>
    </row>
    <row r="11548" spans="1:2" ht="12.75" customHeight="1" x14ac:dyDescent="0.25">
      <c r="A11548" s="318">
        <v>94337319367</v>
      </c>
      <c r="B11548" s="318" t="s">
        <v>237</v>
      </c>
    </row>
    <row r="11549" spans="1:2" ht="12.75" customHeight="1" x14ac:dyDescent="0.25">
      <c r="A11549" s="318">
        <v>94337319368</v>
      </c>
      <c r="B11549" s="318" t="s">
        <v>237</v>
      </c>
    </row>
    <row r="11550" spans="1:2" ht="12.75" customHeight="1" x14ac:dyDescent="0.25">
      <c r="A11550" s="318">
        <v>94337319370</v>
      </c>
      <c r="B11550" s="318" t="s">
        <v>237</v>
      </c>
    </row>
    <row r="11551" spans="1:2" ht="12.75" customHeight="1" x14ac:dyDescent="0.25">
      <c r="A11551" s="318">
        <v>94337319371</v>
      </c>
      <c r="B11551" s="318" t="s">
        <v>237</v>
      </c>
    </row>
    <row r="11552" spans="1:2" ht="12.75" customHeight="1" x14ac:dyDescent="0.25">
      <c r="A11552" s="318">
        <v>94337319372</v>
      </c>
      <c r="B11552" s="318" t="s">
        <v>237</v>
      </c>
    </row>
    <row r="11553" spans="1:2" ht="12.75" customHeight="1" x14ac:dyDescent="0.25">
      <c r="A11553" s="318">
        <v>94337319373</v>
      </c>
      <c r="B11553" s="318" t="s">
        <v>237</v>
      </c>
    </row>
    <row r="11554" spans="1:2" ht="12.75" customHeight="1" x14ac:dyDescent="0.25">
      <c r="A11554" s="318">
        <v>94337319374</v>
      </c>
      <c r="B11554" s="318" t="s">
        <v>237</v>
      </c>
    </row>
    <row r="11555" spans="1:2" ht="12.75" customHeight="1" x14ac:dyDescent="0.25">
      <c r="A11555" s="318">
        <v>94337319375</v>
      </c>
      <c r="B11555" s="318" t="s">
        <v>237</v>
      </c>
    </row>
    <row r="11556" spans="1:2" ht="12.75" customHeight="1" x14ac:dyDescent="0.25">
      <c r="A11556" s="318">
        <v>94337319376</v>
      </c>
      <c r="B11556" s="318" t="s">
        <v>237</v>
      </c>
    </row>
    <row r="11557" spans="1:2" ht="12.75" customHeight="1" x14ac:dyDescent="0.25">
      <c r="A11557" s="318">
        <v>94337319377</v>
      </c>
      <c r="B11557" s="318" t="s">
        <v>237</v>
      </c>
    </row>
    <row r="11558" spans="1:2" ht="12.75" customHeight="1" x14ac:dyDescent="0.25">
      <c r="A11558" s="318">
        <v>94337800234</v>
      </c>
      <c r="B11558" s="318" t="s">
        <v>23</v>
      </c>
    </row>
    <row r="11559" spans="1:2" ht="12.75" customHeight="1" x14ac:dyDescent="0.25">
      <c r="A11559" s="318">
        <v>94337800235</v>
      </c>
      <c r="B11559" s="318" t="s">
        <v>23</v>
      </c>
    </row>
    <row r="11560" spans="1:2" ht="12.75" customHeight="1" x14ac:dyDescent="0.25">
      <c r="A11560" s="318">
        <v>94337800236</v>
      </c>
      <c r="B11560" s="318" t="s">
        <v>23</v>
      </c>
    </row>
    <row r="11561" spans="1:2" ht="12.75" customHeight="1" x14ac:dyDescent="0.25">
      <c r="A11561" s="318">
        <v>94337800237</v>
      </c>
      <c r="B11561" s="318" t="s">
        <v>23</v>
      </c>
    </row>
    <row r="11562" spans="1:2" ht="12.75" customHeight="1" x14ac:dyDescent="0.25">
      <c r="A11562" s="318">
        <v>94337800238</v>
      </c>
      <c r="B11562" s="318" t="s">
        <v>23</v>
      </c>
    </row>
    <row r="11563" spans="1:2" ht="12.75" customHeight="1" x14ac:dyDescent="0.25">
      <c r="A11563" s="318">
        <v>94337800239</v>
      </c>
      <c r="B11563" s="318" t="s">
        <v>23</v>
      </c>
    </row>
    <row r="11564" spans="1:2" ht="12.75" customHeight="1" x14ac:dyDescent="0.25">
      <c r="A11564" s="318">
        <v>94337800240</v>
      </c>
      <c r="B11564" s="318" t="s">
        <v>23</v>
      </c>
    </row>
    <row r="11565" spans="1:2" ht="12.75" customHeight="1" x14ac:dyDescent="0.25">
      <c r="A11565" s="318">
        <v>94337800241</v>
      </c>
      <c r="B11565" s="318" t="s">
        <v>237</v>
      </c>
    </row>
    <row r="11566" spans="1:2" ht="12.75" customHeight="1" x14ac:dyDescent="0.25">
      <c r="A11566" s="318">
        <v>94337800243</v>
      </c>
      <c r="B11566" s="318" t="s">
        <v>23</v>
      </c>
    </row>
    <row r="11567" spans="1:2" ht="12.75" customHeight="1" x14ac:dyDescent="0.25">
      <c r="A11567" s="318">
        <v>94337800244</v>
      </c>
      <c r="B11567" s="318" t="s">
        <v>237</v>
      </c>
    </row>
    <row r="11568" spans="1:2" ht="12.75" customHeight="1" x14ac:dyDescent="0.25">
      <c r="A11568" s="318">
        <v>94337800245</v>
      </c>
      <c r="B11568" s="318" t="s">
        <v>23</v>
      </c>
    </row>
    <row r="11569" spans="1:2" ht="12.75" customHeight="1" x14ac:dyDescent="0.25">
      <c r="A11569" s="318">
        <v>94337800246</v>
      </c>
      <c r="B11569" s="318" t="s">
        <v>237</v>
      </c>
    </row>
    <row r="11570" spans="1:2" ht="12.75" customHeight="1" x14ac:dyDescent="0.25">
      <c r="A11570" s="318">
        <v>94337800247</v>
      </c>
      <c r="B11570" s="318" t="s">
        <v>23</v>
      </c>
    </row>
    <row r="11571" spans="1:2" ht="12.75" customHeight="1" x14ac:dyDescent="0.25">
      <c r="A11571" s="318">
        <v>94337800248</v>
      </c>
      <c r="B11571" s="318" t="s">
        <v>237</v>
      </c>
    </row>
    <row r="11572" spans="1:2" ht="12.75" customHeight="1" x14ac:dyDescent="0.25">
      <c r="A11572" s="318">
        <v>94337800249</v>
      </c>
      <c r="B11572" s="318" t="s">
        <v>23</v>
      </c>
    </row>
    <row r="11573" spans="1:2" ht="12.75" customHeight="1" x14ac:dyDescent="0.25">
      <c r="A11573" s="318">
        <v>94337800250</v>
      </c>
      <c r="B11573" s="318" t="s">
        <v>237</v>
      </c>
    </row>
    <row r="11574" spans="1:2" ht="12.75" customHeight="1" x14ac:dyDescent="0.25">
      <c r="A11574" s="318">
        <v>94337800334</v>
      </c>
      <c r="B11574" s="318" t="s">
        <v>237</v>
      </c>
    </row>
    <row r="11575" spans="1:2" ht="12.75" customHeight="1" x14ac:dyDescent="0.25">
      <c r="A11575" s="318">
        <v>94337800335</v>
      </c>
      <c r="B11575" s="318" t="s">
        <v>237</v>
      </c>
    </row>
    <row r="11576" spans="1:2" ht="12.75" customHeight="1" x14ac:dyDescent="0.25">
      <c r="A11576" s="318">
        <v>94337800336</v>
      </c>
      <c r="B11576" s="318" t="s">
        <v>237</v>
      </c>
    </row>
    <row r="11577" spans="1:2" ht="12.75" customHeight="1" x14ac:dyDescent="0.25">
      <c r="A11577" s="318">
        <v>94337800337</v>
      </c>
      <c r="B11577" s="318" t="s">
        <v>237</v>
      </c>
    </row>
    <row r="11578" spans="1:2" ht="12.75" customHeight="1" x14ac:dyDescent="0.25">
      <c r="A11578" s="318">
        <v>94337800338</v>
      </c>
      <c r="B11578" s="318" t="s">
        <v>237</v>
      </c>
    </row>
    <row r="11579" spans="1:2" ht="12.75" customHeight="1" x14ac:dyDescent="0.25">
      <c r="A11579" s="318">
        <v>94337800339</v>
      </c>
      <c r="B11579" s="318" t="s">
        <v>237</v>
      </c>
    </row>
    <row r="11580" spans="1:2" ht="12.75" customHeight="1" x14ac:dyDescent="0.25">
      <c r="A11580" s="318">
        <v>94337800340</v>
      </c>
      <c r="B11580" s="318" t="s">
        <v>237</v>
      </c>
    </row>
    <row r="11581" spans="1:2" ht="12.75" customHeight="1" x14ac:dyDescent="0.25">
      <c r="A11581" s="318">
        <v>94337800341</v>
      </c>
      <c r="B11581" s="318" t="s">
        <v>237</v>
      </c>
    </row>
    <row r="11582" spans="1:2" ht="12.75" customHeight="1" x14ac:dyDescent="0.25">
      <c r="A11582" s="318">
        <v>94337800343</v>
      </c>
      <c r="B11582" s="318" t="s">
        <v>237</v>
      </c>
    </row>
    <row r="11583" spans="1:2" ht="12.75" customHeight="1" x14ac:dyDescent="0.25">
      <c r="A11583" s="318">
        <v>94337800344</v>
      </c>
      <c r="B11583" s="318" t="s">
        <v>237</v>
      </c>
    </row>
    <row r="11584" spans="1:2" ht="12.75" customHeight="1" x14ac:dyDescent="0.25">
      <c r="A11584" s="318">
        <v>94337800345</v>
      </c>
      <c r="B11584" s="318" t="s">
        <v>237</v>
      </c>
    </row>
    <row r="11585" spans="1:2" ht="12.75" customHeight="1" x14ac:dyDescent="0.25">
      <c r="A11585" s="318">
        <v>94337800346</v>
      </c>
      <c r="B11585" s="318" t="s">
        <v>237</v>
      </c>
    </row>
    <row r="11586" spans="1:2" ht="12.75" customHeight="1" x14ac:dyDescent="0.25">
      <c r="A11586" s="318">
        <v>94337800347</v>
      </c>
      <c r="B11586" s="318" t="s">
        <v>237</v>
      </c>
    </row>
    <row r="11587" spans="1:2" ht="12.75" customHeight="1" x14ac:dyDescent="0.25">
      <c r="A11587" s="318">
        <v>94337800348</v>
      </c>
      <c r="B11587" s="318" t="s">
        <v>237</v>
      </c>
    </row>
    <row r="11588" spans="1:2" ht="12.75" customHeight="1" x14ac:dyDescent="0.25">
      <c r="A11588" s="318">
        <v>94337800349</v>
      </c>
      <c r="B11588" s="318" t="s">
        <v>237</v>
      </c>
    </row>
    <row r="11589" spans="1:2" ht="12.75" customHeight="1" x14ac:dyDescent="0.25">
      <c r="A11589" s="318">
        <v>94337800350</v>
      </c>
      <c r="B11589" s="318" t="s">
        <v>237</v>
      </c>
    </row>
    <row r="11590" spans="1:2" ht="12.75" customHeight="1" x14ac:dyDescent="0.25">
      <c r="A11590" s="318">
        <v>94338480425</v>
      </c>
      <c r="B11590" s="318" t="s">
        <v>23</v>
      </c>
    </row>
    <row r="11591" spans="1:2" ht="12.75" customHeight="1" x14ac:dyDescent="0.25">
      <c r="A11591" s="318">
        <v>94338480426</v>
      </c>
      <c r="B11591" s="318" t="s">
        <v>23</v>
      </c>
    </row>
    <row r="11592" spans="1:2" ht="12.75" customHeight="1" x14ac:dyDescent="0.25">
      <c r="A11592" s="318">
        <v>94338480427</v>
      </c>
      <c r="B11592" s="318" t="s">
        <v>23</v>
      </c>
    </row>
    <row r="11593" spans="1:2" ht="12.75" customHeight="1" x14ac:dyDescent="0.25">
      <c r="A11593" s="318">
        <v>94338480428</v>
      </c>
      <c r="B11593" s="318" t="s">
        <v>23</v>
      </c>
    </row>
    <row r="11594" spans="1:2" ht="12.75" customHeight="1" x14ac:dyDescent="0.25">
      <c r="A11594" s="318">
        <v>94338480429</v>
      </c>
      <c r="B11594" s="318" t="s">
        <v>23</v>
      </c>
    </row>
    <row r="11595" spans="1:2" ht="12.75" customHeight="1" x14ac:dyDescent="0.25">
      <c r="A11595" s="318">
        <v>94338480430</v>
      </c>
      <c r="B11595" s="318" t="s">
        <v>23</v>
      </c>
    </row>
    <row r="11596" spans="1:2" ht="12.75" customHeight="1" x14ac:dyDescent="0.25">
      <c r="A11596" s="318">
        <v>94338480431</v>
      </c>
      <c r="B11596" s="318" t="s">
        <v>23</v>
      </c>
    </row>
    <row r="11597" spans="1:2" ht="12.75" customHeight="1" x14ac:dyDescent="0.25">
      <c r="A11597" s="318">
        <v>94338480432</v>
      </c>
      <c r="B11597" s="318" t="s">
        <v>237</v>
      </c>
    </row>
    <row r="11598" spans="1:2" ht="12.75" customHeight="1" x14ac:dyDescent="0.25">
      <c r="A11598" s="318">
        <v>94338480434</v>
      </c>
      <c r="B11598" s="318" t="s">
        <v>23</v>
      </c>
    </row>
    <row r="11599" spans="1:2" ht="12.75" customHeight="1" x14ac:dyDescent="0.25">
      <c r="A11599" s="318">
        <v>94338480435</v>
      </c>
      <c r="B11599" s="318" t="s">
        <v>237</v>
      </c>
    </row>
    <row r="11600" spans="1:2" ht="12.75" customHeight="1" x14ac:dyDescent="0.25">
      <c r="A11600" s="318">
        <v>94338480436</v>
      </c>
      <c r="B11600" s="318" t="s">
        <v>23</v>
      </c>
    </row>
    <row r="11601" spans="1:2" ht="12.75" customHeight="1" x14ac:dyDescent="0.25">
      <c r="A11601" s="318">
        <v>94338480437</v>
      </c>
      <c r="B11601" s="318" t="s">
        <v>237</v>
      </c>
    </row>
    <row r="11602" spans="1:2" ht="12.75" customHeight="1" x14ac:dyDescent="0.25">
      <c r="A11602" s="318">
        <v>94338480438</v>
      </c>
      <c r="B11602" s="318" t="s">
        <v>23</v>
      </c>
    </row>
    <row r="11603" spans="1:2" ht="12.75" customHeight="1" x14ac:dyDescent="0.25">
      <c r="A11603" s="318">
        <v>94338480439</v>
      </c>
      <c r="B11603" s="318" t="s">
        <v>237</v>
      </c>
    </row>
    <row r="11604" spans="1:2" ht="12.75" customHeight="1" x14ac:dyDescent="0.25">
      <c r="A11604" s="318">
        <v>94338480440</v>
      </c>
      <c r="B11604" s="318" t="s">
        <v>23</v>
      </c>
    </row>
    <row r="11605" spans="1:2" ht="12.75" customHeight="1" x14ac:dyDescent="0.25">
      <c r="A11605" s="318">
        <v>94338480441</v>
      </c>
      <c r="B11605" s="318" t="s">
        <v>237</v>
      </c>
    </row>
    <row r="11606" spans="1:2" ht="12.75" customHeight="1" x14ac:dyDescent="0.25">
      <c r="A11606" s="318">
        <v>94338480525</v>
      </c>
      <c r="B11606" s="318" t="s">
        <v>237</v>
      </c>
    </row>
    <row r="11607" spans="1:2" ht="12.75" customHeight="1" x14ac:dyDescent="0.25">
      <c r="A11607" s="318">
        <v>94338480526</v>
      </c>
      <c r="B11607" s="318" t="s">
        <v>237</v>
      </c>
    </row>
    <row r="11608" spans="1:2" ht="12.75" customHeight="1" x14ac:dyDescent="0.25">
      <c r="A11608" s="318">
        <v>94338480527</v>
      </c>
      <c r="B11608" s="318" t="s">
        <v>237</v>
      </c>
    </row>
    <row r="11609" spans="1:2" ht="12.75" customHeight="1" x14ac:dyDescent="0.25">
      <c r="A11609" s="318">
        <v>94338480528</v>
      </c>
      <c r="B11609" s="318" t="s">
        <v>237</v>
      </c>
    </row>
    <row r="11610" spans="1:2" ht="12.75" customHeight="1" x14ac:dyDescent="0.25">
      <c r="A11610" s="318">
        <v>94338480529</v>
      </c>
      <c r="B11610" s="318" t="s">
        <v>237</v>
      </c>
    </row>
    <row r="11611" spans="1:2" ht="12.75" customHeight="1" x14ac:dyDescent="0.25">
      <c r="A11611" s="318">
        <v>94338480530</v>
      </c>
      <c r="B11611" s="318" t="s">
        <v>237</v>
      </c>
    </row>
    <row r="11612" spans="1:2" ht="12.75" customHeight="1" x14ac:dyDescent="0.25">
      <c r="A11612" s="318">
        <v>94338480531</v>
      </c>
      <c r="B11612" s="318" t="s">
        <v>237</v>
      </c>
    </row>
    <row r="11613" spans="1:2" ht="12.75" customHeight="1" x14ac:dyDescent="0.25">
      <c r="A11613" s="318">
        <v>94338480532</v>
      </c>
      <c r="B11613" s="318" t="s">
        <v>237</v>
      </c>
    </row>
    <row r="11614" spans="1:2" ht="12.75" customHeight="1" x14ac:dyDescent="0.25">
      <c r="A11614" s="318">
        <v>94338480534</v>
      </c>
      <c r="B11614" s="318" t="s">
        <v>237</v>
      </c>
    </row>
    <row r="11615" spans="1:2" ht="12.75" customHeight="1" x14ac:dyDescent="0.25">
      <c r="A11615" s="318">
        <v>94338480535</v>
      </c>
      <c r="B11615" s="318" t="s">
        <v>237</v>
      </c>
    </row>
    <row r="11616" spans="1:2" ht="12.75" customHeight="1" x14ac:dyDescent="0.25">
      <c r="A11616" s="318">
        <v>94338480536</v>
      </c>
      <c r="B11616" s="318" t="s">
        <v>237</v>
      </c>
    </row>
    <row r="11617" spans="1:2" ht="12.75" customHeight="1" x14ac:dyDescent="0.25">
      <c r="A11617" s="318">
        <v>94338480537</v>
      </c>
      <c r="B11617" s="318" t="s">
        <v>237</v>
      </c>
    </row>
    <row r="11618" spans="1:2" ht="12.75" customHeight="1" x14ac:dyDescent="0.25">
      <c r="A11618" s="318">
        <v>94338480538</v>
      </c>
      <c r="B11618" s="318" t="s">
        <v>237</v>
      </c>
    </row>
    <row r="11619" spans="1:2" ht="12.75" customHeight="1" x14ac:dyDescent="0.25">
      <c r="A11619" s="318">
        <v>94338480539</v>
      </c>
      <c r="B11619" s="318" t="s">
        <v>237</v>
      </c>
    </row>
    <row r="11620" spans="1:2" ht="12.75" customHeight="1" x14ac:dyDescent="0.25">
      <c r="A11620" s="318">
        <v>94338480540</v>
      </c>
      <c r="B11620" s="318" t="s">
        <v>237</v>
      </c>
    </row>
    <row r="11621" spans="1:2" ht="12.75" customHeight="1" x14ac:dyDescent="0.25">
      <c r="A11621" s="318">
        <v>94338480541</v>
      </c>
      <c r="B11621" s="318" t="s">
        <v>237</v>
      </c>
    </row>
    <row r="11622" spans="1:2" ht="12.75" customHeight="1" x14ac:dyDescent="0.25">
      <c r="A11622" s="318">
        <v>94338961398</v>
      </c>
      <c r="B11622" s="318" t="s">
        <v>23</v>
      </c>
    </row>
    <row r="11623" spans="1:2" ht="12.75" customHeight="1" x14ac:dyDescent="0.25">
      <c r="A11623" s="318">
        <v>94338961399</v>
      </c>
      <c r="B11623" s="318" t="s">
        <v>23</v>
      </c>
    </row>
    <row r="11624" spans="1:2" ht="12.75" customHeight="1" x14ac:dyDescent="0.25">
      <c r="A11624" s="318">
        <v>94338961400</v>
      </c>
      <c r="B11624" s="318" t="s">
        <v>23</v>
      </c>
    </row>
    <row r="11625" spans="1:2" ht="12.75" customHeight="1" x14ac:dyDescent="0.25">
      <c r="A11625" s="318">
        <v>94338961401</v>
      </c>
      <c r="B11625" s="318" t="s">
        <v>23</v>
      </c>
    </row>
    <row r="11626" spans="1:2" ht="12.75" customHeight="1" x14ac:dyDescent="0.25">
      <c r="A11626" s="318">
        <v>94338961402</v>
      </c>
      <c r="B11626" s="318" t="s">
        <v>23</v>
      </c>
    </row>
    <row r="11627" spans="1:2" ht="12.75" customHeight="1" x14ac:dyDescent="0.25">
      <c r="A11627" s="318">
        <v>94338961403</v>
      </c>
      <c r="B11627" s="318" t="s">
        <v>23</v>
      </c>
    </row>
    <row r="11628" spans="1:2" ht="12.75" customHeight="1" x14ac:dyDescent="0.25">
      <c r="A11628" s="318">
        <v>94338961404</v>
      </c>
      <c r="B11628" s="318" t="s">
        <v>23</v>
      </c>
    </row>
    <row r="11629" spans="1:2" ht="12.75" customHeight="1" x14ac:dyDescent="0.25">
      <c r="A11629" s="318">
        <v>94338961405</v>
      </c>
      <c r="B11629" s="318" t="s">
        <v>237</v>
      </c>
    </row>
    <row r="11630" spans="1:2" ht="12.75" customHeight="1" x14ac:dyDescent="0.25">
      <c r="A11630" s="318">
        <v>94338961407</v>
      </c>
      <c r="B11630" s="318" t="s">
        <v>23</v>
      </c>
    </row>
    <row r="11631" spans="1:2" ht="12.75" customHeight="1" x14ac:dyDescent="0.25">
      <c r="A11631" s="318">
        <v>94338961408</v>
      </c>
      <c r="B11631" s="318" t="s">
        <v>237</v>
      </c>
    </row>
    <row r="11632" spans="1:2" ht="12.75" customHeight="1" x14ac:dyDescent="0.25">
      <c r="A11632" s="318">
        <v>94338961409</v>
      </c>
      <c r="B11632" s="318" t="s">
        <v>23</v>
      </c>
    </row>
    <row r="11633" spans="1:2" ht="12.75" customHeight="1" x14ac:dyDescent="0.25">
      <c r="A11633" s="318">
        <v>94338961410</v>
      </c>
      <c r="B11633" s="318" t="s">
        <v>237</v>
      </c>
    </row>
    <row r="11634" spans="1:2" ht="12.75" customHeight="1" x14ac:dyDescent="0.25">
      <c r="A11634" s="318">
        <v>94338961411</v>
      </c>
      <c r="B11634" s="318" t="s">
        <v>23</v>
      </c>
    </row>
    <row r="11635" spans="1:2" ht="12.75" customHeight="1" x14ac:dyDescent="0.25">
      <c r="A11635" s="318">
        <v>94338961412</v>
      </c>
      <c r="B11635" s="318" t="s">
        <v>237</v>
      </c>
    </row>
    <row r="11636" spans="1:2" ht="12.75" customHeight="1" x14ac:dyDescent="0.25">
      <c r="A11636" s="318">
        <v>94338961413</v>
      </c>
      <c r="B11636" s="318" t="s">
        <v>23</v>
      </c>
    </row>
    <row r="11637" spans="1:2" ht="12.75" customHeight="1" x14ac:dyDescent="0.25">
      <c r="A11637" s="318">
        <v>94338961414</v>
      </c>
      <c r="B11637" s="318" t="s">
        <v>237</v>
      </c>
    </row>
    <row r="11638" spans="1:2" ht="12.75" customHeight="1" x14ac:dyDescent="0.25">
      <c r="A11638" s="318">
        <v>94338961498</v>
      </c>
      <c r="B11638" s="318" t="s">
        <v>237</v>
      </c>
    </row>
    <row r="11639" spans="1:2" ht="12.75" customHeight="1" x14ac:dyDescent="0.25">
      <c r="A11639" s="318">
        <v>94338961499</v>
      </c>
      <c r="B11639" s="318" t="s">
        <v>237</v>
      </c>
    </row>
    <row r="11640" spans="1:2" ht="12.75" customHeight="1" x14ac:dyDescent="0.25">
      <c r="A11640" s="318">
        <v>94338961500</v>
      </c>
      <c r="B11640" s="318" t="s">
        <v>237</v>
      </c>
    </row>
    <row r="11641" spans="1:2" ht="12.75" customHeight="1" x14ac:dyDescent="0.25">
      <c r="A11641" s="318">
        <v>94338961501</v>
      </c>
      <c r="B11641" s="318" t="s">
        <v>237</v>
      </c>
    </row>
    <row r="11642" spans="1:2" ht="12.75" customHeight="1" x14ac:dyDescent="0.25">
      <c r="A11642" s="318">
        <v>94338961502</v>
      </c>
      <c r="B11642" s="318" t="s">
        <v>237</v>
      </c>
    </row>
    <row r="11643" spans="1:2" ht="12.75" customHeight="1" x14ac:dyDescent="0.25">
      <c r="A11643" s="318">
        <v>94338961503</v>
      </c>
      <c r="B11643" s="318" t="s">
        <v>237</v>
      </c>
    </row>
    <row r="11644" spans="1:2" ht="12.75" customHeight="1" x14ac:dyDescent="0.25">
      <c r="A11644" s="318">
        <v>94338961504</v>
      </c>
      <c r="B11644" s="318" t="s">
        <v>237</v>
      </c>
    </row>
    <row r="11645" spans="1:2" ht="12.75" customHeight="1" x14ac:dyDescent="0.25">
      <c r="A11645" s="318">
        <v>94338961505</v>
      </c>
      <c r="B11645" s="318" t="s">
        <v>237</v>
      </c>
    </row>
    <row r="11646" spans="1:2" ht="12.75" customHeight="1" x14ac:dyDescent="0.25">
      <c r="A11646" s="318">
        <v>94338961507</v>
      </c>
      <c r="B11646" s="318" t="s">
        <v>237</v>
      </c>
    </row>
    <row r="11647" spans="1:2" ht="12.75" customHeight="1" x14ac:dyDescent="0.25">
      <c r="A11647" s="318">
        <v>94338961508</v>
      </c>
      <c r="B11647" s="318" t="s">
        <v>237</v>
      </c>
    </row>
    <row r="11648" spans="1:2" ht="12.75" customHeight="1" x14ac:dyDescent="0.25">
      <c r="A11648" s="318">
        <v>94338961509</v>
      </c>
      <c r="B11648" s="318" t="s">
        <v>237</v>
      </c>
    </row>
    <row r="11649" spans="1:2" ht="12.75" customHeight="1" x14ac:dyDescent="0.25">
      <c r="A11649" s="318">
        <v>94338961510</v>
      </c>
      <c r="B11649" s="318" t="s">
        <v>237</v>
      </c>
    </row>
    <row r="11650" spans="1:2" ht="12.75" customHeight="1" x14ac:dyDescent="0.25">
      <c r="A11650" s="318">
        <v>94338961511</v>
      </c>
      <c r="B11650" s="318" t="s">
        <v>237</v>
      </c>
    </row>
    <row r="11651" spans="1:2" ht="12.75" customHeight="1" x14ac:dyDescent="0.25">
      <c r="A11651" s="318">
        <v>94338961512</v>
      </c>
      <c r="B11651" s="318" t="s">
        <v>237</v>
      </c>
    </row>
    <row r="11652" spans="1:2" ht="12.75" customHeight="1" x14ac:dyDescent="0.25">
      <c r="A11652" s="318">
        <v>94338961513</v>
      </c>
      <c r="B11652" s="318" t="s">
        <v>237</v>
      </c>
    </row>
    <row r="11653" spans="1:2" ht="12.75" customHeight="1" x14ac:dyDescent="0.25">
      <c r="A11653" s="318">
        <v>94338961514</v>
      </c>
      <c r="B11653" s="318" t="s">
        <v>237</v>
      </c>
    </row>
    <row r="11654" spans="1:2" ht="12.75" customHeight="1" x14ac:dyDescent="0.25">
      <c r="A11654" s="318">
        <v>94339442371</v>
      </c>
      <c r="B11654" s="318" t="s">
        <v>23</v>
      </c>
    </row>
    <row r="11655" spans="1:2" ht="12.75" customHeight="1" x14ac:dyDescent="0.25">
      <c r="A11655" s="318">
        <v>94339442372</v>
      </c>
      <c r="B11655" s="318" t="s">
        <v>23</v>
      </c>
    </row>
    <row r="11656" spans="1:2" ht="12.75" customHeight="1" x14ac:dyDescent="0.25">
      <c r="A11656" s="318">
        <v>94339442373</v>
      </c>
      <c r="B11656" s="318" t="s">
        <v>23</v>
      </c>
    </row>
    <row r="11657" spans="1:2" ht="12.75" customHeight="1" x14ac:dyDescent="0.25">
      <c r="A11657" s="318">
        <v>94339442374</v>
      </c>
      <c r="B11657" s="318" t="s">
        <v>23</v>
      </c>
    </row>
    <row r="11658" spans="1:2" ht="12.75" customHeight="1" x14ac:dyDescent="0.25">
      <c r="A11658" s="318">
        <v>94339442375</v>
      </c>
      <c r="B11658" s="318" t="s">
        <v>23</v>
      </c>
    </row>
    <row r="11659" spans="1:2" ht="12.75" customHeight="1" x14ac:dyDescent="0.25">
      <c r="A11659" s="318">
        <v>94339442376</v>
      </c>
      <c r="B11659" s="318" t="s">
        <v>23</v>
      </c>
    </row>
    <row r="11660" spans="1:2" ht="12.75" customHeight="1" x14ac:dyDescent="0.25">
      <c r="A11660" s="318">
        <v>94339442377</v>
      </c>
      <c r="B11660" s="318" t="s">
        <v>23</v>
      </c>
    </row>
    <row r="11661" spans="1:2" ht="12.75" customHeight="1" x14ac:dyDescent="0.25">
      <c r="A11661" s="318">
        <v>94339442378</v>
      </c>
      <c r="B11661" s="318" t="s">
        <v>237</v>
      </c>
    </row>
    <row r="11662" spans="1:2" ht="12.75" customHeight="1" x14ac:dyDescent="0.25">
      <c r="A11662" s="318">
        <v>94339442380</v>
      </c>
      <c r="B11662" s="318" t="s">
        <v>23</v>
      </c>
    </row>
    <row r="11663" spans="1:2" ht="12.75" customHeight="1" x14ac:dyDescent="0.25">
      <c r="A11663" s="318">
        <v>94339442381</v>
      </c>
      <c r="B11663" s="318" t="s">
        <v>237</v>
      </c>
    </row>
    <row r="11664" spans="1:2" ht="12.75" customHeight="1" x14ac:dyDescent="0.25">
      <c r="A11664" s="318">
        <v>94339442382</v>
      </c>
      <c r="B11664" s="318" t="s">
        <v>23</v>
      </c>
    </row>
    <row r="11665" spans="1:2" ht="12.75" customHeight="1" x14ac:dyDescent="0.25">
      <c r="A11665" s="318">
        <v>94339442383</v>
      </c>
      <c r="B11665" s="318" t="s">
        <v>237</v>
      </c>
    </row>
    <row r="11666" spans="1:2" ht="12.75" customHeight="1" x14ac:dyDescent="0.25">
      <c r="A11666" s="318">
        <v>94339442384</v>
      </c>
      <c r="B11666" s="318" t="s">
        <v>23</v>
      </c>
    </row>
    <row r="11667" spans="1:2" ht="12.75" customHeight="1" x14ac:dyDescent="0.25">
      <c r="A11667" s="318">
        <v>94339442385</v>
      </c>
      <c r="B11667" s="318" t="s">
        <v>237</v>
      </c>
    </row>
    <row r="11668" spans="1:2" ht="12.75" customHeight="1" x14ac:dyDescent="0.25">
      <c r="A11668" s="318">
        <v>94339442386</v>
      </c>
      <c r="B11668" s="318" t="s">
        <v>23</v>
      </c>
    </row>
    <row r="11669" spans="1:2" ht="12.75" customHeight="1" x14ac:dyDescent="0.25">
      <c r="A11669" s="318">
        <v>94339442387</v>
      </c>
      <c r="B11669" s="318" t="s">
        <v>237</v>
      </c>
    </row>
    <row r="11670" spans="1:2" ht="12.75" customHeight="1" x14ac:dyDescent="0.25">
      <c r="A11670" s="318">
        <v>94339442471</v>
      </c>
      <c r="B11670" s="318" t="s">
        <v>237</v>
      </c>
    </row>
    <row r="11671" spans="1:2" ht="12.75" customHeight="1" x14ac:dyDescent="0.25">
      <c r="A11671" s="318">
        <v>94339442472</v>
      </c>
      <c r="B11671" s="318" t="s">
        <v>237</v>
      </c>
    </row>
    <row r="11672" spans="1:2" ht="12.75" customHeight="1" x14ac:dyDescent="0.25">
      <c r="A11672" s="318">
        <v>94339442473</v>
      </c>
      <c r="B11672" s="318" t="s">
        <v>237</v>
      </c>
    </row>
    <row r="11673" spans="1:2" ht="12.75" customHeight="1" x14ac:dyDescent="0.25">
      <c r="A11673" s="318">
        <v>94339442474</v>
      </c>
      <c r="B11673" s="318" t="s">
        <v>237</v>
      </c>
    </row>
    <row r="11674" spans="1:2" ht="12.75" customHeight="1" x14ac:dyDescent="0.25">
      <c r="A11674" s="318">
        <v>94339442475</v>
      </c>
      <c r="B11674" s="318" t="s">
        <v>237</v>
      </c>
    </row>
    <row r="11675" spans="1:2" ht="12.75" customHeight="1" x14ac:dyDescent="0.25">
      <c r="A11675" s="318">
        <v>94339442476</v>
      </c>
      <c r="B11675" s="318" t="s">
        <v>237</v>
      </c>
    </row>
    <row r="11676" spans="1:2" ht="12.75" customHeight="1" x14ac:dyDescent="0.25">
      <c r="A11676" s="318">
        <v>94339442477</v>
      </c>
      <c r="B11676" s="318" t="s">
        <v>237</v>
      </c>
    </row>
    <row r="11677" spans="1:2" ht="12.75" customHeight="1" x14ac:dyDescent="0.25">
      <c r="A11677" s="318">
        <v>94339442478</v>
      </c>
      <c r="B11677" s="318" t="s">
        <v>237</v>
      </c>
    </row>
    <row r="11678" spans="1:2" ht="12.75" customHeight="1" x14ac:dyDescent="0.25">
      <c r="A11678" s="318">
        <v>94339442480</v>
      </c>
      <c r="B11678" s="318" t="s">
        <v>237</v>
      </c>
    </row>
    <row r="11679" spans="1:2" ht="12.75" customHeight="1" x14ac:dyDescent="0.25">
      <c r="A11679" s="318">
        <v>94339442481</v>
      </c>
      <c r="B11679" s="318" t="s">
        <v>237</v>
      </c>
    </row>
    <row r="11680" spans="1:2" ht="12.75" customHeight="1" x14ac:dyDescent="0.25">
      <c r="A11680" s="318">
        <v>94339442482</v>
      </c>
      <c r="B11680" s="318" t="s">
        <v>237</v>
      </c>
    </row>
    <row r="11681" spans="1:2" ht="12.75" customHeight="1" x14ac:dyDescent="0.25">
      <c r="A11681" s="318">
        <v>94339442483</v>
      </c>
      <c r="B11681" s="318" t="s">
        <v>237</v>
      </c>
    </row>
    <row r="11682" spans="1:2" ht="12.75" customHeight="1" x14ac:dyDescent="0.25">
      <c r="A11682" s="318">
        <v>94339442484</v>
      </c>
      <c r="B11682" s="318" t="s">
        <v>237</v>
      </c>
    </row>
    <row r="11683" spans="1:2" ht="12.75" customHeight="1" x14ac:dyDescent="0.25">
      <c r="A11683" s="318">
        <v>94339442485</v>
      </c>
      <c r="B11683" s="318" t="s">
        <v>237</v>
      </c>
    </row>
    <row r="11684" spans="1:2" ht="12.75" customHeight="1" x14ac:dyDescent="0.25">
      <c r="A11684" s="318">
        <v>94339442486</v>
      </c>
      <c r="B11684" s="318" t="s">
        <v>237</v>
      </c>
    </row>
    <row r="11685" spans="1:2" ht="12.75" customHeight="1" x14ac:dyDescent="0.25">
      <c r="A11685" s="318">
        <v>94339442487</v>
      </c>
      <c r="B11685" s="318" t="s">
        <v>237</v>
      </c>
    </row>
    <row r="11686" spans="1:2" ht="12.75" customHeight="1" x14ac:dyDescent="0.25">
      <c r="A11686" s="318">
        <v>94389338262</v>
      </c>
      <c r="B11686" s="318" t="s">
        <v>23</v>
      </c>
    </row>
    <row r="11687" spans="1:2" ht="12.75" customHeight="1" x14ac:dyDescent="0.25">
      <c r="A11687" s="318">
        <v>94389338263</v>
      </c>
      <c r="B11687" s="318" t="s">
        <v>23</v>
      </c>
    </row>
    <row r="11688" spans="1:2" ht="12.75" customHeight="1" x14ac:dyDescent="0.25">
      <c r="A11688" s="318">
        <v>94389338264</v>
      </c>
      <c r="B11688" s="318" t="s">
        <v>23</v>
      </c>
    </row>
    <row r="11689" spans="1:2" ht="12.75" customHeight="1" x14ac:dyDescent="0.25">
      <c r="A11689" s="318">
        <v>94389338265</v>
      </c>
      <c r="B11689" s="318" t="s">
        <v>23</v>
      </c>
    </row>
    <row r="11690" spans="1:2" ht="12.75" customHeight="1" x14ac:dyDescent="0.25">
      <c r="A11690" s="318">
        <v>94389338266</v>
      </c>
      <c r="B11690" s="318" t="s">
        <v>23</v>
      </c>
    </row>
    <row r="11691" spans="1:2" ht="12.75" customHeight="1" x14ac:dyDescent="0.25">
      <c r="A11691" s="318">
        <v>94389338267</v>
      </c>
      <c r="B11691" s="318" t="s">
        <v>23</v>
      </c>
    </row>
    <row r="11692" spans="1:2" ht="12.75" customHeight="1" x14ac:dyDescent="0.25">
      <c r="A11692" s="318">
        <v>94389338268</v>
      </c>
      <c r="B11692" s="318" t="s">
        <v>237</v>
      </c>
    </row>
    <row r="11693" spans="1:2" ht="12.75" customHeight="1" x14ac:dyDescent="0.25">
      <c r="A11693" s="318">
        <v>94389338269</v>
      </c>
      <c r="B11693" s="318" t="s">
        <v>237</v>
      </c>
    </row>
    <row r="11694" spans="1:2" ht="12.75" customHeight="1" x14ac:dyDescent="0.25">
      <c r="A11694" s="318">
        <v>94389338271</v>
      </c>
      <c r="B11694" s="318" t="s">
        <v>237</v>
      </c>
    </row>
    <row r="11695" spans="1:2" ht="12.75" customHeight="1" x14ac:dyDescent="0.25">
      <c r="A11695" s="318">
        <v>94389338272</v>
      </c>
      <c r="B11695" s="318" t="s">
        <v>237</v>
      </c>
    </row>
    <row r="11696" spans="1:2" ht="12.75" customHeight="1" x14ac:dyDescent="0.25">
      <c r="A11696" s="318">
        <v>94389338273</v>
      </c>
      <c r="B11696" s="318" t="s">
        <v>237</v>
      </c>
    </row>
    <row r="11697" spans="1:2" ht="12.75" customHeight="1" x14ac:dyDescent="0.25">
      <c r="A11697" s="318">
        <v>94389338274</v>
      </c>
      <c r="B11697" s="318" t="s">
        <v>237</v>
      </c>
    </row>
    <row r="11698" spans="1:2" ht="12.75" customHeight="1" x14ac:dyDescent="0.25">
      <c r="A11698" s="318">
        <v>94389338275</v>
      </c>
      <c r="B11698" s="318" t="s">
        <v>237</v>
      </c>
    </row>
    <row r="11699" spans="1:2" ht="12.75" customHeight="1" x14ac:dyDescent="0.25">
      <c r="A11699" s="318">
        <v>94389338276</v>
      </c>
      <c r="B11699" s="318" t="s">
        <v>237</v>
      </c>
    </row>
    <row r="11700" spans="1:2" ht="12.75" customHeight="1" x14ac:dyDescent="0.25">
      <c r="A11700" s="318">
        <v>94389338277</v>
      </c>
      <c r="B11700" s="318" t="s">
        <v>237</v>
      </c>
    </row>
    <row r="11701" spans="1:2" ht="12.75" customHeight="1" x14ac:dyDescent="0.25">
      <c r="A11701" s="318">
        <v>94389338278</v>
      </c>
      <c r="B11701" s="318" t="s">
        <v>237</v>
      </c>
    </row>
    <row r="11702" spans="1:2" ht="12.75" customHeight="1" x14ac:dyDescent="0.25">
      <c r="A11702" s="318">
        <v>94389338362</v>
      </c>
      <c r="B11702" s="318" t="s">
        <v>237</v>
      </c>
    </row>
    <row r="11703" spans="1:2" ht="12.75" customHeight="1" x14ac:dyDescent="0.25">
      <c r="A11703" s="318">
        <v>94389338363</v>
      </c>
      <c r="B11703" s="318" t="s">
        <v>237</v>
      </c>
    </row>
    <row r="11704" spans="1:2" ht="12.75" customHeight="1" x14ac:dyDescent="0.25">
      <c r="A11704" s="318">
        <v>94389338364</v>
      </c>
      <c r="B11704" s="318" t="s">
        <v>237</v>
      </c>
    </row>
    <row r="11705" spans="1:2" ht="12.75" customHeight="1" x14ac:dyDescent="0.25">
      <c r="A11705" s="318">
        <v>94389338365</v>
      </c>
      <c r="B11705" s="318" t="s">
        <v>237</v>
      </c>
    </row>
    <row r="11706" spans="1:2" ht="12.75" customHeight="1" x14ac:dyDescent="0.25">
      <c r="A11706" s="318">
        <v>94389338366</v>
      </c>
      <c r="B11706" s="318" t="s">
        <v>237</v>
      </c>
    </row>
    <row r="11707" spans="1:2" ht="12.75" customHeight="1" x14ac:dyDescent="0.25">
      <c r="A11707" s="318">
        <v>94389338367</v>
      </c>
      <c r="B11707" s="318" t="s">
        <v>237</v>
      </c>
    </row>
    <row r="11708" spans="1:2" ht="12.75" customHeight="1" x14ac:dyDescent="0.25">
      <c r="A11708" s="318">
        <v>94389338368</v>
      </c>
      <c r="B11708" s="318" t="s">
        <v>237</v>
      </c>
    </row>
    <row r="11709" spans="1:2" ht="12.75" customHeight="1" x14ac:dyDescent="0.25">
      <c r="A11709" s="318">
        <v>94389338369</v>
      </c>
      <c r="B11709" s="318" t="s">
        <v>237</v>
      </c>
    </row>
    <row r="11710" spans="1:2" ht="12.75" customHeight="1" x14ac:dyDescent="0.25">
      <c r="A11710" s="318">
        <v>94389338371</v>
      </c>
      <c r="B11710" s="318" t="s">
        <v>237</v>
      </c>
    </row>
    <row r="11711" spans="1:2" ht="12.75" customHeight="1" x14ac:dyDescent="0.25">
      <c r="A11711" s="318">
        <v>94389338372</v>
      </c>
      <c r="B11711" s="318" t="s">
        <v>237</v>
      </c>
    </row>
    <row r="11712" spans="1:2" ht="12.75" customHeight="1" x14ac:dyDescent="0.25">
      <c r="A11712" s="318">
        <v>94389338373</v>
      </c>
      <c r="B11712" s="318" t="s">
        <v>237</v>
      </c>
    </row>
    <row r="11713" spans="1:2" ht="12.75" customHeight="1" x14ac:dyDescent="0.25">
      <c r="A11713" s="318">
        <v>94389338374</v>
      </c>
      <c r="B11713" s="318" t="s">
        <v>237</v>
      </c>
    </row>
    <row r="11714" spans="1:2" ht="12.75" customHeight="1" x14ac:dyDescent="0.25">
      <c r="A11714" s="318">
        <v>94389338375</v>
      </c>
      <c r="B11714" s="318" t="s">
        <v>237</v>
      </c>
    </row>
    <row r="11715" spans="1:2" ht="12.75" customHeight="1" x14ac:dyDescent="0.25">
      <c r="A11715" s="318">
        <v>94389338376</v>
      </c>
      <c r="B11715" s="318" t="s">
        <v>237</v>
      </c>
    </row>
    <row r="11716" spans="1:2" ht="12.75" customHeight="1" x14ac:dyDescent="0.25">
      <c r="A11716" s="318">
        <v>94389338377</v>
      </c>
      <c r="B11716" s="318" t="s">
        <v>237</v>
      </c>
    </row>
    <row r="11717" spans="1:2" ht="12.75" customHeight="1" x14ac:dyDescent="0.25">
      <c r="A11717" s="318">
        <v>94389338378</v>
      </c>
      <c r="B11717" s="318" t="s">
        <v>237</v>
      </c>
    </row>
    <row r="11718" spans="1:2" ht="12.75" customHeight="1" x14ac:dyDescent="0.25">
      <c r="A11718" s="318">
        <v>94389819235</v>
      </c>
      <c r="B11718" s="318" t="s">
        <v>23</v>
      </c>
    </row>
    <row r="11719" spans="1:2" ht="12.75" customHeight="1" x14ac:dyDescent="0.25">
      <c r="A11719" s="318">
        <v>94389819236</v>
      </c>
      <c r="B11719" s="318" t="s">
        <v>23</v>
      </c>
    </row>
    <row r="11720" spans="1:2" ht="12.75" customHeight="1" x14ac:dyDescent="0.25">
      <c r="A11720" s="318">
        <v>94389819237</v>
      </c>
      <c r="B11720" s="318" t="s">
        <v>23</v>
      </c>
    </row>
    <row r="11721" spans="1:2" ht="12.75" customHeight="1" x14ac:dyDescent="0.25">
      <c r="A11721" s="318">
        <v>94389819238</v>
      </c>
      <c r="B11721" s="318" t="s">
        <v>23</v>
      </c>
    </row>
    <row r="11722" spans="1:2" ht="12.75" customHeight="1" x14ac:dyDescent="0.25">
      <c r="A11722" s="318">
        <v>94389819239</v>
      </c>
      <c r="B11722" s="318" t="s">
        <v>23</v>
      </c>
    </row>
    <row r="11723" spans="1:2" ht="12.75" customHeight="1" x14ac:dyDescent="0.25">
      <c r="A11723" s="318">
        <v>94389819240</v>
      </c>
      <c r="B11723" s="318" t="s">
        <v>23</v>
      </c>
    </row>
    <row r="11724" spans="1:2" ht="12.75" customHeight="1" x14ac:dyDescent="0.25">
      <c r="A11724" s="318">
        <v>94389819241</v>
      </c>
      <c r="B11724" s="318" t="s">
        <v>237</v>
      </c>
    </row>
    <row r="11725" spans="1:2" ht="12.75" customHeight="1" x14ac:dyDescent="0.25">
      <c r="A11725" s="318">
        <v>94389819242</v>
      </c>
      <c r="B11725" s="318" t="s">
        <v>237</v>
      </c>
    </row>
    <row r="11726" spans="1:2" ht="12.75" customHeight="1" x14ac:dyDescent="0.25">
      <c r="A11726" s="318">
        <v>94389819244</v>
      </c>
      <c r="B11726" s="318" t="s">
        <v>237</v>
      </c>
    </row>
    <row r="11727" spans="1:2" ht="12.75" customHeight="1" x14ac:dyDescent="0.25">
      <c r="A11727" s="318">
        <v>94389819245</v>
      </c>
      <c r="B11727" s="318" t="s">
        <v>237</v>
      </c>
    </row>
    <row r="11728" spans="1:2" ht="12.75" customHeight="1" x14ac:dyDescent="0.25">
      <c r="A11728" s="318">
        <v>94389819246</v>
      </c>
      <c r="B11728" s="318" t="s">
        <v>237</v>
      </c>
    </row>
    <row r="11729" spans="1:2" ht="12.75" customHeight="1" x14ac:dyDescent="0.25">
      <c r="A11729" s="318">
        <v>94389819247</v>
      </c>
      <c r="B11729" s="318" t="s">
        <v>237</v>
      </c>
    </row>
    <row r="11730" spans="1:2" ht="12.75" customHeight="1" x14ac:dyDescent="0.25">
      <c r="A11730" s="318">
        <v>94389819248</v>
      </c>
      <c r="B11730" s="318" t="s">
        <v>237</v>
      </c>
    </row>
    <row r="11731" spans="1:2" ht="12.75" customHeight="1" x14ac:dyDescent="0.25">
      <c r="A11731" s="318">
        <v>94389819249</v>
      </c>
      <c r="B11731" s="318" t="s">
        <v>237</v>
      </c>
    </row>
    <row r="11732" spans="1:2" ht="12.75" customHeight="1" x14ac:dyDescent="0.25">
      <c r="A11732" s="318">
        <v>94389819250</v>
      </c>
      <c r="B11732" s="318" t="s">
        <v>237</v>
      </c>
    </row>
    <row r="11733" spans="1:2" ht="12.75" customHeight="1" x14ac:dyDescent="0.25">
      <c r="A11733" s="318">
        <v>94389819251</v>
      </c>
      <c r="B11733" s="318" t="s">
        <v>237</v>
      </c>
    </row>
    <row r="11734" spans="1:2" ht="12.75" customHeight="1" x14ac:dyDescent="0.25">
      <c r="A11734" s="318">
        <v>94389819335</v>
      </c>
      <c r="B11734" s="318" t="s">
        <v>237</v>
      </c>
    </row>
    <row r="11735" spans="1:2" ht="12.75" customHeight="1" x14ac:dyDescent="0.25">
      <c r="A11735" s="318">
        <v>94389819336</v>
      </c>
      <c r="B11735" s="318" t="s">
        <v>237</v>
      </c>
    </row>
    <row r="11736" spans="1:2" ht="12.75" customHeight="1" x14ac:dyDescent="0.25">
      <c r="A11736" s="318">
        <v>94389819337</v>
      </c>
      <c r="B11736" s="318" t="s">
        <v>237</v>
      </c>
    </row>
    <row r="11737" spans="1:2" ht="12.75" customHeight="1" x14ac:dyDescent="0.25">
      <c r="A11737" s="318">
        <v>94389819338</v>
      </c>
      <c r="B11737" s="318" t="s">
        <v>237</v>
      </c>
    </row>
    <row r="11738" spans="1:2" ht="12.75" customHeight="1" x14ac:dyDescent="0.25">
      <c r="A11738" s="318">
        <v>94389819339</v>
      </c>
      <c r="B11738" s="318" t="s">
        <v>237</v>
      </c>
    </row>
    <row r="11739" spans="1:2" ht="12.75" customHeight="1" x14ac:dyDescent="0.25">
      <c r="A11739" s="318">
        <v>94389819340</v>
      </c>
      <c r="B11739" s="318" t="s">
        <v>237</v>
      </c>
    </row>
    <row r="11740" spans="1:2" ht="12.75" customHeight="1" x14ac:dyDescent="0.25">
      <c r="A11740" s="318">
        <v>94389819341</v>
      </c>
      <c r="B11740" s="318" t="s">
        <v>237</v>
      </c>
    </row>
    <row r="11741" spans="1:2" ht="12.75" customHeight="1" x14ac:dyDescent="0.25">
      <c r="A11741" s="318">
        <v>94389819342</v>
      </c>
      <c r="B11741" s="318" t="s">
        <v>237</v>
      </c>
    </row>
    <row r="11742" spans="1:2" ht="12.75" customHeight="1" x14ac:dyDescent="0.25">
      <c r="A11742" s="318">
        <v>94389819344</v>
      </c>
      <c r="B11742" s="318" t="s">
        <v>237</v>
      </c>
    </row>
    <row r="11743" spans="1:2" ht="12.75" customHeight="1" x14ac:dyDescent="0.25">
      <c r="A11743" s="318">
        <v>94389819345</v>
      </c>
      <c r="B11743" s="318" t="s">
        <v>237</v>
      </c>
    </row>
    <row r="11744" spans="1:2" ht="12.75" customHeight="1" x14ac:dyDescent="0.25">
      <c r="A11744" s="318">
        <v>94389819346</v>
      </c>
      <c r="B11744" s="318" t="s">
        <v>237</v>
      </c>
    </row>
    <row r="11745" spans="1:2" ht="12.75" customHeight="1" x14ac:dyDescent="0.25">
      <c r="A11745" s="318">
        <v>94389819347</v>
      </c>
      <c r="B11745" s="318" t="s">
        <v>237</v>
      </c>
    </row>
    <row r="11746" spans="1:2" ht="12.75" customHeight="1" x14ac:dyDescent="0.25">
      <c r="A11746" s="318">
        <v>94389819348</v>
      </c>
      <c r="B11746" s="318" t="s">
        <v>237</v>
      </c>
    </row>
    <row r="11747" spans="1:2" ht="12.75" customHeight="1" x14ac:dyDescent="0.25">
      <c r="A11747" s="318">
        <v>94389819349</v>
      </c>
      <c r="B11747" s="318" t="s">
        <v>237</v>
      </c>
    </row>
    <row r="11748" spans="1:2" ht="12.75" customHeight="1" x14ac:dyDescent="0.25">
      <c r="A11748" s="318">
        <v>94389819350</v>
      </c>
      <c r="B11748" s="318" t="s">
        <v>237</v>
      </c>
    </row>
    <row r="11749" spans="1:2" ht="12.75" customHeight="1" x14ac:dyDescent="0.25">
      <c r="A11749" s="318">
        <v>94389819351</v>
      </c>
      <c r="B11749" s="318" t="s">
        <v>237</v>
      </c>
    </row>
    <row r="11750" spans="1:2" ht="12.75" customHeight="1" x14ac:dyDescent="0.25">
      <c r="A11750" s="318">
        <v>94390300208</v>
      </c>
      <c r="B11750" s="318" t="s">
        <v>23</v>
      </c>
    </row>
    <row r="11751" spans="1:2" ht="12.75" customHeight="1" x14ac:dyDescent="0.25">
      <c r="A11751" s="318">
        <v>94390300209</v>
      </c>
      <c r="B11751" s="318" t="s">
        <v>23</v>
      </c>
    </row>
    <row r="11752" spans="1:2" ht="12.75" customHeight="1" x14ac:dyDescent="0.25">
      <c r="A11752" s="318">
        <v>94390300210</v>
      </c>
      <c r="B11752" s="318" t="s">
        <v>23</v>
      </c>
    </row>
    <row r="11753" spans="1:2" ht="12.75" customHeight="1" x14ac:dyDescent="0.25">
      <c r="A11753" s="318">
        <v>94390300211</v>
      </c>
      <c r="B11753" s="318" t="s">
        <v>23</v>
      </c>
    </row>
    <row r="11754" spans="1:2" ht="12.75" customHeight="1" x14ac:dyDescent="0.25">
      <c r="A11754" s="318">
        <v>94390300212</v>
      </c>
      <c r="B11754" s="318" t="s">
        <v>23</v>
      </c>
    </row>
    <row r="11755" spans="1:2" ht="12.75" customHeight="1" x14ac:dyDescent="0.25">
      <c r="A11755" s="318">
        <v>94390300213</v>
      </c>
      <c r="B11755" s="318" t="s">
        <v>23</v>
      </c>
    </row>
    <row r="11756" spans="1:2" ht="12.75" customHeight="1" x14ac:dyDescent="0.25">
      <c r="A11756" s="318">
        <v>94390300214</v>
      </c>
      <c r="B11756" s="318" t="s">
        <v>237</v>
      </c>
    </row>
    <row r="11757" spans="1:2" ht="12.75" customHeight="1" x14ac:dyDescent="0.25">
      <c r="A11757" s="318">
        <v>94390300215</v>
      </c>
      <c r="B11757" s="318" t="s">
        <v>237</v>
      </c>
    </row>
    <row r="11758" spans="1:2" ht="12.75" customHeight="1" x14ac:dyDescent="0.25">
      <c r="A11758" s="318">
        <v>94390300217</v>
      </c>
      <c r="B11758" s="318" t="s">
        <v>237</v>
      </c>
    </row>
    <row r="11759" spans="1:2" ht="12.75" customHeight="1" x14ac:dyDescent="0.25">
      <c r="A11759" s="318">
        <v>94390300218</v>
      </c>
      <c r="B11759" s="318" t="s">
        <v>237</v>
      </c>
    </row>
    <row r="11760" spans="1:2" ht="12.75" customHeight="1" x14ac:dyDescent="0.25">
      <c r="A11760" s="318">
        <v>94390300219</v>
      </c>
      <c r="B11760" s="318" t="s">
        <v>237</v>
      </c>
    </row>
    <row r="11761" spans="1:2" ht="12.75" customHeight="1" x14ac:dyDescent="0.25">
      <c r="A11761" s="318">
        <v>94390300220</v>
      </c>
      <c r="B11761" s="318" t="s">
        <v>237</v>
      </c>
    </row>
    <row r="11762" spans="1:2" ht="12.75" customHeight="1" x14ac:dyDescent="0.25">
      <c r="A11762" s="318">
        <v>94390300221</v>
      </c>
      <c r="B11762" s="318" t="s">
        <v>237</v>
      </c>
    </row>
    <row r="11763" spans="1:2" ht="12.75" customHeight="1" x14ac:dyDescent="0.25">
      <c r="A11763" s="318">
        <v>94390300222</v>
      </c>
      <c r="B11763" s="318" t="s">
        <v>237</v>
      </c>
    </row>
    <row r="11764" spans="1:2" ht="12.75" customHeight="1" x14ac:dyDescent="0.25">
      <c r="A11764" s="318">
        <v>94390300223</v>
      </c>
      <c r="B11764" s="318" t="s">
        <v>237</v>
      </c>
    </row>
    <row r="11765" spans="1:2" ht="12.75" customHeight="1" x14ac:dyDescent="0.25">
      <c r="A11765" s="318">
        <v>94390300224</v>
      </c>
      <c r="B11765" s="318" t="s">
        <v>237</v>
      </c>
    </row>
    <row r="11766" spans="1:2" ht="12.75" customHeight="1" x14ac:dyDescent="0.25">
      <c r="A11766" s="318">
        <v>94390300308</v>
      </c>
      <c r="B11766" s="318" t="s">
        <v>237</v>
      </c>
    </row>
    <row r="11767" spans="1:2" ht="12.75" customHeight="1" x14ac:dyDescent="0.25">
      <c r="A11767" s="318">
        <v>94390300309</v>
      </c>
      <c r="B11767" s="318" t="s">
        <v>237</v>
      </c>
    </row>
    <row r="11768" spans="1:2" ht="12.75" customHeight="1" x14ac:dyDescent="0.25">
      <c r="A11768" s="318">
        <v>94390300310</v>
      </c>
      <c r="B11768" s="318" t="s">
        <v>237</v>
      </c>
    </row>
    <row r="11769" spans="1:2" ht="12.75" customHeight="1" x14ac:dyDescent="0.25">
      <c r="A11769" s="318">
        <v>94390300311</v>
      </c>
      <c r="B11769" s="318" t="s">
        <v>237</v>
      </c>
    </row>
    <row r="11770" spans="1:2" ht="12.75" customHeight="1" x14ac:dyDescent="0.25">
      <c r="A11770" s="318">
        <v>94390300312</v>
      </c>
      <c r="B11770" s="318" t="s">
        <v>237</v>
      </c>
    </row>
    <row r="11771" spans="1:2" ht="12.75" customHeight="1" x14ac:dyDescent="0.25">
      <c r="A11771" s="318">
        <v>94390300313</v>
      </c>
      <c r="B11771" s="318" t="s">
        <v>237</v>
      </c>
    </row>
    <row r="11772" spans="1:2" ht="12.75" customHeight="1" x14ac:dyDescent="0.25">
      <c r="A11772" s="318">
        <v>94390300314</v>
      </c>
      <c r="B11772" s="318" t="s">
        <v>237</v>
      </c>
    </row>
    <row r="11773" spans="1:2" ht="12.75" customHeight="1" x14ac:dyDescent="0.25">
      <c r="A11773" s="318">
        <v>94390300315</v>
      </c>
      <c r="B11773" s="318" t="s">
        <v>237</v>
      </c>
    </row>
    <row r="11774" spans="1:2" ht="12.75" customHeight="1" x14ac:dyDescent="0.25">
      <c r="A11774" s="318">
        <v>94390300317</v>
      </c>
      <c r="B11774" s="318" t="s">
        <v>237</v>
      </c>
    </row>
    <row r="11775" spans="1:2" ht="12.75" customHeight="1" x14ac:dyDescent="0.25">
      <c r="A11775" s="318">
        <v>94390300318</v>
      </c>
      <c r="B11775" s="318" t="s">
        <v>237</v>
      </c>
    </row>
    <row r="11776" spans="1:2" ht="12.75" customHeight="1" x14ac:dyDescent="0.25">
      <c r="A11776" s="318">
        <v>94390300319</v>
      </c>
      <c r="B11776" s="318" t="s">
        <v>237</v>
      </c>
    </row>
    <row r="11777" spans="1:2" ht="12.75" customHeight="1" x14ac:dyDescent="0.25">
      <c r="A11777" s="318">
        <v>94390300320</v>
      </c>
      <c r="B11777" s="318" t="s">
        <v>237</v>
      </c>
    </row>
    <row r="11778" spans="1:2" ht="12.75" customHeight="1" x14ac:dyDescent="0.25">
      <c r="A11778" s="318">
        <v>94390300321</v>
      </c>
      <c r="B11778" s="318" t="s">
        <v>237</v>
      </c>
    </row>
    <row r="11779" spans="1:2" ht="12.75" customHeight="1" x14ac:dyDescent="0.25">
      <c r="A11779" s="318">
        <v>94390300322</v>
      </c>
      <c r="B11779" s="318" t="s">
        <v>237</v>
      </c>
    </row>
    <row r="11780" spans="1:2" ht="12.75" customHeight="1" x14ac:dyDescent="0.25">
      <c r="A11780" s="318">
        <v>94390300323</v>
      </c>
      <c r="B11780" s="318" t="s">
        <v>237</v>
      </c>
    </row>
    <row r="11781" spans="1:2" ht="12.75" customHeight="1" x14ac:dyDescent="0.25">
      <c r="A11781" s="318">
        <v>94390300324</v>
      </c>
      <c r="B11781" s="318" t="s">
        <v>237</v>
      </c>
    </row>
    <row r="11782" spans="1:2" ht="12.75" customHeight="1" x14ac:dyDescent="0.25">
      <c r="A11782" s="318">
        <v>94390980399</v>
      </c>
      <c r="B11782" s="318" t="s">
        <v>23</v>
      </c>
    </row>
    <row r="11783" spans="1:2" ht="12.75" customHeight="1" x14ac:dyDescent="0.25">
      <c r="A11783" s="318">
        <v>94390980400</v>
      </c>
      <c r="B11783" s="318" t="s">
        <v>23</v>
      </c>
    </row>
    <row r="11784" spans="1:2" ht="12.75" customHeight="1" x14ac:dyDescent="0.25">
      <c r="A11784" s="318">
        <v>94390980401</v>
      </c>
      <c r="B11784" s="318" t="s">
        <v>23</v>
      </c>
    </row>
    <row r="11785" spans="1:2" ht="12.75" customHeight="1" x14ac:dyDescent="0.25">
      <c r="A11785" s="318">
        <v>94390980402</v>
      </c>
      <c r="B11785" s="318" t="s">
        <v>23</v>
      </c>
    </row>
    <row r="11786" spans="1:2" ht="12.75" customHeight="1" x14ac:dyDescent="0.25">
      <c r="A11786" s="318">
        <v>94390980403</v>
      </c>
      <c r="B11786" s="318" t="s">
        <v>23</v>
      </c>
    </row>
    <row r="11787" spans="1:2" ht="12.75" customHeight="1" x14ac:dyDescent="0.25">
      <c r="A11787" s="318">
        <v>94390980404</v>
      </c>
      <c r="B11787" s="318" t="s">
        <v>23</v>
      </c>
    </row>
    <row r="11788" spans="1:2" ht="12.75" customHeight="1" x14ac:dyDescent="0.25">
      <c r="A11788" s="318">
        <v>94390980405</v>
      </c>
      <c r="B11788" s="318" t="s">
        <v>237</v>
      </c>
    </row>
    <row r="11789" spans="1:2" ht="12.75" customHeight="1" x14ac:dyDescent="0.25">
      <c r="A11789" s="318">
        <v>94390980406</v>
      </c>
      <c r="B11789" s="318" t="s">
        <v>237</v>
      </c>
    </row>
    <row r="11790" spans="1:2" ht="12.75" customHeight="1" x14ac:dyDescent="0.25">
      <c r="A11790" s="318">
        <v>94390980408</v>
      </c>
      <c r="B11790" s="318" t="s">
        <v>237</v>
      </c>
    </row>
    <row r="11791" spans="1:2" ht="12.75" customHeight="1" x14ac:dyDescent="0.25">
      <c r="A11791" s="318">
        <v>94390980409</v>
      </c>
      <c r="B11791" s="318" t="s">
        <v>237</v>
      </c>
    </row>
    <row r="11792" spans="1:2" ht="12.75" customHeight="1" x14ac:dyDescent="0.25">
      <c r="A11792" s="318">
        <v>94390980410</v>
      </c>
      <c r="B11792" s="318" t="s">
        <v>237</v>
      </c>
    </row>
    <row r="11793" spans="1:2" ht="12.75" customHeight="1" x14ac:dyDescent="0.25">
      <c r="A11793" s="318">
        <v>94390980411</v>
      </c>
      <c r="B11793" s="318" t="s">
        <v>237</v>
      </c>
    </row>
    <row r="11794" spans="1:2" ht="12.75" customHeight="1" x14ac:dyDescent="0.25">
      <c r="A11794" s="318">
        <v>94390980412</v>
      </c>
      <c r="B11794" s="318" t="s">
        <v>237</v>
      </c>
    </row>
    <row r="11795" spans="1:2" ht="12.75" customHeight="1" x14ac:dyDescent="0.25">
      <c r="A11795" s="318">
        <v>94390980413</v>
      </c>
      <c r="B11795" s="318" t="s">
        <v>237</v>
      </c>
    </row>
    <row r="11796" spans="1:2" ht="12.75" customHeight="1" x14ac:dyDescent="0.25">
      <c r="A11796" s="318">
        <v>94390980414</v>
      </c>
      <c r="B11796" s="318" t="s">
        <v>237</v>
      </c>
    </row>
    <row r="11797" spans="1:2" ht="12.75" customHeight="1" x14ac:dyDescent="0.25">
      <c r="A11797" s="318">
        <v>94390980415</v>
      </c>
      <c r="B11797" s="318" t="s">
        <v>237</v>
      </c>
    </row>
    <row r="11798" spans="1:2" ht="12.75" customHeight="1" x14ac:dyDescent="0.25">
      <c r="A11798" s="318">
        <v>94390980499</v>
      </c>
      <c r="B11798" s="318" t="s">
        <v>237</v>
      </c>
    </row>
    <row r="11799" spans="1:2" ht="12.75" customHeight="1" x14ac:dyDescent="0.25">
      <c r="A11799" s="318">
        <v>94390980500</v>
      </c>
      <c r="B11799" s="318" t="s">
        <v>237</v>
      </c>
    </row>
    <row r="11800" spans="1:2" ht="12.75" customHeight="1" x14ac:dyDescent="0.25">
      <c r="A11800" s="318">
        <v>94390980501</v>
      </c>
      <c r="B11800" s="318" t="s">
        <v>237</v>
      </c>
    </row>
    <row r="11801" spans="1:2" ht="12.75" customHeight="1" x14ac:dyDescent="0.25">
      <c r="A11801" s="318">
        <v>94390980502</v>
      </c>
      <c r="B11801" s="318" t="s">
        <v>237</v>
      </c>
    </row>
    <row r="11802" spans="1:2" ht="12.75" customHeight="1" x14ac:dyDescent="0.25">
      <c r="A11802" s="318">
        <v>94390980503</v>
      </c>
      <c r="B11802" s="318" t="s">
        <v>237</v>
      </c>
    </row>
    <row r="11803" spans="1:2" ht="12.75" customHeight="1" x14ac:dyDescent="0.25">
      <c r="A11803" s="318">
        <v>94390980504</v>
      </c>
      <c r="B11803" s="318" t="s">
        <v>237</v>
      </c>
    </row>
    <row r="11804" spans="1:2" ht="12.75" customHeight="1" x14ac:dyDescent="0.25">
      <c r="A11804" s="318">
        <v>94390980505</v>
      </c>
      <c r="B11804" s="318" t="s">
        <v>237</v>
      </c>
    </row>
    <row r="11805" spans="1:2" ht="12.75" customHeight="1" x14ac:dyDescent="0.25">
      <c r="A11805" s="318">
        <v>94390980506</v>
      </c>
      <c r="B11805" s="318" t="s">
        <v>237</v>
      </c>
    </row>
    <row r="11806" spans="1:2" ht="12.75" customHeight="1" x14ac:dyDescent="0.25">
      <c r="A11806" s="318">
        <v>94390980508</v>
      </c>
      <c r="B11806" s="318" t="s">
        <v>237</v>
      </c>
    </row>
    <row r="11807" spans="1:2" ht="12.75" customHeight="1" x14ac:dyDescent="0.25">
      <c r="A11807" s="318">
        <v>94390980509</v>
      </c>
      <c r="B11807" s="318" t="s">
        <v>237</v>
      </c>
    </row>
    <row r="11808" spans="1:2" ht="12.75" customHeight="1" x14ac:dyDescent="0.25">
      <c r="A11808" s="318">
        <v>94390980510</v>
      </c>
      <c r="B11808" s="318" t="s">
        <v>237</v>
      </c>
    </row>
    <row r="11809" spans="1:2" ht="12.75" customHeight="1" x14ac:dyDescent="0.25">
      <c r="A11809" s="318">
        <v>94390980511</v>
      </c>
      <c r="B11809" s="318" t="s">
        <v>237</v>
      </c>
    </row>
    <row r="11810" spans="1:2" ht="12.75" customHeight="1" x14ac:dyDescent="0.25">
      <c r="A11810" s="318">
        <v>94390980512</v>
      </c>
      <c r="B11810" s="318" t="s">
        <v>237</v>
      </c>
    </row>
    <row r="11811" spans="1:2" ht="12.75" customHeight="1" x14ac:dyDescent="0.25">
      <c r="A11811" s="318">
        <v>94390980513</v>
      </c>
      <c r="B11811" s="318" t="s">
        <v>237</v>
      </c>
    </row>
    <row r="11812" spans="1:2" ht="12.75" customHeight="1" x14ac:dyDescent="0.25">
      <c r="A11812" s="318">
        <v>94390980514</v>
      </c>
      <c r="B11812" s="318" t="s">
        <v>237</v>
      </c>
    </row>
    <row r="11813" spans="1:2" ht="12.75" customHeight="1" x14ac:dyDescent="0.25">
      <c r="A11813" s="318">
        <v>94390980515</v>
      </c>
      <c r="B11813" s="318" t="s">
        <v>237</v>
      </c>
    </row>
    <row r="11814" spans="1:2" ht="12.75" customHeight="1" x14ac:dyDescent="0.25">
      <c r="A11814" s="318">
        <v>94391461372</v>
      </c>
      <c r="B11814" s="318" t="s">
        <v>23</v>
      </c>
    </row>
    <row r="11815" spans="1:2" ht="12.75" customHeight="1" x14ac:dyDescent="0.25">
      <c r="A11815" s="318">
        <v>94391461373</v>
      </c>
      <c r="B11815" s="318" t="s">
        <v>23</v>
      </c>
    </row>
    <row r="11816" spans="1:2" ht="12.75" customHeight="1" x14ac:dyDescent="0.25">
      <c r="A11816" s="318">
        <v>94391461374</v>
      </c>
      <c r="B11816" s="318" t="s">
        <v>23</v>
      </c>
    </row>
    <row r="11817" spans="1:2" ht="12.75" customHeight="1" x14ac:dyDescent="0.25">
      <c r="A11817" s="318">
        <v>94391461375</v>
      </c>
      <c r="B11817" s="318" t="s">
        <v>23</v>
      </c>
    </row>
    <row r="11818" spans="1:2" ht="12.75" customHeight="1" x14ac:dyDescent="0.25">
      <c r="A11818" s="318">
        <v>94391461376</v>
      </c>
      <c r="B11818" s="318" t="s">
        <v>23</v>
      </c>
    </row>
    <row r="11819" spans="1:2" ht="12.75" customHeight="1" x14ac:dyDescent="0.25">
      <c r="A11819" s="318">
        <v>94391461377</v>
      </c>
      <c r="B11819" s="318" t="s">
        <v>23</v>
      </c>
    </row>
    <row r="11820" spans="1:2" ht="12.75" customHeight="1" x14ac:dyDescent="0.25">
      <c r="A11820" s="318">
        <v>94391461378</v>
      </c>
      <c r="B11820" s="318" t="s">
        <v>237</v>
      </c>
    </row>
    <row r="11821" spans="1:2" ht="12.75" customHeight="1" x14ac:dyDescent="0.25">
      <c r="A11821" s="318">
        <v>94391461379</v>
      </c>
      <c r="B11821" s="318" t="s">
        <v>237</v>
      </c>
    </row>
    <row r="11822" spans="1:2" ht="12.75" customHeight="1" x14ac:dyDescent="0.25">
      <c r="A11822" s="318">
        <v>94391461381</v>
      </c>
      <c r="B11822" s="318" t="s">
        <v>237</v>
      </c>
    </row>
    <row r="11823" spans="1:2" ht="12.75" customHeight="1" x14ac:dyDescent="0.25">
      <c r="A11823" s="318">
        <v>94391461382</v>
      </c>
      <c r="B11823" s="318" t="s">
        <v>237</v>
      </c>
    </row>
    <row r="11824" spans="1:2" ht="12.75" customHeight="1" x14ac:dyDescent="0.25">
      <c r="A11824" s="318">
        <v>94391461383</v>
      </c>
      <c r="B11824" s="318" t="s">
        <v>237</v>
      </c>
    </row>
    <row r="11825" spans="1:2" ht="12.75" customHeight="1" x14ac:dyDescent="0.25">
      <c r="A11825" s="318">
        <v>94391461384</v>
      </c>
      <c r="B11825" s="318" t="s">
        <v>237</v>
      </c>
    </row>
    <row r="11826" spans="1:2" ht="12.75" customHeight="1" x14ac:dyDescent="0.25">
      <c r="A11826" s="318">
        <v>94391461385</v>
      </c>
      <c r="B11826" s="318" t="s">
        <v>237</v>
      </c>
    </row>
    <row r="11827" spans="1:2" ht="12.75" customHeight="1" x14ac:dyDescent="0.25">
      <c r="A11827" s="318">
        <v>94391461386</v>
      </c>
      <c r="B11827" s="318" t="s">
        <v>237</v>
      </c>
    </row>
    <row r="11828" spans="1:2" ht="12.75" customHeight="1" x14ac:dyDescent="0.25">
      <c r="A11828" s="318">
        <v>94391461387</v>
      </c>
      <c r="B11828" s="318" t="s">
        <v>237</v>
      </c>
    </row>
    <row r="11829" spans="1:2" ht="12.75" customHeight="1" x14ac:dyDescent="0.25">
      <c r="A11829" s="318">
        <v>94391461388</v>
      </c>
      <c r="B11829" s="318" t="s">
        <v>237</v>
      </c>
    </row>
    <row r="11830" spans="1:2" ht="12.75" customHeight="1" x14ac:dyDescent="0.25">
      <c r="A11830" s="318">
        <v>94391461472</v>
      </c>
      <c r="B11830" s="318" t="s">
        <v>237</v>
      </c>
    </row>
    <row r="11831" spans="1:2" ht="12.75" customHeight="1" x14ac:dyDescent="0.25">
      <c r="A11831" s="318">
        <v>94391461473</v>
      </c>
      <c r="B11831" s="318" t="s">
        <v>237</v>
      </c>
    </row>
    <row r="11832" spans="1:2" ht="12.75" customHeight="1" x14ac:dyDescent="0.25">
      <c r="A11832" s="318">
        <v>94391461474</v>
      </c>
      <c r="B11832" s="318" t="s">
        <v>237</v>
      </c>
    </row>
    <row r="11833" spans="1:2" ht="12.75" customHeight="1" x14ac:dyDescent="0.25">
      <c r="A11833" s="318">
        <v>94391461475</v>
      </c>
      <c r="B11833" s="318" t="s">
        <v>237</v>
      </c>
    </row>
    <row r="11834" spans="1:2" ht="12.75" customHeight="1" x14ac:dyDescent="0.25">
      <c r="A11834" s="318">
        <v>94391461476</v>
      </c>
      <c r="B11834" s="318" t="s">
        <v>237</v>
      </c>
    </row>
    <row r="11835" spans="1:2" ht="12.75" customHeight="1" x14ac:dyDescent="0.25">
      <c r="A11835" s="318">
        <v>94391461477</v>
      </c>
      <c r="B11835" s="318" t="s">
        <v>237</v>
      </c>
    </row>
    <row r="11836" spans="1:2" ht="12.75" customHeight="1" x14ac:dyDescent="0.25">
      <c r="A11836" s="318">
        <v>94391461478</v>
      </c>
      <c r="B11836" s="318" t="s">
        <v>237</v>
      </c>
    </row>
    <row r="11837" spans="1:2" ht="12.75" customHeight="1" x14ac:dyDescent="0.25">
      <c r="A11837" s="318">
        <v>94391461479</v>
      </c>
      <c r="B11837" s="318" t="s">
        <v>237</v>
      </c>
    </row>
    <row r="11838" spans="1:2" ht="12.75" customHeight="1" x14ac:dyDescent="0.25">
      <c r="A11838" s="318">
        <v>94391461481</v>
      </c>
      <c r="B11838" s="318" t="s">
        <v>237</v>
      </c>
    </row>
    <row r="11839" spans="1:2" ht="12.75" customHeight="1" x14ac:dyDescent="0.25">
      <c r="A11839" s="318">
        <v>94391461482</v>
      </c>
      <c r="B11839" s="318" t="s">
        <v>237</v>
      </c>
    </row>
    <row r="11840" spans="1:2" ht="12.75" customHeight="1" x14ac:dyDescent="0.25">
      <c r="A11840" s="318">
        <v>94391461483</v>
      </c>
      <c r="B11840" s="318" t="s">
        <v>237</v>
      </c>
    </row>
    <row r="11841" spans="1:2" ht="12.75" customHeight="1" x14ac:dyDescent="0.25">
      <c r="A11841" s="318">
        <v>94391461484</v>
      </c>
      <c r="B11841" s="318" t="s">
        <v>237</v>
      </c>
    </row>
    <row r="11842" spans="1:2" ht="12.75" customHeight="1" x14ac:dyDescent="0.25">
      <c r="A11842" s="318">
        <v>94391461485</v>
      </c>
      <c r="B11842" s="318" t="s">
        <v>237</v>
      </c>
    </row>
    <row r="11843" spans="1:2" ht="12.75" customHeight="1" x14ac:dyDescent="0.25">
      <c r="A11843" s="318">
        <v>94391461486</v>
      </c>
      <c r="B11843" s="318" t="s">
        <v>237</v>
      </c>
    </row>
    <row r="11844" spans="1:2" ht="12.75" customHeight="1" x14ac:dyDescent="0.25">
      <c r="A11844" s="318">
        <v>94391461487</v>
      </c>
      <c r="B11844" s="318" t="s">
        <v>237</v>
      </c>
    </row>
    <row r="11845" spans="1:2" ht="12.75" customHeight="1" x14ac:dyDescent="0.25">
      <c r="A11845" s="318">
        <v>94391461488</v>
      </c>
      <c r="B11845" s="318" t="s">
        <v>237</v>
      </c>
    </row>
    <row r="11846" spans="1:2" ht="12.75" customHeight="1" x14ac:dyDescent="0.25">
      <c r="A11846" s="318">
        <v>94391942345</v>
      </c>
      <c r="B11846" s="318" t="s">
        <v>23</v>
      </c>
    </row>
    <row r="11847" spans="1:2" ht="12.75" customHeight="1" x14ac:dyDescent="0.25">
      <c r="A11847" s="318">
        <v>94391942346</v>
      </c>
      <c r="B11847" s="318" t="s">
        <v>23</v>
      </c>
    </row>
    <row r="11848" spans="1:2" ht="12.75" customHeight="1" x14ac:dyDescent="0.25">
      <c r="A11848" s="318">
        <v>94391942347</v>
      </c>
      <c r="B11848" s="318" t="s">
        <v>23</v>
      </c>
    </row>
    <row r="11849" spans="1:2" ht="12.75" customHeight="1" x14ac:dyDescent="0.25">
      <c r="A11849" s="318">
        <v>94391942348</v>
      </c>
      <c r="B11849" s="318" t="s">
        <v>23</v>
      </c>
    </row>
    <row r="11850" spans="1:2" ht="12.75" customHeight="1" x14ac:dyDescent="0.25">
      <c r="A11850" s="318">
        <v>94391942349</v>
      </c>
      <c r="B11850" s="318" t="s">
        <v>23</v>
      </c>
    </row>
    <row r="11851" spans="1:2" ht="12.75" customHeight="1" x14ac:dyDescent="0.25">
      <c r="A11851" s="318">
        <v>94391942350</v>
      </c>
      <c r="B11851" s="318" t="s">
        <v>23</v>
      </c>
    </row>
    <row r="11852" spans="1:2" ht="12.75" customHeight="1" x14ac:dyDescent="0.25">
      <c r="A11852" s="318">
        <v>94391942351</v>
      </c>
      <c r="B11852" s="318" t="s">
        <v>237</v>
      </c>
    </row>
    <row r="11853" spans="1:2" ht="12.75" customHeight="1" x14ac:dyDescent="0.25">
      <c r="A11853" s="318">
        <v>94391942352</v>
      </c>
      <c r="B11853" s="318" t="s">
        <v>237</v>
      </c>
    </row>
    <row r="11854" spans="1:2" ht="12.75" customHeight="1" x14ac:dyDescent="0.25">
      <c r="A11854" s="318">
        <v>94391942354</v>
      </c>
      <c r="B11854" s="318" t="s">
        <v>237</v>
      </c>
    </row>
    <row r="11855" spans="1:2" ht="12.75" customHeight="1" x14ac:dyDescent="0.25">
      <c r="A11855" s="318">
        <v>94391942355</v>
      </c>
      <c r="B11855" s="318" t="s">
        <v>237</v>
      </c>
    </row>
    <row r="11856" spans="1:2" ht="12.75" customHeight="1" x14ac:dyDescent="0.25">
      <c r="A11856" s="318">
        <v>94391942356</v>
      </c>
      <c r="B11856" s="318" t="s">
        <v>237</v>
      </c>
    </row>
    <row r="11857" spans="1:2" ht="12.75" customHeight="1" x14ac:dyDescent="0.25">
      <c r="A11857" s="318">
        <v>94391942357</v>
      </c>
      <c r="B11857" s="318" t="s">
        <v>237</v>
      </c>
    </row>
    <row r="11858" spans="1:2" ht="12.75" customHeight="1" x14ac:dyDescent="0.25">
      <c r="A11858" s="318">
        <v>94391942358</v>
      </c>
      <c r="B11858" s="318" t="s">
        <v>237</v>
      </c>
    </row>
    <row r="11859" spans="1:2" ht="12.75" customHeight="1" x14ac:dyDescent="0.25">
      <c r="A11859" s="318">
        <v>94391942359</v>
      </c>
      <c r="B11859" s="318" t="s">
        <v>237</v>
      </c>
    </row>
    <row r="11860" spans="1:2" ht="12.75" customHeight="1" x14ac:dyDescent="0.25">
      <c r="A11860" s="318">
        <v>94391942360</v>
      </c>
      <c r="B11860" s="318" t="s">
        <v>237</v>
      </c>
    </row>
    <row r="11861" spans="1:2" ht="12.75" customHeight="1" x14ac:dyDescent="0.25">
      <c r="A11861" s="318">
        <v>94391942361</v>
      </c>
      <c r="B11861" s="318" t="s">
        <v>237</v>
      </c>
    </row>
    <row r="11862" spans="1:2" ht="12.75" customHeight="1" x14ac:dyDescent="0.25">
      <c r="A11862" s="318">
        <v>94391942445</v>
      </c>
      <c r="B11862" s="318" t="s">
        <v>237</v>
      </c>
    </row>
    <row r="11863" spans="1:2" ht="12.75" customHeight="1" x14ac:dyDescent="0.25">
      <c r="A11863" s="318">
        <v>94391942446</v>
      </c>
      <c r="B11863" s="318" t="s">
        <v>237</v>
      </c>
    </row>
    <row r="11864" spans="1:2" ht="12.75" customHeight="1" x14ac:dyDescent="0.25">
      <c r="A11864" s="318">
        <v>94391942447</v>
      </c>
      <c r="B11864" s="318" t="s">
        <v>237</v>
      </c>
    </row>
    <row r="11865" spans="1:2" ht="12.75" customHeight="1" x14ac:dyDescent="0.25">
      <c r="A11865" s="318">
        <v>94391942448</v>
      </c>
      <c r="B11865" s="318" t="s">
        <v>237</v>
      </c>
    </row>
    <row r="11866" spans="1:2" ht="12.75" customHeight="1" x14ac:dyDescent="0.25">
      <c r="A11866" s="318">
        <v>94391942449</v>
      </c>
      <c r="B11866" s="318" t="s">
        <v>237</v>
      </c>
    </row>
    <row r="11867" spans="1:2" ht="12.75" customHeight="1" x14ac:dyDescent="0.25">
      <c r="A11867" s="318">
        <v>94391942450</v>
      </c>
      <c r="B11867" s="318" t="s">
        <v>237</v>
      </c>
    </row>
    <row r="11868" spans="1:2" ht="12.75" customHeight="1" x14ac:dyDescent="0.25">
      <c r="A11868" s="318">
        <v>94391942451</v>
      </c>
      <c r="B11868" s="318" t="s">
        <v>237</v>
      </c>
    </row>
    <row r="11869" spans="1:2" ht="12.75" customHeight="1" x14ac:dyDescent="0.25">
      <c r="A11869" s="318">
        <v>94391942452</v>
      </c>
      <c r="B11869" s="318" t="s">
        <v>237</v>
      </c>
    </row>
    <row r="11870" spans="1:2" ht="12.75" customHeight="1" x14ac:dyDescent="0.25">
      <c r="A11870" s="318">
        <v>94391942454</v>
      </c>
      <c r="B11870" s="318" t="s">
        <v>237</v>
      </c>
    </row>
    <row r="11871" spans="1:2" ht="12.75" customHeight="1" x14ac:dyDescent="0.25">
      <c r="A11871" s="318">
        <v>94391942455</v>
      </c>
      <c r="B11871" s="318" t="s">
        <v>237</v>
      </c>
    </row>
    <row r="11872" spans="1:2" ht="12.75" customHeight="1" x14ac:dyDescent="0.25">
      <c r="A11872" s="318">
        <v>94391942456</v>
      </c>
      <c r="B11872" s="318" t="s">
        <v>237</v>
      </c>
    </row>
    <row r="11873" spans="1:2" ht="12.75" customHeight="1" x14ac:dyDescent="0.25">
      <c r="A11873" s="318">
        <v>94391942457</v>
      </c>
      <c r="B11873" s="318" t="s">
        <v>237</v>
      </c>
    </row>
    <row r="11874" spans="1:2" ht="12.75" customHeight="1" x14ac:dyDescent="0.25">
      <c r="A11874" s="318">
        <v>94391942458</v>
      </c>
      <c r="B11874" s="318" t="s">
        <v>237</v>
      </c>
    </row>
    <row r="11875" spans="1:2" ht="12.75" customHeight="1" x14ac:dyDescent="0.25">
      <c r="A11875" s="318">
        <v>94391942459</v>
      </c>
      <c r="B11875" s="318" t="s">
        <v>237</v>
      </c>
    </row>
    <row r="11876" spans="1:2" ht="12.75" customHeight="1" x14ac:dyDescent="0.25">
      <c r="A11876" s="318">
        <v>94391942460</v>
      </c>
      <c r="B11876" s="318" t="s">
        <v>237</v>
      </c>
    </row>
    <row r="11877" spans="1:2" ht="12.75" customHeight="1" x14ac:dyDescent="0.25">
      <c r="A11877" s="318">
        <v>94391942461</v>
      </c>
      <c r="B11877" s="318" t="s">
        <v>237</v>
      </c>
    </row>
    <row r="11878" spans="1:2" ht="12.75" customHeight="1" x14ac:dyDescent="0.25">
      <c r="A11878" s="318">
        <v>94392622536</v>
      </c>
      <c r="B11878" s="318" t="s">
        <v>23</v>
      </c>
    </row>
    <row r="11879" spans="1:2" ht="12.75" customHeight="1" x14ac:dyDescent="0.25">
      <c r="A11879" s="318">
        <v>94392622537</v>
      </c>
      <c r="B11879" s="318" t="s">
        <v>23</v>
      </c>
    </row>
    <row r="11880" spans="1:2" ht="12.75" customHeight="1" x14ac:dyDescent="0.25">
      <c r="A11880" s="318">
        <v>94392622538</v>
      </c>
      <c r="B11880" s="318" t="s">
        <v>23</v>
      </c>
    </row>
    <row r="11881" spans="1:2" ht="12.75" customHeight="1" x14ac:dyDescent="0.25">
      <c r="A11881" s="318">
        <v>94392622539</v>
      </c>
      <c r="B11881" s="318" t="s">
        <v>23</v>
      </c>
    </row>
    <row r="11882" spans="1:2" ht="12.75" customHeight="1" x14ac:dyDescent="0.25">
      <c r="A11882" s="318">
        <v>94392622540</v>
      </c>
      <c r="B11882" s="318" t="s">
        <v>23</v>
      </c>
    </row>
    <row r="11883" spans="1:2" ht="12.75" customHeight="1" x14ac:dyDescent="0.25">
      <c r="A11883" s="318">
        <v>94392622541</v>
      </c>
      <c r="B11883" s="318" t="s">
        <v>23</v>
      </c>
    </row>
    <row r="11884" spans="1:2" ht="12.75" customHeight="1" x14ac:dyDescent="0.25">
      <c r="A11884" s="318">
        <v>94392622542</v>
      </c>
      <c r="B11884" s="318" t="s">
        <v>237</v>
      </c>
    </row>
    <row r="11885" spans="1:2" ht="12.75" customHeight="1" x14ac:dyDescent="0.25">
      <c r="A11885" s="318">
        <v>94392622543</v>
      </c>
      <c r="B11885" s="318" t="s">
        <v>237</v>
      </c>
    </row>
    <row r="11886" spans="1:2" ht="12.75" customHeight="1" x14ac:dyDescent="0.25">
      <c r="A11886" s="318">
        <v>94392622545</v>
      </c>
      <c r="B11886" s="318" t="s">
        <v>237</v>
      </c>
    </row>
    <row r="11887" spans="1:2" ht="12.75" customHeight="1" x14ac:dyDescent="0.25">
      <c r="A11887" s="318">
        <v>94392622546</v>
      </c>
      <c r="B11887" s="318" t="s">
        <v>237</v>
      </c>
    </row>
    <row r="11888" spans="1:2" ht="12.75" customHeight="1" x14ac:dyDescent="0.25">
      <c r="A11888" s="318">
        <v>94392622547</v>
      </c>
      <c r="B11888" s="318" t="s">
        <v>237</v>
      </c>
    </row>
    <row r="11889" spans="1:2" ht="12.75" customHeight="1" x14ac:dyDescent="0.25">
      <c r="A11889" s="318">
        <v>94392622548</v>
      </c>
      <c r="B11889" s="318" t="s">
        <v>237</v>
      </c>
    </row>
    <row r="11890" spans="1:2" ht="12.75" customHeight="1" x14ac:dyDescent="0.25">
      <c r="A11890" s="318">
        <v>94392622549</v>
      </c>
      <c r="B11890" s="318" t="s">
        <v>237</v>
      </c>
    </row>
    <row r="11891" spans="1:2" ht="12.75" customHeight="1" x14ac:dyDescent="0.25">
      <c r="A11891" s="318">
        <v>94392622550</v>
      </c>
      <c r="B11891" s="318" t="s">
        <v>237</v>
      </c>
    </row>
    <row r="11892" spans="1:2" ht="12.75" customHeight="1" x14ac:dyDescent="0.25">
      <c r="A11892" s="318">
        <v>94392622551</v>
      </c>
      <c r="B11892" s="318" t="s">
        <v>237</v>
      </c>
    </row>
    <row r="11893" spans="1:2" ht="12.75" customHeight="1" x14ac:dyDescent="0.25">
      <c r="A11893" s="318">
        <v>94392622552</v>
      </c>
      <c r="B11893" s="318" t="s">
        <v>237</v>
      </c>
    </row>
    <row r="11894" spans="1:2" ht="12.75" customHeight="1" x14ac:dyDescent="0.25">
      <c r="A11894" s="318">
        <v>94392622636</v>
      </c>
      <c r="B11894" s="318" t="s">
        <v>237</v>
      </c>
    </row>
    <row r="11895" spans="1:2" ht="12.75" customHeight="1" x14ac:dyDescent="0.25">
      <c r="A11895" s="318">
        <v>94392622637</v>
      </c>
      <c r="B11895" s="318" t="s">
        <v>237</v>
      </c>
    </row>
    <row r="11896" spans="1:2" ht="12.75" customHeight="1" x14ac:dyDescent="0.25">
      <c r="A11896" s="318">
        <v>94392622638</v>
      </c>
      <c r="B11896" s="318" t="s">
        <v>237</v>
      </c>
    </row>
    <row r="11897" spans="1:2" ht="12.75" customHeight="1" x14ac:dyDescent="0.25">
      <c r="A11897" s="318">
        <v>94392622639</v>
      </c>
      <c r="B11897" s="318" t="s">
        <v>237</v>
      </c>
    </row>
    <row r="11898" spans="1:2" ht="12.75" customHeight="1" x14ac:dyDescent="0.25">
      <c r="A11898" s="318">
        <v>94392622640</v>
      </c>
      <c r="B11898" s="318" t="s">
        <v>237</v>
      </c>
    </row>
    <row r="11899" spans="1:2" ht="12.75" customHeight="1" x14ac:dyDescent="0.25">
      <c r="A11899" s="318">
        <v>94392622641</v>
      </c>
      <c r="B11899" s="318" t="s">
        <v>237</v>
      </c>
    </row>
    <row r="11900" spans="1:2" ht="12.75" customHeight="1" x14ac:dyDescent="0.25">
      <c r="A11900" s="318">
        <v>94392622642</v>
      </c>
      <c r="B11900" s="318" t="s">
        <v>237</v>
      </c>
    </row>
    <row r="11901" spans="1:2" ht="12.75" customHeight="1" x14ac:dyDescent="0.25">
      <c r="A11901" s="318">
        <v>94392622643</v>
      </c>
      <c r="B11901" s="318" t="s">
        <v>237</v>
      </c>
    </row>
    <row r="11902" spans="1:2" ht="12.75" customHeight="1" x14ac:dyDescent="0.25">
      <c r="A11902" s="318">
        <v>94392622645</v>
      </c>
      <c r="B11902" s="318" t="s">
        <v>237</v>
      </c>
    </row>
    <row r="11903" spans="1:2" ht="12.75" customHeight="1" x14ac:dyDescent="0.25">
      <c r="A11903" s="318">
        <v>94392622646</v>
      </c>
      <c r="B11903" s="318" t="s">
        <v>237</v>
      </c>
    </row>
    <row r="11904" spans="1:2" ht="12.75" customHeight="1" x14ac:dyDescent="0.25">
      <c r="A11904" s="318">
        <v>94392622647</v>
      </c>
      <c r="B11904" s="318" t="s">
        <v>237</v>
      </c>
    </row>
    <row r="11905" spans="1:2" ht="12.75" customHeight="1" x14ac:dyDescent="0.25">
      <c r="A11905" s="318">
        <v>94392622648</v>
      </c>
      <c r="B11905" s="318" t="s">
        <v>237</v>
      </c>
    </row>
    <row r="11906" spans="1:2" ht="12.75" customHeight="1" x14ac:dyDescent="0.25">
      <c r="A11906" s="318">
        <v>94392622649</v>
      </c>
      <c r="B11906" s="318" t="s">
        <v>237</v>
      </c>
    </row>
    <row r="11907" spans="1:2" ht="12.75" customHeight="1" x14ac:dyDescent="0.25">
      <c r="A11907" s="318">
        <v>94392622650</v>
      </c>
      <c r="B11907" s="318" t="s">
        <v>237</v>
      </c>
    </row>
    <row r="11908" spans="1:2" ht="12.75" customHeight="1" x14ac:dyDescent="0.25">
      <c r="A11908" s="318">
        <v>94392622651</v>
      </c>
      <c r="B11908" s="318" t="s">
        <v>237</v>
      </c>
    </row>
    <row r="11909" spans="1:2" ht="12.75" customHeight="1" x14ac:dyDescent="0.25">
      <c r="A11909" s="318">
        <v>94392622652</v>
      </c>
      <c r="B11909" s="318" t="s">
        <v>237</v>
      </c>
    </row>
    <row r="11910" spans="1:2" ht="12.75" customHeight="1" x14ac:dyDescent="0.25">
      <c r="A11910" s="318">
        <v>94393103509</v>
      </c>
      <c r="B11910" s="318" t="s">
        <v>23</v>
      </c>
    </row>
    <row r="11911" spans="1:2" ht="12.75" customHeight="1" x14ac:dyDescent="0.25">
      <c r="A11911" s="318">
        <v>94393103510</v>
      </c>
      <c r="B11911" s="318" t="s">
        <v>23</v>
      </c>
    </row>
    <row r="11912" spans="1:2" ht="12.75" customHeight="1" x14ac:dyDescent="0.25">
      <c r="A11912" s="318">
        <v>94393103511</v>
      </c>
      <c r="B11912" s="318" t="s">
        <v>23</v>
      </c>
    </row>
    <row r="11913" spans="1:2" ht="12.75" customHeight="1" x14ac:dyDescent="0.25">
      <c r="A11913" s="318">
        <v>94393103512</v>
      </c>
      <c r="B11913" s="318" t="s">
        <v>23</v>
      </c>
    </row>
    <row r="11914" spans="1:2" ht="12.75" customHeight="1" x14ac:dyDescent="0.25">
      <c r="A11914" s="318">
        <v>94393103513</v>
      </c>
      <c r="B11914" s="318" t="s">
        <v>23</v>
      </c>
    </row>
    <row r="11915" spans="1:2" ht="12.75" customHeight="1" x14ac:dyDescent="0.25">
      <c r="A11915" s="318">
        <v>94393103514</v>
      </c>
      <c r="B11915" s="318" t="s">
        <v>23</v>
      </c>
    </row>
    <row r="11916" spans="1:2" ht="12.75" customHeight="1" x14ac:dyDescent="0.25">
      <c r="A11916" s="318">
        <v>94393103515</v>
      </c>
      <c r="B11916" s="318" t="s">
        <v>237</v>
      </c>
    </row>
    <row r="11917" spans="1:2" ht="12.75" customHeight="1" x14ac:dyDescent="0.25">
      <c r="A11917" s="318">
        <v>94393103516</v>
      </c>
      <c r="B11917" s="318" t="s">
        <v>237</v>
      </c>
    </row>
    <row r="11918" spans="1:2" ht="12.75" customHeight="1" x14ac:dyDescent="0.25">
      <c r="A11918" s="318">
        <v>94393103518</v>
      </c>
      <c r="B11918" s="318" t="s">
        <v>237</v>
      </c>
    </row>
    <row r="11919" spans="1:2" ht="12.75" customHeight="1" x14ac:dyDescent="0.25">
      <c r="A11919" s="318">
        <v>94393103519</v>
      </c>
      <c r="B11919" s="318" t="s">
        <v>237</v>
      </c>
    </row>
    <row r="11920" spans="1:2" ht="12.75" customHeight="1" x14ac:dyDescent="0.25">
      <c r="A11920" s="318">
        <v>94393103520</v>
      </c>
      <c r="B11920" s="318" t="s">
        <v>237</v>
      </c>
    </row>
    <row r="11921" spans="1:2" ht="12.75" customHeight="1" x14ac:dyDescent="0.25">
      <c r="A11921" s="318">
        <v>94393103521</v>
      </c>
      <c r="B11921" s="318" t="s">
        <v>237</v>
      </c>
    </row>
    <row r="11922" spans="1:2" ht="12.75" customHeight="1" x14ac:dyDescent="0.25">
      <c r="A11922" s="318">
        <v>94393103522</v>
      </c>
      <c r="B11922" s="318" t="s">
        <v>237</v>
      </c>
    </row>
    <row r="11923" spans="1:2" ht="12.75" customHeight="1" x14ac:dyDescent="0.25">
      <c r="A11923" s="318">
        <v>94393103523</v>
      </c>
      <c r="B11923" s="318" t="s">
        <v>237</v>
      </c>
    </row>
    <row r="11924" spans="1:2" ht="12.75" customHeight="1" x14ac:dyDescent="0.25">
      <c r="A11924" s="318">
        <v>94393103524</v>
      </c>
      <c r="B11924" s="318" t="s">
        <v>237</v>
      </c>
    </row>
    <row r="11925" spans="1:2" ht="12.75" customHeight="1" x14ac:dyDescent="0.25">
      <c r="A11925" s="318">
        <v>94393103525</v>
      </c>
      <c r="B11925" s="318" t="s">
        <v>237</v>
      </c>
    </row>
    <row r="11926" spans="1:2" ht="12.75" customHeight="1" x14ac:dyDescent="0.25">
      <c r="A11926" s="318">
        <v>94393103609</v>
      </c>
      <c r="B11926" s="318" t="s">
        <v>237</v>
      </c>
    </row>
    <row r="11927" spans="1:2" ht="12.75" customHeight="1" x14ac:dyDescent="0.25">
      <c r="A11927" s="318">
        <v>94393103610</v>
      </c>
      <c r="B11927" s="318" t="s">
        <v>237</v>
      </c>
    </row>
    <row r="11928" spans="1:2" ht="12.75" customHeight="1" x14ac:dyDescent="0.25">
      <c r="A11928" s="318">
        <v>94393103611</v>
      </c>
      <c r="B11928" s="318" t="s">
        <v>237</v>
      </c>
    </row>
    <row r="11929" spans="1:2" ht="12.75" customHeight="1" x14ac:dyDescent="0.25">
      <c r="A11929" s="318">
        <v>94393103612</v>
      </c>
      <c r="B11929" s="318" t="s">
        <v>237</v>
      </c>
    </row>
    <row r="11930" spans="1:2" ht="12.75" customHeight="1" x14ac:dyDescent="0.25">
      <c r="A11930" s="318">
        <v>94393103613</v>
      </c>
      <c r="B11930" s="318" t="s">
        <v>237</v>
      </c>
    </row>
    <row r="11931" spans="1:2" ht="12.75" customHeight="1" x14ac:dyDescent="0.25">
      <c r="A11931" s="318">
        <v>94393103614</v>
      </c>
      <c r="B11931" s="318" t="s">
        <v>237</v>
      </c>
    </row>
    <row r="11932" spans="1:2" ht="12.75" customHeight="1" x14ac:dyDescent="0.25">
      <c r="A11932" s="318">
        <v>94393103615</v>
      </c>
      <c r="B11932" s="318" t="s">
        <v>237</v>
      </c>
    </row>
    <row r="11933" spans="1:2" ht="12.75" customHeight="1" x14ac:dyDescent="0.25">
      <c r="A11933" s="318">
        <v>94393103616</v>
      </c>
      <c r="B11933" s="318" t="s">
        <v>237</v>
      </c>
    </row>
    <row r="11934" spans="1:2" ht="12.75" customHeight="1" x14ac:dyDescent="0.25">
      <c r="A11934" s="318">
        <v>94393103618</v>
      </c>
      <c r="B11934" s="318" t="s">
        <v>237</v>
      </c>
    </row>
    <row r="11935" spans="1:2" ht="12.75" customHeight="1" x14ac:dyDescent="0.25">
      <c r="A11935" s="318">
        <v>94393103619</v>
      </c>
      <c r="B11935" s="318" t="s">
        <v>237</v>
      </c>
    </row>
    <row r="11936" spans="1:2" ht="12.75" customHeight="1" x14ac:dyDescent="0.25">
      <c r="A11936" s="318">
        <v>94393103620</v>
      </c>
      <c r="B11936" s="318" t="s">
        <v>237</v>
      </c>
    </row>
    <row r="11937" spans="1:2" ht="12.75" customHeight="1" x14ac:dyDescent="0.25">
      <c r="A11937" s="318">
        <v>94393103621</v>
      </c>
      <c r="B11937" s="318" t="s">
        <v>237</v>
      </c>
    </row>
    <row r="11938" spans="1:2" ht="12.75" customHeight="1" x14ac:dyDescent="0.25">
      <c r="A11938" s="318">
        <v>94393103622</v>
      </c>
      <c r="B11938" s="318" t="s">
        <v>237</v>
      </c>
    </row>
    <row r="11939" spans="1:2" ht="12.75" customHeight="1" x14ac:dyDescent="0.25">
      <c r="A11939" s="318">
        <v>94393103623</v>
      </c>
      <c r="B11939" s="318" t="s">
        <v>237</v>
      </c>
    </row>
    <row r="11940" spans="1:2" ht="12.75" customHeight="1" x14ac:dyDescent="0.25">
      <c r="A11940" s="318">
        <v>94393103624</v>
      </c>
      <c r="B11940" s="318" t="s">
        <v>237</v>
      </c>
    </row>
    <row r="11941" spans="1:2" ht="12.75" customHeight="1" x14ac:dyDescent="0.25">
      <c r="A11941" s="318">
        <v>94393103625</v>
      </c>
      <c r="B11941" s="318" t="s">
        <v>237</v>
      </c>
    </row>
    <row r="11942" spans="1:2" ht="12.75" customHeight="1" x14ac:dyDescent="0.25">
      <c r="A11942" s="318">
        <v>94393584482</v>
      </c>
      <c r="B11942" s="318" t="s">
        <v>23</v>
      </c>
    </row>
    <row r="11943" spans="1:2" ht="12.75" customHeight="1" x14ac:dyDescent="0.25">
      <c r="A11943" s="318">
        <v>94393584483</v>
      </c>
      <c r="B11943" s="318" t="s">
        <v>23</v>
      </c>
    </row>
    <row r="11944" spans="1:2" ht="12.75" customHeight="1" x14ac:dyDescent="0.25">
      <c r="A11944" s="318">
        <v>94393584484</v>
      </c>
      <c r="B11944" s="318" t="s">
        <v>23</v>
      </c>
    </row>
    <row r="11945" spans="1:2" ht="12.75" customHeight="1" x14ac:dyDescent="0.25">
      <c r="A11945" s="318">
        <v>94393584485</v>
      </c>
      <c r="B11945" s="318" t="s">
        <v>23</v>
      </c>
    </row>
    <row r="11946" spans="1:2" ht="12.75" customHeight="1" x14ac:dyDescent="0.25">
      <c r="A11946" s="318">
        <v>94393584486</v>
      </c>
      <c r="B11946" s="318" t="s">
        <v>23</v>
      </c>
    </row>
    <row r="11947" spans="1:2" ht="12.75" customHeight="1" x14ac:dyDescent="0.25">
      <c r="A11947" s="318">
        <v>94393584487</v>
      </c>
      <c r="B11947" s="318" t="s">
        <v>23</v>
      </c>
    </row>
    <row r="11948" spans="1:2" ht="12.75" customHeight="1" x14ac:dyDescent="0.25">
      <c r="A11948" s="318">
        <v>94393584488</v>
      </c>
      <c r="B11948" s="318" t="s">
        <v>237</v>
      </c>
    </row>
    <row r="11949" spans="1:2" ht="12.75" customHeight="1" x14ac:dyDescent="0.25">
      <c r="A11949" s="318">
        <v>94393584489</v>
      </c>
      <c r="B11949" s="318" t="s">
        <v>237</v>
      </c>
    </row>
    <row r="11950" spans="1:2" ht="12.75" customHeight="1" x14ac:dyDescent="0.25">
      <c r="A11950" s="318">
        <v>94393584491</v>
      </c>
      <c r="B11950" s="318" t="s">
        <v>237</v>
      </c>
    </row>
    <row r="11951" spans="1:2" ht="12.75" customHeight="1" x14ac:dyDescent="0.25">
      <c r="A11951" s="318">
        <v>94393584492</v>
      </c>
      <c r="B11951" s="318" t="s">
        <v>237</v>
      </c>
    </row>
    <row r="11952" spans="1:2" ht="12.75" customHeight="1" x14ac:dyDescent="0.25">
      <c r="A11952" s="318">
        <v>94393584493</v>
      </c>
      <c r="B11952" s="318" t="s">
        <v>237</v>
      </c>
    </row>
    <row r="11953" spans="1:2" ht="12.75" customHeight="1" x14ac:dyDescent="0.25">
      <c r="A11953" s="318">
        <v>94393584494</v>
      </c>
      <c r="B11953" s="318" t="s">
        <v>237</v>
      </c>
    </row>
    <row r="11954" spans="1:2" ht="12.75" customHeight="1" x14ac:dyDescent="0.25">
      <c r="A11954" s="318">
        <v>94393584495</v>
      </c>
      <c r="B11954" s="318" t="s">
        <v>237</v>
      </c>
    </row>
    <row r="11955" spans="1:2" ht="12.75" customHeight="1" x14ac:dyDescent="0.25">
      <c r="A11955" s="318">
        <v>94393584496</v>
      </c>
      <c r="B11955" s="318" t="s">
        <v>237</v>
      </c>
    </row>
    <row r="11956" spans="1:2" ht="12.75" customHeight="1" x14ac:dyDescent="0.25">
      <c r="A11956" s="318">
        <v>94393584497</v>
      </c>
      <c r="B11956" s="318" t="s">
        <v>237</v>
      </c>
    </row>
    <row r="11957" spans="1:2" ht="12.75" customHeight="1" x14ac:dyDescent="0.25">
      <c r="A11957" s="318">
        <v>94393584498</v>
      </c>
      <c r="B11957" s="318" t="s">
        <v>237</v>
      </c>
    </row>
    <row r="11958" spans="1:2" ht="12.75" customHeight="1" x14ac:dyDescent="0.25">
      <c r="A11958" s="318">
        <v>94393584582</v>
      </c>
      <c r="B11958" s="318" t="s">
        <v>237</v>
      </c>
    </row>
    <row r="11959" spans="1:2" ht="12.75" customHeight="1" x14ac:dyDescent="0.25">
      <c r="A11959" s="318">
        <v>94393584583</v>
      </c>
      <c r="B11959" s="318" t="s">
        <v>237</v>
      </c>
    </row>
    <row r="11960" spans="1:2" ht="12.75" customHeight="1" x14ac:dyDescent="0.25">
      <c r="A11960" s="318">
        <v>94393584584</v>
      </c>
      <c r="B11960" s="318" t="s">
        <v>237</v>
      </c>
    </row>
    <row r="11961" spans="1:2" ht="12.75" customHeight="1" x14ac:dyDescent="0.25">
      <c r="A11961" s="318">
        <v>94393584585</v>
      </c>
      <c r="B11961" s="318" t="s">
        <v>237</v>
      </c>
    </row>
    <row r="11962" spans="1:2" ht="12.75" customHeight="1" x14ac:dyDescent="0.25">
      <c r="A11962" s="318">
        <v>94393584586</v>
      </c>
      <c r="B11962" s="318" t="s">
        <v>237</v>
      </c>
    </row>
    <row r="11963" spans="1:2" ht="12.75" customHeight="1" x14ac:dyDescent="0.25">
      <c r="A11963" s="318">
        <v>94393584587</v>
      </c>
      <c r="B11963" s="318" t="s">
        <v>237</v>
      </c>
    </row>
    <row r="11964" spans="1:2" ht="12.75" customHeight="1" x14ac:dyDescent="0.25">
      <c r="A11964" s="318">
        <v>94393584588</v>
      </c>
      <c r="B11964" s="318" t="s">
        <v>237</v>
      </c>
    </row>
    <row r="11965" spans="1:2" ht="12.75" customHeight="1" x14ac:dyDescent="0.25">
      <c r="A11965" s="318">
        <v>94393584589</v>
      </c>
      <c r="B11965" s="318" t="s">
        <v>237</v>
      </c>
    </row>
    <row r="11966" spans="1:2" ht="12.75" customHeight="1" x14ac:dyDescent="0.25">
      <c r="A11966" s="318">
        <v>94393584591</v>
      </c>
      <c r="B11966" s="318" t="s">
        <v>237</v>
      </c>
    </row>
    <row r="11967" spans="1:2" ht="12.75" customHeight="1" x14ac:dyDescent="0.25">
      <c r="A11967" s="318">
        <v>94393584592</v>
      </c>
      <c r="B11967" s="318" t="s">
        <v>237</v>
      </c>
    </row>
    <row r="11968" spans="1:2" ht="12.75" customHeight="1" x14ac:dyDescent="0.25">
      <c r="A11968" s="318">
        <v>94393584593</v>
      </c>
      <c r="B11968" s="318" t="s">
        <v>237</v>
      </c>
    </row>
    <row r="11969" spans="1:2" ht="12.75" customHeight="1" x14ac:dyDescent="0.25">
      <c r="A11969" s="318">
        <v>94393584594</v>
      </c>
      <c r="B11969" s="318" t="s">
        <v>237</v>
      </c>
    </row>
    <row r="11970" spans="1:2" ht="12.75" customHeight="1" x14ac:dyDescent="0.25">
      <c r="A11970" s="318">
        <v>94393584595</v>
      </c>
      <c r="B11970" s="318" t="s">
        <v>237</v>
      </c>
    </row>
    <row r="11971" spans="1:2" ht="12.75" customHeight="1" x14ac:dyDescent="0.25">
      <c r="A11971" s="318">
        <v>94393584596</v>
      </c>
      <c r="B11971" s="318" t="s">
        <v>237</v>
      </c>
    </row>
    <row r="11972" spans="1:2" ht="12.75" customHeight="1" x14ac:dyDescent="0.25">
      <c r="A11972" s="318">
        <v>94393584597</v>
      </c>
      <c r="B11972" s="318" t="s">
        <v>237</v>
      </c>
    </row>
    <row r="11973" spans="1:2" ht="12.75" customHeight="1" x14ac:dyDescent="0.25">
      <c r="A11973" s="318">
        <v>94393584598</v>
      </c>
      <c r="B11973" s="318" t="s">
        <v>237</v>
      </c>
    </row>
    <row r="11974" spans="1:2" ht="12.75" customHeight="1" x14ac:dyDescent="0.25">
      <c r="A11974" s="318">
        <v>94394944863</v>
      </c>
      <c r="B11974" s="318" t="s">
        <v>23</v>
      </c>
    </row>
    <row r="11975" spans="1:2" ht="12.75" customHeight="1" x14ac:dyDescent="0.25">
      <c r="A11975" s="318">
        <v>94394944864</v>
      </c>
      <c r="B11975" s="318" t="s">
        <v>23</v>
      </c>
    </row>
    <row r="11976" spans="1:2" ht="12.75" customHeight="1" x14ac:dyDescent="0.25">
      <c r="A11976" s="318">
        <v>94394944865</v>
      </c>
      <c r="B11976" s="318" t="s">
        <v>23</v>
      </c>
    </row>
    <row r="11977" spans="1:2" ht="12.75" customHeight="1" x14ac:dyDescent="0.25">
      <c r="A11977" s="318">
        <v>94394944866</v>
      </c>
      <c r="B11977" s="318" t="s">
        <v>23</v>
      </c>
    </row>
    <row r="11978" spans="1:2" ht="12.75" customHeight="1" x14ac:dyDescent="0.25">
      <c r="A11978" s="318">
        <v>94394944867</v>
      </c>
      <c r="B11978" s="318" t="s">
        <v>23</v>
      </c>
    </row>
    <row r="11979" spans="1:2" ht="12.75" customHeight="1" x14ac:dyDescent="0.25">
      <c r="A11979" s="318">
        <v>94394944868</v>
      </c>
      <c r="B11979" s="318" t="s">
        <v>23</v>
      </c>
    </row>
    <row r="11980" spans="1:2" ht="12.75" customHeight="1" x14ac:dyDescent="0.25">
      <c r="A11980" s="318">
        <v>94394944869</v>
      </c>
      <c r="B11980" s="318" t="s">
        <v>237</v>
      </c>
    </row>
    <row r="11981" spans="1:2" ht="12.75" customHeight="1" x14ac:dyDescent="0.25">
      <c r="A11981" s="318">
        <v>94394944870</v>
      </c>
      <c r="B11981" s="318" t="s">
        <v>237</v>
      </c>
    </row>
    <row r="11982" spans="1:2" ht="12.75" customHeight="1" x14ac:dyDescent="0.25">
      <c r="A11982" s="318">
        <v>94394944872</v>
      </c>
      <c r="B11982" s="318" t="s">
        <v>237</v>
      </c>
    </row>
    <row r="11983" spans="1:2" ht="12.75" customHeight="1" x14ac:dyDescent="0.25">
      <c r="A11983" s="318">
        <v>94394944873</v>
      </c>
      <c r="B11983" s="318" t="s">
        <v>237</v>
      </c>
    </row>
    <row r="11984" spans="1:2" ht="12.75" customHeight="1" x14ac:dyDescent="0.25">
      <c r="A11984" s="318">
        <v>94394944874</v>
      </c>
      <c r="B11984" s="318" t="s">
        <v>237</v>
      </c>
    </row>
    <row r="11985" spans="1:2" ht="12.75" customHeight="1" x14ac:dyDescent="0.25">
      <c r="A11985" s="318">
        <v>94394944875</v>
      </c>
      <c r="B11985" s="318" t="s">
        <v>237</v>
      </c>
    </row>
    <row r="11986" spans="1:2" ht="12.75" customHeight="1" x14ac:dyDescent="0.25">
      <c r="A11986" s="318">
        <v>94394944876</v>
      </c>
      <c r="B11986" s="318" t="s">
        <v>237</v>
      </c>
    </row>
    <row r="11987" spans="1:2" ht="12.75" customHeight="1" x14ac:dyDescent="0.25">
      <c r="A11987" s="318">
        <v>94394944877</v>
      </c>
      <c r="B11987" s="318" t="s">
        <v>237</v>
      </c>
    </row>
    <row r="11988" spans="1:2" ht="12.75" customHeight="1" x14ac:dyDescent="0.25">
      <c r="A11988" s="318">
        <v>94394944878</v>
      </c>
      <c r="B11988" s="318" t="s">
        <v>237</v>
      </c>
    </row>
    <row r="11989" spans="1:2" ht="12.75" customHeight="1" x14ac:dyDescent="0.25">
      <c r="A11989" s="318">
        <v>94394944879</v>
      </c>
      <c r="B11989" s="318" t="s">
        <v>237</v>
      </c>
    </row>
    <row r="11990" spans="1:2" ht="12.75" customHeight="1" x14ac:dyDescent="0.25">
      <c r="A11990" s="318">
        <v>94394944963</v>
      </c>
      <c r="B11990" s="318" t="s">
        <v>237</v>
      </c>
    </row>
    <row r="11991" spans="1:2" ht="12.75" customHeight="1" x14ac:dyDescent="0.25">
      <c r="A11991" s="318">
        <v>94394944964</v>
      </c>
      <c r="B11991" s="318" t="s">
        <v>237</v>
      </c>
    </row>
    <row r="11992" spans="1:2" ht="12.75" customHeight="1" x14ac:dyDescent="0.25">
      <c r="A11992" s="318">
        <v>94394944965</v>
      </c>
      <c r="B11992" s="318" t="s">
        <v>237</v>
      </c>
    </row>
    <row r="11993" spans="1:2" ht="12.75" customHeight="1" x14ac:dyDescent="0.25">
      <c r="A11993" s="318">
        <v>94394944966</v>
      </c>
      <c r="B11993" s="318" t="s">
        <v>237</v>
      </c>
    </row>
    <row r="11994" spans="1:2" ht="12.75" customHeight="1" x14ac:dyDescent="0.25">
      <c r="A11994" s="318">
        <v>94394944967</v>
      </c>
      <c r="B11994" s="318" t="s">
        <v>237</v>
      </c>
    </row>
    <row r="11995" spans="1:2" ht="12.75" customHeight="1" x14ac:dyDescent="0.25">
      <c r="A11995" s="318">
        <v>94394944968</v>
      </c>
      <c r="B11995" s="318" t="s">
        <v>237</v>
      </c>
    </row>
    <row r="11996" spans="1:2" ht="12.75" customHeight="1" x14ac:dyDescent="0.25">
      <c r="A11996" s="318">
        <v>94394944969</v>
      </c>
      <c r="B11996" s="318" t="s">
        <v>237</v>
      </c>
    </row>
    <row r="11997" spans="1:2" ht="12.75" customHeight="1" x14ac:dyDescent="0.25">
      <c r="A11997" s="318">
        <v>94394944970</v>
      </c>
      <c r="B11997" s="318" t="s">
        <v>237</v>
      </c>
    </row>
    <row r="11998" spans="1:2" ht="12.75" customHeight="1" x14ac:dyDescent="0.25">
      <c r="A11998" s="318">
        <v>94394944972</v>
      </c>
      <c r="B11998" s="318" t="s">
        <v>237</v>
      </c>
    </row>
    <row r="11999" spans="1:2" ht="12.75" customHeight="1" x14ac:dyDescent="0.25">
      <c r="A11999" s="318">
        <v>94394944973</v>
      </c>
      <c r="B11999" s="318" t="s">
        <v>237</v>
      </c>
    </row>
    <row r="12000" spans="1:2" ht="12.75" customHeight="1" x14ac:dyDescent="0.25">
      <c r="A12000" s="318">
        <v>94394944974</v>
      </c>
      <c r="B12000" s="318" t="s">
        <v>237</v>
      </c>
    </row>
    <row r="12001" spans="1:2" ht="12.75" customHeight="1" x14ac:dyDescent="0.25">
      <c r="A12001" s="318">
        <v>94394944975</v>
      </c>
      <c r="B12001" s="318" t="s">
        <v>237</v>
      </c>
    </row>
    <row r="12002" spans="1:2" ht="12.75" customHeight="1" x14ac:dyDescent="0.25">
      <c r="A12002" s="318">
        <v>94394944976</v>
      </c>
      <c r="B12002" s="318" t="s">
        <v>237</v>
      </c>
    </row>
    <row r="12003" spans="1:2" ht="12.75" customHeight="1" x14ac:dyDescent="0.25">
      <c r="A12003" s="318">
        <v>94394944977</v>
      </c>
      <c r="B12003" s="318" t="s">
        <v>237</v>
      </c>
    </row>
    <row r="12004" spans="1:2" ht="12.75" customHeight="1" x14ac:dyDescent="0.25">
      <c r="A12004" s="318">
        <v>94394944978</v>
      </c>
      <c r="B12004" s="318" t="s">
        <v>237</v>
      </c>
    </row>
    <row r="12005" spans="1:2" ht="12.75" customHeight="1" x14ac:dyDescent="0.25">
      <c r="A12005" s="318">
        <v>94394944979</v>
      </c>
      <c r="B12005" s="318" t="s">
        <v>237</v>
      </c>
    </row>
    <row r="12006" spans="1:2" ht="12.75" customHeight="1" x14ac:dyDescent="0.25">
      <c r="A12006" s="318">
        <v>94395425836</v>
      </c>
      <c r="B12006" s="318" t="s">
        <v>23</v>
      </c>
    </row>
    <row r="12007" spans="1:2" ht="12.75" customHeight="1" x14ac:dyDescent="0.25">
      <c r="A12007" s="318">
        <v>94395425837</v>
      </c>
      <c r="B12007" s="318" t="s">
        <v>23</v>
      </c>
    </row>
    <row r="12008" spans="1:2" ht="12.75" customHeight="1" x14ac:dyDescent="0.25">
      <c r="A12008" s="318">
        <v>94395425838</v>
      </c>
      <c r="B12008" s="318" t="s">
        <v>23</v>
      </c>
    </row>
    <row r="12009" spans="1:2" ht="12.75" customHeight="1" x14ac:dyDescent="0.25">
      <c r="A12009" s="318">
        <v>94395425839</v>
      </c>
      <c r="B12009" s="318" t="s">
        <v>23</v>
      </c>
    </row>
    <row r="12010" spans="1:2" ht="12.75" customHeight="1" x14ac:dyDescent="0.25">
      <c r="A12010" s="318">
        <v>94395425840</v>
      </c>
      <c r="B12010" s="318" t="s">
        <v>23</v>
      </c>
    </row>
    <row r="12011" spans="1:2" ht="12.75" customHeight="1" x14ac:dyDescent="0.25">
      <c r="A12011" s="318">
        <v>94395425841</v>
      </c>
      <c r="B12011" s="318" t="s">
        <v>23</v>
      </c>
    </row>
    <row r="12012" spans="1:2" ht="12.75" customHeight="1" x14ac:dyDescent="0.25">
      <c r="A12012" s="318">
        <v>94395425842</v>
      </c>
      <c r="B12012" s="318" t="s">
        <v>237</v>
      </c>
    </row>
    <row r="12013" spans="1:2" ht="12.75" customHeight="1" x14ac:dyDescent="0.25">
      <c r="A12013" s="318">
        <v>94395425843</v>
      </c>
      <c r="B12013" s="318" t="s">
        <v>237</v>
      </c>
    </row>
    <row r="12014" spans="1:2" ht="12.75" customHeight="1" x14ac:dyDescent="0.25">
      <c r="A12014" s="318">
        <v>94395425845</v>
      </c>
      <c r="B12014" s="318" t="s">
        <v>237</v>
      </c>
    </row>
    <row r="12015" spans="1:2" ht="12.75" customHeight="1" x14ac:dyDescent="0.25">
      <c r="A12015" s="318">
        <v>94395425846</v>
      </c>
      <c r="B12015" s="318" t="s">
        <v>237</v>
      </c>
    </row>
    <row r="12016" spans="1:2" ht="12.75" customHeight="1" x14ac:dyDescent="0.25">
      <c r="A12016" s="318">
        <v>94395425847</v>
      </c>
      <c r="B12016" s="318" t="s">
        <v>237</v>
      </c>
    </row>
    <row r="12017" spans="1:2" ht="12.75" customHeight="1" x14ac:dyDescent="0.25">
      <c r="A12017" s="318">
        <v>94395425848</v>
      </c>
      <c r="B12017" s="318" t="s">
        <v>237</v>
      </c>
    </row>
    <row r="12018" spans="1:2" ht="12.75" customHeight="1" x14ac:dyDescent="0.25">
      <c r="A12018" s="318">
        <v>94395425849</v>
      </c>
      <c r="B12018" s="318" t="s">
        <v>237</v>
      </c>
    </row>
    <row r="12019" spans="1:2" ht="12.75" customHeight="1" x14ac:dyDescent="0.25">
      <c r="A12019" s="318">
        <v>94395425850</v>
      </c>
      <c r="B12019" s="318" t="s">
        <v>237</v>
      </c>
    </row>
    <row r="12020" spans="1:2" ht="12.75" customHeight="1" x14ac:dyDescent="0.25">
      <c r="A12020" s="318">
        <v>94395425851</v>
      </c>
      <c r="B12020" s="318" t="s">
        <v>237</v>
      </c>
    </row>
    <row r="12021" spans="1:2" ht="12.75" customHeight="1" x14ac:dyDescent="0.25">
      <c r="A12021" s="318">
        <v>94395425852</v>
      </c>
      <c r="B12021" s="318" t="s">
        <v>237</v>
      </c>
    </row>
    <row r="12022" spans="1:2" ht="12.75" customHeight="1" x14ac:dyDescent="0.25">
      <c r="A12022" s="318">
        <v>94395425936</v>
      </c>
      <c r="B12022" s="318" t="s">
        <v>237</v>
      </c>
    </row>
    <row r="12023" spans="1:2" ht="12.75" customHeight="1" x14ac:dyDescent="0.25">
      <c r="A12023" s="318">
        <v>94395425937</v>
      </c>
      <c r="B12023" s="318" t="s">
        <v>237</v>
      </c>
    </row>
    <row r="12024" spans="1:2" ht="12.75" customHeight="1" x14ac:dyDescent="0.25">
      <c r="A12024" s="318">
        <v>94395425938</v>
      </c>
      <c r="B12024" s="318" t="s">
        <v>237</v>
      </c>
    </row>
    <row r="12025" spans="1:2" ht="12.75" customHeight="1" x14ac:dyDescent="0.25">
      <c r="A12025" s="318">
        <v>94395425939</v>
      </c>
      <c r="B12025" s="318" t="s">
        <v>237</v>
      </c>
    </row>
    <row r="12026" spans="1:2" ht="12.75" customHeight="1" x14ac:dyDescent="0.25">
      <c r="A12026" s="318">
        <v>94395425940</v>
      </c>
      <c r="B12026" s="318" t="s">
        <v>237</v>
      </c>
    </row>
    <row r="12027" spans="1:2" ht="12.75" customHeight="1" x14ac:dyDescent="0.25">
      <c r="A12027" s="318">
        <v>94395425941</v>
      </c>
      <c r="B12027" s="318" t="s">
        <v>237</v>
      </c>
    </row>
    <row r="12028" spans="1:2" ht="12.75" customHeight="1" x14ac:dyDescent="0.25">
      <c r="A12028" s="318">
        <v>94395425942</v>
      </c>
      <c r="B12028" s="318" t="s">
        <v>237</v>
      </c>
    </row>
    <row r="12029" spans="1:2" ht="12.75" customHeight="1" x14ac:dyDescent="0.25">
      <c r="A12029" s="318">
        <v>94395425943</v>
      </c>
      <c r="B12029" s="318" t="s">
        <v>237</v>
      </c>
    </row>
    <row r="12030" spans="1:2" ht="12.75" customHeight="1" x14ac:dyDescent="0.25">
      <c r="A12030" s="318">
        <v>94395425945</v>
      </c>
      <c r="B12030" s="318" t="s">
        <v>237</v>
      </c>
    </row>
    <row r="12031" spans="1:2" ht="12.75" customHeight="1" x14ac:dyDescent="0.25">
      <c r="A12031" s="318">
        <v>94395425946</v>
      </c>
      <c r="B12031" s="318" t="s">
        <v>237</v>
      </c>
    </row>
    <row r="12032" spans="1:2" ht="12.75" customHeight="1" x14ac:dyDescent="0.25">
      <c r="A12032" s="318">
        <v>94395425947</v>
      </c>
      <c r="B12032" s="318" t="s">
        <v>237</v>
      </c>
    </row>
    <row r="12033" spans="1:2" ht="12.75" customHeight="1" x14ac:dyDescent="0.25">
      <c r="A12033" s="318">
        <v>94395425948</v>
      </c>
      <c r="B12033" s="318" t="s">
        <v>237</v>
      </c>
    </row>
    <row r="12034" spans="1:2" ht="12.75" customHeight="1" x14ac:dyDescent="0.25">
      <c r="A12034" s="318">
        <v>94395425949</v>
      </c>
      <c r="B12034" s="318" t="s">
        <v>237</v>
      </c>
    </row>
    <row r="12035" spans="1:2" ht="12.75" customHeight="1" x14ac:dyDescent="0.25">
      <c r="A12035" s="318">
        <v>94395425950</v>
      </c>
      <c r="B12035" s="318" t="s">
        <v>237</v>
      </c>
    </row>
    <row r="12036" spans="1:2" ht="12.75" customHeight="1" x14ac:dyDescent="0.25">
      <c r="A12036" s="318">
        <v>94395425951</v>
      </c>
      <c r="B12036" s="318" t="s">
        <v>237</v>
      </c>
    </row>
    <row r="12037" spans="1:2" ht="12.75" customHeight="1" x14ac:dyDescent="0.25">
      <c r="A12037" s="318">
        <v>94395425952</v>
      </c>
      <c r="B12037" s="318" t="s">
        <v>237</v>
      </c>
    </row>
    <row r="12038" spans="1:2" ht="12.75" customHeight="1" x14ac:dyDescent="0.25">
      <c r="A12038" s="318">
        <v>94395906809</v>
      </c>
      <c r="B12038" s="318" t="s">
        <v>23</v>
      </c>
    </row>
    <row r="12039" spans="1:2" ht="12.75" customHeight="1" x14ac:dyDescent="0.25">
      <c r="A12039" s="318">
        <v>94395906810</v>
      </c>
      <c r="B12039" s="318" t="s">
        <v>23</v>
      </c>
    </row>
    <row r="12040" spans="1:2" ht="12.75" customHeight="1" x14ac:dyDescent="0.25">
      <c r="A12040" s="318">
        <v>94395906811</v>
      </c>
      <c r="B12040" s="318" t="s">
        <v>23</v>
      </c>
    </row>
    <row r="12041" spans="1:2" ht="12.75" customHeight="1" x14ac:dyDescent="0.25">
      <c r="A12041" s="318">
        <v>94395906812</v>
      </c>
      <c r="B12041" s="318" t="s">
        <v>23</v>
      </c>
    </row>
    <row r="12042" spans="1:2" ht="12.75" customHeight="1" x14ac:dyDescent="0.25">
      <c r="A12042" s="318">
        <v>94395906813</v>
      </c>
      <c r="B12042" s="318" t="s">
        <v>23</v>
      </c>
    </row>
    <row r="12043" spans="1:2" ht="12.75" customHeight="1" x14ac:dyDescent="0.25">
      <c r="A12043" s="318">
        <v>94395906814</v>
      </c>
      <c r="B12043" s="318" t="s">
        <v>23</v>
      </c>
    </row>
    <row r="12044" spans="1:2" ht="12.75" customHeight="1" x14ac:dyDescent="0.25">
      <c r="A12044" s="318">
        <v>94395906815</v>
      </c>
      <c r="B12044" s="318" t="s">
        <v>237</v>
      </c>
    </row>
    <row r="12045" spans="1:2" ht="12.75" customHeight="1" x14ac:dyDescent="0.25">
      <c r="A12045" s="318">
        <v>94395906816</v>
      </c>
      <c r="B12045" s="318" t="s">
        <v>237</v>
      </c>
    </row>
    <row r="12046" spans="1:2" ht="12.75" customHeight="1" x14ac:dyDescent="0.25">
      <c r="A12046" s="318">
        <v>94395906818</v>
      </c>
      <c r="B12046" s="318" t="s">
        <v>237</v>
      </c>
    </row>
    <row r="12047" spans="1:2" ht="12.75" customHeight="1" x14ac:dyDescent="0.25">
      <c r="A12047" s="318">
        <v>94395906819</v>
      </c>
      <c r="B12047" s="318" t="s">
        <v>237</v>
      </c>
    </row>
    <row r="12048" spans="1:2" ht="12.75" customHeight="1" x14ac:dyDescent="0.25">
      <c r="A12048" s="318">
        <v>94395906820</v>
      </c>
      <c r="B12048" s="318" t="s">
        <v>237</v>
      </c>
    </row>
    <row r="12049" spans="1:2" ht="12.75" customHeight="1" x14ac:dyDescent="0.25">
      <c r="A12049" s="318">
        <v>94395906821</v>
      </c>
      <c r="B12049" s="318" t="s">
        <v>237</v>
      </c>
    </row>
    <row r="12050" spans="1:2" ht="12.75" customHeight="1" x14ac:dyDescent="0.25">
      <c r="A12050" s="318">
        <v>94395906822</v>
      </c>
      <c r="B12050" s="318" t="s">
        <v>237</v>
      </c>
    </row>
    <row r="12051" spans="1:2" ht="12.75" customHeight="1" x14ac:dyDescent="0.25">
      <c r="A12051" s="318">
        <v>94395906823</v>
      </c>
      <c r="B12051" s="318" t="s">
        <v>237</v>
      </c>
    </row>
    <row r="12052" spans="1:2" ht="12.75" customHeight="1" x14ac:dyDescent="0.25">
      <c r="A12052" s="318">
        <v>94395906824</v>
      </c>
      <c r="B12052" s="318" t="s">
        <v>237</v>
      </c>
    </row>
    <row r="12053" spans="1:2" ht="12.75" customHeight="1" x14ac:dyDescent="0.25">
      <c r="A12053" s="318">
        <v>94395906825</v>
      </c>
      <c r="B12053" s="318" t="s">
        <v>237</v>
      </c>
    </row>
    <row r="12054" spans="1:2" ht="12.75" customHeight="1" x14ac:dyDescent="0.25">
      <c r="A12054" s="318">
        <v>94395906909</v>
      </c>
      <c r="B12054" s="318" t="s">
        <v>237</v>
      </c>
    </row>
    <row r="12055" spans="1:2" ht="12.75" customHeight="1" x14ac:dyDescent="0.25">
      <c r="A12055" s="318">
        <v>94395906910</v>
      </c>
      <c r="B12055" s="318" t="s">
        <v>237</v>
      </c>
    </row>
    <row r="12056" spans="1:2" ht="12.75" customHeight="1" x14ac:dyDescent="0.25">
      <c r="A12056" s="318">
        <v>94395906911</v>
      </c>
      <c r="B12056" s="318" t="s">
        <v>237</v>
      </c>
    </row>
    <row r="12057" spans="1:2" ht="12.75" customHeight="1" x14ac:dyDescent="0.25">
      <c r="A12057" s="318">
        <v>94395906912</v>
      </c>
      <c r="B12057" s="318" t="s">
        <v>237</v>
      </c>
    </row>
    <row r="12058" spans="1:2" ht="12.75" customHeight="1" x14ac:dyDescent="0.25">
      <c r="A12058" s="318">
        <v>94395906913</v>
      </c>
      <c r="B12058" s="318" t="s">
        <v>237</v>
      </c>
    </row>
    <row r="12059" spans="1:2" ht="12.75" customHeight="1" x14ac:dyDescent="0.25">
      <c r="A12059" s="318">
        <v>94395906914</v>
      </c>
      <c r="B12059" s="318" t="s">
        <v>237</v>
      </c>
    </row>
    <row r="12060" spans="1:2" ht="12.75" customHeight="1" x14ac:dyDescent="0.25">
      <c r="A12060" s="318">
        <v>94395906915</v>
      </c>
      <c r="B12060" s="318" t="s">
        <v>237</v>
      </c>
    </row>
    <row r="12061" spans="1:2" ht="12.75" customHeight="1" x14ac:dyDescent="0.25">
      <c r="A12061" s="318">
        <v>94395906916</v>
      </c>
      <c r="B12061" s="318" t="s">
        <v>237</v>
      </c>
    </row>
    <row r="12062" spans="1:2" ht="12.75" customHeight="1" x14ac:dyDescent="0.25">
      <c r="A12062" s="318">
        <v>94395906918</v>
      </c>
      <c r="B12062" s="318" t="s">
        <v>237</v>
      </c>
    </row>
    <row r="12063" spans="1:2" ht="12.75" customHeight="1" x14ac:dyDescent="0.25">
      <c r="A12063" s="318">
        <v>94395906919</v>
      </c>
      <c r="B12063" s="318" t="s">
        <v>237</v>
      </c>
    </row>
    <row r="12064" spans="1:2" ht="12.75" customHeight="1" x14ac:dyDescent="0.25">
      <c r="A12064" s="318">
        <v>94395906920</v>
      </c>
      <c r="B12064" s="318" t="s">
        <v>237</v>
      </c>
    </row>
    <row r="12065" spans="1:2" ht="12.75" customHeight="1" x14ac:dyDescent="0.25">
      <c r="A12065" s="318">
        <v>94395906921</v>
      </c>
      <c r="B12065" s="318" t="s">
        <v>237</v>
      </c>
    </row>
    <row r="12066" spans="1:2" ht="12.75" customHeight="1" x14ac:dyDescent="0.25">
      <c r="A12066" s="318">
        <v>94395906922</v>
      </c>
      <c r="B12066" s="318" t="s">
        <v>237</v>
      </c>
    </row>
    <row r="12067" spans="1:2" ht="12.75" customHeight="1" x14ac:dyDescent="0.25">
      <c r="A12067" s="318">
        <v>94395906923</v>
      </c>
      <c r="B12067" s="318" t="s">
        <v>237</v>
      </c>
    </row>
    <row r="12068" spans="1:2" ht="12.75" customHeight="1" x14ac:dyDescent="0.25">
      <c r="A12068" s="318">
        <v>94395906924</v>
      </c>
      <c r="B12068" s="318" t="s">
        <v>237</v>
      </c>
    </row>
    <row r="12069" spans="1:2" ht="12.75" customHeight="1" x14ac:dyDescent="0.25">
      <c r="A12069" s="318">
        <v>94395906925</v>
      </c>
      <c r="B12069" s="318" t="s">
        <v>237</v>
      </c>
    </row>
    <row r="12070" spans="1:2" ht="12.75" customHeight="1" x14ac:dyDescent="0.25">
      <c r="A12070" s="318">
        <v>94396587000</v>
      </c>
      <c r="B12070" s="318" t="s">
        <v>23</v>
      </c>
    </row>
    <row r="12071" spans="1:2" ht="12.75" customHeight="1" x14ac:dyDescent="0.25">
      <c r="A12071" s="318">
        <v>94396587001</v>
      </c>
      <c r="B12071" s="318" t="s">
        <v>23</v>
      </c>
    </row>
    <row r="12072" spans="1:2" ht="12.75" customHeight="1" x14ac:dyDescent="0.25">
      <c r="A12072" s="318">
        <v>94396587002</v>
      </c>
      <c r="B12072" s="318" t="s">
        <v>23</v>
      </c>
    </row>
    <row r="12073" spans="1:2" ht="12.75" customHeight="1" x14ac:dyDescent="0.25">
      <c r="A12073" s="318">
        <v>94396587003</v>
      </c>
      <c r="B12073" s="318" t="s">
        <v>23</v>
      </c>
    </row>
    <row r="12074" spans="1:2" ht="12.75" customHeight="1" x14ac:dyDescent="0.25">
      <c r="A12074" s="318">
        <v>94396587004</v>
      </c>
      <c r="B12074" s="318" t="s">
        <v>23</v>
      </c>
    </row>
    <row r="12075" spans="1:2" ht="12.75" customHeight="1" x14ac:dyDescent="0.25">
      <c r="A12075" s="318">
        <v>94396587005</v>
      </c>
      <c r="B12075" s="318" t="s">
        <v>23</v>
      </c>
    </row>
    <row r="12076" spans="1:2" ht="12.75" customHeight="1" x14ac:dyDescent="0.25">
      <c r="A12076" s="318">
        <v>94396587006</v>
      </c>
      <c r="B12076" s="318" t="s">
        <v>237</v>
      </c>
    </row>
    <row r="12077" spans="1:2" ht="12.75" customHeight="1" x14ac:dyDescent="0.25">
      <c r="A12077" s="318">
        <v>94396587007</v>
      </c>
      <c r="B12077" s="318" t="s">
        <v>237</v>
      </c>
    </row>
    <row r="12078" spans="1:2" ht="12.75" customHeight="1" x14ac:dyDescent="0.25">
      <c r="A12078" s="318">
        <v>94396587009</v>
      </c>
      <c r="B12078" s="318" t="s">
        <v>237</v>
      </c>
    </row>
    <row r="12079" spans="1:2" ht="12.75" customHeight="1" x14ac:dyDescent="0.25">
      <c r="A12079" s="318">
        <v>94396587010</v>
      </c>
      <c r="B12079" s="318" t="s">
        <v>237</v>
      </c>
    </row>
    <row r="12080" spans="1:2" ht="12.75" customHeight="1" x14ac:dyDescent="0.25">
      <c r="A12080" s="318">
        <v>94396587011</v>
      </c>
      <c r="B12080" s="318" t="s">
        <v>237</v>
      </c>
    </row>
    <row r="12081" spans="1:2" ht="12.75" customHeight="1" x14ac:dyDescent="0.25">
      <c r="A12081" s="318">
        <v>94396587012</v>
      </c>
      <c r="B12081" s="318" t="s">
        <v>237</v>
      </c>
    </row>
    <row r="12082" spans="1:2" ht="12.75" customHeight="1" x14ac:dyDescent="0.25">
      <c r="A12082" s="318">
        <v>94396587013</v>
      </c>
      <c r="B12082" s="318" t="s">
        <v>237</v>
      </c>
    </row>
    <row r="12083" spans="1:2" ht="12.75" customHeight="1" x14ac:dyDescent="0.25">
      <c r="A12083" s="318">
        <v>94396587014</v>
      </c>
      <c r="B12083" s="318" t="s">
        <v>237</v>
      </c>
    </row>
    <row r="12084" spans="1:2" ht="12.75" customHeight="1" x14ac:dyDescent="0.25">
      <c r="A12084" s="318">
        <v>94396587015</v>
      </c>
      <c r="B12084" s="318" t="s">
        <v>237</v>
      </c>
    </row>
    <row r="12085" spans="1:2" ht="12.75" customHeight="1" x14ac:dyDescent="0.25">
      <c r="A12085" s="318">
        <v>94396587016</v>
      </c>
      <c r="B12085" s="318" t="s">
        <v>237</v>
      </c>
    </row>
    <row r="12086" spans="1:2" ht="12.75" customHeight="1" x14ac:dyDescent="0.25">
      <c r="A12086" s="318">
        <v>94396587100</v>
      </c>
      <c r="B12086" s="318" t="s">
        <v>237</v>
      </c>
    </row>
    <row r="12087" spans="1:2" ht="12.75" customHeight="1" x14ac:dyDescent="0.25">
      <c r="A12087" s="318">
        <v>94396587101</v>
      </c>
      <c r="B12087" s="318" t="s">
        <v>237</v>
      </c>
    </row>
    <row r="12088" spans="1:2" ht="12.75" customHeight="1" x14ac:dyDescent="0.25">
      <c r="A12088" s="318">
        <v>94396587102</v>
      </c>
      <c r="B12088" s="318" t="s">
        <v>237</v>
      </c>
    </row>
    <row r="12089" spans="1:2" ht="12.75" customHeight="1" x14ac:dyDescent="0.25">
      <c r="A12089" s="318">
        <v>94396587103</v>
      </c>
      <c r="B12089" s="318" t="s">
        <v>237</v>
      </c>
    </row>
    <row r="12090" spans="1:2" ht="12.75" customHeight="1" x14ac:dyDescent="0.25">
      <c r="A12090" s="318">
        <v>94396587104</v>
      </c>
      <c r="B12090" s="318" t="s">
        <v>237</v>
      </c>
    </row>
    <row r="12091" spans="1:2" ht="12.75" customHeight="1" x14ac:dyDescent="0.25">
      <c r="A12091" s="318">
        <v>94396587105</v>
      </c>
      <c r="B12091" s="318" t="s">
        <v>237</v>
      </c>
    </row>
    <row r="12092" spans="1:2" ht="12.75" customHeight="1" x14ac:dyDescent="0.25">
      <c r="A12092" s="318">
        <v>94396587106</v>
      </c>
      <c r="B12092" s="318" t="s">
        <v>237</v>
      </c>
    </row>
    <row r="12093" spans="1:2" ht="12.75" customHeight="1" x14ac:dyDescent="0.25">
      <c r="A12093" s="318">
        <v>94396587107</v>
      </c>
      <c r="B12093" s="318" t="s">
        <v>237</v>
      </c>
    </row>
    <row r="12094" spans="1:2" ht="12.75" customHeight="1" x14ac:dyDescent="0.25">
      <c r="A12094" s="318">
        <v>94396587109</v>
      </c>
      <c r="B12094" s="318" t="s">
        <v>237</v>
      </c>
    </row>
    <row r="12095" spans="1:2" ht="12.75" customHeight="1" x14ac:dyDescent="0.25">
      <c r="A12095" s="318">
        <v>94396587110</v>
      </c>
      <c r="B12095" s="318" t="s">
        <v>237</v>
      </c>
    </row>
    <row r="12096" spans="1:2" ht="12.75" customHeight="1" x14ac:dyDescent="0.25">
      <c r="A12096" s="318">
        <v>94396587111</v>
      </c>
      <c r="B12096" s="318" t="s">
        <v>237</v>
      </c>
    </row>
    <row r="12097" spans="1:2" ht="12.75" customHeight="1" x14ac:dyDescent="0.25">
      <c r="A12097" s="318">
        <v>94396587112</v>
      </c>
      <c r="B12097" s="318" t="s">
        <v>237</v>
      </c>
    </row>
    <row r="12098" spans="1:2" ht="12.75" customHeight="1" x14ac:dyDescent="0.25">
      <c r="A12098" s="318">
        <v>94396587113</v>
      </c>
      <c r="B12098" s="318" t="s">
        <v>237</v>
      </c>
    </row>
    <row r="12099" spans="1:2" ht="12.75" customHeight="1" x14ac:dyDescent="0.25">
      <c r="A12099" s="318">
        <v>94396587114</v>
      </c>
      <c r="B12099" s="318" t="s">
        <v>237</v>
      </c>
    </row>
    <row r="12100" spans="1:2" ht="12.75" customHeight="1" x14ac:dyDescent="0.25">
      <c r="A12100" s="318">
        <v>94396587115</v>
      </c>
      <c r="B12100" s="318" t="s">
        <v>237</v>
      </c>
    </row>
    <row r="12101" spans="1:2" ht="12.75" customHeight="1" x14ac:dyDescent="0.25">
      <c r="A12101" s="318">
        <v>94396587116</v>
      </c>
      <c r="B12101" s="318" t="s">
        <v>237</v>
      </c>
    </row>
    <row r="12102" spans="1:2" ht="12.75" customHeight="1" x14ac:dyDescent="0.25">
      <c r="A12102" s="318">
        <v>94397067973</v>
      </c>
      <c r="B12102" s="318" t="s">
        <v>23</v>
      </c>
    </row>
    <row r="12103" spans="1:2" ht="12.75" customHeight="1" x14ac:dyDescent="0.25">
      <c r="A12103" s="318">
        <v>94397067974</v>
      </c>
      <c r="B12103" s="318" t="s">
        <v>23</v>
      </c>
    </row>
    <row r="12104" spans="1:2" ht="12.75" customHeight="1" x14ac:dyDescent="0.25">
      <c r="A12104" s="318">
        <v>94397067975</v>
      </c>
      <c r="B12104" s="318" t="s">
        <v>23</v>
      </c>
    </row>
    <row r="12105" spans="1:2" ht="12.75" customHeight="1" x14ac:dyDescent="0.25">
      <c r="A12105" s="318">
        <v>94397067976</v>
      </c>
      <c r="B12105" s="318" t="s">
        <v>23</v>
      </c>
    </row>
    <row r="12106" spans="1:2" ht="12.75" customHeight="1" x14ac:dyDescent="0.25">
      <c r="A12106" s="318">
        <v>94397067977</v>
      </c>
      <c r="B12106" s="318" t="s">
        <v>23</v>
      </c>
    </row>
    <row r="12107" spans="1:2" ht="12.75" customHeight="1" x14ac:dyDescent="0.25">
      <c r="A12107" s="318">
        <v>94397067978</v>
      </c>
      <c r="B12107" s="318" t="s">
        <v>23</v>
      </c>
    </row>
    <row r="12108" spans="1:2" ht="12.75" customHeight="1" x14ac:dyDescent="0.25">
      <c r="A12108" s="318">
        <v>94397067979</v>
      </c>
      <c r="B12108" s="318" t="s">
        <v>237</v>
      </c>
    </row>
    <row r="12109" spans="1:2" ht="12.75" customHeight="1" x14ac:dyDescent="0.25">
      <c r="A12109" s="318">
        <v>94397067980</v>
      </c>
      <c r="B12109" s="318" t="s">
        <v>237</v>
      </c>
    </row>
    <row r="12110" spans="1:2" ht="12.75" customHeight="1" x14ac:dyDescent="0.25">
      <c r="A12110" s="318">
        <v>94397067982</v>
      </c>
      <c r="B12110" s="318" t="s">
        <v>237</v>
      </c>
    </row>
    <row r="12111" spans="1:2" ht="12.75" customHeight="1" x14ac:dyDescent="0.25">
      <c r="A12111" s="318">
        <v>94397067983</v>
      </c>
      <c r="B12111" s="318" t="s">
        <v>237</v>
      </c>
    </row>
    <row r="12112" spans="1:2" ht="12.75" customHeight="1" x14ac:dyDescent="0.25">
      <c r="A12112" s="318">
        <v>94397067984</v>
      </c>
      <c r="B12112" s="318" t="s">
        <v>237</v>
      </c>
    </row>
    <row r="12113" spans="1:2" ht="12.75" customHeight="1" x14ac:dyDescent="0.25">
      <c r="A12113" s="318">
        <v>94397067985</v>
      </c>
      <c r="B12113" s="318" t="s">
        <v>237</v>
      </c>
    </row>
    <row r="12114" spans="1:2" ht="12.75" customHeight="1" x14ac:dyDescent="0.25">
      <c r="A12114" s="318">
        <v>94397067986</v>
      </c>
      <c r="B12114" s="318" t="s">
        <v>237</v>
      </c>
    </row>
    <row r="12115" spans="1:2" ht="12.75" customHeight="1" x14ac:dyDescent="0.25">
      <c r="A12115" s="318">
        <v>94397067987</v>
      </c>
      <c r="B12115" s="318" t="s">
        <v>237</v>
      </c>
    </row>
    <row r="12116" spans="1:2" ht="12.75" customHeight="1" x14ac:dyDescent="0.25">
      <c r="A12116" s="318">
        <v>94397067988</v>
      </c>
      <c r="B12116" s="318" t="s">
        <v>237</v>
      </c>
    </row>
    <row r="12117" spans="1:2" ht="12.75" customHeight="1" x14ac:dyDescent="0.25">
      <c r="A12117" s="318">
        <v>94397067989</v>
      </c>
      <c r="B12117" s="318" t="s">
        <v>237</v>
      </c>
    </row>
    <row r="12118" spans="1:2" ht="12.75" customHeight="1" x14ac:dyDescent="0.25">
      <c r="A12118" s="318">
        <v>94397068073</v>
      </c>
      <c r="B12118" s="318" t="s">
        <v>237</v>
      </c>
    </row>
    <row r="12119" spans="1:2" ht="12.75" customHeight="1" x14ac:dyDescent="0.25">
      <c r="A12119" s="318">
        <v>94397068074</v>
      </c>
      <c r="B12119" s="318" t="s">
        <v>237</v>
      </c>
    </row>
    <row r="12120" spans="1:2" ht="12.75" customHeight="1" x14ac:dyDescent="0.25">
      <c r="A12120" s="318">
        <v>94397068075</v>
      </c>
      <c r="B12120" s="318" t="s">
        <v>237</v>
      </c>
    </row>
    <row r="12121" spans="1:2" ht="12.75" customHeight="1" x14ac:dyDescent="0.25">
      <c r="A12121" s="318">
        <v>94397068076</v>
      </c>
      <c r="B12121" s="318" t="s">
        <v>237</v>
      </c>
    </row>
    <row r="12122" spans="1:2" ht="12.75" customHeight="1" x14ac:dyDescent="0.25">
      <c r="A12122" s="318">
        <v>94397068077</v>
      </c>
      <c r="B12122" s="318" t="s">
        <v>237</v>
      </c>
    </row>
    <row r="12123" spans="1:2" ht="12.75" customHeight="1" x14ac:dyDescent="0.25">
      <c r="A12123" s="318">
        <v>94397068078</v>
      </c>
      <c r="B12123" s="318" t="s">
        <v>237</v>
      </c>
    </row>
    <row r="12124" spans="1:2" ht="12.75" customHeight="1" x14ac:dyDescent="0.25">
      <c r="A12124" s="318">
        <v>94397068079</v>
      </c>
      <c r="B12124" s="318" t="s">
        <v>237</v>
      </c>
    </row>
    <row r="12125" spans="1:2" ht="12.75" customHeight="1" x14ac:dyDescent="0.25">
      <c r="A12125" s="318">
        <v>94397068080</v>
      </c>
      <c r="B12125" s="318" t="s">
        <v>237</v>
      </c>
    </row>
    <row r="12126" spans="1:2" ht="12.75" customHeight="1" x14ac:dyDescent="0.25">
      <c r="A12126" s="318">
        <v>94397068082</v>
      </c>
      <c r="B12126" s="318" t="s">
        <v>237</v>
      </c>
    </row>
    <row r="12127" spans="1:2" ht="12.75" customHeight="1" x14ac:dyDescent="0.25">
      <c r="A12127" s="318">
        <v>94397068083</v>
      </c>
      <c r="B12127" s="318" t="s">
        <v>237</v>
      </c>
    </row>
    <row r="12128" spans="1:2" ht="12.75" customHeight="1" x14ac:dyDescent="0.25">
      <c r="A12128" s="318">
        <v>94397068084</v>
      </c>
      <c r="B12128" s="318" t="s">
        <v>237</v>
      </c>
    </row>
    <row r="12129" spans="1:2" ht="12.75" customHeight="1" x14ac:dyDescent="0.25">
      <c r="A12129" s="318">
        <v>94397068085</v>
      </c>
      <c r="B12129" s="318" t="s">
        <v>237</v>
      </c>
    </row>
    <row r="12130" spans="1:2" ht="12.75" customHeight="1" x14ac:dyDescent="0.25">
      <c r="A12130" s="318">
        <v>94397068086</v>
      </c>
      <c r="B12130" s="318" t="s">
        <v>237</v>
      </c>
    </row>
    <row r="12131" spans="1:2" ht="12.75" customHeight="1" x14ac:dyDescent="0.25">
      <c r="A12131" s="318">
        <v>94397068087</v>
      </c>
      <c r="B12131" s="318" t="s">
        <v>237</v>
      </c>
    </row>
    <row r="12132" spans="1:2" ht="12.75" customHeight="1" x14ac:dyDescent="0.25">
      <c r="A12132" s="318">
        <v>94397068088</v>
      </c>
      <c r="B12132" s="318" t="s">
        <v>237</v>
      </c>
    </row>
    <row r="12133" spans="1:2" ht="12.75" customHeight="1" x14ac:dyDescent="0.25">
      <c r="A12133" s="318">
        <v>94397068089</v>
      </c>
      <c r="B12133" s="318" t="s">
        <v>237</v>
      </c>
    </row>
    <row r="12134" spans="1:2" ht="12.75" customHeight="1" x14ac:dyDescent="0.25">
      <c r="A12134" s="318">
        <v>94397548946</v>
      </c>
      <c r="B12134" s="318" t="s">
        <v>23</v>
      </c>
    </row>
    <row r="12135" spans="1:2" ht="12.75" customHeight="1" x14ac:dyDescent="0.25">
      <c r="A12135" s="318">
        <v>94397548947</v>
      </c>
      <c r="B12135" s="318" t="s">
        <v>23</v>
      </c>
    </row>
    <row r="12136" spans="1:2" ht="12.75" customHeight="1" x14ac:dyDescent="0.25">
      <c r="A12136" s="318">
        <v>94397548948</v>
      </c>
      <c r="B12136" s="318" t="s">
        <v>23</v>
      </c>
    </row>
    <row r="12137" spans="1:2" ht="12.75" customHeight="1" x14ac:dyDescent="0.25">
      <c r="A12137" s="318">
        <v>94397548949</v>
      </c>
      <c r="B12137" s="318" t="s">
        <v>23</v>
      </c>
    </row>
    <row r="12138" spans="1:2" ht="12.75" customHeight="1" x14ac:dyDescent="0.25">
      <c r="A12138" s="318">
        <v>94397548950</v>
      </c>
      <c r="B12138" s="318" t="s">
        <v>23</v>
      </c>
    </row>
    <row r="12139" spans="1:2" ht="12.75" customHeight="1" x14ac:dyDescent="0.25">
      <c r="A12139" s="318">
        <v>94397548951</v>
      </c>
      <c r="B12139" s="318" t="s">
        <v>23</v>
      </c>
    </row>
    <row r="12140" spans="1:2" ht="12.75" customHeight="1" x14ac:dyDescent="0.25">
      <c r="A12140" s="318">
        <v>94397548952</v>
      </c>
      <c r="B12140" s="318" t="s">
        <v>237</v>
      </c>
    </row>
    <row r="12141" spans="1:2" ht="12.75" customHeight="1" x14ac:dyDescent="0.25">
      <c r="A12141" s="318">
        <v>94397548953</v>
      </c>
      <c r="B12141" s="318" t="s">
        <v>237</v>
      </c>
    </row>
    <row r="12142" spans="1:2" ht="12.75" customHeight="1" x14ac:dyDescent="0.25">
      <c r="A12142" s="318">
        <v>94397548955</v>
      </c>
      <c r="B12142" s="318" t="s">
        <v>237</v>
      </c>
    </row>
    <row r="12143" spans="1:2" ht="12.75" customHeight="1" x14ac:dyDescent="0.25">
      <c r="A12143" s="318">
        <v>94397548956</v>
      </c>
      <c r="B12143" s="318" t="s">
        <v>237</v>
      </c>
    </row>
    <row r="12144" spans="1:2" ht="12.75" customHeight="1" x14ac:dyDescent="0.25">
      <c r="A12144" s="318">
        <v>94397548957</v>
      </c>
      <c r="B12144" s="318" t="s">
        <v>237</v>
      </c>
    </row>
    <row r="12145" spans="1:2" ht="12.75" customHeight="1" x14ac:dyDescent="0.25">
      <c r="A12145" s="318">
        <v>94397548958</v>
      </c>
      <c r="B12145" s="318" t="s">
        <v>237</v>
      </c>
    </row>
    <row r="12146" spans="1:2" ht="12.75" customHeight="1" x14ac:dyDescent="0.25">
      <c r="A12146" s="318">
        <v>94397548959</v>
      </c>
      <c r="B12146" s="318" t="s">
        <v>237</v>
      </c>
    </row>
    <row r="12147" spans="1:2" ht="12.75" customHeight="1" x14ac:dyDescent="0.25">
      <c r="A12147" s="318">
        <v>94397548960</v>
      </c>
      <c r="B12147" s="318" t="s">
        <v>237</v>
      </c>
    </row>
    <row r="12148" spans="1:2" ht="12.75" customHeight="1" x14ac:dyDescent="0.25">
      <c r="A12148" s="318">
        <v>94397548961</v>
      </c>
      <c r="B12148" s="318" t="s">
        <v>237</v>
      </c>
    </row>
    <row r="12149" spans="1:2" ht="12.75" customHeight="1" x14ac:dyDescent="0.25">
      <c r="A12149" s="318">
        <v>94397548962</v>
      </c>
      <c r="B12149" s="318" t="s">
        <v>237</v>
      </c>
    </row>
    <row r="12150" spans="1:2" ht="12.75" customHeight="1" x14ac:dyDescent="0.25">
      <c r="A12150" s="318">
        <v>94397549046</v>
      </c>
      <c r="B12150" s="318" t="s">
        <v>237</v>
      </c>
    </row>
    <row r="12151" spans="1:2" ht="12.75" customHeight="1" x14ac:dyDescent="0.25">
      <c r="A12151" s="318">
        <v>94397549047</v>
      </c>
      <c r="B12151" s="318" t="s">
        <v>237</v>
      </c>
    </row>
    <row r="12152" spans="1:2" ht="12.75" customHeight="1" x14ac:dyDescent="0.25">
      <c r="A12152" s="318">
        <v>94397549048</v>
      </c>
      <c r="B12152" s="318" t="s">
        <v>237</v>
      </c>
    </row>
    <row r="12153" spans="1:2" ht="12.75" customHeight="1" x14ac:dyDescent="0.25">
      <c r="A12153" s="318">
        <v>94397549049</v>
      </c>
      <c r="B12153" s="318" t="s">
        <v>237</v>
      </c>
    </row>
    <row r="12154" spans="1:2" ht="12.75" customHeight="1" x14ac:dyDescent="0.25">
      <c r="A12154" s="318">
        <v>94397549050</v>
      </c>
      <c r="B12154" s="318" t="s">
        <v>237</v>
      </c>
    </row>
    <row r="12155" spans="1:2" ht="12.75" customHeight="1" x14ac:dyDescent="0.25">
      <c r="A12155" s="318">
        <v>94397549051</v>
      </c>
      <c r="B12155" s="318" t="s">
        <v>237</v>
      </c>
    </row>
    <row r="12156" spans="1:2" ht="12.75" customHeight="1" x14ac:dyDescent="0.25">
      <c r="A12156" s="318">
        <v>94397549052</v>
      </c>
      <c r="B12156" s="318" t="s">
        <v>237</v>
      </c>
    </row>
    <row r="12157" spans="1:2" ht="12.75" customHeight="1" x14ac:dyDescent="0.25">
      <c r="A12157" s="318">
        <v>94397549053</v>
      </c>
      <c r="B12157" s="318" t="s">
        <v>237</v>
      </c>
    </row>
    <row r="12158" spans="1:2" ht="12.75" customHeight="1" x14ac:dyDescent="0.25">
      <c r="A12158" s="318">
        <v>94397549055</v>
      </c>
      <c r="B12158" s="318" t="s">
        <v>237</v>
      </c>
    </row>
    <row r="12159" spans="1:2" ht="12.75" customHeight="1" x14ac:dyDescent="0.25">
      <c r="A12159" s="318">
        <v>94397549056</v>
      </c>
      <c r="B12159" s="318" t="s">
        <v>237</v>
      </c>
    </row>
    <row r="12160" spans="1:2" ht="12.75" customHeight="1" x14ac:dyDescent="0.25">
      <c r="A12160" s="318">
        <v>94397549057</v>
      </c>
      <c r="B12160" s="318" t="s">
        <v>237</v>
      </c>
    </row>
    <row r="12161" spans="1:2" ht="12.75" customHeight="1" x14ac:dyDescent="0.25">
      <c r="A12161" s="318">
        <v>94397549058</v>
      </c>
      <c r="B12161" s="318" t="s">
        <v>237</v>
      </c>
    </row>
    <row r="12162" spans="1:2" ht="12.75" customHeight="1" x14ac:dyDescent="0.25">
      <c r="A12162" s="318">
        <v>94397549059</v>
      </c>
      <c r="B12162" s="318" t="s">
        <v>237</v>
      </c>
    </row>
    <row r="12163" spans="1:2" ht="12.75" customHeight="1" x14ac:dyDescent="0.25">
      <c r="A12163" s="318">
        <v>94397549060</v>
      </c>
      <c r="B12163" s="318" t="s">
        <v>237</v>
      </c>
    </row>
    <row r="12164" spans="1:2" ht="12.75" customHeight="1" x14ac:dyDescent="0.25">
      <c r="A12164" s="318">
        <v>94397549061</v>
      </c>
      <c r="B12164" s="318" t="s">
        <v>237</v>
      </c>
    </row>
    <row r="12165" spans="1:2" ht="12.75" customHeight="1" x14ac:dyDescent="0.25">
      <c r="A12165" s="318">
        <v>94397549062</v>
      </c>
      <c r="B12165" s="318" t="s">
        <v>237</v>
      </c>
    </row>
    <row r="12166" spans="1:2" ht="12.75" customHeight="1" x14ac:dyDescent="0.25">
      <c r="A12166" s="318">
        <v>94398229137</v>
      </c>
      <c r="B12166" s="318" t="s">
        <v>23</v>
      </c>
    </row>
    <row r="12167" spans="1:2" ht="12.75" customHeight="1" x14ac:dyDescent="0.25">
      <c r="A12167" s="318">
        <v>94398229138</v>
      </c>
      <c r="B12167" s="318" t="s">
        <v>23</v>
      </c>
    </row>
    <row r="12168" spans="1:2" ht="12.75" customHeight="1" x14ac:dyDescent="0.25">
      <c r="A12168" s="318">
        <v>94398229139</v>
      </c>
      <c r="B12168" s="318" t="s">
        <v>23</v>
      </c>
    </row>
    <row r="12169" spans="1:2" ht="12.75" customHeight="1" x14ac:dyDescent="0.25">
      <c r="A12169" s="318">
        <v>94398229140</v>
      </c>
      <c r="B12169" s="318" t="s">
        <v>23</v>
      </c>
    </row>
    <row r="12170" spans="1:2" ht="12.75" customHeight="1" x14ac:dyDescent="0.25">
      <c r="A12170" s="318">
        <v>94398229141</v>
      </c>
      <c r="B12170" s="318" t="s">
        <v>23</v>
      </c>
    </row>
    <row r="12171" spans="1:2" ht="12.75" customHeight="1" x14ac:dyDescent="0.25">
      <c r="A12171" s="318">
        <v>94398229142</v>
      </c>
      <c r="B12171" s="318" t="s">
        <v>23</v>
      </c>
    </row>
    <row r="12172" spans="1:2" ht="12.75" customHeight="1" x14ac:dyDescent="0.25">
      <c r="A12172" s="318">
        <v>94398229143</v>
      </c>
      <c r="B12172" s="318" t="s">
        <v>237</v>
      </c>
    </row>
    <row r="12173" spans="1:2" ht="12.75" customHeight="1" x14ac:dyDescent="0.25">
      <c r="A12173" s="318">
        <v>94398229144</v>
      </c>
      <c r="B12173" s="318" t="s">
        <v>237</v>
      </c>
    </row>
    <row r="12174" spans="1:2" ht="12.75" customHeight="1" x14ac:dyDescent="0.25">
      <c r="A12174" s="318">
        <v>94398229146</v>
      </c>
      <c r="B12174" s="318" t="s">
        <v>237</v>
      </c>
    </row>
    <row r="12175" spans="1:2" ht="12.75" customHeight="1" x14ac:dyDescent="0.25">
      <c r="A12175" s="318">
        <v>94398229147</v>
      </c>
      <c r="B12175" s="318" t="s">
        <v>237</v>
      </c>
    </row>
    <row r="12176" spans="1:2" ht="12.75" customHeight="1" x14ac:dyDescent="0.25">
      <c r="A12176" s="318">
        <v>94398229148</v>
      </c>
      <c r="B12176" s="318" t="s">
        <v>237</v>
      </c>
    </row>
    <row r="12177" spans="1:2" ht="12.75" customHeight="1" x14ac:dyDescent="0.25">
      <c r="A12177" s="318">
        <v>94398229149</v>
      </c>
      <c r="B12177" s="318" t="s">
        <v>237</v>
      </c>
    </row>
    <row r="12178" spans="1:2" ht="12.75" customHeight="1" x14ac:dyDescent="0.25">
      <c r="A12178" s="318">
        <v>94398229150</v>
      </c>
      <c r="B12178" s="318" t="s">
        <v>237</v>
      </c>
    </row>
    <row r="12179" spans="1:2" ht="12.75" customHeight="1" x14ac:dyDescent="0.25">
      <c r="A12179" s="318">
        <v>94398229151</v>
      </c>
      <c r="B12179" s="318" t="s">
        <v>237</v>
      </c>
    </row>
    <row r="12180" spans="1:2" ht="12.75" customHeight="1" x14ac:dyDescent="0.25">
      <c r="A12180" s="318">
        <v>94398229152</v>
      </c>
      <c r="B12180" s="318" t="s">
        <v>237</v>
      </c>
    </row>
    <row r="12181" spans="1:2" ht="12.75" customHeight="1" x14ac:dyDescent="0.25">
      <c r="A12181" s="318">
        <v>94398229153</v>
      </c>
      <c r="B12181" s="318" t="s">
        <v>237</v>
      </c>
    </row>
    <row r="12182" spans="1:2" ht="12.75" customHeight="1" x14ac:dyDescent="0.25">
      <c r="A12182" s="318">
        <v>94398229237</v>
      </c>
      <c r="B12182" s="318" t="s">
        <v>237</v>
      </c>
    </row>
    <row r="12183" spans="1:2" ht="12.75" customHeight="1" x14ac:dyDescent="0.25">
      <c r="A12183" s="318">
        <v>94398229238</v>
      </c>
      <c r="B12183" s="318" t="s">
        <v>237</v>
      </c>
    </row>
    <row r="12184" spans="1:2" ht="12.75" customHeight="1" x14ac:dyDescent="0.25">
      <c r="A12184" s="318">
        <v>94398229239</v>
      </c>
      <c r="B12184" s="318" t="s">
        <v>237</v>
      </c>
    </row>
    <row r="12185" spans="1:2" ht="12.75" customHeight="1" x14ac:dyDescent="0.25">
      <c r="A12185" s="318">
        <v>94398229240</v>
      </c>
      <c r="B12185" s="318" t="s">
        <v>237</v>
      </c>
    </row>
    <row r="12186" spans="1:2" ht="12.75" customHeight="1" x14ac:dyDescent="0.25">
      <c r="A12186" s="318">
        <v>94398229241</v>
      </c>
      <c r="B12186" s="318" t="s">
        <v>237</v>
      </c>
    </row>
    <row r="12187" spans="1:2" ht="12.75" customHeight="1" x14ac:dyDescent="0.25">
      <c r="A12187" s="318">
        <v>94398229242</v>
      </c>
      <c r="B12187" s="318" t="s">
        <v>237</v>
      </c>
    </row>
    <row r="12188" spans="1:2" ht="12.75" customHeight="1" x14ac:dyDescent="0.25">
      <c r="A12188" s="318">
        <v>94398229243</v>
      </c>
      <c r="B12188" s="318" t="s">
        <v>237</v>
      </c>
    </row>
    <row r="12189" spans="1:2" ht="12.75" customHeight="1" x14ac:dyDescent="0.25">
      <c r="A12189" s="318">
        <v>94398229244</v>
      </c>
      <c r="B12189" s="318" t="s">
        <v>237</v>
      </c>
    </row>
    <row r="12190" spans="1:2" ht="12.75" customHeight="1" x14ac:dyDescent="0.25">
      <c r="A12190" s="318">
        <v>94398229246</v>
      </c>
      <c r="B12190" s="318" t="s">
        <v>237</v>
      </c>
    </row>
    <row r="12191" spans="1:2" ht="12.75" customHeight="1" x14ac:dyDescent="0.25">
      <c r="A12191" s="318">
        <v>94398229247</v>
      </c>
      <c r="B12191" s="318" t="s">
        <v>237</v>
      </c>
    </row>
    <row r="12192" spans="1:2" ht="12.75" customHeight="1" x14ac:dyDescent="0.25">
      <c r="A12192" s="318">
        <v>94398229248</v>
      </c>
      <c r="B12192" s="318" t="s">
        <v>237</v>
      </c>
    </row>
    <row r="12193" spans="1:2" ht="12.75" customHeight="1" x14ac:dyDescent="0.25">
      <c r="A12193" s="318">
        <v>94398229249</v>
      </c>
      <c r="B12193" s="318" t="s">
        <v>237</v>
      </c>
    </row>
    <row r="12194" spans="1:2" ht="12.75" customHeight="1" x14ac:dyDescent="0.25">
      <c r="A12194" s="318">
        <v>94398229250</v>
      </c>
      <c r="B12194" s="318" t="s">
        <v>237</v>
      </c>
    </row>
    <row r="12195" spans="1:2" ht="12.75" customHeight="1" x14ac:dyDescent="0.25">
      <c r="A12195" s="318">
        <v>94398229251</v>
      </c>
      <c r="B12195" s="318" t="s">
        <v>237</v>
      </c>
    </row>
    <row r="12196" spans="1:2" ht="12.75" customHeight="1" x14ac:dyDescent="0.25">
      <c r="A12196" s="318">
        <v>94398229252</v>
      </c>
      <c r="B12196" s="318" t="s">
        <v>237</v>
      </c>
    </row>
    <row r="12197" spans="1:2" ht="12.75" customHeight="1" x14ac:dyDescent="0.25">
      <c r="A12197" s="318">
        <v>94398229253</v>
      </c>
      <c r="B12197" s="318" t="s">
        <v>237</v>
      </c>
    </row>
    <row r="12198" spans="1:2" ht="12.75" customHeight="1" x14ac:dyDescent="0.25">
      <c r="A12198" s="318">
        <v>94398710110</v>
      </c>
      <c r="B12198" s="318" t="s">
        <v>23</v>
      </c>
    </row>
    <row r="12199" spans="1:2" ht="12.75" customHeight="1" x14ac:dyDescent="0.25">
      <c r="A12199" s="318">
        <v>94398710111</v>
      </c>
      <c r="B12199" s="318" t="s">
        <v>23</v>
      </c>
    </row>
    <row r="12200" spans="1:2" ht="12.75" customHeight="1" x14ac:dyDescent="0.25">
      <c r="A12200" s="318">
        <v>94398710112</v>
      </c>
      <c r="B12200" s="318" t="s">
        <v>23</v>
      </c>
    </row>
    <row r="12201" spans="1:2" ht="12.75" customHeight="1" x14ac:dyDescent="0.25">
      <c r="A12201" s="318">
        <v>94398710113</v>
      </c>
      <c r="B12201" s="318" t="s">
        <v>23</v>
      </c>
    </row>
    <row r="12202" spans="1:2" ht="12.75" customHeight="1" x14ac:dyDescent="0.25">
      <c r="A12202" s="318">
        <v>94398710114</v>
      </c>
      <c r="B12202" s="318" t="s">
        <v>23</v>
      </c>
    </row>
    <row r="12203" spans="1:2" ht="12.75" customHeight="1" x14ac:dyDescent="0.25">
      <c r="A12203" s="318">
        <v>94398710115</v>
      </c>
      <c r="B12203" s="318" t="s">
        <v>23</v>
      </c>
    </row>
    <row r="12204" spans="1:2" ht="12.75" customHeight="1" x14ac:dyDescent="0.25">
      <c r="A12204" s="318">
        <v>94398710116</v>
      </c>
      <c r="B12204" s="318" t="s">
        <v>237</v>
      </c>
    </row>
    <row r="12205" spans="1:2" ht="12.75" customHeight="1" x14ac:dyDescent="0.25">
      <c r="A12205" s="318">
        <v>94398710117</v>
      </c>
      <c r="B12205" s="318" t="s">
        <v>237</v>
      </c>
    </row>
    <row r="12206" spans="1:2" ht="12.75" customHeight="1" x14ac:dyDescent="0.25">
      <c r="A12206" s="318">
        <v>94398710119</v>
      </c>
      <c r="B12206" s="318" t="s">
        <v>237</v>
      </c>
    </row>
    <row r="12207" spans="1:2" ht="12.75" customHeight="1" x14ac:dyDescent="0.25">
      <c r="A12207" s="318">
        <v>94398710120</v>
      </c>
      <c r="B12207" s="318" t="s">
        <v>237</v>
      </c>
    </row>
    <row r="12208" spans="1:2" ht="12.75" customHeight="1" x14ac:dyDescent="0.25">
      <c r="A12208" s="318">
        <v>94398710121</v>
      </c>
      <c r="B12208" s="318" t="s">
        <v>237</v>
      </c>
    </row>
    <row r="12209" spans="1:2" ht="12.75" customHeight="1" x14ac:dyDescent="0.25">
      <c r="A12209" s="318">
        <v>94398710122</v>
      </c>
      <c r="B12209" s="318" t="s">
        <v>237</v>
      </c>
    </row>
    <row r="12210" spans="1:2" ht="12.75" customHeight="1" x14ac:dyDescent="0.25">
      <c r="A12210" s="318">
        <v>94398710123</v>
      </c>
      <c r="B12210" s="318" t="s">
        <v>237</v>
      </c>
    </row>
    <row r="12211" spans="1:2" ht="12.75" customHeight="1" x14ac:dyDescent="0.25">
      <c r="A12211" s="318">
        <v>94398710124</v>
      </c>
      <c r="B12211" s="318" t="s">
        <v>237</v>
      </c>
    </row>
    <row r="12212" spans="1:2" ht="12.75" customHeight="1" x14ac:dyDescent="0.25">
      <c r="A12212" s="318">
        <v>94398710125</v>
      </c>
      <c r="B12212" s="318" t="s">
        <v>237</v>
      </c>
    </row>
    <row r="12213" spans="1:2" ht="12.75" customHeight="1" x14ac:dyDescent="0.25">
      <c r="A12213" s="318">
        <v>94398710126</v>
      </c>
      <c r="B12213" s="318" t="s">
        <v>237</v>
      </c>
    </row>
    <row r="12214" spans="1:2" ht="12.75" customHeight="1" x14ac:dyDescent="0.25">
      <c r="A12214" s="318">
        <v>94398710210</v>
      </c>
      <c r="B12214" s="318" t="s">
        <v>237</v>
      </c>
    </row>
    <row r="12215" spans="1:2" ht="12.75" customHeight="1" x14ac:dyDescent="0.25">
      <c r="A12215" s="318">
        <v>94398710211</v>
      </c>
      <c r="B12215" s="318" t="s">
        <v>237</v>
      </c>
    </row>
    <row r="12216" spans="1:2" ht="12.75" customHeight="1" x14ac:dyDescent="0.25">
      <c r="A12216" s="318">
        <v>94398710212</v>
      </c>
      <c r="B12216" s="318" t="s">
        <v>237</v>
      </c>
    </row>
    <row r="12217" spans="1:2" ht="12.75" customHeight="1" x14ac:dyDescent="0.25">
      <c r="A12217" s="318">
        <v>94398710213</v>
      </c>
      <c r="B12217" s="318" t="s">
        <v>237</v>
      </c>
    </row>
    <row r="12218" spans="1:2" ht="12.75" customHeight="1" x14ac:dyDescent="0.25">
      <c r="A12218" s="318">
        <v>94398710214</v>
      </c>
      <c r="B12218" s="318" t="s">
        <v>237</v>
      </c>
    </row>
    <row r="12219" spans="1:2" ht="12.75" customHeight="1" x14ac:dyDescent="0.25">
      <c r="A12219" s="318">
        <v>94398710215</v>
      </c>
      <c r="B12219" s="318" t="s">
        <v>237</v>
      </c>
    </row>
    <row r="12220" spans="1:2" ht="12.75" customHeight="1" x14ac:dyDescent="0.25">
      <c r="A12220" s="318">
        <v>94398710216</v>
      </c>
      <c r="B12220" s="318" t="s">
        <v>237</v>
      </c>
    </row>
    <row r="12221" spans="1:2" ht="12.75" customHeight="1" x14ac:dyDescent="0.25">
      <c r="A12221" s="318">
        <v>94398710217</v>
      </c>
      <c r="B12221" s="318" t="s">
        <v>237</v>
      </c>
    </row>
    <row r="12222" spans="1:2" ht="12.75" customHeight="1" x14ac:dyDescent="0.25">
      <c r="A12222" s="318">
        <v>94398710219</v>
      </c>
      <c r="B12222" s="318" t="s">
        <v>237</v>
      </c>
    </row>
    <row r="12223" spans="1:2" ht="12.75" customHeight="1" x14ac:dyDescent="0.25">
      <c r="A12223" s="318">
        <v>94398710220</v>
      </c>
      <c r="B12223" s="318" t="s">
        <v>237</v>
      </c>
    </row>
    <row r="12224" spans="1:2" ht="12.75" customHeight="1" x14ac:dyDescent="0.25">
      <c r="A12224" s="318">
        <v>94398710221</v>
      </c>
      <c r="B12224" s="318" t="s">
        <v>237</v>
      </c>
    </row>
    <row r="12225" spans="1:2" ht="12.75" customHeight="1" x14ac:dyDescent="0.25">
      <c r="A12225" s="318">
        <v>94398710222</v>
      </c>
      <c r="B12225" s="318" t="s">
        <v>237</v>
      </c>
    </row>
    <row r="12226" spans="1:2" ht="12.75" customHeight="1" x14ac:dyDescent="0.25">
      <c r="A12226" s="318">
        <v>94398710223</v>
      </c>
      <c r="B12226" s="318" t="s">
        <v>237</v>
      </c>
    </row>
    <row r="12227" spans="1:2" ht="12.75" customHeight="1" x14ac:dyDescent="0.25">
      <c r="A12227" s="318">
        <v>94398710224</v>
      </c>
      <c r="B12227" s="318" t="s">
        <v>237</v>
      </c>
    </row>
    <row r="12228" spans="1:2" ht="12.75" customHeight="1" x14ac:dyDescent="0.25">
      <c r="A12228" s="318">
        <v>94398710225</v>
      </c>
      <c r="B12228" s="318" t="s">
        <v>237</v>
      </c>
    </row>
    <row r="12229" spans="1:2" ht="12.75" customHeight="1" x14ac:dyDescent="0.25">
      <c r="A12229" s="318">
        <v>94398710226</v>
      </c>
      <c r="B12229" s="318" t="s">
        <v>237</v>
      </c>
    </row>
    <row r="12230" spans="1:2" ht="12.75" customHeight="1" x14ac:dyDescent="0.25">
      <c r="A12230" s="318">
        <v>94399191083</v>
      </c>
      <c r="B12230" s="318" t="s">
        <v>23</v>
      </c>
    </row>
    <row r="12231" spans="1:2" ht="12.75" customHeight="1" x14ac:dyDescent="0.25">
      <c r="A12231" s="318">
        <v>94399191084</v>
      </c>
      <c r="B12231" s="318" t="s">
        <v>23</v>
      </c>
    </row>
    <row r="12232" spans="1:2" ht="12.75" customHeight="1" x14ac:dyDescent="0.25">
      <c r="A12232" s="318">
        <v>94399191085</v>
      </c>
      <c r="B12232" s="318" t="s">
        <v>23</v>
      </c>
    </row>
    <row r="12233" spans="1:2" ht="12.75" customHeight="1" x14ac:dyDescent="0.25">
      <c r="A12233" s="318">
        <v>94399191086</v>
      </c>
      <c r="B12233" s="318" t="s">
        <v>23</v>
      </c>
    </row>
    <row r="12234" spans="1:2" ht="12.75" customHeight="1" x14ac:dyDescent="0.25">
      <c r="A12234" s="318">
        <v>94399191087</v>
      </c>
      <c r="B12234" s="318" t="s">
        <v>23</v>
      </c>
    </row>
    <row r="12235" spans="1:2" ht="12.75" customHeight="1" x14ac:dyDescent="0.25">
      <c r="A12235" s="318">
        <v>94399191088</v>
      </c>
      <c r="B12235" s="318" t="s">
        <v>23</v>
      </c>
    </row>
    <row r="12236" spans="1:2" ht="12.75" customHeight="1" x14ac:dyDescent="0.25">
      <c r="A12236" s="318">
        <v>94399191089</v>
      </c>
      <c r="B12236" s="318" t="s">
        <v>237</v>
      </c>
    </row>
    <row r="12237" spans="1:2" ht="12.75" customHeight="1" x14ac:dyDescent="0.25">
      <c r="A12237" s="318">
        <v>94399191090</v>
      </c>
      <c r="B12237" s="318" t="s">
        <v>237</v>
      </c>
    </row>
    <row r="12238" spans="1:2" ht="12.75" customHeight="1" x14ac:dyDescent="0.25">
      <c r="A12238" s="318">
        <v>94399191092</v>
      </c>
      <c r="B12238" s="318" t="s">
        <v>237</v>
      </c>
    </row>
    <row r="12239" spans="1:2" ht="12.75" customHeight="1" x14ac:dyDescent="0.25">
      <c r="A12239" s="318">
        <v>94399191093</v>
      </c>
      <c r="B12239" s="318" t="s">
        <v>237</v>
      </c>
    </row>
    <row r="12240" spans="1:2" ht="12.75" customHeight="1" x14ac:dyDescent="0.25">
      <c r="A12240" s="318">
        <v>94399191094</v>
      </c>
      <c r="B12240" s="318" t="s">
        <v>237</v>
      </c>
    </row>
    <row r="12241" spans="1:2" ht="12.75" customHeight="1" x14ac:dyDescent="0.25">
      <c r="A12241" s="318">
        <v>94399191095</v>
      </c>
      <c r="B12241" s="318" t="s">
        <v>237</v>
      </c>
    </row>
    <row r="12242" spans="1:2" ht="12.75" customHeight="1" x14ac:dyDescent="0.25">
      <c r="A12242" s="318">
        <v>94399191096</v>
      </c>
      <c r="B12242" s="318" t="s">
        <v>237</v>
      </c>
    </row>
    <row r="12243" spans="1:2" ht="12.75" customHeight="1" x14ac:dyDescent="0.25">
      <c r="A12243" s="318">
        <v>94399191097</v>
      </c>
      <c r="B12243" s="318" t="s">
        <v>237</v>
      </c>
    </row>
    <row r="12244" spans="1:2" ht="12.75" customHeight="1" x14ac:dyDescent="0.25">
      <c r="A12244" s="318">
        <v>94399191098</v>
      </c>
      <c r="B12244" s="318" t="s">
        <v>237</v>
      </c>
    </row>
    <row r="12245" spans="1:2" ht="12.75" customHeight="1" x14ac:dyDescent="0.25">
      <c r="A12245" s="318">
        <v>94399191099</v>
      </c>
      <c r="B12245" s="318" t="s">
        <v>237</v>
      </c>
    </row>
    <row r="12246" spans="1:2" ht="12.75" customHeight="1" x14ac:dyDescent="0.25">
      <c r="A12246" s="318">
        <v>94399191183</v>
      </c>
      <c r="B12246" s="318" t="s">
        <v>237</v>
      </c>
    </row>
    <row r="12247" spans="1:2" ht="12.75" customHeight="1" x14ac:dyDescent="0.25">
      <c r="A12247" s="318">
        <v>94399191184</v>
      </c>
      <c r="B12247" s="318" t="s">
        <v>237</v>
      </c>
    </row>
    <row r="12248" spans="1:2" ht="12.75" customHeight="1" x14ac:dyDescent="0.25">
      <c r="A12248" s="318">
        <v>94399191185</v>
      </c>
      <c r="B12248" s="318" t="s">
        <v>237</v>
      </c>
    </row>
    <row r="12249" spans="1:2" ht="12.75" customHeight="1" x14ac:dyDescent="0.25">
      <c r="A12249" s="318">
        <v>94399191186</v>
      </c>
      <c r="B12249" s="318" t="s">
        <v>237</v>
      </c>
    </row>
    <row r="12250" spans="1:2" ht="12.75" customHeight="1" x14ac:dyDescent="0.25">
      <c r="A12250" s="318">
        <v>94399191187</v>
      </c>
      <c r="B12250" s="318" t="s">
        <v>237</v>
      </c>
    </row>
    <row r="12251" spans="1:2" ht="12.75" customHeight="1" x14ac:dyDescent="0.25">
      <c r="A12251" s="318">
        <v>94399191188</v>
      </c>
      <c r="B12251" s="318" t="s">
        <v>237</v>
      </c>
    </row>
    <row r="12252" spans="1:2" ht="12.75" customHeight="1" x14ac:dyDescent="0.25">
      <c r="A12252" s="318">
        <v>94399191189</v>
      </c>
      <c r="B12252" s="318" t="s">
        <v>237</v>
      </c>
    </row>
    <row r="12253" spans="1:2" ht="12.75" customHeight="1" x14ac:dyDescent="0.25">
      <c r="A12253" s="318">
        <v>94399191190</v>
      </c>
      <c r="B12253" s="318" t="s">
        <v>237</v>
      </c>
    </row>
    <row r="12254" spans="1:2" ht="12.75" customHeight="1" x14ac:dyDescent="0.25">
      <c r="A12254" s="318">
        <v>94399191192</v>
      </c>
      <c r="B12254" s="318" t="s">
        <v>237</v>
      </c>
    </row>
    <row r="12255" spans="1:2" ht="12.75" customHeight="1" x14ac:dyDescent="0.25">
      <c r="A12255" s="318">
        <v>94399191193</v>
      </c>
      <c r="B12255" s="318" t="s">
        <v>237</v>
      </c>
    </row>
    <row r="12256" spans="1:2" ht="12.75" customHeight="1" x14ac:dyDescent="0.25">
      <c r="A12256" s="318">
        <v>94399191194</v>
      </c>
      <c r="B12256" s="318" t="s">
        <v>237</v>
      </c>
    </row>
    <row r="12257" spans="1:2" ht="12.75" customHeight="1" x14ac:dyDescent="0.25">
      <c r="A12257" s="318">
        <v>94399191195</v>
      </c>
      <c r="B12257" s="318" t="s">
        <v>237</v>
      </c>
    </row>
    <row r="12258" spans="1:2" ht="12.75" customHeight="1" x14ac:dyDescent="0.25">
      <c r="A12258" s="318">
        <v>94399191196</v>
      </c>
      <c r="B12258" s="318" t="s">
        <v>237</v>
      </c>
    </row>
    <row r="12259" spans="1:2" ht="12.75" customHeight="1" x14ac:dyDescent="0.25">
      <c r="A12259" s="318">
        <v>94399191197</v>
      </c>
      <c r="B12259" s="318" t="s">
        <v>237</v>
      </c>
    </row>
    <row r="12260" spans="1:2" ht="12.75" customHeight="1" x14ac:dyDescent="0.25">
      <c r="A12260" s="318">
        <v>94399191198</v>
      </c>
      <c r="B12260" s="318" t="s">
        <v>237</v>
      </c>
    </row>
    <row r="12261" spans="1:2" ht="12.75" customHeight="1" x14ac:dyDescent="0.25">
      <c r="A12261" s="318">
        <v>94399191199</v>
      </c>
      <c r="B12261" s="318" t="s">
        <v>237</v>
      </c>
    </row>
    <row r="12262" spans="1:2" ht="12.75" customHeight="1" x14ac:dyDescent="0.25">
      <c r="A12262" s="318">
        <v>94400551464</v>
      </c>
      <c r="B12262" s="318" t="s">
        <v>23</v>
      </c>
    </row>
    <row r="12263" spans="1:2" ht="12.75" customHeight="1" x14ac:dyDescent="0.25">
      <c r="A12263" s="318">
        <v>94400551465</v>
      </c>
      <c r="B12263" s="318" t="s">
        <v>23</v>
      </c>
    </row>
    <row r="12264" spans="1:2" ht="12.75" customHeight="1" x14ac:dyDescent="0.25">
      <c r="A12264" s="318">
        <v>94400551466</v>
      </c>
      <c r="B12264" s="318" t="s">
        <v>23</v>
      </c>
    </row>
    <row r="12265" spans="1:2" ht="12.75" customHeight="1" x14ac:dyDescent="0.25">
      <c r="A12265" s="318">
        <v>94400551467</v>
      </c>
      <c r="B12265" s="318" t="s">
        <v>23</v>
      </c>
    </row>
    <row r="12266" spans="1:2" ht="12.75" customHeight="1" x14ac:dyDescent="0.25">
      <c r="A12266" s="318">
        <v>94400551468</v>
      </c>
      <c r="B12266" s="318" t="s">
        <v>23</v>
      </c>
    </row>
    <row r="12267" spans="1:2" ht="12.75" customHeight="1" x14ac:dyDescent="0.25">
      <c r="A12267" s="318">
        <v>94400551469</v>
      </c>
      <c r="B12267" s="318" t="s">
        <v>23</v>
      </c>
    </row>
    <row r="12268" spans="1:2" ht="12.75" customHeight="1" x14ac:dyDescent="0.25">
      <c r="A12268" s="318">
        <v>94400551470</v>
      </c>
      <c r="B12268" s="318" t="s">
        <v>237</v>
      </c>
    </row>
    <row r="12269" spans="1:2" ht="12.75" customHeight="1" x14ac:dyDescent="0.25">
      <c r="A12269" s="318">
        <v>94400551471</v>
      </c>
      <c r="B12269" s="318" t="s">
        <v>237</v>
      </c>
    </row>
    <row r="12270" spans="1:2" ht="12.75" customHeight="1" x14ac:dyDescent="0.25">
      <c r="A12270" s="318">
        <v>94400551473</v>
      </c>
      <c r="B12270" s="318" t="s">
        <v>237</v>
      </c>
    </row>
    <row r="12271" spans="1:2" ht="12.75" customHeight="1" x14ac:dyDescent="0.25">
      <c r="A12271" s="318">
        <v>94400551474</v>
      </c>
      <c r="B12271" s="318" t="s">
        <v>237</v>
      </c>
    </row>
    <row r="12272" spans="1:2" ht="12.75" customHeight="1" x14ac:dyDescent="0.25">
      <c r="A12272" s="318">
        <v>94400551475</v>
      </c>
      <c r="B12272" s="318" t="s">
        <v>237</v>
      </c>
    </row>
    <row r="12273" spans="1:2" ht="12.75" customHeight="1" x14ac:dyDescent="0.25">
      <c r="A12273" s="318">
        <v>94400551476</v>
      </c>
      <c r="B12273" s="318" t="s">
        <v>237</v>
      </c>
    </row>
    <row r="12274" spans="1:2" ht="12.75" customHeight="1" x14ac:dyDescent="0.25">
      <c r="A12274" s="318">
        <v>94400551477</v>
      </c>
      <c r="B12274" s="318" t="s">
        <v>237</v>
      </c>
    </row>
    <row r="12275" spans="1:2" ht="12.75" customHeight="1" x14ac:dyDescent="0.25">
      <c r="A12275" s="318">
        <v>94400551478</v>
      </c>
      <c r="B12275" s="318" t="s">
        <v>237</v>
      </c>
    </row>
    <row r="12276" spans="1:2" ht="12.75" customHeight="1" x14ac:dyDescent="0.25">
      <c r="A12276" s="318">
        <v>94400551479</v>
      </c>
      <c r="B12276" s="318" t="s">
        <v>237</v>
      </c>
    </row>
    <row r="12277" spans="1:2" ht="12.75" customHeight="1" x14ac:dyDescent="0.25">
      <c r="A12277" s="318">
        <v>94400551480</v>
      </c>
      <c r="B12277" s="318" t="s">
        <v>237</v>
      </c>
    </row>
    <row r="12278" spans="1:2" ht="12.75" customHeight="1" x14ac:dyDescent="0.25">
      <c r="A12278" s="318">
        <v>94400551564</v>
      </c>
      <c r="B12278" s="318" t="s">
        <v>237</v>
      </c>
    </row>
    <row r="12279" spans="1:2" ht="12.75" customHeight="1" x14ac:dyDescent="0.25">
      <c r="A12279" s="318">
        <v>94400551565</v>
      </c>
      <c r="B12279" s="318" t="s">
        <v>237</v>
      </c>
    </row>
    <row r="12280" spans="1:2" ht="12.75" customHeight="1" x14ac:dyDescent="0.25">
      <c r="A12280" s="318">
        <v>94400551566</v>
      </c>
      <c r="B12280" s="318" t="s">
        <v>237</v>
      </c>
    </row>
    <row r="12281" spans="1:2" ht="12.75" customHeight="1" x14ac:dyDescent="0.25">
      <c r="A12281" s="318">
        <v>94400551567</v>
      </c>
      <c r="B12281" s="318" t="s">
        <v>237</v>
      </c>
    </row>
    <row r="12282" spans="1:2" ht="12.75" customHeight="1" x14ac:dyDescent="0.25">
      <c r="A12282" s="318">
        <v>94400551568</v>
      </c>
      <c r="B12282" s="318" t="s">
        <v>237</v>
      </c>
    </row>
    <row r="12283" spans="1:2" ht="12.75" customHeight="1" x14ac:dyDescent="0.25">
      <c r="A12283" s="318">
        <v>94400551569</v>
      </c>
      <c r="B12283" s="318" t="s">
        <v>237</v>
      </c>
    </row>
    <row r="12284" spans="1:2" ht="12.75" customHeight="1" x14ac:dyDescent="0.25">
      <c r="A12284" s="318">
        <v>94400551570</v>
      </c>
      <c r="B12284" s="318" t="s">
        <v>237</v>
      </c>
    </row>
    <row r="12285" spans="1:2" ht="12.75" customHeight="1" x14ac:dyDescent="0.25">
      <c r="A12285" s="318">
        <v>94400551571</v>
      </c>
      <c r="B12285" s="318" t="s">
        <v>237</v>
      </c>
    </row>
    <row r="12286" spans="1:2" ht="12.75" customHeight="1" x14ac:dyDescent="0.25">
      <c r="A12286" s="318">
        <v>94400551573</v>
      </c>
      <c r="B12286" s="318" t="s">
        <v>237</v>
      </c>
    </row>
    <row r="12287" spans="1:2" ht="12.75" customHeight="1" x14ac:dyDescent="0.25">
      <c r="A12287" s="318">
        <v>94400551574</v>
      </c>
      <c r="B12287" s="318" t="s">
        <v>237</v>
      </c>
    </row>
    <row r="12288" spans="1:2" ht="12.75" customHeight="1" x14ac:dyDescent="0.25">
      <c r="A12288" s="318">
        <v>94400551575</v>
      </c>
      <c r="B12288" s="318" t="s">
        <v>237</v>
      </c>
    </row>
    <row r="12289" spans="1:2" ht="12.75" customHeight="1" x14ac:dyDescent="0.25">
      <c r="A12289" s="318">
        <v>94400551576</v>
      </c>
      <c r="B12289" s="318" t="s">
        <v>237</v>
      </c>
    </row>
    <row r="12290" spans="1:2" ht="12.75" customHeight="1" x14ac:dyDescent="0.25">
      <c r="A12290" s="318">
        <v>94400551577</v>
      </c>
      <c r="B12290" s="318" t="s">
        <v>237</v>
      </c>
    </row>
    <row r="12291" spans="1:2" ht="12.75" customHeight="1" x14ac:dyDescent="0.25">
      <c r="A12291" s="318">
        <v>94400551578</v>
      </c>
      <c r="B12291" s="318" t="s">
        <v>237</v>
      </c>
    </row>
    <row r="12292" spans="1:2" ht="12.75" customHeight="1" x14ac:dyDescent="0.25">
      <c r="A12292" s="318">
        <v>94400551579</v>
      </c>
      <c r="B12292" s="318" t="s">
        <v>237</v>
      </c>
    </row>
    <row r="12293" spans="1:2" ht="12.75" customHeight="1" x14ac:dyDescent="0.25">
      <c r="A12293" s="318">
        <v>94400551580</v>
      </c>
      <c r="B12293" s="318" t="s">
        <v>237</v>
      </c>
    </row>
    <row r="12294" spans="1:2" ht="12.75" customHeight="1" x14ac:dyDescent="0.25">
      <c r="A12294" s="318">
        <v>94401032437</v>
      </c>
      <c r="B12294" s="318" t="s">
        <v>23</v>
      </c>
    </row>
    <row r="12295" spans="1:2" ht="12.75" customHeight="1" x14ac:dyDescent="0.25">
      <c r="A12295" s="318">
        <v>94401032438</v>
      </c>
      <c r="B12295" s="318" t="s">
        <v>23</v>
      </c>
    </row>
    <row r="12296" spans="1:2" ht="12.75" customHeight="1" x14ac:dyDescent="0.25">
      <c r="A12296" s="318">
        <v>94401032439</v>
      </c>
      <c r="B12296" s="318" t="s">
        <v>23</v>
      </c>
    </row>
    <row r="12297" spans="1:2" ht="12.75" customHeight="1" x14ac:dyDescent="0.25">
      <c r="A12297" s="318">
        <v>94401032440</v>
      </c>
      <c r="B12297" s="318" t="s">
        <v>23</v>
      </c>
    </row>
    <row r="12298" spans="1:2" ht="12.75" customHeight="1" x14ac:dyDescent="0.25">
      <c r="A12298" s="318">
        <v>94401032441</v>
      </c>
      <c r="B12298" s="318" t="s">
        <v>23</v>
      </c>
    </row>
    <row r="12299" spans="1:2" ht="12.75" customHeight="1" x14ac:dyDescent="0.25">
      <c r="A12299" s="318">
        <v>94401032442</v>
      </c>
      <c r="B12299" s="318" t="s">
        <v>23</v>
      </c>
    </row>
    <row r="12300" spans="1:2" ht="12.75" customHeight="1" x14ac:dyDescent="0.25">
      <c r="A12300" s="318">
        <v>94401032443</v>
      </c>
      <c r="B12300" s="318" t="s">
        <v>237</v>
      </c>
    </row>
    <row r="12301" spans="1:2" ht="12.75" customHeight="1" x14ac:dyDescent="0.25">
      <c r="A12301" s="318">
        <v>94401032444</v>
      </c>
      <c r="B12301" s="318" t="s">
        <v>237</v>
      </c>
    </row>
    <row r="12302" spans="1:2" ht="12.75" customHeight="1" x14ac:dyDescent="0.25">
      <c r="A12302" s="318">
        <v>94401032446</v>
      </c>
      <c r="B12302" s="318" t="s">
        <v>237</v>
      </c>
    </row>
    <row r="12303" spans="1:2" ht="12.75" customHeight="1" x14ac:dyDescent="0.25">
      <c r="A12303" s="318">
        <v>94401032447</v>
      </c>
      <c r="B12303" s="318" t="s">
        <v>237</v>
      </c>
    </row>
    <row r="12304" spans="1:2" ht="12.75" customHeight="1" x14ac:dyDescent="0.25">
      <c r="A12304" s="318">
        <v>94401032448</v>
      </c>
      <c r="B12304" s="318" t="s">
        <v>237</v>
      </c>
    </row>
    <row r="12305" spans="1:2" ht="12.75" customHeight="1" x14ac:dyDescent="0.25">
      <c r="A12305" s="318">
        <v>94401032449</v>
      </c>
      <c r="B12305" s="318" t="s">
        <v>237</v>
      </c>
    </row>
    <row r="12306" spans="1:2" ht="12.75" customHeight="1" x14ac:dyDescent="0.25">
      <c r="A12306" s="318">
        <v>94401032450</v>
      </c>
      <c r="B12306" s="318" t="s">
        <v>237</v>
      </c>
    </row>
    <row r="12307" spans="1:2" ht="12.75" customHeight="1" x14ac:dyDescent="0.25">
      <c r="A12307" s="318">
        <v>94401032451</v>
      </c>
      <c r="B12307" s="318" t="s">
        <v>237</v>
      </c>
    </row>
    <row r="12308" spans="1:2" ht="12.75" customHeight="1" x14ac:dyDescent="0.25">
      <c r="A12308" s="318">
        <v>94401032452</v>
      </c>
      <c r="B12308" s="318" t="s">
        <v>237</v>
      </c>
    </row>
    <row r="12309" spans="1:2" ht="12.75" customHeight="1" x14ac:dyDescent="0.25">
      <c r="A12309" s="318">
        <v>94401032453</v>
      </c>
      <c r="B12309" s="318" t="s">
        <v>237</v>
      </c>
    </row>
    <row r="12310" spans="1:2" ht="12.75" customHeight="1" x14ac:dyDescent="0.25">
      <c r="A12310" s="318">
        <v>94401032537</v>
      </c>
      <c r="B12310" s="318" t="s">
        <v>237</v>
      </c>
    </row>
    <row r="12311" spans="1:2" ht="12.75" customHeight="1" x14ac:dyDescent="0.25">
      <c r="A12311" s="318">
        <v>94401032538</v>
      </c>
      <c r="B12311" s="318" t="s">
        <v>237</v>
      </c>
    </row>
    <row r="12312" spans="1:2" ht="12.75" customHeight="1" x14ac:dyDescent="0.25">
      <c r="A12312" s="318">
        <v>94401032539</v>
      </c>
      <c r="B12312" s="318" t="s">
        <v>237</v>
      </c>
    </row>
    <row r="12313" spans="1:2" ht="12.75" customHeight="1" x14ac:dyDescent="0.25">
      <c r="A12313" s="318">
        <v>94401032540</v>
      </c>
      <c r="B12313" s="318" t="s">
        <v>237</v>
      </c>
    </row>
    <row r="12314" spans="1:2" ht="12.75" customHeight="1" x14ac:dyDescent="0.25">
      <c r="A12314" s="318">
        <v>94401032541</v>
      </c>
      <c r="B12314" s="318" t="s">
        <v>237</v>
      </c>
    </row>
    <row r="12315" spans="1:2" ht="12.75" customHeight="1" x14ac:dyDescent="0.25">
      <c r="A12315" s="318">
        <v>94401032542</v>
      </c>
      <c r="B12315" s="318" t="s">
        <v>237</v>
      </c>
    </row>
    <row r="12316" spans="1:2" ht="12.75" customHeight="1" x14ac:dyDescent="0.25">
      <c r="A12316" s="318">
        <v>94401032543</v>
      </c>
      <c r="B12316" s="318" t="s">
        <v>237</v>
      </c>
    </row>
    <row r="12317" spans="1:2" ht="12.75" customHeight="1" x14ac:dyDescent="0.25">
      <c r="A12317" s="318">
        <v>94401032544</v>
      </c>
      <c r="B12317" s="318" t="s">
        <v>237</v>
      </c>
    </row>
    <row r="12318" spans="1:2" ht="12.75" customHeight="1" x14ac:dyDescent="0.25">
      <c r="A12318" s="318">
        <v>94401032546</v>
      </c>
      <c r="B12318" s="318" t="s">
        <v>237</v>
      </c>
    </row>
    <row r="12319" spans="1:2" ht="12.75" customHeight="1" x14ac:dyDescent="0.25">
      <c r="A12319" s="318">
        <v>94401032547</v>
      </c>
      <c r="B12319" s="318" t="s">
        <v>237</v>
      </c>
    </row>
    <row r="12320" spans="1:2" ht="12.75" customHeight="1" x14ac:dyDescent="0.25">
      <c r="A12320" s="318">
        <v>94401032548</v>
      </c>
      <c r="B12320" s="318" t="s">
        <v>237</v>
      </c>
    </row>
    <row r="12321" spans="1:2" ht="12.75" customHeight="1" x14ac:dyDescent="0.25">
      <c r="A12321" s="318">
        <v>94401032549</v>
      </c>
      <c r="B12321" s="318" t="s">
        <v>237</v>
      </c>
    </row>
    <row r="12322" spans="1:2" ht="12.75" customHeight="1" x14ac:dyDescent="0.25">
      <c r="A12322" s="318">
        <v>94401032550</v>
      </c>
      <c r="B12322" s="318" t="s">
        <v>237</v>
      </c>
    </row>
    <row r="12323" spans="1:2" ht="12.75" customHeight="1" x14ac:dyDescent="0.25">
      <c r="A12323" s="318">
        <v>94401032551</v>
      </c>
      <c r="B12323" s="318" t="s">
        <v>237</v>
      </c>
    </row>
    <row r="12324" spans="1:2" ht="12.75" customHeight="1" x14ac:dyDescent="0.25">
      <c r="A12324" s="318">
        <v>94401032552</v>
      </c>
      <c r="B12324" s="318" t="s">
        <v>237</v>
      </c>
    </row>
    <row r="12325" spans="1:2" ht="12.75" customHeight="1" x14ac:dyDescent="0.25">
      <c r="A12325" s="318">
        <v>94401032553</v>
      </c>
      <c r="B12325" s="318" t="s">
        <v>237</v>
      </c>
    </row>
    <row r="12326" spans="1:2" ht="12.75" customHeight="1" x14ac:dyDescent="0.25">
      <c r="A12326" s="318">
        <v>94401513410</v>
      </c>
      <c r="B12326" s="318" t="s">
        <v>23</v>
      </c>
    </row>
    <row r="12327" spans="1:2" ht="12.75" customHeight="1" x14ac:dyDescent="0.25">
      <c r="A12327" s="318">
        <v>94401513411</v>
      </c>
      <c r="B12327" s="318" t="s">
        <v>23</v>
      </c>
    </row>
    <row r="12328" spans="1:2" ht="12.75" customHeight="1" x14ac:dyDescent="0.25">
      <c r="A12328" s="318">
        <v>94401513412</v>
      </c>
      <c r="B12328" s="318" t="s">
        <v>23</v>
      </c>
    </row>
    <row r="12329" spans="1:2" ht="12.75" customHeight="1" x14ac:dyDescent="0.25">
      <c r="A12329" s="318">
        <v>94401513413</v>
      </c>
      <c r="B12329" s="318" t="s">
        <v>23</v>
      </c>
    </row>
    <row r="12330" spans="1:2" ht="12.75" customHeight="1" x14ac:dyDescent="0.25">
      <c r="A12330" s="318">
        <v>94401513414</v>
      </c>
      <c r="B12330" s="318" t="s">
        <v>23</v>
      </c>
    </row>
    <row r="12331" spans="1:2" ht="12.75" customHeight="1" x14ac:dyDescent="0.25">
      <c r="A12331" s="318">
        <v>94401513415</v>
      </c>
      <c r="B12331" s="318" t="s">
        <v>23</v>
      </c>
    </row>
    <row r="12332" spans="1:2" ht="12.75" customHeight="1" x14ac:dyDescent="0.25">
      <c r="A12332" s="318">
        <v>94401513416</v>
      </c>
      <c r="B12332" s="318" t="s">
        <v>237</v>
      </c>
    </row>
    <row r="12333" spans="1:2" ht="12.75" customHeight="1" x14ac:dyDescent="0.25">
      <c r="A12333" s="318">
        <v>94401513417</v>
      </c>
      <c r="B12333" s="318" t="s">
        <v>237</v>
      </c>
    </row>
    <row r="12334" spans="1:2" ht="12.75" customHeight="1" x14ac:dyDescent="0.25">
      <c r="A12334" s="318">
        <v>94401513419</v>
      </c>
      <c r="B12334" s="318" t="s">
        <v>237</v>
      </c>
    </row>
    <row r="12335" spans="1:2" ht="12.75" customHeight="1" x14ac:dyDescent="0.25">
      <c r="A12335" s="318">
        <v>94401513420</v>
      </c>
      <c r="B12335" s="318" t="s">
        <v>237</v>
      </c>
    </row>
    <row r="12336" spans="1:2" ht="12.75" customHeight="1" x14ac:dyDescent="0.25">
      <c r="A12336" s="318">
        <v>94401513421</v>
      </c>
      <c r="B12336" s="318" t="s">
        <v>237</v>
      </c>
    </row>
    <row r="12337" spans="1:2" ht="12.75" customHeight="1" x14ac:dyDescent="0.25">
      <c r="A12337" s="318">
        <v>94401513422</v>
      </c>
      <c r="B12337" s="318" t="s">
        <v>237</v>
      </c>
    </row>
    <row r="12338" spans="1:2" ht="12.75" customHeight="1" x14ac:dyDescent="0.25">
      <c r="A12338" s="318">
        <v>94401513423</v>
      </c>
      <c r="B12338" s="318" t="s">
        <v>237</v>
      </c>
    </row>
    <row r="12339" spans="1:2" ht="12.75" customHeight="1" x14ac:dyDescent="0.25">
      <c r="A12339" s="318">
        <v>94401513424</v>
      </c>
      <c r="B12339" s="318" t="s">
        <v>237</v>
      </c>
    </row>
    <row r="12340" spans="1:2" ht="12.75" customHeight="1" x14ac:dyDescent="0.25">
      <c r="A12340" s="318">
        <v>94401513425</v>
      </c>
      <c r="B12340" s="318" t="s">
        <v>237</v>
      </c>
    </row>
    <row r="12341" spans="1:2" ht="12.75" customHeight="1" x14ac:dyDescent="0.25">
      <c r="A12341" s="318">
        <v>94401513426</v>
      </c>
      <c r="B12341" s="318" t="s">
        <v>237</v>
      </c>
    </row>
    <row r="12342" spans="1:2" ht="12.75" customHeight="1" x14ac:dyDescent="0.25">
      <c r="A12342" s="318">
        <v>94401513510</v>
      </c>
      <c r="B12342" s="318" t="s">
        <v>237</v>
      </c>
    </row>
    <row r="12343" spans="1:2" ht="12.75" customHeight="1" x14ac:dyDescent="0.25">
      <c r="A12343" s="318">
        <v>94401513511</v>
      </c>
      <c r="B12343" s="318" t="s">
        <v>237</v>
      </c>
    </row>
    <row r="12344" spans="1:2" ht="12.75" customHeight="1" x14ac:dyDescent="0.25">
      <c r="A12344" s="318">
        <v>94401513512</v>
      </c>
      <c r="B12344" s="318" t="s">
        <v>237</v>
      </c>
    </row>
    <row r="12345" spans="1:2" ht="12.75" customHeight="1" x14ac:dyDescent="0.25">
      <c r="A12345" s="318">
        <v>94401513513</v>
      </c>
      <c r="B12345" s="318" t="s">
        <v>237</v>
      </c>
    </row>
    <row r="12346" spans="1:2" ht="12.75" customHeight="1" x14ac:dyDescent="0.25">
      <c r="A12346" s="318">
        <v>94401513514</v>
      </c>
      <c r="B12346" s="318" t="s">
        <v>237</v>
      </c>
    </row>
    <row r="12347" spans="1:2" ht="12.75" customHeight="1" x14ac:dyDescent="0.25">
      <c r="A12347" s="318">
        <v>94401513515</v>
      </c>
      <c r="B12347" s="318" t="s">
        <v>237</v>
      </c>
    </row>
    <row r="12348" spans="1:2" ht="12.75" customHeight="1" x14ac:dyDescent="0.25">
      <c r="A12348" s="318">
        <v>94401513516</v>
      </c>
      <c r="B12348" s="318" t="s">
        <v>237</v>
      </c>
    </row>
    <row r="12349" spans="1:2" ht="12.75" customHeight="1" x14ac:dyDescent="0.25">
      <c r="A12349" s="318">
        <v>94401513517</v>
      </c>
      <c r="B12349" s="318" t="s">
        <v>237</v>
      </c>
    </row>
    <row r="12350" spans="1:2" ht="12.75" customHeight="1" x14ac:dyDescent="0.25">
      <c r="A12350" s="318">
        <v>94401513519</v>
      </c>
      <c r="B12350" s="318" t="s">
        <v>237</v>
      </c>
    </row>
    <row r="12351" spans="1:2" ht="12.75" customHeight="1" x14ac:dyDescent="0.25">
      <c r="A12351" s="318">
        <v>94401513520</v>
      </c>
      <c r="B12351" s="318" t="s">
        <v>237</v>
      </c>
    </row>
    <row r="12352" spans="1:2" ht="12.75" customHeight="1" x14ac:dyDescent="0.25">
      <c r="A12352" s="318">
        <v>94401513521</v>
      </c>
      <c r="B12352" s="318" t="s">
        <v>237</v>
      </c>
    </row>
    <row r="12353" spans="1:2" ht="12.75" customHeight="1" x14ac:dyDescent="0.25">
      <c r="A12353" s="318">
        <v>94401513522</v>
      </c>
      <c r="B12353" s="318" t="s">
        <v>237</v>
      </c>
    </row>
    <row r="12354" spans="1:2" ht="12.75" customHeight="1" x14ac:dyDescent="0.25">
      <c r="A12354" s="318">
        <v>94401513523</v>
      </c>
      <c r="B12354" s="318" t="s">
        <v>237</v>
      </c>
    </row>
    <row r="12355" spans="1:2" ht="12.75" customHeight="1" x14ac:dyDescent="0.25">
      <c r="A12355" s="318">
        <v>94401513524</v>
      </c>
      <c r="B12355" s="318" t="s">
        <v>237</v>
      </c>
    </row>
    <row r="12356" spans="1:2" ht="12.75" customHeight="1" x14ac:dyDescent="0.25">
      <c r="A12356" s="318">
        <v>94401513525</v>
      </c>
      <c r="B12356" s="318" t="s">
        <v>237</v>
      </c>
    </row>
    <row r="12357" spans="1:2" ht="12.75" customHeight="1" x14ac:dyDescent="0.25">
      <c r="A12357" s="318">
        <v>94401513526</v>
      </c>
      <c r="B12357" s="318" t="s">
        <v>237</v>
      </c>
    </row>
    <row r="12358" spans="1:2" ht="12.75" customHeight="1" x14ac:dyDescent="0.25">
      <c r="A12358" s="318">
        <v>94402193601</v>
      </c>
      <c r="B12358" s="318" t="s">
        <v>23</v>
      </c>
    </row>
    <row r="12359" spans="1:2" ht="12.75" customHeight="1" x14ac:dyDescent="0.25">
      <c r="A12359" s="318">
        <v>94402193602</v>
      </c>
      <c r="B12359" s="318" t="s">
        <v>23</v>
      </c>
    </row>
    <row r="12360" spans="1:2" ht="12.75" customHeight="1" x14ac:dyDescent="0.25">
      <c r="A12360" s="318">
        <v>94402193603</v>
      </c>
      <c r="B12360" s="318" t="s">
        <v>23</v>
      </c>
    </row>
    <row r="12361" spans="1:2" ht="12.75" customHeight="1" x14ac:dyDescent="0.25">
      <c r="A12361" s="318">
        <v>94402193604</v>
      </c>
      <c r="B12361" s="318" t="s">
        <v>23</v>
      </c>
    </row>
    <row r="12362" spans="1:2" ht="12.75" customHeight="1" x14ac:dyDescent="0.25">
      <c r="A12362" s="318">
        <v>94402193605</v>
      </c>
      <c r="B12362" s="318" t="s">
        <v>23</v>
      </c>
    </row>
    <row r="12363" spans="1:2" ht="12.75" customHeight="1" x14ac:dyDescent="0.25">
      <c r="A12363" s="318">
        <v>94402193606</v>
      </c>
      <c r="B12363" s="318" t="s">
        <v>23</v>
      </c>
    </row>
    <row r="12364" spans="1:2" ht="12.75" customHeight="1" x14ac:dyDescent="0.25">
      <c r="A12364" s="318">
        <v>94402193607</v>
      </c>
      <c r="B12364" s="318" t="s">
        <v>237</v>
      </c>
    </row>
    <row r="12365" spans="1:2" ht="12.75" customHeight="1" x14ac:dyDescent="0.25">
      <c r="A12365" s="318">
        <v>94402193608</v>
      </c>
      <c r="B12365" s="318" t="s">
        <v>237</v>
      </c>
    </row>
    <row r="12366" spans="1:2" ht="12.75" customHeight="1" x14ac:dyDescent="0.25">
      <c r="A12366" s="318">
        <v>94402193610</v>
      </c>
      <c r="B12366" s="318" t="s">
        <v>237</v>
      </c>
    </row>
    <row r="12367" spans="1:2" ht="12.75" customHeight="1" x14ac:dyDescent="0.25">
      <c r="A12367" s="318">
        <v>94402193611</v>
      </c>
      <c r="B12367" s="318" t="s">
        <v>237</v>
      </c>
    </row>
    <row r="12368" spans="1:2" ht="12.75" customHeight="1" x14ac:dyDescent="0.25">
      <c r="A12368" s="318">
        <v>94402193612</v>
      </c>
      <c r="B12368" s="318" t="s">
        <v>237</v>
      </c>
    </row>
    <row r="12369" spans="1:2" ht="12.75" customHeight="1" x14ac:dyDescent="0.25">
      <c r="A12369" s="318">
        <v>94402193613</v>
      </c>
      <c r="B12369" s="318" t="s">
        <v>237</v>
      </c>
    </row>
    <row r="12370" spans="1:2" ht="12.75" customHeight="1" x14ac:dyDescent="0.25">
      <c r="A12370" s="318">
        <v>94402193614</v>
      </c>
      <c r="B12370" s="318" t="s">
        <v>237</v>
      </c>
    </row>
    <row r="12371" spans="1:2" ht="12.75" customHeight="1" x14ac:dyDescent="0.25">
      <c r="A12371" s="318">
        <v>94402193615</v>
      </c>
      <c r="B12371" s="318" t="s">
        <v>237</v>
      </c>
    </row>
    <row r="12372" spans="1:2" ht="12.75" customHeight="1" x14ac:dyDescent="0.25">
      <c r="A12372" s="318">
        <v>94402193616</v>
      </c>
      <c r="B12372" s="318" t="s">
        <v>237</v>
      </c>
    </row>
    <row r="12373" spans="1:2" ht="12.75" customHeight="1" x14ac:dyDescent="0.25">
      <c r="A12373" s="318">
        <v>94402193617</v>
      </c>
      <c r="B12373" s="318" t="s">
        <v>237</v>
      </c>
    </row>
    <row r="12374" spans="1:2" ht="12.75" customHeight="1" x14ac:dyDescent="0.25">
      <c r="A12374" s="318">
        <v>94402193701</v>
      </c>
      <c r="B12374" s="318" t="s">
        <v>237</v>
      </c>
    </row>
    <row r="12375" spans="1:2" ht="12.75" customHeight="1" x14ac:dyDescent="0.25">
      <c r="A12375" s="318">
        <v>94402193702</v>
      </c>
      <c r="B12375" s="318" t="s">
        <v>237</v>
      </c>
    </row>
    <row r="12376" spans="1:2" ht="12.75" customHeight="1" x14ac:dyDescent="0.25">
      <c r="A12376" s="318">
        <v>94402193703</v>
      </c>
      <c r="B12376" s="318" t="s">
        <v>237</v>
      </c>
    </row>
    <row r="12377" spans="1:2" ht="12.75" customHeight="1" x14ac:dyDescent="0.25">
      <c r="A12377" s="318">
        <v>94402193704</v>
      </c>
      <c r="B12377" s="318" t="s">
        <v>237</v>
      </c>
    </row>
    <row r="12378" spans="1:2" ht="12.75" customHeight="1" x14ac:dyDescent="0.25">
      <c r="A12378" s="318">
        <v>94402193705</v>
      </c>
      <c r="B12378" s="318" t="s">
        <v>237</v>
      </c>
    </row>
    <row r="12379" spans="1:2" ht="12.75" customHeight="1" x14ac:dyDescent="0.25">
      <c r="A12379" s="318">
        <v>94402193706</v>
      </c>
      <c r="B12379" s="318" t="s">
        <v>237</v>
      </c>
    </row>
    <row r="12380" spans="1:2" ht="12.75" customHeight="1" x14ac:dyDescent="0.25">
      <c r="A12380" s="318">
        <v>94402193707</v>
      </c>
      <c r="B12380" s="318" t="s">
        <v>237</v>
      </c>
    </row>
    <row r="12381" spans="1:2" ht="12.75" customHeight="1" x14ac:dyDescent="0.25">
      <c r="A12381" s="318">
        <v>94402193708</v>
      </c>
      <c r="B12381" s="318" t="s">
        <v>237</v>
      </c>
    </row>
    <row r="12382" spans="1:2" ht="12.75" customHeight="1" x14ac:dyDescent="0.25">
      <c r="A12382" s="318">
        <v>94402193710</v>
      </c>
      <c r="B12382" s="318" t="s">
        <v>237</v>
      </c>
    </row>
    <row r="12383" spans="1:2" ht="12.75" customHeight="1" x14ac:dyDescent="0.25">
      <c r="A12383" s="318">
        <v>94402193711</v>
      </c>
      <c r="B12383" s="318" t="s">
        <v>237</v>
      </c>
    </row>
    <row r="12384" spans="1:2" ht="12.75" customHeight="1" x14ac:dyDescent="0.25">
      <c r="A12384" s="318">
        <v>94402193712</v>
      </c>
      <c r="B12384" s="318" t="s">
        <v>237</v>
      </c>
    </row>
    <row r="12385" spans="1:2" ht="12.75" customHeight="1" x14ac:dyDescent="0.25">
      <c r="A12385" s="318">
        <v>94402193713</v>
      </c>
      <c r="B12385" s="318" t="s">
        <v>237</v>
      </c>
    </row>
    <row r="12386" spans="1:2" ht="12.75" customHeight="1" x14ac:dyDescent="0.25">
      <c r="A12386" s="318">
        <v>94402193714</v>
      </c>
      <c r="B12386" s="318" t="s">
        <v>237</v>
      </c>
    </row>
    <row r="12387" spans="1:2" ht="12.75" customHeight="1" x14ac:dyDescent="0.25">
      <c r="A12387" s="318">
        <v>94402193715</v>
      </c>
      <c r="B12387" s="318" t="s">
        <v>237</v>
      </c>
    </row>
    <row r="12388" spans="1:2" ht="12.75" customHeight="1" x14ac:dyDescent="0.25">
      <c r="A12388" s="318">
        <v>94402193716</v>
      </c>
      <c r="B12388" s="318" t="s">
        <v>237</v>
      </c>
    </row>
    <row r="12389" spans="1:2" ht="12.75" customHeight="1" x14ac:dyDescent="0.25">
      <c r="A12389" s="318">
        <v>94402193717</v>
      </c>
      <c r="B12389" s="318" t="s">
        <v>237</v>
      </c>
    </row>
    <row r="12390" spans="1:2" ht="12.75" customHeight="1" x14ac:dyDescent="0.25">
      <c r="A12390" s="318">
        <v>94402674574</v>
      </c>
      <c r="B12390" s="318" t="s">
        <v>23</v>
      </c>
    </row>
    <row r="12391" spans="1:2" ht="12.75" customHeight="1" x14ac:dyDescent="0.25">
      <c r="A12391" s="318">
        <v>94402674575</v>
      </c>
      <c r="B12391" s="318" t="s">
        <v>23</v>
      </c>
    </row>
    <row r="12392" spans="1:2" ht="12.75" customHeight="1" x14ac:dyDescent="0.25">
      <c r="A12392" s="318">
        <v>94402674576</v>
      </c>
      <c r="B12392" s="318" t="s">
        <v>23</v>
      </c>
    </row>
    <row r="12393" spans="1:2" ht="12.75" customHeight="1" x14ac:dyDescent="0.25">
      <c r="A12393" s="318">
        <v>94402674577</v>
      </c>
      <c r="B12393" s="318" t="s">
        <v>23</v>
      </c>
    </row>
    <row r="12394" spans="1:2" ht="12.75" customHeight="1" x14ac:dyDescent="0.25">
      <c r="A12394" s="318">
        <v>94402674578</v>
      </c>
      <c r="B12394" s="318" t="s">
        <v>23</v>
      </c>
    </row>
    <row r="12395" spans="1:2" ht="12.75" customHeight="1" x14ac:dyDescent="0.25">
      <c r="A12395" s="318">
        <v>94402674579</v>
      </c>
      <c r="B12395" s="318" t="s">
        <v>23</v>
      </c>
    </row>
    <row r="12396" spans="1:2" ht="12.75" customHeight="1" x14ac:dyDescent="0.25">
      <c r="A12396" s="318">
        <v>94402674580</v>
      </c>
      <c r="B12396" s="318" t="s">
        <v>237</v>
      </c>
    </row>
    <row r="12397" spans="1:2" ht="12.75" customHeight="1" x14ac:dyDescent="0.25">
      <c r="A12397" s="318">
        <v>94402674581</v>
      </c>
      <c r="B12397" s="318" t="s">
        <v>237</v>
      </c>
    </row>
    <row r="12398" spans="1:2" ht="12.75" customHeight="1" x14ac:dyDescent="0.25">
      <c r="A12398" s="318">
        <v>94402674583</v>
      </c>
      <c r="B12398" s="318" t="s">
        <v>237</v>
      </c>
    </row>
    <row r="12399" spans="1:2" ht="12.75" customHeight="1" x14ac:dyDescent="0.25">
      <c r="A12399" s="318">
        <v>94402674584</v>
      </c>
      <c r="B12399" s="318" t="s">
        <v>237</v>
      </c>
    </row>
    <row r="12400" spans="1:2" ht="12.75" customHeight="1" x14ac:dyDescent="0.25">
      <c r="A12400" s="318">
        <v>94402674585</v>
      </c>
      <c r="B12400" s="318" t="s">
        <v>237</v>
      </c>
    </row>
    <row r="12401" spans="1:2" ht="12.75" customHeight="1" x14ac:dyDescent="0.25">
      <c r="A12401" s="318">
        <v>94402674586</v>
      </c>
      <c r="B12401" s="318" t="s">
        <v>237</v>
      </c>
    </row>
    <row r="12402" spans="1:2" ht="12.75" customHeight="1" x14ac:dyDescent="0.25">
      <c r="A12402" s="318">
        <v>94402674587</v>
      </c>
      <c r="B12402" s="318" t="s">
        <v>237</v>
      </c>
    </row>
    <row r="12403" spans="1:2" ht="12.75" customHeight="1" x14ac:dyDescent="0.25">
      <c r="A12403" s="318">
        <v>94402674588</v>
      </c>
      <c r="B12403" s="318" t="s">
        <v>237</v>
      </c>
    </row>
    <row r="12404" spans="1:2" ht="12.75" customHeight="1" x14ac:dyDescent="0.25">
      <c r="A12404" s="318">
        <v>94402674589</v>
      </c>
      <c r="B12404" s="318" t="s">
        <v>237</v>
      </c>
    </row>
    <row r="12405" spans="1:2" ht="12.75" customHeight="1" x14ac:dyDescent="0.25">
      <c r="A12405" s="318">
        <v>94402674590</v>
      </c>
      <c r="B12405" s="318" t="s">
        <v>237</v>
      </c>
    </row>
    <row r="12406" spans="1:2" ht="12.75" customHeight="1" x14ac:dyDescent="0.25">
      <c r="A12406" s="318">
        <v>94402674674</v>
      </c>
      <c r="B12406" s="318" t="s">
        <v>237</v>
      </c>
    </row>
    <row r="12407" spans="1:2" ht="12.75" customHeight="1" x14ac:dyDescent="0.25">
      <c r="A12407" s="318">
        <v>94402674675</v>
      </c>
      <c r="B12407" s="318" t="s">
        <v>237</v>
      </c>
    </row>
    <row r="12408" spans="1:2" ht="12.75" customHeight="1" x14ac:dyDescent="0.25">
      <c r="A12408" s="318">
        <v>94402674676</v>
      </c>
      <c r="B12408" s="318" t="s">
        <v>237</v>
      </c>
    </row>
    <row r="12409" spans="1:2" ht="12.75" customHeight="1" x14ac:dyDescent="0.25">
      <c r="A12409" s="318">
        <v>94402674677</v>
      </c>
      <c r="B12409" s="318" t="s">
        <v>237</v>
      </c>
    </row>
    <row r="12410" spans="1:2" ht="12.75" customHeight="1" x14ac:dyDescent="0.25">
      <c r="A12410" s="318">
        <v>94402674678</v>
      </c>
      <c r="B12410" s="318" t="s">
        <v>237</v>
      </c>
    </row>
    <row r="12411" spans="1:2" ht="12.75" customHeight="1" x14ac:dyDescent="0.25">
      <c r="A12411" s="318">
        <v>94402674679</v>
      </c>
      <c r="B12411" s="318" t="s">
        <v>237</v>
      </c>
    </row>
    <row r="12412" spans="1:2" ht="12.75" customHeight="1" x14ac:dyDescent="0.25">
      <c r="A12412" s="318">
        <v>94402674680</v>
      </c>
      <c r="B12412" s="318" t="s">
        <v>237</v>
      </c>
    </row>
    <row r="12413" spans="1:2" ht="12.75" customHeight="1" x14ac:dyDescent="0.25">
      <c r="A12413" s="318">
        <v>94402674681</v>
      </c>
      <c r="B12413" s="318" t="s">
        <v>237</v>
      </c>
    </row>
    <row r="12414" spans="1:2" ht="12.75" customHeight="1" x14ac:dyDescent="0.25">
      <c r="A12414" s="318">
        <v>94402674683</v>
      </c>
      <c r="B12414" s="318" t="s">
        <v>237</v>
      </c>
    </row>
    <row r="12415" spans="1:2" ht="12.75" customHeight="1" x14ac:dyDescent="0.25">
      <c r="A12415" s="318">
        <v>94402674684</v>
      </c>
      <c r="B12415" s="318" t="s">
        <v>237</v>
      </c>
    </row>
    <row r="12416" spans="1:2" ht="12.75" customHeight="1" x14ac:dyDescent="0.25">
      <c r="A12416" s="318">
        <v>94402674685</v>
      </c>
      <c r="B12416" s="318" t="s">
        <v>237</v>
      </c>
    </row>
    <row r="12417" spans="1:2" ht="12.75" customHeight="1" x14ac:dyDescent="0.25">
      <c r="A12417" s="318">
        <v>94402674686</v>
      </c>
      <c r="B12417" s="318" t="s">
        <v>237</v>
      </c>
    </row>
    <row r="12418" spans="1:2" ht="12.75" customHeight="1" x14ac:dyDescent="0.25">
      <c r="A12418" s="318">
        <v>94402674687</v>
      </c>
      <c r="B12418" s="318" t="s">
        <v>237</v>
      </c>
    </row>
    <row r="12419" spans="1:2" ht="12.75" customHeight="1" x14ac:dyDescent="0.25">
      <c r="A12419" s="318">
        <v>94402674688</v>
      </c>
      <c r="B12419" s="318" t="s">
        <v>237</v>
      </c>
    </row>
    <row r="12420" spans="1:2" ht="12.75" customHeight="1" x14ac:dyDescent="0.25">
      <c r="A12420" s="318">
        <v>94402674689</v>
      </c>
      <c r="B12420" s="318" t="s">
        <v>237</v>
      </c>
    </row>
    <row r="12421" spans="1:2" ht="12.75" customHeight="1" x14ac:dyDescent="0.25">
      <c r="A12421" s="318">
        <v>94402674690</v>
      </c>
      <c r="B12421" s="318" t="s">
        <v>237</v>
      </c>
    </row>
    <row r="12422" spans="1:2" ht="12.75" customHeight="1" x14ac:dyDescent="0.25">
      <c r="A12422" s="318">
        <v>94403155547</v>
      </c>
      <c r="B12422" s="318" t="s">
        <v>23</v>
      </c>
    </row>
    <row r="12423" spans="1:2" ht="12.75" customHeight="1" x14ac:dyDescent="0.25">
      <c r="A12423" s="318">
        <v>94403155548</v>
      </c>
      <c r="B12423" s="318" t="s">
        <v>23</v>
      </c>
    </row>
    <row r="12424" spans="1:2" ht="12.75" customHeight="1" x14ac:dyDescent="0.25">
      <c r="A12424" s="318">
        <v>94403155549</v>
      </c>
      <c r="B12424" s="318" t="s">
        <v>23</v>
      </c>
    </row>
    <row r="12425" spans="1:2" ht="12.75" customHeight="1" x14ac:dyDescent="0.25">
      <c r="A12425" s="318">
        <v>94403155550</v>
      </c>
      <c r="B12425" s="318" t="s">
        <v>23</v>
      </c>
    </row>
    <row r="12426" spans="1:2" ht="12.75" customHeight="1" x14ac:dyDescent="0.25">
      <c r="A12426" s="318">
        <v>94403155551</v>
      </c>
      <c r="B12426" s="318" t="s">
        <v>23</v>
      </c>
    </row>
    <row r="12427" spans="1:2" ht="12.75" customHeight="1" x14ac:dyDescent="0.25">
      <c r="A12427" s="318">
        <v>94403155552</v>
      </c>
      <c r="B12427" s="318" t="s">
        <v>23</v>
      </c>
    </row>
    <row r="12428" spans="1:2" ht="12.75" customHeight="1" x14ac:dyDescent="0.25">
      <c r="A12428" s="318">
        <v>94403155553</v>
      </c>
      <c r="B12428" s="318" t="s">
        <v>237</v>
      </c>
    </row>
    <row r="12429" spans="1:2" ht="12.75" customHeight="1" x14ac:dyDescent="0.25">
      <c r="A12429" s="318">
        <v>94403155554</v>
      </c>
      <c r="B12429" s="318" t="s">
        <v>237</v>
      </c>
    </row>
    <row r="12430" spans="1:2" ht="12.75" customHeight="1" x14ac:dyDescent="0.25">
      <c r="A12430" s="318">
        <v>94403155556</v>
      </c>
      <c r="B12430" s="318" t="s">
        <v>237</v>
      </c>
    </row>
    <row r="12431" spans="1:2" ht="12.75" customHeight="1" x14ac:dyDescent="0.25">
      <c r="A12431" s="318">
        <v>94403155557</v>
      </c>
      <c r="B12431" s="318" t="s">
        <v>237</v>
      </c>
    </row>
    <row r="12432" spans="1:2" ht="12.75" customHeight="1" x14ac:dyDescent="0.25">
      <c r="A12432" s="318">
        <v>94403155558</v>
      </c>
      <c r="B12432" s="318" t="s">
        <v>237</v>
      </c>
    </row>
    <row r="12433" spans="1:2" ht="12.75" customHeight="1" x14ac:dyDescent="0.25">
      <c r="A12433" s="318">
        <v>94403155559</v>
      </c>
      <c r="B12433" s="318" t="s">
        <v>237</v>
      </c>
    </row>
    <row r="12434" spans="1:2" ht="12.75" customHeight="1" x14ac:dyDescent="0.25">
      <c r="A12434" s="318">
        <v>94403155560</v>
      </c>
      <c r="B12434" s="318" t="s">
        <v>237</v>
      </c>
    </row>
    <row r="12435" spans="1:2" ht="12.75" customHeight="1" x14ac:dyDescent="0.25">
      <c r="A12435" s="318">
        <v>94403155561</v>
      </c>
      <c r="B12435" s="318" t="s">
        <v>237</v>
      </c>
    </row>
    <row r="12436" spans="1:2" ht="12.75" customHeight="1" x14ac:dyDescent="0.25">
      <c r="A12436" s="318">
        <v>94403155562</v>
      </c>
      <c r="B12436" s="318" t="s">
        <v>237</v>
      </c>
    </row>
    <row r="12437" spans="1:2" ht="12.75" customHeight="1" x14ac:dyDescent="0.25">
      <c r="A12437" s="318">
        <v>94403155563</v>
      </c>
      <c r="B12437" s="318" t="s">
        <v>237</v>
      </c>
    </row>
    <row r="12438" spans="1:2" ht="12.75" customHeight="1" x14ac:dyDescent="0.25">
      <c r="A12438" s="318">
        <v>94403155647</v>
      </c>
      <c r="B12438" s="318" t="s">
        <v>237</v>
      </c>
    </row>
    <row r="12439" spans="1:2" ht="12.75" customHeight="1" x14ac:dyDescent="0.25">
      <c r="A12439" s="318">
        <v>94403155648</v>
      </c>
      <c r="B12439" s="318" t="s">
        <v>237</v>
      </c>
    </row>
    <row r="12440" spans="1:2" ht="12.75" customHeight="1" x14ac:dyDescent="0.25">
      <c r="A12440" s="318">
        <v>94403155649</v>
      </c>
      <c r="B12440" s="318" t="s">
        <v>237</v>
      </c>
    </row>
    <row r="12441" spans="1:2" ht="12.75" customHeight="1" x14ac:dyDescent="0.25">
      <c r="A12441" s="318">
        <v>94403155650</v>
      </c>
      <c r="B12441" s="318" t="s">
        <v>237</v>
      </c>
    </row>
    <row r="12442" spans="1:2" ht="12.75" customHeight="1" x14ac:dyDescent="0.25">
      <c r="A12442" s="318">
        <v>94403155651</v>
      </c>
      <c r="B12442" s="318" t="s">
        <v>237</v>
      </c>
    </row>
    <row r="12443" spans="1:2" ht="12.75" customHeight="1" x14ac:dyDescent="0.25">
      <c r="A12443" s="318">
        <v>94403155652</v>
      </c>
      <c r="B12443" s="318" t="s">
        <v>237</v>
      </c>
    </row>
    <row r="12444" spans="1:2" ht="12.75" customHeight="1" x14ac:dyDescent="0.25">
      <c r="A12444" s="318">
        <v>94403155653</v>
      </c>
      <c r="B12444" s="318" t="s">
        <v>237</v>
      </c>
    </row>
    <row r="12445" spans="1:2" ht="12.75" customHeight="1" x14ac:dyDescent="0.25">
      <c r="A12445" s="318">
        <v>94403155654</v>
      </c>
      <c r="B12445" s="318" t="s">
        <v>237</v>
      </c>
    </row>
    <row r="12446" spans="1:2" ht="12.75" customHeight="1" x14ac:dyDescent="0.25">
      <c r="A12446" s="318">
        <v>94403155656</v>
      </c>
      <c r="B12446" s="318" t="s">
        <v>237</v>
      </c>
    </row>
    <row r="12447" spans="1:2" ht="12.75" customHeight="1" x14ac:dyDescent="0.25">
      <c r="A12447" s="318">
        <v>94403155657</v>
      </c>
      <c r="B12447" s="318" t="s">
        <v>237</v>
      </c>
    </row>
    <row r="12448" spans="1:2" ht="12.75" customHeight="1" x14ac:dyDescent="0.25">
      <c r="A12448" s="318">
        <v>94403155658</v>
      </c>
      <c r="B12448" s="318" t="s">
        <v>237</v>
      </c>
    </row>
    <row r="12449" spans="1:2" ht="12.75" customHeight="1" x14ac:dyDescent="0.25">
      <c r="A12449" s="318">
        <v>94403155659</v>
      </c>
      <c r="B12449" s="318" t="s">
        <v>237</v>
      </c>
    </row>
    <row r="12450" spans="1:2" ht="12.75" customHeight="1" x14ac:dyDescent="0.25">
      <c r="A12450" s="318">
        <v>94403155660</v>
      </c>
      <c r="B12450" s="318" t="s">
        <v>237</v>
      </c>
    </row>
    <row r="12451" spans="1:2" ht="12.75" customHeight="1" x14ac:dyDescent="0.25">
      <c r="A12451" s="318">
        <v>94403155661</v>
      </c>
      <c r="B12451" s="318" t="s">
        <v>237</v>
      </c>
    </row>
    <row r="12452" spans="1:2" ht="12.75" customHeight="1" x14ac:dyDescent="0.25">
      <c r="A12452" s="318">
        <v>94403155662</v>
      </c>
      <c r="B12452" s="318" t="s">
        <v>237</v>
      </c>
    </row>
    <row r="12453" spans="1:2" ht="12.75" customHeight="1" x14ac:dyDescent="0.25">
      <c r="A12453" s="318">
        <v>94403155663</v>
      </c>
      <c r="B12453" s="318" t="s">
        <v>237</v>
      </c>
    </row>
    <row r="12454" spans="1:2" ht="12.75" customHeight="1" x14ac:dyDescent="0.25">
      <c r="A12454" s="318">
        <v>94403835738</v>
      </c>
      <c r="B12454" s="318" t="s">
        <v>23</v>
      </c>
    </row>
    <row r="12455" spans="1:2" ht="12.75" customHeight="1" x14ac:dyDescent="0.25">
      <c r="A12455" s="318">
        <v>94403835739</v>
      </c>
      <c r="B12455" s="318" t="s">
        <v>23</v>
      </c>
    </row>
    <row r="12456" spans="1:2" ht="12.75" customHeight="1" x14ac:dyDescent="0.25">
      <c r="A12456" s="318">
        <v>94403835740</v>
      </c>
      <c r="B12456" s="318" t="s">
        <v>23</v>
      </c>
    </row>
    <row r="12457" spans="1:2" ht="12.75" customHeight="1" x14ac:dyDescent="0.25">
      <c r="A12457" s="318">
        <v>94403835741</v>
      </c>
      <c r="B12457" s="318" t="s">
        <v>23</v>
      </c>
    </row>
    <row r="12458" spans="1:2" ht="12.75" customHeight="1" x14ac:dyDescent="0.25">
      <c r="A12458" s="318">
        <v>94403835742</v>
      </c>
      <c r="B12458" s="318" t="s">
        <v>23</v>
      </c>
    </row>
    <row r="12459" spans="1:2" ht="12.75" customHeight="1" x14ac:dyDescent="0.25">
      <c r="A12459" s="318">
        <v>94403835743</v>
      </c>
      <c r="B12459" s="318" t="s">
        <v>23</v>
      </c>
    </row>
    <row r="12460" spans="1:2" ht="12.75" customHeight="1" x14ac:dyDescent="0.25">
      <c r="A12460" s="318">
        <v>94403835744</v>
      </c>
      <c r="B12460" s="318" t="s">
        <v>237</v>
      </c>
    </row>
    <row r="12461" spans="1:2" ht="12.75" customHeight="1" x14ac:dyDescent="0.25">
      <c r="A12461" s="318">
        <v>94403835745</v>
      </c>
      <c r="B12461" s="318" t="s">
        <v>237</v>
      </c>
    </row>
    <row r="12462" spans="1:2" ht="12.75" customHeight="1" x14ac:dyDescent="0.25">
      <c r="A12462" s="318">
        <v>94403835747</v>
      </c>
      <c r="B12462" s="318" t="s">
        <v>237</v>
      </c>
    </row>
    <row r="12463" spans="1:2" ht="12.75" customHeight="1" x14ac:dyDescent="0.25">
      <c r="A12463" s="318">
        <v>94403835748</v>
      </c>
      <c r="B12463" s="318" t="s">
        <v>237</v>
      </c>
    </row>
    <row r="12464" spans="1:2" ht="12.75" customHeight="1" x14ac:dyDescent="0.25">
      <c r="A12464" s="318">
        <v>94403835749</v>
      </c>
      <c r="B12464" s="318" t="s">
        <v>237</v>
      </c>
    </row>
    <row r="12465" spans="1:2" ht="12.75" customHeight="1" x14ac:dyDescent="0.25">
      <c r="A12465" s="318">
        <v>94403835750</v>
      </c>
      <c r="B12465" s="318" t="s">
        <v>237</v>
      </c>
    </row>
    <row r="12466" spans="1:2" ht="12.75" customHeight="1" x14ac:dyDescent="0.25">
      <c r="A12466" s="318">
        <v>94403835751</v>
      </c>
      <c r="B12466" s="318" t="s">
        <v>237</v>
      </c>
    </row>
    <row r="12467" spans="1:2" ht="12.75" customHeight="1" x14ac:dyDescent="0.25">
      <c r="A12467" s="318">
        <v>94403835752</v>
      </c>
      <c r="B12467" s="318" t="s">
        <v>237</v>
      </c>
    </row>
    <row r="12468" spans="1:2" ht="12.75" customHeight="1" x14ac:dyDescent="0.25">
      <c r="A12468" s="318">
        <v>94403835753</v>
      </c>
      <c r="B12468" s="318" t="s">
        <v>237</v>
      </c>
    </row>
    <row r="12469" spans="1:2" ht="12.75" customHeight="1" x14ac:dyDescent="0.25">
      <c r="A12469" s="318">
        <v>94403835754</v>
      </c>
      <c r="B12469" s="318" t="s">
        <v>237</v>
      </c>
    </row>
    <row r="12470" spans="1:2" ht="12.75" customHeight="1" x14ac:dyDescent="0.25">
      <c r="A12470" s="318">
        <v>94403835838</v>
      </c>
      <c r="B12470" s="318" t="s">
        <v>237</v>
      </c>
    </row>
    <row r="12471" spans="1:2" ht="12.75" customHeight="1" x14ac:dyDescent="0.25">
      <c r="A12471" s="318">
        <v>94403835839</v>
      </c>
      <c r="B12471" s="318" t="s">
        <v>237</v>
      </c>
    </row>
    <row r="12472" spans="1:2" ht="12.75" customHeight="1" x14ac:dyDescent="0.25">
      <c r="A12472" s="318">
        <v>94403835840</v>
      </c>
      <c r="B12472" s="318" t="s">
        <v>237</v>
      </c>
    </row>
    <row r="12473" spans="1:2" ht="12.75" customHeight="1" x14ac:dyDescent="0.25">
      <c r="A12473" s="318">
        <v>94403835841</v>
      </c>
      <c r="B12473" s="318" t="s">
        <v>237</v>
      </c>
    </row>
    <row r="12474" spans="1:2" ht="12.75" customHeight="1" x14ac:dyDescent="0.25">
      <c r="A12474" s="318">
        <v>94403835842</v>
      </c>
      <c r="B12474" s="318" t="s">
        <v>237</v>
      </c>
    </row>
    <row r="12475" spans="1:2" ht="12.75" customHeight="1" x14ac:dyDescent="0.25">
      <c r="A12475" s="318">
        <v>94403835843</v>
      </c>
      <c r="B12475" s="318" t="s">
        <v>237</v>
      </c>
    </row>
    <row r="12476" spans="1:2" ht="12.75" customHeight="1" x14ac:dyDescent="0.25">
      <c r="A12476" s="318">
        <v>94403835844</v>
      </c>
      <c r="B12476" s="318" t="s">
        <v>237</v>
      </c>
    </row>
    <row r="12477" spans="1:2" ht="12.75" customHeight="1" x14ac:dyDescent="0.25">
      <c r="A12477" s="318">
        <v>94403835845</v>
      </c>
      <c r="B12477" s="318" t="s">
        <v>237</v>
      </c>
    </row>
    <row r="12478" spans="1:2" ht="12.75" customHeight="1" x14ac:dyDescent="0.25">
      <c r="A12478" s="318">
        <v>94403835847</v>
      </c>
      <c r="B12478" s="318" t="s">
        <v>237</v>
      </c>
    </row>
    <row r="12479" spans="1:2" ht="12.75" customHeight="1" x14ac:dyDescent="0.25">
      <c r="A12479" s="318">
        <v>94403835848</v>
      </c>
      <c r="B12479" s="318" t="s">
        <v>237</v>
      </c>
    </row>
    <row r="12480" spans="1:2" ht="12.75" customHeight="1" x14ac:dyDescent="0.25">
      <c r="A12480" s="318">
        <v>94403835849</v>
      </c>
      <c r="B12480" s="318" t="s">
        <v>237</v>
      </c>
    </row>
    <row r="12481" spans="1:2" ht="12.75" customHeight="1" x14ac:dyDescent="0.25">
      <c r="A12481" s="318">
        <v>94403835850</v>
      </c>
      <c r="B12481" s="318" t="s">
        <v>237</v>
      </c>
    </row>
    <row r="12482" spans="1:2" ht="12.75" customHeight="1" x14ac:dyDescent="0.25">
      <c r="A12482" s="318">
        <v>94403835851</v>
      </c>
      <c r="B12482" s="318" t="s">
        <v>237</v>
      </c>
    </row>
    <row r="12483" spans="1:2" ht="12.75" customHeight="1" x14ac:dyDescent="0.25">
      <c r="A12483" s="318">
        <v>94403835852</v>
      </c>
      <c r="B12483" s="318" t="s">
        <v>237</v>
      </c>
    </row>
    <row r="12484" spans="1:2" ht="12.75" customHeight="1" x14ac:dyDescent="0.25">
      <c r="A12484" s="318">
        <v>94403835853</v>
      </c>
      <c r="B12484" s="318" t="s">
        <v>237</v>
      </c>
    </row>
    <row r="12485" spans="1:2" ht="12.75" customHeight="1" x14ac:dyDescent="0.25">
      <c r="A12485" s="318">
        <v>94403835854</v>
      </c>
      <c r="B12485" s="318" t="s">
        <v>237</v>
      </c>
    </row>
    <row r="12486" spans="1:2" ht="12.75" customHeight="1" x14ac:dyDescent="0.25">
      <c r="A12486" s="318">
        <v>94404316711</v>
      </c>
      <c r="B12486" s="318" t="s">
        <v>23</v>
      </c>
    </row>
    <row r="12487" spans="1:2" ht="12.75" customHeight="1" x14ac:dyDescent="0.25">
      <c r="A12487" s="318">
        <v>94404316712</v>
      </c>
      <c r="B12487" s="318" t="s">
        <v>23</v>
      </c>
    </row>
    <row r="12488" spans="1:2" ht="12.75" customHeight="1" x14ac:dyDescent="0.25">
      <c r="A12488" s="318">
        <v>94404316713</v>
      </c>
      <c r="B12488" s="318" t="s">
        <v>23</v>
      </c>
    </row>
    <row r="12489" spans="1:2" ht="12.75" customHeight="1" x14ac:dyDescent="0.25">
      <c r="A12489" s="318">
        <v>94404316714</v>
      </c>
      <c r="B12489" s="318" t="s">
        <v>23</v>
      </c>
    </row>
    <row r="12490" spans="1:2" ht="12.75" customHeight="1" x14ac:dyDescent="0.25">
      <c r="A12490" s="318">
        <v>94404316715</v>
      </c>
      <c r="B12490" s="318" t="s">
        <v>23</v>
      </c>
    </row>
    <row r="12491" spans="1:2" ht="12.75" customHeight="1" x14ac:dyDescent="0.25">
      <c r="A12491" s="318">
        <v>94404316716</v>
      </c>
      <c r="B12491" s="318" t="s">
        <v>23</v>
      </c>
    </row>
    <row r="12492" spans="1:2" ht="12.75" customHeight="1" x14ac:dyDescent="0.25">
      <c r="A12492" s="318">
        <v>94404316717</v>
      </c>
      <c r="B12492" s="318" t="s">
        <v>237</v>
      </c>
    </row>
    <row r="12493" spans="1:2" ht="12.75" customHeight="1" x14ac:dyDescent="0.25">
      <c r="A12493" s="318">
        <v>94404316718</v>
      </c>
      <c r="B12493" s="318" t="s">
        <v>237</v>
      </c>
    </row>
    <row r="12494" spans="1:2" ht="12.75" customHeight="1" x14ac:dyDescent="0.25">
      <c r="A12494" s="318">
        <v>94404316720</v>
      </c>
      <c r="B12494" s="318" t="s">
        <v>237</v>
      </c>
    </row>
    <row r="12495" spans="1:2" ht="12.75" customHeight="1" x14ac:dyDescent="0.25">
      <c r="A12495" s="318">
        <v>94404316721</v>
      </c>
      <c r="B12495" s="318" t="s">
        <v>237</v>
      </c>
    </row>
    <row r="12496" spans="1:2" ht="12.75" customHeight="1" x14ac:dyDescent="0.25">
      <c r="A12496" s="318">
        <v>94404316722</v>
      </c>
      <c r="B12496" s="318" t="s">
        <v>237</v>
      </c>
    </row>
    <row r="12497" spans="1:2" ht="12.75" customHeight="1" x14ac:dyDescent="0.25">
      <c r="A12497" s="318">
        <v>94404316723</v>
      </c>
      <c r="B12497" s="318" t="s">
        <v>237</v>
      </c>
    </row>
    <row r="12498" spans="1:2" ht="12.75" customHeight="1" x14ac:dyDescent="0.25">
      <c r="A12498" s="318">
        <v>94404316724</v>
      </c>
      <c r="B12498" s="318" t="s">
        <v>237</v>
      </c>
    </row>
    <row r="12499" spans="1:2" ht="12.75" customHeight="1" x14ac:dyDescent="0.25">
      <c r="A12499" s="318">
        <v>94404316725</v>
      </c>
      <c r="B12499" s="318" t="s">
        <v>237</v>
      </c>
    </row>
    <row r="12500" spans="1:2" ht="12.75" customHeight="1" x14ac:dyDescent="0.25">
      <c r="A12500" s="318">
        <v>94404316726</v>
      </c>
      <c r="B12500" s="318" t="s">
        <v>237</v>
      </c>
    </row>
    <row r="12501" spans="1:2" ht="12.75" customHeight="1" x14ac:dyDescent="0.25">
      <c r="A12501" s="318">
        <v>94404316727</v>
      </c>
      <c r="B12501" s="318" t="s">
        <v>237</v>
      </c>
    </row>
    <row r="12502" spans="1:2" ht="12.75" customHeight="1" x14ac:dyDescent="0.25">
      <c r="A12502" s="318">
        <v>94404316811</v>
      </c>
      <c r="B12502" s="318" t="s">
        <v>237</v>
      </c>
    </row>
    <row r="12503" spans="1:2" ht="12.75" customHeight="1" x14ac:dyDescent="0.25">
      <c r="A12503" s="318">
        <v>94404316812</v>
      </c>
      <c r="B12503" s="318" t="s">
        <v>237</v>
      </c>
    </row>
    <row r="12504" spans="1:2" ht="12.75" customHeight="1" x14ac:dyDescent="0.25">
      <c r="A12504" s="318">
        <v>94404316813</v>
      </c>
      <c r="B12504" s="318" t="s">
        <v>237</v>
      </c>
    </row>
    <row r="12505" spans="1:2" ht="12.75" customHeight="1" x14ac:dyDescent="0.25">
      <c r="A12505" s="318">
        <v>94404316814</v>
      </c>
      <c r="B12505" s="318" t="s">
        <v>237</v>
      </c>
    </row>
    <row r="12506" spans="1:2" ht="12.75" customHeight="1" x14ac:dyDescent="0.25">
      <c r="A12506" s="318">
        <v>94404316815</v>
      </c>
      <c r="B12506" s="318" t="s">
        <v>237</v>
      </c>
    </row>
    <row r="12507" spans="1:2" ht="12.75" customHeight="1" x14ac:dyDescent="0.25">
      <c r="A12507" s="318">
        <v>94404316816</v>
      </c>
      <c r="B12507" s="318" t="s">
        <v>237</v>
      </c>
    </row>
    <row r="12508" spans="1:2" ht="12.75" customHeight="1" x14ac:dyDescent="0.25">
      <c r="A12508" s="318">
        <v>94404316817</v>
      </c>
      <c r="B12508" s="318" t="s">
        <v>237</v>
      </c>
    </row>
    <row r="12509" spans="1:2" ht="12.75" customHeight="1" x14ac:dyDescent="0.25">
      <c r="A12509" s="318">
        <v>94404316818</v>
      </c>
      <c r="B12509" s="318" t="s">
        <v>237</v>
      </c>
    </row>
    <row r="12510" spans="1:2" ht="12.75" customHeight="1" x14ac:dyDescent="0.25">
      <c r="A12510" s="318">
        <v>94404316820</v>
      </c>
      <c r="B12510" s="318" t="s">
        <v>237</v>
      </c>
    </row>
    <row r="12511" spans="1:2" ht="12.75" customHeight="1" x14ac:dyDescent="0.25">
      <c r="A12511" s="318">
        <v>94404316821</v>
      </c>
      <c r="B12511" s="318" t="s">
        <v>237</v>
      </c>
    </row>
    <row r="12512" spans="1:2" ht="12.75" customHeight="1" x14ac:dyDescent="0.25">
      <c r="A12512" s="318">
        <v>94404316822</v>
      </c>
      <c r="B12512" s="318" t="s">
        <v>237</v>
      </c>
    </row>
    <row r="12513" spans="1:2" ht="12.75" customHeight="1" x14ac:dyDescent="0.25">
      <c r="A12513" s="318">
        <v>94404316823</v>
      </c>
      <c r="B12513" s="318" t="s">
        <v>237</v>
      </c>
    </row>
    <row r="12514" spans="1:2" ht="12.75" customHeight="1" x14ac:dyDescent="0.25">
      <c r="A12514" s="318">
        <v>94404316824</v>
      </c>
      <c r="B12514" s="318" t="s">
        <v>237</v>
      </c>
    </row>
    <row r="12515" spans="1:2" ht="12.75" customHeight="1" x14ac:dyDescent="0.25">
      <c r="A12515" s="318">
        <v>94404316825</v>
      </c>
      <c r="B12515" s="318" t="s">
        <v>237</v>
      </c>
    </row>
    <row r="12516" spans="1:2" ht="12.75" customHeight="1" x14ac:dyDescent="0.25">
      <c r="A12516" s="318">
        <v>94404316826</v>
      </c>
      <c r="B12516" s="318" t="s">
        <v>237</v>
      </c>
    </row>
    <row r="12517" spans="1:2" ht="12.75" customHeight="1" x14ac:dyDescent="0.25">
      <c r="A12517" s="318">
        <v>94404316827</v>
      </c>
      <c r="B12517" s="318" t="s">
        <v>237</v>
      </c>
    </row>
    <row r="12518" spans="1:2" ht="12.75" customHeight="1" x14ac:dyDescent="0.25">
      <c r="A12518" s="318">
        <v>94404797684</v>
      </c>
      <c r="B12518" s="318" t="s">
        <v>23</v>
      </c>
    </row>
    <row r="12519" spans="1:2" ht="12.75" customHeight="1" x14ac:dyDescent="0.25">
      <c r="A12519" s="318">
        <v>94404797685</v>
      </c>
      <c r="B12519" s="318" t="s">
        <v>23</v>
      </c>
    </row>
    <row r="12520" spans="1:2" ht="12.75" customHeight="1" x14ac:dyDescent="0.25">
      <c r="A12520" s="318">
        <v>94404797686</v>
      </c>
      <c r="B12520" s="318" t="s">
        <v>23</v>
      </c>
    </row>
    <row r="12521" spans="1:2" ht="12.75" customHeight="1" x14ac:dyDescent="0.25">
      <c r="A12521" s="318">
        <v>94404797687</v>
      </c>
      <c r="B12521" s="318" t="s">
        <v>23</v>
      </c>
    </row>
    <row r="12522" spans="1:2" ht="12.75" customHeight="1" x14ac:dyDescent="0.25">
      <c r="A12522" s="318">
        <v>94404797688</v>
      </c>
      <c r="B12522" s="318" t="s">
        <v>23</v>
      </c>
    </row>
    <row r="12523" spans="1:2" ht="12.75" customHeight="1" x14ac:dyDescent="0.25">
      <c r="A12523" s="318">
        <v>94404797689</v>
      </c>
      <c r="B12523" s="318" t="s">
        <v>23</v>
      </c>
    </row>
    <row r="12524" spans="1:2" ht="12.75" customHeight="1" x14ac:dyDescent="0.25">
      <c r="A12524" s="318">
        <v>94404797690</v>
      </c>
      <c r="B12524" s="318" t="s">
        <v>237</v>
      </c>
    </row>
    <row r="12525" spans="1:2" ht="12.75" customHeight="1" x14ac:dyDescent="0.25">
      <c r="A12525" s="318">
        <v>94404797691</v>
      </c>
      <c r="B12525" s="318" t="s">
        <v>237</v>
      </c>
    </row>
    <row r="12526" spans="1:2" ht="12.75" customHeight="1" x14ac:dyDescent="0.25">
      <c r="A12526" s="318">
        <v>94404797693</v>
      </c>
      <c r="B12526" s="318" t="s">
        <v>237</v>
      </c>
    </row>
    <row r="12527" spans="1:2" ht="12.75" customHeight="1" x14ac:dyDescent="0.25">
      <c r="A12527" s="318">
        <v>94404797694</v>
      </c>
      <c r="B12527" s="318" t="s">
        <v>237</v>
      </c>
    </row>
    <row r="12528" spans="1:2" ht="12.75" customHeight="1" x14ac:dyDescent="0.25">
      <c r="A12528" s="318">
        <v>94404797695</v>
      </c>
      <c r="B12528" s="318" t="s">
        <v>237</v>
      </c>
    </row>
    <row r="12529" spans="1:2" ht="12.75" customHeight="1" x14ac:dyDescent="0.25">
      <c r="A12529" s="318">
        <v>94404797696</v>
      </c>
      <c r="B12529" s="318" t="s">
        <v>237</v>
      </c>
    </row>
    <row r="12530" spans="1:2" ht="12.75" customHeight="1" x14ac:dyDescent="0.25">
      <c r="A12530" s="318">
        <v>94404797697</v>
      </c>
      <c r="B12530" s="318" t="s">
        <v>237</v>
      </c>
    </row>
    <row r="12531" spans="1:2" ht="12.75" customHeight="1" x14ac:dyDescent="0.25">
      <c r="A12531" s="318">
        <v>94404797698</v>
      </c>
      <c r="B12531" s="318" t="s">
        <v>237</v>
      </c>
    </row>
    <row r="12532" spans="1:2" ht="12.75" customHeight="1" x14ac:dyDescent="0.25">
      <c r="A12532" s="318">
        <v>94404797699</v>
      </c>
      <c r="B12532" s="318" t="s">
        <v>237</v>
      </c>
    </row>
    <row r="12533" spans="1:2" ht="12.75" customHeight="1" x14ac:dyDescent="0.25">
      <c r="A12533" s="318">
        <v>94404797700</v>
      </c>
      <c r="B12533" s="318" t="s">
        <v>237</v>
      </c>
    </row>
    <row r="12534" spans="1:2" ht="12.75" customHeight="1" x14ac:dyDescent="0.25">
      <c r="A12534" s="318">
        <v>94404797784</v>
      </c>
      <c r="B12534" s="318" t="s">
        <v>237</v>
      </c>
    </row>
    <row r="12535" spans="1:2" ht="12.75" customHeight="1" x14ac:dyDescent="0.25">
      <c r="A12535" s="318">
        <v>94404797785</v>
      </c>
      <c r="B12535" s="318" t="s">
        <v>237</v>
      </c>
    </row>
    <row r="12536" spans="1:2" ht="12.75" customHeight="1" x14ac:dyDescent="0.25">
      <c r="A12536" s="318">
        <v>94404797786</v>
      </c>
      <c r="B12536" s="318" t="s">
        <v>237</v>
      </c>
    </row>
    <row r="12537" spans="1:2" ht="12.75" customHeight="1" x14ac:dyDescent="0.25">
      <c r="A12537" s="318">
        <v>94404797787</v>
      </c>
      <c r="B12537" s="318" t="s">
        <v>237</v>
      </c>
    </row>
    <row r="12538" spans="1:2" ht="12.75" customHeight="1" x14ac:dyDescent="0.25">
      <c r="A12538" s="318">
        <v>94404797788</v>
      </c>
      <c r="B12538" s="318" t="s">
        <v>237</v>
      </c>
    </row>
    <row r="12539" spans="1:2" ht="12.75" customHeight="1" x14ac:dyDescent="0.25">
      <c r="A12539" s="318">
        <v>94404797789</v>
      </c>
      <c r="B12539" s="318" t="s">
        <v>237</v>
      </c>
    </row>
    <row r="12540" spans="1:2" ht="12.75" customHeight="1" x14ac:dyDescent="0.25">
      <c r="A12540" s="318">
        <v>94404797790</v>
      </c>
      <c r="B12540" s="318" t="s">
        <v>237</v>
      </c>
    </row>
    <row r="12541" spans="1:2" ht="12.75" customHeight="1" x14ac:dyDescent="0.25">
      <c r="A12541" s="318">
        <v>94404797791</v>
      </c>
      <c r="B12541" s="318" t="s">
        <v>237</v>
      </c>
    </row>
    <row r="12542" spans="1:2" ht="12.75" customHeight="1" x14ac:dyDescent="0.25">
      <c r="A12542" s="318">
        <v>94404797793</v>
      </c>
      <c r="B12542" s="318" t="s">
        <v>237</v>
      </c>
    </row>
    <row r="12543" spans="1:2" ht="12.75" customHeight="1" x14ac:dyDescent="0.25">
      <c r="A12543" s="318">
        <v>94404797794</v>
      </c>
      <c r="B12543" s="318" t="s">
        <v>237</v>
      </c>
    </row>
    <row r="12544" spans="1:2" ht="12.75" customHeight="1" x14ac:dyDescent="0.25">
      <c r="A12544" s="318">
        <v>94404797795</v>
      </c>
      <c r="B12544" s="318" t="s">
        <v>237</v>
      </c>
    </row>
    <row r="12545" spans="1:2" ht="12.75" customHeight="1" x14ac:dyDescent="0.25">
      <c r="A12545" s="318">
        <v>94404797796</v>
      </c>
      <c r="B12545" s="318" t="s">
        <v>237</v>
      </c>
    </row>
    <row r="12546" spans="1:2" ht="12.75" customHeight="1" x14ac:dyDescent="0.25">
      <c r="A12546" s="318">
        <v>94404797797</v>
      </c>
      <c r="B12546" s="318" t="s">
        <v>237</v>
      </c>
    </row>
    <row r="12547" spans="1:2" ht="12.75" customHeight="1" x14ac:dyDescent="0.25">
      <c r="A12547" s="318">
        <v>94404797798</v>
      </c>
      <c r="B12547" s="318" t="s">
        <v>237</v>
      </c>
    </row>
    <row r="12548" spans="1:2" ht="12.75" customHeight="1" x14ac:dyDescent="0.25">
      <c r="A12548" s="318">
        <v>94404797799</v>
      </c>
      <c r="B12548" s="318" t="s">
        <v>237</v>
      </c>
    </row>
    <row r="12549" spans="1:2" ht="12.75" customHeight="1" x14ac:dyDescent="0.25">
      <c r="A12549" s="318">
        <v>94404797800</v>
      </c>
      <c r="B12549" s="318" t="s">
        <v>237</v>
      </c>
    </row>
    <row r="12550" spans="1:2" ht="12.75" customHeight="1" x14ac:dyDescent="0.25">
      <c r="A12550" s="318">
        <v>94454693575</v>
      </c>
      <c r="B12550" s="318" t="s">
        <v>23</v>
      </c>
    </row>
    <row r="12551" spans="1:2" ht="12.75" customHeight="1" x14ac:dyDescent="0.25">
      <c r="A12551" s="318">
        <v>94454693576</v>
      </c>
      <c r="B12551" s="318" t="s">
        <v>23</v>
      </c>
    </row>
    <row r="12552" spans="1:2" ht="12.75" customHeight="1" x14ac:dyDescent="0.25">
      <c r="A12552" s="318">
        <v>94454693577</v>
      </c>
      <c r="B12552" s="318" t="s">
        <v>23</v>
      </c>
    </row>
    <row r="12553" spans="1:2" ht="12.75" customHeight="1" x14ac:dyDescent="0.25">
      <c r="A12553" s="318">
        <v>94454693578</v>
      </c>
      <c r="B12553" s="318" t="s">
        <v>23</v>
      </c>
    </row>
    <row r="12554" spans="1:2" ht="12.75" customHeight="1" x14ac:dyDescent="0.25">
      <c r="A12554" s="318">
        <v>94454693579</v>
      </c>
      <c r="B12554" s="318" t="s">
        <v>23</v>
      </c>
    </row>
    <row r="12555" spans="1:2" ht="12.75" customHeight="1" x14ac:dyDescent="0.25">
      <c r="A12555" s="318">
        <v>94454693580</v>
      </c>
      <c r="B12555" s="318" t="s">
        <v>23</v>
      </c>
    </row>
    <row r="12556" spans="1:2" ht="12.75" customHeight="1" x14ac:dyDescent="0.25">
      <c r="A12556" s="318">
        <v>94454693581</v>
      </c>
      <c r="B12556" s="318" t="s">
        <v>23</v>
      </c>
    </row>
    <row r="12557" spans="1:2" ht="12.75" customHeight="1" x14ac:dyDescent="0.25">
      <c r="A12557" s="318">
        <v>94454693582</v>
      </c>
      <c r="B12557" s="318" t="s">
        <v>23</v>
      </c>
    </row>
    <row r="12558" spans="1:2" ht="12.75" customHeight="1" x14ac:dyDescent="0.25">
      <c r="A12558" s="318">
        <v>94454693584</v>
      </c>
      <c r="B12558" s="318" t="s">
        <v>237</v>
      </c>
    </row>
    <row r="12559" spans="1:2" ht="12.75" customHeight="1" x14ac:dyDescent="0.25">
      <c r="A12559" s="318">
        <v>94454693585</v>
      </c>
      <c r="B12559" s="318" t="s">
        <v>237</v>
      </c>
    </row>
    <row r="12560" spans="1:2" ht="12.75" customHeight="1" x14ac:dyDescent="0.25">
      <c r="A12560" s="318">
        <v>94454693586</v>
      </c>
      <c r="B12560" s="318" t="s">
        <v>237</v>
      </c>
    </row>
    <row r="12561" spans="1:2" ht="12.75" customHeight="1" x14ac:dyDescent="0.25">
      <c r="A12561" s="318">
        <v>94454693587</v>
      </c>
      <c r="B12561" s="318" t="s">
        <v>237</v>
      </c>
    </row>
    <row r="12562" spans="1:2" ht="12.75" customHeight="1" x14ac:dyDescent="0.25">
      <c r="A12562" s="318">
        <v>94454693588</v>
      </c>
      <c r="B12562" s="318" t="s">
        <v>237</v>
      </c>
    </row>
    <row r="12563" spans="1:2" ht="12.75" customHeight="1" x14ac:dyDescent="0.25">
      <c r="A12563" s="318">
        <v>94454693589</v>
      </c>
      <c r="B12563" s="318" t="s">
        <v>237</v>
      </c>
    </row>
    <row r="12564" spans="1:2" ht="12.75" customHeight="1" x14ac:dyDescent="0.25">
      <c r="A12564" s="318">
        <v>94454693590</v>
      </c>
      <c r="B12564" s="318" t="s">
        <v>237</v>
      </c>
    </row>
    <row r="12565" spans="1:2" ht="12.75" customHeight="1" x14ac:dyDescent="0.25">
      <c r="A12565" s="318">
        <v>94454693591</v>
      </c>
      <c r="B12565" s="318" t="s">
        <v>237</v>
      </c>
    </row>
    <row r="12566" spans="1:2" ht="12.75" customHeight="1" x14ac:dyDescent="0.25">
      <c r="A12566" s="318">
        <v>94454693675</v>
      </c>
      <c r="B12566" s="318" t="s">
        <v>237</v>
      </c>
    </row>
    <row r="12567" spans="1:2" ht="12.75" customHeight="1" x14ac:dyDescent="0.25">
      <c r="A12567" s="318">
        <v>94454693676</v>
      </c>
      <c r="B12567" s="318" t="s">
        <v>237</v>
      </c>
    </row>
    <row r="12568" spans="1:2" ht="12.75" customHeight="1" x14ac:dyDescent="0.25">
      <c r="A12568" s="318">
        <v>94454693677</v>
      </c>
      <c r="B12568" s="318" t="s">
        <v>237</v>
      </c>
    </row>
    <row r="12569" spans="1:2" ht="12.75" customHeight="1" x14ac:dyDescent="0.25">
      <c r="A12569" s="318">
        <v>94454693678</v>
      </c>
      <c r="B12569" s="318" t="s">
        <v>237</v>
      </c>
    </row>
    <row r="12570" spans="1:2" ht="12.75" customHeight="1" x14ac:dyDescent="0.25">
      <c r="A12570" s="318">
        <v>94454693679</v>
      </c>
      <c r="B12570" s="318" t="s">
        <v>237</v>
      </c>
    </row>
    <row r="12571" spans="1:2" ht="12.75" customHeight="1" x14ac:dyDescent="0.25">
      <c r="A12571" s="318">
        <v>94454693680</v>
      </c>
      <c r="B12571" s="318" t="s">
        <v>237</v>
      </c>
    </row>
    <row r="12572" spans="1:2" ht="12.75" customHeight="1" x14ac:dyDescent="0.25">
      <c r="A12572" s="318">
        <v>94454693681</v>
      </c>
      <c r="B12572" s="318" t="s">
        <v>237</v>
      </c>
    </row>
    <row r="12573" spans="1:2" ht="12.75" customHeight="1" x14ac:dyDescent="0.25">
      <c r="A12573" s="318">
        <v>94454693682</v>
      </c>
      <c r="B12573" s="318" t="s">
        <v>237</v>
      </c>
    </row>
    <row r="12574" spans="1:2" ht="12.75" customHeight="1" x14ac:dyDescent="0.25">
      <c r="A12574" s="318">
        <v>94454693684</v>
      </c>
      <c r="B12574" s="318" t="s">
        <v>237</v>
      </c>
    </row>
    <row r="12575" spans="1:2" ht="12.75" customHeight="1" x14ac:dyDescent="0.25">
      <c r="A12575" s="318">
        <v>94454693685</v>
      </c>
      <c r="B12575" s="318" t="s">
        <v>237</v>
      </c>
    </row>
    <row r="12576" spans="1:2" ht="12.75" customHeight="1" x14ac:dyDescent="0.25">
      <c r="A12576" s="318">
        <v>94454693686</v>
      </c>
      <c r="B12576" s="318" t="s">
        <v>237</v>
      </c>
    </row>
    <row r="12577" spans="1:2" ht="12.75" customHeight="1" x14ac:dyDescent="0.25">
      <c r="A12577" s="318">
        <v>94454693687</v>
      </c>
      <c r="B12577" s="318" t="s">
        <v>237</v>
      </c>
    </row>
    <row r="12578" spans="1:2" ht="12.75" customHeight="1" x14ac:dyDescent="0.25">
      <c r="A12578" s="318">
        <v>94454693688</v>
      </c>
      <c r="B12578" s="318" t="s">
        <v>237</v>
      </c>
    </row>
    <row r="12579" spans="1:2" ht="12.75" customHeight="1" x14ac:dyDescent="0.25">
      <c r="A12579" s="318">
        <v>94454693689</v>
      </c>
      <c r="B12579" s="318" t="s">
        <v>237</v>
      </c>
    </row>
    <row r="12580" spans="1:2" ht="12.75" customHeight="1" x14ac:dyDescent="0.25">
      <c r="A12580" s="318">
        <v>94454693690</v>
      </c>
      <c r="B12580" s="318" t="s">
        <v>237</v>
      </c>
    </row>
    <row r="12581" spans="1:2" ht="12.75" customHeight="1" x14ac:dyDescent="0.25">
      <c r="A12581" s="318">
        <v>94454693691</v>
      </c>
      <c r="B12581" s="318" t="s">
        <v>237</v>
      </c>
    </row>
    <row r="12582" spans="1:2" ht="12.75" customHeight="1" x14ac:dyDescent="0.25">
      <c r="A12582" s="318">
        <v>94455174548</v>
      </c>
      <c r="B12582" s="318" t="s">
        <v>23</v>
      </c>
    </row>
    <row r="12583" spans="1:2" ht="12.75" customHeight="1" x14ac:dyDescent="0.25">
      <c r="A12583" s="318">
        <v>94455174549</v>
      </c>
      <c r="B12583" s="318" t="s">
        <v>23</v>
      </c>
    </row>
    <row r="12584" spans="1:2" ht="12.75" customHeight="1" x14ac:dyDescent="0.25">
      <c r="A12584" s="318">
        <v>94455174550</v>
      </c>
      <c r="B12584" s="318" t="s">
        <v>23</v>
      </c>
    </row>
    <row r="12585" spans="1:2" ht="12.75" customHeight="1" x14ac:dyDescent="0.25">
      <c r="A12585" s="318">
        <v>94455174551</v>
      </c>
      <c r="B12585" s="318" t="s">
        <v>23</v>
      </c>
    </row>
    <row r="12586" spans="1:2" ht="12.75" customHeight="1" x14ac:dyDescent="0.25">
      <c r="A12586" s="318">
        <v>94455174552</v>
      </c>
      <c r="B12586" s="318" t="s">
        <v>23</v>
      </c>
    </row>
    <row r="12587" spans="1:2" ht="12.75" customHeight="1" x14ac:dyDescent="0.25">
      <c r="A12587" s="318">
        <v>94455174553</v>
      </c>
      <c r="B12587" s="318" t="s">
        <v>23</v>
      </c>
    </row>
    <row r="12588" spans="1:2" ht="12.75" customHeight="1" x14ac:dyDescent="0.25">
      <c r="A12588" s="318">
        <v>94455174554</v>
      </c>
      <c r="B12588" s="318" t="s">
        <v>23</v>
      </c>
    </row>
    <row r="12589" spans="1:2" ht="12.75" customHeight="1" x14ac:dyDescent="0.25">
      <c r="A12589" s="318">
        <v>94455174555</v>
      </c>
      <c r="B12589" s="318" t="s">
        <v>23</v>
      </c>
    </row>
    <row r="12590" spans="1:2" ht="12.75" customHeight="1" x14ac:dyDescent="0.25">
      <c r="A12590" s="318">
        <v>94455174557</v>
      </c>
      <c r="B12590" s="318" t="s">
        <v>237</v>
      </c>
    </row>
    <row r="12591" spans="1:2" ht="12.75" customHeight="1" x14ac:dyDescent="0.25">
      <c r="A12591" s="318">
        <v>94455174558</v>
      </c>
      <c r="B12591" s="318" t="s">
        <v>237</v>
      </c>
    </row>
    <row r="12592" spans="1:2" ht="12.75" customHeight="1" x14ac:dyDescent="0.25">
      <c r="A12592" s="318">
        <v>94455174559</v>
      </c>
      <c r="B12592" s="318" t="s">
        <v>237</v>
      </c>
    </row>
    <row r="12593" spans="1:2" ht="12.75" customHeight="1" x14ac:dyDescent="0.25">
      <c r="A12593" s="318">
        <v>94455174560</v>
      </c>
      <c r="B12593" s="318" t="s">
        <v>237</v>
      </c>
    </row>
    <row r="12594" spans="1:2" ht="12.75" customHeight="1" x14ac:dyDescent="0.25">
      <c r="A12594" s="318">
        <v>94455174561</v>
      </c>
      <c r="B12594" s="318" t="s">
        <v>237</v>
      </c>
    </row>
    <row r="12595" spans="1:2" ht="12.75" customHeight="1" x14ac:dyDescent="0.25">
      <c r="A12595" s="318">
        <v>94455174562</v>
      </c>
      <c r="B12595" s="318" t="s">
        <v>237</v>
      </c>
    </row>
    <row r="12596" spans="1:2" ht="12.75" customHeight="1" x14ac:dyDescent="0.25">
      <c r="A12596" s="318">
        <v>94455174563</v>
      </c>
      <c r="B12596" s="318" t="s">
        <v>237</v>
      </c>
    </row>
    <row r="12597" spans="1:2" ht="12.75" customHeight="1" x14ac:dyDescent="0.25">
      <c r="A12597" s="318">
        <v>94455174564</v>
      </c>
      <c r="B12597" s="318" t="s">
        <v>237</v>
      </c>
    </row>
    <row r="12598" spans="1:2" ht="12.75" customHeight="1" x14ac:dyDescent="0.25">
      <c r="A12598" s="318">
        <v>94455174648</v>
      </c>
      <c r="B12598" s="318" t="s">
        <v>237</v>
      </c>
    </row>
    <row r="12599" spans="1:2" ht="12.75" customHeight="1" x14ac:dyDescent="0.25">
      <c r="A12599" s="318">
        <v>94455174649</v>
      </c>
      <c r="B12599" s="318" t="s">
        <v>237</v>
      </c>
    </row>
    <row r="12600" spans="1:2" ht="12.75" customHeight="1" x14ac:dyDescent="0.25">
      <c r="A12600" s="318">
        <v>94455174650</v>
      </c>
      <c r="B12600" s="318" t="s">
        <v>237</v>
      </c>
    </row>
    <row r="12601" spans="1:2" ht="12.75" customHeight="1" x14ac:dyDescent="0.25">
      <c r="A12601" s="318">
        <v>94455174651</v>
      </c>
      <c r="B12601" s="318" t="s">
        <v>237</v>
      </c>
    </row>
    <row r="12602" spans="1:2" ht="12.75" customHeight="1" x14ac:dyDescent="0.25">
      <c r="A12602" s="318">
        <v>94455174652</v>
      </c>
      <c r="B12602" s="318" t="s">
        <v>237</v>
      </c>
    </row>
    <row r="12603" spans="1:2" ht="12.75" customHeight="1" x14ac:dyDescent="0.25">
      <c r="A12603" s="318">
        <v>94455174653</v>
      </c>
      <c r="B12603" s="318" t="s">
        <v>237</v>
      </c>
    </row>
    <row r="12604" spans="1:2" ht="12.75" customHeight="1" x14ac:dyDescent="0.25">
      <c r="A12604" s="318">
        <v>94455174654</v>
      </c>
      <c r="B12604" s="318" t="s">
        <v>237</v>
      </c>
    </row>
    <row r="12605" spans="1:2" ht="12.75" customHeight="1" x14ac:dyDescent="0.25">
      <c r="A12605" s="318">
        <v>94455174655</v>
      </c>
      <c r="B12605" s="318" t="s">
        <v>237</v>
      </c>
    </row>
    <row r="12606" spans="1:2" ht="12.75" customHeight="1" x14ac:dyDescent="0.25">
      <c r="A12606" s="318">
        <v>94455174657</v>
      </c>
      <c r="B12606" s="318" t="s">
        <v>237</v>
      </c>
    </row>
    <row r="12607" spans="1:2" ht="12.75" customHeight="1" x14ac:dyDescent="0.25">
      <c r="A12607" s="318">
        <v>94455174658</v>
      </c>
      <c r="B12607" s="318" t="s">
        <v>237</v>
      </c>
    </row>
    <row r="12608" spans="1:2" ht="12.75" customHeight="1" x14ac:dyDescent="0.25">
      <c r="A12608" s="318">
        <v>94455174659</v>
      </c>
      <c r="B12608" s="318" t="s">
        <v>237</v>
      </c>
    </row>
    <row r="12609" spans="1:2" ht="12.75" customHeight="1" x14ac:dyDescent="0.25">
      <c r="A12609" s="318">
        <v>94455174660</v>
      </c>
      <c r="B12609" s="318" t="s">
        <v>237</v>
      </c>
    </row>
    <row r="12610" spans="1:2" ht="12.75" customHeight="1" x14ac:dyDescent="0.25">
      <c r="A12610" s="318">
        <v>94455174661</v>
      </c>
      <c r="B12610" s="318" t="s">
        <v>237</v>
      </c>
    </row>
    <row r="12611" spans="1:2" ht="12.75" customHeight="1" x14ac:dyDescent="0.25">
      <c r="A12611" s="318">
        <v>94455174662</v>
      </c>
      <c r="B12611" s="318" t="s">
        <v>237</v>
      </c>
    </row>
    <row r="12612" spans="1:2" ht="12.75" customHeight="1" x14ac:dyDescent="0.25">
      <c r="A12612" s="318">
        <v>94455174663</v>
      </c>
      <c r="B12612" s="318" t="s">
        <v>237</v>
      </c>
    </row>
    <row r="12613" spans="1:2" ht="12.75" customHeight="1" x14ac:dyDescent="0.25">
      <c r="A12613" s="318">
        <v>94455174664</v>
      </c>
      <c r="B12613" s="318" t="s">
        <v>237</v>
      </c>
    </row>
    <row r="12614" spans="1:2" ht="12.75" customHeight="1" x14ac:dyDescent="0.25">
      <c r="A12614" s="318">
        <v>94455655521</v>
      </c>
      <c r="B12614" s="318" t="s">
        <v>23</v>
      </c>
    </row>
    <row r="12615" spans="1:2" ht="12.75" customHeight="1" x14ac:dyDescent="0.25">
      <c r="A12615" s="318">
        <v>94455655522</v>
      </c>
      <c r="B12615" s="318" t="s">
        <v>23</v>
      </c>
    </row>
    <row r="12616" spans="1:2" ht="12.75" customHeight="1" x14ac:dyDescent="0.25">
      <c r="A12616" s="318">
        <v>94455655523</v>
      </c>
      <c r="B12616" s="318" t="s">
        <v>23</v>
      </c>
    </row>
    <row r="12617" spans="1:2" ht="12.75" customHeight="1" x14ac:dyDescent="0.25">
      <c r="A12617" s="318">
        <v>94455655524</v>
      </c>
      <c r="B12617" s="318" t="s">
        <v>23</v>
      </c>
    </row>
    <row r="12618" spans="1:2" ht="12.75" customHeight="1" x14ac:dyDescent="0.25">
      <c r="A12618" s="318">
        <v>94455655525</v>
      </c>
      <c r="B12618" s="318" t="s">
        <v>23</v>
      </c>
    </row>
    <row r="12619" spans="1:2" ht="12.75" customHeight="1" x14ac:dyDescent="0.25">
      <c r="A12619" s="318">
        <v>94455655526</v>
      </c>
      <c r="B12619" s="318" t="s">
        <v>23</v>
      </c>
    </row>
    <row r="12620" spans="1:2" ht="12.75" customHeight="1" x14ac:dyDescent="0.25">
      <c r="A12620" s="318">
        <v>94455655527</v>
      </c>
      <c r="B12620" s="318" t="s">
        <v>23</v>
      </c>
    </row>
    <row r="12621" spans="1:2" ht="12.75" customHeight="1" x14ac:dyDescent="0.25">
      <c r="A12621" s="318">
        <v>94455655528</v>
      </c>
      <c r="B12621" s="318" t="s">
        <v>23</v>
      </c>
    </row>
    <row r="12622" spans="1:2" ht="12.75" customHeight="1" x14ac:dyDescent="0.25">
      <c r="A12622" s="318">
        <v>94455655530</v>
      </c>
      <c r="B12622" s="318" t="s">
        <v>23</v>
      </c>
    </row>
    <row r="12623" spans="1:2" ht="12.75" customHeight="1" x14ac:dyDescent="0.25">
      <c r="A12623" s="318">
        <v>94455655531</v>
      </c>
      <c r="B12623" s="318" t="s">
        <v>23</v>
      </c>
    </row>
    <row r="12624" spans="1:2" ht="12.75" customHeight="1" x14ac:dyDescent="0.25">
      <c r="A12624" s="318">
        <v>94455655532</v>
      </c>
      <c r="B12624" s="318" t="s">
        <v>23</v>
      </c>
    </row>
    <row r="12625" spans="1:2" ht="12.75" customHeight="1" x14ac:dyDescent="0.25">
      <c r="A12625" s="318">
        <v>94455655533</v>
      </c>
      <c r="B12625" s="318" t="s">
        <v>23</v>
      </c>
    </row>
    <row r="12626" spans="1:2" ht="12.75" customHeight="1" x14ac:dyDescent="0.25">
      <c r="A12626" s="318">
        <v>94455655534</v>
      </c>
      <c r="B12626" s="318" t="s">
        <v>23</v>
      </c>
    </row>
    <row r="12627" spans="1:2" ht="12.75" customHeight="1" x14ac:dyDescent="0.25">
      <c r="A12627" s="318">
        <v>94455655535</v>
      </c>
      <c r="B12627" s="318" t="s">
        <v>23</v>
      </c>
    </row>
    <row r="12628" spans="1:2" ht="12.75" customHeight="1" x14ac:dyDescent="0.25">
      <c r="A12628" s="318">
        <v>94455655536</v>
      </c>
      <c r="B12628" s="318" t="s">
        <v>23</v>
      </c>
    </row>
    <row r="12629" spans="1:2" ht="12.75" customHeight="1" x14ac:dyDescent="0.25">
      <c r="A12629" s="318">
        <v>94455655537</v>
      </c>
      <c r="B12629" s="318" t="s">
        <v>23</v>
      </c>
    </row>
    <row r="12630" spans="1:2" ht="12.75" customHeight="1" x14ac:dyDescent="0.25">
      <c r="A12630" s="318">
        <v>94455655621</v>
      </c>
      <c r="B12630" s="318" t="s">
        <v>237</v>
      </c>
    </row>
    <row r="12631" spans="1:2" ht="12.75" customHeight="1" x14ac:dyDescent="0.25">
      <c r="A12631" s="318">
        <v>94455655622</v>
      </c>
      <c r="B12631" s="318" t="s">
        <v>237</v>
      </c>
    </row>
    <row r="12632" spans="1:2" ht="12.75" customHeight="1" x14ac:dyDescent="0.25">
      <c r="A12632" s="318">
        <v>94455655623</v>
      </c>
      <c r="B12632" s="318" t="s">
        <v>237</v>
      </c>
    </row>
    <row r="12633" spans="1:2" ht="12.75" customHeight="1" x14ac:dyDescent="0.25">
      <c r="A12633" s="318">
        <v>94455655624</v>
      </c>
      <c r="B12633" s="318" t="s">
        <v>237</v>
      </c>
    </row>
    <row r="12634" spans="1:2" ht="12.75" customHeight="1" x14ac:dyDescent="0.25">
      <c r="A12634" s="318">
        <v>94455655625</v>
      </c>
      <c r="B12634" s="318" t="s">
        <v>237</v>
      </c>
    </row>
    <row r="12635" spans="1:2" ht="12.75" customHeight="1" x14ac:dyDescent="0.25">
      <c r="A12635" s="318">
        <v>94455655626</v>
      </c>
      <c r="B12635" s="318" t="s">
        <v>237</v>
      </c>
    </row>
    <row r="12636" spans="1:2" ht="12.75" customHeight="1" x14ac:dyDescent="0.25">
      <c r="A12636" s="318">
        <v>94455655627</v>
      </c>
      <c r="B12636" s="318" t="s">
        <v>237</v>
      </c>
    </row>
    <row r="12637" spans="1:2" ht="12.75" customHeight="1" x14ac:dyDescent="0.25">
      <c r="A12637" s="318">
        <v>94455655628</v>
      </c>
      <c r="B12637" s="318" t="s">
        <v>237</v>
      </c>
    </row>
    <row r="12638" spans="1:2" ht="12.75" customHeight="1" x14ac:dyDescent="0.25">
      <c r="A12638" s="318">
        <v>94455655630</v>
      </c>
      <c r="B12638" s="318" t="s">
        <v>237</v>
      </c>
    </row>
    <row r="12639" spans="1:2" ht="12.75" customHeight="1" x14ac:dyDescent="0.25">
      <c r="A12639" s="318">
        <v>94455655631</v>
      </c>
      <c r="B12639" s="318" t="s">
        <v>237</v>
      </c>
    </row>
    <row r="12640" spans="1:2" ht="12.75" customHeight="1" x14ac:dyDescent="0.25">
      <c r="A12640" s="318">
        <v>94455655632</v>
      </c>
      <c r="B12640" s="318" t="s">
        <v>237</v>
      </c>
    </row>
    <row r="12641" spans="1:2" ht="12.75" customHeight="1" x14ac:dyDescent="0.25">
      <c r="A12641" s="318">
        <v>94455655633</v>
      </c>
      <c r="B12641" s="318" t="s">
        <v>237</v>
      </c>
    </row>
    <row r="12642" spans="1:2" ht="12.75" customHeight="1" x14ac:dyDescent="0.25">
      <c r="A12642" s="318">
        <v>94455655634</v>
      </c>
      <c r="B12642" s="318" t="s">
        <v>237</v>
      </c>
    </row>
    <row r="12643" spans="1:2" ht="12.75" customHeight="1" x14ac:dyDescent="0.25">
      <c r="A12643" s="318">
        <v>94455655635</v>
      </c>
      <c r="B12643" s="318" t="s">
        <v>237</v>
      </c>
    </row>
    <row r="12644" spans="1:2" ht="12.75" customHeight="1" x14ac:dyDescent="0.25">
      <c r="A12644" s="318">
        <v>94455655636</v>
      </c>
      <c r="B12644" s="318" t="s">
        <v>237</v>
      </c>
    </row>
    <row r="12645" spans="1:2" ht="12.75" customHeight="1" x14ac:dyDescent="0.25">
      <c r="A12645" s="318">
        <v>94455655637</v>
      </c>
      <c r="B12645" s="318" t="s">
        <v>237</v>
      </c>
    </row>
    <row r="12646" spans="1:2" ht="12.75" customHeight="1" x14ac:dyDescent="0.25">
      <c r="A12646" s="318">
        <v>94456335712</v>
      </c>
      <c r="B12646" s="318" t="s">
        <v>23</v>
      </c>
    </row>
    <row r="12647" spans="1:2" ht="12.75" customHeight="1" x14ac:dyDescent="0.25">
      <c r="A12647" s="318">
        <v>94456335713</v>
      </c>
      <c r="B12647" s="318" t="s">
        <v>23</v>
      </c>
    </row>
    <row r="12648" spans="1:2" ht="12.75" customHeight="1" x14ac:dyDescent="0.25">
      <c r="A12648" s="318">
        <v>94456335714</v>
      </c>
      <c r="B12648" s="318" t="s">
        <v>23</v>
      </c>
    </row>
    <row r="12649" spans="1:2" ht="12.75" customHeight="1" x14ac:dyDescent="0.25">
      <c r="A12649" s="318">
        <v>94456335715</v>
      </c>
      <c r="B12649" s="318" t="s">
        <v>23</v>
      </c>
    </row>
    <row r="12650" spans="1:2" ht="12.75" customHeight="1" x14ac:dyDescent="0.25">
      <c r="A12650" s="318">
        <v>94456335716</v>
      </c>
      <c r="B12650" s="318" t="s">
        <v>23</v>
      </c>
    </row>
    <row r="12651" spans="1:2" ht="12.75" customHeight="1" x14ac:dyDescent="0.25">
      <c r="A12651" s="318">
        <v>94456335717</v>
      </c>
      <c r="B12651" s="318" t="s">
        <v>23</v>
      </c>
    </row>
    <row r="12652" spans="1:2" ht="12.75" customHeight="1" x14ac:dyDescent="0.25">
      <c r="A12652" s="318">
        <v>94456335718</v>
      </c>
      <c r="B12652" s="318" t="s">
        <v>23</v>
      </c>
    </row>
    <row r="12653" spans="1:2" ht="12.75" customHeight="1" x14ac:dyDescent="0.25">
      <c r="A12653" s="318">
        <v>94456335719</v>
      </c>
      <c r="B12653" s="318" t="s">
        <v>23</v>
      </c>
    </row>
    <row r="12654" spans="1:2" ht="12.75" customHeight="1" x14ac:dyDescent="0.25">
      <c r="A12654" s="318">
        <v>94456335721</v>
      </c>
      <c r="B12654" s="318" t="s">
        <v>237</v>
      </c>
    </row>
    <row r="12655" spans="1:2" ht="12.75" customHeight="1" x14ac:dyDescent="0.25">
      <c r="A12655" s="318">
        <v>94456335722</v>
      </c>
      <c r="B12655" s="318" t="s">
        <v>237</v>
      </c>
    </row>
    <row r="12656" spans="1:2" ht="12.75" customHeight="1" x14ac:dyDescent="0.25">
      <c r="A12656" s="318">
        <v>94456335723</v>
      </c>
      <c r="B12656" s="318" t="s">
        <v>237</v>
      </c>
    </row>
    <row r="12657" spans="1:2" ht="12.75" customHeight="1" x14ac:dyDescent="0.25">
      <c r="A12657" s="318">
        <v>94456335724</v>
      </c>
      <c r="B12657" s="318" t="s">
        <v>237</v>
      </c>
    </row>
    <row r="12658" spans="1:2" ht="12.75" customHeight="1" x14ac:dyDescent="0.25">
      <c r="A12658" s="318">
        <v>94456335725</v>
      </c>
      <c r="B12658" s="318" t="s">
        <v>237</v>
      </c>
    </row>
    <row r="12659" spans="1:2" ht="12.75" customHeight="1" x14ac:dyDescent="0.25">
      <c r="A12659" s="318">
        <v>94456335726</v>
      </c>
      <c r="B12659" s="318" t="s">
        <v>237</v>
      </c>
    </row>
    <row r="12660" spans="1:2" ht="12.75" customHeight="1" x14ac:dyDescent="0.25">
      <c r="A12660" s="318">
        <v>94456335727</v>
      </c>
      <c r="B12660" s="318" t="s">
        <v>237</v>
      </c>
    </row>
    <row r="12661" spans="1:2" ht="12.75" customHeight="1" x14ac:dyDescent="0.25">
      <c r="A12661" s="318">
        <v>94456335728</v>
      </c>
      <c r="B12661" s="318" t="s">
        <v>237</v>
      </c>
    </row>
    <row r="12662" spans="1:2" ht="12.75" customHeight="1" x14ac:dyDescent="0.25">
      <c r="A12662" s="318">
        <v>94456335812</v>
      </c>
      <c r="B12662" s="318" t="s">
        <v>237</v>
      </c>
    </row>
    <row r="12663" spans="1:2" ht="12.75" customHeight="1" x14ac:dyDescent="0.25">
      <c r="A12663" s="318">
        <v>94456335813</v>
      </c>
      <c r="B12663" s="318" t="s">
        <v>237</v>
      </c>
    </row>
    <row r="12664" spans="1:2" ht="12.75" customHeight="1" x14ac:dyDescent="0.25">
      <c r="A12664" s="318">
        <v>94456335814</v>
      </c>
      <c r="B12664" s="318" t="s">
        <v>237</v>
      </c>
    </row>
    <row r="12665" spans="1:2" ht="12.75" customHeight="1" x14ac:dyDescent="0.25">
      <c r="A12665" s="318">
        <v>94456335815</v>
      </c>
      <c r="B12665" s="318" t="s">
        <v>237</v>
      </c>
    </row>
    <row r="12666" spans="1:2" ht="12.75" customHeight="1" x14ac:dyDescent="0.25">
      <c r="A12666" s="318">
        <v>94456335816</v>
      </c>
      <c r="B12666" s="318" t="s">
        <v>237</v>
      </c>
    </row>
    <row r="12667" spans="1:2" ht="12.75" customHeight="1" x14ac:dyDescent="0.25">
      <c r="A12667" s="318">
        <v>94456335817</v>
      </c>
      <c r="B12667" s="318" t="s">
        <v>237</v>
      </c>
    </row>
    <row r="12668" spans="1:2" ht="12.75" customHeight="1" x14ac:dyDescent="0.25">
      <c r="A12668" s="318">
        <v>94456335818</v>
      </c>
      <c r="B12668" s="318" t="s">
        <v>237</v>
      </c>
    </row>
    <row r="12669" spans="1:2" ht="12.75" customHeight="1" x14ac:dyDescent="0.25">
      <c r="A12669" s="318">
        <v>94456335819</v>
      </c>
      <c r="B12669" s="318" t="s">
        <v>237</v>
      </c>
    </row>
    <row r="12670" spans="1:2" ht="12.75" customHeight="1" x14ac:dyDescent="0.25">
      <c r="A12670" s="318">
        <v>94456335821</v>
      </c>
      <c r="B12670" s="318" t="s">
        <v>237</v>
      </c>
    </row>
    <row r="12671" spans="1:2" ht="12.75" customHeight="1" x14ac:dyDescent="0.25">
      <c r="A12671" s="318">
        <v>94456335822</v>
      </c>
      <c r="B12671" s="318" t="s">
        <v>237</v>
      </c>
    </row>
    <row r="12672" spans="1:2" ht="12.75" customHeight="1" x14ac:dyDescent="0.25">
      <c r="A12672" s="318">
        <v>94456335823</v>
      </c>
      <c r="B12672" s="318" t="s">
        <v>237</v>
      </c>
    </row>
    <row r="12673" spans="1:2" ht="12.75" customHeight="1" x14ac:dyDescent="0.25">
      <c r="A12673" s="318">
        <v>94456335824</v>
      </c>
      <c r="B12673" s="318" t="s">
        <v>237</v>
      </c>
    </row>
    <row r="12674" spans="1:2" ht="12.75" customHeight="1" x14ac:dyDescent="0.25">
      <c r="A12674" s="318">
        <v>94456335825</v>
      </c>
      <c r="B12674" s="318" t="s">
        <v>237</v>
      </c>
    </row>
    <row r="12675" spans="1:2" ht="12.75" customHeight="1" x14ac:dyDescent="0.25">
      <c r="A12675" s="318">
        <v>94456335826</v>
      </c>
      <c r="B12675" s="318" t="s">
        <v>237</v>
      </c>
    </row>
    <row r="12676" spans="1:2" ht="12.75" customHeight="1" x14ac:dyDescent="0.25">
      <c r="A12676" s="318">
        <v>94456335827</v>
      </c>
      <c r="B12676" s="318" t="s">
        <v>237</v>
      </c>
    </row>
    <row r="12677" spans="1:2" ht="12.75" customHeight="1" x14ac:dyDescent="0.25">
      <c r="A12677" s="318">
        <v>94456335828</v>
      </c>
      <c r="B12677" s="318" t="s">
        <v>237</v>
      </c>
    </row>
    <row r="12678" spans="1:2" ht="12.75" customHeight="1" x14ac:dyDescent="0.25">
      <c r="A12678" s="318">
        <v>94456816685</v>
      </c>
      <c r="B12678" s="318" t="s">
        <v>23</v>
      </c>
    </row>
    <row r="12679" spans="1:2" ht="12.75" customHeight="1" x14ac:dyDescent="0.25">
      <c r="A12679" s="318">
        <v>94456816686</v>
      </c>
      <c r="B12679" s="318" t="s">
        <v>23</v>
      </c>
    </row>
    <row r="12680" spans="1:2" ht="12.75" customHeight="1" x14ac:dyDescent="0.25">
      <c r="A12680" s="318">
        <v>94456816687</v>
      </c>
      <c r="B12680" s="318" t="s">
        <v>23</v>
      </c>
    </row>
    <row r="12681" spans="1:2" ht="12.75" customHeight="1" x14ac:dyDescent="0.25">
      <c r="A12681" s="318">
        <v>94456816688</v>
      </c>
      <c r="B12681" s="318" t="s">
        <v>23</v>
      </c>
    </row>
    <row r="12682" spans="1:2" ht="12.75" customHeight="1" x14ac:dyDescent="0.25">
      <c r="A12682" s="318">
        <v>94456816689</v>
      </c>
      <c r="B12682" s="318" t="s">
        <v>23</v>
      </c>
    </row>
    <row r="12683" spans="1:2" ht="12.75" customHeight="1" x14ac:dyDescent="0.25">
      <c r="A12683" s="318">
        <v>94456816690</v>
      </c>
      <c r="B12683" s="318" t="s">
        <v>23</v>
      </c>
    </row>
    <row r="12684" spans="1:2" ht="12.75" customHeight="1" x14ac:dyDescent="0.25">
      <c r="A12684" s="318">
        <v>94456816691</v>
      </c>
      <c r="B12684" s="318" t="s">
        <v>23</v>
      </c>
    </row>
    <row r="12685" spans="1:2" ht="12.75" customHeight="1" x14ac:dyDescent="0.25">
      <c r="A12685" s="318">
        <v>94456816692</v>
      </c>
      <c r="B12685" s="318" t="s">
        <v>23</v>
      </c>
    </row>
    <row r="12686" spans="1:2" ht="12.75" customHeight="1" x14ac:dyDescent="0.25">
      <c r="A12686" s="318">
        <v>94456816694</v>
      </c>
      <c r="B12686" s="318" t="s">
        <v>237</v>
      </c>
    </row>
    <row r="12687" spans="1:2" ht="12.75" customHeight="1" x14ac:dyDescent="0.25">
      <c r="A12687" s="318">
        <v>94456816695</v>
      </c>
      <c r="B12687" s="318" t="s">
        <v>237</v>
      </c>
    </row>
    <row r="12688" spans="1:2" ht="12.75" customHeight="1" x14ac:dyDescent="0.25">
      <c r="A12688" s="318">
        <v>94456816696</v>
      </c>
      <c r="B12688" s="318" t="s">
        <v>237</v>
      </c>
    </row>
    <row r="12689" spans="1:2" ht="12.75" customHeight="1" x14ac:dyDescent="0.25">
      <c r="A12689" s="318">
        <v>94456816697</v>
      </c>
      <c r="B12689" s="318" t="s">
        <v>237</v>
      </c>
    </row>
    <row r="12690" spans="1:2" ht="12.75" customHeight="1" x14ac:dyDescent="0.25">
      <c r="A12690" s="318">
        <v>94456816698</v>
      </c>
      <c r="B12690" s="318" t="s">
        <v>237</v>
      </c>
    </row>
    <row r="12691" spans="1:2" ht="12.75" customHeight="1" x14ac:dyDescent="0.25">
      <c r="A12691" s="318">
        <v>94456816699</v>
      </c>
      <c r="B12691" s="318" t="s">
        <v>237</v>
      </c>
    </row>
    <row r="12692" spans="1:2" ht="12.75" customHeight="1" x14ac:dyDescent="0.25">
      <c r="A12692" s="318">
        <v>94456816700</v>
      </c>
      <c r="B12692" s="318" t="s">
        <v>237</v>
      </c>
    </row>
    <row r="12693" spans="1:2" ht="12.75" customHeight="1" x14ac:dyDescent="0.25">
      <c r="A12693" s="318">
        <v>94456816701</v>
      </c>
      <c r="B12693" s="318" t="s">
        <v>237</v>
      </c>
    </row>
    <row r="12694" spans="1:2" ht="12.75" customHeight="1" x14ac:dyDescent="0.25">
      <c r="A12694" s="318">
        <v>94456816785</v>
      </c>
      <c r="B12694" s="318" t="s">
        <v>237</v>
      </c>
    </row>
    <row r="12695" spans="1:2" ht="12.75" customHeight="1" x14ac:dyDescent="0.25">
      <c r="A12695" s="318">
        <v>94456816786</v>
      </c>
      <c r="B12695" s="318" t="s">
        <v>237</v>
      </c>
    </row>
    <row r="12696" spans="1:2" ht="12.75" customHeight="1" x14ac:dyDescent="0.25">
      <c r="A12696" s="318">
        <v>94456816787</v>
      </c>
      <c r="B12696" s="318" t="s">
        <v>237</v>
      </c>
    </row>
    <row r="12697" spans="1:2" ht="12.75" customHeight="1" x14ac:dyDescent="0.25">
      <c r="A12697" s="318">
        <v>94456816788</v>
      </c>
      <c r="B12697" s="318" t="s">
        <v>237</v>
      </c>
    </row>
    <row r="12698" spans="1:2" ht="12.75" customHeight="1" x14ac:dyDescent="0.25">
      <c r="A12698" s="318">
        <v>94456816789</v>
      </c>
      <c r="B12698" s="318" t="s">
        <v>237</v>
      </c>
    </row>
    <row r="12699" spans="1:2" ht="12.75" customHeight="1" x14ac:dyDescent="0.25">
      <c r="A12699" s="318">
        <v>94456816790</v>
      </c>
      <c r="B12699" s="318" t="s">
        <v>237</v>
      </c>
    </row>
    <row r="12700" spans="1:2" ht="12.75" customHeight="1" x14ac:dyDescent="0.25">
      <c r="A12700" s="318">
        <v>94456816791</v>
      </c>
      <c r="B12700" s="318" t="s">
        <v>237</v>
      </c>
    </row>
    <row r="12701" spans="1:2" ht="12.75" customHeight="1" x14ac:dyDescent="0.25">
      <c r="A12701" s="318">
        <v>94456816792</v>
      </c>
      <c r="B12701" s="318" t="s">
        <v>237</v>
      </c>
    </row>
    <row r="12702" spans="1:2" ht="12.75" customHeight="1" x14ac:dyDescent="0.25">
      <c r="A12702" s="318">
        <v>94456816794</v>
      </c>
      <c r="B12702" s="318" t="s">
        <v>237</v>
      </c>
    </row>
    <row r="12703" spans="1:2" ht="12.75" customHeight="1" x14ac:dyDescent="0.25">
      <c r="A12703" s="318">
        <v>94456816795</v>
      </c>
      <c r="B12703" s="318" t="s">
        <v>237</v>
      </c>
    </row>
    <row r="12704" spans="1:2" ht="12.75" customHeight="1" x14ac:dyDescent="0.25">
      <c r="A12704" s="318">
        <v>94456816796</v>
      </c>
      <c r="B12704" s="318" t="s">
        <v>237</v>
      </c>
    </row>
    <row r="12705" spans="1:2" ht="12.75" customHeight="1" x14ac:dyDescent="0.25">
      <c r="A12705" s="318">
        <v>94456816797</v>
      </c>
      <c r="B12705" s="318" t="s">
        <v>237</v>
      </c>
    </row>
    <row r="12706" spans="1:2" ht="12.75" customHeight="1" x14ac:dyDescent="0.25">
      <c r="A12706" s="318">
        <v>94456816798</v>
      </c>
      <c r="B12706" s="318" t="s">
        <v>237</v>
      </c>
    </row>
    <row r="12707" spans="1:2" ht="12.75" customHeight="1" x14ac:dyDescent="0.25">
      <c r="A12707" s="318">
        <v>94456816799</v>
      </c>
      <c r="B12707" s="318" t="s">
        <v>237</v>
      </c>
    </row>
    <row r="12708" spans="1:2" ht="12.75" customHeight="1" x14ac:dyDescent="0.25">
      <c r="A12708" s="318">
        <v>94456816800</v>
      </c>
      <c r="B12708" s="318" t="s">
        <v>237</v>
      </c>
    </row>
    <row r="12709" spans="1:2" ht="12.75" customHeight="1" x14ac:dyDescent="0.25">
      <c r="A12709" s="318">
        <v>94456816801</v>
      </c>
      <c r="B12709" s="318" t="s">
        <v>237</v>
      </c>
    </row>
    <row r="12710" spans="1:2" ht="12.75" customHeight="1" x14ac:dyDescent="0.25">
      <c r="A12710" s="318">
        <v>94457297658</v>
      </c>
      <c r="B12710" s="318" t="s">
        <v>23</v>
      </c>
    </row>
    <row r="12711" spans="1:2" ht="12.75" customHeight="1" x14ac:dyDescent="0.25">
      <c r="A12711" s="318">
        <v>94457297659</v>
      </c>
      <c r="B12711" s="318" t="s">
        <v>23</v>
      </c>
    </row>
    <row r="12712" spans="1:2" ht="12.75" customHeight="1" x14ac:dyDescent="0.25">
      <c r="A12712" s="318">
        <v>94457297660</v>
      </c>
      <c r="B12712" s="318" t="s">
        <v>23</v>
      </c>
    </row>
    <row r="12713" spans="1:2" ht="12.75" customHeight="1" x14ac:dyDescent="0.25">
      <c r="A12713" s="318">
        <v>94457297661</v>
      </c>
      <c r="B12713" s="318" t="s">
        <v>23</v>
      </c>
    </row>
    <row r="12714" spans="1:2" ht="12.75" customHeight="1" x14ac:dyDescent="0.25">
      <c r="A12714" s="318">
        <v>94457297662</v>
      </c>
      <c r="B12714" s="318" t="s">
        <v>23</v>
      </c>
    </row>
    <row r="12715" spans="1:2" ht="12.75" customHeight="1" x14ac:dyDescent="0.25">
      <c r="A12715" s="318">
        <v>94457297663</v>
      </c>
      <c r="B12715" s="318" t="s">
        <v>23</v>
      </c>
    </row>
    <row r="12716" spans="1:2" ht="12.75" customHeight="1" x14ac:dyDescent="0.25">
      <c r="A12716" s="318">
        <v>94457297664</v>
      </c>
      <c r="B12716" s="318" t="s">
        <v>23</v>
      </c>
    </row>
    <row r="12717" spans="1:2" ht="12.75" customHeight="1" x14ac:dyDescent="0.25">
      <c r="A12717" s="318">
        <v>94457297665</v>
      </c>
      <c r="B12717" s="318" t="s">
        <v>23</v>
      </c>
    </row>
    <row r="12718" spans="1:2" ht="12.75" customHeight="1" x14ac:dyDescent="0.25">
      <c r="A12718" s="318">
        <v>94457297667</v>
      </c>
      <c r="B12718" s="318" t="s">
        <v>23</v>
      </c>
    </row>
    <row r="12719" spans="1:2" ht="12.75" customHeight="1" x14ac:dyDescent="0.25">
      <c r="A12719" s="318">
        <v>94457297668</v>
      </c>
      <c r="B12719" s="318" t="s">
        <v>23</v>
      </c>
    </row>
    <row r="12720" spans="1:2" ht="12.75" customHeight="1" x14ac:dyDescent="0.25">
      <c r="A12720" s="318">
        <v>94457297669</v>
      </c>
      <c r="B12720" s="318" t="s">
        <v>23</v>
      </c>
    </row>
    <row r="12721" spans="1:2" ht="12.75" customHeight="1" x14ac:dyDescent="0.25">
      <c r="A12721" s="318">
        <v>94457297670</v>
      </c>
      <c r="B12721" s="318" t="s">
        <v>23</v>
      </c>
    </row>
    <row r="12722" spans="1:2" ht="12.75" customHeight="1" x14ac:dyDescent="0.25">
      <c r="A12722" s="318">
        <v>94457297671</v>
      </c>
      <c r="B12722" s="318" t="s">
        <v>23</v>
      </c>
    </row>
    <row r="12723" spans="1:2" ht="12.75" customHeight="1" x14ac:dyDescent="0.25">
      <c r="A12723" s="318">
        <v>94457297672</v>
      </c>
      <c r="B12723" s="318" t="s">
        <v>23</v>
      </c>
    </row>
    <row r="12724" spans="1:2" ht="12.75" customHeight="1" x14ac:dyDescent="0.25">
      <c r="A12724" s="318">
        <v>94457297673</v>
      </c>
      <c r="B12724" s="318" t="s">
        <v>23</v>
      </c>
    </row>
    <row r="12725" spans="1:2" ht="12.75" customHeight="1" x14ac:dyDescent="0.25">
      <c r="A12725" s="318">
        <v>94457297674</v>
      </c>
      <c r="B12725" s="318" t="s">
        <v>23</v>
      </c>
    </row>
    <row r="12726" spans="1:2" ht="12.75" customHeight="1" x14ac:dyDescent="0.25">
      <c r="A12726" s="318">
        <v>94457297758</v>
      </c>
      <c r="B12726" s="318" t="s">
        <v>237</v>
      </c>
    </row>
    <row r="12727" spans="1:2" ht="12.75" customHeight="1" x14ac:dyDescent="0.25">
      <c r="A12727" s="318">
        <v>94457297759</v>
      </c>
      <c r="B12727" s="318" t="s">
        <v>237</v>
      </c>
    </row>
    <row r="12728" spans="1:2" ht="12.75" customHeight="1" x14ac:dyDescent="0.25">
      <c r="A12728" s="318">
        <v>94457297760</v>
      </c>
      <c r="B12728" s="318" t="s">
        <v>237</v>
      </c>
    </row>
    <row r="12729" spans="1:2" ht="12.75" customHeight="1" x14ac:dyDescent="0.25">
      <c r="A12729" s="318">
        <v>94457297761</v>
      </c>
      <c r="B12729" s="318" t="s">
        <v>237</v>
      </c>
    </row>
    <row r="12730" spans="1:2" ht="12.75" customHeight="1" x14ac:dyDescent="0.25">
      <c r="A12730" s="318">
        <v>94457297762</v>
      </c>
      <c r="B12730" s="318" t="s">
        <v>237</v>
      </c>
    </row>
    <row r="12731" spans="1:2" ht="12.75" customHeight="1" x14ac:dyDescent="0.25">
      <c r="A12731" s="318">
        <v>94457297763</v>
      </c>
      <c r="B12731" s="318" t="s">
        <v>237</v>
      </c>
    </row>
    <row r="12732" spans="1:2" ht="12.75" customHeight="1" x14ac:dyDescent="0.25">
      <c r="A12732" s="318">
        <v>94457297764</v>
      </c>
      <c r="B12732" s="318" t="s">
        <v>237</v>
      </c>
    </row>
    <row r="12733" spans="1:2" ht="12.75" customHeight="1" x14ac:dyDescent="0.25">
      <c r="A12733" s="318">
        <v>94457297765</v>
      </c>
      <c r="B12733" s="318" t="s">
        <v>237</v>
      </c>
    </row>
    <row r="12734" spans="1:2" ht="12.75" customHeight="1" x14ac:dyDescent="0.25">
      <c r="A12734" s="318">
        <v>94457297767</v>
      </c>
      <c r="B12734" s="318" t="s">
        <v>237</v>
      </c>
    </row>
    <row r="12735" spans="1:2" ht="12.75" customHeight="1" x14ac:dyDescent="0.25">
      <c r="A12735" s="318">
        <v>94457297768</v>
      </c>
      <c r="B12735" s="318" t="s">
        <v>237</v>
      </c>
    </row>
    <row r="12736" spans="1:2" ht="12.75" customHeight="1" x14ac:dyDescent="0.25">
      <c r="A12736" s="318">
        <v>94457297769</v>
      </c>
      <c r="B12736" s="318" t="s">
        <v>237</v>
      </c>
    </row>
    <row r="12737" spans="1:2" ht="12.75" customHeight="1" x14ac:dyDescent="0.25">
      <c r="A12737" s="318">
        <v>94457297770</v>
      </c>
      <c r="B12737" s="318" t="s">
        <v>237</v>
      </c>
    </row>
    <row r="12738" spans="1:2" ht="12.75" customHeight="1" x14ac:dyDescent="0.25">
      <c r="A12738" s="318">
        <v>94457297771</v>
      </c>
      <c r="B12738" s="318" t="s">
        <v>237</v>
      </c>
    </row>
    <row r="12739" spans="1:2" ht="12.75" customHeight="1" x14ac:dyDescent="0.25">
      <c r="A12739" s="318">
        <v>94457297772</v>
      </c>
      <c r="B12739" s="318" t="s">
        <v>237</v>
      </c>
    </row>
    <row r="12740" spans="1:2" ht="12.75" customHeight="1" x14ac:dyDescent="0.25">
      <c r="A12740" s="318">
        <v>94457297773</v>
      </c>
      <c r="B12740" s="318" t="s">
        <v>237</v>
      </c>
    </row>
    <row r="12741" spans="1:2" ht="12.75" customHeight="1" x14ac:dyDescent="0.25">
      <c r="A12741" s="318">
        <v>94457297774</v>
      </c>
      <c r="B12741" s="318" t="s">
        <v>237</v>
      </c>
    </row>
    <row r="12742" spans="1:2" ht="12.75" customHeight="1" x14ac:dyDescent="0.25">
      <c r="A12742" s="318">
        <v>94457977849</v>
      </c>
      <c r="B12742" s="318" t="s">
        <v>23</v>
      </c>
    </row>
    <row r="12743" spans="1:2" ht="12.75" customHeight="1" x14ac:dyDescent="0.25">
      <c r="A12743" s="318">
        <v>94457977850</v>
      </c>
      <c r="B12743" s="318" t="s">
        <v>23</v>
      </c>
    </row>
    <row r="12744" spans="1:2" ht="12.75" customHeight="1" x14ac:dyDescent="0.25">
      <c r="A12744" s="318">
        <v>94457977851</v>
      </c>
      <c r="B12744" s="318" t="s">
        <v>23</v>
      </c>
    </row>
    <row r="12745" spans="1:2" ht="12.75" customHeight="1" x14ac:dyDescent="0.25">
      <c r="A12745" s="318">
        <v>94457977852</v>
      </c>
      <c r="B12745" s="318" t="s">
        <v>23</v>
      </c>
    </row>
    <row r="12746" spans="1:2" ht="12.75" customHeight="1" x14ac:dyDescent="0.25">
      <c r="A12746" s="318">
        <v>94457977853</v>
      </c>
      <c r="B12746" s="318" t="s">
        <v>23</v>
      </c>
    </row>
    <row r="12747" spans="1:2" ht="12.75" customHeight="1" x14ac:dyDescent="0.25">
      <c r="A12747" s="318">
        <v>94457977854</v>
      </c>
      <c r="B12747" s="318" t="s">
        <v>23</v>
      </c>
    </row>
    <row r="12748" spans="1:2" ht="12.75" customHeight="1" x14ac:dyDescent="0.25">
      <c r="A12748" s="318">
        <v>94457977855</v>
      </c>
      <c r="B12748" s="318" t="s">
        <v>23</v>
      </c>
    </row>
    <row r="12749" spans="1:2" ht="12.75" customHeight="1" x14ac:dyDescent="0.25">
      <c r="A12749" s="318">
        <v>94457977856</v>
      </c>
      <c r="B12749" s="318" t="s">
        <v>23</v>
      </c>
    </row>
    <row r="12750" spans="1:2" ht="12.75" customHeight="1" x14ac:dyDescent="0.25">
      <c r="A12750" s="318">
        <v>94457977858</v>
      </c>
      <c r="B12750" s="318" t="s">
        <v>23</v>
      </c>
    </row>
    <row r="12751" spans="1:2" ht="12.75" customHeight="1" x14ac:dyDescent="0.25">
      <c r="A12751" s="318">
        <v>94457977859</v>
      </c>
      <c r="B12751" s="318" t="s">
        <v>23</v>
      </c>
    </row>
    <row r="12752" spans="1:2" ht="12.75" customHeight="1" x14ac:dyDescent="0.25">
      <c r="A12752" s="318">
        <v>94457977860</v>
      </c>
      <c r="B12752" s="318" t="s">
        <v>23</v>
      </c>
    </row>
    <row r="12753" spans="1:2" ht="12.75" customHeight="1" x14ac:dyDescent="0.25">
      <c r="A12753" s="318">
        <v>94457977861</v>
      </c>
      <c r="B12753" s="318" t="s">
        <v>23</v>
      </c>
    </row>
    <row r="12754" spans="1:2" ht="12.75" customHeight="1" x14ac:dyDescent="0.25">
      <c r="A12754" s="318">
        <v>94457977862</v>
      </c>
      <c r="B12754" s="318" t="s">
        <v>23</v>
      </c>
    </row>
    <row r="12755" spans="1:2" ht="12.75" customHeight="1" x14ac:dyDescent="0.25">
      <c r="A12755" s="318">
        <v>94457977863</v>
      </c>
      <c r="B12755" s="318" t="s">
        <v>23</v>
      </c>
    </row>
    <row r="12756" spans="1:2" ht="12.75" customHeight="1" x14ac:dyDescent="0.25">
      <c r="A12756" s="318">
        <v>94457977864</v>
      </c>
      <c r="B12756" s="318" t="s">
        <v>23</v>
      </c>
    </row>
    <row r="12757" spans="1:2" ht="12.75" customHeight="1" x14ac:dyDescent="0.25">
      <c r="A12757" s="318">
        <v>94457977865</v>
      </c>
      <c r="B12757" s="318" t="s">
        <v>23</v>
      </c>
    </row>
    <row r="12758" spans="1:2" ht="12.75" customHeight="1" x14ac:dyDescent="0.25">
      <c r="A12758" s="318">
        <v>94457977949</v>
      </c>
      <c r="B12758" s="318" t="s">
        <v>237</v>
      </c>
    </row>
    <row r="12759" spans="1:2" ht="12.75" customHeight="1" x14ac:dyDescent="0.25">
      <c r="A12759" s="318">
        <v>94457977950</v>
      </c>
      <c r="B12759" s="318" t="s">
        <v>237</v>
      </c>
    </row>
    <row r="12760" spans="1:2" ht="12.75" customHeight="1" x14ac:dyDescent="0.25">
      <c r="A12760" s="318">
        <v>94457977951</v>
      </c>
      <c r="B12760" s="318" t="s">
        <v>237</v>
      </c>
    </row>
    <row r="12761" spans="1:2" ht="12.75" customHeight="1" x14ac:dyDescent="0.25">
      <c r="A12761" s="318">
        <v>94457977952</v>
      </c>
      <c r="B12761" s="318" t="s">
        <v>237</v>
      </c>
    </row>
    <row r="12762" spans="1:2" ht="12.75" customHeight="1" x14ac:dyDescent="0.25">
      <c r="A12762" s="318">
        <v>94457977953</v>
      </c>
      <c r="B12762" s="318" t="s">
        <v>237</v>
      </c>
    </row>
    <row r="12763" spans="1:2" ht="12.75" customHeight="1" x14ac:dyDescent="0.25">
      <c r="A12763" s="318">
        <v>94457977954</v>
      </c>
      <c r="B12763" s="318" t="s">
        <v>237</v>
      </c>
    </row>
    <row r="12764" spans="1:2" ht="12.75" customHeight="1" x14ac:dyDescent="0.25">
      <c r="A12764" s="318">
        <v>94457977955</v>
      </c>
      <c r="B12764" s="318" t="s">
        <v>237</v>
      </c>
    </row>
    <row r="12765" spans="1:2" ht="12.75" customHeight="1" x14ac:dyDescent="0.25">
      <c r="A12765" s="318">
        <v>94457977956</v>
      </c>
      <c r="B12765" s="318" t="s">
        <v>237</v>
      </c>
    </row>
    <row r="12766" spans="1:2" ht="12.75" customHeight="1" x14ac:dyDescent="0.25">
      <c r="A12766" s="318">
        <v>94457977958</v>
      </c>
      <c r="B12766" s="318" t="s">
        <v>237</v>
      </c>
    </row>
    <row r="12767" spans="1:2" ht="12.75" customHeight="1" x14ac:dyDescent="0.25">
      <c r="A12767" s="318">
        <v>94457977959</v>
      </c>
      <c r="B12767" s="318" t="s">
        <v>237</v>
      </c>
    </row>
    <row r="12768" spans="1:2" ht="12.75" customHeight="1" x14ac:dyDescent="0.25">
      <c r="A12768" s="318">
        <v>94457977960</v>
      </c>
      <c r="B12768" s="318" t="s">
        <v>237</v>
      </c>
    </row>
    <row r="12769" spans="1:2" ht="12.75" customHeight="1" x14ac:dyDescent="0.25">
      <c r="A12769" s="318">
        <v>94457977961</v>
      </c>
      <c r="B12769" s="318" t="s">
        <v>237</v>
      </c>
    </row>
    <row r="12770" spans="1:2" ht="12.75" customHeight="1" x14ac:dyDescent="0.25">
      <c r="A12770" s="318">
        <v>94457977962</v>
      </c>
      <c r="B12770" s="318" t="s">
        <v>237</v>
      </c>
    </row>
    <row r="12771" spans="1:2" ht="12.75" customHeight="1" x14ac:dyDescent="0.25">
      <c r="A12771" s="318">
        <v>94457977963</v>
      </c>
      <c r="B12771" s="318" t="s">
        <v>237</v>
      </c>
    </row>
    <row r="12772" spans="1:2" ht="12.75" customHeight="1" x14ac:dyDescent="0.25">
      <c r="A12772" s="318">
        <v>94457977964</v>
      </c>
      <c r="B12772" s="318" t="s">
        <v>237</v>
      </c>
    </row>
    <row r="12773" spans="1:2" ht="12.75" customHeight="1" x14ac:dyDescent="0.25">
      <c r="A12773" s="318">
        <v>94457977965</v>
      </c>
      <c r="B12773" s="318" t="s">
        <v>237</v>
      </c>
    </row>
    <row r="12774" spans="1:2" ht="12.75" customHeight="1" x14ac:dyDescent="0.25">
      <c r="A12774" s="318">
        <v>94458458822</v>
      </c>
      <c r="B12774" s="318" t="s">
        <v>23</v>
      </c>
    </row>
    <row r="12775" spans="1:2" ht="12.75" customHeight="1" x14ac:dyDescent="0.25">
      <c r="A12775" s="318">
        <v>94458458823</v>
      </c>
      <c r="B12775" s="318" t="s">
        <v>23</v>
      </c>
    </row>
    <row r="12776" spans="1:2" ht="12.75" customHeight="1" x14ac:dyDescent="0.25">
      <c r="A12776" s="318">
        <v>94458458824</v>
      </c>
      <c r="B12776" s="318" t="s">
        <v>23</v>
      </c>
    </row>
    <row r="12777" spans="1:2" ht="12.75" customHeight="1" x14ac:dyDescent="0.25">
      <c r="A12777" s="318">
        <v>94458458825</v>
      </c>
      <c r="B12777" s="318" t="s">
        <v>23</v>
      </c>
    </row>
    <row r="12778" spans="1:2" ht="12.75" customHeight="1" x14ac:dyDescent="0.25">
      <c r="A12778" s="318">
        <v>94458458826</v>
      </c>
      <c r="B12778" s="318" t="s">
        <v>23</v>
      </c>
    </row>
    <row r="12779" spans="1:2" ht="12.75" customHeight="1" x14ac:dyDescent="0.25">
      <c r="A12779" s="318">
        <v>94458458827</v>
      </c>
      <c r="B12779" s="318" t="s">
        <v>23</v>
      </c>
    </row>
    <row r="12780" spans="1:2" ht="12.75" customHeight="1" x14ac:dyDescent="0.25">
      <c r="A12780" s="318">
        <v>94458458828</v>
      </c>
      <c r="B12780" s="318" t="s">
        <v>23</v>
      </c>
    </row>
    <row r="12781" spans="1:2" ht="12.75" customHeight="1" x14ac:dyDescent="0.25">
      <c r="A12781" s="318">
        <v>94458458829</v>
      </c>
      <c r="B12781" s="318" t="s">
        <v>23</v>
      </c>
    </row>
    <row r="12782" spans="1:2" ht="12.75" customHeight="1" x14ac:dyDescent="0.25">
      <c r="A12782" s="318">
        <v>94458458831</v>
      </c>
      <c r="B12782" s="318" t="s">
        <v>23</v>
      </c>
    </row>
    <row r="12783" spans="1:2" ht="12.75" customHeight="1" x14ac:dyDescent="0.25">
      <c r="A12783" s="318">
        <v>94458458832</v>
      </c>
      <c r="B12783" s="318" t="s">
        <v>23</v>
      </c>
    </row>
    <row r="12784" spans="1:2" ht="12.75" customHeight="1" x14ac:dyDescent="0.25">
      <c r="A12784" s="318">
        <v>94458458833</v>
      </c>
      <c r="B12784" s="318" t="s">
        <v>23</v>
      </c>
    </row>
    <row r="12785" spans="1:2" ht="12.75" customHeight="1" x14ac:dyDescent="0.25">
      <c r="A12785" s="318">
        <v>94458458834</v>
      </c>
      <c r="B12785" s="318" t="s">
        <v>23</v>
      </c>
    </row>
    <row r="12786" spans="1:2" ht="12.75" customHeight="1" x14ac:dyDescent="0.25">
      <c r="A12786" s="318">
        <v>94458458835</v>
      </c>
      <c r="B12786" s="318" t="s">
        <v>23</v>
      </c>
    </row>
    <row r="12787" spans="1:2" ht="12.75" customHeight="1" x14ac:dyDescent="0.25">
      <c r="A12787" s="318">
        <v>94458458836</v>
      </c>
      <c r="B12787" s="318" t="s">
        <v>23</v>
      </c>
    </row>
    <row r="12788" spans="1:2" ht="12.75" customHeight="1" x14ac:dyDescent="0.25">
      <c r="A12788" s="318">
        <v>94458458837</v>
      </c>
      <c r="B12788" s="318" t="s">
        <v>23</v>
      </c>
    </row>
    <row r="12789" spans="1:2" ht="12.75" customHeight="1" x14ac:dyDescent="0.25">
      <c r="A12789" s="318">
        <v>94458458838</v>
      </c>
      <c r="B12789" s="318" t="s">
        <v>23</v>
      </c>
    </row>
    <row r="12790" spans="1:2" ht="12.75" customHeight="1" x14ac:dyDescent="0.25">
      <c r="A12790" s="318">
        <v>94458458922</v>
      </c>
      <c r="B12790" s="318" t="s">
        <v>237</v>
      </c>
    </row>
    <row r="12791" spans="1:2" ht="12.75" customHeight="1" x14ac:dyDescent="0.25">
      <c r="A12791" s="318">
        <v>94458458923</v>
      </c>
      <c r="B12791" s="318" t="s">
        <v>237</v>
      </c>
    </row>
    <row r="12792" spans="1:2" ht="12.75" customHeight="1" x14ac:dyDescent="0.25">
      <c r="A12792" s="318">
        <v>94458458924</v>
      </c>
      <c r="B12792" s="318" t="s">
        <v>237</v>
      </c>
    </row>
    <row r="12793" spans="1:2" ht="12.75" customHeight="1" x14ac:dyDescent="0.25">
      <c r="A12793" s="318">
        <v>94458458925</v>
      </c>
      <c r="B12793" s="318" t="s">
        <v>237</v>
      </c>
    </row>
    <row r="12794" spans="1:2" ht="12.75" customHeight="1" x14ac:dyDescent="0.25">
      <c r="A12794" s="318">
        <v>94458458926</v>
      </c>
      <c r="B12794" s="318" t="s">
        <v>237</v>
      </c>
    </row>
    <row r="12795" spans="1:2" ht="12.75" customHeight="1" x14ac:dyDescent="0.25">
      <c r="A12795" s="318">
        <v>94458458927</v>
      </c>
      <c r="B12795" s="318" t="s">
        <v>237</v>
      </c>
    </row>
    <row r="12796" spans="1:2" ht="12.75" customHeight="1" x14ac:dyDescent="0.25">
      <c r="A12796" s="318">
        <v>94458458928</v>
      </c>
      <c r="B12796" s="318" t="s">
        <v>237</v>
      </c>
    </row>
    <row r="12797" spans="1:2" ht="12.75" customHeight="1" x14ac:dyDescent="0.25">
      <c r="A12797" s="318">
        <v>94458458929</v>
      </c>
      <c r="B12797" s="318" t="s">
        <v>237</v>
      </c>
    </row>
    <row r="12798" spans="1:2" ht="12.75" customHeight="1" x14ac:dyDescent="0.25">
      <c r="A12798" s="318">
        <v>94458458931</v>
      </c>
      <c r="B12798" s="318" t="s">
        <v>237</v>
      </c>
    </row>
    <row r="12799" spans="1:2" ht="12.75" customHeight="1" x14ac:dyDescent="0.25">
      <c r="A12799" s="318">
        <v>94458458932</v>
      </c>
      <c r="B12799" s="318" t="s">
        <v>237</v>
      </c>
    </row>
    <row r="12800" spans="1:2" ht="12.75" customHeight="1" x14ac:dyDescent="0.25">
      <c r="A12800" s="318">
        <v>94458458933</v>
      </c>
      <c r="B12800" s="318" t="s">
        <v>237</v>
      </c>
    </row>
    <row r="12801" spans="1:2" ht="12.75" customHeight="1" x14ac:dyDescent="0.25">
      <c r="A12801" s="318">
        <v>94458458934</v>
      </c>
      <c r="B12801" s="318" t="s">
        <v>237</v>
      </c>
    </row>
    <row r="12802" spans="1:2" ht="12.75" customHeight="1" x14ac:dyDescent="0.25">
      <c r="A12802" s="318">
        <v>94458458935</v>
      </c>
      <c r="B12802" s="318" t="s">
        <v>237</v>
      </c>
    </row>
    <row r="12803" spans="1:2" ht="12.75" customHeight="1" x14ac:dyDescent="0.25">
      <c r="A12803" s="318">
        <v>94458458936</v>
      </c>
      <c r="B12803" s="318" t="s">
        <v>237</v>
      </c>
    </row>
    <row r="12804" spans="1:2" ht="12.75" customHeight="1" x14ac:dyDescent="0.25">
      <c r="A12804" s="318">
        <v>94458458937</v>
      </c>
      <c r="B12804" s="318" t="s">
        <v>237</v>
      </c>
    </row>
    <row r="12805" spans="1:2" ht="12.75" customHeight="1" x14ac:dyDescent="0.25">
      <c r="A12805" s="318">
        <v>94458458938</v>
      </c>
      <c r="B12805" s="318" t="s">
        <v>237</v>
      </c>
    </row>
    <row r="12806" spans="1:2" ht="12.75" customHeight="1" x14ac:dyDescent="0.25">
      <c r="A12806" s="318">
        <v>94458939795</v>
      </c>
      <c r="B12806" s="318" t="s">
        <v>23</v>
      </c>
    </row>
    <row r="12807" spans="1:2" ht="12.75" customHeight="1" x14ac:dyDescent="0.25">
      <c r="A12807" s="318">
        <v>94458939796</v>
      </c>
      <c r="B12807" s="318" t="s">
        <v>23</v>
      </c>
    </row>
    <row r="12808" spans="1:2" ht="12.75" customHeight="1" x14ac:dyDescent="0.25">
      <c r="A12808" s="318">
        <v>94458939797</v>
      </c>
      <c r="B12808" s="318" t="s">
        <v>23</v>
      </c>
    </row>
    <row r="12809" spans="1:2" ht="12.75" customHeight="1" x14ac:dyDescent="0.25">
      <c r="A12809" s="318">
        <v>94458939798</v>
      </c>
      <c r="B12809" s="318" t="s">
        <v>23</v>
      </c>
    </row>
    <row r="12810" spans="1:2" ht="12.75" customHeight="1" x14ac:dyDescent="0.25">
      <c r="A12810" s="318">
        <v>94458939799</v>
      </c>
      <c r="B12810" s="318" t="s">
        <v>23</v>
      </c>
    </row>
    <row r="12811" spans="1:2" ht="12.75" customHeight="1" x14ac:dyDescent="0.25">
      <c r="A12811" s="318">
        <v>94458939800</v>
      </c>
      <c r="B12811" s="318" t="s">
        <v>23</v>
      </c>
    </row>
    <row r="12812" spans="1:2" ht="12.75" customHeight="1" x14ac:dyDescent="0.25">
      <c r="A12812" s="318">
        <v>94458939801</v>
      </c>
      <c r="B12812" s="318" t="s">
        <v>23</v>
      </c>
    </row>
    <row r="12813" spans="1:2" ht="12.75" customHeight="1" x14ac:dyDescent="0.25">
      <c r="A12813" s="318">
        <v>94458939802</v>
      </c>
      <c r="B12813" s="318" t="s">
        <v>23</v>
      </c>
    </row>
    <row r="12814" spans="1:2" ht="12.75" customHeight="1" x14ac:dyDescent="0.25">
      <c r="A12814" s="318">
        <v>94458939804</v>
      </c>
      <c r="B12814" s="318" t="s">
        <v>23</v>
      </c>
    </row>
    <row r="12815" spans="1:2" ht="12.75" customHeight="1" x14ac:dyDescent="0.25">
      <c r="A12815" s="318">
        <v>94458939805</v>
      </c>
      <c r="B12815" s="318" t="s">
        <v>23</v>
      </c>
    </row>
    <row r="12816" spans="1:2" ht="12.75" customHeight="1" x14ac:dyDescent="0.25">
      <c r="A12816" s="318">
        <v>94458939806</v>
      </c>
      <c r="B12816" s="318" t="s">
        <v>23</v>
      </c>
    </row>
    <row r="12817" spans="1:2" ht="12.75" customHeight="1" x14ac:dyDescent="0.25">
      <c r="A12817" s="318">
        <v>94458939807</v>
      </c>
      <c r="B12817" s="318" t="s">
        <v>23</v>
      </c>
    </row>
    <row r="12818" spans="1:2" ht="12.75" customHeight="1" x14ac:dyDescent="0.25">
      <c r="A12818" s="318">
        <v>94458939808</v>
      </c>
      <c r="B12818" s="318" t="s">
        <v>23</v>
      </c>
    </row>
    <row r="12819" spans="1:2" ht="12.75" customHeight="1" x14ac:dyDescent="0.25">
      <c r="A12819" s="318">
        <v>94458939809</v>
      </c>
      <c r="B12819" s="318" t="s">
        <v>23</v>
      </c>
    </row>
    <row r="12820" spans="1:2" ht="12.75" customHeight="1" x14ac:dyDescent="0.25">
      <c r="A12820" s="318">
        <v>94458939810</v>
      </c>
      <c r="B12820" s="318" t="s">
        <v>23</v>
      </c>
    </row>
    <row r="12821" spans="1:2" ht="12.75" customHeight="1" x14ac:dyDescent="0.25">
      <c r="A12821" s="318">
        <v>94458939811</v>
      </c>
      <c r="B12821" s="318" t="s">
        <v>23</v>
      </c>
    </row>
    <row r="12822" spans="1:2" ht="12.75" customHeight="1" x14ac:dyDescent="0.25">
      <c r="A12822" s="318">
        <v>94458939895</v>
      </c>
      <c r="B12822" s="318" t="s">
        <v>237</v>
      </c>
    </row>
    <row r="12823" spans="1:2" ht="12.75" customHeight="1" x14ac:dyDescent="0.25">
      <c r="A12823" s="318">
        <v>94458939896</v>
      </c>
      <c r="B12823" s="318" t="s">
        <v>237</v>
      </c>
    </row>
    <row r="12824" spans="1:2" ht="12.75" customHeight="1" x14ac:dyDescent="0.25">
      <c r="A12824" s="318">
        <v>94458939897</v>
      </c>
      <c r="B12824" s="318" t="s">
        <v>237</v>
      </c>
    </row>
    <row r="12825" spans="1:2" ht="12.75" customHeight="1" x14ac:dyDescent="0.25">
      <c r="A12825" s="318">
        <v>94458939898</v>
      </c>
      <c r="B12825" s="318" t="s">
        <v>237</v>
      </c>
    </row>
    <row r="12826" spans="1:2" ht="12.75" customHeight="1" x14ac:dyDescent="0.25">
      <c r="A12826" s="318">
        <v>94458939899</v>
      </c>
      <c r="B12826" s="318" t="s">
        <v>237</v>
      </c>
    </row>
    <row r="12827" spans="1:2" ht="12.75" customHeight="1" x14ac:dyDescent="0.25">
      <c r="A12827" s="318">
        <v>94458939900</v>
      </c>
      <c r="B12827" s="318" t="s">
        <v>237</v>
      </c>
    </row>
    <row r="12828" spans="1:2" ht="12.75" customHeight="1" x14ac:dyDescent="0.25">
      <c r="A12828" s="318">
        <v>94458939901</v>
      </c>
      <c r="B12828" s="318" t="s">
        <v>237</v>
      </c>
    </row>
    <row r="12829" spans="1:2" ht="12.75" customHeight="1" x14ac:dyDescent="0.25">
      <c r="A12829" s="318">
        <v>94458939902</v>
      </c>
      <c r="B12829" s="318" t="s">
        <v>237</v>
      </c>
    </row>
    <row r="12830" spans="1:2" ht="12.75" customHeight="1" x14ac:dyDescent="0.25">
      <c r="A12830" s="318">
        <v>94458939904</v>
      </c>
      <c r="B12830" s="318" t="s">
        <v>237</v>
      </c>
    </row>
    <row r="12831" spans="1:2" ht="12.75" customHeight="1" x14ac:dyDescent="0.25">
      <c r="A12831" s="318">
        <v>94458939905</v>
      </c>
      <c r="B12831" s="318" t="s">
        <v>237</v>
      </c>
    </row>
    <row r="12832" spans="1:2" ht="12.75" customHeight="1" x14ac:dyDescent="0.25">
      <c r="A12832" s="318">
        <v>94458939906</v>
      </c>
      <c r="B12832" s="318" t="s">
        <v>237</v>
      </c>
    </row>
    <row r="12833" spans="1:2" ht="12.75" customHeight="1" x14ac:dyDescent="0.25">
      <c r="A12833" s="318">
        <v>94458939907</v>
      </c>
      <c r="B12833" s="318" t="s">
        <v>237</v>
      </c>
    </row>
    <row r="12834" spans="1:2" ht="12.75" customHeight="1" x14ac:dyDescent="0.25">
      <c r="A12834" s="318">
        <v>94458939908</v>
      </c>
      <c r="B12834" s="318" t="s">
        <v>237</v>
      </c>
    </row>
    <row r="12835" spans="1:2" ht="12.75" customHeight="1" x14ac:dyDescent="0.25">
      <c r="A12835" s="318">
        <v>94458939909</v>
      </c>
      <c r="B12835" s="318" t="s">
        <v>237</v>
      </c>
    </row>
    <row r="12836" spans="1:2" ht="12.75" customHeight="1" x14ac:dyDescent="0.25">
      <c r="A12836" s="318">
        <v>94458939910</v>
      </c>
      <c r="B12836" s="318" t="s">
        <v>237</v>
      </c>
    </row>
    <row r="12837" spans="1:2" ht="12.75" customHeight="1" x14ac:dyDescent="0.25">
      <c r="A12837" s="318">
        <v>94458939911</v>
      </c>
      <c r="B12837" s="318" t="s">
        <v>237</v>
      </c>
    </row>
    <row r="12838" spans="1:2" ht="12.75" customHeight="1" x14ac:dyDescent="0.25">
      <c r="A12838" s="318">
        <v>94460300176</v>
      </c>
      <c r="B12838" s="318" t="s">
        <v>23</v>
      </c>
    </row>
    <row r="12839" spans="1:2" ht="12.75" customHeight="1" x14ac:dyDescent="0.25">
      <c r="A12839" s="318">
        <v>94460300177</v>
      </c>
      <c r="B12839" s="318" t="s">
        <v>23</v>
      </c>
    </row>
    <row r="12840" spans="1:2" ht="12.75" customHeight="1" x14ac:dyDescent="0.25">
      <c r="A12840" s="318">
        <v>94460300178</v>
      </c>
      <c r="B12840" s="318" t="s">
        <v>23</v>
      </c>
    </row>
    <row r="12841" spans="1:2" ht="12.75" customHeight="1" x14ac:dyDescent="0.25">
      <c r="A12841" s="318">
        <v>94460300179</v>
      </c>
      <c r="B12841" s="318" t="s">
        <v>23</v>
      </c>
    </row>
    <row r="12842" spans="1:2" ht="12.75" customHeight="1" x14ac:dyDescent="0.25">
      <c r="A12842" s="318">
        <v>94460300180</v>
      </c>
      <c r="B12842" s="318" t="s">
        <v>23</v>
      </c>
    </row>
    <row r="12843" spans="1:2" ht="12.75" customHeight="1" x14ac:dyDescent="0.25">
      <c r="A12843" s="318">
        <v>94460300181</v>
      </c>
      <c r="B12843" s="318" t="s">
        <v>23</v>
      </c>
    </row>
    <row r="12844" spans="1:2" ht="12.75" customHeight="1" x14ac:dyDescent="0.25">
      <c r="A12844" s="318">
        <v>94460300182</v>
      </c>
      <c r="B12844" s="318" t="s">
        <v>23</v>
      </c>
    </row>
    <row r="12845" spans="1:2" ht="12.75" customHeight="1" x14ac:dyDescent="0.25">
      <c r="A12845" s="318">
        <v>94460300183</v>
      </c>
      <c r="B12845" s="318" t="s">
        <v>23</v>
      </c>
    </row>
    <row r="12846" spans="1:2" ht="12.75" customHeight="1" x14ac:dyDescent="0.25">
      <c r="A12846" s="318">
        <v>94460300185</v>
      </c>
      <c r="B12846" s="318" t="s">
        <v>237</v>
      </c>
    </row>
    <row r="12847" spans="1:2" ht="12.75" customHeight="1" x14ac:dyDescent="0.25">
      <c r="A12847" s="318">
        <v>94460300186</v>
      </c>
      <c r="B12847" s="318" t="s">
        <v>237</v>
      </c>
    </row>
    <row r="12848" spans="1:2" ht="12.75" customHeight="1" x14ac:dyDescent="0.25">
      <c r="A12848" s="318">
        <v>94460300187</v>
      </c>
      <c r="B12848" s="318" t="s">
        <v>237</v>
      </c>
    </row>
    <row r="12849" spans="1:2" ht="12.75" customHeight="1" x14ac:dyDescent="0.25">
      <c r="A12849" s="318">
        <v>94460300188</v>
      </c>
      <c r="B12849" s="318" t="s">
        <v>237</v>
      </c>
    </row>
    <row r="12850" spans="1:2" ht="12.75" customHeight="1" x14ac:dyDescent="0.25">
      <c r="A12850" s="318">
        <v>94460300189</v>
      </c>
      <c r="B12850" s="318" t="s">
        <v>237</v>
      </c>
    </row>
    <row r="12851" spans="1:2" ht="12.75" customHeight="1" x14ac:dyDescent="0.25">
      <c r="A12851" s="318">
        <v>94460300190</v>
      </c>
      <c r="B12851" s="318" t="s">
        <v>237</v>
      </c>
    </row>
    <row r="12852" spans="1:2" ht="12.75" customHeight="1" x14ac:dyDescent="0.25">
      <c r="A12852" s="318">
        <v>94460300191</v>
      </c>
      <c r="B12852" s="318" t="s">
        <v>237</v>
      </c>
    </row>
    <row r="12853" spans="1:2" ht="12.75" customHeight="1" x14ac:dyDescent="0.25">
      <c r="A12853" s="318">
        <v>94460300192</v>
      </c>
      <c r="B12853" s="318" t="s">
        <v>237</v>
      </c>
    </row>
    <row r="12854" spans="1:2" ht="12.75" customHeight="1" x14ac:dyDescent="0.25">
      <c r="A12854" s="318">
        <v>94460300276</v>
      </c>
      <c r="B12854" s="318" t="s">
        <v>237</v>
      </c>
    </row>
    <row r="12855" spans="1:2" ht="12.75" customHeight="1" x14ac:dyDescent="0.25">
      <c r="A12855" s="318">
        <v>94460300277</v>
      </c>
      <c r="B12855" s="318" t="s">
        <v>237</v>
      </c>
    </row>
    <row r="12856" spans="1:2" ht="12.75" customHeight="1" x14ac:dyDescent="0.25">
      <c r="A12856" s="318">
        <v>94460300278</v>
      </c>
      <c r="B12856" s="318" t="s">
        <v>237</v>
      </c>
    </row>
    <row r="12857" spans="1:2" ht="12.75" customHeight="1" x14ac:dyDescent="0.25">
      <c r="A12857" s="318">
        <v>94460300279</v>
      </c>
      <c r="B12857" s="318" t="s">
        <v>237</v>
      </c>
    </row>
    <row r="12858" spans="1:2" ht="12.75" customHeight="1" x14ac:dyDescent="0.25">
      <c r="A12858" s="318">
        <v>94460300280</v>
      </c>
      <c r="B12858" s="318" t="s">
        <v>237</v>
      </c>
    </row>
    <row r="12859" spans="1:2" ht="12.75" customHeight="1" x14ac:dyDescent="0.25">
      <c r="A12859" s="318">
        <v>94460300281</v>
      </c>
      <c r="B12859" s="318" t="s">
        <v>237</v>
      </c>
    </row>
    <row r="12860" spans="1:2" ht="12.75" customHeight="1" x14ac:dyDescent="0.25">
      <c r="A12860" s="318">
        <v>94460300282</v>
      </c>
      <c r="B12860" s="318" t="s">
        <v>237</v>
      </c>
    </row>
    <row r="12861" spans="1:2" ht="12.75" customHeight="1" x14ac:dyDescent="0.25">
      <c r="A12861" s="318">
        <v>94460300283</v>
      </c>
      <c r="B12861" s="318" t="s">
        <v>237</v>
      </c>
    </row>
    <row r="12862" spans="1:2" ht="12.75" customHeight="1" x14ac:dyDescent="0.25">
      <c r="A12862" s="318">
        <v>94460300285</v>
      </c>
      <c r="B12862" s="318" t="s">
        <v>237</v>
      </c>
    </row>
    <row r="12863" spans="1:2" ht="12.75" customHeight="1" x14ac:dyDescent="0.25">
      <c r="A12863" s="318">
        <v>94460300286</v>
      </c>
      <c r="B12863" s="318" t="s">
        <v>237</v>
      </c>
    </row>
    <row r="12864" spans="1:2" ht="12.75" customHeight="1" x14ac:dyDescent="0.25">
      <c r="A12864" s="318">
        <v>94460300287</v>
      </c>
      <c r="B12864" s="318" t="s">
        <v>237</v>
      </c>
    </row>
    <row r="12865" spans="1:2" ht="12.75" customHeight="1" x14ac:dyDescent="0.25">
      <c r="A12865" s="318">
        <v>94460300288</v>
      </c>
      <c r="B12865" s="318" t="s">
        <v>237</v>
      </c>
    </row>
    <row r="12866" spans="1:2" ht="12.75" customHeight="1" x14ac:dyDescent="0.25">
      <c r="A12866" s="318">
        <v>94460300289</v>
      </c>
      <c r="B12866" s="318" t="s">
        <v>237</v>
      </c>
    </row>
    <row r="12867" spans="1:2" ht="12.75" customHeight="1" x14ac:dyDescent="0.25">
      <c r="A12867" s="318">
        <v>94460300290</v>
      </c>
      <c r="B12867" s="318" t="s">
        <v>237</v>
      </c>
    </row>
    <row r="12868" spans="1:2" ht="12.75" customHeight="1" x14ac:dyDescent="0.25">
      <c r="A12868" s="318">
        <v>94460300291</v>
      </c>
      <c r="B12868" s="318" t="s">
        <v>237</v>
      </c>
    </row>
    <row r="12869" spans="1:2" ht="12.75" customHeight="1" x14ac:dyDescent="0.25">
      <c r="A12869" s="318">
        <v>94460300292</v>
      </c>
      <c r="B12869" s="318" t="s">
        <v>237</v>
      </c>
    </row>
    <row r="12870" spans="1:2" ht="12.75" customHeight="1" x14ac:dyDescent="0.25">
      <c r="A12870" s="318">
        <v>94460781149</v>
      </c>
      <c r="B12870" s="318" t="s">
        <v>23</v>
      </c>
    </row>
    <row r="12871" spans="1:2" ht="12.75" customHeight="1" x14ac:dyDescent="0.25">
      <c r="A12871" s="318">
        <v>94460781150</v>
      </c>
      <c r="B12871" s="318" t="s">
        <v>23</v>
      </c>
    </row>
    <row r="12872" spans="1:2" ht="12.75" customHeight="1" x14ac:dyDescent="0.25">
      <c r="A12872" s="318">
        <v>94460781151</v>
      </c>
      <c r="B12872" s="318" t="s">
        <v>23</v>
      </c>
    </row>
    <row r="12873" spans="1:2" ht="12.75" customHeight="1" x14ac:dyDescent="0.25">
      <c r="A12873" s="318">
        <v>94460781152</v>
      </c>
      <c r="B12873" s="318" t="s">
        <v>23</v>
      </c>
    </row>
    <row r="12874" spans="1:2" ht="12.75" customHeight="1" x14ac:dyDescent="0.25">
      <c r="A12874" s="318">
        <v>94460781153</v>
      </c>
      <c r="B12874" s="318" t="s">
        <v>23</v>
      </c>
    </row>
    <row r="12875" spans="1:2" ht="12.75" customHeight="1" x14ac:dyDescent="0.25">
      <c r="A12875" s="318">
        <v>94460781154</v>
      </c>
      <c r="B12875" s="318" t="s">
        <v>23</v>
      </c>
    </row>
    <row r="12876" spans="1:2" ht="12.75" customHeight="1" x14ac:dyDescent="0.25">
      <c r="A12876" s="318">
        <v>94460781155</v>
      </c>
      <c r="B12876" s="318" t="s">
        <v>23</v>
      </c>
    </row>
    <row r="12877" spans="1:2" ht="12.75" customHeight="1" x14ac:dyDescent="0.25">
      <c r="A12877" s="318">
        <v>94460781156</v>
      </c>
      <c r="B12877" s="318" t="s">
        <v>23</v>
      </c>
    </row>
    <row r="12878" spans="1:2" ht="12.75" customHeight="1" x14ac:dyDescent="0.25">
      <c r="A12878" s="318">
        <v>94460781158</v>
      </c>
      <c r="B12878" s="318" t="s">
        <v>237</v>
      </c>
    </row>
    <row r="12879" spans="1:2" ht="12.75" customHeight="1" x14ac:dyDescent="0.25">
      <c r="A12879" s="318">
        <v>94460781159</v>
      </c>
      <c r="B12879" s="318" t="s">
        <v>237</v>
      </c>
    </row>
    <row r="12880" spans="1:2" ht="12.75" customHeight="1" x14ac:dyDescent="0.25">
      <c r="A12880" s="318">
        <v>94460781160</v>
      </c>
      <c r="B12880" s="318" t="s">
        <v>237</v>
      </c>
    </row>
    <row r="12881" spans="1:2" ht="12.75" customHeight="1" x14ac:dyDescent="0.25">
      <c r="A12881" s="318">
        <v>94460781161</v>
      </c>
      <c r="B12881" s="318" t="s">
        <v>237</v>
      </c>
    </row>
    <row r="12882" spans="1:2" ht="12.75" customHeight="1" x14ac:dyDescent="0.25">
      <c r="A12882" s="318">
        <v>94460781162</v>
      </c>
      <c r="B12882" s="318" t="s">
        <v>237</v>
      </c>
    </row>
    <row r="12883" spans="1:2" ht="12.75" customHeight="1" x14ac:dyDescent="0.25">
      <c r="A12883" s="318">
        <v>94460781163</v>
      </c>
      <c r="B12883" s="318" t="s">
        <v>237</v>
      </c>
    </row>
    <row r="12884" spans="1:2" ht="12.75" customHeight="1" x14ac:dyDescent="0.25">
      <c r="A12884" s="318">
        <v>94460781164</v>
      </c>
      <c r="B12884" s="318" t="s">
        <v>237</v>
      </c>
    </row>
    <row r="12885" spans="1:2" ht="12.75" customHeight="1" x14ac:dyDescent="0.25">
      <c r="A12885" s="318">
        <v>94460781165</v>
      </c>
      <c r="B12885" s="318" t="s">
        <v>237</v>
      </c>
    </row>
    <row r="12886" spans="1:2" ht="12.75" customHeight="1" x14ac:dyDescent="0.25">
      <c r="A12886" s="318">
        <v>94460781249</v>
      </c>
      <c r="B12886" s="318" t="s">
        <v>237</v>
      </c>
    </row>
    <row r="12887" spans="1:2" ht="12.75" customHeight="1" x14ac:dyDescent="0.25">
      <c r="A12887" s="318">
        <v>94460781250</v>
      </c>
      <c r="B12887" s="318" t="s">
        <v>237</v>
      </c>
    </row>
    <row r="12888" spans="1:2" ht="12.75" customHeight="1" x14ac:dyDescent="0.25">
      <c r="A12888" s="318">
        <v>94460781251</v>
      </c>
      <c r="B12888" s="318" t="s">
        <v>237</v>
      </c>
    </row>
    <row r="12889" spans="1:2" ht="12.75" customHeight="1" x14ac:dyDescent="0.25">
      <c r="A12889" s="318">
        <v>94460781252</v>
      </c>
      <c r="B12889" s="318" t="s">
        <v>237</v>
      </c>
    </row>
    <row r="12890" spans="1:2" ht="12.75" customHeight="1" x14ac:dyDescent="0.25">
      <c r="A12890" s="318">
        <v>94460781253</v>
      </c>
      <c r="B12890" s="318" t="s">
        <v>237</v>
      </c>
    </row>
    <row r="12891" spans="1:2" ht="12.75" customHeight="1" x14ac:dyDescent="0.25">
      <c r="A12891" s="318">
        <v>94460781254</v>
      </c>
      <c r="B12891" s="318" t="s">
        <v>237</v>
      </c>
    </row>
    <row r="12892" spans="1:2" ht="12.75" customHeight="1" x14ac:dyDescent="0.25">
      <c r="A12892" s="318">
        <v>94460781255</v>
      </c>
      <c r="B12892" s="318" t="s">
        <v>237</v>
      </c>
    </row>
    <row r="12893" spans="1:2" ht="12.75" customHeight="1" x14ac:dyDescent="0.25">
      <c r="A12893" s="318">
        <v>94460781256</v>
      </c>
      <c r="B12893" s="318" t="s">
        <v>237</v>
      </c>
    </row>
    <row r="12894" spans="1:2" ht="12.75" customHeight="1" x14ac:dyDescent="0.25">
      <c r="A12894" s="318">
        <v>94460781258</v>
      </c>
      <c r="B12894" s="318" t="s">
        <v>237</v>
      </c>
    </row>
    <row r="12895" spans="1:2" ht="12.75" customHeight="1" x14ac:dyDescent="0.25">
      <c r="A12895" s="318">
        <v>94460781259</v>
      </c>
      <c r="B12895" s="318" t="s">
        <v>237</v>
      </c>
    </row>
    <row r="12896" spans="1:2" ht="12.75" customHeight="1" x14ac:dyDescent="0.25">
      <c r="A12896" s="318">
        <v>94460781260</v>
      </c>
      <c r="B12896" s="318" t="s">
        <v>237</v>
      </c>
    </row>
    <row r="12897" spans="1:2" ht="12.75" customHeight="1" x14ac:dyDescent="0.25">
      <c r="A12897" s="318">
        <v>94460781261</v>
      </c>
      <c r="B12897" s="318" t="s">
        <v>237</v>
      </c>
    </row>
    <row r="12898" spans="1:2" ht="12.75" customHeight="1" x14ac:dyDescent="0.25">
      <c r="A12898" s="318">
        <v>94460781262</v>
      </c>
      <c r="B12898" s="318" t="s">
        <v>237</v>
      </c>
    </row>
    <row r="12899" spans="1:2" ht="12.75" customHeight="1" x14ac:dyDescent="0.25">
      <c r="A12899" s="318">
        <v>94460781263</v>
      </c>
      <c r="B12899" s="318" t="s">
        <v>237</v>
      </c>
    </row>
    <row r="12900" spans="1:2" ht="12.75" customHeight="1" x14ac:dyDescent="0.25">
      <c r="A12900" s="318">
        <v>94460781264</v>
      </c>
      <c r="B12900" s="318" t="s">
        <v>237</v>
      </c>
    </row>
    <row r="12901" spans="1:2" ht="12.75" customHeight="1" x14ac:dyDescent="0.25">
      <c r="A12901" s="318">
        <v>94460781265</v>
      </c>
      <c r="B12901" s="318" t="s">
        <v>237</v>
      </c>
    </row>
    <row r="12902" spans="1:2" ht="12.75" customHeight="1" x14ac:dyDescent="0.25">
      <c r="A12902" s="318">
        <v>94461262122</v>
      </c>
      <c r="B12902" s="318" t="s">
        <v>23</v>
      </c>
    </row>
    <row r="12903" spans="1:2" ht="12.75" customHeight="1" x14ac:dyDescent="0.25">
      <c r="A12903" s="318">
        <v>94461262123</v>
      </c>
      <c r="B12903" s="318" t="s">
        <v>23</v>
      </c>
    </row>
    <row r="12904" spans="1:2" ht="12.75" customHeight="1" x14ac:dyDescent="0.25">
      <c r="A12904" s="318">
        <v>94461262124</v>
      </c>
      <c r="B12904" s="318" t="s">
        <v>23</v>
      </c>
    </row>
    <row r="12905" spans="1:2" ht="12.75" customHeight="1" x14ac:dyDescent="0.25">
      <c r="A12905" s="318">
        <v>94461262125</v>
      </c>
      <c r="B12905" s="318" t="s">
        <v>23</v>
      </c>
    </row>
    <row r="12906" spans="1:2" ht="12.75" customHeight="1" x14ac:dyDescent="0.25">
      <c r="A12906" s="318">
        <v>94461262126</v>
      </c>
      <c r="B12906" s="318" t="s">
        <v>23</v>
      </c>
    </row>
    <row r="12907" spans="1:2" ht="12.75" customHeight="1" x14ac:dyDescent="0.25">
      <c r="A12907" s="318">
        <v>94461262127</v>
      </c>
      <c r="B12907" s="318" t="s">
        <v>23</v>
      </c>
    </row>
    <row r="12908" spans="1:2" ht="12.75" customHeight="1" x14ac:dyDescent="0.25">
      <c r="A12908" s="318">
        <v>94461262128</v>
      </c>
      <c r="B12908" s="318" t="s">
        <v>23</v>
      </c>
    </row>
    <row r="12909" spans="1:2" ht="12.75" customHeight="1" x14ac:dyDescent="0.25">
      <c r="A12909" s="318">
        <v>94461262129</v>
      </c>
      <c r="B12909" s="318" t="s">
        <v>23</v>
      </c>
    </row>
    <row r="12910" spans="1:2" ht="12.75" customHeight="1" x14ac:dyDescent="0.25">
      <c r="A12910" s="318">
        <v>94461262131</v>
      </c>
      <c r="B12910" s="318" t="s">
        <v>23</v>
      </c>
    </row>
    <row r="12911" spans="1:2" ht="12.75" customHeight="1" x14ac:dyDescent="0.25">
      <c r="A12911" s="318">
        <v>94461262132</v>
      </c>
      <c r="B12911" s="318" t="s">
        <v>23</v>
      </c>
    </row>
    <row r="12912" spans="1:2" ht="12.75" customHeight="1" x14ac:dyDescent="0.25">
      <c r="A12912" s="318">
        <v>94461262133</v>
      </c>
      <c r="B12912" s="318" t="s">
        <v>23</v>
      </c>
    </row>
    <row r="12913" spans="1:2" ht="12.75" customHeight="1" x14ac:dyDescent="0.25">
      <c r="A12913" s="318">
        <v>94461262134</v>
      </c>
      <c r="B12913" s="318" t="s">
        <v>23</v>
      </c>
    </row>
    <row r="12914" spans="1:2" ht="12.75" customHeight="1" x14ac:dyDescent="0.25">
      <c r="A12914" s="318">
        <v>94461262135</v>
      </c>
      <c r="B12914" s="318" t="s">
        <v>23</v>
      </c>
    </row>
    <row r="12915" spans="1:2" ht="12.75" customHeight="1" x14ac:dyDescent="0.25">
      <c r="A12915" s="318">
        <v>94461262136</v>
      </c>
      <c r="B12915" s="318" t="s">
        <v>23</v>
      </c>
    </row>
    <row r="12916" spans="1:2" ht="12.75" customHeight="1" x14ac:dyDescent="0.25">
      <c r="A12916" s="318">
        <v>94461262137</v>
      </c>
      <c r="B12916" s="318" t="s">
        <v>23</v>
      </c>
    </row>
    <row r="12917" spans="1:2" ht="12.75" customHeight="1" x14ac:dyDescent="0.25">
      <c r="A12917" s="318">
        <v>94461262138</v>
      </c>
      <c r="B12917" s="318" t="s">
        <v>23</v>
      </c>
    </row>
    <row r="12918" spans="1:2" ht="12.75" customHeight="1" x14ac:dyDescent="0.25">
      <c r="A12918" s="318">
        <v>94461262222</v>
      </c>
      <c r="B12918" s="318" t="s">
        <v>237</v>
      </c>
    </row>
    <row r="12919" spans="1:2" ht="12.75" customHeight="1" x14ac:dyDescent="0.25">
      <c r="A12919" s="318">
        <v>94461262223</v>
      </c>
      <c r="B12919" s="318" t="s">
        <v>237</v>
      </c>
    </row>
    <row r="12920" spans="1:2" ht="12.75" customHeight="1" x14ac:dyDescent="0.25">
      <c r="A12920" s="318">
        <v>94461262224</v>
      </c>
      <c r="B12920" s="318" t="s">
        <v>237</v>
      </c>
    </row>
    <row r="12921" spans="1:2" ht="12.75" customHeight="1" x14ac:dyDescent="0.25">
      <c r="A12921" s="318">
        <v>94461262225</v>
      </c>
      <c r="B12921" s="318" t="s">
        <v>237</v>
      </c>
    </row>
    <row r="12922" spans="1:2" ht="12.75" customHeight="1" x14ac:dyDescent="0.25">
      <c r="A12922" s="318">
        <v>94461262226</v>
      </c>
      <c r="B12922" s="318" t="s">
        <v>237</v>
      </c>
    </row>
    <row r="12923" spans="1:2" ht="12.75" customHeight="1" x14ac:dyDescent="0.25">
      <c r="A12923" s="318">
        <v>94461262227</v>
      </c>
      <c r="B12923" s="318" t="s">
        <v>237</v>
      </c>
    </row>
    <row r="12924" spans="1:2" ht="12.75" customHeight="1" x14ac:dyDescent="0.25">
      <c r="A12924" s="318">
        <v>94461262228</v>
      </c>
      <c r="B12924" s="318" t="s">
        <v>237</v>
      </c>
    </row>
    <row r="12925" spans="1:2" ht="12.75" customHeight="1" x14ac:dyDescent="0.25">
      <c r="A12925" s="318">
        <v>94461262229</v>
      </c>
      <c r="B12925" s="318" t="s">
        <v>237</v>
      </c>
    </row>
    <row r="12926" spans="1:2" ht="12.75" customHeight="1" x14ac:dyDescent="0.25">
      <c r="A12926" s="318">
        <v>94461262231</v>
      </c>
      <c r="B12926" s="318" t="s">
        <v>237</v>
      </c>
    </row>
    <row r="12927" spans="1:2" ht="12.75" customHeight="1" x14ac:dyDescent="0.25">
      <c r="A12927" s="318">
        <v>94461262232</v>
      </c>
      <c r="B12927" s="318" t="s">
        <v>237</v>
      </c>
    </row>
    <row r="12928" spans="1:2" ht="12.75" customHeight="1" x14ac:dyDescent="0.25">
      <c r="A12928" s="318">
        <v>94461262233</v>
      </c>
      <c r="B12928" s="318" t="s">
        <v>237</v>
      </c>
    </row>
    <row r="12929" spans="1:2" ht="12.75" customHeight="1" x14ac:dyDescent="0.25">
      <c r="A12929" s="318">
        <v>94461262234</v>
      </c>
      <c r="B12929" s="318" t="s">
        <v>237</v>
      </c>
    </row>
    <row r="12930" spans="1:2" ht="12.75" customHeight="1" x14ac:dyDescent="0.25">
      <c r="A12930" s="318">
        <v>94461262235</v>
      </c>
      <c r="B12930" s="318" t="s">
        <v>237</v>
      </c>
    </row>
    <row r="12931" spans="1:2" ht="12.75" customHeight="1" x14ac:dyDescent="0.25">
      <c r="A12931" s="318">
        <v>94461262236</v>
      </c>
      <c r="B12931" s="318" t="s">
        <v>237</v>
      </c>
    </row>
    <row r="12932" spans="1:2" ht="12.75" customHeight="1" x14ac:dyDescent="0.25">
      <c r="A12932" s="318">
        <v>94461262237</v>
      </c>
      <c r="B12932" s="318" t="s">
        <v>237</v>
      </c>
    </row>
    <row r="12933" spans="1:2" ht="12.75" customHeight="1" x14ac:dyDescent="0.25">
      <c r="A12933" s="318">
        <v>94461262238</v>
      </c>
      <c r="B12933" s="318" t="s">
        <v>237</v>
      </c>
    </row>
    <row r="12934" spans="1:2" ht="12.75" customHeight="1" x14ac:dyDescent="0.25">
      <c r="A12934" s="318">
        <v>94461942313</v>
      </c>
      <c r="B12934" s="318" t="s">
        <v>23</v>
      </c>
    </row>
    <row r="12935" spans="1:2" ht="12.75" customHeight="1" x14ac:dyDescent="0.25">
      <c r="A12935" s="318">
        <v>94461942314</v>
      </c>
      <c r="B12935" s="318" t="s">
        <v>23</v>
      </c>
    </row>
    <row r="12936" spans="1:2" ht="12.75" customHeight="1" x14ac:dyDescent="0.25">
      <c r="A12936" s="318">
        <v>94461942315</v>
      </c>
      <c r="B12936" s="318" t="s">
        <v>23</v>
      </c>
    </row>
    <row r="12937" spans="1:2" ht="12.75" customHeight="1" x14ac:dyDescent="0.25">
      <c r="A12937" s="318">
        <v>94461942316</v>
      </c>
      <c r="B12937" s="318" t="s">
        <v>23</v>
      </c>
    </row>
    <row r="12938" spans="1:2" ht="12.75" customHeight="1" x14ac:dyDescent="0.25">
      <c r="A12938" s="318">
        <v>94461942317</v>
      </c>
      <c r="B12938" s="318" t="s">
        <v>23</v>
      </c>
    </row>
    <row r="12939" spans="1:2" ht="12.75" customHeight="1" x14ac:dyDescent="0.25">
      <c r="A12939" s="318">
        <v>94461942318</v>
      </c>
      <c r="B12939" s="318" t="s">
        <v>23</v>
      </c>
    </row>
    <row r="12940" spans="1:2" ht="12.75" customHeight="1" x14ac:dyDescent="0.25">
      <c r="A12940" s="318">
        <v>94461942319</v>
      </c>
      <c r="B12940" s="318" t="s">
        <v>23</v>
      </c>
    </row>
    <row r="12941" spans="1:2" ht="12.75" customHeight="1" x14ac:dyDescent="0.25">
      <c r="A12941" s="318">
        <v>94461942320</v>
      </c>
      <c r="B12941" s="318" t="s">
        <v>23</v>
      </c>
    </row>
    <row r="12942" spans="1:2" ht="12.75" customHeight="1" x14ac:dyDescent="0.25">
      <c r="A12942" s="318">
        <v>94461942322</v>
      </c>
      <c r="B12942" s="318" t="s">
        <v>237</v>
      </c>
    </row>
    <row r="12943" spans="1:2" ht="12.75" customHeight="1" x14ac:dyDescent="0.25">
      <c r="A12943" s="318">
        <v>94461942323</v>
      </c>
      <c r="B12943" s="318" t="s">
        <v>237</v>
      </c>
    </row>
    <row r="12944" spans="1:2" ht="12.75" customHeight="1" x14ac:dyDescent="0.25">
      <c r="A12944" s="318">
        <v>94461942324</v>
      </c>
      <c r="B12944" s="318" t="s">
        <v>237</v>
      </c>
    </row>
    <row r="12945" spans="1:2" ht="12.75" customHeight="1" x14ac:dyDescent="0.25">
      <c r="A12945" s="318">
        <v>94461942325</v>
      </c>
      <c r="B12945" s="318" t="s">
        <v>237</v>
      </c>
    </row>
    <row r="12946" spans="1:2" ht="12.75" customHeight="1" x14ac:dyDescent="0.25">
      <c r="A12946" s="318">
        <v>94461942326</v>
      </c>
      <c r="B12946" s="318" t="s">
        <v>237</v>
      </c>
    </row>
    <row r="12947" spans="1:2" ht="12.75" customHeight="1" x14ac:dyDescent="0.25">
      <c r="A12947" s="318">
        <v>94461942327</v>
      </c>
      <c r="B12947" s="318" t="s">
        <v>237</v>
      </c>
    </row>
    <row r="12948" spans="1:2" ht="12.75" customHeight="1" x14ac:dyDescent="0.25">
      <c r="A12948" s="318">
        <v>94461942328</v>
      </c>
      <c r="B12948" s="318" t="s">
        <v>237</v>
      </c>
    </row>
    <row r="12949" spans="1:2" ht="12.75" customHeight="1" x14ac:dyDescent="0.25">
      <c r="A12949" s="318">
        <v>94461942329</v>
      </c>
      <c r="B12949" s="318" t="s">
        <v>237</v>
      </c>
    </row>
    <row r="12950" spans="1:2" ht="12.75" customHeight="1" x14ac:dyDescent="0.25">
      <c r="A12950" s="318">
        <v>94461942413</v>
      </c>
      <c r="B12950" s="318" t="s">
        <v>237</v>
      </c>
    </row>
    <row r="12951" spans="1:2" ht="12.75" customHeight="1" x14ac:dyDescent="0.25">
      <c r="A12951" s="318">
        <v>94461942414</v>
      </c>
      <c r="B12951" s="318" t="s">
        <v>237</v>
      </c>
    </row>
    <row r="12952" spans="1:2" ht="12.75" customHeight="1" x14ac:dyDescent="0.25">
      <c r="A12952" s="318">
        <v>94461942415</v>
      </c>
      <c r="B12952" s="318" t="s">
        <v>237</v>
      </c>
    </row>
    <row r="12953" spans="1:2" ht="12.75" customHeight="1" x14ac:dyDescent="0.25">
      <c r="A12953" s="318">
        <v>94461942416</v>
      </c>
      <c r="B12953" s="318" t="s">
        <v>237</v>
      </c>
    </row>
    <row r="12954" spans="1:2" ht="12.75" customHeight="1" x14ac:dyDescent="0.25">
      <c r="A12954" s="318">
        <v>94461942417</v>
      </c>
      <c r="B12954" s="318" t="s">
        <v>237</v>
      </c>
    </row>
    <row r="12955" spans="1:2" ht="12.75" customHeight="1" x14ac:dyDescent="0.25">
      <c r="A12955" s="318">
        <v>94461942418</v>
      </c>
      <c r="B12955" s="318" t="s">
        <v>237</v>
      </c>
    </row>
    <row r="12956" spans="1:2" ht="12.75" customHeight="1" x14ac:dyDescent="0.25">
      <c r="A12956" s="318">
        <v>94461942419</v>
      </c>
      <c r="B12956" s="318" t="s">
        <v>237</v>
      </c>
    </row>
    <row r="12957" spans="1:2" ht="12.75" customHeight="1" x14ac:dyDescent="0.25">
      <c r="A12957" s="318">
        <v>94461942420</v>
      </c>
      <c r="B12957" s="318" t="s">
        <v>237</v>
      </c>
    </row>
    <row r="12958" spans="1:2" ht="12.75" customHeight="1" x14ac:dyDescent="0.25">
      <c r="A12958" s="318">
        <v>94461942422</v>
      </c>
      <c r="B12958" s="318" t="s">
        <v>237</v>
      </c>
    </row>
    <row r="12959" spans="1:2" ht="12.75" customHeight="1" x14ac:dyDescent="0.25">
      <c r="A12959" s="318">
        <v>94461942423</v>
      </c>
      <c r="B12959" s="318" t="s">
        <v>237</v>
      </c>
    </row>
    <row r="12960" spans="1:2" ht="12.75" customHeight="1" x14ac:dyDescent="0.25">
      <c r="A12960" s="318">
        <v>94461942424</v>
      </c>
      <c r="B12960" s="318" t="s">
        <v>237</v>
      </c>
    </row>
    <row r="12961" spans="1:2" ht="12.75" customHeight="1" x14ac:dyDescent="0.25">
      <c r="A12961" s="318">
        <v>94461942425</v>
      </c>
      <c r="B12961" s="318" t="s">
        <v>237</v>
      </c>
    </row>
    <row r="12962" spans="1:2" ht="12.75" customHeight="1" x14ac:dyDescent="0.25">
      <c r="A12962" s="318">
        <v>94461942426</v>
      </c>
      <c r="B12962" s="318" t="s">
        <v>237</v>
      </c>
    </row>
    <row r="12963" spans="1:2" ht="12.75" customHeight="1" x14ac:dyDescent="0.25">
      <c r="A12963" s="318">
        <v>94461942427</v>
      </c>
      <c r="B12963" s="318" t="s">
        <v>237</v>
      </c>
    </row>
    <row r="12964" spans="1:2" ht="12.75" customHeight="1" x14ac:dyDescent="0.25">
      <c r="A12964" s="318">
        <v>94461942428</v>
      </c>
      <c r="B12964" s="318" t="s">
        <v>237</v>
      </c>
    </row>
    <row r="12965" spans="1:2" ht="12.75" customHeight="1" x14ac:dyDescent="0.25">
      <c r="A12965" s="318">
        <v>94461942429</v>
      </c>
      <c r="B12965" s="318" t="s">
        <v>237</v>
      </c>
    </row>
    <row r="12966" spans="1:2" ht="12.75" customHeight="1" x14ac:dyDescent="0.25">
      <c r="A12966" s="318">
        <v>94462423286</v>
      </c>
      <c r="B12966" s="318" t="s">
        <v>23</v>
      </c>
    </row>
    <row r="12967" spans="1:2" ht="12.75" customHeight="1" x14ac:dyDescent="0.25">
      <c r="A12967" s="318">
        <v>94462423287</v>
      </c>
      <c r="B12967" s="318" t="s">
        <v>23</v>
      </c>
    </row>
    <row r="12968" spans="1:2" ht="12.75" customHeight="1" x14ac:dyDescent="0.25">
      <c r="A12968" s="318">
        <v>94462423288</v>
      </c>
      <c r="B12968" s="318" t="s">
        <v>23</v>
      </c>
    </row>
    <row r="12969" spans="1:2" ht="12.75" customHeight="1" x14ac:dyDescent="0.25">
      <c r="A12969" s="318">
        <v>94462423289</v>
      </c>
      <c r="B12969" s="318" t="s">
        <v>23</v>
      </c>
    </row>
    <row r="12970" spans="1:2" ht="12.75" customHeight="1" x14ac:dyDescent="0.25">
      <c r="A12970" s="318">
        <v>94462423290</v>
      </c>
      <c r="B12970" s="318" t="s">
        <v>23</v>
      </c>
    </row>
    <row r="12971" spans="1:2" ht="12.75" customHeight="1" x14ac:dyDescent="0.25">
      <c r="A12971" s="318">
        <v>94462423291</v>
      </c>
      <c r="B12971" s="318" t="s">
        <v>23</v>
      </c>
    </row>
    <row r="12972" spans="1:2" ht="12.75" customHeight="1" x14ac:dyDescent="0.25">
      <c r="A12972" s="318">
        <v>94462423292</v>
      </c>
      <c r="B12972" s="318" t="s">
        <v>23</v>
      </c>
    </row>
    <row r="12973" spans="1:2" ht="12.75" customHeight="1" x14ac:dyDescent="0.25">
      <c r="A12973" s="318">
        <v>94462423293</v>
      </c>
      <c r="B12973" s="318" t="s">
        <v>23</v>
      </c>
    </row>
    <row r="12974" spans="1:2" ht="12.75" customHeight="1" x14ac:dyDescent="0.25">
      <c r="A12974" s="318">
        <v>94462423295</v>
      </c>
      <c r="B12974" s="318" t="s">
        <v>237</v>
      </c>
    </row>
    <row r="12975" spans="1:2" ht="12.75" customHeight="1" x14ac:dyDescent="0.25">
      <c r="A12975" s="318">
        <v>94462423296</v>
      </c>
      <c r="B12975" s="318" t="s">
        <v>237</v>
      </c>
    </row>
    <row r="12976" spans="1:2" ht="12.75" customHeight="1" x14ac:dyDescent="0.25">
      <c r="A12976" s="318">
        <v>94462423297</v>
      </c>
      <c r="B12976" s="318" t="s">
        <v>237</v>
      </c>
    </row>
    <row r="12977" spans="1:2" ht="12.75" customHeight="1" x14ac:dyDescent="0.25">
      <c r="A12977" s="318">
        <v>94462423298</v>
      </c>
      <c r="B12977" s="318" t="s">
        <v>237</v>
      </c>
    </row>
    <row r="12978" spans="1:2" ht="12.75" customHeight="1" x14ac:dyDescent="0.25">
      <c r="A12978" s="318">
        <v>94462423299</v>
      </c>
      <c r="B12978" s="318" t="s">
        <v>237</v>
      </c>
    </row>
    <row r="12979" spans="1:2" ht="12.75" customHeight="1" x14ac:dyDescent="0.25">
      <c r="A12979" s="318">
        <v>94462423300</v>
      </c>
      <c r="B12979" s="318" t="s">
        <v>237</v>
      </c>
    </row>
    <row r="12980" spans="1:2" ht="12.75" customHeight="1" x14ac:dyDescent="0.25">
      <c r="A12980" s="318">
        <v>94462423301</v>
      </c>
      <c r="B12980" s="318" t="s">
        <v>237</v>
      </c>
    </row>
    <row r="12981" spans="1:2" ht="12.75" customHeight="1" x14ac:dyDescent="0.25">
      <c r="A12981" s="318">
        <v>94462423302</v>
      </c>
      <c r="B12981" s="318" t="s">
        <v>237</v>
      </c>
    </row>
    <row r="12982" spans="1:2" ht="12.75" customHeight="1" x14ac:dyDescent="0.25">
      <c r="A12982" s="318">
        <v>94462423386</v>
      </c>
      <c r="B12982" s="318" t="s">
        <v>237</v>
      </c>
    </row>
    <row r="12983" spans="1:2" ht="12.75" customHeight="1" x14ac:dyDescent="0.25">
      <c r="A12983" s="318">
        <v>94462423387</v>
      </c>
      <c r="B12983" s="318" t="s">
        <v>237</v>
      </c>
    </row>
    <row r="12984" spans="1:2" ht="12.75" customHeight="1" x14ac:dyDescent="0.25">
      <c r="A12984" s="318">
        <v>94462423388</v>
      </c>
      <c r="B12984" s="318" t="s">
        <v>237</v>
      </c>
    </row>
    <row r="12985" spans="1:2" ht="12.75" customHeight="1" x14ac:dyDescent="0.25">
      <c r="A12985" s="318">
        <v>94462423389</v>
      </c>
      <c r="B12985" s="318" t="s">
        <v>237</v>
      </c>
    </row>
    <row r="12986" spans="1:2" ht="12.75" customHeight="1" x14ac:dyDescent="0.25">
      <c r="A12986" s="318">
        <v>94462423390</v>
      </c>
      <c r="B12986" s="318" t="s">
        <v>237</v>
      </c>
    </row>
    <row r="12987" spans="1:2" ht="12.75" customHeight="1" x14ac:dyDescent="0.25">
      <c r="A12987" s="318">
        <v>94462423391</v>
      </c>
      <c r="B12987" s="318" t="s">
        <v>237</v>
      </c>
    </row>
    <row r="12988" spans="1:2" ht="12.75" customHeight="1" x14ac:dyDescent="0.25">
      <c r="A12988" s="318">
        <v>94462423392</v>
      </c>
      <c r="B12988" s="318" t="s">
        <v>237</v>
      </c>
    </row>
    <row r="12989" spans="1:2" ht="12.75" customHeight="1" x14ac:dyDescent="0.25">
      <c r="A12989" s="318">
        <v>94462423393</v>
      </c>
      <c r="B12989" s="318" t="s">
        <v>237</v>
      </c>
    </row>
    <row r="12990" spans="1:2" ht="12.75" customHeight="1" x14ac:dyDescent="0.25">
      <c r="A12990" s="318">
        <v>94462423395</v>
      </c>
      <c r="B12990" s="318" t="s">
        <v>237</v>
      </c>
    </row>
    <row r="12991" spans="1:2" ht="12.75" customHeight="1" x14ac:dyDescent="0.25">
      <c r="A12991" s="318">
        <v>94462423396</v>
      </c>
      <c r="B12991" s="318" t="s">
        <v>237</v>
      </c>
    </row>
    <row r="12992" spans="1:2" ht="12.75" customHeight="1" x14ac:dyDescent="0.25">
      <c r="A12992" s="318">
        <v>94462423397</v>
      </c>
      <c r="B12992" s="318" t="s">
        <v>237</v>
      </c>
    </row>
    <row r="12993" spans="1:2" ht="12.75" customHeight="1" x14ac:dyDescent="0.25">
      <c r="A12993" s="318">
        <v>94462423398</v>
      </c>
      <c r="B12993" s="318" t="s">
        <v>237</v>
      </c>
    </row>
    <row r="12994" spans="1:2" ht="12.75" customHeight="1" x14ac:dyDescent="0.25">
      <c r="A12994" s="318">
        <v>94462423399</v>
      </c>
      <c r="B12994" s="318" t="s">
        <v>237</v>
      </c>
    </row>
    <row r="12995" spans="1:2" ht="12.75" customHeight="1" x14ac:dyDescent="0.25">
      <c r="A12995" s="318">
        <v>94462423400</v>
      </c>
      <c r="B12995" s="318" t="s">
        <v>237</v>
      </c>
    </row>
    <row r="12996" spans="1:2" ht="12.75" customHeight="1" x14ac:dyDescent="0.25">
      <c r="A12996" s="318">
        <v>94462423401</v>
      </c>
      <c r="B12996" s="318" t="s">
        <v>237</v>
      </c>
    </row>
    <row r="12997" spans="1:2" ht="12.75" customHeight="1" x14ac:dyDescent="0.25">
      <c r="A12997" s="318">
        <v>94462423402</v>
      </c>
      <c r="B12997" s="318" t="s">
        <v>237</v>
      </c>
    </row>
    <row r="12998" spans="1:2" ht="12.75" customHeight="1" x14ac:dyDescent="0.25">
      <c r="A12998" s="318">
        <v>94462904259</v>
      </c>
      <c r="B12998" s="318" t="s">
        <v>23</v>
      </c>
    </row>
    <row r="12999" spans="1:2" ht="12.75" customHeight="1" x14ac:dyDescent="0.25">
      <c r="A12999" s="318">
        <v>94462904260</v>
      </c>
      <c r="B12999" s="318" t="s">
        <v>23</v>
      </c>
    </row>
    <row r="13000" spans="1:2" ht="12.75" customHeight="1" x14ac:dyDescent="0.25">
      <c r="A13000" s="318">
        <v>94462904261</v>
      </c>
      <c r="B13000" s="318" t="s">
        <v>23</v>
      </c>
    </row>
    <row r="13001" spans="1:2" ht="12.75" customHeight="1" x14ac:dyDescent="0.25">
      <c r="A13001" s="318">
        <v>94462904262</v>
      </c>
      <c r="B13001" s="318" t="s">
        <v>23</v>
      </c>
    </row>
    <row r="13002" spans="1:2" ht="12.75" customHeight="1" x14ac:dyDescent="0.25">
      <c r="A13002" s="318">
        <v>94462904263</v>
      </c>
      <c r="B13002" s="318" t="s">
        <v>23</v>
      </c>
    </row>
    <row r="13003" spans="1:2" ht="12.75" customHeight="1" x14ac:dyDescent="0.25">
      <c r="A13003" s="318">
        <v>94462904264</v>
      </c>
      <c r="B13003" s="318" t="s">
        <v>23</v>
      </c>
    </row>
    <row r="13004" spans="1:2" ht="12.75" customHeight="1" x14ac:dyDescent="0.25">
      <c r="A13004" s="318">
        <v>94462904265</v>
      </c>
      <c r="B13004" s="318" t="s">
        <v>23</v>
      </c>
    </row>
    <row r="13005" spans="1:2" ht="12.75" customHeight="1" x14ac:dyDescent="0.25">
      <c r="A13005" s="318">
        <v>94462904266</v>
      </c>
      <c r="B13005" s="318" t="s">
        <v>23</v>
      </c>
    </row>
    <row r="13006" spans="1:2" ht="12.75" customHeight="1" x14ac:dyDescent="0.25">
      <c r="A13006" s="318">
        <v>94462904268</v>
      </c>
      <c r="B13006" s="318" t="s">
        <v>23</v>
      </c>
    </row>
    <row r="13007" spans="1:2" ht="12.75" customHeight="1" x14ac:dyDescent="0.25">
      <c r="A13007" s="318">
        <v>94462904269</v>
      </c>
      <c r="B13007" s="318" t="s">
        <v>23</v>
      </c>
    </row>
    <row r="13008" spans="1:2" ht="12.75" customHeight="1" x14ac:dyDescent="0.25">
      <c r="A13008" s="318">
        <v>94462904270</v>
      </c>
      <c r="B13008" s="318" t="s">
        <v>23</v>
      </c>
    </row>
    <row r="13009" spans="1:2" ht="12.75" customHeight="1" x14ac:dyDescent="0.25">
      <c r="A13009" s="318">
        <v>94462904271</v>
      </c>
      <c r="B13009" s="318" t="s">
        <v>23</v>
      </c>
    </row>
    <row r="13010" spans="1:2" ht="12.75" customHeight="1" x14ac:dyDescent="0.25">
      <c r="A13010" s="318">
        <v>94462904272</v>
      </c>
      <c r="B13010" s="318" t="s">
        <v>23</v>
      </c>
    </row>
    <row r="13011" spans="1:2" ht="12.75" customHeight="1" x14ac:dyDescent="0.25">
      <c r="A13011" s="318">
        <v>94462904273</v>
      </c>
      <c r="B13011" s="318" t="s">
        <v>23</v>
      </c>
    </row>
    <row r="13012" spans="1:2" ht="12.75" customHeight="1" x14ac:dyDescent="0.25">
      <c r="A13012" s="318">
        <v>94462904274</v>
      </c>
      <c r="B13012" s="318" t="s">
        <v>23</v>
      </c>
    </row>
    <row r="13013" spans="1:2" ht="12.75" customHeight="1" x14ac:dyDescent="0.25">
      <c r="A13013" s="318">
        <v>94462904275</v>
      </c>
      <c r="B13013" s="318" t="s">
        <v>23</v>
      </c>
    </row>
    <row r="13014" spans="1:2" ht="12.75" customHeight="1" x14ac:dyDescent="0.25">
      <c r="A13014" s="318">
        <v>94462904359</v>
      </c>
      <c r="B13014" s="318" t="s">
        <v>237</v>
      </c>
    </row>
    <row r="13015" spans="1:2" ht="12.75" customHeight="1" x14ac:dyDescent="0.25">
      <c r="A13015" s="318">
        <v>94462904360</v>
      </c>
      <c r="B13015" s="318" t="s">
        <v>237</v>
      </c>
    </row>
    <row r="13016" spans="1:2" ht="12.75" customHeight="1" x14ac:dyDescent="0.25">
      <c r="A13016" s="318">
        <v>94462904361</v>
      </c>
      <c r="B13016" s="318" t="s">
        <v>237</v>
      </c>
    </row>
    <row r="13017" spans="1:2" ht="12.75" customHeight="1" x14ac:dyDescent="0.25">
      <c r="A13017" s="318">
        <v>94462904362</v>
      </c>
      <c r="B13017" s="318" t="s">
        <v>237</v>
      </c>
    </row>
    <row r="13018" spans="1:2" ht="12.75" customHeight="1" x14ac:dyDescent="0.25">
      <c r="A13018" s="318">
        <v>94462904363</v>
      </c>
      <c r="B13018" s="318" t="s">
        <v>237</v>
      </c>
    </row>
    <row r="13019" spans="1:2" ht="12.75" customHeight="1" x14ac:dyDescent="0.25">
      <c r="A13019" s="318">
        <v>94462904364</v>
      </c>
      <c r="B13019" s="318" t="s">
        <v>237</v>
      </c>
    </row>
    <row r="13020" spans="1:2" ht="12.75" customHeight="1" x14ac:dyDescent="0.25">
      <c r="A13020" s="318">
        <v>94462904365</v>
      </c>
      <c r="B13020" s="318" t="s">
        <v>237</v>
      </c>
    </row>
    <row r="13021" spans="1:2" ht="12.75" customHeight="1" x14ac:dyDescent="0.25">
      <c r="A13021" s="318">
        <v>94462904366</v>
      </c>
      <c r="B13021" s="318" t="s">
        <v>237</v>
      </c>
    </row>
    <row r="13022" spans="1:2" ht="12.75" customHeight="1" x14ac:dyDescent="0.25">
      <c r="A13022" s="318">
        <v>94462904368</v>
      </c>
      <c r="B13022" s="318" t="s">
        <v>237</v>
      </c>
    </row>
    <row r="13023" spans="1:2" ht="12.75" customHeight="1" x14ac:dyDescent="0.25">
      <c r="A13023" s="318">
        <v>94462904369</v>
      </c>
      <c r="B13023" s="318" t="s">
        <v>237</v>
      </c>
    </row>
    <row r="13024" spans="1:2" ht="12.75" customHeight="1" x14ac:dyDescent="0.25">
      <c r="A13024" s="318">
        <v>94462904370</v>
      </c>
      <c r="B13024" s="318" t="s">
        <v>237</v>
      </c>
    </row>
    <row r="13025" spans="1:2" ht="12.75" customHeight="1" x14ac:dyDescent="0.25">
      <c r="A13025" s="318">
        <v>94462904371</v>
      </c>
      <c r="B13025" s="318" t="s">
        <v>237</v>
      </c>
    </row>
    <row r="13026" spans="1:2" ht="12.75" customHeight="1" x14ac:dyDescent="0.25">
      <c r="A13026" s="318">
        <v>94462904372</v>
      </c>
      <c r="B13026" s="318" t="s">
        <v>237</v>
      </c>
    </row>
    <row r="13027" spans="1:2" ht="12.75" customHeight="1" x14ac:dyDescent="0.25">
      <c r="A13027" s="318">
        <v>94462904373</v>
      </c>
      <c r="B13027" s="318" t="s">
        <v>237</v>
      </c>
    </row>
    <row r="13028" spans="1:2" ht="12.75" customHeight="1" x14ac:dyDescent="0.25">
      <c r="A13028" s="318">
        <v>94462904374</v>
      </c>
      <c r="B13028" s="318" t="s">
        <v>237</v>
      </c>
    </row>
    <row r="13029" spans="1:2" ht="12.75" customHeight="1" x14ac:dyDescent="0.25">
      <c r="A13029" s="318">
        <v>94462904375</v>
      </c>
      <c r="B13029" s="318" t="s">
        <v>237</v>
      </c>
    </row>
    <row r="13030" spans="1:2" ht="12.75" customHeight="1" x14ac:dyDescent="0.25">
      <c r="A13030" s="318">
        <v>94463584450</v>
      </c>
      <c r="B13030" s="318" t="s">
        <v>23</v>
      </c>
    </row>
    <row r="13031" spans="1:2" ht="12.75" customHeight="1" x14ac:dyDescent="0.25">
      <c r="A13031" s="318">
        <v>94463584451</v>
      </c>
      <c r="B13031" s="318" t="s">
        <v>23</v>
      </c>
    </row>
    <row r="13032" spans="1:2" ht="12.75" customHeight="1" x14ac:dyDescent="0.25">
      <c r="A13032" s="318">
        <v>94463584452</v>
      </c>
      <c r="B13032" s="318" t="s">
        <v>23</v>
      </c>
    </row>
    <row r="13033" spans="1:2" ht="12.75" customHeight="1" x14ac:dyDescent="0.25">
      <c r="A13033" s="318">
        <v>94463584453</v>
      </c>
      <c r="B13033" s="318" t="s">
        <v>23</v>
      </c>
    </row>
    <row r="13034" spans="1:2" ht="12.75" customHeight="1" x14ac:dyDescent="0.25">
      <c r="A13034" s="318">
        <v>94463584454</v>
      </c>
      <c r="B13034" s="318" t="s">
        <v>23</v>
      </c>
    </row>
    <row r="13035" spans="1:2" ht="12.75" customHeight="1" x14ac:dyDescent="0.25">
      <c r="A13035" s="318">
        <v>94463584455</v>
      </c>
      <c r="B13035" s="318" t="s">
        <v>23</v>
      </c>
    </row>
    <row r="13036" spans="1:2" ht="12.75" customHeight="1" x14ac:dyDescent="0.25">
      <c r="A13036" s="318">
        <v>94463584456</v>
      </c>
      <c r="B13036" s="318" t="s">
        <v>23</v>
      </c>
    </row>
    <row r="13037" spans="1:2" ht="12.75" customHeight="1" x14ac:dyDescent="0.25">
      <c r="A13037" s="318">
        <v>94463584457</v>
      </c>
      <c r="B13037" s="318" t="s">
        <v>23</v>
      </c>
    </row>
    <row r="13038" spans="1:2" ht="12.75" customHeight="1" x14ac:dyDescent="0.25">
      <c r="A13038" s="318">
        <v>94463584459</v>
      </c>
      <c r="B13038" s="318" t="s">
        <v>23</v>
      </c>
    </row>
    <row r="13039" spans="1:2" ht="12.75" customHeight="1" x14ac:dyDescent="0.25">
      <c r="A13039" s="318">
        <v>94463584460</v>
      </c>
      <c r="B13039" s="318" t="s">
        <v>23</v>
      </c>
    </row>
    <row r="13040" spans="1:2" ht="12.75" customHeight="1" x14ac:dyDescent="0.25">
      <c r="A13040" s="318">
        <v>94463584461</v>
      </c>
      <c r="B13040" s="318" t="s">
        <v>23</v>
      </c>
    </row>
    <row r="13041" spans="1:2" ht="12.75" customHeight="1" x14ac:dyDescent="0.25">
      <c r="A13041" s="318">
        <v>94463584462</v>
      </c>
      <c r="B13041" s="318" t="s">
        <v>23</v>
      </c>
    </row>
    <row r="13042" spans="1:2" ht="12.75" customHeight="1" x14ac:dyDescent="0.25">
      <c r="A13042" s="318">
        <v>94463584463</v>
      </c>
      <c r="B13042" s="318" t="s">
        <v>23</v>
      </c>
    </row>
    <row r="13043" spans="1:2" ht="12.75" customHeight="1" x14ac:dyDescent="0.25">
      <c r="A13043" s="318">
        <v>94463584464</v>
      </c>
      <c r="B13043" s="318" t="s">
        <v>23</v>
      </c>
    </row>
    <row r="13044" spans="1:2" ht="12.75" customHeight="1" x14ac:dyDescent="0.25">
      <c r="A13044" s="318">
        <v>94463584465</v>
      </c>
      <c r="B13044" s="318" t="s">
        <v>23</v>
      </c>
    </row>
    <row r="13045" spans="1:2" ht="12.75" customHeight="1" x14ac:dyDescent="0.25">
      <c r="A13045" s="318">
        <v>94463584466</v>
      </c>
      <c r="B13045" s="318" t="s">
        <v>23</v>
      </c>
    </row>
    <row r="13046" spans="1:2" ht="12.75" customHeight="1" x14ac:dyDescent="0.25">
      <c r="A13046" s="318">
        <v>94463584550</v>
      </c>
      <c r="B13046" s="318" t="s">
        <v>237</v>
      </c>
    </row>
    <row r="13047" spans="1:2" ht="12.75" customHeight="1" x14ac:dyDescent="0.25">
      <c r="A13047" s="318">
        <v>94463584551</v>
      </c>
      <c r="B13047" s="318" t="s">
        <v>237</v>
      </c>
    </row>
    <row r="13048" spans="1:2" ht="12.75" customHeight="1" x14ac:dyDescent="0.25">
      <c r="A13048" s="318">
        <v>94463584552</v>
      </c>
      <c r="B13048" s="318" t="s">
        <v>237</v>
      </c>
    </row>
    <row r="13049" spans="1:2" ht="12.75" customHeight="1" x14ac:dyDescent="0.25">
      <c r="A13049" s="318">
        <v>94463584553</v>
      </c>
      <c r="B13049" s="318" t="s">
        <v>237</v>
      </c>
    </row>
    <row r="13050" spans="1:2" ht="12.75" customHeight="1" x14ac:dyDescent="0.25">
      <c r="A13050" s="318">
        <v>94463584554</v>
      </c>
      <c r="B13050" s="318" t="s">
        <v>237</v>
      </c>
    </row>
    <row r="13051" spans="1:2" ht="12.75" customHeight="1" x14ac:dyDescent="0.25">
      <c r="A13051" s="318">
        <v>94463584555</v>
      </c>
      <c r="B13051" s="318" t="s">
        <v>237</v>
      </c>
    </row>
    <row r="13052" spans="1:2" ht="12.75" customHeight="1" x14ac:dyDescent="0.25">
      <c r="A13052" s="318">
        <v>94463584556</v>
      </c>
      <c r="B13052" s="318" t="s">
        <v>237</v>
      </c>
    </row>
    <row r="13053" spans="1:2" ht="12.75" customHeight="1" x14ac:dyDescent="0.25">
      <c r="A13053" s="318">
        <v>94463584557</v>
      </c>
      <c r="B13053" s="318" t="s">
        <v>237</v>
      </c>
    </row>
    <row r="13054" spans="1:2" ht="12.75" customHeight="1" x14ac:dyDescent="0.25">
      <c r="A13054" s="318">
        <v>94463584559</v>
      </c>
      <c r="B13054" s="318" t="s">
        <v>237</v>
      </c>
    </row>
    <row r="13055" spans="1:2" ht="12.75" customHeight="1" x14ac:dyDescent="0.25">
      <c r="A13055" s="318">
        <v>94463584560</v>
      </c>
      <c r="B13055" s="318" t="s">
        <v>237</v>
      </c>
    </row>
    <row r="13056" spans="1:2" ht="12.75" customHeight="1" x14ac:dyDescent="0.25">
      <c r="A13056" s="318">
        <v>94463584561</v>
      </c>
      <c r="B13056" s="318" t="s">
        <v>237</v>
      </c>
    </row>
    <row r="13057" spans="1:2" ht="12.75" customHeight="1" x14ac:dyDescent="0.25">
      <c r="A13057" s="318">
        <v>94463584562</v>
      </c>
      <c r="B13057" s="318" t="s">
        <v>237</v>
      </c>
    </row>
    <row r="13058" spans="1:2" ht="12.75" customHeight="1" x14ac:dyDescent="0.25">
      <c r="A13058" s="318">
        <v>94463584563</v>
      </c>
      <c r="B13058" s="318" t="s">
        <v>237</v>
      </c>
    </row>
    <row r="13059" spans="1:2" ht="12.75" customHeight="1" x14ac:dyDescent="0.25">
      <c r="A13059" s="318">
        <v>94463584564</v>
      </c>
      <c r="B13059" s="318" t="s">
        <v>237</v>
      </c>
    </row>
    <row r="13060" spans="1:2" ht="12.75" customHeight="1" x14ac:dyDescent="0.25">
      <c r="A13060" s="318">
        <v>94463584565</v>
      </c>
      <c r="B13060" s="318" t="s">
        <v>237</v>
      </c>
    </row>
    <row r="13061" spans="1:2" ht="12.75" customHeight="1" x14ac:dyDescent="0.25">
      <c r="A13061" s="318">
        <v>94463584566</v>
      </c>
      <c r="B13061" s="318" t="s">
        <v>237</v>
      </c>
    </row>
    <row r="13062" spans="1:2" ht="12.75" customHeight="1" x14ac:dyDescent="0.25">
      <c r="A13062" s="318">
        <v>94464065423</v>
      </c>
      <c r="B13062" s="318" t="s">
        <v>23</v>
      </c>
    </row>
    <row r="13063" spans="1:2" ht="12.75" customHeight="1" x14ac:dyDescent="0.25">
      <c r="A13063" s="318">
        <v>94464065424</v>
      </c>
      <c r="B13063" s="318" t="s">
        <v>23</v>
      </c>
    </row>
    <row r="13064" spans="1:2" ht="12.75" customHeight="1" x14ac:dyDescent="0.25">
      <c r="A13064" s="318">
        <v>94464065425</v>
      </c>
      <c r="B13064" s="318" t="s">
        <v>23</v>
      </c>
    </row>
    <row r="13065" spans="1:2" ht="12.75" customHeight="1" x14ac:dyDescent="0.25">
      <c r="A13065" s="318">
        <v>94464065426</v>
      </c>
      <c r="B13065" s="318" t="s">
        <v>23</v>
      </c>
    </row>
    <row r="13066" spans="1:2" ht="12.75" customHeight="1" x14ac:dyDescent="0.25">
      <c r="A13066" s="318">
        <v>94464065427</v>
      </c>
      <c r="B13066" s="318" t="s">
        <v>23</v>
      </c>
    </row>
    <row r="13067" spans="1:2" ht="12.75" customHeight="1" x14ac:dyDescent="0.25">
      <c r="A13067" s="318">
        <v>94464065428</v>
      </c>
      <c r="B13067" s="318" t="s">
        <v>23</v>
      </c>
    </row>
    <row r="13068" spans="1:2" ht="12.75" customHeight="1" x14ac:dyDescent="0.25">
      <c r="A13068" s="318">
        <v>94464065429</v>
      </c>
      <c r="B13068" s="318" t="s">
        <v>23</v>
      </c>
    </row>
    <row r="13069" spans="1:2" ht="12.75" customHeight="1" x14ac:dyDescent="0.25">
      <c r="A13069" s="318">
        <v>94464065430</v>
      </c>
      <c r="B13069" s="318" t="s">
        <v>23</v>
      </c>
    </row>
    <row r="13070" spans="1:2" ht="12.75" customHeight="1" x14ac:dyDescent="0.25">
      <c r="A13070" s="318">
        <v>94464065432</v>
      </c>
      <c r="B13070" s="318" t="s">
        <v>23</v>
      </c>
    </row>
    <row r="13071" spans="1:2" ht="12.75" customHeight="1" x14ac:dyDescent="0.25">
      <c r="A13071" s="318">
        <v>94464065433</v>
      </c>
      <c r="B13071" s="318" t="s">
        <v>23</v>
      </c>
    </row>
    <row r="13072" spans="1:2" ht="12.75" customHeight="1" x14ac:dyDescent="0.25">
      <c r="A13072" s="318">
        <v>94464065434</v>
      </c>
      <c r="B13072" s="318" t="s">
        <v>23</v>
      </c>
    </row>
    <row r="13073" spans="1:2" ht="12.75" customHeight="1" x14ac:dyDescent="0.25">
      <c r="A13073" s="318">
        <v>94464065435</v>
      </c>
      <c r="B13073" s="318" t="s">
        <v>23</v>
      </c>
    </row>
    <row r="13074" spans="1:2" ht="12.75" customHeight="1" x14ac:dyDescent="0.25">
      <c r="A13074" s="318">
        <v>94464065436</v>
      </c>
      <c r="B13074" s="318" t="s">
        <v>23</v>
      </c>
    </row>
    <row r="13075" spans="1:2" ht="12.75" customHeight="1" x14ac:dyDescent="0.25">
      <c r="A13075" s="318">
        <v>94464065437</v>
      </c>
      <c r="B13075" s="318" t="s">
        <v>23</v>
      </c>
    </row>
    <row r="13076" spans="1:2" ht="12.75" customHeight="1" x14ac:dyDescent="0.25">
      <c r="A13076" s="318">
        <v>94464065438</v>
      </c>
      <c r="B13076" s="318" t="s">
        <v>23</v>
      </c>
    </row>
    <row r="13077" spans="1:2" ht="12.75" customHeight="1" x14ac:dyDescent="0.25">
      <c r="A13077" s="318">
        <v>94464065439</v>
      </c>
      <c r="B13077" s="318" t="s">
        <v>23</v>
      </c>
    </row>
    <row r="13078" spans="1:2" ht="12.75" customHeight="1" x14ac:dyDescent="0.25">
      <c r="A13078" s="318">
        <v>94464065523</v>
      </c>
      <c r="B13078" s="318" t="s">
        <v>237</v>
      </c>
    </row>
    <row r="13079" spans="1:2" ht="12.75" customHeight="1" x14ac:dyDescent="0.25">
      <c r="A13079" s="318">
        <v>94464065524</v>
      </c>
      <c r="B13079" s="318" t="s">
        <v>237</v>
      </c>
    </row>
    <row r="13080" spans="1:2" ht="12.75" customHeight="1" x14ac:dyDescent="0.25">
      <c r="A13080" s="318">
        <v>94464065525</v>
      </c>
      <c r="B13080" s="318" t="s">
        <v>237</v>
      </c>
    </row>
    <row r="13081" spans="1:2" ht="12.75" customHeight="1" x14ac:dyDescent="0.25">
      <c r="A13081" s="318">
        <v>94464065526</v>
      </c>
      <c r="B13081" s="318" t="s">
        <v>237</v>
      </c>
    </row>
    <row r="13082" spans="1:2" ht="12.75" customHeight="1" x14ac:dyDescent="0.25">
      <c r="A13082" s="318">
        <v>94464065527</v>
      </c>
      <c r="B13082" s="318" t="s">
        <v>237</v>
      </c>
    </row>
    <row r="13083" spans="1:2" ht="12.75" customHeight="1" x14ac:dyDescent="0.25">
      <c r="A13083" s="318">
        <v>94464065528</v>
      </c>
      <c r="B13083" s="318" t="s">
        <v>237</v>
      </c>
    </row>
    <row r="13084" spans="1:2" ht="12.75" customHeight="1" x14ac:dyDescent="0.25">
      <c r="A13084" s="318">
        <v>94464065529</v>
      </c>
      <c r="B13084" s="318" t="s">
        <v>237</v>
      </c>
    </row>
    <row r="13085" spans="1:2" ht="12.75" customHeight="1" x14ac:dyDescent="0.25">
      <c r="A13085" s="318">
        <v>94464065530</v>
      </c>
      <c r="B13085" s="318" t="s">
        <v>237</v>
      </c>
    </row>
    <row r="13086" spans="1:2" ht="12.75" customHeight="1" x14ac:dyDescent="0.25">
      <c r="A13086" s="318">
        <v>94464065532</v>
      </c>
      <c r="B13086" s="318" t="s">
        <v>237</v>
      </c>
    </row>
    <row r="13087" spans="1:2" ht="12.75" customHeight="1" x14ac:dyDescent="0.25">
      <c r="A13087" s="318">
        <v>94464065533</v>
      </c>
      <c r="B13087" s="318" t="s">
        <v>237</v>
      </c>
    </row>
    <row r="13088" spans="1:2" ht="12.75" customHeight="1" x14ac:dyDescent="0.25">
      <c r="A13088" s="318">
        <v>94464065534</v>
      </c>
      <c r="B13088" s="318" t="s">
        <v>237</v>
      </c>
    </row>
    <row r="13089" spans="1:2" ht="12.75" customHeight="1" x14ac:dyDescent="0.25">
      <c r="A13089" s="318">
        <v>94464065535</v>
      </c>
      <c r="B13089" s="318" t="s">
        <v>237</v>
      </c>
    </row>
    <row r="13090" spans="1:2" ht="12.75" customHeight="1" x14ac:dyDescent="0.25">
      <c r="A13090" s="318">
        <v>94464065536</v>
      </c>
      <c r="B13090" s="318" t="s">
        <v>237</v>
      </c>
    </row>
    <row r="13091" spans="1:2" ht="12.75" customHeight="1" x14ac:dyDescent="0.25">
      <c r="A13091" s="318">
        <v>94464065537</v>
      </c>
      <c r="B13091" s="318" t="s">
        <v>237</v>
      </c>
    </row>
    <row r="13092" spans="1:2" ht="12.75" customHeight="1" x14ac:dyDescent="0.25">
      <c r="A13092" s="318">
        <v>94464065538</v>
      </c>
      <c r="B13092" s="318" t="s">
        <v>237</v>
      </c>
    </row>
    <row r="13093" spans="1:2" ht="12.75" customHeight="1" x14ac:dyDescent="0.25">
      <c r="A13093" s="318">
        <v>94464065539</v>
      </c>
      <c r="B13093" s="318" t="s">
        <v>237</v>
      </c>
    </row>
    <row r="13094" spans="1:2" ht="12.75" customHeight="1" x14ac:dyDescent="0.25">
      <c r="A13094" s="318">
        <v>94464546396</v>
      </c>
      <c r="B13094" s="318" t="s">
        <v>23</v>
      </c>
    </row>
    <row r="13095" spans="1:2" ht="12.75" customHeight="1" x14ac:dyDescent="0.25">
      <c r="A13095" s="318">
        <v>94464546397</v>
      </c>
      <c r="B13095" s="318" t="s">
        <v>23</v>
      </c>
    </row>
    <row r="13096" spans="1:2" ht="12.75" customHeight="1" x14ac:dyDescent="0.25">
      <c r="A13096" s="318">
        <v>94464546398</v>
      </c>
      <c r="B13096" s="318" t="s">
        <v>23</v>
      </c>
    </row>
    <row r="13097" spans="1:2" ht="12.75" customHeight="1" x14ac:dyDescent="0.25">
      <c r="A13097" s="318">
        <v>94464546399</v>
      </c>
      <c r="B13097" s="318" t="s">
        <v>23</v>
      </c>
    </row>
    <row r="13098" spans="1:2" ht="12.75" customHeight="1" x14ac:dyDescent="0.25">
      <c r="A13098" s="318">
        <v>94464546400</v>
      </c>
      <c r="B13098" s="318" t="s">
        <v>23</v>
      </c>
    </row>
    <row r="13099" spans="1:2" ht="12.75" customHeight="1" x14ac:dyDescent="0.25">
      <c r="A13099" s="318">
        <v>94464546401</v>
      </c>
      <c r="B13099" s="318" t="s">
        <v>23</v>
      </c>
    </row>
    <row r="13100" spans="1:2" ht="12.75" customHeight="1" x14ac:dyDescent="0.25">
      <c r="A13100" s="318">
        <v>94464546402</v>
      </c>
      <c r="B13100" s="318" t="s">
        <v>23</v>
      </c>
    </row>
    <row r="13101" spans="1:2" ht="12.75" customHeight="1" x14ac:dyDescent="0.25">
      <c r="A13101" s="318">
        <v>94464546403</v>
      </c>
      <c r="B13101" s="318" t="s">
        <v>23</v>
      </c>
    </row>
    <row r="13102" spans="1:2" ht="12.75" customHeight="1" x14ac:dyDescent="0.25">
      <c r="A13102" s="318">
        <v>94464546405</v>
      </c>
      <c r="B13102" s="318" t="s">
        <v>23</v>
      </c>
    </row>
    <row r="13103" spans="1:2" ht="12.75" customHeight="1" x14ac:dyDescent="0.25">
      <c r="A13103" s="318">
        <v>94464546406</v>
      </c>
      <c r="B13103" s="318" t="s">
        <v>23</v>
      </c>
    </row>
    <row r="13104" spans="1:2" ht="12.75" customHeight="1" x14ac:dyDescent="0.25">
      <c r="A13104" s="318">
        <v>94464546407</v>
      </c>
      <c r="B13104" s="318" t="s">
        <v>23</v>
      </c>
    </row>
    <row r="13105" spans="1:2" ht="12.75" customHeight="1" x14ac:dyDescent="0.25">
      <c r="A13105" s="318">
        <v>94464546408</v>
      </c>
      <c r="B13105" s="318" t="s">
        <v>23</v>
      </c>
    </row>
    <row r="13106" spans="1:2" ht="12.75" customHeight="1" x14ac:dyDescent="0.25">
      <c r="A13106" s="318">
        <v>94464546409</v>
      </c>
      <c r="B13106" s="318" t="s">
        <v>23</v>
      </c>
    </row>
    <row r="13107" spans="1:2" ht="12.75" customHeight="1" x14ac:dyDescent="0.25">
      <c r="A13107" s="318">
        <v>94464546410</v>
      </c>
      <c r="B13107" s="318" t="s">
        <v>23</v>
      </c>
    </row>
    <row r="13108" spans="1:2" ht="12.75" customHeight="1" x14ac:dyDescent="0.25">
      <c r="A13108" s="318">
        <v>94464546411</v>
      </c>
      <c r="B13108" s="318" t="s">
        <v>23</v>
      </c>
    </row>
    <row r="13109" spans="1:2" ht="12.75" customHeight="1" x14ac:dyDescent="0.25">
      <c r="A13109" s="318">
        <v>94464546412</v>
      </c>
      <c r="B13109" s="318" t="s">
        <v>23</v>
      </c>
    </row>
    <row r="13110" spans="1:2" ht="12.75" customHeight="1" x14ac:dyDescent="0.25">
      <c r="A13110" s="318">
        <v>94464546496</v>
      </c>
      <c r="B13110" s="318" t="s">
        <v>237</v>
      </c>
    </row>
    <row r="13111" spans="1:2" ht="12.75" customHeight="1" x14ac:dyDescent="0.25">
      <c r="A13111" s="318">
        <v>94464546497</v>
      </c>
      <c r="B13111" s="318" t="s">
        <v>237</v>
      </c>
    </row>
    <row r="13112" spans="1:2" ht="12.75" customHeight="1" x14ac:dyDescent="0.25">
      <c r="A13112" s="318">
        <v>94464546498</v>
      </c>
      <c r="B13112" s="318" t="s">
        <v>237</v>
      </c>
    </row>
    <row r="13113" spans="1:2" ht="12.75" customHeight="1" x14ac:dyDescent="0.25">
      <c r="A13113" s="318">
        <v>94464546499</v>
      </c>
      <c r="B13113" s="318" t="s">
        <v>237</v>
      </c>
    </row>
    <row r="13114" spans="1:2" ht="12.75" customHeight="1" x14ac:dyDescent="0.25">
      <c r="A13114" s="318">
        <v>94464546500</v>
      </c>
      <c r="B13114" s="318" t="s">
        <v>237</v>
      </c>
    </row>
    <row r="13115" spans="1:2" ht="12.75" customHeight="1" x14ac:dyDescent="0.25">
      <c r="A13115" s="318">
        <v>94464546501</v>
      </c>
      <c r="B13115" s="318" t="s">
        <v>237</v>
      </c>
    </row>
    <row r="13116" spans="1:2" ht="12.75" customHeight="1" x14ac:dyDescent="0.25">
      <c r="A13116" s="318">
        <v>94464546502</v>
      </c>
      <c r="B13116" s="318" t="s">
        <v>237</v>
      </c>
    </row>
    <row r="13117" spans="1:2" ht="12.75" customHeight="1" x14ac:dyDescent="0.25">
      <c r="A13117" s="318">
        <v>94464546503</v>
      </c>
      <c r="B13117" s="318" t="s">
        <v>237</v>
      </c>
    </row>
    <row r="13118" spans="1:2" ht="12.75" customHeight="1" x14ac:dyDescent="0.25">
      <c r="A13118" s="318">
        <v>94464546505</v>
      </c>
      <c r="B13118" s="318" t="s">
        <v>237</v>
      </c>
    </row>
    <row r="13119" spans="1:2" ht="12.75" customHeight="1" x14ac:dyDescent="0.25">
      <c r="A13119" s="318">
        <v>94464546506</v>
      </c>
      <c r="B13119" s="318" t="s">
        <v>237</v>
      </c>
    </row>
    <row r="13120" spans="1:2" ht="12.75" customHeight="1" x14ac:dyDescent="0.25">
      <c r="A13120" s="318">
        <v>94464546507</v>
      </c>
      <c r="B13120" s="318" t="s">
        <v>237</v>
      </c>
    </row>
    <row r="13121" spans="1:2" ht="12.75" customHeight="1" x14ac:dyDescent="0.25">
      <c r="A13121" s="318">
        <v>94464546508</v>
      </c>
      <c r="B13121" s="318" t="s">
        <v>237</v>
      </c>
    </row>
    <row r="13122" spans="1:2" ht="12.75" customHeight="1" x14ac:dyDescent="0.25">
      <c r="A13122" s="318">
        <v>94464546509</v>
      </c>
      <c r="B13122" s="318" t="s">
        <v>237</v>
      </c>
    </row>
    <row r="13123" spans="1:2" ht="12.75" customHeight="1" x14ac:dyDescent="0.25">
      <c r="A13123" s="318">
        <v>94464546510</v>
      </c>
      <c r="B13123" s="318" t="s">
        <v>237</v>
      </c>
    </row>
    <row r="13124" spans="1:2" ht="12.75" customHeight="1" x14ac:dyDescent="0.25">
      <c r="A13124" s="318">
        <v>94464546511</v>
      </c>
      <c r="B13124" s="318" t="s">
        <v>237</v>
      </c>
    </row>
    <row r="13125" spans="1:2" ht="12.75" customHeight="1" x14ac:dyDescent="0.25">
      <c r="A13125" s="318">
        <v>94464546512</v>
      </c>
      <c r="B13125" s="318" t="s">
        <v>237</v>
      </c>
    </row>
    <row r="13126" spans="1:2" ht="12.75" customHeight="1" x14ac:dyDescent="0.25">
      <c r="A13126" s="318">
        <v>94465906777</v>
      </c>
      <c r="B13126" s="318" t="s">
        <v>23</v>
      </c>
    </row>
    <row r="13127" spans="1:2" ht="12.75" customHeight="1" x14ac:dyDescent="0.25">
      <c r="A13127" s="318">
        <v>94465906778</v>
      </c>
      <c r="B13127" s="318" t="s">
        <v>23</v>
      </c>
    </row>
    <row r="13128" spans="1:2" ht="12.75" customHeight="1" x14ac:dyDescent="0.25">
      <c r="A13128" s="318">
        <v>94465906779</v>
      </c>
      <c r="B13128" s="318" t="s">
        <v>23</v>
      </c>
    </row>
    <row r="13129" spans="1:2" ht="12.75" customHeight="1" x14ac:dyDescent="0.25">
      <c r="A13129" s="318">
        <v>94465906780</v>
      </c>
      <c r="B13129" s="318" t="s">
        <v>23</v>
      </c>
    </row>
    <row r="13130" spans="1:2" ht="12.75" customHeight="1" x14ac:dyDescent="0.25">
      <c r="A13130" s="318">
        <v>94465906781</v>
      </c>
      <c r="B13130" s="318" t="s">
        <v>23</v>
      </c>
    </row>
    <row r="13131" spans="1:2" ht="12.75" customHeight="1" x14ac:dyDescent="0.25">
      <c r="A13131" s="318">
        <v>94465906782</v>
      </c>
      <c r="B13131" s="318" t="s">
        <v>23</v>
      </c>
    </row>
    <row r="13132" spans="1:2" ht="12.75" customHeight="1" x14ac:dyDescent="0.25">
      <c r="A13132" s="318">
        <v>94465906783</v>
      </c>
      <c r="B13132" s="318" t="s">
        <v>23</v>
      </c>
    </row>
    <row r="13133" spans="1:2" ht="12.75" customHeight="1" x14ac:dyDescent="0.25">
      <c r="A13133" s="318">
        <v>94465906784</v>
      </c>
      <c r="B13133" s="318" t="s">
        <v>23</v>
      </c>
    </row>
    <row r="13134" spans="1:2" ht="12.75" customHeight="1" x14ac:dyDescent="0.25">
      <c r="A13134" s="318">
        <v>94465906786</v>
      </c>
      <c r="B13134" s="318" t="s">
        <v>23</v>
      </c>
    </row>
    <row r="13135" spans="1:2" ht="12.75" customHeight="1" x14ac:dyDescent="0.25">
      <c r="A13135" s="318">
        <v>94465906787</v>
      </c>
      <c r="B13135" s="318" t="s">
        <v>23</v>
      </c>
    </row>
    <row r="13136" spans="1:2" ht="12.75" customHeight="1" x14ac:dyDescent="0.25">
      <c r="A13136" s="318">
        <v>94465906788</v>
      </c>
      <c r="B13136" s="318" t="s">
        <v>23</v>
      </c>
    </row>
    <row r="13137" spans="1:2" ht="12.75" customHeight="1" x14ac:dyDescent="0.25">
      <c r="A13137" s="318">
        <v>94465906789</v>
      </c>
      <c r="B13137" s="318" t="s">
        <v>23</v>
      </c>
    </row>
    <row r="13138" spans="1:2" ht="12.75" customHeight="1" x14ac:dyDescent="0.25">
      <c r="A13138" s="318">
        <v>94465906790</v>
      </c>
      <c r="B13138" s="318" t="s">
        <v>23</v>
      </c>
    </row>
    <row r="13139" spans="1:2" ht="12.75" customHeight="1" x14ac:dyDescent="0.25">
      <c r="A13139" s="318">
        <v>94465906791</v>
      </c>
      <c r="B13139" s="318" t="s">
        <v>23</v>
      </c>
    </row>
    <row r="13140" spans="1:2" ht="12.75" customHeight="1" x14ac:dyDescent="0.25">
      <c r="A13140" s="318">
        <v>94465906792</v>
      </c>
      <c r="B13140" s="318" t="s">
        <v>23</v>
      </c>
    </row>
    <row r="13141" spans="1:2" ht="12.75" customHeight="1" x14ac:dyDescent="0.25">
      <c r="A13141" s="318">
        <v>94465906793</v>
      </c>
      <c r="B13141" s="318" t="s">
        <v>23</v>
      </c>
    </row>
    <row r="13142" spans="1:2" ht="12.75" customHeight="1" x14ac:dyDescent="0.25">
      <c r="A13142" s="318">
        <v>94465906877</v>
      </c>
      <c r="B13142" s="318" t="s">
        <v>237</v>
      </c>
    </row>
    <row r="13143" spans="1:2" ht="12.75" customHeight="1" x14ac:dyDescent="0.25">
      <c r="A13143" s="318">
        <v>94465906878</v>
      </c>
      <c r="B13143" s="318" t="s">
        <v>237</v>
      </c>
    </row>
    <row r="13144" spans="1:2" ht="12.75" customHeight="1" x14ac:dyDescent="0.25">
      <c r="A13144" s="318">
        <v>94465906879</v>
      </c>
      <c r="B13144" s="318" t="s">
        <v>237</v>
      </c>
    </row>
    <row r="13145" spans="1:2" ht="12.75" customHeight="1" x14ac:dyDescent="0.25">
      <c r="A13145" s="318">
        <v>94465906880</v>
      </c>
      <c r="B13145" s="318" t="s">
        <v>237</v>
      </c>
    </row>
    <row r="13146" spans="1:2" ht="12.75" customHeight="1" x14ac:dyDescent="0.25">
      <c r="A13146" s="318">
        <v>94465906881</v>
      </c>
      <c r="B13146" s="318" t="s">
        <v>237</v>
      </c>
    </row>
    <row r="13147" spans="1:2" ht="12.75" customHeight="1" x14ac:dyDescent="0.25">
      <c r="A13147" s="318">
        <v>94465906882</v>
      </c>
      <c r="B13147" s="318" t="s">
        <v>237</v>
      </c>
    </row>
    <row r="13148" spans="1:2" ht="12.75" customHeight="1" x14ac:dyDescent="0.25">
      <c r="A13148" s="318">
        <v>94465906883</v>
      </c>
      <c r="B13148" s="318" t="s">
        <v>237</v>
      </c>
    </row>
    <row r="13149" spans="1:2" ht="12.75" customHeight="1" x14ac:dyDescent="0.25">
      <c r="A13149" s="318">
        <v>94465906884</v>
      </c>
      <c r="B13149" s="318" t="s">
        <v>237</v>
      </c>
    </row>
    <row r="13150" spans="1:2" ht="12.75" customHeight="1" x14ac:dyDescent="0.25">
      <c r="A13150" s="318">
        <v>94465906886</v>
      </c>
      <c r="B13150" s="318" t="s">
        <v>237</v>
      </c>
    </row>
    <row r="13151" spans="1:2" ht="12.75" customHeight="1" x14ac:dyDescent="0.25">
      <c r="A13151" s="318">
        <v>94465906887</v>
      </c>
      <c r="B13151" s="318" t="s">
        <v>237</v>
      </c>
    </row>
    <row r="13152" spans="1:2" ht="12.75" customHeight="1" x14ac:dyDescent="0.25">
      <c r="A13152" s="318">
        <v>94465906888</v>
      </c>
      <c r="B13152" s="318" t="s">
        <v>237</v>
      </c>
    </row>
    <row r="13153" spans="1:2" ht="12.75" customHeight="1" x14ac:dyDescent="0.25">
      <c r="A13153" s="318">
        <v>94465906889</v>
      </c>
      <c r="B13153" s="318" t="s">
        <v>237</v>
      </c>
    </row>
    <row r="13154" spans="1:2" ht="12.75" customHeight="1" x14ac:dyDescent="0.25">
      <c r="A13154" s="318">
        <v>94465906890</v>
      </c>
      <c r="B13154" s="318" t="s">
        <v>237</v>
      </c>
    </row>
    <row r="13155" spans="1:2" ht="12.75" customHeight="1" x14ac:dyDescent="0.25">
      <c r="A13155" s="318">
        <v>94465906891</v>
      </c>
      <c r="B13155" s="318" t="s">
        <v>237</v>
      </c>
    </row>
    <row r="13156" spans="1:2" ht="12.75" customHeight="1" x14ac:dyDescent="0.25">
      <c r="A13156" s="318">
        <v>94465906892</v>
      </c>
      <c r="B13156" s="318" t="s">
        <v>237</v>
      </c>
    </row>
    <row r="13157" spans="1:2" ht="12.75" customHeight="1" x14ac:dyDescent="0.25">
      <c r="A13157" s="318">
        <v>94465906893</v>
      </c>
      <c r="B13157" s="318" t="s">
        <v>237</v>
      </c>
    </row>
    <row r="13158" spans="1:2" ht="12.75" customHeight="1" x14ac:dyDescent="0.25">
      <c r="A13158" s="318">
        <v>94466387750</v>
      </c>
      <c r="B13158" s="318" t="s">
        <v>23</v>
      </c>
    </row>
    <row r="13159" spans="1:2" ht="12.75" customHeight="1" x14ac:dyDescent="0.25">
      <c r="A13159" s="318">
        <v>94466387751</v>
      </c>
      <c r="B13159" s="318" t="s">
        <v>23</v>
      </c>
    </row>
    <row r="13160" spans="1:2" ht="12.75" customHeight="1" x14ac:dyDescent="0.25">
      <c r="A13160" s="318">
        <v>94466387752</v>
      </c>
      <c r="B13160" s="318" t="s">
        <v>23</v>
      </c>
    </row>
    <row r="13161" spans="1:2" ht="12.75" customHeight="1" x14ac:dyDescent="0.25">
      <c r="A13161" s="318">
        <v>94466387753</v>
      </c>
      <c r="B13161" s="318" t="s">
        <v>23</v>
      </c>
    </row>
    <row r="13162" spans="1:2" ht="12.75" customHeight="1" x14ac:dyDescent="0.25">
      <c r="A13162" s="318">
        <v>94466387754</v>
      </c>
      <c r="B13162" s="318" t="s">
        <v>23</v>
      </c>
    </row>
    <row r="13163" spans="1:2" ht="12.75" customHeight="1" x14ac:dyDescent="0.25">
      <c r="A13163" s="318">
        <v>94466387755</v>
      </c>
      <c r="B13163" s="318" t="s">
        <v>23</v>
      </c>
    </row>
    <row r="13164" spans="1:2" ht="12.75" customHeight="1" x14ac:dyDescent="0.25">
      <c r="A13164" s="318">
        <v>94466387756</v>
      </c>
      <c r="B13164" s="318" t="s">
        <v>23</v>
      </c>
    </row>
    <row r="13165" spans="1:2" ht="12.75" customHeight="1" x14ac:dyDescent="0.25">
      <c r="A13165" s="318">
        <v>94466387757</v>
      </c>
      <c r="B13165" s="318" t="s">
        <v>23</v>
      </c>
    </row>
    <row r="13166" spans="1:2" ht="12.75" customHeight="1" x14ac:dyDescent="0.25">
      <c r="A13166" s="318">
        <v>94466387759</v>
      </c>
      <c r="B13166" s="318" t="s">
        <v>23</v>
      </c>
    </row>
    <row r="13167" spans="1:2" ht="12.75" customHeight="1" x14ac:dyDescent="0.25">
      <c r="A13167" s="318">
        <v>94466387760</v>
      </c>
      <c r="B13167" s="318" t="s">
        <v>23</v>
      </c>
    </row>
    <row r="13168" spans="1:2" ht="12.75" customHeight="1" x14ac:dyDescent="0.25">
      <c r="A13168" s="318">
        <v>94466387761</v>
      </c>
      <c r="B13168" s="318" t="s">
        <v>23</v>
      </c>
    </row>
    <row r="13169" spans="1:2" ht="12.75" customHeight="1" x14ac:dyDescent="0.25">
      <c r="A13169" s="318">
        <v>94466387762</v>
      </c>
      <c r="B13169" s="318" t="s">
        <v>23</v>
      </c>
    </row>
    <row r="13170" spans="1:2" ht="12.75" customHeight="1" x14ac:dyDescent="0.25">
      <c r="A13170" s="318">
        <v>94466387763</v>
      </c>
      <c r="B13170" s="318" t="s">
        <v>23</v>
      </c>
    </row>
    <row r="13171" spans="1:2" ht="12.75" customHeight="1" x14ac:dyDescent="0.25">
      <c r="A13171" s="318">
        <v>94466387764</v>
      </c>
      <c r="B13171" s="318" t="s">
        <v>23</v>
      </c>
    </row>
    <row r="13172" spans="1:2" ht="12.75" customHeight="1" x14ac:dyDescent="0.25">
      <c r="A13172" s="318">
        <v>94466387765</v>
      </c>
      <c r="B13172" s="318" t="s">
        <v>23</v>
      </c>
    </row>
    <row r="13173" spans="1:2" ht="12.75" customHeight="1" x14ac:dyDescent="0.25">
      <c r="A13173" s="318">
        <v>94466387766</v>
      </c>
      <c r="B13173" s="318" t="s">
        <v>23</v>
      </c>
    </row>
    <row r="13174" spans="1:2" ht="12.75" customHeight="1" x14ac:dyDescent="0.25">
      <c r="A13174" s="318">
        <v>94466387850</v>
      </c>
      <c r="B13174" s="318" t="s">
        <v>237</v>
      </c>
    </row>
    <row r="13175" spans="1:2" ht="12.75" customHeight="1" x14ac:dyDescent="0.25">
      <c r="A13175" s="318">
        <v>94466387851</v>
      </c>
      <c r="B13175" s="318" t="s">
        <v>237</v>
      </c>
    </row>
    <row r="13176" spans="1:2" ht="12.75" customHeight="1" x14ac:dyDescent="0.25">
      <c r="A13176" s="318">
        <v>94466387852</v>
      </c>
      <c r="B13176" s="318" t="s">
        <v>237</v>
      </c>
    </row>
    <row r="13177" spans="1:2" ht="12.75" customHeight="1" x14ac:dyDescent="0.25">
      <c r="A13177" s="318">
        <v>94466387853</v>
      </c>
      <c r="B13177" s="318" t="s">
        <v>237</v>
      </c>
    </row>
    <row r="13178" spans="1:2" ht="12.75" customHeight="1" x14ac:dyDescent="0.25">
      <c r="A13178" s="318">
        <v>94466387854</v>
      </c>
      <c r="B13178" s="318" t="s">
        <v>237</v>
      </c>
    </row>
    <row r="13179" spans="1:2" ht="12.75" customHeight="1" x14ac:dyDescent="0.25">
      <c r="A13179" s="318">
        <v>94466387855</v>
      </c>
      <c r="B13179" s="318" t="s">
        <v>237</v>
      </c>
    </row>
    <row r="13180" spans="1:2" ht="12.75" customHeight="1" x14ac:dyDescent="0.25">
      <c r="A13180" s="318">
        <v>94466387856</v>
      </c>
      <c r="B13180" s="318" t="s">
        <v>237</v>
      </c>
    </row>
    <row r="13181" spans="1:2" ht="12.75" customHeight="1" x14ac:dyDescent="0.25">
      <c r="A13181" s="318">
        <v>94466387857</v>
      </c>
      <c r="B13181" s="318" t="s">
        <v>237</v>
      </c>
    </row>
    <row r="13182" spans="1:2" ht="12.75" customHeight="1" x14ac:dyDescent="0.25">
      <c r="A13182" s="318">
        <v>94466387859</v>
      </c>
      <c r="B13182" s="318" t="s">
        <v>237</v>
      </c>
    </row>
    <row r="13183" spans="1:2" ht="12.75" customHeight="1" x14ac:dyDescent="0.25">
      <c r="A13183" s="318">
        <v>94466387860</v>
      </c>
      <c r="B13183" s="318" t="s">
        <v>237</v>
      </c>
    </row>
    <row r="13184" spans="1:2" ht="12.75" customHeight="1" x14ac:dyDescent="0.25">
      <c r="A13184" s="318">
        <v>94466387861</v>
      </c>
      <c r="B13184" s="318" t="s">
        <v>237</v>
      </c>
    </row>
    <row r="13185" spans="1:2" ht="12.75" customHeight="1" x14ac:dyDescent="0.25">
      <c r="A13185" s="318">
        <v>94466387862</v>
      </c>
      <c r="B13185" s="318" t="s">
        <v>237</v>
      </c>
    </row>
    <row r="13186" spans="1:2" ht="12.75" customHeight="1" x14ac:dyDescent="0.25">
      <c r="A13186" s="318">
        <v>94466387863</v>
      </c>
      <c r="B13186" s="318" t="s">
        <v>237</v>
      </c>
    </row>
    <row r="13187" spans="1:2" ht="12.75" customHeight="1" x14ac:dyDescent="0.25">
      <c r="A13187" s="318">
        <v>94466387864</v>
      </c>
      <c r="B13187" s="318" t="s">
        <v>237</v>
      </c>
    </row>
    <row r="13188" spans="1:2" ht="12.75" customHeight="1" x14ac:dyDescent="0.25">
      <c r="A13188" s="318">
        <v>94466387865</v>
      </c>
      <c r="B13188" s="318" t="s">
        <v>237</v>
      </c>
    </row>
    <row r="13189" spans="1:2" ht="12.75" customHeight="1" x14ac:dyDescent="0.25">
      <c r="A13189" s="318">
        <v>94466387866</v>
      </c>
      <c r="B13189" s="318" t="s">
        <v>237</v>
      </c>
    </row>
    <row r="13190" spans="1:2" ht="12.75" customHeight="1" x14ac:dyDescent="0.25">
      <c r="A13190" s="318">
        <v>94466868723</v>
      </c>
      <c r="B13190" s="318" t="s">
        <v>23</v>
      </c>
    </row>
    <row r="13191" spans="1:2" ht="12.75" customHeight="1" x14ac:dyDescent="0.25">
      <c r="A13191" s="318">
        <v>94466868724</v>
      </c>
      <c r="B13191" s="318" t="s">
        <v>23</v>
      </c>
    </row>
    <row r="13192" spans="1:2" ht="12.75" customHeight="1" x14ac:dyDescent="0.25">
      <c r="A13192" s="318">
        <v>94466868725</v>
      </c>
      <c r="B13192" s="318" t="s">
        <v>23</v>
      </c>
    </row>
    <row r="13193" spans="1:2" ht="12.75" customHeight="1" x14ac:dyDescent="0.25">
      <c r="A13193" s="318">
        <v>94466868726</v>
      </c>
      <c r="B13193" s="318" t="s">
        <v>23</v>
      </c>
    </row>
    <row r="13194" spans="1:2" ht="12.75" customHeight="1" x14ac:dyDescent="0.25">
      <c r="A13194" s="318">
        <v>94466868727</v>
      </c>
      <c r="B13194" s="318" t="s">
        <v>23</v>
      </c>
    </row>
    <row r="13195" spans="1:2" ht="12.75" customHeight="1" x14ac:dyDescent="0.25">
      <c r="A13195" s="318">
        <v>94466868728</v>
      </c>
      <c r="B13195" s="318" t="s">
        <v>23</v>
      </c>
    </row>
    <row r="13196" spans="1:2" ht="12.75" customHeight="1" x14ac:dyDescent="0.25">
      <c r="A13196" s="318">
        <v>94466868729</v>
      </c>
      <c r="B13196" s="318" t="s">
        <v>23</v>
      </c>
    </row>
    <row r="13197" spans="1:2" ht="12.75" customHeight="1" x14ac:dyDescent="0.25">
      <c r="A13197" s="318">
        <v>94466868730</v>
      </c>
      <c r="B13197" s="318" t="s">
        <v>23</v>
      </c>
    </row>
    <row r="13198" spans="1:2" ht="12.75" customHeight="1" x14ac:dyDescent="0.25">
      <c r="A13198" s="318">
        <v>94466868732</v>
      </c>
      <c r="B13198" s="318" t="s">
        <v>23</v>
      </c>
    </row>
    <row r="13199" spans="1:2" ht="12.75" customHeight="1" x14ac:dyDescent="0.25">
      <c r="A13199" s="318">
        <v>94466868733</v>
      </c>
      <c r="B13199" s="318" t="s">
        <v>23</v>
      </c>
    </row>
    <row r="13200" spans="1:2" ht="12.75" customHeight="1" x14ac:dyDescent="0.25">
      <c r="A13200" s="318">
        <v>94466868734</v>
      </c>
      <c r="B13200" s="318" t="s">
        <v>23</v>
      </c>
    </row>
    <row r="13201" spans="1:2" ht="12.75" customHeight="1" x14ac:dyDescent="0.25">
      <c r="A13201" s="318">
        <v>94466868735</v>
      </c>
      <c r="B13201" s="318" t="s">
        <v>23</v>
      </c>
    </row>
    <row r="13202" spans="1:2" ht="12.75" customHeight="1" x14ac:dyDescent="0.25">
      <c r="A13202" s="318">
        <v>94466868736</v>
      </c>
      <c r="B13202" s="318" t="s">
        <v>23</v>
      </c>
    </row>
    <row r="13203" spans="1:2" ht="12.75" customHeight="1" x14ac:dyDescent="0.25">
      <c r="A13203" s="318">
        <v>94466868737</v>
      </c>
      <c r="B13203" s="318" t="s">
        <v>23</v>
      </c>
    </row>
    <row r="13204" spans="1:2" ht="12.75" customHeight="1" x14ac:dyDescent="0.25">
      <c r="A13204" s="318">
        <v>94466868738</v>
      </c>
      <c r="B13204" s="318" t="s">
        <v>23</v>
      </c>
    </row>
    <row r="13205" spans="1:2" ht="12.75" customHeight="1" x14ac:dyDescent="0.25">
      <c r="A13205" s="318">
        <v>94466868739</v>
      </c>
      <c r="B13205" s="318" t="s">
        <v>23</v>
      </c>
    </row>
    <row r="13206" spans="1:2" ht="12.75" customHeight="1" x14ac:dyDescent="0.25">
      <c r="A13206" s="318">
        <v>94466868823</v>
      </c>
      <c r="B13206" s="318" t="s">
        <v>237</v>
      </c>
    </row>
    <row r="13207" spans="1:2" ht="12.75" customHeight="1" x14ac:dyDescent="0.25">
      <c r="A13207" s="318">
        <v>94466868824</v>
      </c>
      <c r="B13207" s="318" t="s">
        <v>237</v>
      </c>
    </row>
    <row r="13208" spans="1:2" ht="12.75" customHeight="1" x14ac:dyDescent="0.25">
      <c r="A13208" s="318">
        <v>94466868825</v>
      </c>
      <c r="B13208" s="318" t="s">
        <v>237</v>
      </c>
    </row>
    <row r="13209" spans="1:2" ht="12.75" customHeight="1" x14ac:dyDescent="0.25">
      <c r="A13209" s="318">
        <v>94466868826</v>
      </c>
      <c r="B13209" s="318" t="s">
        <v>237</v>
      </c>
    </row>
    <row r="13210" spans="1:2" ht="12.75" customHeight="1" x14ac:dyDescent="0.25">
      <c r="A13210" s="318">
        <v>94466868827</v>
      </c>
      <c r="B13210" s="318" t="s">
        <v>237</v>
      </c>
    </row>
    <row r="13211" spans="1:2" ht="12.75" customHeight="1" x14ac:dyDescent="0.25">
      <c r="A13211" s="318">
        <v>94466868828</v>
      </c>
      <c r="B13211" s="318" t="s">
        <v>237</v>
      </c>
    </row>
    <row r="13212" spans="1:2" ht="12.75" customHeight="1" x14ac:dyDescent="0.25">
      <c r="A13212" s="318">
        <v>94466868829</v>
      </c>
      <c r="B13212" s="318" t="s">
        <v>237</v>
      </c>
    </row>
    <row r="13213" spans="1:2" ht="12.75" customHeight="1" x14ac:dyDescent="0.25">
      <c r="A13213" s="318">
        <v>94466868830</v>
      </c>
      <c r="B13213" s="318" t="s">
        <v>237</v>
      </c>
    </row>
    <row r="13214" spans="1:2" ht="12.75" customHeight="1" x14ac:dyDescent="0.25">
      <c r="A13214" s="318">
        <v>94466868832</v>
      </c>
      <c r="B13214" s="318" t="s">
        <v>237</v>
      </c>
    </row>
    <row r="13215" spans="1:2" ht="12.75" customHeight="1" x14ac:dyDescent="0.25">
      <c r="A13215" s="318">
        <v>94466868833</v>
      </c>
      <c r="B13215" s="318" t="s">
        <v>237</v>
      </c>
    </row>
    <row r="13216" spans="1:2" ht="12.75" customHeight="1" x14ac:dyDescent="0.25">
      <c r="A13216" s="318">
        <v>94466868834</v>
      </c>
      <c r="B13216" s="318" t="s">
        <v>237</v>
      </c>
    </row>
    <row r="13217" spans="1:2" ht="12.75" customHeight="1" x14ac:dyDescent="0.25">
      <c r="A13217" s="318">
        <v>94466868835</v>
      </c>
      <c r="B13217" s="318" t="s">
        <v>237</v>
      </c>
    </row>
    <row r="13218" spans="1:2" ht="12.75" customHeight="1" x14ac:dyDescent="0.25">
      <c r="A13218" s="318">
        <v>94466868836</v>
      </c>
      <c r="B13218" s="318" t="s">
        <v>237</v>
      </c>
    </row>
    <row r="13219" spans="1:2" ht="12.75" customHeight="1" x14ac:dyDescent="0.25">
      <c r="A13219" s="318">
        <v>94466868837</v>
      </c>
      <c r="B13219" s="318" t="s">
        <v>237</v>
      </c>
    </row>
    <row r="13220" spans="1:2" ht="12.75" customHeight="1" x14ac:dyDescent="0.25">
      <c r="A13220" s="318">
        <v>94466868838</v>
      </c>
      <c r="B13220" s="318" t="s">
        <v>237</v>
      </c>
    </row>
    <row r="13221" spans="1:2" ht="12.75" customHeight="1" x14ac:dyDescent="0.25">
      <c r="A13221" s="318">
        <v>94466868839</v>
      </c>
      <c r="B13221" s="318" t="s">
        <v>237</v>
      </c>
    </row>
    <row r="13222" spans="1:2" ht="12.75" customHeight="1" x14ac:dyDescent="0.25">
      <c r="A13222" s="318">
        <v>94467548914</v>
      </c>
      <c r="B13222" s="318" t="s">
        <v>23</v>
      </c>
    </row>
    <row r="13223" spans="1:2" ht="12.75" customHeight="1" x14ac:dyDescent="0.25">
      <c r="A13223" s="318">
        <v>94467548915</v>
      </c>
      <c r="B13223" s="318" t="s">
        <v>23</v>
      </c>
    </row>
    <row r="13224" spans="1:2" ht="12.75" customHeight="1" x14ac:dyDescent="0.25">
      <c r="A13224" s="318">
        <v>94467548916</v>
      </c>
      <c r="B13224" s="318" t="s">
        <v>23</v>
      </c>
    </row>
    <row r="13225" spans="1:2" ht="12.75" customHeight="1" x14ac:dyDescent="0.25">
      <c r="A13225" s="318">
        <v>94467548917</v>
      </c>
      <c r="B13225" s="318" t="s">
        <v>23</v>
      </c>
    </row>
    <row r="13226" spans="1:2" ht="12.75" customHeight="1" x14ac:dyDescent="0.25">
      <c r="A13226" s="318">
        <v>94467548918</v>
      </c>
      <c r="B13226" s="318" t="s">
        <v>23</v>
      </c>
    </row>
    <row r="13227" spans="1:2" ht="12.75" customHeight="1" x14ac:dyDescent="0.25">
      <c r="A13227" s="318">
        <v>94467548919</v>
      </c>
      <c r="B13227" s="318" t="s">
        <v>23</v>
      </c>
    </row>
    <row r="13228" spans="1:2" ht="12.75" customHeight="1" x14ac:dyDescent="0.25">
      <c r="A13228" s="318">
        <v>94467548920</v>
      </c>
      <c r="B13228" s="318" t="s">
        <v>23</v>
      </c>
    </row>
    <row r="13229" spans="1:2" ht="12.75" customHeight="1" x14ac:dyDescent="0.25">
      <c r="A13229" s="318">
        <v>94467548921</v>
      </c>
      <c r="B13229" s="318" t="s">
        <v>23</v>
      </c>
    </row>
    <row r="13230" spans="1:2" ht="12.75" customHeight="1" x14ac:dyDescent="0.25">
      <c r="A13230" s="318">
        <v>94467548923</v>
      </c>
      <c r="B13230" s="318" t="s">
        <v>23</v>
      </c>
    </row>
    <row r="13231" spans="1:2" ht="12.75" customHeight="1" x14ac:dyDescent="0.25">
      <c r="A13231" s="318">
        <v>94467548924</v>
      </c>
      <c r="B13231" s="318" t="s">
        <v>23</v>
      </c>
    </row>
    <row r="13232" spans="1:2" ht="12.75" customHeight="1" x14ac:dyDescent="0.25">
      <c r="A13232" s="318">
        <v>94467548925</v>
      </c>
      <c r="B13232" s="318" t="s">
        <v>23</v>
      </c>
    </row>
    <row r="13233" spans="1:2" ht="12.75" customHeight="1" x14ac:dyDescent="0.25">
      <c r="A13233" s="318">
        <v>94467548926</v>
      </c>
      <c r="B13233" s="318" t="s">
        <v>23</v>
      </c>
    </row>
    <row r="13234" spans="1:2" ht="12.75" customHeight="1" x14ac:dyDescent="0.25">
      <c r="A13234" s="318">
        <v>94467548927</v>
      </c>
      <c r="B13234" s="318" t="s">
        <v>23</v>
      </c>
    </row>
    <row r="13235" spans="1:2" ht="12.75" customHeight="1" x14ac:dyDescent="0.25">
      <c r="A13235" s="318">
        <v>94467548928</v>
      </c>
      <c r="B13235" s="318" t="s">
        <v>23</v>
      </c>
    </row>
    <row r="13236" spans="1:2" ht="12.75" customHeight="1" x14ac:dyDescent="0.25">
      <c r="A13236" s="318">
        <v>94467548929</v>
      </c>
      <c r="B13236" s="318" t="s">
        <v>23</v>
      </c>
    </row>
    <row r="13237" spans="1:2" ht="12.75" customHeight="1" x14ac:dyDescent="0.25">
      <c r="A13237" s="318">
        <v>94467548930</v>
      </c>
      <c r="B13237" s="318" t="s">
        <v>23</v>
      </c>
    </row>
    <row r="13238" spans="1:2" ht="12.75" customHeight="1" x14ac:dyDescent="0.25">
      <c r="A13238" s="318">
        <v>94467549014</v>
      </c>
      <c r="B13238" s="318" t="s">
        <v>237</v>
      </c>
    </row>
    <row r="13239" spans="1:2" ht="12.75" customHeight="1" x14ac:dyDescent="0.25">
      <c r="A13239" s="318">
        <v>94467549015</v>
      </c>
      <c r="B13239" s="318" t="s">
        <v>237</v>
      </c>
    </row>
    <row r="13240" spans="1:2" ht="12.75" customHeight="1" x14ac:dyDescent="0.25">
      <c r="A13240" s="318">
        <v>94467549016</v>
      </c>
      <c r="B13240" s="318" t="s">
        <v>237</v>
      </c>
    </row>
    <row r="13241" spans="1:2" ht="12.75" customHeight="1" x14ac:dyDescent="0.25">
      <c r="A13241" s="318">
        <v>94467549017</v>
      </c>
      <c r="B13241" s="318" t="s">
        <v>237</v>
      </c>
    </row>
    <row r="13242" spans="1:2" ht="12.75" customHeight="1" x14ac:dyDescent="0.25">
      <c r="A13242" s="318">
        <v>94467549018</v>
      </c>
      <c r="B13242" s="318" t="s">
        <v>237</v>
      </c>
    </row>
    <row r="13243" spans="1:2" ht="12.75" customHeight="1" x14ac:dyDescent="0.25">
      <c r="A13243" s="318">
        <v>94467549019</v>
      </c>
      <c r="B13243" s="318" t="s">
        <v>237</v>
      </c>
    </row>
    <row r="13244" spans="1:2" ht="12.75" customHeight="1" x14ac:dyDescent="0.25">
      <c r="A13244" s="318">
        <v>94467549020</v>
      </c>
      <c r="B13244" s="318" t="s">
        <v>237</v>
      </c>
    </row>
    <row r="13245" spans="1:2" ht="12.75" customHeight="1" x14ac:dyDescent="0.25">
      <c r="A13245" s="318">
        <v>94467549021</v>
      </c>
      <c r="B13245" s="318" t="s">
        <v>237</v>
      </c>
    </row>
    <row r="13246" spans="1:2" ht="12.75" customHeight="1" x14ac:dyDescent="0.25">
      <c r="A13246" s="318">
        <v>94467549023</v>
      </c>
      <c r="B13246" s="318" t="s">
        <v>237</v>
      </c>
    </row>
    <row r="13247" spans="1:2" ht="12.75" customHeight="1" x14ac:dyDescent="0.25">
      <c r="A13247" s="318">
        <v>94467549024</v>
      </c>
      <c r="B13247" s="318" t="s">
        <v>237</v>
      </c>
    </row>
    <row r="13248" spans="1:2" ht="12.75" customHeight="1" x14ac:dyDescent="0.25">
      <c r="A13248" s="318">
        <v>94467549025</v>
      </c>
      <c r="B13248" s="318" t="s">
        <v>237</v>
      </c>
    </row>
    <row r="13249" spans="1:2" ht="12.75" customHeight="1" x14ac:dyDescent="0.25">
      <c r="A13249" s="318">
        <v>94467549026</v>
      </c>
      <c r="B13249" s="318" t="s">
        <v>237</v>
      </c>
    </row>
    <row r="13250" spans="1:2" ht="12.75" customHeight="1" x14ac:dyDescent="0.25">
      <c r="A13250" s="318">
        <v>94467549027</v>
      </c>
      <c r="B13250" s="318" t="s">
        <v>237</v>
      </c>
    </row>
    <row r="13251" spans="1:2" ht="12.75" customHeight="1" x14ac:dyDescent="0.25">
      <c r="A13251" s="318">
        <v>94467549028</v>
      </c>
      <c r="B13251" s="318" t="s">
        <v>237</v>
      </c>
    </row>
    <row r="13252" spans="1:2" ht="12.75" customHeight="1" x14ac:dyDescent="0.25">
      <c r="A13252" s="318">
        <v>94467549029</v>
      </c>
      <c r="B13252" s="318" t="s">
        <v>237</v>
      </c>
    </row>
    <row r="13253" spans="1:2" ht="12.75" customHeight="1" x14ac:dyDescent="0.25">
      <c r="A13253" s="318">
        <v>94467549030</v>
      </c>
      <c r="B13253" s="318" t="s">
        <v>237</v>
      </c>
    </row>
    <row r="13254" spans="1:2" ht="12.75" customHeight="1" x14ac:dyDescent="0.25">
      <c r="A13254" s="318">
        <v>94468029887</v>
      </c>
      <c r="B13254" s="318" t="s">
        <v>23</v>
      </c>
    </row>
    <row r="13255" spans="1:2" ht="12.75" customHeight="1" x14ac:dyDescent="0.25">
      <c r="A13255" s="318">
        <v>94468029888</v>
      </c>
      <c r="B13255" s="318" t="s">
        <v>23</v>
      </c>
    </row>
    <row r="13256" spans="1:2" ht="12.75" customHeight="1" x14ac:dyDescent="0.25">
      <c r="A13256" s="318">
        <v>94468029889</v>
      </c>
      <c r="B13256" s="318" t="s">
        <v>23</v>
      </c>
    </row>
    <row r="13257" spans="1:2" ht="12.75" customHeight="1" x14ac:dyDescent="0.25">
      <c r="A13257" s="318">
        <v>94468029890</v>
      </c>
      <c r="B13257" s="318" t="s">
        <v>23</v>
      </c>
    </row>
    <row r="13258" spans="1:2" ht="12.75" customHeight="1" x14ac:dyDescent="0.25">
      <c r="A13258" s="318">
        <v>94468029891</v>
      </c>
      <c r="B13258" s="318" t="s">
        <v>23</v>
      </c>
    </row>
    <row r="13259" spans="1:2" ht="12.75" customHeight="1" x14ac:dyDescent="0.25">
      <c r="A13259" s="318">
        <v>94468029892</v>
      </c>
      <c r="B13259" s="318" t="s">
        <v>23</v>
      </c>
    </row>
    <row r="13260" spans="1:2" ht="12.75" customHeight="1" x14ac:dyDescent="0.25">
      <c r="A13260" s="318">
        <v>94468029893</v>
      </c>
      <c r="B13260" s="318" t="s">
        <v>23</v>
      </c>
    </row>
    <row r="13261" spans="1:2" ht="12.75" customHeight="1" x14ac:dyDescent="0.25">
      <c r="A13261" s="318">
        <v>94468029894</v>
      </c>
      <c r="B13261" s="318" t="s">
        <v>23</v>
      </c>
    </row>
    <row r="13262" spans="1:2" ht="12.75" customHeight="1" x14ac:dyDescent="0.25">
      <c r="A13262" s="318">
        <v>94468029896</v>
      </c>
      <c r="B13262" s="318" t="s">
        <v>23</v>
      </c>
    </row>
    <row r="13263" spans="1:2" ht="12.75" customHeight="1" x14ac:dyDescent="0.25">
      <c r="A13263" s="318">
        <v>94468029897</v>
      </c>
      <c r="B13263" s="318" t="s">
        <v>23</v>
      </c>
    </row>
    <row r="13264" spans="1:2" ht="12.75" customHeight="1" x14ac:dyDescent="0.25">
      <c r="A13264" s="318">
        <v>94468029898</v>
      </c>
      <c r="B13264" s="318" t="s">
        <v>23</v>
      </c>
    </row>
    <row r="13265" spans="1:2" ht="12.75" customHeight="1" x14ac:dyDescent="0.25">
      <c r="A13265" s="318">
        <v>94468029899</v>
      </c>
      <c r="B13265" s="318" t="s">
        <v>23</v>
      </c>
    </row>
    <row r="13266" spans="1:2" ht="12.75" customHeight="1" x14ac:dyDescent="0.25">
      <c r="A13266" s="318">
        <v>94468029900</v>
      </c>
      <c r="B13266" s="318" t="s">
        <v>23</v>
      </c>
    </row>
    <row r="13267" spans="1:2" ht="12.75" customHeight="1" x14ac:dyDescent="0.25">
      <c r="A13267" s="318">
        <v>94468029901</v>
      </c>
      <c r="B13267" s="318" t="s">
        <v>23</v>
      </c>
    </row>
    <row r="13268" spans="1:2" ht="12.75" customHeight="1" x14ac:dyDescent="0.25">
      <c r="A13268" s="318">
        <v>94468029902</v>
      </c>
      <c r="B13268" s="318" t="s">
        <v>23</v>
      </c>
    </row>
    <row r="13269" spans="1:2" ht="12.75" customHeight="1" x14ac:dyDescent="0.25">
      <c r="A13269" s="318">
        <v>94468029903</v>
      </c>
      <c r="B13269" s="318" t="s">
        <v>23</v>
      </c>
    </row>
    <row r="13270" spans="1:2" ht="12.75" customHeight="1" x14ac:dyDescent="0.25">
      <c r="A13270" s="318">
        <v>94468029987</v>
      </c>
      <c r="B13270" s="318" t="s">
        <v>237</v>
      </c>
    </row>
    <row r="13271" spans="1:2" ht="12.75" customHeight="1" x14ac:dyDescent="0.25">
      <c r="A13271" s="318">
        <v>94468029988</v>
      </c>
      <c r="B13271" s="318" t="s">
        <v>237</v>
      </c>
    </row>
    <row r="13272" spans="1:2" ht="12.75" customHeight="1" x14ac:dyDescent="0.25">
      <c r="A13272" s="318">
        <v>94468029989</v>
      </c>
      <c r="B13272" s="318" t="s">
        <v>237</v>
      </c>
    </row>
    <row r="13273" spans="1:2" ht="12.75" customHeight="1" x14ac:dyDescent="0.25">
      <c r="A13273" s="318">
        <v>94468029990</v>
      </c>
      <c r="B13273" s="318" t="s">
        <v>237</v>
      </c>
    </row>
    <row r="13274" spans="1:2" ht="12.75" customHeight="1" x14ac:dyDescent="0.25">
      <c r="A13274" s="318">
        <v>94468029991</v>
      </c>
      <c r="B13274" s="318" t="s">
        <v>237</v>
      </c>
    </row>
    <row r="13275" spans="1:2" ht="12.75" customHeight="1" x14ac:dyDescent="0.25">
      <c r="A13275" s="318">
        <v>94468029992</v>
      </c>
      <c r="B13275" s="318" t="s">
        <v>237</v>
      </c>
    </row>
    <row r="13276" spans="1:2" ht="12.75" customHeight="1" x14ac:dyDescent="0.25">
      <c r="A13276" s="318">
        <v>94468029993</v>
      </c>
      <c r="B13276" s="318" t="s">
        <v>237</v>
      </c>
    </row>
    <row r="13277" spans="1:2" ht="12.75" customHeight="1" x14ac:dyDescent="0.25">
      <c r="A13277" s="318">
        <v>94468029994</v>
      </c>
      <c r="B13277" s="318" t="s">
        <v>237</v>
      </c>
    </row>
    <row r="13278" spans="1:2" ht="12.75" customHeight="1" x14ac:dyDescent="0.25">
      <c r="A13278" s="318">
        <v>94468029996</v>
      </c>
      <c r="B13278" s="318" t="s">
        <v>237</v>
      </c>
    </row>
    <row r="13279" spans="1:2" ht="12.75" customHeight="1" x14ac:dyDescent="0.25">
      <c r="A13279" s="318">
        <v>94468029997</v>
      </c>
      <c r="B13279" s="318" t="s">
        <v>237</v>
      </c>
    </row>
    <row r="13280" spans="1:2" ht="12.75" customHeight="1" x14ac:dyDescent="0.25">
      <c r="A13280" s="318">
        <v>94468029998</v>
      </c>
      <c r="B13280" s="318" t="s">
        <v>237</v>
      </c>
    </row>
    <row r="13281" spans="1:2" ht="12.75" customHeight="1" x14ac:dyDescent="0.25">
      <c r="A13281" s="318">
        <v>94468029999</v>
      </c>
      <c r="B13281" s="318" t="s">
        <v>237</v>
      </c>
    </row>
    <row r="13282" spans="1:2" ht="12.75" customHeight="1" x14ac:dyDescent="0.25">
      <c r="A13282" s="318">
        <v>94468030000</v>
      </c>
      <c r="B13282" s="318" t="s">
        <v>237</v>
      </c>
    </row>
    <row r="13283" spans="1:2" ht="12.75" customHeight="1" x14ac:dyDescent="0.25">
      <c r="A13283" s="318">
        <v>94468030001</v>
      </c>
      <c r="B13283" s="318" t="s">
        <v>237</v>
      </c>
    </row>
    <row r="13284" spans="1:2" ht="12.75" customHeight="1" x14ac:dyDescent="0.25">
      <c r="A13284" s="318">
        <v>94468030002</v>
      </c>
      <c r="B13284" s="318" t="s">
        <v>237</v>
      </c>
    </row>
    <row r="13285" spans="1:2" ht="12.75" customHeight="1" x14ac:dyDescent="0.25">
      <c r="A13285" s="318">
        <v>94468030003</v>
      </c>
      <c r="B13285" s="318" t="s">
        <v>237</v>
      </c>
    </row>
    <row r="13286" spans="1:2" ht="12.75" customHeight="1" x14ac:dyDescent="0.25">
      <c r="A13286" s="318">
        <v>94468510860</v>
      </c>
      <c r="B13286" s="318" t="s">
        <v>23</v>
      </c>
    </row>
    <row r="13287" spans="1:2" ht="12.75" customHeight="1" x14ac:dyDescent="0.25">
      <c r="A13287" s="318">
        <v>94468510861</v>
      </c>
      <c r="B13287" s="318" t="s">
        <v>23</v>
      </c>
    </row>
    <row r="13288" spans="1:2" ht="12.75" customHeight="1" x14ac:dyDescent="0.25">
      <c r="A13288" s="318">
        <v>94468510862</v>
      </c>
      <c r="B13288" s="318" t="s">
        <v>23</v>
      </c>
    </row>
    <row r="13289" spans="1:2" ht="12.75" customHeight="1" x14ac:dyDescent="0.25">
      <c r="A13289" s="318">
        <v>94468510863</v>
      </c>
      <c r="B13289" s="318" t="s">
        <v>23</v>
      </c>
    </row>
    <row r="13290" spans="1:2" ht="12.75" customHeight="1" x14ac:dyDescent="0.25">
      <c r="A13290" s="318">
        <v>94468510864</v>
      </c>
      <c r="B13290" s="318" t="s">
        <v>23</v>
      </c>
    </row>
    <row r="13291" spans="1:2" ht="12.75" customHeight="1" x14ac:dyDescent="0.25">
      <c r="A13291" s="318">
        <v>94468510865</v>
      </c>
      <c r="B13291" s="318" t="s">
        <v>23</v>
      </c>
    </row>
    <row r="13292" spans="1:2" ht="12.75" customHeight="1" x14ac:dyDescent="0.25">
      <c r="A13292" s="318">
        <v>94468510866</v>
      </c>
      <c r="B13292" s="318" t="s">
        <v>23</v>
      </c>
    </row>
    <row r="13293" spans="1:2" ht="12.75" customHeight="1" x14ac:dyDescent="0.25">
      <c r="A13293" s="318">
        <v>94468510867</v>
      </c>
      <c r="B13293" s="318" t="s">
        <v>23</v>
      </c>
    </row>
    <row r="13294" spans="1:2" ht="12.75" customHeight="1" x14ac:dyDescent="0.25">
      <c r="A13294" s="318">
        <v>94468510869</v>
      </c>
      <c r="B13294" s="318" t="s">
        <v>23</v>
      </c>
    </row>
    <row r="13295" spans="1:2" ht="12.75" customHeight="1" x14ac:dyDescent="0.25">
      <c r="A13295" s="318">
        <v>94468510870</v>
      </c>
      <c r="B13295" s="318" t="s">
        <v>23</v>
      </c>
    </row>
    <row r="13296" spans="1:2" ht="12.75" customHeight="1" x14ac:dyDescent="0.25">
      <c r="A13296" s="318">
        <v>94468510871</v>
      </c>
      <c r="B13296" s="318" t="s">
        <v>23</v>
      </c>
    </row>
    <row r="13297" spans="1:2" ht="12.75" customHeight="1" x14ac:dyDescent="0.25">
      <c r="A13297" s="318">
        <v>94468510872</v>
      </c>
      <c r="B13297" s="318" t="s">
        <v>23</v>
      </c>
    </row>
    <row r="13298" spans="1:2" ht="12.75" customHeight="1" x14ac:dyDescent="0.25">
      <c r="A13298" s="318">
        <v>94468510873</v>
      </c>
      <c r="B13298" s="318" t="s">
        <v>23</v>
      </c>
    </row>
    <row r="13299" spans="1:2" ht="12.75" customHeight="1" x14ac:dyDescent="0.25">
      <c r="A13299" s="318">
        <v>94468510874</v>
      </c>
      <c r="B13299" s="318" t="s">
        <v>23</v>
      </c>
    </row>
    <row r="13300" spans="1:2" ht="12.75" customHeight="1" x14ac:dyDescent="0.25">
      <c r="A13300" s="318">
        <v>94468510875</v>
      </c>
      <c r="B13300" s="318" t="s">
        <v>23</v>
      </c>
    </row>
    <row r="13301" spans="1:2" ht="12.75" customHeight="1" x14ac:dyDescent="0.25">
      <c r="A13301" s="318">
        <v>94468510876</v>
      </c>
      <c r="B13301" s="318" t="s">
        <v>23</v>
      </c>
    </row>
    <row r="13302" spans="1:2" ht="12.75" customHeight="1" x14ac:dyDescent="0.25">
      <c r="A13302" s="318">
        <v>94468510960</v>
      </c>
      <c r="B13302" s="318" t="s">
        <v>237</v>
      </c>
    </row>
    <row r="13303" spans="1:2" ht="12.75" customHeight="1" x14ac:dyDescent="0.25">
      <c r="A13303" s="318">
        <v>94468510961</v>
      </c>
      <c r="B13303" s="318" t="s">
        <v>237</v>
      </c>
    </row>
    <row r="13304" spans="1:2" ht="12.75" customHeight="1" x14ac:dyDescent="0.25">
      <c r="A13304" s="318">
        <v>94468510962</v>
      </c>
      <c r="B13304" s="318" t="s">
        <v>237</v>
      </c>
    </row>
    <row r="13305" spans="1:2" ht="12.75" customHeight="1" x14ac:dyDescent="0.25">
      <c r="A13305" s="318">
        <v>94468510963</v>
      </c>
      <c r="B13305" s="318" t="s">
        <v>237</v>
      </c>
    </row>
    <row r="13306" spans="1:2" ht="12.75" customHeight="1" x14ac:dyDescent="0.25">
      <c r="A13306" s="318">
        <v>94468510964</v>
      </c>
      <c r="B13306" s="318" t="s">
        <v>237</v>
      </c>
    </row>
    <row r="13307" spans="1:2" ht="12.75" customHeight="1" x14ac:dyDescent="0.25">
      <c r="A13307" s="318">
        <v>94468510965</v>
      </c>
      <c r="B13307" s="318" t="s">
        <v>237</v>
      </c>
    </row>
    <row r="13308" spans="1:2" ht="12.75" customHeight="1" x14ac:dyDescent="0.25">
      <c r="A13308" s="318">
        <v>94468510966</v>
      </c>
      <c r="B13308" s="318" t="s">
        <v>237</v>
      </c>
    </row>
    <row r="13309" spans="1:2" ht="12.75" customHeight="1" x14ac:dyDescent="0.25">
      <c r="A13309" s="318">
        <v>94468510967</v>
      </c>
      <c r="B13309" s="318" t="s">
        <v>237</v>
      </c>
    </row>
    <row r="13310" spans="1:2" ht="12.75" customHeight="1" x14ac:dyDescent="0.25">
      <c r="A13310" s="318">
        <v>94468510969</v>
      </c>
      <c r="B13310" s="318" t="s">
        <v>237</v>
      </c>
    </row>
    <row r="13311" spans="1:2" ht="12.75" customHeight="1" x14ac:dyDescent="0.25">
      <c r="A13311" s="318">
        <v>94468510970</v>
      </c>
      <c r="B13311" s="318" t="s">
        <v>237</v>
      </c>
    </row>
    <row r="13312" spans="1:2" ht="12.75" customHeight="1" x14ac:dyDescent="0.25">
      <c r="A13312" s="318">
        <v>94468510971</v>
      </c>
      <c r="B13312" s="318" t="s">
        <v>237</v>
      </c>
    </row>
    <row r="13313" spans="1:2" ht="12.75" customHeight="1" x14ac:dyDescent="0.25">
      <c r="A13313" s="318">
        <v>94468510972</v>
      </c>
      <c r="B13313" s="318" t="s">
        <v>237</v>
      </c>
    </row>
    <row r="13314" spans="1:2" ht="12.75" customHeight="1" x14ac:dyDescent="0.25">
      <c r="A13314" s="318">
        <v>94468510973</v>
      </c>
      <c r="B13314" s="318" t="s">
        <v>237</v>
      </c>
    </row>
    <row r="13315" spans="1:2" ht="12.75" customHeight="1" x14ac:dyDescent="0.25">
      <c r="A13315" s="318">
        <v>94468510974</v>
      </c>
      <c r="B13315" s="318" t="s">
        <v>237</v>
      </c>
    </row>
    <row r="13316" spans="1:2" ht="12.75" customHeight="1" x14ac:dyDescent="0.25">
      <c r="A13316" s="318">
        <v>94468510975</v>
      </c>
      <c r="B13316" s="318" t="s">
        <v>237</v>
      </c>
    </row>
    <row r="13317" spans="1:2" ht="12.75" customHeight="1" x14ac:dyDescent="0.25">
      <c r="A13317" s="318">
        <v>94468510976</v>
      </c>
      <c r="B13317" s="318" t="s">
        <v>237</v>
      </c>
    </row>
    <row r="13318" spans="1:2" ht="12.75" customHeight="1" x14ac:dyDescent="0.25">
      <c r="A13318" s="318">
        <v>94469191051</v>
      </c>
      <c r="B13318" s="318" t="s">
        <v>23</v>
      </c>
    </row>
    <row r="13319" spans="1:2" ht="12.75" customHeight="1" x14ac:dyDescent="0.25">
      <c r="A13319" s="318">
        <v>94469191052</v>
      </c>
      <c r="B13319" s="318" t="s">
        <v>23</v>
      </c>
    </row>
    <row r="13320" spans="1:2" ht="12.75" customHeight="1" x14ac:dyDescent="0.25">
      <c r="A13320" s="318">
        <v>94469191053</v>
      </c>
      <c r="B13320" s="318" t="s">
        <v>23</v>
      </c>
    </row>
    <row r="13321" spans="1:2" ht="12.75" customHeight="1" x14ac:dyDescent="0.25">
      <c r="A13321" s="318">
        <v>94469191054</v>
      </c>
      <c r="B13321" s="318" t="s">
        <v>23</v>
      </c>
    </row>
    <row r="13322" spans="1:2" ht="12.75" customHeight="1" x14ac:dyDescent="0.25">
      <c r="A13322" s="318">
        <v>94469191055</v>
      </c>
      <c r="B13322" s="318" t="s">
        <v>23</v>
      </c>
    </row>
    <row r="13323" spans="1:2" ht="12.75" customHeight="1" x14ac:dyDescent="0.25">
      <c r="A13323" s="318">
        <v>94469191056</v>
      </c>
      <c r="B13323" s="318" t="s">
        <v>23</v>
      </c>
    </row>
    <row r="13324" spans="1:2" ht="12.75" customHeight="1" x14ac:dyDescent="0.25">
      <c r="A13324" s="318">
        <v>94469191057</v>
      </c>
      <c r="B13324" s="318" t="s">
        <v>23</v>
      </c>
    </row>
    <row r="13325" spans="1:2" ht="12.75" customHeight="1" x14ac:dyDescent="0.25">
      <c r="A13325" s="318">
        <v>94469191058</v>
      </c>
      <c r="B13325" s="318" t="s">
        <v>23</v>
      </c>
    </row>
    <row r="13326" spans="1:2" ht="12.75" customHeight="1" x14ac:dyDescent="0.25">
      <c r="A13326" s="318">
        <v>94469191060</v>
      </c>
      <c r="B13326" s="318" t="s">
        <v>23</v>
      </c>
    </row>
    <row r="13327" spans="1:2" ht="12.75" customHeight="1" x14ac:dyDescent="0.25">
      <c r="A13327" s="318">
        <v>94469191061</v>
      </c>
      <c r="B13327" s="318" t="s">
        <v>23</v>
      </c>
    </row>
    <row r="13328" spans="1:2" ht="12.75" customHeight="1" x14ac:dyDescent="0.25">
      <c r="A13328" s="318">
        <v>94469191062</v>
      </c>
      <c r="B13328" s="318" t="s">
        <v>23</v>
      </c>
    </row>
    <row r="13329" spans="1:2" ht="12.75" customHeight="1" x14ac:dyDescent="0.25">
      <c r="A13329" s="318">
        <v>94469191063</v>
      </c>
      <c r="B13329" s="318" t="s">
        <v>23</v>
      </c>
    </row>
    <row r="13330" spans="1:2" ht="12.75" customHeight="1" x14ac:dyDescent="0.25">
      <c r="A13330" s="318">
        <v>94469191064</v>
      </c>
      <c r="B13330" s="318" t="s">
        <v>23</v>
      </c>
    </row>
    <row r="13331" spans="1:2" ht="12.75" customHeight="1" x14ac:dyDescent="0.25">
      <c r="A13331" s="318">
        <v>94469191065</v>
      </c>
      <c r="B13331" s="318" t="s">
        <v>23</v>
      </c>
    </row>
    <row r="13332" spans="1:2" ht="12.75" customHeight="1" x14ac:dyDescent="0.25">
      <c r="A13332" s="318">
        <v>94469191066</v>
      </c>
      <c r="B13332" s="318" t="s">
        <v>23</v>
      </c>
    </row>
    <row r="13333" spans="1:2" ht="12.75" customHeight="1" x14ac:dyDescent="0.25">
      <c r="A13333" s="318">
        <v>94469191067</v>
      </c>
      <c r="B13333" s="318" t="s">
        <v>23</v>
      </c>
    </row>
    <row r="13334" spans="1:2" ht="12.75" customHeight="1" x14ac:dyDescent="0.25">
      <c r="A13334" s="318">
        <v>94469191151</v>
      </c>
      <c r="B13334" s="318" t="s">
        <v>237</v>
      </c>
    </row>
    <row r="13335" spans="1:2" ht="12.75" customHeight="1" x14ac:dyDescent="0.25">
      <c r="A13335" s="318">
        <v>94469191152</v>
      </c>
      <c r="B13335" s="318" t="s">
        <v>237</v>
      </c>
    </row>
    <row r="13336" spans="1:2" ht="12.75" customHeight="1" x14ac:dyDescent="0.25">
      <c r="A13336" s="318">
        <v>94469191153</v>
      </c>
      <c r="B13336" s="318" t="s">
        <v>237</v>
      </c>
    </row>
    <row r="13337" spans="1:2" ht="12.75" customHeight="1" x14ac:dyDescent="0.25">
      <c r="A13337" s="318">
        <v>94469191154</v>
      </c>
      <c r="B13337" s="318" t="s">
        <v>237</v>
      </c>
    </row>
    <row r="13338" spans="1:2" ht="12.75" customHeight="1" x14ac:dyDescent="0.25">
      <c r="A13338" s="318">
        <v>94469191155</v>
      </c>
      <c r="B13338" s="318" t="s">
        <v>237</v>
      </c>
    </row>
    <row r="13339" spans="1:2" ht="12.75" customHeight="1" x14ac:dyDescent="0.25">
      <c r="A13339" s="318">
        <v>94469191156</v>
      </c>
      <c r="B13339" s="318" t="s">
        <v>237</v>
      </c>
    </row>
    <row r="13340" spans="1:2" ht="12.75" customHeight="1" x14ac:dyDescent="0.25">
      <c r="A13340" s="318">
        <v>94469191157</v>
      </c>
      <c r="B13340" s="318" t="s">
        <v>237</v>
      </c>
    </row>
    <row r="13341" spans="1:2" ht="12.75" customHeight="1" x14ac:dyDescent="0.25">
      <c r="A13341" s="318">
        <v>94469191158</v>
      </c>
      <c r="B13341" s="318" t="s">
        <v>237</v>
      </c>
    </row>
    <row r="13342" spans="1:2" ht="12.75" customHeight="1" x14ac:dyDescent="0.25">
      <c r="A13342" s="318">
        <v>94469191160</v>
      </c>
      <c r="B13342" s="318" t="s">
        <v>237</v>
      </c>
    </row>
    <row r="13343" spans="1:2" ht="12.75" customHeight="1" x14ac:dyDescent="0.25">
      <c r="A13343" s="318">
        <v>94469191161</v>
      </c>
      <c r="B13343" s="318" t="s">
        <v>237</v>
      </c>
    </row>
    <row r="13344" spans="1:2" ht="12.75" customHeight="1" x14ac:dyDescent="0.25">
      <c r="A13344" s="318">
        <v>94469191162</v>
      </c>
      <c r="B13344" s="318" t="s">
        <v>237</v>
      </c>
    </row>
    <row r="13345" spans="1:2" ht="12.75" customHeight="1" x14ac:dyDescent="0.25">
      <c r="A13345" s="318">
        <v>94469191163</v>
      </c>
      <c r="B13345" s="318" t="s">
        <v>237</v>
      </c>
    </row>
    <row r="13346" spans="1:2" ht="12.75" customHeight="1" x14ac:dyDescent="0.25">
      <c r="A13346" s="318">
        <v>94469191164</v>
      </c>
      <c r="B13346" s="318" t="s">
        <v>237</v>
      </c>
    </row>
    <row r="13347" spans="1:2" ht="12.75" customHeight="1" x14ac:dyDescent="0.25">
      <c r="A13347" s="318">
        <v>94469191165</v>
      </c>
      <c r="B13347" s="318" t="s">
        <v>237</v>
      </c>
    </row>
    <row r="13348" spans="1:2" ht="12.75" customHeight="1" x14ac:dyDescent="0.25">
      <c r="A13348" s="318">
        <v>94469191166</v>
      </c>
      <c r="B13348" s="318" t="s">
        <v>237</v>
      </c>
    </row>
    <row r="13349" spans="1:2" ht="12.75" customHeight="1" x14ac:dyDescent="0.25">
      <c r="A13349" s="318">
        <v>94469191167</v>
      </c>
      <c r="B13349" s="318" t="s">
        <v>237</v>
      </c>
    </row>
    <row r="13350" spans="1:2" ht="12.75" customHeight="1" x14ac:dyDescent="0.25">
      <c r="A13350" s="318">
        <v>94469672024</v>
      </c>
      <c r="B13350" s="318" t="s">
        <v>23</v>
      </c>
    </row>
    <row r="13351" spans="1:2" ht="12.75" customHeight="1" x14ac:dyDescent="0.25">
      <c r="A13351" s="318">
        <v>94469672025</v>
      </c>
      <c r="B13351" s="318" t="s">
        <v>23</v>
      </c>
    </row>
    <row r="13352" spans="1:2" ht="12.75" customHeight="1" x14ac:dyDescent="0.25">
      <c r="A13352" s="318">
        <v>94469672026</v>
      </c>
      <c r="B13352" s="318" t="s">
        <v>23</v>
      </c>
    </row>
    <row r="13353" spans="1:2" ht="12.75" customHeight="1" x14ac:dyDescent="0.25">
      <c r="A13353" s="318">
        <v>94469672027</v>
      </c>
      <c r="B13353" s="318" t="s">
        <v>23</v>
      </c>
    </row>
    <row r="13354" spans="1:2" ht="12.75" customHeight="1" x14ac:dyDescent="0.25">
      <c r="A13354" s="318">
        <v>94469672028</v>
      </c>
      <c r="B13354" s="318" t="s">
        <v>23</v>
      </c>
    </row>
    <row r="13355" spans="1:2" ht="12.75" customHeight="1" x14ac:dyDescent="0.25">
      <c r="A13355" s="318">
        <v>94469672029</v>
      </c>
      <c r="B13355" s="318" t="s">
        <v>23</v>
      </c>
    </row>
    <row r="13356" spans="1:2" ht="12.75" customHeight="1" x14ac:dyDescent="0.25">
      <c r="A13356" s="318">
        <v>94469672030</v>
      </c>
      <c r="B13356" s="318" t="s">
        <v>23</v>
      </c>
    </row>
    <row r="13357" spans="1:2" ht="12.75" customHeight="1" x14ac:dyDescent="0.25">
      <c r="A13357" s="318">
        <v>94469672031</v>
      </c>
      <c r="B13357" s="318" t="s">
        <v>23</v>
      </c>
    </row>
    <row r="13358" spans="1:2" ht="12.75" customHeight="1" x14ac:dyDescent="0.25">
      <c r="A13358" s="318">
        <v>94469672033</v>
      </c>
      <c r="B13358" s="318" t="s">
        <v>23</v>
      </c>
    </row>
    <row r="13359" spans="1:2" ht="12.75" customHeight="1" x14ac:dyDescent="0.25">
      <c r="A13359" s="318">
        <v>94469672034</v>
      </c>
      <c r="B13359" s="318" t="s">
        <v>23</v>
      </c>
    </row>
    <row r="13360" spans="1:2" ht="12.75" customHeight="1" x14ac:dyDescent="0.25">
      <c r="A13360" s="318">
        <v>94469672035</v>
      </c>
      <c r="B13360" s="318" t="s">
        <v>23</v>
      </c>
    </row>
    <row r="13361" spans="1:2" ht="12.75" customHeight="1" x14ac:dyDescent="0.25">
      <c r="A13361" s="318">
        <v>94469672036</v>
      </c>
      <c r="B13361" s="318" t="s">
        <v>23</v>
      </c>
    </row>
    <row r="13362" spans="1:2" ht="12.75" customHeight="1" x14ac:dyDescent="0.25">
      <c r="A13362" s="318">
        <v>94469672037</v>
      </c>
      <c r="B13362" s="318" t="s">
        <v>23</v>
      </c>
    </row>
    <row r="13363" spans="1:2" ht="12.75" customHeight="1" x14ac:dyDescent="0.25">
      <c r="A13363" s="318">
        <v>94469672038</v>
      </c>
      <c r="B13363" s="318" t="s">
        <v>23</v>
      </c>
    </row>
    <row r="13364" spans="1:2" ht="12.75" customHeight="1" x14ac:dyDescent="0.25">
      <c r="A13364" s="318">
        <v>94469672039</v>
      </c>
      <c r="B13364" s="318" t="s">
        <v>23</v>
      </c>
    </row>
    <row r="13365" spans="1:2" ht="12.75" customHeight="1" x14ac:dyDescent="0.25">
      <c r="A13365" s="318">
        <v>94469672040</v>
      </c>
      <c r="B13365" s="318" t="s">
        <v>23</v>
      </c>
    </row>
    <row r="13366" spans="1:2" ht="12.75" customHeight="1" x14ac:dyDescent="0.25">
      <c r="A13366" s="318">
        <v>94469672124</v>
      </c>
      <c r="B13366" s="318" t="s">
        <v>237</v>
      </c>
    </row>
    <row r="13367" spans="1:2" ht="12.75" customHeight="1" x14ac:dyDescent="0.25">
      <c r="A13367" s="318">
        <v>94469672125</v>
      </c>
      <c r="B13367" s="318" t="s">
        <v>237</v>
      </c>
    </row>
    <row r="13368" spans="1:2" ht="12.75" customHeight="1" x14ac:dyDescent="0.25">
      <c r="A13368" s="318">
        <v>94469672126</v>
      </c>
      <c r="B13368" s="318" t="s">
        <v>237</v>
      </c>
    </row>
    <row r="13369" spans="1:2" ht="12.75" customHeight="1" x14ac:dyDescent="0.25">
      <c r="A13369" s="318">
        <v>94469672127</v>
      </c>
      <c r="B13369" s="318" t="s">
        <v>237</v>
      </c>
    </row>
    <row r="13370" spans="1:2" ht="12.75" customHeight="1" x14ac:dyDescent="0.25">
      <c r="A13370" s="318">
        <v>94469672128</v>
      </c>
      <c r="B13370" s="318" t="s">
        <v>237</v>
      </c>
    </row>
    <row r="13371" spans="1:2" ht="12.75" customHeight="1" x14ac:dyDescent="0.25">
      <c r="A13371" s="318">
        <v>94469672129</v>
      </c>
      <c r="B13371" s="318" t="s">
        <v>237</v>
      </c>
    </row>
    <row r="13372" spans="1:2" ht="12.75" customHeight="1" x14ac:dyDescent="0.25">
      <c r="A13372" s="318">
        <v>94469672130</v>
      </c>
      <c r="B13372" s="318" t="s">
        <v>237</v>
      </c>
    </row>
    <row r="13373" spans="1:2" ht="12.75" customHeight="1" x14ac:dyDescent="0.25">
      <c r="A13373" s="318">
        <v>94469672131</v>
      </c>
      <c r="B13373" s="318" t="s">
        <v>237</v>
      </c>
    </row>
    <row r="13374" spans="1:2" ht="12.75" customHeight="1" x14ac:dyDescent="0.25">
      <c r="A13374" s="318">
        <v>94469672133</v>
      </c>
      <c r="B13374" s="318" t="s">
        <v>237</v>
      </c>
    </row>
    <row r="13375" spans="1:2" ht="12.75" customHeight="1" x14ac:dyDescent="0.25">
      <c r="A13375" s="318">
        <v>94469672134</v>
      </c>
      <c r="B13375" s="318" t="s">
        <v>237</v>
      </c>
    </row>
    <row r="13376" spans="1:2" ht="12.75" customHeight="1" x14ac:dyDescent="0.25">
      <c r="A13376" s="318">
        <v>94469672135</v>
      </c>
      <c r="B13376" s="318" t="s">
        <v>237</v>
      </c>
    </row>
    <row r="13377" spans="1:2" ht="12.75" customHeight="1" x14ac:dyDescent="0.25">
      <c r="A13377" s="318">
        <v>94469672136</v>
      </c>
      <c r="B13377" s="318" t="s">
        <v>237</v>
      </c>
    </row>
    <row r="13378" spans="1:2" ht="12.75" customHeight="1" x14ac:dyDescent="0.25">
      <c r="A13378" s="318">
        <v>94469672137</v>
      </c>
      <c r="B13378" s="318" t="s">
        <v>237</v>
      </c>
    </row>
    <row r="13379" spans="1:2" ht="12.75" customHeight="1" x14ac:dyDescent="0.25">
      <c r="A13379" s="318">
        <v>94469672138</v>
      </c>
      <c r="B13379" s="318" t="s">
        <v>237</v>
      </c>
    </row>
    <row r="13380" spans="1:2" ht="12.75" customHeight="1" x14ac:dyDescent="0.25">
      <c r="A13380" s="318">
        <v>94469672139</v>
      </c>
      <c r="B13380" s="318" t="s">
        <v>237</v>
      </c>
    </row>
    <row r="13381" spans="1:2" ht="12.75" customHeight="1" x14ac:dyDescent="0.25">
      <c r="A13381" s="318">
        <v>94469672140</v>
      </c>
      <c r="B13381" s="318" t="s">
        <v>237</v>
      </c>
    </row>
    <row r="13382" spans="1:2" ht="12.75" customHeight="1" x14ac:dyDescent="0.25">
      <c r="A13382" s="318">
        <v>94470152997</v>
      </c>
      <c r="B13382" s="318" t="s">
        <v>23</v>
      </c>
    </row>
    <row r="13383" spans="1:2" ht="12.75" customHeight="1" x14ac:dyDescent="0.25">
      <c r="A13383" s="318">
        <v>94470152998</v>
      </c>
      <c r="B13383" s="318" t="s">
        <v>23</v>
      </c>
    </row>
    <row r="13384" spans="1:2" ht="12.75" customHeight="1" x14ac:dyDescent="0.25">
      <c r="A13384" s="318">
        <v>94470152999</v>
      </c>
      <c r="B13384" s="318" t="s">
        <v>23</v>
      </c>
    </row>
    <row r="13385" spans="1:2" ht="12.75" customHeight="1" x14ac:dyDescent="0.25">
      <c r="A13385" s="318">
        <v>94470153000</v>
      </c>
      <c r="B13385" s="318" t="s">
        <v>23</v>
      </c>
    </row>
    <row r="13386" spans="1:2" ht="12.75" customHeight="1" x14ac:dyDescent="0.25">
      <c r="A13386" s="318">
        <v>94470153001</v>
      </c>
      <c r="B13386" s="318" t="s">
        <v>23</v>
      </c>
    </row>
    <row r="13387" spans="1:2" ht="12.75" customHeight="1" x14ac:dyDescent="0.25">
      <c r="A13387" s="318">
        <v>94470153002</v>
      </c>
      <c r="B13387" s="318" t="s">
        <v>23</v>
      </c>
    </row>
    <row r="13388" spans="1:2" ht="12.75" customHeight="1" x14ac:dyDescent="0.25">
      <c r="A13388" s="318">
        <v>94470153003</v>
      </c>
      <c r="B13388" s="318" t="s">
        <v>23</v>
      </c>
    </row>
    <row r="13389" spans="1:2" ht="12.75" customHeight="1" x14ac:dyDescent="0.25">
      <c r="A13389" s="318">
        <v>94470153004</v>
      </c>
      <c r="B13389" s="318" t="s">
        <v>23</v>
      </c>
    </row>
    <row r="13390" spans="1:2" ht="12.75" customHeight="1" x14ac:dyDescent="0.25">
      <c r="A13390" s="318">
        <v>94470153006</v>
      </c>
      <c r="B13390" s="318" t="s">
        <v>23</v>
      </c>
    </row>
    <row r="13391" spans="1:2" ht="12.75" customHeight="1" x14ac:dyDescent="0.25">
      <c r="A13391" s="318">
        <v>94470153007</v>
      </c>
      <c r="B13391" s="318" t="s">
        <v>23</v>
      </c>
    </row>
    <row r="13392" spans="1:2" ht="12.75" customHeight="1" x14ac:dyDescent="0.25">
      <c r="A13392" s="318">
        <v>94470153008</v>
      </c>
      <c r="B13392" s="318" t="s">
        <v>23</v>
      </c>
    </row>
    <row r="13393" spans="1:2" ht="12.75" customHeight="1" x14ac:dyDescent="0.25">
      <c r="A13393" s="318">
        <v>94470153009</v>
      </c>
      <c r="B13393" s="318" t="s">
        <v>23</v>
      </c>
    </row>
    <row r="13394" spans="1:2" ht="12.75" customHeight="1" x14ac:dyDescent="0.25">
      <c r="A13394" s="318">
        <v>94470153010</v>
      </c>
      <c r="B13394" s="318" t="s">
        <v>23</v>
      </c>
    </row>
    <row r="13395" spans="1:2" ht="12.75" customHeight="1" x14ac:dyDescent="0.25">
      <c r="A13395" s="318">
        <v>94470153011</v>
      </c>
      <c r="B13395" s="318" t="s">
        <v>23</v>
      </c>
    </row>
    <row r="13396" spans="1:2" ht="12.75" customHeight="1" x14ac:dyDescent="0.25">
      <c r="A13396" s="318">
        <v>94470153012</v>
      </c>
      <c r="B13396" s="318" t="s">
        <v>23</v>
      </c>
    </row>
    <row r="13397" spans="1:2" ht="12.75" customHeight="1" x14ac:dyDescent="0.25">
      <c r="A13397" s="318">
        <v>94470153013</v>
      </c>
      <c r="B13397" s="318" t="s">
        <v>23</v>
      </c>
    </row>
    <row r="13398" spans="1:2" ht="12.75" customHeight="1" x14ac:dyDescent="0.25">
      <c r="A13398" s="318">
        <v>94470153097</v>
      </c>
      <c r="B13398" s="318" t="s">
        <v>237</v>
      </c>
    </row>
    <row r="13399" spans="1:2" ht="12.75" customHeight="1" x14ac:dyDescent="0.25">
      <c r="A13399" s="318">
        <v>94470153098</v>
      </c>
      <c r="B13399" s="318" t="s">
        <v>237</v>
      </c>
    </row>
    <row r="13400" spans="1:2" ht="12.75" customHeight="1" x14ac:dyDescent="0.25">
      <c r="A13400" s="318">
        <v>94470153099</v>
      </c>
      <c r="B13400" s="318" t="s">
        <v>237</v>
      </c>
    </row>
    <row r="13401" spans="1:2" ht="12.75" customHeight="1" x14ac:dyDescent="0.25">
      <c r="A13401" s="318">
        <v>94470153100</v>
      </c>
      <c r="B13401" s="318" t="s">
        <v>237</v>
      </c>
    </row>
    <row r="13402" spans="1:2" ht="12.75" customHeight="1" x14ac:dyDescent="0.25">
      <c r="A13402" s="318">
        <v>94470153101</v>
      </c>
      <c r="B13402" s="318" t="s">
        <v>237</v>
      </c>
    </row>
    <row r="13403" spans="1:2" ht="12.75" customHeight="1" x14ac:dyDescent="0.25">
      <c r="A13403" s="318">
        <v>94470153102</v>
      </c>
      <c r="B13403" s="318" t="s">
        <v>237</v>
      </c>
    </row>
    <row r="13404" spans="1:2" ht="12.75" customHeight="1" x14ac:dyDescent="0.25">
      <c r="A13404" s="318">
        <v>94470153103</v>
      </c>
      <c r="B13404" s="318" t="s">
        <v>237</v>
      </c>
    </row>
    <row r="13405" spans="1:2" ht="12.75" customHeight="1" x14ac:dyDescent="0.25">
      <c r="A13405" s="318">
        <v>94470153104</v>
      </c>
      <c r="B13405" s="318" t="s">
        <v>237</v>
      </c>
    </row>
    <row r="13406" spans="1:2" ht="12.75" customHeight="1" x14ac:dyDescent="0.25">
      <c r="A13406" s="318">
        <v>94470153106</v>
      </c>
      <c r="B13406" s="318" t="s">
        <v>237</v>
      </c>
    </row>
    <row r="13407" spans="1:2" ht="12.75" customHeight="1" x14ac:dyDescent="0.25">
      <c r="A13407" s="318">
        <v>94470153107</v>
      </c>
      <c r="B13407" s="318" t="s">
        <v>237</v>
      </c>
    </row>
    <row r="13408" spans="1:2" ht="12.75" customHeight="1" x14ac:dyDescent="0.25">
      <c r="A13408" s="318">
        <v>94470153108</v>
      </c>
      <c r="B13408" s="318" t="s">
        <v>237</v>
      </c>
    </row>
    <row r="13409" spans="1:2" ht="12.75" customHeight="1" x14ac:dyDescent="0.25">
      <c r="A13409" s="318">
        <v>94470153109</v>
      </c>
      <c r="B13409" s="318" t="s">
        <v>237</v>
      </c>
    </row>
    <row r="13410" spans="1:2" ht="12.75" customHeight="1" x14ac:dyDescent="0.25">
      <c r="A13410" s="318">
        <v>94470153110</v>
      </c>
      <c r="B13410" s="318" t="s">
        <v>237</v>
      </c>
    </row>
    <row r="13411" spans="1:2" ht="12.75" customHeight="1" x14ac:dyDescent="0.25">
      <c r="A13411" s="318">
        <v>94470153111</v>
      </c>
      <c r="B13411" s="318" t="s">
        <v>237</v>
      </c>
    </row>
    <row r="13412" spans="1:2" ht="12.75" customHeight="1" x14ac:dyDescent="0.25">
      <c r="A13412" s="318">
        <v>94470153112</v>
      </c>
      <c r="B13412" s="318" t="s">
        <v>237</v>
      </c>
    </row>
    <row r="13413" spans="1:2" ht="12.75" customHeight="1" x14ac:dyDescent="0.25">
      <c r="A13413" s="318">
        <v>94470153113</v>
      </c>
      <c r="B13413" s="318" t="s">
        <v>237</v>
      </c>
    </row>
    <row r="13414" spans="1:2" ht="12.75" customHeight="1" x14ac:dyDescent="0.25">
      <c r="A13414" s="318">
        <v>95085820294</v>
      </c>
      <c r="B13414" s="318" t="s">
        <v>23</v>
      </c>
    </row>
    <row r="13415" spans="1:2" ht="12.75" customHeight="1" x14ac:dyDescent="0.25">
      <c r="A13415" s="318">
        <v>95085820295</v>
      </c>
      <c r="B13415" s="318" t="s">
        <v>23</v>
      </c>
    </row>
    <row r="13416" spans="1:2" ht="12.75" customHeight="1" x14ac:dyDescent="0.25">
      <c r="A13416" s="318">
        <v>95085820296</v>
      </c>
      <c r="B13416" s="318" t="s">
        <v>23</v>
      </c>
    </row>
    <row r="13417" spans="1:2" ht="12.75" customHeight="1" x14ac:dyDescent="0.25">
      <c r="A13417" s="318">
        <v>95085820297</v>
      </c>
      <c r="B13417" s="318" t="s">
        <v>23</v>
      </c>
    </row>
    <row r="13418" spans="1:2" ht="12.75" customHeight="1" x14ac:dyDescent="0.25">
      <c r="A13418" s="318">
        <v>95085820298</v>
      </c>
      <c r="B13418" s="318" t="s">
        <v>23</v>
      </c>
    </row>
    <row r="13419" spans="1:2" ht="12.75" customHeight="1" x14ac:dyDescent="0.25">
      <c r="A13419" s="318">
        <v>95085820299</v>
      </c>
      <c r="B13419" s="318" t="s">
        <v>23</v>
      </c>
    </row>
    <row r="13420" spans="1:2" ht="12.75" customHeight="1" x14ac:dyDescent="0.25">
      <c r="A13420" s="318">
        <v>95085820300</v>
      </c>
      <c r="B13420" s="318" t="s">
        <v>23</v>
      </c>
    </row>
    <row r="13421" spans="1:2" ht="12.75" customHeight="1" x14ac:dyDescent="0.25">
      <c r="A13421" s="318">
        <v>95085820301</v>
      </c>
      <c r="B13421" s="318" t="s">
        <v>237</v>
      </c>
    </row>
    <row r="13422" spans="1:2" ht="12.75" customHeight="1" x14ac:dyDescent="0.25">
      <c r="A13422" s="318">
        <v>95085820303</v>
      </c>
      <c r="B13422" s="318" t="s">
        <v>237</v>
      </c>
    </row>
    <row r="13423" spans="1:2" ht="12.75" customHeight="1" x14ac:dyDescent="0.25">
      <c r="A13423" s="318">
        <v>95085820304</v>
      </c>
      <c r="B13423" s="318" t="s">
        <v>237</v>
      </c>
    </row>
    <row r="13424" spans="1:2" ht="12.75" customHeight="1" x14ac:dyDescent="0.25">
      <c r="A13424" s="318">
        <v>95085820305</v>
      </c>
      <c r="B13424" s="318" t="s">
        <v>237</v>
      </c>
    </row>
    <row r="13425" spans="1:2" ht="12.75" customHeight="1" x14ac:dyDescent="0.25">
      <c r="A13425" s="318">
        <v>95085820306</v>
      </c>
      <c r="B13425" s="318" t="s">
        <v>237</v>
      </c>
    </row>
    <row r="13426" spans="1:2" ht="12.75" customHeight="1" x14ac:dyDescent="0.25">
      <c r="A13426" s="318">
        <v>95085820307</v>
      </c>
      <c r="B13426" s="318" t="s">
        <v>237</v>
      </c>
    </row>
    <row r="13427" spans="1:2" ht="12.75" customHeight="1" x14ac:dyDescent="0.25">
      <c r="A13427" s="318">
        <v>95085820308</v>
      </c>
      <c r="B13427" s="318" t="s">
        <v>237</v>
      </c>
    </row>
    <row r="13428" spans="1:2" ht="12.75" customHeight="1" x14ac:dyDescent="0.25">
      <c r="A13428" s="318">
        <v>95085820309</v>
      </c>
      <c r="B13428" s="318" t="s">
        <v>237</v>
      </c>
    </row>
    <row r="13429" spans="1:2" ht="12.75" customHeight="1" x14ac:dyDescent="0.25">
      <c r="A13429" s="318">
        <v>95085820310</v>
      </c>
      <c r="B13429" s="318" t="s">
        <v>237</v>
      </c>
    </row>
    <row r="13430" spans="1:2" ht="12.75" customHeight="1" x14ac:dyDescent="0.25">
      <c r="A13430" s="318">
        <v>95085820394</v>
      </c>
      <c r="B13430" s="318" t="s">
        <v>237</v>
      </c>
    </row>
    <row r="13431" spans="1:2" ht="12.75" customHeight="1" x14ac:dyDescent="0.25">
      <c r="A13431" s="318">
        <v>95085820395</v>
      </c>
      <c r="B13431" s="318" t="s">
        <v>237</v>
      </c>
    </row>
    <row r="13432" spans="1:2" ht="12.75" customHeight="1" x14ac:dyDescent="0.25">
      <c r="A13432" s="318">
        <v>95085820396</v>
      </c>
      <c r="B13432" s="318" t="s">
        <v>237</v>
      </c>
    </row>
    <row r="13433" spans="1:2" ht="12.75" customHeight="1" x14ac:dyDescent="0.25">
      <c r="A13433" s="318">
        <v>95085820397</v>
      </c>
      <c r="B13433" s="318" t="s">
        <v>237</v>
      </c>
    </row>
    <row r="13434" spans="1:2" ht="12.75" customHeight="1" x14ac:dyDescent="0.25">
      <c r="A13434" s="318">
        <v>95085820398</v>
      </c>
      <c r="B13434" s="318" t="s">
        <v>237</v>
      </c>
    </row>
    <row r="13435" spans="1:2" ht="12.75" customHeight="1" x14ac:dyDescent="0.25">
      <c r="A13435" s="318">
        <v>95085820399</v>
      </c>
      <c r="B13435" s="318" t="s">
        <v>237</v>
      </c>
    </row>
    <row r="13436" spans="1:2" ht="12.75" customHeight="1" x14ac:dyDescent="0.25">
      <c r="A13436" s="318">
        <v>95085820400</v>
      </c>
      <c r="B13436" s="318" t="s">
        <v>237</v>
      </c>
    </row>
    <row r="13437" spans="1:2" ht="12.75" customHeight="1" x14ac:dyDescent="0.25">
      <c r="A13437" s="318">
        <v>95085820401</v>
      </c>
      <c r="B13437" s="318" t="s">
        <v>237</v>
      </c>
    </row>
    <row r="13438" spans="1:2" ht="12.75" customHeight="1" x14ac:dyDescent="0.25">
      <c r="A13438" s="318">
        <v>95085820403</v>
      </c>
      <c r="B13438" s="318" t="s">
        <v>237</v>
      </c>
    </row>
    <row r="13439" spans="1:2" ht="12.75" customHeight="1" x14ac:dyDescent="0.25">
      <c r="A13439" s="318">
        <v>95085820404</v>
      </c>
      <c r="B13439" s="318" t="s">
        <v>237</v>
      </c>
    </row>
    <row r="13440" spans="1:2" ht="12.75" customHeight="1" x14ac:dyDescent="0.25">
      <c r="A13440" s="318">
        <v>95085820405</v>
      </c>
      <c r="B13440" s="318" t="s">
        <v>237</v>
      </c>
    </row>
    <row r="13441" spans="1:2" ht="12.75" customHeight="1" x14ac:dyDescent="0.25">
      <c r="A13441" s="318">
        <v>95085820406</v>
      </c>
      <c r="B13441" s="318" t="s">
        <v>237</v>
      </c>
    </row>
    <row r="13442" spans="1:2" ht="12.75" customHeight="1" x14ac:dyDescent="0.25">
      <c r="A13442" s="318">
        <v>95085820407</v>
      </c>
      <c r="B13442" s="318" t="s">
        <v>237</v>
      </c>
    </row>
    <row r="13443" spans="1:2" ht="12.75" customHeight="1" x14ac:dyDescent="0.25">
      <c r="A13443" s="318">
        <v>95085820408</v>
      </c>
      <c r="B13443" s="318" t="s">
        <v>237</v>
      </c>
    </row>
    <row r="13444" spans="1:2" ht="12.75" customHeight="1" x14ac:dyDescent="0.25">
      <c r="A13444" s="318">
        <v>95085820409</v>
      </c>
      <c r="B13444" s="318" t="s">
        <v>237</v>
      </c>
    </row>
    <row r="13445" spans="1:2" ht="12.75" customHeight="1" x14ac:dyDescent="0.25">
      <c r="A13445" s="318">
        <v>95085820410</v>
      </c>
      <c r="B13445" s="318" t="s">
        <v>237</v>
      </c>
    </row>
    <row r="13446" spans="1:2" ht="12.75" customHeight="1" x14ac:dyDescent="0.25">
      <c r="A13446" s="318">
        <v>95086301267</v>
      </c>
      <c r="B13446" s="318" t="s">
        <v>23</v>
      </c>
    </row>
    <row r="13447" spans="1:2" ht="12.75" customHeight="1" x14ac:dyDescent="0.25">
      <c r="A13447" s="318">
        <v>95086301268</v>
      </c>
      <c r="B13447" s="318" t="s">
        <v>23</v>
      </c>
    </row>
    <row r="13448" spans="1:2" ht="12.75" customHeight="1" x14ac:dyDescent="0.25">
      <c r="A13448" s="318">
        <v>95086301269</v>
      </c>
      <c r="B13448" s="318" t="s">
        <v>23</v>
      </c>
    </row>
    <row r="13449" spans="1:2" ht="12.75" customHeight="1" x14ac:dyDescent="0.25">
      <c r="A13449" s="318">
        <v>95086301270</v>
      </c>
      <c r="B13449" s="318" t="s">
        <v>23</v>
      </c>
    </row>
    <row r="13450" spans="1:2" ht="12.75" customHeight="1" x14ac:dyDescent="0.25">
      <c r="A13450" s="318">
        <v>95086301271</v>
      </c>
      <c r="B13450" s="318" t="s">
        <v>23</v>
      </c>
    </row>
    <row r="13451" spans="1:2" ht="12.75" customHeight="1" x14ac:dyDescent="0.25">
      <c r="A13451" s="318">
        <v>95086301272</v>
      </c>
      <c r="B13451" s="318" t="s">
        <v>23</v>
      </c>
    </row>
    <row r="13452" spans="1:2" ht="12.75" customHeight="1" x14ac:dyDescent="0.25">
      <c r="A13452" s="318">
        <v>95086301273</v>
      </c>
      <c r="B13452" s="318" t="s">
        <v>23</v>
      </c>
    </row>
    <row r="13453" spans="1:2" ht="12.75" customHeight="1" x14ac:dyDescent="0.25">
      <c r="A13453" s="318">
        <v>95086301274</v>
      </c>
      <c r="B13453" s="318" t="s">
        <v>237</v>
      </c>
    </row>
    <row r="13454" spans="1:2" ht="12.75" customHeight="1" x14ac:dyDescent="0.25">
      <c r="A13454" s="318">
        <v>95086301276</v>
      </c>
      <c r="B13454" s="318" t="s">
        <v>237</v>
      </c>
    </row>
    <row r="13455" spans="1:2" ht="12.75" customHeight="1" x14ac:dyDescent="0.25">
      <c r="A13455" s="318">
        <v>95086301277</v>
      </c>
      <c r="B13455" s="318" t="s">
        <v>237</v>
      </c>
    </row>
    <row r="13456" spans="1:2" ht="12.75" customHeight="1" x14ac:dyDescent="0.25">
      <c r="A13456" s="318">
        <v>95086301278</v>
      </c>
      <c r="B13456" s="318" t="s">
        <v>237</v>
      </c>
    </row>
    <row r="13457" spans="1:2" ht="12.75" customHeight="1" x14ac:dyDescent="0.25">
      <c r="A13457" s="318">
        <v>95086301279</v>
      </c>
      <c r="B13457" s="318" t="s">
        <v>237</v>
      </c>
    </row>
    <row r="13458" spans="1:2" ht="12.75" customHeight="1" x14ac:dyDescent="0.25">
      <c r="A13458" s="318">
        <v>95086301280</v>
      </c>
      <c r="B13458" s="318" t="s">
        <v>237</v>
      </c>
    </row>
    <row r="13459" spans="1:2" ht="12.75" customHeight="1" x14ac:dyDescent="0.25">
      <c r="A13459" s="318">
        <v>95086301281</v>
      </c>
      <c r="B13459" s="318" t="s">
        <v>237</v>
      </c>
    </row>
    <row r="13460" spans="1:2" ht="12.75" customHeight="1" x14ac:dyDescent="0.25">
      <c r="A13460" s="318">
        <v>95086301282</v>
      </c>
      <c r="B13460" s="318" t="s">
        <v>237</v>
      </c>
    </row>
    <row r="13461" spans="1:2" ht="12.75" customHeight="1" x14ac:dyDescent="0.25">
      <c r="A13461" s="318">
        <v>95086301283</v>
      </c>
      <c r="B13461" s="318" t="s">
        <v>237</v>
      </c>
    </row>
    <row r="13462" spans="1:2" ht="12.75" customHeight="1" x14ac:dyDescent="0.25">
      <c r="A13462" s="318">
        <v>95086301367</v>
      </c>
      <c r="B13462" s="318" t="s">
        <v>237</v>
      </c>
    </row>
    <row r="13463" spans="1:2" ht="12.75" customHeight="1" x14ac:dyDescent="0.25">
      <c r="A13463" s="318">
        <v>95086301368</v>
      </c>
      <c r="B13463" s="318" t="s">
        <v>237</v>
      </c>
    </row>
    <row r="13464" spans="1:2" ht="12.75" customHeight="1" x14ac:dyDescent="0.25">
      <c r="A13464" s="318">
        <v>95086301369</v>
      </c>
      <c r="B13464" s="318" t="s">
        <v>237</v>
      </c>
    </row>
    <row r="13465" spans="1:2" ht="12.75" customHeight="1" x14ac:dyDescent="0.25">
      <c r="A13465" s="318">
        <v>95086301370</v>
      </c>
      <c r="B13465" s="318" t="s">
        <v>237</v>
      </c>
    </row>
    <row r="13466" spans="1:2" ht="12.75" customHeight="1" x14ac:dyDescent="0.25">
      <c r="A13466" s="318">
        <v>95086301371</v>
      </c>
      <c r="B13466" s="318" t="s">
        <v>237</v>
      </c>
    </row>
    <row r="13467" spans="1:2" ht="12.75" customHeight="1" x14ac:dyDescent="0.25">
      <c r="A13467" s="318">
        <v>95086301372</v>
      </c>
      <c r="B13467" s="318" t="s">
        <v>237</v>
      </c>
    </row>
    <row r="13468" spans="1:2" ht="12.75" customHeight="1" x14ac:dyDescent="0.25">
      <c r="A13468" s="318">
        <v>95086301373</v>
      </c>
      <c r="B13468" s="318" t="s">
        <v>237</v>
      </c>
    </row>
    <row r="13469" spans="1:2" ht="12.75" customHeight="1" x14ac:dyDescent="0.25">
      <c r="A13469" s="318">
        <v>95086301374</v>
      </c>
      <c r="B13469" s="318" t="s">
        <v>237</v>
      </c>
    </row>
    <row r="13470" spans="1:2" ht="12.75" customHeight="1" x14ac:dyDescent="0.25">
      <c r="A13470" s="318">
        <v>95086301376</v>
      </c>
      <c r="B13470" s="318" t="s">
        <v>237</v>
      </c>
    </row>
    <row r="13471" spans="1:2" ht="12.75" customHeight="1" x14ac:dyDescent="0.25">
      <c r="A13471" s="318">
        <v>95086301377</v>
      </c>
      <c r="B13471" s="318" t="s">
        <v>237</v>
      </c>
    </row>
    <row r="13472" spans="1:2" ht="12.75" customHeight="1" x14ac:dyDescent="0.25">
      <c r="A13472" s="318">
        <v>95086301378</v>
      </c>
      <c r="B13472" s="318" t="s">
        <v>237</v>
      </c>
    </row>
    <row r="13473" spans="1:2" ht="12.75" customHeight="1" x14ac:dyDescent="0.25">
      <c r="A13473" s="318">
        <v>95086301379</v>
      </c>
      <c r="B13473" s="318" t="s">
        <v>237</v>
      </c>
    </row>
    <row r="13474" spans="1:2" ht="12.75" customHeight="1" x14ac:dyDescent="0.25">
      <c r="A13474" s="318">
        <v>95086301380</v>
      </c>
      <c r="B13474" s="318" t="s">
        <v>237</v>
      </c>
    </row>
    <row r="13475" spans="1:2" ht="12.75" customHeight="1" x14ac:dyDescent="0.25">
      <c r="A13475" s="318">
        <v>95086301381</v>
      </c>
      <c r="B13475" s="318" t="s">
        <v>237</v>
      </c>
    </row>
    <row r="13476" spans="1:2" ht="12.75" customHeight="1" x14ac:dyDescent="0.25">
      <c r="A13476" s="318">
        <v>95086301382</v>
      </c>
      <c r="B13476" s="318" t="s">
        <v>237</v>
      </c>
    </row>
    <row r="13477" spans="1:2" ht="12.75" customHeight="1" x14ac:dyDescent="0.25">
      <c r="A13477" s="318">
        <v>95086301383</v>
      </c>
      <c r="B13477" s="318" t="s">
        <v>237</v>
      </c>
    </row>
    <row r="13478" spans="1:2" ht="12.75" customHeight="1" x14ac:dyDescent="0.25">
      <c r="A13478" s="318">
        <v>95086782240</v>
      </c>
      <c r="B13478" s="318" t="s">
        <v>23</v>
      </c>
    </row>
    <row r="13479" spans="1:2" ht="12.75" customHeight="1" x14ac:dyDescent="0.25">
      <c r="A13479" s="318">
        <v>95086782241</v>
      </c>
      <c r="B13479" s="318" t="s">
        <v>23</v>
      </c>
    </row>
    <row r="13480" spans="1:2" ht="12.75" customHeight="1" x14ac:dyDescent="0.25">
      <c r="A13480" s="318">
        <v>95086782242</v>
      </c>
      <c r="B13480" s="318" t="s">
        <v>23</v>
      </c>
    </row>
    <row r="13481" spans="1:2" ht="12.75" customHeight="1" x14ac:dyDescent="0.25">
      <c r="A13481" s="318">
        <v>95086782243</v>
      </c>
      <c r="B13481" s="318" t="s">
        <v>23</v>
      </c>
    </row>
    <row r="13482" spans="1:2" ht="12.75" customHeight="1" x14ac:dyDescent="0.25">
      <c r="A13482" s="318">
        <v>95086782244</v>
      </c>
      <c r="B13482" s="318" t="s">
        <v>23</v>
      </c>
    </row>
    <row r="13483" spans="1:2" ht="12.75" customHeight="1" x14ac:dyDescent="0.25">
      <c r="A13483" s="318">
        <v>95086782245</v>
      </c>
      <c r="B13483" s="318" t="s">
        <v>23</v>
      </c>
    </row>
    <row r="13484" spans="1:2" ht="12.75" customHeight="1" x14ac:dyDescent="0.25">
      <c r="A13484" s="318">
        <v>95086782246</v>
      </c>
      <c r="B13484" s="318" t="s">
        <v>23</v>
      </c>
    </row>
    <row r="13485" spans="1:2" ht="12.75" customHeight="1" x14ac:dyDescent="0.25">
      <c r="A13485" s="318">
        <v>95086782247</v>
      </c>
      <c r="B13485" s="318" t="s">
        <v>237</v>
      </c>
    </row>
    <row r="13486" spans="1:2" ht="12.75" customHeight="1" x14ac:dyDescent="0.25">
      <c r="A13486" s="318">
        <v>95086782249</v>
      </c>
      <c r="B13486" s="318" t="s">
        <v>23</v>
      </c>
    </row>
    <row r="13487" spans="1:2" ht="12.75" customHeight="1" x14ac:dyDescent="0.25">
      <c r="A13487" s="318">
        <v>95086782250</v>
      </c>
      <c r="B13487" s="318" t="s">
        <v>237</v>
      </c>
    </row>
    <row r="13488" spans="1:2" ht="12.75" customHeight="1" x14ac:dyDescent="0.25">
      <c r="A13488" s="318">
        <v>95086782251</v>
      </c>
      <c r="B13488" s="318" t="s">
        <v>23</v>
      </c>
    </row>
    <row r="13489" spans="1:2" ht="12.75" customHeight="1" x14ac:dyDescent="0.25">
      <c r="A13489" s="318">
        <v>95086782252</v>
      </c>
      <c r="B13489" s="318" t="s">
        <v>237</v>
      </c>
    </row>
    <row r="13490" spans="1:2" ht="12.75" customHeight="1" x14ac:dyDescent="0.25">
      <c r="A13490" s="318">
        <v>95086782253</v>
      </c>
      <c r="B13490" s="318" t="s">
        <v>23</v>
      </c>
    </row>
    <row r="13491" spans="1:2" ht="12.75" customHeight="1" x14ac:dyDescent="0.25">
      <c r="A13491" s="318">
        <v>95086782254</v>
      </c>
      <c r="B13491" s="318" t="s">
        <v>237</v>
      </c>
    </row>
    <row r="13492" spans="1:2" ht="12.75" customHeight="1" x14ac:dyDescent="0.25">
      <c r="A13492" s="318">
        <v>95086782255</v>
      </c>
      <c r="B13492" s="318" t="s">
        <v>23</v>
      </c>
    </row>
    <row r="13493" spans="1:2" ht="12.75" customHeight="1" x14ac:dyDescent="0.25">
      <c r="A13493" s="318">
        <v>95086782256</v>
      </c>
      <c r="B13493" s="318" t="s">
        <v>237</v>
      </c>
    </row>
    <row r="13494" spans="1:2" ht="12.75" customHeight="1" x14ac:dyDescent="0.25">
      <c r="A13494" s="318">
        <v>95086782340</v>
      </c>
      <c r="B13494" s="318" t="s">
        <v>237</v>
      </c>
    </row>
    <row r="13495" spans="1:2" ht="12.75" customHeight="1" x14ac:dyDescent="0.25">
      <c r="A13495" s="318">
        <v>95086782341</v>
      </c>
      <c r="B13495" s="318" t="s">
        <v>237</v>
      </c>
    </row>
    <row r="13496" spans="1:2" ht="12.75" customHeight="1" x14ac:dyDescent="0.25">
      <c r="A13496" s="318">
        <v>95086782342</v>
      </c>
      <c r="B13496" s="318" t="s">
        <v>237</v>
      </c>
    </row>
    <row r="13497" spans="1:2" ht="12.75" customHeight="1" x14ac:dyDescent="0.25">
      <c r="A13497" s="318">
        <v>95086782343</v>
      </c>
      <c r="B13497" s="318" t="s">
        <v>237</v>
      </c>
    </row>
    <row r="13498" spans="1:2" ht="12.75" customHeight="1" x14ac:dyDescent="0.25">
      <c r="A13498" s="318">
        <v>95086782344</v>
      </c>
      <c r="B13498" s="318" t="s">
        <v>237</v>
      </c>
    </row>
    <row r="13499" spans="1:2" ht="12.75" customHeight="1" x14ac:dyDescent="0.25">
      <c r="A13499" s="318">
        <v>95086782345</v>
      </c>
      <c r="B13499" s="318" t="s">
        <v>237</v>
      </c>
    </row>
    <row r="13500" spans="1:2" ht="12.75" customHeight="1" x14ac:dyDescent="0.25">
      <c r="A13500" s="318">
        <v>95086782346</v>
      </c>
      <c r="B13500" s="318" t="s">
        <v>237</v>
      </c>
    </row>
    <row r="13501" spans="1:2" ht="12.75" customHeight="1" x14ac:dyDescent="0.25">
      <c r="A13501" s="318">
        <v>95086782347</v>
      </c>
      <c r="B13501" s="318" t="s">
        <v>237</v>
      </c>
    </row>
    <row r="13502" spans="1:2" ht="12.75" customHeight="1" x14ac:dyDescent="0.25">
      <c r="A13502" s="318">
        <v>95086782349</v>
      </c>
      <c r="B13502" s="318" t="s">
        <v>237</v>
      </c>
    </row>
    <row r="13503" spans="1:2" ht="12.75" customHeight="1" x14ac:dyDescent="0.25">
      <c r="A13503" s="318">
        <v>95086782350</v>
      </c>
      <c r="B13503" s="318" t="s">
        <v>237</v>
      </c>
    </row>
    <row r="13504" spans="1:2" ht="12.75" customHeight="1" x14ac:dyDescent="0.25">
      <c r="A13504" s="318">
        <v>95086782351</v>
      </c>
      <c r="B13504" s="318" t="s">
        <v>237</v>
      </c>
    </row>
    <row r="13505" spans="1:2" ht="12.75" customHeight="1" x14ac:dyDescent="0.25">
      <c r="A13505" s="318">
        <v>95086782352</v>
      </c>
      <c r="B13505" s="318" t="s">
        <v>237</v>
      </c>
    </row>
    <row r="13506" spans="1:2" ht="12.75" customHeight="1" x14ac:dyDescent="0.25">
      <c r="A13506" s="318">
        <v>95086782353</v>
      </c>
      <c r="B13506" s="318" t="s">
        <v>237</v>
      </c>
    </row>
    <row r="13507" spans="1:2" ht="12.75" customHeight="1" x14ac:dyDescent="0.25">
      <c r="A13507" s="318">
        <v>95086782354</v>
      </c>
      <c r="B13507" s="318" t="s">
        <v>237</v>
      </c>
    </row>
    <row r="13508" spans="1:2" ht="12.75" customHeight="1" x14ac:dyDescent="0.25">
      <c r="A13508" s="318">
        <v>95086782355</v>
      </c>
      <c r="B13508" s="318" t="s">
        <v>237</v>
      </c>
    </row>
    <row r="13509" spans="1:2" ht="12.75" customHeight="1" x14ac:dyDescent="0.25">
      <c r="A13509" s="318">
        <v>95086782356</v>
      </c>
      <c r="B13509" s="318" t="s">
        <v>237</v>
      </c>
    </row>
    <row r="13510" spans="1:2" ht="12.75" customHeight="1" x14ac:dyDescent="0.25">
      <c r="A13510" s="318">
        <v>95087462431</v>
      </c>
      <c r="B13510" s="318" t="s">
        <v>23</v>
      </c>
    </row>
    <row r="13511" spans="1:2" ht="12.75" customHeight="1" x14ac:dyDescent="0.25">
      <c r="A13511" s="318">
        <v>95087462432</v>
      </c>
      <c r="B13511" s="318" t="s">
        <v>23</v>
      </c>
    </row>
    <row r="13512" spans="1:2" ht="12.75" customHeight="1" x14ac:dyDescent="0.25">
      <c r="A13512" s="318">
        <v>95087462433</v>
      </c>
      <c r="B13512" s="318" t="s">
        <v>23</v>
      </c>
    </row>
    <row r="13513" spans="1:2" ht="12.75" customHeight="1" x14ac:dyDescent="0.25">
      <c r="A13513" s="318">
        <v>95087462434</v>
      </c>
      <c r="B13513" s="318" t="s">
        <v>23</v>
      </c>
    </row>
    <row r="13514" spans="1:2" ht="12.75" customHeight="1" x14ac:dyDescent="0.25">
      <c r="A13514" s="318">
        <v>95087462435</v>
      </c>
      <c r="B13514" s="318" t="s">
        <v>23</v>
      </c>
    </row>
    <row r="13515" spans="1:2" ht="12.75" customHeight="1" x14ac:dyDescent="0.25">
      <c r="A13515" s="318">
        <v>95087462436</v>
      </c>
      <c r="B13515" s="318" t="s">
        <v>23</v>
      </c>
    </row>
    <row r="13516" spans="1:2" ht="12.75" customHeight="1" x14ac:dyDescent="0.25">
      <c r="A13516" s="318">
        <v>95087462437</v>
      </c>
      <c r="B13516" s="318" t="s">
        <v>23</v>
      </c>
    </row>
    <row r="13517" spans="1:2" ht="12.75" customHeight="1" x14ac:dyDescent="0.25">
      <c r="A13517" s="318">
        <v>95087462438</v>
      </c>
      <c r="B13517" s="318" t="s">
        <v>237</v>
      </c>
    </row>
    <row r="13518" spans="1:2" ht="12.75" customHeight="1" x14ac:dyDescent="0.25">
      <c r="A13518" s="318">
        <v>95087462440</v>
      </c>
      <c r="B13518" s="318" t="s">
        <v>237</v>
      </c>
    </row>
    <row r="13519" spans="1:2" ht="12.75" customHeight="1" x14ac:dyDescent="0.25">
      <c r="A13519" s="318">
        <v>95087462441</v>
      </c>
      <c r="B13519" s="318" t="s">
        <v>237</v>
      </c>
    </row>
    <row r="13520" spans="1:2" ht="12.75" customHeight="1" x14ac:dyDescent="0.25">
      <c r="A13520" s="318">
        <v>95087462442</v>
      </c>
      <c r="B13520" s="318" t="s">
        <v>237</v>
      </c>
    </row>
    <row r="13521" spans="1:2" ht="12.75" customHeight="1" x14ac:dyDescent="0.25">
      <c r="A13521" s="318">
        <v>95087462443</v>
      </c>
      <c r="B13521" s="318" t="s">
        <v>237</v>
      </c>
    </row>
    <row r="13522" spans="1:2" ht="12.75" customHeight="1" x14ac:dyDescent="0.25">
      <c r="A13522" s="318">
        <v>95087462444</v>
      </c>
      <c r="B13522" s="318" t="s">
        <v>237</v>
      </c>
    </row>
    <row r="13523" spans="1:2" ht="12.75" customHeight="1" x14ac:dyDescent="0.25">
      <c r="A13523" s="318">
        <v>95087462445</v>
      </c>
      <c r="B13523" s="318" t="s">
        <v>237</v>
      </c>
    </row>
    <row r="13524" spans="1:2" ht="12.75" customHeight="1" x14ac:dyDescent="0.25">
      <c r="A13524" s="318">
        <v>95087462446</v>
      </c>
      <c r="B13524" s="318" t="s">
        <v>237</v>
      </c>
    </row>
    <row r="13525" spans="1:2" ht="12.75" customHeight="1" x14ac:dyDescent="0.25">
      <c r="A13525" s="318">
        <v>95087462447</v>
      </c>
      <c r="B13525" s="318" t="s">
        <v>237</v>
      </c>
    </row>
    <row r="13526" spans="1:2" ht="12.75" customHeight="1" x14ac:dyDescent="0.25">
      <c r="A13526" s="318">
        <v>95087462531</v>
      </c>
      <c r="B13526" s="318" t="s">
        <v>237</v>
      </c>
    </row>
    <row r="13527" spans="1:2" ht="12.75" customHeight="1" x14ac:dyDescent="0.25">
      <c r="A13527" s="318">
        <v>95087462532</v>
      </c>
      <c r="B13527" s="318" t="s">
        <v>237</v>
      </c>
    </row>
    <row r="13528" spans="1:2" ht="12.75" customHeight="1" x14ac:dyDescent="0.25">
      <c r="A13528" s="318">
        <v>95087462533</v>
      </c>
      <c r="B13528" s="318" t="s">
        <v>237</v>
      </c>
    </row>
    <row r="13529" spans="1:2" ht="12.75" customHeight="1" x14ac:dyDescent="0.25">
      <c r="A13529" s="318">
        <v>95087462534</v>
      </c>
      <c r="B13529" s="318" t="s">
        <v>237</v>
      </c>
    </row>
    <row r="13530" spans="1:2" ht="12.75" customHeight="1" x14ac:dyDescent="0.25">
      <c r="A13530" s="318">
        <v>95087462535</v>
      </c>
      <c r="B13530" s="318" t="s">
        <v>237</v>
      </c>
    </row>
    <row r="13531" spans="1:2" ht="12.75" customHeight="1" x14ac:dyDescent="0.25">
      <c r="A13531" s="318">
        <v>95087462536</v>
      </c>
      <c r="B13531" s="318" t="s">
        <v>237</v>
      </c>
    </row>
    <row r="13532" spans="1:2" ht="12.75" customHeight="1" x14ac:dyDescent="0.25">
      <c r="A13532" s="318">
        <v>95087462537</v>
      </c>
      <c r="B13532" s="318" t="s">
        <v>237</v>
      </c>
    </row>
    <row r="13533" spans="1:2" ht="12.75" customHeight="1" x14ac:dyDescent="0.25">
      <c r="A13533" s="318">
        <v>95087462538</v>
      </c>
      <c r="B13533" s="318" t="s">
        <v>237</v>
      </c>
    </row>
    <row r="13534" spans="1:2" ht="12.75" customHeight="1" x14ac:dyDescent="0.25">
      <c r="A13534" s="318">
        <v>95087462540</v>
      </c>
      <c r="B13534" s="318" t="s">
        <v>237</v>
      </c>
    </row>
    <row r="13535" spans="1:2" ht="12.75" customHeight="1" x14ac:dyDescent="0.25">
      <c r="A13535" s="318">
        <v>95087462541</v>
      </c>
      <c r="B13535" s="318" t="s">
        <v>237</v>
      </c>
    </row>
    <row r="13536" spans="1:2" ht="12.75" customHeight="1" x14ac:dyDescent="0.25">
      <c r="A13536" s="318">
        <v>95087462542</v>
      </c>
      <c r="B13536" s="318" t="s">
        <v>237</v>
      </c>
    </row>
    <row r="13537" spans="1:2" ht="12.75" customHeight="1" x14ac:dyDescent="0.25">
      <c r="A13537" s="318">
        <v>95087462543</v>
      </c>
      <c r="B13537" s="318" t="s">
        <v>237</v>
      </c>
    </row>
    <row r="13538" spans="1:2" ht="12.75" customHeight="1" x14ac:dyDescent="0.25">
      <c r="A13538" s="318">
        <v>95087462544</v>
      </c>
      <c r="B13538" s="318" t="s">
        <v>237</v>
      </c>
    </row>
    <row r="13539" spans="1:2" ht="12.75" customHeight="1" x14ac:dyDescent="0.25">
      <c r="A13539" s="318">
        <v>95087462545</v>
      </c>
      <c r="B13539" s="318" t="s">
        <v>237</v>
      </c>
    </row>
    <row r="13540" spans="1:2" ht="12.75" customHeight="1" x14ac:dyDescent="0.25">
      <c r="A13540" s="318">
        <v>95087462546</v>
      </c>
      <c r="B13540" s="318" t="s">
        <v>237</v>
      </c>
    </row>
    <row r="13541" spans="1:2" ht="12.75" customHeight="1" x14ac:dyDescent="0.25">
      <c r="A13541" s="318">
        <v>95087462547</v>
      </c>
      <c r="B13541" s="318" t="s">
        <v>237</v>
      </c>
    </row>
    <row r="13542" spans="1:2" ht="12.75" customHeight="1" x14ac:dyDescent="0.25">
      <c r="A13542" s="318">
        <v>95087943404</v>
      </c>
      <c r="B13542" s="318" t="s">
        <v>23</v>
      </c>
    </row>
    <row r="13543" spans="1:2" ht="12.75" customHeight="1" x14ac:dyDescent="0.25">
      <c r="A13543" s="318">
        <v>95087943405</v>
      </c>
      <c r="B13543" s="318" t="s">
        <v>23</v>
      </c>
    </row>
    <row r="13544" spans="1:2" ht="12.75" customHeight="1" x14ac:dyDescent="0.25">
      <c r="A13544" s="318">
        <v>95087943406</v>
      </c>
      <c r="B13544" s="318" t="s">
        <v>23</v>
      </c>
    </row>
    <row r="13545" spans="1:2" ht="12.75" customHeight="1" x14ac:dyDescent="0.25">
      <c r="A13545" s="318">
        <v>95087943407</v>
      </c>
      <c r="B13545" s="318" t="s">
        <v>23</v>
      </c>
    </row>
    <row r="13546" spans="1:2" ht="12.75" customHeight="1" x14ac:dyDescent="0.25">
      <c r="A13546" s="318">
        <v>95087943408</v>
      </c>
      <c r="B13546" s="318" t="s">
        <v>23</v>
      </c>
    </row>
    <row r="13547" spans="1:2" ht="12.75" customHeight="1" x14ac:dyDescent="0.25">
      <c r="A13547" s="318">
        <v>95087943409</v>
      </c>
      <c r="B13547" s="318" t="s">
        <v>23</v>
      </c>
    </row>
    <row r="13548" spans="1:2" ht="12.75" customHeight="1" x14ac:dyDescent="0.25">
      <c r="A13548" s="318">
        <v>95087943410</v>
      </c>
      <c r="B13548" s="318" t="s">
        <v>23</v>
      </c>
    </row>
    <row r="13549" spans="1:2" ht="12.75" customHeight="1" x14ac:dyDescent="0.25">
      <c r="A13549" s="318">
        <v>95087943411</v>
      </c>
      <c r="B13549" s="318" t="s">
        <v>237</v>
      </c>
    </row>
    <row r="13550" spans="1:2" ht="12.75" customHeight="1" x14ac:dyDescent="0.25">
      <c r="A13550" s="318">
        <v>95087943413</v>
      </c>
      <c r="B13550" s="318" t="s">
        <v>237</v>
      </c>
    </row>
    <row r="13551" spans="1:2" ht="12.75" customHeight="1" x14ac:dyDescent="0.25">
      <c r="A13551" s="318">
        <v>95087943414</v>
      </c>
      <c r="B13551" s="318" t="s">
        <v>237</v>
      </c>
    </row>
    <row r="13552" spans="1:2" ht="12.75" customHeight="1" x14ac:dyDescent="0.25">
      <c r="A13552" s="318">
        <v>95087943415</v>
      </c>
      <c r="B13552" s="318" t="s">
        <v>237</v>
      </c>
    </row>
    <row r="13553" spans="1:2" ht="12.75" customHeight="1" x14ac:dyDescent="0.25">
      <c r="A13553" s="318">
        <v>95087943416</v>
      </c>
      <c r="B13553" s="318" t="s">
        <v>237</v>
      </c>
    </row>
    <row r="13554" spans="1:2" ht="12.75" customHeight="1" x14ac:dyDescent="0.25">
      <c r="A13554" s="318">
        <v>95087943417</v>
      </c>
      <c r="B13554" s="318" t="s">
        <v>237</v>
      </c>
    </row>
    <row r="13555" spans="1:2" ht="12.75" customHeight="1" x14ac:dyDescent="0.25">
      <c r="A13555" s="318">
        <v>95087943418</v>
      </c>
      <c r="B13555" s="318" t="s">
        <v>237</v>
      </c>
    </row>
    <row r="13556" spans="1:2" ht="12.75" customHeight="1" x14ac:dyDescent="0.25">
      <c r="A13556" s="318">
        <v>95087943419</v>
      </c>
      <c r="B13556" s="318" t="s">
        <v>237</v>
      </c>
    </row>
    <row r="13557" spans="1:2" ht="12.75" customHeight="1" x14ac:dyDescent="0.25">
      <c r="A13557" s="318">
        <v>95087943420</v>
      </c>
      <c r="B13557" s="318" t="s">
        <v>237</v>
      </c>
    </row>
    <row r="13558" spans="1:2" ht="12.75" customHeight="1" x14ac:dyDescent="0.25">
      <c r="A13558" s="318">
        <v>95087943504</v>
      </c>
      <c r="B13558" s="318" t="s">
        <v>237</v>
      </c>
    </row>
    <row r="13559" spans="1:2" ht="12.75" customHeight="1" x14ac:dyDescent="0.25">
      <c r="A13559" s="318">
        <v>95087943505</v>
      </c>
      <c r="B13559" s="318" t="s">
        <v>237</v>
      </c>
    </row>
    <row r="13560" spans="1:2" ht="12.75" customHeight="1" x14ac:dyDescent="0.25">
      <c r="A13560" s="318">
        <v>95087943506</v>
      </c>
      <c r="B13560" s="318" t="s">
        <v>237</v>
      </c>
    </row>
    <row r="13561" spans="1:2" ht="12.75" customHeight="1" x14ac:dyDescent="0.25">
      <c r="A13561" s="318">
        <v>95087943507</v>
      </c>
      <c r="B13561" s="318" t="s">
        <v>237</v>
      </c>
    </row>
    <row r="13562" spans="1:2" ht="12.75" customHeight="1" x14ac:dyDescent="0.25">
      <c r="A13562" s="318">
        <v>95087943508</v>
      </c>
      <c r="B13562" s="318" t="s">
        <v>237</v>
      </c>
    </row>
    <row r="13563" spans="1:2" ht="12.75" customHeight="1" x14ac:dyDescent="0.25">
      <c r="A13563" s="318">
        <v>95087943509</v>
      </c>
      <c r="B13563" s="318" t="s">
        <v>237</v>
      </c>
    </row>
    <row r="13564" spans="1:2" ht="12.75" customHeight="1" x14ac:dyDescent="0.25">
      <c r="A13564" s="318">
        <v>95087943510</v>
      </c>
      <c r="B13564" s="318" t="s">
        <v>237</v>
      </c>
    </row>
    <row r="13565" spans="1:2" ht="12.75" customHeight="1" x14ac:dyDescent="0.25">
      <c r="A13565" s="318">
        <v>95087943511</v>
      </c>
      <c r="B13565" s="318" t="s">
        <v>237</v>
      </c>
    </row>
    <row r="13566" spans="1:2" ht="12.75" customHeight="1" x14ac:dyDescent="0.25">
      <c r="A13566" s="318">
        <v>95087943513</v>
      </c>
      <c r="B13566" s="318" t="s">
        <v>237</v>
      </c>
    </row>
    <row r="13567" spans="1:2" ht="12.75" customHeight="1" x14ac:dyDescent="0.25">
      <c r="A13567" s="318">
        <v>95087943514</v>
      </c>
      <c r="B13567" s="318" t="s">
        <v>237</v>
      </c>
    </row>
    <row r="13568" spans="1:2" ht="12.75" customHeight="1" x14ac:dyDescent="0.25">
      <c r="A13568" s="318">
        <v>95087943515</v>
      </c>
      <c r="B13568" s="318" t="s">
        <v>237</v>
      </c>
    </row>
    <row r="13569" spans="1:2" ht="12.75" customHeight="1" x14ac:dyDescent="0.25">
      <c r="A13569" s="318">
        <v>95087943516</v>
      </c>
      <c r="B13569" s="318" t="s">
        <v>237</v>
      </c>
    </row>
    <row r="13570" spans="1:2" ht="12.75" customHeight="1" x14ac:dyDescent="0.25">
      <c r="A13570" s="318">
        <v>95087943517</v>
      </c>
      <c r="B13570" s="318" t="s">
        <v>237</v>
      </c>
    </row>
    <row r="13571" spans="1:2" ht="12.75" customHeight="1" x14ac:dyDescent="0.25">
      <c r="A13571" s="318">
        <v>95087943518</v>
      </c>
      <c r="B13571" s="318" t="s">
        <v>237</v>
      </c>
    </row>
    <row r="13572" spans="1:2" ht="12.75" customHeight="1" x14ac:dyDescent="0.25">
      <c r="A13572" s="318">
        <v>95087943519</v>
      </c>
      <c r="B13572" s="318" t="s">
        <v>237</v>
      </c>
    </row>
    <row r="13573" spans="1:2" ht="12.75" customHeight="1" x14ac:dyDescent="0.25">
      <c r="A13573" s="318">
        <v>95087943520</v>
      </c>
      <c r="B13573" s="318" t="s">
        <v>237</v>
      </c>
    </row>
    <row r="13574" spans="1:2" ht="12.75" customHeight="1" x14ac:dyDescent="0.25">
      <c r="A13574" s="318">
        <v>95088424377</v>
      </c>
      <c r="B13574" s="318" t="s">
        <v>23</v>
      </c>
    </row>
    <row r="13575" spans="1:2" ht="12.75" customHeight="1" x14ac:dyDescent="0.25">
      <c r="A13575" s="318">
        <v>95088424378</v>
      </c>
      <c r="B13575" s="318" t="s">
        <v>23</v>
      </c>
    </row>
    <row r="13576" spans="1:2" ht="12.75" customHeight="1" x14ac:dyDescent="0.25">
      <c r="A13576" s="318">
        <v>95088424379</v>
      </c>
      <c r="B13576" s="318" t="s">
        <v>23</v>
      </c>
    </row>
    <row r="13577" spans="1:2" ht="12.75" customHeight="1" x14ac:dyDescent="0.25">
      <c r="A13577" s="318">
        <v>95088424380</v>
      </c>
      <c r="B13577" s="318" t="s">
        <v>23</v>
      </c>
    </row>
    <row r="13578" spans="1:2" ht="12.75" customHeight="1" x14ac:dyDescent="0.25">
      <c r="A13578" s="318">
        <v>95088424381</v>
      </c>
      <c r="B13578" s="318" t="s">
        <v>23</v>
      </c>
    </row>
    <row r="13579" spans="1:2" ht="12.75" customHeight="1" x14ac:dyDescent="0.25">
      <c r="A13579" s="318">
        <v>95088424382</v>
      </c>
      <c r="B13579" s="318" t="s">
        <v>23</v>
      </c>
    </row>
    <row r="13580" spans="1:2" ht="12.75" customHeight="1" x14ac:dyDescent="0.25">
      <c r="A13580" s="318">
        <v>95088424383</v>
      </c>
      <c r="B13580" s="318" t="s">
        <v>23</v>
      </c>
    </row>
    <row r="13581" spans="1:2" ht="12.75" customHeight="1" x14ac:dyDescent="0.25">
      <c r="A13581" s="318">
        <v>95088424384</v>
      </c>
      <c r="B13581" s="318" t="s">
        <v>237</v>
      </c>
    </row>
    <row r="13582" spans="1:2" ht="12.75" customHeight="1" x14ac:dyDescent="0.25">
      <c r="A13582" s="318">
        <v>95088424386</v>
      </c>
      <c r="B13582" s="318" t="s">
        <v>23</v>
      </c>
    </row>
    <row r="13583" spans="1:2" ht="12.75" customHeight="1" x14ac:dyDescent="0.25">
      <c r="A13583" s="318">
        <v>95088424387</v>
      </c>
      <c r="B13583" s="318" t="s">
        <v>237</v>
      </c>
    </row>
    <row r="13584" spans="1:2" ht="12.75" customHeight="1" x14ac:dyDescent="0.25">
      <c r="A13584" s="318">
        <v>95088424388</v>
      </c>
      <c r="B13584" s="318" t="s">
        <v>23</v>
      </c>
    </row>
    <row r="13585" spans="1:2" ht="12.75" customHeight="1" x14ac:dyDescent="0.25">
      <c r="A13585" s="318">
        <v>95088424389</v>
      </c>
      <c r="B13585" s="318" t="s">
        <v>237</v>
      </c>
    </row>
    <row r="13586" spans="1:2" ht="12.75" customHeight="1" x14ac:dyDescent="0.25">
      <c r="A13586" s="318">
        <v>95088424390</v>
      </c>
      <c r="B13586" s="318" t="s">
        <v>23</v>
      </c>
    </row>
    <row r="13587" spans="1:2" ht="12.75" customHeight="1" x14ac:dyDescent="0.25">
      <c r="A13587" s="318">
        <v>95088424391</v>
      </c>
      <c r="B13587" s="318" t="s">
        <v>237</v>
      </c>
    </row>
    <row r="13588" spans="1:2" ht="12.75" customHeight="1" x14ac:dyDescent="0.25">
      <c r="A13588" s="318">
        <v>95088424392</v>
      </c>
      <c r="B13588" s="318" t="s">
        <v>23</v>
      </c>
    </row>
    <row r="13589" spans="1:2" ht="12.75" customHeight="1" x14ac:dyDescent="0.25">
      <c r="A13589" s="318">
        <v>95088424393</v>
      </c>
      <c r="B13589" s="318" t="s">
        <v>237</v>
      </c>
    </row>
    <row r="13590" spans="1:2" ht="12.75" customHeight="1" x14ac:dyDescent="0.25">
      <c r="A13590" s="318">
        <v>95088424477</v>
      </c>
      <c r="B13590" s="318" t="s">
        <v>237</v>
      </c>
    </row>
    <row r="13591" spans="1:2" ht="12.75" customHeight="1" x14ac:dyDescent="0.25">
      <c r="A13591" s="318">
        <v>95088424478</v>
      </c>
      <c r="B13591" s="318" t="s">
        <v>237</v>
      </c>
    </row>
    <row r="13592" spans="1:2" ht="12.75" customHeight="1" x14ac:dyDescent="0.25">
      <c r="A13592" s="318">
        <v>95088424479</v>
      </c>
      <c r="B13592" s="318" t="s">
        <v>237</v>
      </c>
    </row>
    <row r="13593" spans="1:2" ht="12.75" customHeight="1" x14ac:dyDescent="0.25">
      <c r="A13593" s="318">
        <v>95088424480</v>
      </c>
      <c r="B13593" s="318" t="s">
        <v>237</v>
      </c>
    </row>
    <row r="13594" spans="1:2" ht="12.75" customHeight="1" x14ac:dyDescent="0.25">
      <c r="A13594" s="318">
        <v>95088424481</v>
      </c>
      <c r="B13594" s="318" t="s">
        <v>237</v>
      </c>
    </row>
    <row r="13595" spans="1:2" ht="12.75" customHeight="1" x14ac:dyDescent="0.25">
      <c r="A13595" s="318">
        <v>95088424482</v>
      </c>
      <c r="B13595" s="318" t="s">
        <v>237</v>
      </c>
    </row>
    <row r="13596" spans="1:2" ht="12.75" customHeight="1" x14ac:dyDescent="0.25">
      <c r="A13596" s="318">
        <v>95088424483</v>
      </c>
      <c r="B13596" s="318" t="s">
        <v>237</v>
      </c>
    </row>
    <row r="13597" spans="1:2" ht="12.75" customHeight="1" x14ac:dyDescent="0.25">
      <c r="A13597" s="318">
        <v>95088424484</v>
      </c>
      <c r="B13597" s="318" t="s">
        <v>237</v>
      </c>
    </row>
    <row r="13598" spans="1:2" ht="12.75" customHeight="1" x14ac:dyDescent="0.25">
      <c r="A13598" s="318">
        <v>95088424486</v>
      </c>
      <c r="B13598" s="318" t="s">
        <v>237</v>
      </c>
    </row>
    <row r="13599" spans="1:2" ht="12.75" customHeight="1" x14ac:dyDescent="0.25">
      <c r="A13599" s="318">
        <v>95088424487</v>
      </c>
      <c r="B13599" s="318" t="s">
        <v>237</v>
      </c>
    </row>
    <row r="13600" spans="1:2" ht="12.75" customHeight="1" x14ac:dyDescent="0.25">
      <c r="A13600" s="318">
        <v>95088424488</v>
      </c>
      <c r="B13600" s="318" t="s">
        <v>237</v>
      </c>
    </row>
    <row r="13601" spans="1:2" ht="12.75" customHeight="1" x14ac:dyDescent="0.25">
      <c r="A13601" s="318">
        <v>95088424489</v>
      </c>
      <c r="B13601" s="318" t="s">
        <v>237</v>
      </c>
    </row>
    <row r="13602" spans="1:2" ht="12.75" customHeight="1" x14ac:dyDescent="0.25">
      <c r="A13602" s="318">
        <v>95088424490</v>
      </c>
      <c r="B13602" s="318" t="s">
        <v>237</v>
      </c>
    </row>
    <row r="13603" spans="1:2" ht="12.75" customHeight="1" x14ac:dyDescent="0.25">
      <c r="A13603" s="318">
        <v>95088424491</v>
      </c>
      <c r="B13603" s="318" t="s">
        <v>237</v>
      </c>
    </row>
    <row r="13604" spans="1:2" ht="12.75" customHeight="1" x14ac:dyDescent="0.25">
      <c r="A13604" s="318">
        <v>95088424492</v>
      </c>
      <c r="B13604" s="318" t="s">
        <v>237</v>
      </c>
    </row>
    <row r="13605" spans="1:2" ht="12.75" customHeight="1" x14ac:dyDescent="0.25">
      <c r="A13605" s="318">
        <v>95088424493</v>
      </c>
      <c r="B13605" s="318" t="s">
        <v>237</v>
      </c>
    </row>
    <row r="13606" spans="1:2" ht="12.75" customHeight="1" x14ac:dyDescent="0.25">
      <c r="A13606" s="318">
        <v>95089104568</v>
      </c>
      <c r="B13606" s="318" t="s">
        <v>23</v>
      </c>
    </row>
    <row r="13607" spans="1:2" ht="12.75" customHeight="1" x14ac:dyDescent="0.25">
      <c r="A13607" s="318">
        <v>95089104569</v>
      </c>
      <c r="B13607" s="318" t="s">
        <v>23</v>
      </c>
    </row>
    <row r="13608" spans="1:2" ht="12.75" customHeight="1" x14ac:dyDescent="0.25">
      <c r="A13608" s="318">
        <v>95089104570</v>
      </c>
      <c r="B13608" s="318" t="s">
        <v>23</v>
      </c>
    </row>
    <row r="13609" spans="1:2" ht="12.75" customHeight="1" x14ac:dyDescent="0.25">
      <c r="A13609" s="318">
        <v>95089104571</v>
      </c>
      <c r="B13609" s="318" t="s">
        <v>23</v>
      </c>
    </row>
    <row r="13610" spans="1:2" ht="12.75" customHeight="1" x14ac:dyDescent="0.25">
      <c r="A13610" s="318">
        <v>95089104572</v>
      </c>
      <c r="B13610" s="318" t="s">
        <v>23</v>
      </c>
    </row>
    <row r="13611" spans="1:2" ht="12.75" customHeight="1" x14ac:dyDescent="0.25">
      <c r="A13611" s="318">
        <v>95089104573</v>
      </c>
      <c r="B13611" s="318" t="s">
        <v>23</v>
      </c>
    </row>
    <row r="13612" spans="1:2" ht="12.75" customHeight="1" x14ac:dyDescent="0.25">
      <c r="A13612" s="318">
        <v>95089104574</v>
      </c>
      <c r="B13612" s="318" t="s">
        <v>23</v>
      </c>
    </row>
    <row r="13613" spans="1:2" ht="12.75" customHeight="1" x14ac:dyDescent="0.25">
      <c r="A13613" s="318">
        <v>95089104575</v>
      </c>
      <c r="B13613" s="318" t="s">
        <v>237</v>
      </c>
    </row>
    <row r="13614" spans="1:2" ht="12.75" customHeight="1" x14ac:dyDescent="0.25">
      <c r="A13614" s="318">
        <v>95089104577</v>
      </c>
      <c r="B13614" s="318" t="s">
        <v>23</v>
      </c>
    </row>
    <row r="13615" spans="1:2" ht="12.75" customHeight="1" x14ac:dyDescent="0.25">
      <c r="A13615" s="318">
        <v>95089104578</v>
      </c>
      <c r="B13615" s="318" t="s">
        <v>237</v>
      </c>
    </row>
    <row r="13616" spans="1:2" ht="12.75" customHeight="1" x14ac:dyDescent="0.25">
      <c r="A13616" s="318">
        <v>95089104579</v>
      </c>
      <c r="B13616" s="318" t="s">
        <v>23</v>
      </c>
    </row>
    <row r="13617" spans="1:2" ht="12.75" customHeight="1" x14ac:dyDescent="0.25">
      <c r="A13617" s="318">
        <v>95089104580</v>
      </c>
      <c r="B13617" s="318" t="s">
        <v>237</v>
      </c>
    </row>
    <row r="13618" spans="1:2" ht="12.75" customHeight="1" x14ac:dyDescent="0.25">
      <c r="A13618" s="318">
        <v>95089104581</v>
      </c>
      <c r="B13618" s="318" t="s">
        <v>23</v>
      </c>
    </row>
    <row r="13619" spans="1:2" ht="12.75" customHeight="1" x14ac:dyDescent="0.25">
      <c r="A13619" s="318">
        <v>95089104582</v>
      </c>
      <c r="B13619" s="318" t="s">
        <v>237</v>
      </c>
    </row>
    <row r="13620" spans="1:2" ht="12.75" customHeight="1" x14ac:dyDescent="0.25">
      <c r="A13620" s="318">
        <v>95089104583</v>
      </c>
      <c r="B13620" s="318" t="s">
        <v>23</v>
      </c>
    </row>
    <row r="13621" spans="1:2" ht="12.75" customHeight="1" x14ac:dyDescent="0.25">
      <c r="A13621" s="318">
        <v>95089104584</v>
      </c>
      <c r="B13621" s="318" t="s">
        <v>237</v>
      </c>
    </row>
    <row r="13622" spans="1:2" ht="12.75" customHeight="1" x14ac:dyDescent="0.25">
      <c r="A13622" s="318">
        <v>95089104668</v>
      </c>
      <c r="B13622" s="318" t="s">
        <v>237</v>
      </c>
    </row>
    <row r="13623" spans="1:2" ht="12.75" customHeight="1" x14ac:dyDescent="0.25">
      <c r="A13623" s="318">
        <v>95089104669</v>
      </c>
      <c r="B13623" s="318" t="s">
        <v>237</v>
      </c>
    </row>
    <row r="13624" spans="1:2" ht="12.75" customHeight="1" x14ac:dyDescent="0.25">
      <c r="A13624" s="318">
        <v>95089104670</v>
      </c>
      <c r="B13624" s="318" t="s">
        <v>237</v>
      </c>
    </row>
    <row r="13625" spans="1:2" ht="12.75" customHeight="1" x14ac:dyDescent="0.25">
      <c r="A13625" s="318">
        <v>95089104671</v>
      </c>
      <c r="B13625" s="318" t="s">
        <v>237</v>
      </c>
    </row>
    <row r="13626" spans="1:2" ht="12.75" customHeight="1" x14ac:dyDescent="0.25">
      <c r="A13626" s="318">
        <v>95089104672</v>
      </c>
      <c r="B13626" s="318" t="s">
        <v>237</v>
      </c>
    </row>
    <row r="13627" spans="1:2" ht="12.75" customHeight="1" x14ac:dyDescent="0.25">
      <c r="A13627" s="318">
        <v>95089104673</v>
      </c>
      <c r="B13627" s="318" t="s">
        <v>237</v>
      </c>
    </row>
    <row r="13628" spans="1:2" ht="12.75" customHeight="1" x14ac:dyDescent="0.25">
      <c r="A13628" s="318">
        <v>95089104674</v>
      </c>
      <c r="B13628" s="318" t="s">
        <v>237</v>
      </c>
    </row>
    <row r="13629" spans="1:2" ht="12.75" customHeight="1" x14ac:dyDescent="0.25">
      <c r="A13629" s="318">
        <v>95089104675</v>
      </c>
      <c r="B13629" s="318" t="s">
        <v>237</v>
      </c>
    </row>
    <row r="13630" spans="1:2" ht="12.75" customHeight="1" x14ac:dyDescent="0.25">
      <c r="A13630" s="318">
        <v>95089104677</v>
      </c>
      <c r="B13630" s="318" t="s">
        <v>237</v>
      </c>
    </row>
    <row r="13631" spans="1:2" ht="12.75" customHeight="1" x14ac:dyDescent="0.25">
      <c r="A13631" s="318">
        <v>95089104678</v>
      </c>
      <c r="B13631" s="318" t="s">
        <v>237</v>
      </c>
    </row>
    <row r="13632" spans="1:2" ht="12.75" customHeight="1" x14ac:dyDescent="0.25">
      <c r="A13632" s="318">
        <v>95089104679</v>
      </c>
      <c r="B13632" s="318" t="s">
        <v>237</v>
      </c>
    </row>
    <row r="13633" spans="1:2" ht="12.75" customHeight="1" x14ac:dyDescent="0.25">
      <c r="A13633" s="318">
        <v>95089104680</v>
      </c>
      <c r="B13633" s="318" t="s">
        <v>237</v>
      </c>
    </row>
    <row r="13634" spans="1:2" ht="12.75" customHeight="1" x14ac:dyDescent="0.25">
      <c r="A13634" s="318">
        <v>95089104681</v>
      </c>
      <c r="B13634" s="318" t="s">
        <v>237</v>
      </c>
    </row>
    <row r="13635" spans="1:2" ht="12.75" customHeight="1" x14ac:dyDescent="0.25">
      <c r="A13635" s="318">
        <v>95089104682</v>
      </c>
      <c r="B13635" s="318" t="s">
        <v>237</v>
      </c>
    </row>
    <row r="13636" spans="1:2" ht="12.75" customHeight="1" x14ac:dyDescent="0.25">
      <c r="A13636" s="318">
        <v>95089104683</v>
      </c>
      <c r="B13636" s="318" t="s">
        <v>237</v>
      </c>
    </row>
    <row r="13637" spans="1:2" ht="12.75" customHeight="1" x14ac:dyDescent="0.25">
      <c r="A13637" s="318">
        <v>95089104684</v>
      </c>
      <c r="B13637" s="318" t="s">
        <v>237</v>
      </c>
    </row>
    <row r="13638" spans="1:2" ht="12.75" customHeight="1" x14ac:dyDescent="0.25">
      <c r="A13638" s="318">
        <v>95089585541</v>
      </c>
      <c r="B13638" s="318" t="s">
        <v>23</v>
      </c>
    </row>
    <row r="13639" spans="1:2" ht="12.75" customHeight="1" x14ac:dyDescent="0.25">
      <c r="A13639" s="318">
        <v>95089585542</v>
      </c>
      <c r="B13639" s="318" t="s">
        <v>23</v>
      </c>
    </row>
    <row r="13640" spans="1:2" ht="12.75" customHeight="1" x14ac:dyDescent="0.25">
      <c r="A13640" s="318">
        <v>95089585543</v>
      </c>
      <c r="B13640" s="318" t="s">
        <v>23</v>
      </c>
    </row>
    <row r="13641" spans="1:2" ht="12.75" customHeight="1" x14ac:dyDescent="0.25">
      <c r="A13641" s="318">
        <v>95089585544</v>
      </c>
      <c r="B13641" s="318" t="s">
        <v>23</v>
      </c>
    </row>
    <row r="13642" spans="1:2" ht="12.75" customHeight="1" x14ac:dyDescent="0.25">
      <c r="A13642" s="318">
        <v>95089585545</v>
      </c>
      <c r="B13642" s="318" t="s">
        <v>23</v>
      </c>
    </row>
    <row r="13643" spans="1:2" ht="12.75" customHeight="1" x14ac:dyDescent="0.25">
      <c r="A13643" s="318">
        <v>95089585546</v>
      </c>
      <c r="B13643" s="318" t="s">
        <v>23</v>
      </c>
    </row>
    <row r="13644" spans="1:2" ht="12.75" customHeight="1" x14ac:dyDescent="0.25">
      <c r="A13644" s="318">
        <v>95089585547</v>
      </c>
      <c r="B13644" s="318" t="s">
        <v>23</v>
      </c>
    </row>
    <row r="13645" spans="1:2" ht="12.75" customHeight="1" x14ac:dyDescent="0.25">
      <c r="A13645" s="318">
        <v>95089585548</v>
      </c>
      <c r="B13645" s="318" t="s">
        <v>237</v>
      </c>
    </row>
    <row r="13646" spans="1:2" ht="12.75" customHeight="1" x14ac:dyDescent="0.25">
      <c r="A13646" s="318">
        <v>95089585550</v>
      </c>
      <c r="B13646" s="318" t="s">
        <v>23</v>
      </c>
    </row>
    <row r="13647" spans="1:2" ht="12.75" customHeight="1" x14ac:dyDescent="0.25">
      <c r="A13647" s="318">
        <v>95089585551</v>
      </c>
      <c r="B13647" s="318" t="s">
        <v>237</v>
      </c>
    </row>
    <row r="13648" spans="1:2" ht="12.75" customHeight="1" x14ac:dyDescent="0.25">
      <c r="A13648" s="318">
        <v>95089585552</v>
      </c>
      <c r="B13648" s="318" t="s">
        <v>23</v>
      </c>
    </row>
    <row r="13649" spans="1:2" ht="12.75" customHeight="1" x14ac:dyDescent="0.25">
      <c r="A13649" s="318">
        <v>95089585553</v>
      </c>
      <c r="B13649" s="318" t="s">
        <v>237</v>
      </c>
    </row>
    <row r="13650" spans="1:2" ht="12.75" customHeight="1" x14ac:dyDescent="0.25">
      <c r="A13650" s="318">
        <v>95089585554</v>
      </c>
      <c r="B13650" s="318" t="s">
        <v>23</v>
      </c>
    </row>
    <row r="13651" spans="1:2" ht="12.75" customHeight="1" x14ac:dyDescent="0.25">
      <c r="A13651" s="318">
        <v>95089585555</v>
      </c>
      <c r="B13651" s="318" t="s">
        <v>237</v>
      </c>
    </row>
    <row r="13652" spans="1:2" ht="12.75" customHeight="1" x14ac:dyDescent="0.25">
      <c r="A13652" s="318">
        <v>95089585556</v>
      </c>
      <c r="B13652" s="318" t="s">
        <v>23</v>
      </c>
    </row>
    <row r="13653" spans="1:2" ht="12.75" customHeight="1" x14ac:dyDescent="0.25">
      <c r="A13653" s="318">
        <v>95089585557</v>
      </c>
      <c r="B13653" s="318" t="s">
        <v>237</v>
      </c>
    </row>
    <row r="13654" spans="1:2" ht="12.75" customHeight="1" x14ac:dyDescent="0.25">
      <c r="A13654" s="318">
        <v>95089585641</v>
      </c>
      <c r="B13654" s="318" t="s">
        <v>237</v>
      </c>
    </row>
    <row r="13655" spans="1:2" ht="12.75" customHeight="1" x14ac:dyDescent="0.25">
      <c r="A13655" s="318">
        <v>95089585642</v>
      </c>
      <c r="B13655" s="318" t="s">
        <v>237</v>
      </c>
    </row>
    <row r="13656" spans="1:2" ht="12.75" customHeight="1" x14ac:dyDescent="0.25">
      <c r="A13656" s="318">
        <v>95089585643</v>
      </c>
      <c r="B13656" s="318" t="s">
        <v>237</v>
      </c>
    </row>
    <row r="13657" spans="1:2" ht="12.75" customHeight="1" x14ac:dyDescent="0.25">
      <c r="A13657" s="318">
        <v>95089585644</v>
      </c>
      <c r="B13657" s="318" t="s">
        <v>237</v>
      </c>
    </row>
    <row r="13658" spans="1:2" ht="12.75" customHeight="1" x14ac:dyDescent="0.25">
      <c r="A13658" s="318">
        <v>95089585645</v>
      </c>
      <c r="B13658" s="318" t="s">
        <v>237</v>
      </c>
    </row>
    <row r="13659" spans="1:2" ht="12.75" customHeight="1" x14ac:dyDescent="0.25">
      <c r="A13659" s="318">
        <v>95089585646</v>
      </c>
      <c r="B13659" s="318" t="s">
        <v>237</v>
      </c>
    </row>
    <row r="13660" spans="1:2" ht="12.75" customHeight="1" x14ac:dyDescent="0.25">
      <c r="A13660" s="318">
        <v>95089585647</v>
      </c>
      <c r="B13660" s="318" t="s">
        <v>237</v>
      </c>
    </row>
    <row r="13661" spans="1:2" ht="12.75" customHeight="1" x14ac:dyDescent="0.25">
      <c r="A13661" s="318">
        <v>95089585648</v>
      </c>
      <c r="B13661" s="318" t="s">
        <v>237</v>
      </c>
    </row>
    <row r="13662" spans="1:2" ht="12.75" customHeight="1" x14ac:dyDescent="0.25">
      <c r="A13662" s="318">
        <v>95089585650</v>
      </c>
      <c r="B13662" s="318" t="s">
        <v>237</v>
      </c>
    </row>
    <row r="13663" spans="1:2" ht="12.75" customHeight="1" x14ac:dyDescent="0.25">
      <c r="A13663" s="318">
        <v>95089585651</v>
      </c>
      <c r="B13663" s="318" t="s">
        <v>237</v>
      </c>
    </row>
    <row r="13664" spans="1:2" ht="12.75" customHeight="1" x14ac:dyDescent="0.25">
      <c r="A13664" s="318">
        <v>95089585652</v>
      </c>
      <c r="B13664" s="318" t="s">
        <v>237</v>
      </c>
    </row>
    <row r="13665" spans="1:2" ht="12.75" customHeight="1" x14ac:dyDescent="0.25">
      <c r="A13665" s="318">
        <v>95089585653</v>
      </c>
      <c r="B13665" s="318" t="s">
        <v>237</v>
      </c>
    </row>
    <row r="13666" spans="1:2" ht="12.75" customHeight="1" x14ac:dyDescent="0.25">
      <c r="A13666" s="318">
        <v>95089585654</v>
      </c>
      <c r="B13666" s="318" t="s">
        <v>237</v>
      </c>
    </row>
    <row r="13667" spans="1:2" ht="12.75" customHeight="1" x14ac:dyDescent="0.25">
      <c r="A13667" s="318">
        <v>95089585655</v>
      </c>
      <c r="B13667" s="318" t="s">
        <v>237</v>
      </c>
    </row>
    <row r="13668" spans="1:2" ht="12.75" customHeight="1" x14ac:dyDescent="0.25">
      <c r="A13668" s="318">
        <v>95089585656</v>
      </c>
      <c r="B13668" s="318" t="s">
        <v>237</v>
      </c>
    </row>
    <row r="13669" spans="1:2" ht="12.75" customHeight="1" x14ac:dyDescent="0.25">
      <c r="A13669" s="318">
        <v>95089585657</v>
      </c>
      <c r="B13669" s="318" t="s">
        <v>237</v>
      </c>
    </row>
    <row r="13670" spans="1:2" ht="12.75" customHeight="1" x14ac:dyDescent="0.25">
      <c r="A13670" s="318">
        <v>95090066514</v>
      </c>
      <c r="B13670" s="318" t="s">
        <v>23</v>
      </c>
    </row>
    <row r="13671" spans="1:2" ht="12.75" customHeight="1" x14ac:dyDescent="0.25">
      <c r="A13671" s="318">
        <v>95090066515</v>
      </c>
      <c r="B13671" s="318" t="s">
        <v>23</v>
      </c>
    </row>
    <row r="13672" spans="1:2" ht="12.75" customHeight="1" x14ac:dyDescent="0.25">
      <c r="A13672" s="318">
        <v>95090066516</v>
      </c>
      <c r="B13672" s="318" t="s">
        <v>23</v>
      </c>
    </row>
    <row r="13673" spans="1:2" ht="12.75" customHeight="1" x14ac:dyDescent="0.25">
      <c r="A13673" s="318">
        <v>95090066517</v>
      </c>
      <c r="B13673" s="318" t="s">
        <v>23</v>
      </c>
    </row>
    <row r="13674" spans="1:2" ht="12.75" customHeight="1" x14ac:dyDescent="0.25">
      <c r="A13674" s="318">
        <v>95090066518</v>
      </c>
      <c r="B13674" s="318" t="s">
        <v>23</v>
      </c>
    </row>
    <row r="13675" spans="1:2" ht="12.75" customHeight="1" x14ac:dyDescent="0.25">
      <c r="A13675" s="318">
        <v>95090066519</v>
      </c>
      <c r="B13675" s="318" t="s">
        <v>23</v>
      </c>
    </row>
    <row r="13676" spans="1:2" ht="12.75" customHeight="1" x14ac:dyDescent="0.25">
      <c r="A13676" s="318">
        <v>95090066520</v>
      </c>
      <c r="B13676" s="318" t="s">
        <v>23</v>
      </c>
    </row>
    <row r="13677" spans="1:2" ht="12.75" customHeight="1" x14ac:dyDescent="0.25">
      <c r="A13677" s="318">
        <v>95090066521</v>
      </c>
      <c r="B13677" s="318" t="s">
        <v>237</v>
      </c>
    </row>
    <row r="13678" spans="1:2" ht="12.75" customHeight="1" x14ac:dyDescent="0.25">
      <c r="A13678" s="318">
        <v>95090066523</v>
      </c>
      <c r="B13678" s="318" t="s">
        <v>23</v>
      </c>
    </row>
    <row r="13679" spans="1:2" ht="12.75" customHeight="1" x14ac:dyDescent="0.25">
      <c r="A13679" s="318">
        <v>95090066524</v>
      </c>
      <c r="B13679" s="318" t="s">
        <v>237</v>
      </c>
    </row>
    <row r="13680" spans="1:2" ht="12.75" customHeight="1" x14ac:dyDescent="0.25">
      <c r="A13680" s="318">
        <v>95090066525</v>
      </c>
      <c r="B13680" s="318" t="s">
        <v>23</v>
      </c>
    </row>
    <row r="13681" spans="1:2" ht="12.75" customHeight="1" x14ac:dyDescent="0.25">
      <c r="A13681" s="318">
        <v>95090066526</v>
      </c>
      <c r="B13681" s="318" t="s">
        <v>237</v>
      </c>
    </row>
    <row r="13682" spans="1:2" ht="12.75" customHeight="1" x14ac:dyDescent="0.25">
      <c r="A13682" s="318">
        <v>95090066527</v>
      </c>
      <c r="B13682" s="318" t="s">
        <v>23</v>
      </c>
    </row>
    <row r="13683" spans="1:2" ht="12.75" customHeight="1" x14ac:dyDescent="0.25">
      <c r="A13683" s="318">
        <v>95090066528</v>
      </c>
      <c r="B13683" s="318" t="s">
        <v>237</v>
      </c>
    </row>
    <row r="13684" spans="1:2" ht="12.75" customHeight="1" x14ac:dyDescent="0.25">
      <c r="A13684" s="318">
        <v>95090066529</v>
      </c>
      <c r="B13684" s="318" t="s">
        <v>23</v>
      </c>
    </row>
    <row r="13685" spans="1:2" ht="12.75" customHeight="1" x14ac:dyDescent="0.25">
      <c r="A13685" s="318">
        <v>95090066530</v>
      </c>
      <c r="B13685" s="318" t="s">
        <v>237</v>
      </c>
    </row>
    <row r="13686" spans="1:2" ht="12.75" customHeight="1" x14ac:dyDescent="0.25">
      <c r="A13686" s="318">
        <v>95090066614</v>
      </c>
      <c r="B13686" s="318" t="s">
        <v>237</v>
      </c>
    </row>
    <row r="13687" spans="1:2" ht="12.75" customHeight="1" x14ac:dyDescent="0.25">
      <c r="A13687" s="318">
        <v>95090066615</v>
      </c>
      <c r="B13687" s="318" t="s">
        <v>237</v>
      </c>
    </row>
    <row r="13688" spans="1:2" ht="12.75" customHeight="1" x14ac:dyDescent="0.25">
      <c r="A13688" s="318">
        <v>95090066616</v>
      </c>
      <c r="B13688" s="318" t="s">
        <v>237</v>
      </c>
    </row>
    <row r="13689" spans="1:2" ht="12.75" customHeight="1" x14ac:dyDescent="0.25">
      <c r="A13689" s="318">
        <v>95090066617</v>
      </c>
      <c r="B13689" s="318" t="s">
        <v>237</v>
      </c>
    </row>
    <row r="13690" spans="1:2" ht="12.75" customHeight="1" x14ac:dyDescent="0.25">
      <c r="A13690" s="318">
        <v>95090066618</v>
      </c>
      <c r="B13690" s="318" t="s">
        <v>237</v>
      </c>
    </row>
    <row r="13691" spans="1:2" ht="12.75" customHeight="1" x14ac:dyDescent="0.25">
      <c r="A13691" s="318">
        <v>95090066619</v>
      </c>
      <c r="B13691" s="318" t="s">
        <v>237</v>
      </c>
    </row>
    <row r="13692" spans="1:2" ht="12.75" customHeight="1" x14ac:dyDescent="0.25">
      <c r="A13692" s="318">
        <v>95090066620</v>
      </c>
      <c r="B13692" s="318" t="s">
        <v>237</v>
      </c>
    </row>
    <row r="13693" spans="1:2" ht="12.75" customHeight="1" x14ac:dyDescent="0.25">
      <c r="A13693" s="318">
        <v>95090066621</v>
      </c>
      <c r="B13693" s="318" t="s">
        <v>237</v>
      </c>
    </row>
    <row r="13694" spans="1:2" ht="12.75" customHeight="1" x14ac:dyDescent="0.25">
      <c r="A13694" s="318">
        <v>95090066623</v>
      </c>
      <c r="B13694" s="318" t="s">
        <v>237</v>
      </c>
    </row>
    <row r="13695" spans="1:2" ht="12.75" customHeight="1" x14ac:dyDescent="0.25">
      <c r="A13695" s="318">
        <v>95090066624</v>
      </c>
      <c r="B13695" s="318" t="s">
        <v>237</v>
      </c>
    </row>
    <row r="13696" spans="1:2" ht="12.75" customHeight="1" x14ac:dyDescent="0.25">
      <c r="A13696" s="318">
        <v>95090066625</v>
      </c>
      <c r="B13696" s="318" t="s">
        <v>237</v>
      </c>
    </row>
    <row r="13697" spans="1:2" ht="12.75" customHeight="1" x14ac:dyDescent="0.25">
      <c r="A13697" s="318">
        <v>95090066626</v>
      </c>
      <c r="B13697" s="318" t="s">
        <v>237</v>
      </c>
    </row>
    <row r="13698" spans="1:2" ht="12.75" customHeight="1" x14ac:dyDescent="0.25">
      <c r="A13698" s="318">
        <v>95090066627</v>
      </c>
      <c r="B13698" s="318" t="s">
        <v>237</v>
      </c>
    </row>
    <row r="13699" spans="1:2" ht="12.75" customHeight="1" x14ac:dyDescent="0.25">
      <c r="A13699" s="318">
        <v>95090066628</v>
      </c>
      <c r="B13699" s="318" t="s">
        <v>237</v>
      </c>
    </row>
    <row r="13700" spans="1:2" ht="12.75" customHeight="1" x14ac:dyDescent="0.25">
      <c r="A13700" s="318">
        <v>95090066629</v>
      </c>
      <c r="B13700" s="318" t="s">
        <v>237</v>
      </c>
    </row>
    <row r="13701" spans="1:2" ht="12.75" customHeight="1" x14ac:dyDescent="0.25">
      <c r="A13701" s="318">
        <v>95090066630</v>
      </c>
      <c r="B13701" s="318" t="s">
        <v>237</v>
      </c>
    </row>
    <row r="13702" spans="1:2" ht="12.75" customHeight="1" x14ac:dyDescent="0.25">
      <c r="A13702" s="318">
        <v>95091426895</v>
      </c>
      <c r="B13702" s="318" t="s">
        <v>23</v>
      </c>
    </row>
    <row r="13703" spans="1:2" ht="12.75" customHeight="1" x14ac:dyDescent="0.25">
      <c r="A13703" s="318">
        <v>95091426896</v>
      </c>
      <c r="B13703" s="318" t="s">
        <v>23</v>
      </c>
    </row>
    <row r="13704" spans="1:2" ht="12.75" customHeight="1" x14ac:dyDescent="0.25">
      <c r="A13704" s="318">
        <v>95091426897</v>
      </c>
      <c r="B13704" s="318" t="s">
        <v>23</v>
      </c>
    </row>
    <row r="13705" spans="1:2" ht="12.75" customHeight="1" x14ac:dyDescent="0.25">
      <c r="A13705" s="318">
        <v>95091426898</v>
      </c>
      <c r="B13705" s="318" t="s">
        <v>23</v>
      </c>
    </row>
    <row r="13706" spans="1:2" ht="12.75" customHeight="1" x14ac:dyDescent="0.25">
      <c r="A13706" s="318">
        <v>95091426899</v>
      </c>
      <c r="B13706" s="318" t="s">
        <v>23</v>
      </c>
    </row>
    <row r="13707" spans="1:2" ht="12.75" customHeight="1" x14ac:dyDescent="0.25">
      <c r="A13707" s="318">
        <v>95091426900</v>
      </c>
      <c r="B13707" s="318" t="s">
        <v>23</v>
      </c>
    </row>
    <row r="13708" spans="1:2" ht="12.75" customHeight="1" x14ac:dyDescent="0.25">
      <c r="A13708" s="318">
        <v>95091426901</v>
      </c>
      <c r="B13708" s="318" t="s">
        <v>23</v>
      </c>
    </row>
    <row r="13709" spans="1:2" ht="12.75" customHeight="1" x14ac:dyDescent="0.25">
      <c r="A13709" s="318">
        <v>95091426902</v>
      </c>
      <c r="B13709" s="318" t="s">
        <v>237</v>
      </c>
    </row>
    <row r="13710" spans="1:2" ht="12.75" customHeight="1" x14ac:dyDescent="0.25">
      <c r="A13710" s="318">
        <v>95091426904</v>
      </c>
      <c r="B13710" s="318" t="s">
        <v>237</v>
      </c>
    </row>
    <row r="13711" spans="1:2" ht="12.75" customHeight="1" x14ac:dyDescent="0.25">
      <c r="A13711" s="318">
        <v>95091426905</v>
      </c>
      <c r="B13711" s="318" t="s">
        <v>237</v>
      </c>
    </row>
    <row r="13712" spans="1:2" ht="12.75" customHeight="1" x14ac:dyDescent="0.25">
      <c r="A13712" s="318">
        <v>95091426906</v>
      </c>
      <c r="B13712" s="318" t="s">
        <v>237</v>
      </c>
    </row>
    <row r="13713" spans="1:2" ht="12.75" customHeight="1" x14ac:dyDescent="0.25">
      <c r="A13713" s="318">
        <v>95091426907</v>
      </c>
      <c r="B13713" s="318" t="s">
        <v>237</v>
      </c>
    </row>
    <row r="13714" spans="1:2" ht="12.75" customHeight="1" x14ac:dyDescent="0.25">
      <c r="A13714" s="318">
        <v>95091426908</v>
      </c>
      <c r="B13714" s="318" t="s">
        <v>237</v>
      </c>
    </row>
    <row r="13715" spans="1:2" ht="12.75" customHeight="1" x14ac:dyDescent="0.25">
      <c r="A13715" s="318">
        <v>95091426909</v>
      </c>
      <c r="B13715" s="318" t="s">
        <v>237</v>
      </c>
    </row>
    <row r="13716" spans="1:2" ht="12.75" customHeight="1" x14ac:dyDescent="0.25">
      <c r="A13716" s="318">
        <v>95091426910</v>
      </c>
      <c r="B13716" s="318" t="s">
        <v>237</v>
      </c>
    </row>
    <row r="13717" spans="1:2" ht="12.75" customHeight="1" x14ac:dyDescent="0.25">
      <c r="A13717" s="318">
        <v>95091426911</v>
      </c>
      <c r="B13717" s="318" t="s">
        <v>237</v>
      </c>
    </row>
    <row r="13718" spans="1:2" ht="12.75" customHeight="1" x14ac:dyDescent="0.25">
      <c r="A13718" s="318">
        <v>95091426995</v>
      </c>
      <c r="B13718" s="318" t="s">
        <v>237</v>
      </c>
    </row>
    <row r="13719" spans="1:2" ht="12.75" customHeight="1" x14ac:dyDescent="0.25">
      <c r="A13719" s="318">
        <v>95091426996</v>
      </c>
      <c r="B13719" s="318" t="s">
        <v>237</v>
      </c>
    </row>
    <row r="13720" spans="1:2" ht="12.75" customHeight="1" x14ac:dyDescent="0.25">
      <c r="A13720" s="318">
        <v>95091426997</v>
      </c>
      <c r="B13720" s="318" t="s">
        <v>237</v>
      </c>
    </row>
    <row r="13721" spans="1:2" ht="12.75" customHeight="1" x14ac:dyDescent="0.25">
      <c r="A13721" s="318">
        <v>95091426998</v>
      </c>
      <c r="B13721" s="318" t="s">
        <v>237</v>
      </c>
    </row>
    <row r="13722" spans="1:2" ht="12.75" customHeight="1" x14ac:dyDescent="0.25">
      <c r="A13722" s="318">
        <v>95091426999</v>
      </c>
      <c r="B13722" s="318" t="s">
        <v>237</v>
      </c>
    </row>
    <row r="13723" spans="1:2" ht="12.75" customHeight="1" x14ac:dyDescent="0.25">
      <c r="A13723" s="318">
        <v>95091427000</v>
      </c>
      <c r="B13723" s="318" t="s">
        <v>237</v>
      </c>
    </row>
    <row r="13724" spans="1:2" ht="12.75" customHeight="1" x14ac:dyDescent="0.25">
      <c r="A13724" s="318">
        <v>95091427001</v>
      </c>
      <c r="B13724" s="318" t="s">
        <v>237</v>
      </c>
    </row>
    <row r="13725" spans="1:2" ht="12.75" customHeight="1" x14ac:dyDescent="0.25">
      <c r="A13725" s="318">
        <v>95091427002</v>
      </c>
      <c r="B13725" s="318" t="s">
        <v>237</v>
      </c>
    </row>
    <row r="13726" spans="1:2" ht="12.75" customHeight="1" x14ac:dyDescent="0.25">
      <c r="A13726" s="318">
        <v>95091427004</v>
      </c>
      <c r="B13726" s="318" t="s">
        <v>237</v>
      </c>
    </row>
    <row r="13727" spans="1:2" ht="12.75" customHeight="1" x14ac:dyDescent="0.25">
      <c r="A13727" s="318">
        <v>95091427005</v>
      </c>
      <c r="B13727" s="318" t="s">
        <v>237</v>
      </c>
    </row>
    <row r="13728" spans="1:2" ht="12.75" customHeight="1" x14ac:dyDescent="0.25">
      <c r="A13728" s="318">
        <v>95091427006</v>
      </c>
      <c r="B13728" s="318" t="s">
        <v>237</v>
      </c>
    </row>
    <row r="13729" spans="1:2" ht="12.75" customHeight="1" x14ac:dyDescent="0.25">
      <c r="A13729" s="318">
        <v>95091427007</v>
      </c>
      <c r="B13729" s="318" t="s">
        <v>237</v>
      </c>
    </row>
    <row r="13730" spans="1:2" ht="12.75" customHeight="1" x14ac:dyDescent="0.25">
      <c r="A13730" s="318">
        <v>95091427008</v>
      </c>
      <c r="B13730" s="318" t="s">
        <v>237</v>
      </c>
    </row>
    <row r="13731" spans="1:2" ht="12.75" customHeight="1" x14ac:dyDescent="0.25">
      <c r="A13731" s="318">
        <v>95091427009</v>
      </c>
      <c r="B13731" s="318" t="s">
        <v>237</v>
      </c>
    </row>
    <row r="13732" spans="1:2" ht="12.75" customHeight="1" x14ac:dyDescent="0.25">
      <c r="A13732" s="318">
        <v>95091427010</v>
      </c>
      <c r="B13732" s="318" t="s">
        <v>237</v>
      </c>
    </row>
    <row r="13733" spans="1:2" ht="12.75" customHeight="1" x14ac:dyDescent="0.25">
      <c r="A13733" s="318">
        <v>95091427011</v>
      </c>
      <c r="B13733" s="318" t="s">
        <v>237</v>
      </c>
    </row>
    <row r="13734" spans="1:2" ht="12.75" customHeight="1" x14ac:dyDescent="0.25">
      <c r="A13734" s="318">
        <v>95091907868</v>
      </c>
      <c r="B13734" s="318" t="s">
        <v>23</v>
      </c>
    </row>
    <row r="13735" spans="1:2" ht="12.75" customHeight="1" x14ac:dyDescent="0.25">
      <c r="A13735" s="318">
        <v>95091907869</v>
      </c>
      <c r="B13735" s="318" t="s">
        <v>23</v>
      </c>
    </row>
    <row r="13736" spans="1:2" ht="12.75" customHeight="1" x14ac:dyDescent="0.25">
      <c r="A13736" s="318">
        <v>95091907870</v>
      </c>
      <c r="B13736" s="318" t="s">
        <v>23</v>
      </c>
    </row>
    <row r="13737" spans="1:2" ht="12.75" customHeight="1" x14ac:dyDescent="0.25">
      <c r="A13737" s="318">
        <v>95091907871</v>
      </c>
      <c r="B13737" s="318" t="s">
        <v>23</v>
      </c>
    </row>
    <row r="13738" spans="1:2" ht="12.75" customHeight="1" x14ac:dyDescent="0.25">
      <c r="A13738" s="318">
        <v>95091907872</v>
      </c>
      <c r="B13738" s="318" t="s">
        <v>23</v>
      </c>
    </row>
    <row r="13739" spans="1:2" ht="12.75" customHeight="1" x14ac:dyDescent="0.25">
      <c r="A13739" s="318">
        <v>95091907873</v>
      </c>
      <c r="B13739" s="318" t="s">
        <v>23</v>
      </c>
    </row>
    <row r="13740" spans="1:2" ht="12.75" customHeight="1" x14ac:dyDescent="0.25">
      <c r="A13740" s="318">
        <v>95091907874</v>
      </c>
      <c r="B13740" s="318" t="s">
        <v>23</v>
      </c>
    </row>
    <row r="13741" spans="1:2" ht="12.75" customHeight="1" x14ac:dyDescent="0.25">
      <c r="A13741" s="318">
        <v>95091907875</v>
      </c>
      <c r="B13741" s="318" t="s">
        <v>237</v>
      </c>
    </row>
    <row r="13742" spans="1:2" ht="12.75" customHeight="1" x14ac:dyDescent="0.25">
      <c r="A13742" s="318">
        <v>95091907877</v>
      </c>
      <c r="B13742" s="318" t="s">
        <v>237</v>
      </c>
    </row>
    <row r="13743" spans="1:2" ht="12.75" customHeight="1" x14ac:dyDescent="0.25">
      <c r="A13743" s="318">
        <v>95091907878</v>
      </c>
      <c r="B13743" s="318" t="s">
        <v>237</v>
      </c>
    </row>
    <row r="13744" spans="1:2" ht="12.75" customHeight="1" x14ac:dyDescent="0.25">
      <c r="A13744" s="318">
        <v>95091907879</v>
      </c>
      <c r="B13744" s="318" t="s">
        <v>237</v>
      </c>
    </row>
    <row r="13745" spans="1:2" ht="12.75" customHeight="1" x14ac:dyDescent="0.25">
      <c r="A13745" s="318">
        <v>95091907880</v>
      </c>
      <c r="B13745" s="318" t="s">
        <v>237</v>
      </c>
    </row>
    <row r="13746" spans="1:2" ht="12.75" customHeight="1" x14ac:dyDescent="0.25">
      <c r="A13746" s="318">
        <v>95091907881</v>
      </c>
      <c r="B13746" s="318" t="s">
        <v>237</v>
      </c>
    </row>
    <row r="13747" spans="1:2" ht="12.75" customHeight="1" x14ac:dyDescent="0.25">
      <c r="A13747" s="318">
        <v>95091907882</v>
      </c>
      <c r="B13747" s="318" t="s">
        <v>237</v>
      </c>
    </row>
    <row r="13748" spans="1:2" ht="12.75" customHeight="1" x14ac:dyDescent="0.25">
      <c r="A13748" s="318">
        <v>95091907883</v>
      </c>
      <c r="B13748" s="318" t="s">
        <v>237</v>
      </c>
    </row>
    <row r="13749" spans="1:2" ht="12.75" customHeight="1" x14ac:dyDescent="0.25">
      <c r="A13749" s="318">
        <v>95091907884</v>
      </c>
      <c r="B13749" s="318" t="s">
        <v>237</v>
      </c>
    </row>
    <row r="13750" spans="1:2" ht="12.75" customHeight="1" x14ac:dyDescent="0.25">
      <c r="A13750" s="318">
        <v>95091907968</v>
      </c>
      <c r="B13750" s="318" t="s">
        <v>237</v>
      </c>
    </row>
    <row r="13751" spans="1:2" ht="12.75" customHeight="1" x14ac:dyDescent="0.25">
      <c r="A13751" s="318">
        <v>95091907969</v>
      </c>
      <c r="B13751" s="318" t="s">
        <v>237</v>
      </c>
    </row>
    <row r="13752" spans="1:2" ht="12.75" customHeight="1" x14ac:dyDescent="0.25">
      <c r="A13752" s="318">
        <v>95091907970</v>
      </c>
      <c r="B13752" s="318" t="s">
        <v>237</v>
      </c>
    </row>
    <row r="13753" spans="1:2" ht="12.75" customHeight="1" x14ac:dyDescent="0.25">
      <c r="A13753" s="318">
        <v>95091907971</v>
      </c>
      <c r="B13753" s="318" t="s">
        <v>237</v>
      </c>
    </row>
    <row r="13754" spans="1:2" ht="12.75" customHeight="1" x14ac:dyDescent="0.25">
      <c r="A13754" s="318">
        <v>95091907972</v>
      </c>
      <c r="B13754" s="318" t="s">
        <v>237</v>
      </c>
    </row>
    <row r="13755" spans="1:2" ht="12.75" customHeight="1" x14ac:dyDescent="0.25">
      <c r="A13755" s="318">
        <v>95091907973</v>
      </c>
      <c r="B13755" s="318" t="s">
        <v>237</v>
      </c>
    </row>
    <row r="13756" spans="1:2" ht="12.75" customHeight="1" x14ac:dyDescent="0.25">
      <c r="A13756" s="318">
        <v>95091907974</v>
      </c>
      <c r="B13756" s="318" t="s">
        <v>237</v>
      </c>
    </row>
    <row r="13757" spans="1:2" ht="12.75" customHeight="1" x14ac:dyDescent="0.25">
      <c r="A13757" s="318">
        <v>95091907975</v>
      </c>
      <c r="B13757" s="318" t="s">
        <v>237</v>
      </c>
    </row>
    <row r="13758" spans="1:2" ht="12.75" customHeight="1" x14ac:dyDescent="0.25">
      <c r="A13758" s="318">
        <v>95091907977</v>
      </c>
      <c r="B13758" s="318" t="s">
        <v>237</v>
      </c>
    </row>
    <row r="13759" spans="1:2" ht="12.75" customHeight="1" x14ac:dyDescent="0.25">
      <c r="A13759" s="318">
        <v>95091907978</v>
      </c>
      <c r="B13759" s="318" t="s">
        <v>237</v>
      </c>
    </row>
    <row r="13760" spans="1:2" ht="12.75" customHeight="1" x14ac:dyDescent="0.25">
      <c r="A13760" s="318">
        <v>95091907979</v>
      </c>
      <c r="B13760" s="318" t="s">
        <v>237</v>
      </c>
    </row>
    <row r="13761" spans="1:2" ht="12.75" customHeight="1" x14ac:dyDescent="0.25">
      <c r="A13761" s="318">
        <v>95091907980</v>
      </c>
      <c r="B13761" s="318" t="s">
        <v>237</v>
      </c>
    </row>
    <row r="13762" spans="1:2" ht="12.75" customHeight="1" x14ac:dyDescent="0.25">
      <c r="A13762" s="318">
        <v>95091907981</v>
      </c>
      <c r="B13762" s="318" t="s">
        <v>237</v>
      </c>
    </row>
    <row r="13763" spans="1:2" ht="12.75" customHeight="1" x14ac:dyDescent="0.25">
      <c r="A13763" s="318">
        <v>95091907982</v>
      </c>
      <c r="B13763" s="318" t="s">
        <v>237</v>
      </c>
    </row>
    <row r="13764" spans="1:2" ht="12.75" customHeight="1" x14ac:dyDescent="0.25">
      <c r="A13764" s="318">
        <v>95091907983</v>
      </c>
      <c r="B13764" s="318" t="s">
        <v>237</v>
      </c>
    </row>
    <row r="13765" spans="1:2" ht="12.75" customHeight="1" x14ac:dyDescent="0.25">
      <c r="A13765" s="318">
        <v>95091907984</v>
      </c>
      <c r="B13765" s="318" t="s">
        <v>237</v>
      </c>
    </row>
    <row r="13766" spans="1:2" ht="12.75" customHeight="1" x14ac:dyDescent="0.25">
      <c r="A13766" s="318">
        <v>95092388841</v>
      </c>
      <c r="B13766" s="318" t="s">
        <v>23</v>
      </c>
    </row>
    <row r="13767" spans="1:2" ht="12.75" customHeight="1" x14ac:dyDescent="0.25">
      <c r="A13767" s="318">
        <v>95092388842</v>
      </c>
      <c r="B13767" s="318" t="s">
        <v>23</v>
      </c>
    </row>
    <row r="13768" spans="1:2" ht="12.75" customHeight="1" x14ac:dyDescent="0.25">
      <c r="A13768" s="318">
        <v>95092388843</v>
      </c>
      <c r="B13768" s="318" t="s">
        <v>23</v>
      </c>
    </row>
    <row r="13769" spans="1:2" ht="12.75" customHeight="1" x14ac:dyDescent="0.25">
      <c r="A13769" s="318">
        <v>95092388844</v>
      </c>
      <c r="B13769" s="318" t="s">
        <v>23</v>
      </c>
    </row>
    <row r="13770" spans="1:2" ht="12.75" customHeight="1" x14ac:dyDescent="0.25">
      <c r="A13770" s="318">
        <v>95092388845</v>
      </c>
      <c r="B13770" s="318" t="s">
        <v>23</v>
      </c>
    </row>
    <row r="13771" spans="1:2" ht="12.75" customHeight="1" x14ac:dyDescent="0.25">
      <c r="A13771" s="318">
        <v>95092388846</v>
      </c>
      <c r="B13771" s="318" t="s">
        <v>23</v>
      </c>
    </row>
    <row r="13772" spans="1:2" ht="12.75" customHeight="1" x14ac:dyDescent="0.25">
      <c r="A13772" s="318">
        <v>95092388847</v>
      </c>
      <c r="B13772" s="318" t="s">
        <v>23</v>
      </c>
    </row>
    <row r="13773" spans="1:2" ht="12.75" customHeight="1" x14ac:dyDescent="0.25">
      <c r="A13773" s="318">
        <v>95092388848</v>
      </c>
      <c r="B13773" s="318" t="s">
        <v>237</v>
      </c>
    </row>
    <row r="13774" spans="1:2" ht="12.75" customHeight="1" x14ac:dyDescent="0.25">
      <c r="A13774" s="318">
        <v>95092388850</v>
      </c>
      <c r="B13774" s="318" t="s">
        <v>23</v>
      </c>
    </row>
    <row r="13775" spans="1:2" ht="12.75" customHeight="1" x14ac:dyDescent="0.25">
      <c r="A13775" s="318">
        <v>95092388851</v>
      </c>
      <c r="B13775" s="318" t="s">
        <v>237</v>
      </c>
    </row>
    <row r="13776" spans="1:2" ht="12.75" customHeight="1" x14ac:dyDescent="0.25">
      <c r="A13776" s="318">
        <v>95092388852</v>
      </c>
      <c r="B13776" s="318" t="s">
        <v>23</v>
      </c>
    </row>
    <row r="13777" spans="1:2" ht="12.75" customHeight="1" x14ac:dyDescent="0.25">
      <c r="A13777" s="318">
        <v>95092388853</v>
      </c>
      <c r="B13777" s="318" t="s">
        <v>237</v>
      </c>
    </row>
    <row r="13778" spans="1:2" ht="12.75" customHeight="1" x14ac:dyDescent="0.25">
      <c r="A13778" s="318">
        <v>95092388854</v>
      </c>
      <c r="B13778" s="318" t="s">
        <v>23</v>
      </c>
    </row>
    <row r="13779" spans="1:2" ht="12.75" customHeight="1" x14ac:dyDescent="0.25">
      <c r="A13779" s="318">
        <v>95092388855</v>
      </c>
      <c r="B13779" s="318" t="s">
        <v>237</v>
      </c>
    </row>
    <row r="13780" spans="1:2" ht="12.75" customHeight="1" x14ac:dyDescent="0.25">
      <c r="A13780" s="318">
        <v>95092388856</v>
      </c>
      <c r="B13780" s="318" t="s">
        <v>23</v>
      </c>
    </row>
    <row r="13781" spans="1:2" ht="12.75" customHeight="1" x14ac:dyDescent="0.25">
      <c r="A13781" s="318">
        <v>95092388857</v>
      </c>
      <c r="B13781" s="318" t="s">
        <v>237</v>
      </c>
    </row>
    <row r="13782" spans="1:2" ht="12.75" customHeight="1" x14ac:dyDescent="0.25">
      <c r="A13782" s="318">
        <v>95092388941</v>
      </c>
      <c r="B13782" s="318" t="s">
        <v>237</v>
      </c>
    </row>
    <row r="13783" spans="1:2" ht="12.75" customHeight="1" x14ac:dyDescent="0.25">
      <c r="A13783" s="318">
        <v>95092388942</v>
      </c>
      <c r="B13783" s="318" t="s">
        <v>237</v>
      </c>
    </row>
    <row r="13784" spans="1:2" ht="12.75" customHeight="1" x14ac:dyDescent="0.25">
      <c r="A13784" s="318">
        <v>95092388943</v>
      </c>
      <c r="B13784" s="318" t="s">
        <v>237</v>
      </c>
    </row>
    <row r="13785" spans="1:2" ht="12.75" customHeight="1" x14ac:dyDescent="0.25">
      <c r="A13785" s="318">
        <v>95092388944</v>
      </c>
      <c r="B13785" s="318" t="s">
        <v>237</v>
      </c>
    </row>
    <row r="13786" spans="1:2" ht="12.75" customHeight="1" x14ac:dyDescent="0.25">
      <c r="A13786" s="318">
        <v>95092388945</v>
      </c>
      <c r="B13786" s="318" t="s">
        <v>237</v>
      </c>
    </row>
    <row r="13787" spans="1:2" ht="12.75" customHeight="1" x14ac:dyDescent="0.25">
      <c r="A13787" s="318">
        <v>95092388946</v>
      </c>
      <c r="B13787" s="318" t="s">
        <v>237</v>
      </c>
    </row>
    <row r="13788" spans="1:2" ht="12.75" customHeight="1" x14ac:dyDescent="0.25">
      <c r="A13788" s="318">
        <v>95092388947</v>
      </c>
      <c r="B13788" s="318" t="s">
        <v>237</v>
      </c>
    </row>
    <row r="13789" spans="1:2" ht="12.75" customHeight="1" x14ac:dyDescent="0.25">
      <c r="A13789" s="318">
        <v>95092388948</v>
      </c>
      <c r="B13789" s="318" t="s">
        <v>237</v>
      </c>
    </row>
    <row r="13790" spans="1:2" ht="12.75" customHeight="1" x14ac:dyDescent="0.25">
      <c r="A13790" s="318">
        <v>95092388950</v>
      </c>
      <c r="B13790" s="318" t="s">
        <v>237</v>
      </c>
    </row>
    <row r="13791" spans="1:2" ht="12.75" customHeight="1" x14ac:dyDescent="0.25">
      <c r="A13791" s="318">
        <v>95092388951</v>
      </c>
      <c r="B13791" s="318" t="s">
        <v>237</v>
      </c>
    </row>
    <row r="13792" spans="1:2" ht="12.75" customHeight="1" x14ac:dyDescent="0.25">
      <c r="A13792" s="318">
        <v>95092388952</v>
      </c>
      <c r="B13792" s="318" t="s">
        <v>237</v>
      </c>
    </row>
    <row r="13793" spans="1:2" ht="12.75" customHeight="1" x14ac:dyDescent="0.25">
      <c r="A13793" s="318">
        <v>95092388953</v>
      </c>
      <c r="B13793" s="318" t="s">
        <v>237</v>
      </c>
    </row>
    <row r="13794" spans="1:2" ht="12.75" customHeight="1" x14ac:dyDescent="0.25">
      <c r="A13794" s="318">
        <v>95092388954</v>
      </c>
      <c r="B13794" s="318" t="s">
        <v>237</v>
      </c>
    </row>
    <row r="13795" spans="1:2" ht="12.75" customHeight="1" x14ac:dyDescent="0.25">
      <c r="A13795" s="318">
        <v>95092388955</v>
      </c>
      <c r="B13795" s="318" t="s">
        <v>237</v>
      </c>
    </row>
    <row r="13796" spans="1:2" ht="12.75" customHeight="1" x14ac:dyDescent="0.25">
      <c r="A13796" s="318">
        <v>95092388956</v>
      </c>
      <c r="B13796" s="318" t="s">
        <v>237</v>
      </c>
    </row>
    <row r="13797" spans="1:2" ht="12.75" customHeight="1" x14ac:dyDescent="0.25">
      <c r="A13797" s="318">
        <v>95092388957</v>
      </c>
      <c r="B13797" s="318" t="s">
        <v>237</v>
      </c>
    </row>
    <row r="13798" spans="1:2" ht="12.75" customHeight="1" x14ac:dyDescent="0.25">
      <c r="A13798" s="318">
        <v>95093069032</v>
      </c>
      <c r="B13798" s="318" t="s">
        <v>23</v>
      </c>
    </row>
    <row r="13799" spans="1:2" ht="12.75" customHeight="1" x14ac:dyDescent="0.25">
      <c r="A13799" s="318">
        <v>95093069033</v>
      </c>
      <c r="B13799" s="318" t="s">
        <v>23</v>
      </c>
    </row>
    <row r="13800" spans="1:2" ht="12.75" customHeight="1" x14ac:dyDescent="0.25">
      <c r="A13800" s="318">
        <v>95093069034</v>
      </c>
      <c r="B13800" s="318" t="s">
        <v>23</v>
      </c>
    </row>
    <row r="13801" spans="1:2" ht="12.75" customHeight="1" x14ac:dyDescent="0.25">
      <c r="A13801" s="318">
        <v>95093069035</v>
      </c>
      <c r="B13801" s="318" t="s">
        <v>23</v>
      </c>
    </row>
    <row r="13802" spans="1:2" ht="12.75" customHeight="1" x14ac:dyDescent="0.25">
      <c r="A13802" s="318">
        <v>95093069036</v>
      </c>
      <c r="B13802" s="318" t="s">
        <v>23</v>
      </c>
    </row>
    <row r="13803" spans="1:2" ht="12.75" customHeight="1" x14ac:dyDescent="0.25">
      <c r="A13803" s="318">
        <v>95093069037</v>
      </c>
      <c r="B13803" s="318" t="s">
        <v>23</v>
      </c>
    </row>
    <row r="13804" spans="1:2" ht="12.75" customHeight="1" x14ac:dyDescent="0.25">
      <c r="A13804" s="318">
        <v>95093069038</v>
      </c>
      <c r="B13804" s="318" t="s">
        <v>23</v>
      </c>
    </row>
    <row r="13805" spans="1:2" ht="12.75" customHeight="1" x14ac:dyDescent="0.25">
      <c r="A13805" s="318">
        <v>95093069039</v>
      </c>
      <c r="B13805" s="318" t="s">
        <v>237</v>
      </c>
    </row>
    <row r="13806" spans="1:2" ht="12.75" customHeight="1" x14ac:dyDescent="0.25">
      <c r="A13806" s="318">
        <v>95093069041</v>
      </c>
      <c r="B13806" s="318" t="s">
        <v>237</v>
      </c>
    </row>
    <row r="13807" spans="1:2" ht="12.75" customHeight="1" x14ac:dyDescent="0.25">
      <c r="A13807" s="318">
        <v>95093069042</v>
      </c>
      <c r="B13807" s="318" t="s">
        <v>237</v>
      </c>
    </row>
    <row r="13808" spans="1:2" ht="12.75" customHeight="1" x14ac:dyDescent="0.25">
      <c r="A13808" s="318">
        <v>95093069043</v>
      </c>
      <c r="B13808" s="318" t="s">
        <v>237</v>
      </c>
    </row>
    <row r="13809" spans="1:2" ht="12.75" customHeight="1" x14ac:dyDescent="0.25">
      <c r="A13809" s="318">
        <v>95093069044</v>
      </c>
      <c r="B13809" s="318" t="s">
        <v>237</v>
      </c>
    </row>
    <row r="13810" spans="1:2" ht="12.75" customHeight="1" x14ac:dyDescent="0.25">
      <c r="A13810" s="318">
        <v>95093069045</v>
      </c>
      <c r="B13810" s="318" t="s">
        <v>237</v>
      </c>
    </row>
    <row r="13811" spans="1:2" ht="12.75" customHeight="1" x14ac:dyDescent="0.25">
      <c r="A13811" s="318">
        <v>95093069046</v>
      </c>
      <c r="B13811" s="318" t="s">
        <v>237</v>
      </c>
    </row>
    <row r="13812" spans="1:2" ht="12.75" customHeight="1" x14ac:dyDescent="0.25">
      <c r="A13812" s="318">
        <v>95093069047</v>
      </c>
      <c r="B13812" s="318" t="s">
        <v>237</v>
      </c>
    </row>
    <row r="13813" spans="1:2" ht="12.75" customHeight="1" x14ac:dyDescent="0.25">
      <c r="A13813" s="318">
        <v>95093069048</v>
      </c>
      <c r="B13813" s="318" t="s">
        <v>237</v>
      </c>
    </row>
    <row r="13814" spans="1:2" ht="12.75" customHeight="1" x14ac:dyDescent="0.25">
      <c r="A13814" s="318">
        <v>95093069132</v>
      </c>
      <c r="B13814" s="318" t="s">
        <v>237</v>
      </c>
    </row>
    <row r="13815" spans="1:2" ht="12.75" customHeight="1" x14ac:dyDescent="0.25">
      <c r="A13815" s="318">
        <v>95093069133</v>
      </c>
      <c r="B13815" s="318" t="s">
        <v>237</v>
      </c>
    </row>
    <row r="13816" spans="1:2" ht="12.75" customHeight="1" x14ac:dyDescent="0.25">
      <c r="A13816" s="318">
        <v>95093069134</v>
      </c>
      <c r="B13816" s="318" t="s">
        <v>237</v>
      </c>
    </row>
    <row r="13817" spans="1:2" ht="12.75" customHeight="1" x14ac:dyDescent="0.25">
      <c r="A13817" s="318">
        <v>95093069135</v>
      </c>
      <c r="B13817" s="318" t="s">
        <v>237</v>
      </c>
    </row>
    <row r="13818" spans="1:2" ht="12.75" customHeight="1" x14ac:dyDescent="0.25">
      <c r="A13818" s="318">
        <v>95093069136</v>
      </c>
      <c r="B13818" s="318" t="s">
        <v>237</v>
      </c>
    </row>
    <row r="13819" spans="1:2" ht="12.75" customHeight="1" x14ac:dyDescent="0.25">
      <c r="A13819" s="318">
        <v>95093069137</v>
      </c>
      <c r="B13819" s="318" t="s">
        <v>237</v>
      </c>
    </row>
    <row r="13820" spans="1:2" ht="12.75" customHeight="1" x14ac:dyDescent="0.25">
      <c r="A13820" s="318">
        <v>95093069138</v>
      </c>
      <c r="B13820" s="318" t="s">
        <v>237</v>
      </c>
    </row>
    <row r="13821" spans="1:2" ht="12.75" customHeight="1" x14ac:dyDescent="0.25">
      <c r="A13821" s="318">
        <v>95093069139</v>
      </c>
      <c r="B13821" s="318" t="s">
        <v>237</v>
      </c>
    </row>
    <row r="13822" spans="1:2" ht="12.75" customHeight="1" x14ac:dyDescent="0.25">
      <c r="A13822" s="318">
        <v>95093069141</v>
      </c>
      <c r="B13822" s="318" t="s">
        <v>237</v>
      </c>
    </row>
    <row r="13823" spans="1:2" ht="12.75" customHeight="1" x14ac:dyDescent="0.25">
      <c r="A13823" s="318">
        <v>95093069142</v>
      </c>
      <c r="B13823" s="318" t="s">
        <v>237</v>
      </c>
    </row>
    <row r="13824" spans="1:2" ht="12.75" customHeight="1" x14ac:dyDescent="0.25">
      <c r="A13824" s="318">
        <v>95093069143</v>
      </c>
      <c r="B13824" s="318" t="s">
        <v>237</v>
      </c>
    </row>
    <row r="13825" spans="1:2" ht="12.75" customHeight="1" x14ac:dyDescent="0.25">
      <c r="A13825" s="318">
        <v>95093069144</v>
      </c>
      <c r="B13825" s="318" t="s">
        <v>237</v>
      </c>
    </row>
    <row r="13826" spans="1:2" ht="12.75" customHeight="1" x14ac:dyDescent="0.25">
      <c r="A13826" s="318">
        <v>95093069145</v>
      </c>
      <c r="B13826" s="318" t="s">
        <v>237</v>
      </c>
    </row>
    <row r="13827" spans="1:2" ht="12.75" customHeight="1" x14ac:dyDescent="0.25">
      <c r="A13827" s="318">
        <v>95093069146</v>
      </c>
      <c r="B13827" s="318" t="s">
        <v>237</v>
      </c>
    </row>
    <row r="13828" spans="1:2" ht="12.75" customHeight="1" x14ac:dyDescent="0.25">
      <c r="A13828" s="318">
        <v>95093069147</v>
      </c>
      <c r="B13828" s="318" t="s">
        <v>237</v>
      </c>
    </row>
    <row r="13829" spans="1:2" ht="12.75" customHeight="1" x14ac:dyDescent="0.25">
      <c r="A13829" s="318">
        <v>95093069148</v>
      </c>
      <c r="B13829" s="318" t="s">
        <v>237</v>
      </c>
    </row>
    <row r="13830" spans="1:2" ht="12.75" customHeight="1" x14ac:dyDescent="0.25">
      <c r="A13830" s="318">
        <v>95093550005</v>
      </c>
      <c r="B13830" s="318" t="s">
        <v>23</v>
      </c>
    </row>
    <row r="13831" spans="1:2" ht="12.75" customHeight="1" x14ac:dyDescent="0.25">
      <c r="A13831" s="318">
        <v>95093550006</v>
      </c>
      <c r="B13831" s="318" t="s">
        <v>23</v>
      </c>
    </row>
    <row r="13832" spans="1:2" ht="12.75" customHeight="1" x14ac:dyDescent="0.25">
      <c r="A13832" s="318">
        <v>95093550007</v>
      </c>
      <c r="B13832" s="318" t="s">
        <v>23</v>
      </c>
    </row>
    <row r="13833" spans="1:2" ht="12.75" customHeight="1" x14ac:dyDescent="0.25">
      <c r="A13833" s="318">
        <v>95093550008</v>
      </c>
      <c r="B13833" s="318" t="s">
        <v>23</v>
      </c>
    </row>
    <row r="13834" spans="1:2" ht="12.75" customHeight="1" x14ac:dyDescent="0.25">
      <c r="A13834" s="318">
        <v>95093550009</v>
      </c>
      <c r="B13834" s="318" t="s">
        <v>23</v>
      </c>
    </row>
    <row r="13835" spans="1:2" ht="12.75" customHeight="1" x14ac:dyDescent="0.25">
      <c r="A13835" s="318">
        <v>95093550010</v>
      </c>
      <c r="B13835" s="318" t="s">
        <v>23</v>
      </c>
    </row>
    <row r="13836" spans="1:2" ht="12.75" customHeight="1" x14ac:dyDescent="0.25">
      <c r="A13836" s="318">
        <v>95093550011</v>
      </c>
      <c r="B13836" s="318" t="s">
        <v>23</v>
      </c>
    </row>
    <row r="13837" spans="1:2" ht="12.75" customHeight="1" x14ac:dyDescent="0.25">
      <c r="A13837" s="318">
        <v>95093550012</v>
      </c>
      <c r="B13837" s="318" t="s">
        <v>237</v>
      </c>
    </row>
    <row r="13838" spans="1:2" ht="12.75" customHeight="1" x14ac:dyDescent="0.25">
      <c r="A13838" s="318">
        <v>95093550014</v>
      </c>
      <c r="B13838" s="318" t="s">
        <v>237</v>
      </c>
    </row>
    <row r="13839" spans="1:2" ht="12.75" customHeight="1" x14ac:dyDescent="0.25">
      <c r="A13839" s="318">
        <v>95093550015</v>
      </c>
      <c r="B13839" s="318" t="s">
        <v>237</v>
      </c>
    </row>
    <row r="13840" spans="1:2" ht="12.75" customHeight="1" x14ac:dyDescent="0.25">
      <c r="A13840" s="318">
        <v>95093550016</v>
      </c>
      <c r="B13840" s="318" t="s">
        <v>237</v>
      </c>
    </row>
    <row r="13841" spans="1:2" ht="12.75" customHeight="1" x14ac:dyDescent="0.25">
      <c r="A13841" s="318">
        <v>95093550017</v>
      </c>
      <c r="B13841" s="318" t="s">
        <v>237</v>
      </c>
    </row>
    <row r="13842" spans="1:2" ht="12.75" customHeight="1" x14ac:dyDescent="0.25">
      <c r="A13842" s="318">
        <v>95093550018</v>
      </c>
      <c r="B13842" s="318" t="s">
        <v>237</v>
      </c>
    </row>
    <row r="13843" spans="1:2" ht="12.75" customHeight="1" x14ac:dyDescent="0.25">
      <c r="A13843" s="318">
        <v>95093550019</v>
      </c>
      <c r="B13843" s="318" t="s">
        <v>237</v>
      </c>
    </row>
    <row r="13844" spans="1:2" ht="12.75" customHeight="1" x14ac:dyDescent="0.25">
      <c r="A13844" s="318">
        <v>95093550020</v>
      </c>
      <c r="B13844" s="318" t="s">
        <v>237</v>
      </c>
    </row>
    <row r="13845" spans="1:2" ht="12.75" customHeight="1" x14ac:dyDescent="0.25">
      <c r="A13845" s="318">
        <v>95093550021</v>
      </c>
      <c r="B13845" s="318" t="s">
        <v>237</v>
      </c>
    </row>
    <row r="13846" spans="1:2" ht="12.75" customHeight="1" x14ac:dyDescent="0.25">
      <c r="A13846" s="318">
        <v>95093550105</v>
      </c>
      <c r="B13846" s="318" t="s">
        <v>237</v>
      </c>
    </row>
    <row r="13847" spans="1:2" ht="12.75" customHeight="1" x14ac:dyDescent="0.25">
      <c r="A13847" s="318">
        <v>95093550106</v>
      </c>
      <c r="B13847" s="318" t="s">
        <v>237</v>
      </c>
    </row>
    <row r="13848" spans="1:2" ht="12.75" customHeight="1" x14ac:dyDescent="0.25">
      <c r="A13848" s="318">
        <v>95093550107</v>
      </c>
      <c r="B13848" s="318" t="s">
        <v>237</v>
      </c>
    </row>
    <row r="13849" spans="1:2" ht="12.75" customHeight="1" x14ac:dyDescent="0.25">
      <c r="A13849" s="318">
        <v>95093550108</v>
      </c>
      <c r="B13849" s="318" t="s">
        <v>237</v>
      </c>
    </row>
    <row r="13850" spans="1:2" ht="12.75" customHeight="1" x14ac:dyDescent="0.25">
      <c r="A13850" s="318">
        <v>95093550109</v>
      </c>
      <c r="B13850" s="318" t="s">
        <v>237</v>
      </c>
    </row>
    <row r="13851" spans="1:2" ht="12.75" customHeight="1" x14ac:dyDescent="0.25">
      <c r="A13851" s="318">
        <v>95093550110</v>
      </c>
      <c r="B13851" s="318" t="s">
        <v>237</v>
      </c>
    </row>
    <row r="13852" spans="1:2" ht="12.75" customHeight="1" x14ac:dyDescent="0.25">
      <c r="A13852" s="318">
        <v>95093550111</v>
      </c>
      <c r="B13852" s="318" t="s">
        <v>237</v>
      </c>
    </row>
    <row r="13853" spans="1:2" ht="12.75" customHeight="1" x14ac:dyDescent="0.25">
      <c r="A13853" s="318">
        <v>95093550112</v>
      </c>
      <c r="B13853" s="318" t="s">
        <v>237</v>
      </c>
    </row>
    <row r="13854" spans="1:2" ht="12.75" customHeight="1" x14ac:dyDescent="0.25">
      <c r="A13854" s="318">
        <v>95093550114</v>
      </c>
      <c r="B13854" s="318" t="s">
        <v>237</v>
      </c>
    </row>
    <row r="13855" spans="1:2" ht="12.75" customHeight="1" x14ac:dyDescent="0.25">
      <c r="A13855" s="318">
        <v>95093550115</v>
      </c>
      <c r="B13855" s="318" t="s">
        <v>237</v>
      </c>
    </row>
    <row r="13856" spans="1:2" ht="12.75" customHeight="1" x14ac:dyDescent="0.25">
      <c r="A13856" s="318">
        <v>95093550116</v>
      </c>
      <c r="B13856" s="318" t="s">
        <v>237</v>
      </c>
    </row>
    <row r="13857" spans="1:2" ht="12.75" customHeight="1" x14ac:dyDescent="0.25">
      <c r="A13857" s="318">
        <v>95093550117</v>
      </c>
      <c r="B13857" s="318" t="s">
        <v>237</v>
      </c>
    </row>
    <row r="13858" spans="1:2" ht="12.75" customHeight="1" x14ac:dyDescent="0.25">
      <c r="A13858" s="318">
        <v>95093550118</v>
      </c>
      <c r="B13858" s="318" t="s">
        <v>237</v>
      </c>
    </row>
    <row r="13859" spans="1:2" ht="12.75" customHeight="1" x14ac:dyDescent="0.25">
      <c r="A13859" s="318">
        <v>95093550119</v>
      </c>
      <c r="B13859" s="318" t="s">
        <v>237</v>
      </c>
    </row>
    <row r="13860" spans="1:2" ht="12.75" customHeight="1" x14ac:dyDescent="0.25">
      <c r="A13860" s="318">
        <v>95093550120</v>
      </c>
      <c r="B13860" s="318" t="s">
        <v>237</v>
      </c>
    </row>
    <row r="13861" spans="1:2" ht="12.75" customHeight="1" x14ac:dyDescent="0.25">
      <c r="A13861" s="318">
        <v>95093550121</v>
      </c>
      <c r="B13861" s="318" t="s">
        <v>237</v>
      </c>
    </row>
    <row r="13862" spans="1:2" ht="12.75" customHeight="1" x14ac:dyDescent="0.25">
      <c r="A13862" s="318">
        <v>95094030978</v>
      </c>
      <c r="B13862" s="318" t="s">
        <v>23</v>
      </c>
    </row>
    <row r="13863" spans="1:2" ht="12.75" customHeight="1" x14ac:dyDescent="0.25">
      <c r="A13863" s="318">
        <v>95094030979</v>
      </c>
      <c r="B13863" s="318" t="s">
        <v>23</v>
      </c>
    </row>
    <row r="13864" spans="1:2" ht="12.75" customHeight="1" x14ac:dyDescent="0.25">
      <c r="A13864" s="318">
        <v>95094030980</v>
      </c>
      <c r="B13864" s="318" t="s">
        <v>23</v>
      </c>
    </row>
    <row r="13865" spans="1:2" ht="12.75" customHeight="1" x14ac:dyDescent="0.25">
      <c r="A13865" s="318">
        <v>95094030981</v>
      </c>
      <c r="B13865" s="318" t="s">
        <v>23</v>
      </c>
    </row>
    <row r="13866" spans="1:2" ht="12.75" customHeight="1" x14ac:dyDescent="0.25">
      <c r="A13866" s="318">
        <v>95094030982</v>
      </c>
      <c r="B13866" s="318" t="s">
        <v>23</v>
      </c>
    </row>
    <row r="13867" spans="1:2" ht="12.75" customHeight="1" x14ac:dyDescent="0.25">
      <c r="A13867" s="318">
        <v>95094030983</v>
      </c>
      <c r="B13867" s="318" t="s">
        <v>23</v>
      </c>
    </row>
    <row r="13868" spans="1:2" ht="12.75" customHeight="1" x14ac:dyDescent="0.25">
      <c r="A13868" s="318">
        <v>95094030984</v>
      </c>
      <c r="B13868" s="318" t="s">
        <v>23</v>
      </c>
    </row>
    <row r="13869" spans="1:2" ht="12.75" customHeight="1" x14ac:dyDescent="0.25">
      <c r="A13869" s="318">
        <v>95094030985</v>
      </c>
      <c r="B13869" s="318" t="s">
        <v>237</v>
      </c>
    </row>
    <row r="13870" spans="1:2" ht="12.75" customHeight="1" x14ac:dyDescent="0.25">
      <c r="A13870" s="318">
        <v>95094030987</v>
      </c>
      <c r="B13870" s="318" t="s">
        <v>23</v>
      </c>
    </row>
    <row r="13871" spans="1:2" ht="12.75" customHeight="1" x14ac:dyDescent="0.25">
      <c r="A13871" s="318">
        <v>95094030988</v>
      </c>
      <c r="B13871" s="318" t="s">
        <v>237</v>
      </c>
    </row>
    <row r="13872" spans="1:2" ht="12.75" customHeight="1" x14ac:dyDescent="0.25">
      <c r="A13872" s="318">
        <v>95094030989</v>
      </c>
      <c r="B13872" s="318" t="s">
        <v>23</v>
      </c>
    </row>
    <row r="13873" spans="1:2" ht="12.75" customHeight="1" x14ac:dyDescent="0.25">
      <c r="A13873" s="318">
        <v>95094030990</v>
      </c>
      <c r="B13873" s="318" t="s">
        <v>237</v>
      </c>
    </row>
    <row r="13874" spans="1:2" ht="12.75" customHeight="1" x14ac:dyDescent="0.25">
      <c r="A13874" s="318">
        <v>95094030991</v>
      </c>
      <c r="B13874" s="318" t="s">
        <v>23</v>
      </c>
    </row>
    <row r="13875" spans="1:2" ht="12.75" customHeight="1" x14ac:dyDescent="0.25">
      <c r="A13875" s="318">
        <v>95094030992</v>
      </c>
      <c r="B13875" s="318" t="s">
        <v>237</v>
      </c>
    </row>
    <row r="13876" spans="1:2" ht="12.75" customHeight="1" x14ac:dyDescent="0.25">
      <c r="A13876" s="318">
        <v>95094030993</v>
      </c>
      <c r="B13876" s="318" t="s">
        <v>23</v>
      </c>
    </row>
    <row r="13877" spans="1:2" ht="12.75" customHeight="1" x14ac:dyDescent="0.25">
      <c r="A13877" s="318">
        <v>95094030994</v>
      </c>
      <c r="B13877" s="318" t="s">
        <v>237</v>
      </c>
    </row>
    <row r="13878" spans="1:2" ht="12.75" customHeight="1" x14ac:dyDescent="0.25">
      <c r="A13878" s="318">
        <v>95094031078</v>
      </c>
      <c r="B13878" s="318" t="s">
        <v>237</v>
      </c>
    </row>
    <row r="13879" spans="1:2" ht="12.75" customHeight="1" x14ac:dyDescent="0.25">
      <c r="A13879" s="318">
        <v>95094031079</v>
      </c>
      <c r="B13879" s="318" t="s">
        <v>237</v>
      </c>
    </row>
    <row r="13880" spans="1:2" ht="12.75" customHeight="1" x14ac:dyDescent="0.25">
      <c r="A13880" s="318">
        <v>95094031080</v>
      </c>
      <c r="B13880" s="318" t="s">
        <v>237</v>
      </c>
    </row>
    <row r="13881" spans="1:2" ht="12.75" customHeight="1" x14ac:dyDescent="0.25">
      <c r="A13881" s="318">
        <v>95094031081</v>
      </c>
      <c r="B13881" s="318" t="s">
        <v>237</v>
      </c>
    </row>
    <row r="13882" spans="1:2" ht="12.75" customHeight="1" x14ac:dyDescent="0.25">
      <c r="A13882" s="318">
        <v>95094031082</v>
      </c>
      <c r="B13882" s="318" t="s">
        <v>237</v>
      </c>
    </row>
    <row r="13883" spans="1:2" ht="12.75" customHeight="1" x14ac:dyDescent="0.25">
      <c r="A13883" s="318">
        <v>95094031083</v>
      </c>
      <c r="B13883" s="318" t="s">
        <v>237</v>
      </c>
    </row>
    <row r="13884" spans="1:2" ht="12.75" customHeight="1" x14ac:dyDescent="0.25">
      <c r="A13884" s="318">
        <v>95094031084</v>
      </c>
      <c r="B13884" s="318" t="s">
        <v>237</v>
      </c>
    </row>
    <row r="13885" spans="1:2" ht="12.75" customHeight="1" x14ac:dyDescent="0.25">
      <c r="A13885" s="318">
        <v>95094031085</v>
      </c>
      <c r="B13885" s="318" t="s">
        <v>237</v>
      </c>
    </row>
    <row r="13886" spans="1:2" ht="12.75" customHeight="1" x14ac:dyDescent="0.25">
      <c r="A13886" s="318">
        <v>95094031087</v>
      </c>
      <c r="B13886" s="318" t="s">
        <v>237</v>
      </c>
    </row>
    <row r="13887" spans="1:2" ht="12.75" customHeight="1" x14ac:dyDescent="0.25">
      <c r="A13887" s="318">
        <v>95094031088</v>
      </c>
      <c r="B13887" s="318" t="s">
        <v>237</v>
      </c>
    </row>
    <row r="13888" spans="1:2" ht="12.75" customHeight="1" x14ac:dyDescent="0.25">
      <c r="A13888" s="318">
        <v>95094031089</v>
      </c>
      <c r="B13888" s="318" t="s">
        <v>237</v>
      </c>
    </row>
    <row r="13889" spans="1:2" ht="12.75" customHeight="1" x14ac:dyDescent="0.25">
      <c r="A13889" s="318">
        <v>95094031090</v>
      </c>
      <c r="B13889" s="318" t="s">
        <v>237</v>
      </c>
    </row>
    <row r="13890" spans="1:2" ht="12.75" customHeight="1" x14ac:dyDescent="0.25">
      <c r="A13890" s="318">
        <v>95094031091</v>
      </c>
      <c r="B13890" s="318" t="s">
        <v>237</v>
      </c>
    </row>
    <row r="13891" spans="1:2" ht="12.75" customHeight="1" x14ac:dyDescent="0.25">
      <c r="A13891" s="318">
        <v>95094031092</v>
      </c>
      <c r="B13891" s="318" t="s">
        <v>237</v>
      </c>
    </row>
    <row r="13892" spans="1:2" ht="12.75" customHeight="1" x14ac:dyDescent="0.25">
      <c r="A13892" s="318">
        <v>95094031093</v>
      </c>
      <c r="B13892" s="318" t="s">
        <v>237</v>
      </c>
    </row>
    <row r="13893" spans="1:2" ht="12.75" customHeight="1" x14ac:dyDescent="0.25">
      <c r="A13893" s="318">
        <v>95094031094</v>
      </c>
      <c r="B13893" s="318" t="s">
        <v>237</v>
      </c>
    </row>
    <row r="13894" spans="1:2" ht="12.75" customHeight="1" x14ac:dyDescent="0.25">
      <c r="A13894" s="318">
        <v>95094711169</v>
      </c>
      <c r="B13894" s="318" t="s">
        <v>23</v>
      </c>
    </row>
    <row r="13895" spans="1:2" ht="12.75" customHeight="1" x14ac:dyDescent="0.25">
      <c r="A13895" s="318">
        <v>95094711170</v>
      </c>
      <c r="B13895" s="318" t="s">
        <v>23</v>
      </c>
    </row>
    <row r="13896" spans="1:2" ht="12.75" customHeight="1" x14ac:dyDescent="0.25">
      <c r="A13896" s="318">
        <v>95094711171</v>
      </c>
      <c r="B13896" s="318" t="s">
        <v>23</v>
      </c>
    </row>
    <row r="13897" spans="1:2" ht="12.75" customHeight="1" x14ac:dyDescent="0.25">
      <c r="A13897" s="318">
        <v>95094711172</v>
      </c>
      <c r="B13897" s="318" t="s">
        <v>23</v>
      </c>
    </row>
    <row r="13898" spans="1:2" ht="12.75" customHeight="1" x14ac:dyDescent="0.25">
      <c r="A13898" s="318">
        <v>95094711173</v>
      </c>
      <c r="B13898" s="318" t="s">
        <v>23</v>
      </c>
    </row>
    <row r="13899" spans="1:2" ht="12.75" customHeight="1" x14ac:dyDescent="0.25">
      <c r="A13899" s="318">
        <v>95094711174</v>
      </c>
      <c r="B13899" s="318" t="s">
        <v>23</v>
      </c>
    </row>
    <row r="13900" spans="1:2" ht="12.75" customHeight="1" x14ac:dyDescent="0.25">
      <c r="A13900" s="318">
        <v>95094711175</v>
      </c>
      <c r="B13900" s="318" t="s">
        <v>23</v>
      </c>
    </row>
    <row r="13901" spans="1:2" ht="12.75" customHeight="1" x14ac:dyDescent="0.25">
      <c r="A13901" s="318">
        <v>95094711176</v>
      </c>
      <c r="B13901" s="318" t="s">
        <v>237</v>
      </c>
    </row>
    <row r="13902" spans="1:2" ht="12.75" customHeight="1" x14ac:dyDescent="0.25">
      <c r="A13902" s="318">
        <v>95094711178</v>
      </c>
      <c r="B13902" s="318" t="s">
        <v>23</v>
      </c>
    </row>
    <row r="13903" spans="1:2" ht="12.75" customHeight="1" x14ac:dyDescent="0.25">
      <c r="A13903" s="318">
        <v>95094711179</v>
      </c>
      <c r="B13903" s="318" t="s">
        <v>237</v>
      </c>
    </row>
    <row r="13904" spans="1:2" ht="12.75" customHeight="1" x14ac:dyDescent="0.25">
      <c r="A13904" s="318">
        <v>95094711180</v>
      </c>
      <c r="B13904" s="318" t="s">
        <v>23</v>
      </c>
    </row>
    <row r="13905" spans="1:2" ht="12.75" customHeight="1" x14ac:dyDescent="0.25">
      <c r="A13905" s="318">
        <v>95094711181</v>
      </c>
      <c r="B13905" s="318" t="s">
        <v>237</v>
      </c>
    </row>
    <row r="13906" spans="1:2" ht="12.75" customHeight="1" x14ac:dyDescent="0.25">
      <c r="A13906" s="318">
        <v>95094711182</v>
      </c>
      <c r="B13906" s="318" t="s">
        <v>23</v>
      </c>
    </row>
    <row r="13907" spans="1:2" ht="12.75" customHeight="1" x14ac:dyDescent="0.25">
      <c r="A13907" s="318">
        <v>95094711183</v>
      </c>
      <c r="B13907" s="318" t="s">
        <v>237</v>
      </c>
    </row>
    <row r="13908" spans="1:2" ht="12.75" customHeight="1" x14ac:dyDescent="0.25">
      <c r="A13908" s="318">
        <v>95094711184</v>
      </c>
      <c r="B13908" s="318" t="s">
        <v>23</v>
      </c>
    </row>
    <row r="13909" spans="1:2" ht="12.75" customHeight="1" x14ac:dyDescent="0.25">
      <c r="A13909" s="318">
        <v>95094711185</v>
      </c>
      <c r="B13909" s="318" t="s">
        <v>237</v>
      </c>
    </row>
    <row r="13910" spans="1:2" ht="12.75" customHeight="1" x14ac:dyDescent="0.25">
      <c r="A13910" s="318">
        <v>95094711269</v>
      </c>
      <c r="B13910" s="318" t="s">
        <v>237</v>
      </c>
    </row>
    <row r="13911" spans="1:2" ht="12.75" customHeight="1" x14ac:dyDescent="0.25">
      <c r="A13911" s="318">
        <v>95094711270</v>
      </c>
      <c r="B13911" s="318" t="s">
        <v>237</v>
      </c>
    </row>
    <row r="13912" spans="1:2" ht="12.75" customHeight="1" x14ac:dyDescent="0.25">
      <c r="A13912" s="318">
        <v>95094711271</v>
      </c>
      <c r="B13912" s="318" t="s">
        <v>237</v>
      </c>
    </row>
    <row r="13913" spans="1:2" ht="12.75" customHeight="1" x14ac:dyDescent="0.25">
      <c r="A13913" s="318">
        <v>95094711272</v>
      </c>
      <c r="B13913" s="318" t="s">
        <v>237</v>
      </c>
    </row>
    <row r="13914" spans="1:2" ht="12.75" customHeight="1" x14ac:dyDescent="0.25">
      <c r="A13914" s="318">
        <v>95094711273</v>
      </c>
      <c r="B13914" s="318" t="s">
        <v>237</v>
      </c>
    </row>
    <row r="13915" spans="1:2" ht="12.75" customHeight="1" x14ac:dyDescent="0.25">
      <c r="A13915" s="318">
        <v>95094711274</v>
      </c>
      <c r="B13915" s="318" t="s">
        <v>237</v>
      </c>
    </row>
    <row r="13916" spans="1:2" ht="12.75" customHeight="1" x14ac:dyDescent="0.25">
      <c r="A13916" s="318">
        <v>95094711275</v>
      </c>
      <c r="B13916" s="318" t="s">
        <v>237</v>
      </c>
    </row>
    <row r="13917" spans="1:2" ht="12.75" customHeight="1" x14ac:dyDescent="0.25">
      <c r="A13917" s="318">
        <v>95094711276</v>
      </c>
      <c r="B13917" s="318" t="s">
        <v>237</v>
      </c>
    </row>
    <row r="13918" spans="1:2" ht="12.75" customHeight="1" x14ac:dyDescent="0.25">
      <c r="A13918" s="318">
        <v>95094711278</v>
      </c>
      <c r="B13918" s="318" t="s">
        <v>237</v>
      </c>
    </row>
    <row r="13919" spans="1:2" ht="12.75" customHeight="1" x14ac:dyDescent="0.25">
      <c r="A13919" s="318">
        <v>95094711279</v>
      </c>
      <c r="B13919" s="318" t="s">
        <v>237</v>
      </c>
    </row>
    <row r="13920" spans="1:2" ht="12.75" customHeight="1" x14ac:dyDescent="0.25">
      <c r="A13920" s="318">
        <v>95094711280</v>
      </c>
      <c r="B13920" s="318" t="s">
        <v>237</v>
      </c>
    </row>
    <row r="13921" spans="1:2" ht="12.75" customHeight="1" x14ac:dyDescent="0.25">
      <c r="A13921" s="318">
        <v>95094711281</v>
      </c>
      <c r="B13921" s="318" t="s">
        <v>237</v>
      </c>
    </row>
    <row r="13922" spans="1:2" ht="12.75" customHeight="1" x14ac:dyDescent="0.25">
      <c r="A13922" s="318">
        <v>95094711282</v>
      </c>
      <c r="B13922" s="318" t="s">
        <v>237</v>
      </c>
    </row>
    <row r="13923" spans="1:2" ht="12.75" customHeight="1" x14ac:dyDescent="0.25">
      <c r="A13923" s="318">
        <v>95094711283</v>
      </c>
      <c r="B13923" s="318" t="s">
        <v>237</v>
      </c>
    </row>
    <row r="13924" spans="1:2" ht="12.75" customHeight="1" x14ac:dyDescent="0.25">
      <c r="A13924" s="318">
        <v>95094711284</v>
      </c>
      <c r="B13924" s="318" t="s">
        <v>237</v>
      </c>
    </row>
    <row r="13925" spans="1:2" ht="12.75" customHeight="1" x14ac:dyDescent="0.25">
      <c r="A13925" s="318">
        <v>95094711285</v>
      </c>
      <c r="B13925" s="318" t="s">
        <v>237</v>
      </c>
    </row>
    <row r="13926" spans="1:2" ht="12.75" customHeight="1" x14ac:dyDescent="0.25">
      <c r="A13926" s="318">
        <v>95095192142</v>
      </c>
      <c r="B13926" s="318" t="s">
        <v>23</v>
      </c>
    </row>
    <row r="13927" spans="1:2" ht="12.75" customHeight="1" x14ac:dyDescent="0.25">
      <c r="A13927" s="318">
        <v>95095192143</v>
      </c>
      <c r="B13927" s="318" t="s">
        <v>23</v>
      </c>
    </row>
    <row r="13928" spans="1:2" ht="12.75" customHeight="1" x14ac:dyDescent="0.25">
      <c r="A13928" s="318">
        <v>95095192144</v>
      </c>
      <c r="B13928" s="318" t="s">
        <v>23</v>
      </c>
    </row>
    <row r="13929" spans="1:2" ht="12.75" customHeight="1" x14ac:dyDescent="0.25">
      <c r="A13929" s="318">
        <v>95095192145</v>
      </c>
      <c r="B13929" s="318" t="s">
        <v>23</v>
      </c>
    </row>
    <row r="13930" spans="1:2" ht="12.75" customHeight="1" x14ac:dyDescent="0.25">
      <c r="A13930" s="318">
        <v>95095192146</v>
      </c>
      <c r="B13930" s="318" t="s">
        <v>23</v>
      </c>
    </row>
    <row r="13931" spans="1:2" ht="12.75" customHeight="1" x14ac:dyDescent="0.25">
      <c r="A13931" s="318">
        <v>95095192147</v>
      </c>
      <c r="B13931" s="318" t="s">
        <v>23</v>
      </c>
    </row>
    <row r="13932" spans="1:2" ht="12.75" customHeight="1" x14ac:dyDescent="0.25">
      <c r="A13932" s="318">
        <v>95095192148</v>
      </c>
      <c r="B13932" s="318" t="s">
        <v>23</v>
      </c>
    </row>
    <row r="13933" spans="1:2" ht="12.75" customHeight="1" x14ac:dyDescent="0.25">
      <c r="A13933" s="318">
        <v>95095192149</v>
      </c>
      <c r="B13933" s="318" t="s">
        <v>237</v>
      </c>
    </row>
    <row r="13934" spans="1:2" ht="12.75" customHeight="1" x14ac:dyDescent="0.25">
      <c r="A13934" s="318">
        <v>95095192151</v>
      </c>
      <c r="B13934" s="318" t="s">
        <v>23</v>
      </c>
    </row>
    <row r="13935" spans="1:2" ht="12.75" customHeight="1" x14ac:dyDescent="0.25">
      <c r="A13935" s="318">
        <v>95095192152</v>
      </c>
      <c r="B13935" s="318" t="s">
        <v>237</v>
      </c>
    </row>
    <row r="13936" spans="1:2" ht="12.75" customHeight="1" x14ac:dyDescent="0.25">
      <c r="A13936" s="318">
        <v>95095192153</v>
      </c>
      <c r="B13936" s="318" t="s">
        <v>23</v>
      </c>
    </row>
    <row r="13937" spans="1:2" ht="12.75" customHeight="1" x14ac:dyDescent="0.25">
      <c r="A13937" s="318">
        <v>95095192154</v>
      </c>
      <c r="B13937" s="318" t="s">
        <v>237</v>
      </c>
    </row>
    <row r="13938" spans="1:2" ht="12.75" customHeight="1" x14ac:dyDescent="0.25">
      <c r="A13938" s="318">
        <v>95095192155</v>
      </c>
      <c r="B13938" s="318" t="s">
        <v>23</v>
      </c>
    </row>
    <row r="13939" spans="1:2" ht="12.75" customHeight="1" x14ac:dyDescent="0.25">
      <c r="A13939" s="318">
        <v>95095192156</v>
      </c>
      <c r="B13939" s="318" t="s">
        <v>237</v>
      </c>
    </row>
    <row r="13940" spans="1:2" ht="12.75" customHeight="1" x14ac:dyDescent="0.25">
      <c r="A13940" s="318">
        <v>95095192157</v>
      </c>
      <c r="B13940" s="318" t="s">
        <v>23</v>
      </c>
    </row>
    <row r="13941" spans="1:2" ht="12.75" customHeight="1" x14ac:dyDescent="0.25">
      <c r="A13941" s="318">
        <v>95095192158</v>
      </c>
      <c r="B13941" s="318" t="s">
        <v>237</v>
      </c>
    </row>
    <row r="13942" spans="1:2" ht="12.75" customHeight="1" x14ac:dyDescent="0.25">
      <c r="A13942" s="318">
        <v>95095192242</v>
      </c>
      <c r="B13942" s="318" t="s">
        <v>237</v>
      </c>
    </row>
    <row r="13943" spans="1:2" ht="12.75" customHeight="1" x14ac:dyDescent="0.25">
      <c r="A13943" s="318">
        <v>95095192243</v>
      </c>
      <c r="B13943" s="318" t="s">
        <v>237</v>
      </c>
    </row>
    <row r="13944" spans="1:2" ht="12.75" customHeight="1" x14ac:dyDescent="0.25">
      <c r="A13944" s="318">
        <v>95095192244</v>
      </c>
      <c r="B13944" s="318" t="s">
        <v>237</v>
      </c>
    </row>
    <row r="13945" spans="1:2" ht="12.75" customHeight="1" x14ac:dyDescent="0.25">
      <c r="A13945" s="318">
        <v>95095192245</v>
      </c>
      <c r="B13945" s="318" t="s">
        <v>237</v>
      </c>
    </row>
    <row r="13946" spans="1:2" ht="12.75" customHeight="1" x14ac:dyDescent="0.25">
      <c r="A13946" s="318">
        <v>95095192246</v>
      </c>
      <c r="B13946" s="318" t="s">
        <v>237</v>
      </c>
    </row>
    <row r="13947" spans="1:2" ht="12.75" customHeight="1" x14ac:dyDescent="0.25">
      <c r="A13947" s="318">
        <v>95095192247</v>
      </c>
      <c r="B13947" s="318" t="s">
        <v>237</v>
      </c>
    </row>
    <row r="13948" spans="1:2" ht="12.75" customHeight="1" x14ac:dyDescent="0.25">
      <c r="A13948" s="318">
        <v>95095192248</v>
      </c>
      <c r="B13948" s="318" t="s">
        <v>237</v>
      </c>
    </row>
    <row r="13949" spans="1:2" ht="12.75" customHeight="1" x14ac:dyDescent="0.25">
      <c r="A13949" s="318">
        <v>95095192249</v>
      </c>
      <c r="B13949" s="318" t="s">
        <v>237</v>
      </c>
    </row>
    <row r="13950" spans="1:2" ht="12.75" customHeight="1" x14ac:dyDescent="0.25">
      <c r="A13950" s="318">
        <v>95095192251</v>
      </c>
      <c r="B13950" s="318" t="s">
        <v>237</v>
      </c>
    </row>
    <row r="13951" spans="1:2" ht="12.75" customHeight="1" x14ac:dyDescent="0.25">
      <c r="A13951" s="318">
        <v>95095192252</v>
      </c>
      <c r="B13951" s="318" t="s">
        <v>237</v>
      </c>
    </row>
    <row r="13952" spans="1:2" ht="12.75" customHeight="1" x14ac:dyDescent="0.25">
      <c r="A13952" s="318">
        <v>95095192253</v>
      </c>
      <c r="B13952" s="318" t="s">
        <v>237</v>
      </c>
    </row>
    <row r="13953" spans="1:2" ht="12.75" customHeight="1" x14ac:dyDescent="0.25">
      <c r="A13953" s="318">
        <v>95095192254</v>
      </c>
      <c r="B13953" s="318" t="s">
        <v>237</v>
      </c>
    </row>
    <row r="13954" spans="1:2" ht="12.75" customHeight="1" x14ac:dyDescent="0.25">
      <c r="A13954" s="318">
        <v>95095192255</v>
      </c>
      <c r="B13954" s="318" t="s">
        <v>237</v>
      </c>
    </row>
    <row r="13955" spans="1:2" ht="12.75" customHeight="1" x14ac:dyDescent="0.25">
      <c r="A13955" s="318">
        <v>95095192256</v>
      </c>
      <c r="B13955" s="318" t="s">
        <v>237</v>
      </c>
    </row>
    <row r="13956" spans="1:2" ht="12.75" customHeight="1" x14ac:dyDescent="0.25">
      <c r="A13956" s="318">
        <v>95095192257</v>
      </c>
      <c r="B13956" s="318" t="s">
        <v>237</v>
      </c>
    </row>
    <row r="13957" spans="1:2" ht="12.75" customHeight="1" x14ac:dyDescent="0.25">
      <c r="A13957" s="318">
        <v>95095192258</v>
      </c>
      <c r="B13957" s="318" t="s">
        <v>237</v>
      </c>
    </row>
    <row r="13958" spans="1:2" ht="12.75" customHeight="1" x14ac:dyDescent="0.25">
      <c r="A13958" s="318">
        <v>95095673115</v>
      </c>
      <c r="B13958" s="318" t="s">
        <v>23</v>
      </c>
    </row>
    <row r="13959" spans="1:2" ht="12.75" customHeight="1" x14ac:dyDescent="0.25">
      <c r="A13959" s="318">
        <v>95095673116</v>
      </c>
      <c r="B13959" s="318" t="s">
        <v>23</v>
      </c>
    </row>
    <row r="13960" spans="1:2" ht="12.75" customHeight="1" x14ac:dyDescent="0.25">
      <c r="A13960" s="318">
        <v>95095673117</v>
      </c>
      <c r="B13960" s="318" t="s">
        <v>23</v>
      </c>
    </row>
    <row r="13961" spans="1:2" ht="12.75" customHeight="1" x14ac:dyDescent="0.25">
      <c r="A13961" s="318">
        <v>95095673118</v>
      </c>
      <c r="B13961" s="318" t="s">
        <v>23</v>
      </c>
    </row>
    <row r="13962" spans="1:2" ht="12.75" customHeight="1" x14ac:dyDescent="0.25">
      <c r="A13962" s="318">
        <v>95095673119</v>
      </c>
      <c r="B13962" s="318" t="s">
        <v>23</v>
      </c>
    </row>
    <row r="13963" spans="1:2" ht="12.75" customHeight="1" x14ac:dyDescent="0.25">
      <c r="A13963" s="318">
        <v>95095673120</v>
      </c>
      <c r="B13963" s="318" t="s">
        <v>23</v>
      </c>
    </row>
    <row r="13964" spans="1:2" ht="12.75" customHeight="1" x14ac:dyDescent="0.25">
      <c r="A13964" s="318">
        <v>95095673121</v>
      </c>
      <c r="B13964" s="318" t="s">
        <v>23</v>
      </c>
    </row>
    <row r="13965" spans="1:2" ht="12.75" customHeight="1" x14ac:dyDescent="0.25">
      <c r="A13965" s="318">
        <v>95095673122</v>
      </c>
      <c r="B13965" s="318" t="s">
        <v>237</v>
      </c>
    </row>
    <row r="13966" spans="1:2" ht="12.75" customHeight="1" x14ac:dyDescent="0.25">
      <c r="A13966" s="318">
        <v>95095673124</v>
      </c>
      <c r="B13966" s="318" t="s">
        <v>23</v>
      </c>
    </row>
    <row r="13967" spans="1:2" ht="12.75" customHeight="1" x14ac:dyDescent="0.25">
      <c r="A13967" s="318">
        <v>95095673125</v>
      </c>
      <c r="B13967" s="318" t="s">
        <v>237</v>
      </c>
    </row>
    <row r="13968" spans="1:2" ht="12.75" customHeight="1" x14ac:dyDescent="0.25">
      <c r="A13968" s="318">
        <v>95095673126</v>
      </c>
      <c r="B13968" s="318" t="s">
        <v>23</v>
      </c>
    </row>
    <row r="13969" spans="1:2" ht="12.75" customHeight="1" x14ac:dyDescent="0.25">
      <c r="A13969" s="318">
        <v>95095673127</v>
      </c>
      <c r="B13969" s="318" t="s">
        <v>237</v>
      </c>
    </row>
    <row r="13970" spans="1:2" ht="12.75" customHeight="1" x14ac:dyDescent="0.25">
      <c r="A13970" s="318">
        <v>95095673128</v>
      </c>
      <c r="B13970" s="318" t="s">
        <v>23</v>
      </c>
    </row>
    <row r="13971" spans="1:2" ht="12.75" customHeight="1" x14ac:dyDescent="0.25">
      <c r="A13971" s="318">
        <v>95095673129</v>
      </c>
      <c r="B13971" s="318" t="s">
        <v>237</v>
      </c>
    </row>
    <row r="13972" spans="1:2" ht="12.75" customHeight="1" x14ac:dyDescent="0.25">
      <c r="A13972" s="318">
        <v>95095673130</v>
      </c>
      <c r="B13972" s="318" t="s">
        <v>23</v>
      </c>
    </row>
    <row r="13973" spans="1:2" ht="12.75" customHeight="1" x14ac:dyDescent="0.25">
      <c r="A13973" s="318">
        <v>95095673131</v>
      </c>
      <c r="B13973" s="318" t="s">
        <v>237</v>
      </c>
    </row>
    <row r="13974" spans="1:2" ht="12.75" customHeight="1" x14ac:dyDescent="0.25">
      <c r="A13974" s="318">
        <v>95095673215</v>
      </c>
      <c r="B13974" s="318" t="s">
        <v>237</v>
      </c>
    </row>
    <row r="13975" spans="1:2" ht="12.75" customHeight="1" x14ac:dyDescent="0.25">
      <c r="A13975" s="318">
        <v>95095673216</v>
      </c>
      <c r="B13975" s="318" t="s">
        <v>237</v>
      </c>
    </row>
    <row r="13976" spans="1:2" ht="12.75" customHeight="1" x14ac:dyDescent="0.25">
      <c r="A13976" s="318">
        <v>95095673217</v>
      </c>
      <c r="B13976" s="318" t="s">
        <v>237</v>
      </c>
    </row>
    <row r="13977" spans="1:2" ht="12.75" customHeight="1" x14ac:dyDescent="0.25">
      <c r="A13977" s="318">
        <v>95095673218</v>
      </c>
      <c r="B13977" s="318" t="s">
        <v>237</v>
      </c>
    </row>
    <row r="13978" spans="1:2" ht="12.75" customHeight="1" x14ac:dyDescent="0.25">
      <c r="A13978" s="318">
        <v>95095673219</v>
      </c>
      <c r="B13978" s="318" t="s">
        <v>237</v>
      </c>
    </row>
    <row r="13979" spans="1:2" ht="12.75" customHeight="1" x14ac:dyDescent="0.25">
      <c r="A13979" s="318">
        <v>95095673220</v>
      </c>
      <c r="B13979" s="318" t="s">
        <v>237</v>
      </c>
    </row>
    <row r="13980" spans="1:2" ht="12.75" customHeight="1" x14ac:dyDescent="0.25">
      <c r="A13980" s="318">
        <v>95095673221</v>
      </c>
      <c r="B13980" s="318" t="s">
        <v>237</v>
      </c>
    </row>
    <row r="13981" spans="1:2" ht="12.75" customHeight="1" x14ac:dyDescent="0.25">
      <c r="A13981" s="318">
        <v>95095673222</v>
      </c>
      <c r="B13981" s="318" t="s">
        <v>237</v>
      </c>
    </row>
    <row r="13982" spans="1:2" ht="12.75" customHeight="1" x14ac:dyDescent="0.25">
      <c r="A13982" s="318">
        <v>95095673224</v>
      </c>
      <c r="B13982" s="318" t="s">
        <v>237</v>
      </c>
    </row>
    <row r="13983" spans="1:2" ht="12.75" customHeight="1" x14ac:dyDescent="0.25">
      <c r="A13983" s="318">
        <v>95095673225</v>
      </c>
      <c r="B13983" s="318" t="s">
        <v>237</v>
      </c>
    </row>
    <row r="13984" spans="1:2" ht="12.75" customHeight="1" x14ac:dyDescent="0.25">
      <c r="A13984" s="318">
        <v>95095673226</v>
      </c>
      <c r="B13984" s="318" t="s">
        <v>237</v>
      </c>
    </row>
    <row r="13985" spans="1:2" ht="12.75" customHeight="1" x14ac:dyDescent="0.25">
      <c r="A13985" s="318">
        <v>95095673227</v>
      </c>
      <c r="B13985" s="318" t="s">
        <v>237</v>
      </c>
    </row>
    <row r="13986" spans="1:2" ht="12.75" customHeight="1" x14ac:dyDescent="0.25">
      <c r="A13986" s="318">
        <v>95095673228</v>
      </c>
      <c r="B13986" s="318" t="s">
        <v>237</v>
      </c>
    </row>
    <row r="13987" spans="1:2" ht="12.75" customHeight="1" x14ac:dyDescent="0.25">
      <c r="A13987" s="318">
        <v>95095673229</v>
      </c>
      <c r="B13987" s="318" t="s">
        <v>237</v>
      </c>
    </row>
    <row r="13988" spans="1:2" ht="12.75" customHeight="1" x14ac:dyDescent="0.25">
      <c r="A13988" s="318">
        <v>95095673230</v>
      </c>
      <c r="B13988" s="318" t="s">
        <v>237</v>
      </c>
    </row>
    <row r="13989" spans="1:2" ht="12.75" customHeight="1" x14ac:dyDescent="0.25">
      <c r="A13989" s="318">
        <v>95095673231</v>
      </c>
      <c r="B13989" s="318" t="s">
        <v>237</v>
      </c>
    </row>
    <row r="13990" spans="1:2" ht="12.75" customHeight="1" x14ac:dyDescent="0.25">
      <c r="A13990" s="318">
        <v>95097033496</v>
      </c>
      <c r="B13990" s="318" t="s">
        <v>23</v>
      </c>
    </row>
    <row r="13991" spans="1:2" ht="12.75" customHeight="1" x14ac:dyDescent="0.25">
      <c r="A13991" s="318">
        <v>95097033497</v>
      </c>
      <c r="B13991" s="318" t="s">
        <v>23</v>
      </c>
    </row>
    <row r="13992" spans="1:2" ht="12.75" customHeight="1" x14ac:dyDescent="0.25">
      <c r="A13992" s="318">
        <v>95097033498</v>
      </c>
      <c r="B13992" s="318" t="s">
        <v>23</v>
      </c>
    </row>
    <row r="13993" spans="1:2" ht="12.75" customHeight="1" x14ac:dyDescent="0.25">
      <c r="A13993" s="318">
        <v>95097033499</v>
      </c>
      <c r="B13993" s="318" t="s">
        <v>23</v>
      </c>
    </row>
    <row r="13994" spans="1:2" ht="12.75" customHeight="1" x14ac:dyDescent="0.25">
      <c r="A13994" s="318">
        <v>95097033500</v>
      </c>
      <c r="B13994" s="318" t="s">
        <v>23</v>
      </c>
    </row>
    <row r="13995" spans="1:2" ht="12.75" customHeight="1" x14ac:dyDescent="0.25">
      <c r="A13995" s="318">
        <v>95097033501</v>
      </c>
      <c r="B13995" s="318" t="s">
        <v>23</v>
      </c>
    </row>
    <row r="13996" spans="1:2" ht="12.75" customHeight="1" x14ac:dyDescent="0.25">
      <c r="A13996" s="318">
        <v>95097033502</v>
      </c>
      <c r="B13996" s="318" t="s">
        <v>23</v>
      </c>
    </row>
    <row r="13997" spans="1:2" ht="12.75" customHeight="1" x14ac:dyDescent="0.25">
      <c r="A13997" s="318">
        <v>95097033503</v>
      </c>
      <c r="B13997" s="318" t="s">
        <v>237</v>
      </c>
    </row>
    <row r="13998" spans="1:2" ht="12.75" customHeight="1" x14ac:dyDescent="0.25">
      <c r="A13998" s="318">
        <v>95097033505</v>
      </c>
      <c r="B13998" s="318" t="s">
        <v>23</v>
      </c>
    </row>
    <row r="13999" spans="1:2" ht="12.75" customHeight="1" x14ac:dyDescent="0.25">
      <c r="A13999" s="318">
        <v>95097033506</v>
      </c>
      <c r="B13999" s="318" t="s">
        <v>237</v>
      </c>
    </row>
    <row r="14000" spans="1:2" ht="12.75" customHeight="1" x14ac:dyDescent="0.25">
      <c r="A14000" s="318">
        <v>95097033507</v>
      </c>
      <c r="B14000" s="318" t="s">
        <v>23</v>
      </c>
    </row>
    <row r="14001" spans="1:2" ht="12.75" customHeight="1" x14ac:dyDescent="0.25">
      <c r="A14001" s="318">
        <v>95097033508</v>
      </c>
      <c r="B14001" s="318" t="s">
        <v>237</v>
      </c>
    </row>
    <row r="14002" spans="1:2" ht="12.75" customHeight="1" x14ac:dyDescent="0.25">
      <c r="A14002" s="318">
        <v>95097033509</v>
      </c>
      <c r="B14002" s="318" t="s">
        <v>23</v>
      </c>
    </row>
    <row r="14003" spans="1:2" ht="12.75" customHeight="1" x14ac:dyDescent="0.25">
      <c r="A14003" s="318">
        <v>95097033510</v>
      </c>
      <c r="B14003" s="318" t="s">
        <v>237</v>
      </c>
    </row>
    <row r="14004" spans="1:2" ht="12.75" customHeight="1" x14ac:dyDescent="0.25">
      <c r="A14004" s="318">
        <v>95097033511</v>
      </c>
      <c r="B14004" s="318" t="s">
        <v>23</v>
      </c>
    </row>
    <row r="14005" spans="1:2" ht="12.75" customHeight="1" x14ac:dyDescent="0.25">
      <c r="A14005" s="318">
        <v>95097033512</v>
      </c>
      <c r="B14005" s="318" t="s">
        <v>237</v>
      </c>
    </row>
    <row r="14006" spans="1:2" ht="12.75" customHeight="1" x14ac:dyDescent="0.25">
      <c r="A14006" s="318">
        <v>95097033596</v>
      </c>
      <c r="B14006" s="318" t="s">
        <v>237</v>
      </c>
    </row>
    <row r="14007" spans="1:2" ht="12.75" customHeight="1" x14ac:dyDescent="0.25">
      <c r="A14007" s="318">
        <v>95097033597</v>
      </c>
      <c r="B14007" s="318" t="s">
        <v>237</v>
      </c>
    </row>
    <row r="14008" spans="1:2" ht="12.75" customHeight="1" x14ac:dyDescent="0.25">
      <c r="A14008" s="318">
        <v>95097033598</v>
      </c>
      <c r="B14008" s="318" t="s">
        <v>237</v>
      </c>
    </row>
    <row r="14009" spans="1:2" ht="12.75" customHeight="1" x14ac:dyDescent="0.25">
      <c r="A14009" s="318">
        <v>95097033599</v>
      </c>
      <c r="B14009" s="318" t="s">
        <v>237</v>
      </c>
    </row>
    <row r="14010" spans="1:2" ht="12.75" customHeight="1" x14ac:dyDescent="0.25">
      <c r="A14010" s="318">
        <v>95097033600</v>
      </c>
      <c r="B14010" s="318" t="s">
        <v>237</v>
      </c>
    </row>
    <row r="14011" spans="1:2" ht="12.75" customHeight="1" x14ac:dyDescent="0.25">
      <c r="A14011" s="318">
        <v>95097033601</v>
      </c>
      <c r="B14011" s="318" t="s">
        <v>237</v>
      </c>
    </row>
    <row r="14012" spans="1:2" ht="12.75" customHeight="1" x14ac:dyDescent="0.25">
      <c r="A14012" s="318">
        <v>95097033602</v>
      </c>
      <c r="B14012" s="318" t="s">
        <v>237</v>
      </c>
    </row>
    <row r="14013" spans="1:2" ht="12.75" customHeight="1" x14ac:dyDescent="0.25">
      <c r="A14013" s="318">
        <v>95097033603</v>
      </c>
      <c r="B14013" s="318" t="s">
        <v>237</v>
      </c>
    </row>
    <row r="14014" spans="1:2" ht="12.75" customHeight="1" x14ac:dyDescent="0.25">
      <c r="A14014" s="318">
        <v>95097033605</v>
      </c>
      <c r="B14014" s="318" t="s">
        <v>237</v>
      </c>
    </row>
    <row r="14015" spans="1:2" ht="12.75" customHeight="1" x14ac:dyDescent="0.25">
      <c r="A14015" s="318">
        <v>95097033606</v>
      </c>
      <c r="B14015" s="318" t="s">
        <v>237</v>
      </c>
    </row>
    <row r="14016" spans="1:2" ht="12.75" customHeight="1" x14ac:dyDescent="0.25">
      <c r="A14016" s="318">
        <v>95097033607</v>
      </c>
      <c r="B14016" s="318" t="s">
        <v>237</v>
      </c>
    </row>
    <row r="14017" spans="1:2" ht="12.75" customHeight="1" x14ac:dyDescent="0.25">
      <c r="A14017" s="318">
        <v>95097033608</v>
      </c>
      <c r="B14017" s="318" t="s">
        <v>237</v>
      </c>
    </row>
    <row r="14018" spans="1:2" ht="12.75" customHeight="1" x14ac:dyDescent="0.25">
      <c r="A14018" s="318">
        <v>95097033609</v>
      </c>
      <c r="B14018" s="318" t="s">
        <v>237</v>
      </c>
    </row>
    <row r="14019" spans="1:2" ht="12.75" customHeight="1" x14ac:dyDescent="0.25">
      <c r="A14019" s="318">
        <v>95097033610</v>
      </c>
      <c r="B14019" s="318" t="s">
        <v>237</v>
      </c>
    </row>
    <row r="14020" spans="1:2" ht="12.75" customHeight="1" x14ac:dyDescent="0.25">
      <c r="A14020" s="318">
        <v>95097033611</v>
      </c>
      <c r="B14020" s="318" t="s">
        <v>237</v>
      </c>
    </row>
    <row r="14021" spans="1:2" ht="12.75" customHeight="1" x14ac:dyDescent="0.25">
      <c r="A14021" s="318">
        <v>95097033612</v>
      </c>
      <c r="B14021" s="318" t="s">
        <v>237</v>
      </c>
    </row>
    <row r="14022" spans="1:2" ht="12.75" customHeight="1" x14ac:dyDescent="0.25">
      <c r="A14022" s="318">
        <v>95097514469</v>
      </c>
      <c r="B14022" s="318" t="s">
        <v>23</v>
      </c>
    </row>
    <row r="14023" spans="1:2" ht="12.75" customHeight="1" x14ac:dyDescent="0.25">
      <c r="A14023" s="318">
        <v>95097514470</v>
      </c>
      <c r="B14023" s="318" t="s">
        <v>23</v>
      </c>
    </row>
    <row r="14024" spans="1:2" ht="12.75" customHeight="1" x14ac:dyDescent="0.25">
      <c r="A14024" s="318">
        <v>95097514471</v>
      </c>
      <c r="B14024" s="318" t="s">
        <v>23</v>
      </c>
    </row>
    <row r="14025" spans="1:2" ht="12.75" customHeight="1" x14ac:dyDescent="0.25">
      <c r="A14025" s="318">
        <v>95097514472</v>
      </c>
      <c r="B14025" s="318" t="s">
        <v>23</v>
      </c>
    </row>
    <row r="14026" spans="1:2" ht="12.75" customHeight="1" x14ac:dyDescent="0.25">
      <c r="A14026" s="318">
        <v>95097514473</v>
      </c>
      <c r="B14026" s="318" t="s">
        <v>23</v>
      </c>
    </row>
    <row r="14027" spans="1:2" ht="12.75" customHeight="1" x14ac:dyDescent="0.25">
      <c r="A14027" s="318">
        <v>95097514474</v>
      </c>
      <c r="B14027" s="318" t="s">
        <v>23</v>
      </c>
    </row>
    <row r="14028" spans="1:2" ht="12.75" customHeight="1" x14ac:dyDescent="0.25">
      <c r="A14028" s="318">
        <v>95097514475</v>
      </c>
      <c r="B14028" s="318" t="s">
        <v>23</v>
      </c>
    </row>
    <row r="14029" spans="1:2" ht="12.75" customHeight="1" x14ac:dyDescent="0.25">
      <c r="A14029" s="318">
        <v>95097514476</v>
      </c>
      <c r="B14029" s="318" t="s">
        <v>237</v>
      </c>
    </row>
    <row r="14030" spans="1:2" ht="12.75" customHeight="1" x14ac:dyDescent="0.25">
      <c r="A14030" s="318">
        <v>95097514478</v>
      </c>
      <c r="B14030" s="318" t="s">
        <v>23</v>
      </c>
    </row>
    <row r="14031" spans="1:2" ht="12.75" customHeight="1" x14ac:dyDescent="0.25">
      <c r="A14031" s="318">
        <v>95097514479</v>
      </c>
      <c r="B14031" s="318" t="s">
        <v>237</v>
      </c>
    </row>
    <row r="14032" spans="1:2" ht="12.75" customHeight="1" x14ac:dyDescent="0.25">
      <c r="A14032" s="318">
        <v>95097514480</v>
      </c>
      <c r="B14032" s="318" t="s">
        <v>23</v>
      </c>
    </row>
    <row r="14033" spans="1:2" ht="12.75" customHeight="1" x14ac:dyDescent="0.25">
      <c r="A14033" s="318">
        <v>95097514481</v>
      </c>
      <c r="B14033" s="318" t="s">
        <v>237</v>
      </c>
    </row>
    <row r="14034" spans="1:2" ht="12.75" customHeight="1" x14ac:dyDescent="0.25">
      <c r="A14034" s="318">
        <v>95097514482</v>
      </c>
      <c r="B14034" s="318" t="s">
        <v>23</v>
      </c>
    </row>
    <row r="14035" spans="1:2" ht="12.75" customHeight="1" x14ac:dyDescent="0.25">
      <c r="A14035" s="318">
        <v>95097514483</v>
      </c>
      <c r="B14035" s="318" t="s">
        <v>237</v>
      </c>
    </row>
    <row r="14036" spans="1:2" ht="12.75" customHeight="1" x14ac:dyDescent="0.25">
      <c r="A14036" s="318">
        <v>95097514484</v>
      </c>
      <c r="B14036" s="318" t="s">
        <v>23</v>
      </c>
    </row>
    <row r="14037" spans="1:2" ht="12.75" customHeight="1" x14ac:dyDescent="0.25">
      <c r="A14037" s="318">
        <v>95097514485</v>
      </c>
      <c r="B14037" s="318" t="s">
        <v>237</v>
      </c>
    </row>
    <row r="14038" spans="1:2" ht="12.75" customHeight="1" x14ac:dyDescent="0.25">
      <c r="A14038" s="318">
        <v>95097514569</v>
      </c>
      <c r="B14038" s="318" t="s">
        <v>237</v>
      </c>
    </row>
    <row r="14039" spans="1:2" ht="12.75" customHeight="1" x14ac:dyDescent="0.25">
      <c r="A14039" s="318">
        <v>95097514570</v>
      </c>
      <c r="B14039" s="318" t="s">
        <v>237</v>
      </c>
    </row>
    <row r="14040" spans="1:2" ht="12.75" customHeight="1" x14ac:dyDescent="0.25">
      <c r="A14040" s="318">
        <v>95097514571</v>
      </c>
      <c r="B14040" s="318" t="s">
        <v>237</v>
      </c>
    </row>
    <row r="14041" spans="1:2" ht="12.75" customHeight="1" x14ac:dyDescent="0.25">
      <c r="A14041" s="318">
        <v>95097514572</v>
      </c>
      <c r="B14041" s="318" t="s">
        <v>237</v>
      </c>
    </row>
    <row r="14042" spans="1:2" ht="12.75" customHeight="1" x14ac:dyDescent="0.25">
      <c r="A14042" s="318">
        <v>95097514573</v>
      </c>
      <c r="B14042" s="318" t="s">
        <v>237</v>
      </c>
    </row>
    <row r="14043" spans="1:2" ht="12.75" customHeight="1" x14ac:dyDescent="0.25">
      <c r="A14043" s="318">
        <v>95097514574</v>
      </c>
      <c r="B14043" s="318" t="s">
        <v>237</v>
      </c>
    </row>
    <row r="14044" spans="1:2" ht="12.75" customHeight="1" x14ac:dyDescent="0.25">
      <c r="A14044" s="318">
        <v>95097514575</v>
      </c>
      <c r="B14044" s="318" t="s">
        <v>237</v>
      </c>
    </row>
    <row r="14045" spans="1:2" ht="12.75" customHeight="1" x14ac:dyDescent="0.25">
      <c r="A14045" s="318">
        <v>95097514576</v>
      </c>
      <c r="B14045" s="318" t="s">
        <v>237</v>
      </c>
    </row>
    <row r="14046" spans="1:2" ht="12.75" customHeight="1" x14ac:dyDescent="0.25">
      <c r="A14046" s="318">
        <v>95097514578</v>
      </c>
      <c r="B14046" s="318" t="s">
        <v>237</v>
      </c>
    </row>
    <row r="14047" spans="1:2" ht="12.75" customHeight="1" x14ac:dyDescent="0.25">
      <c r="A14047" s="318">
        <v>95097514579</v>
      </c>
      <c r="B14047" s="318" t="s">
        <v>237</v>
      </c>
    </row>
    <row r="14048" spans="1:2" ht="12.75" customHeight="1" x14ac:dyDescent="0.25">
      <c r="A14048" s="318">
        <v>95097514580</v>
      </c>
      <c r="B14048" s="318" t="s">
        <v>237</v>
      </c>
    </row>
    <row r="14049" spans="1:2" ht="12.75" customHeight="1" x14ac:dyDescent="0.25">
      <c r="A14049" s="318">
        <v>95097514581</v>
      </c>
      <c r="B14049" s="318" t="s">
        <v>237</v>
      </c>
    </row>
    <row r="14050" spans="1:2" ht="12.75" customHeight="1" x14ac:dyDescent="0.25">
      <c r="A14050" s="318">
        <v>95097514582</v>
      </c>
      <c r="B14050" s="318" t="s">
        <v>237</v>
      </c>
    </row>
    <row r="14051" spans="1:2" ht="12.75" customHeight="1" x14ac:dyDescent="0.25">
      <c r="A14051" s="318">
        <v>95097514583</v>
      </c>
      <c r="B14051" s="318" t="s">
        <v>237</v>
      </c>
    </row>
    <row r="14052" spans="1:2" ht="12.75" customHeight="1" x14ac:dyDescent="0.25">
      <c r="A14052" s="318">
        <v>95097514584</v>
      </c>
      <c r="B14052" s="318" t="s">
        <v>237</v>
      </c>
    </row>
    <row r="14053" spans="1:2" ht="12.75" customHeight="1" x14ac:dyDescent="0.25">
      <c r="A14053" s="318">
        <v>95097514585</v>
      </c>
      <c r="B14053" s="318" t="s">
        <v>237</v>
      </c>
    </row>
    <row r="14054" spans="1:2" ht="12.75" customHeight="1" x14ac:dyDescent="0.25">
      <c r="A14054" s="318">
        <v>95097995442</v>
      </c>
      <c r="B14054" s="318" t="s">
        <v>23</v>
      </c>
    </row>
    <row r="14055" spans="1:2" ht="12.75" customHeight="1" x14ac:dyDescent="0.25">
      <c r="A14055" s="318">
        <v>95097995443</v>
      </c>
      <c r="B14055" s="318" t="s">
        <v>23</v>
      </c>
    </row>
    <row r="14056" spans="1:2" ht="12.75" customHeight="1" x14ac:dyDescent="0.25">
      <c r="A14056" s="318">
        <v>95097995444</v>
      </c>
      <c r="B14056" s="318" t="s">
        <v>23</v>
      </c>
    </row>
    <row r="14057" spans="1:2" ht="12.75" customHeight="1" x14ac:dyDescent="0.25">
      <c r="A14057" s="318">
        <v>95097995445</v>
      </c>
      <c r="B14057" s="318" t="s">
        <v>23</v>
      </c>
    </row>
    <row r="14058" spans="1:2" ht="12.75" customHeight="1" x14ac:dyDescent="0.25">
      <c r="A14058" s="318">
        <v>95097995446</v>
      </c>
      <c r="B14058" s="318" t="s">
        <v>23</v>
      </c>
    </row>
    <row r="14059" spans="1:2" ht="12.75" customHeight="1" x14ac:dyDescent="0.25">
      <c r="A14059" s="318">
        <v>95097995447</v>
      </c>
      <c r="B14059" s="318" t="s">
        <v>23</v>
      </c>
    </row>
    <row r="14060" spans="1:2" ht="12.75" customHeight="1" x14ac:dyDescent="0.25">
      <c r="A14060" s="318">
        <v>95097995448</v>
      </c>
      <c r="B14060" s="318" t="s">
        <v>23</v>
      </c>
    </row>
    <row r="14061" spans="1:2" ht="12.75" customHeight="1" x14ac:dyDescent="0.25">
      <c r="A14061" s="318">
        <v>95097995449</v>
      </c>
      <c r="B14061" s="318" t="s">
        <v>237</v>
      </c>
    </row>
    <row r="14062" spans="1:2" ht="12.75" customHeight="1" x14ac:dyDescent="0.25">
      <c r="A14062" s="318">
        <v>95097995451</v>
      </c>
      <c r="B14062" s="318" t="s">
        <v>23</v>
      </c>
    </row>
    <row r="14063" spans="1:2" ht="12.75" customHeight="1" x14ac:dyDescent="0.25">
      <c r="A14063" s="318">
        <v>95097995452</v>
      </c>
      <c r="B14063" s="318" t="s">
        <v>237</v>
      </c>
    </row>
    <row r="14064" spans="1:2" ht="12.75" customHeight="1" x14ac:dyDescent="0.25">
      <c r="A14064" s="318">
        <v>95097995453</v>
      </c>
      <c r="B14064" s="318" t="s">
        <v>23</v>
      </c>
    </row>
    <row r="14065" spans="1:2" ht="12.75" customHeight="1" x14ac:dyDescent="0.25">
      <c r="A14065" s="318">
        <v>95097995454</v>
      </c>
      <c r="B14065" s="318" t="s">
        <v>237</v>
      </c>
    </row>
    <row r="14066" spans="1:2" ht="12.75" customHeight="1" x14ac:dyDescent="0.25">
      <c r="A14066" s="318">
        <v>95097995455</v>
      </c>
      <c r="B14066" s="318" t="s">
        <v>23</v>
      </c>
    </row>
    <row r="14067" spans="1:2" ht="12.75" customHeight="1" x14ac:dyDescent="0.25">
      <c r="A14067" s="318">
        <v>95097995456</v>
      </c>
      <c r="B14067" s="318" t="s">
        <v>237</v>
      </c>
    </row>
    <row r="14068" spans="1:2" ht="12.75" customHeight="1" x14ac:dyDescent="0.25">
      <c r="A14068" s="318">
        <v>95097995457</v>
      </c>
      <c r="B14068" s="318" t="s">
        <v>23</v>
      </c>
    </row>
    <row r="14069" spans="1:2" ht="12.75" customHeight="1" x14ac:dyDescent="0.25">
      <c r="A14069" s="318">
        <v>95097995458</v>
      </c>
      <c r="B14069" s="318" t="s">
        <v>237</v>
      </c>
    </row>
    <row r="14070" spans="1:2" ht="12.75" customHeight="1" x14ac:dyDescent="0.25">
      <c r="A14070" s="318">
        <v>95097995542</v>
      </c>
      <c r="B14070" s="318" t="s">
        <v>237</v>
      </c>
    </row>
    <row r="14071" spans="1:2" ht="12.75" customHeight="1" x14ac:dyDescent="0.25">
      <c r="A14071" s="318">
        <v>95097995543</v>
      </c>
      <c r="B14071" s="318" t="s">
        <v>237</v>
      </c>
    </row>
    <row r="14072" spans="1:2" ht="12.75" customHeight="1" x14ac:dyDescent="0.25">
      <c r="A14072" s="318">
        <v>95097995544</v>
      </c>
      <c r="B14072" s="318" t="s">
        <v>237</v>
      </c>
    </row>
    <row r="14073" spans="1:2" ht="12.75" customHeight="1" x14ac:dyDescent="0.25">
      <c r="A14073" s="318">
        <v>95097995545</v>
      </c>
      <c r="B14073" s="318" t="s">
        <v>237</v>
      </c>
    </row>
    <row r="14074" spans="1:2" ht="12.75" customHeight="1" x14ac:dyDescent="0.25">
      <c r="A14074" s="318">
        <v>95097995546</v>
      </c>
      <c r="B14074" s="318" t="s">
        <v>237</v>
      </c>
    </row>
    <row r="14075" spans="1:2" ht="12.75" customHeight="1" x14ac:dyDescent="0.25">
      <c r="A14075" s="318">
        <v>95097995547</v>
      </c>
      <c r="B14075" s="318" t="s">
        <v>237</v>
      </c>
    </row>
    <row r="14076" spans="1:2" ht="12.75" customHeight="1" x14ac:dyDescent="0.25">
      <c r="A14076" s="318">
        <v>95097995548</v>
      </c>
      <c r="B14076" s="318" t="s">
        <v>237</v>
      </c>
    </row>
    <row r="14077" spans="1:2" ht="12.75" customHeight="1" x14ac:dyDescent="0.25">
      <c r="A14077" s="318">
        <v>95097995549</v>
      </c>
      <c r="B14077" s="318" t="s">
        <v>237</v>
      </c>
    </row>
    <row r="14078" spans="1:2" ht="12.75" customHeight="1" x14ac:dyDescent="0.25">
      <c r="A14078" s="318">
        <v>95097995551</v>
      </c>
      <c r="B14078" s="318" t="s">
        <v>237</v>
      </c>
    </row>
    <row r="14079" spans="1:2" ht="12.75" customHeight="1" x14ac:dyDescent="0.25">
      <c r="A14079" s="318">
        <v>95097995552</v>
      </c>
      <c r="B14079" s="318" t="s">
        <v>237</v>
      </c>
    </row>
    <row r="14080" spans="1:2" ht="12.75" customHeight="1" x14ac:dyDescent="0.25">
      <c r="A14080" s="318">
        <v>95097995553</v>
      </c>
      <c r="B14080" s="318" t="s">
        <v>237</v>
      </c>
    </row>
    <row r="14081" spans="1:2" ht="12.75" customHeight="1" x14ac:dyDescent="0.25">
      <c r="A14081" s="318">
        <v>95097995554</v>
      </c>
      <c r="B14081" s="318" t="s">
        <v>237</v>
      </c>
    </row>
    <row r="14082" spans="1:2" ht="12.75" customHeight="1" x14ac:dyDescent="0.25">
      <c r="A14082" s="318">
        <v>95097995555</v>
      </c>
      <c r="B14082" s="318" t="s">
        <v>237</v>
      </c>
    </row>
    <row r="14083" spans="1:2" ht="12.75" customHeight="1" x14ac:dyDescent="0.25">
      <c r="A14083" s="318">
        <v>95097995556</v>
      </c>
      <c r="B14083" s="318" t="s">
        <v>237</v>
      </c>
    </row>
    <row r="14084" spans="1:2" ht="12.75" customHeight="1" x14ac:dyDescent="0.25">
      <c r="A14084" s="318">
        <v>95097995557</v>
      </c>
      <c r="B14084" s="318" t="s">
        <v>237</v>
      </c>
    </row>
    <row r="14085" spans="1:2" ht="12.75" customHeight="1" x14ac:dyDescent="0.25">
      <c r="A14085" s="318">
        <v>95097995558</v>
      </c>
      <c r="B14085" s="318" t="s">
        <v>237</v>
      </c>
    </row>
    <row r="14086" spans="1:2" ht="12.75" customHeight="1" x14ac:dyDescent="0.25">
      <c r="A14086" s="318">
        <v>95098675633</v>
      </c>
      <c r="B14086" s="318" t="s">
        <v>23</v>
      </c>
    </row>
    <row r="14087" spans="1:2" ht="12.75" customHeight="1" x14ac:dyDescent="0.25">
      <c r="A14087" s="318">
        <v>95098675634</v>
      </c>
      <c r="B14087" s="318" t="s">
        <v>23</v>
      </c>
    </row>
    <row r="14088" spans="1:2" ht="12.75" customHeight="1" x14ac:dyDescent="0.25">
      <c r="A14088" s="318">
        <v>95098675635</v>
      </c>
      <c r="B14088" s="318" t="s">
        <v>23</v>
      </c>
    </row>
    <row r="14089" spans="1:2" ht="12.75" customHeight="1" x14ac:dyDescent="0.25">
      <c r="A14089" s="318">
        <v>95098675636</v>
      </c>
      <c r="B14089" s="318" t="s">
        <v>23</v>
      </c>
    </row>
    <row r="14090" spans="1:2" ht="12.75" customHeight="1" x14ac:dyDescent="0.25">
      <c r="A14090" s="318">
        <v>95098675637</v>
      </c>
      <c r="B14090" s="318" t="s">
        <v>23</v>
      </c>
    </row>
    <row r="14091" spans="1:2" ht="12.75" customHeight="1" x14ac:dyDescent="0.25">
      <c r="A14091" s="318">
        <v>95098675638</v>
      </c>
      <c r="B14091" s="318" t="s">
        <v>23</v>
      </c>
    </row>
    <row r="14092" spans="1:2" ht="12.75" customHeight="1" x14ac:dyDescent="0.25">
      <c r="A14092" s="318">
        <v>95098675639</v>
      </c>
      <c r="B14092" s="318" t="s">
        <v>23</v>
      </c>
    </row>
    <row r="14093" spans="1:2" ht="12.75" customHeight="1" x14ac:dyDescent="0.25">
      <c r="A14093" s="318">
        <v>95098675640</v>
      </c>
      <c r="B14093" s="318" t="s">
        <v>237</v>
      </c>
    </row>
    <row r="14094" spans="1:2" ht="12.75" customHeight="1" x14ac:dyDescent="0.25">
      <c r="A14094" s="318">
        <v>95098675642</v>
      </c>
      <c r="B14094" s="318" t="s">
        <v>23</v>
      </c>
    </row>
    <row r="14095" spans="1:2" ht="12.75" customHeight="1" x14ac:dyDescent="0.25">
      <c r="A14095" s="318">
        <v>95098675643</v>
      </c>
      <c r="B14095" s="318" t="s">
        <v>237</v>
      </c>
    </row>
    <row r="14096" spans="1:2" ht="12.75" customHeight="1" x14ac:dyDescent="0.25">
      <c r="A14096" s="318">
        <v>95098675644</v>
      </c>
      <c r="B14096" s="318" t="s">
        <v>23</v>
      </c>
    </row>
    <row r="14097" spans="1:2" ht="12.75" customHeight="1" x14ac:dyDescent="0.25">
      <c r="A14097" s="318">
        <v>95098675645</v>
      </c>
      <c r="B14097" s="318" t="s">
        <v>237</v>
      </c>
    </row>
    <row r="14098" spans="1:2" ht="12.75" customHeight="1" x14ac:dyDescent="0.25">
      <c r="A14098" s="318">
        <v>95098675646</v>
      </c>
      <c r="B14098" s="318" t="s">
        <v>23</v>
      </c>
    </row>
    <row r="14099" spans="1:2" ht="12.75" customHeight="1" x14ac:dyDescent="0.25">
      <c r="A14099" s="318">
        <v>95098675647</v>
      </c>
      <c r="B14099" s="318" t="s">
        <v>237</v>
      </c>
    </row>
    <row r="14100" spans="1:2" ht="12.75" customHeight="1" x14ac:dyDescent="0.25">
      <c r="A14100" s="318">
        <v>95098675648</v>
      </c>
      <c r="B14100" s="318" t="s">
        <v>23</v>
      </c>
    </row>
    <row r="14101" spans="1:2" ht="12.75" customHeight="1" x14ac:dyDescent="0.25">
      <c r="A14101" s="318">
        <v>95098675649</v>
      </c>
      <c r="B14101" s="318" t="s">
        <v>237</v>
      </c>
    </row>
    <row r="14102" spans="1:2" ht="12.75" customHeight="1" x14ac:dyDescent="0.25">
      <c r="A14102" s="318">
        <v>95098675733</v>
      </c>
      <c r="B14102" s="318" t="s">
        <v>237</v>
      </c>
    </row>
    <row r="14103" spans="1:2" ht="12.75" customHeight="1" x14ac:dyDescent="0.25">
      <c r="A14103" s="318">
        <v>95098675734</v>
      </c>
      <c r="B14103" s="318" t="s">
        <v>237</v>
      </c>
    </row>
    <row r="14104" spans="1:2" ht="12.75" customHeight="1" x14ac:dyDescent="0.25">
      <c r="A14104" s="318">
        <v>95098675735</v>
      </c>
      <c r="B14104" s="318" t="s">
        <v>237</v>
      </c>
    </row>
    <row r="14105" spans="1:2" ht="12.75" customHeight="1" x14ac:dyDescent="0.25">
      <c r="A14105" s="318">
        <v>95098675736</v>
      </c>
      <c r="B14105" s="318" t="s">
        <v>237</v>
      </c>
    </row>
    <row r="14106" spans="1:2" ht="12.75" customHeight="1" x14ac:dyDescent="0.25">
      <c r="A14106" s="318">
        <v>95098675737</v>
      </c>
      <c r="B14106" s="318" t="s">
        <v>237</v>
      </c>
    </row>
    <row r="14107" spans="1:2" ht="12.75" customHeight="1" x14ac:dyDescent="0.25">
      <c r="A14107" s="318">
        <v>95098675738</v>
      </c>
      <c r="B14107" s="318" t="s">
        <v>237</v>
      </c>
    </row>
    <row r="14108" spans="1:2" ht="12.75" customHeight="1" x14ac:dyDescent="0.25">
      <c r="A14108" s="318">
        <v>95098675739</v>
      </c>
      <c r="B14108" s="318" t="s">
        <v>237</v>
      </c>
    </row>
    <row r="14109" spans="1:2" ht="12.75" customHeight="1" x14ac:dyDescent="0.25">
      <c r="A14109" s="318">
        <v>95098675740</v>
      </c>
      <c r="B14109" s="318" t="s">
        <v>237</v>
      </c>
    </row>
    <row r="14110" spans="1:2" ht="12.75" customHeight="1" x14ac:dyDescent="0.25">
      <c r="A14110" s="318">
        <v>95098675742</v>
      </c>
      <c r="B14110" s="318" t="s">
        <v>237</v>
      </c>
    </row>
    <row r="14111" spans="1:2" ht="12.75" customHeight="1" x14ac:dyDescent="0.25">
      <c r="A14111" s="318">
        <v>95098675743</v>
      </c>
      <c r="B14111" s="318" t="s">
        <v>237</v>
      </c>
    </row>
    <row r="14112" spans="1:2" ht="12.75" customHeight="1" x14ac:dyDescent="0.25">
      <c r="A14112" s="318">
        <v>95098675744</v>
      </c>
      <c r="B14112" s="318" t="s">
        <v>237</v>
      </c>
    </row>
    <row r="14113" spans="1:2" ht="12.75" customHeight="1" x14ac:dyDescent="0.25">
      <c r="A14113" s="318">
        <v>95098675745</v>
      </c>
      <c r="B14113" s="318" t="s">
        <v>237</v>
      </c>
    </row>
    <row r="14114" spans="1:2" ht="12.75" customHeight="1" x14ac:dyDescent="0.25">
      <c r="A14114" s="318">
        <v>95098675746</v>
      </c>
      <c r="B14114" s="318" t="s">
        <v>237</v>
      </c>
    </row>
    <row r="14115" spans="1:2" ht="12.75" customHeight="1" x14ac:dyDescent="0.25">
      <c r="A14115" s="318">
        <v>95098675747</v>
      </c>
      <c r="B14115" s="318" t="s">
        <v>237</v>
      </c>
    </row>
    <row r="14116" spans="1:2" ht="12.75" customHeight="1" x14ac:dyDescent="0.25">
      <c r="A14116" s="318">
        <v>95098675748</v>
      </c>
      <c r="B14116" s="318" t="s">
        <v>237</v>
      </c>
    </row>
    <row r="14117" spans="1:2" ht="12.75" customHeight="1" x14ac:dyDescent="0.25">
      <c r="A14117" s="318">
        <v>95098675749</v>
      </c>
      <c r="B14117" s="318" t="s">
        <v>237</v>
      </c>
    </row>
    <row r="14118" spans="1:2" ht="12.75" customHeight="1" x14ac:dyDescent="0.25">
      <c r="A14118" s="318">
        <v>95099156606</v>
      </c>
      <c r="B14118" s="318" t="s">
        <v>23</v>
      </c>
    </row>
    <row r="14119" spans="1:2" ht="12.75" customHeight="1" x14ac:dyDescent="0.25">
      <c r="A14119" s="318">
        <v>95099156607</v>
      </c>
      <c r="B14119" s="318" t="s">
        <v>23</v>
      </c>
    </row>
    <row r="14120" spans="1:2" ht="12.75" customHeight="1" x14ac:dyDescent="0.25">
      <c r="A14120" s="318">
        <v>95099156608</v>
      </c>
      <c r="B14120" s="318" t="s">
        <v>23</v>
      </c>
    </row>
    <row r="14121" spans="1:2" ht="12.75" customHeight="1" x14ac:dyDescent="0.25">
      <c r="A14121" s="318">
        <v>95099156609</v>
      </c>
      <c r="B14121" s="318" t="s">
        <v>23</v>
      </c>
    </row>
    <row r="14122" spans="1:2" ht="12.75" customHeight="1" x14ac:dyDescent="0.25">
      <c r="A14122" s="318">
        <v>95099156610</v>
      </c>
      <c r="B14122" s="318" t="s">
        <v>23</v>
      </c>
    </row>
    <row r="14123" spans="1:2" ht="12.75" customHeight="1" x14ac:dyDescent="0.25">
      <c r="A14123" s="318">
        <v>95099156611</v>
      </c>
      <c r="B14123" s="318" t="s">
        <v>23</v>
      </c>
    </row>
    <row r="14124" spans="1:2" ht="12.75" customHeight="1" x14ac:dyDescent="0.25">
      <c r="A14124" s="318">
        <v>95099156612</v>
      </c>
      <c r="B14124" s="318" t="s">
        <v>23</v>
      </c>
    </row>
    <row r="14125" spans="1:2" ht="12.75" customHeight="1" x14ac:dyDescent="0.25">
      <c r="A14125" s="318">
        <v>95099156613</v>
      </c>
      <c r="B14125" s="318" t="s">
        <v>237</v>
      </c>
    </row>
    <row r="14126" spans="1:2" ht="12.75" customHeight="1" x14ac:dyDescent="0.25">
      <c r="A14126" s="318">
        <v>95099156615</v>
      </c>
      <c r="B14126" s="318" t="s">
        <v>23</v>
      </c>
    </row>
    <row r="14127" spans="1:2" ht="12.75" customHeight="1" x14ac:dyDescent="0.25">
      <c r="A14127" s="318">
        <v>95099156616</v>
      </c>
      <c r="B14127" s="318" t="s">
        <v>237</v>
      </c>
    </row>
    <row r="14128" spans="1:2" ht="12.75" customHeight="1" x14ac:dyDescent="0.25">
      <c r="A14128" s="318">
        <v>95099156617</v>
      </c>
      <c r="B14128" s="318" t="s">
        <v>23</v>
      </c>
    </row>
    <row r="14129" spans="1:2" ht="12.75" customHeight="1" x14ac:dyDescent="0.25">
      <c r="A14129" s="318">
        <v>95099156618</v>
      </c>
      <c r="B14129" s="318" t="s">
        <v>237</v>
      </c>
    </row>
    <row r="14130" spans="1:2" ht="12.75" customHeight="1" x14ac:dyDescent="0.25">
      <c r="A14130" s="318">
        <v>95099156619</v>
      </c>
      <c r="B14130" s="318" t="s">
        <v>23</v>
      </c>
    </row>
    <row r="14131" spans="1:2" ht="12.75" customHeight="1" x14ac:dyDescent="0.25">
      <c r="A14131" s="318">
        <v>95099156620</v>
      </c>
      <c r="B14131" s="318" t="s">
        <v>237</v>
      </c>
    </row>
    <row r="14132" spans="1:2" ht="12.75" customHeight="1" x14ac:dyDescent="0.25">
      <c r="A14132" s="318">
        <v>95099156621</v>
      </c>
      <c r="B14132" s="318" t="s">
        <v>23</v>
      </c>
    </row>
    <row r="14133" spans="1:2" ht="12.75" customHeight="1" x14ac:dyDescent="0.25">
      <c r="A14133" s="318">
        <v>95099156622</v>
      </c>
      <c r="B14133" s="318" t="s">
        <v>237</v>
      </c>
    </row>
    <row r="14134" spans="1:2" ht="12.75" customHeight="1" x14ac:dyDescent="0.25">
      <c r="A14134" s="318">
        <v>95099156706</v>
      </c>
      <c r="B14134" s="318" t="s">
        <v>237</v>
      </c>
    </row>
    <row r="14135" spans="1:2" ht="12.75" customHeight="1" x14ac:dyDescent="0.25">
      <c r="A14135" s="318">
        <v>95099156707</v>
      </c>
      <c r="B14135" s="318" t="s">
        <v>237</v>
      </c>
    </row>
    <row r="14136" spans="1:2" ht="12.75" customHeight="1" x14ac:dyDescent="0.25">
      <c r="A14136" s="318">
        <v>95099156708</v>
      </c>
      <c r="B14136" s="318" t="s">
        <v>237</v>
      </c>
    </row>
    <row r="14137" spans="1:2" ht="12.75" customHeight="1" x14ac:dyDescent="0.25">
      <c r="A14137" s="318">
        <v>95099156709</v>
      </c>
      <c r="B14137" s="318" t="s">
        <v>237</v>
      </c>
    </row>
    <row r="14138" spans="1:2" ht="12.75" customHeight="1" x14ac:dyDescent="0.25">
      <c r="A14138" s="318">
        <v>95099156710</v>
      </c>
      <c r="B14138" s="318" t="s">
        <v>237</v>
      </c>
    </row>
    <row r="14139" spans="1:2" ht="12.75" customHeight="1" x14ac:dyDescent="0.25">
      <c r="A14139" s="318">
        <v>95099156711</v>
      </c>
      <c r="B14139" s="318" t="s">
        <v>237</v>
      </c>
    </row>
    <row r="14140" spans="1:2" ht="12.75" customHeight="1" x14ac:dyDescent="0.25">
      <c r="A14140" s="318">
        <v>95099156712</v>
      </c>
      <c r="B14140" s="318" t="s">
        <v>237</v>
      </c>
    </row>
    <row r="14141" spans="1:2" ht="12.75" customHeight="1" x14ac:dyDescent="0.25">
      <c r="A14141" s="318">
        <v>95099156713</v>
      </c>
      <c r="B14141" s="318" t="s">
        <v>237</v>
      </c>
    </row>
    <row r="14142" spans="1:2" ht="12.75" customHeight="1" x14ac:dyDescent="0.25">
      <c r="A14142" s="318">
        <v>95099156715</v>
      </c>
      <c r="B14142" s="318" t="s">
        <v>237</v>
      </c>
    </row>
    <row r="14143" spans="1:2" ht="12.75" customHeight="1" x14ac:dyDescent="0.25">
      <c r="A14143" s="318">
        <v>95099156716</v>
      </c>
      <c r="B14143" s="318" t="s">
        <v>237</v>
      </c>
    </row>
    <row r="14144" spans="1:2" ht="12.75" customHeight="1" x14ac:dyDescent="0.25">
      <c r="A14144" s="318">
        <v>95099156717</v>
      </c>
      <c r="B14144" s="318" t="s">
        <v>237</v>
      </c>
    </row>
    <row r="14145" spans="1:2" ht="12.75" customHeight="1" x14ac:dyDescent="0.25">
      <c r="A14145" s="318">
        <v>95099156718</v>
      </c>
      <c r="B14145" s="318" t="s">
        <v>237</v>
      </c>
    </row>
    <row r="14146" spans="1:2" ht="12.75" customHeight="1" x14ac:dyDescent="0.25">
      <c r="A14146" s="318">
        <v>95099156719</v>
      </c>
      <c r="B14146" s="318" t="s">
        <v>237</v>
      </c>
    </row>
    <row r="14147" spans="1:2" ht="12.75" customHeight="1" x14ac:dyDescent="0.25">
      <c r="A14147" s="318">
        <v>95099156720</v>
      </c>
      <c r="B14147" s="318" t="s">
        <v>237</v>
      </c>
    </row>
    <row r="14148" spans="1:2" ht="12.75" customHeight="1" x14ac:dyDescent="0.25">
      <c r="A14148" s="318">
        <v>95099156721</v>
      </c>
      <c r="B14148" s="318" t="s">
        <v>237</v>
      </c>
    </row>
    <row r="14149" spans="1:2" ht="12.75" customHeight="1" x14ac:dyDescent="0.25">
      <c r="A14149" s="318">
        <v>95099156722</v>
      </c>
      <c r="B14149" s="318" t="s">
        <v>237</v>
      </c>
    </row>
    <row r="14150" spans="1:2" ht="12.75" customHeight="1" x14ac:dyDescent="0.25">
      <c r="A14150" s="318">
        <v>95099637579</v>
      </c>
      <c r="B14150" s="318" t="s">
        <v>23</v>
      </c>
    </row>
    <row r="14151" spans="1:2" ht="12.75" customHeight="1" x14ac:dyDescent="0.25">
      <c r="A14151" s="318">
        <v>95099637580</v>
      </c>
      <c r="B14151" s="318" t="s">
        <v>23</v>
      </c>
    </row>
    <row r="14152" spans="1:2" ht="12.75" customHeight="1" x14ac:dyDescent="0.25">
      <c r="A14152" s="318">
        <v>95099637581</v>
      </c>
      <c r="B14152" s="318" t="s">
        <v>23</v>
      </c>
    </row>
    <row r="14153" spans="1:2" ht="12.75" customHeight="1" x14ac:dyDescent="0.25">
      <c r="A14153" s="318">
        <v>95099637582</v>
      </c>
      <c r="B14153" s="318" t="s">
        <v>23</v>
      </c>
    </row>
    <row r="14154" spans="1:2" ht="12.75" customHeight="1" x14ac:dyDescent="0.25">
      <c r="A14154" s="318">
        <v>95099637583</v>
      </c>
      <c r="B14154" s="318" t="s">
        <v>23</v>
      </c>
    </row>
    <row r="14155" spans="1:2" ht="12.75" customHeight="1" x14ac:dyDescent="0.25">
      <c r="A14155" s="318">
        <v>95099637584</v>
      </c>
      <c r="B14155" s="318" t="s">
        <v>23</v>
      </c>
    </row>
    <row r="14156" spans="1:2" ht="12.75" customHeight="1" x14ac:dyDescent="0.25">
      <c r="A14156" s="318">
        <v>95099637585</v>
      </c>
      <c r="B14156" s="318" t="s">
        <v>23</v>
      </c>
    </row>
    <row r="14157" spans="1:2" ht="12.75" customHeight="1" x14ac:dyDescent="0.25">
      <c r="A14157" s="318">
        <v>95099637586</v>
      </c>
      <c r="B14157" s="318" t="s">
        <v>237</v>
      </c>
    </row>
    <row r="14158" spans="1:2" ht="12.75" customHeight="1" x14ac:dyDescent="0.25">
      <c r="A14158" s="318">
        <v>95099637588</v>
      </c>
      <c r="B14158" s="318" t="s">
        <v>23</v>
      </c>
    </row>
    <row r="14159" spans="1:2" ht="12.75" customHeight="1" x14ac:dyDescent="0.25">
      <c r="A14159" s="318">
        <v>95099637589</v>
      </c>
      <c r="B14159" s="318" t="s">
        <v>237</v>
      </c>
    </row>
    <row r="14160" spans="1:2" ht="12.75" customHeight="1" x14ac:dyDescent="0.25">
      <c r="A14160" s="318">
        <v>95099637590</v>
      </c>
      <c r="B14160" s="318" t="s">
        <v>23</v>
      </c>
    </row>
    <row r="14161" spans="1:2" ht="12.75" customHeight="1" x14ac:dyDescent="0.25">
      <c r="A14161" s="318">
        <v>95099637591</v>
      </c>
      <c r="B14161" s="318" t="s">
        <v>237</v>
      </c>
    </row>
    <row r="14162" spans="1:2" ht="12.75" customHeight="1" x14ac:dyDescent="0.25">
      <c r="A14162" s="318">
        <v>95099637592</v>
      </c>
      <c r="B14162" s="318" t="s">
        <v>23</v>
      </c>
    </row>
    <row r="14163" spans="1:2" ht="12.75" customHeight="1" x14ac:dyDescent="0.25">
      <c r="A14163" s="318">
        <v>95099637593</v>
      </c>
      <c r="B14163" s="318" t="s">
        <v>237</v>
      </c>
    </row>
    <row r="14164" spans="1:2" ht="12.75" customHeight="1" x14ac:dyDescent="0.25">
      <c r="A14164" s="318">
        <v>95099637594</v>
      </c>
      <c r="B14164" s="318" t="s">
        <v>23</v>
      </c>
    </row>
    <row r="14165" spans="1:2" ht="12.75" customHeight="1" x14ac:dyDescent="0.25">
      <c r="A14165" s="318">
        <v>95099637595</v>
      </c>
      <c r="B14165" s="318" t="s">
        <v>237</v>
      </c>
    </row>
    <row r="14166" spans="1:2" ht="12.75" customHeight="1" x14ac:dyDescent="0.25">
      <c r="A14166" s="318">
        <v>95099637679</v>
      </c>
      <c r="B14166" s="318" t="s">
        <v>237</v>
      </c>
    </row>
    <row r="14167" spans="1:2" ht="12.75" customHeight="1" x14ac:dyDescent="0.25">
      <c r="A14167" s="318">
        <v>95099637680</v>
      </c>
      <c r="B14167" s="318" t="s">
        <v>237</v>
      </c>
    </row>
    <row r="14168" spans="1:2" ht="12.75" customHeight="1" x14ac:dyDescent="0.25">
      <c r="A14168" s="318">
        <v>95099637681</v>
      </c>
      <c r="B14168" s="318" t="s">
        <v>237</v>
      </c>
    </row>
    <row r="14169" spans="1:2" ht="12.75" customHeight="1" x14ac:dyDescent="0.25">
      <c r="A14169" s="318">
        <v>95099637682</v>
      </c>
      <c r="B14169" s="318" t="s">
        <v>237</v>
      </c>
    </row>
    <row r="14170" spans="1:2" ht="12.75" customHeight="1" x14ac:dyDescent="0.25">
      <c r="A14170" s="318">
        <v>95099637683</v>
      </c>
      <c r="B14170" s="318" t="s">
        <v>237</v>
      </c>
    </row>
    <row r="14171" spans="1:2" ht="12.75" customHeight="1" x14ac:dyDescent="0.25">
      <c r="A14171" s="318">
        <v>95099637684</v>
      </c>
      <c r="B14171" s="318" t="s">
        <v>237</v>
      </c>
    </row>
    <row r="14172" spans="1:2" ht="12.75" customHeight="1" x14ac:dyDescent="0.25">
      <c r="A14172" s="318">
        <v>95099637685</v>
      </c>
      <c r="B14172" s="318" t="s">
        <v>237</v>
      </c>
    </row>
    <row r="14173" spans="1:2" ht="12.75" customHeight="1" x14ac:dyDescent="0.25">
      <c r="A14173" s="318">
        <v>95099637686</v>
      </c>
      <c r="B14173" s="318" t="s">
        <v>237</v>
      </c>
    </row>
    <row r="14174" spans="1:2" ht="12.75" customHeight="1" x14ac:dyDescent="0.25">
      <c r="A14174" s="318">
        <v>95099637688</v>
      </c>
      <c r="B14174" s="318" t="s">
        <v>237</v>
      </c>
    </row>
    <row r="14175" spans="1:2" ht="12.75" customHeight="1" x14ac:dyDescent="0.25">
      <c r="A14175" s="318">
        <v>95099637689</v>
      </c>
      <c r="B14175" s="318" t="s">
        <v>237</v>
      </c>
    </row>
    <row r="14176" spans="1:2" ht="12.75" customHeight="1" x14ac:dyDescent="0.25">
      <c r="A14176" s="318">
        <v>95099637690</v>
      </c>
      <c r="B14176" s="318" t="s">
        <v>237</v>
      </c>
    </row>
    <row r="14177" spans="1:2" ht="12.75" customHeight="1" x14ac:dyDescent="0.25">
      <c r="A14177" s="318">
        <v>95099637691</v>
      </c>
      <c r="B14177" s="318" t="s">
        <v>237</v>
      </c>
    </row>
    <row r="14178" spans="1:2" ht="12.75" customHeight="1" x14ac:dyDescent="0.25">
      <c r="A14178" s="318">
        <v>95099637692</v>
      </c>
      <c r="B14178" s="318" t="s">
        <v>237</v>
      </c>
    </row>
    <row r="14179" spans="1:2" ht="12.75" customHeight="1" x14ac:dyDescent="0.25">
      <c r="A14179" s="318">
        <v>95099637693</v>
      </c>
      <c r="B14179" s="318" t="s">
        <v>237</v>
      </c>
    </row>
    <row r="14180" spans="1:2" ht="12.75" customHeight="1" x14ac:dyDescent="0.25">
      <c r="A14180" s="318">
        <v>95099637694</v>
      </c>
      <c r="B14180" s="318" t="s">
        <v>237</v>
      </c>
    </row>
    <row r="14181" spans="1:2" ht="12.75" customHeight="1" x14ac:dyDescent="0.25">
      <c r="A14181" s="318">
        <v>95099637695</v>
      </c>
      <c r="B14181" s="318" t="s">
        <v>237</v>
      </c>
    </row>
    <row r="14182" spans="1:2" ht="12.75" customHeight="1" x14ac:dyDescent="0.25">
      <c r="A14182" s="318">
        <v>95100317770</v>
      </c>
      <c r="B14182" s="318" t="s">
        <v>23</v>
      </c>
    </row>
    <row r="14183" spans="1:2" ht="12.75" customHeight="1" x14ac:dyDescent="0.25">
      <c r="A14183" s="318">
        <v>95100317771</v>
      </c>
      <c r="B14183" s="318" t="s">
        <v>23</v>
      </c>
    </row>
    <row r="14184" spans="1:2" ht="12.75" customHeight="1" x14ac:dyDescent="0.25">
      <c r="A14184" s="318">
        <v>95100317772</v>
      </c>
      <c r="B14184" s="318" t="s">
        <v>23</v>
      </c>
    </row>
    <row r="14185" spans="1:2" ht="12.75" customHeight="1" x14ac:dyDescent="0.25">
      <c r="A14185" s="318">
        <v>95100317773</v>
      </c>
      <c r="B14185" s="318" t="s">
        <v>23</v>
      </c>
    </row>
    <row r="14186" spans="1:2" ht="12.75" customHeight="1" x14ac:dyDescent="0.25">
      <c r="A14186" s="318">
        <v>95100317774</v>
      </c>
      <c r="B14186" s="318" t="s">
        <v>23</v>
      </c>
    </row>
    <row r="14187" spans="1:2" ht="12.75" customHeight="1" x14ac:dyDescent="0.25">
      <c r="A14187" s="318">
        <v>95100317775</v>
      </c>
      <c r="B14187" s="318" t="s">
        <v>23</v>
      </c>
    </row>
    <row r="14188" spans="1:2" ht="12.75" customHeight="1" x14ac:dyDescent="0.25">
      <c r="A14188" s="318">
        <v>95100317776</v>
      </c>
      <c r="B14188" s="318" t="s">
        <v>23</v>
      </c>
    </row>
    <row r="14189" spans="1:2" ht="12.75" customHeight="1" x14ac:dyDescent="0.25">
      <c r="A14189" s="318">
        <v>95100317777</v>
      </c>
      <c r="B14189" s="318" t="s">
        <v>237</v>
      </c>
    </row>
    <row r="14190" spans="1:2" ht="12.75" customHeight="1" x14ac:dyDescent="0.25">
      <c r="A14190" s="318">
        <v>95100317779</v>
      </c>
      <c r="B14190" s="318" t="s">
        <v>23</v>
      </c>
    </row>
    <row r="14191" spans="1:2" ht="12.75" customHeight="1" x14ac:dyDescent="0.25">
      <c r="A14191" s="318">
        <v>95100317780</v>
      </c>
      <c r="B14191" s="318" t="s">
        <v>237</v>
      </c>
    </row>
    <row r="14192" spans="1:2" ht="12.75" customHeight="1" x14ac:dyDescent="0.25">
      <c r="A14192" s="318">
        <v>95100317781</v>
      </c>
      <c r="B14192" s="318" t="s">
        <v>23</v>
      </c>
    </row>
    <row r="14193" spans="1:2" ht="12.75" customHeight="1" x14ac:dyDescent="0.25">
      <c r="A14193" s="318">
        <v>95100317782</v>
      </c>
      <c r="B14193" s="318" t="s">
        <v>237</v>
      </c>
    </row>
    <row r="14194" spans="1:2" ht="12.75" customHeight="1" x14ac:dyDescent="0.25">
      <c r="A14194" s="318">
        <v>95100317783</v>
      </c>
      <c r="B14194" s="318" t="s">
        <v>23</v>
      </c>
    </row>
    <row r="14195" spans="1:2" ht="12.75" customHeight="1" x14ac:dyDescent="0.25">
      <c r="A14195" s="318">
        <v>95100317784</v>
      </c>
      <c r="B14195" s="318" t="s">
        <v>237</v>
      </c>
    </row>
    <row r="14196" spans="1:2" ht="12.75" customHeight="1" x14ac:dyDescent="0.25">
      <c r="A14196" s="318">
        <v>95100317785</v>
      </c>
      <c r="B14196" s="318" t="s">
        <v>23</v>
      </c>
    </row>
    <row r="14197" spans="1:2" ht="12.75" customHeight="1" x14ac:dyDescent="0.25">
      <c r="A14197" s="318">
        <v>95100317786</v>
      </c>
      <c r="B14197" s="318" t="s">
        <v>237</v>
      </c>
    </row>
    <row r="14198" spans="1:2" ht="12.75" customHeight="1" x14ac:dyDescent="0.25">
      <c r="A14198" s="318">
        <v>95100317870</v>
      </c>
      <c r="B14198" s="318" t="s">
        <v>237</v>
      </c>
    </row>
    <row r="14199" spans="1:2" ht="12.75" customHeight="1" x14ac:dyDescent="0.25">
      <c r="A14199" s="318">
        <v>95100317871</v>
      </c>
      <c r="B14199" s="318" t="s">
        <v>237</v>
      </c>
    </row>
    <row r="14200" spans="1:2" ht="12.75" customHeight="1" x14ac:dyDescent="0.25">
      <c r="A14200" s="318">
        <v>95100317872</v>
      </c>
      <c r="B14200" s="318" t="s">
        <v>237</v>
      </c>
    </row>
    <row r="14201" spans="1:2" ht="12.75" customHeight="1" x14ac:dyDescent="0.25">
      <c r="A14201" s="318">
        <v>95100317873</v>
      </c>
      <c r="B14201" s="318" t="s">
        <v>237</v>
      </c>
    </row>
    <row r="14202" spans="1:2" ht="12.75" customHeight="1" x14ac:dyDescent="0.25">
      <c r="A14202" s="318">
        <v>95100317874</v>
      </c>
      <c r="B14202" s="318" t="s">
        <v>237</v>
      </c>
    </row>
    <row r="14203" spans="1:2" ht="12.75" customHeight="1" x14ac:dyDescent="0.25">
      <c r="A14203" s="318">
        <v>95100317875</v>
      </c>
      <c r="B14203" s="318" t="s">
        <v>237</v>
      </c>
    </row>
    <row r="14204" spans="1:2" ht="12.75" customHeight="1" x14ac:dyDescent="0.25">
      <c r="A14204" s="318">
        <v>95100317876</v>
      </c>
      <c r="B14204" s="318" t="s">
        <v>237</v>
      </c>
    </row>
    <row r="14205" spans="1:2" ht="12.75" customHeight="1" x14ac:dyDescent="0.25">
      <c r="A14205" s="318">
        <v>95100317877</v>
      </c>
      <c r="B14205" s="318" t="s">
        <v>237</v>
      </c>
    </row>
    <row r="14206" spans="1:2" ht="12.75" customHeight="1" x14ac:dyDescent="0.25">
      <c r="A14206" s="318">
        <v>95100317879</v>
      </c>
      <c r="B14206" s="318" t="s">
        <v>237</v>
      </c>
    </row>
    <row r="14207" spans="1:2" ht="12.75" customHeight="1" x14ac:dyDescent="0.25">
      <c r="A14207" s="318">
        <v>95100317880</v>
      </c>
      <c r="B14207" s="318" t="s">
        <v>237</v>
      </c>
    </row>
    <row r="14208" spans="1:2" ht="12.75" customHeight="1" x14ac:dyDescent="0.25">
      <c r="A14208" s="318">
        <v>95100317881</v>
      </c>
      <c r="B14208" s="318" t="s">
        <v>237</v>
      </c>
    </row>
    <row r="14209" spans="1:2" ht="12.75" customHeight="1" x14ac:dyDescent="0.25">
      <c r="A14209" s="318">
        <v>95100317882</v>
      </c>
      <c r="B14209" s="318" t="s">
        <v>237</v>
      </c>
    </row>
    <row r="14210" spans="1:2" ht="12.75" customHeight="1" x14ac:dyDescent="0.25">
      <c r="A14210" s="318">
        <v>95100317883</v>
      </c>
      <c r="B14210" s="318" t="s">
        <v>237</v>
      </c>
    </row>
    <row r="14211" spans="1:2" ht="12.75" customHeight="1" x14ac:dyDescent="0.25">
      <c r="A14211" s="318">
        <v>95100317884</v>
      </c>
      <c r="B14211" s="318" t="s">
        <v>237</v>
      </c>
    </row>
    <row r="14212" spans="1:2" ht="12.75" customHeight="1" x14ac:dyDescent="0.25">
      <c r="A14212" s="318">
        <v>95100317885</v>
      </c>
      <c r="B14212" s="318" t="s">
        <v>237</v>
      </c>
    </row>
    <row r="14213" spans="1:2" ht="12.75" customHeight="1" x14ac:dyDescent="0.25">
      <c r="A14213" s="318">
        <v>95100317886</v>
      </c>
      <c r="B14213" s="318" t="s">
        <v>237</v>
      </c>
    </row>
    <row r="14214" spans="1:2" ht="12.75" customHeight="1" x14ac:dyDescent="0.25">
      <c r="A14214" s="318">
        <v>95100798743</v>
      </c>
      <c r="B14214" s="318" t="s">
        <v>23</v>
      </c>
    </row>
    <row r="14215" spans="1:2" ht="12.75" customHeight="1" x14ac:dyDescent="0.25">
      <c r="A14215" s="318">
        <v>95100798744</v>
      </c>
      <c r="B14215" s="318" t="s">
        <v>23</v>
      </c>
    </row>
    <row r="14216" spans="1:2" ht="12.75" customHeight="1" x14ac:dyDescent="0.25">
      <c r="A14216" s="318">
        <v>95100798745</v>
      </c>
      <c r="B14216" s="318" t="s">
        <v>23</v>
      </c>
    </row>
    <row r="14217" spans="1:2" ht="12.75" customHeight="1" x14ac:dyDescent="0.25">
      <c r="A14217" s="318">
        <v>95100798746</v>
      </c>
      <c r="B14217" s="318" t="s">
        <v>23</v>
      </c>
    </row>
    <row r="14218" spans="1:2" ht="12.75" customHeight="1" x14ac:dyDescent="0.25">
      <c r="A14218" s="318">
        <v>95100798747</v>
      </c>
      <c r="B14218" s="318" t="s">
        <v>23</v>
      </c>
    </row>
    <row r="14219" spans="1:2" ht="12.75" customHeight="1" x14ac:dyDescent="0.25">
      <c r="A14219" s="318">
        <v>95100798748</v>
      </c>
      <c r="B14219" s="318" t="s">
        <v>23</v>
      </c>
    </row>
    <row r="14220" spans="1:2" ht="12.75" customHeight="1" x14ac:dyDescent="0.25">
      <c r="A14220" s="318">
        <v>95100798749</v>
      </c>
      <c r="B14220" s="318" t="s">
        <v>23</v>
      </c>
    </row>
    <row r="14221" spans="1:2" ht="12.75" customHeight="1" x14ac:dyDescent="0.25">
      <c r="A14221" s="318">
        <v>95100798750</v>
      </c>
      <c r="B14221" s="318" t="s">
        <v>237</v>
      </c>
    </row>
    <row r="14222" spans="1:2" ht="12.75" customHeight="1" x14ac:dyDescent="0.25">
      <c r="A14222" s="318">
        <v>95100798752</v>
      </c>
      <c r="B14222" s="318" t="s">
        <v>23</v>
      </c>
    </row>
    <row r="14223" spans="1:2" ht="12.75" customHeight="1" x14ac:dyDescent="0.25">
      <c r="A14223" s="318">
        <v>95100798753</v>
      </c>
      <c r="B14223" s="318" t="s">
        <v>237</v>
      </c>
    </row>
    <row r="14224" spans="1:2" ht="12.75" customHeight="1" x14ac:dyDescent="0.25">
      <c r="A14224" s="318">
        <v>95100798754</v>
      </c>
      <c r="B14224" s="318" t="s">
        <v>23</v>
      </c>
    </row>
    <row r="14225" spans="1:2" ht="12.75" customHeight="1" x14ac:dyDescent="0.25">
      <c r="A14225" s="318">
        <v>95100798755</v>
      </c>
      <c r="B14225" s="318" t="s">
        <v>237</v>
      </c>
    </row>
    <row r="14226" spans="1:2" ht="12.75" customHeight="1" x14ac:dyDescent="0.25">
      <c r="A14226" s="318">
        <v>95100798756</v>
      </c>
      <c r="B14226" s="318" t="s">
        <v>23</v>
      </c>
    </row>
    <row r="14227" spans="1:2" ht="12.75" customHeight="1" x14ac:dyDescent="0.25">
      <c r="A14227" s="318">
        <v>95100798757</v>
      </c>
      <c r="B14227" s="318" t="s">
        <v>237</v>
      </c>
    </row>
    <row r="14228" spans="1:2" ht="12.75" customHeight="1" x14ac:dyDescent="0.25">
      <c r="A14228" s="318">
        <v>95100798758</v>
      </c>
      <c r="B14228" s="318" t="s">
        <v>23</v>
      </c>
    </row>
    <row r="14229" spans="1:2" ht="12.75" customHeight="1" x14ac:dyDescent="0.25">
      <c r="A14229" s="318">
        <v>95100798759</v>
      </c>
      <c r="B14229" s="318" t="s">
        <v>237</v>
      </c>
    </row>
    <row r="14230" spans="1:2" ht="12.75" customHeight="1" x14ac:dyDescent="0.25">
      <c r="A14230" s="318">
        <v>95100798843</v>
      </c>
      <c r="B14230" s="318" t="s">
        <v>237</v>
      </c>
    </row>
    <row r="14231" spans="1:2" ht="12.75" customHeight="1" x14ac:dyDescent="0.25">
      <c r="A14231" s="318">
        <v>95100798844</v>
      </c>
      <c r="B14231" s="318" t="s">
        <v>237</v>
      </c>
    </row>
    <row r="14232" spans="1:2" ht="12.75" customHeight="1" x14ac:dyDescent="0.25">
      <c r="A14232" s="318">
        <v>95100798845</v>
      </c>
      <c r="B14232" s="318" t="s">
        <v>237</v>
      </c>
    </row>
    <row r="14233" spans="1:2" ht="12.75" customHeight="1" x14ac:dyDescent="0.25">
      <c r="A14233" s="318">
        <v>95100798846</v>
      </c>
      <c r="B14233" s="318" t="s">
        <v>237</v>
      </c>
    </row>
    <row r="14234" spans="1:2" ht="12.75" customHeight="1" x14ac:dyDescent="0.25">
      <c r="A14234" s="318">
        <v>95100798847</v>
      </c>
      <c r="B14234" s="318" t="s">
        <v>237</v>
      </c>
    </row>
    <row r="14235" spans="1:2" ht="12.75" customHeight="1" x14ac:dyDescent="0.25">
      <c r="A14235" s="318">
        <v>95100798848</v>
      </c>
      <c r="B14235" s="318" t="s">
        <v>237</v>
      </c>
    </row>
    <row r="14236" spans="1:2" ht="12.75" customHeight="1" x14ac:dyDescent="0.25">
      <c r="A14236" s="318">
        <v>95100798849</v>
      </c>
      <c r="B14236" s="318" t="s">
        <v>237</v>
      </c>
    </row>
    <row r="14237" spans="1:2" ht="12.75" customHeight="1" x14ac:dyDescent="0.25">
      <c r="A14237" s="318">
        <v>95100798850</v>
      </c>
      <c r="B14237" s="318" t="s">
        <v>237</v>
      </c>
    </row>
    <row r="14238" spans="1:2" ht="12.75" customHeight="1" x14ac:dyDescent="0.25">
      <c r="A14238" s="318">
        <v>95100798852</v>
      </c>
      <c r="B14238" s="318" t="s">
        <v>237</v>
      </c>
    </row>
    <row r="14239" spans="1:2" ht="12.75" customHeight="1" x14ac:dyDescent="0.25">
      <c r="A14239" s="318">
        <v>95100798853</v>
      </c>
      <c r="B14239" s="318" t="s">
        <v>237</v>
      </c>
    </row>
    <row r="14240" spans="1:2" ht="12.75" customHeight="1" x14ac:dyDescent="0.25">
      <c r="A14240" s="318">
        <v>95100798854</v>
      </c>
      <c r="B14240" s="318" t="s">
        <v>237</v>
      </c>
    </row>
    <row r="14241" spans="1:2" ht="12.75" customHeight="1" x14ac:dyDescent="0.25">
      <c r="A14241" s="318">
        <v>95100798855</v>
      </c>
      <c r="B14241" s="318" t="s">
        <v>237</v>
      </c>
    </row>
    <row r="14242" spans="1:2" ht="12.75" customHeight="1" x14ac:dyDescent="0.25">
      <c r="A14242" s="318">
        <v>95100798856</v>
      </c>
      <c r="B14242" s="318" t="s">
        <v>237</v>
      </c>
    </row>
    <row r="14243" spans="1:2" ht="12.75" customHeight="1" x14ac:dyDescent="0.25">
      <c r="A14243" s="318">
        <v>95100798857</v>
      </c>
      <c r="B14243" s="318" t="s">
        <v>237</v>
      </c>
    </row>
    <row r="14244" spans="1:2" ht="12.75" customHeight="1" x14ac:dyDescent="0.25">
      <c r="A14244" s="318">
        <v>95100798858</v>
      </c>
      <c r="B14244" s="318" t="s">
        <v>237</v>
      </c>
    </row>
    <row r="14245" spans="1:2" ht="12.75" customHeight="1" x14ac:dyDescent="0.25">
      <c r="A14245" s="318">
        <v>95100798859</v>
      </c>
      <c r="B14245" s="318" t="s">
        <v>237</v>
      </c>
    </row>
    <row r="14246" spans="1:2" ht="12.75" customHeight="1" x14ac:dyDescent="0.25">
      <c r="A14246" s="318">
        <v>95101279716</v>
      </c>
      <c r="B14246" s="318" t="s">
        <v>23</v>
      </c>
    </row>
    <row r="14247" spans="1:2" ht="12.75" customHeight="1" x14ac:dyDescent="0.25">
      <c r="A14247" s="318">
        <v>95101279717</v>
      </c>
      <c r="B14247" s="318" t="s">
        <v>23</v>
      </c>
    </row>
    <row r="14248" spans="1:2" ht="12.75" customHeight="1" x14ac:dyDescent="0.25">
      <c r="A14248" s="318">
        <v>95101279718</v>
      </c>
      <c r="B14248" s="318" t="s">
        <v>23</v>
      </c>
    </row>
    <row r="14249" spans="1:2" ht="12.75" customHeight="1" x14ac:dyDescent="0.25">
      <c r="A14249" s="318">
        <v>95101279719</v>
      </c>
      <c r="B14249" s="318" t="s">
        <v>23</v>
      </c>
    </row>
    <row r="14250" spans="1:2" ht="12.75" customHeight="1" x14ac:dyDescent="0.25">
      <c r="A14250" s="318">
        <v>95101279720</v>
      </c>
      <c r="B14250" s="318" t="s">
        <v>23</v>
      </c>
    </row>
    <row r="14251" spans="1:2" ht="12.75" customHeight="1" x14ac:dyDescent="0.25">
      <c r="A14251" s="318">
        <v>95101279721</v>
      </c>
      <c r="B14251" s="318" t="s">
        <v>23</v>
      </c>
    </row>
    <row r="14252" spans="1:2" ht="12.75" customHeight="1" x14ac:dyDescent="0.25">
      <c r="A14252" s="318">
        <v>95101279722</v>
      </c>
      <c r="B14252" s="318" t="s">
        <v>23</v>
      </c>
    </row>
    <row r="14253" spans="1:2" ht="12.75" customHeight="1" x14ac:dyDescent="0.25">
      <c r="A14253" s="318">
        <v>95101279723</v>
      </c>
      <c r="B14253" s="318" t="s">
        <v>237</v>
      </c>
    </row>
    <row r="14254" spans="1:2" ht="12.75" customHeight="1" x14ac:dyDescent="0.25">
      <c r="A14254" s="318">
        <v>95101279725</v>
      </c>
      <c r="B14254" s="318" t="s">
        <v>23</v>
      </c>
    </row>
    <row r="14255" spans="1:2" ht="12.75" customHeight="1" x14ac:dyDescent="0.25">
      <c r="A14255" s="318">
        <v>95101279726</v>
      </c>
      <c r="B14255" s="318" t="s">
        <v>237</v>
      </c>
    </row>
    <row r="14256" spans="1:2" ht="12.75" customHeight="1" x14ac:dyDescent="0.25">
      <c r="A14256" s="318">
        <v>95101279727</v>
      </c>
      <c r="B14256" s="318" t="s">
        <v>23</v>
      </c>
    </row>
    <row r="14257" spans="1:2" ht="12.75" customHeight="1" x14ac:dyDescent="0.25">
      <c r="A14257" s="318">
        <v>95101279728</v>
      </c>
      <c r="B14257" s="318" t="s">
        <v>237</v>
      </c>
    </row>
    <row r="14258" spans="1:2" ht="12.75" customHeight="1" x14ac:dyDescent="0.25">
      <c r="A14258" s="318">
        <v>95101279729</v>
      </c>
      <c r="B14258" s="318" t="s">
        <v>23</v>
      </c>
    </row>
    <row r="14259" spans="1:2" ht="12.75" customHeight="1" x14ac:dyDescent="0.25">
      <c r="A14259" s="318">
        <v>95101279730</v>
      </c>
      <c r="B14259" s="318" t="s">
        <v>237</v>
      </c>
    </row>
    <row r="14260" spans="1:2" ht="12.75" customHeight="1" x14ac:dyDescent="0.25">
      <c r="A14260" s="318">
        <v>95101279731</v>
      </c>
      <c r="B14260" s="318" t="s">
        <v>23</v>
      </c>
    </row>
    <row r="14261" spans="1:2" ht="12.75" customHeight="1" x14ac:dyDescent="0.25">
      <c r="A14261" s="318">
        <v>95101279732</v>
      </c>
      <c r="B14261" s="318" t="s">
        <v>237</v>
      </c>
    </row>
    <row r="14262" spans="1:2" ht="12.75" customHeight="1" x14ac:dyDescent="0.25">
      <c r="A14262" s="318">
        <v>95101279816</v>
      </c>
      <c r="B14262" s="318" t="s">
        <v>237</v>
      </c>
    </row>
    <row r="14263" spans="1:2" ht="12.75" customHeight="1" x14ac:dyDescent="0.25">
      <c r="A14263" s="318">
        <v>95101279817</v>
      </c>
      <c r="B14263" s="318" t="s">
        <v>237</v>
      </c>
    </row>
    <row r="14264" spans="1:2" ht="12.75" customHeight="1" x14ac:dyDescent="0.25">
      <c r="A14264" s="318">
        <v>95101279818</v>
      </c>
      <c r="B14264" s="318" t="s">
        <v>237</v>
      </c>
    </row>
    <row r="14265" spans="1:2" ht="12.75" customHeight="1" x14ac:dyDescent="0.25">
      <c r="A14265" s="318">
        <v>95101279819</v>
      </c>
      <c r="B14265" s="318" t="s">
        <v>237</v>
      </c>
    </row>
    <row r="14266" spans="1:2" ht="12.75" customHeight="1" x14ac:dyDescent="0.25">
      <c r="A14266" s="318">
        <v>95101279820</v>
      </c>
      <c r="B14266" s="318" t="s">
        <v>237</v>
      </c>
    </row>
    <row r="14267" spans="1:2" ht="12.75" customHeight="1" x14ac:dyDescent="0.25">
      <c r="A14267" s="318">
        <v>95101279821</v>
      </c>
      <c r="B14267" s="318" t="s">
        <v>237</v>
      </c>
    </row>
    <row r="14268" spans="1:2" ht="12.75" customHeight="1" x14ac:dyDescent="0.25">
      <c r="A14268" s="318">
        <v>95101279822</v>
      </c>
      <c r="B14268" s="318" t="s">
        <v>237</v>
      </c>
    </row>
    <row r="14269" spans="1:2" ht="12.75" customHeight="1" x14ac:dyDescent="0.25">
      <c r="A14269" s="318">
        <v>95101279823</v>
      </c>
      <c r="B14269" s="318" t="s">
        <v>237</v>
      </c>
    </row>
    <row r="14270" spans="1:2" ht="12.75" customHeight="1" x14ac:dyDescent="0.25">
      <c r="A14270" s="318">
        <v>95101279825</v>
      </c>
      <c r="B14270" s="318" t="s">
        <v>237</v>
      </c>
    </row>
    <row r="14271" spans="1:2" ht="12.75" customHeight="1" x14ac:dyDescent="0.25">
      <c r="A14271" s="318">
        <v>95101279826</v>
      </c>
      <c r="B14271" s="318" t="s">
        <v>237</v>
      </c>
    </row>
    <row r="14272" spans="1:2" ht="12.75" customHeight="1" x14ac:dyDescent="0.25">
      <c r="A14272" s="318">
        <v>95101279827</v>
      </c>
      <c r="B14272" s="318" t="s">
        <v>237</v>
      </c>
    </row>
    <row r="14273" spans="1:2" ht="12.75" customHeight="1" x14ac:dyDescent="0.25">
      <c r="A14273" s="318">
        <v>95101279828</v>
      </c>
      <c r="B14273" s="318" t="s">
        <v>237</v>
      </c>
    </row>
    <row r="14274" spans="1:2" ht="12.75" customHeight="1" x14ac:dyDescent="0.25">
      <c r="A14274" s="318">
        <v>95101279829</v>
      </c>
      <c r="B14274" s="318" t="s">
        <v>237</v>
      </c>
    </row>
    <row r="14275" spans="1:2" ht="12.75" customHeight="1" x14ac:dyDescent="0.25">
      <c r="A14275" s="318">
        <v>95101279830</v>
      </c>
      <c r="B14275" s="318" t="s">
        <v>237</v>
      </c>
    </row>
    <row r="14276" spans="1:2" ht="12.75" customHeight="1" x14ac:dyDescent="0.25">
      <c r="A14276" s="318">
        <v>95101279831</v>
      </c>
      <c r="B14276" s="318" t="s">
        <v>237</v>
      </c>
    </row>
    <row r="14277" spans="1:2" ht="12.75" customHeight="1" x14ac:dyDescent="0.25">
      <c r="A14277" s="318">
        <v>95101279832</v>
      </c>
      <c r="B14277" s="318" t="s">
        <v>237</v>
      </c>
    </row>
    <row r="14278" spans="1:2" ht="12.75" customHeight="1" x14ac:dyDescent="0.25">
      <c r="A14278" s="318">
        <v>95151175607</v>
      </c>
      <c r="B14278" s="318" t="s">
        <v>23</v>
      </c>
    </row>
    <row r="14279" spans="1:2" ht="12.75" customHeight="1" x14ac:dyDescent="0.25">
      <c r="A14279" s="318">
        <v>95151175608</v>
      </c>
      <c r="B14279" s="318" t="s">
        <v>23</v>
      </c>
    </row>
    <row r="14280" spans="1:2" ht="12.75" customHeight="1" x14ac:dyDescent="0.25">
      <c r="A14280" s="318">
        <v>95151175609</v>
      </c>
      <c r="B14280" s="318" t="s">
        <v>23</v>
      </c>
    </row>
    <row r="14281" spans="1:2" ht="12.75" customHeight="1" x14ac:dyDescent="0.25">
      <c r="A14281" s="318">
        <v>95151175610</v>
      </c>
      <c r="B14281" s="318" t="s">
        <v>23</v>
      </c>
    </row>
    <row r="14282" spans="1:2" ht="12.75" customHeight="1" x14ac:dyDescent="0.25">
      <c r="A14282" s="318">
        <v>95151175611</v>
      </c>
      <c r="B14282" s="318" t="s">
        <v>23</v>
      </c>
    </row>
    <row r="14283" spans="1:2" ht="12.75" customHeight="1" x14ac:dyDescent="0.25">
      <c r="A14283" s="318">
        <v>95151175612</v>
      </c>
      <c r="B14283" s="318" t="s">
        <v>23</v>
      </c>
    </row>
    <row r="14284" spans="1:2" ht="12.75" customHeight="1" x14ac:dyDescent="0.25">
      <c r="A14284" s="318">
        <v>95151175613</v>
      </c>
      <c r="B14284" s="318" t="s">
        <v>237</v>
      </c>
    </row>
    <row r="14285" spans="1:2" ht="12.75" customHeight="1" x14ac:dyDescent="0.25">
      <c r="A14285" s="318">
        <v>95151175614</v>
      </c>
      <c r="B14285" s="318" t="s">
        <v>237</v>
      </c>
    </row>
    <row r="14286" spans="1:2" ht="12.75" customHeight="1" x14ac:dyDescent="0.25">
      <c r="A14286" s="318">
        <v>95151175616</v>
      </c>
      <c r="B14286" s="318" t="s">
        <v>237</v>
      </c>
    </row>
    <row r="14287" spans="1:2" ht="12.75" customHeight="1" x14ac:dyDescent="0.25">
      <c r="A14287" s="318">
        <v>95151175617</v>
      </c>
      <c r="B14287" s="318" t="s">
        <v>237</v>
      </c>
    </row>
    <row r="14288" spans="1:2" ht="12.75" customHeight="1" x14ac:dyDescent="0.25">
      <c r="A14288" s="318">
        <v>95151175618</v>
      </c>
      <c r="B14288" s="318" t="s">
        <v>237</v>
      </c>
    </row>
    <row r="14289" spans="1:2" ht="12.75" customHeight="1" x14ac:dyDescent="0.25">
      <c r="A14289" s="318">
        <v>95151175619</v>
      </c>
      <c r="B14289" s="318" t="s">
        <v>237</v>
      </c>
    </row>
    <row r="14290" spans="1:2" ht="12.75" customHeight="1" x14ac:dyDescent="0.25">
      <c r="A14290" s="318">
        <v>95151175620</v>
      </c>
      <c r="B14290" s="318" t="s">
        <v>237</v>
      </c>
    </row>
    <row r="14291" spans="1:2" ht="12.75" customHeight="1" x14ac:dyDescent="0.25">
      <c r="A14291" s="318">
        <v>95151175621</v>
      </c>
      <c r="B14291" s="318" t="s">
        <v>237</v>
      </c>
    </row>
    <row r="14292" spans="1:2" ht="12.75" customHeight="1" x14ac:dyDescent="0.25">
      <c r="A14292" s="318">
        <v>95151175622</v>
      </c>
      <c r="B14292" s="318" t="s">
        <v>237</v>
      </c>
    </row>
    <row r="14293" spans="1:2" ht="12.75" customHeight="1" x14ac:dyDescent="0.25">
      <c r="A14293" s="318">
        <v>95151175623</v>
      </c>
      <c r="B14293" s="318" t="s">
        <v>237</v>
      </c>
    </row>
    <row r="14294" spans="1:2" ht="12.75" customHeight="1" x14ac:dyDescent="0.25">
      <c r="A14294" s="318">
        <v>95151175707</v>
      </c>
      <c r="B14294" s="318" t="s">
        <v>237</v>
      </c>
    </row>
    <row r="14295" spans="1:2" ht="12.75" customHeight="1" x14ac:dyDescent="0.25">
      <c r="A14295" s="318">
        <v>95151175708</v>
      </c>
      <c r="B14295" s="318" t="s">
        <v>237</v>
      </c>
    </row>
    <row r="14296" spans="1:2" ht="12.75" customHeight="1" x14ac:dyDescent="0.25">
      <c r="A14296" s="318">
        <v>95151175709</v>
      </c>
      <c r="B14296" s="318" t="s">
        <v>237</v>
      </c>
    </row>
    <row r="14297" spans="1:2" ht="12.75" customHeight="1" x14ac:dyDescent="0.25">
      <c r="A14297" s="318">
        <v>95151175710</v>
      </c>
      <c r="B14297" s="318" t="s">
        <v>237</v>
      </c>
    </row>
    <row r="14298" spans="1:2" ht="12.75" customHeight="1" x14ac:dyDescent="0.25">
      <c r="A14298" s="318">
        <v>95151175711</v>
      </c>
      <c r="B14298" s="318" t="s">
        <v>237</v>
      </c>
    </row>
    <row r="14299" spans="1:2" ht="12.75" customHeight="1" x14ac:dyDescent="0.25">
      <c r="A14299" s="318">
        <v>95151175712</v>
      </c>
      <c r="B14299" s="318" t="s">
        <v>237</v>
      </c>
    </row>
    <row r="14300" spans="1:2" ht="12.75" customHeight="1" x14ac:dyDescent="0.25">
      <c r="A14300" s="318">
        <v>95151175713</v>
      </c>
      <c r="B14300" s="318" t="s">
        <v>237</v>
      </c>
    </row>
    <row r="14301" spans="1:2" ht="12.75" customHeight="1" x14ac:dyDescent="0.25">
      <c r="A14301" s="318">
        <v>95151175714</v>
      </c>
      <c r="B14301" s="318" t="s">
        <v>237</v>
      </c>
    </row>
    <row r="14302" spans="1:2" ht="12.75" customHeight="1" x14ac:dyDescent="0.25">
      <c r="A14302" s="318">
        <v>95151175716</v>
      </c>
      <c r="B14302" s="318" t="s">
        <v>237</v>
      </c>
    </row>
    <row r="14303" spans="1:2" ht="12.75" customHeight="1" x14ac:dyDescent="0.25">
      <c r="A14303" s="318">
        <v>95151175717</v>
      </c>
      <c r="B14303" s="318" t="s">
        <v>237</v>
      </c>
    </row>
    <row r="14304" spans="1:2" ht="12.75" customHeight="1" x14ac:dyDescent="0.25">
      <c r="A14304" s="318">
        <v>95151175718</v>
      </c>
      <c r="B14304" s="318" t="s">
        <v>237</v>
      </c>
    </row>
    <row r="14305" spans="1:2" ht="12.75" customHeight="1" x14ac:dyDescent="0.25">
      <c r="A14305" s="318">
        <v>95151175719</v>
      </c>
      <c r="B14305" s="318" t="s">
        <v>237</v>
      </c>
    </row>
    <row r="14306" spans="1:2" ht="12.75" customHeight="1" x14ac:dyDescent="0.25">
      <c r="A14306" s="318">
        <v>95151175720</v>
      </c>
      <c r="B14306" s="318" t="s">
        <v>237</v>
      </c>
    </row>
    <row r="14307" spans="1:2" ht="12.75" customHeight="1" x14ac:dyDescent="0.25">
      <c r="A14307" s="318">
        <v>95151175721</v>
      </c>
      <c r="B14307" s="318" t="s">
        <v>237</v>
      </c>
    </row>
    <row r="14308" spans="1:2" ht="12.75" customHeight="1" x14ac:dyDescent="0.25">
      <c r="A14308" s="318">
        <v>95151175722</v>
      </c>
      <c r="B14308" s="318" t="s">
        <v>237</v>
      </c>
    </row>
    <row r="14309" spans="1:2" ht="12.75" customHeight="1" x14ac:dyDescent="0.25">
      <c r="A14309" s="318">
        <v>95151175723</v>
      </c>
      <c r="B14309" s="318" t="s">
        <v>237</v>
      </c>
    </row>
    <row r="14310" spans="1:2" ht="12.75" customHeight="1" x14ac:dyDescent="0.25">
      <c r="A14310" s="318">
        <v>95151656580</v>
      </c>
      <c r="B14310" s="318" t="s">
        <v>23</v>
      </c>
    </row>
    <row r="14311" spans="1:2" ht="12.75" customHeight="1" x14ac:dyDescent="0.25">
      <c r="A14311" s="318">
        <v>95151656581</v>
      </c>
      <c r="B14311" s="318" t="s">
        <v>23</v>
      </c>
    </row>
    <row r="14312" spans="1:2" ht="12.75" customHeight="1" x14ac:dyDescent="0.25">
      <c r="A14312" s="318">
        <v>95151656582</v>
      </c>
      <c r="B14312" s="318" t="s">
        <v>23</v>
      </c>
    </row>
    <row r="14313" spans="1:2" ht="12.75" customHeight="1" x14ac:dyDescent="0.25">
      <c r="A14313" s="318">
        <v>95151656583</v>
      </c>
      <c r="B14313" s="318" t="s">
        <v>23</v>
      </c>
    </row>
    <row r="14314" spans="1:2" ht="12.75" customHeight="1" x14ac:dyDescent="0.25">
      <c r="A14314" s="318">
        <v>95151656584</v>
      </c>
      <c r="B14314" s="318" t="s">
        <v>23</v>
      </c>
    </row>
    <row r="14315" spans="1:2" ht="12.75" customHeight="1" x14ac:dyDescent="0.25">
      <c r="A14315" s="318">
        <v>95151656585</v>
      </c>
      <c r="B14315" s="318" t="s">
        <v>23</v>
      </c>
    </row>
    <row r="14316" spans="1:2" ht="12.75" customHeight="1" x14ac:dyDescent="0.25">
      <c r="A14316" s="318">
        <v>95151656586</v>
      </c>
      <c r="B14316" s="318" t="s">
        <v>237</v>
      </c>
    </row>
    <row r="14317" spans="1:2" ht="12.75" customHeight="1" x14ac:dyDescent="0.25">
      <c r="A14317" s="318">
        <v>95151656587</v>
      </c>
      <c r="B14317" s="318" t="s">
        <v>237</v>
      </c>
    </row>
    <row r="14318" spans="1:2" ht="12.75" customHeight="1" x14ac:dyDescent="0.25">
      <c r="A14318" s="318">
        <v>95151656589</v>
      </c>
      <c r="B14318" s="318" t="s">
        <v>237</v>
      </c>
    </row>
    <row r="14319" spans="1:2" ht="12.75" customHeight="1" x14ac:dyDescent="0.25">
      <c r="A14319" s="318">
        <v>95151656590</v>
      </c>
      <c r="B14319" s="318" t="s">
        <v>237</v>
      </c>
    </row>
    <row r="14320" spans="1:2" ht="12.75" customHeight="1" x14ac:dyDescent="0.25">
      <c r="A14320" s="318">
        <v>95151656591</v>
      </c>
      <c r="B14320" s="318" t="s">
        <v>237</v>
      </c>
    </row>
    <row r="14321" spans="1:2" ht="12.75" customHeight="1" x14ac:dyDescent="0.25">
      <c r="A14321" s="318">
        <v>95151656592</v>
      </c>
      <c r="B14321" s="318" t="s">
        <v>237</v>
      </c>
    </row>
    <row r="14322" spans="1:2" ht="12.75" customHeight="1" x14ac:dyDescent="0.25">
      <c r="A14322" s="318">
        <v>95151656593</v>
      </c>
      <c r="B14322" s="318" t="s">
        <v>237</v>
      </c>
    </row>
    <row r="14323" spans="1:2" ht="12.75" customHeight="1" x14ac:dyDescent="0.25">
      <c r="A14323" s="318">
        <v>95151656594</v>
      </c>
      <c r="B14323" s="318" t="s">
        <v>237</v>
      </c>
    </row>
    <row r="14324" spans="1:2" ht="12.75" customHeight="1" x14ac:dyDescent="0.25">
      <c r="A14324" s="318">
        <v>95151656595</v>
      </c>
      <c r="B14324" s="318" t="s">
        <v>237</v>
      </c>
    </row>
    <row r="14325" spans="1:2" ht="12.75" customHeight="1" x14ac:dyDescent="0.25">
      <c r="A14325" s="318">
        <v>95151656596</v>
      </c>
      <c r="B14325" s="318" t="s">
        <v>237</v>
      </c>
    </row>
    <row r="14326" spans="1:2" ht="12.75" customHeight="1" x14ac:dyDescent="0.25">
      <c r="A14326" s="318">
        <v>95151656680</v>
      </c>
      <c r="B14326" s="318" t="s">
        <v>237</v>
      </c>
    </row>
    <row r="14327" spans="1:2" ht="12.75" customHeight="1" x14ac:dyDescent="0.25">
      <c r="A14327" s="318">
        <v>95151656681</v>
      </c>
      <c r="B14327" s="318" t="s">
        <v>237</v>
      </c>
    </row>
    <row r="14328" spans="1:2" ht="12.75" customHeight="1" x14ac:dyDescent="0.25">
      <c r="A14328" s="318">
        <v>95151656682</v>
      </c>
      <c r="B14328" s="318" t="s">
        <v>237</v>
      </c>
    </row>
    <row r="14329" spans="1:2" ht="12.75" customHeight="1" x14ac:dyDescent="0.25">
      <c r="A14329" s="318">
        <v>95151656683</v>
      </c>
      <c r="B14329" s="318" t="s">
        <v>237</v>
      </c>
    </row>
    <row r="14330" spans="1:2" ht="12.75" customHeight="1" x14ac:dyDescent="0.25">
      <c r="A14330" s="318">
        <v>95151656684</v>
      </c>
      <c r="B14330" s="318" t="s">
        <v>237</v>
      </c>
    </row>
    <row r="14331" spans="1:2" ht="12.75" customHeight="1" x14ac:dyDescent="0.25">
      <c r="A14331" s="318">
        <v>95151656685</v>
      </c>
      <c r="B14331" s="318" t="s">
        <v>237</v>
      </c>
    </row>
    <row r="14332" spans="1:2" ht="12.75" customHeight="1" x14ac:dyDescent="0.25">
      <c r="A14332" s="318">
        <v>95151656686</v>
      </c>
      <c r="B14332" s="318" t="s">
        <v>237</v>
      </c>
    </row>
    <row r="14333" spans="1:2" ht="12.75" customHeight="1" x14ac:dyDescent="0.25">
      <c r="A14333" s="318">
        <v>95151656687</v>
      </c>
      <c r="B14333" s="318" t="s">
        <v>237</v>
      </c>
    </row>
    <row r="14334" spans="1:2" ht="12.75" customHeight="1" x14ac:dyDescent="0.25">
      <c r="A14334" s="318">
        <v>95151656689</v>
      </c>
      <c r="B14334" s="318" t="s">
        <v>237</v>
      </c>
    </row>
    <row r="14335" spans="1:2" ht="12.75" customHeight="1" x14ac:dyDescent="0.25">
      <c r="A14335" s="318">
        <v>95151656690</v>
      </c>
      <c r="B14335" s="318" t="s">
        <v>237</v>
      </c>
    </row>
    <row r="14336" spans="1:2" ht="12.75" customHeight="1" x14ac:dyDescent="0.25">
      <c r="A14336" s="318">
        <v>95151656691</v>
      </c>
      <c r="B14336" s="318" t="s">
        <v>237</v>
      </c>
    </row>
    <row r="14337" spans="1:2" ht="12.75" customHeight="1" x14ac:dyDescent="0.25">
      <c r="A14337" s="318">
        <v>95151656692</v>
      </c>
      <c r="B14337" s="318" t="s">
        <v>237</v>
      </c>
    </row>
    <row r="14338" spans="1:2" ht="12.75" customHeight="1" x14ac:dyDescent="0.25">
      <c r="A14338" s="318">
        <v>95151656693</v>
      </c>
      <c r="B14338" s="318" t="s">
        <v>237</v>
      </c>
    </row>
    <row r="14339" spans="1:2" ht="12.75" customHeight="1" x14ac:dyDescent="0.25">
      <c r="A14339" s="318">
        <v>95151656694</v>
      </c>
      <c r="B14339" s="318" t="s">
        <v>237</v>
      </c>
    </row>
    <row r="14340" spans="1:2" ht="12.75" customHeight="1" x14ac:dyDescent="0.25">
      <c r="A14340" s="318">
        <v>95151656695</v>
      </c>
      <c r="B14340" s="318" t="s">
        <v>237</v>
      </c>
    </row>
    <row r="14341" spans="1:2" ht="12.75" customHeight="1" x14ac:dyDescent="0.25">
      <c r="A14341" s="318">
        <v>95151656696</v>
      </c>
      <c r="B14341" s="318" t="s">
        <v>237</v>
      </c>
    </row>
    <row r="14342" spans="1:2" ht="12.75" customHeight="1" x14ac:dyDescent="0.25">
      <c r="A14342" s="318">
        <v>95152137553</v>
      </c>
      <c r="B14342" s="318" t="s">
        <v>23</v>
      </c>
    </row>
    <row r="14343" spans="1:2" ht="12.75" customHeight="1" x14ac:dyDescent="0.25">
      <c r="A14343" s="318">
        <v>95152137554</v>
      </c>
      <c r="B14343" s="318" t="s">
        <v>23</v>
      </c>
    </row>
    <row r="14344" spans="1:2" ht="12.75" customHeight="1" x14ac:dyDescent="0.25">
      <c r="A14344" s="318">
        <v>95152137555</v>
      </c>
      <c r="B14344" s="318" t="s">
        <v>23</v>
      </c>
    </row>
    <row r="14345" spans="1:2" ht="12.75" customHeight="1" x14ac:dyDescent="0.25">
      <c r="A14345" s="318">
        <v>95152137556</v>
      </c>
      <c r="B14345" s="318" t="s">
        <v>23</v>
      </c>
    </row>
    <row r="14346" spans="1:2" ht="12.75" customHeight="1" x14ac:dyDescent="0.25">
      <c r="A14346" s="318">
        <v>95152137557</v>
      </c>
      <c r="B14346" s="318" t="s">
        <v>23</v>
      </c>
    </row>
    <row r="14347" spans="1:2" ht="12.75" customHeight="1" x14ac:dyDescent="0.25">
      <c r="A14347" s="318">
        <v>95152137558</v>
      </c>
      <c r="B14347" s="318" t="s">
        <v>23</v>
      </c>
    </row>
    <row r="14348" spans="1:2" ht="12.75" customHeight="1" x14ac:dyDescent="0.25">
      <c r="A14348" s="318">
        <v>95152137559</v>
      </c>
      <c r="B14348" s="318" t="s">
        <v>237</v>
      </c>
    </row>
    <row r="14349" spans="1:2" ht="12.75" customHeight="1" x14ac:dyDescent="0.25">
      <c r="A14349" s="318">
        <v>95152137560</v>
      </c>
      <c r="B14349" s="318" t="s">
        <v>237</v>
      </c>
    </row>
    <row r="14350" spans="1:2" ht="12.75" customHeight="1" x14ac:dyDescent="0.25">
      <c r="A14350" s="318">
        <v>95152137562</v>
      </c>
      <c r="B14350" s="318" t="s">
        <v>237</v>
      </c>
    </row>
    <row r="14351" spans="1:2" ht="12.75" customHeight="1" x14ac:dyDescent="0.25">
      <c r="A14351" s="318">
        <v>95152137563</v>
      </c>
      <c r="B14351" s="318" t="s">
        <v>237</v>
      </c>
    </row>
    <row r="14352" spans="1:2" ht="12.75" customHeight="1" x14ac:dyDescent="0.25">
      <c r="A14352" s="318">
        <v>95152137564</v>
      </c>
      <c r="B14352" s="318" t="s">
        <v>237</v>
      </c>
    </row>
    <row r="14353" spans="1:2" ht="12.75" customHeight="1" x14ac:dyDescent="0.25">
      <c r="A14353" s="318">
        <v>95152137565</v>
      </c>
      <c r="B14353" s="318" t="s">
        <v>237</v>
      </c>
    </row>
    <row r="14354" spans="1:2" ht="12.75" customHeight="1" x14ac:dyDescent="0.25">
      <c r="A14354" s="318">
        <v>95152137566</v>
      </c>
      <c r="B14354" s="318" t="s">
        <v>237</v>
      </c>
    </row>
    <row r="14355" spans="1:2" ht="12.75" customHeight="1" x14ac:dyDescent="0.25">
      <c r="A14355" s="318">
        <v>95152137567</v>
      </c>
      <c r="B14355" s="318" t="s">
        <v>237</v>
      </c>
    </row>
    <row r="14356" spans="1:2" ht="12.75" customHeight="1" x14ac:dyDescent="0.25">
      <c r="A14356" s="318">
        <v>95152137568</v>
      </c>
      <c r="B14356" s="318" t="s">
        <v>237</v>
      </c>
    </row>
    <row r="14357" spans="1:2" ht="12.75" customHeight="1" x14ac:dyDescent="0.25">
      <c r="A14357" s="318">
        <v>95152137569</v>
      </c>
      <c r="B14357" s="318" t="s">
        <v>237</v>
      </c>
    </row>
    <row r="14358" spans="1:2" ht="12.75" customHeight="1" x14ac:dyDescent="0.25">
      <c r="A14358" s="318">
        <v>95152137653</v>
      </c>
      <c r="B14358" s="318" t="s">
        <v>237</v>
      </c>
    </row>
    <row r="14359" spans="1:2" ht="12.75" customHeight="1" x14ac:dyDescent="0.25">
      <c r="A14359" s="318">
        <v>95152137654</v>
      </c>
      <c r="B14359" s="318" t="s">
        <v>237</v>
      </c>
    </row>
    <row r="14360" spans="1:2" ht="12.75" customHeight="1" x14ac:dyDescent="0.25">
      <c r="A14360" s="318">
        <v>95152137655</v>
      </c>
      <c r="B14360" s="318" t="s">
        <v>237</v>
      </c>
    </row>
    <row r="14361" spans="1:2" ht="12.75" customHeight="1" x14ac:dyDescent="0.25">
      <c r="A14361" s="318">
        <v>95152137656</v>
      </c>
      <c r="B14361" s="318" t="s">
        <v>237</v>
      </c>
    </row>
    <row r="14362" spans="1:2" ht="12.75" customHeight="1" x14ac:dyDescent="0.25">
      <c r="A14362" s="318">
        <v>95152137657</v>
      </c>
      <c r="B14362" s="318" t="s">
        <v>237</v>
      </c>
    </row>
    <row r="14363" spans="1:2" ht="12.75" customHeight="1" x14ac:dyDescent="0.25">
      <c r="A14363" s="318">
        <v>95152137658</v>
      </c>
      <c r="B14363" s="318" t="s">
        <v>237</v>
      </c>
    </row>
    <row r="14364" spans="1:2" ht="12.75" customHeight="1" x14ac:dyDescent="0.25">
      <c r="A14364" s="318">
        <v>95152137659</v>
      </c>
      <c r="B14364" s="318" t="s">
        <v>237</v>
      </c>
    </row>
    <row r="14365" spans="1:2" ht="12.75" customHeight="1" x14ac:dyDescent="0.25">
      <c r="A14365" s="318">
        <v>95152137660</v>
      </c>
      <c r="B14365" s="318" t="s">
        <v>237</v>
      </c>
    </row>
    <row r="14366" spans="1:2" ht="12.75" customHeight="1" x14ac:dyDescent="0.25">
      <c r="A14366" s="318">
        <v>95152137662</v>
      </c>
      <c r="B14366" s="318" t="s">
        <v>237</v>
      </c>
    </row>
    <row r="14367" spans="1:2" ht="12.75" customHeight="1" x14ac:dyDescent="0.25">
      <c r="A14367" s="318">
        <v>95152137663</v>
      </c>
      <c r="B14367" s="318" t="s">
        <v>237</v>
      </c>
    </row>
    <row r="14368" spans="1:2" ht="12.75" customHeight="1" x14ac:dyDescent="0.25">
      <c r="A14368" s="318">
        <v>95152137664</v>
      </c>
      <c r="B14368" s="318" t="s">
        <v>237</v>
      </c>
    </row>
    <row r="14369" spans="1:2" ht="12.75" customHeight="1" x14ac:dyDescent="0.25">
      <c r="A14369" s="318">
        <v>95152137665</v>
      </c>
      <c r="B14369" s="318" t="s">
        <v>237</v>
      </c>
    </row>
    <row r="14370" spans="1:2" ht="12.75" customHeight="1" x14ac:dyDescent="0.25">
      <c r="A14370" s="318">
        <v>95152137666</v>
      </c>
      <c r="B14370" s="318" t="s">
        <v>237</v>
      </c>
    </row>
    <row r="14371" spans="1:2" ht="12.75" customHeight="1" x14ac:dyDescent="0.25">
      <c r="A14371" s="318">
        <v>95152137667</v>
      </c>
      <c r="B14371" s="318" t="s">
        <v>237</v>
      </c>
    </row>
    <row r="14372" spans="1:2" ht="12.75" customHeight="1" x14ac:dyDescent="0.25">
      <c r="A14372" s="318">
        <v>95152137668</v>
      </c>
      <c r="B14372" s="318" t="s">
        <v>237</v>
      </c>
    </row>
    <row r="14373" spans="1:2" ht="12.75" customHeight="1" x14ac:dyDescent="0.25">
      <c r="A14373" s="318">
        <v>95152137669</v>
      </c>
      <c r="B14373" s="318" t="s">
        <v>237</v>
      </c>
    </row>
    <row r="14374" spans="1:2" ht="12.75" customHeight="1" x14ac:dyDescent="0.25">
      <c r="A14374" s="318">
        <v>95152817744</v>
      </c>
      <c r="B14374" s="318" t="s">
        <v>23</v>
      </c>
    </row>
    <row r="14375" spans="1:2" ht="12.75" customHeight="1" x14ac:dyDescent="0.25">
      <c r="A14375" s="318">
        <v>95152817745</v>
      </c>
      <c r="B14375" s="318" t="s">
        <v>23</v>
      </c>
    </row>
    <row r="14376" spans="1:2" ht="12.75" customHeight="1" x14ac:dyDescent="0.25">
      <c r="A14376" s="318">
        <v>95152817746</v>
      </c>
      <c r="B14376" s="318" t="s">
        <v>23</v>
      </c>
    </row>
    <row r="14377" spans="1:2" ht="12.75" customHeight="1" x14ac:dyDescent="0.25">
      <c r="A14377" s="318">
        <v>95152817747</v>
      </c>
      <c r="B14377" s="318" t="s">
        <v>23</v>
      </c>
    </row>
    <row r="14378" spans="1:2" ht="12.75" customHeight="1" x14ac:dyDescent="0.25">
      <c r="A14378" s="318">
        <v>95152817748</v>
      </c>
      <c r="B14378" s="318" t="s">
        <v>23</v>
      </c>
    </row>
    <row r="14379" spans="1:2" ht="12.75" customHeight="1" x14ac:dyDescent="0.25">
      <c r="A14379" s="318">
        <v>95152817749</v>
      </c>
      <c r="B14379" s="318" t="s">
        <v>23</v>
      </c>
    </row>
    <row r="14380" spans="1:2" ht="12.75" customHeight="1" x14ac:dyDescent="0.25">
      <c r="A14380" s="318">
        <v>95152817750</v>
      </c>
      <c r="B14380" s="318" t="s">
        <v>237</v>
      </c>
    </row>
    <row r="14381" spans="1:2" ht="12.75" customHeight="1" x14ac:dyDescent="0.25">
      <c r="A14381" s="318">
        <v>95152817751</v>
      </c>
      <c r="B14381" s="318" t="s">
        <v>237</v>
      </c>
    </row>
    <row r="14382" spans="1:2" ht="12.75" customHeight="1" x14ac:dyDescent="0.25">
      <c r="A14382" s="318">
        <v>95152817753</v>
      </c>
      <c r="B14382" s="318" t="s">
        <v>237</v>
      </c>
    </row>
    <row r="14383" spans="1:2" ht="12.75" customHeight="1" x14ac:dyDescent="0.25">
      <c r="A14383" s="318">
        <v>95152817754</v>
      </c>
      <c r="B14383" s="318" t="s">
        <v>237</v>
      </c>
    </row>
    <row r="14384" spans="1:2" ht="12.75" customHeight="1" x14ac:dyDescent="0.25">
      <c r="A14384" s="318">
        <v>95152817755</v>
      </c>
      <c r="B14384" s="318" t="s">
        <v>237</v>
      </c>
    </row>
    <row r="14385" spans="1:2" ht="12.75" customHeight="1" x14ac:dyDescent="0.25">
      <c r="A14385" s="318">
        <v>95152817756</v>
      </c>
      <c r="B14385" s="318" t="s">
        <v>237</v>
      </c>
    </row>
    <row r="14386" spans="1:2" ht="12.75" customHeight="1" x14ac:dyDescent="0.25">
      <c r="A14386" s="318">
        <v>95152817757</v>
      </c>
      <c r="B14386" s="318" t="s">
        <v>237</v>
      </c>
    </row>
    <row r="14387" spans="1:2" ht="12.75" customHeight="1" x14ac:dyDescent="0.25">
      <c r="A14387" s="318">
        <v>95152817758</v>
      </c>
      <c r="B14387" s="318" t="s">
        <v>237</v>
      </c>
    </row>
    <row r="14388" spans="1:2" ht="12.75" customHeight="1" x14ac:dyDescent="0.25">
      <c r="A14388" s="318">
        <v>95152817759</v>
      </c>
      <c r="B14388" s="318" t="s">
        <v>237</v>
      </c>
    </row>
    <row r="14389" spans="1:2" ht="12.75" customHeight="1" x14ac:dyDescent="0.25">
      <c r="A14389" s="318">
        <v>95152817760</v>
      </c>
      <c r="B14389" s="318" t="s">
        <v>237</v>
      </c>
    </row>
    <row r="14390" spans="1:2" ht="12.75" customHeight="1" x14ac:dyDescent="0.25">
      <c r="A14390" s="318">
        <v>95152817844</v>
      </c>
      <c r="B14390" s="318" t="s">
        <v>237</v>
      </c>
    </row>
    <row r="14391" spans="1:2" ht="12.75" customHeight="1" x14ac:dyDescent="0.25">
      <c r="A14391" s="318">
        <v>95152817845</v>
      </c>
      <c r="B14391" s="318" t="s">
        <v>237</v>
      </c>
    </row>
    <row r="14392" spans="1:2" ht="12.75" customHeight="1" x14ac:dyDescent="0.25">
      <c r="A14392" s="318">
        <v>95152817846</v>
      </c>
      <c r="B14392" s="318" t="s">
        <v>237</v>
      </c>
    </row>
    <row r="14393" spans="1:2" ht="12.75" customHeight="1" x14ac:dyDescent="0.25">
      <c r="A14393" s="318">
        <v>95152817847</v>
      </c>
      <c r="B14393" s="318" t="s">
        <v>237</v>
      </c>
    </row>
    <row r="14394" spans="1:2" ht="12.75" customHeight="1" x14ac:dyDescent="0.25">
      <c r="A14394" s="318">
        <v>95152817848</v>
      </c>
      <c r="B14394" s="318" t="s">
        <v>237</v>
      </c>
    </row>
    <row r="14395" spans="1:2" ht="12.75" customHeight="1" x14ac:dyDescent="0.25">
      <c r="A14395" s="318">
        <v>95152817849</v>
      </c>
      <c r="B14395" s="318" t="s">
        <v>237</v>
      </c>
    </row>
    <row r="14396" spans="1:2" ht="12.75" customHeight="1" x14ac:dyDescent="0.25">
      <c r="A14396" s="318">
        <v>95152817850</v>
      </c>
      <c r="B14396" s="318" t="s">
        <v>237</v>
      </c>
    </row>
    <row r="14397" spans="1:2" ht="12.75" customHeight="1" x14ac:dyDescent="0.25">
      <c r="A14397" s="318">
        <v>95152817851</v>
      </c>
      <c r="B14397" s="318" t="s">
        <v>237</v>
      </c>
    </row>
    <row r="14398" spans="1:2" ht="12.75" customHeight="1" x14ac:dyDescent="0.25">
      <c r="A14398" s="318">
        <v>95152817853</v>
      </c>
      <c r="B14398" s="318" t="s">
        <v>237</v>
      </c>
    </row>
    <row r="14399" spans="1:2" ht="12.75" customHeight="1" x14ac:dyDescent="0.25">
      <c r="A14399" s="318">
        <v>95152817854</v>
      </c>
      <c r="B14399" s="318" t="s">
        <v>237</v>
      </c>
    </row>
    <row r="14400" spans="1:2" ht="12.75" customHeight="1" x14ac:dyDescent="0.25">
      <c r="A14400" s="318">
        <v>95152817855</v>
      </c>
      <c r="B14400" s="318" t="s">
        <v>237</v>
      </c>
    </row>
    <row r="14401" spans="1:2" ht="12.75" customHeight="1" x14ac:dyDescent="0.25">
      <c r="A14401" s="318">
        <v>95152817856</v>
      </c>
      <c r="B14401" s="318" t="s">
        <v>237</v>
      </c>
    </row>
    <row r="14402" spans="1:2" ht="12.75" customHeight="1" x14ac:dyDescent="0.25">
      <c r="A14402" s="318">
        <v>95152817857</v>
      </c>
      <c r="B14402" s="318" t="s">
        <v>237</v>
      </c>
    </row>
    <row r="14403" spans="1:2" ht="12.75" customHeight="1" x14ac:dyDescent="0.25">
      <c r="A14403" s="318">
        <v>95152817858</v>
      </c>
      <c r="B14403" s="318" t="s">
        <v>237</v>
      </c>
    </row>
    <row r="14404" spans="1:2" ht="12.75" customHeight="1" x14ac:dyDescent="0.25">
      <c r="A14404" s="318">
        <v>95152817859</v>
      </c>
      <c r="B14404" s="318" t="s">
        <v>237</v>
      </c>
    </row>
    <row r="14405" spans="1:2" ht="12.75" customHeight="1" x14ac:dyDescent="0.25">
      <c r="A14405" s="318">
        <v>95152817860</v>
      </c>
      <c r="B14405" s="318" t="s">
        <v>237</v>
      </c>
    </row>
    <row r="14406" spans="1:2" ht="12.75" customHeight="1" x14ac:dyDescent="0.25">
      <c r="A14406" s="318">
        <v>95153298717</v>
      </c>
      <c r="B14406" s="318" t="s">
        <v>23</v>
      </c>
    </row>
    <row r="14407" spans="1:2" ht="12.75" customHeight="1" x14ac:dyDescent="0.25">
      <c r="A14407" s="318">
        <v>95153298718</v>
      </c>
      <c r="B14407" s="318" t="s">
        <v>23</v>
      </c>
    </row>
    <row r="14408" spans="1:2" ht="12.75" customHeight="1" x14ac:dyDescent="0.25">
      <c r="A14408" s="318">
        <v>95153298719</v>
      </c>
      <c r="B14408" s="318" t="s">
        <v>23</v>
      </c>
    </row>
    <row r="14409" spans="1:2" ht="12.75" customHeight="1" x14ac:dyDescent="0.25">
      <c r="A14409" s="318">
        <v>95153298720</v>
      </c>
      <c r="B14409" s="318" t="s">
        <v>23</v>
      </c>
    </row>
    <row r="14410" spans="1:2" ht="12.75" customHeight="1" x14ac:dyDescent="0.25">
      <c r="A14410" s="318">
        <v>95153298721</v>
      </c>
      <c r="B14410" s="318" t="s">
        <v>23</v>
      </c>
    </row>
    <row r="14411" spans="1:2" ht="12.75" customHeight="1" x14ac:dyDescent="0.25">
      <c r="A14411" s="318">
        <v>95153298722</v>
      </c>
      <c r="B14411" s="318" t="s">
        <v>23</v>
      </c>
    </row>
    <row r="14412" spans="1:2" ht="12.75" customHeight="1" x14ac:dyDescent="0.25">
      <c r="A14412" s="318">
        <v>95153298723</v>
      </c>
      <c r="B14412" s="318" t="s">
        <v>237</v>
      </c>
    </row>
    <row r="14413" spans="1:2" ht="12.75" customHeight="1" x14ac:dyDescent="0.25">
      <c r="A14413" s="318">
        <v>95153298724</v>
      </c>
      <c r="B14413" s="318" t="s">
        <v>237</v>
      </c>
    </row>
    <row r="14414" spans="1:2" ht="12.75" customHeight="1" x14ac:dyDescent="0.25">
      <c r="A14414" s="318">
        <v>95153298726</v>
      </c>
      <c r="B14414" s="318" t="s">
        <v>237</v>
      </c>
    </row>
    <row r="14415" spans="1:2" ht="12.75" customHeight="1" x14ac:dyDescent="0.25">
      <c r="A14415" s="318">
        <v>95153298727</v>
      </c>
      <c r="B14415" s="318" t="s">
        <v>237</v>
      </c>
    </row>
    <row r="14416" spans="1:2" ht="12.75" customHeight="1" x14ac:dyDescent="0.25">
      <c r="A14416" s="318">
        <v>95153298728</v>
      </c>
      <c r="B14416" s="318" t="s">
        <v>237</v>
      </c>
    </row>
    <row r="14417" spans="1:2" ht="12.75" customHeight="1" x14ac:dyDescent="0.25">
      <c r="A14417" s="318">
        <v>95153298729</v>
      </c>
      <c r="B14417" s="318" t="s">
        <v>237</v>
      </c>
    </row>
    <row r="14418" spans="1:2" ht="12.75" customHeight="1" x14ac:dyDescent="0.25">
      <c r="A14418" s="318">
        <v>95153298730</v>
      </c>
      <c r="B14418" s="318" t="s">
        <v>237</v>
      </c>
    </row>
    <row r="14419" spans="1:2" ht="12.75" customHeight="1" x14ac:dyDescent="0.25">
      <c r="A14419" s="318">
        <v>95153298731</v>
      </c>
      <c r="B14419" s="318" t="s">
        <v>237</v>
      </c>
    </row>
    <row r="14420" spans="1:2" ht="12.75" customHeight="1" x14ac:dyDescent="0.25">
      <c r="A14420" s="318">
        <v>95153298732</v>
      </c>
      <c r="B14420" s="318" t="s">
        <v>237</v>
      </c>
    </row>
    <row r="14421" spans="1:2" ht="12.75" customHeight="1" x14ac:dyDescent="0.25">
      <c r="A14421" s="318">
        <v>95153298733</v>
      </c>
      <c r="B14421" s="318" t="s">
        <v>237</v>
      </c>
    </row>
    <row r="14422" spans="1:2" ht="12.75" customHeight="1" x14ac:dyDescent="0.25">
      <c r="A14422" s="318">
        <v>95153298817</v>
      </c>
      <c r="B14422" s="318" t="s">
        <v>237</v>
      </c>
    </row>
    <row r="14423" spans="1:2" ht="12.75" customHeight="1" x14ac:dyDescent="0.25">
      <c r="A14423" s="318">
        <v>95153298818</v>
      </c>
      <c r="B14423" s="318" t="s">
        <v>237</v>
      </c>
    </row>
    <row r="14424" spans="1:2" ht="12.75" customHeight="1" x14ac:dyDescent="0.25">
      <c r="A14424" s="318">
        <v>95153298819</v>
      </c>
      <c r="B14424" s="318" t="s">
        <v>237</v>
      </c>
    </row>
    <row r="14425" spans="1:2" ht="12.75" customHeight="1" x14ac:dyDescent="0.25">
      <c r="A14425" s="318">
        <v>95153298820</v>
      </c>
      <c r="B14425" s="318" t="s">
        <v>237</v>
      </c>
    </row>
    <row r="14426" spans="1:2" ht="12.75" customHeight="1" x14ac:dyDescent="0.25">
      <c r="A14426" s="318">
        <v>95153298821</v>
      </c>
      <c r="B14426" s="318" t="s">
        <v>237</v>
      </c>
    </row>
    <row r="14427" spans="1:2" ht="12.75" customHeight="1" x14ac:dyDescent="0.25">
      <c r="A14427" s="318">
        <v>95153298822</v>
      </c>
      <c r="B14427" s="318" t="s">
        <v>237</v>
      </c>
    </row>
    <row r="14428" spans="1:2" ht="12.75" customHeight="1" x14ac:dyDescent="0.25">
      <c r="A14428" s="318">
        <v>95153298823</v>
      </c>
      <c r="B14428" s="318" t="s">
        <v>237</v>
      </c>
    </row>
    <row r="14429" spans="1:2" ht="12.75" customHeight="1" x14ac:dyDescent="0.25">
      <c r="A14429" s="318">
        <v>95153298824</v>
      </c>
      <c r="B14429" s="318" t="s">
        <v>237</v>
      </c>
    </row>
    <row r="14430" spans="1:2" ht="12.75" customHeight="1" x14ac:dyDescent="0.25">
      <c r="A14430" s="318">
        <v>95153298826</v>
      </c>
      <c r="B14430" s="318" t="s">
        <v>237</v>
      </c>
    </row>
    <row r="14431" spans="1:2" ht="12.75" customHeight="1" x14ac:dyDescent="0.25">
      <c r="A14431" s="318">
        <v>95153298827</v>
      </c>
      <c r="B14431" s="318" t="s">
        <v>237</v>
      </c>
    </row>
    <row r="14432" spans="1:2" ht="12.75" customHeight="1" x14ac:dyDescent="0.25">
      <c r="A14432" s="318">
        <v>95153298828</v>
      </c>
      <c r="B14432" s="318" t="s">
        <v>237</v>
      </c>
    </row>
    <row r="14433" spans="1:2" ht="12.75" customHeight="1" x14ac:dyDescent="0.25">
      <c r="A14433" s="318">
        <v>95153298829</v>
      </c>
      <c r="B14433" s="318" t="s">
        <v>237</v>
      </c>
    </row>
    <row r="14434" spans="1:2" ht="12.75" customHeight="1" x14ac:dyDescent="0.25">
      <c r="A14434" s="318">
        <v>95153298830</v>
      </c>
      <c r="B14434" s="318" t="s">
        <v>237</v>
      </c>
    </row>
    <row r="14435" spans="1:2" ht="12.75" customHeight="1" x14ac:dyDescent="0.25">
      <c r="A14435" s="318">
        <v>95153298831</v>
      </c>
      <c r="B14435" s="318" t="s">
        <v>237</v>
      </c>
    </row>
    <row r="14436" spans="1:2" ht="12.75" customHeight="1" x14ac:dyDescent="0.25">
      <c r="A14436" s="318">
        <v>95153298832</v>
      </c>
      <c r="B14436" s="318" t="s">
        <v>237</v>
      </c>
    </row>
    <row r="14437" spans="1:2" ht="12.75" customHeight="1" x14ac:dyDescent="0.25">
      <c r="A14437" s="318">
        <v>95153298833</v>
      </c>
      <c r="B14437" s="318" t="s">
        <v>237</v>
      </c>
    </row>
    <row r="14438" spans="1:2" ht="12.75" customHeight="1" x14ac:dyDescent="0.25">
      <c r="A14438" s="318">
        <v>95153779690</v>
      </c>
      <c r="B14438" s="318" t="s">
        <v>23</v>
      </c>
    </row>
    <row r="14439" spans="1:2" ht="12.75" customHeight="1" x14ac:dyDescent="0.25">
      <c r="A14439" s="318">
        <v>95153779691</v>
      </c>
      <c r="B14439" s="318" t="s">
        <v>23</v>
      </c>
    </row>
    <row r="14440" spans="1:2" ht="12.75" customHeight="1" x14ac:dyDescent="0.25">
      <c r="A14440" s="318">
        <v>95153779692</v>
      </c>
      <c r="B14440" s="318" t="s">
        <v>23</v>
      </c>
    </row>
    <row r="14441" spans="1:2" ht="12.75" customHeight="1" x14ac:dyDescent="0.25">
      <c r="A14441" s="318">
        <v>95153779693</v>
      </c>
      <c r="B14441" s="318" t="s">
        <v>23</v>
      </c>
    </row>
    <row r="14442" spans="1:2" ht="12.75" customHeight="1" x14ac:dyDescent="0.25">
      <c r="A14442" s="318">
        <v>95153779694</v>
      </c>
      <c r="B14442" s="318" t="s">
        <v>23</v>
      </c>
    </row>
    <row r="14443" spans="1:2" ht="12.75" customHeight="1" x14ac:dyDescent="0.25">
      <c r="A14443" s="318">
        <v>95153779695</v>
      </c>
      <c r="B14443" s="318" t="s">
        <v>23</v>
      </c>
    </row>
    <row r="14444" spans="1:2" ht="12.75" customHeight="1" x14ac:dyDescent="0.25">
      <c r="A14444" s="318">
        <v>95153779696</v>
      </c>
      <c r="B14444" s="318" t="s">
        <v>237</v>
      </c>
    </row>
    <row r="14445" spans="1:2" ht="12.75" customHeight="1" x14ac:dyDescent="0.25">
      <c r="A14445" s="318">
        <v>95153779697</v>
      </c>
      <c r="B14445" s="318" t="s">
        <v>237</v>
      </c>
    </row>
    <row r="14446" spans="1:2" ht="12.75" customHeight="1" x14ac:dyDescent="0.25">
      <c r="A14446" s="318">
        <v>95153779699</v>
      </c>
      <c r="B14446" s="318" t="s">
        <v>237</v>
      </c>
    </row>
    <row r="14447" spans="1:2" ht="12.75" customHeight="1" x14ac:dyDescent="0.25">
      <c r="A14447" s="318">
        <v>95153779700</v>
      </c>
      <c r="B14447" s="318" t="s">
        <v>237</v>
      </c>
    </row>
    <row r="14448" spans="1:2" ht="12.75" customHeight="1" x14ac:dyDescent="0.25">
      <c r="A14448" s="318">
        <v>95153779701</v>
      </c>
      <c r="B14448" s="318" t="s">
        <v>237</v>
      </c>
    </row>
    <row r="14449" spans="1:2" ht="12.75" customHeight="1" x14ac:dyDescent="0.25">
      <c r="A14449" s="318">
        <v>95153779702</v>
      </c>
      <c r="B14449" s="318" t="s">
        <v>237</v>
      </c>
    </row>
    <row r="14450" spans="1:2" ht="12.75" customHeight="1" x14ac:dyDescent="0.25">
      <c r="A14450" s="318">
        <v>95153779703</v>
      </c>
      <c r="B14450" s="318" t="s">
        <v>237</v>
      </c>
    </row>
    <row r="14451" spans="1:2" ht="12.75" customHeight="1" x14ac:dyDescent="0.25">
      <c r="A14451" s="318">
        <v>95153779704</v>
      </c>
      <c r="B14451" s="318" t="s">
        <v>237</v>
      </c>
    </row>
    <row r="14452" spans="1:2" ht="12.75" customHeight="1" x14ac:dyDescent="0.25">
      <c r="A14452" s="318">
        <v>95153779705</v>
      </c>
      <c r="B14452" s="318" t="s">
        <v>237</v>
      </c>
    </row>
    <row r="14453" spans="1:2" ht="12.75" customHeight="1" x14ac:dyDescent="0.25">
      <c r="A14453" s="318">
        <v>95153779706</v>
      </c>
      <c r="B14453" s="318" t="s">
        <v>237</v>
      </c>
    </row>
    <row r="14454" spans="1:2" ht="12.75" customHeight="1" x14ac:dyDescent="0.25">
      <c r="A14454" s="318">
        <v>95153779790</v>
      </c>
      <c r="B14454" s="318" t="s">
        <v>237</v>
      </c>
    </row>
    <row r="14455" spans="1:2" ht="12.75" customHeight="1" x14ac:dyDescent="0.25">
      <c r="A14455" s="318">
        <v>95153779791</v>
      </c>
      <c r="B14455" s="318" t="s">
        <v>237</v>
      </c>
    </row>
    <row r="14456" spans="1:2" ht="12.75" customHeight="1" x14ac:dyDescent="0.25">
      <c r="A14456" s="318">
        <v>95153779792</v>
      </c>
      <c r="B14456" s="318" t="s">
        <v>237</v>
      </c>
    </row>
    <row r="14457" spans="1:2" ht="12.75" customHeight="1" x14ac:dyDescent="0.25">
      <c r="A14457" s="318">
        <v>95153779793</v>
      </c>
      <c r="B14457" s="318" t="s">
        <v>237</v>
      </c>
    </row>
    <row r="14458" spans="1:2" ht="12.75" customHeight="1" x14ac:dyDescent="0.25">
      <c r="A14458" s="318">
        <v>95153779794</v>
      </c>
      <c r="B14458" s="318" t="s">
        <v>237</v>
      </c>
    </row>
    <row r="14459" spans="1:2" ht="12.75" customHeight="1" x14ac:dyDescent="0.25">
      <c r="A14459" s="318">
        <v>95153779795</v>
      </c>
      <c r="B14459" s="318" t="s">
        <v>237</v>
      </c>
    </row>
    <row r="14460" spans="1:2" ht="12.75" customHeight="1" x14ac:dyDescent="0.25">
      <c r="A14460" s="318">
        <v>95153779796</v>
      </c>
      <c r="B14460" s="318" t="s">
        <v>237</v>
      </c>
    </row>
    <row r="14461" spans="1:2" ht="12.75" customHeight="1" x14ac:dyDescent="0.25">
      <c r="A14461" s="318">
        <v>95153779797</v>
      </c>
      <c r="B14461" s="318" t="s">
        <v>237</v>
      </c>
    </row>
    <row r="14462" spans="1:2" ht="12.75" customHeight="1" x14ac:dyDescent="0.25">
      <c r="A14462" s="318">
        <v>95153779799</v>
      </c>
      <c r="B14462" s="318" t="s">
        <v>237</v>
      </c>
    </row>
    <row r="14463" spans="1:2" ht="12.75" customHeight="1" x14ac:dyDescent="0.25">
      <c r="A14463" s="318">
        <v>95153779800</v>
      </c>
      <c r="B14463" s="318" t="s">
        <v>237</v>
      </c>
    </row>
    <row r="14464" spans="1:2" ht="12.75" customHeight="1" x14ac:dyDescent="0.25">
      <c r="A14464" s="318">
        <v>95153779801</v>
      </c>
      <c r="B14464" s="318" t="s">
        <v>237</v>
      </c>
    </row>
    <row r="14465" spans="1:2" ht="12.75" customHeight="1" x14ac:dyDescent="0.25">
      <c r="A14465" s="318">
        <v>95153779802</v>
      </c>
      <c r="B14465" s="318" t="s">
        <v>237</v>
      </c>
    </row>
    <row r="14466" spans="1:2" ht="12.75" customHeight="1" x14ac:dyDescent="0.25">
      <c r="A14466" s="318">
        <v>95153779803</v>
      </c>
      <c r="B14466" s="318" t="s">
        <v>237</v>
      </c>
    </row>
    <row r="14467" spans="1:2" ht="12.75" customHeight="1" x14ac:dyDescent="0.25">
      <c r="A14467" s="318">
        <v>95153779804</v>
      </c>
      <c r="B14467" s="318" t="s">
        <v>237</v>
      </c>
    </row>
    <row r="14468" spans="1:2" ht="12.75" customHeight="1" x14ac:dyDescent="0.25">
      <c r="A14468" s="318">
        <v>95153779805</v>
      </c>
      <c r="B14468" s="318" t="s">
        <v>237</v>
      </c>
    </row>
    <row r="14469" spans="1:2" ht="12.75" customHeight="1" x14ac:dyDescent="0.25">
      <c r="A14469" s="318">
        <v>95153779806</v>
      </c>
      <c r="B14469" s="318" t="s">
        <v>237</v>
      </c>
    </row>
    <row r="14470" spans="1:2" ht="12.75" customHeight="1" x14ac:dyDescent="0.25">
      <c r="A14470" s="318">
        <v>95154459881</v>
      </c>
      <c r="B14470" s="318" t="s">
        <v>23</v>
      </c>
    </row>
    <row r="14471" spans="1:2" ht="12.75" customHeight="1" x14ac:dyDescent="0.25">
      <c r="A14471" s="318">
        <v>95154459882</v>
      </c>
      <c r="B14471" s="318" t="s">
        <v>23</v>
      </c>
    </row>
    <row r="14472" spans="1:2" ht="12.75" customHeight="1" x14ac:dyDescent="0.25">
      <c r="A14472" s="318">
        <v>95154459883</v>
      </c>
      <c r="B14472" s="318" t="s">
        <v>23</v>
      </c>
    </row>
    <row r="14473" spans="1:2" ht="12.75" customHeight="1" x14ac:dyDescent="0.25">
      <c r="A14473" s="318">
        <v>95154459884</v>
      </c>
      <c r="B14473" s="318" t="s">
        <v>23</v>
      </c>
    </row>
    <row r="14474" spans="1:2" ht="12.75" customHeight="1" x14ac:dyDescent="0.25">
      <c r="A14474" s="318">
        <v>95154459885</v>
      </c>
      <c r="B14474" s="318" t="s">
        <v>23</v>
      </c>
    </row>
    <row r="14475" spans="1:2" ht="12.75" customHeight="1" x14ac:dyDescent="0.25">
      <c r="A14475" s="318">
        <v>95154459886</v>
      </c>
      <c r="B14475" s="318" t="s">
        <v>23</v>
      </c>
    </row>
    <row r="14476" spans="1:2" ht="12.75" customHeight="1" x14ac:dyDescent="0.25">
      <c r="A14476" s="318">
        <v>95154459887</v>
      </c>
      <c r="B14476" s="318" t="s">
        <v>237</v>
      </c>
    </row>
    <row r="14477" spans="1:2" ht="12.75" customHeight="1" x14ac:dyDescent="0.25">
      <c r="A14477" s="318">
        <v>95154459888</v>
      </c>
      <c r="B14477" s="318" t="s">
        <v>237</v>
      </c>
    </row>
    <row r="14478" spans="1:2" ht="12.75" customHeight="1" x14ac:dyDescent="0.25">
      <c r="A14478" s="318">
        <v>95154459890</v>
      </c>
      <c r="B14478" s="318" t="s">
        <v>237</v>
      </c>
    </row>
    <row r="14479" spans="1:2" ht="12.75" customHeight="1" x14ac:dyDescent="0.25">
      <c r="A14479" s="318">
        <v>95154459891</v>
      </c>
      <c r="B14479" s="318" t="s">
        <v>237</v>
      </c>
    </row>
    <row r="14480" spans="1:2" ht="12.75" customHeight="1" x14ac:dyDescent="0.25">
      <c r="A14480" s="318">
        <v>95154459892</v>
      </c>
      <c r="B14480" s="318" t="s">
        <v>237</v>
      </c>
    </row>
    <row r="14481" spans="1:2" ht="12.75" customHeight="1" x14ac:dyDescent="0.25">
      <c r="A14481" s="318">
        <v>95154459893</v>
      </c>
      <c r="B14481" s="318" t="s">
        <v>237</v>
      </c>
    </row>
    <row r="14482" spans="1:2" ht="12.75" customHeight="1" x14ac:dyDescent="0.25">
      <c r="A14482" s="318">
        <v>95154459894</v>
      </c>
      <c r="B14482" s="318" t="s">
        <v>237</v>
      </c>
    </row>
    <row r="14483" spans="1:2" ht="12.75" customHeight="1" x14ac:dyDescent="0.25">
      <c r="A14483" s="318">
        <v>95154459895</v>
      </c>
      <c r="B14483" s="318" t="s">
        <v>237</v>
      </c>
    </row>
    <row r="14484" spans="1:2" ht="12.75" customHeight="1" x14ac:dyDescent="0.25">
      <c r="A14484" s="318">
        <v>95154459896</v>
      </c>
      <c r="B14484" s="318" t="s">
        <v>237</v>
      </c>
    </row>
    <row r="14485" spans="1:2" ht="12.75" customHeight="1" x14ac:dyDescent="0.25">
      <c r="A14485" s="318">
        <v>95154459897</v>
      </c>
      <c r="B14485" s="318" t="s">
        <v>237</v>
      </c>
    </row>
    <row r="14486" spans="1:2" ht="12.75" customHeight="1" x14ac:dyDescent="0.25">
      <c r="A14486" s="318">
        <v>95154459981</v>
      </c>
      <c r="B14486" s="318" t="s">
        <v>237</v>
      </c>
    </row>
    <row r="14487" spans="1:2" ht="12.75" customHeight="1" x14ac:dyDescent="0.25">
      <c r="A14487" s="318">
        <v>95154459982</v>
      </c>
      <c r="B14487" s="318" t="s">
        <v>237</v>
      </c>
    </row>
    <row r="14488" spans="1:2" ht="12.75" customHeight="1" x14ac:dyDescent="0.25">
      <c r="A14488" s="318">
        <v>95154459983</v>
      </c>
      <c r="B14488" s="318" t="s">
        <v>237</v>
      </c>
    </row>
    <row r="14489" spans="1:2" ht="12.75" customHeight="1" x14ac:dyDescent="0.25">
      <c r="A14489" s="318">
        <v>95154459984</v>
      </c>
      <c r="B14489" s="318" t="s">
        <v>237</v>
      </c>
    </row>
    <row r="14490" spans="1:2" ht="12.75" customHeight="1" x14ac:dyDescent="0.25">
      <c r="A14490" s="318">
        <v>95154459985</v>
      </c>
      <c r="B14490" s="318" t="s">
        <v>237</v>
      </c>
    </row>
    <row r="14491" spans="1:2" ht="12.75" customHeight="1" x14ac:dyDescent="0.25">
      <c r="A14491" s="318">
        <v>95154459986</v>
      </c>
      <c r="B14491" s="318" t="s">
        <v>237</v>
      </c>
    </row>
    <row r="14492" spans="1:2" ht="12.75" customHeight="1" x14ac:dyDescent="0.25">
      <c r="A14492" s="318">
        <v>95154459987</v>
      </c>
      <c r="B14492" s="318" t="s">
        <v>237</v>
      </c>
    </row>
    <row r="14493" spans="1:2" ht="12.75" customHeight="1" x14ac:dyDescent="0.25">
      <c r="A14493" s="318">
        <v>95154459988</v>
      </c>
      <c r="B14493" s="318" t="s">
        <v>237</v>
      </c>
    </row>
    <row r="14494" spans="1:2" ht="12.75" customHeight="1" x14ac:dyDescent="0.25">
      <c r="A14494" s="318">
        <v>95154459990</v>
      </c>
      <c r="B14494" s="318" t="s">
        <v>237</v>
      </c>
    </row>
    <row r="14495" spans="1:2" ht="12.75" customHeight="1" x14ac:dyDescent="0.25">
      <c r="A14495" s="318">
        <v>95154459991</v>
      </c>
      <c r="B14495" s="318" t="s">
        <v>237</v>
      </c>
    </row>
    <row r="14496" spans="1:2" ht="12.75" customHeight="1" x14ac:dyDescent="0.25">
      <c r="A14496" s="318">
        <v>95154459992</v>
      </c>
      <c r="B14496" s="318" t="s">
        <v>237</v>
      </c>
    </row>
    <row r="14497" spans="1:2" ht="12.75" customHeight="1" x14ac:dyDescent="0.25">
      <c r="A14497" s="318">
        <v>95154459993</v>
      </c>
      <c r="B14497" s="318" t="s">
        <v>237</v>
      </c>
    </row>
    <row r="14498" spans="1:2" ht="12.75" customHeight="1" x14ac:dyDescent="0.25">
      <c r="A14498" s="318">
        <v>95154459994</v>
      </c>
      <c r="B14498" s="318" t="s">
        <v>237</v>
      </c>
    </row>
    <row r="14499" spans="1:2" ht="12.75" customHeight="1" x14ac:dyDescent="0.25">
      <c r="A14499" s="318">
        <v>95154459995</v>
      </c>
      <c r="B14499" s="318" t="s">
        <v>237</v>
      </c>
    </row>
    <row r="14500" spans="1:2" ht="12.75" customHeight="1" x14ac:dyDescent="0.25">
      <c r="A14500" s="318">
        <v>95154459996</v>
      </c>
      <c r="B14500" s="318" t="s">
        <v>237</v>
      </c>
    </row>
    <row r="14501" spans="1:2" ht="12.75" customHeight="1" x14ac:dyDescent="0.25">
      <c r="A14501" s="318">
        <v>95154459997</v>
      </c>
      <c r="B14501" s="318" t="s">
        <v>237</v>
      </c>
    </row>
    <row r="14502" spans="1:2" ht="12.75" customHeight="1" x14ac:dyDescent="0.25">
      <c r="A14502" s="318">
        <v>95154940854</v>
      </c>
      <c r="B14502" s="318" t="s">
        <v>23</v>
      </c>
    </row>
    <row r="14503" spans="1:2" ht="12.75" customHeight="1" x14ac:dyDescent="0.25">
      <c r="A14503" s="318">
        <v>95154940855</v>
      </c>
      <c r="B14503" s="318" t="s">
        <v>23</v>
      </c>
    </row>
    <row r="14504" spans="1:2" ht="12.75" customHeight="1" x14ac:dyDescent="0.25">
      <c r="A14504" s="318">
        <v>95154940856</v>
      </c>
      <c r="B14504" s="318" t="s">
        <v>23</v>
      </c>
    </row>
    <row r="14505" spans="1:2" ht="12.75" customHeight="1" x14ac:dyDescent="0.25">
      <c r="A14505" s="318">
        <v>95154940857</v>
      </c>
      <c r="B14505" s="318" t="s">
        <v>23</v>
      </c>
    </row>
    <row r="14506" spans="1:2" ht="12.75" customHeight="1" x14ac:dyDescent="0.25">
      <c r="A14506" s="318">
        <v>95154940858</v>
      </c>
      <c r="B14506" s="318" t="s">
        <v>23</v>
      </c>
    </row>
    <row r="14507" spans="1:2" ht="12.75" customHeight="1" x14ac:dyDescent="0.25">
      <c r="A14507" s="318">
        <v>95154940859</v>
      </c>
      <c r="B14507" s="318" t="s">
        <v>23</v>
      </c>
    </row>
    <row r="14508" spans="1:2" ht="12.75" customHeight="1" x14ac:dyDescent="0.25">
      <c r="A14508" s="318">
        <v>95154940860</v>
      </c>
      <c r="B14508" s="318" t="s">
        <v>237</v>
      </c>
    </row>
    <row r="14509" spans="1:2" ht="12.75" customHeight="1" x14ac:dyDescent="0.25">
      <c r="A14509" s="318">
        <v>95154940861</v>
      </c>
      <c r="B14509" s="318" t="s">
        <v>237</v>
      </c>
    </row>
    <row r="14510" spans="1:2" ht="12.75" customHeight="1" x14ac:dyDescent="0.25">
      <c r="A14510" s="318">
        <v>95154940863</v>
      </c>
      <c r="B14510" s="318" t="s">
        <v>237</v>
      </c>
    </row>
    <row r="14511" spans="1:2" ht="12.75" customHeight="1" x14ac:dyDescent="0.25">
      <c r="A14511" s="318">
        <v>95154940864</v>
      </c>
      <c r="B14511" s="318" t="s">
        <v>237</v>
      </c>
    </row>
    <row r="14512" spans="1:2" ht="12.75" customHeight="1" x14ac:dyDescent="0.25">
      <c r="A14512" s="318">
        <v>95154940865</v>
      </c>
      <c r="B14512" s="318" t="s">
        <v>237</v>
      </c>
    </row>
    <row r="14513" spans="1:2" ht="12.75" customHeight="1" x14ac:dyDescent="0.25">
      <c r="A14513" s="318">
        <v>95154940866</v>
      </c>
      <c r="B14513" s="318" t="s">
        <v>237</v>
      </c>
    </row>
    <row r="14514" spans="1:2" ht="12.75" customHeight="1" x14ac:dyDescent="0.25">
      <c r="A14514" s="318">
        <v>95154940867</v>
      </c>
      <c r="B14514" s="318" t="s">
        <v>237</v>
      </c>
    </row>
    <row r="14515" spans="1:2" ht="12.75" customHeight="1" x14ac:dyDescent="0.25">
      <c r="A14515" s="318">
        <v>95154940868</v>
      </c>
      <c r="B14515" s="318" t="s">
        <v>237</v>
      </c>
    </row>
    <row r="14516" spans="1:2" ht="12.75" customHeight="1" x14ac:dyDescent="0.25">
      <c r="A14516" s="318">
        <v>95154940869</v>
      </c>
      <c r="B14516" s="318" t="s">
        <v>237</v>
      </c>
    </row>
    <row r="14517" spans="1:2" ht="12.75" customHeight="1" x14ac:dyDescent="0.25">
      <c r="A14517" s="318">
        <v>95154940870</v>
      </c>
      <c r="B14517" s="318" t="s">
        <v>237</v>
      </c>
    </row>
    <row r="14518" spans="1:2" ht="12.75" customHeight="1" x14ac:dyDescent="0.25">
      <c r="A14518" s="318">
        <v>95154940954</v>
      </c>
      <c r="B14518" s="318" t="s">
        <v>237</v>
      </c>
    </row>
    <row r="14519" spans="1:2" ht="12.75" customHeight="1" x14ac:dyDescent="0.25">
      <c r="A14519" s="318">
        <v>95154940955</v>
      </c>
      <c r="B14519" s="318" t="s">
        <v>237</v>
      </c>
    </row>
    <row r="14520" spans="1:2" ht="12.75" customHeight="1" x14ac:dyDescent="0.25">
      <c r="A14520" s="318">
        <v>95154940956</v>
      </c>
      <c r="B14520" s="318" t="s">
        <v>237</v>
      </c>
    </row>
    <row r="14521" spans="1:2" ht="12.75" customHeight="1" x14ac:dyDescent="0.25">
      <c r="A14521" s="318">
        <v>95154940957</v>
      </c>
      <c r="B14521" s="318" t="s">
        <v>237</v>
      </c>
    </row>
    <row r="14522" spans="1:2" ht="12.75" customHeight="1" x14ac:dyDescent="0.25">
      <c r="A14522" s="318">
        <v>95154940958</v>
      </c>
      <c r="B14522" s="318" t="s">
        <v>237</v>
      </c>
    </row>
    <row r="14523" spans="1:2" ht="12.75" customHeight="1" x14ac:dyDescent="0.25">
      <c r="A14523" s="318">
        <v>95154940959</v>
      </c>
      <c r="B14523" s="318" t="s">
        <v>237</v>
      </c>
    </row>
    <row r="14524" spans="1:2" ht="12.75" customHeight="1" x14ac:dyDescent="0.25">
      <c r="A14524" s="318">
        <v>95154940960</v>
      </c>
      <c r="B14524" s="318" t="s">
        <v>237</v>
      </c>
    </row>
    <row r="14525" spans="1:2" ht="12.75" customHeight="1" x14ac:dyDescent="0.25">
      <c r="A14525" s="318">
        <v>95154940961</v>
      </c>
      <c r="B14525" s="318" t="s">
        <v>237</v>
      </c>
    </row>
    <row r="14526" spans="1:2" ht="12.75" customHeight="1" x14ac:dyDescent="0.25">
      <c r="A14526" s="318">
        <v>95154940963</v>
      </c>
      <c r="B14526" s="318" t="s">
        <v>237</v>
      </c>
    </row>
    <row r="14527" spans="1:2" ht="12.75" customHeight="1" x14ac:dyDescent="0.25">
      <c r="A14527" s="318">
        <v>95154940964</v>
      </c>
      <c r="B14527" s="318" t="s">
        <v>237</v>
      </c>
    </row>
    <row r="14528" spans="1:2" ht="12.75" customHeight="1" x14ac:dyDescent="0.25">
      <c r="A14528" s="318">
        <v>95154940965</v>
      </c>
      <c r="B14528" s="318" t="s">
        <v>237</v>
      </c>
    </row>
    <row r="14529" spans="1:2" ht="12.75" customHeight="1" x14ac:dyDescent="0.25">
      <c r="A14529" s="318">
        <v>95154940966</v>
      </c>
      <c r="B14529" s="318" t="s">
        <v>237</v>
      </c>
    </row>
    <row r="14530" spans="1:2" ht="12.75" customHeight="1" x14ac:dyDescent="0.25">
      <c r="A14530" s="318">
        <v>95154940967</v>
      </c>
      <c r="B14530" s="318" t="s">
        <v>237</v>
      </c>
    </row>
    <row r="14531" spans="1:2" ht="12.75" customHeight="1" x14ac:dyDescent="0.25">
      <c r="A14531" s="318">
        <v>95154940968</v>
      </c>
      <c r="B14531" s="318" t="s">
        <v>237</v>
      </c>
    </row>
    <row r="14532" spans="1:2" ht="12.75" customHeight="1" x14ac:dyDescent="0.25">
      <c r="A14532" s="318">
        <v>95154940969</v>
      </c>
      <c r="B14532" s="318" t="s">
        <v>237</v>
      </c>
    </row>
    <row r="14533" spans="1:2" ht="12.75" customHeight="1" x14ac:dyDescent="0.25">
      <c r="A14533" s="318">
        <v>95154940970</v>
      </c>
      <c r="B14533" s="318" t="s">
        <v>237</v>
      </c>
    </row>
    <row r="14534" spans="1:2" ht="12.75" customHeight="1" x14ac:dyDescent="0.25">
      <c r="A14534" s="318">
        <v>95155421827</v>
      </c>
      <c r="B14534" s="318" t="s">
        <v>23</v>
      </c>
    </row>
    <row r="14535" spans="1:2" ht="12.75" customHeight="1" x14ac:dyDescent="0.25">
      <c r="A14535" s="318">
        <v>95155421828</v>
      </c>
      <c r="B14535" s="318" t="s">
        <v>23</v>
      </c>
    </row>
    <row r="14536" spans="1:2" ht="12.75" customHeight="1" x14ac:dyDescent="0.25">
      <c r="A14536" s="318">
        <v>95155421829</v>
      </c>
      <c r="B14536" s="318" t="s">
        <v>23</v>
      </c>
    </row>
    <row r="14537" spans="1:2" ht="12.75" customHeight="1" x14ac:dyDescent="0.25">
      <c r="A14537" s="318">
        <v>95155421830</v>
      </c>
      <c r="B14537" s="318" t="s">
        <v>23</v>
      </c>
    </row>
    <row r="14538" spans="1:2" ht="12.75" customHeight="1" x14ac:dyDescent="0.25">
      <c r="A14538" s="318">
        <v>95155421831</v>
      </c>
      <c r="B14538" s="318" t="s">
        <v>23</v>
      </c>
    </row>
    <row r="14539" spans="1:2" ht="12.75" customHeight="1" x14ac:dyDescent="0.25">
      <c r="A14539" s="318">
        <v>95155421832</v>
      </c>
      <c r="B14539" s="318" t="s">
        <v>23</v>
      </c>
    </row>
    <row r="14540" spans="1:2" ht="12.75" customHeight="1" x14ac:dyDescent="0.25">
      <c r="A14540" s="318">
        <v>95155421833</v>
      </c>
      <c r="B14540" s="318" t="s">
        <v>237</v>
      </c>
    </row>
    <row r="14541" spans="1:2" ht="12.75" customHeight="1" x14ac:dyDescent="0.25">
      <c r="A14541" s="318">
        <v>95155421834</v>
      </c>
      <c r="B14541" s="318" t="s">
        <v>237</v>
      </c>
    </row>
    <row r="14542" spans="1:2" ht="12.75" customHeight="1" x14ac:dyDescent="0.25">
      <c r="A14542" s="318">
        <v>95155421836</v>
      </c>
      <c r="B14542" s="318" t="s">
        <v>237</v>
      </c>
    </row>
    <row r="14543" spans="1:2" ht="12.75" customHeight="1" x14ac:dyDescent="0.25">
      <c r="A14543" s="318">
        <v>95155421837</v>
      </c>
      <c r="B14543" s="318" t="s">
        <v>237</v>
      </c>
    </row>
    <row r="14544" spans="1:2" ht="12.75" customHeight="1" x14ac:dyDescent="0.25">
      <c r="A14544" s="318">
        <v>95155421838</v>
      </c>
      <c r="B14544" s="318" t="s">
        <v>237</v>
      </c>
    </row>
    <row r="14545" spans="1:2" ht="12.75" customHeight="1" x14ac:dyDescent="0.25">
      <c r="A14545" s="318">
        <v>95155421839</v>
      </c>
      <c r="B14545" s="318" t="s">
        <v>237</v>
      </c>
    </row>
    <row r="14546" spans="1:2" ht="12.75" customHeight="1" x14ac:dyDescent="0.25">
      <c r="A14546" s="318">
        <v>95155421840</v>
      </c>
      <c r="B14546" s="318" t="s">
        <v>237</v>
      </c>
    </row>
    <row r="14547" spans="1:2" ht="12.75" customHeight="1" x14ac:dyDescent="0.25">
      <c r="A14547" s="318">
        <v>95155421841</v>
      </c>
      <c r="B14547" s="318" t="s">
        <v>237</v>
      </c>
    </row>
    <row r="14548" spans="1:2" ht="12.75" customHeight="1" x14ac:dyDescent="0.25">
      <c r="A14548" s="318">
        <v>95155421842</v>
      </c>
      <c r="B14548" s="318" t="s">
        <v>237</v>
      </c>
    </row>
    <row r="14549" spans="1:2" ht="12.75" customHeight="1" x14ac:dyDescent="0.25">
      <c r="A14549" s="318">
        <v>95155421843</v>
      </c>
      <c r="B14549" s="318" t="s">
        <v>237</v>
      </c>
    </row>
    <row r="14550" spans="1:2" ht="12.75" customHeight="1" x14ac:dyDescent="0.25">
      <c r="A14550" s="318">
        <v>95155421927</v>
      </c>
      <c r="B14550" s="318" t="s">
        <v>237</v>
      </c>
    </row>
    <row r="14551" spans="1:2" ht="12.75" customHeight="1" x14ac:dyDescent="0.25">
      <c r="A14551" s="318">
        <v>95155421928</v>
      </c>
      <c r="B14551" s="318" t="s">
        <v>237</v>
      </c>
    </row>
    <row r="14552" spans="1:2" ht="12.75" customHeight="1" x14ac:dyDescent="0.25">
      <c r="A14552" s="318">
        <v>95155421929</v>
      </c>
      <c r="B14552" s="318" t="s">
        <v>237</v>
      </c>
    </row>
    <row r="14553" spans="1:2" ht="12.75" customHeight="1" x14ac:dyDescent="0.25">
      <c r="A14553" s="318">
        <v>95155421930</v>
      </c>
      <c r="B14553" s="318" t="s">
        <v>237</v>
      </c>
    </row>
    <row r="14554" spans="1:2" ht="12.75" customHeight="1" x14ac:dyDescent="0.25">
      <c r="A14554" s="318">
        <v>95155421931</v>
      </c>
      <c r="B14554" s="318" t="s">
        <v>237</v>
      </c>
    </row>
    <row r="14555" spans="1:2" ht="12.75" customHeight="1" x14ac:dyDescent="0.25">
      <c r="A14555" s="318">
        <v>95155421932</v>
      </c>
      <c r="B14555" s="318" t="s">
        <v>237</v>
      </c>
    </row>
    <row r="14556" spans="1:2" ht="12.75" customHeight="1" x14ac:dyDescent="0.25">
      <c r="A14556" s="318">
        <v>95155421933</v>
      </c>
      <c r="B14556" s="318" t="s">
        <v>237</v>
      </c>
    </row>
    <row r="14557" spans="1:2" ht="12.75" customHeight="1" x14ac:dyDescent="0.25">
      <c r="A14557" s="318">
        <v>95155421934</v>
      </c>
      <c r="B14557" s="318" t="s">
        <v>237</v>
      </c>
    </row>
    <row r="14558" spans="1:2" ht="12.75" customHeight="1" x14ac:dyDescent="0.25">
      <c r="A14558" s="318">
        <v>95155421936</v>
      </c>
      <c r="B14558" s="318" t="s">
        <v>237</v>
      </c>
    </row>
    <row r="14559" spans="1:2" ht="12.75" customHeight="1" x14ac:dyDescent="0.25">
      <c r="A14559" s="318">
        <v>95155421937</v>
      </c>
      <c r="B14559" s="318" t="s">
        <v>237</v>
      </c>
    </row>
    <row r="14560" spans="1:2" ht="12.75" customHeight="1" x14ac:dyDescent="0.25">
      <c r="A14560" s="318">
        <v>95155421938</v>
      </c>
      <c r="B14560" s="318" t="s">
        <v>237</v>
      </c>
    </row>
    <row r="14561" spans="1:2" ht="12.75" customHeight="1" x14ac:dyDescent="0.25">
      <c r="A14561" s="318">
        <v>95155421939</v>
      </c>
      <c r="B14561" s="318" t="s">
        <v>237</v>
      </c>
    </row>
    <row r="14562" spans="1:2" ht="12.75" customHeight="1" x14ac:dyDescent="0.25">
      <c r="A14562" s="318">
        <v>95155421940</v>
      </c>
      <c r="B14562" s="318" t="s">
        <v>237</v>
      </c>
    </row>
    <row r="14563" spans="1:2" ht="12.75" customHeight="1" x14ac:dyDescent="0.25">
      <c r="A14563" s="318">
        <v>95155421941</v>
      </c>
      <c r="B14563" s="318" t="s">
        <v>237</v>
      </c>
    </row>
    <row r="14564" spans="1:2" ht="12.75" customHeight="1" x14ac:dyDescent="0.25">
      <c r="A14564" s="318">
        <v>95155421942</v>
      </c>
      <c r="B14564" s="318" t="s">
        <v>237</v>
      </c>
    </row>
    <row r="14565" spans="1:2" ht="12.75" customHeight="1" x14ac:dyDescent="0.25">
      <c r="A14565" s="318">
        <v>95155421943</v>
      </c>
      <c r="B14565" s="318" t="s">
        <v>237</v>
      </c>
    </row>
    <row r="14566" spans="1:2" ht="12.75" customHeight="1" x14ac:dyDescent="0.25">
      <c r="A14566" s="318">
        <v>95156782208</v>
      </c>
      <c r="B14566" s="318" t="s">
        <v>23</v>
      </c>
    </row>
    <row r="14567" spans="1:2" ht="12.75" customHeight="1" x14ac:dyDescent="0.25">
      <c r="A14567" s="318">
        <v>95156782209</v>
      </c>
      <c r="B14567" s="318" t="s">
        <v>23</v>
      </c>
    </row>
    <row r="14568" spans="1:2" ht="12.75" customHeight="1" x14ac:dyDescent="0.25">
      <c r="A14568" s="318">
        <v>95156782210</v>
      </c>
      <c r="B14568" s="318" t="s">
        <v>23</v>
      </c>
    </row>
    <row r="14569" spans="1:2" ht="12.75" customHeight="1" x14ac:dyDescent="0.25">
      <c r="A14569" s="318">
        <v>95156782211</v>
      </c>
      <c r="B14569" s="318" t="s">
        <v>23</v>
      </c>
    </row>
    <row r="14570" spans="1:2" ht="12.75" customHeight="1" x14ac:dyDescent="0.25">
      <c r="A14570" s="318">
        <v>95156782212</v>
      </c>
      <c r="B14570" s="318" t="s">
        <v>23</v>
      </c>
    </row>
    <row r="14571" spans="1:2" ht="12.75" customHeight="1" x14ac:dyDescent="0.25">
      <c r="A14571" s="318">
        <v>95156782213</v>
      </c>
      <c r="B14571" s="318" t="s">
        <v>23</v>
      </c>
    </row>
    <row r="14572" spans="1:2" ht="12.75" customHeight="1" x14ac:dyDescent="0.25">
      <c r="A14572" s="318">
        <v>95156782214</v>
      </c>
      <c r="B14572" s="318" t="s">
        <v>237</v>
      </c>
    </row>
    <row r="14573" spans="1:2" ht="12.75" customHeight="1" x14ac:dyDescent="0.25">
      <c r="A14573" s="318">
        <v>95156782215</v>
      </c>
      <c r="B14573" s="318" t="s">
        <v>237</v>
      </c>
    </row>
    <row r="14574" spans="1:2" ht="12.75" customHeight="1" x14ac:dyDescent="0.25">
      <c r="A14574" s="318">
        <v>95156782217</v>
      </c>
      <c r="B14574" s="318" t="s">
        <v>237</v>
      </c>
    </row>
    <row r="14575" spans="1:2" ht="12.75" customHeight="1" x14ac:dyDescent="0.25">
      <c r="A14575" s="318">
        <v>95156782218</v>
      </c>
      <c r="B14575" s="318" t="s">
        <v>237</v>
      </c>
    </row>
    <row r="14576" spans="1:2" ht="12.75" customHeight="1" x14ac:dyDescent="0.25">
      <c r="A14576" s="318">
        <v>95156782219</v>
      </c>
      <c r="B14576" s="318" t="s">
        <v>237</v>
      </c>
    </row>
    <row r="14577" spans="1:2" ht="12.75" customHeight="1" x14ac:dyDescent="0.25">
      <c r="A14577" s="318">
        <v>95156782220</v>
      </c>
      <c r="B14577" s="318" t="s">
        <v>237</v>
      </c>
    </row>
    <row r="14578" spans="1:2" ht="12.75" customHeight="1" x14ac:dyDescent="0.25">
      <c r="A14578" s="318">
        <v>95156782221</v>
      </c>
      <c r="B14578" s="318" t="s">
        <v>237</v>
      </c>
    </row>
    <row r="14579" spans="1:2" ht="12.75" customHeight="1" x14ac:dyDescent="0.25">
      <c r="A14579" s="318">
        <v>95156782222</v>
      </c>
      <c r="B14579" s="318" t="s">
        <v>237</v>
      </c>
    </row>
    <row r="14580" spans="1:2" ht="12.75" customHeight="1" x14ac:dyDescent="0.25">
      <c r="A14580" s="318">
        <v>95156782223</v>
      </c>
      <c r="B14580" s="318" t="s">
        <v>237</v>
      </c>
    </row>
    <row r="14581" spans="1:2" ht="12.75" customHeight="1" x14ac:dyDescent="0.25">
      <c r="A14581" s="318">
        <v>95156782224</v>
      </c>
      <c r="B14581" s="318" t="s">
        <v>237</v>
      </c>
    </row>
    <row r="14582" spans="1:2" ht="12.75" customHeight="1" x14ac:dyDescent="0.25">
      <c r="A14582" s="318">
        <v>95156782308</v>
      </c>
      <c r="B14582" s="318" t="s">
        <v>237</v>
      </c>
    </row>
    <row r="14583" spans="1:2" ht="12.75" customHeight="1" x14ac:dyDescent="0.25">
      <c r="A14583" s="318">
        <v>95156782309</v>
      </c>
      <c r="B14583" s="318" t="s">
        <v>237</v>
      </c>
    </row>
    <row r="14584" spans="1:2" ht="12.75" customHeight="1" x14ac:dyDescent="0.25">
      <c r="A14584" s="318">
        <v>95156782310</v>
      </c>
      <c r="B14584" s="318" t="s">
        <v>237</v>
      </c>
    </row>
    <row r="14585" spans="1:2" ht="12.75" customHeight="1" x14ac:dyDescent="0.25">
      <c r="A14585" s="318">
        <v>95156782311</v>
      </c>
      <c r="B14585" s="318" t="s">
        <v>237</v>
      </c>
    </row>
    <row r="14586" spans="1:2" ht="12.75" customHeight="1" x14ac:dyDescent="0.25">
      <c r="A14586" s="318">
        <v>95156782312</v>
      </c>
      <c r="B14586" s="318" t="s">
        <v>237</v>
      </c>
    </row>
    <row r="14587" spans="1:2" ht="12.75" customHeight="1" x14ac:dyDescent="0.25">
      <c r="A14587" s="318">
        <v>95156782313</v>
      </c>
      <c r="B14587" s="318" t="s">
        <v>237</v>
      </c>
    </row>
    <row r="14588" spans="1:2" ht="12.75" customHeight="1" x14ac:dyDescent="0.25">
      <c r="A14588" s="318">
        <v>95156782314</v>
      </c>
      <c r="B14588" s="318" t="s">
        <v>237</v>
      </c>
    </row>
    <row r="14589" spans="1:2" ht="12.75" customHeight="1" x14ac:dyDescent="0.25">
      <c r="A14589" s="318">
        <v>95156782315</v>
      </c>
      <c r="B14589" s="318" t="s">
        <v>237</v>
      </c>
    </row>
    <row r="14590" spans="1:2" ht="12.75" customHeight="1" x14ac:dyDescent="0.25">
      <c r="A14590" s="318">
        <v>95156782317</v>
      </c>
      <c r="B14590" s="318" t="s">
        <v>237</v>
      </c>
    </row>
    <row r="14591" spans="1:2" ht="12.75" customHeight="1" x14ac:dyDescent="0.25">
      <c r="A14591" s="318">
        <v>95156782318</v>
      </c>
      <c r="B14591" s="318" t="s">
        <v>237</v>
      </c>
    </row>
    <row r="14592" spans="1:2" ht="12.75" customHeight="1" x14ac:dyDescent="0.25">
      <c r="A14592" s="318">
        <v>95156782319</v>
      </c>
      <c r="B14592" s="318" t="s">
        <v>237</v>
      </c>
    </row>
    <row r="14593" spans="1:2" ht="12.75" customHeight="1" x14ac:dyDescent="0.25">
      <c r="A14593" s="318">
        <v>95156782320</v>
      </c>
      <c r="B14593" s="318" t="s">
        <v>237</v>
      </c>
    </row>
    <row r="14594" spans="1:2" ht="12.75" customHeight="1" x14ac:dyDescent="0.25">
      <c r="A14594" s="318">
        <v>95156782321</v>
      </c>
      <c r="B14594" s="318" t="s">
        <v>237</v>
      </c>
    </row>
    <row r="14595" spans="1:2" ht="12.75" customHeight="1" x14ac:dyDescent="0.25">
      <c r="A14595" s="318">
        <v>95156782322</v>
      </c>
      <c r="B14595" s="318" t="s">
        <v>237</v>
      </c>
    </row>
    <row r="14596" spans="1:2" ht="12.75" customHeight="1" x14ac:dyDescent="0.25">
      <c r="A14596" s="318">
        <v>95156782323</v>
      </c>
      <c r="B14596" s="318" t="s">
        <v>237</v>
      </c>
    </row>
    <row r="14597" spans="1:2" ht="12.75" customHeight="1" x14ac:dyDescent="0.25">
      <c r="A14597" s="318">
        <v>95156782324</v>
      </c>
      <c r="B14597" s="318" t="s">
        <v>237</v>
      </c>
    </row>
    <row r="14598" spans="1:2" ht="12.75" customHeight="1" x14ac:dyDescent="0.25">
      <c r="A14598" s="318">
        <v>95157263181</v>
      </c>
      <c r="B14598" s="318" t="s">
        <v>23</v>
      </c>
    </row>
    <row r="14599" spans="1:2" ht="12.75" customHeight="1" x14ac:dyDescent="0.25">
      <c r="A14599" s="318">
        <v>95157263182</v>
      </c>
      <c r="B14599" s="318" t="s">
        <v>23</v>
      </c>
    </row>
    <row r="14600" spans="1:2" ht="12.75" customHeight="1" x14ac:dyDescent="0.25">
      <c r="A14600" s="318">
        <v>95157263183</v>
      </c>
      <c r="B14600" s="318" t="s">
        <v>23</v>
      </c>
    </row>
    <row r="14601" spans="1:2" ht="12.75" customHeight="1" x14ac:dyDescent="0.25">
      <c r="A14601" s="318">
        <v>95157263184</v>
      </c>
      <c r="B14601" s="318" t="s">
        <v>23</v>
      </c>
    </row>
    <row r="14602" spans="1:2" ht="12.75" customHeight="1" x14ac:dyDescent="0.25">
      <c r="A14602" s="318">
        <v>95157263185</v>
      </c>
      <c r="B14602" s="318" t="s">
        <v>23</v>
      </c>
    </row>
    <row r="14603" spans="1:2" ht="12.75" customHeight="1" x14ac:dyDescent="0.25">
      <c r="A14603" s="318">
        <v>95157263186</v>
      </c>
      <c r="B14603" s="318" t="s">
        <v>23</v>
      </c>
    </row>
    <row r="14604" spans="1:2" ht="12.75" customHeight="1" x14ac:dyDescent="0.25">
      <c r="A14604" s="318">
        <v>95157263187</v>
      </c>
      <c r="B14604" s="318" t="s">
        <v>237</v>
      </c>
    </row>
    <row r="14605" spans="1:2" ht="12.75" customHeight="1" x14ac:dyDescent="0.25">
      <c r="A14605" s="318">
        <v>95157263188</v>
      </c>
      <c r="B14605" s="318" t="s">
        <v>237</v>
      </c>
    </row>
    <row r="14606" spans="1:2" ht="12.75" customHeight="1" x14ac:dyDescent="0.25">
      <c r="A14606" s="318">
        <v>95157263190</v>
      </c>
      <c r="B14606" s="318" t="s">
        <v>237</v>
      </c>
    </row>
    <row r="14607" spans="1:2" ht="12.75" customHeight="1" x14ac:dyDescent="0.25">
      <c r="A14607" s="318">
        <v>95157263191</v>
      </c>
      <c r="B14607" s="318" t="s">
        <v>237</v>
      </c>
    </row>
    <row r="14608" spans="1:2" ht="12.75" customHeight="1" x14ac:dyDescent="0.25">
      <c r="A14608" s="318">
        <v>95157263192</v>
      </c>
      <c r="B14608" s="318" t="s">
        <v>237</v>
      </c>
    </row>
    <row r="14609" spans="1:2" ht="12.75" customHeight="1" x14ac:dyDescent="0.25">
      <c r="A14609" s="318">
        <v>95157263193</v>
      </c>
      <c r="B14609" s="318" t="s">
        <v>237</v>
      </c>
    </row>
    <row r="14610" spans="1:2" ht="12.75" customHeight="1" x14ac:dyDescent="0.25">
      <c r="A14610" s="318">
        <v>95157263194</v>
      </c>
      <c r="B14610" s="318" t="s">
        <v>237</v>
      </c>
    </row>
    <row r="14611" spans="1:2" ht="12.75" customHeight="1" x14ac:dyDescent="0.25">
      <c r="A14611" s="318">
        <v>95157263195</v>
      </c>
      <c r="B14611" s="318" t="s">
        <v>237</v>
      </c>
    </row>
    <row r="14612" spans="1:2" ht="12.75" customHeight="1" x14ac:dyDescent="0.25">
      <c r="A14612" s="318">
        <v>95157263196</v>
      </c>
      <c r="B14612" s="318" t="s">
        <v>237</v>
      </c>
    </row>
    <row r="14613" spans="1:2" ht="12.75" customHeight="1" x14ac:dyDescent="0.25">
      <c r="A14613" s="318">
        <v>95157263197</v>
      </c>
      <c r="B14613" s="318" t="s">
        <v>237</v>
      </c>
    </row>
    <row r="14614" spans="1:2" ht="12.75" customHeight="1" x14ac:dyDescent="0.25">
      <c r="A14614" s="318">
        <v>95157263281</v>
      </c>
      <c r="B14614" s="318" t="s">
        <v>237</v>
      </c>
    </row>
    <row r="14615" spans="1:2" ht="12.75" customHeight="1" x14ac:dyDescent="0.25">
      <c r="A14615" s="318">
        <v>95157263282</v>
      </c>
      <c r="B14615" s="318" t="s">
        <v>237</v>
      </c>
    </row>
    <row r="14616" spans="1:2" ht="12.75" customHeight="1" x14ac:dyDescent="0.25">
      <c r="A14616" s="318">
        <v>95157263283</v>
      </c>
      <c r="B14616" s="318" t="s">
        <v>237</v>
      </c>
    </row>
    <row r="14617" spans="1:2" ht="12.75" customHeight="1" x14ac:dyDescent="0.25">
      <c r="A14617" s="318">
        <v>95157263284</v>
      </c>
      <c r="B14617" s="318" t="s">
        <v>237</v>
      </c>
    </row>
    <row r="14618" spans="1:2" ht="12.75" customHeight="1" x14ac:dyDescent="0.25">
      <c r="A14618" s="318">
        <v>95157263285</v>
      </c>
      <c r="B14618" s="318" t="s">
        <v>237</v>
      </c>
    </row>
    <row r="14619" spans="1:2" ht="12.75" customHeight="1" x14ac:dyDescent="0.25">
      <c r="A14619" s="318">
        <v>95157263286</v>
      </c>
      <c r="B14619" s="318" t="s">
        <v>237</v>
      </c>
    </row>
    <row r="14620" spans="1:2" ht="12.75" customHeight="1" x14ac:dyDescent="0.25">
      <c r="A14620" s="318">
        <v>95157263287</v>
      </c>
      <c r="B14620" s="318" t="s">
        <v>237</v>
      </c>
    </row>
    <row r="14621" spans="1:2" ht="12.75" customHeight="1" x14ac:dyDescent="0.25">
      <c r="A14621" s="318">
        <v>95157263288</v>
      </c>
      <c r="B14621" s="318" t="s">
        <v>237</v>
      </c>
    </row>
    <row r="14622" spans="1:2" ht="12.75" customHeight="1" x14ac:dyDescent="0.25">
      <c r="A14622" s="318">
        <v>95157263290</v>
      </c>
      <c r="B14622" s="318" t="s">
        <v>237</v>
      </c>
    </row>
    <row r="14623" spans="1:2" ht="12.75" customHeight="1" x14ac:dyDescent="0.25">
      <c r="A14623" s="318">
        <v>95157263291</v>
      </c>
      <c r="B14623" s="318" t="s">
        <v>237</v>
      </c>
    </row>
    <row r="14624" spans="1:2" ht="12.75" customHeight="1" x14ac:dyDescent="0.25">
      <c r="A14624" s="318">
        <v>95157263292</v>
      </c>
      <c r="B14624" s="318" t="s">
        <v>237</v>
      </c>
    </row>
    <row r="14625" spans="1:2" ht="12.75" customHeight="1" x14ac:dyDescent="0.25">
      <c r="A14625" s="318">
        <v>95157263293</v>
      </c>
      <c r="B14625" s="318" t="s">
        <v>237</v>
      </c>
    </row>
    <row r="14626" spans="1:2" ht="12.75" customHeight="1" x14ac:dyDescent="0.25">
      <c r="A14626" s="318">
        <v>95157263294</v>
      </c>
      <c r="B14626" s="318" t="s">
        <v>237</v>
      </c>
    </row>
    <row r="14627" spans="1:2" ht="12.75" customHeight="1" x14ac:dyDescent="0.25">
      <c r="A14627" s="318">
        <v>95157263295</v>
      </c>
      <c r="B14627" s="318" t="s">
        <v>237</v>
      </c>
    </row>
    <row r="14628" spans="1:2" ht="12.75" customHeight="1" x14ac:dyDescent="0.25">
      <c r="A14628" s="318">
        <v>95157263296</v>
      </c>
      <c r="B14628" s="318" t="s">
        <v>237</v>
      </c>
    </row>
    <row r="14629" spans="1:2" ht="12.75" customHeight="1" x14ac:dyDescent="0.25">
      <c r="A14629" s="318">
        <v>95157263297</v>
      </c>
      <c r="B14629" s="318" t="s">
        <v>237</v>
      </c>
    </row>
    <row r="14630" spans="1:2" ht="12.75" customHeight="1" x14ac:dyDescent="0.25">
      <c r="A14630" s="318">
        <v>95157744154</v>
      </c>
      <c r="B14630" s="318" t="s">
        <v>23</v>
      </c>
    </row>
    <row r="14631" spans="1:2" ht="12.75" customHeight="1" x14ac:dyDescent="0.25">
      <c r="A14631" s="318">
        <v>95157744155</v>
      </c>
      <c r="B14631" s="318" t="s">
        <v>23</v>
      </c>
    </row>
    <row r="14632" spans="1:2" ht="12.75" customHeight="1" x14ac:dyDescent="0.25">
      <c r="A14632" s="318">
        <v>95157744156</v>
      </c>
      <c r="B14632" s="318" t="s">
        <v>23</v>
      </c>
    </row>
    <row r="14633" spans="1:2" ht="12.75" customHeight="1" x14ac:dyDescent="0.25">
      <c r="A14633" s="318">
        <v>95157744157</v>
      </c>
      <c r="B14633" s="318" t="s">
        <v>23</v>
      </c>
    </row>
    <row r="14634" spans="1:2" ht="12.75" customHeight="1" x14ac:dyDescent="0.25">
      <c r="A14634" s="318">
        <v>95157744158</v>
      </c>
      <c r="B14634" s="318" t="s">
        <v>23</v>
      </c>
    </row>
    <row r="14635" spans="1:2" ht="12.75" customHeight="1" x14ac:dyDescent="0.25">
      <c r="A14635" s="318">
        <v>95157744159</v>
      </c>
      <c r="B14635" s="318" t="s">
        <v>23</v>
      </c>
    </row>
    <row r="14636" spans="1:2" ht="12.75" customHeight="1" x14ac:dyDescent="0.25">
      <c r="A14636" s="318">
        <v>95157744160</v>
      </c>
      <c r="B14636" s="318" t="s">
        <v>237</v>
      </c>
    </row>
    <row r="14637" spans="1:2" ht="12.75" customHeight="1" x14ac:dyDescent="0.25">
      <c r="A14637" s="318">
        <v>95157744161</v>
      </c>
      <c r="B14637" s="318" t="s">
        <v>237</v>
      </c>
    </row>
    <row r="14638" spans="1:2" ht="12.75" customHeight="1" x14ac:dyDescent="0.25">
      <c r="A14638" s="318">
        <v>95157744163</v>
      </c>
      <c r="B14638" s="318" t="s">
        <v>237</v>
      </c>
    </row>
    <row r="14639" spans="1:2" ht="12.75" customHeight="1" x14ac:dyDescent="0.25">
      <c r="A14639" s="318">
        <v>95157744164</v>
      </c>
      <c r="B14639" s="318" t="s">
        <v>237</v>
      </c>
    </row>
    <row r="14640" spans="1:2" ht="12.75" customHeight="1" x14ac:dyDescent="0.25">
      <c r="A14640" s="318">
        <v>95157744165</v>
      </c>
      <c r="B14640" s="318" t="s">
        <v>237</v>
      </c>
    </row>
    <row r="14641" spans="1:2" ht="12.75" customHeight="1" x14ac:dyDescent="0.25">
      <c r="A14641" s="318">
        <v>95157744166</v>
      </c>
      <c r="B14641" s="318" t="s">
        <v>237</v>
      </c>
    </row>
    <row r="14642" spans="1:2" ht="12.75" customHeight="1" x14ac:dyDescent="0.25">
      <c r="A14642" s="318">
        <v>95157744167</v>
      </c>
      <c r="B14642" s="318" t="s">
        <v>237</v>
      </c>
    </row>
    <row r="14643" spans="1:2" ht="12.75" customHeight="1" x14ac:dyDescent="0.25">
      <c r="A14643" s="318">
        <v>95157744168</v>
      </c>
      <c r="B14643" s="318" t="s">
        <v>237</v>
      </c>
    </row>
    <row r="14644" spans="1:2" ht="12.75" customHeight="1" x14ac:dyDescent="0.25">
      <c r="A14644" s="318">
        <v>95157744169</v>
      </c>
      <c r="B14644" s="318" t="s">
        <v>237</v>
      </c>
    </row>
    <row r="14645" spans="1:2" ht="12.75" customHeight="1" x14ac:dyDescent="0.25">
      <c r="A14645" s="318">
        <v>95157744170</v>
      </c>
      <c r="B14645" s="318" t="s">
        <v>237</v>
      </c>
    </row>
    <row r="14646" spans="1:2" ht="12.75" customHeight="1" x14ac:dyDescent="0.25">
      <c r="A14646" s="318">
        <v>95157744254</v>
      </c>
      <c r="B14646" s="318" t="s">
        <v>237</v>
      </c>
    </row>
    <row r="14647" spans="1:2" ht="12.75" customHeight="1" x14ac:dyDescent="0.25">
      <c r="A14647" s="318">
        <v>95157744255</v>
      </c>
      <c r="B14647" s="318" t="s">
        <v>237</v>
      </c>
    </row>
    <row r="14648" spans="1:2" ht="12.75" customHeight="1" x14ac:dyDescent="0.25">
      <c r="A14648" s="318">
        <v>95157744256</v>
      </c>
      <c r="B14648" s="318" t="s">
        <v>237</v>
      </c>
    </row>
    <row r="14649" spans="1:2" ht="12.75" customHeight="1" x14ac:dyDescent="0.25">
      <c r="A14649" s="318">
        <v>95157744257</v>
      </c>
      <c r="B14649" s="318" t="s">
        <v>237</v>
      </c>
    </row>
    <row r="14650" spans="1:2" ht="12.75" customHeight="1" x14ac:dyDescent="0.25">
      <c r="A14650" s="318">
        <v>95157744258</v>
      </c>
      <c r="B14650" s="318" t="s">
        <v>237</v>
      </c>
    </row>
    <row r="14651" spans="1:2" ht="12.75" customHeight="1" x14ac:dyDescent="0.25">
      <c r="A14651" s="318">
        <v>95157744259</v>
      </c>
      <c r="B14651" s="318" t="s">
        <v>237</v>
      </c>
    </row>
    <row r="14652" spans="1:2" ht="12.75" customHeight="1" x14ac:dyDescent="0.25">
      <c r="A14652" s="318">
        <v>95157744260</v>
      </c>
      <c r="B14652" s="318" t="s">
        <v>237</v>
      </c>
    </row>
    <row r="14653" spans="1:2" ht="12.75" customHeight="1" x14ac:dyDescent="0.25">
      <c r="A14653" s="318">
        <v>95157744261</v>
      </c>
      <c r="B14653" s="318" t="s">
        <v>237</v>
      </c>
    </row>
    <row r="14654" spans="1:2" ht="12.75" customHeight="1" x14ac:dyDescent="0.25">
      <c r="A14654" s="318">
        <v>95157744263</v>
      </c>
      <c r="B14654" s="318" t="s">
        <v>237</v>
      </c>
    </row>
    <row r="14655" spans="1:2" ht="12.75" customHeight="1" x14ac:dyDescent="0.25">
      <c r="A14655" s="318">
        <v>95157744264</v>
      </c>
      <c r="B14655" s="318" t="s">
        <v>237</v>
      </c>
    </row>
    <row r="14656" spans="1:2" ht="12.75" customHeight="1" x14ac:dyDescent="0.25">
      <c r="A14656" s="318">
        <v>95157744265</v>
      </c>
      <c r="B14656" s="318" t="s">
        <v>237</v>
      </c>
    </row>
    <row r="14657" spans="1:2" ht="12.75" customHeight="1" x14ac:dyDescent="0.25">
      <c r="A14657" s="318">
        <v>95157744266</v>
      </c>
      <c r="B14657" s="318" t="s">
        <v>237</v>
      </c>
    </row>
    <row r="14658" spans="1:2" ht="12.75" customHeight="1" x14ac:dyDescent="0.25">
      <c r="A14658" s="318">
        <v>95157744267</v>
      </c>
      <c r="B14658" s="318" t="s">
        <v>237</v>
      </c>
    </row>
    <row r="14659" spans="1:2" ht="12.75" customHeight="1" x14ac:dyDescent="0.25">
      <c r="A14659" s="318">
        <v>95157744268</v>
      </c>
      <c r="B14659" s="318" t="s">
        <v>237</v>
      </c>
    </row>
    <row r="14660" spans="1:2" ht="12.75" customHeight="1" x14ac:dyDescent="0.25">
      <c r="A14660" s="318">
        <v>95157744269</v>
      </c>
      <c r="B14660" s="318" t="s">
        <v>237</v>
      </c>
    </row>
    <row r="14661" spans="1:2" ht="12.75" customHeight="1" x14ac:dyDescent="0.25">
      <c r="A14661" s="318">
        <v>95157744270</v>
      </c>
      <c r="B14661" s="318" t="s">
        <v>237</v>
      </c>
    </row>
    <row r="14662" spans="1:2" ht="12.75" customHeight="1" x14ac:dyDescent="0.25">
      <c r="A14662" s="318">
        <v>95158424345</v>
      </c>
      <c r="B14662" s="318" t="s">
        <v>23</v>
      </c>
    </row>
    <row r="14663" spans="1:2" ht="12.75" customHeight="1" x14ac:dyDescent="0.25">
      <c r="A14663" s="318">
        <v>95158424346</v>
      </c>
      <c r="B14663" s="318" t="s">
        <v>23</v>
      </c>
    </row>
    <row r="14664" spans="1:2" ht="12.75" customHeight="1" x14ac:dyDescent="0.25">
      <c r="A14664" s="318">
        <v>95158424347</v>
      </c>
      <c r="B14664" s="318" t="s">
        <v>23</v>
      </c>
    </row>
    <row r="14665" spans="1:2" ht="12.75" customHeight="1" x14ac:dyDescent="0.25">
      <c r="A14665" s="318">
        <v>95158424348</v>
      </c>
      <c r="B14665" s="318" t="s">
        <v>23</v>
      </c>
    </row>
    <row r="14666" spans="1:2" ht="12.75" customHeight="1" x14ac:dyDescent="0.25">
      <c r="A14666" s="318">
        <v>95158424349</v>
      </c>
      <c r="B14666" s="318" t="s">
        <v>23</v>
      </c>
    </row>
    <row r="14667" spans="1:2" ht="12.75" customHeight="1" x14ac:dyDescent="0.25">
      <c r="A14667" s="318">
        <v>95158424350</v>
      </c>
      <c r="B14667" s="318" t="s">
        <v>23</v>
      </c>
    </row>
    <row r="14668" spans="1:2" ht="12.75" customHeight="1" x14ac:dyDescent="0.25">
      <c r="A14668" s="318">
        <v>95158424351</v>
      </c>
      <c r="B14668" s="318" t="s">
        <v>237</v>
      </c>
    </row>
    <row r="14669" spans="1:2" ht="12.75" customHeight="1" x14ac:dyDescent="0.25">
      <c r="A14669" s="318">
        <v>95158424352</v>
      </c>
      <c r="B14669" s="318" t="s">
        <v>237</v>
      </c>
    </row>
    <row r="14670" spans="1:2" ht="12.75" customHeight="1" x14ac:dyDescent="0.25">
      <c r="A14670" s="318">
        <v>95158424354</v>
      </c>
      <c r="B14670" s="318" t="s">
        <v>237</v>
      </c>
    </row>
    <row r="14671" spans="1:2" ht="12.75" customHeight="1" x14ac:dyDescent="0.25">
      <c r="A14671" s="318">
        <v>95158424355</v>
      </c>
      <c r="B14671" s="318" t="s">
        <v>237</v>
      </c>
    </row>
    <row r="14672" spans="1:2" ht="12.75" customHeight="1" x14ac:dyDescent="0.25">
      <c r="A14672" s="318">
        <v>95158424356</v>
      </c>
      <c r="B14672" s="318" t="s">
        <v>237</v>
      </c>
    </row>
    <row r="14673" spans="1:2" ht="12.75" customHeight="1" x14ac:dyDescent="0.25">
      <c r="A14673" s="318">
        <v>95158424357</v>
      </c>
      <c r="B14673" s="318" t="s">
        <v>237</v>
      </c>
    </row>
    <row r="14674" spans="1:2" ht="12.75" customHeight="1" x14ac:dyDescent="0.25">
      <c r="A14674" s="318">
        <v>95158424358</v>
      </c>
      <c r="B14674" s="318" t="s">
        <v>237</v>
      </c>
    </row>
    <row r="14675" spans="1:2" ht="12.75" customHeight="1" x14ac:dyDescent="0.25">
      <c r="A14675" s="318">
        <v>95158424359</v>
      </c>
      <c r="B14675" s="318" t="s">
        <v>237</v>
      </c>
    </row>
    <row r="14676" spans="1:2" ht="12.75" customHeight="1" x14ac:dyDescent="0.25">
      <c r="A14676" s="318">
        <v>95158424360</v>
      </c>
      <c r="B14676" s="318" t="s">
        <v>237</v>
      </c>
    </row>
    <row r="14677" spans="1:2" ht="12.75" customHeight="1" x14ac:dyDescent="0.25">
      <c r="A14677" s="318">
        <v>95158424361</v>
      </c>
      <c r="B14677" s="318" t="s">
        <v>237</v>
      </c>
    </row>
    <row r="14678" spans="1:2" ht="12.75" customHeight="1" x14ac:dyDescent="0.25">
      <c r="A14678" s="318">
        <v>95158424445</v>
      </c>
      <c r="B14678" s="318" t="s">
        <v>237</v>
      </c>
    </row>
    <row r="14679" spans="1:2" ht="12.75" customHeight="1" x14ac:dyDescent="0.25">
      <c r="A14679" s="318">
        <v>95158424446</v>
      </c>
      <c r="B14679" s="318" t="s">
        <v>237</v>
      </c>
    </row>
    <row r="14680" spans="1:2" ht="12.75" customHeight="1" x14ac:dyDescent="0.25">
      <c r="A14680" s="318">
        <v>95158424447</v>
      </c>
      <c r="B14680" s="318" t="s">
        <v>237</v>
      </c>
    </row>
    <row r="14681" spans="1:2" ht="12.75" customHeight="1" x14ac:dyDescent="0.25">
      <c r="A14681" s="318">
        <v>95158424448</v>
      </c>
      <c r="B14681" s="318" t="s">
        <v>237</v>
      </c>
    </row>
    <row r="14682" spans="1:2" ht="12.75" customHeight="1" x14ac:dyDescent="0.25">
      <c r="A14682" s="318">
        <v>95158424449</v>
      </c>
      <c r="B14682" s="318" t="s">
        <v>237</v>
      </c>
    </row>
    <row r="14683" spans="1:2" ht="12.75" customHeight="1" x14ac:dyDescent="0.25">
      <c r="A14683" s="318">
        <v>95158424450</v>
      </c>
      <c r="B14683" s="318" t="s">
        <v>237</v>
      </c>
    </row>
    <row r="14684" spans="1:2" ht="12.75" customHeight="1" x14ac:dyDescent="0.25">
      <c r="A14684" s="318">
        <v>95158424451</v>
      </c>
      <c r="B14684" s="318" t="s">
        <v>237</v>
      </c>
    </row>
    <row r="14685" spans="1:2" ht="12.75" customHeight="1" x14ac:dyDescent="0.25">
      <c r="A14685" s="318">
        <v>95158424452</v>
      </c>
      <c r="B14685" s="318" t="s">
        <v>237</v>
      </c>
    </row>
    <row r="14686" spans="1:2" ht="12.75" customHeight="1" x14ac:dyDescent="0.25">
      <c r="A14686" s="318">
        <v>95158424454</v>
      </c>
      <c r="B14686" s="318" t="s">
        <v>237</v>
      </c>
    </row>
    <row r="14687" spans="1:2" ht="12.75" customHeight="1" x14ac:dyDescent="0.25">
      <c r="A14687" s="318">
        <v>95158424455</v>
      </c>
      <c r="B14687" s="318" t="s">
        <v>237</v>
      </c>
    </row>
    <row r="14688" spans="1:2" ht="12.75" customHeight="1" x14ac:dyDescent="0.25">
      <c r="A14688" s="318">
        <v>95158424456</v>
      </c>
      <c r="B14688" s="318" t="s">
        <v>237</v>
      </c>
    </row>
    <row r="14689" spans="1:2" ht="12.75" customHeight="1" x14ac:dyDescent="0.25">
      <c r="A14689" s="318">
        <v>95158424457</v>
      </c>
      <c r="B14689" s="318" t="s">
        <v>237</v>
      </c>
    </row>
    <row r="14690" spans="1:2" ht="12.75" customHeight="1" x14ac:dyDescent="0.25">
      <c r="A14690" s="318">
        <v>95158424458</v>
      </c>
      <c r="B14690" s="318" t="s">
        <v>237</v>
      </c>
    </row>
    <row r="14691" spans="1:2" ht="12.75" customHeight="1" x14ac:dyDescent="0.25">
      <c r="A14691" s="318">
        <v>95158424459</v>
      </c>
      <c r="B14691" s="318" t="s">
        <v>237</v>
      </c>
    </row>
    <row r="14692" spans="1:2" ht="12.75" customHeight="1" x14ac:dyDescent="0.25">
      <c r="A14692" s="318">
        <v>95158424460</v>
      </c>
      <c r="B14692" s="318" t="s">
        <v>237</v>
      </c>
    </row>
    <row r="14693" spans="1:2" ht="12.75" customHeight="1" x14ac:dyDescent="0.25">
      <c r="A14693" s="318">
        <v>95158424461</v>
      </c>
      <c r="B14693" s="318" t="s">
        <v>237</v>
      </c>
    </row>
    <row r="14694" spans="1:2" ht="12.75" customHeight="1" x14ac:dyDescent="0.25">
      <c r="A14694" s="318">
        <v>95158905318</v>
      </c>
      <c r="B14694" s="318" t="s">
        <v>23</v>
      </c>
    </row>
    <row r="14695" spans="1:2" ht="12.75" customHeight="1" x14ac:dyDescent="0.25">
      <c r="A14695" s="318">
        <v>95158905319</v>
      </c>
      <c r="B14695" s="318" t="s">
        <v>23</v>
      </c>
    </row>
    <row r="14696" spans="1:2" ht="12.75" customHeight="1" x14ac:dyDescent="0.25">
      <c r="A14696" s="318">
        <v>95158905320</v>
      </c>
      <c r="B14696" s="318" t="s">
        <v>23</v>
      </c>
    </row>
    <row r="14697" spans="1:2" ht="12.75" customHeight="1" x14ac:dyDescent="0.25">
      <c r="A14697" s="318">
        <v>95158905321</v>
      </c>
      <c r="B14697" s="318" t="s">
        <v>23</v>
      </c>
    </row>
    <row r="14698" spans="1:2" ht="12.75" customHeight="1" x14ac:dyDescent="0.25">
      <c r="A14698" s="318">
        <v>95158905322</v>
      </c>
      <c r="B14698" s="318" t="s">
        <v>23</v>
      </c>
    </row>
    <row r="14699" spans="1:2" ht="12.75" customHeight="1" x14ac:dyDescent="0.25">
      <c r="A14699" s="318">
        <v>95158905323</v>
      </c>
      <c r="B14699" s="318" t="s">
        <v>23</v>
      </c>
    </row>
    <row r="14700" spans="1:2" ht="12.75" customHeight="1" x14ac:dyDescent="0.25">
      <c r="A14700" s="318">
        <v>95158905324</v>
      </c>
      <c r="B14700" s="318" t="s">
        <v>237</v>
      </c>
    </row>
    <row r="14701" spans="1:2" ht="12.75" customHeight="1" x14ac:dyDescent="0.25">
      <c r="A14701" s="318">
        <v>95158905325</v>
      </c>
      <c r="B14701" s="318" t="s">
        <v>237</v>
      </c>
    </row>
    <row r="14702" spans="1:2" ht="12.75" customHeight="1" x14ac:dyDescent="0.25">
      <c r="A14702" s="318">
        <v>95158905327</v>
      </c>
      <c r="B14702" s="318" t="s">
        <v>237</v>
      </c>
    </row>
    <row r="14703" spans="1:2" ht="12.75" customHeight="1" x14ac:dyDescent="0.25">
      <c r="A14703" s="318">
        <v>95158905328</v>
      </c>
      <c r="B14703" s="318" t="s">
        <v>237</v>
      </c>
    </row>
    <row r="14704" spans="1:2" ht="12.75" customHeight="1" x14ac:dyDescent="0.25">
      <c r="A14704" s="318">
        <v>95158905329</v>
      </c>
      <c r="B14704" s="318" t="s">
        <v>237</v>
      </c>
    </row>
    <row r="14705" spans="1:2" ht="12.75" customHeight="1" x14ac:dyDescent="0.25">
      <c r="A14705" s="318">
        <v>95158905330</v>
      </c>
      <c r="B14705" s="318" t="s">
        <v>237</v>
      </c>
    </row>
    <row r="14706" spans="1:2" ht="12.75" customHeight="1" x14ac:dyDescent="0.25">
      <c r="A14706" s="318">
        <v>95158905331</v>
      </c>
      <c r="B14706" s="318" t="s">
        <v>237</v>
      </c>
    </row>
    <row r="14707" spans="1:2" ht="12.75" customHeight="1" x14ac:dyDescent="0.25">
      <c r="A14707" s="318">
        <v>95158905332</v>
      </c>
      <c r="B14707" s="318" t="s">
        <v>237</v>
      </c>
    </row>
    <row r="14708" spans="1:2" ht="12.75" customHeight="1" x14ac:dyDescent="0.25">
      <c r="A14708" s="318">
        <v>95158905333</v>
      </c>
      <c r="B14708" s="318" t="s">
        <v>237</v>
      </c>
    </row>
    <row r="14709" spans="1:2" ht="12.75" customHeight="1" x14ac:dyDescent="0.25">
      <c r="A14709" s="318">
        <v>95158905334</v>
      </c>
      <c r="B14709" s="318" t="s">
        <v>237</v>
      </c>
    </row>
    <row r="14710" spans="1:2" ht="12.75" customHeight="1" x14ac:dyDescent="0.25">
      <c r="A14710" s="318">
        <v>95158905418</v>
      </c>
      <c r="B14710" s="318" t="s">
        <v>237</v>
      </c>
    </row>
    <row r="14711" spans="1:2" ht="12.75" customHeight="1" x14ac:dyDescent="0.25">
      <c r="A14711" s="318">
        <v>95158905419</v>
      </c>
      <c r="B14711" s="318" t="s">
        <v>237</v>
      </c>
    </row>
    <row r="14712" spans="1:2" ht="12.75" customHeight="1" x14ac:dyDescent="0.25">
      <c r="A14712" s="318">
        <v>95158905420</v>
      </c>
      <c r="B14712" s="318" t="s">
        <v>237</v>
      </c>
    </row>
    <row r="14713" spans="1:2" ht="12.75" customHeight="1" x14ac:dyDescent="0.25">
      <c r="A14713" s="318">
        <v>95158905421</v>
      </c>
      <c r="B14713" s="318" t="s">
        <v>237</v>
      </c>
    </row>
    <row r="14714" spans="1:2" ht="12.75" customHeight="1" x14ac:dyDescent="0.25">
      <c r="A14714" s="318">
        <v>95158905422</v>
      </c>
      <c r="B14714" s="318" t="s">
        <v>237</v>
      </c>
    </row>
    <row r="14715" spans="1:2" ht="12.75" customHeight="1" x14ac:dyDescent="0.25">
      <c r="A14715" s="318">
        <v>95158905423</v>
      </c>
      <c r="B14715" s="318" t="s">
        <v>237</v>
      </c>
    </row>
    <row r="14716" spans="1:2" ht="12.75" customHeight="1" x14ac:dyDescent="0.25">
      <c r="A14716" s="318">
        <v>95158905424</v>
      </c>
      <c r="B14716" s="318" t="s">
        <v>237</v>
      </c>
    </row>
    <row r="14717" spans="1:2" ht="12.75" customHeight="1" x14ac:dyDescent="0.25">
      <c r="A14717" s="318">
        <v>95158905425</v>
      </c>
      <c r="B14717" s="318" t="s">
        <v>237</v>
      </c>
    </row>
    <row r="14718" spans="1:2" ht="12.75" customHeight="1" x14ac:dyDescent="0.25">
      <c r="A14718" s="318">
        <v>95158905427</v>
      </c>
      <c r="B14718" s="318" t="s">
        <v>237</v>
      </c>
    </row>
    <row r="14719" spans="1:2" ht="12.75" customHeight="1" x14ac:dyDescent="0.25">
      <c r="A14719" s="318">
        <v>95158905428</v>
      </c>
      <c r="B14719" s="318" t="s">
        <v>237</v>
      </c>
    </row>
    <row r="14720" spans="1:2" ht="12.75" customHeight="1" x14ac:dyDescent="0.25">
      <c r="A14720" s="318">
        <v>95158905429</v>
      </c>
      <c r="B14720" s="318" t="s">
        <v>237</v>
      </c>
    </row>
    <row r="14721" spans="1:2" ht="12.75" customHeight="1" x14ac:dyDescent="0.25">
      <c r="A14721" s="318">
        <v>95158905430</v>
      </c>
      <c r="B14721" s="318" t="s">
        <v>237</v>
      </c>
    </row>
    <row r="14722" spans="1:2" ht="12.75" customHeight="1" x14ac:dyDescent="0.25">
      <c r="A14722" s="318">
        <v>95158905431</v>
      </c>
      <c r="B14722" s="318" t="s">
        <v>237</v>
      </c>
    </row>
    <row r="14723" spans="1:2" ht="12.75" customHeight="1" x14ac:dyDescent="0.25">
      <c r="A14723" s="318">
        <v>95158905432</v>
      </c>
      <c r="B14723" s="318" t="s">
        <v>237</v>
      </c>
    </row>
    <row r="14724" spans="1:2" ht="12.75" customHeight="1" x14ac:dyDescent="0.25">
      <c r="A14724" s="318">
        <v>95158905433</v>
      </c>
      <c r="B14724" s="318" t="s">
        <v>237</v>
      </c>
    </row>
    <row r="14725" spans="1:2" ht="12.75" customHeight="1" x14ac:dyDescent="0.25">
      <c r="A14725" s="318">
        <v>95158905434</v>
      </c>
      <c r="B14725" s="318" t="s">
        <v>237</v>
      </c>
    </row>
    <row r="14726" spans="1:2" ht="12.75" customHeight="1" x14ac:dyDescent="0.25">
      <c r="A14726" s="318">
        <v>95159386291</v>
      </c>
      <c r="B14726" s="318" t="s">
        <v>23</v>
      </c>
    </row>
    <row r="14727" spans="1:2" ht="12.75" customHeight="1" x14ac:dyDescent="0.25">
      <c r="A14727" s="318">
        <v>95159386292</v>
      </c>
      <c r="B14727" s="318" t="s">
        <v>23</v>
      </c>
    </row>
    <row r="14728" spans="1:2" ht="12.75" customHeight="1" x14ac:dyDescent="0.25">
      <c r="A14728" s="318">
        <v>95159386293</v>
      </c>
      <c r="B14728" s="318" t="s">
        <v>23</v>
      </c>
    </row>
    <row r="14729" spans="1:2" ht="12.75" customHeight="1" x14ac:dyDescent="0.25">
      <c r="A14729" s="318">
        <v>95159386294</v>
      </c>
      <c r="B14729" s="318" t="s">
        <v>23</v>
      </c>
    </row>
    <row r="14730" spans="1:2" ht="12.75" customHeight="1" x14ac:dyDescent="0.25">
      <c r="A14730" s="318">
        <v>95159386295</v>
      </c>
      <c r="B14730" s="318" t="s">
        <v>23</v>
      </c>
    </row>
    <row r="14731" spans="1:2" ht="12.75" customHeight="1" x14ac:dyDescent="0.25">
      <c r="A14731" s="318">
        <v>95159386296</v>
      </c>
      <c r="B14731" s="318" t="s">
        <v>23</v>
      </c>
    </row>
    <row r="14732" spans="1:2" ht="12.75" customHeight="1" x14ac:dyDescent="0.25">
      <c r="A14732" s="318">
        <v>95159386297</v>
      </c>
      <c r="B14732" s="318" t="s">
        <v>237</v>
      </c>
    </row>
    <row r="14733" spans="1:2" ht="12.75" customHeight="1" x14ac:dyDescent="0.25">
      <c r="A14733" s="318">
        <v>95159386298</v>
      </c>
      <c r="B14733" s="318" t="s">
        <v>237</v>
      </c>
    </row>
    <row r="14734" spans="1:2" ht="12.75" customHeight="1" x14ac:dyDescent="0.25">
      <c r="A14734" s="318">
        <v>95159386300</v>
      </c>
      <c r="B14734" s="318" t="s">
        <v>237</v>
      </c>
    </row>
    <row r="14735" spans="1:2" ht="12.75" customHeight="1" x14ac:dyDescent="0.25">
      <c r="A14735" s="318">
        <v>95159386301</v>
      </c>
      <c r="B14735" s="318" t="s">
        <v>237</v>
      </c>
    </row>
    <row r="14736" spans="1:2" ht="12.75" customHeight="1" x14ac:dyDescent="0.25">
      <c r="A14736" s="318">
        <v>95159386302</v>
      </c>
      <c r="B14736" s="318" t="s">
        <v>237</v>
      </c>
    </row>
    <row r="14737" spans="1:2" ht="12.75" customHeight="1" x14ac:dyDescent="0.25">
      <c r="A14737" s="318">
        <v>95159386303</v>
      </c>
      <c r="B14737" s="318" t="s">
        <v>237</v>
      </c>
    </row>
    <row r="14738" spans="1:2" ht="12.75" customHeight="1" x14ac:dyDescent="0.25">
      <c r="A14738" s="318">
        <v>95159386304</v>
      </c>
      <c r="B14738" s="318" t="s">
        <v>237</v>
      </c>
    </row>
    <row r="14739" spans="1:2" ht="12.75" customHeight="1" x14ac:dyDescent="0.25">
      <c r="A14739" s="318">
        <v>95159386305</v>
      </c>
      <c r="B14739" s="318" t="s">
        <v>237</v>
      </c>
    </row>
    <row r="14740" spans="1:2" ht="12.75" customHeight="1" x14ac:dyDescent="0.25">
      <c r="A14740" s="318">
        <v>95159386306</v>
      </c>
      <c r="B14740" s="318" t="s">
        <v>237</v>
      </c>
    </row>
    <row r="14741" spans="1:2" ht="12.75" customHeight="1" x14ac:dyDescent="0.25">
      <c r="A14741" s="318">
        <v>95159386307</v>
      </c>
      <c r="B14741" s="318" t="s">
        <v>237</v>
      </c>
    </row>
    <row r="14742" spans="1:2" ht="12.75" customHeight="1" x14ac:dyDescent="0.25">
      <c r="A14742" s="318">
        <v>95159386391</v>
      </c>
      <c r="B14742" s="318" t="s">
        <v>237</v>
      </c>
    </row>
    <row r="14743" spans="1:2" ht="12.75" customHeight="1" x14ac:dyDescent="0.25">
      <c r="A14743" s="318">
        <v>95159386392</v>
      </c>
      <c r="B14743" s="318" t="s">
        <v>237</v>
      </c>
    </row>
    <row r="14744" spans="1:2" ht="12.75" customHeight="1" x14ac:dyDescent="0.25">
      <c r="A14744" s="318">
        <v>95159386393</v>
      </c>
      <c r="B14744" s="318" t="s">
        <v>237</v>
      </c>
    </row>
    <row r="14745" spans="1:2" ht="12.75" customHeight="1" x14ac:dyDescent="0.25">
      <c r="A14745" s="318">
        <v>95159386394</v>
      </c>
      <c r="B14745" s="318" t="s">
        <v>237</v>
      </c>
    </row>
    <row r="14746" spans="1:2" ht="12.75" customHeight="1" x14ac:dyDescent="0.25">
      <c r="A14746" s="318">
        <v>95159386395</v>
      </c>
      <c r="B14746" s="318" t="s">
        <v>237</v>
      </c>
    </row>
    <row r="14747" spans="1:2" ht="12.75" customHeight="1" x14ac:dyDescent="0.25">
      <c r="A14747" s="318">
        <v>95159386396</v>
      </c>
      <c r="B14747" s="318" t="s">
        <v>237</v>
      </c>
    </row>
    <row r="14748" spans="1:2" ht="12.75" customHeight="1" x14ac:dyDescent="0.25">
      <c r="A14748" s="318">
        <v>95159386397</v>
      </c>
      <c r="B14748" s="318" t="s">
        <v>237</v>
      </c>
    </row>
    <row r="14749" spans="1:2" ht="12.75" customHeight="1" x14ac:dyDescent="0.25">
      <c r="A14749" s="318">
        <v>95159386398</v>
      </c>
      <c r="B14749" s="318" t="s">
        <v>237</v>
      </c>
    </row>
    <row r="14750" spans="1:2" ht="12.75" customHeight="1" x14ac:dyDescent="0.25">
      <c r="A14750" s="318">
        <v>95159386400</v>
      </c>
      <c r="B14750" s="318" t="s">
        <v>237</v>
      </c>
    </row>
    <row r="14751" spans="1:2" ht="12.75" customHeight="1" x14ac:dyDescent="0.25">
      <c r="A14751" s="318">
        <v>95159386401</v>
      </c>
      <c r="B14751" s="318" t="s">
        <v>237</v>
      </c>
    </row>
    <row r="14752" spans="1:2" ht="12.75" customHeight="1" x14ac:dyDescent="0.25">
      <c r="A14752" s="318">
        <v>95159386402</v>
      </c>
      <c r="B14752" s="318" t="s">
        <v>237</v>
      </c>
    </row>
    <row r="14753" spans="1:2" ht="12.75" customHeight="1" x14ac:dyDescent="0.25">
      <c r="A14753" s="318">
        <v>95159386403</v>
      </c>
      <c r="B14753" s="318" t="s">
        <v>237</v>
      </c>
    </row>
    <row r="14754" spans="1:2" ht="12.75" customHeight="1" x14ac:dyDescent="0.25">
      <c r="A14754" s="318">
        <v>95159386404</v>
      </c>
      <c r="B14754" s="318" t="s">
        <v>237</v>
      </c>
    </row>
    <row r="14755" spans="1:2" ht="12.75" customHeight="1" x14ac:dyDescent="0.25">
      <c r="A14755" s="318">
        <v>95159386405</v>
      </c>
      <c r="B14755" s="318" t="s">
        <v>237</v>
      </c>
    </row>
    <row r="14756" spans="1:2" ht="12.75" customHeight="1" x14ac:dyDescent="0.25">
      <c r="A14756" s="318">
        <v>95159386406</v>
      </c>
      <c r="B14756" s="318" t="s">
        <v>237</v>
      </c>
    </row>
    <row r="14757" spans="1:2" ht="12.75" customHeight="1" x14ac:dyDescent="0.25">
      <c r="A14757" s="318">
        <v>95159386407</v>
      </c>
      <c r="B14757" s="318" t="s">
        <v>237</v>
      </c>
    </row>
    <row r="14758" spans="1:2" ht="12.75" customHeight="1" x14ac:dyDescent="0.25">
      <c r="A14758" s="318">
        <v>95160066482</v>
      </c>
      <c r="B14758" s="318" t="s">
        <v>23</v>
      </c>
    </row>
    <row r="14759" spans="1:2" ht="12.75" customHeight="1" x14ac:dyDescent="0.25">
      <c r="A14759" s="318">
        <v>95160066483</v>
      </c>
      <c r="B14759" s="318" t="s">
        <v>23</v>
      </c>
    </row>
    <row r="14760" spans="1:2" ht="12.75" customHeight="1" x14ac:dyDescent="0.25">
      <c r="A14760" s="318">
        <v>95160066484</v>
      </c>
      <c r="B14760" s="318" t="s">
        <v>23</v>
      </c>
    </row>
    <row r="14761" spans="1:2" ht="12.75" customHeight="1" x14ac:dyDescent="0.25">
      <c r="A14761" s="318">
        <v>95160066485</v>
      </c>
      <c r="B14761" s="318" t="s">
        <v>23</v>
      </c>
    </row>
    <row r="14762" spans="1:2" ht="12.75" customHeight="1" x14ac:dyDescent="0.25">
      <c r="A14762" s="318">
        <v>95160066486</v>
      </c>
      <c r="B14762" s="318" t="s">
        <v>23</v>
      </c>
    </row>
    <row r="14763" spans="1:2" ht="12.75" customHeight="1" x14ac:dyDescent="0.25">
      <c r="A14763" s="318">
        <v>95160066487</v>
      </c>
      <c r="B14763" s="318" t="s">
        <v>23</v>
      </c>
    </row>
    <row r="14764" spans="1:2" ht="12.75" customHeight="1" x14ac:dyDescent="0.25">
      <c r="A14764" s="318">
        <v>95160066488</v>
      </c>
      <c r="B14764" s="318" t="s">
        <v>237</v>
      </c>
    </row>
    <row r="14765" spans="1:2" ht="12.75" customHeight="1" x14ac:dyDescent="0.25">
      <c r="A14765" s="318">
        <v>95160066489</v>
      </c>
      <c r="B14765" s="318" t="s">
        <v>237</v>
      </c>
    </row>
    <row r="14766" spans="1:2" ht="12.75" customHeight="1" x14ac:dyDescent="0.25">
      <c r="A14766" s="318">
        <v>95160066491</v>
      </c>
      <c r="B14766" s="318" t="s">
        <v>237</v>
      </c>
    </row>
    <row r="14767" spans="1:2" ht="12.75" customHeight="1" x14ac:dyDescent="0.25">
      <c r="A14767" s="318">
        <v>95160066492</v>
      </c>
      <c r="B14767" s="318" t="s">
        <v>237</v>
      </c>
    </row>
    <row r="14768" spans="1:2" ht="12.75" customHeight="1" x14ac:dyDescent="0.25">
      <c r="A14768" s="318">
        <v>95160066493</v>
      </c>
      <c r="B14768" s="318" t="s">
        <v>237</v>
      </c>
    </row>
    <row r="14769" spans="1:2" ht="12.75" customHeight="1" x14ac:dyDescent="0.25">
      <c r="A14769" s="318">
        <v>95160066494</v>
      </c>
      <c r="B14769" s="318" t="s">
        <v>237</v>
      </c>
    </row>
    <row r="14770" spans="1:2" ht="12.75" customHeight="1" x14ac:dyDescent="0.25">
      <c r="A14770" s="318">
        <v>95160066495</v>
      </c>
      <c r="B14770" s="318" t="s">
        <v>237</v>
      </c>
    </row>
    <row r="14771" spans="1:2" ht="12.75" customHeight="1" x14ac:dyDescent="0.25">
      <c r="A14771" s="318">
        <v>95160066496</v>
      </c>
      <c r="B14771" s="318" t="s">
        <v>237</v>
      </c>
    </row>
    <row r="14772" spans="1:2" ht="12.75" customHeight="1" x14ac:dyDescent="0.25">
      <c r="A14772" s="318">
        <v>95160066497</v>
      </c>
      <c r="B14772" s="318" t="s">
        <v>237</v>
      </c>
    </row>
    <row r="14773" spans="1:2" ht="12.75" customHeight="1" x14ac:dyDescent="0.25">
      <c r="A14773" s="318">
        <v>95160066498</v>
      </c>
      <c r="B14773" s="318" t="s">
        <v>237</v>
      </c>
    </row>
    <row r="14774" spans="1:2" ht="12.75" customHeight="1" x14ac:dyDescent="0.25">
      <c r="A14774" s="318">
        <v>95160066582</v>
      </c>
      <c r="B14774" s="318" t="s">
        <v>237</v>
      </c>
    </row>
    <row r="14775" spans="1:2" ht="12.75" customHeight="1" x14ac:dyDescent="0.25">
      <c r="A14775" s="318">
        <v>95160066583</v>
      </c>
      <c r="B14775" s="318" t="s">
        <v>237</v>
      </c>
    </row>
    <row r="14776" spans="1:2" ht="12.75" customHeight="1" x14ac:dyDescent="0.25">
      <c r="A14776" s="318">
        <v>95160066584</v>
      </c>
      <c r="B14776" s="318" t="s">
        <v>237</v>
      </c>
    </row>
    <row r="14777" spans="1:2" ht="12.75" customHeight="1" x14ac:dyDescent="0.25">
      <c r="A14777" s="318">
        <v>95160066585</v>
      </c>
      <c r="B14777" s="318" t="s">
        <v>237</v>
      </c>
    </row>
    <row r="14778" spans="1:2" ht="12.75" customHeight="1" x14ac:dyDescent="0.25">
      <c r="A14778" s="318">
        <v>95160066586</v>
      </c>
      <c r="B14778" s="318" t="s">
        <v>237</v>
      </c>
    </row>
    <row r="14779" spans="1:2" ht="12.75" customHeight="1" x14ac:dyDescent="0.25">
      <c r="A14779" s="318">
        <v>95160066587</v>
      </c>
      <c r="B14779" s="318" t="s">
        <v>237</v>
      </c>
    </row>
    <row r="14780" spans="1:2" ht="12.75" customHeight="1" x14ac:dyDescent="0.25">
      <c r="A14780" s="318">
        <v>95160066588</v>
      </c>
      <c r="B14780" s="318" t="s">
        <v>237</v>
      </c>
    </row>
    <row r="14781" spans="1:2" ht="12.75" customHeight="1" x14ac:dyDescent="0.25">
      <c r="A14781" s="318">
        <v>95160066589</v>
      </c>
      <c r="B14781" s="318" t="s">
        <v>237</v>
      </c>
    </row>
    <row r="14782" spans="1:2" ht="12.75" customHeight="1" x14ac:dyDescent="0.25">
      <c r="A14782" s="318">
        <v>95160066591</v>
      </c>
      <c r="B14782" s="318" t="s">
        <v>237</v>
      </c>
    </row>
    <row r="14783" spans="1:2" ht="12.75" customHeight="1" x14ac:dyDescent="0.25">
      <c r="A14783" s="318">
        <v>95160066592</v>
      </c>
      <c r="B14783" s="318" t="s">
        <v>237</v>
      </c>
    </row>
    <row r="14784" spans="1:2" ht="12.75" customHeight="1" x14ac:dyDescent="0.25">
      <c r="A14784" s="318">
        <v>95160066593</v>
      </c>
      <c r="B14784" s="318" t="s">
        <v>237</v>
      </c>
    </row>
    <row r="14785" spans="1:2" ht="12.75" customHeight="1" x14ac:dyDescent="0.25">
      <c r="A14785" s="318">
        <v>95160066594</v>
      </c>
      <c r="B14785" s="318" t="s">
        <v>237</v>
      </c>
    </row>
    <row r="14786" spans="1:2" ht="12.75" customHeight="1" x14ac:dyDescent="0.25">
      <c r="A14786" s="318">
        <v>95160066595</v>
      </c>
      <c r="B14786" s="318" t="s">
        <v>237</v>
      </c>
    </row>
    <row r="14787" spans="1:2" ht="12.75" customHeight="1" x14ac:dyDescent="0.25">
      <c r="A14787" s="318">
        <v>95160066596</v>
      </c>
      <c r="B14787" s="318" t="s">
        <v>237</v>
      </c>
    </row>
    <row r="14788" spans="1:2" ht="12.75" customHeight="1" x14ac:dyDescent="0.25">
      <c r="A14788" s="318">
        <v>95160066597</v>
      </c>
      <c r="B14788" s="318" t="s">
        <v>237</v>
      </c>
    </row>
    <row r="14789" spans="1:2" ht="12.75" customHeight="1" x14ac:dyDescent="0.25">
      <c r="A14789" s="318">
        <v>95160066598</v>
      </c>
      <c r="B14789" s="318" t="s">
        <v>237</v>
      </c>
    </row>
    <row r="14790" spans="1:2" ht="12.75" customHeight="1" x14ac:dyDescent="0.25">
      <c r="A14790" s="318">
        <v>95160547455</v>
      </c>
      <c r="B14790" s="318" t="s">
        <v>23</v>
      </c>
    </row>
    <row r="14791" spans="1:2" ht="12.75" customHeight="1" x14ac:dyDescent="0.25">
      <c r="A14791" s="318">
        <v>95160547456</v>
      </c>
      <c r="B14791" s="318" t="s">
        <v>23</v>
      </c>
    </row>
    <row r="14792" spans="1:2" ht="12.75" customHeight="1" x14ac:dyDescent="0.25">
      <c r="A14792" s="318">
        <v>95160547457</v>
      </c>
      <c r="B14792" s="318" t="s">
        <v>23</v>
      </c>
    </row>
    <row r="14793" spans="1:2" ht="12.75" customHeight="1" x14ac:dyDescent="0.25">
      <c r="A14793" s="318">
        <v>95160547458</v>
      </c>
      <c r="B14793" s="318" t="s">
        <v>23</v>
      </c>
    </row>
    <row r="14794" spans="1:2" ht="12.75" customHeight="1" x14ac:dyDescent="0.25">
      <c r="A14794" s="318">
        <v>95160547459</v>
      </c>
      <c r="B14794" s="318" t="s">
        <v>23</v>
      </c>
    </row>
    <row r="14795" spans="1:2" ht="12.75" customHeight="1" x14ac:dyDescent="0.25">
      <c r="A14795" s="318">
        <v>95160547460</v>
      </c>
      <c r="B14795" s="318" t="s">
        <v>23</v>
      </c>
    </row>
    <row r="14796" spans="1:2" ht="12.75" customHeight="1" x14ac:dyDescent="0.25">
      <c r="A14796" s="318">
        <v>95160547461</v>
      </c>
      <c r="B14796" s="318" t="s">
        <v>237</v>
      </c>
    </row>
    <row r="14797" spans="1:2" ht="12.75" customHeight="1" x14ac:dyDescent="0.25">
      <c r="A14797" s="318">
        <v>95160547462</v>
      </c>
      <c r="B14797" s="318" t="s">
        <v>237</v>
      </c>
    </row>
    <row r="14798" spans="1:2" ht="12.75" customHeight="1" x14ac:dyDescent="0.25">
      <c r="A14798" s="318">
        <v>95160547464</v>
      </c>
      <c r="B14798" s="318" t="s">
        <v>237</v>
      </c>
    </row>
    <row r="14799" spans="1:2" ht="12.75" customHeight="1" x14ac:dyDescent="0.25">
      <c r="A14799" s="318">
        <v>95160547465</v>
      </c>
      <c r="B14799" s="318" t="s">
        <v>237</v>
      </c>
    </row>
    <row r="14800" spans="1:2" ht="12.75" customHeight="1" x14ac:dyDescent="0.25">
      <c r="A14800" s="318">
        <v>95160547466</v>
      </c>
      <c r="B14800" s="318" t="s">
        <v>237</v>
      </c>
    </row>
    <row r="14801" spans="1:2" ht="12.75" customHeight="1" x14ac:dyDescent="0.25">
      <c r="A14801" s="318">
        <v>95160547467</v>
      </c>
      <c r="B14801" s="318" t="s">
        <v>237</v>
      </c>
    </row>
    <row r="14802" spans="1:2" ht="12.75" customHeight="1" x14ac:dyDescent="0.25">
      <c r="A14802" s="318">
        <v>95160547468</v>
      </c>
      <c r="B14802" s="318" t="s">
        <v>237</v>
      </c>
    </row>
    <row r="14803" spans="1:2" ht="12.75" customHeight="1" x14ac:dyDescent="0.25">
      <c r="A14803" s="318">
        <v>95160547469</v>
      </c>
      <c r="B14803" s="318" t="s">
        <v>237</v>
      </c>
    </row>
    <row r="14804" spans="1:2" ht="12.75" customHeight="1" x14ac:dyDescent="0.25">
      <c r="A14804" s="318">
        <v>95160547470</v>
      </c>
      <c r="B14804" s="318" t="s">
        <v>237</v>
      </c>
    </row>
    <row r="14805" spans="1:2" ht="12.75" customHeight="1" x14ac:dyDescent="0.25">
      <c r="A14805" s="318">
        <v>95160547471</v>
      </c>
      <c r="B14805" s="318" t="s">
        <v>237</v>
      </c>
    </row>
    <row r="14806" spans="1:2" ht="12.75" customHeight="1" x14ac:dyDescent="0.25">
      <c r="A14806" s="318">
        <v>95160547555</v>
      </c>
      <c r="B14806" s="318" t="s">
        <v>237</v>
      </c>
    </row>
    <row r="14807" spans="1:2" ht="12.75" customHeight="1" x14ac:dyDescent="0.25">
      <c r="A14807" s="318">
        <v>95160547556</v>
      </c>
      <c r="B14807" s="318" t="s">
        <v>237</v>
      </c>
    </row>
    <row r="14808" spans="1:2" ht="12.75" customHeight="1" x14ac:dyDescent="0.25">
      <c r="A14808" s="318">
        <v>95160547557</v>
      </c>
      <c r="B14808" s="318" t="s">
        <v>237</v>
      </c>
    </row>
    <row r="14809" spans="1:2" ht="12.75" customHeight="1" x14ac:dyDescent="0.25">
      <c r="A14809" s="318">
        <v>95160547558</v>
      </c>
      <c r="B14809" s="318" t="s">
        <v>237</v>
      </c>
    </row>
    <row r="14810" spans="1:2" ht="12.75" customHeight="1" x14ac:dyDescent="0.25">
      <c r="A14810" s="318">
        <v>95160547559</v>
      </c>
      <c r="B14810" s="318" t="s">
        <v>237</v>
      </c>
    </row>
    <row r="14811" spans="1:2" ht="12.75" customHeight="1" x14ac:dyDescent="0.25">
      <c r="A14811" s="318">
        <v>95160547560</v>
      </c>
      <c r="B14811" s="318" t="s">
        <v>237</v>
      </c>
    </row>
    <row r="14812" spans="1:2" ht="12.75" customHeight="1" x14ac:dyDescent="0.25">
      <c r="A14812" s="318">
        <v>95160547561</v>
      </c>
      <c r="B14812" s="318" t="s">
        <v>237</v>
      </c>
    </row>
    <row r="14813" spans="1:2" ht="12.75" customHeight="1" x14ac:dyDescent="0.25">
      <c r="A14813" s="318">
        <v>95160547562</v>
      </c>
      <c r="B14813" s="318" t="s">
        <v>237</v>
      </c>
    </row>
    <row r="14814" spans="1:2" ht="12.75" customHeight="1" x14ac:dyDescent="0.25">
      <c r="A14814" s="318">
        <v>95160547564</v>
      </c>
      <c r="B14814" s="318" t="s">
        <v>237</v>
      </c>
    </row>
    <row r="14815" spans="1:2" ht="12.75" customHeight="1" x14ac:dyDescent="0.25">
      <c r="A14815" s="318">
        <v>95160547565</v>
      </c>
      <c r="B14815" s="318" t="s">
        <v>237</v>
      </c>
    </row>
    <row r="14816" spans="1:2" ht="12.75" customHeight="1" x14ac:dyDescent="0.25">
      <c r="A14816" s="318">
        <v>95160547566</v>
      </c>
      <c r="B14816" s="318" t="s">
        <v>237</v>
      </c>
    </row>
    <row r="14817" spans="1:2" ht="12.75" customHeight="1" x14ac:dyDescent="0.25">
      <c r="A14817" s="318">
        <v>95160547567</v>
      </c>
      <c r="B14817" s="318" t="s">
        <v>237</v>
      </c>
    </row>
    <row r="14818" spans="1:2" ht="12.75" customHeight="1" x14ac:dyDescent="0.25">
      <c r="A14818" s="318">
        <v>95160547568</v>
      </c>
      <c r="B14818" s="318" t="s">
        <v>237</v>
      </c>
    </row>
    <row r="14819" spans="1:2" ht="12.75" customHeight="1" x14ac:dyDescent="0.25">
      <c r="A14819" s="318">
        <v>95160547569</v>
      </c>
      <c r="B14819" s="318" t="s">
        <v>237</v>
      </c>
    </row>
    <row r="14820" spans="1:2" ht="12.75" customHeight="1" x14ac:dyDescent="0.25">
      <c r="A14820" s="318">
        <v>95160547570</v>
      </c>
      <c r="B14820" s="318" t="s">
        <v>237</v>
      </c>
    </row>
    <row r="14821" spans="1:2" ht="12.75" customHeight="1" x14ac:dyDescent="0.25">
      <c r="A14821" s="318">
        <v>95160547571</v>
      </c>
      <c r="B14821" s="318" t="s">
        <v>237</v>
      </c>
    </row>
    <row r="14822" spans="1:2" ht="12.75" customHeight="1" x14ac:dyDescent="0.25">
      <c r="A14822" s="318">
        <v>95161028428</v>
      </c>
      <c r="B14822" s="318" t="s">
        <v>23</v>
      </c>
    </row>
    <row r="14823" spans="1:2" ht="12.75" customHeight="1" x14ac:dyDescent="0.25">
      <c r="A14823" s="318">
        <v>95161028429</v>
      </c>
      <c r="B14823" s="318" t="s">
        <v>23</v>
      </c>
    </row>
    <row r="14824" spans="1:2" ht="12.75" customHeight="1" x14ac:dyDescent="0.25">
      <c r="A14824" s="318">
        <v>95161028430</v>
      </c>
      <c r="B14824" s="318" t="s">
        <v>23</v>
      </c>
    </row>
    <row r="14825" spans="1:2" ht="12.75" customHeight="1" x14ac:dyDescent="0.25">
      <c r="A14825" s="318">
        <v>95161028431</v>
      </c>
      <c r="B14825" s="318" t="s">
        <v>23</v>
      </c>
    </row>
    <row r="14826" spans="1:2" ht="12.75" customHeight="1" x14ac:dyDescent="0.25">
      <c r="A14826" s="318">
        <v>95161028432</v>
      </c>
      <c r="B14826" s="318" t="s">
        <v>23</v>
      </c>
    </row>
    <row r="14827" spans="1:2" ht="12.75" customHeight="1" x14ac:dyDescent="0.25">
      <c r="A14827" s="318">
        <v>95161028433</v>
      </c>
      <c r="B14827" s="318" t="s">
        <v>23</v>
      </c>
    </row>
    <row r="14828" spans="1:2" ht="12.75" customHeight="1" x14ac:dyDescent="0.25">
      <c r="A14828" s="318">
        <v>95161028434</v>
      </c>
      <c r="B14828" s="318" t="s">
        <v>237</v>
      </c>
    </row>
    <row r="14829" spans="1:2" ht="12.75" customHeight="1" x14ac:dyDescent="0.25">
      <c r="A14829" s="318">
        <v>95161028435</v>
      </c>
      <c r="B14829" s="318" t="s">
        <v>237</v>
      </c>
    </row>
    <row r="14830" spans="1:2" ht="12.75" customHeight="1" x14ac:dyDescent="0.25">
      <c r="A14830" s="318">
        <v>95161028437</v>
      </c>
      <c r="B14830" s="318" t="s">
        <v>237</v>
      </c>
    </row>
    <row r="14831" spans="1:2" ht="12.75" customHeight="1" x14ac:dyDescent="0.25">
      <c r="A14831" s="318">
        <v>95161028438</v>
      </c>
      <c r="B14831" s="318" t="s">
        <v>237</v>
      </c>
    </row>
    <row r="14832" spans="1:2" ht="12.75" customHeight="1" x14ac:dyDescent="0.25">
      <c r="A14832" s="318">
        <v>95161028439</v>
      </c>
      <c r="B14832" s="318" t="s">
        <v>237</v>
      </c>
    </row>
    <row r="14833" spans="1:2" ht="12.75" customHeight="1" x14ac:dyDescent="0.25">
      <c r="A14833" s="318">
        <v>95161028440</v>
      </c>
      <c r="B14833" s="318" t="s">
        <v>237</v>
      </c>
    </row>
    <row r="14834" spans="1:2" ht="12.75" customHeight="1" x14ac:dyDescent="0.25">
      <c r="A14834" s="318">
        <v>95161028441</v>
      </c>
      <c r="B14834" s="318" t="s">
        <v>237</v>
      </c>
    </row>
    <row r="14835" spans="1:2" ht="12.75" customHeight="1" x14ac:dyDescent="0.25">
      <c r="A14835" s="318">
        <v>95161028442</v>
      </c>
      <c r="B14835" s="318" t="s">
        <v>237</v>
      </c>
    </row>
    <row r="14836" spans="1:2" ht="12.75" customHeight="1" x14ac:dyDescent="0.25">
      <c r="A14836" s="318">
        <v>95161028443</v>
      </c>
      <c r="B14836" s="318" t="s">
        <v>237</v>
      </c>
    </row>
    <row r="14837" spans="1:2" ht="12.75" customHeight="1" x14ac:dyDescent="0.25">
      <c r="A14837" s="318">
        <v>95161028444</v>
      </c>
      <c r="B14837" s="318" t="s">
        <v>237</v>
      </c>
    </row>
    <row r="14838" spans="1:2" ht="12.75" customHeight="1" x14ac:dyDescent="0.25">
      <c r="A14838" s="318">
        <v>95161028528</v>
      </c>
      <c r="B14838" s="318" t="s">
        <v>237</v>
      </c>
    </row>
    <row r="14839" spans="1:2" ht="12.75" customHeight="1" x14ac:dyDescent="0.25">
      <c r="A14839" s="318">
        <v>95161028529</v>
      </c>
      <c r="B14839" s="318" t="s">
        <v>237</v>
      </c>
    </row>
    <row r="14840" spans="1:2" ht="12.75" customHeight="1" x14ac:dyDescent="0.25">
      <c r="A14840" s="318">
        <v>95161028530</v>
      </c>
      <c r="B14840" s="318" t="s">
        <v>237</v>
      </c>
    </row>
    <row r="14841" spans="1:2" ht="12.75" customHeight="1" x14ac:dyDescent="0.25">
      <c r="A14841" s="318">
        <v>95161028531</v>
      </c>
      <c r="B14841" s="318" t="s">
        <v>237</v>
      </c>
    </row>
    <row r="14842" spans="1:2" ht="12.75" customHeight="1" x14ac:dyDescent="0.25">
      <c r="A14842" s="318">
        <v>95161028532</v>
      </c>
      <c r="B14842" s="318" t="s">
        <v>237</v>
      </c>
    </row>
    <row r="14843" spans="1:2" ht="12.75" customHeight="1" x14ac:dyDescent="0.25">
      <c r="A14843" s="318">
        <v>95161028533</v>
      </c>
      <c r="B14843" s="318" t="s">
        <v>237</v>
      </c>
    </row>
    <row r="14844" spans="1:2" ht="12.75" customHeight="1" x14ac:dyDescent="0.25">
      <c r="A14844" s="318">
        <v>95161028534</v>
      </c>
      <c r="B14844" s="318" t="s">
        <v>237</v>
      </c>
    </row>
    <row r="14845" spans="1:2" ht="12.75" customHeight="1" x14ac:dyDescent="0.25">
      <c r="A14845" s="318">
        <v>95161028535</v>
      </c>
      <c r="B14845" s="318" t="s">
        <v>237</v>
      </c>
    </row>
    <row r="14846" spans="1:2" ht="12.75" customHeight="1" x14ac:dyDescent="0.25">
      <c r="A14846" s="318">
        <v>95161028537</v>
      </c>
      <c r="B14846" s="318" t="s">
        <v>237</v>
      </c>
    </row>
    <row r="14847" spans="1:2" ht="12.75" customHeight="1" x14ac:dyDescent="0.25">
      <c r="A14847" s="318">
        <v>95161028538</v>
      </c>
      <c r="B14847" s="318" t="s">
        <v>237</v>
      </c>
    </row>
    <row r="14848" spans="1:2" ht="12.75" customHeight="1" x14ac:dyDescent="0.25">
      <c r="A14848" s="318">
        <v>95161028539</v>
      </c>
      <c r="B14848" s="318" t="s">
        <v>237</v>
      </c>
    </row>
    <row r="14849" spans="1:2" ht="12.75" customHeight="1" x14ac:dyDescent="0.25">
      <c r="A14849" s="318">
        <v>95161028540</v>
      </c>
      <c r="B14849" s="318" t="s">
        <v>237</v>
      </c>
    </row>
    <row r="14850" spans="1:2" ht="12.75" customHeight="1" x14ac:dyDescent="0.25">
      <c r="A14850" s="318">
        <v>95161028541</v>
      </c>
      <c r="B14850" s="318" t="s">
        <v>237</v>
      </c>
    </row>
    <row r="14851" spans="1:2" ht="12.75" customHeight="1" x14ac:dyDescent="0.25">
      <c r="A14851" s="318">
        <v>95161028542</v>
      </c>
      <c r="B14851" s="318" t="s">
        <v>237</v>
      </c>
    </row>
    <row r="14852" spans="1:2" ht="12.75" customHeight="1" x14ac:dyDescent="0.25">
      <c r="A14852" s="318">
        <v>95161028543</v>
      </c>
      <c r="B14852" s="318" t="s">
        <v>237</v>
      </c>
    </row>
    <row r="14853" spans="1:2" ht="12.75" customHeight="1" x14ac:dyDescent="0.25">
      <c r="A14853" s="318">
        <v>95161028544</v>
      </c>
      <c r="B14853" s="318" t="s">
        <v>237</v>
      </c>
    </row>
    <row r="14854" spans="1:2" ht="12.75" customHeight="1" x14ac:dyDescent="0.25">
      <c r="A14854" s="318">
        <v>95162388809</v>
      </c>
      <c r="B14854" s="318" t="s">
        <v>23</v>
      </c>
    </row>
    <row r="14855" spans="1:2" ht="12.75" customHeight="1" x14ac:dyDescent="0.25">
      <c r="A14855" s="318">
        <v>95162388810</v>
      </c>
      <c r="B14855" s="318" t="s">
        <v>23</v>
      </c>
    </row>
    <row r="14856" spans="1:2" ht="12.75" customHeight="1" x14ac:dyDescent="0.25">
      <c r="A14856" s="318">
        <v>95162388811</v>
      </c>
      <c r="B14856" s="318" t="s">
        <v>23</v>
      </c>
    </row>
    <row r="14857" spans="1:2" ht="12.75" customHeight="1" x14ac:dyDescent="0.25">
      <c r="A14857" s="318">
        <v>95162388812</v>
      </c>
      <c r="B14857" s="318" t="s">
        <v>23</v>
      </c>
    </row>
    <row r="14858" spans="1:2" ht="12.75" customHeight="1" x14ac:dyDescent="0.25">
      <c r="A14858" s="318">
        <v>95162388813</v>
      </c>
      <c r="B14858" s="318" t="s">
        <v>23</v>
      </c>
    </row>
    <row r="14859" spans="1:2" ht="12.75" customHeight="1" x14ac:dyDescent="0.25">
      <c r="A14859" s="318">
        <v>95162388814</v>
      </c>
      <c r="B14859" s="318" t="s">
        <v>23</v>
      </c>
    </row>
    <row r="14860" spans="1:2" ht="12.75" customHeight="1" x14ac:dyDescent="0.25">
      <c r="A14860" s="318">
        <v>95162388815</v>
      </c>
      <c r="B14860" s="318" t="s">
        <v>237</v>
      </c>
    </row>
    <row r="14861" spans="1:2" ht="12.75" customHeight="1" x14ac:dyDescent="0.25">
      <c r="A14861" s="318">
        <v>95162388816</v>
      </c>
      <c r="B14861" s="318" t="s">
        <v>237</v>
      </c>
    </row>
    <row r="14862" spans="1:2" ht="12.75" customHeight="1" x14ac:dyDescent="0.25">
      <c r="A14862" s="318">
        <v>95162388818</v>
      </c>
      <c r="B14862" s="318" t="s">
        <v>237</v>
      </c>
    </row>
    <row r="14863" spans="1:2" ht="12.75" customHeight="1" x14ac:dyDescent="0.25">
      <c r="A14863" s="318">
        <v>95162388819</v>
      </c>
      <c r="B14863" s="318" t="s">
        <v>237</v>
      </c>
    </row>
    <row r="14864" spans="1:2" ht="12.75" customHeight="1" x14ac:dyDescent="0.25">
      <c r="A14864" s="318">
        <v>95162388820</v>
      </c>
      <c r="B14864" s="318" t="s">
        <v>237</v>
      </c>
    </row>
    <row r="14865" spans="1:2" ht="12.75" customHeight="1" x14ac:dyDescent="0.25">
      <c r="A14865" s="318">
        <v>95162388821</v>
      </c>
      <c r="B14865" s="318" t="s">
        <v>237</v>
      </c>
    </row>
    <row r="14866" spans="1:2" ht="12.75" customHeight="1" x14ac:dyDescent="0.25">
      <c r="A14866" s="318">
        <v>95162388822</v>
      </c>
      <c r="B14866" s="318" t="s">
        <v>237</v>
      </c>
    </row>
    <row r="14867" spans="1:2" ht="12.75" customHeight="1" x14ac:dyDescent="0.25">
      <c r="A14867" s="318">
        <v>95162388823</v>
      </c>
      <c r="B14867" s="318" t="s">
        <v>237</v>
      </c>
    </row>
    <row r="14868" spans="1:2" ht="12.75" customHeight="1" x14ac:dyDescent="0.25">
      <c r="A14868" s="318">
        <v>95162388824</v>
      </c>
      <c r="B14868" s="318" t="s">
        <v>237</v>
      </c>
    </row>
    <row r="14869" spans="1:2" ht="12.75" customHeight="1" x14ac:dyDescent="0.25">
      <c r="A14869" s="318">
        <v>95162388825</v>
      </c>
      <c r="B14869" s="318" t="s">
        <v>237</v>
      </c>
    </row>
    <row r="14870" spans="1:2" ht="12.75" customHeight="1" x14ac:dyDescent="0.25">
      <c r="A14870" s="318">
        <v>95162388909</v>
      </c>
      <c r="B14870" s="318" t="s">
        <v>237</v>
      </c>
    </row>
    <row r="14871" spans="1:2" ht="12.75" customHeight="1" x14ac:dyDescent="0.25">
      <c r="A14871" s="318">
        <v>95162388910</v>
      </c>
      <c r="B14871" s="318" t="s">
        <v>237</v>
      </c>
    </row>
    <row r="14872" spans="1:2" ht="12.75" customHeight="1" x14ac:dyDescent="0.25">
      <c r="A14872" s="318">
        <v>95162388911</v>
      </c>
      <c r="B14872" s="318" t="s">
        <v>237</v>
      </c>
    </row>
    <row r="14873" spans="1:2" ht="12.75" customHeight="1" x14ac:dyDescent="0.25">
      <c r="A14873" s="318">
        <v>95162388912</v>
      </c>
      <c r="B14873" s="318" t="s">
        <v>237</v>
      </c>
    </row>
    <row r="14874" spans="1:2" ht="12.75" customHeight="1" x14ac:dyDescent="0.25">
      <c r="A14874" s="318">
        <v>95162388913</v>
      </c>
      <c r="B14874" s="318" t="s">
        <v>237</v>
      </c>
    </row>
    <row r="14875" spans="1:2" ht="12.75" customHeight="1" x14ac:dyDescent="0.25">
      <c r="A14875" s="318">
        <v>95162388914</v>
      </c>
      <c r="B14875" s="318" t="s">
        <v>237</v>
      </c>
    </row>
    <row r="14876" spans="1:2" ht="12.75" customHeight="1" x14ac:dyDescent="0.25">
      <c r="A14876" s="318">
        <v>95162388915</v>
      </c>
      <c r="B14876" s="318" t="s">
        <v>237</v>
      </c>
    </row>
    <row r="14877" spans="1:2" ht="12.75" customHeight="1" x14ac:dyDescent="0.25">
      <c r="A14877" s="318">
        <v>95162388916</v>
      </c>
      <c r="B14877" s="318" t="s">
        <v>237</v>
      </c>
    </row>
    <row r="14878" spans="1:2" ht="12.75" customHeight="1" x14ac:dyDescent="0.25">
      <c r="A14878" s="318">
        <v>95162388918</v>
      </c>
      <c r="B14878" s="318" t="s">
        <v>237</v>
      </c>
    </row>
    <row r="14879" spans="1:2" ht="12.75" customHeight="1" x14ac:dyDescent="0.25">
      <c r="A14879" s="318">
        <v>95162388919</v>
      </c>
      <c r="B14879" s="318" t="s">
        <v>237</v>
      </c>
    </row>
    <row r="14880" spans="1:2" ht="12.75" customHeight="1" x14ac:dyDescent="0.25">
      <c r="A14880" s="318">
        <v>95162388920</v>
      </c>
      <c r="B14880" s="318" t="s">
        <v>237</v>
      </c>
    </row>
    <row r="14881" spans="1:2" ht="12.75" customHeight="1" x14ac:dyDescent="0.25">
      <c r="A14881" s="318">
        <v>95162388921</v>
      </c>
      <c r="B14881" s="318" t="s">
        <v>237</v>
      </c>
    </row>
    <row r="14882" spans="1:2" ht="12.75" customHeight="1" x14ac:dyDescent="0.25">
      <c r="A14882" s="318">
        <v>95162388922</v>
      </c>
      <c r="B14882" s="318" t="s">
        <v>237</v>
      </c>
    </row>
    <row r="14883" spans="1:2" ht="12.75" customHeight="1" x14ac:dyDescent="0.25">
      <c r="A14883" s="318">
        <v>95162388923</v>
      </c>
      <c r="B14883" s="318" t="s">
        <v>237</v>
      </c>
    </row>
    <row r="14884" spans="1:2" ht="12.75" customHeight="1" x14ac:dyDescent="0.25">
      <c r="A14884" s="318">
        <v>95162388924</v>
      </c>
      <c r="B14884" s="318" t="s">
        <v>237</v>
      </c>
    </row>
    <row r="14885" spans="1:2" ht="12.75" customHeight="1" x14ac:dyDescent="0.25">
      <c r="A14885" s="318">
        <v>95162388925</v>
      </c>
      <c r="B14885" s="318" t="s">
        <v>237</v>
      </c>
    </row>
    <row r="14886" spans="1:2" ht="12.75" customHeight="1" x14ac:dyDescent="0.25">
      <c r="A14886" s="318">
        <v>95162869782</v>
      </c>
      <c r="B14886" s="318" t="s">
        <v>23</v>
      </c>
    </row>
    <row r="14887" spans="1:2" ht="12.75" customHeight="1" x14ac:dyDescent="0.25">
      <c r="A14887" s="318">
        <v>95162869783</v>
      </c>
      <c r="B14887" s="318" t="s">
        <v>23</v>
      </c>
    </row>
    <row r="14888" spans="1:2" ht="12.75" customHeight="1" x14ac:dyDescent="0.25">
      <c r="A14888" s="318">
        <v>95162869784</v>
      </c>
      <c r="B14888" s="318" t="s">
        <v>23</v>
      </c>
    </row>
    <row r="14889" spans="1:2" ht="12.75" customHeight="1" x14ac:dyDescent="0.25">
      <c r="A14889" s="318">
        <v>95162869785</v>
      </c>
      <c r="B14889" s="318" t="s">
        <v>23</v>
      </c>
    </row>
    <row r="14890" spans="1:2" ht="12.75" customHeight="1" x14ac:dyDescent="0.25">
      <c r="A14890" s="318">
        <v>95162869786</v>
      </c>
      <c r="B14890" s="318" t="s">
        <v>23</v>
      </c>
    </row>
    <row r="14891" spans="1:2" ht="12.75" customHeight="1" x14ac:dyDescent="0.25">
      <c r="A14891" s="318">
        <v>95162869787</v>
      </c>
      <c r="B14891" s="318" t="s">
        <v>23</v>
      </c>
    </row>
    <row r="14892" spans="1:2" ht="12.75" customHeight="1" x14ac:dyDescent="0.25">
      <c r="A14892" s="318">
        <v>95162869788</v>
      </c>
      <c r="B14892" s="318" t="s">
        <v>237</v>
      </c>
    </row>
    <row r="14893" spans="1:2" ht="12.75" customHeight="1" x14ac:dyDescent="0.25">
      <c r="A14893" s="318">
        <v>95162869789</v>
      </c>
      <c r="B14893" s="318" t="s">
        <v>237</v>
      </c>
    </row>
    <row r="14894" spans="1:2" ht="12.75" customHeight="1" x14ac:dyDescent="0.25">
      <c r="A14894" s="318">
        <v>95162869791</v>
      </c>
      <c r="B14894" s="318" t="s">
        <v>237</v>
      </c>
    </row>
    <row r="14895" spans="1:2" ht="12.75" customHeight="1" x14ac:dyDescent="0.25">
      <c r="A14895" s="318">
        <v>95162869792</v>
      </c>
      <c r="B14895" s="318" t="s">
        <v>237</v>
      </c>
    </row>
    <row r="14896" spans="1:2" ht="12.75" customHeight="1" x14ac:dyDescent="0.25">
      <c r="A14896" s="318">
        <v>95162869793</v>
      </c>
      <c r="B14896" s="318" t="s">
        <v>237</v>
      </c>
    </row>
    <row r="14897" spans="1:2" ht="12.75" customHeight="1" x14ac:dyDescent="0.25">
      <c r="A14897" s="318">
        <v>95162869794</v>
      </c>
      <c r="B14897" s="318" t="s">
        <v>237</v>
      </c>
    </row>
    <row r="14898" spans="1:2" ht="12.75" customHeight="1" x14ac:dyDescent="0.25">
      <c r="A14898" s="318">
        <v>95162869795</v>
      </c>
      <c r="B14898" s="318" t="s">
        <v>237</v>
      </c>
    </row>
    <row r="14899" spans="1:2" ht="12.75" customHeight="1" x14ac:dyDescent="0.25">
      <c r="A14899" s="318">
        <v>95162869796</v>
      </c>
      <c r="B14899" s="318" t="s">
        <v>237</v>
      </c>
    </row>
    <row r="14900" spans="1:2" ht="12.75" customHeight="1" x14ac:dyDescent="0.25">
      <c r="A14900" s="318">
        <v>95162869797</v>
      </c>
      <c r="B14900" s="318" t="s">
        <v>237</v>
      </c>
    </row>
    <row r="14901" spans="1:2" ht="12.75" customHeight="1" x14ac:dyDescent="0.25">
      <c r="A14901" s="318">
        <v>95162869798</v>
      </c>
      <c r="B14901" s="318" t="s">
        <v>237</v>
      </c>
    </row>
    <row r="14902" spans="1:2" ht="12.75" customHeight="1" x14ac:dyDescent="0.25">
      <c r="A14902" s="318">
        <v>95162869882</v>
      </c>
      <c r="B14902" s="318" t="s">
        <v>237</v>
      </c>
    </row>
    <row r="14903" spans="1:2" ht="12.75" customHeight="1" x14ac:dyDescent="0.25">
      <c r="A14903" s="318">
        <v>95162869883</v>
      </c>
      <c r="B14903" s="318" t="s">
        <v>237</v>
      </c>
    </row>
    <row r="14904" spans="1:2" ht="12.75" customHeight="1" x14ac:dyDescent="0.25">
      <c r="A14904" s="318">
        <v>95162869884</v>
      </c>
      <c r="B14904" s="318" t="s">
        <v>237</v>
      </c>
    </row>
    <row r="14905" spans="1:2" ht="12.75" customHeight="1" x14ac:dyDescent="0.25">
      <c r="A14905" s="318">
        <v>95162869885</v>
      </c>
      <c r="B14905" s="318" t="s">
        <v>237</v>
      </c>
    </row>
    <row r="14906" spans="1:2" ht="12.75" customHeight="1" x14ac:dyDescent="0.25">
      <c r="A14906" s="318">
        <v>95162869886</v>
      </c>
      <c r="B14906" s="318" t="s">
        <v>237</v>
      </c>
    </row>
    <row r="14907" spans="1:2" ht="12.75" customHeight="1" x14ac:dyDescent="0.25">
      <c r="A14907" s="318">
        <v>95162869887</v>
      </c>
      <c r="B14907" s="318" t="s">
        <v>237</v>
      </c>
    </row>
    <row r="14908" spans="1:2" ht="12.75" customHeight="1" x14ac:dyDescent="0.25">
      <c r="A14908" s="318">
        <v>95162869888</v>
      </c>
      <c r="B14908" s="318" t="s">
        <v>237</v>
      </c>
    </row>
    <row r="14909" spans="1:2" ht="12.75" customHeight="1" x14ac:dyDescent="0.25">
      <c r="A14909" s="318">
        <v>95162869889</v>
      </c>
      <c r="B14909" s="318" t="s">
        <v>237</v>
      </c>
    </row>
    <row r="14910" spans="1:2" ht="12.75" customHeight="1" x14ac:dyDescent="0.25">
      <c r="A14910" s="318">
        <v>95162869891</v>
      </c>
      <c r="B14910" s="318" t="s">
        <v>237</v>
      </c>
    </row>
    <row r="14911" spans="1:2" ht="12.75" customHeight="1" x14ac:dyDescent="0.25">
      <c r="A14911" s="318">
        <v>95162869892</v>
      </c>
      <c r="B14911" s="318" t="s">
        <v>237</v>
      </c>
    </row>
    <row r="14912" spans="1:2" ht="12.75" customHeight="1" x14ac:dyDescent="0.25">
      <c r="A14912" s="318">
        <v>95162869893</v>
      </c>
      <c r="B14912" s="318" t="s">
        <v>237</v>
      </c>
    </row>
    <row r="14913" spans="1:2" ht="12.75" customHeight="1" x14ac:dyDescent="0.25">
      <c r="A14913" s="318">
        <v>95162869894</v>
      </c>
      <c r="B14913" s="318" t="s">
        <v>237</v>
      </c>
    </row>
    <row r="14914" spans="1:2" ht="12.75" customHeight="1" x14ac:dyDescent="0.25">
      <c r="A14914" s="318">
        <v>95162869895</v>
      </c>
      <c r="B14914" s="318" t="s">
        <v>237</v>
      </c>
    </row>
    <row r="14915" spans="1:2" ht="12.75" customHeight="1" x14ac:dyDescent="0.25">
      <c r="A14915" s="318">
        <v>95162869896</v>
      </c>
      <c r="B14915" s="318" t="s">
        <v>237</v>
      </c>
    </row>
    <row r="14916" spans="1:2" ht="12.75" customHeight="1" x14ac:dyDescent="0.25">
      <c r="A14916" s="318">
        <v>95162869897</v>
      </c>
      <c r="B14916" s="318" t="s">
        <v>237</v>
      </c>
    </row>
    <row r="14917" spans="1:2" ht="12.75" customHeight="1" x14ac:dyDescent="0.25">
      <c r="A14917" s="318">
        <v>95162869898</v>
      </c>
      <c r="B14917" s="318" t="s">
        <v>237</v>
      </c>
    </row>
    <row r="14918" spans="1:2" ht="12.75" customHeight="1" x14ac:dyDescent="0.25">
      <c r="A14918" s="318">
        <v>95163350755</v>
      </c>
      <c r="B14918" s="318" t="s">
        <v>23</v>
      </c>
    </row>
    <row r="14919" spans="1:2" ht="12.75" customHeight="1" x14ac:dyDescent="0.25">
      <c r="A14919" s="318">
        <v>95163350756</v>
      </c>
      <c r="B14919" s="318" t="s">
        <v>23</v>
      </c>
    </row>
    <row r="14920" spans="1:2" ht="12.75" customHeight="1" x14ac:dyDescent="0.25">
      <c r="A14920" s="318">
        <v>95163350757</v>
      </c>
      <c r="B14920" s="318" t="s">
        <v>23</v>
      </c>
    </row>
    <row r="14921" spans="1:2" ht="12.75" customHeight="1" x14ac:dyDescent="0.25">
      <c r="A14921" s="318">
        <v>95163350758</v>
      </c>
      <c r="B14921" s="318" t="s">
        <v>23</v>
      </c>
    </row>
    <row r="14922" spans="1:2" ht="12.75" customHeight="1" x14ac:dyDescent="0.25">
      <c r="A14922" s="318">
        <v>95163350759</v>
      </c>
      <c r="B14922" s="318" t="s">
        <v>23</v>
      </c>
    </row>
    <row r="14923" spans="1:2" ht="12.75" customHeight="1" x14ac:dyDescent="0.25">
      <c r="A14923" s="318">
        <v>95163350760</v>
      </c>
      <c r="B14923" s="318" t="s">
        <v>23</v>
      </c>
    </row>
    <row r="14924" spans="1:2" ht="12.75" customHeight="1" x14ac:dyDescent="0.25">
      <c r="A14924" s="318">
        <v>95163350761</v>
      </c>
      <c r="B14924" s="318" t="s">
        <v>237</v>
      </c>
    </row>
    <row r="14925" spans="1:2" ht="12.75" customHeight="1" x14ac:dyDescent="0.25">
      <c r="A14925" s="318">
        <v>95163350762</v>
      </c>
      <c r="B14925" s="318" t="s">
        <v>237</v>
      </c>
    </row>
    <row r="14926" spans="1:2" ht="12.75" customHeight="1" x14ac:dyDescent="0.25">
      <c r="A14926" s="318">
        <v>95163350764</v>
      </c>
      <c r="B14926" s="318" t="s">
        <v>237</v>
      </c>
    </row>
    <row r="14927" spans="1:2" ht="12.75" customHeight="1" x14ac:dyDescent="0.25">
      <c r="A14927" s="318">
        <v>95163350765</v>
      </c>
      <c r="B14927" s="318" t="s">
        <v>237</v>
      </c>
    </row>
    <row r="14928" spans="1:2" ht="12.75" customHeight="1" x14ac:dyDescent="0.25">
      <c r="A14928" s="318">
        <v>95163350766</v>
      </c>
      <c r="B14928" s="318" t="s">
        <v>237</v>
      </c>
    </row>
    <row r="14929" spans="1:2" ht="12.75" customHeight="1" x14ac:dyDescent="0.25">
      <c r="A14929" s="318">
        <v>95163350767</v>
      </c>
      <c r="B14929" s="318" t="s">
        <v>237</v>
      </c>
    </row>
    <row r="14930" spans="1:2" ht="12.75" customHeight="1" x14ac:dyDescent="0.25">
      <c r="A14930" s="318">
        <v>95163350768</v>
      </c>
      <c r="B14930" s="318" t="s">
        <v>237</v>
      </c>
    </row>
    <row r="14931" spans="1:2" ht="12.75" customHeight="1" x14ac:dyDescent="0.25">
      <c r="A14931" s="318">
        <v>95163350769</v>
      </c>
      <c r="B14931" s="318" t="s">
        <v>237</v>
      </c>
    </row>
    <row r="14932" spans="1:2" ht="12.75" customHeight="1" x14ac:dyDescent="0.25">
      <c r="A14932" s="318">
        <v>95163350770</v>
      </c>
      <c r="B14932" s="318" t="s">
        <v>237</v>
      </c>
    </row>
    <row r="14933" spans="1:2" ht="12.75" customHeight="1" x14ac:dyDescent="0.25">
      <c r="A14933" s="318">
        <v>95163350771</v>
      </c>
      <c r="B14933" s="318" t="s">
        <v>237</v>
      </c>
    </row>
    <row r="14934" spans="1:2" ht="12.75" customHeight="1" x14ac:dyDescent="0.25">
      <c r="A14934" s="318">
        <v>95163350855</v>
      </c>
      <c r="B14934" s="318" t="s">
        <v>237</v>
      </c>
    </row>
    <row r="14935" spans="1:2" ht="12.75" customHeight="1" x14ac:dyDescent="0.25">
      <c r="A14935" s="318">
        <v>95163350856</v>
      </c>
      <c r="B14935" s="318" t="s">
        <v>237</v>
      </c>
    </row>
    <row r="14936" spans="1:2" ht="12.75" customHeight="1" x14ac:dyDescent="0.25">
      <c r="A14936" s="318">
        <v>95163350857</v>
      </c>
      <c r="B14936" s="318" t="s">
        <v>237</v>
      </c>
    </row>
    <row r="14937" spans="1:2" ht="12.75" customHeight="1" x14ac:dyDescent="0.25">
      <c r="A14937" s="318">
        <v>95163350858</v>
      </c>
      <c r="B14937" s="318" t="s">
        <v>237</v>
      </c>
    </row>
    <row r="14938" spans="1:2" ht="12.75" customHeight="1" x14ac:dyDescent="0.25">
      <c r="A14938" s="318">
        <v>95163350859</v>
      </c>
      <c r="B14938" s="318" t="s">
        <v>237</v>
      </c>
    </row>
    <row r="14939" spans="1:2" ht="12.75" customHeight="1" x14ac:dyDescent="0.25">
      <c r="A14939" s="318">
        <v>95163350860</v>
      </c>
      <c r="B14939" s="318" t="s">
        <v>237</v>
      </c>
    </row>
    <row r="14940" spans="1:2" ht="12.75" customHeight="1" x14ac:dyDescent="0.25">
      <c r="A14940" s="318">
        <v>95163350861</v>
      </c>
      <c r="B14940" s="318" t="s">
        <v>237</v>
      </c>
    </row>
    <row r="14941" spans="1:2" ht="12.75" customHeight="1" x14ac:dyDescent="0.25">
      <c r="A14941" s="318">
        <v>95163350862</v>
      </c>
      <c r="B14941" s="318" t="s">
        <v>237</v>
      </c>
    </row>
    <row r="14942" spans="1:2" ht="12.75" customHeight="1" x14ac:dyDescent="0.25">
      <c r="A14942" s="318">
        <v>95163350864</v>
      </c>
      <c r="B14942" s="318" t="s">
        <v>237</v>
      </c>
    </row>
    <row r="14943" spans="1:2" ht="12.75" customHeight="1" x14ac:dyDescent="0.25">
      <c r="A14943" s="318">
        <v>95163350865</v>
      </c>
      <c r="B14943" s="318" t="s">
        <v>237</v>
      </c>
    </row>
    <row r="14944" spans="1:2" ht="12.75" customHeight="1" x14ac:dyDescent="0.25">
      <c r="A14944" s="318">
        <v>95163350866</v>
      </c>
      <c r="B14944" s="318" t="s">
        <v>237</v>
      </c>
    </row>
    <row r="14945" spans="1:2" ht="12.75" customHeight="1" x14ac:dyDescent="0.25">
      <c r="A14945" s="318">
        <v>95163350867</v>
      </c>
      <c r="B14945" s="318" t="s">
        <v>237</v>
      </c>
    </row>
    <row r="14946" spans="1:2" ht="12.75" customHeight="1" x14ac:dyDescent="0.25">
      <c r="A14946" s="318">
        <v>95163350868</v>
      </c>
      <c r="B14946" s="318" t="s">
        <v>237</v>
      </c>
    </row>
    <row r="14947" spans="1:2" ht="12.75" customHeight="1" x14ac:dyDescent="0.25">
      <c r="A14947" s="318">
        <v>95163350869</v>
      </c>
      <c r="B14947" s="318" t="s">
        <v>237</v>
      </c>
    </row>
    <row r="14948" spans="1:2" ht="12.75" customHeight="1" x14ac:dyDescent="0.25">
      <c r="A14948" s="318">
        <v>95163350870</v>
      </c>
      <c r="B14948" s="318" t="s">
        <v>237</v>
      </c>
    </row>
    <row r="14949" spans="1:2" ht="12.75" customHeight="1" x14ac:dyDescent="0.25">
      <c r="A14949" s="318">
        <v>95163350871</v>
      </c>
      <c r="B14949" s="318" t="s">
        <v>237</v>
      </c>
    </row>
    <row r="14950" spans="1:2" ht="12.75" customHeight="1" x14ac:dyDescent="0.25">
      <c r="A14950" s="318">
        <v>95164030946</v>
      </c>
      <c r="B14950" s="318" t="s">
        <v>23</v>
      </c>
    </row>
    <row r="14951" spans="1:2" ht="12.75" customHeight="1" x14ac:dyDescent="0.25">
      <c r="A14951" s="318">
        <v>95164030947</v>
      </c>
      <c r="B14951" s="318" t="s">
        <v>23</v>
      </c>
    </row>
    <row r="14952" spans="1:2" ht="12.75" customHeight="1" x14ac:dyDescent="0.25">
      <c r="A14952" s="318">
        <v>95164030948</v>
      </c>
      <c r="B14952" s="318" t="s">
        <v>23</v>
      </c>
    </row>
    <row r="14953" spans="1:2" ht="12.75" customHeight="1" x14ac:dyDescent="0.25">
      <c r="A14953" s="318">
        <v>95164030949</v>
      </c>
      <c r="B14953" s="318" t="s">
        <v>23</v>
      </c>
    </row>
    <row r="14954" spans="1:2" ht="12.75" customHeight="1" x14ac:dyDescent="0.25">
      <c r="A14954" s="318">
        <v>95164030950</v>
      </c>
      <c r="B14954" s="318" t="s">
        <v>23</v>
      </c>
    </row>
    <row r="14955" spans="1:2" ht="12.75" customHeight="1" x14ac:dyDescent="0.25">
      <c r="A14955" s="318">
        <v>95164030951</v>
      </c>
      <c r="B14955" s="318" t="s">
        <v>23</v>
      </c>
    </row>
    <row r="14956" spans="1:2" ht="12.75" customHeight="1" x14ac:dyDescent="0.25">
      <c r="A14956" s="318">
        <v>95164030952</v>
      </c>
      <c r="B14956" s="318" t="s">
        <v>237</v>
      </c>
    </row>
    <row r="14957" spans="1:2" ht="12.75" customHeight="1" x14ac:dyDescent="0.25">
      <c r="A14957" s="318">
        <v>95164030953</v>
      </c>
      <c r="B14957" s="318" t="s">
        <v>237</v>
      </c>
    </row>
    <row r="14958" spans="1:2" ht="12.75" customHeight="1" x14ac:dyDescent="0.25">
      <c r="A14958" s="318">
        <v>95164030955</v>
      </c>
      <c r="B14958" s="318" t="s">
        <v>237</v>
      </c>
    </row>
    <row r="14959" spans="1:2" ht="12.75" customHeight="1" x14ac:dyDescent="0.25">
      <c r="A14959" s="318">
        <v>95164030956</v>
      </c>
      <c r="B14959" s="318" t="s">
        <v>237</v>
      </c>
    </row>
    <row r="14960" spans="1:2" ht="12.75" customHeight="1" x14ac:dyDescent="0.25">
      <c r="A14960" s="318">
        <v>95164030957</v>
      </c>
      <c r="B14960" s="318" t="s">
        <v>237</v>
      </c>
    </row>
    <row r="14961" spans="1:2" ht="12.75" customHeight="1" x14ac:dyDescent="0.25">
      <c r="A14961" s="318">
        <v>95164030958</v>
      </c>
      <c r="B14961" s="318" t="s">
        <v>237</v>
      </c>
    </row>
    <row r="14962" spans="1:2" ht="12.75" customHeight="1" x14ac:dyDescent="0.25">
      <c r="A14962" s="318">
        <v>95164030959</v>
      </c>
      <c r="B14962" s="318" t="s">
        <v>237</v>
      </c>
    </row>
    <row r="14963" spans="1:2" ht="12.75" customHeight="1" x14ac:dyDescent="0.25">
      <c r="A14963" s="318">
        <v>95164030960</v>
      </c>
      <c r="B14963" s="318" t="s">
        <v>237</v>
      </c>
    </row>
    <row r="14964" spans="1:2" ht="12.75" customHeight="1" x14ac:dyDescent="0.25">
      <c r="A14964" s="318">
        <v>95164030961</v>
      </c>
      <c r="B14964" s="318" t="s">
        <v>237</v>
      </c>
    </row>
    <row r="14965" spans="1:2" ht="12.75" customHeight="1" x14ac:dyDescent="0.25">
      <c r="A14965" s="318">
        <v>95164030962</v>
      </c>
      <c r="B14965" s="318" t="s">
        <v>237</v>
      </c>
    </row>
    <row r="14966" spans="1:2" ht="12.75" customHeight="1" x14ac:dyDescent="0.25">
      <c r="A14966" s="318">
        <v>95164031046</v>
      </c>
      <c r="B14966" s="318" t="s">
        <v>237</v>
      </c>
    </row>
    <row r="14967" spans="1:2" ht="12.75" customHeight="1" x14ac:dyDescent="0.25">
      <c r="A14967" s="318">
        <v>95164031047</v>
      </c>
      <c r="B14967" s="318" t="s">
        <v>237</v>
      </c>
    </row>
    <row r="14968" spans="1:2" ht="12.75" customHeight="1" x14ac:dyDescent="0.25">
      <c r="A14968" s="318">
        <v>95164031048</v>
      </c>
      <c r="B14968" s="318" t="s">
        <v>237</v>
      </c>
    </row>
    <row r="14969" spans="1:2" ht="12.75" customHeight="1" x14ac:dyDescent="0.25">
      <c r="A14969" s="318">
        <v>95164031049</v>
      </c>
      <c r="B14969" s="318" t="s">
        <v>237</v>
      </c>
    </row>
    <row r="14970" spans="1:2" ht="12.75" customHeight="1" x14ac:dyDescent="0.25">
      <c r="A14970" s="318">
        <v>95164031050</v>
      </c>
      <c r="B14970" s="318" t="s">
        <v>237</v>
      </c>
    </row>
    <row r="14971" spans="1:2" ht="12.75" customHeight="1" x14ac:dyDescent="0.25">
      <c r="A14971" s="318">
        <v>95164031051</v>
      </c>
      <c r="B14971" s="318" t="s">
        <v>237</v>
      </c>
    </row>
    <row r="14972" spans="1:2" ht="12.75" customHeight="1" x14ac:dyDescent="0.25">
      <c r="A14972" s="318">
        <v>95164031052</v>
      </c>
      <c r="B14972" s="318" t="s">
        <v>237</v>
      </c>
    </row>
    <row r="14973" spans="1:2" ht="12.75" customHeight="1" x14ac:dyDescent="0.25">
      <c r="A14973" s="318">
        <v>95164031053</v>
      </c>
      <c r="B14973" s="318" t="s">
        <v>237</v>
      </c>
    </row>
    <row r="14974" spans="1:2" ht="12.75" customHeight="1" x14ac:dyDescent="0.25">
      <c r="A14974" s="318">
        <v>95164031055</v>
      </c>
      <c r="B14974" s="318" t="s">
        <v>237</v>
      </c>
    </row>
    <row r="14975" spans="1:2" ht="12.75" customHeight="1" x14ac:dyDescent="0.25">
      <c r="A14975" s="318">
        <v>95164031056</v>
      </c>
      <c r="B14975" s="318" t="s">
        <v>237</v>
      </c>
    </row>
    <row r="14976" spans="1:2" ht="12.75" customHeight="1" x14ac:dyDescent="0.25">
      <c r="A14976" s="318">
        <v>95164031057</v>
      </c>
      <c r="B14976" s="318" t="s">
        <v>237</v>
      </c>
    </row>
    <row r="14977" spans="1:2" ht="12.75" customHeight="1" x14ac:dyDescent="0.25">
      <c r="A14977" s="318">
        <v>95164031058</v>
      </c>
      <c r="B14977" s="318" t="s">
        <v>237</v>
      </c>
    </row>
    <row r="14978" spans="1:2" ht="12.75" customHeight="1" x14ac:dyDescent="0.25">
      <c r="A14978" s="318">
        <v>95164031059</v>
      </c>
      <c r="B14978" s="318" t="s">
        <v>237</v>
      </c>
    </row>
    <row r="14979" spans="1:2" ht="12.75" customHeight="1" x14ac:dyDescent="0.25">
      <c r="A14979" s="318">
        <v>95164031060</v>
      </c>
      <c r="B14979" s="318" t="s">
        <v>237</v>
      </c>
    </row>
    <row r="14980" spans="1:2" ht="12.75" customHeight="1" x14ac:dyDescent="0.25">
      <c r="A14980" s="318">
        <v>95164031061</v>
      </c>
      <c r="B14980" s="318" t="s">
        <v>237</v>
      </c>
    </row>
    <row r="14981" spans="1:2" ht="12.75" customHeight="1" x14ac:dyDescent="0.25">
      <c r="A14981" s="318">
        <v>95164031062</v>
      </c>
      <c r="B14981" s="318" t="s">
        <v>237</v>
      </c>
    </row>
    <row r="14982" spans="1:2" ht="12.75" customHeight="1" x14ac:dyDescent="0.25">
      <c r="A14982" s="318">
        <v>95164511919</v>
      </c>
      <c r="B14982" s="318" t="s">
        <v>23</v>
      </c>
    </row>
    <row r="14983" spans="1:2" ht="12.75" customHeight="1" x14ac:dyDescent="0.25">
      <c r="A14983" s="318">
        <v>95164511920</v>
      </c>
      <c r="B14983" s="318" t="s">
        <v>23</v>
      </c>
    </row>
    <row r="14984" spans="1:2" ht="12.75" customHeight="1" x14ac:dyDescent="0.25">
      <c r="A14984" s="318">
        <v>95164511921</v>
      </c>
      <c r="B14984" s="318" t="s">
        <v>23</v>
      </c>
    </row>
    <row r="14985" spans="1:2" ht="12.75" customHeight="1" x14ac:dyDescent="0.25">
      <c r="A14985" s="318">
        <v>95164511922</v>
      </c>
      <c r="B14985" s="318" t="s">
        <v>23</v>
      </c>
    </row>
    <row r="14986" spans="1:2" ht="12.75" customHeight="1" x14ac:dyDescent="0.25">
      <c r="A14986" s="318">
        <v>95164511923</v>
      </c>
      <c r="B14986" s="318" t="s">
        <v>23</v>
      </c>
    </row>
    <row r="14987" spans="1:2" ht="12.75" customHeight="1" x14ac:dyDescent="0.25">
      <c r="A14987" s="318">
        <v>95164511924</v>
      </c>
      <c r="B14987" s="318" t="s">
        <v>23</v>
      </c>
    </row>
    <row r="14988" spans="1:2" ht="12.75" customHeight="1" x14ac:dyDescent="0.25">
      <c r="A14988" s="318">
        <v>95164511925</v>
      </c>
      <c r="B14988" s="318" t="s">
        <v>237</v>
      </c>
    </row>
    <row r="14989" spans="1:2" ht="12.75" customHeight="1" x14ac:dyDescent="0.25">
      <c r="A14989" s="318">
        <v>95164511926</v>
      </c>
      <c r="B14989" s="318" t="s">
        <v>237</v>
      </c>
    </row>
    <row r="14990" spans="1:2" ht="12.75" customHeight="1" x14ac:dyDescent="0.25">
      <c r="A14990" s="318">
        <v>95164511928</v>
      </c>
      <c r="B14990" s="318" t="s">
        <v>237</v>
      </c>
    </row>
    <row r="14991" spans="1:2" ht="12.75" customHeight="1" x14ac:dyDescent="0.25">
      <c r="A14991" s="318">
        <v>95164511929</v>
      </c>
      <c r="B14991" s="318" t="s">
        <v>237</v>
      </c>
    </row>
    <row r="14992" spans="1:2" ht="12.75" customHeight="1" x14ac:dyDescent="0.25">
      <c r="A14992" s="318">
        <v>95164511930</v>
      </c>
      <c r="B14992" s="318" t="s">
        <v>237</v>
      </c>
    </row>
    <row r="14993" spans="1:2" ht="12.75" customHeight="1" x14ac:dyDescent="0.25">
      <c r="A14993" s="318">
        <v>95164511931</v>
      </c>
      <c r="B14993" s="318" t="s">
        <v>237</v>
      </c>
    </row>
    <row r="14994" spans="1:2" ht="12.75" customHeight="1" x14ac:dyDescent="0.25">
      <c r="A14994" s="318">
        <v>95164511932</v>
      </c>
      <c r="B14994" s="318" t="s">
        <v>237</v>
      </c>
    </row>
    <row r="14995" spans="1:2" ht="12.75" customHeight="1" x14ac:dyDescent="0.25">
      <c r="A14995" s="318">
        <v>95164511933</v>
      </c>
      <c r="B14995" s="318" t="s">
        <v>237</v>
      </c>
    </row>
    <row r="14996" spans="1:2" ht="12.75" customHeight="1" x14ac:dyDescent="0.25">
      <c r="A14996" s="318">
        <v>95164511934</v>
      </c>
      <c r="B14996" s="318" t="s">
        <v>237</v>
      </c>
    </row>
    <row r="14997" spans="1:2" ht="12.75" customHeight="1" x14ac:dyDescent="0.25">
      <c r="A14997" s="318">
        <v>95164511935</v>
      </c>
      <c r="B14997" s="318" t="s">
        <v>237</v>
      </c>
    </row>
    <row r="14998" spans="1:2" ht="12.75" customHeight="1" x14ac:dyDescent="0.25">
      <c r="A14998" s="318">
        <v>95164512019</v>
      </c>
      <c r="B14998" s="318" t="s">
        <v>237</v>
      </c>
    </row>
    <row r="14999" spans="1:2" ht="12.75" customHeight="1" x14ac:dyDescent="0.25">
      <c r="A14999" s="318">
        <v>95164512020</v>
      </c>
      <c r="B14999" s="318" t="s">
        <v>237</v>
      </c>
    </row>
    <row r="15000" spans="1:2" ht="12.75" customHeight="1" x14ac:dyDescent="0.25">
      <c r="A15000" s="318">
        <v>95164512021</v>
      </c>
      <c r="B15000" s="318" t="s">
        <v>237</v>
      </c>
    </row>
    <row r="15001" spans="1:2" ht="12.75" customHeight="1" x14ac:dyDescent="0.25">
      <c r="A15001" s="318">
        <v>95164512022</v>
      </c>
      <c r="B15001" s="318" t="s">
        <v>237</v>
      </c>
    </row>
    <row r="15002" spans="1:2" ht="12.75" customHeight="1" x14ac:dyDescent="0.25">
      <c r="A15002" s="318">
        <v>95164512023</v>
      </c>
      <c r="B15002" s="318" t="s">
        <v>237</v>
      </c>
    </row>
    <row r="15003" spans="1:2" ht="12.75" customHeight="1" x14ac:dyDescent="0.25">
      <c r="A15003" s="318">
        <v>95164512024</v>
      </c>
      <c r="B15003" s="318" t="s">
        <v>237</v>
      </c>
    </row>
    <row r="15004" spans="1:2" ht="12.75" customHeight="1" x14ac:dyDescent="0.25">
      <c r="A15004" s="318">
        <v>95164512025</v>
      </c>
      <c r="B15004" s="318" t="s">
        <v>237</v>
      </c>
    </row>
    <row r="15005" spans="1:2" ht="12.75" customHeight="1" x14ac:dyDescent="0.25">
      <c r="A15005" s="318">
        <v>95164512026</v>
      </c>
      <c r="B15005" s="318" t="s">
        <v>237</v>
      </c>
    </row>
    <row r="15006" spans="1:2" ht="12.75" customHeight="1" x14ac:dyDescent="0.25">
      <c r="A15006" s="318">
        <v>95164512028</v>
      </c>
      <c r="B15006" s="318" t="s">
        <v>237</v>
      </c>
    </row>
    <row r="15007" spans="1:2" ht="12.75" customHeight="1" x14ac:dyDescent="0.25">
      <c r="A15007" s="318">
        <v>95164512029</v>
      </c>
      <c r="B15007" s="318" t="s">
        <v>237</v>
      </c>
    </row>
    <row r="15008" spans="1:2" ht="12.75" customHeight="1" x14ac:dyDescent="0.25">
      <c r="A15008" s="318">
        <v>95164512030</v>
      </c>
      <c r="B15008" s="318" t="s">
        <v>237</v>
      </c>
    </row>
    <row r="15009" spans="1:2" ht="12.75" customHeight="1" x14ac:dyDescent="0.25">
      <c r="A15009" s="318">
        <v>95164512031</v>
      </c>
      <c r="B15009" s="318" t="s">
        <v>237</v>
      </c>
    </row>
    <row r="15010" spans="1:2" ht="12.75" customHeight="1" x14ac:dyDescent="0.25">
      <c r="A15010" s="318">
        <v>95164512032</v>
      </c>
      <c r="B15010" s="318" t="s">
        <v>237</v>
      </c>
    </row>
    <row r="15011" spans="1:2" ht="12.75" customHeight="1" x14ac:dyDescent="0.25">
      <c r="A15011" s="318">
        <v>95164512033</v>
      </c>
      <c r="B15011" s="318" t="s">
        <v>237</v>
      </c>
    </row>
    <row r="15012" spans="1:2" ht="12.75" customHeight="1" x14ac:dyDescent="0.25">
      <c r="A15012" s="318">
        <v>95164512034</v>
      </c>
      <c r="B15012" s="318" t="s">
        <v>237</v>
      </c>
    </row>
    <row r="15013" spans="1:2" ht="12.75" customHeight="1" x14ac:dyDescent="0.25">
      <c r="A15013" s="318">
        <v>95164512035</v>
      </c>
      <c r="B15013" s="318" t="s">
        <v>237</v>
      </c>
    </row>
    <row r="15014" spans="1:2" ht="12.75" customHeight="1" x14ac:dyDescent="0.25">
      <c r="A15014" s="318">
        <v>95164992892</v>
      </c>
      <c r="B15014" s="318" t="s">
        <v>23</v>
      </c>
    </row>
    <row r="15015" spans="1:2" ht="12.75" customHeight="1" x14ac:dyDescent="0.25">
      <c r="A15015" s="318">
        <v>95164992893</v>
      </c>
      <c r="B15015" s="318" t="s">
        <v>23</v>
      </c>
    </row>
    <row r="15016" spans="1:2" ht="12.75" customHeight="1" x14ac:dyDescent="0.25">
      <c r="A15016" s="318">
        <v>95164992894</v>
      </c>
      <c r="B15016" s="318" t="s">
        <v>23</v>
      </c>
    </row>
    <row r="15017" spans="1:2" ht="12.75" customHeight="1" x14ac:dyDescent="0.25">
      <c r="A15017" s="318">
        <v>95164992895</v>
      </c>
      <c r="B15017" s="318" t="s">
        <v>23</v>
      </c>
    </row>
    <row r="15018" spans="1:2" ht="12.75" customHeight="1" x14ac:dyDescent="0.25">
      <c r="A15018" s="318">
        <v>95164992896</v>
      </c>
      <c r="B15018" s="318" t="s">
        <v>23</v>
      </c>
    </row>
    <row r="15019" spans="1:2" ht="12.75" customHeight="1" x14ac:dyDescent="0.25">
      <c r="A15019" s="318">
        <v>95164992897</v>
      </c>
      <c r="B15019" s="318" t="s">
        <v>23</v>
      </c>
    </row>
    <row r="15020" spans="1:2" ht="12.75" customHeight="1" x14ac:dyDescent="0.25">
      <c r="A15020" s="318">
        <v>95164992898</v>
      </c>
      <c r="B15020" s="318" t="s">
        <v>237</v>
      </c>
    </row>
    <row r="15021" spans="1:2" ht="12.75" customHeight="1" x14ac:dyDescent="0.25">
      <c r="A15021" s="318">
        <v>95164992899</v>
      </c>
      <c r="B15021" s="318" t="s">
        <v>237</v>
      </c>
    </row>
    <row r="15022" spans="1:2" ht="12.75" customHeight="1" x14ac:dyDescent="0.25">
      <c r="A15022" s="318">
        <v>95164992901</v>
      </c>
      <c r="B15022" s="318" t="s">
        <v>237</v>
      </c>
    </row>
    <row r="15023" spans="1:2" ht="12.75" customHeight="1" x14ac:dyDescent="0.25">
      <c r="A15023" s="318">
        <v>95164992902</v>
      </c>
      <c r="B15023" s="318" t="s">
        <v>237</v>
      </c>
    </row>
    <row r="15024" spans="1:2" ht="12.75" customHeight="1" x14ac:dyDescent="0.25">
      <c r="A15024" s="318">
        <v>95164992903</v>
      </c>
      <c r="B15024" s="318" t="s">
        <v>237</v>
      </c>
    </row>
    <row r="15025" spans="1:2" ht="12.75" customHeight="1" x14ac:dyDescent="0.25">
      <c r="A15025" s="318">
        <v>95164992904</v>
      </c>
      <c r="B15025" s="318" t="s">
        <v>237</v>
      </c>
    </row>
    <row r="15026" spans="1:2" ht="12.75" customHeight="1" x14ac:dyDescent="0.25">
      <c r="A15026" s="318">
        <v>95164992905</v>
      </c>
      <c r="B15026" s="318" t="s">
        <v>237</v>
      </c>
    </row>
    <row r="15027" spans="1:2" ht="12.75" customHeight="1" x14ac:dyDescent="0.25">
      <c r="A15027" s="318">
        <v>95164992906</v>
      </c>
      <c r="B15027" s="318" t="s">
        <v>237</v>
      </c>
    </row>
    <row r="15028" spans="1:2" ht="12.75" customHeight="1" x14ac:dyDescent="0.25">
      <c r="A15028" s="318">
        <v>95164992907</v>
      </c>
      <c r="B15028" s="318" t="s">
        <v>237</v>
      </c>
    </row>
    <row r="15029" spans="1:2" ht="12.75" customHeight="1" x14ac:dyDescent="0.25">
      <c r="A15029" s="318">
        <v>95164992908</v>
      </c>
      <c r="B15029" s="318" t="s">
        <v>237</v>
      </c>
    </row>
    <row r="15030" spans="1:2" ht="12.75" customHeight="1" x14ac:dyDescent="0.25">
      <c r="A15030" s="318">
        <v>95164992992</v>
      </c>
      <c r="B15030" s="318" t="s">
        <v>237</v>
      </c>
    </row>
    <row r="15031" spans="1:2" ht="12.75" customHeight="1" x14ac:dyDescent="0.25">
      <c r="A15031" s="318">
        <v>95164992993</v>
      </c>
      <c r="B15031" s="318" t="s">
        <v>237</v>
      </c>
    </row>
    <row r="15032" spans="1:2" ht="12.75" customHeight="1" x14ac:dyDescent="0.25">
      <c r="A15032" s="318">
        <v>95164992994</v>
      </c>
      <c r="B15032" s="318" t="s">
        <v>237</v>
      </c>
    </row>
    <row r="15033" spans="1:2" ht="12.75" customHeight="1" x14ac:dyDescent="0.25">
      <c r="A15033" s="318">
        <v>95164992995</v>
      </c>
      <c r="B15033" s="318" t="s">
        <v>237</v>
      </c>
    </row>
    <row r="15034" spans="1:2" ht="12.75" customHeight="1" x14ac:dyDescent="0.25">
      <c r="A15034" s="318">
        <v>95164992996</v>
      </c>
      <c r="B15034" s="318" t="s">
        <v>237</v>
      </c>
    </row>
    <row r="15035" spans="1:2" ht="12.75" customHeight="1" x14ac:dyDescent="0.25">
      <c r="A15035" s="318">
        <v>95164992997</v>
      </c>
      <c r="B15035" s="318" t="s">
        <v>237</v>
      </c>
    </row>
    <row r="15036" spans="1:2" ht="12.75" customHeight="1" x14ac:dyDescent="0.25">
      <c r="A15036" s="318">
        <v>95164992998</v>
      </c>
      <c r="B15036" s="318" t="s">
        <v>237</v>
      </c>
    </row>
    <row r="15037" spans="1:2" ht="12.75" customHeight="1" x14ac:dyDescent="0.25">
      <c r="A15037" s="318">
        <v>95164992999</v>
      </c>
      <c r="B15037" s="318" t="s">
        <v>237</v>
      </c>
    </row>
    <row r="15038" spans="1:2" ht="12.75" customHeight="1" x14ac:dyDescent="0.25">
      <c r="A15038" s="318">
        <v>95164993001</v>
      </c>
      <c r="B15038" s="318" t="s">
        <v>237</v>
      </c>
    </row>
    <row r="15039" spans="1:2" ht="12.75" customHeight="1" x14ac:dyDescent="0.25">
      <c r="A15039" s="318">
        <v>95164993002</v>
      </c>
      <c r="B15039" s="318" t="s">
        <v>237</v>
      </c>
    </row>
    <row r="15040" spans="1:2" ht="12.75" customHeight="1" x14ac:dyDescent="0.25">
      <c r="A15040" s="318">
        <v>95164993003</v>
      </c>
      <c r="B15040" s="318" t="s">
        <v>237</v>
      </c>
    </row>
    <row r="15041" spans="1:2" ht="12.75" customHeight="1" x14ac:dyDescent="0.25">
      <c r="A15041" s="318">
        <v>95164993004</v>
      </c>
      <c r="B15041" s="318" t="s">
        <v>237</v>
      </c>
    </row>
    <row r="15042" spans="1:2" ht="12.75" customHeight="1" x14ac:dyDescent="0.25">
      <c r="A15042" s="318">
        <v>95164993005</v>
      </c>
      <c r="B15042" s="318" t="s">
        <v>237</v>
      </c>
    </row>
    <row r="15043" spans="1:2" ht="12.75" customHeight="1" x14ac:dyDescent="0.25">
      <c r="A15043" s="318">
        <v>95164993006</v>
      </c>
      <c r="B15043" s="318" t="s">
        <v>237</v>
      </c>
    </row>
    <row r="15044" spans="1:2" ht="12.75" customHeight="1" x14ac:dyDescent="0.25">
      <c r="A15044" s="318">
        <v>95164993007</v>
      </c>
      <c r="B15044" s="318" t="s">
        <v>237</v>
      </c>
    </row>
    <row r="15045" spans="1:2" ht="12.75" customHeight="1" x14ac:dyDescent="0.25">
      <c r="A15045" s="318">
        <v>95164993008</v>
      </c>
      <c r="B15045" s="318" t="s">
        <v>237</v>
      </c>
    </row>
    <row r="15046" spans="1:2" ht="12.75" customHeight="1" x14ac:dyDescent="0.25">
      <c r="A15046" s="318">
        <v>95165673083</v>
      </c>
      <c r="B15046" s="318" t="s">
        <v>23</v>
      </c>
    </row>
    <row r="15047" spans="1:2" ht="12.75" customHeight="1" x14ac:dyDescent="0.25">
      <c r="A15047" s="318">
        <v>95165673084</v>
      </c>
      <c r="B15047" s="318" t="s">
        <v>23</v>
      </c>
    </row>
    <row r="15048" spans="1:2" ht="12.75" customHeight="1" x14ac:dyDescent="0.25">
      <c r="A15048" s="318">
        <v>95165673085</v>
      </c>
      <c r="B15048" s="318" t="s">
        <v>23</v>
      </c>
    </row>
    <row r="15049" spans="1:2" ht="12.75" customHeight="1" x14ac:dyDescent="0.25">
      <c r="A15049" s="318">
        <v>95165673086</v>
      </c>
      <c r="B15049" s="318" t="s">
        <v>23</v>
      </c>
    </row>
    <row r="15050" spans="1:2" ht="12.75" customHeight="1" x14ac:dyDescent="0.25">
      <c r="A15050" s="318">
        <v>95165673087</v>
      </c>
      <c r="B15050" s="318" t="s">
        <v>23</v>
      </c>
    </row>
    <row r="15051" spans="1:2" ht="12.75" customHeight="1" x14ac:dyDescent="0.25">
      <c r="A15051" s="318">
        <v>95165673088</v>
      </c>
      <c r="B15051" s="318" t="s">
        <v>23</v>
      </c>
    </row>
    <row r="15052" spans="1:2" ht="12.75" customHeight="1" x14ac:dyDescent="0.25">
      <c r="A15052" s="318">
        <v>95165673089</v>
      </c>
      <c r="B15052" s="318" t="s">
        <v>237</v>
      </c>
    </row>
    <row r="15053" spans="1:2" ht="12.75" customHeight="1" x14ac:dyDescent="0.25">
      <c r="A15053" s="318">
        <v>95165673090</v>
      </c>
      <c r="B15053" s="318" t="s">
        <v>237</v>
      </c>
    </row>
    <row r="15054" spans="1:2" ht="12.75" customHeight="1" x14ac:dyDescent="0.25">
      <c r="A15054" s="318">
        <v>95165673092</v>
      </c>
      <c r="B15054" s="318" t="s">
        <v>237</v>
      </c>
    </row>
    <row r="15055" spans="1:2" ht="12.75" customHeight="1" x14ac:dyDescent="0.25">
      <c r="A15055" s="318">
        <v>95165673093</v>
      </c>
      <c r="B15055" s="318" t="s">
        <v>237</v>
      </c>
    </row>
    <row r="15056" spans="1:2" ht="12.75" customHeight="1" x14ac:dyDescent="0.25">
      <c r="A15056" s="318">
        <v>95165673094</v>
      </c>
      <c r="B15056" s="318" t="s">
        <v>237</v>
      </c>
    </row>
    <row r="15057" spans="1:2" ht="12.75" customHeight="1" x14ac:dyDescent="0.25">
      <c r="A15057" s="318">
        <v>95165673095</v>
      </c>
      <c r="B15057" s="318" t="s">
        <v>237</v>
      </c>
    </row>
    <row r="15058" spans="1:2" ht="12.75" customHeight="1" x14ac:dyDescent="0.25">
      <c r="A15058" s="318">
        <v>95165673096</v>
      </c>
      <c r="B15058" s="318" t="s">
        <v>237</v>
      </c>
    </row>
    <row r="15059" spans="1:2" ht="12.75" customHeight="1" x14ac:dyDescent="0.25">
      <c r="A15059" s="318">
        <v>95165673097</v>
      </c>
      <c r="B15059" s="318" t="s">
        <v>237</v>
      </c>
    </row>
    <row r="15060" spans="1:2" ht="12.75" customHeight="1" x14ac:dyDescent="0.25">
      <c r="A15060" s="318">
        <v>95165673098</v>
      </c>
      <c r="B15060" s="318" t="s">
        <v>237</v>
      </c>
    </row>
    <row r="15061" spans="1:2" ht="12.75" customHeight="1" x14ac:dyDescent="0.25">
      <c r="A15061" s="318">
        <v>95165673099</v>
      </c>
      <c r="B15061" s="318" t="s">
        <v>237</v>
      </c>
    </row>
    <row r="15062" spans="1:2" ht="12.75" customHeight="1" x14ac:dyDescent="0.25">
      <c r="A15062" s="318">
        <v>95165673183</v>
      </c>
      <c r="B15062" s="318" t="s">
        <v>237</v>
      </c>
    </row>
    <row r="15063" spans="1:2" ht="12.75" customHeight="1" x14ac:dyDescent="0.25">
      <c r="A15063" s="318">
        <v>95165673184</v>
      </c>
      <c r="B15063" s="318" t="s">
        <v>237</v>
      </c>
    </row>
    <row r="15064" spans="1:2" ht="12.75" customHeight="1" x14ac:dyDescent="0.25">
      <c r="A15064" s="318">
        <v>95165673185</v>
      </c>
      <c r="B15064" s="318" t="s">
        <v>237</v>
      </c>
    </row>
    <row r="15065" spans="1:2" ht="12.75" customHeight="1" x14ac:dyDescent="0.25">
      <c r="A15065" s="318">
        <v>95165673186</v>
      </c>
      <c r="B15065" s="318" t="s">
        <v>237</v>
      </c>
    </row>
    <row r="15066" spans="1:2" ht="12.75" customHeight="1" x14ac:dyDescent="0.25">
      <c r="A15066" s="318">
        <v>95165673187</v>
      </c>
      <c r="B15066" s="318" t="s">
        <v>237</v>
      </c>
    </row>
    <row r="15067" spans="1:2" ht="12.75" customHeight="1" x14ac:dyDescent="0.25">
      <c r="A15067" s="318">
        <v>95165673188</v>
      </c>
      <c r="B15067" s="318" t="s">
        <v>237</v>
      </c>
    </row>
    <row r="15068" spans="1:2" ht="12.75" customHeight="1" x14ac:dyDescent="0.25">
      <c r="A15068" s="318">
        <v>95165673189</v>
      </c>
      <c r="B15068" s="318" t="s">
        <v>237</v>
      </c>
    </row>
    <row r="15069" spans="1:2" ht="12.75" customHeight="1" x14ac:dyDescent="0.25">
      <c r="A15069" s="318">
        <v>95165673190</v>
      </c>
      <c r="B15069" s="318" t="s">
        <v>237</v>
      </c>
    </row>
    <row r="15070" spans="1:2" ht="12.75" customHeight="1" x14ac:dyDescent="0.25">
      <c r="A15070" s="318">
        <v>95165673192</v>
      </c>
      <c r="B15070" s="318" t="s">
        <v>237</v>
      </c>
    </row>
    <row r="15071" spans="1:2" ht="12.75" customHeight="1" x14ac:dyDescent="0.25">
      <c r="A15071" s="318">
        <v>95165673193</v>
      </c>
      <c r="B15071" s="318" t="s">
        <v>237</v>
      </c>
    </row>
    <row r="15072" spans="1:2" ht="12.75" customHeight="1" x14ac:dyDescent="0.25">
      <c r="A15072" s="318">
        <v>95165673194</v>
      </c>
      <c r="B15072" s="318" t="s">
        <v>237</v>
      </c>
    </row>
    <row r="15073" spans="1:2" ht="12.75" customHeight="1" x14ac:dyDescent="0.25">
      <c r="A15073" s="318">
        <v>95165673195</v>
      </c>
      <c r="B15073" s="318" t="s">
        <v>237</v>
      </c>
    </row>
    <row r="15074" spans="1:2" ht="12.75" customHeight="1" x14ac:dyDescent="0.25">
      <c r="A15074" s="318">
        <v>95165673196</v>
      </c>
      <c r="B15074" s="318" t="s">
        <v>237</v>
      </c>
    </row>
    <row r="15075" spans="1:2" ht="12.75" customHeight="1" x14ac:dyDescent="0.25">
      <c r="A15075" s="318">
        <v>95165673197</v>
      </c>
      <c r="B15075" s="318" t="s">
        <v>237</v>
      </c>
    </row>
    <row r="15076" spans="1:2" ht="12.75" customHeight="1" x14ac:dyDescent="0.25">
      <c r="A15076" s="318">
        <v>95165673198</v>
      </c>
      <c r="B15076" s="318" t="s">
        <v>237</v>
      </c>
    </row>
    <row r="15077" spans="1:2" ht="12.75" customHeight="1" x14ac:dyDescent="0.25">
      <c r="A15077" s="318">
        <v>95165673199</v>
      </c>
      <c r="B15077" s="318" t="s">
        <v>237</v>
      </c>
    </row>
    <row r="15078" spans="1:2" ht="12.75" customHeight="1" x14ac:dyDescent="0.25">
      <c r="A15078" s="318">
        <v>95166154056</v>
      </c>
      <c r="B15078" s="318" t="s">
        <v>23</v>
      </c>
    </row>
    <row r="15079" spans="1:2" ht="12.75" customHeight="1" x14ac:dyDescent="0.25">
      <c r="A15079" s="318">
        <v>95166154057</v>
      </c>
      <c r="B15079" s="318" t="s">
        <v>23</v>
      </c>
    </row>
    <row r="15080" spans="1:2" ht="12.75" customHeight="1" x14ac:dyDescent="0.25">
      <c r="A15080" s="318">
        <v>95166154058</v>
      </c>
      <c r="B15080" s="318" t="s">
        <v>23</v>
      </c>
    </row>
    <row r="15081" spans="1:2" ht="12.75" customHeight="1" x14ac:dyDescent="0.25">
      <c r="A15081" s="318">
        <v>95166154059</v>
      </c>
      <c r="B15081" s="318" t="s">
        <v>23</v>
      </c>
    </row>
    <row r="15082" spans="1:2" ht="12.75" customHeight="1" x14ac:dyDescent="0.25">
      <c r="A15082" s="318">
        <v>95166154060</v>
      </c>
      <c r="B15082" s="318" t="s">
        <v>23</v>
      </c>
    </row>
    <row r="15083" spans="1:2" ht="12.75" customHeight="1" x14ac:dyDescent="0.25">
      <c r="A15083" s="318">
        <v>95166154061</v>
      </c>
      <c r="B15083" s="318" t="s">
        <v>23</v>
      </c>
    </row>
    <row r="15084" spans="1:2" ht="12.75" customHeight="1" x14ac:dyDescent="0.25">
      <c r="A15084" s="318">
        <v>95166154062</v>
      </c>
      <c r="B15084" s="318" t="s">
        <v>237</v>
      </c>
    </row>
    <row r="15085" spans="1:2" ht="12.75" customHeight="1" x14ac:dyDescent="0.25">
      <c r="A15085" s="318">
        <v>95166154063</v>
      </c>
      <c r="B15085" s="318" t="s">
        <v>237</v>
      </c>
    </row>
    <row r="15086" spans="1:2" ht="12.75" customHeight="1" x14ac:dyDescent="0.25">
      <c r="A15086" s="318">
        <v>95166154065</v>
      </c>
      <c r="B15086" s="318" t="s">
        <v>237</v>
      </c>
    </row>
    <row r="15087" spans="1:2" ht="12.75" customHeight="1" x14ac:dyDescent="0.25">
      <c r="A15087" s="318">
        <v>95166154066</v>
      </c>
      <c r="B15087" s="318" t="s">
        <v>237</v>
      </c>
    </row>
    <row r="15088" spans="1:2" ht="12.75" customHeight="1" x14ac:dyDescent="0.25">
      <c r="A15088" s="318">
        <v>95166154067</v>
      </c>
      <c r="B15088" s="318" t="s">
        <v>237</v>
      </c>
    </row>
    <row r="15089" spans="1:2" ht="12.75" customHeight="1" x14ac:dyDescent="0.25">
      <c r="A15089" s="318">
        <v>95166154068</v>
      </c>
      <c r="B15089" s="318" t="s">
        <v>237</v>
      </c>
    </row>
    <row r="15090" spans="1:2" ht="12.75" customHeight="1" x14ac:dyDescent="0.25">
      <c r="A15090" s="318">
        <v>95166154069</v>
      </c>
      <c r="B15090" s="318" t="s">
        <v>237</v>
      </c>
    </row>
    <row r="15091" spans="1:2" ht="12.75" customHeight="1" x14ac:dyDescent="0.25">
      <c r="A15091" s="318">
        <v>95166154070</v>
      </c>
      <c r="B15091" s="318" t="s">
        <v>237</v>
      </c>
    </row>
    <row r="15092" spans="1:2" ht="12.75" customHeight="1" x14ac:dyDescent="0.25">
      <c r="A15092" s="318">
        <v>95166154071</v>
      </c>
      <c r="B15092" s="318" t="s">
        <v>237</v>
      </c>
    </row>
    <row r="15093" spans="1:2" ht="12.75" customHeight="1" x14ac:dyDescent="0.25">
      <c r="A15093" s="318">
        <v>95166154072</v>
      </c>
      <c r="B15093" s="318" t="s">
        <v>237</v>
      </c>
    </row>
    <row r="15094" spans="1:2" ht="12.75" customHeight="1" x14ac:dyDescent="0.25">
      <c r="A15094" s="318">
        <v>95166154156</v>
      </c>
      <c r="B15094" s="318" t="s">
        <v>237</v>
      </c>
    </row>
    <row r="15095" spans="1:2" ht="12.75" customHeight="1" x14ac:dyDescent="0.25">
      <c r="A15095" s="318">
        <v>95166154157</v>
      </c>
      <c r="B15095" s="318" t="s">
        <v>237</v>
      </c>
    </row>
    <row r="15096" spans="1:2" ht="12.75" customHeight="1" x14ac:dyDescent="0.25">
      <c r="A15096" s="318">
        <v>95166154158</v>
      </c>
      <c r="B15096" s="318" t="s">
        <v>237</v>
      </c>
    </row>
    <row r="15097" spans="1:2" ht="12.75" customHeight="1" x14ac:dyDescent="0.25">
      <c r="A15097" s="318">
        <v>95166154159</v>
      </c>
      <c r="B15097" s="318" t="s">
        <v>237</v>
      </c>
    </row>
    <row r="15098" spans="1:2" ht="12.75" customHeight="1" x14ac:dyDescent="0.25">
      <c r="A15098" s="318">
        <v>95166154160</v>
      </c>
      <c r="B15098" s="318" t="s">
        <v>237</v>
      </c>
    </row>
    <row r="15099" spans="1:2" ht="12.75" customHeight="1" x14ac:dyDescent="0.25">
      <c r="A15099" s="318">
        <v>95166154161</v>
      </c>
      <c r="B15099" s="318" t="s">
        <v>237</v>
      </c>
    </row>
    <row r="15100" spans="1:2" ht="12.75" customHeight="1" x14ac:dyDescent="0.25">
      <c r="A15100" s="318">
        <v>95166154162</v>
      </c>
      <c r="B15100" s="318" t="s">
        <v>237</v>
      </c>
    </row>
    <row r="15101" spans="1:2" ht="12.75" customHeight="1" x14ac:dyDescent="0.25">
      <c r="A15101" s="318">
        <v>95166154163</v>
      </c>
      <c r="B15101" s="318" t="s">
        <v>237</v>
      </c>
    </row>
    <row r="15102" spans="1:2" ht="12.75" customHeight="1" x14ac:dyDescent="0.25">
      <c r="A15102" s="318">
        <v>95166154165</v>
      </c>
      <c r="B15102" s="318" t="s">
        <v>237</v>
      </c>
    </row>
    <row r="15103" spans="1:2" ht="12.75" customHeight="1" x14ac:dyDescent="0.25">
      <c r="A15103" s="318">
        <v>95166154166</v>
      </c>
      <c r="B15103" s="318" t="s">
        <v>237</v>
      </c>
    </row>
    <row r="15104" spans="1:2" ht="12.75" customHeight="1" x14ac:dyDescent="0.25">
      <c r="A15104" s="318">
        <v>95166154167</v>
      </c>
      <c r="B15104" s="318" t="s">
        <v>237</v>
      </c>
    </row>
    <row r="15105" spans="1:2" ht="12.75" customHeight="1" x14ac:dyDescent="0.25">
      <c r="A15105" s="318">
        <v>95166154168</v>
      </c>
      <c r="B15105" s="318" t="s">
        <v>237</v>
      </c>
    </row>
    <row r="15106" spans="1:2" ht="12.75" customHeight="1" x14ac:dyDescent="0.25">
      <c r="A15106" s="318">
        <v>95166154169</v>
      </c>
      <c r="B15106" s="318" t="s">
        <v>237</v>
      </c>
    </row>
    <row r="15107" spans="1:2" ht="12.75" customHeight="1" x14ac:dyDescent="0.25">
      <c r="A15107" s="318">
        <v>95166154170</v>
      </c>
      <c r="B15107" s="318" t="s">
        <v>237</v>
      </c>
    </row>
    <row r="15108" spans="1:2" ht="12.75" customHeight="1" x14ac:dyDescent="0.25">
      <c r="A15108" s="318">
        <v>95166154171</v>
      </c>
      <c r="B15108" s="318" t="s">
        <v>237</v>
      </c>
    </row>
    <row r="15109" spans="1:2" ht="12.75" customHeight="1" x14ac:dyDescent="0.25">
      <c r="A15109" s="318">
        <v>95166154172</v>
      </c>
      <c r="B15109" s="318" t="s">
        <v>237</v>
      </c>
    </row>
    <row r="15110" spans="1:2" ht="12.75" customHeight="1" x14ac:dyDescent="0.25">
      <c r="A15110" s="318">
        <v>95166635029</v>
      </c>
      <c r="B15110" s="318" t="s">
        <v>23</v>
      </c>
    </row>
    <row r="15111" spans="1:2" ht="12.75" customHeight="1" x14ac:dyDescent="0.25">
      <c r="A15111" s="318">
        <v>95166635030</v>
      </c>
      <c r="B15111" s="318" t="s">
        <v>23</v>
      </c>
    </row>
    <row r="15112" spans="1:2" ht="12.75" customHeight="1" x14ac:dyDescent="0.25">
      <c r="A15112" s="318">
        <v>95166635031</v>
      </c>
      <c r="B15112" s="318" t="s">
        <v>23</v>
      </c>
    </row>
    <row r="15113" spans="1:2" ht="12.75" customHeight="1" x14ac:dyDescent="0.25">
      <c r="A15113" s="318">
        <v>95166635032</v>
      </c>
      <c r="B15113" s="318" t="s">
        <v>23</v>
      </c>
    </row>
    <row r="15114" spans="1:2" ht="12.75" customHeight="1" x14ac:dyDescent="0.25">
      <c r="A15114" s="318">
        <v>95166635033</v>
      </c>
      <c r="B15114" s="318" t="s">
        <v>23</v>
      </c>
    </row>
    <row r="15115" spans="1:2" ht="12.75" customHeight="1" x14ac:dyDescent="0.25">
      <c r="A15115" s="318">
        <v>95166635034</v>
      </c>
      <c r="B15115" s="318" t="s">
        <v>23</v>
      </c>
    </row>
    <row r="15116" spans="1:2" ht="12.75" customHeight="1" x14ac:dyDescent="0.25">
      <c r="A15116" s="318">
        <v>95166635035</v>
      </c>
      <c r="B15116" s="318" t="s">
        <v>237</v>
      </c>
    </row>
    <row r="15117" spans="1:2" ht="12.75" customHeight="1" x14ac:dyDescent="0.25">
      <c r="A15117" s="318">
        <v>95166635036</v>
      </c>
      <c r="B15117" s="318" t="s">
        <v>237</v>
      </c>
    </row>
    <row r="15118" spans="1:2" ht="12.75" customHeight="1" x14ac:dyDescent="0.25">
      <c r="A15118" s="318">
        <v>95166635038</v>
      </c>
      <c r="B15118" s="318" t="s">
        <v>237</v>
      </c>
    </row>
    <row r="15119" spans="1:2" ht="12.75" customHeight="1" x14ac:dyDescent="0.25">
      <c r="A15119" s="318">
        <v>95166635039</v>
      </c>
      <c r="B15119" s="318" t="s">
        <v>237</v>
      </c>
    </row>
    <row r="15120" spans="1:2" ht="12.75" customHeight="1" x14ac:dyDescent="0.25">
      <c r="A15120" s="318">
        <v>95166635040</v>
      </c>
      <c r="B15120" s="318" t="s">
        <v>237</v>
      </c>
    </row>
    <row r="15121" spans="1:2" ht="12.75" customHeight="1" x14ac:dyDescent="0.25">
      <c r="A15121" s="318">
        <v>95166635041</v>
      </c>
      <c r="B15121" s="318" t="s">
        <v>237</v>
      </c>
    </row>
    <row r="15122" spans="1:2" ht="12.75" customHeight="1" x14ac:dyDescent="0.25">
      <c r="A15122" s="318">
        <v>95166635042</v>
      </c>
      <c r="B15122" s="318" t="s">
        <v>237</v>
      </c>
    </row>
    <row r="15123" spans="1:2" ht="12.75" customHeight="1" x14ac:dyDescent="0.25">
      <c r="A15123" s="318">
        <v>95166635043</v>
      </c>
      <c r="B15123" s="318" t="s">
        <v>237</v>
      </c>
    </row>
    <row r="15124" spans="1:2" ht="12.75" customHeight="1" x14ac:dyDescent="0.25">
      <c r="A15124" s="318">
        <v>95166635044</v>
      </c>
      <c r="B15124" s="318" t="s">
        <v>237</v>
      </c>
    </row>
    <row r="15125" spans="1:2" ht="12.75" customHeight="1" x14ac:dyDescent="0.25">
      <c r="A15125" s="318">
        <v>95166635045</v>
      </c>
      <c r="B15125" s="318" t="s">
        <v>237</v>
      </c>
    </row>
    <row r="15126" spans="1:2" ht="12.75" customHeight="1" x14ac:dyDescent="0.25">
      <c r="A15126" s="318">
        <v>95166635129</v>
      </c>
      <c r="B15126" s="318" t="s">
        <v>237</v>
      </c>
    </row>
    <row r="15127" spans="1:2" ht="12.75" customHeight="1" x14ac:dyDescent="0.25">
      <c r="A15127" s="318">
        <v>95166635130</v>
      </c>
      <c r="B15127" s="318" t="s">
        <v>237</v>
      </c>
    </row>
    <row r="15128" spans="1:2" ht="12.75" customHeight="1" x14ac:dyDescent="0.25">
      <c r="A15128" s="318">
        <v>95166635131</v>
      </c>
      <c r="B15128" s="318" t="s">
        <v>237</v>
      </c>
    </row>
    <row r="15129" spans="1:2" ht="12.75" customHeight="1" x14ac:dyDescent="0.25">
      <c r="A15129" s="318">
        <v>95166635132</v>
      </c>
      <c r="B15129" s="318" t="s">
        <v>237</v>
      </c>
    </row>
    <row r="15130" spans="1:2" ht="12.75" customHeight="1" x14ac:dyDescent="0.25">
      <c r="A15130" s="318">
        <v>95166635133</v>
      </c>
      <c r="B15130" s="318" t="s">
        <v>237</v>
      </c>
    </row>
    <row r="15131" spans="1:2" ht="12.75" customHeight="1" x14ac:dyDescent="0.25">
      <c r="A15131" s="318">
        <v>95166635134</v>
      </c>
      <c r="B15131" s="318" t="s">
        <v>237</v>
      </c>
    </row>
    <row r="15132" spans="1:2" ht="12.75" customHeight="1" x14ac:dyDescent="0.25">
      <c r="A15132" s="318">
        <v>95166635135</v>
      </c>
      <c r="B15132" s="318" t="s">
        <v>237</v>
      </c>
    </row>
    <row r="15133" spans="1:2" ht="12.75" customHeight="1" x14ac:dyDescent="0.25">
      <c r="A15133" s="318">
        <v>95166635136</v>
      </c>
      <c r="B15133" s="318" t="s">
        <v>237</v>
      </c>
    </row>
    <row r="15134" spans="1:2" ht="12.75" customHeight="1" x14ac:dyDescent="0.25">
      <c r="A15134" s="318">
        <v>95166635138</v>
      </c>
      <c r="B15134" s="318" t="s">
        <v>237</v>
      </c>
    </row>
    <row r="15135" spans="1:2" ht="12.75" customHeight="1" x14ac:dyDescent="0.25">
      <c r="A15135" s="318">
        <v>95166635139</v>
      </c>
      <c r="B15135" s="318" t="s">
        <v>237</v>
      </c>
    </row>
    <row r="15136" spans="1:2" ht="12.75" customHeight="1" x14ac:dyDescent="0.25">
      <c r="A15136" s="318">
        <v>95166635140</v>
      </c>
      <c r="B15136" s="318" t="s">
        <v>237</v>
      </c>
    </row>
    <row r="15137" spans="1:2" ht="12.75" customHeight="1" x14ac:dyDescent="0.25">
      <c r="A15137" s="318">
        <v>95166635141</v>
      </c>
      <c r="B15137" s="318" t="s">
        <v>237</v>
      </c>
    </row>
    <row r="15138" spans="1:2" ht="12.75" customHeight="1" x14ac:dyDescent="0.25">
      <c r="A15138" s="318">
        <v>95166635142</v>
      </c>
      <c r="B15138" s="318" t="s">
        <v>237</v>
      </c>
    </row>
    <row r="15139" spans="1:2" ht="12.75" customHeight="1" x14ac:dyDescent="0.25">
      <c r="A15139" s="318">
        <v>95166635143</v>
      </c>
      <c r="B15139" s="318" t="s">
        <v>237</v>
      </c>
    </row>
    <row r="15140" spans="1:2" ht="12.75" customHeight="1" x14ac:dyDescent="0.25">
      <c r="A15140" s="318">
        <v>95166635144</v>
      </c>
      <c r="B15140" s="318" t="s">
        <v>237</v>
      </c>
    </row>
    <row r="15141" spans="1:2" ht="12.75" customHeight="1" x14ac:dyDescent="0.25">
      <c r="A15141" s="318">
        <v>95166635145</v>
      </c>
      <c r="B15141" s="318" t="s">
        <v>237</v>
      </c>
    </row>
    <row r="15142" spans="1:2" ht="12.75" customHeight="1" x14ac:dyDescent="0.25">
      <c r="A15142" s="318">
        <v>95216530920</v>
      </c>
      <c r="B15142" s="318" t="s">
        <v>23</v>
      </c>
    </row>
    <row r="15143" spans="1:2" ht="12.75" customHeight="1" x14ac:dyDescent="0.25">
      <c r="A15143" s="318">
        <v>95216530921</v>
      </c>
      <c r="B15143" s="318" t="s">
        <v>23</v>
      </c>
    </row>
    <row r="15144" spans="1:2" ht="12.75" customHeight="1" x14ac:dyDescent="0.25">
      <c r="A15144" s="318">
        <v>95216530922</v>
      </c>
      <c r="B15144" s="318" t="s">
        <v>23</v>
      </c>
    </row>
    <row r="15145" spans="1:2" ht="12.75" customHeight="1" x14ac:dyDescent="0.25">
      <c r="A15145" s="318">
        <v>95216530923</v>
      </c>
      <c r="B15145" s="318" t="s">
        <v>23</v>
      </c>
    </row>
    <row r="15146" spans="1:2" ht="12.75" customHeight="1" x14ac:dyDescent="0.25">
      <c r="A15146" s="318">
        <v>95216530924</v>
      </c>
      <c r="B15146" s="318" t="s">
        <v>23</v>
      </c>
    </row>
    <row r="15147" spans="1:2" ht="12.75" customHeight="1" x14ac:dyDescent="0.25">
      <c r="A15147" s="318">
        <v>95216530925</v>
      </c>
      <c r="B15147" s="318" t="s">
        <v>23</v>
      </c>
    </row>
    <row r="15148" spans="1:2" ht="12.75" customHeight="1" x14ac:dyDescent="0.25">
      <c r="A15148" s="318">
        <v>95216530926</v>
      </c>
      <c r="B15148" s="318" t="s">
        <v>23</v>
      </c>
    </row>
    <row r="15149" spans="1:2" ht="12.75" customHeight="1" x14ac:dyDescent="0.25">
      <c r="A15149" s="318">
        <v>95216530927</v>
      </c>
      <c r="B15149" s="318" t="s">
        <v>23</v>
      </c>
    </row>
    <row r="15150" spans="1:2" ht="12.75" customHeight="1" x14ac:dyDescent="0.25">
      <c r="A15150" s="318">
        <v>95216530929</v>
      </c>
      <c r="B15150" s="318" t="s">
        <v>237</v>
      </c>
    </row>
    <row r="15151" spans="1:2" ht="12.75" customHeight="1" x14ac:dyDescent="0.25">
      <c r="A15151" s="318">
        <v>95216530930</v>
      </c>
      <c r="B15151" s="318" t="s">
        <v>237</v>
      </c>
    </row>
    <row r="15152" spans="1:2" ht="12.75" customHeight="1" x14ac:dyDescent="0.25">
      <c r="A15152" s="318">
        <v>95216530931</v>
      </c>
      <c r="B15152" s="318" t="s">
        <v>237</v>
      </c>
    </row>
    <row r="15153" spans="1:2" ht="12.75" customHeight="1" x14ac:dyDescent="0.25">
      <c r="A15153" s="318">
        <v>95216530932</v>
      </c>
      <c r="B15153" s="318" t="s">
        <v>237</v>
      </c>
    </row>
    <row r="15154" spans="1:2" ht="12.75" customHeight="1" x14ac:dyDescent="0.25">
      <c r="A15154" s="318">
        <v>95216530933</v>
      </c>
      <c r="B15154" s="318" t="s">
        <v>237</v>
      </c>
    </row>
    <row r="15155" spans="1:2" ht="12.75" customHeight="1" x14ac:dyDescent="0.25">
      <c r="A15155" s="318">
        <v>95216530934</v>
      </c>
      <c r="B15155" s="318" t="s">
        <v>237</v>
      </c>
    </row>
    <row r="15156" spans="1:2" ht="12.75" customHeight="1" x14ac:dyDescent="0.25">
      <c r="A15156" s="318">
        <v>95216530935</v>
      </c>
      <c r="B15156" s="318" t="s">
        <v>237</v>
      </c>
    </row>
    <row r="15157" spans="1:2" ht="12.75" customHeight="1" x14ac:dyDescent="0.25">
      <c r="A15157" s="318">
        <v>95216530936</v>
      </c>
      <c r="B15157" s="318" t="s">
        <v>237</v>
      </c>
    </row>
    <row r="15158" spans="1:2" ht="12.75" customHeight="1" x14ac:dyDescent="0.25">
      <c r="A15158" s="318">
        <v>95216531020</v>
      </c>
      <c r="B15158" s="318" t="s">
        <v>237</v>
      </c>
    </row>
    <row r="15159" spans="1:2" ht="12.75" customHeight="1" x14ac:dyDescent="0.25">
      <c r="A15159" s="318">
        <v>95216531021</v>
      </c>
      <c r="B15159" s="318" t="s">
        <v>237</v>
      </c>
    </row>
    <row r="15160" spans="1:2" ht="12.75" customHeight="1" x14ac:dyDescent="0.25">
      <c r="A15160" s="318">
        <v>95216531022</v>
      </c>
      <c r="B15160" s="318" t="s">
        <v>237</v>
      </c>
    </row>
    <row r="15161" spans="1:2" ht="12.75" customHeight="1" x14ac:dyDescent="0.25">
      <c r="A15161" s="318">
        <v>95216531023</v>
      </c>
      <c r="B15161" s="318" t="s">
        <v>237</v>
      </c>
    </row>
    <row r="15162" spans="1:2" ht="12.75" customHeight="1" x14ac:dyDescent="0.25">
      <c r="A15162" s="318">
        <v>95216531024</v>
      </c>
      <c r="B15162" s="318" t="s">
        <v>237</v>
      </c>
    </row>
    <row r="15163" spans="1:2" ht="12.75" customHeight="1" x14ac:dyDescent="0.25">
      <c r="A15163" s="318">
        <v>95216531025</v>
      </c>
      <c r="B15163" s="318" t="s">
        <v>237</v>
      </c>
    </row>
    <row r="15164" spans="1:2" ht="12.75" customHeight="1" x14ac:dyDescent="0.25">
      <c r="A15164" s="318">
        <v>95216531026</v>
      </c>
      <c r="B15164" s="318" t="s">
        <v>237</v>
      </c>
    </row>
    <row r="15165" spans="1:2" ht="12.75" customHeight="1" x14ac:dyDescent="0.25">
      <c r="A15165" s="318">
        <v>95216531027</v>
      </c>
      <c r="B15165" s="318" t="s">
        <v>237</v>
      </c>
    </row>
    <row r="15166" spans="1:2" ht="12.75" customHeight="1" x14ac:dyDescent="0.25">
      <c r="A15166" s="318">
        <v>95216531029</v>
      </c>
      <c r="B15166" s="318" t="s">
        <v>237</v>
      </c>
    </row>
    <row r="15167" spans="1:2" ht="12.75" customHeight="1" x14ac:dyDescent="0.25">
      <c r="A15167" s="318">
        <v>95216531030</v>
      </c>
      <c r="B15167" s="318" t="s">
        <v>237</v>
      </c>
    </row>
    <row r="15168" spans="1:2" ht="12.75" customHeight="1" x14ac:dyDescent="0.25">
      <c r="A15168" s="318">
        <v>95216531031</v>
      </c>
      <c r="B15168" s="318" t="s">
        <v>237</v>
      </c>
    </row>
    <row r="15169" spans="1:2" ht="12.75" customHeight="1" x14ac:dyDescent="0.25">
      <c r="A15169" s="318">
        <v>95216531032</v>
      </c>
      <c r="B15169" s="318" t="s">
        <v>237</v>
      </c>
    </row>
    <row r="15170" spans="1:2" ht="12.75" customHeight="1" x14ac:dyDescent="0.25">
      <c r="A15170" s="318">
        <v>95216531033</v>
      </c>
      <c r="B15170" s="318" t="s">
        <v>237</v>
      </c>
    </row>
    <row r="15171" spans="1:2" ht="12.75" customHeight="1" x14ac:dyDescent="0.25">
      <c r="A15171" s="318">
        <v>95216531034</v>
      </c>
      <c r="B15171" s="318" t="s">
        <v>237</v>
      </c>
    </row>
    <row r="15172" spans="1:2" ht="12.75" customHeight="1" x14ac:dyDescent="0.25">
      <c r="A15172" s="318">
        <v>95216531035</v>
      </c>
      <c r="B15172" s="318" t="s">
        <v>237</v>
      </c>
    </row>
    <row r="15173" spans="1:2" ht="12.75" customHeight="1" x14ac:dyDescent="0.25">
      <c r="A15173" s="318">
        <v>95216531036</v>
      </c>
      <c r="B15173" s="318" t="s">
        <v>237</v>
      </c>
    </row>
    <row r="15174" spans="1:2" ht="12.75" customHeight="1" x14ac:dyDescent="0.25">
      <c r="A15174" s="318">
        <v>95217011893</v>
      </c>
      <c r="B15174" s="318" t="s">
        <v>23</v>
      </c>
    </row>
    <row r="15175" spans="1:2" ht="12.75" customHeight="1" x14ac:dyDescent="0.25">
      <c r="A15175" s="318">
        <v>95217011894</v>
      </c>
      <c r="B15175" s="318" t="s">
        <v>23</v>
      </c>
    </row>
    <row r="15176" spans="1:2" ht="12.75" customHeight="1" x14ac:dyDescent="0.25">
      <c r="A15176" s="318">
        <v>95217011895</v>
      </c>
      <c r="B15176" s="318" t="s">
        <v>23</v>
      </c>
    </row>
    <row r="15177" spans="1:2" ht="12.75" customHeight="1" x14ac:dyDescent="0.25">
      <c r="A15177" s="318">
        <v>95217011896</v>
      </c>
      <c r="B15177" s="318" t="s">
        <v>23</v>
      </c>
    </row>
    <row r="15178" spans="1:2" ht="12.75" customHeight="1" x14ac:dyDescent="0.25">
      <c r="A15178" s="318">
        <v>95217011897</v>
      </c>
      <c r="B15178" s="318" t="s">
        <v>23</v>
      </c>
    </row>
    <row r="15179" spans="1:2" ht="12.75" customHeight="1" x14ac:dyDescent="0.25">
      <c r="A15179" s="318">
        <v>95217011898</v>
      </c>
      <c r="B15179" s="318" t="s">
        <v>23</v>
      </c>
    </row>
    <row r="15180" spans="1:2" ht="12.75" customHeight="1" x14ac:dyDescent="0.25">
      <c r="A15180" s="318">
        <v>95217011899</v>
      </c>
      <c r="B15180" s="318" t="s">
        <v>23</v>
      </c>
    </row>
    <row r="15181" spans="1:2" ht="12.75" customHeight="1" x14ac:dyDescent="0.25">
      <c r="A15181" s="318">
        <v>95217011900</v>
      </c>
      <c r="B15181" s="318" t="s">
        <v>23</v>
      </c>
    </row>
    <row r="15182" spans="1:2" ht="12.75" customHeight="1" x14ac:dyDescent="0.25">
      <c r="A15182" s="318">
        <v>95217011902</v>
      </c>
      <c r="B15182" s="318" t="s">
        <v>237</v>
      </c>
    </row>
    <row r="15183" spans="1:2" ht="12.75" customHeight="1" x14ac:dyDescent="0.25">
      <c r="A15183" s="318">
        <v>95217011903</v>
      </c>
      <c r="B15183" s="318" t="s">
        <v>237</v>
      </c>
    </row>
    <row r="15184" spans="1:2" ht="12.75" customHeight="1" x14ac:dyDescent="0.25">
      <c r="A15184" s="318">
        <v>95217011904</v>
      </c>
      <c r="B15184" s="318" t="s">
        <v>237</v>
      </c>
    </row>
    <row r="15185" spans="1:2" ht="12.75" customHeight="1" x14ac:dyDescent="0.25">
      <c r="A15185" s="318">
        <v>95217011905</v>
      </c>
      <c r="B15185" s="318" t="s">
        <v>237</v>
      </c>
    </row>
    <row r="15186" spans="1:2" ht="12.75" customHeight="1" x14ac:dyDescent="0.25">
      <c r="A15186" s="318">
        <v>95217011906</v>
      </c>
      <c r="B15186" s="318" t="s">
        <v>237</v>
      </c>
    </row>
    <row r="15187" spans="1:2" ht="12.75" customHeight="1" x14ac:dyDescent="0.25">
      <c r="A15187" s="318">
        <v>95217011907</v>
      </c>
      <c r="B15187" s="318" t="s">
        <v>237</v>
      </c>
    </row>
    <row r="15188" spans="1:2" ht="12.75" customHeight="1" x14ac:dyDescent="0.25">
      <c r="A15188" s="318">
        <v>95217011908</v>
      </c>
      <c r="B15188" s="318" t="s">
        <v>237</v>
      </c>
    </row>
    <row r="15189" spans="1:2" ht="12.75" customHeight="1" x14ac:dyDescent="0.25">
      <c r="A15189" s="318">
        <v>95217011909</v>
      </c>
      <c r="B15189" s="318" t="s">
        <v>237</v>
      </c>
    </row>
    <row r="15190" spans="1:2" ht="12.75" customHeight="1" x14ac:dyDescent="0.25">
      <c r="A15190" s="318">
        <v>95217011993</v>
      </c>
      <c r="B15190" s="318" t="s">
        <v>237</v>
      </c>
    </row>
    <row r="15191" spans="1:2" ht="12.75" customHeight="1" x14ac:dyDescent="0.25">
      <c r="A15191" s="318">
        <v>95217011994</v>
      </c>
      <c r="B15191" s="318" t="s">
        <v>237</v>
      </c>
    </row>
    <row r="15192" spans="1:2" ht="12.75" customHeight="1" x14ac:dyDescent="0.25">
      <c r="A15192" s="318">
        <v>95217011995</v>
      </c>
      <c r="B15192" s="318" t="s">
        <v>237</v>
      </c>
    </row>
    <row r="15193" spans="1:2" ht="12.75" customHeight="1" x14ac:dyDescent="0.25">
      <c r="A15193" s="318">
        <v>95217011996</v>
      </c>
      <c r="B15193" s="318" t="s">
        <v>237</v>
      </c>
    </row>
    <row r="15194" spans="1:2" ht="12.75" customHeight="1" x14ac:dyDescent="0.25">
      <c r="A15194" s="318">
        <v>95217011997</v>
      </c>
      <c r="B15194" s="318" t="s">
        <v>237</v>
      </c>
    </row>
    <row r="15195" spans="1:2" ht="12.75" customHeight="1" x14ac:dyDescent="0.25">
      <c r="A15195" s="318">
        <v>95217011998</v>
      </c>
      <c r="B15195" s="318" t="s">
        <v>237</v>
      </c>
    </row>
    <row r="15196" spans="1:2" ht="12.75" customHeight="1" x14ac:dyDescent="0.25">
      <c r="A15196" s="318">
        <v>95217011999</v>
      </c>
      <c r="B15196" s="318" t="s">
        <v>237</v>
      </c>
    </row>
    <row r="15197" spans="1:2" ht="12.75" customHeight="1" x14ac:dyDescent="0.25">
      <c r="A15197" s="318">
        <v>95217012000</v>
      </c>
      <c r="B15197" s="318" t="s">
        <v>237</v>
      </c>
    </row>
    <row r="15198" spans="1:2" ht="12.75" customHeight="1" x14ac:dyDescent="0.25">
      <c r="A15198" s="318">
        <v>95217012002</v>
      </c>
      <c r="B15198" s="318" t="s">
        <v>237</v>
      </c>
    </row>
    <row r="15199" spans="1:2" ht="12.75" customHeight="1" x14ac:dyDescent="0.25">
      <c r="A15199" s="318">
        <v>95217012003</v>
      </c>
      <c r="B15199" s="318" t="s">
        <v>237</v>
      </c>
    </row>
    <row r="15200" spans="1:2" ht="12.75" customHeight="1" x14ac:dyDescent="0.25">
      <c r="A15200" s="318">
        <v>95217012004</v>
      </c>
      <c r="B15200" s="318" t="s">
        <v>237</v>
      </c>
    </row>
    <row r="15201" spans="1:2" ht="12.75" customHeight="1" x14ac:dyDescent="0.25">
      <c r="A15201" s="318">
        <v>95217012005</v>
      </c>
      <c r="B15201" s="318" t="s">
        <v>237</v>
      </c>
    </row>
    <row r="15202" spans="1:2" ht="12.75" customHeight="1" x14ac:dyDescent="0.25">
      <c r="A15202" s="318">
        <v>95217012006</v>
      </c>
      <c r="B15202" s="318" t="s">
        <v>237</v>
      </c>
    </row>
    <row r="15203" spans="1:2" ht="12.75" customHeight="1" x14ac:dyDescent="0.25">
      <c r="A15203" s="318">
        <v>95217012007</v>
      </c>
      <c r="B15203" s="318" t="s">
        <v>237</v>
      </c>
    </row>
    <row r="15204" spans="1:2" ht="12.75" customHeight="1" x14ac:dyDescent="0.25">
      <c r="A15204" s="318">
        <v>95217012008</v>
      </c>
      <c r="B15204" s="318" t="s">
        <v>237</v>
      </c>
    </row>
    <row r="15205" spans="1:2" ht="12.75" customHeight="1" x14ac:dyDescent="0.25">
      <c r="A15205" s="318">
        <v>95217012009</v>
      </c>
      <c r="B15205" s="318" t="s">
        <v>237</v>
      </c>
    </row>
    <row r="15206" spans="1:2" ht="12.75" customHeight="1" x14ac:dyDescent="0.25">
      <c r="A15206" s="318">
        <v>95217492866</v>
      </c>
      <c r="B15206" s="318" t="s">
        <v>23</v>
      </c>
    </row>
    <row r="15207" spans="1:2" ht="12.75" customHeight="1" x14ac:dyDescent="0.25">
      <c r="A15207" s="318">
        <v>95217492867</v>
      </c>
      <c r="B15207" s="318" t="s">
        <v>23</v>
      </c>
    </row>
    <row r="15208" spans="1:2" ht="12.75" customHeight="1" x14ac:dyDescent="0.25">
      <c r="A15208" s="318">
        <v>95217492868</v>
      </c>
      <c r="B15208" s="318" t="s">
        <v>23</v>
      </c>
    </row>
    <row r="15209" spans="1:2" ht="12.75" customHeight="1" x14ac:dyDescent="0.25">
      <c r="A15209" s="318">
        <v>95217492869</v>
      </c>
      <c r="B15209" s="318" t="s">
        <v>23</v>
      </c>
    </row>
    <row r="15210" spans="1:2" ht="12.75" customHeight="1" x14ac:dyDescent="0.25">
      <c r="A15210" s="318">
        <v>95217492870</v>
      </c>
      <c r="B15210" s="318" t="s">
        <v>23</v>
      </c>
    </row>
    <row r="15211" spans="1:2" ht="12.75" customHeight="1" x14ac:dyDescent="0.25">
      <c r="A15211" s="318">
        <v>95217492871</v>
      </c>
      <c r="B15211" s="318" t="s">
        <v>23</v>
      </c>
    </row>
    <row r="15212" spans="1:2" ht="12.75" customHeight="1" x14ac:dyDescent="0.25">
      <c r="A15212" s="318">
        <v>95217492872</v>
      </c>
      <c r="B15212" s="318" t="s">
        <v>23</v>
      </c>
    </row>
    <row r="15213" spans="1:2" ht="12.75" customHeight="1" x14ac:dyDescent="0.25">
      <c r="A15213" s="318">
        <v>95217492873</v>
      </c>
      <c r="B15213" s="318" t="s">
        <v>23</v>
      </c>
    </row>
    <row r="15214" spans="1:2" ht="12.75" customHeight="1" x14ac:dyDescent="0.25">
      <c r="A15214" s="318">
        <v>95217492875</v>
      </c>
      <c r="B15214" s="318" t="s">
        <v>23</v>
      </c>
    </row>
    <row r="15215" spans="1:2" ht="12.75" customHeight="1" x14ac:dyDescent="0.25">
      <c r="A15215" s="318">
        <v>95217492876</v>
      </c>
      <c r="B15215" s="318" t="s">
        <v>23</v>
      </c>
    </row>
    <row r="15216" spans="1:2" ht="12.75" customHeight="1" x14ac:dyDescent="0.25">
      <c r="A15216" s="318">
        <v>95217492877</v>
      </c>
      <c r="B15216" s="318" t="s">
        <v>23</v>
      </c>
    </row>
    <row r="15217" spans="1:2" ht="12.75" customHeight="1" x14ac:dyDescent="0.25">
      <c r="A15217" s="318">
        <v>95217492878</v>
      </c>
      <c r="B15217" s="318" t="s">
        <v>23</v>
      </c>
    </row>
    <row r="15218" spans="1:2" ht="12.75" customHeight="1" x14ac:dyDescent="0.25">
      <c r="A15218" s="318">
        <v>95217492879</v>
      </c>
      <c r="B15218" s="318" t="s">
        <v>23</v>
      </c>
    </row>
    <row r="15219" spans="1:2" ht="12.75" customHeight="1" x14ac:dyDescent="0.25">
      <c r="A15219" s="318">
        <v>95217492880</v>
      </c>
      <c r="B15219" s="318" t="s">
        <v>23</v>
      </c>
    </row>
    <row r="15220" spans="1:2" ht="12.75" customHeight="1" x14ac:dyDescent="0.25">
      <c r="A15220" s="318">
        <v>95217492881</v>
      </c>
      <c r="B15220" s="318" t="s">
        <v>23</v>
      </c>
    </row>
    <row r="15221" spans="1:2" ht="12.75" customHeight="1" x14ac:dyDescent="0.25">
      <c r="A15221" s="318">
        <v>95217492882</v>
      </c>
      <c r="B15221" s="318" t="s">
        <v>23</v>
      </c>
    </row>
    <row r="15222" spans="1:2" ht="12.75" customHeight="1" x14ac:dyDescent="0.25">
      <c r="A15222" s="318">
        <v>95217492966</v>
      </c>
      <c r="B15222" s="318" t="s">
        <v>237</v>
      </c>
    </row>
    <row r="15223" spans="1:2" ht="12.75" customHeight="1" x14ac:dyDescent="0.25">
      <c r="A15223" s="318">
        <v>95217492967</v>
      </c>
      <c r="B15223" s="318" t="s">
        <v>237</v>
      </c>
    </row>
    <row r="15224" spans="1:2" ht="12.75" customHeight="1" x14ac:dyDescent="0.25">
      <c r="A15224" s="318">
        <v>95217492968</v>
      </c>
      <c r="B15224" s="318" t="s">
        <v>237</v>
      </c>
    </row>
    <row r="15225" spans="1:2" ht="12.75" customHeight="1" x14ac:dyDescent="0.25">
      <c r="A15225" s="318">
        <v>95217492969</v>
      </c>
      <c r="B15225" s="318" t="s">
        <v>237</v>
      </c>
    </row>
    <row r="15226" spans="1:2" ht="12.75" customHeight="1" x14ac:dyDescent="0.25">
      <c r="A15226" s="318">
        <v>95217492970</v>
      </c>
      <c r="B15226" s="318" t="s">
        <v>237</v>
      </c>
    </row>
    <row r="15227" spans="1:2" ht="12.75" customHeight="1" x14ac:dyDescent="0.25">
      <c r="A15227" s="318">
        <v>95217492971</v>
      </c>
      <c r="B15227" s="318" t="s">
        <v>237</v>
      </c>
    </row>
    <row r="15228" spans="1:2" ht="12.75" customHeight="1" x14ac:dyDescent="0.25">
      <c r="A15228" s="318">
        <v>95217492972</v>
      </c>
      <c r="B15228" s="318" t="s">
        <v>237</v>
      </c>
    </row>
    <row r="15229" spans="1:2" ht="12.75" customHeight="1" x14ac:dyDescent="0.25">
      <c r="A15229" s="318">
        <v>95217492973</v>
      </c>
      <c r="B15229" s="318" t="s">
        <v>237</v>
      </c>
    </row>
    <row r="15230" spans="1:2" ht="12.75" customHeight="1" x14ac:dyDescent="0.25">
      <c r="A15230" s="318">
        <v>95217492975</v>
      </c>
      <c r="B15230" s="318" t="s">
        <v>237</v>
      </c>
    </row>
    <row r="15231" spans="1:2" ht="12.75" customHeight="1" x14ac:dyDescent="0.25">
      <c r="A15231" s="318">
        <v>95217492976</v>
      </c>
      <c r="B15231" s="318" t="s">
        <v>237</v>
      </c>
    </row>
    <row r="15232" spans="1:2" ht="12.75" customHeight="1" x14ac:dyDescent="0.25">
      <c r="A15232" s="318">
        <v>95217492977</v>
      </c>
      <c r="B15232" s="318" t="s">
        <v>237</v>
      </c>
    </row>
    <row r="15233" spans="1:2" ht="12.75" customHeight="1" x14ac:dyDescent="0.25">
      <c r="A15233" s="318">
        <v>95217492978</v>
      </c>
      <c r="B15233" s="318" t="s">
        <v>237</v>
      </c>
    </row>
    <row r="15234" spans="1:2" ht="12.75" customHeight="1" x14ac:dyDescent="0.25">
      <c r="A15234" s="318">
        <v>95217492979</v>
      </c>
      <c r="B15234" s="318" t="s">
        <v>237</v>
      </c>
    </row>
    <row r="15235" spans="1:2" ht="12.75" customHeight="1" x14ac:dyDescent="0.25">
      <c r="A15235" s="318">
        <v>95217492980</v>
      </c>
      <c r="B15235" s="318" t="s">
        <v>237</v>
      </c>
    </row>
    <row r="15236" spans="1:2" ht="12.75" customHeight="1" x14ac:dyDescent="0.25">
      <c r="A15236" s="318">
        <v>95217492981</v>
      </c>
      <c r="B15236" s="318" t="s">
        <v>237</v>
      </c>
    </row>
    <row r="15237" spans="1:2" ht="12.75" customHeight="1" x14ac:dyDescent="0.25">
      <c r="A15237" s="318">
        <v>95217492982</v>
      </c>
      <c r="B15237" s="318" t="s">
        <v>237</v>
      </c>
    </row>
    <row r="15238" spans="1:2" ht="12.75" customHeight="1" x14ac:dyDescent="0.25">
      <c r="A15238" s="318">
        <v>95218173057</v>
      </c>
      <c r="B15238" s="318" t="s">
        <v>23</v>
      </c>
    </row>
    <row r="15239" spans="1:2" ht="12.75" customHeight="1" x14ac:dyDescent="0.25">
      <c r="A15239" s="318">
        <v>95218173058</v>
      </c>
      <c r="B15239" s="318" t="s">
        <v>23</v>
      </c>
    </row>
    <row r="15240" spans="1:2" ht="12.75" customHeight="1" x14ac:dyDescent="0.25">
      <c r="A15240" s="318">
        <v>95218173059</v>
      </c>
      <c r="B15240" s="318" t="s">
        <v>23</v>
      </c>
    </row>
    <row r="15241" spans="1:2" ht="12.75" customHeight="1" x14ac:dyDescent="0.25">
      <c r="A15241" s="318">
        <v>95218173060</v>
      </c>
      <c r="B15241" s="318" t="s">
        <v>23</v>
      </c>
    </row>
    <row r="15242" spans="1:2" ht="12.75" customHeight="1" x14ac:dyDescent="0.25">
      <c r="A15242" s="318">
        <v>95218173061</v>
      </c>
      <c r="B15242" s="318" t="s">
        <v>23</v>
      </c>
    </row>
    <row r="15243" spans="1:2" ht="12.75" customHeight="1" x14ac:dyDescent="0.25">
      <c r="A15243" s="318">
        <v>95218173062</v>
      </c>
      <c r="B15243" s="318" t="s">
        <v>23</v>
      </c>
    </row>
    <row r="15244" spans="1:2" ht="12.75" customHeight="1" x14ac:dyDescent="0.25">
      <c r="A15244" s="318">
        <v>95218173063</v>
      </c>
      <c r="B15244" s="318" t="s">
        <v>23</v>
      </c>
    </row>
    <row r="15245" spans="1:2" ht="12.75" customHeight="1" x14ac:dyDescent="0.25">
      <c r="A15245" s="318">
        <v>95218173064</v>
      </c>
      <c r="B15245" s="318" t="s">
        <v>23</v>
      </c>
    </row>
    <row r="15246" spans="1:2" ht="12.75" customHeight="1" x14ac:dyDescent="0.25">
      <c r="A15246" s="318">
        <v>95218173066</v>
      </c>
      <c r="B15246" s="318" t="s">
        <v>237</v>
      </c>
    </row>
    <row r="15247" spans="1:2" ht="12.75" customHeight="1" x14ac:dyDescent="0.25">
      <c r="A15247" s="318">
        <v>95218173067</v>
      </c>
      <c r="B15247" s="318" t="s">
        <v>237</v>
      </c>
    </row>
    <row r="15248" spans="1:2" ht="12.75" customHeight="1" x14ac:dyDescent="0.25">
      <c r="A15248" s="318">
        <v>95218173068</v>
      </c>
      <c r="B15248" s="318" t="s">
        <v>237</v>
      </c>
    </row>
    <row r="15249" spans="1:2" ht="12.75" customHeight="1" x14ac:dyDescent="0.25">
      <c r="A15249" s="318">
        <v>95218173069</v>
      </c>
      <c r="B15249" s="318" t="s">
        <v>237</v>
      </c>
    </row>
    <row r="15250" spans="1:2" ht="12.75" customHeight="1" x14ac:dyDescent="0.25">
      <c r="A15250" s="318">
        <v>95218173070</v>
      </c>
      <c r="B15250" s="318" t="s">
        <v>237</v>
      </c>
    </row>
    <row r="15251" spans="1:2" ht="12.75" customHeight="1" x14ac:dyDescent="0.25">
      <c r="A15251" s="318">
        <v>95218173071</v>
      </c>
      <c r="B15251" s="318" t="s">
        <v>237</v>
      </c>
    </row>
    <row r="15252" spans="1:2" ht="12.75" customHeight="1" x14ac:dyDescent="0.25">
      <c r="A15252" s="318">
        <v>95218173072</v>
      </c>
      <c r="B15252" s="318" t="s">
        <v>237</v>
      </c>
    </row>
    <row r="15253" spans="1:2" ht="12.75" customHeight="1" x14ac:dyDescent="0.25">
      <c r="A15253" s="318">
        <v>95218173073</v>
      </c>
      <c r="B15253" s="318" t="s">
        <v>237</v>
      </c>
    </row>
    <row r="15254" spans="1:2" ht="12.75" customHeight="1" x14ac:dyDescent="0.25">
      <c r="A15254" s="318">
        <v>95218173157</v>
      </c>
      <c r="B15254" s="318" t="s">
        <v>237</v>
      </c>
    </row>
    <row r="15255" spans="1:2" ht="12.75" customHeight="1" x14ac:dyDescent="0.25">
      <c r="A15255" s="318">
        <v>95218173158</v>
      </c>
      <c r="B15255" s="318" t="s">
        <v>237</v>
      </c>
    </row>
    <row r="15256" spans="1:2" ht="12.75" customHeight="1" x14ac:dyDescent="0.25">
      <c r="A15256" s="318">
        <v>95218173159</v>
      </c>
      <c r="B15256" s="318" t="s">
        <v>237</v>
      </c>
    </row>
    <row r="15257" spans="1:2" ht="12.75" customHeight="1" x14ac:dyDescent="0.25">
      <c r="A15257" s="318">
        <v>95218173160</v>
      </c>
      <c r="B15257" s="318" t="s">
        <v>237</v>
      </c>
    </row>
    <row r="15258" spans="1:2" ht="12.75" customHeight="1" x14ac:dyDescent="0.25">
      <c r="A15258" s="318">
        <v>95218173161</v>
      </c>
      <c r="B15258" s="318" t="s">
        <v>237</v>
      </c>
    </row>
    <row r="15259" spans="1:2" ht="12.75" customHeight="1" x14ac:dyDescent="0.25">
      <c r="A15259" s="318">
        <v>95218173162</v>
      </c>
      <c r="B15259" s="318" t="s">
        <v>237</v>
      </c>
    </row>
    <row r="15260" spans="1:2" ht="12.75" customHeight="1" x14ac:dyDescent="0.25">
      <c r="A15260" s="318">
        <v>95218173163</v>
      </c>
      <c r="B15260" s="318" t="s">
        <v>237</v>
      </c>
    </row>
    <row r="15261" spans="1:2" ht="12.75" customHeight="1" x14ac:dyDescent="0.25">
      <c r="A15261" s="318">
        <v>95218173164</v>
      </c>
      <c r="B15261" s="318" t="s">
        <v>237</v>
      </c>
    </row>
    <row r="15262" spans="1:2" ht="12.75" customHeight="1" x14ac:dyDescent="0.25">
      <c r="A15262" s="318">
        <v>95218173166</v>
      </c>
      <c r="B15262" s="318" t="s">
        <v>237</v>
      </c>
    </row>
    <row r="15263" spans="1:2" ht="12.75" customHeight="1" x14ac:dyDescent="0.25">
      <c r="A15263" s="318">
        <v>95218173167</v>
      </c>
      <c r="B15263" s="318" t="s">
        <v>237</v>
      </c>
    </row>
    <row r="15264" spans="1:2" ht="12.75" customHeight="1" x14ac:dyDescent="0.25">
      <c r="A15264" s="318">
        <v>95218173168</v>
      </c>
      <c r="B15264" s="318" t="s">
        <v>237</v>
      </c>
    </row>
    <row r="15265" spans="1:2" ht="12.75" customHeight="1" x14ac:dyDescent="0.25">
      <c r="A15265" s="318">
        <v>95218173169</v>
      </c>
      <c r="B15265" s="318" t="s">
        <v>237</v>
      </c>
    </row>
    <row r="15266" spans="1:2" ht="12.75" customHeight="1" x14ac:dyDescent="0.25">
      <c r="A15266" s="318">
        <v>95218173170</v>
      </c>
      <c r="B15266" s="318" t="s">
        <v>237</v>
      </c>
    </row>
    <row r="15267" spans="1:2" ht="12.75" customHeight="1" x14ac:dyDescent="0.25">
      <c r="A15267" s="318">
        <v>95218173171</v>
      </c>
      <c r="B15267" s="318" t="s">
        <v>237</v>
      </c>
    </row>
    <row r="15268" spans="1:2" ht="12.75" customHeight="1" x14ac:dyDescent="0.25">
      <c r="A15268" s="318">
        <v>95218173172</v>
      </c>
      <c r="B15268" s="318" t="s">
        <v>237</v>
      </c>
    </row>
    <row r="15269" spans="1:2" ht="12.75" customHeight="1" x14ac:dyDescent="0.25">
      <c r="A15269" s="318">
        <v>95218173173</v>
      </c>
      <c r="B15269" s="318" t="s">
        <v>237</v>
      </c>
    </row>
    <row r="15270" spans="1:2" ht="12.75" customHeight="1" x14ac:dyDescent="0.25">
      <c r="A15270" s="318">
        <v>95218654030</v>
      </c>
      <c r="B15270" s="318" t="s">
        <v>23</v>
      </c>
    </row>
    <row r="15271" spans="1:2" ht="12.75" customHeight="1" x14ac:dyDescent="0.25">
      <c r="A15271" s="318">
        <v>95218654031</v>
      </c>
      <c r="B15271" s="318" t="s">
        <v>23</v>
      </c>
    </row>
    <row r="15272" spans="1:2" ht="12.75" customHeight="1" x14ac:dyDescent="0.25">
      <c r="A15272" s="318">
        <v>95218654032</v>
      </c>
      <c r="B15272" s="318" t="s">
        <v>23</v>
      </c>
    </row>
    <row r="15273" spans="1:2" ht="12.75" customHeight="1" x14ac:dyDescent="0.25">
      <c r="A15273" s="318">
        <v>95218654033</v>
      </c>
      <c r="B15273" s="318" t="s">
        <v>23</v>
      </c>
    </row>
    <row r="15274" spans="1:2" ht="12.75" customHeight="1" x14ac:dyDescent="0.25">
      <c r="A15274" s="318">
        <v>95218654034</v>
      </c>
      <c r="B15274" s="318" t="s">
        <v>23</v>
      </c>
    </row>
    <row r="15275" spans="1:2" ht="12.75" customHeight="1" x14ac:dyDescent="0.25">
      <c r="A15275" s="318">
        <v>95218654035</v>
      </c>
      <c r="B15275" s="318" t="s">
        <v>23</v>
      </c>
    </row>
    <row r="15276" spans="1:2" ht="12.75" customHeight="1" x14ac:dyDescent="0.25">
      <c r="A15276" s="318">
        <v>95218654036</v>
      </c>
      <c r="B15276" s="318" t="s">
        <v>23</v>
      </c>
    </row>
    <row r="15277" spans="1:2" ht="12.75" customHeight="1" x14ac:dyDescent="0.25">
      <c r="A15277" s="318">
        <v>95218654037</v>
      </c>
      <c r="B15277" s="318" t="s">
        <v>23</v>
      </c>
    </row>
    <row r="15278" spans="1:2" ht="12.75" customHeight="1" x14ac:dyDescent="0.25">
      <c r="A15278" s="318">
        <v>95218654039</v>
      </c>
      <c r="B15278" s="318" t="s">
        <v>237</v>
      </c>
    </row>
    <row r="15279" spans="1:2" ht="12.75" customHeight="1" x14ac:dyDescent="0.25">
      <c r="A15279" s="318">
        <v>95218654040</v>
      </c>
      <c r="B15279" s="318" t="s">
        <v>237</v>
      </c>
    </row>
    <row r="15280" spans="1:2" ht="12.75" customHeight="1" x14ac:dyDescent="0.25">
      <c r="A15280" s="318">
        <v>95218654041</v>
      </c>
      <c r="B15280" s="318" t="s">
        <v>237</v>
      </c>
    </row>
    <row r="15281" spans="1:2" ht="12.75" customHeight="1" x14ac:dyDescent="0.25">
      <c r="A15281" s="318">
        <v>95218654042</v>
      </c>
      <c r="B15281" s="318" t="s">
        <v>237</v>
      </c>
    </row>
    <row r="15282" spans="1:2" ht="12.75" customHeight="1" x14ac:dyDescent="0.25">
      <c r="A15282" s="318">
        <v>95218654043</v>
      </c>
      <c r="B15282" s="318" t="s">
        <v>237</v>
      </c>
    </row>
    <row r="15283" spans="1:2" ht="12.75" customHeight="1" x14ac:dyDescent="0.25">
      <c r="A15283" s="318">
        <v>95218654044</v>
      </c>
      <c r="B15283" s="318" t="s">
        <v>237</v>
      </c>
    </row>
    <row r="15284" spans="1:2" ht="12.75" customHeight="1" x14ac:dyDescent="0.25">
      <c r="A15284" s="318">
        <v>95218654045</v>
      </c>
      <c r="B15284" s="318" t="s">
        <v>237</v>
      </c>
    </row>
    <row r="15285" spans="1:2" ht="12.75" customHeight="1" x14ac:dyDescent="0.25">
      <c r="A15285" s="318">
        <v>95218654046</v>
      </c>
      <c r="B15285" s="318" t="s">
        <v>237</v>
      </c>
    </row>
    <row r="15286" spans="1:2" ht="12.75" customHeight="1" x14ac:dyDescent="0.25">
      <c r="A15286" s="318">
        <v>95218654130</v>
      </c>
      <c r="B15286" s="318" t="s">
        <v>237</v>
      </c>
    </row>
    <row r="15287" spans="1:2" ht="12.75" customHeight="1" x14ac:dyDescent="0.25">
      <c r="A15287" s="318">
        <v>95218654131</v>
      </c>
      <c r="B15287" s="318" t="s">
        <v>237</v>
      </c>
    </row>
    <row r="15288" spans="1:2" ht="12.75" customHeight="1" x14ac:dyDescent="0.25">
      <c r="A15288" s="318">
        <v>95218654132</v>
      </c>
      <c r="B15288" s="318" t="s">
        <v>237</v>
      </c>
    </row>
    <row r="15289" spans="1:2" ht="12.75" customHeight="1" x14ac:dyDescent="0.25">
      <c r="A15289" s="318">
        <v>95218654133</v>
      </c>
      <c r="B15289" s="318" t="s">
        <v>237</v>
      </c>
    </row>
    <row r="15290" spans="1:2" ht="12.75" customHeight="1" x14ac:dyDescent="0.25">
      <c r="A15290" s="318">
        <v>95218654134</v>
      </c>
      <c r="B15290" s="318" t="s">
        <v>237</v>
      </c>
    </row>
    <row r="15291" spans="1:2" ht="12.75" customHeight="1" x14ac:dyDescent="0.25">
      <c r="A15291" s="318">
        <v>95218654135</v>
      </c>
      <c r="B15291" s="318" t="s">
        <v>237</v>
      </c>
    </row>
    <row r="15292" spans="1:2" ht="12.75" customHeight="1" x14ac:dyDescent="0.25">
      <c r="A15292" s="318">
        <v>95218654136</v>
      </c>
      <c r="B15292" s="318" t="s">
        <v>237</v>
      </c>
    </row>
    <row r="15293" spans="1:2" ht="12.75" customHeight="1" x14ac:dyDescent="0.25">
      <c r="A15293" s="318">
        <v>95218654137</v>
      </c>
      <c r="B15293" s="318" t="s">
        <v>237</v>
      </c>
    </row>
    <row r="15294" spans="1:2" ht="12.75" customHeight="1" x14ac:dyDescent="0.25">
      <c r="A15294" s="318">
        <v>95218654139</v>
      </c>
      <c r="B15294" s="318" t="s">
        <v>237</v>
      </c>
    </row>
    <row r="15295" spans="1:2" ht="12.75" customHeight="1" x14ac:dyDescent="0.25">
      <c r="A15295" s="318">
        <v>95218654140</v>
      </c>
      <c r="B15295" s="318" t="s">
        <v>237</v>
      </c>
    </row>
    <row r="15296" spans="1:2" ht="12.75" customHeight="1" x14ac:dyDescent="0.25">
      <c r="A15296" s="318">
        <v>95218654141</v>
      </c>
      <c r="B15296" s="318" t="s">
        <v>237</v>
      </c>
    </row>
    <row r="15297" spans="1:2" ht="12.75" customHeight="1" x14ac:dyDescent="0.25">
      <c r="A15297" s="318">
        <v>95218654142</v>
      </c>
      <c r="B15297" s="318" t="s">
        <v>237</v>
      </c>
    </row>
    <row r="15298" spans="1:2" ht="12.75" customHeight="1" x14ac:dyDescent="0.25">
      <c r="A15298" s="318">
        <v>95218654143</v>
      </c>
      <c r="B15298" s="318" t="s">
        <v>237</v>
      </c>
    </row>
    <row r="15299" spans="1:2" ht="12.75" customHeight="1" x14ac:dyDescent="0.25">
      <c r="A15299" s="318">
        <v>95218654144</v>
      </c>
      <c r="B15299" s="318" t="s">
        <v>237</v>
      </c>
    </row>
    <row r="15300" spans="1:2" ht="12.75" customHeight="1" x14ac:dyDescent="0.25">
      <c r="A15300" s="318">
        <v>95218654145</v>
      </c>
      <c r="B15300" s="318" t="s">
        <v>237</v>
      </c>
    </row>
    <row r="15301" spans="1:2" ht="12.75" customHeight="1" x14ac:dyDescent="0.25">
      <c r="A15301" s="318">
        <v>95218654146</v>
      </c>
      <c r="B15301" s="318" t="s">
        <v>237</v>
      </c>
    </row>
    <row r="15302" spans="1:2" ht="12.75" customHeight="1" x14ac:dyDescent="0.25">
      <c r="A15302" s="318">
        <v>95219135003</v>
      </c>
      <c r="B15302" s="318" t="s">
        <v>23</v>
      </c>
    </row>
    <row r="15303" spans="1:2" ht="12.75" customHeight="1" x14ac:dyDescent="0.25">
      <c r="A15303" s="318">
        <v>95219135004</v>
      </c>
      <c r="B15303" s="318" t="s">
        <v>23</v>
      </c>
    </row>
    <row r="15304" spans="1:2" ht="12.75" customHeight="1" x14ac:dyDescent="0.25">
      <c r="A15304" s="318">
        <v>95219135005</v>
      </c>
      <c r="B15304" s="318" t="s">
        <v>23</v>
      </c>
    </row>
    <row r="15305" spans="1:2" ht="12.75" customHeight="1" x14ac:dyDescent="0.25">
      <c r="A15305" s="318">
        <v>95219135006</v>
      </c>
      <c r="B15305" s="318" t="s">
        <v>23</v>
      </c>
    </row>
    <row r="15306" spans="1:2" ht="12.75" customHeight="1" x14ac:dyDescent="0.25">
      <c r="A15306" s="318">
        <v>95219135007</v>
      </c>
      <c r="B15306" s="318" t="s">
        <v>23</v>
      </c>
    </row>
    <row r="15307" spans="1:2" ht="12.75" customHeight="1" x14ac:dyDescent="0.25">
      <c r="A15307" s="318">
        <v>95219135008</v>
      </c>
      <c r="B15307" s="318" t="s">
        <v>23</v>
      </c>
    </row>
    <row r="15308" spans="1:2" ht="12.75" customHeight="1" x14ac:dyDescent="0.25">
      <c r="A15308" s="318">
        <v>95219135009</v>
      </c>
      <c r="B15308" s="318" t="s">
        <v>23</v>
      </c>
    </row>
    <row r="15309" spans="1:2" ht="12.75" customHeight="1" x14ac:dyDescent="0.25">
      <c r="A15309" s="318">
        <v>95219135010</v>
      </c>
      <c r="B15309" s="318" t="s">
        <v>23</v>
      </c>
    </row>
    <row r="15310" spans="1:2" ht="12.75" customHeight="1" x14ac:dyDescent="0.25">
      <c r="A15310" s="318">
        <v>95219135012</v>
      </c>
      <c r="B15310" s="318" t="s">
        <v>23</v>
      </c>
    </row>
    <row r="15311" spans="1:2" ht="12.75" customHeight="1" x14ac:dyDescent="0.25">
      <c r="A15311" s="318">
        <v>95219135013</v>
      </c>
      <c r="B15311" s="318" t="s">
        <v>23</v>
      </c>
    </row>
    <row r="15312" spans="1:2" ht="12.75" customHeight="1" x14ac:dyDescent="0.25">
      <c r="A15312" s="318">
        <v>95219135014</v>
      </c>
      <c r="B15312" s="318" t="s">
        <v>23</v>
      </c>
    </row>
    <row r="15313" spans="1:2" ht="12.75" customHeight="1" x14ac:dyDescent="0.25">
      <c r="A15313" s="318">
        <v>95219135015</v>
      </c>
      <c r="B15313" s="318" t="s">
        <v>23</v>
      </c>
    </row>
    <row r="15314" spans="1:2" ht="12.75" customHeight="1" x14ac:dyDescent="0.25">
      <c r="A15314" s="318">
        <v>95219135016</v>
      </c>
      <c r="B15314" s="318" t="s">
        <v>23</v>
      </c>
    </row>
    <row r="15315" spans="1:2" ht="12.75" customHeight="1" x14ac:dyDescent="0.25">
      <c r="A15315" s="318">
        <v>95219135017</v>
      </c>
      <c r="B15315" s="318" t="s">
        <v>23</v>
      </c>
    </row>
    <row r="15316" spans="1:2" ht="12.75" customHeight="1" x14ac:dyDescent="0.25">
      <c r="A15316" s="318">
        <v>95219135018</v>
      </c>
      <c r="B15316" s="318" t="s">
        <v>23</v>
      </c>
    </row>
    <row r="15317" spans="1:2" ht="12.75" customHeight="1" x14ac:dyDescent="0.25">
      <c r="A15317" s="318">
        <v>95219135019</v>
      </c>
      <c r="B15317" s="318" t="s">
        <v>23</v>
      </c>
    </row>
    <row r="15318" spans="1:2" ht="12.75" customHeight="1" x14ac:dyDescent="0.25">
      <c r="A15318" s="318">
        <v>95219135103</v>
      </c>
      <c r="B15318" s="318" t="s">
        <v>237</v>
      </c>
    </row>
    <row r="15319" spans="1:2" ht="12.75" customHeight="1" x14ac:dyDescent="0.25">
      <c r="A15319" s="318">
        <v>95219135104</v>
      </c>
      <c r="B15319" s="318" t="s">
        <v>237</v>
      </c>
    </row>
    <row r="15320" spans="1:2" ht="12.75" customHeight="1" x14ac:dyDescent="0.25">
      <c r="A15320" s="318">
        <v>95219135105</v>
      </c>
      <c r="B15320" s="318" t="s">
        <v>237</v>
      </c>
    </row>
    <row r="15321" spans="1:2" ht="12.75" customHeight="1" x14ac:dyDescent="0.25">
      <c r="A15321" s="318">
        <v>95219135106</v>
      </c>
      <c r="B15321" s="318" t="s">
        <v>237</v>
      </c>
    </row>
    <row r="15322" spans="1:2" ht="12.75" customHeight="1" x14ac:dyDescent="0.25">
      <c r="A15322" s="318">
        <v>95219135107</v>
      </c>
      <c r="B15322" s="318" t="s">
        <v>237</v>
      </c>
    </row>
    <row r="15323" spans="1:2" ht="12.75" customHeight="1" x14ac:dyDescent="0.25">
      <c r="A15323" s="318">
        <v>95219135108</v>
      </c>
      <c r="B15323" s="318" t="s">
        <v>237</v>
      </c>
    </row>
    <row r="15324" spans="1:2" ht="12.75" customHeight="1" x14ac:dyDescent="0.25">
      <c r="A15324" s="318">
        <v>95219135109</v>
      </c>
      <c r="B15324" s="318" t="s">
        <v>237</v>
      </c>
    </row>
    <row r="15325" spans="1:2" ht="12.75" customHeight="1" x14ac:dyDescent="0.25">
      <c r="A15325" s="318">
        <v>95219135110</v>
      </c>
      <c r="B15325" s="318" t="s">
        <v>237</v>
      </c>
    </row>
    <row r="15326" spans="1:2" ht="12.75" customHeight="1" x14ac:dyDescent="0.25">
      <c r="A15326" s="318">
        <v>95219135112</v>
      </c>
      <c r="B15326" s="318" t="s">
        <v>237</v>
      </c>
    </row>
    <row r="15327" spans="1:2" ht="12.75" customHeight="1" x14ac:dyDescent="0.25">
      <c r="A15327" s="318">
        <v>95219135113</v>
      </c>
      <c r="B15327" s="318" t="s">
        <v>237</v>
      </c>
    </row>
    <row r="15328" spans="1:2" ht="12.75" customHeight="1" x14ac:dyDescent="0.25">
      <c r="A15328" s="318">
        <v>95219135114</v>
      </c>
      <c r="B15328" s="318" t="s">
        <v>237</v>
      </c>
    </row>
    <row r="15329" spans="1:2" ht="12.75" customHeight="1" x14ac:dyDescent="0.25">
      <c r="A15329" s="318">
        <v>95219135115</v>
      </c>
      <c r="B15329" s="318" t="s">
        <v>237</v>
      </c>
    </row>
    <row r="15330" spans="1:2" ht="12.75" customHeight="1" x14ac:dyDescent="0.25">
      <c r="A15330" s="318">
        <v>95219135116</v>
      </c>
      <c r="B15330" s="318" t="s">
        <v>237</v>
      </c>
    </row>
    <row r="15331" spans="1:2" ht="12.75" customHeight="1" x14ac:dyDescent="0.25">
      <c r="A15331" s="318">
        <v>95219135117</v>
      </c>
      <c r="B15331" s="318" t="s">
        <v>237</v>
      </c>
    </row>
    <row r="15332" spans="1:2" ht="12.75" customHeight="1" x14ac:dyDescent="0.25">
      <c r="A15332" s="318">
        <v>95219135118</v>
      </c>
      <c r="B15332" s="318" t="s">
        <v>237</v>
      </c>
    </row>
    <row r="15333" spans="1:2" ht="12.75" customHeight="1" x14ac:dyDescent="0.25">
      <c r="A15333" s="318">
        <v>95219135119</v>
      </c>
      <c r="B15333" s="318" t="s">
        <v>237</v>
      </c>
    </row>
    <row r="15334" spans="1:2" ht="12.75" customHeight="1" x14ac:dyDescent="0.25">
      <c r="A15334" s="318">
        <v>95219815194</v>
      </c>
      <c r="B15334" s="318" t="s">
        <v>23</v>
      </c>
    </row>
    <row r="15335" spans="1:2" ht="12.75" customHeight="1" x14ac:dyDescent="0.25">
      <c r="A15335" s="318">
        <v>95219815195</v>
      </c>
      <c r="B15335" s="318" t="s">
        <v>23</v>
      </c>
    </row>
    <row r="15336" spans="1:2" ht="12.75" customHeight="1" x14ac:dyDescent="0.25">
      <c r="A15336" s="318">
        <v>95219815196</v>
      </c>
      <c r="B15336" s="318" t="s">
        <v>23</v>
      </c>
    </row>
    <row r="15337" spans="1:2" ht="12.75" customHeight="1" x14ac:dyDescent="0.25">
      <c r="A15337" s="318">
        <v>95219815197</v>
      </c>
      <c r="B15337" s="318" t="s">
        <v>23</v>
      </c>
    </row>
    <row r="15338" spans="1:2" ht="12.75" customHeight="1" x14ac:dyDescent="0.25">
      <c r="A15338" s="318">
        <v>95219815198</v>
      </c>
      <c r="B15338" s="318" t="s">
        <v>23</v>
      </c>
    </row>
    <row r="15339" spans="1:2" ht="12.75" customHeight="1" x14ac:dyDescent="0.25">
      <c r="A15339" s="318">
        <v>95219815199</v>
      </c>
      <c r="B15339" s="318" t="s">
        <v>23</v>
      </c>
    </row>
    <row r="15340" spans="1:2" ht="12.75" customHeight="1" x14ac:dyDescent="0.25">
      <c r="A15340" s="318">
        <v>95219815200</v>
      </c>
      <c r="B15340" s="318" t="s">
        <v>23</v>
      </c>
    </row>
    <row r="15341" spans="1:2" ht="12.75" customHeight="1" x14ac:dyDescent="0.25">
      <c r="A15341" s="318">
        <v>95219815201</v>
      </c>
      <c r="B15341" s="318" t="s">
        <v>23</v>
      </c>
    </row>
    <row r="15342" spans="1:2" ht="12.75" customHeight="1" x14ac:dyDescent="0.25">
      <c r="A15342" s="318">
        <v>95219815203</v>
      </c>
      <c r="B15342" s="318" t="s">
        <v>23</v>
      </c>
    </row>
    <row r="15343" spans="1:2" ht="12.75" customHeight="1" x14ac:dyDescent="0.25">
      <c r="A15343" s="318">
        <v>95219815204</v>
      </c>
      <c r="B15343" s="318" t="s">
        <v>23</v>
      </c>
    </row>
    <row r="15344" spans="1:2" ht="12.75" customHeight="1" x14ac:dyDescent="0.25">
      <c r="A15344" s="318">
        <v>95219815205</v>
      </c>
      <c r="B15344" s="318" t="s">
        <v>23</v>
      </c>
    </row>
    <row r="15345" spans="1:2" ht="12.75" customHeight="1" x14ac:dyDescent="0.25">
      <c r="A15345" s="318">
        <v>95219815206</v>
      </c>
      <c r="B15345" s="318" t="s">
        <v>23</v>
      </c>
    </row>
    <row r="15346" spans="1:2" ht="12.75" customHeight="1" x14ac:dyDescent="0.25">
      <c r="A15346" s="318">
        <v>95219815207</v>
      </c>
      <c r="B15346" s="318" t="s">
        <v>23</v>
      </c>
    </row>
    <row r="15347" spans="1:2" ht="12.75" customHeight="1" x14ac:dyDescent="0.25">
      <c r="A15347" s="318">
        <v>95219815208</v>
      </c>
      <c r="B15347" s="318" t="s">
        <v>23</v>
      </c>
    </row>
    <row r="15348" spans="1:2" ht="12.75" customHeight="1" x14ac:dyDescent="0.25">
      <c r="A15348" s="318">
        <v>95219815209</v>
      </c>
      <c r="B15348" s="318" t="s">
        <v>23</v>
      </c>
    </row>
    <row r="15349" spans="1:2" ht="12.75" customHeight="1" x14ac:dyDescent="0.25">
      <c r="A15349" s="318">
        <v>95219815210</v>
      </c>
      <c r="B15349" s="318" t="s">
        <v>23</v>
      </c>
    </row>
    <row r="15350" spans="1:2" ht="12.75" customHeight="1" x14ac:dyDescent="0.25">
      <c r="A15350" s="318">
        <v>95219815294</v>
      </c>
      <c r="B15350" s="318" t="s">
        <v>237</v>
      </c>
    </row>
    <row r="15351" spans="1:2" ht="12.75" customHeight="1" x14ac:dyDescent="0.25">
      <c r="A15351" s="318">
        <v>95219815295</v>
      </c>
      <c r="B15351" s="318" t="s">
        <v>237</v>
      </c>
    </row>
    <row r="15352" spans="1:2" ht="12.75" customHeight="1" x14ac:dyDescent="0.25">
      <c r="A15352" s="318">
        <v>95219815296</v>
      </c>
      <c r="B15352" s="318" t="s">
        <v>237</v>
      </c>
    </row>
    <row r="15353" spans="1:2" ht="12.75" customHeight="1" x14ac:dyDescent="0.25">
      <c r="A15353" s="318">
        <v>95219815297</v>
      </c>
      <c r="B15353" s="318" t="s">
        <v>237</v>
      </c>
    </row>
    <row r="15354" spans="1:2" ht="12.75" customHeight="1" x14ac:dyDescent="0.25">
      <c r="A15354" s="318">
        <v>95219815298</v>
      </c>
      <c r="B15354" s="318" t="s">
        <v>237</v>
      </c>
    </row>
    <row r="15355" spans="1:2" ht="12.75" customHeight="1" x14ac:dyDescent="0.25">
      <c r="A15355" s="318">
        <v>95219815299</v>
      </c>
      <c r="B15355" s="318" t="s">
        <v>237</v>
      </c>
    </row>
    <row r="15356" spans="1:2" ht="12.75" customHeight="1" x14ac:dyDescent="0.25">
      <c r="A15356" s="318">
        <v>95219815300</v>
      </c>
      <c r="B15356" s="318" t="s">
        <v>237</v>
      </c>
    </row>
    <row r="15357" spans="1:2" ht="12.75" customHeight="1" x14ac:dyDescent="0.25">
      <c r="A15357" s="318">
        <v>95219815301</v>
      </c>
      <c r="B15357" s="318" t="s">
        <v>237</v>
      </c>
    </row>
    <row r="15358" spans="1:2" ht="12.75" customHeight="1" x14ac:dyDescent="0.25">
      <c r="A15358" s="318">
        <v>95219815303</v>
      </c>
      <c r="B15358" s="318" t="s">
        <v>237</v>
      </c>
    </row>
    <row r="15359" spans="1:2" ht="12.75" customHeight="1" x14ac:dyDescent="0.25">
      <c r="A15359" s="318">
        <v>95219815304</v>
      </c>
      <c r="B15359" s="318" t="s">
        <v>237</v>
      </c>
    </row>
    <row r="15360" spans="1:2" ht="12.75" customHeight="1" x14ac:dyDescent="0.25">
      <c r="A15360" s="318">
        <v>95219815305</v>
      </c>
      <c r="B15360" s="318" t="s">
        <v>237</v>
      </c>
    </row>
    <row r="15361" spans="1:2" ht="12.75" customHeight="1" x14ac:dyDescent="0.25">
      <c r="A15361" s="318">
        <v>95219815306</v>
      </c>
      <c r="B15361" s="318" t="s">
        <v>237</v>
      </c>
    </row>
    <row r="15362" spans="1:2" ht="12.75" customHeight="1" x14ac:dyDescent="0.25">
      <c r="A15362" s="318">
        <v>95219815307</v>
      </c>
      <c r="B15362" s="318" t="s">
        <v>237</v>
      </c>
    </row>
    <row r="15363" spans="1:2" ht="12.75" customHeight="1" x14ac:dyDescent="0.25">
      <c r="A15363" s="318">
        <v>95219815308</v>
      </c>
      <c r="B15363" s="318" t="s">
        <v>237</v>
      </c>
    </row>
    <row r="15364" spans="1:2" ht="12.75" customHeight="1" x14ac:dyDescent="0.25">
      <c r="A15364" s="318">
        <v>95219815309</v>
      </c>
      <c r="B15364" s="318" t="s">
        <v>237</v>
      </c>
    </row>
    <row r="15365" spans="1:2" ht="12.75" customHeight="1" x14ac:dyDescent="0.25">
      <c r="A15365" s="318">
        <v>95219815310</v>
      </c>
      <c r="B15365" s="318" t="s">
        <v>237</v>
      </c>
    </row>
    <row r="15366" spans="1:2" ht="12.75" customHeight="1" x14ac:dyDescent="0.25">
      <c r="A15366" s="318">
        <v>95220296167</v>
      </c>
      <c r="B15366" s="318" t="s">
        <v>23</v>
      </c>
    </row>
    <row r="15367" spans="1:2" ht="12.75" customHeight="1" x14ac:dyDescent="0.25">
      <c r="A15367" s="318">
        <v>95220296168</v>
      </c>
      <c r="B15367" s="318" t="s">
        <v>23</v>
      </c>
    </row>
    <row r="15368" spans="1:2" ht="12.75" customHeight="1" x14ac:dyDescent="0.25">
      <c r="A15368" s="318">
        <v>95220296169</v>
      </c>
      <c r="B15368" s="318" t="s">
        <v>23</v>
      </c>
    </row>
    <row r="15369" spans="1:2" ht="12.75" customHeight="1" x14ac:dyDescent="0.25">
      <c r="A15369" s="318">
        <v>95220296170</v>
      </c>
      <c r="B15369" s="318" t="s">
        <v>23</v>
      </c>
    </row>
    <row r="15370" spans="1:2" ht="12.75" customHeight="1" x14ac:dyDescent="0.25">
      <c r="A15370" s="318">
        <v>95220296171</v>
      </c>
      <c r="B15370" s="318" t="s">
        <v>23</v>
      </c>
    </row>
    <row r="15371" spans="1:2" ht="12.75" customHeight="1" x14ac:dyDescent="0.25">
      <c r="A15371" s="318">
        <v>95220296172</v>
      </c>
      <c r="B15371" s="318" t="s">
        <v>23</v>
      </c>
    </row>
    <row r="15372" spans="1:2" ht="12.75" customHeight="1" x14ac:dyDescent="0.25">
      <c r="A15372" s="318">
        <v>95220296173</v>
      </c>
      <c r="B15372" s="318" t="s">
        <v>23</v>
      </c>
    </row>
    <row r="15373" spans="1:2" ht="12.75" customHeight="1" x14ac:dyDescent="0.25">
      <c r="A15373" s="318">
        <v>95220296174</v>
      </c>
      <c r="B15373" s="318" t="s">
        <v>23</v>
      </c>
    </row>
    <row r="15374" spans="1:2" ht="12.75" customHeight="1" x14ac:dyDescent="0.25">
      <c r="A15374" s="318">
        <v>95220296176</v>
      </c>
      <c r="B15374" s="318" t="s">
        <v>23</v>
      </c>
    </row>
    <row r="15375" spans="1:2" ht="12.75" customHeight="1" x14ac:dyDescent="0.25">
      <c r="A15375" s="318">
        <v>95220296177</v>
      </c>
      <c r="B15375" s="318" t="s">
        <v>23</v>
      </c>
    </row>
    <row r="15376" spans="1:2" ht="12.75" customHeight="1" x14ac:dyDescent="0.25">
      <c r="A15376" s="318">
        <v>95220296178</v>
      </c>
      <c r="B15376" s="318" t="s">
        <v>23</v>
      </c>
    </row>
    <row r="15377" spans="1:2" ht="12.75" customHeight="1" x14ac:dyDescent="0.25">
      <c r="A15377" s="318">
        <v>95220296179</v>
      </c>
      <c r="B15377" s="318" t="s">
        <v>23</v>
      </c>
    </row>
    <row r="15378" spans="1:2" ht="12.75" customHeight="1" x14ac:dyDescent="0.25">
      <c r="A15378" s="318">
        <v>95220296180</v>
      </c>
      <c r="B15378" s="318" t="s">
        <v>23</v>
      </c>
    </row>
    <row r="15379" spans="1:2" ht="12.75" customHeight="1" x14ac:dyDescent="0.25">
      <c r="A15379" s="318">
        <v>95220296181</v>
      </c>
      <c r="B15379" s="318" t="s">
        <v>23</v>
      </c>
    </row>
    <row r="15380" spans="1:2" ht="12.75" customHeight="1" x14ac:dyDescent="0.25">
      <c r="A15380" s="318">
        <v>95220296182</v>
      </c>
      <c r="B15380" s="318" t="s">
        <v>23</v>
      </c>
    </row>
    <row r="15381" spans="1:2" ht="12.75" customHeight="1" x14ac:dyDescent="0.25">
      <c r="A15381" s="318">
        <v>95220296183</v>
      </c>
      <c r="B15381" s="318" t="s">
        <v>23</v>
      </c>
    </row>
    <row r="15382" spans="1:2" ht="12.75" customHeight="1" x14ac:dyDescent="0.25">
      <c r="A15382" s="318">
        <v>95220296267</v>
      </c>
      <c r="B15382" s="318" t="s">
        <v>237</v>
      </c>
    </row>
    <row r="15383" spans="1:2" ht="12.75" customHeight="1" x14ac:dyDescent="0.25">
      <c r="A15383" s="318">
        <v>95220296268</v>
      </c>
      <c r="B15383" s="318" t="s">
        <v>237</v>
      </c>
    </row>
    <row r="15384" spans="1:2" ht="12.75" customHeight="1" x14ac:dyDescent="0.25">
      <c r="A15384" s="318">
        <v>95220296269</v>
      </c>
      <c r="B15384" s="318" t="s">
        <v>237</v>
      </c>
    </row>
    <row r="15385" spans="1:2" ht="12.75" customHeight="1" x14ac:dyDescent="0.25">
      <c r="A15385" s="318">
        <v>95220296270</v>
      </c>
      <c r="B15385" s="318" t="s">
        <v>237</v>
      </c>
    </row>
    <row r="15386" spans="1:2" ht="12.75" customHeight="1" x14ac:dyDescent="0.25">
      <c r="A15386" s="318">
        <v>95220296271</v>
      </c>
      <c r="B15386" s="318" t="s">
        <v>237</v>
      </c>
    </row>
    <row r="15387" spans="1:2" ht="12.75" customHeight="1" x14ac:dyDescent="0.25">
      <c r="A15387" s="318">
        <v>95220296272</v>
      </c>
      <c r="B15387" s="318" t="s">
        <v>237</v>
      </c>
    </row>
    <row r="15388" spans="1:2" ht="12.75" customHeight="1" x14ac:dyDescent="0.25">
      <c r="A15388" s="318">
        <v>95220296273</v>
      </c>
      <c r="B15388" s="318" t="s">
        <v>237</v>
      </c>
    </row>
    <row r="15389" spans="1:2" ht="12.75" customHeight="1" x14ac:dyDescent="0.25">
      <c r="A15389" s="318">
        <v>95220296274</v>
      </c>
      <c r="B15389" s="318" t="s">
        <v>237</v>
      </c>
    </row>
    <row r="15390" spans="1:2" ht="12.75" customHeight="1" x14ac:dyDescent="0.25">
      <c r="A15390" s="318">
        <v>95220296276</v>
      </c>
      <c r="B15390" s="318" t="s">
        <v>237</v>
      </c>
    </row>
    <row r="15391" spans="1:2" ht="12.75" customHeight="1" x14ac:dyDescent="0.25">
      <c r="A15391" s="318">
        <v>95220296277</v>
      </c>
      <c r="B15391" s="318" t="s">
        <v>237</v>
      </c>
    </row>
    <row r="15392" spans="1:2" ht="12.75" customHeight="1" x14ac:dyDescent="0.25">
      <c r="A15392" s="318">
        <v>95220296278</v>
      </c>
      <c r="B15392" s="318" t="s">
        <v>237</v>
      </c>
    </row>
    <row r="15393" spans="1:2" ht="12.75" customHeight="1" x14ac:dyDescent="0.25">
      <c r="A15393" s="318">
        <v>95220296279</v>
      </c>
      <c r="B15393" s="318" t="s">
        <v>237</v>
      </c>
    </row>
    <row r="15394" spans="1:2" ht="12.75" customHeight="1" x14ac:dyDescent="0.25">
      <c r="A15394" s="318">
        <v>95220296280</v>
      </c>
      <c r="B15394" s="318" t="s">
        <v>237</v>
      </c>
    </row>
    <row r="15395" spans="1:2" ht="12.75" customHeight="1" x14ac:dyDescent="0.25">
      <c r="A15395" s="318">
        <v>95220296281</v>
      </c>
      <c r="B15395" s="318" t="s">
        <v>237</v>
      </c>
    </row>
    <row r="15396" spans="1:2" ht="12.75" customHeight="1" x14ac:dyDescent="0.25">
      <c r="A15396" s="318">
        <v>95220296282</v>
      </c>
      <c r="B15396" s="318" t="s">
        <v>237</v>
      </c>
    </row>
    <row r="15397" spans="1:2" ht="12.75" customHeight="1" x14ac:dyDescent="0.25">
      <c r="A15397" s="318">
        <v>95220296283</v>
      </c>
      <c r="B15397" s="318" t="s">
        <v>237</v>
      </c>
    </row>
    <row r="15398" spans="1:2" ht="12.75" customHeight="1" x14ac:dyDescent="0.25">
      <c r="A15398" s="318">
        <v>95220777140</v>
      </c>
      <c r="B15398" s="318" t="s">
        <v>23</v>
      </c>
    </row>
    <row r="15399" spans="1:2" ht="12.75" customHeight="1" x14ac:dyDescent="0.25">
      <c r="A15399" s="318">
        <v>95220777141</v>
      </c>
      <c r="B15399" s="318" t="s">
        <v>23</v>
      </c>
    </row>
    <row r="15400" spans="1:2" ht="12.75" customHeight="1" x14ac:dyDescent="0.25">
      <c r="A15400" s="318">
        <v>95220777142</v>
      </c>
      <c r="B15400" s="318" t="s">
        <v>23</v>
      </c>
    </row>
    <row r="15401" spans="1:2" ht="12.75" customHeight="1" x14ac:dyDescent="0.25">
      <c r="A15401" s="318">
        <v>95220777143</v>
      </c>
      <c r="B15401" s="318" t="s">
        <v>23</v>
      </c>
    </row>
    <row r="15402" spans="1:2" ht="12.75" customHeight="1" x14ac:dyDescent="0.25">
      <c r="A15402" s="318">
        <v>95220777144</v>
      </c>
      <c r="B15402" s="318" t="s">
        <v>23</v>
      </c>
    </row>
    <row r="15403" spans="1:2" ht="12.75" customHeight="1" x14ac:dyDescent="0.25">
      <c r="A15403" s="318">
        <v>95220777145</v>
      </c>
      <c r="B15403" s="318" t="s">
        <v>23</v>
      </c>
    </row>
    <row r="15404" spans="1:2" ht="12.75" customHeight="1" x14ac:dyDescent="0.25">
      <c r="A15404" s="318">
        <v>95220777146</v>
      </c>
      <c r="B15404" s="318" t="s">
        <v>23</v>
      </c>
    </row>
    <row r="15405" spans="1:2" ht="12.75" customHeight="1" x14ac:dyDescent="0.25">
      <c r="A15405" s="318">
        <v>95220777147</v>
      </c>
      <c r="B15405" s="318" t="s">
        <v>23</v>
      </c>
    </row>
    <row r="15406" spans="1:2" ht="12.75" customHeight="1" x14ac:dyDescent="0.25">
      <c r="A15406" s="318">
        <v>95220777149</v>
      </c>
      <c r="B15406" s="318" t="s">
        <v>23</v>
      </c>
    </row>
    <row r="15407" spans="1:2" ht="12.75" customHeight="1" x14ac:dyDescent="0.25">
      <c r="A15407" s="318">
        <v>95220777150</v>
      </c>
      <c r="B15407" s="318" t="s">
        <v>23</v>
      </c>
    </row>
    <row r="15408" spans="1:2" ht="12.75" customHeight="1" x14ac:dyDescent="0.25">
      <c r="A15408" s="318">
        <v>95220777151</v>
      </c>
      <c r="B15408" s="318" t="s">
        <v>23</v>
      </c>
    </row>
    <row r="15409" spans="1:2" ht="12.75" customHeight="1" x14ac:dyDescent="0.25">
      <c r="A15409" s="318">
        <v>95220777152</v>
      </c>
      <c r="B15409" s="318" t="s">
        <v>23</v>
      </c>
    </row>
    <row r="15410" spans="1:2" ht="12.75" customHeight="1" x14ac:dyDescent="0.25">
      <c r="A15410" s="318">
        <v>95220777153</v>
      </c>
      <c r="B15410" s="318" t="s">
        <v>23</v>
      </c>
    </row>
    <row r="15411" spans="1:2" ht="12.75" customHeight="1" x14ac:dyDescent="0.25">
      <c r="A15411" s="318">
        <v>95220777154</v>
      </c>
      <c r="B15411" s="318" t="s">
        <v>23</v>
      </c>
    </row>
    <row r="15412" spans="1:2" ht="12.75" customHeight="1" x14ac:dyDescent="0.25">
      <c r="A15412" s="318">
        <v>95220777155</v>
      </c>
      <c r="B15412" s="318" t="s">
        <v>23</v>
      </c>
    </row>
    <row r="15413" spans="1:2" ht="12.75" customHeight="1" x14ac:dyDescent="0.25">
      <c r="A15413" s="318">
        <v>95220777156</v>
      </c>
      <c r="B15413" s="318" t="s">
        <v>23</v>
      </c>
    </row>
    <row r="15414" spans="1:2" ht="12.75" customHeight="1" x14ac:dyDescent="0.25">
      <c r="A15414" s="318">
        <v>95220777240</v>
      </c>
      <c r="B15414" s="318" t="s">
        <v>237</v>
      </c>
    </row>
    <row r="15415" spans="1:2" ht="12.75" customHeight="1" x14ac:dyDescent="0.25">
      <c r="A15415" s="318">
        <v>95220777241</v>
      </c>
      <c r="B15415" s="318" t="s">
        <v>237</v>
      </c>
    </row>
    <row r="15416" spans="1:2" ht="12.75" customHeight="1" x14ac:dyDescent="0.25">
      <c r="A15416" s="318">
        <v>95220777242</v>
      </c>
      <c r="B15416" s="318" t="s">
        <v>237</v>
      </c>
    </row>
    <row r="15417" spans="1:2" ht="12.75" customHeight="1" x14ac:dyDescent="0.25">
      <c r="A15417" s="318">
        <v>95220777243</v>
      </c>
      <c r="B15417" s="318" t="s">
        <v>237</v>
      </c>
    </row>
    <row r="15418" spans="1:2" ht="12.75" customHeight="1" x14ac:dyDescent="0.25">
      <c r="A15418" s="318">
        <v>95220777244</v>
      </c>
      <c r="B15418" s="318" t="s">
        <v>237</v>
      </c>
    </row>
    <row r="15419" spans="1:2" ht="12.75" customHeight="1" x14ac:dyDescent="0.25">
      <c r="A15419" s="318">
        <v>95220777245</v>
      </c>
      <c r="B15419" s="318" t="s">
        <v>237</v>
      </c>
    </row>
    <row r="15420" spans="1:2" ht="12.75" customHeight="1" x14ac:dyDescent="0.25">
      <c r="A15420" s="318">
        <v>95220777246</v>
      </c>
      <c r="B15420" s="318" t="s">
        <v>237</v>
      </c>
    </row>
    <row r="15421" spans="1:2" ht="12.75" customHeight="1" x14ac:dyDescent="0.25">
      <c r="A15421" s="318">
        <v>95220777247</v>
      </c>
      <c r="B15421" s="318" t="s">
        <v>237</v>
      </c>
    </row>
    <row r="15422" spans="1:2" ht="12.75" customHeight="1" x14ac:dyDescent="0.25">
      <c r="A15422" s="318">
        <v>95220777249</v>
      </c>
      <c r="B15422" s="318" t="s">
        <v>237</v>
      </c>
    </row>
    <row r="15423" spans="1:2" ht="12.75" customHeight="1" x14ac:dyDescent="0.25">
      <c r="A15423" s="318">
        <v>95220777250</v>
      </c>
      <c r="B15423" s="318" t="s">
        <v>237</v>
      </c>
    </row>
    <row r="15424" spans="1:2" ht="12.75" customHeight="1" x14ac:dyDescent="0.25">
      <c r="A15424" s="318">
        <v>95220777251</v>
      </c>
      <c r="B15424" s="318" t="s">
        <v>237</v>
      </c>
    </row>
    <row r="15425" spans="1:2" ht="12.75" customHeight="1" x14ac:dyDescent="0.25">
      <c r="A15425" s="318">
        <v>95220777252</v>
      </c>
      <c r="B15425" s="318" t="s">
        <v>237</v>
      </c>
    </row>
    <row r="15426" spans="1:2" ht="12.75" customHeight="1" x14ac:dyDescent="0.25">
      <c r="A15426" s="318">
        <v>95220777253</v>
      </c>
      <c r="B15426" s="318" t="s">
        <v>237</v>
      </c>
    </row>
    <row r="15427" spans="1:2" ht="12.75" customHeight="1" x14ac:dyDescent="0.25">
      <c r="A15427" s="318">
        <v>95220777254</v>
      </c>
      <c r="B15427" s="318" t="s">
        <v>237</v>
      </c>
    </row>
    <row r="15428" spans="1:2" ht="12.75" customHeight="1" x14ac:dyDescent="0.25">
      <c r="A15428" s="318">
        <v>95220777255</v>
      </c>
      <c r="B15428" s="318" t="s">
        <v>237</v>
      </c>
    </row>
    <row r="15429" spans="1:2" ht="12.75" customHeight="1" x14ac:dyDescent="0.25">
      <c r="A15429" s="318">
        <v>95220777256</v>
      </c>
      <c r="B15429" s="318" t="s">
        <v>237</v>
      </c>
    </row>
    <row r="15430" spans="1:2" ht="12.75" customHeight="1" x14ac:dyDescent="0.25">
      <c r="A15430" s="318">
        <v>95222137521</v>
      </c>
      <c r="B15430" s="318" t="s">
        <v>23</v>
      </c>
    </row>
    <row r="15431" spans="1:2" ht="12.75" customHeight="1" x14ac:dyDescent="0.25">
      <c r="A15431" s="318">
        <v>95222137522</v>
      </c>
      <c r="B15431" s="318" t="s">
        <v>23</v>
      </c>
    </row>
    <row r="15432" spans="1:2" ht="12.75" customHeight="1" x14ac:dyDescent="0.25">
      <c r="A15432" s="318">
        <v>95222137523</v>
      </c>
      <c r="B15432" s="318" t="s">
        <v>23</v>
      </c>
    </row>
    <row r="15433" spans="1:2" ht="12.75" customHeight="1" x14ac:dyDescent="0.25">
      <c r="A15433" s="318">
        <v>95222137524</v>
      </c>
      <c r="B15433" s="318" t="s">
        <v>23</v>
      </c>
    </row>
    <row r="15434" spans="1:2" ht="12.75" customHeight="1" x14ac:dyDescent="0.25">
      <c r="A15434" s="318">
        <v>95222137525</v>
      </c>
      <c r="B15434" s="318" t="s">
        <v>23</v>
      </c>
    </row>
    <row r="15435" spans="1:2" ht="12.75" customHeight="1" x14ac:dyDescent="0.25">
      <c r="A15435" s="318">
        <v>95222137526</v>
      </c>
      <c r="B15435" s="318" t="s">
        <v>23</v>
      </c>
    </row>
    <row r="15436" spans="1:2" ht="12.75" customHeight="1" x14ac:dyDescent="0.25">
      <c r="A15436" s="318">
        <v>95222137527</v>
      </c>
      <c r="B15436" s="318" t="s">
        <v>23</v>
      </c>
    </row>
    <row r="15437" spans="1:2" ht="12.75" customHeight="1" x14ac:dyDescent="0.25">
      <c r="A15437" s="318">
        <v>95222137528</v>
      </c>
      <c r="B15437" s="318" t="s">
        <v>23</v>
      </c>
    </row>
    <row r="15438" spans="1:2" ht="12.75" customHeight="1" x14ac:dyDescent="0.25">
      <c r="A15438" s="318">
        <v>95222137530</v>
      </c>
      <c r="B15438" s="318" t="s">
        <v>237</v>
      </c>
    </row>
    <row r="15439" spans="1:2" ht="12.75" customHeight="1" x14ac:dyDescent="0.25">
      <c r="A15439" s="318">
        <v>95222137531</v>
      </c>
      <c r="B15439" s="318" t="s">
        <v>237</v>
      </c>
    </row>
    <row r="15440" spans="1:2" ht="12.75" customHeight="1" x14ac:dyDescent="0.25">
      <c r="A15440" s="318">
        <v>95222137532</v>
      </c>
      <c r="B15440" s="318" t="s">
        <v>237</v>
      </c>
    </row>
    <row r="15441" spans="1:2" ht="12.75" customHeight="1" x14ac:dyDescent="0.25">
      <c r="A15441" s="318">
        <v>95222137533</v>
      </c>
      <c r="B15441" s="318" t="s">
        <v>237</v>
      </c>
    </row>
    <row r="15442" spans="1:2" ht="12.75" customHeight="1" x14ac:dyDescent="0.25">
      <c r="A15442" s="318">
        <v>95222137534</v>
      </c>
      <c r="B15442" s="318" t="s">
        <v>237</v>
      </c>
    </row>
    <row r="15443" spans="1:2" ht="12.75" customHeight="1" x14ac:dyDescent="0.25">
      <c r="A15443" s="318">
        <v>95222137535</v>
      </c>
      <c r="B15443" s="318" t="s">
        <v>237</v>
      </c>
    </row>
    <row r="15444" spans="1:2" ht="12.75" customHeight="1" x14ac:dyDescent="0.25">
      <c r="A15444" s="318">
        <v>95222137536</v>
      </c>
      <c r="B15444" s="318" t="s">
        <v>237</v>
      </c>
    </row>
    <row r="15445" spans="1:2" ht="12.75" customHeight="1" x14ac:dyDescent="0.25">
      <c r="A15445" s="318">
        <v>95222137537</v>
      </c>
      <c r="B15445" s="318" t="s">
        <v>237</v>
      </c>
    </row>
    <row r="15446" spans="1:2" ht="12.75" customHeight="1" x14ac:dyDescent="0.25">
      <c r="A15446" s="318">
        <v>95222137621</v>
      </c>
      <c r="B15446" s="318" t="s">
        <v>237</v>
      </c>
    </row>
    <row r="15447" spans="1:2" ht="12.75" customHeight="1" x14ac:dyDescent="0.25">
      <c r="A15447" s="318">
        <v>95222137622</v>
      </c>
      <c r="B15447" s="318" t="s">
        <v>237</v>
      </c>
    </row>
    <row r="15448" spans="1:2" ht="12.75" customHeight="1" x14ac:dyDescent="0.25">
      <c r="A15448" s="318">
        <v>95222137623</v>
      </c>
      <c r="B15448" s="318" t="s">
        <v>237</v>
      </c>
    </row>
    <row r="15449" spans="1:2" ht="12.75" customHeight="1" x14ac:dyDescent="0.25">
      <c r="A15449" s="318">
        <v>95222137624</v>
      </c>
      <c r="B15449" s="318" t="s">
        <v>237</v>
      </c>
    </row>
    <row r="15450" spans="1:2" ht="12.75" customHeight="1" x14ac:dyDescent="0.25">
      <c r="A15450" s="318">
        <v>95222137625</v>
      </c>
      <c r="B15450" s="318" t="s">
        <v>237</v>
      </c>
    </row>
    <row r="15451" spans="1:2" ht="12.75" customHeight="1" x14ac:dyDescent="0.25">
      <c r="A15451" s="318">
        <v>95222137626</v>
      </c>
      <c r="B15451" s="318" t="s">
        <v>237</v>
      </c>
    </row>
    <row r="15452" spans="1:2" ht="12.75" customHeight="1" x14ac:dyDescent="0.25">
      <c r="A15452" s="318">
        <v>95222137627</v>
      </c>
      <c r="B15452" s="318" t="s">
        <v>237</v>
      </c>
    </row>
    <row r="15453" spans="1:2" ht="12.75" customHeight="1" x14ac:dyDescent="0.25">
      <c r="A15453" s="318">
        <v>95222137628</v>
      </c>
      <c r="B15453" s="318" t="s">
        <v>237</v>
      </c>
    </row>
    <row r="15454" spans="1:2" ht="12.75" customHeight="1" x14ac:dyDescent="0.25">
      <c r="A15454" s="318">
        <v>95222137630</v>
      </c>
      <c r="B15454" s="318" t="s">
        <v>237</v>
      </c>
    </row>
    <row r="15455" spans="1:2" ht="12.75" customHeight="1" x14ac:dyDescent="0.25">
      <c r="A15455" s="318">
        <v>95222137631</v>
      </c>
      <c r="B15455" s="318" t="s">
        <v>237</v>
      </c>
    </row>
    <row r="15456" spans="1:2" ht="12.75" customHeight="1" x14ac:dyDescent="0.25">
      <c r="A15456" s="318">
        <v>95222137632</v>
      </c>
      <c r="B15456" s="318" t="s">
        <v>237</v>
      </c>
    </row>
    <row r="15457" spans="1:2" ht="12.75" customHeight="1" x14ac:dyDescent="0.25">
      <c r="A15457" s="318">
        <v>95222137633</v>
      </c>
      <c r="B15457" s="318" t="s">
        <v>237</v>
      </c>
    </row>
    <row r="15458" spans="1:2" ht="12.75" customHeight="1" x14ac:dyDescent="0.25">
      <c r="A15458" s="318">
        <v>95222137634</v>
      </c>
      <c r="B15458" s="318" t="s">
        <v>237</v>
      </c>
    </row>
    <row r="15459" spans="1:2" ht="12.75" customHeight="1" x14ac:dyDescent="0.25">
      <c r="A15459" s="318">
        <v>95222137635</v>
      </c>
      <c r="B15459" s="318" t="s">
        <v>237</v>
      </c>
    </row>
    <row r="15460" spans="1:2" ht="12.75" customHeight="1" x14ac:dyDescent="0.25">
      <c r="A15460" s="318">
        <v>95222137636</v>
      </c>
      <c r="B15460" s="318" t="s">
        <v>237</v>
      </c>
    </row>
    <row r="15461" spans="1:2" ht="12.75" customHeight="1" x14ac:dyDescent="0.25">
      <c r="A15461" s="318">
        <v>95222137637</v>
      </c>
      <c r="B15461" s="318" t="s">
        <v>237</v>
      </c>
    </row>
    <row r="15462" spans="1:2" ht="12.75" customHeight="1" x14ac:dyDescent="0.25">
      <c r="A15462" s="318">
        <v>95222618494</v>
      </c>
      <c r="B15462" s="318" t="s">
        <v>23</v>
      </c>
    </row>
    <row r="15463" spans="1:2" ht="12.75" customHeight="1" x14ac:dyDescent="0.25">
      <c r="A15463" s="318">
        <v>95222618495</v>
      </c>
      <c r="B15463" s="318" t="s">
        <v>23</v>
      </c>
    </row>
    <row r="15464" spans="1:2" ht="12.75" customHeight="1" x14ac:dyDescent="0.25">
      <c r="A15464" s="318">
        <v>95222618496</v>
      </c>
      <c r="B15464" s="318" t="s">
        <v>23</v>
      </c>
    </row>
    <row r="15465" spans="1:2" ht="12.75" customHeight="1" x14ac:dyDescent="0.25">
      <c r="A15465" s="318">
        <v>95222618497</v>
      </c>
      <c r="B15465" s="318" t="s">
        <v>23</v>
      </c>
    </row>
    <row r="15466" spans="1:2" ht="12.75" customHeight="1" x14ac:dyDescent="0.25">
      <c r="A15466" s="318">
        <v>95222618498</v>
      </c>
      <c r="B15466" s="318" t="s">
        <v>23</v>
      </c>
    </row>
    <row r="15467" spans="1:2" ht="12.75" customHeight="1" x14ac:dyDescent="0.25">
      <c r="A15467" s="318">
        <v>95222618499</v>
      </c>
      <c r="B15467" s="318" t="s">
        <v>23</v>
      </c>
    </row>
    <row r="15468" spans="1:2" ht="12.75" customHeight="1" x14ac:dyDescent="0.25">
      <c r="A15468" s="318">
        <v>95222618500</v>
      </c>
      <c r="B15468" s="318" t="s">
        <v>23</v>
      </c>
    </row>
    <row r="15469" spans="1:2" ht="12.75" customHeight="1" x14ac:dyDescent="0.25">
      <c r="A15469" s="318">
        <v>95222618501</v>
      </c>
      <c r="B15469" s="318" t="s">
        <v>23</v>
      </c>
    </row>
    <row r="15470" spans="1:2" ht="12.75" customHeight="1" x14ac:dyDescent="0.25">
      <c r="A15470" s="318">
        <v>95222618503</v>
      </c>
      <c r="B15470" s="318" t="s">
        <v>237</v>
      </c>
    </row>
    <row r="15471" spans="1:2" ht="12.75" customHeight="1" x14ac:dyDescent="0.25">
      <c r="A15471" s="318">
        <v>95222618504</v>
      </c>
      <c r="B15471" s="318" t="s">
        <v>237</v>
      </c>
    </row>
    <row r="15472" spans="1:2" ht="12.75" customHeight="1" x14ac:dyDescent="0.25">
      <c r="A15472" s="318">
        <v>95222618505</v>
      </c>
      <c r="B15472" s="318" t="s">
        <v>237</v>
      </c>
    </row>
    <row r="15473" spans="1:2" ht="12.75" customHeight="1" x14ac:dyDescent="0.25">
      <c r="A15473" s="318">
        <v>95222618506</v>
      </c>
      <c r="B15473" s="318" t="s">
        <v>237</v>
      </c>
    </row>
    <row r="15474" spans="1:2" ht="12.75" customHeight="1" x14ac:dyDescent="0.25">
      <c r="A15474" s="318">
        <v>95222618507</v>
      </c>
      <c r="B15474" s="318" t="s">
        <v>237</v>
      </c>
    </row>
    <row r="15475" spans="1:2" ht="12.75" customHeight="1" x14ac:dyDescent="0.25">
      <c r="A15475" s="318">
        <v>95222618508</v>
      </c>
      <c r="B15475" s="318" t="s">
        <v>237</v>
      </c>
    </row>
    <row r="15476" spans="1:2" ht="12.75" customHeight="1" x14ac:dyDescent="0.25">
      <c r="A15476" s="318">
        <v>95222618509</v>
      </c>
      <c r="B15476" s="318" t="s">
        <v>237</v>
      </c>
    </row>
    <row r="15477" spans="1:2" ht="12.75" customHeight="1" x14ac:dyDescent="0.25">
      <c r="A15477" s="318">
        <v>95222618510</v>
      </c>
      <c r="B15477" s="318" t="s">
        <v>237</v>
      </c>
    </row>
    <row r="15478" spans="1:2" ht="12.75" customHeight="1" x14ac:dyDescent="0.25">
      <c r="A15478" s="318">
        <v>95222618594</v>
      </c>
      <c r="B15478" s="318" t="s">
        <v>237</v>
      </c>
    </row>
    <row r="15479" spans="1:2" ht="12.75" customHeight="1" x14ac:dyDescent="0.25">
      <c r="A15479" s="318">
        <v>95222618595</v>
      </c>
      <c r="B15479" s="318" t="s">
        <v>237</v>
      </c>
    </row>
    <row r="15480" spans="1:2" ht="12.75" customHeight="1" x14ac:dyDescent="0.25">
      <c r="A15480" s="318">
        <v>95222618596</v>
      </c>
      <c r="B15480" s="318" t="s">
        <v>237</v>
      </c>
    </row>
    <row r="15481" spans="1:2" ht="12.75" customHeight="1" x14ac:dyDescent="0.25">
      <c r="A15481" s="318">
        <v>95222618597</v>
      </c>
      <c r="B15481" s="318" t="s">
        <v>237</v>
      </c>
    </row>
    <row r="15482" spans="1:2" ht="12.75" customHeight="1" x14ac:dyDescent="0.25">
      <c r="A15482" s="318">
        <v>95222618598</v>
      </c>
      <c r="B15482" s="318" t="s">
        <v>237</v>
      </c>
    </row>
    <row r="15483" spans="1:2" ht="12.75" customHeight="1" x14ac:dyDescent="0.25">
      <c r="A15483" s="318">
        <v>95222618599</v>
      </c>
      <c r="B15483" s="318" t="s">
        <v>237</v>
      </c>
    </row>
    <row r="15484" spans="1:2" ht="12.75" customHeight="1" x14ac:dyDescent="0.25">
      <c r="A15484" s="318">
        <v>95222618600</v>
      </c>
      <c r="B15484" s="318" t="s">
        <v>237</v>
      </c>
    </row>
    <row r="15485" spans="1:2" ht="12.75" customHeight="1" x14ac:dyDescent="0.25">
      <c r="A15485" s="318">
        <v>95222618601</v>
      </c>
      <c r="B15485" s="318" t="s">
        <v>237</v>
      </c>
    </row>
    <row r="15486" spans="1:2" ht="12.75" customHeight="1" x14ac:dyDescent="0.25">
      <c r="A15486" s="318">
        <v>95222618603</v>
      </c>
      <c r="B15486" s="318" t="s">
        <v>237</v>
      </c>
    </row>
    <row r="15487" spans="1:2" ht="12.75" customHeight="1" x14ac:dyDescent="0.25">
      <c r="A15487" s="318">
        <v>95222618604</v>
      </c>
      <c r="B15487" s="318" t="s">
        <v>237</v>
      </c>
    </row>
    <row r="15488" spans="1:2" ht="12.75" customHeight="1" x14ac:dyDescent="0.25">
      <c r="A15488" s="318">
        <v>95222618605</v>
      </c>
      <c r="B15488" s="318" t="s">
        <v>237</v>
      </c>
    </row>
    <row r="15489" spans="1:2" ht="12.75" customHeight="1" x14ac:dyDescent="0.25">
      <c r="A15489" s="318">
        <v>95222618606</v>
      </c>
      <c r="B15489" s="318" t="s">
        <v>237</v>
      </c>
    </row>
    <row r="15490" spans="1:2" ht="12.75" customHeight="1" x14ac:dyDescent="0.25">
      <c r="A15490" s="318">
        <v>95222618607</v>
      </c>
      <c r="B15490" s="318" t="s">
        <v>237</v>
      </c>
    </row>
    <row r="15491" spans="1:2" ht="12.75" customHeight="1" x14ac:dyDescent="0.25">
      <c r="A15491" s="318">
        <v>95222618608</v>
      </c>
      <c r="B15491" s="318" t="s">
        <v>237</v>
      </c>
    </row>
    <row r="15492" spans="1:2" ht="12.75" customHeight="1" x14ac:dyDescent="0.25">
      <c r="A15492" s="318">
        <v>95222618609</v>
      </c>
      <c r="B15492" s="318" t="s">
        <v>237</v>
      </c>
    </row>
    <row r="15493" spans="1:2" ht="12.75" customHeight="1" x14ac:dyDescent="0.25">
      <c r="A15493" s="318">
        <v>95222618610</v>
      </c>
      <c r="B15493" s="318" t="s">
        <v>237</v>
      </c>
    </row>
    <row r="15494" spans="1:2" ht="12.75" customHeight="1" x14ac:dyDescent="0.25">
      <c r="A15494" s="318">
        <v>95223099467</v>
      </c>
      <c r="B15494" s="318" t="s">
        <v>23</v>
      </c>
    </row>
    <row r="15495" spans="1:2" ht="12.75" customHeight="1" x14ac:dyDescent="0.25">
      <c r="A15495" s="318">
        <v>95223099468</v>
      </c>
      <c r="B15495" s="318" t="s">
        <v>23</v>
      </c>
    </row>
    <row r="15496" spans="1:2" ht="12.75" customHeight="1" x14ac:dyDescent="0.25">
      <c r="A15496" s="318">
        <v>95223099469</v>
      </c>
      <c r="B15496" s="318" t="s">
        <v>23</v>
      </c>
    </row>
    <row r="15497" spans="1:2" ht="12.75" customHeight="1" x14ac:dyDescent="0.25">
      <c r="A15497" s="318">
        <v>95223099470</v>
      </c>
      <c r="B15497" s="318" t="s">
        <v>23</v>
      </c>
    </row>
    <row r="15498" spans="1:2" ht="12.75" customHeight="1" x14ac:dyDescent="0.25">
      <c r="A15498" s="318">
        <v>95223099471</v>
      </c>
      <c r="B15498" s="318" t="s">
        <v>23</v>
      </c>
    </row>
    <row r="15499" spans="1:2" ht="12.75" customHeight="1" x14ac:dyDescent="0.25">
      <c r="A15499" s="318">
        <v>95223099472</v>
      </c>
      <c r="B15499" s="318" t="s">
        <v>23</v>
      </c>
    </row>
    <row r="15500" spans="1:2" ht="12.75" customHeight="1" x14ac:dyDescent="0.25">
      <c r="A15500" s="318">
        <v>95223099473</v>
      </c>
      <c r="B15500" s="318" t="s">
        <v>23</v>
      </c>
    </row>
    <row r="15501" spans="1:2" ht="12.75" customHeight="1" x14ac:dyDescent="0.25">
      <c r="A15501" s="318">
        <v>95223099474</v>
      </c>
      <c r="B15501" s="318" t="s">
        <v>23</v>
      </c>
    </row>
    <row r="15502" spans="1:2" ht="12.75" customHeight="1" x14ac:dyDescent="0.25">
      <c r="A15502" s="318">
        <v>95223099476</v>
      </c>
      <c r="B15502" s="318" t="s">
        <v>23</v>
      </c>
    </row>
    <row r="15503" spans="1:2" ht="12.75" customHeight="1" x14ac:dyDescent="0.25">
      <c r="A15503" s="318">
        <v>95223099477</v>
      </c>
      <c r="B15503" s="318" t="s">
        <v>23</v>
      </c>
    </row>
    <row r="15504" spans="1:2" ht="12.75" customHeight="1" x14ac:dyDescent="0.25">
      <c r="A15504" s="318">
        <v>95223099478</v>
      </c>
      <c r="B15504" s="318" t="s">
        <v>23</v>
      </c>
    </row>
    <row r="15505" spans="1:2" ht="12.75" customHeight="1" x14ac:dyDescent="0.25">
      <c r="A15505" s="318">
        <v>95223099479</v>
      </c>
      <c r="B15505" s="318" t="s">
        <v>23</v>
      </c>
    </row>
    <row r="15506" spans="1:2" ht="12.75" customHeight="1" x14ac:dyDescent="0.25">
      <c r="A15506" s="318">
        <v>95223099480</v>
      </c>
      <c r="B15506" s="318" t="s">
        <v>23</v>
      </c>
    </row>
    <row r="15507" spans="1:2" ht="12.75" customHeight="1" x14ac:dyDescent="0.25">
      <c r="A15507" s="318">
        <v>95223099481</v>
      </c>
      <c r="B15507" s="318" t="s">
        <v>23</v>
      </c>
    </row>
    <row r="15508" spans="1:2" ht="12.75" customHeight="1" x14ac:dyDescent="0.25">
      <c r="A15508" s="318">
        <v>95223099482</v>
      </c>
      <c r="B15508" s="318" t="s">
        <v>23</v>
      </c>
    </row>
    <row r="15509" spans="1:2" ht="12.75" customHeight="1" x14ac:dyDescent="0.25">
      <c r="A15509" s="318">
        <v>95223099483</v>
      </c>
      <c r="B15509" s="318" t="s">
        <v>23</v>
      </c>
    </row>
    <row r="15510" spans="1:2" ht="12.75" customHeight="1" x14ac:dyDescent="0.25">
      <c r="A15510" s="318">
        <v>95223099567</v>
      </c>
      <c r="B15510" s="318" t="s">
        <v>237</v>
      </c>
    </row>
    <row r="15511" spans="1:2" ht="12.75" customHeight="1" x14ac:dyDescent="0.25">
      <c r="A15511" s="318">
        <v>95223099568</v>
      </c>
      <c r="B15511" s="318" t="s">
        <v>237</v>
      </c>
    </row>
    <row r="15512" spans="1:2" ht="12.75" customHeight="1" x14ac:dyDescent="0.25">
      <c r="A15512" s="318">
        <v>95223099569</v>
      </c>
      <c r="B15512" s="318" t="s">
        <v>237</v>
      </c>
    </row>
    <row r="15513" spans="1:2" ht="12.75" customHeight="1" x14ac:dyDescent="0.25">
      <c r="A15513" s="318">
        <v>95223099570</v>
      </c>
      <c r="B15513" s="318" t="s">
        <v>237</v>
      </c>
    </row>
    <row r="15514" spans="1:2" ht="12.75" customHeight="1" x14ac:dyDescent="0.25">
      <c r="A15514" s="318">
        <v>95223099571</v>
      </c>
      <c r="B15514" s="318" t="s">
        <v>237</v>
      </c>
    </row>
    <row r="15515" spans="1:2" ht="12.75" customHeight="1" x14ac:dyDescent="0.25">
      <c r="A15515" s="318">
        <v>95223099572</v>
      </c>
      <c r="B15515" s="318" t="s">
        <v>237</v>
      </c>
    </row>
    <row r="15516" spans="1:2" ht="12.75" customHeight="1" x14ac:dyDescent="0.25">
      <c r="A15516" s="318">
        <v>95223099573</v>
      </c>
      <c r="B15516" s="318" t="s">
        <v>237</v>
      </c>
    </row>
    <row r="15517" spans="1:2" ht="12.75" customHeight="1" x14ac:dyDescent="0.25">
      <c r="A15517" s="318">
        <v>95223099574</v>
      </c>
      <c r="B15517" s="318" t="s">
        <v>237</v>
      </c>
    </row>
    <row r="15518" spans="1:2" ht="12.75" customHeight="1" x14ac:dyDescent="0.25">
      <c r="A15518" s="318">
        <v>95223099576</v>
      </c>
      <c r="B15518" s="318" t="s">
        <v>237</v>
      </c>
    </row>
    <row r="15519" spans="1:2" ht="12.75" customHeight="1" x14ac:dyDescent="0.25">
      <c r="A15519" s="318">
        <v>95223099577</v>
      </c>
      <c r="B15519" s="318" t="s">
        <v>237</v>
      </c>
    </row>
    <row r="15520" spans="1:2" ht="12.75" customHeight="1" x14ac:dyDescent="0.25">
      <c r="A15520" s="318">
        <v>95223099578</v>
      </c>
      <c r="B15520" s="318" t="s">
        <v>237</v>
      </c>
    </row>
    <row r="15521" spans="1:2" ht="12.75" customHeight="1" x14ac:dyDescent="0.25">
      <c r="A15521" s="318">
        <v>95223099579</v>
      </c>
      <c r="B15521" s="318" t="s">
        <v>237</v>
      </c>
    </row>
    <row r="15522" spans="1:2" ht="12.75" customHeight="1" x14ac:dyDescent="0.25">
      <c r="A15522" s="318">
        <v>95223099580</v>
      </c>
      <c r="B15522" s="318" t="s">
        <v>237</v>
      </c>
    </row>
    <row r="15523" spans="1:2" ht="12.75" customHeight="1" x14ac:dyDescent="0.25">
      <c r="A15523" s="318">
        <v>95223099581</v>
      </c>
      <c r="B15523" s="318" t="s">
        <v>237</v>
      </c>
    </row>
    <row r="15524" spans="1:2" ht="12.75" customHeight="1" x14ac:dyDescent="0.25">
      <c r="A15524" s="318">
        <v>95223099582</v>
      </c>
      <c r="B15524" s="318" t="s">
        <v>237</v>
      </c>
    </row>
    <row r="15525" spans="1:2" ht="12.75" customHeight="1" x14ac:dyDescent="0.25">
      <c r="A15525" s="318">
        <v>95223099583</v>
      </c>
      <c r="B15525" s="318" t="s">
        <v>237</v>
      </c>
    </row>
    <row r="15526" spans="1:2" ht="12.75" customHeight="1" x14ac:dyDescent="0.25">
      <c r="A15526" s="318">
        <v>95223779658</v>
      </c>
      <c r="B15526" s="318" t="s">
        <v>23</v>
      </c>
    </row>
    <row r="15527" spans="1:2" ht="12.75" customHeight="1" x14ac:dyDescent="0.25">
      <c r="A15527" s="318">
        <v>95223779659</v>
      </c>
      <c r="B15527" s="318" t="s">
        <v>23</v>
      </c>
    </row>
    <row r="15528" spans="1:2" ht="12.75" customHeight="1" x14ac:dyDescent="0.25">
      <c r="A15528" s="318">
        <v>95223779660</v>
      </c>
      <c r="B15528" s="318" t="s">
        <v>23</v>
      </c>
    </row>
    <row r="15529" spans="1:2" ht="12.75" customHeight="1" x14ac:dyDescent="0.25">
      <c r="A15529" s="318">
        <v>95223779661</v>
      </c>
      <c r="B15529" s="318" t="s">
        <v>23</v>
      </c>
    </row>
    <row r="15530" spans="1:2" ht="12.75" customHeight="1" x14ac:dyDescent="0.25">
      <c r="A15530" s="318">
        <v>95223779662</v>
      </c>
      <c r="B15530" s="318" t="s">
        <v>23</v>
      </c>
    </row>
    <row r="15531" spans="1:2" ht="12.75" customHeight="1" x14ac:dyDescent="0.25">
      <c r="A15531" s="318">
        <v>95223779663</v>
      </c>
      <c r="B15531" s="318" t="s">
        <v>23</v>
      </c>
    </row>
    <row r="15532" spans="1:2" ht="12.75" customHeight="1" x14ac:dyDescent="0.25">
      <c r="A15532" s="318">
        <v>95223779664</v>
      </c>
      <c r="B15532" s="318" t="s">
        <v>23</v>
      </c>
    </row>
    <row r="15533" spans="1:2" ht="12.75" customHeight="1" x14ac:dyDescent="0.25">
      <c r="A15533" s="318">
        <v>95223779665</v>
      </c>
      <c r="B15533" s="318" t="s">
        <v>23</v>
      </c>
    </row>
    <row r="15534" spans="1:2" ht="12.75" customHeight="1" x14ac:dyDescent="0.25">
      <c r="A15534" s="318">
        <v>95223779667</v>
      </c>
      <c r="B15534" s="318" t="s">
        <v>237</v>
      </c>
    </row>
    <row r="15535" spans="1:2" ht="12.75" customHeight="1" x14ac:dyDescent="0.25">
      <c r="A15535" s="318">
        <v>95223779668</v>
      </c>
      <c r="B15535" s="318" t="s">
        <v>237</v>
      </c>
    </row>
    <row r="15536" spans="1:2" ht="12.75" customHeight="1" x14ac:dyDescent="0.25">
      <c r="A15536" s="318">
        <v>95223779669</v>
      </c>
      <c r="B15536" s="318" t="s">
        <v>237</v>
      </c>
    </row>
    <row r="15537" spans="1:2" ht="12.75" customHeight="1" x14ac:dyDescent="0.25">
      <c r="A15537" s="318">
        <v>95223779670</v>
      </c>
      <c r="B15537" s="318" t="s">
        <v>237</v>
      </c>
    </row>
    <row r="15538" spans="1:2" ht="12.75" customHeight="1" x14ac:dyDescent="0.25">
      <c r="A15538" s="318">
        <v>95223779671</v>
      </c>
      <c r="B15538" s="318" t="s">
        <v>237</v>
      </c>
    </row>
    <row r="15539" spans="1:2" ht="12.75" customHeight="1" x14ac:dyDescent="0.25">
      <c r="A15539" s="318">
        <v>95223779672</v>
      </c>
      <c r="B15539" s="318" t="s">
        <v>237</v>
      </c>
    </row>
    <row r="15540" spans="1:2" ht="12.75" customHeight="1" x14ac:dyDescent="0.25">
      <c r="A15540" s="318">
        <v>95223779673</v>
      </c>
      <c r="B15540" s="318" t="s">
        <v>237</v>
      </c>
    </row>
    <row r="15541" spans="1:2" ht="12.75" customHeight="1" x14ac:dyDescent="0.25">
      <c r="A15541" s="318">
        <v>95223779674</v>
      </c>
      <c r="B15541" s="318" t="s">
        <v>237</v>
      </c>
    </row>
    <row r="15542" spans="1:2" ht="12.75" customHeight="1" x14ac:dyDescent="0.25">
      <c r="A15542" s="318">
        <v>95223779758</v>
      </c>
      <c r="B15542" s="318" t="s">
        <v>237</v>
      </c>
    </row>
    <row r="15543" spans="1:2" ht="12.75" customHeight="1" x14ac:dyDescent="0.25">
      <c r="A15543" s="318">
        <v>95223779759</v>
      </c>
      <c r="B15543" s="318" t="s">
        <v>237</v>
      </c>
    </row>
    <row r="15544" spans="1:2" ht="12.75" customHeight="1" x14ac:dyDescent="0.25">
      <c r="A15544" s="318">
        <v>95223779760</v>
      </c>
      <c r="B15544" s="318" t="s">
        <v>237</v>
      </c>
    </row>
    <row r="15545" spans="1:2" ht="12.75" customHeight="1" x14ac:dyDescent="0.25">
      <c r="A15545" s="318">
        <v>95223779761</v>
      </c>
      <c r="B15545" s="318" t="s">
        <v>237</v>
      </c>
    </row>
    <row r="15546" spans="1:2" ht="12.75" customHeight="1" x14ac:dyDescent="0.25">
      <c r="A15546" s="318">
        <v>95223779762</v>
      </c>
      <c r="B15546" s="318" t="s">
        <v>237</v>
      </c>
    </row>
    <row r="15547" spans="1:2" ht="12.75" customHeight="1" x14ac:dyDescent="0.25">
      <c r="A15547" s="318">
        <v>95223779763</v>
      </c>
      <c r="B15547" s="318" t="s">
        <v>237</v>
      </c>
    </row>
    <row r="15548" spans="1:2" ht="12.75" customHeight="1" x14ac:dyDescent="0.25">
      <c r="A15548" s="318">
        <v>95223779764</v>
      </c>
      <c r="B15548" s="318" t="s">
        <v>237</v>
      </c>
    </row>
    <row r="15549" spans="1:2" ht="12.75" customHeight="1" x14ac:dyDescent="0.25">
      <c r="A15549" s="318">
        <v>95223779765</v>
      </c>
      <c r="B15549" s="318" t="s">
        <v>237</v>
      </c>
    </row>
    <row r="15550" spans="1:2" ht="12.75" customHeight="1" x14ac:dyDescent="0.25">
      <c r="A15550" s="318">
        <v>95223779767</v>
      </c>
      <c r="B15550" s="318" t="s">
        <v>237</v>
      </c>
    </row>
    <row r="15551" spans="1:2" ht="12.75" customHeight="1" x14ac:dyDescent="0.25">
      <c r="A15551" s="318">
        <v>95223779768</v>
      </c>
      <c r="B15551" s="318" t="s">
        <v>237</v>
      </c>
    </row>
    <row r="15552" spans="1:2" ht="12.75" customHeight="1" x14ac:dyDescent="0.25">
      <c r="A15552" s="318">
        <v>95223779769</v>
      </c>
      <c r="B15552" s="318" t="s">
        <v>237</v>
      </c>
    </row>
    <row r="15553" spans="1:2" ht="12.75" customHeight="1" x14ac:dyDescent="0.25">
      <c r="A15553" s="318">
        <v>95223779770</v>
      </c>
      <c r="B15553" s="318" t="s">
        <v>237</v>
      </c>
    </row>
    <row r="15554" spans="1:2" ht="12.75" customHeight="1" x14ac:dyDescent="0.25">
      <c r="A15554" s="318">
        <v>95223779771</v>
      </c>
      <c r="B15554" s="318" t="s">
        <v>237</v>
      </c>
    </row>
    <row r="15555" spans="1:2" ht="12.75" customHeight="1" x14ac:dyDescent="0.25">
      <c r="A15555" s="318">
        <v>95223779772</v>
      </c>
      <c r="B15555" s="318" t="s">
        <v>237</v>
      </c>
    </row>
    <row r="15556" spans="1:2" ht="12.75" customHeight="1" x14ac:dyDescent="0.25">
      <c r="A15556" s="318">
        <v>95223779773</v>
      </c>
      <c r="B15556" s="318" t="s">
        <v>237</v>
      </c>
    </row>
    <row r="15557" spans="1:2" ht="12.75" customHeight="1" x14ac:dyDescent="0.25">
      <c r="A15557" s="318">
        <v>95223779774</v>
      </c>
      <c r="B15557" s="318" t="s">
        <v>237</v>
      </c>
    </row>
    <row r="15558" spans="1:2" ht="12.75" customHeight="1" x14ac:dyDescent="0.25">
      <c r="A15558" s="318">
        <v>95224260631</v>
      </c>
      <c r="B15558" s="318" t="s">
        <v>23</v>
      </c>
    </row>
    <row r="15559" spans="1:2" ht="12.75" customHeight="1" x14ac:dyDescent="0.25">
      <c r="A15559" s="318">
        <v>95224260632</v>
      </c>
      <c r="B15559" s="318" t="s">
        <v>23</v>
      </c>
    </row>
    <row r="15560" spans="1:2" ht="12.75" customHeight="1" x14ac:dyDescent="0.25">
      <c r="A15560" s="318">
        <v>95224260633</v>
      </c>
      <c r="B15560" s="318" t="s">
        <v>23</v>
      </c>
    </row>
    <row r="15561" spans="1:2" ht="12.75" customHeight="1" x14ac:dyDescent="0.25">
      <c r="A15561" s="318">
        <v>95224260634</v>
      </c>
      <c r="B15561" s="318" t="s">
        <v>23</v>
      </c>
    </row>
    <row r="15562" spans="1:2" ht="12.75" customHeight="1" x14ac:dyDescent="0.25">
      <c r="A15562" s="318">
        <v>95224260635</v>
      </c>
      <c r="B15562" s="318" t="s">
        <v>23</v>
      </c>
    </row>
    <row r="15563" spans="1:2" ht="12.75" customHeight="1" x14ac:dyDescent="0.25">
      <c r="A15563" s="318">
        <v>95224260636</v>
      </c>
      <c r="B15563" s="318" t="s">
        <v>23</v>
      </c>
    </row>
    <row r="15564" spans="1:2" ht="12.75" customHeight="1" x14ac:dyDescent="0.25">
      <c r="A15564" s="318">
        <v>95224260637</v>
      </c>
      <c r="B15564" s="318" t="s">
        <v>23</v>
      </c>
    </row>
    <row r="15565" spans="1:2" ht="12.75" customHeight="1" x14ac:dyDescent="0.25">
      <c r="A15565" s="318">
        <v>95224260638</v>
      </c>
      <c r="B15565" s="318" t="s">
        <v>23</v>
      </c>
    </row>
    <row r="15566" spans="1:2" ht="12.75" customHeight="1" x14ac:dyDescent="0.25">
      <c r="A15566" s="318">
        <v>95224260640</v>
      </c>
      <c r="B15566" s="318" t="s">
        <v>237</v>
      </c>
    </row>
    <row r="15567" spans="1:2" ht="12.75" customHeight="1" x14ac:dyDescent="0.25">
      <c r="A15567" s="318">
        <v>95224260641</v>
      </c>
      <c r="B15567" s="318" t="s">
        <v>237</v>
      </c>
    </row>
    <row r="15568" spans="1:2" ht="12.75" customHeight="1" x14ac:dyDescent="0.25">
      <c r="A15568" s="318">
        <v>95224260642</v>
      </c>
      <c r="B15568" s="318" t="s">
        <v>237</v>
      </c>
    </row>
    <row r="15569" spans="1:2" ht="12.75" customHeight="1" x14ac:dyDescent="0.25">
      <c r="A15569" s="318">
        <v>95224260643</v>
      </c>
      <c r="B15569" s="318" t="s">
        <v>237</v>
      </c>
    </row>
    <row r="15570" spans="1:2" ht="12.75" customHeight="1" x14ac:dyDescent="0.25">
      <c r="A15570" s="318">
        <v>95224260644</v>
      </c>
      <c r="B15570" s="318" t="s">
        <v>237</v>
      </c>
    </row>
    <row r="15571" spans="1:2" ht="12.75" customHeight="1" x14ac:dyDescent="0.25">
      <c r="A15571" s="318">
        <v>95224260645</v>
      </c>
      <c r="B15571" s="318" t="s">
        <v>237</v>
      </c>
    </row>
    <row r="15572" spans="1:2" ht="12.75" customHeight="1" x14ac:dyDescent="0.25">
      <c r="A15572" s="318">
        <v>95224260646</v>
      </c>
      <c r="B15572" s="318" t="s">
        <v>237</v>
      </c>
    </row>
    <row r="15573" spans="1:2" ht="12.75" customHeight="1" x14ac:dyDescent="0.25">
      <c r="A15573" s="318">
        <v>95224260647</v>
      </c>
      <c r="B15573" s="318" t="s">
        <v>237</v>
      </c>
    </row>
    <row r="15574" spans="1:2" ht="12.75" customHeight="1" x14ac:dyDescent="0.25">
      <c r="A15574" s="318">
        <v>95224260731</v>
      </c>
      <c r="B15574" s="318" t="s">
        <v>237</v>
      </c>
    </row>
    <row r="15575" spans="1:2" ht="12.75" customHeight="1" x14ac:dyDescent="0.25">
      <c r="A15575" s="318">
        <v>95224260732</v>
      </c>
      <c r="B15575" s="318" t="s">
        <v>237</v>
      </c>
    </row>
    <row r="15576" spans="1:2" ht="12.75" customHeight="1" x14ac:dyDescent="0.25">
      <c r="A15576" s="318">
        <v>95224260733</v>
      </c>
      <c r="B15576" s="318" t="s">
        <v>237</v>
      </c>
    </row>
    <row r="15577" spans="1:2" ht="12.75" customHeight="1" x14ac:dyDescent="0.25">
      <c r="A15577" s="318">
        <v>95224260734</v>
      </c>
      <c r="B15577" s="318" t="s">
        <v>237</v>
      </c>
    </row>
    <row r="15578" spans="1:2" ht="12.75" customHeight="1" x14ac:dyDescent="0.25">
      <c r="A15578" s="318">
        <v>95224260735</v>
      </c>
      <c r="B15578" s="318" t="s">
        <v>237</v>
      </c>
    </row>
    <row r="15579" spans="1:2" ht="12.75" customHeight="1" x14ac:dyDescent="0.25">
      <c r="A15579" s="318">
        <v>95224260736</v>
      </c>
      <c r="B15579" s="318" t="s">
        <v>237</v>
      </c>
    </row>
    <row r="15580" spans="1:2" ht="12.75" customHeight="1" x14ac:dyDescent="0.25">
      <c r="A15580" s="318">
        <v>95224260737</v>
      </c>
      <c r="B15580" s="318" t="s">
        <v>237</v>
      </c>
    </row>
    <row r="15581" spans="1:2" ht="12.75" customHeight="1" x14ac:dyDescent="0.25">
      <c r="A15581" s="318">
        <v>95224260738</v>
      </c>
      <c r="B15581" s="318" t="s">
        <v>237</v>
      </c>
    </row>
    <row r="15582" spans="1:2" ht="12.75" customHeight="1" x14ac:dyDescent="0.25">
      <c r="A15582" s="318">
        <v>95224260740</v>
      </c>
      <c r="B15582" s="318" t="s">
        <v>237</v>
      </c>
    </row>
    <row r="15583" spans="1:2" ht="12.75" customHeight="1" x14ac:dyDescent="0.25">
      <c r="A15583" s="318">
        <v>95224260741</v>
      </c>
      <c r="B15583" s="318" t="s">
        <v>237</v>
      </c>
    </row>
    <row r="15584" spans="1:2" ht="12.75" customHeight="1" x14ac:dyDescent="0.25">
      <c r="A15584" s="318">
        <v>95224260742</v>
      </c>
      <c r="B15584" s="318" t="s">
        <v>237</v>
      </c>
    </row>
    <row r="15585" spans="1:2" ht="12.75" customHeight="1" x14ac:dyDescent="0.25">
      <c r="A15585" s="318">
        <v>95224260743</v>
      </c>
      <c r="B15585" s="318" t="s">
        <v>237</v>
      </c>
    </row>
    <row r="15586" spans="1:2" ht="12.75" customHeight="1" x14ac:dyDescent="0.25">
      <c r="A15586" s="318">
        <v>95224260744</v>
      </c>
      <c r="B15586" s="318" t="s">
        <v>237</v>
      </c>
    </row>
    <row r="15587" spans="1:2" ht="12.75" customHeight="1" x14ac:dyDescent="0.25">
      <c r="A15587" s="318">
        <v>95224260745</v>
      </c>
      <c r="B15587" s="318" t="s">
        <v>237</v>
      </c>
    </row>
    <row r="15588" spans="1:2" ht="12.75" customHeight="1" x14ac:dyDescent="0.25">
      <c r="A15588" s="318">
        <v>95224260746</v>
      </c>
      <c r="B15588" s="318" t="s">
        <v>237</v>
      </c>
    </row>
    <row r="15589" spans="1:2" ht="12.75" customHeight="1" x14ac:dyDescent="0.25">
      <c r="A15589" s="318">
        <v>95224260747</v>
      </c>
      <c r="B15589" s="318" t="s">
        <v>237</v>
      </c>
    </row>
    <row r="15590" spans="1:2" ht="12.75" customHeight="1" x14ac:dyDescent="0.25">
      <c r="A15590" s="318">
        <v>95224741604</v>
      </c>
      <c r="B15590" s="318" t="s">
        <v>23</v>
      </c>
    </row>
    <row r="15591" spans="1:2" ht="12.75" customHeight="1" x14ac:dyDescent="0.25">
      <c r="A15591" s="318">
        <v>95224741605</v>
      </c>
      <c r="B15591" s="318" t="s">
        <v>23</v>
      </c>
    </row>
    <row r="15592" spans="1:2" ht="12.75" customHeight="1" x14ac:dyDescent="0.25">
      <c r="A15592" s="318">
        <v>95224741606</v>
      </c>
      <c r="B15592" s="318" t="s">
        <v>23</v>
      </c>
    </row>
    <row r="15593" spans="1:2" ht="12.75" customHeight="1" x14ac:dyDescent="0.25">
      <c r="A15593" s="318">
        <v>95224741607</v>
      </c>
      <c r="B15593" s="318" t="s">
        <v>23</v>
      </c>
    </row>
    <row r="15594" spans="1:2" ht="12.75" customHeight="1" x14ac:dyDescent="0.25">
      <c r="A15594" s="318">
        <v>95224741608</v>
      </c>
      <c r="B15594" s="318" t="s">
        <v>23</v>
      </c>
    </row>
    <row r="15595" spans="1:2" ht="12.75" customHeight="1" x14ac:dyDescent="0.25">
      <c r="A15595" s="318">
        <v>95224741609</v>
      </c>
      <c r="B15595" s="318" t="s">
        <v>23</v>
      </c>
    </row>
    <row r="15596" spans="1:2" ht="12.75" customHeight="1" x14ac:dyDescent="0.25">
      <c r="A15596" s="318">
        <v>95224741610</v>
      </c>
      <c r="B15596" s="318" t="s">
        <v>23</v>
      </c>
    </row>
    <row r="15597" spans="1:2" ht="12.75" customHeight="1" x14ac:dyDescent="0.25">
      <c r="A15597" s="318">
        <v>95224741611</v>
      </c>
      <c r="B15597" s="318" t="s">
        <v>23</v>
      </c>
    </row>
    <row r="15598" spans="1:2" ht="12.75" customHeight="1" x14ac:dyDescent="0.25">
      <c r="A15598" s="318">
        <v>95224741613</v>
      </c>
      <c r="B15598" s="318" t="s">
        <v>23</v>
      </c>
    </row>
    <row r="15599" spans="1:2" ht="12.75" customHeight="1" x14ac:dyDescent="0.25">
      <c r="A15599" s="318">
        <v>95224741614</v>
      </c>
      <c r="B15599" s="318" t="s">
        <v>23</v>
      </c>
    </row>
    <row r="15600" spans="1:2" ht="12.75" customHeight="1" x14ac:dyDescent="0.25">
      <c r="A15600" s="318">
        <v>95224741615</v>
      </c>
      <c r="B15600" s="318" t="s">
        <v>23</v>
      </c>
    </row>
    <row r="15601" spans="1:2" ht="12.75" customHeight="1" x14ac:dyDescent="0.25">
      <c r="A15601" s="318">
        <v>95224741616</v>
      </c>
      <c r="B15601" s="318" t="s">
        <v>23</v>
      </c>
    </row>
    <row r="15602" spans="1:2" ht="12.75" customHeight="1" x14ac:dyDescent="0.25">
      <c r="A15602" s="318">
        <v>95224741617</v>
      </c>
      <c r="B15602" s="318" t="s">
        <v>23</v>
      </c>
    </row>
    <row r="15603" spans="1:2" ht="12.75" customHeight="1" x14ac:dyDescent="0.25">
      <c r="A15603" s="318">
        <v>95224741618</v>
      </c>
      <c r="B15603" s="318" t="s">
        <v>23</v>
      </c>
    </row>
    <row r="15604" spans="1:2" ht="12.75" customHeight="1" x14ac:dyDescent="0.25">
      <c r="A15604" s="318">
        <v>95224741619</v>
      </c>
      <c r="B15604" s="318" t="s">
        <v>23</v>
      </c>
    </row>
    <row r="15605" spans="1:2" ht="12.75" customHeight="1" x14ac:dyDescent="0.25">
      <c r="A15605" s="318">
        <v>95224741620</v>
      </c>
      <c r="B15605" s="318" t="s">
        <v>23</v>
      </c>
    </row>
    <row r="15606" spans="1:2" ht="12.75" customHeight="1" x14ac:dyDescent="0.25">
      <c r="A15606" s="318">
        <v>95224741704</v>
      </c>
      <c r="B15606" s="318" t="s">
        <v>237</v>
      </c>
    </row>
    <row r="15607" spans="1:2" ht="12.75" customHeight="1" x14ac:dyDescent="0.25">
      <c r="A15607" s="318">
        <v>95224741705</v>
      </c>
      <c r="B15607" s="318" t="s">
        <v>237</v>
      </c>
    </row>
    <row r="15608" spans="1:2" ht="12.75" customHeight="1" x14ac:dyDescent="0.25">
      <c r="A15608" s="318">
        <v>95224741706</v>
      </c>
      <c r="B15608" s="318" t="s">
        <v>237</v>
      </c>
    </row>
    <row r="15609" spans="1:2" ht="12.75" customHeight="1" x14ac:dyDescent="0.25">
      <c r="A15609" s="318">
        <v>95224741707</v>
      </c>
      <c r="B15609" s="318" t="s">
        <v>237</v>
      </c>
    </row>
    <row r="15610" spans="1:2" ht="12.75" customHeight="1" x14ac:dyDescent="0.25">
      <c r="A15610" s="318">
        <v>95224741708</v>
      </c>
      <c r="B15610" s="318" t="s">
        <v>237</v>
      </c>
    </row>
    <row r="15611" spans="1:2" ht="12.75" customHeight="1" x14ac:dyDescent="0.25">
      <c r="A15611" s="318">
        <v>95224741709</v>
      </c>
      <c r="B15611" s="318" t="s">
        <v>237</v>
      </c>
    </row>
    <row r="15612" spans="1:2" ht="12.75" customHeight="1" x14ac:dyDescent="0.25">
      <c r="A15612" s="318">
        <v>95224741710</v>
      </c>
      <c r="B15612" s="318" t="s">
        <v>237</v>
      </c>
    </row>
    <row r="15613" spans="1:2" ht="12.75" customHeight="1" x14ac:dyDescent="0.25">
      <c r="A15613" s="318">
        <v>95224741711</v>
      </c>
      <c r="B15613" s="318" t="s">
        <v>237</v>
      </c>
    </row>
    <row r="15614" spans="1:2" ht="12.75" customHeight="1" x14ac:dyDescent="0.25">
      <c r="A15614" s="318">
        <v>95224741713</v>
      </c>
      <c r="B15614" s="318" t="s">
        <v>237</v>
      </c>
    </row>
    <row r="15615" spans="1:2" ht="12.75" customHeight="1" x14ac:dyDescent="0.25">
      <c r="A15615" s="318">
        <v>95224741714</v>
      </c>
      <c r="B15615" s="318" t="s">
        <v>237</v>
      </c>
    </row>
    <row r="15616" spans="1:2" ht="12.75" customHeight="1" x14ac:dyDescent="0.25">
      <c r="A15616" s="318">
        <v>95224741715</v>
      </c>
      <c r="B15616" s="318" t="s">
        <v>237</v>
      </c>
    </row>
    <row r="15617" spans="1:2" ht="12.75" customHeight="1" x14ac:dyDescent="0.25">
      <c r="A15617" s="318">
        <v>95224741716</v>
      </c>
      <c r="B15617" s="318" t="s">
        <v>237</v>
      </c>
    </row>
    <row r="15618" spans="1:2" ht="12.75" customHeight="1" x14ac:dyDescent="0.25">
      <c r="A15618" s="318">
        <v>95224741717</v>
      </c>
      <c r="B15618" s="318" t="s">
        <v>237</v>
      </c>
    </row>
    <row r="15619" spans="1:2" ht="12.75" customHeight="1" x14ac:dyDescent="0.25">
      <c r="A15619" s="318">
        <v>95224741718</v>
      </c>
      <c r="B15619" s="318" t="s">
        <v>237</v>
      </c>
    </row>
    <row r="15620" spans="1:2" ht="12.75" customHeight="1" x14ac:dyDescent="0.25">
      <c r="A15620" s="318">
        <v>95224741719</v>
      </c>
      <c r="B15620" s="318" t="s">
        <v>237</v>
      </c>
    </row>
    <row r="15621" spans="1:2" ht="12.75" customHeight="1" x14ac:dyDescent="0.25">
      <c r="A15621" s="318">
        <v>95224741720</v>
      </c>
      <c r="B15621" s="318" t="s">
        <v>237</v>
      </c>
    </row>
    <row r="15622" spans="1:2" ht="12.75" customHeight="1" x14ac:dyDescent="0.25">
      <c r="A15622" s="318">
        <v>95225421795</v>
      </c>
      <c r="B15622" s="318" t="s">
        <v>23</v>
      </c>
    </row>
    <row r="15623" spans="1:2" ht="12.75" customHeight="1" x14ac:dyDescent="0.25">
      <c r="A15623" s="318">
        <v>95225421796</v>
      </c>
      <c r="B15623" s="318" t="s">
        <v>23</v>
      </c>
    </row>
    <row r="15624" spans="1:2" ht="12.75" customHeight="1" x14ac:dyDescent="0.25">
      <c r="A15624" s="318">
        <v>95225421797</v>
      </c>
      <c r="B15624" s="318" t="s">
        <v>23</v>
      </c>
    </row>
    <row r="15625" spans="1:2" ht="12.75" customHeight="1" x14ac:dyDescent="0.25">
      <c r="A15625" s="318">
        <v>95225421798</v>
      </c>
      <c r="B15625" s="318" t="s">
        <v>23</v>
      </c>
    </row>
    <row r="15626" spans="1:2" ht="12.75" customHeight="1" x14ac:dyDescent="0.25">
      <c r="A15626" s="318">
        <v>95225421799</v>
      </c>
      <c r="B15626" s="318" t="s">
        <v>23</v>
      </c>
    </row>
    <row r="15627" spans="1:2" ht="12.75" customHeight="1" x14ac:dyDescent="0.25">
      <c r="A15627" s="318">
        <v>95225421800</v>
      </c>
      <c r="B15627" s="318" t="s">
        <v>23</v>
      </c>
    </row>
    <row r="15628" spans="1:2" ht="12.75" customHeight="1" x14ac:dyDescent="0.25">
      <c r="A15628" s="318">
        <v>95225421801</v>
      </c>
      <c r="B15628" s="318" t="s">
        <v>23</v>
      </c>
    </row>
    <row r="15629" spans="1:2" ht="12.75" customHeight="1" x14ac:dyDescent="0.25">
      <c r="A15629" s="318">
        <v>95225421802</v>
      </c>
      <c r="B15629" s="318" t="s">
        <v>23</v>
      </c>
    </row>
    <row r="15630" spans="1:2" ht="12.75" customHeight="1" x14ac:dyDescent="0.25">
      <c r="A15630" s="318">
        <v>95225421804</v>
      </c>
      <c r="B15630" s="318" t="s">
        <v>23</v>
      </c>
    </row>
    <row r="15631" spans="1:2" ht="12.75" customHeight="1" x14ac:dyDescent="0.25">
      <c r="A15631" s="318">
        <v>95225421805</v>
      </c>
      <c r="B15631" s="318" t="s">
        <v>23</v>
      </c>
    </row>
    <row r="15632" spans="1:2" ht="12.75" customHeight="1" x14ac:dyDescent="0.25">
      <c r="A15632" s="318">
        <v>95225421806</v>
      </c>
      <c r="B15632" s="318" t="s">
        <v>23</v>
      </c>
    </row>
    <row r="15633" spans="1:2" ht="12.75" customHeight="1" x14ac:dyDescent="0.25">
      <c r="A15633" s="318">
        <v>95225421807</v>
      </c>
      <c r="B15633" s="318" t="s">
        <v>23</v>
      </c>
    </row>
    <row r="15634" spans="1:2" ht="12.75" customHeight="1" x14ac:dyDescent="0.25">
      <c r="A15634" s="318">
        <v>95225421808</v>
      </c>
      <c r="B15634" s="318" t="s">
        <v>23</v>
      </c>
    </row>
    <row r="15635" spans="1:2" ht="12.75" customHeight="1" x14ac:dyDescent="0.25">
      <c r="A15635" s="318">
        <v>95225421809</v>
      </c>
      <c r="B15635" s="318" t="s">
        <v>23</v>
      </c>
    </row>
    <row r="15636" spans="1:2" ht="12.75" customHeight="1" x14ac:dyDescent="0.25">
      <c r="A15636" s="318">
        <v>95225421810</v>
      </c>
      <c r="B15636" s="318" t="s">
        <v>23</v>
      </c>
    </row>
    <row r="15637" spans="1:2" ht="12.75" customHeight="1" x14ac:dyDescent="0.25">
      <c r="A15637" s="318">
        <v>95225421811</v>
      </c>
      <c r="B15637" s="318" t="s">
        <v>23</v>
      </c>
    </row>
    <row r="15638" spans="1:2" ht="12.75" customHeight="1" x14ac:dyDescent="0.25">
      <c r="A15638" s="318">
        <v>95225421895</v>
      </c>
      <c r="B15638" s="318" t="s">
        <v>237</v>
      </c>
    </row>
    <row r="15639" spans="1:2" ht="12.75" customHeight="1" x14ac:dyDescent="0.25">
      <c r="A15639" s="318">
        <v>95225421896</v>
      </c>
      <c r="B15639" s="318" t="s">
        <v>237</v>
      </c>
    </row>
    <row r="15640" spans="1:2" ht="12.75" customHeight="1" x14ac:dyDescent="0.25">
      <c r="A15640" s="318">
        <v>95225421897</v>
      </c>
      <c r="B15640" s="318" t="s">
        <v>237</v>
      </c>
    </row>
    <row r="15641" spans="1:2" ht="12.75" customHeight="1" x14ac:dyDescent="0.25">
      <c r="A15641" s="318">
        <v>95225421898</v>
      </c>
      <c r="B15641" s="318" t="s">
        <v>237</v>
      </c>
    </row>
    <row r="15642" spans="1:2" ht="12.75" customHeight="1" x14ac:dyDescent="0.25">
      <c r="A15642" s="318">
        <v>95225421899</v>
      </c>
      <c r="B15642" s="318" t="s">
        <v>237</v>
      </c>
    </row>
    <row r="15643" spans="1:2" ht="12.75" customHeight="1" x14ac:dyDescent="0.25">
      <c r="A15643" s="318">
        <v>95225421900</v>
      </c>
      <c r="B15643" s="318" t="s">
        <v>237</v>
      </c>
    </row>
    <row r="15644" spans="1:2" ht="12.75" customHeight="1" x14ac:dyDescent="0.25">
      <c r="A15644" s="318">
        <v>95225421901</v>
      </c>
      <c r="B15644" s="318" t="s">
        <v>237</v>
      </c>
    </row>
    <row r="15645" spans="1:2" ht="12.75" customHeight="1" x14ac:dyDescent="0.25">
      <c r="A15645" s="318">
        <v>95225421902</v>
      </c>
      <c r="B15645" s="318" t="s">
        <v>237</v>
      </c>
    </row>
    <row r="15646" spans="1:2" ht="12.75" customHeight="1" x14ac:dyDescent="0.25">
      <c r="A15646" s="318">
        <v>95225421904</v>
      </c>
      <c r="B15646" s="318" t="s">
        <v>237</v>
      </c>
    </row>
    <row r="15647" spans="1:2" ht="12.75" customHeight="1" x14ac:dyDescent="0.25">
      <c r="A15647" s="318">
        <v>95225421905</v>
      </c>
      <c r="B15647" s="318" t="s">
        <v>237</v>
      </c>
    </row>
    <row r="15648" spans="1:2" ht="12.75" customHeight="1" x14ac:dyDescent="0.25">
      <c r="A15648" s="318">
        <v>95225421906</v>
      </c>
      <c r="B15648" s="318" t="s">
        <v>237</v>
      </c>
    </row>
    <row r="15649" spans="1:2" ht="12.75" customHeight="1" x14ac:dyDescent="0.25">
      <c r="A15649" s="318">
        <v>95225421907</v>
      </c>
      <c r="B15649" s="318" t="s">
        <v>237</v>
      </c>
    </row>
    <row r="15650" spans="1:2" ht="12.75" customHeight="1" x14ac:dyDescent="0.25">
      <c r="A15650" s="318">
        <v>95225421908</v>
      </c>
      <c r="B15650" s="318" t="s">
        <v>237</v>
      </c>
    </row>
    <row r="15651" spans="1:2" ht="12.75" customHeight="1" x14ac:dyDescent="0.25">
      <c r="A15651" s="318">
        <v>95225421909</v>
      </c>
      <c r="B15651" s="318" t="s">
        <v>237</v>
      </c>
    </row>
    <row r="15652" spans="1:2" ht="12.75" customHeight="1" x14ac:dyDescent="0.25">
      <c r="A15652" s="318">
        <v>95225421910</v>
      </c>
      <c r="B15652" s="318" t="s">
        <v>237</v>
      </c>
    </row>
    <row r="15653" spans="1:2" ht="12.75" customHeight="1" x14ac:dyDescent="0.25">
      <c r="A15653" s="318">
        <v>95225421911</v>
      </c>
      <c r="B15653" s="318" t="s">
        <v>237</v>
      </c>
    </row>
    <row r="15654" spans="1:2" ht="12.75" customHeight="1" x14ac:dyDescent="0.25">
      <c r="A15654" s="318">
        <v>95225902768</v>
      </c>
      <c r="B15654" s="318" t="s">
        <v>23</v>
      </c>
    </row>
    <row r="15655" spans="1:2" ht="12.75" customHeight="1" x14ac:dyDescent="0.25">
      <c r="A15655" s="318">
        <v>95225902769</v>
      </c>
      <c r="B15655" s="318" t="s">
        <v>23</v>
      </c>
    </row>
    <row r="15656" spans="1:2" ht="12.75" customHeight="1" x14ac:dyDescent="0.25">
      <c r="A15656" s="318">
        <v>95225902770</v>
      </c>
      <c r="B15656" s="318" t="s">
        <v>23</v>
      </c>
    </row>
    <row r="15657" spans="1:2" ht="12.75" customHeight="1" x14ac:dyDescent="0.25">
      <c r="A15657" s="318">
        <v>95225902771</v>
      </c>
      <c r="B15657" s="318" t="s">
        <v>23</v>
      </c>
    </row>
    <row r="15658" spans="1:2" ht="12.75" customHeight="1" x14ac:dyDescent="0.25">
      <c r="A15658" s="318">
        <v>95225902772</v>
      </c>
      <c r="B15658" s="318" t="s">
        <v>23</v>
      </c>
    </row>
    <row r="15659" spans="1:2" ht="12.75" customHeight="1" x14ac:dyDescent="0.25">
      <c r="A15659" s="318">
        <v>95225902773</v>
      </c>
      <c r="B15659" s="318" t="s">
        <v>23</v>
      </c>
    </row>
    <row r="15660" spans="1:2" ht="12.75" customHeight="1" x14ac:dyDescent="0.25">
      <c r="A15660" s="318">
        <v>95225902774</v>
      </c>
      <c r="B15660" s="318" t="s">
        <v>23</v>
      </c>
    </row>
    <row r="15661" spans="1:2" ht="12.75" customHeight="1" x14ac:dyDescent="0.25">
      <c r="A15661" s="318">
        <v>95225902775</v>
      </c>
      <c r="B15661" s="318" t="s">
        <v>23</v>
      </c>
    </row>
    <row r="15662" spans="1:2" ht="12.75" customHeight="1" x14ac:dyDescent="0.25">
      <c r="A15662" s="318">
        <v>95225902777</v>
      </c>
      <c r="B15662" s="318" t="s">
        <v>23</v>
      </c>
    </row>
    <row r="15663" spans="1:2" ht="12.75" customHeight="1" x14ac:dyDescent="0.25">
      <c r="A15663" s="318">
        <v>95225902778</v>
      </c>
      <c r="B15663" s="318" t="s">
        <v>23</v>
      </c>
    </row>
    <row r="15664" spans="1:2" ht="12.75" customHeight="1" x14ac:dyDescent="0.25">
      <c r="A15664" s="318">
        <v>95225902779</v>
      </c>
      <c r="B15664" s="318" t="s">
        <v>23</v>
      </c>
    </row>
    <row r="15665" spans="1:2" ht="12.75" customHeight="1" x14ac:dyDescent="0.25">
      <c r="A15665" s="318">
        <v>95225902780</v>
      </c>
      <c r="B15665" s="318" t="s">
        <v>23</v>
      </c>
    </row>
    <row r="15666" spans="1:2" ht="12.75" customHeight="1" x14ac:dyDescent="0.25">
      <c r="A15666" s="318">
        <v>95225902781</v>
      </c>
      <c r="B15666" s="318" t="s">
        <v>23</v>
      </c>
    </row>
    <row r="15667" spans="1:2" ht="12.75" customHeight="1" x14ac:dyDescent="0.25">
      <c r="A15667" s="318">
        <v>95225902782</v>
      </c>
      <c r="B15667" s="318" t="s">
        <v>23</v>
      </c>
    </row>
    <row r="15668" spans="1:2" ht="12.75" customHeight="1" x14ac:dyDescent="0.25">
      <c r="A15668" s="318">
        <v>95225902783</v>
      </c>
      <c r="B15668" s="318" t="s">
        <v>23</v>
      </c>
    </row>
    <row r="15669" spans="1:2" ht="12.75" customHeight="1" x14ac:dyDescent="0.25">
      <c r="A15669" s="318">
        <v>95225902784</v>
      </c>
      <c r="B15669" s="318" t="s">
        <v>23</v>
      </c>
    </row>
    <row r="15670" spans="1:2" ht="12.75" customHeight="1" x14ac:dyDescent="0.25">
      <c r="A15670" s="318">
        <v>95225902868</v>
      </c>
      <c r="B15670" s="318" t="s">
        <v>237</v>
      </c>
    </row>
    <row r="15671" spans="1:2" ht="12.75" customHeight="1" x14ac:dyDescent="0.25">
      <c r="A15671" s="318">
        <v>95225902869</v>
      </c>
      <c r="B15671" s="318" t="s">
        <v>237</v>
      </c>
    </row>
    <row r="15672" spans="1:2" ht="12.75" customHeight="1" x14ac:dyDescent="0.25">
      <c r="A15672" s="318">
        <v>95225902870</v>
      </c>
      <c r="B15672" s="318" t="s">
        <v>237</v>
      </c>
    </row>
    <row r="15673" spans="1:2" ht="12.75" customHeight="1" x14ac:dyDescent="0.25">
      <c r="A15673" s="318">
        <v>95225902871</v>
      </c>
      <c r="B15673" s="318" t="s">
        <v>237</v>
      </c>
    </row>
    <row r="15674" spans="1:2" ht="12.75" customHeight="1" x14ac:dyDescent="0.25">
      <c r="A15674" s="318">
        <v>95225902872</v>
      </c>
      <c r="B15674" s="318" t="s">
        <v>237</v>
      </c>
    </row>
    <row r="15675" spans="1:2" ht="12.75" customHeight="1" x14ac:dyDescent="0.25">
      <c r="A15675" s="318">
        <v>95225902873</v>
      </c>
      <c r="B15675" s="318" t="s">
        <v>237</v>
      </c>
    </row>
    <row r="15676" spans="1:2" ht="12.75" customHeight="1" x14ac:dyDescent="0.25">
      <c r="A15676" s="318">
        <v>95225902874</v>
      </c>
      <c r="B15676" s="318" t="s">
        <v>237</v>
      </c>
    </row>
    <row r="15677" spans="1:2" ht="12.75" customHeight="1" x14ac:dyDescent="0.25">
      <c r="A15677" s="318">
        <v>95225902875</v>
      </c>
      <c r="B15677" s="318" t="s">
        <v>237</v>
      </c>
    </row>
    <row r="15678" spans="1:2" ht="12.75" customHeight="1" x14ac:dyDescent="0.25">
      <c r="A15678" s="318">
        <v>95225902877</v>
      </c>
      <c r="B15678" s="318" t="s">
        <v>237</v>
      </c>
    </row>
    <row r="15679" spans="1:2" ht="12.75" customHeight="1" x14ac:dyDescent="0.25">
      <c r="A15679" s="318">
        <v>95225902878</v>
      </c>
      <c r="B15679" s="318" t="s">
        <v>237</v>
      </c>
    </row>
    <row r="15680" spans="1:2" ht="12.75" customHeight="1" x14ac:dyDescent="0.25">
      <c r="A15680" s="318">
        <v>95225902879</v>
      </c>
      <c r="B15680" s="318" t="s">
        <v>237</v>
      </c>
    </row>
    <row r="15681" spans="1:2" ht="12.75" customHeight="1" x14ac:dyDescent="0.25">
      <c r="A15681" s="318">
        <v>95225902880</v>
      </c>
      <c r="B15681" s="318" t="s">
        <v>237</v>
      </c>
    </row>
    <row r="15682" spans="1:2" ht="12.75" customHeight="1" x14ac:dyDescent="0.25">
      <c r="A15682" s="318">
        <v>95225902881</v>
      </c>
      <c r="B15682" s="318" t="s">
        <v>237</v>
      </c>
    </row>
    <row r="15683" spans="1:2" ht="12.75" customHeight="1" x14ac:dyDescent="0.25">
      <c r="A15683" s="318">
        <v>95225902882</v>
      </c>
      <c r="B15683" s="318" t="s">
        <v>237</v>
      </c>
    </row>
    <row r="15684" spans="1:2" ht="12.75" customHeight="1" x14ac:dyDescent="0.25">
      <c r="A15684" s="318">
        <v>95225902883</v>
      </c>
      <c r="B15684" s="318" t="s">
        <v>237</v>
      </c>
    </row>
    <row r="15685" spans="1:2" ht="12.75" customHeight="1" x14ac:dyDescent="0.25">
      <c r="A15685" s="318">
        <v>95225902884</v>
      </c>
      <c r="B15685" s="318" t="s">
        <v>237</v>
      </c>
    </row>
    <row r="15686" spans="1:2" ht="12.75" customHeight="1" x14ac:dyDescent="0.25">
      <c r="A15686" s="318">
        <v>95226383741</v>
      </c>
      <c r="B15686" s="318" t="s">
        <v>23</v>
      </c>
    </row>
    <row r="15687" spans="1:2" ht="12.75" customHeight="1" x14ac:dyDescent="0.25">
      <c r="A15687" s="318">
        <v>95226383742</v>
      </c>
      <c r="B15687" s="318" t="s">
        <v>23</v>
      </c>
    </row>
    <row r="15688" spans="1:2" ht="12.75" customHeight="1" x14ac:dyDescent="0.25">
      <c r="A15688" s="318">
        <v>95226383743</v>
      </c>
      <c r="B15688" s="318" t="s">
        <v>23</v>
      </c>
    </row>
    <row r="15689" spans="1:2" ht="12.75" customHeight="1" x14ac:dyDescent="0.25">
      <c r="A15689" s="318">
        <v>95226383744</v>
      </c>
      <c r="B15689" s="318" t="s">
        <v>23</v>
      </c>
    </row>
    <row r="15690" spans="1:2" ht="12.75" customHeight="1" x14ac:dyDescent="0.25">
      <c r="A15690" s="318">
        <v>95226383745</v>
      </c>
      <c r="B15690" s="318" t="s">
        <v>23</v>
      </c>
    </row>
    <row r="15691" spans="1:2" ht="12.75" customHeight="1" x14ac:dyDescent="0.25">
      <c r="A15691" s="318">
        <v>95226383746</v>
      </c>
      <c r="B15691" s="318" t="s">
        <v>23</v>
      </c>
    </row>
    <row r="15692" spans="1:2" ht="12.75" customHeight="1" x14ac:dyDescent="0.25">
      <c r="A15692" s="318">
        <v>95226383747</v>
      </c>
      <c r="B15692" s="318" t="s">
        <v>23</v>
      </c>
    </row>
    <row r="15693" spans="1:2" ht="12.75" customHeight="1" x14ac:dyDescent="0.25">
      <c r="A15693" s="318">
        <v>95226383748</v>
      </c>
      <c r="B15693" s="318" t="s">
        <v>23</v>
      </c>
    </row>
    <row r="15694" spans="1:2" ht="12.75" customHeight="1" x14ac:dyDescent="0.25">
      <c r="A15694" s="318">
        <v>95226383750</v>
      </c>
      <c r="B15694" s="318" t="s">
        <v>23</v>
      </c>
    </row>
    <row r="15695" spans="1:2" ht="12.75" customHeight="1" x14ac:dyDescent="0.25">
      <c r="A15695" s="318">
        <v>95226383751</v>
      </c>
      <c r="B15695" s="318" t="s">
        <v>23</v>
      </c>
    </row>
    <row r="15696" spans="1:2" ht="12.75" customHeight="1" x14ac:dyDescent="0.25">
      <c r="A15696" s="318">
        <v>95226383752</v>
      </c>
      <c r="B15696" s="318" t="s">
        <v>23</v>
      </c>
    </row>
    <row r="15697" spans="1:2" ht="12.75" customHeight="1" x14ac:dyDescent="0.25">
      <c r="A15697" s="318">
        <v>95226383753</v>
      </c>
      <c r="B15697" s="318" t="s">
        <v>23</v>
      </c>
    </row>
    <row r="15698" spans="1:2" ht="12.75" customHeight="1" x14ac:dyDescent="0.25">
      <c r="A15698" s="318">
        <v>95226383754</v>
      </c>
      <c r="B15698" s="318" t="s">
        <v>23</v>
      </c>
    </row>
    <row r="15699" spans="1:2" ht="12.75" customHeight="1" x14ac:dyDescent="0.25">
      <c r="A15699" s="318">
        <v>95226383755</v>
      </c>
      <c r="B15699" s="318" t="s">
        <v>23</v>
      </c>
    </row>
    <row r="15700" spans="1:2" ht="12.75" customHeight="1" x14ac:dyDescent="0.25">
      <c r="A15700" s="318">
        <v>95226383756</v>
      </c>
      <c r="B15700" s="318" t="s">
        <v>23</v>
      </c>
    </row>
    <row r="15701" spans="1:2" ht="12.75" customHeight="1" x14ac:dyDescent="0.25">
      <c r="A15701" s="318">
        <v>95226383757</v>
      </c>
      <c r="B15701" s="318" t="s">
        <v>23</v>
      </c>
    </row>
    <row r="15702" spans="1:2" ht="12.75" customHeight="1" x14ac:dyDescent="0.25">
      <c r="A15702" s="318">
        <v>95226383841</v>
      </c>
      <c r="B15702" s="318" t="s">
        <v>237</v>
      </c>
    </row>
    <row r="15703" spans="1:2" ht="12.75" customHeight="1" x14ac:dyDescent="0.25">
      <c r="A15703" s="318">
        <v>95226383842</v>
      </c>
      <c r="B15703" s="318" t="s">
        <v>237</v>
      </c>
    </row>
    <row r="15704" spans="1:2" ht="12.75" customHeight="1" x14ac:dyDescent="0.25">
      <c r="A15704" s="318">
        <v>95226383843</v>
      </c>
      <c r="B15704" s="318" t="s">
        <v>237</v>
      </c>
    </row>
    <row r="15705" spans="1:2" ht="12.75" customHeight="1" x14ac:dyDescent="0.25">
      <c r="A15705" s="318">
        <v>95226383844</v>
      </c>
      <c r="B15705" s="318" t="s">
        <v>237</v>
      </c>
    </row>
    <row r="15706" spans="1:2" ht="12.75" customHeight="1" x14ac:dyDescent="0.25">
      <c r="A15706" s="318">
        <v>95226383845</v>
      </c>
      <c r="B15706" s="318" t="s">
        <v>237</v>
      </c>
    </row>
    <row r="15707" spans="1:2" ht="12.75" customHeight="1" x14ac:dyDescent="0.25">
      <c r="A15707" s="318">
        <v>95226383846</v>
      </c>
      <c r="B15707" s="318" t="s">
        <v>237</v>
      </c>
    </row>
    <row r="15708" spans="1:2" ht="12.75" customHeight="1" x14ac:dyDescent="0.25">
      <c r="A15708" s="318">
        <v>95226383847</v>
      </c>
      <c r="B15708" s="318" t="s">
        <v>237</v>
      </c>
    </row>
    <row r="15709" spans="1:2" ht="12.75" customHeight="1" x14ac:dyDescent="0.25">
      <c r="A15709" s="318">
        <v>95226383848</v>
      </c>
      <c r="B15709" s="318" t="s">
        <v>237</v>
      </c>
    </row>
    <row r="15710" spans="1:2" ht="12.75" customHeight="1" x14ac:dyDescent="0.25">
      <c r="A15710" s="318">
        <v>95226383850</v>
      </c>
      <c r="B15710" s="318" t="s">
        <v>237</v>
      </c>
    </row>
    <row r="15711" spans="1:2" ht="12.75" customHeight="1" x14ac:dyDescent="0.25">
      <c r="A15711" s="318">
        <v>95226383851</v>
      </c>
      <c r="B15711" s="318" t="s">
        <v>237</v>
      </c>
    </row>
    <row r="15712" spans="1:2" ht="12.75" customHeight="1" x14ac:dyDescent="0.25">
      <c r="A15712" s="318">
        <v>95226383852</v>
      </c>
      <c r="B15712" s="318" t="s">
        <v>237</v>
      </c>
    </row>
    <row r="15713" spans="1:2" ht="12.75" customHeight="1" x14ac:dyDescent="0.25">
      <c r="A15713" s="318">
        <v>95226383853</v>
      </c>
      <c r="B15713" s="318" t="s">
        <v>237</v>
      </c>
    </row>
    <row r="15714" spans="1:2" ht="12.75" customHeight="1" x14ac:dyDescent="0.25">
      <c r="A15714" s="318">
        <v>95226383854</v>
      </c>
      <c r="B15714" s="318" t="s">
        <v>237</v>
      </c>
    </row>
    <row r="15715" spans="1:2" ht="12.75" customHeight="1" x14ac:dyDescent="0.25">
      <c r="A15715" s="318">
        <v>95226383855</v>
      </c>
      <c r="B15715" s="318" t="s">
        <v>237</v>
      </c>
    </row>
    <row r="15716" spans="1:2" ht="12.75" customHeight="1" x14ac:dyDescent="0.25">
      <c r="A15716" s="318">
        <v>95226383856</v>
      </c>
      <c r="B15716" s="318" t="s">
        <v>237</v>
      </c>
    </row>
    <row r="15717" spans="1:2" ht="12.75" customHeight="1" x14ac:dyDescent="0.25">
      <c r="A15717" s="318">
        <v>95226383857</v>
      </c>
      <c r="B15717" s="318" t="s">
        <v>237</v>
      </c>
    </row>
    <row r="15718" spans="1:2" ht="12.75" customHeight="1" x14ac:dyDescent="0.25">
      <c r="A15718" s="318">
        <v>95227744122</v>
      </c>
      <c r="B15718" s="318" t="s">
        <v>23</v>
      </c>
    </row>
    <row r="15719" spans="1:2" ht="12.75" customHeight="1" x14ac:dyDescent="0.25">
      <c r="A15719" s="318">
        <v>95227744123</v>
      </c>
      <c r="B15719" s="318" t="s">
        <v>23</v>
      </c>
    </row>
    <row r="15720" spans="1:2" ht="12.75" customHeight="1" x14ac:dyDescent="0.25">
      <c r="A15720" s="318">
        <v>95227744124</v>
      </c>
      <c r="B15720" s="318" t="s">
        <v>23</v>
      </c>
    </row>
    <row r="15721" spans="1:2" ht="12.75" customHeight="1" x14ac:dyDescent="0.25">
      <c r="A15721" s="318">
        <v>95227744125</v>
      </c>
      <c r="B15721" s="318" t="s">
        <v>23</v>
      </c>
    </row>
    <row r="15722" spans="1:2" ht="12.75" customHeight="1" x14ac:dyDescent="0.25">
      <c r="A15722" s="318">
        <v>95227744126</v>
      </c>
      <c r="B15722" s="318" t="s">
        <v>23</v>
      </c>
    </row>
    <row r="15723" spans="1:2" ht="12.75" customHeight="1" x14ac:dyDescent="0.25">
      <c r="A15723" s="318">
        <v>95227744127</v>
      </c>
      <c r="B15723" s="318" t="s">
        <v>23</v>
      </c>
    </row>
    <row r="15724" spans="1:2" ht="12.75" customHeight="1" x14ac:dyDescent="0.25">
      <c r="A15724" s="318">
        <v>95227744128</v>
      </c>
      <c r="B15724" s="318" t="s">
        <v>23</v>
      </c>
    </row>
    <row r="15725" spans="1:2" ht="12.75" customHeight="1" x14ac:dyDescent="0.25">
      <c r="A15725" s="318">
        <v>95227744129</v>
      </c>
      <c r="B15725" s="318" t="s">
        <v>23</v>
      </c>
    </row>
    <row r="15726" spans="1:2" ht="12.75" customHeight="1" x14ac:dyDescent="0.25">
      <c r="A15726" s="318">
        <v>95227744131</v>
      </c>
      <c r="B15726" s="318" t="s">
        <v>23</v>
      </c>
    </row>
    <row r="15727" spans="1:2" ht="12.75" customHeight="1" x14ac:dyDescent="0.25">
      <c r="A15727" s="318">
        <v>95227744132</v>
      </c>
      <c r="B15727" s="318" t="s">
        <v>23</v>
      </c>
    </row>
    <row r="15728" spans="1:2" ht="12.75" customHeight="1" x14ac:dyDescent="0.25">
      <c r="A15728" s="318">
        <v>95227744133</v>
      </c>
      <c r="B15728" s="318" t="s">
        <v>23</v>
      </c>
    </row>
    <row r="15729" spans="1:2" ht="12.75" customHeight="1" x14ac:dyDescent="0.25">
      <c r="A15729" s="318">
        <v>95227744134</v>
      </c>
      <c r="B15729" s="318" t="s">
        <v>23</v>
      </c>
    </row>
    <row r="15730" spans="1:2" ht="12.75" customHeight="1" x14ac:dyDescent="0.25">
      <c r="A15730" s="318">
        <v>95227744135</v>
      </c>
      <c r="B15730" s="318" t="s">
        <v>23</v>
      </c>
    </row>
    <row r="15731" spans="1:2" ht="12.75" customHeight="1" x14ac:dyDescent="0.25">
      <c r="A15731" s="318">
        <v>95227744136</v>
      </c>
      <c r="B15731" s="318" t="s">
        <v>23</v>
      </c>
    </row>
    <row r="15732" spans="1:2" ht="12.75" customHeight="1" x14ac:dyDescent="0.25">
      <c r="A15732" s="318">
        <v>95227744137</v>
      </c>
      <c r="B15732" s="318" t="s">
        <v>23</v>
      </c>
    </row>
    <row r="15733" spans="1:2" ht="12.75" customHeight="1" x14ac:dyDescent="0.25">
      <c r="A15733" s="318">
        <v>95227744138</v>
      </c>
      <c r="B15733" s="318" t="s">
        <v>23</v>
      </c>
    </row>
    <row r="15734" spans="1:2" ht="12.75" customHeight="1" x14ac:dyDescent="0.25">
      <c r="A15734" s="318">
        <v>95227744222</v>
      </c>
      <c r="B15734" s="318" t="s">
        <v>237</v>
      </c>
    </row>
    <row r="15735" spans="1:2" ht="12.75" customHeight="1" x14ac:dyDescent="0.25">
      <c r="A15735" s="318">
        <v>95227744223</v>
      </c>
      <c r="B15735" s="318" t="s">
        <v>237</v>
      </c>
    </row>
    <row r="15736" spans="1:2" ht="12.75" customHeight="1" x14ac:dyDescent="0.25">
      <c r="A15736" s="318">
        <v>95227744224</v>
      </c>
      <c r="B15736" s="318" t="s">
        <v>237</v>
      </c>
    </row>
    <row r="15737" spans="1:2" ht="12.75" customHeight="1" x14ac:dyDescent="0.25">
      <c r="A15737" s="318">
        <v>95227744225</v>
      </c>
      <c r="B15737" s="318" t="s">
        <v>237</v>
      </c>
    </row>
    <row r="15738" spans="1:2" ht="12.75" customHeight="1" x14ac:dyDescent="0.25">
      <c r="A15738" s="318">
        <v>95227744226</v>
      </c>
      <c r="B15738" s="318" t="s">
        <v>237</v>
      </c>
    </row>
    <row r="15739" spans="1:2" ht="12.75" customHeight="1" x14ac:dyDescent="0.25">
      <c r="A15739" s="318">
        <v>95227744227</v>
      </c>
      <c r="B15739" s="318" t="s">
        <v>237</v>
      </c>
    </row>
    <row r="15740" spans="1:2" ht="12.75" customHeight="1" x14ac:dyDescent="0.25">
      <c r="A15740" s="318">
        <v>95227744228</v>
      </c>
      <c r="B15740" s="318" t="s">
        <v>237</v>
      </c>
    </row>
    <row r="15741" spans="1:2" ht="12.75" customHeight="1" x14ac:dyDescent="0.25">
      <c r="A15741" s="318">
        <v>95227744229</v>
      </c>
      <c r="B15741" s="318" t="s">
        <v>237</v>
      </c>
    </row>
    <row r="15742" spans="1:2" ht="12.75" customHeight="1" x14ac:dyDescent="0.25">
      <c r="A15742" s="318">
        <v>95227744231</v>
      </c>
      <c r="B15742" s="318" t="s">
        <v>237</v>
      </c>
    </row>
    <row r="15743" spans="1:2" ht="12.75" customHeight="1" x14ac:dyDescent="0.25">
      <c r="A15743" s="318">
        <v>95227744232</v>
      </c>
      <c r="B15743" s="318" t="s">
        <v>237</v>
      </c>
    </row>
    <row r="15744" spans="1:2" ht="12.75" customHeight="1" x14ac:dyDescent="0.25">
      <c r="A15744" s="318">
        <v>95227744233</v>
      </c>
      <c r="B15744" s="318" t="s">
        <v>237</v>
      </c>
    </row>
    <row r="15745" spans="1:2" ht="12.75" customHeight="1" x14ac:dyDescent="0.25">
      <c r="A15745" s="318">
        <v>95227744234</v>
      </c>
      <c r="B15745" s="318" t="s">
        <v>237</v>
      </c>
    </row>
    <row r="15746" spans="1:2" ht="12.75" customHeight="1" x14ac:dyDescent="0.25">
      <c r="A15746" s="318">
        <v>95227744235</v>
      </c>
      <c r="B15746" s="318" t="s">
        <v>237</v>
      </c>
    </row>
    <row r="15747" spans="1:2" ht="12.75" customHeight="1" x14ac:dyDescent="0.25">
      <c r="A15747" s="318">
        <v>95227744236</v>
      </c>
      <c r="B15747" s="318" t="s">
        <v>237</v>
      </c>
    </row>
    <row r="15748" spans="1:2" ht="12.75" customHeight="1" x14ac:dyDescent="0.25">
      <c r="A15748" s="318">
        <v>95227744237</v>
      </c>
      <c r="B15748" s="318" t="s">
        <v>237</v>
      </c>
    </row>
    <row r="15749" spans="1:2" ht="12.75" customHeight="1" x14ac:dyDescent="0.25">
      <c r="A15749" s="318">
        <v>95227744238</v>
      </c>
      <c r="B15749" s="318" t="s">
        <v>237</v>
      </c>
    </row>
    <row r="15750" spans="1:2" ht="12.75" customHeight="1" x14ac:dyDescent="0.25">
      <c r="A15750" s="318">
        <v>95228225095</v>
      </c>
      <c r="B15750" s="318" t="s">
        <v>23</v>
      </c>
    </row>
    <row r="15751" spans="1:2" ht="12.75" customHeight="1" x14ac:dyDescent="0.25">
      <c r="A15751" s="318">
        <v>95228225096</v>
      </c>
      <c r="B15751" s="318" t="s">
        <v>23</v>
      </c>
    </row>
    <row r="15752" spans="1:2" ht="12.75" customHeight="1" x14ac:dyDescent="0.25">
      <c r="A15752" s="318">
        <v>95228225097</v>
      </c>
      <c r="B15752" s="318" t="s">
        <v>23</v>
      </c>
    </row>
    <row r="15753" spans="1:2" ht="12.75" customHeight="1" x14ac:dyDescent="0.25">
      <c r="A15753" s="318">
        <v>95228225098</v>
      </c>
      <c r="B15753" s="318" t="s">
        <v>23</v>
      </c>
    </row>
    <row r="15754" spans="1:2" ht="12.75" customHeight="1" x14ac:dyDescent="0.25">
      <c r="A15754" s="318">
        <v>95228225099</v>
      </c>
      <c r="B15754" s="318" t="s">
        <v>23</v>
      </c>
    </row>
    <row r="15755" spans="1:2" ht="12.75" customHeight="1" x14ac:dyDescent="0.25">
      <c r="A15755" s="318">
        <v>95228225100</v>
      </c>
      <c r="B15755" s="318" t="s">
        <v>23</v>
      </c>
    </row>
    <row r="15756" spans="1:2" ht="12.75" customHeight="1" x14ac:dyDescent="0.25">
      <c r="A15756" s="318">
        <v>95228225101</v>
      </c>
      <c r="B15756" s="318" t="s">
        <v>23</v>
      </c>
    </row>
    <row r="15757" spans="1:2" ht="12.75" customHeight="1" x14ac:dyDescent="0.25">
      <c r="A15757" s="318">
        <v>95228225102</v>
      </c>
      <c r="B15757" s="318" t="s">
        <v>23</v>
      </c>
    </row>
    <row r="15758" spans="1:2" ht="12.75" customHeight="1" x14ac:dyDescent="0.25">
      <c r="A15758" s="318">
        <v>95228225104</v>
      </c>
      <c r="B15758" s="318" t="s">
        <v>23</v>
      </c>
    </row>
    <row r="15759" spans="1:2" ht="12.75" customHeight="1" x14ac:dyDescent="0.25">
      <c r="A15759" s="318">
        <v>95228225105</v>
      </c>
      <c r="B15759" s="318" t="s">
        <v>23</v>
      </c>
    </row>
    <row r="15760" spans="1:2" ht="12.75" customHeight="1" x14ac:dyDescent="0.25">
      <c r="A15760" s="318">
        <v>95228225106</v>
      </c>
      <c r="B15760" s="318" t="s">
        <v>23</v>
      </c>
    </row>
    <row r="15761" spans="1:2" ht="12.75" customHeight="1" x14ac:dyDescent="0.25">
      <c r="A15761" s="318">
        <v>95228225107</v>
      </c>
      <c r="B15761" s="318" t="s">
        <v>23</v>
      </c>
    </row>
    <row r="15762" spans="1:2" ht="12.75" customHeight="1" x14ac:dyDescent="0.25">
      <c r="A15762" s="318">
        <v>95228225108</v>
      </c>
      <c r="B15762" s="318" t="s">
        <v>23</v>
      </c>
    </row>
    <row r="15763" spans="1:2" ht="12.75" customHeight="1" x14ac:dyDescent="0.25">
      <c r="A15763" s="318">
        <v>95228225109</v>
      </c>
      <c r="B15763" s="318" t="s">
        <v>23</v>
      </c>
    </row>
    <row r="15764" spans="1:2" ht="12.75" customHeight="1" x14ac:dyDescent="0.25">
      <c r="A15764" s="318">
        <v>95228225110</v>
      </c>
      <c r="B15764" s="318" t="s">
        <v>23</v>
      </c>
    </row>
    <row r="15765" spans="1:2" ht="12.75" customHeight="1" x14ac:dyDescent="0.25">
      <c r="A15765" s="318">
        <v>95228225111</v>
      </c>
      <c r="B15765" s="318" t="s">
        <v>23</v>
      </c>
    </row>
    <row r="15766" spans="1:2" ht="12.75" customHeight="1" x14ac:dyDescent="0.25">
      <c r="A15766" s="318">
        <v>95228225195</v>
      </c>
      <c r="B15766" s="318" t="s">
        <v>237</v>
      </c>
    </row>
    <row r="15767" spans="1:2" ht="12.75" customHeight="1" x14ac:dyDescent="0.25">
      <c r="A15767" s="318">
        <v>95228225196</v>
      </c>
      <c r="B15767" s="318" t="s">
        <v>237</v>
      </c>
    </row>
    <row r="15768" spans="1:2" ht="12.75" customHeight="1" x14ac:dyDescent="0.25">
      <c r="A15768" s="318">
        <v>95228225197</v>
      </c>
      <c r="B15768" s="318" t="s">
        <v>237</v>
      </c>
    </row>
    <row r="15769" spans="1:2" ht="12.75" customHeight="1" x14ac:dyDescent="0.25">
      <c r="A15769" s="318">
        <v>95228225198</v>
      </c>
      <c r="B15769" s="318" t="s">
        <v>237</v>
      </c>
    </row>
    <row r="15770" spans="1:2" ht="12.75" customHeight="1" x14ac:dyDescent="0.25">
      <c r="A15770" s="318">
        <v>95228225199</v>
      </c>
      <c r="B15770" s="318" t="s">
        <v>237</v>
      </c>
    </row>
    <row r="15771" spans="1:2" ht="12.75" customHeight="1" x14ac:dyDescent="0.25">
      <c r="A15771" s="318">
        <v>95228225200</v>
      </c>
      <c r="B15771" s="318" t="s">
        <v>237</v>
      </c>
    </row>
    <row r="15772" spans="1:2" ht="12.75" customHeight="1" x14ac:dyDescent="0.25">
      <c r="A15772" s="318">
        <v>95228225201</v>
      </c>
      <c r="B15772" s="318" t="s">
        <v>237</v>
      </c>
    </row>
    <row r="15773" spans="1:2" ht="12.75" customHeight="1" x14ac:dyDescent="0.25">
      <c r="A15773" s="318">
        <v>95228225202</v>
      </c>
      <c r="B15773" s="318" t="s">
        <v>237</v>
      </c>
    </row>
    <row r="15774" spans="1:2" ht="12.75" customHeight="1" x14ac:dyDescent="0.25">
      <c r="A15774" s="318">
        <v>95228225204</v>
      </c>
      <c r="B15774" s="318" t="s">
        <v>237</v>
      </c>
    </row>
    <row r="15775" spans="1:2" ht="12.75" customHeight="1" x14ac:dyDescent="0.25">
      <c r="A15775" s="318">
        <v>95228225205</v>
      </c>
      <c r="B15775" s="318" t="s">
        <v>237</v>
      </c>
    </row>
    <row r="15776" spans="1:2" ht="12.75" customHeight="1" x14ac:dyDescent="0.25">
      <c r="A15776" s="318">
        <v>95228225206</v>
      </c>
      <c r="B15776" s="318" t="s">
        <v>237</v>
      </c>
    </row>
    <row r="15777" spans="1:2" ht="12.75" customHeight="1" x14ac:dyDescent="0.25">
      <c r="A15777" s="318">
        <v>95228225207</v>
      </c>
      <c r="B15777" s="318" t="s">
        <v>237</v>
      </c>
    </row>
    <row r="15778" spans="1:2" ht="12.75" customHeight="1" x14ac:dyDescent="0.25">
      <c r="A15778" s="318">
        <v>95228225208</v>
      </c>
      <c r="B15778" s="318" t="s">
        <v>237</v>
      </c>
    </row>
    <row r="15779" spans="1:2" ht="12.75" customHeight="1" x14ac:dyDescent="0.25">
      <c r="A15779" s="318">
        <v>95228225209</v>
      </c>
      <c r="B15779" s="318" t="s">
        <v>237</v>
      </c>
    </row>
    <row r="15780" spans="1:2" ht="12.75" customHeight="1" x14ac:dyDescent="0.25">
      <c r="A15780" s="318">
        <v>95228225210</v>
      </c>
      <c r="B15780" s="318" t="s">
        <v>237</v>
      </c>
    </row>
    <row r="15781" spans="1:2" ht="12.75" customHeight="1" x14ac:dyDescent="0.25">
      <c r="A15781" s="318">
        <v>95228225211</v>
      </c>
      <c r="B15781" s="318" t="s">
        <v>237</v>
      </c>
    </row>
    <row r="15782" spans="1:2" ht="12.75" customHeight="1" x14ac:dyDescent="0.25">
      <c r="A15782" s="318">
        <v>95228706068</v>
      </c>
      <c r="B15782" s="318" t="s">
        <v>23</v>
      </c>
    </row>
    <row r="15783" spans="1:2" ht="12.75" customHeight="1" x14ac:dyDescent="0.25">
      <c r="A15783" s="318">
        <v>95228706069</v>
      </c>
      <c r="B15783" s="318" t="s">
        <v>23</v>
      </c>
    </row>
    <row r="15784" spans="1:2" ht="12.75" customHeight="1" x14ac:dyDescent="0.25">
      <c r="A15784" s="318">
        <v>95228706070</v>
      </c>
      <c r="B15784" s="318" t="s">
        <v>23</v>
      </c>
    </row>
    <row r="15785" spans="1:2" ht="12.75" customHeight="1" x14ac:dyDescent="0.25">
      <c r="A15785" s="318">
        <v>95228706071</v>
      </c>
      <c r="B15785" s="318" t="s">
        <v>23</v>
      </c>
    </row>
    <row r="15786" spans="1:2" ht="12.75" customHeight="1" x14ac:dyDescent="0.25">
      <c r="A15786" s="318">
        <v>95228706072</v>
      </c>
      <c r="B15786" s="318" t="s">
        <v>23</v>
      </c>
    </row>
    <row r="15787" spans="1:2" ht="12.75" customHeight="1" x14ac:dyDescent="0.25">
      <c r="A15787" s="318">
        <v>95228706073</v>
      </c>
      <c r="B15787" s="318" t="s">
        <v>23</v>
      </c>
    </row>
    <row r="15788" spans="1:2" ht="12.75" customHeight="1" x14ac:dyDescent="0.25">
      <c r="A15788" s="318">
        <v>95228706074</v>
      </c>
      <c r="B15788" s="318" t="s">
        <v>23</v>
      </c>
    </row>
    <row r="15789" spans="1:2" ht="12.75" customHeight="1" x14ac:dyDescent="0.25">
      <c r="A15789" s="318">
        <v>95228706075</v>
      </c>
      <c r="B15789" s="318" t="s">
        <v>23</v>
      </c>
    </row>
    <row r="15790" spans="1:2" ht="12.75" customHeight="1" x14ac:dyDescent="0.25">
      <c r="A15790" s="318">
        <v>95228706077</v>
      </c>
      <c r="B15790" s="318" t="s">
        <v>23</v>
      </c>
    </row>
    <row r="15791" spans="1:2" ht="12.75" customHeight="1" x14ac:dyDescent="0.25">
      <c r="A15791" s="318">
        <v>95228706078</v>
      </c>
      <c r="B15791" s="318" t="s">
        <v>23</v>
      </c>
    </row>
    <row r="15792" spans="1:2" ht="12.75" customHeight="1" x14ac:dyDescent="0.25">
      <c r="A15792" s="318">
        <v>95228706079</v>
      </c>
      <c r="B15792" s="318" t="s">
        <v>23</v>
      </c>
    </row>
    <row r="15793" spans="1:2" ht="12.75" customHeight="1" x14ac:dyDescent="0.25">
      <c r="A15793" s="318">
        <v>95228706080</v>
      </c>
      <c r="B15793" s="318" t="s">
        <v>23</v>
      </c>
    </row>
    <row r="15794" spans="1:2" ht="12.75" customHeight="1" x14ac:dyDescent="0.25">
      <c r="A15794" s="318">
        <v>95228706081</v>
      </c>
      <c r="B15794" s="318" t="s">
        <v>23</v>
      </c>
    </row>
    <row r="15795" spans="1:2" ht="12.75" customHeight="1" x14ac:dyDescent="0.25">
      <c r="A15795" s="318">
        <v>95228706082</v>
      </c>
      <c r="B15795" s="318" t="s">
        <v>23</v>
      </c>
    </row>
    <row r="15796" spans="1:2" ht="12.75" customHeight="1" x14ac:dyDescent="0.25">
      <c r="A15796" s="318">
        <v>95228706083</v>
      </c>
      <c r="B15796" s="318" t="s">
        <v>23</v>
      </c>
    </row>
    <row r="15797" spans="1:2" ht="12.75" customHeight="1" x14ac:dyDescent="0.25">
      <c r="A15797" s="318">
        <v>95228706084</v>
      </c>
      <c r="B15797" s="318" t="s">
        <v>23</v>
      </c>
    </row>
    <row r="15798" spans="1:2" ht="12.75" customHeight="1" x14ac:dyDescent="0.25">
      <c r="A15798" s="318">
        <v>95228706168</v>
      </c>
      <c r="B15798" s="318" t="s">
        <v>237</v>
      </c>
    </row>
    <row r="15799" spans="1:2" ht="12.75" customHeight="1" x14ac:dyDescent="0.25">
      <c r="A15799" s="318">
        <v>95228706169</v>
      </c>
      <c r="B15799" s="318" t="s">
        <v>237</v>
      </c>
    </row>
    <row r="15800" spans="1:2" ht="12.75" customHeight="1" x14ac:dyDescent="0.25">
      <c r="A15800" s="318">
        <v>95228706170</v>
      </c>
      <c r="B15800" s="318" t="s">
        <v>237</v>
      </c>
    </row>
    <row r="15801" spans="1:2" ht="12.75" customHeight="1" x14ac:dyDescent="0.25">
      <c r="A15801" s="318">
        <v>95228706171</v>
      </c>
      <c r="B15801" s="318" t="s">
        <v>237</v>
      </c>
    </row>
    <row r="15802" spans="1:2" ht="12.75" customHeight="1" x14ac:dyDescent="0.25">
      <c r="A15802" s="318">
        <v>95228706172</v>
      </c>
      <c r="B15802" s="318" t="s">
        <v>237</v>
      </c>
    </row>
    <row r="15803" spans="1:2" ht="12.75" customHeight="1" x14ac:dyDescent="0.25">
      <c r="A15803" s="318">
        <v>95228706173</v>
      </c>
      <c r="B15803" s="318" t="s">
        <v>237</v>
      </c>
    </row>
    <row r="15804" spans="1:2" ht="12.75" customHeight="1" x14ac:dyDescent="0.25">
      <c r="A15804" s="318">
        <v>95228706174</v>
      </c>
      <c r="B15804" s="318" t="s">
        <v>237</v>
      </c>
    </row>
    <row r="15805" spans="1:2" ht="12.75" customHeight="1" x14ac:dyDescent="0.25">
      <c r="A15805" s="318">
        <v>95228706175</v>
      </c>
      <c r="B15805" s="318" t="s">
        <v>237</v>
      </c>
    </row>
    <row r="15806" spans="1:2" ht="12.75" customHeight="1" x14ac:dyDescent="0.25">
      <c r="A15806" s="318">
        <v>95228706177</v>
      </c>
      <c r="B15806" s="318" t="s">
        <v>237</v>
      </c>
    </row>
    <row r="15807" spans="1:2" ht="12.75" customHeight="1" x14ac:dyDescent="0.25">
      <c r="A15807" s="318">
        <v>95228706178</v>
      </c>
      <c r="B15807" s="318" t="s">
        <v>237</v>
      </c>
    </row>
    <row r="15808" spans="1:2" ht="12.75" customHeight="1" x14ac:dyDescent="0.25">
      <c r="A15808" s="318">
        <v>95228706179</v>
      </c>
      <c r="B15808" s="318" t="s">
        <v>237</v>
      </c>
    </row>
    <row r="15809" spans="1:2" ht="12.75" customHeight="1" x14ac:dyDescent="0.25">
      <c r="A15809" s="318">
        <v>95228706180</v>
      </c>
      <c r="B15809" s="318" t="s">
        <v>237</v>
      </c>
    </row>
    <row r="15810" spans="1:2" ht="12.75" customHeight="1" x14ac:dyDescent="0.25">
      <c r="A15810" s="318">
        <v>95228706181</v>
      </c>
      <c r="B15810" s="318" t="s">
        <v>237</v>
      </c>
    </row>
    <row r="15811" spans="1:2" ht="12.75" customHeight="1" x14ac:dyDescent="0.25">
      <c r="A15811" s="318">
        <v>95228706182</v>
      </c>
      <c r="B15811" s="318" t="s">
        <v>237</v>
      </c>
    </row>
    <row r="15812" spans="1:2" ht="12.75" customHeight="1" x14ac:dyDescent="0.25">
      <c r="A15812" s="318">
        <v>95228706183</v>
      </c>
      <c r="B15812" s="318" t="s">
        <v>237</v>
      </c>
    </row>
    <row r="15813" spans="1:2" ht="12.75" customHeight="1" x14ac:dyDescent="0.25">
      <c r="A15813" s="318">
        <v>95228706184</v>
      </c>
      <c r="B15813" s="318" t="s">
        <v>237</v>
      </c>
    </row>
    <row r="15814" spans="1:2" ht="12.75" customHeight="1" x14ac:dyDescent="0.25">
      <c r="A15814" s="318">
        <v>95229386259</v>
      </c>
      <c r="B15814" s="318" t="s">
        <v>23</v>
      </c>
    </row>
    <row r="15815" spans="1:2" ht="12.75" customHeight="1" x14ac:dyDescent="0.25">
      <c r="A15815" s="318">
        <v>95229386260</v>
      </c>
      <c r="B15815" s="318" t="s">
        <v>23</v>
      </c>
    </row>
    <row r="15816" spans="1:2" ht="12.75" customHeight="1" x14ac:dyDescent="0.25">
      <c r="A15816" s="318">
        <v>95229386261</v>
      </c>
      <c r="B15816" s="318" t="s">
        <v>23</v>
      </c>
    </row>
    <row r="15817" spans="1:2" ht="12.75" customHeight="1" x14ac:dyDescent="0.25">
      <c r="A15817" s="318">
        <v>95229386262</v>
      </c>
      <c r="B15817" s="318" t="s">
        <v>23</v>
      </c>
    </row>
    <row r="15818" spans="1:2" ht="12.75" customHeight="1" x14ac:dyDescent="0.25">
      <c r="A15818" s="318">
        <v>95229386263</v>
      </c>
      <c r="B15818" s="318" t="s">
        <v>23</v>
      </c>
    </row>
    <row r="15819" spans="1:2" ht="12.75" customHeight="1" x14ac:dyDescent="0.25">
      <c r="A15819" s="318">
        <v>95229386264</v>
      </c>
      <c r="B15819" s="318" t="s">
        <v>23</v>
      </c>
    </row>
    <row r="15820" spans="1:2" ht="12.75" customHeight="1" x14ac:dyDescent="0.25">
      <c r="A15820" s="318">
        <v>95229386265</v>
      </c>
      <c r="B15820" s="318" t="s">
        <v>23</v>
      </c>
    </row>
    <row r="15821" spans="1:2" ht="12.75" customHeight="1" x14ac:dyDescent="0.25">
      <c r="A15821" s="318">
        <v>95229386266</v>
      </c>
      <c r="B15821" s="318" t="s">
        <v>23</v>
      </c>
    </row>
    <row r="15822" spans="1:2" ht="12.75" customHeight="1" x14ac:dyDescent="0.25">
      <c r="A15822" s="318">
        <v>95229386268</v>
      </c>
      <c r="B15822" s="318" t="s">
        <v>23</v>
      </c>
    </row>
    <row r="15823" spans="1:2" ht="12.75" customHeight="1" x14ac:dyDescent="0.25">
      <c r="A15823" s="318">
        <v>95229386269</v>
      </c>
      <c r="B15823" s="318" t="s">
        <v>23</v>
      </c>
    </row>
    <row r="15824" spans="1:2" ht="12.75" customHeight="1" x14ac:dyDescent="0.25">
      <c r="A15824" s="318">
        <v>95229386270</v>
      </c>
      <c r="B15824" s="318" t="s">
        <v>23</v>
      </c>
    </row>
    <row r="15825" spans="1:2" ht="12.75" customHeight="1" x14ac:dyDescent="0.25">
      <c r="A15825" s="318">
        <v>95229386271</v>
      </c>
      <c r="B15825" s="318" t="s">
        <v>23</v>
      </c>
    </row>
    <row r="15826" spans="1:2" ht="12.75" customHeight="1" x14ac:dyDescent="0.25">
      <c r="A15826" s="318">
        <v>95229386272</v>
      </c>
      <c r="B15826" s="318" t="s">
        <v>23</v>
      </c>
    </row>
    <row r="15827" spans="1:2" ht="12.75" customHeight="1" x14ac:dyDescent="0.25">
      <c r="A15827" s="318">
        <v>95229386273</v>
      </c>
      <c r="B15827" s="318" t="s">
        <v>23</v>
      </c>
    </row>
    <row r="15828" spans="1:2" ht="12.75" customHeight="1" x14ac:dyDescent="0.25">
      <c r="A15828" s="318">
        <v>95229386274</v>
      </c>
      <c r="B15828" s="318" t="s">
        <v>23</v>
      </c>
    </row>
    <row r="15829" spans="1:2" ht="12.75" customHeight="1" x14ac:dyDescent="0.25">
      <c r="A15829" s="318">
        <v>95229386275</v>
      </c>
      <c r="B15829" s="318" t="s">
        <v>23</v>
      </c>
    </row>
    <row r="15830" spans="1:2" ht="12.75" customHeight="1" x14ac:dyDescent="0.25">
      <c r="A15830" s="318">
        <v>95229386359</v>
      </c>
      <c r="B15830" s="318" t="s">
        <v>237</v>
      </c>
    </row>
    <row r="15831" spans="1:2" ht="12.75" customHeight="1" x14ac:dyDescent="0.25">
      <c r="A15831" s="318">
        <v>95229386360</v>
      </c>
      <c r="B15831" s="318" t="s">
        <v>237</v>
      </c>
    </row>
    <row r="15832" spans="1:2" ht="12.75" customHeight="1" x14ac:dyDescent="0.25">
      <c r="A15832" s="318">
        <v>95229386361</v>
      </c>
      <c r="B15832" s="318" t="s">
        <v>237</v>
      </c>
    </row>
    <row r="15833" spans="1:2" ht="12.75" customHeight="1" x14ac:dyDescent="0.25">
      <c r="A15833" s="318">
        <v>95229386362</v>
      </c>
      <c r="B15833" s="318" t="s">
        <v>237</v>
      </c>
    </row>
    <row r="15834" spans="1:2" ht="12.75" customHeight="1" x14ac:dyDescent="0.25">
      <c r="A15834" s="318">
        <v>95229386363</v>
      </c>
      <c r="B15834" s="318" t="s">
        <v>237</v>
      </c>
    </row>
    <row r="15835" spans="1:2" ht="12.75" customHeight="1" x14ac:dyDescent="0.25">
      <c r="A15835" s="318">
        <v>95229386364</v>
      </c>
      <c r="B15835" s="318" t="s">
        <v>237</v>
      </c>
    </row>
    <row r="15836" spans="1:2" ht="12.75" customHeight="1" x14ac:dyDescent="0.25">
      <c r="A15836" s="318">
        <v>95229386365</v>
      </c>
      <c r="B15836" s="318" t="s">
        <v>237</v>
      </c>
    </row>
    <row r="15837" spans="1:2" ht="12.75" customHeight="1" x14ac:dyDescent="0.25">
      <c r="A15837" s="318">
        <v>95229386366</v>
      </c>
      <c r="B15837" s="318" t="s">
        <v>237</v>
      </c>
    </row>
    <row r="15838" spans="1:2" ht="12.75" customHeight="1" x14ac:dyDescent="0.25">
      <c r="A15838" s="318">
        <v>95229386368</v>
      </c>
      <c r="B15838" s="318" t="s">
        <v>237</v>
      </c>
    </row>
    <row r="15839" spans="1:2" ht="12.75" customHeight="1" x14ac:dyDescent="0.25">
      <c r="A15839" s="318">
        <v>95229386369</v>
      </c>
      <c r="B15839" s="318" t="s">
        <v>237</v>
      </c>
    </row>
    <row r="15840" spans="1:2" ht="12.75" customHeight="1" x14ac:dyDescent="0.25">
      <c r="A15840" s="318">
        <v>95229386370</v>
      </c>
      <c r="B15840" s="318" t="s">
        <v>237</v>
      </c>
    </row>
    <row r="15841" spans="1:2" ht="12.75" customHeight="1" x14ac:dyDescent="0.25">
      <c r="A15841" s="318">
        <v>95229386371</v>
      </c>
      <c r="B15841" s="318" t="s">
        <v>237</v>
      </c>
    </row>
    <row r="15842" spans="1:2" ht="12.75" customHeight="1" x14ac:dyDescent="0.25">
      <c r="A15842" s="318">
        <v>95229386372</v>
      </c>
      <c r="B15842" s="318" t="s">
        <v>237</v>
      </c>
    </row>
    <row r="15843" spans="1:2" ht="12.75" customHeight="1" x14ac:dyDescent="0.25">
      <c r="A15843" s="318">
        <v>95229386373</v>
      </c>
      <c r="B15843" s="318" t="s">
        <v>237</v>
      </c>
    </row>
    <row r="15844" spans="1:2" ht="12.75" customHeight="1" x14ac:dyDescent="0.25">
      <c r="A15844" s="318">
        <v>95229386374</v>
      </c>
      <c r="B15844" s="318" t="s">
        <v>237</v>
      </c>
    </row>
    <row r="15845" spans="1:2" ht="12.75" customHeight="1" x14ac:dyDescent="0.25">
      <c r="A15845" s="318">
        <v>95229386375</v>
      </c>
      <c r="B15845" s="318" t="s">
        <v>237</v>
      </c>
    </row>
    <row r="15846" spans="1:2" ht="12.75" customHeight="1" x14ac:dyDescent="0.25">
      <c r="A15846" s="318">
        <v>95229867232</v>
      </c>
      <c r="B15846" s="318" t="s">
        <v>23</v>
      </c>
    </row>
    <row r="15847" spans="1:2" ht="12.75" customHeight="1" x14ac:dyDescent="0.25">
      <c r="A15847" s="318">
        <v>95229867233</v>
      </c>
      <c r="B15847" s="318" t="s">
        <v>23</v>
      </c>
    </row>
    <row r="15848" spans="1:2" ht="12.75" customHeight="1" x14ac:dyDescent="0.25">
      <c r="A15848" s="318">
        <v>95229867234</v>
      </c>
      <c r="B15848" s="318" t="s">
        <v>23</v>
      </c>
    </row>
    <row r="15849" spans="1:2" ht="12.75" customHeight="1" x14ac:dyDescent="0.25">
      <c r="A15849" s="318">
        <v>95229867235</v>
      </c>
      <c r="B15849" s="318" t="s">
        <v>23</v>
      </c>
    </row>
    <row r="15850" spans="1:2" ht="12.75" customHeight="1" x14ac:dyDescent="0.25">
      <c r="A15850" s="318">
        <v>95229867236</v>
      </c>
      <c r="B15850" s="318" t="s">
        <v>23</v>
      </c>
    </row>
    <row r="15851" spans="1:2" ht="12.75" customHeight="1" x14ac:dyDescent="0.25">
      <c r="A15851" s="318">
        <v>95229867237</v>
      </c>
      <c r="B15851" s="318" t="s">
        <v>23</v>
      </c>
    </row>
    <row r="15852" spans="1:2" ht="12.75" customHeight="1" x14ac:dyDescent="0.25">
      <c r="A15852" s="318">
        <v>95229867238</v>
      </c>
      <c r="B15852" s="318" t="s">
        <v>23</v>
      </c>
    </row>
    <row r="15853" spans="1:2" ht="12.75" customHeight="1" x14ac:dyDescent="0.25">
      <c r="A15853" s="318">
        <v>95229867239</v>
      </c>
      <c r="B15853" s="318" t="s">
        <v>23</v>
      </c>
    </row>
    <row r="15854" spans="1:2" ht="12.75" customHeight="1" x14ac:dyDescent="0.25">
      <c r="A15854" s="318">
        <v>95229867241</v>
      </c>
      <c r="B15854" s="318" t="s">
        <v>23</v>
      </c>
    </row>
    <row r="15855" spans="1:2" ht="12.75" customHeight="1" x14ac:dyDescent="0.25">
      <c r="A15855" s="318">
        <v>95229867242</v>
      </c>
      <c r="B15855" s="318" t="s">
        <v>23</v>
      </c>
    </row>
    <row r="15856" spans="1:2" ht="12.75" customHeight="1" x14ac:dyDescent="0.25">
      <c r="A15856" s="318">
        <v>95229867243</v>
      </c>
      <c r="B15856" s="318" t="s">
        <v>23</v>
      </c>
    </row>
    <row r="15857" spans="1:2" ht="12.75" customHeight="1" x14ac:dyDescent="0.25">
      <c r="A15857" s="318">
        <v>95229867244</v>
      </c>
      <c r="B15857" s="318" t="s">
        <v>23</v>
      </c>
    </row>
    <row r="15858" spans="1:2" ht="12.75" customHeight="1" x14ac:dyDescent="0.25">
      <c r="A15858" s="318">
        <v>95229867245</v>
      </c>
      <c r="B15858" s="318" t="s">
        <v>23</v>
      </c>
    </row>
    <row r="15859" spans="1:2" ht="12.75" customHeight="1" x14ac:dyDescent="0.25">
      <c r="A15859" s="318">
        <v>95229867246</v>
      </c>
      <c r="B15859" s="318" t="s">
        <v>23</v>
      </c>
    </row>
    <row r="15860" spans="1:2" ht="12.75" customHeight="1" x14ac:dyDescent="0.25">
      <c r="A15860" s="318">
        <v>95229867247</v>
      </c>
      <c r="B15860" s="318" t="s">
        <v>23</v>
      </c>
    </row>
    <row r="15861" spans="1:2" ht="12.75" customHeight="1" x14ac:dyDescent="0.25">
      <c r="A15861" s="318">
        <v>95229867248</v>
      </c>
      <c r="B15861" s="318" t="s">
        <v>23</v>
      </c>
    </row>
    <row r="15862" spans="1:2" ht="12.75" customHeight="1" x14ac:dyDescent="0.25">
      <c r="A15862" s="318">
        <v>95229867332</v>
      </c>
      <c r="B15862" s="318" t="s">
        <v>237</v>
      </c>
    </row>
    <row r="15863" spans="1:2" ht="12.75" customHeight="1" x14ac:dyDescent="0.25">
      <c r="A15863" s="318">
        <v>95229867333</v>
      </c>
      <c r="B15863" s="318" t="s">
        <v>237</v>
      </c>
    </row>
    <row r="15864" spans="1:2" ht="12.75" customHeight="1" x14ac:dyDescent="0.25">
      <c r="A15864" s="318">
        <v>95229867334</v>
      </c>
      <c r="B15864" s="318" t="s">
        <v>237</v>
      </c>
    </row>
    <row r="15865" spans="1:2" ht="12.75" customHeight="1" x14ac:dyDescent="0.25">
      <c r="A15865" s="318">
        <v>95229867335</v>
      </c>
      <c r="B15865" s="318" t="s">
        <v>237</v>
      </c>
    </row>
    <row r="15866" spans="1:2" ht="12.75" customHeight="1" x14ac:dyDescent="0.25">
      <c r="A15866" s="318">
        <v>95229867336</v>
      </c>
      <c r="B15866" s="318" t="s">
        <v>237</v>
      </c>
    </row>
    <row r="15867" spans="1:2" ht="12.75" customHeight="1" x14ac:dyDescent="0.25">
      <c r="A15867" s="318">
        <v>95229867337</v>
      </c>
      <c r="B15867" s="318" t="s">
        <v>237</v>
      </c>
    </row>
    <row r="15868" spans="1:2" ht="12.75" customHeight="1" x14ac:dyDescent="0.25">
      <c r="A15868" s="318">
        <v>95229867338</v>
      </c>
      <c r="B15868" s="318" t="s">
        <v>237</v>
      </c>
    </row>
    <row r="15869" spans="1:2" ht="12.75" customHeight="1" x14ac:dyDescent="0.25">
      <c r="A15869" s="318">
        <v>95229867339</v>
      </c>
      <c r="B15869" s="318" t="s">
        <v>237</v>
      </c>
    </row>
    <row r="15870" spans="1:2" ht="12.75" customHeight="1" x14ac:dyDescent="0.25">
      <c r="A15870" s="318">
        <v>95229867341</v>
      </c>
      <c r="B15870" s="318" t="s">
        <v>237</v>
      </c>
    </row>
    <row r="15871" spans="1:2" ht="12.75" customHeight="1" x14ac:dyDescent="0.25">
      <c r="A15871" s="318">
        <v>95229867342</v>
      </c>
      <c r="B15871" s="318" t="s">
        <v>237</v>
      </c>
    </row>
    <row r="15872" spans="1:2" ht="12.75" customHeight="1" x14ac:dyDescent="0.25">
      <c r="A15872" s="318">
        <v>95229867343</v>
      </c>
      <c r="B15872" s="318" t="s">
        <v>237</v>
      </c>
    </row>
    <row r="15873" spans="1:2" ht="12.75" customHeight="1" x14ac:dyDescent="0.25">
      <c r="A15873" s="318">
        <v>95229867344</v>
      </c>
      <c r="B15873" s="318" t="s">
        <v>237</v>
      </c>
    </row>
    <row r="15874" spans="1:2" ht="12.75" customHeight="1" x14ac:dyDescent="0.25">
      <c r="A15874" s="318">
        <v>95229867345</v>
      </c>
      <c r="B15874" s="318" t="s">
        <v>237</v>
      </c>
    </row>
    <row r="15875" spans="1:2" ht="12.75" customHeight="1" x14ac:dyDescent="0.25">
      <c r="A15875" s="318">
        <v>95229867346</v>
      </c>
      <c r="B15875" s="318" t="s">
        <v>237</v>
      </c>
    </row>
    <row r="15876" spans="1:2" ht="12.75" customHeight="1" x14ac:dyDescent="0.25">
      <c r="A15876" s="318">
        <v>95229867347</v>
      </c>
      <c r="B15876" s="318" t="s">
        <v>237</v>
      </c>
    </row>
    <row r="15877" spans="1:2" ht="12.75" customHeight="1" x14ac:dyDescent="0.25">
      <c r="A15877" s="318">
        <v>95229867348</v>
      </c>
      <c r="B15877" s="318" t="s">
        <v>237</v>
      </c>
    </row>
    <row r="15878" spans="1:2" ht="12.75" customHeight="1" x14ac:dyDescent="0.25">
      <c r="A15878" s="318">
        <v>95230348205</v>
      </c>
      <c r="B15878" s="318" t="s">
        <v>23</v>
      </c>
    </row>
    <row r="15879" spans="1:2" ht="12.75" customHeight="1" x14ac:dyDescent="0.25">
      <c r="A15879" s="318">
        <v>95230348206</v>
      </c>
      <c r="B15879" s="318" t="s">
        <v>23</v>
      </c>
    </row>
    <row r="15880" spans="1:2" ht="12.75" customHeight="1" x14ac:dyDescent="0.25">
      <c r="A15880" s="318">
        <v>95230348207</v>
      </c>
      <c r="B15880" s="318" t="s">
        <v>23</v>
      </c>
    </row>
    <row r="15881" spans="1:2" ht="12.75" customHeight="1" x14ac:dyDescent="0.25">
      <c r="A15881" s="318">
        <v>95230348208</v>
      </c>
      <c r="B15881" s="318" t="s">
        <v>23</v>
      </c>
    </row>
    <row r="15882" spans="1:2" ht="12.75" customHeight="1" x14ac:dyDescent="0.25">
      <c r="A15882" s="318">
        <v>95230348209</v>
      </c>
      <c r="B15882" s="318" t="s">
        <v>23</v>
      </c>
    </row>
    <row r="15883" spans="1:2" ht="12.75" customHeight="1" x14ac:dyDescent="0.25">
      <c r="A15883" s="318">
        <v>95230348210</v>
      </c>
      <c r="B15883" s="318" t="s">
        <v>23</v>
      </c>
    </row>
    <row r="15884" spans="1:2" ht="12.75" customHeight="1" x14ac:dyDescent="0.25">
      <c r="A15884" s="318">
        <v>95230348211</v>
      </c>
      <c r="B15884" s="318" t="s">
        <v>23</v>
      </c>
    </row>
    <row r="15885" spans="1:2" ht="12.75" customHeight="1" x14ac:dyDescent="0.25">
      <c r="A15885" s="318">
        <v>95230348212</v>
      </c>
      <c r="B15885" s="318" t="s">
        <v>23</v>
      </c>
    </row>
    <row r="15886" spans="1:2" ht="12.75" customHeight="1" x14ac:dyDescent="0.25">
      <c r="A15886" s="318">
        <v>95230348214</v>
      </c>
      <c r="B15886" s="318" t="s">
        <v>23</v>
      </c>
    </row>
    <row r="15887" spans="1:2" ht="12.75" customHeight="1" x14ac:dyDescent="0.25">
      <c r="A15887" s="318">
        <v>95230348215</v>
      </c>
      <c r="B15887" s="318" t="s">
        <v>23</v>
      </c>
    </row>
    <row r="15888" spans="1:2" ht="12.75" customHeight="1" x14ac:dyDescent="0.25">
      <c r="A15888" s="318">
        <v>95230348216</v>
      </c>
      <c r="B15888" s="318" t="s">
        <v>23</v>
      </c>
    </row>
    <row r="15889" spans="1:2" ht="12.75" customHeight="1" x14ac:dyDescent="0.25">
      <c r="A15889" s="318">
        <v>95230348217</v>
      </c>
      <c r="B15889" s="318" t="s">
        <v>23</v>
      </c>
    </row>
    <row r="15890" spans="1:2" ht="12.75" customHeight="1" x14ac:dyDescent="0.25">
      <c r="A15890" s="318">
        <v>95230348218</v>
      </c>
      <c r="B15890" s="318" t="s">
        <v>23</v>
      </c>
    </row>
    <row r="15891" spans="1:2" ht="12.75" customHeight="1" x14ac:dyDescent="0.25">
      <c r="A15891" s="318">
        <v>95230348219</v>
      </c>
      <c r="B15891" s="318" t="s">
        <v>23</v>
      </c>
    </row>
    <row r="15892" spans="1:2" ht="12.75" customHeight="1" x14ac:dyDescent="0.25">
      <c r="A15892" s="318">
        <v>95230348220</v>
      </c>
      <c r="B15892" s="318" t="s">
        <v>23</v>
      </c>
    </row>
    <row r="15893" spans="1:2" ht="12.75" customHeight="1" x14ac:dyDescent="0.25">
      <c r="A15893" s="318">
        <v>95230348221</v>
      </c>
      <c r="B15893" s="318" t="s">
        <v>23</v>
      </c>
    </row>
    <row r="15894" spans="1:2" ht="12.75" customHeight="1" x14ac:dyDescent="0.25">
      <c r="A15894" s="318">
        <v>95230348305</v>
      </c>
      <c r="B15894" s="318" t="s">
        <v>237</v>
      </c>
    </row>
    <row r="15895" spans="1:2" ht="12.75" customHeight="1" x14ac:dyDescent="0.25">
      <c r="A15895" s="318">
        <v>95230348306</v>
      </c>
      <c r="B15895" s="318" t="s">
        <v>237</v>
      </c>
    </row>
    <row r="15896" spans="1:2" ht="12.75" customHeight="1" x14ac:dyDescent="0.25">
      <c r="A15896" s="318">
        <v>95230348307</v>
      </c>
      <c r="B15896" s="318" t="s">
        <v>237</v>
      </c>
    </row>
    <row r="15897" spans="1:2" ht="12.75" customHeight="1" x14ac:dyDescent="0.25">
      <c r="A15897" s="318">
        <v>95230348308</v>
      </c>
      <c r="B15897" s="318" t="s">
        <v>237</v>
      </c>
    </row>
    <row r="15898" spans="1:2" ht="12.75" customHeight="1" x14ac:dyDescent="0.25">
      <c r="A15898" s="318">
        <v>95230348309</v>
      </c>
      <c r="B15898" s="318" t="s">
        <v>237</v>
      </c>
    </row>
    <row r="15899" spans="1:2" ht="12.75" customHeight="1" x14ac:dyDescent="0.25">
      <c r="A15899" s="318">
        <v>95230348310</v>
      </c>
      <c r="B15899" s="318" t="s">
        <v>237</v>
      </c>
    </row>
    <row r="15900" spans="1:2" ht="12.75" customHeight="1" x14ac:dyDescent="0.25">
      <c r="A15900" s="318">
        <v>95230348311</v>
      </c>
      <c r="B15900" s="318" t="s">
        <v>237</v>
      </c>
    </row>
    <row r="15901" spans="1:2" ht="12.75" customHeight="1" x14ac:dyDescent="0.25">
      <c r="A15901" s="318">
        <v>95230348312</v>
      </c>
      <c r="B15901" s="318" t="s">
        <v>237</v>
      </c>
    </row>
    <row r="15902" spans="1:2" ht="12.75" customHeight="1" x14ac:dyDescent="0.25">
      <c r="A15902" s="318">
        <v>95230348314</v>
      </c>
      <c r="B15902" s="318" t="s">
        <v>237</v>
      </c>
    </row>
    <row r="15903" spans="1:2" ht="12.75" customHeight="1" x14ac:dyDescent="0.25">
      <c r="A15903" s="318">
        <v>95230348315</v>
      </c>
      <c r="B15903" s="318" t="s">
        <v>237</v>
      </c>
    </row>
    <row r="15904" spans="1:2" ht="12.75" customHeight="1" x14ac:dyDescent="0.25">
      <c r="A15904" s="318">
        <v>95230348316</v>
      </c>
      <c r="B15904" s="318" t="s">
        <v>237</v>
      </c>
    </row>
    <row r="15905" spans="1:2" ht="12.75" customHeight="1" x14ac:dyDescent="0.25">
      <c r="A15905" s="318">
        <v>95230348317</v>
      </c>
      <c r="B15905" s="318" t="s">
        <v>237</v>
      </c>
    </row>
    <row r="15906" spans="1:2" ht="12.75" customHeight="1" x14ac:dyDescent="0.25">
      <c r="A15906" s="318">
        <v>95230348318</v>
      </c>
      <c r="B15906" s="318" t="s">
        <v>237</v>
      </c>
    </row>
    <row r="15907" spans="1:2" ht="12.75" customHeight="1" x14ac:dyDescent="0.25">
      <c r="A15907" s="318">
        <v>95230348319</v>
      </c>
      <c r="B15907" s="318" t="s">
        <v>237</v>
      </c>
    </row>
    <row r="15908" spans="1:2" ht="12.75" customHeight="1" x14ac:dyDescent="0.25">
      <c r="A15908" s="318">
        <v>95230348320</v>
      </c>
      <c r="B15908" s="318" t="s">
        <v>237</v>
      </c>
    </row>
    <row r="15909" spans="1:2" ht="12.75" customHeight="1" x14ac:dyDescent="0.25">
      <c r="A15909" s="318">
        <v>95230348321</v>
      </c>
      <c r="B15909" s="318" t="s">
        <v>237</v>
      </c>
    </row>
    <row r="15910" spans="1:2" ht="12.75" customHeight="1" x14ac:dyDescent="0.25">
      <c r="A15910" s="318">
        <v>95231028396</v>
      </c>
      <c r="B15910" s="318" t="s">
        <v>23</v>
      </c>
    </row>
    <row r="15911" spans="1:2" ht="12.75" customHeight="1" x14ac:dyDescent="0.25">
      <c r="A15911" s="318">
        <v>95231028397</v>
      </c>
      <c r="B15911" s="318" t="s">
        <v>23</v>
      </c>
    </row>
    <row r="15912" spans="1:2" ht="12.75" customHeight="1" x14ac:dyDescent="0.25">
      <c r="A15912" s="318">
        <v>95231028398</v>
      </c>
      <c r="B15912" s="318" t="s">
        <v>23</v>
      </c>
    </row>
    <row r="15913" spans="1:2" ht="12.75" customHeight="1" x14ac:dyDescent="0.25">
      <c r="A15913" s="318">
        <v>95231028399</v>
      </c>
      <c r="B15913" s="318" t="s">
        <v>23</v>
      </c>
    </row>
    <row r="15914" spans="1:2" ht="12.75" customHeight="1" x14ac:dyDescent="0.25">
      <c r="A15914" s="318">
        <v>95231028400</v>
      </c>
      <c r="B15914" s="318" t="s">
        <v>23</v>
      </c>
    </row>
    <row r="15915" spans="1:2" ht="12.75" customHeight="1" x14ac:dyDescent="0.25">
      <c r="A15915" s="318">
        <v>95231028401</v>
      </c>
      <c r="B15915" s="318" t="s">
        <v>23</v>
      </c>
    </row>
    <row r="15916" spans="1:2" ht="12.75" customHeight="1" x14ac:dyDescent="0.25">
      <c r="A15916" s="318">
        <v>95231028402</v>
      </c>
      <c r="B15916" s="318" t="s">
        <v>23</v>
      </c>
    </row>
    <row r="15917" spans="1:2" ht="12.75" customHeight="1" x14ac:dyDescent="0.25">
      <c r="A15917" s="318">
        <v>95231028403</v>
      </c>
      <c r="B15917" s="318" t="s">
        <v>23</v>
      </c>
    </row>
    <row r="15918" spans="1:2" ht="12.75" customHeight="1" x14ac:dyDescent="0.25">
      <c r="A15918" s="318">
        <v>95231028405</v>
      </c>
      <c r="B15918" s="318" t="s">
        <v>23</v>
      </c>
    </row>
    <row r="15919" spans="1:2" ht="12.75" customHeight="1" x14ac:dyDescent="0.25">
      <c r="A15919" s="318">
        <v>95231028406</v>
      </c>
      <c r="B15919" s="318" t="s">
        <v>23</v>
      </c>
    </row>
    <row r="15920" spans="1:2" ht="12.75" customHeight="1" x14ac:dyDescent="0.25">
      <c r="A15920" s="318">
        <v>95231028407</v>
      </c>
      <c r="B15920" s="318" t="s">
        <v>23</v>
      </c>
    </row>
    <row r="15921" spans="1:2" ht="12.75" customHeight="1" x14ac:dyDescent="0.25">
      <c r="A15921" s="318">
        <v>95231028408</v>
      </c>
      <c r="B15921" s="318" t="s">
        <v>23</v>
      </c>
    </row>
    <row r="15922" spans="1:2" ht="12.75" customHeight="1" x14ac:dyDescent="0.25">
      <c r="A15922" s="318">
        <v>95231028409</v>
      </c>
      <c r="B15922" s="318" t="s">
        <v>23</v>
      </c>
    </row>
    <row r="15923" spans="1:2" ht="12.75" customHeight="1" x14ac:dyDescent="0.25">
      <c r="A15923" s="318">
        <v>95231028410</v>
      </c>
      <c r="B15923" s="318" t="s">
        <v>23</v>
      </c>
    </row>
    <row r="15924" spans="1:2" ht="12.75" customHeight="1" x14ac:dyDescent="0.25">
      <c r="A15924" s="318">
        <v>95231028411</v>
      </c>
      <c r="B15924" s="318" t="s">
        <v>23</v>
      </c>
    </row>
    <row r="15925" spans="1:2" ht="12.75" customHeight="1" x14ac:dyDescent="0.25">
      <c r="A15925" s="318">
        <v>95231028412</v>
      </c>
      <c r="B15925" s="318" t="s">
        <v>23</v>
      </c>
    </row>
    <row r="15926" spans="1:2" ht="12.75" customHeight="1" x14ac:dyDescent="0.25">
      <c r="A15926" s="318">
        <v>95231028496</v>
      </c>
      <c r="B15926" s="318" t="s">
        <v>237</v>
      </c>
    </row>
    <row r="15927" spans="1:2" ht="12.75" customHeight="1" x14ac:dyDescent="0.25">
      <c r="A15927" s="318">
        <v>95231028497</v>
      </c>
      <c r="B15927" s="318" t="s">
        <v>237</v>
      </c>
    </row>
    <row r="15928" spans="1:2" ht="12.75" customHeight="1" x14ac:dyDescent="0.25">
      <c r="A15928" s="318">
        <v>95231028498</v>
      </c>
      <c r="B15928" s="318" t="s">
        <v>237</v>
      </c>
    </row>
    <row r="15929" spans="1:2" ht="12.75" customHeight="1" x14ac:dyDescent="0.25">
      <c r="A15929" s="318">
        <v>95231028499</v>
      </c>
      <c r="B15929" s="318" t="s">
        <v>237</v>
      </c>
    </row>
    <row r="15930" spans="1:2" ht="12.75" customHeight="1" x14ac:dyDescent="0.25">
      <c r="A15930" s="318">
        <v>95231028500</v>
      </c>
      <c r="B15930" s="318" t="s">
        <v>237</v>
      </c>
    </row>
    <row r="15931" spans="1:2" ht="12.75" customHeight="1" x14ac:dyDescent="0.25">
      <c r="A15931" s="318">
        <v>95231028501</v>
      </c>
      <c r="B15931" s="318" t="s">
        <v>237</v>
      </c>
    </row>
    <row r="15932" spans="1:2" ht="12.75" customHeight="1" x14ac:dyDescent="0.25">
      <c r="A15932" s="318">
        <v>95231028502</v>
      </c>
      <c r="B15932" s="318" t="s">
        <v>237</v>
      </c>
    </row>
    <row r="15933" spans="1:2" ht="12.75" customHeight="1" x14ac:dyDescent="0.25">
      <c r="A15933" s="318">
        <v>95231028503</v>
      </c>
      <c r="B15933" s="318" t="s">
        <v>237</v>
      </c>
    </row>
    <row r="15934" spans="1:2" ht="12.75" customHeight="1" x14ac:dyDescent="0.25">
      <c r="A15934" s="318">
        <v>95231028505</v>
      </c>
      <c r="B15934" s="318" t="s">
        <v>237</v>
      </c>
    </row>
    <row r="15935" spans="1:2" ht="12.75" customHeight="1" x14ac:dyDescent="0.25">
      <c r="A15935" s="318">
        <v>95231028506</v>
      </c>
      <c r="B15935" s="318" t="s">
        <v>237</v>
      </c>
    </row>
    <row r="15936" spans="1:2" ht="12.75" customHeight="1" x14ac:dyDescent="0.25">
      <c r="A15936" s="318">
        <v>95231028507</v>
      </c>
      <c r="B15936" s="318" t="s">
        <v>237</v>
      </c>
    </row>
    <row r="15937" spans="1:2" ht="12.75" customHeight="1" x14ac:dyDescent="0.25">
      <c r="A15937" s="318">
        <v>95231028508</v>
      </c>
      <c r="B15937" s="318" t="s">
        <v>237</v>
      </c>
    </row>
    <row r="15938" spans="1:2" ht="12.75" customHeight="1" x14ac:dyDescent="0.25">
      <c r="A15938" s="318">
        <v>95231028509</v>
      </c>
      <c r="B15938" s="318" t="s">
        <v>237</v>
      </c>
    </row>
    <row r="15939" spans="1:2" ht="12.75" customHeight="1" x14ac:dyDescent="0.25">
      <c r="A15939" s="318">
        <v>95231028510</v>
      </c>
      <c r="B15939" s="318" t="s">
        <v>237</v>
      </c>
    </row>
    <row r="15940" spans="1:2" ht="12.75" customHeight="1" x14ac:dyDescent="0.25">
      <c r="A15940" s="318">
        <v>95231028511</v>
      </c>
      <c r="B15940" s="318" t="s">
        <v>237</v>
      </c>
    </row>
    <row r="15941" spans="1:2" ht="12.75" customHeight="1" x14ac:dyDescent="0.25">
      <c r="A15941" s="318">
        <v>95231028512</v>
      </c>
      <c r="B15941" s="318" t="s">
        <v>237</v>
      </c>
    </row>
    <row r="15942" spans="1:2" ht="12.75" customHeight="1" x14ac:dyDescent="0.25">
      <c r="A15942" s="318">
        <v>95231509369</v>
      </c>
      <c r="B15942" s="318" t="s">
        <v>23</v>
      </c>
    </row>
    <row r="15943" spans="1:2" ht="12.75" customHeight="1" x14ac:dyDescent="0.25">
      <c r="A15943" s="318">
        <v>95231509370</v>
      </c>
      <c r="B15943" s="318" t="s">
        <v>23</v>
      </c>
    </row>
    <row r="15944" spans="1:2" ht="12.75" customHeight="1" x14ac:dyDescent="0.25">
      <c r="A15944" s="318">
        <v>95231509371</v>
      </c>
      <c r="B15944" s="318" t="s">
        <v>23</v>
      </c>
    </row>
    <row r="15945" spans="1:2" ht="12.75" customHeight="1" x14ac:dyDescent="0.25">
      <c r="A15945" s="318">
        <v>95231509372</v>
      </c>
      <c r="B15945" s="318" t="s">
        <v>23</v>
      </c>
    </row>
    <row r="15946" spans="1:2" ht="12.75" customHeight="1" x14ac:dyDescent="0.25">
      <c r="A15946" s="318">
        <v>95231509373</v>
      </c>
      <c r="B15946" s="318" t="s">
        <v>23</v>
      </c>
    </row>
    <row r="15947" spans="1:2" ht="12.75" customHeight="1" x14ac:dyDescent="0.25">
      <c r="A15947" s="318">
        <v>95231509374</v>
      </c>
      <c r="B15947" s="318" t="s">
        <v>23</v>
      </c>
    </row>
    <row r="15948" spans="1:2" ht="12.75" customHeight="1" x14ac:dyDescent="0.25">
      <c r="A15948" s="318">
        <v>95231509375</v>
      </c>
      <c r="B15948" s="318" t="s">
        <v>23</v>
      </c>
    </row>
    <row r="15949" spans="1:2" ht="12.75" customHeight="1" x14ac:dyDescent="0.25">
      <c r="A15949" s="318">
        <v>95231509376</v>
      </c>
      <c r="B15949" s="318" t="s">
        <v>23</v>
      </c>
    </row>
    <row r="15950" spans="1:2" ht="12.75" customHeight="1" x14ac:dyDescent="0.25">
      <c r="A15950" s="318">
        <v>95231509378</v>
      </c>
      <c r="B15950" s="318" t="s">
        <v>23</v>
      </c>
    </row>
    <row r="15951" spans="1:2" ht="12.75" customHeight="1" x14ac:dyDescent="0.25">
      <c r="A15951" s="318">
        <v>95231509379</v>
      </c>
      <c r="B15951" s="318" t="s">
        <v>23</v>
      </c>
    </row>
    <row r="15952" spans="1:2" ht="12.75" customHeight="1" x14ac:dyDescent="0.25">
      <c r="A15952" s="318">
        <v>95231509380</v>
      </c>
      <c r="B15952" s="318" t="s">
        <v>23</v>
      </c>
    </row>
    <row r="15953" spans="1:2" ht="12.75" customHeight="1" x14ac:dyDescent="0.25">
      <c r="A15953" s="318">
        <v>95231509381</v>
      </c>
      <c r="B15953" s="318" t="s">
        <v>23</v>
      </c>
    </row>
    <row r="15954" spans="1:2" ht="12.75" customHeight="1" x14ac:dyDescent="0.25">
      <c r="A15954" s="318">
        <v>95231509382</v>
      </c>
      <c r="B15954" s="318" t="s">
        <v>23</v>
      </c>
    </row>
    <row r="15955" spans="1:2" ht="12.75" customHeight="1" x14ac:dyDescent="0.25">
      <c r="A15955" s="318">
        <v>95231509383</v>
      </c>
      <c r="B15955" s="318" t="s">
        <v>23</v>
      </c>
    </row>
    <row r="15956" spans="1:2" ht="12.75" customHeight="1" x14ac:dyDescent="0.25">
      <c r="A15956" s="318">
        <v>95231509384</v>
      </c>
      <c r="B15956" s="318" t="s">
        <v>23</v>
      </c>
    </row>
    <row r="15957" spans="1:2" ht="12.75" customHeight="1" x14ac:dyDescent="0.25">
      <c r="A15957" s="318">
        <v>95231509385</v>
      </c>
      <c r="B15957" s="318" t="s">
        <v>23</v>
      </c>
    </row>
    <row r="15958" spans="1:2" ht="12.75" customHeight="1" x14ac:dyDescent="0.25">
      <c r="A15958" s="318">
        <v>95231509469</v>
      </c>
      <c r="B15958" s="318" t="s">
        <v>237</v>
      </c>
    </row>
    <row r="15959" spans="1:2" ht="12.75" customHeight="1" x14ac:dyDescent="0.25">
      <c r="A15959" s="318">
        <v>95231509470</v>
      </c>
      <c r="B15959" s="318" t="s">
        <v>237</v>
      </c>
    </row>
    <row r="15960" spans="1:2" ht="12.75" customHeight="1" x14ac:dyDescent="0.25">
      <c r="A15960" s="318">
        <v>95231509471</v>
      </c>
      <c r="B15960" s="318" t="s">
        <v>237</v>
      </c>
    </row>
    <row r="15961" spans="1:2" ht="12.75" customHeight="1" x14ac:dyDescent="0.25">
      <c r="A15961" s="318">
        <v>95231509472</v>
      </c>
      <c r="B15961" s="318" t="s">
        <v>237</v>
      </c>
    </row>
    <row r="15962" spans="1:2" ht="12.75" customHeight="1" x14ac:dyDescent="0.25">
      <c r="A15962" s="318">
        <v>95231509473</v>
      </c>
      <c r="B15962" s="318" t="s">
        <v>237</v>
      </c>
    </row>
    <row r="15963" spans="1:2" ht="12.75" customHeight="1" x14ac:dyDescent="0.25">
      <c r="A15963" s="318">
        <v>95231509474</v>
      </c>
      <c r="B15963" s="318" t="s">
        <v>237</v>
      </c>
    </row>
    <row r="15964" spans="1:2" ht="12.75" customHeight="1" x14ac:dyDescent="0.25">
      <c r="A15964" s="318">
        <v>95231509475</v>
      </c>
      <c r="B15964" s="318" t="s">
        <v>237</v>
      </c>
    </row>
    <row r="15965" spans="1:2" ht="12.75" customHeight="1" x14ac:dyDescent="0.25">
      <c r="A15965" s="318">
        <v>95231509476</v>
      </c>
      <c r="B15965" s="318" t="s">
        <v>237</v>
      </c>
    </row>
    <row r="15966" spans="1:2" ht="12.75" customHeight="1" x14ac:dyDescent="0.25">
      <c r="A15966" s="318">
        <v>95231509478</v>
      </c>
      <c r="B15966" s="318" t="s">
        <v>237</v>
      </c>
    </row>
    <row r="15967" spans="1:2" ht="12.75" customHeight="1" x14ac:dyDescent="0.25">
      <c r="A15967" s="318">
        <v>95231509479</v>
      </c>
      <c r="B15967" s="318" t="s">
        <v>237</v>
      </c>
    </row>
    <row r="15968" spans="1:2" ht="12.75" customHeight="1" x14ac:dyDescent="0.25">
      <c r="A15968" s="318">
        <v>95231509480</v>
      </c>
      <c r="B15968" s="318" t="s">
        <v>237</v>
      </c>
    </row>
    <row r="15969" spans="1:2" ht="12.75" customHeight="1" x14ac:dyDescent="0.25">
      <c r="A15969" s="318">
        <v>95231509481</v>
      </c>
      <c r="B15969" s="318" t="s">
        <v>237</v>
      </c>
    </row>
    <row r="15970" spans="1:2" ht="12.75" customHeight="1" x14ac:dyDescent="0.25">
      <c r="A15970" s="318">
        <v>95231509482</v>
      </c>
      <c r="B15970" s="318" t="s">
        <v>237</v>
      </c>
    </row>
    <row r="15971" spans="1:2" ht="12.75" customHeight="1" x14ac:dyDescent="0.25">
      <c r="A15971" s="318">
        <v>95231509483</v>
      </c>
      <c r="B15971" s="318" t="s">
        <v>237</v>
      </c>
    </row>
    <row r="15972" spans="1:2" ht="12.75" customHeight="1" x14ac:dyDescent="0.25">
      <c r="A15972" s="318">
        <v>95231509484</v>
      </c>
      <c r="B15972" s="318" t="s">
        <v>237</v>
      </c>
    </row>
    <row r="15973" spans="1:2" ht="12.75" customHeight="1" x14ac:dyDescent="0.25">
      <c r="A15973" s="318">
        <v>95231509485</v>
      </c>
      <c r="B15973" s="318" t="s">
        <v>237</v>
      </c>
    </row>
    <row r="15974" spans="1:2" ht="12.75" customHeight="1" x14ac:dyDescent="0.25">
      <c r="A15974" s="318">
        <v>95231990342</v>
      </c>
      <c r="B15974" s="318" t="s">
        <v>23</v>
      </c>
    </row>
    <row r="15975" spans="1:2" ht="12.75" customHeight="1" x14ac:dyDescent="0.25">
      <c r="A15975" s="318">
        <v>95231990343</v>
      </c>
      <c r="B15975" s="318" t="s">
        <v>23</v>
      </c>
    </row>
    <row r="15976" spans="1:2" ht="12.75" customHeight="1" x14ac:dyDescent="0.25">
      <c r="A15976" s="318">
        <v>95231990344</v>
      </c>
      <c r="B15976" s="318" t="s">
        <v>23</v>
      </c>
    </row>
    <row r="15977" spans="1:2" ht="12.75" customHeight="1" x14ac:dyDescent="0.25">
      <c r="A15977" s="318">
        <v>95231990345</v>
      </c>
      <c r="B15977" s="318" t="s">
        <v>23</v>
      </c>
    </row>
    <row r="15978" spans="1:2" ht="12.75" customHeight="1" x14ac:dyDescent="0.25">
      <c r="A15978" s="318">
        <v>95231990346</v>
      </c>
      <c r="B15978" s="318" t="s">
        <v>23</v>
      </c>
    </row>
    <row r="15979" spans="1:2" ht="12.75" customHeight="1" x14ac:dyDescent="0.25">
      <c r="A15979" s="318">
        <v>95231990347</v>
      </c>
      <c r="B15979" s="318" t="s">
        <v>23</v>
      </c>
    </row>
    <row r="15980" spans="1:2" ht="12.75" customHeight="1" x14ac:dyDescent="0.25">
      <c r="A15980" s="318">
        <v>95231990348</v>
      </c>
      <c r="B15980" s="318" t="s">
        <v>23</v>
      </c>
    </row>
    <row r="15981" spans="1:2" ht="12.75" customHeight="1" x14ac:dyDescent="0.25">
      <c r="A15981" s="318">
        <v>95231990349</v>
      </c>
      <c r="B15981" s="318" t="s">
        <v>23</v>
      </c>
    </row>
    <row r="15982" spans="1:2" ht="12.75" customHeight="1" x14ac:dyDescent="0.25">
      <c r="A15982" s="318">
        <v>95231990351</v>
      </c>
      <c r="B15982" s="318" t="s">
        <v>23</v>
      </c>
    </row>
    <row r="15983" spans="1:2" ht="12.75" customHeight="1" x14ac:dyDescent="0.25">
      <c r="A15983" s="318">
        <v>95231990352</v>
      </c>
      <c r="B15983" s="318" t="s">
        <v>23</v>
      </c>
    </row>
    <row r="15984" spans="1:2" ht="12.75" customHeight="1" x14ac:dyDescent="0.25">
      <c r="A15984" s="318">
        <v>95231990353</v>
      </c>
      <c r="B15984" s="318" t="s">
        <v>23</v>
      </c>
    </row>
    <row r="15985" spans="1:2" ht="12.75" customHeight="1" x14ac:dyDescent="0.25">
      <c r="A15985" s="318">
        <v>95231990354</v>
      </c>
      <c r="B15985" s="318" t="s">
        <v>23</v>
      </c>
    </row>
    <row r="15986" spans="1:2" ht="12.75" customHeight="1" x14ac:dyDescent="0.25">
      <c r="A15986" s="318">
        <v>95231990355</v>
      </c>
      <c r="B15986" s="318" t="s">
        <v>23</v>
      </c>
    </row>
    <row r="15987" spans="1:2" ht="12.75" customHeight="1" x14ac:dyDescent="0.25">
      <c r="A15987" s="318">
        <v>95231990356</v>
      </c>
      <c r="B15987" s="318" t="s">
        <v>23</v>
      </c>
    </row>
    <row r="15988" spans="1:2" ht="12.75" customHeight="1" x14ac:dyDescent="0.25">
      <c r="A15988" s="318">
        <v>95231990357</v>
      </c>
      <c r="B15988" s="318" t="s">
        <v>23</v>
      </c>
    </row>
    <row r="15989" spans="1:2" ht="12.75" customHeight="1" x14ac:dyDescent="0.25">
      <c r="A15989" s="318">
        <v>95231990358</v>
      </c>
      <c r="B15989" s="318" t="s">
        <v>23</v>
      </c>
    </row>
    <row r="15990" spans="1:2" ht="12.75" customHeight="1" x14ac:dyDescent="0.25">
      <c r="A15990" s="318">
        <v>95231990442</v>
      </c>
      <c r="B15990" s="318" t="s">
        <v>237</v>
      </c>
    </row>
    <row r="15991" spans="1:2" ht="12.75" customHeight="1" x14ac:dyDescent="0.25">
      <c r="A15991" s="318">
        <v>95231990443</v>
      </c>
      <c r="B15991" s="318" t="s">
        <v>237</v>
      </c>
    </row>
    <row r="15992" spans="1:2" ht="12.75" customHeight="1" x14ac:dyDescent="0.25">
      <c r="A15992" s="318">
        <v>95231990444</v>
      </c>
      <c r="B15992" s="318" t="s">
        <v>237</v>
      </c>
    </row>
    <row r="15993" spans="1:2" ht="12.75" customHeight="1" x14ac:dyDescent="0.25">
      <c r="A15993" s="318">
        <v>95231990445</v>
      </c>
      <c r="B15993" s="318" t="s">
        <v>237</v>
      </c>
    </row>
    <row r="15994" spans="1:2" ht="12.75" customHeight="1" x14ac:dyDescent="0.25">
      <c r="A15994" s="318">
        <v>95231990446</v>
      </c>
      <c r="B15994" s="318" t="s">
        <v>237</v>
      </c>
    </row>
    <row r="15995" spans="1:2" ht="12.75" customHeight="1" x14ac:dyDescent="0.25">
      <c r="A15995" s="318">
        <v>95231990447</v>
      </c>
      <c r="B15995" s="318" t="s">
        <v>237</v>
      </c>
    </row>
    <row r="15996" spans="1:2" ht="12.75" customHeight="1" x14ac:dyDescent="0.25">
      <c r="A15996" s="318">
        <v>95231990448</v>
      </c>
      <c r="B15996" s="318" t="s">
        <v>237</v>
      </c>
    </row>
    <row r="15997" spans="1:2" ht="12.75" customHeight="1" x14ac:dyDescent="0.25">
      <c r="A15997" s="318">
        <v>95231990449</v>
      </c>
      <c r="B15997" s="318" t="s">
        <v>237</v>
      </c>
    </row>
    <row r="15998" spans="1:2" ht="12.75" customHeight="1" x14ac:dyDescent="0.25">
      <c r="A15998" s="318">
        <v>95231990451</v>
      </c>
      <c r="B15998" s="318" t="s">
        <v>237</v>
      </c>
    </row>
    <row r="15999" spans="1:2" ht="12.75" customHeight="1" x14ac:dyDescent="0.25">
      <c r="A15999" s="318">
        <v>95231990452</v>
      </c>
      <c r="B15999" s="318" t="s">
        <v>237</v>
      </c>
    </row>
    <row r="16000" spans="1:2" ht="12.75" customHeight="1" x14ac:dyDescent="0.25">
      <c r="A16000" s="318">
        <v>95231990453</v>
      </c>
      <c r="B16000" s="318" t="s">
        <v>237</v>
      </c>
    </row>
    <row r="16001" spans="1:2" ht="12.75" customHeight="1" x14ac:dyDescent="0.25">
      <c r="A16001" s="318">
        <v>95231990454</v>
      </c>
      <c r="B16001" s="318" t="s">
        <v>237</v>
      </c>
    </row>
    <row r="16002" spans="1:2" ht="12.75" customHeight="1" x14ac:dyDescent="0.25">
      <c r="A16002" s="318">
        <v>95231990455</v>
      </c>
      <c r="B16002" s="318" t="s">
        <v>237</v>
      </c>
    </row>
    <row r="16003" spans="1:2" ht="12.75" customHeight="1" x14ac:dyDescent="0.25">
      <c r="A16003" s="318">
        <v>95231990456</v>
      </c>
      <c r="B16003" s="318" t="s">
        <v>237</v>
      </c>
    </row>
    <row r="16004" spans="1:2" ht="12.75" customHeight="1" x14ac:dyDescent="0.25">
      <c r="A16004" s="318">
        <v>95231990457</v>
      </c>
      <c r="B16004" s="318" t="s">
        <v>237</v>
      </c>
    </row>
    <row r="16005" spans="1:2" ht="12.75" customHeight="1" x14ac:dyDescent="0.25">
      <c r="A16005" s="318">
        <v>95231990458</v>
      </c>
      <c r="B16005" s="318" t="s">
        <v>237</v>
      </c>
    </row>
    <row r="16006" spans="1:2" ht="12.75" customHeight="1" x14ac:dyDescent="0.25">
      <c r="A16006" s="318">
        <v>96163220997</v>
      </c>
      <c r="B16006" s="318" t="s">
        <v>236</v>
      </c>
    </row>
    <row r="16007" spans="1:2" ht="12.75" customHeight="1" x14ac:dyDescent="0.25">
      <c r="A16007" s="318">
        <v>96163220998</v>
      </c>
      <c r="B16007" s="318" t="s">
        <v>23</v>
      </c>
    </row>
    <row r="16008" spans="1:2" ht="12.75" customHeight="1" x14ac:dyDescent="0.25">
      <c r="A16008" s="318">
        <v>96163220999</v>
      </c>
      <c r="B16008" s="318" t="s">
        <v>236</v>
      </c>
    </row>
    <row r="16009" spans="1:2" ht="12.75" customHeight="1" x14ac:dyDescent="0.25">
      <c r="A16009" s="318">
        <v>96163221000</v>
      </c>
      <c r="B16009" s="318" t="s">
        <v>23</v>
      </c>
    </row>
    <row r="16010" spans="1:2" ht="12.75" customHeight="1" x14ac:dyDescent="0.25">
      <c r="A16010" s="318">
        <v>96163221001</v>
      </c>
      <c r="B16010" s="318" t="s">
        <v>236</v>
      </c>
    </row>
    <row r="16011" spans="1:2" ht="12.75" customHeight="1" x14ac:dyDescent="0.25">
      <c r="A16011" s="318">
        <v>96163221002</v>
      </c>
      <c r="B16011" s="318" t="s">
        <v>23</v>
      </c>
    </row>
    <row r="16012" spans="1:2" ht="12.75" customHeight="1" x14ac:dyDescent="0.25">
      <c r="A16012" s="318">
        <v>96163221003</v>
      </c>
      <c r="B16012" s="318" t="s">
        <v>23</v>
      </c>
    </row>
    <row r="16013" spans="1:2" ht="12.75" customHeight="1" x14ac:dyDescent="0.25">
      <c r="A16013" s="318">
        <v>96163221004</v>
      </c>
      <c r="B16013" s="318" t="s">
        <v>237</v>
      </c>
    </row>
    <row r="16014" spans="1:2" ht="12.75" customHeight="1" x14ac:dyDescent="0.25">
      <c r="A16014" s="318">
        <v>96163221006</v>
      </c>
      <c r="B16014" s="318" t="s">
        <v>237</v>
      </c>
    </row>
    <row r="16015" spans="1:2" ht="12.75" customHeight="1" x14ac:dyDescent="0.25">
      <c r="A16015" s="318">
        <v>96163221007</v>
      </c>
      <c r="B16015" s="318" t="s">
        <v>237</v>
      </c>
    </row>
    <row r="16016" spans="1:2" ht="12.75" customHeight="1" x14ac:dyDescent="0.25">
      <c r="A16016" s="318">
        <v>96163221008</v>
      </c>
      <c r="B16016" s="318" t="s">
        <v>237</v>
      </c>
    </row>
    <row r="16017" spans="1:2" ht="12.75" customHeight="1" x14ac:dyDescent="0.25">
      <c r="A16017" s="318">
        <v>96163221009</v>
      </c>
      <c r="B16017" s="318" t="s">
        <v>237</v>
      </c>
    </row>
    <row r="16018" spans="1:2" ht="12.75" customHeight="1" x14ac:dyDescent="0.25">
      <c r="A16018" s="318">
        <v>96163221010</v>
      </c>
      <c r="B16018" s="318" t="s">
        <v>237</v>
      </c>
    </row>
    <row r="16019" spans="1:2" ht="12.75" customHeight="1" x14ac:dyDescent="0.25">
      <c r="A16019" s="318">
        <v>96163221011</v>
      </c>
      <c r="B16019" s="318" t="s">
        <v>237</v>
      </c>
    </row>
    <row r="16020" spans="1:2" ht="12.75" customHeight="1" x14ac:dyDescent="0.25">
      <c r="A16020" s="318">
        <v>96163221012</v>
      </c>
      <c r="B16020" s="318" t="s">
        <v>237</v>
      </c>
    </row>
    <row r="16021" spans="1:2" ht="12.75" customHeight="1" x14ac:dyDescent="0.25">
      <c r="A16021" s="318">
        <v>96163221013</v>
      </c>
      <c r="B16021" s="318" t="s">
        <v>237</v>
      </c>
    </row>
    <row r="16022" spans="1:2" ht="12.75" customHeight="1" x14ac:dyDescent="0.25">
      <c r="A16022" s="318">
        <v>96163221097</v>
      </c>
      <c r="B16022" s="318" t="s">
        <v>236</v>
      </c>
    </row>
    <row r="16023" spans="1:2" ht="12.75" customHeight="1" x14ac:dyDescent="0.25">
      <c r="A16023" s="318">
        <v>96163221098</v>
      </c>
      <c r="B16023" s="318" t="s">
        <v>23</v>
      </c>
    </row>
    <row r="16024" spans="1:2" ht="12.75" customHeight="1" x14ac:dyDescent="0.25">
      <c r="A16024" s="318">
        <v>96163221099</v>
      </c>
      <c r="B16024" s="318" t="s">
        <v>236</v>
      </c>
    </row>
    <row r="16025" spans="1:2" ht="12.75" customHeight="1" x14ac:dyDescent="0.25">
      <c r="A16025" s="318">
        <v>96163221100</v>
      </c>
      <c r="B16025" s="318" t="s">
        <v>23</v>
      </c>
    </row>
    <row r="16026" spans="1:2" ht="12.75" customHeight="1" x14ac:dyDescent="0.25">
      <c r="A16026" s="318">
        <v>96163221101</v>
      </c>
      <c r="B16026" s="318" t="s">
        <v>236</v>
      </c>
    </row>
    <row r="16027" spans="1:2" ht="12.75" customHeight="1" x14ac:dyDescent="0.25">
      <c r="A16027" s="318">
        <v>96163221102</v>
      </c>
      <c r="B16027" s="318" t="s">
        <v>23</v>
      </c>
    </row>
    <row r="16028" spans="1:2" ht="12.75" customHeight="1" x14ac:dyDescent="0.25">
      <c r="A16028" s="318">
        <v>96163221103</v>
      </c>
      <c r="B16028" s="318" t="s">
        <v>23</v>
      </c>
    </row>
    <row r="16029" spans="1:2" ht="12.75" customHeight="1" x14ac:dyDescent="0.25">
      <c r="A16029" s="318">
        <v>96163221104</v>
      </c>
      <c r="B16029" s="318" t="s">
        <v>237</v>
      </c>
    </row>
    <row r="16030" spans="1:2" ht="12.75" customHeight="1" x14ac:dyDescent="0.25">
      <c r="A16030" s="318">
        <v>96163221106</v>
      </c>
      <c r="B16030" s="318" t="s">
        <v>237</v>
      </c>
    </row>
    <row r="16031" spans="1:2" ht="12.75" customHeight="1" x14ac:dyDescent="0.25">
      <c r="A16031" s="318">
        <v>96163221107</v>
      </c>
      <c r="B16031" s="318" t="s">
        <v>237</v>
      </c>
    </row>
    <row r="16032" spans="1:2" ht="12.75" customHeight="1" x14ac:dyDescent="0.25">
      <c r="A16032" s="318">
        <v>96163221108</v>
      </c>
      <c r="B16032" s="318" t="s">
        <v>237</v>
      </c>
    </row>
    <row r="16033" spans="1:2" ht="12.75" customHeight="1" x14ac:dyDescent="0.25">
      <c r="A16033" s="318">
        <v>96163221109</v>
      </c>
      <c r="B16033" s="318" t="s">
        <v>237</v>
      </c>
    </row>
    <row r="16034" spans="1:2" ht="12.75" customHeight="1" x14ac:dyDescent="0.25">
      <c r="A16034" s="318">
        <v>96163221110</v>
      </c>
      <c r="B16034" s="318" t="s">
        <v>237</v>
      </c>
    </row>
    <row r="16035" spans="1:2" ht="12.75" customHeight="1" x14ac:dyDescent="0.25">
      <c r="A16035" s="318">
        <v>96163221111</v>
      </c>
      <c r="B16035" s="318" t="s">
        <v>237</v>
      </c>
    </row>
    <row r="16036" spans="1:2" ht="12.75" customHeight="1" x14ac:dyDescent="0.25">
      <c r="A16036" s="318">
        <v>96163221112</v>
      </c>
      <c r="B16036" s="318" t="s">
        <v>237</v>
      </c>
    </row>
    <row r="16037" spans="1:2" ht="12.75" customHeight="1" x14ac:dyDescent="0.25">
      <c r="A16037" s="318">
        <v>96163221113</v>
      </c>
      <c r="B16037" s="318" t="s">
        <v>237</v>
      </c>
    </row>
    <row r="16038" spans="1:2" ht="12.75" customHeight="1" x14ac:dyDescent="0.25">
      <c r="A16038" s="318">
        <v>96163701970</v>
      </c>
      <c r="B16038" s="318" t="s">
        <v>236</v>
      </c>
    </row>
    <row r="16039" spans="1:2" ht="12.75" customHeight="1" x14ac:dyDescent="0.25">
      <c r="A16039" s="318">
        <v>96163701971</v>
      </c>
      <c r="B16039" s="318" t="s">
        <v>23</v>
      </c>
    </row>
    <row r="16040" spans="1:2" ht="12.75" customHeight="1" x14ac:dyDescent="0.25">
      <c r="A16040" s="318">
        <v>96163701972</v>
      </c>
      <c r="B16040" s="318" t="s">
        <v>236</v>
      </c>
    </row>
    <row r="16041" spans="1:2" ht="12.75" customHeight="1" x14ac:dyDescent="0.25">
      <c r="A16041" s="318">
        <v>96163701973</v>
      </c>
      <c r="B16041" s="318" t="s">
        <v>23</v>
      </c>
    </row>
    <row r="16042" spans="1:2" ht="12.75" customHeight="1" x14ac:dyDescent="0.25">
      <c r="A16042" s="318">
        <v>96163701974</v>
      </c>
      <c r="B16042" s="318" t="s">
        <v>236</v>
      </c>
    </row>
    <row r="16043" spans="1:2" ht="12.75" customHeight="1" x14ac:dyDescent="0.25">
      <c r="A16043" s="318">
        <v>96163701975</v>
      </c>
      <c r="B16043" s="318" t="s">
        <v>23</v>
      </c>
    </row>
    <row r="16044" spans="1:2" ht="12.75" customHeight="1" x14ac:dyDescent="0.25">
      <c r="A16044" s="318">
        <v>96163701976</v>
      </c>
      <c r="B16044" s="318" t="s">
        <v>23</v>
      </c>
    </row>
    <row r="16045" spans="1:2" ht="12.75" customHeight="1" x14ac:dyDescent="0.25">
      <c r="A16045" s="318">
        <v>96163701977</v>
      </c>
      <c r="B16045" s="318" t="s">
        <v>237</v>
      </c>
    </row>
    <row r="16046" spans="1:2" ht="12.75" customHeight="1" x14ac:dyDescent="0.25">
      <c r="A16046" s="318">
        <v>96163701979</v>
      </c>
      <c r="B16046" s="318" t="s">
        <v>237</v>
      </c>
    </row>
    <row r="16047" spans="1:2" ht="12.75" customHeight="1" x14ac:dyDescent="0.25">
      <c r="A16047" s="318">
        <v>96163701980</v>
      </c>
      <c r="B16047" s="318" t="s">
        <v>237</v>
      </c>
    </row>
    <row r="16048" spans="1:2" ht="12.75" customHeight="1" x14ac:dyDescent="0.25">
      <c r="A16048" s="318">
        <v>96163701981</v>
      </c>
      <c r="B16048" s="318" t="s">
        <v>237</v>
      </c>
    </row>
    <row r="16049" spans="1:2" ht="12.75" customHeight="1" x14ac:dyDescent="0.25">
      <c r="A16049" s="318">
        <v>96163701982</v>
      </c>
      <c r="B16049" s="318" t="s">
        <v>237</v>
      </c>
    </row>
    <row r="16050" spans="1:2" ht="12.75" customHeight="1" x14ac:dyDescent="0.25">
      <c r="A16050" s="318">
        <v>96163701983</v>
      </c>
      <c r="B16050" s="318" t="s">
        <v>237</v>
      </c>
    </row>
    <row r="16051" spans="1:2" ht="12.75" customHeight="1" x14ac:dyDescent="0.25">
      <c r="A16051" s="318">
        <v>96163701984</v>
      </c>
      <c r="B16051" s="318" t="s">
        <v>237</v>
      </c>
    </row>
    <row r="16052" spans="1:2" ht="12.75" customHeight="1" x14ac:dyDescent="0.25">
      <c r="A16052" s="318">
        <v>96163701985</v>
      </c>
      <c r="B16052" s="318" t="s">
        <v>237</v>
      </c>
    </row>
    <row r="16053" spans="1:2" ht="12.75" customHeight="1" x14ac:dyDescent="0.25">
      <c r="A16053" s="318">
        <v>96163701986</v>
      </c>
      <c r="B16053" s="318" t="s">
        <v>237</v>
      </c>
    </row>
    <row r="16054" spans="1:2" ht="12.75" customHeight="1" x14ac:dyDescent="0.25">
      <c r="A16054" s="318">
        <v>96163702070</v>
      </c>
      <c r="B16054" s="318" t="s">
        <v>236</v>
      </c>
    </row>
    <row r="16055" spans="1:2" ht="12.75" customHeight="1" x14ac:dyDescent="0.25">
      <c r="A16055" s="318">
        <v>96163702071</v>
      </c>
      <c r="B16055" s="318" t="s">
        <v>23</v>
      </c>
    </row>
    <row r="16056" spans="1:2" ht="12.75" customHeight="1" x14ac:dyDescent="0.25">
      <c r="A16056" s="318">
        <v>96163702072</v>
      </c>
      <c r="B16056" s="318" t="s">
        <v>236</v>
      </c>
    </row>
    <row r="16057" spans="1:2" ht="12.75" customHeight="1" x14ac:dyDescent="0.25">
      <c r="A16057" s="318">
        <v>96163702073</v>
      </c>
      <c r="B16057" s="318" t="s">
        <v>23</v>
      </c>
    </row>
    <row r="16058" spans="1:2" ht="12.75" customHeight="1" x14ac:dyDescent="0.25">
      <c r="A16058" s="318">
        <v>96163702074</v>
      </c>
      <c r="B16058" s="318" t="s">
        <v>236</v>
      </c>
    </row>
    <row r="16059" spans="1:2" ht="12.75" customHeight="1" x14ac:dyDescent="0.25">
      <c r="A16059" s="318">
        <v>96163702075</v>
      </c>
      <c r="B16059" s="318" t="s">
        <v>23</v>
      </c>
    </row>
    <row r="16060" spans="1:2" ht="12.75" customHeight="1" x14ac:dyDescent="0.25">
      <c r="A16060" s="318">
        <v>96163702076</v>
      </c>
      <c r="B16060" s="318" t="s">
        <v>23</v>
      </c>
    </row>
    <row r="16061" spans="1:2" ht="12.75" customHeight="1" x14ac:dyDescent="0.25">
      <c r="A16061" s="318">
        <v>96163702077</v>
      </c>
      <c r="B16061" s="318" t="s">
        <v>237</v>
      </c>
    </row>
    <row r="16062" spans="1:2" ht="12.75" customHeight="1" x14ac:dyDescent="0.25">
      <c r="A16062" s="318">
        <v>96163702079</v>
      </c>
      <c r="B16062" s="318" t="s">
        <v>237</v>
      </c>
    </row>
    <row r="16063" spans="1:2" ht="12.75" customHeight="1" x14ac:dyDescent="0.25">
      <c r="A16063" s="318">
        <v>96163702080</v>
      </c>
      <c r="B16063" s="318" t="s">
        <v>237</v>
      </c>
    </row>
    <row r="16064" spans="1:2" ht="12.75" customHeight="1" x14ac:dyDescent="0.25">
      <c r="A16064" s="318">
        <v>96163702081</v>
      </c>
      <c r="B16064" s="318" t="s">
        <v>237</v>
      </c>
    </row>
    <row r="16065" spans="1:2" ht="12.75" customHeight="1" x14ac:dyDescent="0.25">
      <c r="A16065" s="318">
        <v>96163702082</v>
      </c>
      <c r="B16065" s="318" t="s">
        <v>237</v>
      </c>
    </row>
    <row r="16066" spans="1:2" ht="12.75" customHeight="1" x14ac:dyDescent="0.25">
      <c r="A16066" s="318">
        <v>96163702083</v>
      </c>
      <c r="B16066" s="318" t="s">
        <v>237</v>
      </c>
    </row>
    <row r="16067" spans="1:2" ht="12.75" customHeight="1" x14ac:dyDescent="0.25">
      <c r="A16067" s="318">
        <v>96163702084</v>
      </c>
      <c r="B16067" s="318" t="s">
        <v>237</v>
      </c>
    </row>
    <row r="16068" spans="1:2" ht="12.75" customHeight="1" x14ac:dyDescent="0.25">
      <c r="A16068" s="318">
        <v>96163702085</v>
      </c>
      <c r="B16068" s="318" t="s">
        <v>237</v>
      </c>
    </row>
    <row r="16069" spans="1:2" ht="12.75" customHeight="1" x14ac:dyDescent="0.25">
      <c r="A16069" s="318">
        <v>96163702086</v>
      </c>
      <c r="B16069" s="318" t="s">
        <v>237</v>
      </c>
    </row>
    <row r="16070" spans="1:2" ht="12.75" customHeight="1" x14ac:dyDescent="0.25">
      <c r="A16070" s="318">
        <v>96164182943</v>
      </c>
      <c r="B16070" s="318" t="s">
        <v>236</v>
      </c>
    </row>
    <row r="16071" spans="1:2" ht="12.75" customHeight="1" x14ac:dyDescent="0.25">
      <c r="A16071" s="318">
        <v>96164182944</v>
      </c>
      <c r="B16071" s="318" t="s">
        <v>23</v>
      </c>
    </row>
    <row r="16072" spans="1:2" ht="12.75" customHeight="1" x14ac:dyDescent="0.25">
      <c r="A16072" s="318">
        <v>96164182945</v>
      </c>
      <c r="B16072" s="318" t="s">
        <v>236</v>
      </c>
    </row>
    <row r="16073" spans="1:2" ht="12.75" customHeight="1" x14ac:dyDescent="0.25">
      <c r="A16073" s="318">
        <v>96164182946</v>
      </c>
      <c r="B16073" s="318" t="s">
        <v>23</v>
      </c>
    </row>
    <row r="16074" spans="1:2" ht="12.75" customHeight="1" x14ac:dyDescent="0.25">
      <c r="A16074" s="318">
        <v>96164182947</v>
      </c>
      <c r="B16074" s="318" t="s">
        <v>236</v>
      </c>
    </row>
    <row r="16075" spans="1:2" ht="12.75" customHeight="1" x14ac:dyDescent="0.25">
      <c r="A16075" s="318">
        <v>96164182948</v>
      </c>
      <c r="B16075" s="318" t="s">
        <v>23</v>
      </c>
    </row>
    <row r="16076" spans="1:2" ht="12.75" customHeight="1" x14ac:dyDescent="0.25">
      <c r="A16076" s="318">
        <v>96164182949</v>
      </c>
      <c r="B16076" s="318" t="s">
        <v>236</v>
      </c>
    </row>
    <row r="16077" spans="1:2" ht="12.75" customHeight="1" x14ac:dyDescent="0.25">
      <c r="A16077" s="318">
        <v>96164182950</v>
      </c>
      <c r="B16077" s="318" t="s">
        <v>237</v>
      </c>
    </row>
    <row r="16078" spans="1:2" ht="12.75" customHeight="1" x14ac:dyDescent="0.25">
      <c r="A16078" s="318">
        <v>96164182952</v>
      </c>
      <c r="B16078" s="318" t="s">
        <v>236</v>
      </c>
    </row>
    <row r="16079" spans="1:2" ht="12.75" customHeight="1" x14ac:dyDescent="0.25">
      <c r="A16079" s="318">
        <v>96164182953</v>
      </c>
      <c r="B16079" s="318" t="s">
        <v>237</v>
      </c>
    </row>
    <row r="16080" spans="1:2" ht="12.75" customHeight="1" x14ac:dyDescent="0.25">
      <c r="A16080" s="318">
        <v>96164182954</v>
      </c>
      <c r="B16080" s="318" t="s">
        <v>236</v>
      </c>
    </row>
    <row r="16081" spans="1:2" ht="12.75" customHeight="1" x14ac:dyDescent="0.25">
      <c r="A16081" s="318">
        <v>96164182955</v>
      </c>
      <c r="B16081" s="318" t="s">
        <v>237</v>
      </c>
    </row>
    <row r="16082" spans="1:2" ht="12.75" customHeight="1" x14ac:dyDescent="0.25">
      <c r="A16082" s="318">
        <v>96164182956</v>
      </c>
      <c r="B16082" s="318" t="s">
        <v>236</v>
      </c>
    </row>
    <row r="16083" spans="1:2" ht="12.75" customHeight="1" x14ac:dyDescent="0.25">
      <c r="A16083" s="318">
        <v>96164182957</v>
      </c>
      <c r="B16083" s="318" t="s">
        <v>237</v>
      </c>
    </row>
    <row r="16084" spans="1:2" ht="12.75" customHeight="1" x14ac:dyDescent="0.25">
      <c r="A16084" s="318">
        <v>96164182958</v>
      </c>
      <c r="B16084" s="318" t="s">
        <v>236</v>
      </c>
    </row>
    <row r="16085" spans="1:2" ht="12.75" customHeight="1" x14ac:dyDescent="0.25">
      <c r="A16085" s="318">
        <v>96164182959</v>
      </c>
      <c r="B16085" s="318" t="s">
        <v>237</v>
      </c>
    </row>
    <row r="16086" spans="1:2" ht="12.75" customHeight="1" x14ac:dyDescent="0.25">
      <c r="A16086" s="318">
        <v>96164183043</v>
      </c>
      <c r="B16086" s="318" t="s">
        <v>236</v>
      </c>
    </row>
    <row r="16087" spans="1:2" ht="12.75" customHeight="1" x14ac:dyDescent="0.25">
      <c r="A16087" s="318">
        <v>96164183044</v>
      </c>
      <c r="B16087" s="318" t="s">
        <v>23</v>
      </c>
    </row>
    <row r="16088" spans="1:2" ht="12.75" customHeight="1" x14ac:dyDescent="0.25">
      <c r="A16088" s="318">
        <v>96164183045</v>
      </c>
      <c r="B16088" s="318" t="s">
        <v>236</v>
      </c>
    </row>
    <row r="16089" spans="1:2" ht="12.75" customHeight="1" x14ac:dyDescent="0.25">
      <c r="A16089" s="318">
        <v>96164183046</v>
      </c>
      <c r="B16089" s="318" t="s">
        <v>23</v>
      </c>
    </row>
    <row r="16090" spans="1:2" ht="12.75" customHeight="1" x14ac:dyDescent="0.25">
      <c r="A16090" s="318">
        <v>96164183047</v>
      </c>
      <c r="B16090" s="318" t="s">
        <v>236</v>
      </c>
    </row>
    <row r="16091" spans="1:2" ht="12.75" customHeight="1" x14ac:dyDescent="0.25">
      <c r="A16091" s="318">
        <v>96164183048</v>
      </c>
      <c r="B16091" s="318" t="s">
        <v>23</v>
      </c>
    </row>
    <row r="16092" spans="1:2" ht="12.75" customHeight="1" x14ac:dyDescent="0.25">
      <c r="A16092" s="318">
        <v>96164183049</v>
      </c>
      <c r="B16092" s="318" t="s">
        <v>236</v>
      </c>
    </row>
    <row r="16093" spans="1:2" ht="12.75" customHeight="1" x14ac:dyDescent="0.25">
      <c r="A16093" s="318">
        <v>96164183050</v>
      </c>
      <c r="B16093" s="318" t="s">
        <v>237</v>
      </c>
    </row>
    <row r="16094" spans="1:2" ht="12.75" customHeight="1" x14ac:dyDescent="0.25">
      <c r="A16094" s="318">
        <v>96164183052</v>
      </c>
      <c r="B16094" s="318" t="s">
        <v>236</v>
      </c>
    </row>
    <row r="16095" spans="1:2" ht="12.75" customHeight="1" x14ac:dyDescent="0.25">
      <c r="A16095" s="318">
        <v>96164183053</v>
      </c>
      <c r="B16095" s="318" t="s">
        <v>237</v>
      </c>
    </row>
    <row r="16096" spans="1:2" ht="12.75" customHeight="1" x14ac:dyDescent="0.25">
      <c r="A16096" s="318">
        <v>96164183054</v>
      </c>
      <c r="B16096" s="318" t="s">
        <v>236</v>
      </c>
    </row>
    <row r="16097" spans="1:2" ht="12.75" customHeight="1" x14ac:dyDescent="0.25">
      <c r="A16097" s="318">
        <v>96164183055</v>
      </c>
      <c r="B16097" s="318" t="s">
        <v>237</v>
      </c>
    </row>
    <row r="16098" spans="1:2" ht="12.75" customHeight="1" x14ac:dyDescent="0.25">
      <c r="A16098" s="318">
        <v>96164183056</v>
      </c>
      <c r="B16098" s="318" t="s">
        <v>236</v>
      </c>
    </row>
    <row r="16099" spans="1:2" ht="12.75" customHeight="1" x14ac:dyDescent="0.25">
      <c r="A16099" s="318">
        <v>96164183057</v>
      </c>
      <c r="B16099" s="318" t="s">
        <v>237</v>
      </c>
    </row>
    <row r="16100" spans="1:2" ht="12.75" customHeight="1" x14ac:dyDescent="0.25">
      <c r="A16100" s="318">
        <v>96164183058</v>
      </c>
      <c r="B16100" s="318" t="s">
        <v>236</v>
      </c>
    </row>
    <row r="16101" spans="1:2" ht="12.75" customHeight="1" x14ac:dyDescent="0.25">
      <c r="A16101" s="318">
        <v>96164183059</v>
      </c>
      <c r="B16101" s="318" t="s">
        <v>237</v>
      </c>
    </row>
    <row r="16102" spans="1:2" ht="12.75" customHeight="1" x14ac:dyDescent="0.25">
      <c r="A16102" s="318">
        <v>96164863134</v>
      </c>
      <c r="B16102" s="318" t="s">
        <v>236</v>
      </c>
    </row>
    <row r="16103" spans="1:2" ht="12.75" customHeight="1" x14ac:dyDescent="0.25">
      <c r="A16103" s="318">
        <v>96164863135</v>
      </c>
      <c r="B16103" s="318" t="s">
        <v>23</v>
      </c>
    </row>
    <row r="16104" spans="1:2" ht="12.75" customHeight="1" x14ac:dyDescent="0.25">
      <c r="A16104" s="318">
        <v>96164863136</v>
      </c>
      <c r="B16104" s="318" t="s">
        <v>236</v>
      </c>
    </row>
    <row r="16105" spans="1:2" ht="12.75" customHeight="1" x14ac:dyDescent="0.25">
      <c r="A16105" s="318">
        <v>96164863137</v>
      </c>
      <c r="B16105" s="318" t="s">
        <v>23</v>
      </c>
    </row>
    <row r="16106" spans="1:2" ht="12.75" customHeight="1" x14ac:dyDescent="0.25">
      <c r="A16106" s="318">
        <v>96164863138</v>
      </c>
      <c r="B16106" s="318" t="s">
        <v>236</v>
      </c>
    </row>
    <row r="16107" spans="1:2" ht="12.75" customHeight="1" x14ac:dyDescent="0.25">
      <c r="A16107" s="318">
        <v>96164863139</v>
      </c>
      <c r="B16107" s="318" t="s">
        <v>23</v>
      </c>
    </row>
    <row r="16108" spans="1:2" ht="12.75" customHeight="1" x14ac:dyDescent="0.25">
      <c r="A16108" s="318">
        <v>96164863140</v>
      </c>
      <c r="B16108" s="318" t="s">
        <v>23</v>
      </c>
    </row>
    <row r="16109" spans="1:2" ht="12.75" customHeight="1" x14ac:dyDescent="0.25">
      <c r="A16109" s="318">
        <v>96164863141</v>
      </c>
      <c r="B16109" s="318" t="s">
        <v>237</v>
      </c>
    </row>
    <row r="16110" spans="1:2" ht="12.75" customHeight="1" x14ac:dyDescent="0.25">
      <c r="A16110" s="318">
        <v>96164863143</v>
      </c>
      <c r="B16110" s="318" t="s">
        <v>237</v>
      </c>
    </row>
    <row r="16111" spans="1:2" ht="12.75" customHeight="1" x14ac:dyDescent="0.25">
      <c r="A16111" s="318">
        <v>96164863144</v>
      </c>
      <c r="B16111" s="318" t="s">
        <v>237</v>
      </c>
    </row>
    <row r="16112" spans="1:2" ht="12.75" customHeight="1" x14ac:dyDescent="0.25">
      <c r="A16112" s="318">
        <v>96164863145</v>
      </c>
      <c r="B16112" s="318" t="s">
        <v>237</v>
      </c>
    </row>
    <row r="16113" spans="1:2" ht="12.75" customHeight="1" x14ac:dyDescent="0.25">
      <c r="A16113" s="318">
        <v>96164863146</v>
      </c>
      <c r="B16113" s="318" t="s">
        <v>237</v>
      </c>
    </row>
    <row r="16114" spans="1:2" ht="12.75" customHeight="1" x14ac:dyDescent="0.25">
      <c r="A16114" s="318">
        <v>96164863147</v>
      </c>
      <c r="B16114" s="318" t="s">
        <v>237</v>
      </c>
    </row>
    <row r="16115" spans="1:2" ht="12.75" customHeight="1" x14ac:dyDescent="0.25">
      <c r="A16115" s="318">
        <v>96164863148</v>
      </c>
      <c r="B16115" s="318" t="s">
        <v>237</v>
      </c>
    </row>
    <row r="16116" spans="1:2" ht="12.75" customHeight="1" x14ac:dyDescent="0.25">
      <c r="A16116" s="318">
        <v>96164863149</v>
      </c>
      <c r="B16116" s="318" t="s">
        <v>237</v>
      </c>
    </row>
    <row r="16117" spans="1:2" ht="12.75" customHeight="1" x14ac:dyDescent="0.25">
      <c r="A16117" s="318">
        <v>96164863150</v>
      </c>
      <c r="B16117" s="318" t="s">
        <v>237</v>
      </c>
    </row>
    <row r="16118" spans="1:2" ht="12.75" customHeight="1" x14ac:dyDescent="0.25">
      <c r="A16118" s="318">
        <v>96164863234</v>
      </c>
      <c r="B16118" s="318" t="s">
        <v>236</v>
      </c>
    </row>
    <row r="16119" spans="1:2" ht="12.75" customHeight="1" x14ac:dyDescent="0.25">
      <c r="A16119" s="318">
        <v>96164863235</v>
      </c>
      <c r="B16119" s="318" t="s">
        <v>23</v>
      </c>
    </row>
    <row r="16120" spans="1:2" ht="12.75" customHeight="1" x14ac:dyDescent="0.25">
      <c r="A16120" s="318">
        <v>96164863236</v>
      </c>
      <c r="B16120" s="318" t="s">
        <v>236</v>
      </c>
    </row>
    <row r="16121" spans="1:2" ht="12.75" customHeight="1" x14ac:dyDescent="0.25">
      <c r="A16121" s="318">
        <v>96164863237</v>
      </c>
      <c r="B16121" s="318" t="s">
        <v>23</v>
      </c>
    </row>
    <row r="16122" spans="1:2" ht="12.75" customHeight="1" x14ac:dyDescent="0.25">
      <c r="A16122" s="318">
        <v>96164863238</v>
      </c>
      <c r="B16122" s="318" t="s">
        <v>236</v>
      </c>
    </row>
    <row r="16123" spans="1:2" ht="12.75" customHeight="1" x14ac:dyDescent="0.25">
      <c r="A16123" s="318">
        <v>96164863239</v>
      </c>
      <c r="B16123" s="318" t="s">
        <v>23</v>
      </c>
    </row>
    <row r="16124" spans="1:2" ht="12.75" customHeight="1" x14ac:dyDescent="0.25">
      <c r="A16124" s="318">
        <v>96164863240</v>
      </c>
      <c r="B16124" s="318" t="s">
        <v>23</v>
      </c>
    </row>
    <row r="16125" spans="1:2" ht="12.75" customHeight="1" x14ac:dyDescent="0.25">
      <c r="A16125" s="318">
        <v>96164863241</v>
      </c>
      <c r="B16125" s="318" t="s">
        <v>237</v>
      </c>
    </row>
    <row r="16126" spans="1:2" ht="12.75" customHeight="1" x14ac:dyDescent="0.25">
      <c r="A16126" s="318">
        <v>96164863243</v>
      </c>
      <c r="B16126" s="318" t="s">
        <v>237</v>
      </c>
    </row>
    <row r="16127" spans="1:2" ht="12.75" customHeight="1" x14ac:dyDescent="0.25">
      <c r="A16127" s="318">
        <v>96164863244</v>
      </c>
      <c r="B16127" s="318" t="s">
        <v>237</v>
      </c>
    </row>
    <row r="16128" spans="1:2" ht="12.75" customHeight="1" x14ac:dyDescent="0.25">
      <c r="A16128" s="318">
        <v>96164863245</v>
      </c>
      <c r="B16128" s="318" t="s">
        <v>237</v>
      </c>
    </row>
    <row r="16129" spans="1:2" ht="12.75" customHeight="1" x14ac:dyDescent="0.25">
      <c r="A16129" s="318">
        <v>96164863246</v>
      </c>
      <c r="B16129" s="318" t="s">
        <v>237</v>
      </c>
    </row>
    <row r="16130" spans="1:2" ht="12.75" customHeight="1" x14ac:dyDescent="0.25">
      <c r="A16130" s="318">
        <v>96164863247</v>
      </c>
      <c r="B16130" s="318" t="s">
        <v>237</v>
      </c>
    </row>
    <row r="16131" spans="1:2" ht="12.75" customHeight="1" x14ac:dyDescent="0.25">
      <c r="A16131" s="318">
        <v>96164863248</v>
      </c>
      <c r="B16131" s="318" t="s">
        <v>237</v>
      </c>
    </row>
    <row r="16132" spans="1:2" ht="12.75" customHeight="1" x14ac:dyDescent="0.25">
      <c r="A16132" s="318">
        <v>96164863249</v>
      </c>
      <c r="B16132" s="318" t="s">
        <v>237</v>
      </c>
    </row>
    <row r="16133" spans="1:2" ht="12.75" customHeight="1" x14ac:dyDescent="0.25">
      <c r="A16133" s="318">
        <v>96164863250</v>
      </c>
      <c r="B16133" s="318" t="s">
        <v>237</v>
      </c>
    </row>
    <row r="16134" spans="1:2" ht="12.75" customHeight="1" x14ac:dyDescent="0.25">
      <c r="A16134" s="318">
        <v>96165344107</v>
      </c>
      <c r="B16134" s="318" t="s">
        <v>236</v>
      </c>
    </row>
    <row r="16135" spans="1:2" ht="12.75" customHeight="1" x14ac:dyDescent="0.25">
      <c r="A16135" s="318">
        <v>96165344108</v>
      </c>
      <c r="B16135" s="318" t="s">
        <v>23</v>
      </c>
    </row>
    <row r="16136" spans="1:2" ht="12.75" customHeight="1" x14ac:dyDescent="0.25">
      <c r="A16136" s="318">
        <v>96165344109</v>
      </c>
      <c r="B16136" s="318" t="s">
        <v>236</v>
      </c>
    </row>
    <row r="16137" spans="1:2" ht="12.75" customHeight="1" x14ac:dyDescent="0.25">
      <c r="A16137" s="318">
        <v>96165344110</v>
      </c>
      <c r="B16137" s="318" t="s">
        <v>23</v>
      </c>
    </row>
    <row r="16138" spans="1:2" ht="12.75" customHeight="1" x14ac:dyDescent="0.25">
      <c r="A16138" s="318">
        <v>96165344111</v>
      </c>
      <c r="B16138" s="318" t="s">
        <v>236</v>
      </c>
    </row>
    <row r="16139" spans="1:2" ht="12.75" customHeight="1" x14ac:dyDescent="0.25">
      <c r="A16139" s="318">
        <v>96165344112</v>
      </c>
      <c r="B16139" s="318" t="s">
        <v>23</v>
      </c>
    </row>
    <row r="16140" spans="1:2" ht="12.75" customHeight="1" x14ac:dyDescent="0.25">
      <c r="A16140" s="318">
        <v>96165344113</v>
      </c>
      <c r="B16140" s="318" t="s">
        <v>23</v>
      </c>
    </row>
    <row r="16141" spans="1:2" ht="12.75" customHeight="1" x14ac:dyDescent="0.25">
      <c r="A16141" s="318">
        <v>96165344114</v>
      </c>
      <c r="B16141" s="318" t="s">
        <v>237</v>
      </c>
    </row>
    <row r="16142" spans="1:2" ht="12.75" customHeight="1" x14ac:dyDescent="0.25">
      <c r="A16142" s="318">
        <v>96165344116</v>
      </c>
      <c r="B16142" s="318" t="s">
        <v>237</v>
      </c>
    </row>
    <row r="16143" spans="1:2" ht="12.75" customHeight="1" x14ac:dyDescent="0.25">
      <c r="A16143" s="318">
        <v>96165344117</v>
      </c>
      <c r="B16143" s="318" t="s">
        <v>237</v>
      </c>
    </row>
    <row r="16144" spans="1:2" ht="12.75" customHeight="1" x14ac:dyDescent="0.25">
      <c r="A16144" s="318">
        <v>96165344118</v>
      </c>
      <c r="B16144" s="318" t="s">
        <v>237</v>
      </c>
    </row>
    <row r="16145" spans="1:2" ht="12.75" customHeight="1" x14ac:dyDescent="0.25">
      <c r="A16145" s="318">
        <v>96165344119</v>
      </c>
      <c r="B16145" s="318" t="s">
        <v>237</v>
      </c>
    </row>
    <row r="16146" spans="1:2" ht="12.75" customHeight="1" x14ac:dyDescent="0.25">
      <c r="A16146" s="318">
        <v>96165344120</v>
      </c>
      <c r="B16146" s="318" t="s">
        <v>237</v>
      </c>
    </row>
    <row r="16147" spans="1:2" ht="12.75" customHeight="1" x14ac:dyDescent="0.25">
      <c r="A16147" s="318">
        <v>96165344121</v>
      </c>
      <c r="B16147" s="318" t="s">
        <v>237</v>
      </c>
    </row>
    <row r="16148" spans="1:2" ht="12.75" customHeight="1" x14ac:dyDescent="0.25">
      <c r="A16148" s="318">
        <v>96165344122</v>
      </c>
      <c r="B16148" s="318" t="s">
        <v>237</v>
      </c>
    </row>
    <row r="16149" spans="1:2" ht="12.75" customHeight="1" x14ac:dyDescent="0.25">
      <c r="A16149" s="318">
        <v>96165344123</v>
      </c>
      <c r="B16149" s="318" t="s">
        <v>237</v>
      </c>
    </row>
    <row r="16150" spans="1:2" ht="12.75" customHeight="1" x14ac:dyDescent="0.25">
      <c r="A16150" s="318">
        <v>96165344207</v>
      </c>
      <c r="B16150" s="318" t="s">
        <v>236</v>
      </c>
    </row>
    <row r="16151" spans="1:2" ht="12.75" customHeight="1" x14ac:dyDescent="0.25">
      <c r="A16151" s="318">
        <v>96165344208</v>
      </c>
      <c r="B16151" s="318" t="s">
        <v>23</v>
      </c>
    </row>
    <row r="16152" spans="1:2" ht="12.75" customHeight="1" x14ac:dyDescent="0.25">
      <c r="A16152" s="318">
        <v>96165344209</v>
      </c>
      <c r="B16152" s="318" t="s">
        <v>236</v>
      </c>
    </row>
    <row r="16153" spans="1:2" ht="12.75" customHeight="1" x14ac:dyDescent="0.25">
      <c r="A16153" s="318">
        <v>96165344210</v>
      </c>
      <c r="B16153" s="318" t="s">
        <v>23</v>
      </c>
    </row>
    <row r="16154" spans="1:2" ht="12.75" customHeight="1" x14ac:dyDescent="0.25">
      <c r="A16154" s="318">
        <v>96165344211</v>
      </c>
      <c r="B16154" s="318" t="s">
        <v>236</v>
      </c>
    </row>
    <row r="16155" spans="1:2" ht="12.75" customHeight="1" x14ac:dyDescent="0.25">
      <c r="A16155" s="318">
        <v>96165344212</v>
      </c>
      <c r="B16155" s="318" t="s">
        <v>23</v>
      </c>
    </row>
    <row r="16156" spans="1:2" ht="12.75" customHeight="1" x14ac:dyDescent="0.25">
      <c r="A16156" s="318">
        <v>96165344213</v>
      </c>
      <c r="B16156" s="318" t="s">
        <v>23</v>
      </c>
    </row>
    <row r="16157" spans="1:2" ht="12.75" customHeight="1" x14ac:dyDescent="0.25">
      <c r="A16157" s="318">
        <v>96165344214</v>
      </c>
      <c r="B16157" s="318" t="s">
        <v>237</v>
      </c>
    </row>
    <row r="16158" spans="1:2" ht="12.75" customHeight="1" x14ac:dyDescent="0.25">
      <c r="A16158" s="318">
        <v>96165344216</v>
      </c>
      <c r="B16158" s="318" t="s">
        <v>237</v>
      </c>
    </row>
    <row r="16159" spans="1:2" ht="12.75" customHeight="1" x14ac:dyDescent="0.25">
      <c r="A16159" s="318">
        <v>96165344217</v>
      </c>
      <c r="B16159" s="318" t="s">
        <v>237</v>
      </c>
    </row>
    <row r="16160" spans="1:2" ht="12.75" customHeight="1" x14ac:dyDescent="0.25">
      <c r="A16160" s="318">
        <v>96165344218</v>
      </c>
      <c r="B16160" s="318" t="s">
        <v>237</v>
      </c>
    </row>
    <row r="16161" spans="1:2" ht="12.75" customHeight="1" x14ac:dyDescent="0.25">
      <c r="A16161" s="318">
        <v>96165344219</v>
      </c>
      <c r="B16161" s="318" t="s">
        <v>237</v>
      </c>
    </row>
    <row r="16162" spans="1:2" ht="12.75" customHeight="1" x14ac:dyDescent="0.25">
      <c r="A16162" s="318">
        <v>96165344220</v>
      </c>
      <c r="B16162" s="318" t="s">
        <v>237</v>
      </c>
    </row>
    <row r="16163" spans="1:2" ht="12.75" customHeight="1" x14ac:dyDescent="0.25">
      <c r="A16163" s="318">
        <v>96165344221</v>
      </c>
      <c r="B16163" s="318" t="s">
        <v>237</v>
      </c>
    </row>
    <row r="16164" spans="1:2" ht="12.75" customHeight="1" x14ac:dyDescent="0.25">
      <c r="A16164" s="318">
        <v>96165344222</v>
      </c>
      <c r="B16164" s="318" t="s">
        <v>237</v>
      </c>
    </row>
    <row r="16165" spans="1:2" ht="12.75" customHeight="1" x14ac:dyDescent="0.25">
      <c r="A16165" s="318">
        <v>96165344223</v>
      </c>
      <c r="B16165" s="318" t="s">
        <v>237</v>
      </c>
    </row>
    <row r="16166" spans="1:2" ht="12.75" customHeight="1" x14ac:dyDescent="0.25">
      <c r="A16166" s="318">
        <v>96165825080</v>
      </c>
      <c r="B16166" s="318" t="s">
        <v>236</v>
      </c>
    </row>
    <row r="16167" spans="1:2" ht="12.75" customHeight="1" x14ac:dyDescent="0.25">
      <c r="A16167" s="318">
        <v>96165825081</v>
      </c>
      <c r="B16167" s="318" t="s">
        <v>23</v>
      </c>
    </row>
    <row r="16168" spans="1:2" ht="12.75" customHeight="1" x14ac:dyDescent="0.25">
      <c r="A16168" s="318">
        <v>96165825082</v>
      </c>
      <c r="B16168" s="318" t="s">
        <v>236</v>
      </c>
    </row>
    <row r="16169" spans="1:2" ht="12.75" customHeight="1" x14ac:dyDescent="0.25">
      <c r="A16169" s="318">
        <v>96165825083</v>
      </c>
      <c r="B16169" s="318" t="s">
        <v>23</v>
      </c>
    </row>
    <row r="16170" spans="1:2" ht="12.75" customHeight="1" x14ac:dyDescent="0.25">
      <c r="A16170" s="318">
        <v>96165825084</v>
      </c>
      <c r="B16170" s="318" t="s">
        <v>236</v>
      </c>
    </row>
    <row r="16171" spans="1:2" ht="12.75" customHeight="1" x14ac:dyDescent="0.25">
      <c r="A16171" s="318">
        <v>96165825085</v>
      </c>
      <c r="B16171" s="318" t="s">
        <v>23</v>
      </c>
    </row>
    <row r="16172" spans="1:2" ht="12.75" customHeight="1" x14ac:dyDescent="0.25">
      <c r="A16172" s="318">
        <v>96165825086</v>
      </c>
      <c r="B16172" s="318" t="s">
        <v>236</v>
      </c>
    </row>
    <row r="16173" spans="1:2" ht="12.75" customHeight="1" x14ac:dyDescent="0.25">
      <c r="A16173" s="318">
        <v>96165825087</v>
      </c>
      <c r="B16173" s="318" t="s">
        <v>237</v>
      </c>
    </row>
    <row r="16174" spans="1:2" ht="12.75" customHeight="1" x14ac:dyDescent="0.25">
      <c r="A16174" s="318">
        <v>96165825089</v>
      </c>
      <c r="B16174" s="318" t="s">
        <v>236</v>
      </c>
    </row>
    <row r="16175" spans="1:2" ht="12.75" customHeight="1" x14ac:dyDescent="0.25">
      <c r="A16175" s="318">
        <v>96165825090</v>
      </c>
      <c r="B16175" s="318" t="s">
        <v>237</v>
      </c>
    </row>
    <row r="16176" spans="1:2" ht="12.75" customHeight="1" x14ac:dyDescent="0.25">
      <c r="A16176" s="318">
        <v>96165825091</v>
      </c>
      <c r="B16176" s="318" t="s">
        <v>236</v>
      </c>
    </row>
    <row r="16177" spans="1:2" ht="12.75" customHeight="1" x14ac:dyDescent="0.25">
      <c r="A16177" s="318">
        <v>96165825092</v>
      </c>
      <c r="B16177" s="318" t="s">
        <v>237</v>
      </c>
    </row>
    <row r="16178" spans="1:2" ht="12.75" customHeight="1" x14ac:dyDescent="0.25">
      <c r="A16178" s="318">
        <v>96165825093</v>
      </c>
      <c r="B16178" s="318" t="s">
        <v>236</v>
      </c>
    </row>
    <row r="16179" spans="1:2" ht="12.75" customHeight="1" x14ac:dyDescent="0.25">
      <c r="A16179" s="318">
        <v>96165825094</v>
      </c>
      <c r="B16179" s="318" t="s">
        <v>237</v>
      </c>
    </row>
    <row r="16180" spans="1:2" ht="12.75" customHeight="1" x14ac:dyDescent="0.25">
      <c r="A16180" s="318">
        <v>96165825095</v>
      </c>
      <c r="B16180" s="318" t="s">
        <v>236</v>
      </c>
    </row>
    <row r="16181" spans="1:2" ht="12.75" customHeight="1" x14ac:dyDescent="0.25">
      <c r="A16181" s="318">
        <v>96165825096</v>
      </c>
      <c r="B16181" s="318" t="s">
        <v>237</v>
      </c>
    </row>
    <row r="16182" spans="1:2" ht="12.75" customHeight="1" x14ac:dyDescent="0.25">
      <c r="A16182" s="318">
        <v>96165825180</v>
      </c>
      <c r="B16182" s="318" t="s">
        <v>236</v>
      </c>
    </row>
    <row r="16183" spans="1:2" ht="12.75" customHeight="1" x14ac:dyDescent="0.25">
      <c r="A16183" s="318">
        <v>96165825181</v>
      </c>
      <c r="B16183" s="318" t="s">
        <v>23</v>
      </c>
    </row>
    <row r="16184" spans="1:2" ht="12.75" customHeight="1" x14ac:dyDescent="0.25">
      <c r="A16184" s="318">
        <v>96165825182</v>
      </c>
      <c r="B16184" s="318" t="s">
        <v>236</v>
      </c>
    </row>
    <row r="16185" spans="1:2" ht="12.75" customHeight="1" x14ac:dyDescent="0.25">
      <c r="A16185" s="318">
        <v>96165825183</v>
      </c>
      <c r="B16185" s="318" t="s">
        <v>23</v>
      </c>
    </row>
    <row r="16186" spans="1:2" ht="12.75" customHeight="1" x14ac:dyDescent="0.25">
      <c r="A16186" s="318">
        <v>96165825184</v>
      </c>
      <c r="B16186" s="318" t="s">
        <v>236</v>
      </c>
    </row>
    <row r="16187" spans="1:2" ht="12.75" customHeight="1" x14ac:dyDescent="0.25">
      <c r="A16187" s="318">
        <v>96165825185</v>
      </c>
      <c r="B16187" s="318" t="s">
        <v>23</v>
      </c>
    </row>
    <row r="16188" spans="1:2" ht="12.75" customHeight="1" x14ac:dyDescent="0.25">
      <c r="A16188" s="318">
        <v>96165825186</v>
      </c>
      <c r="B16188" s="318" t="s">
        <v>236</v>
      </c>
    </row>
    <row r="16189" spans="1:2" ht="12.75" customHeight="1" x14ac:dyDescent="0.25">
      <c r="A16189" s="318">
        <v>96165825187</v>
      </c>
      <c r="B16189" s="318" t="s">
        <v>237</v>
      </c>
    </row>
    <row r="16190" spans="1:2" ht="12.75" customHeight="1" x14ac:dyDescent="0.25">
      <c r="A16190" s="318">
        <v>96165825189</v>
      </c>
      <c r="B16190" s="318" t="s">
        <v>236</v>
      </c>
    </row>
    <row r="16191" spans="1:2" ht="12.75" customHeight="1" x14ac:dyDescent="0.25">
      <c r="A16191" s="318">
        <v>96165825190</v>
      </c>
      <c r="B16191" s="318" t="s">
        <v>237</v>
      </c>
    </row>
    <row r="16192" spans="1:2" ht="12.75" customHeight="1" x14ac:dyDescent="0.25">
      <c r="A16192" s="318">
        <v>96165825191</v>
      </c>
      <c r="B16192" s="318" t="s">
        <v>236</v>
      </c>
    </row>
    <row r="16193" spans="1:2" ht="12.75" customHeight="1" x14ac:dyDescent="0.25">
      <c r="A16193" s="318">
        <v>96165825192</v>
      </c>
      <c r="B16193" s="318" t="s">
        <v>237</v>
      </c>
    </row>
    <row r="16194" spans="1:2" ht="12.75" customHeight="1" x14ac:dyDescent="0.25">
      <c r="A16194" s="318">
        <v>96165825193</v>
      </c>
      <c r="B16194" s="318" t="s">
        <v>236</v>
      </c>
    </row>
    <row r="16195" spans="1:2" ht="12.75" customHeight="1" x14ac:dyDescent="0.25">
      <c r="A16195" s="318">
        <v>96165825194</v>
      </c>
      <c r="B16195" s="318" t="s">
        <v>237</v>
      </c>
    </row>
    <row r="16196" spans="1:2" ht="12.75" customHeight="1" x14ac:dyDescent="0.25">
      <c r="A16196" s="318">
        <v>96165825195</v>
      </c>
      <c r="B16196" s="318" t="s">
        <v>236</v>
      </c>
    </row>
    <row r="16197" spans="1:2" ht="12.75" customHeight="1" x14ac:dyDescent="0.25">
      <c r="A16197" s="318">
        <v>96165825196</v>
      </c>
      <c r="B16197" s="318" t="s">
        <v>237</v>
      </c>
    </row>
    <row r="16198" spans="1:2" ht="12.75" customHeight="1" x14ac:dyDescent="0.25">
      <c r="A16198" s="318">
        <v>96166505271</v>
      </c>
      <c r="B16198" s="318" t="s">
        <v>236</v>
      </c>
    </row>
    <row r="16199" spans="1:2" ht="12.75" customHeight="1" x14ac:dyDescent="0.25">
      <c r="A16199" s="318">
        <v>96166505272</v>
      </c>
      <c r="B16199" s="318" t="s">
        <v>23</v>
      </c>
    </row>
    <row r="16200" spans="1:2" ht="12.75" customHeight="1" x14ac:dyDescent="0.25">
      <c r="A16200" s="318">
        <v>96166505273</v>
      </c>
      <c r="B16200" s="318" t="s">
        <v>236</v>
      </c>
    </row>
    <row r="16201" spans="1:2" ht="12.75" customHeight="1" x14ac:dyDescent="0.25">
      <c r="A16201" s="318">
        <v>96166505274</v>
      </c>
      <c r="B16201" s="318" t="s">
        <v>23</v>
      </c>
    </row>
    <row r="16202" spans="1:2" ht="12.75" customHeight="1" x14ac:dyDescent="0.25">
      <c r="A16202" s="318">
        <v>96166505275</v>
      </c>
      <c r="B16202" s="318" t="s">
        <v>236</v>
      </c>
    </row>
    <row r="16203" spans="1:2" ht="12.75" customHeight="1" x14ac:dyDescent="0.25">
      <c r="A16203" s="318">
        <v>96166505276</v>
      </c>
      <c r="B16203" s="318" t="s">
        <v>23</v>
      </c>
    </row>
    <row r="16204" spans="1:2" ht="12.75" customHeight="1" x14ac:dyDescent="0.25">
      <c r="A16204" s="318">
        <v>96166505277</v>
      </c>
      <c r="B16204" s="318" t="s">
        <v>236</v>
      </c>
    </row>
    <row r="16205" spans="1:2" ht="12.75" customHeight="1" x14ac:dyDescent="0.25">
      <c r="A16205" s="318">
        <v>96166505278</v>
      </c>
      <c r="B16205" s="318" t="s">
        <v>237</v>
      </c>
    </row>
    <row r="16206" spans="1:2" ht="12.75" customHeight="1" x14ac:dyDescent="0.25">
      <c r="A16206" s="318">
        <v>96166505280</v>
      </c>
      <c r="B16206" s="318" t="s">
        <v>236</v>
      </c>
    </row>
    <row r="16207" spans="1:2" ht="12.75" customHeight="1" x14ac:dyDescent="0.25">
      <c r="A16207" s="318">
        <v>96166505281</v>
      </c>
      <c r="B16207" s="318" t="s">
        <v>237</v>
      </c>
    </row>
    <row r="16208" spans="1:2" ht="12.75" customHeight="1" x14ac:dyDescent="0.25">
      <c r="A16208" s="318">
        <v>96166505282</v>
      </c>
      <c r="B16208" s="318" t="s">
        <v>236</v>
      </c>
    </row>
    <row r="16209" spans="1:2" ht="12.75" customHeight="1" x14ac:dyDescent="0.25">
      <c r="A16209" s="318">
        <v>96166505283</v>
      </c>
      <c r="B16209" s="318" t="s">
        <v>237</v>
      </c>
    </row>
    <row r="16210" spans="1:2" ht="12.75" customHeight="1" x14ac:dyDescent="0.25">
      <c r="A16210" s="318">
        <v>96166505284</v>
      </c>
      <c r="B16210" s="318" t="s">
        <v>236</v>
      </c>
    </row>
    <row r="16211" spans="1:2" ht="12.75" customHeight="1" x14ac:dyDescent="0.25">
      <c r="A16211" s="318">
        <v>96166505285</v>
      </c>
      <c r="B16211" s="318" t="s">
        <v>237</v>
      </c>
    </row>
    <row r="16212" spans="1:2" ht="12.75" customHeight="1" x14ac:dyDescent="0.25">
      <c r="A16212" s="318">
        <v>96166505286</v>
      </c>
      <c r="B16212" s="318" t="s">
        <v>236</v>
      </c>
    </row>
    <row r="16213" spans="1:2" ht="12.75" customHeight="1" x14ac:dyDescent="0.25">
      <c r="A16213" s="318">
        <v>96166505287</v>
      </c>
      <c r="B16213" s="318" t="s">
        <v>237</v>
      </c>
    </row>
    <row r="16214" spans="1:2" ht="12.75" customHeight="1" x14ac:dyDescent="0.25">
      <c r="A16214" s="318">
        <v>96166505371</v>
      </c>
      <c r="B16214" s="318" t="s">
        <v>236</v>
      </c>
    </row>
    <row r="16215" spans="1:2" ht="12.75" customHeight="1" x14ac:dyDescent="0.25">
      <c r="A16215" s="318">
        <v>96166505372</v>
      </c>
      <c r="B16215" s="318" t="s">
        <v>23</v>
      </c>
    </row>
    <row r="16216" spans="1:2" ht="12.75" customHeight="1" x14ac:dyDescent="0.25">
      <c r="A16216" s="318">
        <v>96166505373</v>
      </c>
      <c r="B16216" s="318" t="s">
        <v>236</v>
      </c>
    </row>
    <row r="16217" spans="1:2" ht="12.75" customHeight="1" x14ac:dyDescent="0.25">
      <c r="A16217" s="318">
        <v>96166505374</v>
      </c>
      <c r="B16217" s="318" t="s">
        <v>23</v>
      </c>
    </row>
    <row r="16218" spans="1:2" ht="12.75" customHeight="1" x14ac:dyDescent="0.25">
      <c r="A16218" s="318">
        <v>96166505375</v>
      </c>
      <c r="B16218" s="318" t="s">
        <v>236</v>
      </c>
    </row>
    <row r="16219" spans="1:2" ht="12.75" customHeight="1" x14ac:dyDescent="0.25">
      <c r="A16219" s="318">
        <v>96166505376</v>
      </c>
      <c r="B16219" s="318" t="s">
        <v>23</v>
      </c>
    </row>
    <row r="16220" spans="1:2" ht="12.75" customHeight="1" x14ac:dyDescent="0.25">
      <c r="A16220" s="318">
        <v>96166505377</v>
      </c>
      <c r="B16220" s="318" t="s">
        <v>236</v>
      </c>
    </row>
    <row r="16221" spans="1:2" ht="12.75" customHeight="1" x14ac:dyDescent="0.25">
      <c r="A16221" s="318">
        <v>96166505378</v>
      </c>
      <c r="B16221" s="318" t="s">
        <v>237</v>
      </c>
    </row>
    <row r="16222" spans="1:2" ht="12.75" customHeight="1" x14ac:dyDescent="0.25">
      <c r="A16222" s="318">
        <v>96166505380</v>
      </c>
      <c r="B16222" s="318" t="s">
        <v>236</v>
      </c>
    </row>
    <row r="16223" spans="1:2" ht="12.75" customHeight="1" x14ac:dyDescent="0.25">
      <c r="A16223" s="318">
        <v>96166505381</v>
      </c>
      <c r="B16223" s="318" t="s">
        <v>237</v>
      </c>
    </row>
    <row r="16224" spans="1:2" ht="12.75" customHeight="1" x14ac:dyDescent="0.25">
      <c r="A16224" s="318">
        <v>96166505382</v>
      </c>
      <c r="B16224" s="318" t="s">
        <v>236</v>
      </c>
    </row>
    <row r="16225" spans="1:2" ht="12.75" customHeight="1" x14ac:dyDescent="0.25">
      <c r="A16225" s="318">
        <v>96166505383</v>
      </c>
      <c r="B16225" s="318" t="s">
        <v>237</v>
      </c>
    </row>
    <row r="16226" spans="1:2" ht="12.75" customHeight="1" x14ac:dyDescent="0.25">
      <c r="A16226" s="318">
        <v>96166505384</v>
      </c>
      <c r="B16226" s="318" t="s">
        <v>236</v>
      </c>
    </row>
    <row r="16227" spans="1:2" ht="12.75" customHeight="1" x14ac:dyDescent="0.25">
      <c r="A16227" s="318">
        <v>96166505385</v>
      </c>
      <c r="B16227" s="318" t="s">
        <v>237</v>
      </c>
    </row>
    <row r="16228" spans="1:2" ht="12.75" customHeight="1" x14ac:dyDescent="0.25">
      <c r="A16228" s="318">
        <v>96166505386</v>
      </c>
      <c r="B16228" s="318" t="s">
        <v>236</v>
      </c>
    </row>
    <row r="16229" spans="1:2" ht="12.75" customHeight="1" x14ac:dyDescent="0.25">
      <c r="A16229" s="318">
        <v>96166505387</v>
      </c>
      <c r="B16229" s="318" t="s">
        <v>237</v>
      </c>
    </row>
    <row r="16230" spans="1:2" ht="12.75" customHeight="1" x14ac:dyDescent="0.25">
      <c r="A16230" s="318">
        <v>96166986244</v>
      </c>
      <c r="B16230" s="318" t="s">
        <v>236</v>
      </c>
    </row>
    <row r="16231" spans="1:2" ht="12.75" customHeight="1" x14ac:dyDescent="0.25">
      <c r="A16231" s="318">
        <v>96166986245</v>
      </c>
      <c r="B16231" s="318" t="s">
        <v>23</v>
      </c>
    </row>
    <row r="16232" spans="1:2" ht="12.75" customHeight="1" x14ac:dyDescent="0.25">
      <c r="A16232" s="318">
        <v>96166986246</v>
      </c>
      <c r="B16232" s="318" t="s">
        <v>236</v>
      </c>
    </row>
    <row r="16233" spans="1:2" ht="12.75" customHeight="1" x14ac:dyDescent="0.25">
      <c r="A16233" s="318">
        <v>96166986247</v>
      </c>
      <c r="B16233" s="318" t="s">
        <v>23</v>
      </c>
    </row>
    <row r="16234" spans="1:2" ht="12.75" customHeight="1" x14ac:dyDescent="0.25">
      <c r="A16234" s="318">
        <v>96166986248</v>
      </c>
      <c r="B16234" s="318" t="s">
        <v>236</v>
      </c>
    </row>
    <row r="16235" spans="1:2" ht="12.75" customHeight="1" x14ac:dyDescent="0.25">
      <c r="A16235" s="318">
        <v>96166986249</v>
      </c>
      <c r="B16235" s="318" t="s">
        <v>23</v>
      </c>
    </row>
    <row r="16236" spans="1:2" ht="12.75" customHeight="1" x14ac:dyDescent="0.25">
      <c r="A16236" s="318">
        <v>96166986250</v>
      </c>
      <c r="B16236" s="318" t="s">
        <v>236</v>
      </c>
    </row>
    <row r="16237" spans="1:2" ht="12.75" customHeight="1" x14ac:dyDescent="0.25">
      <c r="A16237" s="318">
        <v>96166986251</v>
      </c>
      <c r="B16237" s="318" t="s">
        <v>237</v>
      </c>
    </row>
    <row r="16238" spans="1:2" ht="12.75" customHeight="1" x14ac:dyDescent="0.25">
      <c r="A16238" s="318">
        <v>96166986253</v>
      </c>
      <c r="B16238" s="318" t="s">
        <v>236</v>
      </c>
    </row>
    <row r="16239" spans="1:2" ht="12.75" customHeight="1" x14ac:dyDescent="0.25">
      <c r="A16239" s="318">
        <v>96166986254</v>
      </c>
      <c r="B16239" s="318" t="s">
        <v>237</v>
      </c>
    </row>
    <row r="16240" spans="1:2" ht="12.75" customHeight="1" x14ac:dyDescent="0.25">
      <c r="A16240" s="318">
        <v>96166986255</v>
      </c>
      <c r="B16240" s="318" t="s">
        <v>236</v>
      </c>
    </row>
    <row r="16241" spans="1:2" ht="12.75" customHeight="1" x14ac:dyDescent="0.25">
      <c r="A16241" s="318">
        <v>96166986256</v>
      </c>
      <c r="B16241" s="318" t="s">
        <v>237</v>
      </c>
    </row>
    <row r="16242" spans="1:2" ht="12.75" customHeight="1" x14ac:dyDescent="0.25">
      <c r="A16242" s="318">
        <v>96166986257</v>
      </c>
      <c r="B16242" s="318" t="s">
        <v>236</v>
      </c>
    </row>
    <row r="16243" spans="1:2" ht="12.75" customHeight="1" x14ac:dyDescent="0.25">
      <c r="A16243" s="318">
        <v>96166986258</v>
      </c>
      <c r="B16243" s="318" t="s">
        <v>237</v>
      </c>
    </row>
    <row r="16244" spans="1:2" ht="12.75" customHeight="1" x14ac:dyDescent="0.25">
      <c r="A16244" s="318">
        <v>96166986259</v>
      </c>
      <c r="B16244" s="318" t="s">
        <v>236</v>
      </c>
    </row>
    <row r="16245" spans="1:2" ht="12.75" customHeight="1" x14ac:dyDescent="0.25">
      <c r="A16245" s="318">
        <v>96166986260</v>
      </c>
      <c r="B16245" s="318" t="s">
        <v>237</v>
      </c>
    </row>
    <row r="16246" spans="1:2" ht="12.75" customHeight="1" x14ac:dyDescent="0.25">
      <c r="A16246" s="318">
        <v>96166986344</v>
      </c>
      <c r="B16246" s="318" t="s">
        <v>236</v>
      </c>
    </row>
    <row r="16247" spans="1:2" ht="12.75" customHeight="1" x14ac:dyDescent="0.25">
      <c r="A16247" s="318">
        <v>96166986345</v>
      </c>
      <c r="B16247" s="318" t="s">
        <v>23</v>
      </c>
    </row>
    <row r="16248" spans="1:2" ht="12.75" customHeight="1" x14ac:dyDescent="0.25">
      <c r="A16248" s="318">
        <v>96166986346</v>
      </c>
      <c r="B16248" s="318" t="s">
        <v>236</v>
      </c>
    </row>
    <row r="16249" spans="1:2" ht="12.75" customHeight="1" x14ac:dyDescent="0.25">
      <c r="A16249" s="318">
        <v>96166986347</v>
      </c>
      <c r="B16249" s="318" t="s">
        <v>23</v>
      </c>
    </row>
    <row r="16250" spans="1:2" ht="12.75" customHeight="1" x14ac:dyDescent="0.25">
      <c r="A16250" s="318">
        <v>96166986348</v>
      </c>
      <c r="B16250" s="318" t="s">
        <v>236</v>
      </c>
    </row>
    <row r="16251" spans="1:2" ht="12.75" customHeight="1" x14ac:dyDescent="0.25">
      <c r="A16251" s="318">
        <v>96166986349</v>
      </c>
      <c r="B16251" s="318" t="s">
        <v>23</v>
      </c>
    </row>
    <row r="16252" spans="1:2" ht="12.75" customHeight="1" x14ac:dyDescent="0.25">
      <c r="A16252" s="318">
        <v>96166986350</v>
      </c>
      <c r="B16252" s="318" t="s">
        <v>236</v>
      </c>
    </row>
    <row r="16253" spans="1:2" ht="12.75" customHeight="1" x14ac:dyDescent="0.25">
      <c r="A16253" s="318">
        <v>96166986351</v>
      </c>
      <c r="B16253" s="318" t="s">
        <v>237</v>
      </c>
    </row>
    <row r="16254" spans="1:2" ht="12.75" customHeight="1" x14ac:dyDescent="0.25">
      <c r="A16254" s="318">
        <v>96166986353</v>
      </c>
      <c r="B16254" s="318" t="s">
        <v>236</v>
      </c>
    </row>
    <row r="16255" spans="1:2" ht="12.75" customHeight="1" x14ac:dyDescent="0.25">
      <c r="A16255" s="318">
        <v>96166986354</v>
      </c>
      <c r="B16255" s="318" t="s">
        <v>237</v>
      </c>
    </row>
    <row r="16256" spans="1:2" ht="12.75" customHeight="1" x14ac:dyDescent="0.25">
      <c r="A16256" s="318">
        <v>96166986355</v>
      </c>
      <c r="B16256" s="318" t="s">
        <v>236</v>
      </c>
    </row>
    <row r="16257" spans="1:2" ht="12.75" customHeight="1" x14ac:dyDescent="0.25">
      <c r="A16257" s="318">
        <v>96166986356</v>
      </c>
      <c r="B16257" s="318" t="s">
        <v>237</v>
      </c>
    </row>
    <row r="16258" spans="1:2" ht="12.75" customHeight="1" x14ac:dyDescent="0.25">
      <c r="A16258" s="318">
        <v>96166986357</v>
      </c>
      <c r="B16258" s="318" t="s">
        <v>236</v>
      </c>
    </row>
    <row r="16259" spans="1:2" ht="12.75" customHeight="1" x14ac:dyDescent="0.25">
      <c r="A16259" s="318">
        <v>96166986358</v>
      </c>
      <c r="B16259" s="318" t="s">
        <v>237</v>
      </c>
    </row>
    <row r="16260" spans="1:2" ht="12.75" customHeight="1" x14ac:dyDescent="0.25">
      <c r="A16260" s="318">
        <v>96166986359</v>
      </c>
      <c r="B16260" s="318" t="s">
        <v>236</v>
      </c>
    </row>
    <row r="16261" spans="1:2" ht="12.75" customHeight="1" x14ac:dyDescent="0.25">
      <c r="A16261" s="318">
        <v>96166986360</v>
      </c>
      <c r="B16261" s="318" t="s">
        <v>237</v>
      </c>
    </row>
    <row r="16262" spans="1:2" ht="12.75" customHeight="1" x14ac:dyDescent="0.25">
      <c r="A16262" s="318">
        <v>96167467217</v>
      </c>
      <c r="B16262" s="318" t="s">
        <v>236</v>
      </c>
    </row>
    <row r="16263" spans="1:2" ht="12.75" customHeight="1" x14ac:dyDescent="0.25">
      <c r="A16263" s="318">
        <v>96167467218</v>
      </c>
      <c r="B16263" s="318" t="s">
        <v>23</v>
      </c>
    </row>
    <row r="16264" spans="1:2" ht="12.75" customHeight="1" x14ac:dyDescent="0.25">
      <c r="A16264" s="318">
        <v>96167467219</v>
      </c>
      <c r="B16264" s="318" t="s">
        <v>236</v>
      </c>
    </row>
    <row r="16265" spans="1:2" ht="12.75" customHeight="1" x14ac:dyDescent="0.25">
      <c r="A16265" s="318">
        <v>96167467220</v>
      </c>
      <c r="B16265" s="318" t="s">
        <v>23</v>
      </c>
    </row>
    <row r="16266" spans="1:2" ht="12.75" customHeight="1" x14ac:dyDescent="0.25">
      <c r="A16266" s="318">
        <v>96167467221</v>
      </c>
      <c r="B16266" s="318" t="s">
        <v>236</v>
      </c>
    </row>
    <row r="16267" spans="1:2" ht="12.75" customHeight="1" x14ac:dyDescent="0.25">
      <c r="A16267" s="318">
        <v>96167467222</v>
      </c>
      <c r="B16267" s="318" t="s">
        <v>23</v>
      </c>
    </row>
    <row r="16268" spans="1:2" ht="12.75" customHeight="1" x14ac:dyDescent="0.25">
      <c r="A16268" s="318">
        <v>96167467223</v>
      </c>
      <c r="B16268" s="318" t="s">
        <v>236</v>
      </c>
    </row>
    <row r="16269" spans="1:2" ht="12.75" customHeight="1" x14ac:dyDescent="0.25">
      <c r="A16269" s="318">
        <v>96167467224</v>
      </c>
      <c r="B16269" s="318" t="s">
        <v>237</v>
      </c>
    </row>
    <row r="16270" spans="1:2" ht="12.75" customHeight="1" x14ac:dyDescent="0.25">
      <c r="A16270" s="318">
        <v>96167467226</v>
      </c>
      <c r="B16270" s="318" t="s">
        <v>236</v>
      </c>
    </row>
    <row r="16271" spans="1:2" ht="12.75" customHeight="1" x14ac:dyDescent="0.25">
      <c r="A16271" s="318">
        <v>96167467227</v>
      </c>
      <c r="B16271" s="318" t="s">
        <v>237</v>
      </c>
    </row>
    <row r="16272" spans="1:2" ht="12.75" customHeight="1" x14ac:dyDescent="0.25">
      <c r="A16272" s="318">
        <v>96167467228</v>
      </c>
      <c r="B16272" s="318" t="s">
        <v>236</v>
      </c>
    </row>
    <row r="16273" spans="1:2" ht="12.75" customHeight="1" x14ac:dyDescent="0.25">
      <c r="A16273" s="318">
        <v>96167467229</v>
      </c>
      <c r="B16273" s="318" t="s">
        <v>237</v>
      </c>
    </row>
    <row r="16274" spans="1:2" ht="12.75" customHeight="1" x14ac:dyDescent="0.25">
      <c r="A16274" s="318">
        <v>96167467230</v>
      </c>
      <c r="B16274" s="318" t="s">
        <v>236</v>
      </c>
    </row>
    <row r="16275" spans="1:2" ht="12.75" customHeight="1" x14ac:dyDescent="0.25">
      <c r="A16275" s="318">
        <v>96167467231</v>
      </c>
      <c r="B16275" s="318" t="s">
        <v>237</v>
      </c>
    </row>
    <row r="16276" spans="1:2" ht="12.75" customHeight="1" x14ac:dyDescent="0.25">
      <c r="A16276" s="318">
        <v>96167467232</v>
      </c>
      <c r="B16276" s="318" t="s">
        <v>236</v>
      </c>
    </row>
    <row r="16277" spans="1:2" ht="12.75" customHeight="1" x14ac:dyDescent="0.25">
      <c r="A16277" s="318">
        <v>96167467233</v>
      </c>
      <c r="B16277" s="318" t="s">
        <v>237</v>
      </c>
    </row>
    <row r="16278" spans="1:2" ht="12.75" customHeight="1" x14ac:dyDescent="0.25">
      <c r="A16278" s="318">
        <v>96167467317</v>
      </c>
      <c r="B16278" s="318" t="s">
        <v>236</v>
      </c>
    </row>
    <row r="16279" spans="1:2" ht="12.75" customHeight="1" x14ac:dyDescent="0.25">
      <c r="A16279" s="318">
        <v>96167467318</v>
      </c>
      <c r="B16279" s="318" t="s">
        <v>23</v>
      </c>
    </row>
    <row r="16280" spans="1:2" ht="12.75" customHeight="1" x14ac:dyDescent="0.25">
      <c r="A16280" s="318">
        <v>96167467319</v>
      </c>
      <c r="B16280" s="318" t="s">
        <v>236</v>
      </c>
    </row>
    <row r="16281" spans="1:2" ht="12.75" customHeight="1" x14ac:dyDescent="0.25">
      <c r="A16281" s="318">
        <v>96167467320</v>
      </c>
      <c r="B16281" s="318" t="s">
        <v>23</v>
      </c>
    </row>
    <row r="16282" spans="1:2" ht="12.75" customHeight="1" x14ac:dyDescent="0.25">
      <c r="A16282" s="318">
        <v>96167467321</v>
      </c>
      <c r="B16282" s="318" t="s">
        <v>236</v>
      </c>
    </row>
    <row r="16283" spans="1:2" ht="12.75" customHeight="1" x14ac:dyDescent="0.25">
      <c r="A16283" s="318">
        <v>96167467322</v>
      </c>
      <c r="B16283" s="318" t="s">
        <v>23</v>
      </c>
    </row>
    <row r="16284" spans="1:2" ht="12.75" customHeight="1" x14ac:dyDescent="0.25">
      <c r="A16284" s="318">
        <v>96167467323</v>
      </c>
      <c r="B16284" s="318" t="s">
        <v>236</v>
      </c>
    </row>
    <row r="16285" spans="1:2" ht="12.75" customHeight="1" x14ac:dyDescent="0.25">
      <c r="A16285" s="318">
        <v>96167467324</v>
      </c>
      <c r="B16285" s="318" t="s">
        <v>237</v>
      </c>
    </row>
    <row r="16286" spans="1:2" ht="12.75" customHeight="1" x14ac:dyDescent="0.25">
      <c r="A16286" s="318">
        <v>96167467326</v>
      </c>
      <c r="B16286" s="318" t="s">
        <v>236</v>
      </c>
    </row>
    <row r="16287" spans="1:2" ht="12.75" customHeight="1" x14ac:dyDescent="0.25">
      <c r="A16287" s="318">
        <v>96167467327</v>
      </c>
      <c r="B16287" s="318" t="s">
        <v>237</v>
      </c>
    </row>
    <row r="16288" spans="1:2" ht="12.75" customHeight="1" x14ac:dyDescent="0.25">
      <c r="A16288" s="318">
        <v>96167467328</v>
      </c>
      <c r="B16288" s="318" t="s">
        <v>236</v>
      </c>
    </row>
    <row r="16289" spans="1:2" ht="12.75" customHeight="1" x14ac:dyDescent="0.25">
      <c r="A16289" s="318">
        <v>96167467329</v>
      </c>
      <c r="B16289" s="318" t="s">
        <v>237</v>
      </c>
    </row>
    <row r="16290" spans="1:2" ht="12.75" customHeight="1" x14ac:dyDescent="0.25">
      <c r="A16290" s="318">
        <v>96167467330</v>
      </c>
      <c r="B16290" s="318" t="s">
        <v>236</v>
      </c>
    </row>
    <row r="16291" spans="1:2" ht="12.75" customHeight="1" x14ac:dyDescent="0.25">
      <c r="A16291" s="318">
        <v>96167467331</v>
      </c>
      <c r="B16291" s="318" t="s">
        <v>237</v>
      </c>
    </row>
    <row r="16292" spans="1:2" ht="12.75" customHeight="1" x14ac:dyDescent="0.25">
      <c r="A16292" s="318">
        <v>96167467332</v>
      </c>
      <c r="B16292" s="318" t="s">
        <v>236</v>
      </c>
    </row>
    <row r="16293" spans="1:2" ht="12.75" customHeight="1" x14ac:dyDescent="0.25">
      <c r="A16293" s="318">
        <v>96167467333</v>
      </c>
      <c r="B16293" s="318" t="s">
        <v>237</v>
      </c>
    </row>
    <row r="16294" spans="1:2" ht="12.75" customHeight="1" x14ac:dyDescent="0.25">
      <c r="A16294" s="318">
        <v>96168827598</v>
      </c>
      <c r="B16294" s="318" t="s">
        <v>236</v>
      </c>
    </row>
    <row r="16295" spans="1:2" ht="12.75" customHeight="1" x14ac:dyDescent="0.25">
      <c r="A16295" s="318">
        <v>96168827599</v>
      </c>
      <c r="B16295" s="318" t="s">
        <v>23</v>
      </c>
    </row>
    <row r="16296" spans="1:2" ht="12.75" customHeight="1" x14ac:dyDescent="0.25">
      <c r="A16296" s="318">
        <v>96168827600</v>
      </c>
      <c r="B16296" s="318" t="s">
        <v>236</v>
      </c>
    </row>
    <row r="16297" spans="1:2" ht="12.75" customHeight="1" x14ac:dyDescent="0.25">
      <c r="A16297" s="318">
        <v>96168827601</v>
      </c>
      <c r="B16297" s="318" t="s">
        <v>23</v>
      </c>
    </row>
    <row r="16298" spans="1:2" ht="12.75" customHeight="1" x14ac:dyDescent="0.25">
      <c r="A16298" s="318">
        <v>96168827602</v>
      </c>
      <c r="B16298" s="318" t="s">
        <v>236</v>
      </c>
    </row>
    <row r="16299" spans="1:2" ht="12.75" customHeight="1" x14ac:dyDescent="0.25">
      <c r="A16299" s="318">
        <v>96168827603</v>
      </c>
      <c r="B16299" s="318" t="s">
        <v>23</v>
      </c>
    </row>
    <row r="16300" spans="1:2" ht="12.75" customHeight="1" x14ac:dyDescent="0.25">
      <c r="A16300" s="318">
        <v>96168827604</v>
      </c>
      <c r="B16300" s="318" t="s">
        <v>23</v>
      </c>
    </row>
    <row r="16301" spans="1:2" ht="12.75" customHeight="1" x14ac:dyDescent="0.25">
      <c r="A16301" s="318">
        <v>96168827605</v>
      </c>
      <c r="B16301" s="318" t="s">
        <v>237</v>
      </c>
    </row>
    <row r="16302" spans="1:2" ht="12.75" customHeight="1" x14ac:dyDescent="0.25">
      <c r="A16302" s="318">
        <v>96168827607</v>
      </c>
      <c r="B16302" s="318" t="s">
        <v>237</v>
      </c>
    </row>
    <row r="16303" spans="1:2" ht="12.75" customHeight="1" x14ac:dyDescent="0.25">
      <c r="A16303" s="318">
        <v>96168827608</v>
      </c>
      <c r="B16303" s="318" t="s">
        <v>237</v>
      </c>
    </row>
    <row r="16304" spans="1:2" ht="12.75" customHeight="1" x14ac:dyDescent="0.25">
      <c r="A16304" s="318">
        <v>96168827609</v>
      </c>
      <c r="B16304" s="318" t="s">
        <v>237</v>
      </c>
    </row>
    <row r="16305" spans="1:2" ht="12.75" customHeight="1" x14ac:dyDescent="0.25">
      <c r="A16305" s="318">
        <v>96168827610</v>
      </c>
      <c r="B16305" s="318" t="s">
        <v>237</v>
      </c>
    </row>
    <row r="16306" spans="1:2" ht="12.75" customHeight="1" x14ac:dyDescent="0.25">
      <c r="A16306" s="318">
        <v>96168827611</v>
      </c>
      <c r="B16306" s="318" t="s">
        <v>237</v>
      </c>
    </row>
    <row r="16307" spans="1:2" ht="12.75" customHeight="1" x14ac:dyDescent="0.25">
      <c r="A16307" s="318">
        <v>96168827612</v>
      </c>
      <c r="B16307" s="318" t="s">
        <v>237</v>
      </c>
    </row>
    <row r="16308" spans="1:2" ht="12.75" customHeight="1" x14ac:dyDescent="0.25">
      <c r="A16308" s="318">
        <v>96168827613</v>
      </c>
      <c r="B16308" s="318" t="s">
        <v>237</v>
      </c>
    </row>
    <row r="16309" spans="1:2" ht="12.75" customHeight="1" x14ac:dyDescent="0.25">
      <c r="A16309" s="318">
        <v>96168827614</v>
      </c>
      <c r="B16309" s="318" t="s">
        <v>237</v>
      </c>
    </row>
    <row r="16310" spans="1:2" ht="12.75" customHeight="1" x14ac:dyDescent="0.25">
      <c r="A16310" s="318">
        <v>96168827698</v>
      </c>
      <c r="B16310" s="318" t="s">
        <v>236</v>
      </c>
    </row>
    <row r="16311" spans="1:2" ht="12.75" customHeight="1" x14ac:dyDescent="0.25">
      <c r="A16311" s="318">
        <v>96168827699</v>
      </c>
      <c r="B16311" s="318" t="s">
        <v>23</v>
      </c>
    </row>
    <row r="16312" spans="1:2" ht="12.75" customHeight="1" x14ac:dyDescent="0.25">
      <c r="A16312" s="318">
        <v>96168827700</v>
      </c>
      <c r="B16312" s="318" t="s">
        <v>236</v>
      </c>
    </row>
    <row r="16313" spans="1:2" ht="12.75" customHeight="1" x14ac:dyDescent="0.25">
      <c r="A16313" s="318">
        <v>96168827701</v>
      </c>
      <c r="B16313" s="318" t="s">
        <v>23</v>
      </c>
    </row>
    <row r="16314" spans="1:2" ht="12.75" customHeight="1" x14ac:dyDescent="0.25">
      <c r="A16314" s="318">
        <v>96168827702</v>
      </c>
      <c r="B16314" s="318" t="s">
        <v>236</v>
      </c>
    </row>
    <row r="16315" spans="1:2" ht="12.75" customHeight="1" x14ac:dyDescent="0.25">
      <c r="A16315" s="318">
        <v>96168827703</v>
      </c>
      <c r="B16315" s="318" t="s">
        <v>23</v>
      </c>
    </row>
    <row r="16316" spans="1:2" ht="12.75" customHeight="1" x14ac:dyDescent="0.25">
      <c r="A16316" s="318">
        <v>96168827704</v>
      </c>
      <c r="B16316" s="318" t="s">
        <v>23</v>
      </c>
    </row>
    <row r="16317" spans="1:2" ht="12.75" customHeight="1" x14ac:dyDescent="0.25">
      <c r="A16317" s="318">
        <v>96168827705</v>
      </c>
      <c r="B16317" s="318" t="s">
        <v>237</v>
      </c>
    </row>
    <row r="16318" spans="1:2" ht="12.75" customHeight="1" x14ac:dyDescent="0.25">
      <c r="A16318" s="318">
        <v>96168827707</v>
      </c>
      <c r="B16318" s="318" t="s">
        <v>237</v>
      </c>
    </row>
    <row r="16319" spans="1:2" ht="12.75" customHeight="1" x14ac:dyDescent="0.25">
      <c r="A16319" s="318">
        <v>96168827708</v>
      </c>
      <c r="B16319" s="318" t="s">
        <v>237</v>
      </c>
    </row>
    <row r="16320" spans="1:2" ht="12.75" customHeight="1" x14ac:dyDescent="0.25">
      <c r="A16320" s="318">
        <v>96168827709</v>
      </c>
      <c r="B16320" s="318" t="s">
        <v>237</v>
      </c>
    </row>
    <row r="16321" spans="1:2" ht="12.75" customHeight="1" x14ac:dyDescent="0.25">
      <c r="A16321" s="318">
        <v>96168827710</v>
      </c>
      <c r="B16321" s="318" t="s">
        <v>237</v>
      </c>
    </row>
    <row r="16322" spans="1:2" ht="12.75" customHeight="1" x14ac:dyDescent="0.25">
      <c r="A16322" s="318">
        <v>96168827711</v>
      </c>
      <c r="B16322" s="318" t="s">
        <v>237</v>
      </c>
    </row>
    <row r="16323" spans="1:2" ht="12.75" customHeight="1" x14ac:dyDescent="0.25">
      <c r="A16323" s="318">
        <v>96168827712</v>
      </c>
      <c r="B16323" s="318" t="s">
        <v>237</v>
      </c>
    </row>
    <row r="16324" spans="1:2" ht="12.75" customHeight="1" x14ac:dyDescent="0.25">
      <c r="A16324" s="318">
        <v>96168827713</v>
      </c>
      <c r="B16324" s="318" t="s">
        <v>237</v>
      </c>
    </row>
    <row r="16325" spans="1:2" ht="12.75" customHeight="1" x14ac:dyDescent="0.25">
      <c r="A16325" s="318">
        <v>96168827714</v>
      </c>
      <c r="B16325" s="318" t="s">
        <v>237</v>
      </c>
    </row>
    <row r="16326" spans="1:2" ht="12.75" customHeight="1" x14ac:dyDescent="0.25">
      <c r="A16326" s="318">
        <v>96169308571</v>
      </c>
      <c r="B16326" s="318" t="s">
        <v>236</v>
      </c>
    </row>
    <row r="16327" spans="1:2" ht="12.75" customHeight="1" x14ac:dyDescent="0.25">
      <c r="A16327" s="318">
        <v>96169308572</v>
      </c>
      <c r="B16327" s="318" t="s">
        <v>23</v>
      </c>
    </row>
    <row r="16328" spans="1:2" ht="12.75" customHeight="1" x14ac:dyDescent="0.25">
      <c r="A16328" s="318">
        <v>96169308573</v>
      </c>
      <c r="B16328" s="318" t="s">
        <v>236</v>
      </c>
    </row>
    <row r="16329" spans="1:2" ht="12.75" customHeight="1" x14ac:dyDescent="0.25">
      <c r="A16329" s="318">
        <v>96169308574</v>
      </c>
      <c r="B16329" s="318" t="s">
        <v>23</v>
      </c>
    </row>
    <row r="16330" spans="1:2" ht="12.75" customHeight="1" x14ac:dyDescent="0.25">
      <c r="A16330" s="318">
        <v>96169308575</v>
      </c>
      <c r="B16330" s="318" t="s">
        <v>236</v>
      </c>
    </row>
    <row r="16331" spans="1:2" ht="12.75" customHeight="1" x14ac:dyDescent="0.25">
      <c r="A16331" s="318">
        <v>96169308576</v>
      </c>
      <c r="B16331" s="318" t="s">
        <v>23</v>
      </c>
    </row>
    <row r="16332" spans="1:2" ht="12.75" customHeight="1" x14ac:dyDescent="0.25">
      <c r="A16332" s="318">
        <v>96169308577</v>
      </c>
      <c r="B16332" s="318" t="s">
        <v>23</v>
      </c>
    </row>
    <row r="16333" spans="1:2" ht="12.75" customHeight="1" x14ac:dyDescent="0.25">
      <c r="A16333" s="318">
        <v>96169308578</v>
      </c>
      <c r="B16333" s="318" t="s">
        <v>237</v>
      </c>
    </row>
    <row r="16334" spans="1:2" ht="12.75" customHeight="1" x14ac:dyDescent="0.25">
      <c r="A16334" s="318">
        <v>96169308580</v>
      </c>
      <c r="B16334" s="318" t="s">
        <v>237</v>
      </c>
    </row>
    <row r="16335" spans="1:2" ht="12.75" customHeight="1" x14ac:dyDescent="0.25">
      <c r="A16335" s="318">
        <v>96169308581</v>
      </c>
      <c r="B16335" s="318" t="s">
        <v>237</v>
      </c>
    </row>
    <row r="16336" spans="1:2" ht="12.75" customHeight="1" x14ac:dyDescent="0.25">
      <c r="A16336" s="318">
        <v>96169308582</v>
      </c>
      <c r="B16336" s="318" t="s">
        <v>237</v>
      </c>
    </row>
    <row r="16337" spans="1:2" ht="12.75" customHeight="1" x14ac:dyDescent="0.25">
      <c r="A16337" s="318">
        <v>96169308583</v>
      </c>
      <c r="B16337" s="318" t="s">
        <v>237</v>
      </c>
    </row>
    <row r="16338" spans="1:2" ht="12.75" customHeight="1" x14ac:dyDescent="0.25">
      <c r="A16338" s="318">
        <v>96169308584</v>
      </c>
      <c r="B16338" s="318" t="s">
        <v>237</v>
      </c>
    </row>
    <row r="16339" spans="1:2" ht="12.75" customHeight="1" x14ac:dyDescent="0.25">
      <c r="A16339" s="318">
        <v>96169308585</v>
      </c>
      <c r="B16339" s="318" t="s">
        <v>237</v>
      </c>
    </row>
    <row r="16340" spans="1:2" ht="12.75" customHeight="1" x14ac:dyDescent="0.25">
      <c r="A16340" s="318">
        <v>96169308586</v>
      </c>
      <c r="B16340" s="318" t="s">
        <v>237</v>
      </c>
    </row>
    <row r="16341" spans="1:2" ht="12.75" customHeight="1" x14ac:dyDescent="0.25">
      <c r="A16341" s="318">
        <v>96169308587</v>
      </c>
      <c r="B16341" s="318" t="s">
        <v>237</v>
      </c>
    </row>
    <row r="16342" spans="1:2" ht="12.75" customHeight="1" x14ac:dyDescent="0.25">
      <c r="A16342" s="318">
        <v>96169308671</v>
      </c>
      <c r="B16342" s="318" t="s">
        <v>236</v>
      </c>
    </row>
    <row r="16343" spans="1:2" ht="12.75" customHeight="1" x14ac:dyDescent="0.25">
      <c r="A16343" s="318">
        <v>96169308672</v>
      </c>
      <c r="B16343" s="318" t="s">
        <v>23</v>
      </c>
    </row>
    <row r="16344" spans="1:2" ht="12.75" customHeight="1" x14ac:dyDescent="0.25">
      <c r="A16344" s="318">
        <v>96169308673</v>
      </c>
      <c r="B16344" s="318" t="s">
        <v>236</v>
      </c>
    </row>
    <row r="16345" spans="1:2" ht="12.75" customHeight="1" x14ac:dyDescent="0.25">
      <c r="A16345" s="318">
        <v>96169308674</v>
      </c>
      <c r="B16345" s="318" t="s">
        <v>23</v>
      </c>
    </row>
    <row r="16346" spans="1:2" ht="12.75" customHeight="1" x14ac:dyDescent="0.25">
      <c r="A16346" s="318">
        <v>96169308675</v>
      </c>
      <c r="B16346" s="318" t="s">
        <v>236</v>
      </c>
    </row>
    <row r="16347" spans="1:2" ht="12.75" customHeight="1" x14ac:dyDescent="0.25">
      <c r="A16347" s="318">
        <v>96169308676</v>
      </c>
      <c r="B16347" s="318" t="s">
        <v>23</v>
      </c>
    </row>
    <row r="16348" spans="1:2" ht="12.75" customHeight="1" x14ac:dyDescent="0.25">
      <c r="A16348" s="318">
        <v>96169308677</v>
      </c>
      <c r="B16348" s="318" t="s">
        <v>23</v>
      </c>
    </row>
    <row r="16349" spans="1:2" ht="12.75" customHeight="1" x14ac:dyDescent="0.25">
      <c r="A16349" s="318">
        <v>96169308678</v>
      </c>
      <c r="B16349" s="318" t="s">
        <v>237</v>
      </c>
    </row>
    <row r="16350" spans="1:2" ht="12.75" customHeight="1" x14ac:dyDescent="0.25">
      <c r="A16350" s="318">
        <v>96169308680</v>
      </c>
      <c r="B16350" s="318" t="s">
        <v>237</v>
      </c>
    </row>
    <row r="16351" spans="1:2" ht="12.75" customHeight="1" x14ac:dyDescent="0.25">
      <c r="A16351" s="318">
        <v>96169308681</v>
      </c>
      <c r="B16351" s="318" t="s">
        <v>237</v>
      </c>
    </row>
    <row r="16352" spans="1:2" ht="12.75" customHeight="1" x14ac:dyDescent="0.25">
      <c r="A16352" s="318">
        <v>96169308682</v>
      </c>
      <c r="B16352" s="318" t="s">
        <v>237</v>
      </c>
    </row>
    <row r="16353" spans="1:2" ht="12.75" customHeight="1" x14ac:dyDescent="0.25">
      <c r="A16353" s="318">
        <v>96169308683</v>
      </c>
      <c r="B16353" s="318" t="s">
        <v>237</v>
      </c>
    </row>
    <row r="16354" spans="1:2" ht="12.75" customHeight="1" x14ac:dyDescent="0.25">
      <c r="A16354" s="318">
        <v>96169308684</v>
      </c>
      <c r="B16354" s="318" t="s">
        <v>237</v>
      </c>
    </row>
    <row r="16355" spans="1:2" ht="12.75" customHeight="1" x14ac:dyDescent="0.25">
      <c r="A16355" s="318">
        <v>96169308685</v>
      </c>
      <c r="B16355" s="318" t="s">
        <v>237</v>
      </c>
    </row>
    <row r="16356" spans="1:2" ht="12.75" customHeight="1" x14ac:dyDescent="0.25">
      <c r="A16356" s="318">
        <v>96169308686</v>
      </c>
      <c r="B16356" s="318" t="s">
        <v>237</v>
      </c>
    </row>
    <row r="16357" spans="1:2" ht="12.75" customHeight="1" x14ac:dyDescent="0.25">
      <c r="A16357" s="318">
        <v>96169308687</v>
      </c>
      <c r="B16357" s="318" t="s">
        <v>237</v>
      </c>
    </row>
    <row r="16358" spans="1:2" ht="12.75" customHeight="1" x14ac:dyDescent="0.25">
      <c r="A16358" s="318">
        <v>96169789544</v>
      </c>
      <c r="B16358" s="318" t="s">
        <v>236</v>
      </c>
    </row>
    <row r="16359" spans="1:2" ht="12.75" customHeight="1" x14ac:dyDescent="0.25">
      <c r="A16359" s="318">
        <v>96169789545</v>
      </c>
      <c r="B16359" s="318" t="s">
        <v>23</v>
      </c>
    </row>
    <row r="16360" spans="1:2" ht="12.75" customHeight="1" x14ac:dyDescent="0.25">
      <c r="A16360" s="318">
        <v>96169789546</v>
      </c>
      <c r="B16360" s="318" t="s">
        <v>236</v>
      </c>
    </row>
    <row r="16361" spans="1:2" ht="12.75" customHeight="1" x14ac:dyDescent="0.25">
      <c r="A16361" s="318">
        <v>96169789547</v>
      </c>
      <c r="B16361" s="318" t="s">
        <v>23</v>
      </c>
    </row>
    <row r="16362" spans="1:2" ht="12.75" customHeight="1" x14ac:dyDescent="0.25">
      <c r="A16362" s="318">
        <v>96169789548</v>
      </c>
      <c r="B16362" s="318" t="s">
        <v>236</v>
      </c>
    </row>
    <row r="16363" spans="1:2" ht="12.75" customHeight="1" x14ac:dyDescent="0.25">
      <c r="A16363" s="318">
        <v>96169789549</v>
      </c>
      <c r="B16363" s="318" t="s">
        <v>23</v>
      </c>
    </row>
    <row r="16364" spans="1:2" ht="12.75" customHeight="1" x14ac:dyDescent="0.25">
      <c r="A16364" s="318">
        <v>96169789550</v>
      </c>
      <c r="B16364" s="318" t="s">
        <v>236</v>
      </c>
    </row>
    <row r="16365" spans="1:2" ht="12.75" customHeight="1" x14ac:dyDescent="0.25">
      <c r="A16365" s="318">
        <v>96169789551</v>
      </c>
      <c r="B16365" s="318" t="s">
        <v>237</v>
      </c>
    </row>
    <row r="16366" spans="1:2" ht="12.75" customHeight="1" x14ac:dyDescent="0.25">
      <c r="A16366" s="318">
        <v>96169789553</v>
      </c>
      <c r="B16366" s="318" t="s">
        <v>236</v>
      </c>
    </row>
    <row r="16367" spans="1:2" ht="12.75" customHeight="1" x14ac:dyDescent="0.25">
      <c r="A16367" s="318">
        <v>96169789554</v>
      </c>
      <c r="B16367" s="318" t="s">
        <v>237</v>
      </c>
    </row>
    <row r="16368" spans="1:2" ht="12.75" customHeight="1" x14ac:dyDescent="0.25">
      <c r="A16368" s="318">
        <v>96169789555</v>
      </c>
      <c r="B16368" s="318" t="s">
        <v>236</v>
      </c>
    </row>
    <row r="16369" spans="1:2" ht="12.75" customHeight="1" x14ac:dyDescent="0.25">
      <c r="A16369" s="318">
        <v>96169789556</v>
      </c>
      <c r="B16369" s="318" t="s">
        <v>237</v>
      </c>
    </row>
    <row r="16370" spans="1:2" ht="12.75" customHeight="1" x14ac:dyDescent="0.25">
      <c r="A16370" s="318">
        <v>96169789557</v>
      </c>
      <c r="B16370" s="318" t="s">
        <v>236</v>
      </c>
    </row>
    <row r="16371" spans="1:2" ht="12.75" customHeight="1" x14ac:dyDescent="0.25">
      <c r="A16371" s="318">
        <v>96169789558</v>
      </c>
      <c r="B16371" s="318" t="s">
        <v>237</v>
      </c>
    </row>
    <row r="16372" spans="1:2" ht="12.75" customHeight="1" x14ac:dyDescent="0.25">
      <c r="A16372" s="318">
        <v>96169789559</v>
      </c>
      <c r="B16372" s="318" t="s">
        <v>236</v>
      </c>
    </row>
    <row r="16373" spans="1:2" ht="12.75" customHeight="1" x14ac:dyDescent="0.25">
      <c r="A16373" s="318">
        <v>96169789560</v>
      </c>
      <c r="B16373" s="318" t="s">
        <v>237</v>
      </c>
    </row>
    <row r="16374" spans="1:2" ht="12.75" customHeight="1" x14ac:dyDescent="0.25">
      <c r="A16374" s="318">
        <v>96169789644</v>
      </c>
      <c r="B16374" s="318" t="s">
        <v>236</v>
      </c>
    </row>
    <row r="16375" spans="1:2" ht="12.75" customHeight="1" x14ac:dyDescent="0.25">
      <c r="A16375" s="318">
        <v>96169789645</v>
      </c>
      <c r="B16375" s="318" t="s">
        <v>23</v>
      </c>
    </row>
    <row r="16376" spans="1:2" ht="12.75" customHeight="1" x14ac:dyDescent="0.25">
      <c r="A16376" s="318">
        <v>96169789646</v>
      </c>
      <c r="B16376" s="318" t="s">
        <v>236</v>
      </c>
    </row>
    <row r="16377" spans="1:2" ht="12.75" customHeight="1" x14ac:dyDescent="0.25">
      <c r="A16377" s="318">
        <v>96169789647</v>
      </c>
      <c r="B16377" s="318" t="s">
        <v>23</v>
      </c>
    </row>
    <row r="16378" spans="1:2" ht="12.75" customHeight="1" x14ac:dyDescent="0.25">
      <c r="A16378" s="318">
        <v>96169789648</v>
      </c>
      <c r="B16378" s="318" t="s">
        <v>236</v>
      </c>
    </row>
    <row r="16379" spans="1:2" ht="12.75" customHeight="1" x14ac:dyDescent="0.25">
      <c r="A16379" s="318">
        <v>96169789649</v>
      </c>
      <c r="B16379" s="318" t="s">
        <v>23</v>
      </c>
    </row>
    <row r="16380" spans="1:2" ht="12.75" customHeight="1" x14ac:dyDescent="0.25">
      <c r="A16380" s="318">
        <v>96169789650</v>
      </c>
      <c r="B16380" s="318" t="s">
        <v>236</v>
      </c>
    </row>
    <row r="16381" spans="1:2" ht="12.75" customHeight="1" x14ac:dyDescent="0.25">
      <c r="A16381" s="318">
        <v>96169789651</v>
      </c>
      <c r="B16381" s="318" t="s">
        <v>237</v>
      </c>
    </row>
    <row r="16382" spans="1:2" ht="12.75" customHeight="1" x14ac:dyDescent="0.25">
      <c r="A16382" s="318">
        <v>96169789653</v>
      </c>
      <c r="B16382" s="318" t="s">
        <v>236</v>
      </c>
    </row>
    <row r="16383" spans="1:2" ht="12.75" customHeight="1" x14ac:dyDescent="0.25">
      <c r="A16383" s="318">
        <v>96169789654</v>
      </c>
      <c r="B16383" s="318" t="s">
        <v>237</v>
      </c>
    </row>
    <row r="16384" spans="1:2" ht="12.75" customHeight="1" x14ac:dyDescent="0.25">
      <c r="A16384" s="318">
        <v>96169789655</v>
      </c>
      <c r="B16384" s="318" t="s">
        <v>236</v>
      </c>
    </row>
    <row r="16385" spans="1:2" ht="12.75" customHeight="1" x14ac:dyDescent="0.25">
      <c r="A16385" s="318">
        <v>96169789656</v>
      </c>
      <c r="B16385" s="318" t="s">
        <v>237</v>
      </c>
    </row>
    <row r="16386" spans="1:2" ht="12.75" customHeight="1" x14ac:dyDescent="0.25">
      <c r="A16386" s="318">
        <v>96169789657</v>
      </c>
      <c r="B16386" s="318" t="s">
        <v>236</v>
      </c>
    </row>
    <row r="16387" spans="1:2" ht="12.75" customHeight="1" x14ac:dyDescent="0.25">
      <c r="A16387" s="318">
        <v>96169789658</v>
      </c>
      <c r="B16387" s="318" t="s">
        <v>237</v>
      </c>
    </row>
    <row r="16388" spans="1:2" ht="12.75" customHeight="1" x14ac:dyDescent="0.25">
      <c r="A16388" s="318">
        <v>96169789659</v>
      </c>
      <c r="B16388" s="318" t="s">
        <v>236</v>
      </c>
    </row>
    <row r="16389" spans="1:2" ht="12.75" customHeight="1" x14ac:dyDescent="0.25">
      <c r="A16389" s="318">
        <v>96169789660</v>
      </c>
      <c r="B16389" s="318" t="s">
        <v>237</v>
      </c>
    </row>
    <row r="16390" spans="1:2" ht="12.75" customHeight="1" x14ac:dyDescent="0.25">
      <c r="A16390" s="318">
        <v>96170469735</v>
      </c>
      <c r="B16390" s="318" t="s">
        <v>236</v>
      </c>
    </row>
    <row r="16391" spans="1:2" ht="12.75" customHeight="1" x14ac:dyDescent="0.25">
      <c r="A16391" s="318">
        <v>96170469736</v>
      </c>
      <c r="B16391" s="318" t="s">
        <v>23</v>
      </c>
    </row>
    <row r="16392" spans="1:2" ht="12.75" customHeight="1" x14ac:dyDescent="0.25">
      <c r="A16392" s="318">
        <v>96170469737</v>
      </c>
      <c r="B16392" s="318" t="s">
        <v>236</v>
      </c>
    </row>
    <row r="16393" spans="1:2" ht="12.75" customHeight="1" x14ac:dyDescent="0.25">
      <c r="A16393" s="318">
        <v>96170469738</v>
      </c>
      <c r="B16393" s="318" t="s">
        <v>23</v>
      </c>
    </row>
    <row r="16394" spans="1:2" ht="12.75" customHeight="1" x14ac:dyDescent="0.25">
      <c r="A16394" s="318">
        <v>96170469739</v>
      </c>
      <c r="B16394" s="318" t="s">
        <v>236</v>
      </c>
    </row>
    <row r="16395" spans="1:2" ht="12.75" customHeight="1" x14ac:dyDescent="0.25">
      <c r="A16395" s="318">
        <v>96170469740</v>
      </c>
      <c r="B16395" s="318" t="s">
        <v>23</v>
      </c>
    </row>
    <row r="16396" spans="1:2" ht="12.75" customHeight="1" x14ac:dyDescent="0.25">
      <c r="A16396" s="318">
        <v>96170469741</v>
      </c>
      <c r="B16396" s="318" t="s">
        <v>23</v>
      </c>
    </row>
    <row r="16397" spans="1:2" ht="12.75" customHeight="1" x14ac:dyDescent="0.25">
      <c r="A16397" s="318">
        <v>96170469742</v>
      </c>
      <c r="B16397" s="318" t="s">
        <v>237</v>
      </c>
    </row>
    <row r="16398" spans="1:2" ht="12.75" customHeight="1" x14ac:dyDescent="0.25">
      <c r="A16398" s="318">
        <v>96170469744</v>
      </c>
      <c r="B16398" s="318" t="s">
        <v>237</v>
      </c>
    </row>
    <row r="16399" spans="1:2" ht="12.75" customHeight="1" x14ac:dyDescent="0.25">
      <c r="A16399" s="318">
        <v>96170469745</v>
      </c>
      <c r="B16399" s="318" t="s">
        <v>237</v>
      </c>
    </row>
    <row r="16400" spans="1:2" ht="12.75" customHeight="1" x14ac:dyDescent="0.25">
      <c r="A16400" s="318">
        <v>96170469746</v>
      </c>
      <c r="B16400" s="318" t="s">
        <v>237</v>
      </c>
    </row>
    <row r="16401" spans="1:2" ht="12.75" customHeight="1" x14ac:dyDescent="0.25">
      <c r="A16401" s="318">
        <v>96170469747</v>
      </c>
      <c r="B16401" s="318" t="s">
        <v>237</v>
      </c>
    </row>
    <row r="16402" spans="1:2" ht="12.75" customHeight="1" x14ac:dyDescent="0.25">
      <c r="A16402" s="318">
        <v>96170469748</v>
      </c>
      <c r="B16402" s="318" t="s">
        <v>237</v>
      </c>
    </row>
    <row r="16403" spans="1:2" ht="12.75" customHeight="1" x14ac:dyDescent="0.25">
      <c r="A16403" s="318">
        <v>96170469749</v>
      </c>
      <c r="B16403" s="318" t="s">
        <v>237</v>
      </c>
    </row>
    <row r="16404" spans="1:2" ht="12.75" customHeight="1" x14ac:dyDescent="0.25">
      <c r="A16404" s="318">
        <v>96170469750</v>
      </c>
      <c r="B16404" s="318" t="s">
        <v>237</v>
      </c>
    </row>
    <row r="16405" spans="1:2" ht="12.75" customHeight="1" x14ac:dyDescent="0.25">
      <c r="A16405" s="318">
        <v>96170469751</v>
      </c>
      <c r="B16405" s="318" t="s">
        <v>237</v>
      </c>
    </row>
    <row r="16406" spans="1:2" ht="12.75" customHeight="1" x14ac:dyDescent="0.25">
      <c r="A16406" s="318">
        <v>96170469835</v>
      </c>
      <c r="B16406" s="318" t="s">
        <v>236</v>
      </c>
    </row>
    <row r="16407" spans="1:2" ht="12.75" customHeight="1" x14ac:dyDescent="0.25">
      <c r="A16407" s="318">
        <v>96170469836</v>
      </c>
      <c r="B16407" s="318" t="s">
        <v>23</v>
      </c>
    </row>
    <row r="16408" spans="1:2" ht="12.75" customHeight="1" x14ac:dyDescent="0.25">
      <c r="A16408" s="318">
        <v>96170469837</v>
      </c>
      <c r="B16408" s="318" t="s">
        <v>236</v>
      </c>
    </row>
    <row r="16409" spans="1:2" ht="12.75" customHeight="1" x14ac:dyDescent="0.25">
      <c r="A16409" s="318">
        <v>96170469838</v>
      </c>
      <c r="B16409" s="318" t="s">
        <v>23</v>
      </c>
    </row>
    <row r="16410" spans="1:2" ht="12.75" customHeight="1" x14ac:dyDescent="0.25">
      <c r="A16410" s="318">
        <v>96170469839</v>
      </c>
      <c r="B16410" s="318" t="s">
        <v>236</v>
      </c>
    </row>
    <row r="16411" spans="1:2" ht="12.75" customHeight="1" x14ac:dyDescent="0.25">
      <c r="A16411" s="318">
        <v>96170469840</v>
      </c>
      <c r="B16411" s="318" t="s">
        <v>23</v>
      </c>
    </row>
    <row r="16412" spans="1:2" ht="12.75" customHeight="1" x14ac:dyDescent="0.25">
      <c r="A16412" s="318">
        <v>96170469841</v>
      </c>
      <c r="B16412" s="318" t="s">
        <v>23</v>
      </c>
    </row>
    <row r="16413" spans="1:2" ht="12.75" customHeight="1" x14ac:dyDescent="0.25">
      <c r="A16413" s="318">
        <v>96170469842</v>
      </c>
      <c r="B16413" s="318" t="s">
        <v>237</v>
      </c>
    </row>
    <row r="16414" spans="1:2" ht="12.75" customHeight="1" x14ac:dyDescent="0.25">
      <c r="A16414" s="318">
        <v>96170469844</v>
      </c>
      <c r="B16414" s="318" t="s">
        <v>237</v>
      </c>
    </row>
    <row r="16415" spans="1:2" ht="12.75" customHeight="1" x14ac:dyDescent="0.25">
      <c r="A16415" s="318">
        <v>96170469845</v>
      </c>
      <c r="B16415" s="318" t="s">
        <v>237</v>
      </c>
    </row>
    <row r="16416" spans="1:2" ht="12.75" customHeight="1" x14ac:dyDescent="0.25">
      <c r="A16416" s="318">
        <v>96170469846</v>
      </c>
      <c r="B16416" s="318" t="s">
        <v>237</v>
      </c>
    </row>
    <row r="16417" spans="1:2" ht="12.75" customHeight="1" x14ac:dyDescent="0.25">
      <c r="A16417" s="318">
        <v>96170469847</v>
      </c>
      <c r="B16417" s="318" t="s">
        <v>237</v>
      </c>
    </row>
    <row r="16418" spans="1:2" ht="12.75" customHeight="1" x14ac:dyDescent="0.25">
      <c r="A16418" s="318">
        <v>96170469848</v>
      </c>
      <c r="B16418" s="318" t="s">
        <v>237</v>
      </c>
    </row>
    <row r="16419" spans="1:2" ht="12.75" customHeight="1" x14ac:dyDescent="0.25">
      <c r="A16419" s="318">
        <v>96170469849</v>
      </c>
      <c r="B16419" s="318" t="s">
        <v>237</v>
      </c>
    </row>
    <row r="16420" spans="1:2" ht="12.75" customHeight="1" x14ac:dyDescent="0.25">
      <c r="A16420" s="318">
        <v>96170469850</v>
      </c>
      <c r="B16420" s="318" t="s">
        <v>237</v>
      </c>
    </row>
    <row r="16421" spans="1:2" ht="12.75" customHeight="1" x14ac:dyDescent="0.25">
      <c r="A16421" s="318">
        <v>96170469851</v>
      </c>
      <c r="B16421" s="318" t="s">
        <v>237</v>
      </c>
    </row>
    <row r="16422" spans="1:2" ht="12.75" customHeight="1" x14ac:dyDescent="0.25">
      <c r="A16422" s="318">
        <v>96170950708</v>
      </c>
      <c r="B16422" s="318" t="s">
        <v>236</v>
      </c>
    </row>
    <row r="16423" spans="1:2" ht="12.75" customHeight="1" x14ac:dyDescent="0.25">
      <c r="A16423" s="318">
        <v>96170950709</v>
      </c>
      <c r="B16423" s="318" t="s">
        <v>23</v>
      </c>
    </row>
    <row r="16424" spans="1:2" ht="12.75" customHeight="1" x14ac:dyDescent="0.25">
      <c r="A16424" s="318">
        <v>96170950710</v>
      </c>
      <c r="B16424" s="318" t="s">
        <v>236</v>
      </c>
    </row>
    <row r="16425" spans="1:2" ht="12.75" customHeight="1" x14ac:dyDescent="0.25">
      <c r="A16425" s="318">
        <v>96170950711</v>
      </c>
      <c r="B16425" s="318" t="s">
        <v>23</v>
      </c>
    </row>
    <row r="16426" spans="1:2" ht="12.75" customHeight="1" x14ac:dyDescent="0.25">
      <c r="A16426" s="318">
        <v>96170950712</v>
      </c>
      <c r="B16426" s="318" t="s">
        <v>236</v>
      </c>
    </row>
    <row r="16427" spans="1:2" ht="12.75" customHeight="1" x14ac:dyDescent="0.25">
      <c r="A16427" s="318">
        <v>96170950713</v>
      </c>
      <c r="B16427" s="318" t="s">
        <v>23</v>
      </c>
    </row>
    <row r="16428" spans="1:2" ht="12.75" customHeight="1" x14ac:dyDescent="0.25">
      <c r="A16428" s="318">
        <v>96170950714</v>
      </c>
      <c r="B16428" s="318" t="s">
        <v>23</v>
      </c>
    </row>
    <row r="16429" spans="1:2" ht="12.75" customHeight="1" x14ac:dyDescent="0.25">
      <c r="A16429" s="318">
        <v>96170950715</v>
      </c>
      <c r="B16429" s="318" t="s">
        <v>237</v>
      </c>
    </row>
    <row r="16430" spans="1:2" ht="12.75" customHeight="1" x14ac:dyDescent="0.25">
      <c r="A16430" s="318">
        <v>96170950717</v>
      </c>
      <c r="B16430" s="318" t="s">
        <v>237</v>
      </c>
    </row>
    <row r="16431" spans="1:2" ht="12.75" customHeight="1" x14ac:dyDescent="0.25">
      <c r="A16431" s="318">
        <v>96170950718</v>
      </c>
      <c r="B16431" s="318" t="s">
        <v>237</v>
      </c>
    </row>
    <row r="16432" spans="1:2" ht="12.75" customHeight="1" x14ac:dyDescent="0.25">
      <c r="A16432" s="318">
        <v>96170950719</v>
      </c>
      <c r="B16432" s="318" t="s">
        <v>237</v>
      </c>
    </row>
    <row r="16433" spans="1:2" ht="12.75" customHeight="1" x14ac:dyDescent="0.25">
      <c r="A16433" s="318">
        <v>96170950720</v>
      </c>
      <c r="B16433" s="318" t="s">
        <v>237</v>
      </c>
    </row>
    <row r="16434" spans="1:2" ht="12.75" customHeight="1" x14ac:dyDescent="0.25">
      <c r="A16434" s="318">
        <v>96170950721</v>
      </c>
      <c r="B16434" s="318" t="s">
        <v>237</v>
      </c>
    </row>
    <row r="16435" spans="1:2" ht="12.75" customHeight="1" x14ac:dyDescent="0.25">
      <c r="A16435" s="318">
        <v>96170950722</v>
      </c>
      <c r="B16435" s="318" t="s">
        <v>237</v>
      </c>
    </row>
    <row r="16436" spans="1:2" ht="12.75" customHeight="1" x14ac:dyDescent="0.25">
      <c r="A16436" s="318">
        <v>96170950723</v>
      </c>
      <c r="B16436" s="318" t="s">
        <v>237</v>
      </c>
    </row>
    <row r="16437" spans="1:2" ht="12.75" customHeight="1" x14ac:dyDescent="0.25">
      <c r="A16437" s="318">
        <v>96170950724</v>
      </c>
      <c r="B16437" s="318" t="s">
        <v>237</v>
      </c>
    </row>
    <row r="16438" spans="1:2" ht="12.75" customHeight="1" x14ac:dyDescent="0.25">
      <c r="A16438" s="318">
        <v>96170950808</v>
      </c>
      <c r="B16438" s="318" t="s">
        <v>236</v>
      </c>
    </row>
    <row r="16439" spans="1:2" ht="12.75" customHeight="1" x14ac:dyDescent="0.25">
      <c r="A16439" s="318">
        <v>96170950809</v>
      </c>
      <c r="B16439" s="318" t="s">
        <v>23</v>
      </c>
    </row>
    <row r="16440" spans="1:2" ht="12.75" customHeight="1" x14ac:dyDescent="0.25">
      <c r="A16440" s="318">
        <v>96170950810</v>
      </c>
      <c r="B16440" s="318" t="s">
        <v>236</v>
      </c>
    </row>
    <row r="16441" spans="1:2" ht="12.75" customHeight="1" x14ac:dyDescent="0.25">
      <c r="A16441" s="318">
        <v>96170950811</v>
      </c>
      <c r="B16441" s="318" t="s">
        <v>23</v>
      </c>
    </row>
    <row r="16442" spans="1:2" ht="12.75" customHeight="1" x14ac:dyDescent="0.25">
      <c r="A16442" s="318">
        <v>96170950812</v>
      </c>
      <c r="B16442" s="318" t="s">
        <v>236</v>
      </c>
    </row>
    <row r="16443" spans="1:2" ht="12.75" customHeight="1" x14ac:dyDescent="0.25">
      <c r="A16443" s="318">
        <v>96170950813</v>
      </c>
      <c r="B16443" s="318" t="s">
        <v>23</v>
      </c>
    </row>
    <row r="16444" spans="1:2" ht="12.75" customHeight="1" x14ac:dyDescent="0.25">
      <c r="A16444" s="318">
        <v>96170950814</v>
      </c>
      <c r="B16444" s="318" t="s">
        <v>23</v>
      </c>
    </row>
    <row r="16445" spans="1:2" ht="12.75" customHeight="1" x14ac:dyDescent="0.25">
      <c r="A16445" s="318">
        <v>96170950815</v>
      </c>
      <c r="B16445" s="318" t="s">
        <v>237</v>
      </c>
    </row>
    <row r="16446" spans="1:2" ht="12.75" customHeight="1" x14ac:dyDescent="0.25">
      <c r="A16446" s="318">
        <v>96170950817</v>
      </c>
      <c r="B16446" s="318" t="s">
        <v>237</v>
      </c>
    </row>
    <row r="16447" spans="1:2" ht="12.75" customHeight="1" x14ac:dyDescent="0.25">
      <c r="A16447" s="318">
        <v>96170950818</v>
      </c>
      <c r="B16447" s="318" t="s">
        <v>237</v>
      </c>
    </row>
    <row r="16448" spans="1:2" ht="12.75" customHeight="1" x14ac:dyDescent="0.25">
      <c r="A16448" s="318">
        <v>96170950819</v>
      </c>
      <c r="B16448" s="318" t="s">
        <v>237</v>
      </c>
    </row>
    <row r="16449" spans="1:2" ht="12.75" customHeight="1" x14ac:dyDescent="0.25">
      <c r="A16449" s="318">
        <v>96170950820</v>
      </c>
      <c r="B16449" s="318" t="s">
        <v>237</v>
      </c>
    </row>
    <row r="16450" spans="1:2" ht="12.75" customHeight="1" x14ac:dyDescent="0.25">
      <c r="A16450" s="318">
        <v>96170950821</v>
      </c>
      <c r="B16450" s="318" t="s">
        <v>237</v>
      </c>
    </row>
    <row r="16451" spans="1:2" ht="12.75" customHeight="1" x14ac:dyDescent="0.25">
      <c r="A16451" s="318">
        <v>96170950822</v>
      </c>
      <c r="B16451" s="318" t="s">
        <v>237</v>
      </c>
    </row>
    <row r="16452" spans="1:2" ht="12.75" customHeight="1" x14ac:dyDescent="0.25">
      <c r="A16452" s="318">
        <v>96170950823</v>
      </c>
      <c r="B16452" s="318" t="s">
        <v>237</v>
      </c>
    </row>
    <row r="16453" spans="1:2" ht="12.75" customHeight="1" x14ac:dyDescent="0.25">
      <c r="A16453" s="318">
        <v>96170950824</v>
      </c>
      <c r="B16453" s="318" t="s">
        <v>237</v>
      </c>
    </row>
    <row r="16454" spans="1:2" ht="12.75" customHeight="1" x14ac:dyDescent="0.25">
      <c r="A16454" s="318">
        <v>96171431681</v>
      </c>
      <c r="B16454" s="318" t="s">
        <v>236</v>
      </c>
    </row>
    <row r="16455" spans="1:2" ht="12.75" customHeight="1" x14ac:dyDescent="0.25">
      <c r="A16455" s="318">
        <v>96171431682</v>
      </c>
      <c r="B16455" s="318" t="s">
        <v>23</v>
      </c>
    </row>
    <row r="16456" spans="1:2" ht="12.75" customHeight="1" x14ac:dyDescent="0.25">
      <c r="A16456" s="318">
        <v>96171431683</v>
      </c>
      <c r="B16456" s="318" t="s">
        <v>236</v>
      </c>
    </row>
    <row r="16457" spans="1:2" ht="12.75" customHeight="1" x14ac:dyDescent="0.25">
      <c r="A16457" s="318">
        <v>96171431684</v>
      </c>
      <c r="B16457" s="318" t="s">
        <v>23</v>
      </c>
    </row>
    <row r="16458" spans="1:2" ht="12.75" customHeight="1" x14ac:dyDescent="0.25">
      <c r="A16458" s="318">
        <v>96171431685</v>
      </c>
      <c r="B16458" s="318" t="s">
        <v>236</v>
      </c>
    </row>
    <row r="16459" spans="1:2" ht="12.75" customHeight="1" x14ac:dyDescent="0.25">
      <c r="A16459" s="318">
        <v>96171431686</v>
      </c>
      <c r="B16459" s="318" t="s">
        <v>23</v>
      </c>
    </row>
    <row r="16460" spans="1:2" ht="12.75" customHeight="1" x14ac:dyDescent="0.25">
      <c r="A16460" s="318">
        <v>96171431687</v>
      </c>
      <c r="B16460" s="318" t="s">
        <v>236</v>
      </c>
    </row>
    <row r="16461" spans="1:2" ht="12.75" customHeight="1" x14ac:dyDescent="0.25">
      <c r="A16461" s="318">
        <v>96171431688</v>
      </c>
      <c r="B16461" s="318" t="s">
        <v>237</v>
      </c>
    </row>
    <row r="16462" spans="1:2" ht="12.75" customHeight="1" x14ac:dyDescent="0.25">
      <c r="A16462" s="318">
        <v>96171431690</v>
      </c>
      <c r="B16462" s="318" t="s">
        <v>236</v>
      </c>
    </row>
    <row r="16463" spans="1:2" ht="12.75" customHeight="1" x14ac:dyDescent="0.25">
      <c r="A16463" s="318">
        <v>96171431691</v>
      </c>
      <c r="B16463" s="318" t="s">
        <v>237</v>
      </c>
    </row>
    <row r="16464" spans="1:2" ht="12.75" customHeight="1" x14ac:dyDescent="0.25">
      <c r="A16464" s="318">
        <v>96171431692</v>
      </c>
      <c r="B16464" s="318" t="s">
        <v>236</v>
      </c>
    </row>
    <row r="16465" spans="1:2" ht="12.75" customHeight="1" x14ac:dyDescent="0.25">
      <c r="A16465" s="318">
        <v>96171431693</v>
      </c>
      <c r="B16465" s="318" t="s">
        <v>237</v>
      </c>
    </row>
    <row r="16466" spans="1:2" ht="12.75" customHeight="1" x14ac:dyDescent="0.25">
      <c r="A16466" s="318">
        <v>96171431694</v>
      </c>
      <c r="B16466" s="318" t="s">
        <v>236</v>
      </c>
    </row>
    <row r="16467" spans="1:2" ht="12.75" customHeight="1" x14ac:dyDescent="0.25">
      <c r="A16467" s="318">
        <v>96171431695</v>
      </c>
      <c r="B16467" s="318" t="s">
        <v>237</v>
      </c>
    </row>
    <row r="16468" spans="1:2" ht="12.75" customHeight="1" x14ac:dyDescent="0.25">
      <c r="A16468" s="318">
        <v>96171431696</v>
      </c>
      <c r="B16468" s="318" t="s">
        <v>236</v>
      </c>
    </row>
    <row r="16469" spans="1:2" ht="12.75" customHeight="1" x14ac:dyDescent="0.25">
      <c r="A16469" s="318">
        <v>96171431697</v>
      </c>
      <c r="B16469" s="318" t="s">
        <v>237</v>
      </c>
    </row>
    <row r="16470" spans="1:2" ht="12.75" customHeight="1" x14ac:dyDescent="0.25">
      <c r="A16470" s="318">
        <v>96171431781</v>
      </c>
      <c r="B16470" s="318" t="s">
        <v>236</v>
      </c>
    </row>
    <row r="16471" spans="1:2" ht="12.75" customHeight="1" x14ac:dyDescent="0.25">
      <c r="A16471" s="318">
        <v>96171431782</v>
      </c>
      <c r="B16471" s="318" t="s">
        <v>23</v>
      </c>
    </row>
    <row r="16472" spans="1:2" ht="12.75" customHeight="1" x14ac:dyDescent="0.25">
      <c r="A16472" s="318">
        <v>96171431783</v>
      </c>
      <c r="B16472" s="318" t="s">
        <v>236</v>
      </c>
    </row>
    <row r="16473" spans="1:2" ht="12.75" customHeight="1" x14ac:dyDescent="0.25">
      <c r="A16473" s="318">
        <v>96171431784</v>
      </c>
      <c r="B16473" s="318" t="s">
        <v>23</v>
      </c>
    </row>
    <row r="16474" spans="1:2" ht="12.75" customHeight="1" x14ac:dyDescent="0.25">
      <c r="A16474" s="318">
        <v>96171431785</v>
      </c>
      <c r="B16474" s="318" t="s">
        <v>236</v>
      </c>
    </row>
    <row r="16475" spans="1:2" ht="12.75" customHeight="1" x14ac:dyDescent="0.25">
      <c r="A16475" s="318">
        <v>96171431786</v>
      </c>
      <c r="B16475" s="318" t="s">
        <v>23</v>
      </c>
    </row>
    <row r="16476" spans="1:2" ht="12.75" customHeight="1" x14ac:dyDescent="0.25">
      <c r="A16476" s="318">
        <v>96171431787</v>
      </c>
      <c r="B16476" s="318" t="s">
        <v>236</v>
      </c>
    </row>
    <row r="16477" spans="1:2" ht="12.75" customHeight="1" x14ac:dyDescent="0.25">
      <c r="A16477" s="318">
        <v>96171431788</v>
      </c>
      <c r="B16477" s="318" t="s">
        <v>237</v>
      </c>
    </row>
    <row r="16478" spans="1:2" ht="12.75" customHeight="1" x14ac:dyDescent="0.25">
      <c r="A16478" s="318">
        <v>96171431790</v>
      </c>
      <c r="B16478" s="318" t="s">
        <v>236</v>
      </c>
    </row>
    <row r="16479" spans="1:2" ht="12.75" customHeight="1" x14ac:dyDescent="0.25">
      <c r="A16479" s="318">
        <v>96171431791</v>
      </c>
      <c r="B16479" s="318" t="s">
        <v>237</v>
      </c>
    </row>
    <row r="16480" spans="1:2" ht="12.75" customHeight="1" x14ac:dyDescent="0.25">
      <c r="A16480" s="318">
        <v>96171431792</v>
      </c>
      <c r="B16480" s="318" t="s">
        <v>236</v>
      </c>
    </row>
    <row r="16481" spans="1:2" ht="12.75" customHeight="1" x14ac:dyDescent="0.25">
      <c r="A16481" s="318">
        <v>96171431793</v>
      </c>
      <c r="B16481" s="318" t="s">
        <v>237</v>
      </c>
    </row>
    <row r="16482" spans="1:2" ht="12.75" customHeight="1" x14ac:dyDescent="0.25">
      <c r="A16482" s="318">
        <v>96171431794</v>
      </c>
      <c r="B16482" s="318" t="s">
        <v>236</v>
      </c>
    </row>
    <row r="16483" spans="1:2" ht="12.75" customHeight="1" x14ac:dyDescent="0.25">
      <c r="A16483" s="318">
        <v>96171431795</v>
      </c>
      <c r="B16483" s="318" t="s">
        <v>237</v>
      </c>
    </row>
    <row r="16484" spans="1:2" ht="12.75" customHeight="1" x14ac:dyDescent="0.25">
      <c r="A16484" s="318">
        <v>96171431796</v>
      </c>
      <c r="B16484" s="318" t="s">
        <v>236</v>
      </c>
    </row>
    <row r="16485" spans="1:2" ht="12.75" customHeight="1" x14ac:dyDescent="0.25">
      <c r="A16485" s="318">
        <v>96171431797</v>
      </c>
      <c r="B16485" s="318" t="s">
        <v>237</v>
      </c>
    </row>
    <row r="16486" spans="1:2" ht="12.75" customHeight="1" x14ac:dyDescent="0.25">
      <c r="A16486" s="318">
        <v>96172111872</v>
      </c>
      <c r="B16486" s="318" t="s">
        <v>236</v>
      </c>
    </row>
    <row r="16487" spans="1:2" ht="12.75" customHeight="1" x14ac:dyDescent="0.25">
      <c r="A16487" s="318">
        <v>96172111873</v>
      </c>
      <c r="B16487" s="318" t="s">
        <v>23</v>
      </c>
    </row>
    <row r="16488" spans="1:2" ht="12.75" customHeight="1" x14ac:dyDescent="0.25">
      <c r="A16488" s="318">
        <v>96172111874</v>
      </c>
      <c r="B16488" s="318" t="s">
        <v>236</v>
      </c>
    </row>
    <row r="16489" spans="1:2" ht="12.75" customHeight="1" x14ac:dyDescent="0.25">
      <c r="A16489" s="318">
        <v>96172111875</v>
      </c>
      <c r="B16489" s="318" t="s">
        <v>23</v>
      </c>
    </row>
    <row r="16490" spans="1:2" ht="12.75" customHeight="1" x14ac:dyDescent="0.25">
      <c r="A16490" s="318">
        <v>96172111876</v>
      </c>
      <c r="B16490" s="318" t="s">
        <v>236</v>
      </c>
    </row>
    <row r="16491" spans="1:2" ht="12.75" customHeight="1" x14ac:dyDescent="0.25">
      <c r="A16491" s="318">
        <v>96172111877</v>
      </c>
      <c r="B16491" s="318" t="s">
        <v>23</v>
      </c>
    </row>
    <row r="16492" spans="1:2" ht="12.75" customHeight="1" x14ac:dyDescent="0.25">
      <c r="A16492" s="318">
        <v>96172111878</v>
      </c>
      <c r="B16492" s="318" t="s">
        <v>236</v>
      </c>
    </row>
    <row r="16493" spans="1:2" ht="12.75" customHeight="1" x14ac:dyDescent="0.25">
      <c r="A16493" s="318">
        <v>96172111879</v>
      </c>
      <c r="B16493" s="318" t="s">
        <v>237</v>
      </c>
    </row>
    <row r="16494" spans="1:2" ht="12.75" customHeight="1" x14ac:dyDescent="0.25">
      <c r="A16494" s="318">
        <v>96172111881</v>
      </c>
      <c r="B16494" s="318" t="s">
        <v>236</v>
      </c>
    </row>
    <row r="16495" spans="1:2" ht="12.75" customHeight="1" x14ac:dyDescent="0.25">
      <c r="A16495" s="318">
        <v>96172111882</v>
      </c>
      <c r="B16495" s="318" t="s">
        <v>237</v>
      </c>
    </row>
    <row r="16496" spans="1:2" ht="12.75" customHeight="1" x14ac:dyDescent="0.25">
      <c r="A16496" s="318">
        <v>96172111883</v>
      </c>
      <c r="B16496" s="318" t="s">
        <v>236</v>
      </c>
    </row>
    <row r="16497" spans="1:2" ht="12.75" customHeight="1" x14ac:dyDescent="0.25">
      <c r="A16497" s="318">
        <v>96172111884</v>
      </c>
      <c r="B16497" s="318" t="s">
        <v>237</v>
      </c>
    </row>
    <row r="16498" spans="1:2" ht="12.75" customHeight="1" x14ac:dyDescent="0.25">
      <c r="A16498" s="318">
        <v>96172111885</v>
      </c>
      <c r="B16498" s="318" t="s">
        <v>236</v>
      </c>
    </row>
    <row r="16499" spans="1:2" ht="12.75" customHeight="1" x14ac:dyDescent="0.25">
      <c r="A16499" s="318">
        <v>96172111886</v>
      </c>
      <c r="B16499" s="318" t="s">
        <v>237</v>
      </c>
    </row>
    <row r="16500" spans="1:2" ht="12.75" customHeight="1" x14ac:dyDescent="0.25">
      <c r="A16500" s="318">
        <v>96172111887</v>
      </c>
      <c r="B16500" s="318" t="s">
        <v>236</v>
      </c>
    </row>
    <row r="16501" spans="1:2" ht="12.75" customHeight="1" x14ac:dyDescent="0.25">
      <c r="A16501" s="318">
        <v>96172111888</v>
      </c>
      <c r="B16501" s="318" t="s">
        <v>237</v>
      </c>
    </row>
    <row r="16502" spans="1:2" ht="12.75" customHeight="1" x14ac:dyDescent="0.25">
      <c r="A16502" s="318">
        <v>96172111972</v>
      </c>
      <c r="B16502" s="318" t="s">
        <v>236</v>
      </c>
    </row>
    <row r="16503" spans="1:2" ht="12.75" customHeight="1" x14ac:dyDescent="0.25">
      <c r="A16503" s="318">
        <v>96172111973</v>
      </c>
      <c r="B16503" s="318" t="s">
        <v>23</v>
      </c>
    </row>
    <row r="16504" spans="1:2" ht="12.75" customHeight="1" x14ac:dyDescent="0.25">
      <c r="A16504" s="318">
        <v>96172111974</v>
      </c>
      <c r="B16504" s="318" t="s">
        <v>236</v>
      </c>
    </row>
    <row r="16505" spans="1:2" ht="12.75" customHeight="1" x14ac:dyDescent="0.25">
      <c r="A16505" s="318">
        <v>96172111975</v>
      </c>
      <c r="B16505" s="318" t="s">
        <v>23</v>
      </c>
    </row>
    <row r="16506" spans="1:2" ht="12.75" customHeight="1" x14ac:dyDescent="0.25">
      <c r="A16506" s="318">
        <v>96172111976</v>
      </c>
      <c r="B16506" s="318" t="s">
        <v>236</v>
      </c>
    </row>
    <row r="16507" spans="1:2" ht="12.75" customHeight="1" x14ac:dyDescent="0.25">
      <c r="A16507" s="318">
        <v>96172111977</v>
      </c>
      <c r="B16507" s="318" t="s">
        <v>23</v>
      </c>
    </row>
    <row r="16508" spans="1:2" ht="12.75" customHeight="1" x14ac:dyDescent="0.25">
      <c r="A16508" s="318">
        <v>96172111978</v>
      </c>
      <c r="B16508" s="318" t="s">
        <v>236</v>
      </c>
    </row>
    <row r="16509" spans="1:2" ht="12.75" customHeight="1" x14ac:dyDescent="0.25">
      <c r="A16509" s="318">
        <v>96172111979</v>
      </c>
      <c r="B16509" s="318" t="s">
        <v>237</v>
      </c>
    </row>
    <row r="16510" spans="1:2" ht="12.75" customHeight="1" x14ac:dyDescent="0.25">
      <c r="A16510" s="318">
        <v>96172111981</v>
      </c>
      <c r="B16510" s="318" t="s">
        <v>236</v>
      </c>
    </row>
    <row r="16511" spans="1:2" ht="12.75" customHeight="1" x14ac:dyDescent="0.25">
      <c r="A16511" s="318">
        <v>96172111982</v>
      </c>
      <c r="B16511" s="318" t="s">
        <v>237</v>
      </c>
    </row>
    <row r="16512" spans="1:2" ht="12.75" customHeight="1" x14ac:dyDescent="0.25">
      <c r="A16512" s="318">
        <v>96172111983</v>
      </c>
      <c r="B16512" s="318" t="s">
        <v>236</v>
      </c>
    </row>
    <row r="16513" spans="1:2" ht="12.75" customHeight="1" x14ac:dyDescent="0.25">
      <c r="A16513" s="318">
        <v>96172111984</v>
      </c>
      <c r="B16513" s="318" t="s">
        <v>237</v>
      </c>
    </row>
    <row r="16514" spans="1:2" ht="12.75" customHeight="1" x14ac:dyDescent="0.25">
      <c r="A16514" s="318">
        <v>96172111985</v>
      </c>
      <c r="B16514" s="318" t="s">
        <v>236</v>
      </c>
    </row>
    <row r="16515" spans="1:2" ht="12.75" customHeight="1" x14ac:dyDescent="0.25">
      <c r="A16515" s="318">
        <v>96172111986</v>
      </c>
      <c r="B16515" s="318" t="s">
        <v>237</v>
      </c>
    </row>
    <row r="16516" spans="1:2" ht="12.75" customHeight="1" x14ac:dyDescent="0.25">
      <c r="A16516" s="318">
        <v>96172111987</v>
      </c>
      <c r="B16516" s="318" t="s">
        <v>236</v>
      </c>
    </row>
    <row r="16517" spans="1:2" ht="12.75" customHeight="1" x14ac:dyDescent="0.25">
      <c r="A16517" s="318">
        <v>96172111988</v>
      </c>
      <c r="B16517" s="318" t="s">
        <v>237</v>
      </c>
    </row>
    <row r="16518" spans="1:2" ht="12.75" customHeight="1" x14ac:dyDescent="0.25">
      <c r="A16518" s="318">
        <v>96172592845</v>
      </c>
      <c r="B16518" s="318" t="s">
        <v>236</v>
      </c>
    </row>
    <row r="16519" spans="1:2" ht="12.75" customHeight="1" x14ac:dyDescent="0.25">
      <c r="A16519" s="318">
        <v>96172592846</v>
      </c>
      <c r="B16519" s="318" t="s">
        <v>23</v>
      </c>
    </row>
    <row r="16520" spans="1:2" ht="12.75" customHeight="1" x14ac:dyDescent="0.25">
      <c r="A16520" s="318">
        <v>96172592847</v>
      </c>
      <c r="B16520" s="318" t="s">
        <v>236</v>
      </c>
    </row>
    <row r="16521" spans="1:2" ht="12.75" customHeight="1" x14ac:dyDescent="0.25">
      <c r="A16521" s="318">
        <v>96172592848</v>
      </c>
      <c r="B16521" s="318" t="s">
        <v>23</v>
      </c>
    </row>
    <row r="16522" spans="1:2" ht="12.75" customHeight="1" x14ac:dyDescent="0.25">
      <c r="A16522" s="318">
        <v>96172592849</v>
      </c>
      <c r="B16522" s="318" t="s">
        <v>236</v>
      </c>
    </row>
    <row r="16523" spans="1:2" ht="12.75" customHeight="1" x14ac:dyDescent="0.25">
      <c r="A16523" s="318">
        <v>96172592850</v>
      </c>
      <c r="B16523" s="318" t="s">
        <v>23</v>
      </c>
    </row>
    <row r="16524" spans="1:2" ht="12.75" customHeight="1" x14ac:dyDescent="0.25">
      <c r="A16524" s="318">
        <v>96172592851</v>
      </c>
      <c r="B16524" s="318" t="s">
        <v>236</v>
      </c>
    </row>
    <row r="16525" spans="1:2" ht="12.75" customHeight="1" x14ac:dyDescent="0.25">
      <c r="A16525" s="318">
        <v>96172592852</v>
      </c>
      <c r="B16525" s="318" t="s">
        <v>237</v>
      </c>
    </row>
    <row r="16526" spans="1:2" ht="12.75" customHeight="1" x14ac:dyDescent="0.25">
      <c r="A16526" s="318">
        <v>96172592854</v>
      </c>
      <c r="B16526" s="318" t="s">
        <v>236</v>
      </c>
    </row>
    <row r="16527" spans="1:2" ht="12.75" customHeight="1" x14ac:dyDescent="0.25">
      <c r="A16527" s="318">
        <v>96172592855</v>
      </c>
      <c r="B16527" s="318" t="s">
        <v>237</v>
      </c>
    </row>
    <row r="16528" spans="1:2" ht="12.75" customHeight="1" x14ac:dyDescent="0.25">
      <c r="A16528" s="318">
        <v>96172592856</v>
      </c>
      <c r="B16528" s="318" t="s">
        <v>236</v>
      </c>
    </row>
    <row r="16529" spans="1:2" ht="12.75" customHeight="1" x14ac:dyDescent="0.25">
      <c r="A16529" s="318">
        <v>96172592857</v>
      </c>
      <c r="B16529" s="318" t="s">
        <v>237</v>
      </c>
    </row>
    <row r="16530" spans="1:2" ht="12.75" customHeight="1" x14ac:dyDescent="0.25">
      <c r="A16530" s="318">
        <v>96172592858</v>
      </c>
      <c r="B16530" s="318" t="s">
        <v>236</v>
      </c>
    </row>
    <row r="16531" spans="1:2" ht="12.75" customHeight="1" x14ac:dyDescent="0.25">
      <c r="A16531" s="318">
        <v>96172592859</v>
      </c>
      <c r="B16531" s="318" t="s">
        <v>237</v>
      </c>
    </row>
    <row r="16532" spans="1:2" ht="12.75" customHeight="1" x14ac:dyDescent="0.25">
      <c r="A16532" s="318">
        <v>96172592860</v>
      </c>
      <c r="B16532" s="318" t="s">
        <v>236</v>
      </c>
    </row>
    <row r="16533" spans="1:2" ht="12.75" customHeight="1" x14ac:dyDescent="0.25">
      <c r="A16533" s="318">
        <v>96172592861</v>
      </c>
      <c r="B16533" s="318" t="s">
        <v>237</v>
      </c>
    </row>
    <row r="16534" spans="1:2" ht="12.75" customHeight="1" x14ac:dyDescent="0.25">
      <c r="A16534" s="318">
        <v>96172592945</v>
      </c>
      <c r="B16534" s="318" t="s">
        <v>236</v>
      </c>
    </row>
    <row r="16535" spans="1:2" ht="12.75" customHeight="1" x14ac:dyDescent="0.25">
      <c r="A16535" s="318">
        <v>96172592946</v>
      </c>
      <c r="B16535" s="318" t="s">
        <v>23</v>
      </c>
    </row>
    <row r="16536" spans="1:2" ht="12.75" customHeight="1" x14ac:dyDescent="0.25">
      <c r="A16536" s="318">
        <v>96172592947</v>
      </c>
      <c r="B16536" s="318" t="s">
        <v>236</v>
      </c>
    </row>
    <row r="16537" spans="1:2" ht="12.75" customHeight="1" x14ac:dyDescent="0.25">
      <c r="A16537" s="318">
        <v>96172592948</v>
      </c>
      <c r="B16537" s="318" t="s">
        <v>23</v>
      </c>
    </row>
    <row r="16538" spans="1:2" ht="12.75" customHeight="1" x14ac:dyDescent="0.25">
      <c r="A16538" s="318">
        <v>96172592949</v>
      </c>
      <c r="B16538" s="318" t="s">
        <v>236</v>
      </c>
    </row>
    <row r="16539" spans="1:2" ht="12.75" customHeight="1" x14ac:dyDescent="0.25">
      <c r="A16539" s="318">
        <v>96172592950</v>
      </c>
      <c r="B16539" s="318" t="s">
        <v>23</v>
      </c>
    </row>
    <row r="16540" spans="1:2" ht="12.75" customHeight="1" x14ac:dyDescent="0.25">
      <c r="A16540" s="318">
        <v>96172592951</v>
      </c>
      <c r="B16540" s="318" t="s">
        <v>236</v>
      </c>
    </row>
    <row r="16541" spans="1:2" ht="12.75" customHeight="1" x14ac:dyDescent="0.25">
      <c r="A16541" s="318">
        <v>96172592952</v>
      </c>
      <c r="B16541" s="318" t="s">
        <v>237</v>
      </c>
    </row>
    <row r="16542" spans="1:2" ht="12.75" customHeight="1" x14ac:dyDescent="0.25">
      <c r="A16542" s="318">
        <v>96172592954</v>
      </c>
      <c r="B16542" s="318" t="s">
        <v>236</v>
      </c>
    </row>
    <row r="16543" spans="1:2" ht="12.75" customHeight="1" x14ac:dyDescent="0.25">
      <c r="A16543" s="318">
        <v>96172592955</v>
      </c>
      <c r="B16543" s="318" t="s">
        <v>237</v>
      </c>
    </row>
    <row r="16544" spans="1:2" ht="12.75" customHeight="1" x14ac:dyDescent="0.25">
      <c r="A16544" s="318">
        <v>96172592956</v>
      </c>
      <c r="B16544" s="318" t="s">
        <v>236</v>
      </c>
    </row>
    <row r="16545" spans="1:2" ht="12.75" customHeight="1" x14ac:dyDescent="0.25">
      <c r="A16545" s="318">
        <v>96172592957</v>
      </c>
      <c r="B16545" s="318" t="s">
        <v>237</v>
      </c>
    </row>
    <row r="16546" spans="1:2" ht="12.75" customHeight="1" x14ac:dyDescent="0.25">
      <c r="A16546" s="318">
        <v>96172592958</v>
      </c>
      <c r="B16546" s="318" t="s">
        <v>236</v>
      </c>
    </row>
    <row r="16547" spans="1:2" ht="12.75" customHeight="1" x14ac:dyDescent="0.25">
      <c r="A16547" s="318">
        <v>96172592959</v>
      </c>
      <c r="B16547" s="318" t="s">
        <v>237</v>
      </c>
    </row>
    <row r="16548" spans="1:2" ht="12.75" customHeight="1" x14ac:dyDescent="0.25">
      <c r="A16548" s="318">
        <v>96172592960</v>
      </c>
      <c r="B16548" s="318" t="s">
        <v>236</v>
      </c>
    </row>
    <row r="16549" spans="1:2" ht="12.75" customHeight="1" x14ac:dyDescent="0.25">
      <c r="A16549" s="318">
        <v>96172592961</v>
      </c>
      <c r="B16549" s="318" t="s">
        <v>237</v>
      </c>
    </row>
    <row r="16550" spans="1:2" ht="12.75" customHeight="1" x14ac:dyDescent="0.25">
      <c r="A16550" s="318">
        <v>96173073818</v>
      </c>
      <c r="B16550" s="318" t="s">
        <v>236</v>
      </c>
    </row>
    <row r="16551" spans="1:2" ht="12.75" customHeight="1" x14ac:dyDescent="0.25">
      <c r="A16551" s="318">
        <v>96173073819</v>
      </c>
      <c r="B16551" s="318" t="s">
        <v>23</v>
      </c>
    </row>
    <row r="16552" spans="1:2" ht="12.75" customHeight="1" x14ac:dyDescent="0.25">
      <c r="A16552" s="318">
        <v>96173073820</v>
      </c>
      <c r="B16552" s="318" t="s">
        <v>236</v>
      </c>
    </row>
    <row r="16553" spans="1:2" ht="12.75" customHeight="1" x14ac:dyDescent="0.25">
      <c r="A16553" s="318">
        <v>96173073821</v>
      </c>
      <c r="B16553" s="318" t="s">
        <v>23</v>
      </c>
    </row>
    <row r="16554" spans="1:2" ht="12.75" customHeight="1" x14ac:dyDescent="0.25">
      <c r="A16554" s="318">
        <v>96173073822</v>
      </c>
      <c r="B16554" s="318" t="s">
        <v>236</v>
      </c>
    </row>
    <row r="16555" spans="1:2" ht="12.75" customHeight="1" x14ac:dyDescent="0.25">
      <c r="A16555" s="318">
        <v>96173073823</v>
      </c>
      <c r="B16555" s="318" t="s">
        <v>23</v>
      </c>
    </row>
    <row r="16556" spans="1:2" ht="12.75" customHeight="1" x14ac:dyDescent="0.25">
      <c r="A16556" s="318">
        <v>96173073824</v>
      </c>
      <c r="B16556" s="318" t="s">
        <v>236</v>
      </c>
    </row>
    <row r="16557" spans="1:2" ht="12.75" customHeight="1" x14ac:dyDescent="0.25">
      <c r="A16557" s="318">
        <v>96173073825</v>
      </c>
      <c r="B16557" s="318" t="s">
        <v>237</v>
      </c>
    </row>
    <row r="16558" spans="1:2" ht="12.75" customHeight="1" x14ac:dyDescent="0.25">
      <c r="A16558" s="318">
        <v>96173073827</v>
      </c>
      <c r="B16558" s="318" t="s">
        <v>236</v>
      </c>
    </row>
    <row r="16559" spans="1:2" ht="12.75" customHeight="1" x14ac:dyDescent="0.25">
      <c r="A16559" s="318">
        <v>96173073828</v>
      </c>
      <c r="B16559" s="318" t="s">
        <v>237</v>
      </c>
    </row>
    <row r="16560" spans="1:2" ht="12.75" customHeight="1" x14ac:dyDescent="0.25">
      <c r="A16560" s="318">
        <v>96173073829</v>
      </c>
      <c r="B16560" s="318" t="s">
        <v>236</v>
      </c>
    </row>
    <row r="16561" spans="1:2" ht="12.75" customHeight="1" x14ac:dyDescent="0.25">
      <c r="A16561" s="318">
        <v>96173073830</v>
      </c>
      <c r="B16561" s="318" t="s">
        <v>237</v>
      </c>
    </row>
    <row r="16562" spans="1:2" ht="12.75" customHeight="1" x14ac:dyDescent="0.25">
      <c r="A16562" s="318">
        <v>96173073831</v>
      </c>
      <c r="B16562" s="318" t="s">
        <v>236</v>
      </c>
    </row>
    <row r="16563" spans="1:2" ht="12.75" customHeight="1" x14ac:dyDescent="0.25">
      <c r="A16563" s="318">
        <v>96173073832</v>
      </c>
      <c r="B16563" s="318" t="s">
        <v>237</v>
      </c>
    </row>
    <row r="16564" spans="1:2" ht="12.75" customHeight="1" x14ac:dyDescent="0.25">
      <c r="A16564" s="318">
        <v>96173073833</v>
      </c>
      <c r="B16564" s="318" t="s">
        <v>236</v>
      </c>
    </row>
    <row r="16565" spans="1:2" ht="12.75" customHeight="1" x14ac:dyDescent="0.25">
      <c r="A16565" s="318">
        <v>96173073834</v>
      </c>
      <c r="B16565" s="318" t="s">
        <v>237</v>
      </c>
    </row>
    <row r="16566" spans="1:2" ht="12.75" customHeight="1" x14ac:dyDescent="0.25">
      <c r="A16566" s="318">
        <v>96173073918</v>
      </c>
      <c r="B16566" s="318" t="s">
        <v>236</v>
      </c>
    </row>
    <row r="16567" spans="1:2" ht="12.75" customHeight="1" x14ac:dyDescent="0.25">
      <c r="A16567" s="318">
        <v>96173073919</v>
      </c>
      <c r="B16567" s="318" t="s">
        <v>23</v>
      </c>
    </row>
    <row r="16568" spans="1:2" ht="12.75" customHeight="1" x14ac:dyDescent="0.25">
      <c r="A16568" s="318">
        <v>96173073920</v>
      </c>
      <c r="B16568" s="318" t="s">
        <v>236</v>
      </c>
    </row>
    <row r="16569" spans="1:2" ht="12.75" customHeight="1" x14ac:dyDescent="0.25">
      <c r="A16569" s="318">
        <v>96173073921</v>
      </c>
      <c r="B16569" s="318" t="s">
        <v>23</v>
      </c>
    </row>
    <row r="16570" spans="1:2" ht="12.75" customHeight="1" x14ac:dyDescent="0.25">
      <c r="A16570" s="318">
        <v>96173073922</v>
      </c>
      <c r="B16570" s="318" t="s">
        <v>236</v>
      </c>
    </row>
    <row r="16571" spans="1:2" ht="12.75" customHeight="1" x14ac:dyDescent="0.25">
      <c r="A16571" s="318">
        <v>96173073923</v>
      </c>
      <c r="B16571" s="318" t="s">
        <v>23</v>
      </c>
    </row>
    <row r="16572" spans="1:2" ht="12.75" customHeight="1" x14ac:dyDescent="0.25">
      <c r="A16572" s="318">
        <v>96173073924</v>
      </c>
      <c r="B16572" s="318" t="s">
        <v>236</v>
      </c>
    </row>
    <row r="16573" spans="1:2" ht="12.75" customHeight="1" x14ac:dyDescent="0.25">
      <c r="A16573" s="318">
        <v>96173073925</v>
      </c>
      <c r="B16573" s="318" t="s">
        <v>237</v>
      </c>
    </row>
    <row r="16574" spans="1:2" ht="12.75" customHeight="1" x14ac:dyDescent="0.25">
      <c r="A16574" s="318">
        <v>96173073927</v>
      </c>
      <c r="B16574" s="318" t="s">
        <v>236</v>
      </c>
    </row>
    <row r="16575" spans="1:2" ht="12.75" customHeight="1" x14ac:dyDescent="0.25">
      <c r="A16575" s="318">
        <v>96173073928</v>
      </c>
      <c r="B16575" s="318" t="s">
        <v>237</v>
      </c>
    </row>
    <row r="16576" spans="1:2" ht="12.75" customHeight="1" x14ac:dyDescent="0.25">
      <c r="A16576" s="318">
        <v>96173073929</v>
      </c>
      <c r="B16576" s="318" t="s">
        <v>236</v>
      </c>
    </row>
    <row r="16577" spans="1:2" ht="12.75" customHeight="1" x14ac:dyDescent="0.25">
      <c r="A16577" s="318">
        <v>96173073930</v>
      </c>
      <c r="B16577" s="318" t="s">
        <v>237</v>
      </c>
    </row>
    <row r="16578" spans="1:2" ht="12.75" customHeight="1" x14ac:dyDescent="0.25">
      <c r="A16578" s="318">
        <v>96173073931</v>
      </c>
      <c r="B16578" s="318" t="s">
        <v>236</v>
      </c>
    </row>
    <row r="16579" spans="1:2" ht="12.75" customHeight="1" x14ac:dyDescent="0.25">
      <c r="A16579" s="318">
        <v>96173073932</v>
      </c>
      <c r="B16579" s="318" t="s">
        <v>237</v>
      </c>
    </row>
    <row r="16580" spans="1:2" ht="12.75" customHeight="1" x14ac:dyDescent="0.25">
      <c r="A16580" s="318">
        <v>96173073933</v>
      </c>
      <c r="B16580" s="318" t="s">
        <v>236</v>
      </c>
    </row>
    <row r="16581" spans="1:2" ht="12.75" customHeight="1" x14ac:dyDescent="0.25">
      <c r="A16581" s="318">
        <v>96173073934</v>
      </c>
      <c r="B16581" s="318" t="s">
        <v>237</v>
      </c>
    </row>
    <row r="16582" spans="1:2" ht="12.75" customHeight="1" x14ac:dyDescent="0.25">
      <c r="A16582" s="318">
        <v>96174434199</v>
      </c>
      <c r="B16582" s="318" t="s">
        <v>236</v>
      </c>
    </row>
    <row r="16583" spans="1:2" ht="12.75" customHeight="1" x14ac:dyDescent="0.25">
      <c r="A16583" s="318">
        <v>96174434200</v>
      </c>
      <c r="B16583" s="318" t="s">
        <v>23</v>
      </c>
    </row>
    <row r="16584" spans="1:2" ht="12.75" customHeight="1" x14ac:dyDescent="0.25">
      <c r="A16584" s="318">
        <v>96174434201</v>
      </c>
      <c r="B16584" s="318" t="s">
        <v>236</v>
      </c>
    </row>
    <row r="16585" spans="1:2" ht="12.75" customHeight="1" x14ac:dyDescent="0.25">
      <c r="A16585" s="318">
        <v>96174434202</v>
      </c>
      <c r="B16585" s="318" t="s">
        <v>23</v>
      </c>
    </row>
    <row r="16586" spans="1:2" ht="12.75" customHeight="1" x14ac:dyDescent="0.25">
      <c r="A16586" s="318">
        <v>96174434203</v>
      </c>
      <c r="B16586" s="318" t="s">
        <v>236</v>
      </c>
    </row>
    <row r="16587" spans="1:2" ht="12.75" customHeight="1" x14ac:dyDescent="0.25">
      <c r="A16587" s="318">
        <v>96174434204</v>
      </c>
      <c r="B16587" s="318" t="s">
        <v>23</v>
      </c>
    </row>
    <row r="16588" spans="1:2" ht="12.75" customHeight="1" x14ac:dyDescent="0.25">
      <c r="A16588" s="318">
        <v>96174434205</v>
      </c>
      <c r="B16588" s="318" t="s">
        <v>236</v>
      </c>
    </row>
    <row r="16589" spans="1:2" ht="12.75" customHeight="1" x14ac:dyDescent="0.25">
      <c r="A16589" s="318">
        <v>96174434206</v>
      </c>
      <c r="B16589" s="318" t="s">
        <v>237</v>
      </c>
    </row>
    <row r="16590" spans="1:2" ht="12.75" customHeight="1" x14ac:dyDescent="0.25">
      <c r="A16590" s="318">
        <v>96174434208</v>
      </c>
      <c r="B16590" s="318" t="s">
        <v>236</v>
      </c>
    </row>
    <row r="16591" spans="1:2" ht="12.75" customHeight="1" x14ac:dyDescent="0.25">
      <c r="A16591" s="318">
        <v>96174434209</v>
      </c>
      <c r="B16591" s="318" t="s">
        <v>237</v>
      </c>
    </row>
    <row r="16592" spans="1:2" ht="12.75" customHeight="1" x14ac:dyDescent="0.25">
      <c r="A16592" s="318">
        <v>96174434210</v>
      </c>
      <c r="B16592" s="318" t="s">
        <v>236</v>
      </c>
    </row>
    <row r="16593" spans="1:2" ht="12.75" customHeight="1" x14ac:dyDescent="0.25">
      <c r="A16593" s="318">
        <v>96174434211</v>
      </c>
      <c r="B16593" s="318" t="s">
        <v>237</v>
      </c>
    </row>
    <row r="16594" spans="1:2" ht="12.75" customHeight="1" x14ac:dyDescent="0.25">
      <c r="A16594" s="318">
        <v>96174434212</v>
      </c>
      <c r="B16594" s="318" t="s">
        <v>236</v>
      </c>
    </row>
    <row r="16595" spans="1:2" ht="12.75" customHeight="1" x14ac:dyDescent="0.25">
      <c r="A16595" s="318">
        <v>96174434213</v>
      </c>
      <c r="B16595" s="318" t="s">
        <v>237</v>
      </c>
    </row>
    <row r="16596" spans="1:2" ht="12.75" customHeight="1" x14ac:dyDescent="0.25">
      <c r="A16596" s="318">
        <v>96174434214</v>
      </c>
      <c r="B16596" s="318" t="s">
        <v>236</v>
      </c>
    </row>
    <row r="16597" spans="1:2" ht="12.75" customHeight="1" x14ac:dyDescent="0.25">
      <c r="A16597" s="318">
        <v>96174434215</v>
      </c>
      <c r="B16597" s="318" t="s">
        <v>237</v>
      </c>
    </row>
    <row r="16598" spans="1:2" ht="12.75" customHeight="1" x14ac:dyDescent="0.25">
      <c r="A16598" s="318">
        <v>96174434299</v>
      </c>
      <c r="B16598" s="318" t="s">
        <v>236</v>
      </c>
    </row>
    <row r="16599" spans="1:2" ht="12.75" customHeight="1" x14ac:dyDescent="0.25">
      <c r="A16599" s="318">
        <v>96174434300</v>
      </c>
      <c r="B16599" s="318" t="s">
        <v>23</v>
      </c>
    </row>
    <row r="16600" spans="1:2" ht="12.75" customHeight="1" x14ac:dyDescent="0.25">
      <c r="A16600" s="318">
        <v>96174434301</v>
      </c>
      <c r="B16600" s="318" t="s">
        <v>236</v>
      </c>
    </row>
    <row r="16601" spans="1:2" ht="12.75" customHeight="1" x14ac:dyDescent="0.25">
      <c r="A16601" s="318">
        <v>96174434302</v>
      </c>
      <c r="B16601" s="318" t="s">
        <v>23</v>
      </c>
    </row>
    <row r="16602" spans="1:2" ht="12.75" customHeight="1" x14ac:dyDescent="0.25">
      <c r="A16602" s="318">
        <v>96174434303</v>
      </c>
      <c r="B16602" s="318" t="s">
        <v>236</v>
      </c>
    </row>
    <row r="16603" spans="1:2" ht="12.75" customHeight="1" x14ac:dyDescent="0.25">
      <c r="A16603" s="318">
        <v>96174434304</v>
      </c>
      <c r="B16603" s="318" t="s">
        <v>23</v>
      </c>
    </row>
    <row r="16604" spans="1:2" ht="12.75" customHeight="1" x14ac:dyDescent="0.25">
      <c r="A16604" s="318">
        <v>96174434305</v>
      </c>
      <c r="B16604" s="318" t="s">
        <v>236</v>
      </c>
    </row>
    <row r="16605" spans="1:2" ht="12.75" customHeight="1" x14ac:dyDescent="0.25">
      <c r="A16605" s="318">
        <v>96174434306</v>
      </c>
      <c r="B16605" s="318" t="s">
        <v>237</v>
      </c>
    </row>
    <row r="16606" spans="1:2" ht="12.75" customHeight="1" x14ac:dyDescent="0.25">
      <c r="A16606" s="318">
        <v>96174434308</v>
      </c>
      <c r="B16606" s="318" t="s">
        <v>236</v>
      </c>
    </row>
    <row r="16607" spans="1:2" ht="12.75" customHeight="1" x14ac:dyDescent="0.25">
      <c r="A16607" s="318">
        <v>96174434309</v>
      </c>
      <c r="B16607" s="318" t="s">
        <v>237</v>
      </c>
    </row>
    <row r="16608" spans="1:2" ht="12.75" customHeight="1" x14ac:dyDescent="0.25">
      <c r="A16608" s="318">
        <v>96174434310</v>
      </c>
      <c r="B16608" s="318" t="s">
        <v>236</v>
      </c>
    </row>
    <row r="16609" spans="1:2" ht="12.75" customHeight="1" x14ac:dyDescent="0.25">
      <c r="A16609" s="318">
        <v>96174434311</v>
      </c>
      <c r="B16609" s="318" t="s">
        <v>237</v>
      </c>
    </row>
    <row r="16610" spans="1:2" ht="12.75" customHeight="1" x14ac:dyDescent="0.25">
      <c r="A16610" s="318">
        <v>96174434312</v>
      </c>
      <c r="B16610" s="318" t="s">
        <v>236</v>
      </c>
    </row>
    <row r="16611" spans="1:2" ht="12.75" customHeight="1" x14ac:dyDescent="0.25">
      <c r="A16611" s="318">
        <v>96174434313</v>
      </c>
      <c r="B16611" s="318" t="s">
        <v>237</v>
      </c>
    </row>
    <row r="16612" spans="1:2" ht="12.75" customHeight="1" x14ac:dyDescent="0.25">
      <c r="A16612" s="318">
        <v>96174434314</v>
      </c>
      <c r="B16612" s="318" t="s">
        <v>236</v>
      </c>
    </row>
    <row r="16613" spans="1:2" ht="12.75" customHeight="1" x14ac:dyDescent="0.25">
      <c r="A16613" s="318">
        <v>96174434315</v>
      </c>
      <c r="B16613" s="318" t="s">
        <v>237</v>
      </c>
    </row>
    <row r="16614" spans="1:2" ht="12.75" customHeight="1" x14ac:dyDescent="0.25">
      <c r="A16614" s="318">
        <v>96174915172</v>
      </c>
      <c r="B16614" s="318" t="s">
        <v>236</v>
      </c>
    </row>
    <row r="16615" spans="1:2" ht="12.75" customHeight="1" x14ac:dyDescent="0.25">
      <c r="A16615" s="318">
        <v>96174915173</v>
      </c>
      <c r="B16615" s="318" t="s">
        <v>23</v>
      </c>
    </row>
    <row r="16616" spans="1:2" ht="12.75" customHeight="1" x14ac:dyDescent="0.25">
      <c r="A16616" s="318">
        <v>96174915174</v>
      </c>
      <c r="B16616" s="318" t="s">
        <v>236</v>
      </c>
    </row>
    <row r="16617" spans="1:2" ht="12.75" customHeight="1" x14ac:dyDescent="0.25">
      <c r="A16617" s="318">
        <v>96174915175</v>
      </c>
      <c r="B16617" s="318" t="s">
        <v>23</v>
      </c>
    </row>
    <row r="16618" spans="1:2" ht="12.75" customHeight="1" x14ac:dyDescent="0.25">
      <c r="A16618" s="318">
        <v>96174915176</v>
      </c>
      <c r="B16618" s="318" t="s">
        <v>236</v>
      </c>
    </row>
    <row r="16619" spans="1:2" ht="12.75" customHeight="1" x14ac:dyDescent="0.25">
      <c r="A16619" s="318">
        <v>96174915177</v>
      </c>
      <c r="B16619" s="318" t="s">
        <v>23</v>
      </c>
    </row>
    <row r="16620" spans="1:2" ht="12.75" customHeight="1" x14ac:dyDescent="0.25">
      <c r="A16620" s="318">
        <v>96174915178</v>
      </c>
      <c r="B16620" s="318" t="s">
        <v>236</v>
      </c>
    </row>
    <row r="16621" spans="1:2" ht="12.75" customHeight="1" x14ac:dyDescent="0.25">
      <c r="A16621" s="318">
        <v>96174915179</v>
      </c>
      <c r="B16621" s="318" t="s">
        <v>237</v>
      </c>
    </row>
    <row r="16622" spans="1:2" ht="12.75" customHeight="1" x14ac:dyDescent="0.25">
      <c r="A16622" s="318">
        <v>96174915181</v>
      </c>
      <c r="B16622" s="318" t="s">
        <v>236</v>
      </c>
    </row>
    <row r="16623" spans="1:2" ht="12.75" customHeight="1" x14ac:dyDescent="0.25">
      <c r="A16623" s="318">
        <v>96174915182</v>
      </c>
      <c r="B16623" s="318" t="s">
        <v>237</v>
      </c>
    </row>
    <row r="16624" spans="1:2" ht="12.75" customHeight="1" x14ac:dyDescent="0.25">
      <c r="A16624" s="318">
        <v>96174915183</v>
      </c>
      <c r="B16624" s="318" t="s">
        <v>236</v>
      </c>
    </row>
    <row r="16625" spans="1:2" ht="12.75" customHeight="1" x14ac:dyDescent="0.25">
      <c r="A16625" s="318">
        <v>96174915184</v>
      </c>
      <c r="B16625" s="318" t="s">
        <v>237</v>
      </c>
    </row>
    <row r="16626" spans="1:2" ht="12.75" customHeight="1" x14ac:dyDescent="0.25">
      <c r="A16626" s="318">
        <v>96174915185</v>
      </c>
      <c r="B16626" s="318" t="s">
        <v>236</v>
      </c>
    </row>
    <row r="16627" spans="1:2" ht="12.75" customHeight="1" x14ac:dyDescent="0.25">
      <c r="A16627" s="318">
        <v>96174915186</v>
      </c>
      <c r="B16627" s="318" t="s">
        <v>237</v>
      </c>
    </row>
    <row r="16628" spans="1:2" ht="12.75" customHeight="1" x14ac:dyDescent="0.25">
      <c r="A16628" s="318">
        <v>96174915187</v>
      </c>
      <c r="B16628" s="318" t="s">
        <v>236</v>
      </c>
    </row>
    <row r="16629" spans="1:2" ht="12.75" customHeight="1" x14ac:dyDescent="0.25">
      <c r="A16629" s="318">
        <v>96174915188</v>
      </c>
      <c r="B16629" s="318" t="s">
        <v>237</v>
      </c>
    </row>
    <row r="16630" spans="1:2" ht="12.75" customHeight="1" x14ac:dyDescent="0.25">
      <c r="A16630" s="318">
        <v>96174915272</v>
      </c>
      <c r="B16630" s="318" t="s">
        <v>236</v>
      </c>
    </row>
    <row r="16631" spans="1:2" ht="12.75" customHeight="1" x14ac:dyDescent="0.25">
      <c r="A16631" s="318">
        <v>96174915273</v>
      </c>
      <c r="B16631" s="318" t="s">
        <v>23</v>
      </c>
    </row>
    <row r="16632" spans="1:2" ht="12.75" customHeight="1" x14ac:dyDescent="0.25">
      <c r="A16632" s="318">
        <v>96174915274</v>
      </c>
      <c r="B16632" s="318" t="s">
        <v>236</v>
      </c>
    </row>
    <row r="16633" spans="1:2" ht="12.75" customHeight="1" x14ac:dyDescent="0.25">
      <c r="A16633" s="318">
        <v>96174915275</v>
      </c>
      <c r="B16633" s="318" t="s">
        <v>23</v>
      </c>
    </row>
    <row r="16634" spans="1:2" ht="12.75" customHeight="1" x14ac:dyDescent="0.25">
      <c r="A16634" s="318">
        <v>96174915276</v>
      </c>
      <c r="B16634" s="318" t="s">
        <v>236</v>
      </c>
    </row>
    <row r="16635" spans="1:2" ht="12.75" customHeight="1" x14ac:dyDescent="0.25">
      <c r="A16635" s="318">
        <v>96174915277</v>
      </c>
      <c r="B16635" s="318" t="s">
        <v>23</v>
      </c>
    </row>
    <row r="16636" spans="1:2" ht="12.75" customHeight="1" x14ac:dyDescent="0.25">
      <c r="A16636" s="318">
        <v>96174915278</v>
      </c>
      <c r="B16636" s="318" t="s">
        <v>236</v>
      </c>
    </row>
    <row r="16637" spans="1:2" ht="12.75" customHeight="1" x14ac:dyDescent="0.25">
      <c r="A16637" s="318">
        <v>96174915279</v>
      </c>
      <c r="B16637" s="318" t="s">
        <v>237</v>
      </c>
    </row>
    <row r="16638" spans="1:2" ht="12.75" customHeight="1" x14ac:dyDescent="0.25">
      <c r="A16638" s="318">
        <v>96174915281</v>
      </c>
      <c r="B16638" s="318" t="s">
        <v>236</v>
      </c>
    </row>
    <row r="16639" spans="1:2" ht="12.75" customHeight="1" x14ac:dyDescent="0.25">
      <c r="A16639" s="318">
        <v>96174915282</v>
      </c>
      <c r="B16639" s="318" t="s">
        <v>237</v>
      </c>
    </row>
    <row r="16640" spans="1:2" ht="12.75" customHeight="1" x14ac:dyDescent="0.25">
      <c r="A16640" s="318">
        <v>96174915283</v>
      </c>
      <c r="B16640" s="318" t="s">
        <v>236</v>
      </c>
    </row>
    <row r="16641" spans="1:2" ht="12.75" customHeight="1" x14ac:dyDescent="0.25">
      <c r="A16641" s="318">
        <v>96174915284</v>
      </c>
      <c r="B16641" s="318" t="s">
        <v>237</v>
      </c>
    </row>
    <row r="16642" spans="1:2" ht="12.75" customHeight="1" x14ac:dyDescent="0.25">
      <c r="A16642" s="318">
        <v>96174915285</v>
      </c>
      <c r="B16642" s="318" t="s">
        <v>236</v>
      </c>
    </row>
    <row r="16643" spans="1:2" ht="12.75" customHeight="1" x14ac:dyDescent="0.25">
      <c r="A16643" s="318">
        <v>96174915286</v>
      </c>
      <c r="B16643" s="318" t="s">
        <v>237</v>
      </c>
    </row>
    <row r="16644" spans="1:2" ht="12.75" customHeight="1" x14ac:dyDescent="0.25">
      <c r="A16644" s="318">
        <v>96174915287</v>
      </c>
      <c r="B16644" s="318" t="s">
        <v>236</v>
      </c>
    </row>
    <row r="16645" spans="1:2" ht="12.75" customHeight="1" x14ac:dyDescent="0.25">
      <c r="A16645" s="318">
        <v>96174915288</v>
      </c>
      <c r="B16645" s="318" t="s">
        <v>237</v>
      </c>
    </row>
    <row r="16646" spans="1:2" ht="12.75" customHeight="1" x14ac:dyDescent="0.25">
      <c r="A16646" s="318">
        <v>96175396145</v>
      </c>
      <c r="B16646" s="318" t="s">
        <v>236</v>
      </c>
    </row>
    <row r="16647" spans="1:2" ht="12.75" customHeight="1" x14ac:dyDescent="0.25">
      <c r="A16647" s="318">
        <v>96175396146</v>
      </c>
      <c r="B16647" s="318" t="s">
        <v>23</v>
      </c>
    </row>
    <row r="16648" spans="1:2" ht="12.75" customHeight="1" x14ac:dyDescent="0.25">
      <c r="A16648" s="318">
        <v>96175396147</v>
      </c>
      <c r="B16648" s="318" t="s">
        <v>236</v>
      </c>
    </row>
    <row r="16649" spans="1:2" ht="12.75" customHeight="1" x14ac:dyDescent="0.25">
      <c r="A16649" s="318">
        <v>96175396148</v>
      </c>
      <c r="B16649" s="318" t="s">
        <v>23</v>
      </c>
    </row>
    <row r="16650" spans="1:2" ht="12.75" customHeight="1" x14ac:dyDescent="0.25">
      <c r="A16650" s="318">
        <v>96175396149</v>
      </c>
      <c r="B16650" s="318" t="s">
        <v>236</v>
      </c>
    </row>
    <row r="16651" spans="1:2" ht="12.75" customHeight="1" x14ac:dyDescent="0.25">
      <c r="A16651" s="318">
        <v>96175396150</v>
      </c>
      <c r="B16651" s="318" t="s">
        <v>23</v>
      </c>
    </row>
    <row r="16652" spans="1:2" ht="12.75" customHeight="1" x14ac:dyDescent="0.25">
      <c r="A16652" s="318">
        <v>96175396151</v>
      </c>
      <c r="B16652" s="318" t="s">
        <v>236</v>
      </c>
    </row>
    <row r="16653" spans="1:2" ht="12.75" customHeight="1" x14ac:dyDescent="0.25">
      <c r="A16653" s="318">
        <v>96175396152</v>
      </c>
      <c r="B16653" s="318" t="s">
        <v>237</v>
      </c>
    </row>
    <row r="16654" spans="1:2" ht="12.75" customHeight="1" x14ac:dyDescent="0.25">
      <c r="A16654" s="318">
        <v>96175396154</v>
      </c>
      <c r="B16654" s="318" t="s">
        <v>236</v>
      </c>
    </row>
    <row r="16655" spans="1:2" ht="12.75" customHeight="1" x14ac:dyDescent="0.25">
      <c r="A16655" s="318">
        <v>96175396155</v>
      </c>
      <c r="B16655" s="318" t="s">
        <v>237</v>
      </c>
    </row>
    <row r="16656" spans="1:2" ht="12.75" customHeight="1" x14ac:dyDescent="0.25">
      <c r="A16656" s="318">
        <v>96175396156</v>
      </c>
      <c r="B16656" s="318" t="s">
        <v>236</v>
      </c>
    </row>
    <row r="16657" spans="1:2" ht="12.75" customHeight="1" x14ac:dyDescent="0.25">
      <c r="A16657" s="318">
        <v>96175396157</v>
      </c>
      <c r="B16657" s="318" t="s">
        <v>237</v>
      </c>
    </row>
    <row r="16658" spans="1:2" ht="12.75" customHeight="1" x14ac:dyDescent="0.25">
      <c r="A16658" s="318">
        <v>96175396158</v>
      </c>
      <c r="B16658" s="318" t="s">
        <v>236</v>
      </c>
    </row>
    <row r="16659" spans="1:2" ht="12.75" customHeight="1" x14ac:dyDescent="0.25">
      <c r="A16659" s="318">
        <v>96175396159</v>
      </c>
      <c r="B16659" s="318" t="s">
        <v>237</v>
      </c>
    </row>
    <row r="16660" spans="1:2" ht="12.75" customHeight="1" x14ac:dyDescent="0.25">
      <c r="A16660" s="318">
        <v>96175396160</v>
      </c>
      <c r="B16660" s="318" t="s">
        <v>236</v>
      </c>
    </row>
    <row r="16661" spans="1:2" ht="12.75" customHeight="1" x14ac:dyDescent="0.25">
      <c r="A16661" s="318">
        <v>96175396161</v>
      </c>
      <c r="B16661" s="318" t="s">
        <v>237</v>
      </c>
    </row>
    <row r="16662" spans="1:2" ht="12.75" customHeight="1" x14ac:dyDescent="0.25">
      <c r="A16662" s="318">
        <v>96175396245</v>
      </c>
      <c r="B16662" s="318" t="s">
        <v>236</v>
      </c>
    </row>
    <row r="16663" spans="1:2" ht="12.75" customHeight="1" x14ac:dyDescent="0.25">
      <c r="A16663" s="318">
        <v>96175396246</v>
      </c>
      <c r="B16663" s="318" t="s">
        <v>23</v>
      </c>
    </row>
    <row r="16664" spans="1:2" ht="12.75" customHeight="1" x14ac:dyDescent="0.25">
      <c r="A16664" s="318">
        <v>96175396247</v>
      </c>
      <c r="B16664" s="318" t="s">
        <v>236</v>
      </c>
    </row>
    <row r="16665" spans="1:2" ht="12.75" customHeight="1" x14ac:dyDescent="0.25">
      <c r="A16665" s="318">
        <v>96175396248</v>
      </c>
      <c r="B16665" s="318" t="s">
        <v>23</v>
      </c>
    </row>
    <row r="16666" spans="1:2" ht="12.75" customHeight="1" x14ac:dyDescent="0.25">
      <c r="A16666" s="318">
        <v>96175396249</v>
      </c>
      <c r="B16666" s="318" t="s">
        <v>236</v>
      </c>
    </row>
    <row r="16667" spans="1:2" ht="12.75" customHeight="1" x14ac:dyDescent="0.25">
      <c r="A16667" s="318">
        <v>96175396250</v>
      </c>
      <c r="B16667" s="318" t="s">
        <v>23</v>
      </c>
    </row>
    <row r="16668" spans="1:2" ht="12.75" customHeight="1" x14ac:dyDescent="0.25">
      <c r="A16668" s="318">
        <v>96175396251</v>
      </c>
      <c r="B16668" s="318" t="s">
        <v>236</v>
      </c>
    </row>
    <row r="16669" spans="1:2" ht="12.75" customHeight="1" x14ac:dyDescent="0.25">
      <c r="A16669" s="318">
        <v>96175396252</v>
      </c>
      <c r="B16669" s="318" t="s">
        <v>237</v>
      </c>
    </row>
    <row r="16670" spans="1:2" ht="12.75" customHeight="1" x14ac:dyDescent="0.25">
      <c r="A16670" s="318">
        <v>96175396254</v>
      </c>
      <c r="B16670" s="318" t="s">
        <v>236</v>
      </c>
    </row>
    <row r="16671" spans="1:2" ht="12.75" customHeight="1" x14ac:dyDescent="0.25">
      <c r="A16671" s="318">
        <v>96175396255</v>
      </c>
      <c r="B16671" s="318" t="s">
        <v>237</v>
      </c>
    </row>
    <row r="16672" spans="1:2" ht="12.75" customHeight="1" x14ac:dyDescent="0.25">
      <c r="A16672" s="318">
        <v>96175396256</v>
      </c>
      <c r="B16672" s="318" t="s">
        <v>236</v>
      </c>
    </row>
    <row r="16673" spans="1:2" ht="12.75" customHeight="1" x14ac:dyDescent="0.25">
      <c r="A16673" s="318">
        <v>96175396257</v>
      </c>
      <c r="B16673" s="318" t="s">
        <v>237</v>
      </c>
    </row>
    <row r="16674" spans="1:2" ht="12.75" customHeight="1" x14ac:dyDescent="0.25">
      <c r="A16674" s="318">
        <v>96175396258</v>
      </c>
      <c r="B16674" s="318" t="s">
        <v>236</v>
      </c>
    </row>
    <row r="16675" spans="1:2" ht="12.75" customHeight="1" x14ac:dyDescent="0.25">
      <c r="A16675" s="318">
        <v>96175396259</v>
      </c>
      <c r="B16675" s="318" t="s">
        <v>237</v>
      </c>
    </row>
    <row r="16676" spans="1:2" ht="12.75" customHeight="1" x14ac:dyDescent="0.25">
      <c r="A16676" s="318">
        <v>96175396260</v>
      </c>
      <c r="B16676" s="318" t="s">
        <v>236</v>
      </c>
    </row>
    <row r="16677" spans="1:2" ht="12.75" customHeight="1" x14ac:dyDescent="0.25">
      <c r="A16677" s="318">
        <v>96175396261</v>
      </c>
      <c r="B16677" s="318" t="s">
        <v>237</v>
      </c>
    </row>
    <row r="16678" spans="1:2" ht="12.75" customHeight="1" x14ac:dyDescent="0.25">
      <c r="A16678" s="318">
        <v>96176076336</v>
      </c>
      <c r="B16678" s="318" t="s">
        <v>236</v>
      </c>
    </row>
    <row r="16679" spans="1:2" ht="12.75" customHeight="1" x14ac:dyDescent="0.25">
      <c r="A16679" s="318">
        <v>96176076337</v>
      </c>
      <c r="B16679" s="318" t="s">
        <v>23</v>
      </c>
    </row>
    <row r="16680" spans="1:2" ht="12.75" customHeight="1" x14ac:dyDescent="0.25">
      <c r="A16680" s="318">
        <v>96176076338</v>
      </c>
      <c r="B16680" s="318" t="s">
        <v>236</v>
      </c>
    </row>
    <row r="16681" spans="1:2" ht="12.75" customHeight="1" x14ac:dyDescent="0.25">
      <c r="A16681" s="318">
        <v>96176076339</v>
      </c>
      <c r="B16681" s="318" t="s">
        <v>23</v>
      </c>
    </row>
    <row r="16682" spans="1:2" ht="12.75" customHeight="1" x14ac:dyDescent="0.25">
      <c r="A16682" s="318">
        <v>96176076340</v>
      </c>
      <c r="B16682" s="318" t="s">
        <v>236</v>
      </c>
    </row>
    <row r="16683" spans="1:2" ht="12.75" customHeight="1" x14ac:dyDescent="0.25">
      <c r="A16683" s="318">
        <v>96176076341</v>
      </c>
      <c r="B16683" s="318" t="s">
        <v>23</v>
      </c>
    </row>
    <row r="16684" spans="1:2" ht="12.75" customHeight="1" x14ac:dyDescent="0.25">
      <c r="A16684" s="318">
        <v>96176076342</v>
      </c>
      <c r="B16684" s="318" t="s">
        <v>236</v>
      </c>
    </row>
    <row r="16685" spans="1:2" ht="12.75" customHeight="1" x14ac:dyDescent="0.25">
      <c r="A16685" s="318">
        <v>96176076343</v>
      </c>
      <c r="B16685" s="318" t="s">
        <v>237</v>
      </c>
    </row>
    <row r="16686" spans="1:2" ht="12.75" customHeight="1" x14ac:dyDescent="0.25">
      <c r="A16686" s="318">
        <v>96176076345</v>
      </c>
      <c r="B16686" s="318" t="s">
        <v>236</v>
      </c>
    </row>
    <row r="16687" spans="1:2" ht="12.75" customHeight="1" x14ac:dyDescent="0.25">
      <c r="A16687" s="318">
        <v>96176076346</v>
      </c>
      <c r="B16687" s="318" t="s">
        <v>237</v>
      </c>
    </row>
    <row r="16688" spans="1:2" ht="12.75" customHeight="1" x14ac:dyDescent="0.25">
      <c r="A16688" s="318">
        <v>96176076347</v>
      </c>
      <c r="B16688" s="318" t="s">
        <v>236</v>
      </c>
    </row>
    <row r="16689" spans="1:2" ht="12.75" customHeight="1" x14ac:dyDescent="0.25">
      <c r="A16689" s="318">
        <v>96176076348</v>
      </c>
      <c r="B16689" s="318" t="s">
        <v>237</v>
      </c>
    </row>
    <row r="16690" spans="1:2" ht="12.75" customHeight="1" x14ac:dyDescent="0.25">
      <c r="A16690" s="318">
        <v>96176076349</v>
      </c>
      <c r="B16690" s="318" t="s">
        <v>236</v>
      </c>
    </row>
    <row r="16691" spans="1:2" ht="12.75" customHeight="1" x14ac:dyDescent="0.25">
      <c r="A16691" s="318">
        <v>96176076350</v>
      </c>
      <c r="B16691" s="318" t="s">
        <v>237</v>
      </c>
    </row>
    <row r="16692" spans="1:2" ht="12.75" customHeight="1" x14ac:dyDescent="0.25">
      <c r="A16692" s="318">
        <v>96176076351</v>
      </c>
      <c r="B16692" s="318" t="s">
        <v>236</v>
      </c>
    </row>
    <row r="16693" spans="1:2" ht="12.75" customHeight="1" x14ac:dyDescent="0.25">
      <c r="A16693" s="318">
        <v>96176076352</v>
      </c>
      <c r="B16693" s="318" t="s">
        <v>237</v>
      </c>
    </row>
    <row r="16694" spans="1:2" ht="12.75" customHeight="1" x14ac:dyDescent="0.25">
      <c r="A16694" s="318">
        <v>96176076436</v>
      </c>
      <c r="B16694" s="318" t="s">
        <v>236</v>
      </c>
    </row>
    <row r="16695" spans="1:2" ht="12.75" customHeight="1" x14ac:dyDescent="0.25">
      <c r="A16695" s="318">
        <v>96176076437</v>
      </c>
      <c r="B16695" s="318" t="s">
        <v>23</v>
      </c>
    </row>
    <row r="16696" spans="1:2" ht="12.75" customHeight="1" x14ac:dyDescent="0.25">
      <c r="A16696" s="318">
        <v>96176076438</v>
      </c>
      <c r="B16696" s="318" t="s">
        <v>236</v>
      </c>
    </row>
    <row r="16697" spans="1:2" ht="12.75" customHeight="1" x14ac:dyDescent="0.25">
      <c r="A16697" s="318">
        <v>96176076439</v>
      </c>
      <c r="B16697" s="318" t="s">
        <v>23</v>
      </c>
    </row>
    <row r="16698" spans="1:2" ht="12.75" customHeight="1" x14ac:dyDescent="0.25">
      <c r="A16698" s="318">
        <v>96176076440</v>
      </c>
      <c r="B16698" s="318" t="s">
        <v>236</v>
      </c>
    </row>
    <row r="16699" spans="1:2" ht="12.75" customHeight="1" x14ac:dyDescent="0.25">
      <c r="A16699" s="318">
        <v>96176076441</v>
      </c>
      <c r="B16699" s="318" t="s">
        <v>23</v>
      </c>
    </row>
    <row r="16700" spans="1:2" ht="12.75" customHeight="1" x14ac:dyDescent="0.25">
      <c r="A16700" s="318">
        <v>96176076442</v>
      </c>
      <c r="B16700" s="318" t="s">
        <v>236</v>
      </c>
    </row>
    <row r="16701" spans="1:2" ht="12.75" customHeight="1" x14ac:dyDescent="0.25">
      <c r="A16701" s="318">
        <v>96176076443</v>
      </c>
      <c r="B16701" s="318" t="s">
        <v>237</v>
      </c>
    </row>
    <row r="16702" spans="1:2" ht="12.75" customHeight="1" x14ac:dyDescent="0.25">
      <c r="A16702" s="318">
        <v>96176076445</v>
      </c>
      <c r="B16702" s="318" t="s">
        <v>236</v>
      </c>
    </row>
    <row r="16703" spans="1:2" ht="12.75" customHeight="1" x14ac:dyDescent="0.25">
      <c r="A16703" s="318">
        <v>96176076446</v>
      </c>
      <c r="B16703" s="318" t="s">
        <v>237</v>
      </c>
    </row>
    <row r="16704" spans="1:2" ht="12.75" customHeight="1" x14ac:dyDescent="0.25">
      <c r="A16704" s="318">
        <v>96176076447</v>
      </c>
      <c r="B16704" s="318" t="s">
        <v>236</v>
      </c>
    </row>
    <row r="16705" spans="1:2" ht="12.75" customHeight="1" x14ac:dyDescent="0.25">
      <c r="A16705" s="318">
        <v>96176076448</v>
      </c>
      <c r="B16705" s="318" t="s">
        <v>237</v>
      </c>
    </row>
    <row r="16706" spans="1:2" ht="12.75" customHeight="1" x14ac:dyDescent="0.25">
      <c r="A16706" s="318">
        <v>96176076449</v>
      </c>
      <c r="B16706" s="318" t="s">
        <v>236</v>
      </c>
    </row>
    <row r="16707" spans="1:2" ht="12.75" customHeight="1" x14ac:dyDescent="0.25">
      <c r="A16707" s="318">
        <v>96176076450</v>
      </c>
      <c r="B16707" s="318" t="s">
        <v>237</v>
      </c>
    </row>
    <row r="16708" spans="1:2" ht="12.75" customHeight="1" x14ac:dyDescent="0.25">
      <c r="A16708" s="318">
        <v>96176076451</v>
      </c>
      <c r="B16708" s="318" t="s">
        <v>236</v>
      </c>
    </row>
    <row r="16709" spans="1:2" ht="12.75" customHeight="1" x14ac:dyDescent="0.25">
      <c r="A16709" s="318">
        <v>96176076452</v>
      </c>
      <c r="B16709" s="318" t="s">
        <v>237</v>
      </c>
    </row>
    <row r="16710" spans="1:2" ht="12.75" customHeight="1" x14ac:dyDescent="0.25">
      <c r="A16710" s="318">
        <v>96176557309</v>
      </c>
      <c r="B16710" s="318" t="s">
        <v>236</v>
      </c>
    </row>
    <row r="16711" spans="1:2" ht="12.75" customHeight="1" x14ac:dyDescent="0.25">
      <c r="A16711" s="318">
        <v>96176557310</v>
      </c>
      <c r="B16711" s="318" t="s">
        <v>23</v>
      </c>
    </row>
    <row r="16712" spans="1:2" ht="12.75" customHeight="1" x14ac:dyDescent="0.25">
      <c r="A16712" s="318">
        <v>96176557311</v>
      </c>
      <c r="B16712" s="318" t="s">
        <v>236</v>
      </c>
    </row>
    <row r="16713" spans="1:2" ht="12.75" customHeight="1" x14ac:dyDescent="0.25">
      <c r="A16713" s="318">
        <v>96176557312</v>
      </c>
      <c r="B16713" s="318" t="s">
        <v>23</v>
      </c>
    </row>
    <row r="16714" spans="1:2" ht="12.75" customHeight="1" x14ac:dyDescent="0.25">
      <c r="A16714" s="318">
        <v>96176557313</v>
      </c>
      <c r="B16714" s="318" t="s">
        <v>236</v>
      </c>
    </row>
    <row r="16715" spans="1:2" ht="12.75" customHeight="1" x14ac:dyDescent="0.25">
      <c r="A16715" s="318">
        <v>96176557314</v>
      </c>
      <c r="B16715" s="318" t="s">
        <v>23</v>
      </c>
    </row>
    <row r="16716" spans="1:2" ht="12.75" customHeight="1" x14ac:dyDescent="0.25">
      <c r="A16716" s="318">
        <v>96176557315</v>
      </c>
      <c r="B16716" s="318" t="s">
        <v>236</v>
      </c>
    </row>
    <row r="16717" spans="1:2" ht="12.75" customHeight="1" x14ac:dyDescent="0.25">
      <c r="A16717" s="318">
        <v>96176557316</v>
      </c>
      <c r="B16717" s="318" t="s">
        <v>237</v>
      </c>
    </row>
    <row r="16718" spans="1:2" ht="12.75" customHeight="1" x14ac:dyDescent="0.25">
      <c r="A16718" s="318">
        <v>96176557318</v>
      </c>
      <c r="B16718" s="318" t="s">
        <v>236</v>
      </c>
    </row>
    <row r="16719" spans="1:2" ht="12.75" customHeight="1" x14ac:dyDescent="0.25">
      <c r="A16719" s="318">
        <v>96176557319</v>
      </c>
      <c r="B16719" s="318" t="s">
        <v>237</v>
      </c>
    </row>
    <row r="16720" spans="1:2" ht="12.75" customHeight="1" x14ac:dyDescent="0.25">
      <c r="A16720" s="318">
        <v>96176557320</v>
      </c>
      <c r="B16720" s="318" t="s">
        <v>236</v>
      </c>
    </row>
    <row r="16721" spans="1:2" ht="12.75" customHeight="1" x14ac:dyDescent="0.25">
      <c r="A16721" s="318">
        <v>96176557321</v>
      </c>
      <c r="B16721" s="318" t="s">
        <v>237</v>
      </c>
    </row>
    <row r="16722" spans="1:2" ht="12.75" customHeight="1" x14ac:dyDescent="0.25">
      <c r="A16722" s="318">
        <v>96176557322</v>
      </c>
      <c r="B16722" s="318" t="s">
        <v>236</v>
      </c>
    </row>
    <row r="16723" spans="1:2" ht="12.75" customHeight="1" x14ac:dyDescent="0.25">
      <c r="A16723" s="318">
        <v>96176557323</v>
      </c>
      <c r="B16723" s="318" t="s">
        <v>237</v>
      </c>
    </row>
    <row r="16724" spans="1:2" ht="12.75" customHeight="1" x14ac:dyDescent="0.25">
      <c r="A16724" s="318">
        <v>96176557324</v>
      </c>
      <c r="B16724" s="318" t="s">
        <v>236</v>
      </c>
    </row>
    <row r="16725" spans="1:2" ht="12.75" customHeight="1" x14ac:dyDescent="0.25">
      <c r="A16725" s="318">
        <v>96176557325</v>
      </c>
      <c r="B16725" s="318" t="s">
        <v>237</v>
      </c>
    </row>
    <row r="16726" spans="1:2" ht="12.75" customHeight="1" x14ac:dyDescent="0.25">
      <c r="A16726" s="318">
        <v>96176557409</v>
      </c>
      <c r="B16726" s="318" t="s">
        <v>236</v>
      </c>
    </row>
    <row r="16727" spans="1:2" ht="12.75" customHeight="1" x14ac:dyDescent="0.25">
      <c r="A16727" s="318">
        <v>96176557410</v>
      </c>
      <c r="B16727" s="318" t="s">
        <v>23</v>
      </c>
    </row>
    <row r="16728" spans="1:2" ht="12.75" customHeight="1" x14ac:dyDescent="0.25">
      <c r="A16728" s="318">
        <v>96176557411</v>
      </c>
      <c r="B16728" s="318" t="s">
        <v>236</v>
      </c>
    </row>
    <row r="16729" spans="1:2" ht="12.75" customHeight="1" x14ac:dyDescent="0.25">
      <c r="A16729" s="318">
        <v>96176557412</v>
      </c>
      <c r="B16729" s="318" t="s">
        <v>23</v>
      </c>
    </row>
    <row r="16730" spans="1:2" ht="12.75" customHeight="1" x14ac:dyDescent="0.25">
      <c r="A16730" s="318">
        <v>96176557413</v>
      </c>
      <c r="B16730" s="318" t="s">
        <v>236</v>
      </c>
    </row>
    <row r="16731" spans="1:2" ht="12.75" customHeight="1" x14ac:dyDescent="0.25">
      <c r="A16731" s="318">
        <v>96176557414</v>
      </c>
      <c r="B16731" s="318" t="s">
        <v>23</v>
      </c>
    </row>
    <row r="16732" spans="1:2" ht="12.75" customHeight="1" x14ac:dyDescent="0.25">
      <c r="A16732" s="318">
        <v>96176557415</v>
      </c>
      <c r="B16732" s="318" t="s">
        <v>236</v>
      </c>
    </row>
    <row r="16733" spans="1:2" ht="12.75" customHeight="1" x14ac:dyDescent="0.25">
      <c r="A16733" s="318">
        <v>96176557416</v>
      </c>
      <c r="B16733" s="318" t="s">
        <v>237</v>
      </c>
    </row>
    <row r="16734" spans="1:2" ht="12.75" customHeight="1" x14ac:dyDescent="0.25">
      <c r="A16734" s="318">
        <v>96176557418</v>
      </c>
      <c r="B16734" s="318" t="s">
        <v>236</v>
      </c>
    </row>
    <row r="16735" spans="1:2" ht="12.75" customHeight="1" x14ac:dyDescent="0.25">
      <c r="A16735" s="318">
        <v>96176557419</v>
      </c>
      <c r="B16735" s="318" t="s">
        <v>237</v>
      </c>
    </row>
    <row r="16736" spans="1:2" ht="12.75" customHeight="1" x14ac:dyDescent="0.25">
      <c r="A16736" s="318">
        <v>96176557420</v>
      </c>
      <c r="B16736" s="318" t="s">
        <v>236</v>
      </c>
    </row>
    <row r="16737" spans="1:2" ht="12.75" customHeight="1" x14ac:dyDescent="0.25">
      <c r="A16737" s="318">
        <v>96176557421</v>
      </c>
      <c r="B16737" s="318" t="s">
        <v>237</v>
      </c>
    </row>
    <row r="16738" spans="1:2" ht="12.75" customHeight="1" x14ac:dyDescent="0.25">
      <c r="A16738" s="318">
        <v>96176557422</v>
      </c>
      <c r="B16738" s="318" t="s">
        <v>236</v>
      </c>
    </row>
    <row r="16739" spans="1:2" ht="12.75" customHeight="1" x14ac:dyDescent="0.25">
      <c r="A16739" s="318">
        <v>96176557423</v>
      </c>
      <c r="B16739" s="318" t="s">
        <v>237</v>
      </c>
    </row>
    <row r="16740" spans="1:2" ht="12.75" customHeight="1" x14ac:dyDescent="0.25">
      <c r="A16740" s="318">
        <v>96176557424</v>
      </c>
      <c r="B16740" s="318" t="s">
        <v>236</v>
      </c>
    </row>
    <row r="16741" spans="1:2" ht="12.75" customHeight="1" x14ac:dyDescent="0.25">
      <c r="A16741" s="318">
        <v>96176557425</v>
      </c>
      <c r="B16741" s="318" t="s">
        <v>237</v>
      </c>
    </row>
    <row r="16742" spans="1:2" ht="12.75" customHeight="1" x14ac:dyDescent="0.25">
      <c r="A16742" s="318">
        <v>96177038282</v>
      </c>
      <c r="B16742" s="318" t="s">
        <v>236</v>
      </c>
    </row>
    <row r="16743" spans="1:2" ht="12.75" customHeight="1" x14ac:dyDescent="0.25">
      <c r="A16743" s="318">
        <v>96177038283</v>
      </c>
      <c r="B16743" s="318" t="s">
        <v>23</v>
      </c>
    </row>
    <row r="16744" spans="1:2" ht="12.75" customHeight="1" x14ac:dyDescent="0.25">
      <c r="A16744" s="318">
        <v>96177038284</v>
      </c>
      <c r="B16744" s="318" t="s">
        <v>236</v>
      </c>
    </row>
    <row r="16745" spans="1:2" ht="12.75" customHeight="1" x14ac:dyDescent="0.25">
      <c r="A16745" s="318">
        <v>96177038285</v>
      </c>
      <c r="B16745" s="318" t="s">
        <v>23</v>
      </c>
    </row>
    <row r="16746" spans="1:2" ht="12.75" customHeight="1" x14ac:dyDescent="0.25">
      <c r="A16746" s="318">
        <v>96177038286</v>
      </c>
      <c r="B16746" s="318" t="s">
        <v>236</v>
      </c>
    </row>
    <row r="16747" spans="1:2" ht="12.75" customHeight="1" x14ac:dyDescent="0.25">
      <c r="A16747" s="318">
        <v>96177038287</v>
      </c>
      <c r="B16747" s="318" t="s">
        <v>23</v>
      </c>
    </row>
    <row r="16748" spans="1:2" ht="12.75" customHeight="1" x14ac:dyDescent="0.25">
      <c r="A16748" s="318">
        <v>96177038288</v>
      </c>
      <c r="B16748" s="318" t="s">
        <v>236</v>
      </c>
    </row>
    <row r="16749" spans="1:2" ht="12.75" customHeight="1" x14ac:dyDescent="0.25">
      <c r="A16749" s="318">
        <v>96177038289</v>
      </c>
      <c r="B16749" s="318" t="s">
        <v>237</v>
      </c>
    </row>
    <row r="16750" spans="1:2" ht="12.75" customHeight="1" x14ac:dyDescent="0.25">
      <c r="A16750" s="318">
        <v>96177038291</v>
      </c>
      <c r="B16750" s="318" t="s">
        <v>236</v>
      </c>
    </row>
    <row r="16751" spans="1:2" ht="12.75" customHeight="1" x14ac:dyDescent="0.25">
      <c r="A16751" s="318">
        <v>96177038292</v>
      </c>
      <c r="B16751" s="318" t="s">
        <v>237</v>
      </c>
    </row>
    <row r="16752" spans="1:2" ht="12.75" customHeight="1" x14ac:dyDescent="0.25">
      <c r="A16752" s="318">
        <v>96177038293</v>
      </c>
      <c r="B16752" s="318" t="s">
        <v>236</v>
      </c>
    </row>
    <row r="16753" spans="1:2" ht="12.75" customHeight="1" x14ac:dyDescent="0.25">
      <c r="A16753" s="318">
        <v>96177038294</v>
      </c>
      <c r="B16753" s="318" t="s">
        <v>237</v>
      </c>
    </row>
    <row r="16754" spans="1:2" ht="12.75" customHeight="1" x14ac:dyDescent="0.25">
      <c r="A16754" s="318">
        <v>96177038295</v>
      </c>
      <c r="B16754" s="318" t="s">
        <v>236</v>
      </c>
    </row>
    <row r="16755" spans="1:2" ht="12.75" customHeight="1" x14ac:dyDescent="0.25">
      <c r="A16755" s="318">
        <v>96177038296</v>
      </c>
      <c r="B16755" s="318" t="s">
        <v>237</v>
      </c>
    </row>
    <row r="16756" spans="1:2" ht="12.75" customHeight="1" x14ac:dyDescent="0.25">
      <c r="A16756" s="318">
        <v>96177038297</v>
      </c>
      <c r="B16756" s="318" t="s">
        <v>236</v>
      </c>
    </row>
    <row r="16757" spans="1:2" ht="12.75" customHeight="1" x14ac:dyDescent="0.25">
      <c r="A16757" s="318">
        <v>96177038298</v>
      </c>
      <c r="B16757" s="318" t="s">
        <v>237</v>
      </c>
    </row>
    <row r="16758" spans="1:2" ht="12.75" customHeight="1" x14ac:dyDescent="0.25">
      <c r="A16758" s="318">
        <v>96177038382</v>
      </c>
      <c r="B16758" s="318" t="s">
        <v>236</v>
      </c>
    </row>
    <row r="16759" spans="1:2" ht="12.75" customHeight="1" x14ac:dyDescent="0.25">
      <c r="A16759" s="318">
        <v>96177038383</v>
      </c>
      <c r="B16759" s="318" t="s">
        <v>23</v>
      </c>
    </row>
    <row r="16760" spans="1:2" ht="12.75" customHeight="1" x14ac:dyDescent="0.25">
      <c r="A16760" s="318">
        <v>96177038384</v>
      </c>
      <c r="B16760" s="318" t="s">
        <v>236</v>
      </c>
    </row>
    <row r="16761" spans="1:2" ht="12.75" customHeight="1" x14ac:dyDescent="0.25">
      <c r="A16761" s="318">
        <v>96177038385</v>
      </c>
      <c r="B16761" s="318" t="s">
        <v>23</v>
      </c>
    </row>
    <row r="16762" spans="1:2" ht="12.75" customHeight="1" x14ac:dyDescent="0.25">
      <c r="A16762" s="318">
        <v>96177038386</v>
      </c>
      <c r="B16762" s="318" t="s">
        <v>236</v>
      </c>
    </row>
    <row r="16763" spans="1:2" ht="12.75" customHeight="1" x14ac:dyDescent="0.25">
      <c r="A16763" s="318">
        <v>96177038387</v>
      </c>
      <c r="B16763" s="318" t="s">
        <v>23</v>
      </c>
    </row>
    <row r="16764" spans="1:2" ht="12.75" customHeight="1" x14ac:dyDescent="0.25">
      <c r="A16764" s="318">
        <v>96177038388</v>
      </c>
      <c r="B16764" s="318" t="s">
        <v>236</v>
      </c>
    </row>
    <row r="16765" spans="1:2" ht="12.75" customHeight="1" x14ac:dyDescent="0.25">
      <c r="A16765" s="318">
        <v>96177038389</v>
      </c>
      <c r="B16765" s="318" t="s">
        <v>237</v>
      </c>
    </row>
    <row r="16766" spans="1:2" ht="12.75" customHeight="1" x14ac:dyDescent="0.25">
      <c r="A16766" s="318">
        <v>96177038391</v>
      </c>
      <c r="B16766" s="318" t="s">
        <v>236</v>
      </c>
    </row>
    <row r="16767" spans="1:2" ht="12.75" customHeight="1" x14ac:dyDescent="0.25">
      <c r="A16767" s="318">
        <v>96177038392</v>
      </c>
      <c r="B16767" s="318" t="s">
        <v>237</v>
      </c>
    </row>
    <row r="16768" spans="1:2" ht="12.75" customHeight="1" x14ac:dyDescent="0.25">
      <c r="A16768" s="318">
        <v>96177038393</v>
      </c>
      <c r="B16768" s="318" t="s">
        <v>236</v>
      </c>
    </row>
    <row r="16769" spans="1:2" ht="12.75" customHeight="1" x14ac:dyDescent="0.25">
      <c r="A16769" s="318">
        <v>96177038394</v>
      </c>
      <c r="B16769" s="318" t="s">
        <v>237</v>
      </c>
    </row>
    <row r="16770" spans="1:2" ht="12.75" customHeight="1" x14ac:dyDescent="0.25">
      <c r="A16770" s="318">
        <v>96177038395</v>
      </c>
      <c r="B16770" s="318" t="s">
        <v>236</v>
      </c>
    </row>
    <row r="16771" spans="1:2" ht="12.75" customHeight="1" x14ac:dyDescent="0.25">
      <c r="A16771" s="318">
        <v>96177038396</v>
      </c>
      <c r="B16771" s="318" t="s">
        <v>237</v>
      </c>
    </row>
    <row r="16772" spans="1:2" ht="12.75" customHeight="1" x14ac:dyDescent="0.25">
      <c r="A16772" s="318">
        <v>96177038397</v>
      </c>
      <c r="B16772" s="318" t="s">
        <v>236</v>
      </c>
    </row>
    <row r="16773" spans="1:2" ht="12.75" customHeight="1" x14ac:dyDescent="0.25">
      <c r="A16773" s="318">
        <v>96177038398</v>
      </c>
      <c r="B16773" s="318" t="s">
        <v>237</v>
      </c>
    </row>
    <row r="16774" spans="1:2" ht="12.75" customHeight="1" x14ac:dyDescent="0.25">
      <c r="A16774" s="318">
        <v>96177718473</v>
      </c>
      <c r="B16774" s="318" t="s">
        <v>236</v>
      </c>
    </row>
    <row r="16775" spans="1:2" ht="12.75" customHeight="1" x14ac:dyDescent="0.25">
      <c r="A16775" s="318">
        <v>96177718474</v>
      </c>
      <c r="B16775" s="318" t="s">
        <v>23</v>
      </c>
    </row>
    <row r="16776" spans="1:2" ht="12.75" customHeight="1" x14ac:dyDescent="0.25">
      <c r="A16776" s="318">
        <v>96177718475</v>
      </c>
      <c r="B16776" s="318" t="s">
        <v>236</v>
      </c>
    </row>
    <row r="16777" spans="1:2" ht="12.75" customHeight="1" x14ac:dyDescent="0.25">
      <c r="A16777" s="318">
        <v>96177718476</v>
      </c>
      <c r="B16777" s="318" t="s">
        <v>23</v>
      </c>
    </row>
    <row r="16778" spans="1:2" ht="12.75" customHeight="1" x14ac:dyDescent="0.25">
      <c r="A16778" s="318">
        <v>96177718477</v>
      </c>
      <c r="B16778" s="318" t="s">
        <v>236</v>
      </c>
    </row>
    <row r="16779" spans="1:2" ht="12.75" customHeight="1" x14ac:dyDescent="0.25">
      <c r="A16779" s="318">
        <v>96177718478</v>
      </c>
      <c r="B16779" s="318" t="s">
        <v>23</v>
      </c>
    </row>
    <row r="16780" spans="1:2" ht="12.75" customHeight="1" x14ac:dyDescent="0.25">
      <c r="A16780" s="318">
        <v>96177718479</v>
      </c>
      <c r="B16780" s="318" t="s">
        <v>236</v>
      </c>
    </row>
    <row r="16781" spans="1:2" ht="12.75" customHeight="1" x14ac:dyDescent="0.25">
      <c r="A16781" s="318">
        <v>96177718480</v>
      </c>
      <c r="B16781" s="318" t="s">
        <v>237</v>
      </c>
    </row>
    <row r="16782" spans="1:2" ht="12.75" customHeight="1" x14ac:dyDescent="0.25">
      <c r="A16782" s="318">
        <v>96177718482</v>
      </c>
      <c r="B16782" s="318" t="s">
        <v>236</v>
      </c>
    </row>
    <row r="16783" spans="1:2" ht="12.75" customHeight="1" x14ac:dyDescent="0.25">
      <c r="A16783" s="318">
        <v>96177718483</v>
      </c>
      <c r="B16783" s="318" t="s">
        <v>237</v>
      </c>
    </row>
    <row r="16784" spans="1:2" ht="12.75" customHeight="1" x14ac:dyDescent="0.25">
      <c r="A16784" s="318">
        <v>96177718484</v>
      </c>
      <c r="B16784" s="318" t="s">
        <v>236</v>
      </c>
    </row>
    <row r="16785" spans="1:2" ht="12.75" customHeight="1" x14ac:dyDescent="0.25">
      <c r="A16785" s="318">
        <v>96177718485</v>
      </c>
      <c r="B16785" s="318" t="s">
        <v>237</v>
      </c>
    </row>
    <row r="16786" spans="1:2" ht="12.75" customHeight="1" x14ac:dyDescent="0.25">
      <c r="A16786" s="318">
        <v>96177718486</v>
      </c>
      <c r="B16786" s="318" t="s">
        <v>236</v>
      </c>
    </row>
    <row r="16787" spans="1:2" ht="12.75" customHeight="1" x14ac:dyDescent="0.25">
      <c r="A16787" s="318">
        <v>96177718487</v>
      </c>
      <c r="B16787" s="318" t="s">
        <v>237</v>
      </c>
    </row>
    <row r="16788" spans="1:2" ht="12.75" customHeight="1" x14ac:dyDescent="0.25">
      <c r="A16788" s="318">
        <v>96177718488</v>
      </c>
      <c r="B16788" s="318" t="s">
        <v>236</v>
      </c>
    </row>
    <row r="16789" spans="1:2" ht="12.75" customHeight="1" x14ac:dyDescent="0.25">
      <c r="A16789" s="318">
        <v>96177718489</v>
      </c>
      <c r="B16789" s="318" t="s">
        <v>237</v>
      </c>
    </row>
    <row r="16790" spans="1:2" ht="12.75" customHeight="1" x14ac:dyDescent="0.25">
      <c r="A16790" s="318">
        <v>96177718573</v>
      </c>
      <c r="B16790" s="318" t="s">
        <v>236</v>
      </c>
    </row>
    <row r="16791" spans="1:2" ht="12.75" customHeight="1" x14ac:dyDescent="0.25">
      <c r="A16791" s="318">
        <v>96177718574</v>
      </c>
      <c r="B16791" s="318" t="s">
        <v>23</v>
      </c>
    </row>
    <row r="16792" spans="1:2" ht="12.75" customHeight="1" x14ac:dyDescent="0.25">
      <c r="A16792" s="318">
        <v>96177718575</v>
      </c>
      <c r="B16792" s="318" t="s">
        <v>236</v>
      </c>
    </row>
    <row r="16793" spans="1:2" ht="12.75" customHeight="1" x14ac:dyDescent="0.25">
      <c r="A16793" s="318">
        <v>96177718576</v>
      </c>
      <c r="B16793" s="318" t="s">
        <v>23</v>
      </c>
    </row>
    <row r="16794" spans="1:2" ht="12.75" customHeight="1" x14ac:dyDescent="0.25">
      <c r="A16794" s="318">
        <v>96177718577</v>
      </c>
      <c r="B16794" s="318" t="s">
        <v>236</v>
      </c>
    </row>
    <row r="16795" spans="1:2" ht="12.75" customHeight="1" x14ac:dyDescent="0.25">
      <c r="A16795" s="318">
        <v>96177718578</v>
      </c>
      <c r="B16795" s="318" t="s">
        <v>23</v>
      </c>
    </row>
    <row r="16796" spans="1:2" ht="12.75" customHeight="1" x14ac:dyDescent="0.25">
      <c r="A16796" s="318">
        <v>96177718579</v>
      </c>
      <c r="B16796" s="318" t="s">
        <v>236</v>
      </c>
    </row>
    <row r="16797" spans="1:2" ht="12.75" customHeight="1" x14ac:dyDescent="0.25">
      <c r="A16797" s="318">
        <v>96177718580</v>
      </c>
      <c r="B16797" s="318" t="s">
        <v>237</v>
      </c>
    </row>
    <row r="16798" spans="1:2" ht="12.75" customHeight="1" x14ac:dyDescent="0.25">
      <c r="A16798" s="318">
        <v>96177718582</v>
      </c>
      <c r="B16798" s="318" t="s">
        <v>236</v>
      </c>
    </row>
    <row r="16799" spans="1:2" ht="12.75" customHeight="1" x14ac:dyDescent="0.25">
      <c r="A16799" s="318">
        <v>96177718583</v>
      </c>
      <c r="B16799" s="318" t="s">
        <v>237</v>
      </c>
    </row>
    <row r="16800" spans="1:2" ht="12.75" customHeight="1" x14ac:dyDescent="0.25">
      <c r="A16800" s="318">
        <v>96177718584</v>
      </c>
      <c r="B16800" s="318" t="s">
        <v>236</v>
      </c>
    </row>
    <row r="16801" spans="1:2" ht="12.75" customHeight="1" x14ac:dyDescent="0.25">
      <c r="A16801" s="318">
        <v>96177718585</v>
      </c>
      <c r="B16801" s="318" t="s">
        <v>237</v>
      </c>
    </row>
    <row r="16802" spans="1:2" ht="12.75" customHeight="1" x14ac:dyDescent="0.25">
      <c r="A16802" s="318">
        <v>96177718586</v>
      </c>
      <c r="B16802" s="318" t="s">
        <v>236</v>
      </c>
    </row>
    <row r="16803" spans="1:2" ht="12.75" customHeight="1" x14ac:dyDescent="0.25">
      <c r="A16803" s="318">
        <v>96177718587</v>
      </c>
      <c r="B16803" s="318" t="s">
        <v>237</v>
      </c>
    </row>
    <row r="16804" spans="1:2" ht="12.75" customHeight="1" x14ac:dyDescent="0.25">
      <c r="A16804" s="318">
        <v>96177718588</v>
      </c>
      <c r="B16804" s="318" t="s">
        <v>236</v>
      </c>
    </row>
    <row r="16805" spans="1:2" ht="12.75" customHeight="1" x14ac:dyDescent="0.25">
      <c r="A16805" s="318">
        <v>96177718589</v>
      </c>
      <c r="B16805" s="318" t="s">
        <v>237</v>
      </c>
    </row>
    <row r="16806" spans="1:2" ht="12.75" customHeight="1" x14ac:dyDescent="0.25">
      <c r="A16806" s="318">
        <v>96178199446</v>
      </c>
      <c r="B16806" s="318" t="s">
        <v>236</v>
      </c>
    </row>
    <row r="16807" spans="1:2" ht="12.75" customHeight="1" x14ac:dyDescent="0.25">
      <c r="A16807" s="318">
        <v>96178199447</v>
      </c>
      <c r="B16807" s="318" t="s">
        <v>23</v>
      </c>
    </row>
    <row r="16808" spans="1:2" ht="12.75" customHeight="1" x14ac:dyDescent="0.25">
      <c r="A16808" s="318">
        <v>96178199448</v>
      </c>
      <c r="B16808" s="318" t="s">
        <v>236</v>
      </c>
    </row>
    <row r="16809" spans="1:2" ht="12.75" customHeight="1" x14ac:dyDescent="0.25">
      <c r="A16809" s="318">
        <v>96178199449</v>
      </c>
      <c r="B16809" s="318" t="s">
        <v>23</v>
      </c>
    </row>
    <row r="16810" spans="1:2" ht="12.75" customHeight="1" x14ac:dyDescent="0.25">
      <c r="A16810" s="318">
        <v>96178199450</v>
      </c>
      <c r="B16810" s="318" t="s">
        <v>236</v>
      </c>
    </row>
    <row r="16811" spans="1:2" ht="12.75" customHeight="1" x14ac:dyDescent="0.25">
      <c r="A16811" s="318">
        <v>96178199451</v>
      </c>
      <c r="B16811" s="318" t="s">
        <v>23</v>
      </c>
    </row>
    <row r="16812" spans="1:2" ht="12.75" customHeight="1" x14ac:dyDescent="0.25">
      <c r="A16812" s="318">
        <v>96178199452</v>
      </c>
      <c r="B16812" s="318" t="s">
        <v>236</v>
      </c>
    </row>
    <row r="16813" spans="1:2" ht="12.75" customHeight="1" x14ac:dyDescent="0.25">
      <c r="A16813" s="318">
        <v>96178199453</v>
      </c>
      <c r="B16813" s="318" t="s">
        <v>237</v>
      </c>
    </row>
    <row r="16814" spans="1:2" ht="12.75" customHeight="1" x14ac:dyDescent="0.25">
      <c r="A16814" s="318">
        <v>96178199455</v>
      </c>
      <c r="B16814" s="318" t="s">
        <v>236</v>
      </c>
    </row>
    <row r="16815" spans="1:2" ht="12.75" customHeight="1" x14ac:dyDescent="0.25">
      <c r="A16815" s="318">
        <v>96178199456</v>
      </c>
      <c r="B16815" s="318" t="s">
        <v>237</v>
      </c>
    </row>
    <row r="16816" spans="1:2" ht="12.75" customHeight="1" x14ac:dyDescent="0.25">
      <c r="A16816" s="318">
        <v>96178199457</v>
      </c>
      <c r="B16816" s="318" t="s">
        <v>236</v>
      </c>
    </row>
    <row r="16817" spans="1:2" ht="12.75" customHeight="1" x14ac:dyDescent="0.25">
      <c r="A16817" s="318">
        <v>96178199458</v>
      </c>
      <c r="B16817" s="318" t="s">
        <v>237</v>
      </c>
    </row>
    <row r="16818" spans="1:2" ht="12.75" customHeight="1" x14ac:dyDescent="0.25">
      <c r="A16818" s="318">
        <v>96178199459</v>
      </c>
      <c r="B16818" s="318" t="s">
        <v>236</v>
      </c>
    </row>
    <row r="16819" spans="1:2" ht="12.75" customHeight="1" x14ac:dyDescent="0.25">
      <c r="A16819" s="318">
        <v>96178199460</v>
      </c>
      <c r="B16819" s="318" t="s">
        <v>237</v>
      </c>
    </row>
    <row r="16820" spans="1:2" ht="12.75" customHeight="1" x14ac:dyDescent="0.25">
      <c r="A16820" s="318">
        <v>96178199461</v>
      </c>
      <c r="B16820" s="318" t="s">
        <v>236</v>
      </c>
    </row>
    <row r="16821" spans="1:2" ht="12.75" customHeight="1" x14ac:dyDescent="0.25">
      <c r="A16821" s="318">
        <v>96178199462</v>
      </c>
      <c r="B16821" s="318" t="s">
        <v>237</v>
      </c>
    </row>
    <row r="16822" spans="1:2" ht="12.75" customHeight="1" x14ac:dyDescent="0.25">
      <c r="A16822" s="318">
        <v>96178199546</v>
      </c>
      <c r="B16822" s="318" t="s">
        <v>236</v>
      </c>
    </row>
    <row r="16823" spans="1:2" ht="12.75" customHeight="1" x14ac:dyDescent="0.25">
      <c r="A16823" s="318">
        <v>96178199547</v>
      </c>
      <c r="B16823" s="318" t="s">
        <v>23</v>
      </c>
    </row>
    <row r="16824" spans="1:2" ht="12.75" customHeight="1" x14ac:dyDescent="0.25">
      <c r="A16824" s="318">
        <v>96178199548</v>
      </c>
      <c r="B16824" s="318" t="s">
        <v>236</v>
      </c>
    </row>
    <row r="16825" spans="1:2" ht="12.75" customHeight="1" x14ac:dyDescent="0.25">
      <c r="A16825" s="318">
        <v>96178199549</v>
      </c>
      <c r="B16825" s="318" t="s">
        <v>23</v>
      </c>
    </row>
    <row r="16826" spans="1:2" ht="12.75" customHeight="1" x14ac:dyDescent="0.25">
      <c r="A16826" s="318">
        <v>96178199550</v>
      </c>
      <c r="B16826" s="318" t="s">
        <v>236</v>
      </c>
    </row>
    <row r="16827" spans="1:2" ht="12.75" customHeight="1" x14ac:dyDescent="0.25">
      <c r="A16827" s="318">
        <v>96178199551</v>
      </c>
      <c r="B16827" s="318" t="s">
        <v>23</v>
      </c>
    </row>
    <row r="16828" spans="1:2" ht="12.75" customHeight="1" x14ac:dyDescent="0.25">
      <c r="A16828" s="318">
        <v>96178199552</v>
      </c>
      <c r="B16828" s="318" t="s">
        <v>236</v>
      </c>
    </row>
    <row r="16829" spans="1:2" ht="12.75" customHeight="1" x14ac:dyDescent="0.25">
      <c r="A16829" s="318">
        <v>96178199553</v>
      </c>
      <c r="B16829" s="318" t="s">
        <v>237</v>
      </c>
    </row>
    <row r="16830" spans="1:2" ht="12.75" customHeight="1" x14ac:dyDescent="0.25">
      <c r="A16830" s="318">
        <v>96178199555</v>
      </c>
      <c r="B16830" s="318" t="s">
        <v>236</v>
      </c>
    </row>
    <row r="16831" spans="1:2" ht="12.75" customHeight="1" x14ac:dyDescent="0.25">
      <c r="A16831" s="318">
        <v>96178199556</v>
      </c>
      <c r="B16831" s="318" t="s">
        <v>237</v>
      </c>
    </row>
    <row r="16832" spans="1:2" ht="12.75" customHeight="1" x14ac:dyDescent="0.25">
      <c r="A16832" s="318">
        <v>96178199557</v>
      </c>
      <c r="B16832" s="318" t="s">
        <v>236</v>
      </c>
    </row>
    <row r="16833" spans="1:2" ht="12.75" customHeight="1" x14ac:dyDescent="0.25">
      <c r="A16833" s="318">
        <v>96178199558</v>
      </c>
      <c r="B16833" s="318" t="s">
        <v>237</v>
      </c>
    </row>
    <row r="16834" spans="1:2" ht="12.75" customHeight="1" x14ac:dyDescent="0.25">
      <c r="A16834" s="318">
        <v>96178199559</v>
      </c>
      <c r="B16834" s="318" t="s">
        <v>236</v>
      </c>
    </row>
    <row r="16835" spans="1:2" ht="12.75" customHeight="1" x14ac:dyDescent="0.25">
      <c r="A16835" s="318">
        <v>96178199560</v>
      </c>
      <c r="B16835" s="318" t="s">
        <v>237</v>
      </c>
    </row>
    <row r="16836" spans="1:2" ht="12.75" customHeight="1" x14ac:dyDescent="0.25">
      <c r="A16836" s="318">
        <v>96178199561</v>
      </c>
      <c r="B16836" s="318" t="s">
        <v>236</v>
      </c>
    </row>
    <row r="16837" spans="1:2" ht="12.75" customHeight="1" x14ac:dyDescent="0.25">
      <c r="A16837" s="318">
        <v>96178199562</v>
      </c>
      <c r="B16837" s="318" t="s">
        <v>237</v>
      </c>
    </row>
    <row r="16838" spans="1:2" ht="12.75" customHeight="1" x14ac:dyDescent="0.25">
      <c r="A16838" s="318">
        <v>96178680419</v>
      </c>
      <c r="B16838" s="318" t="s">
        <v>236</v>
      </c>
    </row>
    <row r="16839" spans="1:2" ht="12.75" customHeight="1" x14ac:dyDescent="0.25">
      <c r="A16839" s="318">
        <v>96178680420</v>
      </c>
      <c r="B16839" s="318" t="s">
        <v>23</v>
      </c>
    </row>
    <row r="16840" spans="1:2" ht="12.75" customHeight="1" x14ac:dyDescent="0.25">
      <c r="A16840" s="318">
        <v>96178680421</v>
      </c>
      <c r="B16840" s="318" t="s">
        <v>236</v>
      </c>
    </row>
    <row r="16841" spans="1:2" ht="12.75" customHeight="1" x14ac:dyDescent="0.25">
      <c r="A16841" s="318">
        <v>96178680422</v>
      </c>
      <c r="B16841" s="318" t="s">
        <v>23</v>
      </c>
    </row>
    <row r="16842" spans="1:2" ht="12.75" customHeight="1" x14ac:dyDescent="0.25">
      <c r="A16842" s="318">
        <v>96178680423</v>
      </c>
      <c r="B16842" s="318" t="s">
        <v>236</v>
      </c>
    </row>
    <row r="16843" spans="1:2" ht="12.75" customHeight="1" x14ac:dyDescent="0.25">
      <c r="A16843" s="318">
        <v>96178680424</v>
      </c>
      <c r="B16843" s="318" t="s">
        <v>23</v>
      </c>
    </row>
    <row r="16844" spans="1:2" ht="12.75" customHeight="1" x14ac:dyDescent="0.25">
      <c r="A16844" s="318">
        <v>96178680425</v>
      </c>
      <c r="B16844" s="318" t="s">
        <v>236</v>
      </c>
    </row>
    <row r="16845" spans="1:2" ht="12.75" customHeight="1" x14ac:dyDescent="0.25">
      <c r="A16845" s="318">
        <v>96178680426</v>
      </c>
      <c r="B16845" s="318" t="s">
        <v>237</v>
      </c>
    </row>
    <row r="16846" spans="1:2" ht="12.75" customHeight="1" x14ac:dyDescent="0.25">
      <c r="A16846" s="318">
        <v>96178680428</v>
      </c>
      <c r="B16846" s="318" t="s">
        <v>236</v>
      </c>
    </row>
    <row r="16847" spans="1:2" ht="12.75" customHeight="1" x14ac:dyDescent="0.25">
      <c r="A16847" s="318">
        <v>96178680429</v>
      </c>
      <c r="B16847" s="318" t="s">
        <v>237</v>
      </c>
    </row>
    <row r="16848" spans="1:2" ht="12.75" customHeight="1" x14ac:dyDescent="0.25">
      <c r="A16848" s="318">
        <v>96178680430</v>
      </c>
      <c r="B16848" s="318" t="s">
        <v>236</v>
      </c>
    </row>
    <row r="16849" spans="1:2" ht="12.75" customHeight="1" x14ac:dyDescent="0.25">
      <c r="A16849" s="318">
        <v>96178680431</v>
      </c>
      <c r="B16849" s="318" t="s">
        <v>237</v>
      </c>
    </row>
    <row r="16850" spans="1:2" ht="12.75" customHeight="1" x14ac:dyDescent="0.25">
      <c r="A16850" s="318">
        <v>96178680432</v>
      </c>
      <c r="B16850" s="318" t="s">
        <v>236</v>
      </c>
    </row>
    <row r="16851" spans="1:2" ht="12.75" customHeight="1" x14ac:dyDescent="0.25">
      <c r="A16851" s="318">
        <v>96178680433</v>
      </c>
      <c r="B16851" s="318" t="s">
        <v>237</v>
      </c>
    </row>
    <row r="16852" spans="1:2" ht="12.75" customHeight="1" x14ac:dyDescent="0.25">
      <c r="A16852" s="318">
        <v>96178680434</v>
      </c>
      <c r="B16852" s="318" t="s">
        <v>236</v>
      </c>
    </row>
    <row r="16853" spans="1:2" ht="12.75" customHeight="1" x14ac:dyDescent="0.25">
      <c r="A16853" s="318">
        <v>96178680435</v>
      </c>
      <c r="B16853" s="318" t="s">
        <v>237</v>
      </c>
    </row>
    <row r="16854" spans="1:2" ht="12.75" customHeight="1" x14ac:dyDescent="0.25">
      <c r="A16854" s="318">
        <v>96178680519</v>
      </c>
      <c r="B16854" s="318" t="s">
        <v>236</v>
      </c>
    </row>
    <row r="16855" spans="1:2" ht="12.75" customHeight="1" x14ac:dyDescent="0.25">
      <c r="A16855" s="318">
        <v>96178680520</v>
      </c>
      <c r="B16855" s="318" t="s">
        <v>23</v>
      </c>
    </row>
    <row r="16856" spans="1:2" ht="12.75" customHeight="1" x14ac:dyDescent="0.25">
      <c r="A16856" s="318">
        <v>96178680521</v>
      </c>
      <c r="B16856" s="318" t="s">
        <v>236</v>
      </c>
    </row>
    <row r="16857" spans="1:2" ht="12.75" customHeight="1" x14ac:dyDescent="0.25">
      <c r="A16857" s="318">
        <v>96178680522</v>
      </c>
      <c r="B16857" s="318" t="s">
        <v>23</v>
      </c>
    </row>
    <row r="16858" spans="1:2" ht="12.75" customHeight="1" x14ac:dyDescent="0.25">
      <c r="A16858" s="318">
        <v>96178680523</v>
      </c>
      <c r="B16858" s="318" t="s">
        <v>236</v>
      </c>
    </row>
    <row r="16859" spans="1:2" ht="12.75" customHeight="1" x14ac:dyDescent="0.25">
      <c r="A16859" s="318">
        <v>96178680524</v>
      </c>
      <c r="B16859" s="318" t="s">
        <v>23</v>
      </c>
    </row>
    <row r="16860" spans="1:2" ht="12.75" customHeight="1" x14ac:dyDescent="0.25">
      <c r="A16860" s="318">
        <v>96178680525</v>
      </c>
      <c r="B16860" s="318" t="s">
        <v>236</v>
      </c>
    </row>
    <row r="16861" spans="1:2" ht="12.75" customHeight="1" x14ac:dyDescent="0.25">
      <c r="A16861" s="318">
        <v>96178680526</v>
      </c>
      <c r="B16861" s="318" t="s">
        <v>237</v>
      </c>
    </row>
    <row r="16862" spans="1:2" ht="12.75" customHeight="1" x14ac:dyDescent="0.25">
      <c r="A16862" s="318">
        <v>96178680528</v>
      </c>
      <c r="B16862" s="318" t="s">
        <v>236</v>
      </c>
    </row>
    <row r="16863" spans="1:2" ht="12.75" customHeight="1" x14ac:dyDescent="0.25">
      <c r="A16863" s="318">
        <v>96178680529</v>
      </c>
      <c r="B16863" s="318" t="s">
        <v>237</v>
      </c>
    </row>
    <row r="16864" spans="1:2" ht="12.75" customHeight="1" x14ac:dyDescent="0.25">
      <c r="A16864" s="318">
        <v>96178680530</v>
      </c>
      <c r="B16864" s="318" t="s">
        <v>236</v>
      </c>
    </row>
    <row r="16865" spans="1:2" ht="12.75" customHeight="1" x14ac:dyDescent="0.25">
      <c r="A16865" s="318">
        <v>96178680531</v>
      </c>
      <c r="B16865" s="318" t="s">
        <v>237</v>
      </c>
    </row>
    <row r="16866" spans="1:2" ht="12.75" customHeight="1" x14ac:dyDescent="0.25">
      <c r="A16866" s="318">
        <v>96178680532</v>
      </c>
      <c r="B16866" s="318" t="s">
        <v>236</v>
      </c>
    </row>
    <row r="16867" spans="1:2" ht="12.75" customHeight="1" x14ac:dyDescent="0.25">
      <c r="A16867" s="318">
        <v>96178680533</v>
      </c>
      <c r="B16867" s="318" t="s">
        <v>237</v>
      </c>
    </row>
    <row r="16868" spans="1:2" ht="12.75" customHeight="1" x14ac:dyDescent="0.25">
      <c r="A16868" s="318">
        <v>96178680534</v>
      </c>
      <c r="B16868" s="318" t="s">
        <v>236</v>
      </c>
    </row>
    <row r="16869" spans="1:2" ht="12.75" customHeight="1" x14ac:dyDescent="0.25">
      <c r="A16869" s="318">
        <v>96178680535</v>
      </c>
      <c r="B16869" s="318" t="s">
        <v>237</v>
      </c>
    </row>
    <row r="16870" spans="1:2" ht="12.75" customHeight="1" x14ac:dyDescent="0.25">
      <c r="A16870" s="318">
        <v>96228576310</v>
      </c>
      <c r="B16870" s="318" t="s">
        <v>23</v>
      </c>
    </row>
    <row r="16871" spans="1:2" ht="12.75" customHeight="1" x14ac:dyDescent="0.25">
      <c r="A16871" s="318">
        <v>96228576311</v>
      </c>
      <c r="B16871" s="318" t="s">
        <v>23</v>
      </c>
    </row>
    <row r="16872" spans="1:2" ht="12.75" customHeight="1" x14ac:dyDescent="0.25">
      <c r="A16872" s="318">
        <v>96228576312</v>
      </c>
      <c r="B16872" s="318" t="s">
        <v>23</v>
      </c>
    </row>
    <row r="16873" spans="1:2" ht="12.75" customHeight="1" x14ac:dyDescent="0.25">
      <c r="A16873" s="318">
        <v>96228576313</v>
      </c>
      <c r="B16873" s="318" t="s">
        <v>23</v>
      </c>
    </row>
    <row r="16874" spans="1:2" ht="12.75" customHeight="1" x14ac:dyDescent="0.25">
      <c r="A16874" s="318">
        <v>96228576314</v>
      </c>
      <c r="B16874" s="318" t="s">
        <v>23</v>
      </c>
    </row>
    <row r="16875" spans="1:2" ht="12.75" customHeight="1" x14ac:dyDescent="0.25">
      <c r="A16875" s="318">
        <v>96228576315</v>
      </c>
      <c r="B16875" s="318" t="s">
        <v>23</v>
      </c>
    </row>
    <row r="16876" spans="1:2" ht="12.75" customHeight="1" x14ac:dyDescent="0.25">
      <c r="A16876" s="318">
        <v>96228576316</v>
      </c>
      <c r="B16876" s="318" t="s">
        <v>237</v>
      </c>
    </row>
    <row r="16877" spans="1:2" ht="12.75" customHeight="1" x14ac:dyDescent="0.25">
      <c r="A16877" s="318">
        <v>96228576317</v>
      </c>
      <c r="B16877" s="318" t="s">
        <v>237</v>
      </c>
    </row>
    <row r="16878" spans="1:2" ht="12.75" customHeight="1" x14ac:dyDescent="0.25">
      <c r="A16878" s="318">
        <v>96228576319</v>
      </c>
      <c r="B16878" s="318" t="s">
        <v>237</v>
      </c>
    </row>
    <row r="16879" spans="1:2" ht="12.75" customHeight="1" x14ac:dyDescent="0.25">
      <c r="A16879" s="318">
        <v>96228576320</v>
      </c>
      <c r="B16879" s="318" t="s">
        <v>237</v>
      </c>
    </row>
    <row r="16880" spans="1:2" ht="12.75" customHeight="1" x14ac:dyDescent="0.25">
      <c r="A16880" s="318">
        <v>96228576321</v>
      </c>
      <c r="B16880" s="318" t="s">
        <v>237</v>
      </c>
    </row>
    <row r="16881" spans="1:2" ht="12.75" customHeight="1" x14ac:dyDescent="0.25">
      <c r="A16881" s="318">
        <v>96228576322</v>
      </c>
      <c r="B16881" s="318" t="s">
        <v>237</v>
      </c>
    </row>
    <row r="16882" spans="1:2" ht="12.75" customHeight="1" x14ac:dyDescent="0.25">
      <c r="A16882" s="318">
        <v>96228576323</v>
      </c>
      <c r="B16882" s="318" t="s">
        <v>237</v>
      </c>
    </row>
    <row r="16883" spans="1:2" ht="12.75" customHeight="1" x14ac:dyDescent="0.25">
      <c r="A16883" s="318">
        <v>96228576324</v>
      </c>
      <c r="B16883" s="318" t="s">
        <v>237</v>
      </c>
    </row>
    <row r="16884" spans="1:2" ht="12.75" customHeight="1" x14ac:dyDescent="0.25">
      <c r="A16884" s="318">
        <v>96228576325</v>
      </c>
      <c r="B16884" s="318" t="s">
        <v>237</v>
      </c>
    </row>
    <row r="16885" spans="1:2" ht="12.75" customHeight="1" x14ac:dyDescent="0.25">
      <c r="A16885" s="318">
        <v>96228576326</v>
      </c>
      <c r="B16885" s="318" t="s">
        <v>237</v>
      </c>
    </row>
    <row r="16886" spans="1:2" ht="12.75" customHeight="1" x14ac:dyDescent="0.25">
      <c r="A16886" s="318">
        <v>96228576410</v>
      </c>
      <c r="B16886" s="318" t="s">
        <v>23</v>
      </c>
    </row>
    <row r="16887" spans="1:2" ht="12.75" customHeight="1" x14ac:dyDescent="0.25">
      <c r="A16887" s="318">
        <v>96228576411</v>
      </c>
      <c r="B16887" s="318" t="s">
        <v>23</v>
      </c>
    </row>
    <row r="16888" spans="1:2" ht="12.75" customHeight="1" x14ac:dyDescent="0.25">
      <c r="A16888" s="318">
        <v>96228576412</v>
      </c>
      <c r="B16888" s="318" t="s">
        <v>23</v>
      </c>
    </row>
    <row r="16889" spans="1:2" ht="12.75" customHeight="1" x14ac:dyDescent="0.25">
      <c r="A16889" s="318">
        <v>96228576413</v>
      </c>
      <c r="B16889" s="318" t="s">
        <v>23</v>
      </c>
    </row>
    <row r="16890" spans="1:2" ht="12.75" customHeight="1" x14ac:dyDescent="0.25">
      <c r="A16890" s="318">
        <v>96228576414</v>
      </c>
      <c r="B16890" s="318" t="s">
        <v>23</v>
      </c>
    </row>
    <row r="16891" spans="1:2" ht="12.75" customHeight="1" x14ac:dyDescent="0.25">
      <c r="A16891" s="318">
        <v>96228576415</v>
      </c>
      <c r="B16891" s="318" t="s">
        <v>23</v>
      </c>
    </row>
    <row r="16892" spans="1:2" ht="12.75" customHeight="1" x14ac:dyDescent="0.25">
      <c r="A16892" s="318">
        <v>96228576416</v>
      </c>
      <c r="B16892" s="318" t="s">
        <v>237</v>
      </c>
    </row>
    <row r="16893" spans="1:2" ht="12.75" customHeight="1" x14ac:dyDescent="0.25">
      <c r="A16893" s="318">
        <v>96228576417</v>
      </c>
      <c r="B16893" s="318" t="s">
        <v>237</v>
      </c>
    </row>
    <row r="16894" spans="1:2" ht="12.75" customHeight="1" x14ac:dyDescent="0.25">
      <c r="A16894" s="318">
        <v>96228576419</v>
      </c>
      <c r="B16894" s="318" t="s">
        <v>237</v>
      </c>
    </row>
    <row r="16895" spans="1:2" ht="12.75" customHeight="1" x14ac:dyDescent="0.25">
      <c r="A16895" s="318">
        <v>96228576420</v>
      </c>
      <c r="B16895" s="318" t="s">
        <v>237</v>
      </c>
    </row>
    <row r="16896" spans="1:2" ht="12.75" customHeight="1" x14ac:dyDescent="0.25">
      <c r="A16896" s="318">
        <v>96228576421</v>
      </c>
      <c r="B16896" s="318" t="s">
        <v>237</v>
      </c>
    </row>
    <row r="16897" spans="1:2" ht="12.75" customHeight="1" x14ac:dyDescent="0.25">
      <c r="A16897" s="318">
        <v>96228576422</v>
      </c>
      <c r="B16897" s="318" t="s">
        <v>237</v>
      </c>
    </row>
    <row r="16898" spans="1:2" ht="12.75" customHeight="1" x14ac:dyDescent="0.25">
      <c r="A16898" s="318">
        <v>96228576423</v>
      </c>
      <c r="B16898" s="318" t="s">
        <v>237</v>
      </c>
    </row>
    <row r="16899" spans="1:2" ht="12.75" customHeight="1" x14ac:dyDescent="0.25">
      <c r="A16899" s="318">
        <v>96228576424</v>
      </c>
      <c r="B16899" s="318" t="s">
        <v>237</v>
      </c>
    </row>
    <row r="16900" spans="1:2" ht="12.75" customHeight="1" x14ac:dyDescent="0.25">
      <c r="A16900" s="318">
        <v>96228576425</v>
      </c>
      <c r="B16900" s="318" t="s">
        <v>237</v>
      </c>
    </row>
    <row r="16901" spans="1:2" ht="12.75" customHeight="1" x14ac:dyDescent="0.25">
      <c r="A16901" s="318">
        <v>96228576426</v>
      </c>
      <c r="B16901" s="318" t="s">
        <v>237</v>
      </c>
    </row>
    <row r="16902" spans="1:2" ht="12.75" customHeight="1" x14ac:dyDescent="0.25">
      <c r="A16902" s="318">
        <v>96229057283</v>
      </c>
      <c r="B16902" s="318" t="s">
        <v>23</v>
      </c>
    </row>
    <row r="16903" spans="1:2" ht="12.75" customHeight="1" x14ac:dyDescent="0.25">
      <c r="A16903" s="318">
        <v>96229057284</v>
      </c>
      <c r="B16903" s="318" t="s">
        <v>23</v>
      </c>
    </row>
    <row r="16904" spans="1:2" ht="12.75" customHeight="1" x14ac:dyDescent="0.25">
      <c r="A16904" s="318">
        <v>96229057285</v>
      </c>
      <c r="B16904" s="318" t="s">
        <v>23</v>
      </c>
    </row>
    <row r="16905" spans="1:2" ht="12.75" customHeight="1" x14ac:dyDescent="0.25">
      <c r="A16905" s="318">
        <v>96229057286</v>
      </c>
      <c r="B16905" s="318" t="s">
        <v>23</v>
      </c>
    </row>
    <row r="16906" spans="1:2" ht="12.75" customHeight="1" x14ac:dyDescent="0.25">
      <c r="A16906" s="318">
        <v>96229057287</v>
      </c>
      <c r="B16906" s="318" t="s">
        <v>23</v>
      </c>
    </row>
    <row r="16907" spans="1:2" ht="12.75" customHeight="1" x14ac:dyDescent="0.25">
      <c r="A16907" s="318">
        <v>96229057288</v>
      </c>
      <c r="B16907" s="318" t="s">
        <v>23</v>
      </c>
    </row>
    <row r="16908" spans="1:2" ht="12.75" customHeight="1" x14ac:dyDescent="0.25">
      <c r="A16908" s="318">
        <v>96229057289</v>
      </c>
      <c r="B16908" s="318" t="s">
        <v>237</v>
      </c>
    </row>
    <row r="16909" spans="1:2" ht="12.75" customHeight="1" x14ac:dyDescent="0.25">
      <c r="A16909" s="318">
        <v>96229057290</v>
      </c>
      <c r="B16909" s="318" t="s">
        <v>237</v>
      </c>
    </row>
    <row r="16910" spans="1:2" ht="12.75" customHeight="1" x14ac:dyDescent="0.25">
      <c r="A16910" s="318">
        <v>96229057292</v>
      </c>
      <c r="B16910" s="318" t="s">
        <v>237</v>
      </c>
    </row>
    <row r="16911" spans="1:2" ht="12.75" customHeight="1" x14ac:dyDescent="0.25">
      <c r="A16911" s="318">
        <v>96229057293</v>
      </c>
      <c r="B16911" s="318" t="s">
        <v>237</v>
      </c>
    </row>
    <row r="16912" spans="1:2" ht="12.75" customHeight="1" x14ac:dyDescent="0.25">
      <c r="A16912" s="318">
        <v>96229057294</v>
      </c>
      <c r="B16912" s="318" t="s">
        <v>237</v>
      </c>
    </row>
    <row r="16913" spans="1:2" ht="12.75" customHeight="1" x14ac:dyDescent="0.25">
      <c r="A16913" s="318">
        <v>96229057295</v>
      </c>
      <c r="B16913" s="318" t="s">
        <v>237</v>
      </c>
    </row>
    <row r="16914" spans="1:2" ht="12.75" customHeight="1" x14ac:dyDescent="0.25">
      <c r="A16914" s="318">
        <v>96229057296</v>
      </c>
      <c r="B16914" s="318" t="s">
        <v>237</v>
      </c>
    </row>
    <row r="16915" spans="1:2" ht="12.75" customHeight="1" x14ac:dyDescent="0.25">
      <c r="A16915" s="318">
        <v>96229057297</v>
      </c>
      <c r="B16915" s="318" t="s">
        <v>237</v>
      </c>
    </row>
    <row r="16916" spans="1:2" ht="12.75" customHeight="1" x14ac:dyDescent="0.25">
      <c r="A16916" s="318">
        <v>96229057298</v>
      </c>
      <c r="B16916" s="318" t="s">
        <v>237</v>
      </c>
    </row>
    <row r="16917" spans="1:2" ht="12.75" customHeight="1" x14ac:dyDescent="0.25">
      <c r="A16917" s="318">
        <v>96229057299</v>
      </c>
      <c r="B16917" s="318" t="s">
        <v>237</v>
      </c>
    </row>
    <row r="16918" spans="1:2" ht="12.75" customHeight="1" x14ac:dyDescent="0.25">
      <c r="A16918" s="318">
        <v>96229057383</v>
      </c>
      <c r="B16918" s="318" t="s">
        <v>23</v>
      </c>
    </row>
    <row r="16919" spans="1:2" ht="12.75" customHeight="1" x14ac:dyDescent="0.25">
      <c r="A16919" s="318">
        <v>96229057384</v>
      </c>
      <c r="B16919" s="318" t="s">
        <v>23</v>
      </c>
    </row>
    <row r="16920" spans="1:2" ht="12.75" customHeight="1" x14ac:dyDescent="0.25">
      <c r="A16920" s="318">
        <v>96229057385</v>
      </c>
      <c r="B16920" s="318" t="s">
        <v>23</v>
      </c>
    </row>
    <row r="16921" spans="1:2" ht="12.75" customHeight="1" x14ac:dyDescent="0.25">
      <c r="A16921" s="318">
        <v>96229057386</v>
      </c>
      <c r="B16921" s="318" t="s">
        <v>23</v>
      </c>
    </row>
    <row r="16922" spans="1:2" ht="12.75" customHeight="1" x14ac:dyDescent="0.25">
      <c r="A16922" s="318">
        <v>96229057387</v>
      </c>
      <c r="B16922" s="318" t="s">
        <v>23</v>
      </c>
    </row>
    <row r="16923" spans="1:2" ht="12.75" customHeight="1" x14ac:dyDescent="0.25">
      <c r="A16923" s="318">
        <v>96229057388</v>
      </c>
      <c r="B16923" s="318" t="s">
        <v>23</v>
      </c>
    </row>
    <row r="16924" spans="1:2" ht="12.75" customHeight="1" x14ac:dyDescent="0.25">
      <c r="A16924" s="318">
        <v>96229057389</v>
      </c>
      <c r="B16924" s="318" t="s">
        <v>237</v>
      </c>
    </row>
    <row r="16925" spans="1:2" ht="12.75" customHeight="1" x14ac:dyDescent="0.25">
      <c r="A16925" s="318">
        <v>96229057390</v>
      </c>
      <c r="B16925" s="318" t="s">
        <v>237</v>
      </c>
    </row>
    <row r="16926" spans="1:2" ht="12.75" customHeight="1" x14ac:dyDescent="0.25">
      <c r="A16926" s="318">
        <v>96229057392</v>
      </c>
      <c r="B16926" s="318" t="s">
        <v>237</v>
      </c>
    </row>
    <row r="16927" spans="1:2" ht="12.75" customHeight="1" x14ac:dyDescent="0.25">
      <c r="A16927" s="318">
        <v>96229057393</v>
      </c>
      <c r="B16927" s="318" t="s">
        <v>237</v>
      </c>
    </row>
    <row r="16928" spans="1:2" ht="12.75" customHeight="1" x14ac:dyDescent="0.25">
      <c r="A16928" s="318">
        <v>96229057394</v>
      </c>
      <c r="B16928" s="318" t="s">
        <v>237</v>
      </c>
    </row>
    <row r="16929" spans="1:2" ht="12.75" customHeight="1" x14ac:dyDescent="0.25">
      <c r="A16929" s="318">
        <v>96229057395</v>
      </c>
      <c r="B16929" s="318" t="s">
        <v>237</v>
      </c>
    </row>
    <row r="16930" spans="1:2" ht="12.75" customHeight="1" x14ac:dyDescent="0.25">
      <c r="A16930" s="318">
        <v>96229057396</v>
      </c>
      <c r="B16930" s="318" t="s">
        <v>237</v>
      </c>
    </row>
    <row r="16931" spans="1:2" ht="12.75" customHeight="1" x14ac:dyDescent="0.25">
      <c r="A16931" s="318">
        <v>96229057397</v>
      </c>
      <c r="B16931" s="318" t="s">
        <v>237</v>
      </c>
    </row>
    <row r="16932" spans="1:2" ht="12.75" customHeight="1" x14ac:dyDescent="0.25">
      <c r="A16932" s="318">
        <v>96229057398</v>
      </c>
      <c r="B16932" s="318" t="s">
        <v>237</v>
      </c>
    </row>
    <row r="16933" spans="1:2" ht="12.75" customHeight="1" x14ac:dyDescent="0.25">
      <c r="A16933" s="318">
        <v>96229057399</v>
      </c>
      <c r="B16933" s="318" t="s">
        <v>237</v>
      </c>
    </row>
    <row r="16934" spans="1:2" ht="12.75" customHeight="1" x14ac:dyDescent="0.25">
      <c r="A16934" s="318">
        <v>96229538256</v>
      </c>
      <c r="B16934" s="318" t="s">
        <v>23</v>
      </c>
    </row>
    <row r="16935" spans="1:2" ht="12.75" customHeight="1" x14ac:dyDescent="0.25">
      <c r="A16935" s="318">
        <v>96229538257</v>
      </c>
      <c r="B16935" s="318" t="s">
        <v>23</v>
      </c>
    </row>
    <row r="16936" spans="1:2" ht="12.75" customHeight="1" x14ac:dyDescent="0.25">
      <c r="A16936" s="318">
        <v>96229538258</v>
      </c>
      <c r="B16936" s="318" t="s">
        <v>23</v>
      </c>
    </row>
    <row r="16937" spans="1:2" ht="12.75" customHeight="1" x14ac:dyDescent="0.25">
      <c r="A16937" s="318">
        <v>96229538259</v>
      </c>
      <c r="B16937" s="318" t="s">
        <v>23</v>
      </c>
    </row>
    <row r="16938" spans="1:2" ht="12.75" customHeight="1" x14ac:dyDescent="0.25">
      <c r="A16938" s="318">
        <v>96229538260</v>
      </c>
      <c r="B16938" s="318" t="s">
        <v>23</v>
      </c>
    </row>
    <row r="16939" spans="1:2" ht="12.75" customHeight="1" x14ac:dyDescent="0.25">
      <c r="A16939" s="318">
        <v>96229538261</v>
      </c>
      <c r="B16939" s="318" t="s">
        <v>23</v>
      </c>
    </row>
    <row r="16940" spans="1:2" ht="12.75" customHeight="1" x14ac:dyDescent="0.25">
      <c r="A16940" s="318">
        <v>96229538262</v>
      </c>
      <c r="B16940" s="318" t="s">
        <v>237</v>
      </c>
    </row>
    <row r="16941" spans="1:2" ht="12.75" customHeight="1" x14ac:dyDescent="0.25">
      <c r="A16941" s="318">
        <v>96229538263</v>
      </c>
      <c r="B16941" s="318" t="s">
        <v>237</v>
      </c>
    </row>
    <row r="16942" spans="1:2" ht="12.75" customHeight="1" x14ac:dyDescent="0.25">
      <c r="A16942" s="318">
        <v>96229538265</v>
      </c>
      <c r="B16942" s="318" t="s">
        <v>237</v>
      </c>
    </row>
    <row r="16943" spans="1:2" ht="12.75" customHeight="1" x14ac:dyDescent="0.25">
      <c r="A16943" s="318">
        <v>96229538266</v>
      </c>
      <c r="B16943" s="318" t="s">
        <v>237</v>
      </c>
    </row>
    <row r="16944" spans="1:2" ht="12.75" customHeight="1" x14ac:dyDescent="0.25">
      <c r="A16944" s="318">
        <v>96229538267</v>
      </c>
      <c r="B16944" s="318" t="s">
        <v>237</v>
      </c>
    </row>
    <row r="16945" spans="1:2" ht="12.75" customHeight="1" x14ac:dyDescent="0.25">
      <c r="A16945" s="318">
        <v>96229538268</v>
      </c>
      <c r="B16945" s="318" t="s">
        <v>237</v>
      </c>
    </row>
    <row r="16946" spans="1:2" ht="12.75" customHeight="1" x14ac:dyDescent="0.25">
      <c r="A16946" s="318">
        <v>96229538269</v>
      </c>
      <c r="B16946" s="318" t="s">
        <v>237</v>
      </c>
    </row>
    <row r="16947" spans="1:2" ht="12.75" customHeight="1" x14ac:dyDescent="0.25">
      <c r="A16947" s="318">
        <v>96229538270</v>
      </c>
      <c r="B16947" s="318" t="s">
        <v>237</v>
      </c>
    </row>
    <row r="16948" spans="1:2" ht="12.75" customHeight="1" x14ac:dyDescent="0.25">
      <c r="A16948" s="318">
        <v>96229538271</v>
      </c>
      <c r="B16948" s="318" t="s">
        <v>237</v>
      </c>
    </row>
    <row r="16949" spans="1:2" ht="12.75" customHeight="1" x14ac:dyDescent="0.25">
      <c r="A16949" s="318">
        <v>96229538272</v>
      </c>
      <c r="B16949" s="318" t="s">
        <v>237</v>
      </c>
    </row>
    <row r="16950" spans="1:2" ht="12.75" customHeight="1" x14ac:dyDescent="0.25">
      <c r="A16950" s="318">
        <v>96229538356</v>
      </c>
      <c r="B16950" s="318" t="s">
        <v>23</v>
      </c>
    </row>
    <row r="16951" spans="1:2" ht="12.75" customHeight="1" x14ac:dyDescent="0.25">
      <c r="A16951" s="318">
        <v>96229538357</v>
      </c>
      <c r="B16951" s="318" t="s">
        <v>23</v>
      </c>
    </row>
    <row r="16952" spans="1:2" ht="12.75" customHeight="1" x14ac:dyDescent="0.25">
      <c r="A16952" s="318">
        <v>96229538358</v>
      </c>
      <c r="B16952" s="318" t="s">
        <v>23</v>
      </c>
    </row>
    <row r="16953" spans="1:2" ht="12.75" customHeight="1" x14ac:dyDescent="0.25">
      <c r="A16953" s="318">
        <v>96229538359</v>
      </c>
      <c r="B16953" s="318" t="s">
        <v>23</v>
      </c>
    </row>
    <row r="16954" spans="1:2" ht="12.75" customHeight="1" x14ac:dyDescent="0.25">
      <c r="A16954" s="318">
        <v>96229538360</v>
      </c>
      <c r="B16954" s="318" t="s">
        <v>23</v>
      </c>
    </row>
    <row r="16955" spans="1:2" ht="12.75" customHeight="1" x14ac:dyDescent="0.25">
      <c r="A16955" s="318">
        <v>96229538361</v>
      </c>
      <c r="B16955" s="318" t="s">
        <v>23</v>
      </c>
    </row>
    <row r="16956" spans="1:2" ht="12.75" customHeight="1" x14ac:dyDescent="0.25">
      <c r="A16956" s="318">
        <v>96229538362</v>
      </c>
      <c r="B16956" s="318" t="s">
        <v>237</v>
      </c>
    </row>
    <row r="16957" spans="1:2" ht="12.75" customHeight="1" x14ac:dyDescent="0.25">
      <c r="A16957" s="318">
        <v>96229538363</v>
      </c>
      <c r="B16957" s="318" t="s">
        <v>237</v>
      </c>
    </row>
    <row r="16958" spans="1:2" ht="12.75" customHeight="1" x14ac:dyDescent="0.25">
      <c r="A16958" s="318">
        <v>96229538365</v>
      </c>
      <c r="B16958" s="318" t="s">
        <v>237</v>
      </c>
    </row>
    <row r="16959" spans="1:2" ht="12.75" customHeight="1" x14ac:dyDescent="0.25">
      <c r="A16959" s="318">
        <v>96229538366</v>
      </c>
      <c r="B16959" s="318" t="s">
        <v>237</v>
      </c>
    </row>
    <row r="16960" spans="1:2" ht="12.75" customHeight="1" x14ac:dyDescent="0.25">
      <c r="A16960" s="318">
        <v>96229538367</v>
      </c>
      <c r="B16960" s="318" t="s">
        <v>237</v>
      </c>
    </row>
    <row r="16961" spans="1:2" ht="12.75" customHeight="1" x14ac:dyDescent="0.25">
      <c r="A16961" s="318">
        <v>96229538368</v>
      </c>
      <c r="B16961" s="318" t="s">
        <v>237</v>
      </c>
    </row>
    <row r="16962" spans="1:2" ht="12.75" customHeight="1" x14ac:dyDescent="0.25">
      <c r="A16962" s="318">
        <v>96229538369</v>
      </c>
      <c r="B16962" s="318" t="s">
        <v>237</v>
      </c>
    </row>
    <row r="16963" spans="1:2" ht="12.75" customHeight="1" x14ac:dyDescent="0.25">
      <c r="A16963" s="318">
        <v>96229538370</v>
      </c>
      <c r="B16963" s="318" t="s">
        <v>237</v>
      </c>
    </row>
    <row r="16964" spans="1:2" ht="12.75" customHeight="1" x14ac:dyDescent="0.25">
      <c r="A16964" s="318">
        <v>96229538371</v>
      </c>
      <c r="B16964" s="318" t="s">
        <v>237</v>
      </c>
    </row>
    <row r="16965" spans="1:2" ht="12.75" customHeight="1" x14ac:dyDescent="0.25">
      <c r="A16965" s="318">
        <v>96229538372</v>
      </c>
      <c r="B16965" s="318" t="s">
        <v>237</v>
      </c>
    </row>
    <row r="16966" spans="1:2" ht="12.75" customHeight="1" x14ac:dyDescent="0.25">
      <c r="A16966" s="318">
        <v>96230218447</v>
      </c>
      <c r="B16966" s="318" t="s">
        <v>23</v>
      </c>
    </row>
    <row r="16967" spans="1:2" ht="12.75" customHeight="1" x14ac:dyDescent="0.25">
      <c r="A16967" s="318">
        <v>96230218448</v>
      </c>
      <c r="B16967" s="318" t="s">
        <v>23</v>
      </c>
    </row>
    <row r="16968" spans="1:2" ht="12.75" customHeight="1" x14ac:dyDescent="0.25">
      <c r="A16968" s="318">
        <v>96230218449</v>
      </c>
      <c r="B16968" s="318" t="s">
        <v>23</v>
      </c>
    </row>
    <row r="16969" spans="1:2" ht="12.75" customHeight="1" x14ac:dyDescent="0.25">
      <c r="A16969" s="318">
        <v>96230218450</v>
      </c>
      <c r="B16969" s="318" t="s">
        <v>23</v>
      </c>
    </row>
    <row r="16970" spans="1:2" ht="12.75" customHeight="1" x14ac:dyDescent="0.25">
      <c r="A16970" s="318">
        <v>96230218451</v>
      </c>
      <c r="B16970" s="318" t="s">
        <v>23</v>
      </c>
    </row>
    <row r="16971" spans="1:2" ht="12.75" customHeight="1" x14ac:dyDescent="0.25">
      <c r="A16971" s="318">
        <v>96230218452</v>
      </c>
      <c r="B16971" s="318" t="s">
        <v>23</v>
      </c>
    </row>
    <row r="16972" spans="1:2" ht="12.75" customHeight="1" x14ac:dyDescent="0.25">
      <c r="A16972" s="318">
        <v>96230218453</v>
      </c>
      <c r="B16972" s="318" t="s">
        <v>237</v>
      </c>
    </row>
    <row r="16973" spans="1:2" ht="12.75" customHeight="1" x14ac:dyDescent="0.25">
      <c r="A16973" s="318">
        <v>96230218454</v>
      </c>
      <c r="B16973" s="318" t="s">
        <v>237</v>
      </c>
    </row>
    <row r="16974" spans="1:2" ht="12.75" customHeight="1" x14ac:dyDescent="0.25">
      <c r="A16974" s="318">
        <v>96230218456</v>
      </c>
      <c r="B16974" s="318" t="s">
        <v>237</v>
      </c>
    </row>
    <row r="16975" spans="1:2" ht="12.75" customHeight="1" x14ac:dyDescent="0.25">
      <c r="A16975" s="318">
        <v>96230218457</v>
      </c>
      <c r="B16975" s="318" t="s">
        <v>237</v>
      </c>
    </row>
    <row r="16976" spans="1:2" ht="12.75" customHeight="1" x14ac:dyDescent="0.25">
      <c r="A16976" s="318">
        <v>96230218458</v>
      </c>
      <c r="B16976" s="318" t="s">
        <v>237</v>
      </c>
    </row>
    <row r="16977" spans="1:2" ht="12.75" customHeight="1" x14ac:dyDescent="0.25">
      <c r="A16977" s="318">
        <v>96230218459</v>
      </c>
      <c r="B16977" s="318" t="s">
        <v>237</v>
      </c>
    </row>
    <row r="16978" spans="1:2" ht="12.75" customHeight="1" x14ac:dyDescent="0.25">
      <c r="A16978" s="318">
        <v>96230218460</v>
      </c>
      <c r="B16978" s="318" t="s">
        <v>237</v>
      </c>
    </row>
    <row r="16979" spans="1:2" ht="12.75" customHeight="1" x14ac:dyDescent="0.25">
      <c r="A16979" s="318">
        <v>96230218461</v>
      </c>
      <c r="B16979" s="318" t="s">
        <v>237</v>
      </c>
    </row>
    <row r="16980" spans="1:2" ht="12.75" customHeight="1" x14ac:dyDescent="0.25">
      <c r="A16980" s="318">
        <v>96230218462</v>
      </c>
      <c r="B16980" s="318" t="s">
        <v>237</v>
      </c>
    </row>
    <row r="16981" spans="1:2" ht="12.75" customHeight="1" x14ac:dyDescent="0.25">
      <c r="A16981" s="318">
        <v>96230218463</v>
      </c>
      <c r="B16981" s="318" t="s">
        <v>237</v>
      </c>
    </row>
    <row r="16982" spans="1:2" ht="12.75" customHeight="1" x14ac:dyDescent="0.25">
      <c r="A16982" s="318">
        <v>96230218547</v>
      </c>
      <c r="B16982" s="318" t="s">
        <v>23</v>
      </c>
    </row>
    <row r="16983" spans="1:2" ht="12.75" customHeight="1" x14ac:dyDescent="0.25">
      <c r="A16983" s="318">
        <v>96230218548</v>
      </c>
      <c r="B16983" s="318" t="s">
        <v>23</v>
      </c>
    </row>
    <row r="16984" spans="1:2" ht="12.75" customHeight="1" x14ac:dyDescent="0.25">
      <c r="A16984" s="318">
        <v>96230218549</v>
      </c>
      <c r="B16984" s="318" t="s">
        <v>23</v>
      </c>
    </row>
    <row r="16985" spans="1:2" ht="12.75" customHeight="1" x14ac:dyDescent="0.25">
      <c r="A16985" s="318">
        <v>96230218550</v>
      </c>
      <c r="B16985" s="318" t="s">
        <v>23</v>
      </c>
    </row>
    <row r="16986" spans="1:2" ht="12.75" customHeight="1" x14ac:dyDescent="0.25">
      <c r="A16986" s="318">
        <v>96230218551</v>
      </c>
      <c r="B16986" s="318" t="s">
        <v>23</v>
      </c>
    </row>
    <row r="16987" spans="1:2" ht="12.75" customHeight="1" x14ac:dyDescent="0.25">
      <c r="A16987" s="318">
        <v>96230218552</v>
      </c>
      <c r="B16987" s="318" t="s">
        <v>23</v>
      </c>
    </row>
    <row r="16988" spans="1:2" ht="12.75" customHeight="1" x14ac:dyDescent="0.25">
      <c r="A16988" s="318">
        <v>96230218553</v>
      </c>
      <c r="B16988" s="318" t="s">
        <v>237</v>
      </c>
    </row>
    <row r="16989" spans="1:2" ht="12.75" customHeight="1" x14ac:dyDescent="0.25">
      <c r="A16989" s="318">
        <v>96230218554</v>
      </c>
      <c r="B16989" s="318" t="s">
        <v>237</v>
      </c>
    </row>
    <row r="16990" spans="1:2" ht="12.75" customHeight="1" x14ac:dyDescent="0.25">
      <c r="A16990" s="318">
        <v>96230218556</v>
      </c>
      <c r="B16990" s="318" t="s">
        <v>237</v>
      </c>
    </row>
    <row r="16991" spans="1:2" ht="12.75" customHeight="1" x14ac:dyDescent="0.25">
      <c r="A16991" s="318">
        <v>96230218557</v>
      </c>
      <c r="B16991" s="318" t="s">
        <v>237</v>
      </c>
    </row>
    <row r="16992" spans="1:2" ht="12.75" customHeight="1" x14ac:dyDescent="0.25">
      <c r="A16992" s="318">
        <v>96230218558</v>
      </c>
      <c r="B16992" s="318" t="s">
        <v>237</v>
      </c>
    </row>
    <row r="16993" spans="1:2" ht="12.75" customHeight="1" x14ac:dyDescent="0.25">
      <c r="A16993" s="318">
        <v>96230218559</v>
      </c>
      <c r="B16993" s="318" t="s">
        <v>237</v>
      </c>
    </row>
    <row r="16994" spans="1:2" ht="12.75" customHeight="1" x14ac:dyDescent="0.25">
      <c r="A16994" s="318">
        <v>96230218560</v>
      </c>
      <c r="B16994" s="318" t="s">
        <v>237</v>
      </c>
    </row>
    <row r="16995" spans="1:2" ht="12.75" customHeight="1" x14ac:dyDescent="0.25">
      <c r="A16995" s="318">
        <v>96230218561</v>
      </c>
      <c r="B16995" s="318" t="s">
        <v>237</v>
      </c>
    </row>
    <row r="16996" spans="1:2" ht="12.75" customHeight="1" x14ac:dyDescent="0.25">
      <c r="A16996" s="318">
        <v>96230218562</v>
      </c>
      <c r="B16996" s="318" t="s">
        <v>237</v>
      </c>
    </row>
    <row r="16997" spans="1:2" ht="12.75" customHeight="1" x14ac:dyDescent="0.25">
      <c r="A16997" s="318">
        <v>96230218563</v>
      </c>
      <c r="B16997" s="318" t="s">
        <v>237</v>
      </c>
    </row>
    <row r="16998" spans="1:2" ht="12.75" customHeight="1" x14ac:dyDescent="0.25">
      <c r="A16998" s="318">
        <v>96230699420</v>
      </c>
      <c r="B16998" s="318" t="s">
        <v>23</v>
      </c>
    </row>
    <row r="16999" spans="1:2" ht="12.75" customHeight="1" x14ac:dyDescent="0.25">
      <c r="A16999" s="318">
        <v>96230699421</v>
      </c>
      <c r="B16999" s="318" t="s">
        <v>23</v>
      </c>
    </row>
    <row r="17000" spans="1:2" ht="12.75" customHeight="1" x14ac:dyDescent="0.25">
      <c r="A17000" s="318">
        <v>96230699422</v>
      </c>
      <c r="B17000" s="318" t="s">
        <v>23</v>
      </c>
    </row>
    <row r="17001" spans="1:2" ht="12.75" customHeight="1" x14ac:dyDescent="0.25">
      <c r="A17001" s="318">
        <v>96230699423</v>
      </c>
      <c r="B17001" s="318" t="s">
        <v>23</v>
      </c>
    </row>
    <row r="17002" spans="1:2" ht="12.75" customHeight="1" x14ac:dyDescent="0.25">
      <c r="A17002" s="318">
        <v>96230699424</v>
      </c>
      <c r="B17002" s="318" t="s">
        <v>23</v>
      </c>
    </row>
    <row r="17003" spans="1:2" ht="12.75" customHeight="1" x14ac:dyDescent="0.25">
      <c r="A17003" s="318">
        <v>96230699425</v>
      </c>
      <c r="B17003" s="318" t="s">
        <v>23</v>
      </c>
    </row>
    <row r="17004" spans="1:2" ht="12.75" customHeight="1" x14ac:dyDescent="0.25">
      <c r="A17004" s="318">
        <v>96230699426</v>
      </c>
      <c r="B17004" s="318" t="s">
        <v>237</v>
      </c>
    </row>
    <row r="17005" spans="1:2" ht="12.75" customHeight="1" x14ac:dyDescent="0.25">
      <c r="A17005" s="318">
        <v>96230699427</v>
      </c>
      <c r="B17005" s="318" t="s">
        <v>237</v>
      </c>
    </row>
    <row r="17006" spans="1:2" ht="12.75" customHeight="1" x14ac:dyDescent="0.25">
      <c r="A17006" s="318">
        <v>96230699429</v>
      </c>
      <c r="B17006" s="318" t="s">
        <v>237</v>
      </c>
    </row>
    <row r="17007" spans="1:2" ht="12.75" customHeight="1" x14ac:dyDescent="0.25">
      <c r="A17007" s="318">
        <v>96230699430</v>
      </c>
      <c r="B17007" s="318" t="s">
        <v>237</v>
      </c>
    </row>
    <row r="17008" spans="1:2" ht="12.75" customHeight="1" x14ac:dyDescent="0.25">
      <c r="A17008" s="318">
        <v>96230699431</v>
      </c>
      <c r="B17008" s="318" t="s">
        <v>237</v>
      </c>
    </row>
    <row r="17009" spans="1:2" ht="12.75" customHeight="1" x14ac:dyDescent="0.25">
      <c r="A17009" s="318">
        <v>96230699432</v>
      </c>
      <c r="B17009" s="318" t="s">
        <v>237</v>
      </c>
    </row>
    <row r="17010" spans="1:2" ht="12.75" customHeight="1" x14ac:dyDescent="0.25">
      <c r="A17010" s="318">
        <v>96230699433</v>
      </c>
      <c r="B17010" s="318" t="s">
        <v>237</v>
      </c>
    </row>
    <row r="17011" spans="1:2" ht="12.75" customHeight="1" x14ac:dyDescent="0.25">
      <c r="A17011" s="318">
        <v>96230699434</v>
      </c>
      <c r="B17011" s="318" t="s">
        <v>237</v>
      </c>
    </row>
    <row r="17012" spans="1:2" ht="12.75" customHeight="1" x14ac:dyDescent="0.25">
      <c r="A17012" s="318">
        <v>96230699435</v>
      </c>
      <c r="B17012" s="318" t="s">
        <v>237</v>
      </c>
    </row>
    <row r="17013" spans="1:2" ht="12.75" customHeight="1" x14ac:dyDescent="0.25">
      <c r="A17013" s="318">
        <v>96230699436</v>
      </c>
      <c r="B17013" s="318" t="s">
        <v>237</v>
      </c>
    </row>
    <row r="17014" spans="1:2" ht="12.75" customHeight="1" x14ac:dyDescent="0.25">
      <c r="A17014" s="318">
        <v>96230699520</v>
      </c>
      <c r="B17014" s="318" t="s">
        <v>23</v>
      </c>
    </row>
    <row r="17015" spans="1:2" ht="12.75" customHeight="1" x14ac:dyDescent="0.25">
      <c r="A17015" s="318">
        <v>96230699521</v>
      </c>
      <c r="B17015" s="318" t="s">
        <v>23</v>
      </c>
    </row>
    <row r="17016" spans="1:2" ht="12.75" customHeight="1" x14ac:dyDescent="0.25">
      <c r="A17016" s="318">
        <v>96230699522</v>
      </c>
      <c r="B17016" s="318" t="s">
        <v>23</v>
      </c>
    </row>
    <row r="17017" spans="1:2" ht="12.75" customHeight="1" x14ac:dyDescent="0.25">
      <c r="A17017" s="318">
        <v>96230699523</v>
      </c>
      <c r="B17017" s="318" t="s">
        <v>23</v>
      </c>
    </row>
    <row r="17018" spans="1:2" ht="12.75" customHeight="1" x14ac:dyDescent="0.25">
      <c r="A17018" s="318">
        <v>96230699524</v>
      </c>
      <c r="B17018" s="318" t="s">
        <v>23</v>
      </c>
    </row>
    <row r="17019" spans="1:2" ht="12.75" customHeight="1" x14ac:dyDescent="0.25">
      <c r="A17019" s="318">
        <v>96230699525</v>
      </c>
      <c r="B17019" s="318" t="s">
        <v>23</v>
      </c>
    </row>
    <row r="17020" spans="1:2" ht="12.75" customHeight="1" x14ac:dyDescent="0.25">
      <c r="A17020" s="318">
        <v>96230699526</v>
      </c>
      <c r="B17020" s="318" t="s">
        <v>237</v>
      </c>
    </row>
    <row r="17021" spans="1:2" ht="12.75" customHeight="1" x14ac:dyDescent="0.25">
      <c r="A17021" s="318">
        <v>96230699527</v>
      </c>
      <c r="B17021" s="318" t="s">
        <v>237</v>
      </c>
    </row>
    <row r="17022" spans="1:2" ht="12.75" customHeight="1" x14ac:dyDescent="0.25">
      <c r="A17022" s="318">
        <v>96230699529</v>
      </c>
      <c r="B17022" s="318" t="s">
        <v>237</v>
      </c>
    </row>
    <row r="17023" spans="1:2" ht="12.75" customHeight="1" x14ac:dyDescent="0.25">
      <c r="A17023" s="318">
        <v>96230699530</v>
      </c>
      <c r="B17023" s="318" t="s">
        <v>237</v>
      </c>
    </row>
    <row r="17024" spans="1:2" ht="12.75" customHeight="1" x14ac:dyDescent="0.25">
      <c r="A17024" s="318">
        <v>96230699531</v>
      </c>
      <c r="B17024" s="318" t="s">
        <v>237</v>
      </c>
    </row>
    <row r="17025" spans="1:2" ht="12.75" customHeight="1" x14ac:dyDescent="0.25">
      <c r="A17025" s="318">
        <v>96230699532</v>
      </c>
      <c r="B17025" s="318" t="s">
        <v>237</v>
      </c>
    </row>
    <row r="17026" spans="1:2" ht="12.75" customHeight="1" x14ac:dyDescent="0.25">
      <c r="A17026" s="318">
        <v>96230699533</v>
      </c>
      <c r="B17026" s="318" t="s">
        <v>237</v>
      </c>
    </row>
    <row r="17027" spans="1:2" ht="12.75" customHeight="1" x14ac:dyDescent="0.25">
      <c r="A17027" s="318">
        <v>96230699534</v>
      </c>
      <c r="B17027" s="318" t="s">
        <v>237</v>
      </c>
    </row>
    <row r="17028" spans="1:2" ht="12.75" customHeight="1" x14ac:dyDescent="0.25">
      <c r="A17028" s="318">
        <v>96230699535</v>
      </c>
      <c r="B17028" s="318" t="s">
        <v>237</v>
      </c>
    </row>
    <row r="17029" spans="1:2" ht="12.75" customHeight="1" x14ac:dyDescent="0.25">
      <c r="A17029" s="318">
        <v>96230699536</v>
      </c>
      <c r="B17029" s="318" t="s">
        <v>237</v>
      </c>
    </row>
    <row r="17030" spans="1:2" ht="12.75" customHeight="1" x14ac:dyDescent="0.25">
      <c r="A17030" s="318">
        <v>96231180393</v>
      </c>
      <c r="B17030" s="318" t="s">
        <v>23</v>
      </c>
    </row>
    <row r="17031" spans="1:2" ht="12.75" customHeight="1" x14ac:dyDescent="0.25">
      <c r="A17031" s="318">
        <v>96231180394</v>
      </c>
      <c r="B17031" s="318" t="s">
        <v>23</v>
      </c>
    </row>
    <row r="17032" spans="1:2" ht="12.75" customHeight="1" x14ac:dyDescent="0.25">
      <c r="A17032" s="318">
        <v>96231180395</v>
      </c>
      <c r="B17032" s="318" t="s">
        <v>23</v>
      </c>
    </row>
    <row r="17033" spans="1:2" ht="12.75" customHeight="1" x14ac:dyDescent="0.25">
      <c r="A17033" s="318">
        <v>96231180396</v>
      </c>
      <c r="B17033" s="318" t="s">
        <v>23</v>
      </c>
    </row>
    <row r="17034" spans="1:2" ht="12.75" customHeight="1" x14ac:dyDescent="0.25">
      <c r="A17034" s="318">
        <v>96231180397</v>
      </c>
      <c r="B17034" s="318" t="s">
        <v>23</v>
      </c>
    </row>
    <row r="17035" spans="1:2" ht="12.75" customHeight="1" x14ac:dyDescent="0.25">
      <c r="A17035" s="318">
        <v>96231180398</v>
      </c>
      <c r="B17035" s="318" t="s">
        <v>23</v>
      </c>
    </row>
    <row r="17036" spans="1:2" ht="12.75" customHeight="1" x14ac:dyDescent="0.25">
      <c r="A17036" s="318">
        <v>96231180399</v>
      </c>
      <c r="B17036" s="318" t="s">
        <v>237</v>
      </c>
    </row>
    <row r="17037" spans="1:2" ht="12.75" customHeight="1" x14ac:dyDescent="0.25">
      <c r="A17037" s="318">
        <v>96231180400</v>
      </c>
      <c r="B17037" s="318" t="s">
        <v>237</v>
      </c>
    </row>
    <row r="17038" spans="1:2" ht="12.75" customHeight="1" x14ac:dyDescent="0.25">
      <c r="A17038" s="318">
        <v>96231180402</v>
      </c>
      <c r="B17038" s="318" t="s">
        <v>237</v>
      </c>
    </row>
    <row r="17039" spans="1:2" ht="12.75" customHeight="1" x14ac:dyDescent="0.25">
      <c r="A17039" s="318">
        <v>96231180403</v>
      </c>
      <c r="B17039" s="318" t="s">
        <v>237</v>
      </c>
    </row>
    <row r="17040" spans="1:2" ht="12.75" customHeight="1" x14ac:dyDescent="0.25">
      <c r="A17040" s="318">
        <v>96231180404</v>
      </c>
      <c r="B17040" s="318" t="s">
        <v>237</v>
      </c>
    </row>
    <row r="17041" spans="1:2" ht="12.75" customHeight="1" x14ac:dyDescent="0.25">
      <c r="A17041" s="318">
        <v>96231180405</v>
      </c>
      <c r="B17041" s="318" t="s">
        <v>237</v>
      </c>
    </row>
    <row r="17042" spans="1:2" ht="12.75" customHeight="1" x14ac:dyDescent="0.25">
      <c r="A17042" s="318">
        <v>96231180406</v>
      </c>
      <c r="B17042" s="318" t="s">
        <v>237</v>
      </c>
    </row>
    <row r="17043" spans="1:2" ht="12.75" customHeight="1" x14ac:dyDescent="0.25">
      <c r="A17043" s="318">
        <v>96231180407</v>
      </c>
      <c r="B17043" s="318" t="s">
        <v>237</v>
      </c>
    </row>
    <row r="17044" spans="1:2" ht="12.75" customHeight="1" x14ac:dyDescent="0.25">
      <c r="A17044" s="318">
        <v>96231180408</v>
      </c>
      <c r="B17044" s="318" t="s">
        <v>237</v>
      </c>
    </row>
    <row r="17045" spans="1:2" ht="12.75" customHeight="1" x14ac:dyDescent="0.25">
      <c r="A17045" s="318">
        <v>96231180409</v>
      </c>
      <c r="B17045" s="318" t="s">
        <v>237</v>
      </c>
    </row>
    <row r="17046" spans="1:2" ht="12.75" customHeight="1" x14ac:dyDescent="0.25">
      <c r="A17046" s="318">
        <v>96231180493</v>
      </c>
      <c r="B17046" s="318" t="s">
        <v>23</v>
      </c>
    </row>
    <row r="17047" spans="1:2" ht="12.75" customHeight="1" x14ac:dyDescent="0.25">
      <c r="A17047" s="318">
        <v>96231180494</v>
      </c>
      <c r="B17047" s="318" t="s">
        <v>23</v>
      </c>
    </row>
    <row r="17048" spans="1:2" ht="12.75" customHeight="1" x14ac:dyDescent="0.25">
      <c r="A17048" s="318">
        <v>96231180495</v>
      </c>
      <c r="B17048" s="318" t="s">
        <v>23</v>
      </c>
    </row>
    <row r="17049" spans="1:2" ht="12.75" customHeight="1" x14ac:dyDescent="0.25">
      <c r="A17049" s="318">
        <v>96231180496</v>
      </c>
      <c r="B17049" s="318" t="s">
        <v>23</v>
      </c>
    </row>
    <row r="17050" spans="1:2" ht="12.75" customHeight="1" x14ac:dyDescent="0.25">
      <c r="A17050" s="318">
        <v>96231180497</v>
      </c>
      <c r="B17050" s="318" t="s">
        <v>23</v>
      </c>
    </row>
    <row r="17051" spans="1:2" ht="12.75" customHeight="1" x14ac:dyDescent="0.25">
      <c r="A17051" s="318">
        <v>96231180498</v>
      </c>
      <c r="B17051" s="318" t="s">
        <v>23</v>
      </c>
    </row>
    <row r="17052" spans="1:2" ht="12.75" customHeight="1" x14ac:dyDescent="0.25">
      <c r="A17052" s="318">
        <v>96231180499</v>
      </c>
      <c r="B17052" s="318" t="s">
        <v>237</v>
      </c>
    </row>
    <row r="17053" spans="1:2" ht="12.75" customHeight="1" x14ac:dyDescent="0.25">
      <c r="A17053" s="318">
        <v>96231180500</v>
      </c>
      <c r="B17053" s="318" t="s">
        <v>237</v>
      </c>
    </row>
    <row r="17054" spans="1:2" ht="12.75" customHeight="1" x14ac:dyDescent="0.25">
      <c r="A17054" s="318">
        <v>96231180502</v>
      </c>
      <c r="B17054" s="318" t="s">
        <v>237</v>
      </c>
    </row>
    <row r="17055" spans="1:2" ht="12.75" customHeight="1" x14ac:dyDescent="0.25">
      <c r="A17055" s="318">
        <v>96231180503</v>
      </c>
      <c r="B17055" s="318" t="s">
        <v>237</v>
      </c>
    </row>
    <row r="17056" spans="1:2" ht="12.75" customHeight="1" x14ac:dyDescent="0.25">
      <c r="A17056" s="318">
        <v>96231180504</v>
      </c>
      <c r="B17056" s="318" t="s">
        <v>237</v>
      </c>
    </row>
    <row r="17057" spans="1:2" ht="12.75" customHeight="1" x14ac:dyDescent="0.25">
      <c r="A17057" s="318">
        <v>96231180505</v>
      </c>
      <c r="B17057" s="318" t="s">
        <v>237</v>
      </c>
    </row>
    <row r="17058" spans="1:2" ht="12.75" customHeight="1" x14ac:dyDescent="0.25">
      <c r="A17058" s="318">
        <v>96231180506</v>
      </c>
      <c r="B17058" s="318" t="s">
        <v>237</v>
      </c>
    </row>
    <row r="17059" spans="1:2" ht="12.75" customHeight="1" x14ac:dyDescent="0.25">
      <c r="A17059" s="318">
        <v>96231180507</v>
      </c>
      <c r="B17059" s="318" t="s">
        <v>237</v>
      </c>
    </row>
    <row r="17060" spans="1:2" ht="12.75" customHeight="1" x14ac:dyDescent="0.25">
      <c r="A17060" s="318">
        <v>96231180508</v>
      </c>
      <c r="B17060" s="318" t="s">
        <v>237</v>
      </c>
    </row>
    <row r="17061" spans="1:2" ht="12.75" customHeight="1" x14ac:dyDescent="0.25">
      <c r="A17061" s="318">
        <v>96231180509</v>
      </c>
      <c r="B17061" s="318" t="s">
        <v>237</v>
      </c>
    </row>
    <row r="17062" spans="1:2" ht="12.75" customHeight="1" x14ac:dyDescent="0.25">
      <c r="A17062" s="318">
        <v>96231860584</v>
      </c>
      <c r="B17062" s="318" t="s">
        <v>23</v>
      </c>
    </row>
    <row r="17063" spans="1:2" ht="12.75" customHeight="1" x14ac:dyDescent="0.25">
      <c r="A17063" s="318">
        <v>96231860585</v>
      </c>
      <c r="B17063" s="318" t="s">
        <v>23</v>
      </c>
    </row>
    <row r="17064" spans="1:2" ht="12.75" customHeight="1" x14ac:dyDescent="0.25">
      <c r="A17064" s="318">
        <v>96231860586</v>
      </c>
      <c r="B17064" s="318" t="s">
        <v>23</v>
      </c>
    </row>
    <row r="17065" spans="1:2" ht="12.75" customHeight="1" x14ac:dyDescent="0.25">
      <c r="A17065" s="318">
        <v>96231860587</v>
      </c>
      <c r="B17065" s="318" t="s">
        <v>23</v>
      </c>
    </row>
    <row r="17066" spans="1:2" ht="12.75" customHeight="1" x14ac:dyDescent="0.25">
      <c r="A17066" s="318">
        <v>96231860588</v>
      </c>
      <c r="B17066" s="318" t="s">
        <v>23</v>
      </c>
    </row>
    <row r="17067" spans="1:2" ht="12.75" customHeight="1" x14ac:dyDescent="0.25">
      <c r="A17067" s="318">
        <v>96231860589</v>
      </c>
      <c r="B17067" s="318" t="s">
        <v>23</v>
      </c>
    </row>
    <row r="17068" spans="1:2" ht="12.75" customHeight="1" x14ac:dyDescent="0.25">
      <c r="A17068" s="318">
        <v>96231860590</v>
      </c>
      <c r="B17068" s="318" t="s">
        <v>237</v>
      </c>
    </row>
    <row r="17069" spans="1:2" ht="12.75" customHeight="1" x14ac:dyDescent="0.25">
      <c r="A17069" s="318">
        <v>96231860591</v>
      </c>
      <c r="B17069" s="318" t="s">
        <v>237</v>
      </c>
    </row>
    <row r="17070" spans="1:2" ht="12.75" customHeight="1" x14ac:dyDescent="0.25">
      <c r="A17070" s="318">
        <v>96231860593</v>
      </c>
      <c r="B17070" s="318" t="s">
        <v>237</v>
      </c>
    </row>
    <row r="17071" spans="1:2" ht="12.75" customHeight="1" x14ac:dyDescent="0.25">
      <c r="A17071" s="318">
        <v>96231860594</v>
      </c>
      <c r="B17071" s="318" t="s">
        <v>237</v>
      </c>
    </row>
    <row r="17072" spans="1:2" ht="12.75" customHeight="1" x14ac:dyDescent="0.25">
      <c r="A17072" s="318">
        <v>96231860595</v>
      </c>
      <c r="B17072" s="318" t="s">
        <v>237</v>
      </c>
    </row>
    <row r="17073" spans="1:2" ht="12.75" customHeight="1" x14ac:dyDescent="0.25">
      <c r="A17073" s="318">
        <v>96231860596</v>
      </c>
      <c r="B17073" s="318" t="s">
        <v>237</v>
      </c>
    </row>
    <row r="17074" spans="1:2" ht="12.75" customHeight="1" x14ac:dyDescent="0.25">
      <c r="A17074" s="318">
        <v>96231860597</v>
      </c>
      <c r="B17074" s="318" t="s">
        <v>237</v>
      </c>
    </row>
    <row r="17075" spans="1:2" ht="12.75" customHeight="1" x14ac:dyDescent="0.25">
      <c r="A17075" s="318">
        <v>96231860598</v>
      </c>
      <c r="B17075" s="318" t="s">
        <v>237</v>
      </c>
    </row>
    <row r="17076" spans="1:2" ht="12.75" customHeight="1" x14ac:dyDescent="0.25">
      <c r="A17076" s="318">
        <v>96231860599</v>
      </c>
      <c r="B17076" s="318" t="s">
        <v>237</v>
      </c>
    </row>
    <row r="17077" spans="1:2" ht="12.75" customHeight="1" x14ac:dyDescent="0.25">
      <c r="A17077" s="318">
        <v>96231860600</v>
      </c>
      <c r="B17077" s="318" t="s">
        <v>237</v>
      </c>
    </row>
    <row r="17078" spans="1:2" ht="12.75" customHeight="1" x14ac:dyDescent="0.25">
      <c r="A17078" s="318">
        <v>96231860684</v>
      </c>
      <c r="B17078" s="318" t="s">
        <v>23</v>
      </c>
    </row>
    <row r="17079" spans="1:2" ht="12.75" customHeight="1" x14ac:dyDescent="0.25">
      <c r="A17079" s="318">
        <v>96231860685</v>
      </c>
      <c r="B17079" s="318" t="s">
        <v>23</v>
      </c>
    </row>
    <row r="17080" spans="1:2" ht="12.75" customHeight="1" x14ac:dyDescent="0.25">
      <c r="A17080" s="318">
        <v>96231860686</v>
      </c>
      <c r="B17080" s="318" t="s">
        <v>23</v>
      </c>
    </row>
    <row r="17081" spans="1:2" ht="12.75" customHeight="1" x14ac:dyDescent="0.25">
      <c r="A17081" s="318">
        <v>96231860687</v>
      </c>
      <c r="B17081" s="318" t="s">
        <v>23</v>
      </c>
    </row>
    <row r="17082" spans="1:2" ht="12.75" customHeight="1" x14ac:dyDescent="0.25">
      <c r="A17082" s="318">
        <v>96231860688</v>
      </c>
      <c r="B17082" s="318" t="s">
        <v>23</v>
      </c>
    </row>
    <row r="17083" spans="1:2" ht="12.75" customHeight="1" x14ac:dyDescent="0.25">
      <c r="A17083" s="318">
        <v>96231860689</v>
      </c>
      <c r="B17083" s="318" t="s">
        <v>23</v>
      </c>
    </row>
    <row r="17084" spans="1:2" ht="12.75" customHeight="1" x14ac:dyDescent="0.25">
      <c r="A17084" s="318">
        <v>96231860690</v>
      </c>
      <c r="B17084" s="318" t="s">
        <v>237</v>
      </c>
    </row>
    <row r="17085" spans="1:2" ht="12.75" customHeight="1" x14ac:dyDescent="0.25">
      <c r="A17085" s="318">
        <v>96231860691</v>
      </c>
      <c r="B17085" s="318" t="s">
        <v>237</v>
      </c>
    </row>
    <row r="17086" spans="1:2" ht="12.75" customHeight="1" x14ac:dyDescent="0.25">
      <c r="A17086" s="318">
        <v>96231860693</v>
      </c>
      <c r="B17086" s="318" t="s">
        <v>237</v>
      </c>
    </row>
    <row r="17087" spans="1:2" ht="12.75" customHeight="1" x14ac:dyDescent="0.25">
      <c r="A17087" s="318">
        <v>96231860694</v>
      </c>
      <c r="B17087" s="318" t="s">
        <v>237</v>
      </c>
    </row>
    <row r="17088" spans="1:2" ht="12.75" customHeight="1" x14ac:dyDescent="0.25">
      <c r="A17088" s="318">
        <v>96231860695</v>
      </c>
      <c r="B17088" s="318" t="s">
        <v>237</v>
      </c>
    </row>
    <row r="17089" spans="1:2" ht="12.75" customHeight="1" x14ac:dyDescent="0.25">
      <c r="A17089" s="318">
        <v>96231860696</v>
      </c>
      <c r="B17089" s="318" t="s">
        <v>237</v>
      </c>
    </row>
    <row r="17090" spans="1:2" ht="12.75" customHeight="1" x14ac:dyDescent="0.25">
      <c r="A17090" s="318">
        <v>96231860697</v>
      </c>
      <c r="B17090" s="318" t="s">
        <v>237</v>
      </c>
    </row>
    <row r="17091" spans="1:2" ht="12.75" customHeight="1" x14ac:dyDescent="0.25">
      <c r="A17091" s="318">
        <v>96231860698</v>
      </c>
      <c r="B17091" s="318" t="s">
        <v>237</v>
      </c>
    </row>
    <row r="17092" spans="1:2" ht="12.75" customHeight="1" x14ac:dyDescent="0.25">
      <c r="A17092" s="318">
        <v>96231860699</v>
      </c>
      <c r="B17092" s="318" t="s">
        <v>237</v>
      </c>
    </row>
    <row r="17093" spans="1:2" ht="12.75" customHeight="1" x14ac:dyDescent="0.25">
      <c r="A17093" s="318">
        <v>96231860700</v>
      </c>
      <c r="B17093" s="318" t="s">
        <v>237</v>
      </c>
    </row>
    <row r="17094" spans="1:2" ht="12.75" customHeight="1" x14ac:dyDescent="0.25">
      <c r="A17094" s="318">
        <v>96232341557</v>
      </c>
      <c r="B17094" s="318" t="s">
        <v>23</v>
      </c>
    </row>
    <row r="17095" spans="1:2" ht="12.75" customHeight="1" x14ac:dyDescent="0.25">
      <c r="A17095" s="318">
        <v>96232341558</v>
      </c>
      <c r="B17095" s="318" t="s">
        <v>23</v>
      </c>
    </row>
    <row r="17096" spans="1:2" ht="12.75" customHeight="1" x14ac:dyDescent="0.25">
      <c r="A17096" s="318">
        <v>96232341559</v>
      </c>
      <c r="B17096" s="318" t="s">
        <v>23</v>
      </c>
    </row>
    <row r="17097" spans="1:2" ht="12.75" customHeight="1" x14ac:dyDescent="0.25">
      <c r="A17097" s="318">
        <v>96232341560</v>
      </c>
      <c r="B17097" s="318" t="s">
        <v>23</v>
      </c>
    </row>
    <row r="17098" spans="1:2" ht="12.75" customHeight="1" x14ac:dyDescent="0.25">
      <c r="A17098" s="318">
        <v>96232341561</v>
      </c>
      <c r="B17098" s="318" t="s">
        <v>23</v>
      </c>
    </row>
    <row r="17099" spans="1:2" ht="12.75" customHeight="1" x14ac:dyDescent="0.25">
      <c r="A17099" s="318">
        <v>96232341562</v>
      </c>
      <c r="B17099" s="318" t="s">
        <v>23</v>
      </c>
    </row>
    <row r="17100" spans="1:2" ht="12.75" customHeight="1" x14ac:dyDescent="0.25">
      <c r="A17100" s="318">
        <v>96232341563</v>
      </c>
      <c r="B17100" s="318" t="s">
        <v>237</v>
      </c>
    </row>
    <row r="17101" spans="1:2" ht="12.75" customHeight="1" x14ac:dyDescent="0.25">
      <c r="A17101" s="318">
        <v>96232341564</v>
      </c>
      <c r="B17101" s="318" t="s">
        <v>237</v>
      </c>
    </row>
    <row r="17102" spans="1:2" ht="12.75" customHeight="1" x14ac:dyDescent="0.25">
      <c r="A17102" s="318">
        <v>96232341566</v>
      </c>
      <c r="B17102" s="318" t="s">
        <v>237</v>
      </c>
    </row>
    <row r="17103" spans="1:2" ht="12.75" customHeight="1" x14ac:dyDescent="0.25">
      <c r="A17103" s="318">
        <v>96232341567</v>
      </c>
      <c r="B17103" s="318" t="s">
        <v>237</v>
      </c>
    </row>
    <row r="17104" spans="1:2" ht="12.75" customHeight="1" x14ac:dyDescent="0.25">
      <c r="A17104" s="318">
        <v>96232341568</v>
      </c>
      <c r="B17104" s="318" t="s">
        <v>237</v>
      </c>
    </row>
    <row r="17105" spans="1:2" ht="12.75" customHeight="1" x14ac:dyDescent="0.25">
      <c r="A17105" s="318">
        <v>96232341569</v>
      </c>
      <c r="B17105" s="318" t="s">
        <v>237</v>
      </c>
    </row>
    <row r="17106" spans="1:2" ht="12.75" customHeight="1" x14ac:dyDescent="0.25">
      <c r="A17106" s="318">
        <v>96232341570</v>
      </c>
      <c r="B17106" s="318" t="s">
        <v>237</v>
      </c>
    </row>
    <row r="17107" spans="1:2" ht="12.75" customHeight="1" x14ac:dyDescent="0.25">
      <c r="A17107" s="318">
        <v>96232341571</v>
      </c>
      <c r="B17107" s="318" t="s">
        <v>237</v>
      </c>
    </row>
    <row r="17108" spans="1:2" ht="12.75" customHeight="1" x14ac:dyDescent="0.25">
      <c r="A17108" s="318">
        <v>96232341572</v>
      </c>
      <c r="B17108" s="318" t="s">
        <v>237</v>
      </c>
    </row>
    <row r="17109" spans="1:2" ht="12.75" customHeight="1" x14ac:dyDescent="0.25">
      <c r="A17109" s="318">
        <v>96232341573</v>
      </c>
      <c r="B17109" s="318" t="s">
        <v>237</v>
      </c>
    </row>
    <row r="17110" spans="1:2" ht="12.75" customHeight="1" x14ac:dyDescent="0.25">
      <c r="A17110" s="318">
        <v>96232341657</v>
      </c>
      <c r="B17110" s="318" t="s">
        <v>23</v>
      </c>
    </row>
    <row r="17111" spans="1:2" ht="12.75" customHeight="1" x14ac:dyDescent="0.25">
      <c r="A17111" s="318">
        <v>96232341658</v>
      </c>
      <c r="B17111" s="318" t="s">
        <v>23</v>
      </c>
    </row>
    <row r="17112" spans="1:2" ht="12.75" customHeight="1" x14ac:dyDescent="0.25">
      <c r="A17112" s="318">
        <v>96232341659</v>
      </c>
      <c r="B17112" s="318" t="s">
        <v>23</v>
      </c>
    </row>
    <row r="17113" spans="1:2" ht="12.75" customHeight="1" x14ac:dyDescent="0.25">
      <c r="A17113" s="318">
        <v>96232341660</v>
      </c>
      <c r="B17113" s="318" t="s">
        <v>23</v>
      </c>
    </row>
    <row r="17114" spans="1:2" ht="12.75" customHeight="1" x14ac:dyDescent="0.25">
      <c r="A17114" s="318">
        <v>96232341661</v>
      </c>
      <c r="B17114" s="318" t="s">
        <v>23</v>
      </c>
    </row>
    <row r="17115" spans="1:2" ht="12.75" customHeight="1" x14ac:dyDescent="0.25">
      <c r="A17115" s="318">
        <v>96232341662</v>
      </c>
      <c r="B17115" s="318" t="s">
        <v>23</v>
      </c>
    </row>
    <row r="17116" spans="1:2" ht="12.75" customHeight="1" x14ac:dyDescent="0.25">
      <c r="A17116" s="318">
        <v>96232341663</v>
      </c>
      <c r="B17116" s="318" t="s">
        <v>237</v>
      </c>
    </row>
    <row r="17117" spans="1:2" ht="12.75" customHeight="1" x14ac:dyDescent="0.25">
      <c r="A17117" s="318">
        <v>96232341664</v>
      </c>
      <c r="B17117" s="318" t="s">
        <v>237</v>
      </c>
    </row>
    <row r="17118" spans="1:2" ht="12.75" customHeight="1" x14ac:dyDescent="0.25">
      <c r="A17118" s="318">
        <v>96232341666</v>
      </c>
      <c r="B17118" s="318" t="s">
        <v>237</v>
      </c>
    </row>
    <row r="17119" spans="1:2" ht="12.75" customHeight="1" x14ac:dyDescent="0.25">
      <c r="A17119" s="318">
        <v>96232341667</v>
      </c>
      <c r="B17119" s="318" t="s">
        <v>237</v>
      </c>
    </row>
    <row r="17120" spans="1:2" ht="12.75" customHeight="1" x14ac:dyDescent="0.25">
      <c r="A17120" s="318">
        <v>96232341668</v>
      </c>
      <c r="B17120" s="318" t="s">
        <v>237</v>
      </c>
    </row>
    <row r="17121" spans="1:2" ht="12.75" customHeight="1" x14ac:dyDescent="0.25">
      <c r="A17121" s="318">
        <v>96232341669</v>
      </c>
      <c r="B17121" s="318" t="s">
        <v>237</v>
      </c>
    </row>
    <row r="17122" spans="1:2" ht="12.75" customHeight="1" x14ac:dyDescent="0.25">
      <c r="A17122" s="318">
        <v>96232341670</v>
      </c>
      <c r="B17122" s="318" t="s">
        <v>237</v>
      </c>
    </row>
    <row r="17123" spans="1:2" ht="12.75" customHeight="1" x14ac:dyDescent="0.25">
      <c r="A17123" s="318">
        <v>96232341671</v>
      </c>
      <c r="B17123" s="318" t="s">
        <v>237</v>
      </c>
    </row>
    <row r="17124" spans="1:2" ht="12.75" customHeight="1" x14ac:dyDescent="0.25">
      <c r="A17124" s="318">
        <v>96232341672</v>
      </c>
      <c r="B17124" s="318" t="s">
        <v>237</v>
      </c>
    </row>
    <row r="17125" spans="1:2" ht="12.75" customHeight="1" x14ac:dyDescent="0.25">
      <c r="A17125" s="318">
        <v>96232341673</v>
      </c>
      <c r="B17125" s="318" t="s">
        <v>237</v>
      </c>
    </row>
    <row r="17126" spans="1:2" ht="12.75" customHeight="1" x14ac:dyDescent="0.25">
      <c r="A17126" s="318">
        <v>96232822530</v>
      </c>
      <c r="B17126" s="318" t="s">
        <v>23</v>
      </c>
    </row>
    <row r="17127" spans="1:2" ht="12.75" customHeight="1" x14ac:dyDescent="0.25">
      <c r="A17127" s="318">
        <v>96232822531</v>
      </c>
      <c r="B17127" s="318" t="s">
        <v>23</v>
      </c>
    </row>
    <row r="17128" spans="1:2" ht="12.75" customHeight="1" x14ac:dyDescent="0.25">
      <c r="A17128" s="318">
        <v>96232822532</v>
      </c>
      <c r="B17128" s="318" t="s">
        <v>23</v>
      </c>
    </row>
    <row r="17129" spans="1:2" ht="12.75" customHeight="1" x14ac:dyDescent="0.25">
      <c r="A17129" s="318">
        <v>96232822533</v>
      </c>
      <c r="B17129" s="318" t="s">
        <v>23</v>
      </c>
    </row>
    <row r="17130" spans="1:2" ht="12.75" customHeight="1" x14ac:dyDescent="0.25">
      <c r="A17130" s="318">
        <v>96232822534</v>
      </c>
      <c r="B17130" s="318" t="s">
        <v>23</v>
      </c>
    </row>
    <row r="17131" spans="1:2" ht="12.75" customHeight="1" x14ac:dyDescent="0.25">
      <c r="A17131" s="318">
        <v>96232822535</v>
      </c>
      <c r="B17131" s="318" t="s">
        <v>23</v>
      </c>
    </row>
    <row r="17132" spans="1:2" ht="12.75" customHeight="1" x14ac:dyDescent="0.25">
      <c r="A17132" s="318">
        <v>96232822536</v>
      </c>
      <c r="B17132" s="318" t="s">
        <v>237</v>
      </c>
    </row>
    <row r="17133" spans="1:2" ht="12.75" customHeight="1" x14ac:dyDescent="0.25">
      <c r="A17133" s="318">
        <v>96232822537</v>
      </c>
      <c r="B17133" s="318" t="s">
        <v>237</v>
      </c>
    </row>
    <row r="17134" spans="1:2" ht="12.75" customHeight="1" x14ac:dyDescent="0.25">
      <c r="A17134" s="318">
        <v>96232822539</v>
      </c>
      <c r="B17134" s="318" t="s">
        <v>237</v>
      </c>
    </row>
    <row r="17135" spans="1:2" ht="12.75" customHeight="1" x14ac:dyDescent="0.25">
      <c r="A17135" s="318">
        <v>96232822540</v>
      </c>
      <c r="B17135" s="318" t="s">
        <v>237</v>
      </c>
    </row>
    <row r="17136" spans="1:2" ht="12.75" customHeight="1" x14ac:dyDescent="0.25">
      <c r="A17136" s="318">
        <v>96232822541</v>
      </c>
      <c r="B17136" s="318" t="s">
        <v>237</v>
      </c>
    </row>
    <row r="17137" spans="1:2" ht="12.75" customHeight="1" x14ac:dyDescent="0.25">
      <c r="A17137" s="318">
        <v>96232822542</v>
      </c>
      <c r="B17137" s="318" t="s">
        <v>237</v>
      </c>
    </row>
    <row r="17138" spans="1:2" ht="12.75" customHeight="1" x14ac:dyDescent="0.25">
      <c r="A17138" s="318">
        <v>96232822543</v>
      </c>
      <c r="B17138" s="318" t="s">
        <v>237</v>
      </c>
    </row>
    <row r="17139" spans="1:2" ht="12.75" customHeight="1" x14ac:dyDescent="0.25">
      <c r="A17139" s="318">
        <v>96232822544</v>
      </c>
      <c r="B17139" s="318" t="s">
        <v>237</v>
      </c>
    </row>
    <row r="17140" spans="1:2" ht="12.75" customHeight="1" x14ac:dyDescent="0.25">
      <c r="A17140" s="318">
        <v>96232822545</v>
      </c>
      <c r="B17140" s="318" t="s">
        <v>237</v>
      </c>
    </row>
    <row r="17141" spans="1:2" ht="12.75" customHeight="1" x14ac:dyDescent="0.25">
      <c r="A17141" s="318">
        <v>96232822546</v>
      </c>
      <c r="B17141" s="318" t="s">
        <v>237</v>
      </c>
    </row>
    <row r="17142" spans="1:2" ht="12.75" customHeight="1" x14ac:dyDescent="0.25">
      <c r="A17142" s="318">
        <v>96232822630</v>
      </c>
      <c r="B17142" s="318" t="s">
        <v>23</v>
      </c>
    </row>
    <row r="17143" spans="1:2" ht="12.75" customHeight="1" x14ac:dyDescent="0.25">
      <c r="A17143" s="318">
        <v>96232822631</v>
      </c>
      <c r="B17143" s="318" t="s">
        <v>23</v>
      </c>
    </row>
    <row r="17144" spans="1:2" ht="12.75" customHeight="1" x14ac:dyDescent="0.25">
      <c r="A17144" s="318">
        <v>96232822632</v>
      </c>
      <c r="B17144" s="318" t="s">
        <v>23</v>
      </c>
    </row>
    <row r="17145" spans="1:2" ht="12.75" customHeight="1" x14ac:dyDescent="0.25">
      <c r="A17145" s="318">
        <v>96232822633</v>
      </c>
      <c r="B17145" s="318" t="s">
        <v>23</v>
      </c>
    </row>
    <row r="17146" spans="1:2" ht="12.75" customHeight="1" x14ac:dyDescent="0.25">
      <c r="A17146" s="318">
        <v>96232822634</v>
      </c>
      <c r="B17146" s="318" t="s">
        <v>23</v>
      </c>
    </row>
    <row r="17147" spans="1:2" ht="12.75" customHeight="1" x14ac:dyDescent="0.25">
      <c r="A17147" s="318">
        <v>96232822635</v>
      </c>
      <c r="B17147" s="318" t="s">
        <v>23</v>
      </c>
    </row>
    <row r="17148" spans="1:2" ht="12.75" customHeight="1" x14ac:dyDescent="0.25">
      <c r="A17148" s="318">
        <v>96232822636</v>
      </c>
      <c r="B17148" s="318" t="s">
        <v>237</v>
      </c>
    </row>
    <row r="17149" spans="1:2" ht="12.75" customHeight="1" x14ac:dyDescent="0.25">
      <c r="A17149" s="318">
        <v>96232822637</v>
      </c>
      <c r="B17149" s="318" t="s">
        <v>237</v>
      </c>
    </row>
    <row r="17150" spans="1:2" ht="12.75" customHeight="1" x14ac:dyDescent="0.25">
      <c r="A17150" s="318">
        <v>96232822639</v>
      </c>
      <c r="B17150" s="318" t="s">
        <v>237</v>
      </c>
    </row>
    <row r="17151" spans="1:2" ht="12.75" customHeight="1" x14ac:dyDescent="0.25">
      <c r="A17151" s="318">
        <v>96232822640</v>
      </c>
      <c r="B17151" s="318" t="s">
        <v>237</v>
      </c>
    </row>
    <row r="17152" spans="1:2" ht="12.75" customHeight="1" x14ac:dyDescent="0.25">
      <c r="A17152" s="318">
        <v>96232822641</v>
      </c>
      <c r="B17152" s="318" t="s">
        <v>237</v>
      </c>
    </row>
    <row r="17153" spans="1:2" ht="12.75" customHeight="1" x14ac:dyDescent="0.25">
      <c r="A17153" s="318">
        <v>96232822642</v>
      </c>
      <c r="B17153" s="318" t="s">
        <v>237</v>
      </c>
    </row>
    <row r="17154" spans="1:2" ht="12.75" customHeight="1" x14ac:dyDescent="0.25">
      <c r="A17154" s="318">
        <v>96232822643</v>
      </c>
      <c r="B17154" s="318" t="s">
        <v>237</v>
      </c>
    </row>
    <row r="17155" spans="1:2" ht="12.75" customHeight="1" x14ac:dyDescent="0.25">
      <c r="A17155" s="318">
        <v>96232822644</v>
      </c>
      <c r="B17155" s="318" t="s">
        <v>237</v>
      </c>
    </row>
    <row r="17156" spans="1:2" ht="12.75" customHeight="1" x14ac:dyDescent="0.25">
      <c r="A17156" s="318">
        <v>96232822645</v>
      </c>
      <c r="B17156" s="318" t="s">
        <v>237</v>
      </c>
    </row>
    <row r="17157" spans="1:2" ht="12.75" customHeight="1" x14ac:dyDescent="0.25">
      <c r="A17157" s="318">
        <v>96232822646</v>
      </c>
      <c r="B17157" s="318" t="s">
        <v>237</v>
      </c>
    </row>
    <row r="17158" spans="1:2" ht="12.75" customHeight="1" x14ac:dyDescent="0.25">
      <c r="A17158" s="318">
        <v>96234182911</v>
      </c>
      <c r="B17158" s="318" t="s">
        <v>23</v>
      </c>
    </row>
    <row r="17159" spans="1:2" ht="12.75" customHeight="1" x14ac:dyDescent="0.25">
      <c r="A17159" s="318">
        <v>96234182912</v>
      </c>
      <c r="B17159" s="318" t="s">
        <v>23</v>
      </c>
    </row>
    <row r="17160" spans="1:2" ht="12.75" customHeight="1" x14ac:dyDescent="0.25">
      <c r="A17160" s="318">
        <v>96234182913</v>
      </c>
      <c r="B17160" s="318" t="s">
        <v>23</v>
      </c>
    </row>
    <row r="17161" spans="1:2" ht="12.75" customHeight="1" x14ac:dyDescent="0.25">
      <c r="A17161" s="318">
        <v>96234182914</v>
      </c>
      <c r="B17161" s="318" t="s">
        <v>23</v>
      </c>
    </row>
    <row r="17162" spans="1:2" ht="12.75" customHeight="1" x14ac:dyDescent="0.25">
      <c r="A17162" s="318">
        <v>96234182915</v>
      </c>
      <c r="B17162" s="318" t="s">
        <v>23</v>
      </c>
    </row>
    <row r="17163" spans="1:2" ht="12.75" customHeight="1" x14ac:dyDescent="0.25">
      <c r="A17163" s="318">
        <v>96234182916</v>
      </c>
      <c r="B17163" s="318" t="s">
        <v>23</v>
      </c>
    </row>
    <row r="17164" spans="1:2" ht="12.75" customHeight="1" x14ac:dyDescent="0.25">
      <c r="A17164" s="318">
        <v>96234182917</v>
      </c>
      <c r="B17164" s="318" t="s">
        <v>237</v>
      </c>
    </row>
    <row r="17165" spans="1:2" ht="12.75" customHeight="1" x14ac:dyDescent="0.25">
      <c r="A17165" s="318">
        <v>96234182918</v>
      </c>
      <c r="B17165" s="318" t="s">
        <v>237</v>
      </c>
    </row>
    <row r="17166" spans="1:2" ht="12.75" customHeight="1" x14ac:dyDescent="0.25">
      <c r="A17166" s="318">
        <v>96234182920</v>
      </c>
      <c r="B17166" s="318" t="s">
        <v>237</v>
      </c>
    </row>
    <row r="17167" spans="1:2" ht="12.75" customHeight="1" x14ac:dyDescent="0.25">
      <c r="A17167" s="318">
        <v>96234182921</v>
      </c>
      <c r="B17167" s="318" t="s">
        <v>237</v>
      </c>
    </row>
    <row r="17168" spans="1:2" ht="12.75" customHeight="1" x14ac:dyDescent="0.25">
      <c r="A17168" s="318">
        <v>96234182922</v>
      </c>
      <c r="B17168" s="318" t="s">
        <v>237</v>
      </c>
    </row>
    <row r="17169" spans="1:2" ht="12.75" customHeight="1" x14ac:dyDescent="0.25">
      <c r="A17169" s="318">
        <v>96234182923</v>
      </c>
      <c r="B17169" s="318" t="s">
        <v>237</v>
      </c>
    </row>
    <row r="17170" spans="1:2" ht="12.75" customHeight="1" x14ac:dyDescent="0.25">
      <c r="A17170" s="318">
        <v>96234182924</v>
      </c>
      <c r="B17170" s="318" t="s">
        <v>237</v>
      </c>
    </row>
    <row r="17171" spans="1:2" ht="12.75" customHeight="1" x14ac:dyDescent="0.25">
      <c r="A17171" s="318">
        <v>96234182925</v>
      </c>
      <c r="B17171" s="318" t="s">
        <v>237</v>
      </c>
    </row>
    <row r="17172" spans="1:2" ht="12.75" customHeight="1" x14ac:dyDescent="0.25">
      <c r="A17172" s="318">
        <v>96234182926</v>
      </c>
      <c r="B17172" s="318" t="s">
        <v>237</v>
      </c>
    </row>
    <row r="17173" spans="1:2" ht="12.75" customHeight="1" x14ac:dyDescent="0.25">
      <c r="A17173" s="318">
        <v>96234182927</v>
      </c>
      <c r="B17173" s="318" t="s">
        <v>237</v>
      </c>
    </row>
    <row r="17174" spans="1:2" ht="12.75" customHeight="1" x14ac:dyDescent="0.25">
      <c r="A17174" s="318">
        <v>96234183011</v>
      </c>
      <c r="B17174" s="318" t="s">
        <v>23</v>
      </c>
    </row>
    <row r="17175" spans="1:2" ht="12.75" customHeight="1" x14ac:dyDescent="0.25">
      <c r="A17175" s="318">
        <v>96234183012</v>
      </c>
      <c r="B17175" s="318" t="s">
        <v>23</v>
      </c>
    </row>
    <row r="17176" spans="1:2" ht="12.75" customHeight="1" x14ac:dyDescent="0.25">
      <c r="A17176" s="318">
        <v>96234183013</v>
      </c>
      <c r="B17176" s="318" t="s">
        <v>23</v>
      </c>
    </row>
    <row r="17177" spans="1:2" ht="12.75" customHeight="1" x14ac:dyDescent="0.25">
      <c r="A17177" s="318">
        <v>96234183014</v>
      </c>
      <c r="B17177" s="318" t="s">
        <v>23</v>
      </c>
    </row>
    <row r="17178" spans="1:2" ht="12.75" customHeight="1" x14ac:dyDescent="0.25">
      <c r="A17178" s="318">
        <v>96234183015</v>
      </c>
      <c r="B17178" s="318" t="s">
        <v>23</v>
      </c>
    </row>
    <row r="17179" spans="1:2" ht="12.75" customHeight="1" x14ac:dyDescent="0.25">
      <c r="A17179" s="318">
        <v>96234183016</v>
      </c>
      <c r="B17179" s="318" t="s">
        <v>23</v>
      </c>
    </row>
    <row r="17180" spans="1:2" ht="12.75" customHeight="1" x14ac:dyDescent="0.25">
      <c r="A17180" s="318">
        <v>96234183017</v>
      </c>
      <c r="B17180" s="318" t="s">
        <v>237</v>
      </c>
    </row>
    <row r="17181" spans="1:2" ht="12.75" customHeight="1" x14ac:dyDescent="0.25">
      <c r="A17181" s="318">
        <v>96234183018</v>
      </c>
      <c r="B17181" s="318" t="s">
        <v>237</v>
      </c>
    </row>
    <row r="17182" spans="1:2" ht="12.75" customHeight="1" x14ac:dyDescent="0.25">
      <c r="A17182" s="318">
        <v>96234183020</v>
      </c>
      <c r="B17182" s="318" t="s">
        <v>237</v>
      </c>
    </row>
    <row r="17183" spans="1:2" ht="12.75" customHeight="1" x14ac:dyDescent="0.25">
      <c r="A17183" s="318">
        <v>96234183021</v>
      </c>
      <c r="B17183" s="318" t="s">
        <v>237</v>
      </c>
    </row>
    <row r="17184" spans="1:2" ht="12.75" customHeight="1" x14ac:dyDescent="0.25">
      <c r="A17184" s="318">
        <v>96234183022</v>
      </c>
      <c r="B17184" s="318" t="s">
        <v>237</v>
      </c>
    </row>
    <row r="17185" spans="1:2" ht="12.75" customHeight="1" x14ac:dyDescent="0.25">
      <c r="A17185" s="318">
        <v>96234183023</v>
      </c>
      <c r="B17185" s="318" t="s">
        <v>237</v>
      </c>
    </row>
    <row r="17186" spans="1:2" ht="12.75" customHeight="1" x14ac:dyDescent="0.25">
      <c r="A17186" s="318">
        <v>96234183024</v>
      </c>
      <c r="B17186" s="318" t="s">
        <v>237</v>
      </c>
    </row>
    <row r="17187" spans="1:2" ht="12.75" customHeight="1" x14ac:dyDescent="0.25">
      <c r="A17187" s="318">
        <v>96234183025</v>
      </c>
      <c r="B17187" s="318" t="s">
        <v>237</v>
      </c>
    </row>
    <row r="17188" spans="1:2" ht="12.75" customHeight="1" x14ac:dyDescent="0.25">
      <c r="A17188" s="318">
        <v>96234183026</v>
      </c>
      <c r="B17188" s="318" t="s">
        <v>237</v>
      </c>
    </row>
    <row r="17189" spans="1:2" ht="12.75" customHeight="1" x14ac:dyDescent="0.25">
      <c r="A17189" s="318">
        <v>96234183027</v>
      </c>
      <c r="B17189" s="318" t="s">
        <v>237</v>
      </c>
    </row>
    <row r="17190" spans="1:2" ht="12.75" customHeight="1" x14ac:dyDescent="0.25">
      <c r="A17190" s="318">
        <v>96234663884</v>
      </c>
      <c r="B17190" s="318" t="s">
        <v>23</v>
      </c>
    </row>
    <row r="17191" spans="1:2" ht="12.75" customHeight="1" x14ac:dyDescent="0.25">
      <c r="A17191" s="318">
        <v>96234663885</v>
      </c>
      <c r="B17191" s="318" t="s">
        <v>23</v>
      </c>
    </row>
    <row r="17192" spans="1:2" ht="12.75" customHeight="1" x14ac:dyDescent="0.25">
      <c r="A17192" s="318">
        <v>96234663886</v>
      </c>
      <c r="B17192" s="318" t="s">
        <v>23</v>
      </c>
    </row>
    <row r="17193" spans="1:2" ht="12.75" customHeight="1" x14ac:dyDescent="0.25">
      <c r="A17193" s="318">
        <v>96234663887</v>
      </c>
      <c r="B17193" s="318" t="s">
        <v>23</v>
      </c>
    </row>
    <row r="17194" spans="1:2" ht="12.75" customHeight="1" x14ac:dyDescent="0.25">
      <c r="A17194" s="318">
        <v>96234663888</v>
      </c>
      <c r="B17194" s="318" t="s">
        <v>23</v>
      </c>
    </row>
    <row r="17195" spans="1:2" ht="12.75" customHeight="1" x14ac:dyDescent="0.25">
      <c r="A17195" s="318">
        <v>96234663889</v>
      </c>
      <c r="B17195" s="318" t="s">
        <v>23</v>
      </c>
    </row>
    <row r="17196" spans="1:2" ht="12.75" customHeight="1" x14ac:dyDescent="0.25">
      <c r="A17196" s="318">
        <v>96234663890</v>
      </c>
      <c r="B17196" s="318" t="s">
        <v>237</v>
      </c>
    </row>
    <row r="17197" spans="1:2" ht="12.75" customHeight="1" x14ac:dyDescent="0.25">
      <c r="A17197" s="318">
        <v>96234663891</v>
      </c>
      <c r="B17197" s="318" t="s">
        <v>237</v>
      </c>
    </row>
    <row r="17198" spans="1:2" ht="12.75" customHeight="1" x14ac:dyDescent="0.25">
      <c r="A17198" s="318">
        <v>96234663893</v>
      </c>
      <c r="B17198" s="318" t="s">
        <v>237</v>
      </c>
    </row>
    <row r="17199" spans="1:2" ht="12.75" customHeight="1" x14ac:dyDescent="0.25">
      <c r="A17199" s="318">
        <v>96234663894</v>
      </c>
      <c r="B17199" s="318" t="s">
        <v>237</v>
      </c>
    </row>
    <row r="17200" spans="1:2" ht="12.75" customHeight="1" x14ac:dyDescent="0.25">
      <c r="A17200" s="318">
        <v>96234663895</v>
      </c>
      <c r="B17200" s="318" t="s">
        <v>237</v>
      </c>
    </row>
    <row r="17201" spans="1:2" ht="12.75" customHeight="1" x14ac:dyDescent="0.25">
      <c r="A17201" s="318">
        <v>96234663896</v>
      </c>
      <c r="B17201" s="318" t="s">
        <v>237</v>
      </c>
    </row>
    <row r="17202" spans="1:2" ht="12.75" customHeight="1" x14ac:dyDescent="0.25">
      <c r="A17202" s="318">
        <v>96234663897</v>
      </c>
      <c r="B17202" s="318" t="s">
        <v>237</v>
      </c>
    </row>
    <row r="17203" spans="1:2" ht="12.75" customHeight="1" x14ac:dyDescent="0.25">
      <c r="A17203" s="318">
        <v>96234663898</v>
      </c>
      <c r="B17203" s="318" t="s">
        <v>237</v>
      </c>
    </row>
    <row r="17204" spans="1:2" ht="12.75" customHeight="1" x14ac:dyDescent="0.25">
      <c r="A17204" s="318">
        <v>96234663899</v>
      </c>
      <c r="B17204" s="318" t="s">
        <v>237</v>
      </c>
    </row>
    <row r="17205" spans="1:2" ht="12.75" customHeight="1" x14ac:dyDescent="0.25">
      <c r="A17205" s="318">
        <v>96234663900</v>
      </c>
      <c r="B17205" s="318" t="s">
        <v>237</v>
      </c>
    </row>
    <row r="17206" spans="1:2" ht="12.75" customHeight="1" x14ac:dyDescent="0.25">
      <c r="A17206" s="318">
        <v>96234663984</v>
      </c>
      <c r="B17206" s="318" t="s">
        <v>23</v>
      </c>
    </row>
    <row r="17207" spans="1:2" ht="12.75" customHeight="1" x14ac:dyDescent="0.25">
      <c r="A17207" s="318">
        <v>96234663985</v>
      </c>
      <c r="B17207" s="318" t="s">
        <v>23</v>
      </c>
    </row>
    <row r="17208" spans="1:2" ht="12.75" customHeight="1" x14ac:dyDescent="0.25">
      <c r="A17208" s="318">
        <v>96234663986</v>
      </c>
      <c r="B17208" s="318" t="s">
        <v>23</v>
      </c>
    </row>
    <row r="17209" spans="1:2" ht="12.75" customHeight="1" x14ac:dyDescent="0.25">
      <c r="A17209" s="318">
        <v>96234663987</v>
      </c>
      <c r="B17209" s="318" t="s">
        <v>23</v>
      </c>
    </row>
    <row r="17210" spans="1:2" ht="12.75" customHeight="1" x14ac:dyDescent="0.25">
      <c r="A17210" s="318">
        <v>96234663988</v>
      </c>
      <c r="B17210" s="318" t="s">
        <v>23</v>
      </c>
    </row>
    <row r="17211" spans="1:2" ht="12.75" customHeight="1" x14ac:dyDescent="0.25">
      <c r="A17211" s="318">
        <v>96234663989</v>
      </c>
      <c r="B17211" s="318" t="s">
        <v>23</v>
      </c>
    </row>
    <row r="17212" spans="1:2" ht="12.75" customHeight="1" x14ac:dyDescent="0.25">
      <c r="A17212" s="318">
        <v>96234663990</v>
      </c>
      <c r="B17212" s="318" t="s">
        <v>237</v>
      </c>
    </row>
    <row r="17213" spans="1:2" ht="12.75" customHeight="1" x14ac:dyDescent="0.25">
      <c r="A17213" s="318">
        <v>96234663991</v>
      </c>
      <c r="B17213" s="318" t="s">
        <v>237</v>
      </c>
    </row>
    <row r="17214" spans="1:2" ht="12.75" customHeight="1" x14ac:dyDescent="0.25">
      <c r="A17214" s="318">
        <v>96234663993</v>
      </c>
      <c r="B17214" s="318" t="s">
        <v>237</v>
      </c>
    </row>
    <row r="17215" spans="1:2" ht="12.75" customHeight="1" x14ac:dyDescent="0.25">
      <c r="A17215" s="318">
        <v>96234663994</v>
      </c>
      <c r="B17215" s="318" t="s">
        <v>237</v>
      </c>
    </row>
    <row r="17216" spans="1:2" ht="12.75" customHeight="1" x14ac:dyDescent="0.25">
      <c r="A17216" s="318">
        <v>96234663995</v>
      </c>
      <c r="B17216" s="318" t="s">
        <v>237</v>
      </c>
    </row>
    <row r="17217" spans="1:2" ht="12.75" customHeight="1" x14ac:dyDescent="0.25">
      <c r="A17217" s="318">
        <v>96234663996</v>
      </c>
      <c r="B17217" s="318" t="s">
        <v>237</v>
      </c>
    </row>
    <row r="17218" spans="1:2" ht="12.75" customHeight="1" x14ac:dyDescent="0.25">
      <c r="A17218" s="318">
        <v>96234663997</v>
      </c>
      <c r="B17218" s="318" t="s">
        <v>237</v>
      </c>
    </row>
    <row r="17219" spans="1:2" ht="12.75" customHeight="1" x14ac:dyDescent="0.25">
      <c r="A17219" s="318">
        <v>96234663998</v>
      </c>
      <c r="B17219" s="318" t="s">
        <v>237</v>
      </c>
    </row>
    <row r="17220" spans="1:2" ht="12.75" customHeight="1" x14ac:dyDescent="0.25">
      <c r="A17220" s="318">
        <v>96234663999</v>
      </c>
      <c r="B17220" s="318" t="s">
        <v>237</v>
      </c>
    </row>
    <row r="17221" spans="1:2" ht="12.75" customHeight="1" x14ac:dyDescent="0.25">
      <c r="A17221" s="318">
        <v>96234664000</v>
      </c>
      <c r="B17221" s="318" t="s">
        <v>237</v>
      </c>
    </row>
    <row r="17222" spans="1:2" ht="12.75" customHeight="1" x14ac:dyDescent="0.25">
      <c r="A17222" s="318">
        <v>96235144857</v>
      </c>
      <c r="B17222" s="318" t="s">
        <v>23</v>
      </c>
    </row>
    <row r="17223" spans="1:2" ht="12.75" customHeight="1" x14ac:dyDescent="0.25">
      <c r="A17223" s="318">
        <v>96235144858</v>
      </c>
      <c r="B17223" s="318" t="s">
        <v>23</v>
      </c>
    </row>
    <row r="17224" spans="1:2" ht="12.75" customHeight="1" x14ac:dyDescent="0.25">
      <c r="A17224" s="318">
        <v>96235144859</v>
      </c>
      <c r="B17224" s="318" t="s">
        <v>23</v>
      </c>
    </row>
    <row r="17225" spans="1:2" ht="12.75" customHeight="1" x14ac:dyDescent="0.25">
      <c r="A17225" s="318">
        <v>96235144860</v>
      </c>
      <c r="B17225" s="318" t="s">
        <v>23</v>
      </c>
    </row>
    <row r="17226" spans="1:2" ht="12.75" customHeight="1" x14ac:dyDescent="0.25">
      <c r="A17226" s="318">
        <v>96235144861</v>
      </c>
      <c r="B17226" s="318" t="s">
        <v>23</v>
      </c>
    </row>
    <row r="17227" spans="1:2" ht="12.75" customHeight="1" x14ac:dyDescent="0.25">
      <c r="A17227" s="318">
        <v>96235144862</v>
      </c>
      <c r="B17227" s="318" t="s">
        <v>23</v>
      </c>
    </row>
    <row r="17228" spans="1:2" ht="12.75" customHeight="1" x14ac:dyDescent="0.25">
      <c r="A17228" s="318">
        <v>96235144863</v>
      </c>
      <c r="B17228" s="318" t="s">
        <v>237</v>
      </c>
    </row>
    <row r="17229" spans="1:2" ht="12.75" customHeight="1" x14ac:dyDescent="0.25">
      <c r="A17229" s="318">
        <v>96235144864</v>
      </c>
      <c r="B17229" s="318" t="s">
        <v>237</v>
      </c>
    </row>
    <row r="17230" spans="1:2" ht="12.75" customHeight="1" x14ac:dyDescent="0.25">
      <c r="A17230" s="318">
        <v>96235144866</v>
      </c>
      <c r="B17230" s="318" t="s">
        <v>237</v>
      </c>
    </row>
    <row r="17231" spans="1:2" ht="12.75" customHeight="1" x14ac:dyDescent="0.25">
      <c r="A17231" s="318">
        <v>96235144867</v>
      </c>
      <c r="B17231" s="318" t="s">
        <v>237</v>
      </c>
    </row>
    <row r="17232" spans="1:2" ht="12.75" customHeight="1" x14ac:dyDescent="0.25">
      <c r="A17232" s="318">
        <v>96235144868</v>
      </c>
      <c r="B17232" s="318" t="s">
        <v>237</v>
      </c>
    </row>
    <row r="17233" spans="1:2" ht="12.75" customHeight="1" x14ac:dyDescent="0.25">
      <c r="A17233" s="318">
        <v>96235144869</v>
      </c>
      <c r="B17233" s="318" t="s">
        <v>237</v>
      </c>
    </row>
    <row r="17234" spans="1:2" ht="12.75" customHeight="1" x14ac:dyDescent="0.25">
      <c r="A17234" s="318">
        <v>96235144870</v>
      </c>
      <c r="B17234" s="318" t="s">
        <v>237</v>
      </c>
    </row>
    <row r="17235" spans="1:2" ht="12.75" customHeight="1" x14ac:dyDescent="0.25">
      <c r="A17235" s="318">
        <v>96235144871</v>
      </c>
      <c r="B17235" s="318" t="s">
        <v>237</v>
      </c>
    </row>
    <row r="17236" spans="1:2" ht="12.75" customHeight="1" x14ac:dyDescent="0.25">
      <c r="A17236" s="318">
        <v>96235144872</v>
      </c>
      <c r="B17236" s="318" t="s">
        <v>237</v>
      </c>
    </row>
    <row r="17237" spans="1:2" ht="12.75" customHeight="1" x14ac:dyDescent="0.25">
      <c r="A17237" s="318">
        <v>96235144873</v>
      </c>
      <c r="B17237" s="318" t="s">
        <v>237</v>
      </c>
    </row>
    <row r="17238" spans="1:2" ht="12.75" customHeight="1" x14ac:dyDescent="0.25">
      <c r="A17238" s="318">
        <v>96235144957</v>
      </c>
      <c r="B17238" s="318" t="s">
        <v>23</v>
      </c>
    </row>
    <row r="17239" spans="1:2" ht="12.75" customHeight="1" x14ac:dyDescent="0.25">
      <c r="A17239" s="318">
        <v>96235144958</v>
      </c>
      <c r="B17239" s="318" t="s">
        <v>23</v>
      </c>
    </row>
    <row r="17240" spans="1:2" ht="12.75" customHeight="1" x14ac:dyDescent="0.25">
      <c r="A17240" s="318">
        <v>96235144959</v>
      </c>
      <c r="B17240" s="318" t="s">
        <v>23</v>
      </c>
    </row>
    <row r="17241" spans="1:2" ht="12.75" customHeight="1" x14ac:dyDescent="0.25">
      <c r="A17241" s="318">
        <v>96235144960</v>
      </c>
      <c r="B17241" s="318" t="s">
        <v>23</v>
      </c>
    </row>
    <row r="17242" spans="1:2" ht="12.75" customHeight="1" x14ac:dyDescent="0.25">
      <c r="A17242" s="318">
        <v>96235144961</v>
      </c>
      <c r="B17242" s="318" t="s">
        <v>23</v>
      </c>
    </row>
    <row r="17243" spans="1:2" ht="12.75" customHeight="1" x14ac:dyDescent="0.25">
      <c r="A17243" s="318">
        <v>96235144962</v>
      </c>
      <c r="B17243" s="318" t="s">
        <v>23</v>
      </c>
    </row>
    <row r="17244" spans="1:2" ht="12.75" customHeight="1" x14ac:dyDescent="0.25">
      <c r="A17244" s="318">
        <v>96235144963</v>
      </c>
      <c r="B17244" s="318" t="s">
        <v>237</v>
      </c>
    </row>
    <row r="17245" spans="1:2" ht="12.75" customHeight="1" x14ac:dyDescent="0.25">
      <c r="A17245" s="318">
        <v>96235144964</v>
      </c>
      <c r="B17245" s="318" t="s">
        <v>237</v>
      </c>
    </row>
    <row r="17246" spans="1:2" ht="12.75" customHeight="1" x14ac:dyDescent="0.25">
      <c r="A17246" s="318">
        <v>96235144966</v>
      </c>
      <c r="B17246" s="318" t="s">
        <v>237</v>
      </c>
    </row>
    <row r="17247" spans="1:2" ht="12.75" customHeight="1" x14ac:dyDescent="0.25">
      <c r="A17247" s="318">
        <v>96235144967</v>
      </c>
      <c r="B17247" s="318" t="s">
        <v>237</v>
      </c>
    </row>
    <row r="17248" spans="1:2" ht="12.75" customHeight="1" x14ac:dyDescent="0.25">
      <c r="A17248" s="318">
        <v>96235144968</v>
      </c>
      <c r="B17248" s="318" t="s">
        <v>237</v>
      </c>
    </row>
    <row r="17249" spans="1:2" ht="12.75" customHeight="1" x14ac:dyDescent="0.25">
      <c r="A17249" s="318">
        <v>96235144969</v>
      </c>
      <c r="B17249" s="318" t="s">
        <v>237</v>
      </c>
    </row>
    <row r="17250" spans="1:2" ht="12.75" customHeight="1" x14ac:dyDescent="0.25">
      <c r="A17250" s="318">
        <v>96235144970</v>
      </c>
      <c r="B17250" s="318" t="s">
        <v>237</v>
      </c>
    </row>
    <row r="17251" spans="1:2" ht="12.75" customHeight="1" x14ac:dyDescent="0.25">
      <c r="A17251" s="318">
        <v>96235144971</v>
      </c>
      <c r="B17251" s="318" t="s">
        <v>237</v>
      </c>
    </row>
    <row r="17252" spans="1:2" ht="12.75" customHeight="1" x14ac:dyDescent="0.25">
      <c r="A17252" s="318">
        <v>96235144972</v>
      </c>
      <c r="B17252" s="318" t="s">
        <v>237</v>
      </c>
    </row>
    <row r="17253" spans="1:2" ht="12.75" customHeight="1" x14ac:dyDescent="0.25">
      <c r="A17253" s="318">
        <v>96235144973</v>
      </c>
      <c r="B17253" s="318" t="s">
        <v>237</v>
      </c>
    </row>
    <row r="17254" spans="1:2" ht="12.75" customHeight="1" x14ac:dyDescent="0.25">
      <c r="A17254" s="318">
        <v>96235825048</v>
      </c>
      <c r="B17254" s="318" t="s">
        <v>23</v>
      </c>
    </row>
    <row r="17255" spans="1:2" ht="12.75" customHeight="1" x14ac:dyDescent="0.25">
      <c r="A17255" s="318">
        <v>96235825049</v>
      </c>
      <c r="B17255" s="318" t="s">
        <v>23</v>
      </c>
    </row>
    <row r="17256" spans="1:2" ht="12.75" customHeight="1" x14ac:dyDescent="0.25">
      <c r="A17256" s="318">
        <v>96235825050</v>
      </c>
      <c r="B17256" s="318" t="s">
        <v>23</v>
      </c>
    </row>
    <row r="17257" spans="1:2" ht="12.75" customHeight="1" x14ac:dyDescent="0.25">
      <c r="A17257" s="318">
        <v>96235825051</v>
      </c>
      <c r="B17257" s="318" t="s">
        <v>23</v>
      </c>
    </row>
    <row r="17258" spans="1:2" ht="12.75" customHeight="1" x14ac:dyDescent="0.25">
      <c r="A17258" s="318">
        <v>96235825052</v>
      </c>
      <c r="B17258" s="318" t="s">
        <v>23</v>
      </c>
    </row>
    <row r="17259" spans="1:2" ht="12.75" customHeight="1" x14ac:dyDescent="0.25">
      <c r="A17259" s="318">
        <v>96235825053</v>
      </c>
      <c r="B17259" s="318" t="s">
        <v>23</v>
      </c>
    </row>
    <row r="17260" spans="1:2" ht="12.75" customHeight="1" x14ac:dyDescent="0.25">
      <c r="A17260" s="318">
        <v>96235825054</v>
      </c>
      <c r="B17260" s="318" t="s">
        <v>237</v>
      </c>
    </row>
    <row r="17261" spans="1:2" ht="12.75" customHeight="1" x14ac:dyDescent="0.25">
      <c r="A17261" s="318">
        <v>96235825055</v>
      </c>
      <c r="B17261" s="318" t="s">
        <v>237</v>
      </c>
    </row>
    <row r="17262" spans="1:2" ht="12.75" customHeight="1" x14ac:dyDescent="0.25">
      <c r="A17262" s="318">
        <v>96235825057</v>
      </c>
      <c r="B17262" s="318" t="s">
        <v>237</v>
      </c>
    </row>
    <row r="17263" spans="1:2" ht="12.75" customHeight="1" x14ac:dyDescent="0.25">
      <c r="A17263" s="318">
        <v>96235825058</v>
      </c>
      <c r="B17263" s="318" t="s">
        <v>237</v>
      </c>
    </row>
    <row r="17264" spans="1:2" ht="12.75" customHeight="1" x14ac:dyDescent="0.25">
      <c r="A17264" s="318">
        <v>96235825059</v>
      </c>
      <c r="B17264" s="318" t="s">
        <v>237</v>
      </c>
    </row>
    <row r="17265" spans="1:2" ht="12.75" customHeight="1" x14ac:dyDescent="0.25">
      <c r="A17265" s="318">
        <v>96235825060</v>
      </c>
      <c r="B17265" s="318" t="s">
        <v>237</v>
      </c>
    </row>
    <row r="17266" spans="1:2" ht="12.75" customHeight="1" x14ac:dyDescent="0.25">
      <c r="A17266" s="318">
        <v>96235825061</v>
      </c>
      <c r="B17266" s="318" t="s">
        <v>237</v>
      </c>
    </row>
    <row r="17267" spans="1:2" ht="12.75" customHeight="1" x14ac:dyDescent="0.25">
      <c r="A17267" s="318">
        <v>96235825062</v>
      </c>
      <c r="B17267" s="318" t="s">
        <v>237</v>
      </c>
    </row>
    <row r="17268" spans="1:2" ht="12.75" customHeight="1" x14ac:dyDescent="0.25">
      <c r="A17268" s="318">
        <v>96235825063</v>
      </c>
      <c r="B17268" s="318" t="s">
        <v>237</v>
      </c>
    </row>
    <row r="17269" spans="1:2" ht="12.75" customHeight="1" x14ac:dyDescent="0.25">
      <c r="A17269" s="318">
        <v>96235825064</v>
      </c>
      <c r="B17269" s="318" t="s">
        <v>237</v>
      </c>
    </row>
    <row r="17270" spans="1:2" ht="12.75" customHeight="1" x14ac:dyDescent="0.25">
      <c r="A17270" s="318">
        <v>96235825148</v>
      </c>
      <c r="B17270" s="318" t="s">
        <v>23</v>
      </c>
    </row>
    <row r="17271" spans="1:2" ht="12.75" customHeight="1" x14ac:dyDescent="0.25">
      <c r="A17271" s="318">
        <v>96235825149</v>
      </c>
      <c r="B17271" s="318" t="s">
        <v>23</v>
      </c>
    </row>
    <row r="17272" spans="1:2" ht="12.75" customHeight="1" x14ac:dyDescent="0.25">
      <c r="A17272" s="318">
        <v>96235825150</v>
      </c>
      <c r="B17272" s="318" t="s">
        <v>23</v>
      </c>
    </row>
    <row r="17273" spans="1:2" ht="12.75" customHeight="1" x14ac:dyDescent="0.25">
      <c r="A17273" s="318">
        <v>96235825151</v>
      </c>
      <c r="B17273" s="318" t="s">
        <v>23</v>
      </c>
    </row>
    <row r="17274" spans="1:2" ht="12.75" customHeight="1" x14ac:dyDescent="0.25">
      <c r="A17274" s="318">
        <v>96235825152</v>
      </c>
      <c r="B17274" s="318" t="s">
        <v>23</v>
      </c>
    </row>
    <row r="17275" spans="1:2" ht="12.75" customHeight="1" x14ac:dyDescent="0.25">
      <c r="A17275" s="318">
        <v>96235825153</v>
      </c>
      <c r="B17275" s="318" t="s">
        <v>23</v>
      </c>
    </row>
    <row r="17276" spans="1:2" ht="12.75" customHeight="1" x14ac:dyDescent="0.25">
      <c r="A17276" s="318">
        <v>96235825154</v>
      </c>
      <c r="B17276" s="318" t="s">
        <v>237</v>
      </c>
    </row>
    <row r="17277" spans="1:2" ht="12.75" customHeight="1" x14ac:dyDescent="0.25">
      <c r="A17277" s="318">
        <v>96235825155</v>
      </c>
      <c r="B17277" s="318" t="s">
        <v>237</v>
      </c>
    </row>
    <row r="17278" spans="1:2" ht="12.75" customHeight="1" x14ac:dyDescent="0.25">
      <c r="A17278" s="318">
        <v>96235825157</v>
      </c>
      <c r="B17278" s="318" t="s">
        <v>237</v>
      </c>
    </row>
    <row r="17279" spans="1:2" ht="12.75" customHeight="1" x14ac:dyDescent="0.25">
      <c r="A17279" s="318">
        <v>96235825158</v>
      </c>
      <c r="B17279" s="318" t="s">
        <v>237</v>
      </c>
    </row>
    <row r="17280" spans="1:2" ht="12.75" customHeight="1" x14ac:dyDescent="0.25">
      <c r="A17280" s="318">
        <v>96235825159</v>
      </c>
      <c r="B17280" s="318" t="s">
        <v>237</v>
      </c>
    </row>
    <row r="17281" spans="1:2" ht="12.75" customHeight="1" x14ac:dyDescent="0.25">
      <c r="A17281" s="318">
        <v>96235825160</v>
      </c>
      <c r="B17281" s="318" t="s">
        <v>237</v>
      </c>
    </row>
    <row r="17282" spans="1:2" ht="12.75" customHeight="1" x14ac:dyDescent="0.25">
      <c r="A17282" s="318">
        <v>96235825161</v>
      </c>
      <c r="B17282" s="318" t="s">
        <v>237</v>
      </c>
    </row>
    <row r="17283" spans="1:2" ht="12.75" customHeight="1" x14ac:dyDescent="0.25">
      <c r="A17283" s="318">
        <v>96235825162</v>
      </c>
      <c r="B17283" s="318" t="s">
        <v>237</v>
      </c>
    </row>
    <row r="17284" spans="1:2" ht="12.75" customHeight="1" x14ac:dyDescent="0.25">
      <c r="A17284" s="318">
        <v>96235825163</v>
      </c>
      <c r="B17284" s="318" t="s">
        <v>237</v>
      </c>
    </row>
    <row r="17285" spans="1:2" ht="12.75" customHeight="1" x14ac:dyDescent="0.25">
      <c r="A17285" s="318">
        <v>96235825164</v>
      </c>
      <c r="B17285" s="318" t="s">
        <v>237</v>
      </c>
    </row>
    <row r="17286" spans="1:2" ht="12.75" customHeight="1" x14ac:dyDescent="0.25">
      <c r="A17286" s="318">
        <v>96236306021</v>
      </c>
      <c r="B17286" s="318" t="s">
        <v>23</v>
      </c>
    </row>
    <row r="17287" spans="1:2" ht="12.75" customHeight="1" x14ac:dyDescent="0.25">
      <c r="A17287" s="318">
        <v>96236306022</v>
      </c>
      <c r="B17287" s="318" t="s">
        <v>23</v>
      </c>
    </row>
    <row r="17288" spans="1:2" ht="12.75" customHeight="1" x14ac:dyDescent="0.25">
      <c r="A17288" s="318">
        <v>96236306023</v>
      </c>
      <c r="B17288" s="318" t="s">
        <v>23</v>
      </c>
    </row>
    <row r="17289" spans="1:2" ht="12.75" customHeight="1" x14ac:dyDescent="0.25">
      <c r="A17289" s="318">
        <v>96236306024</v>
      </c>
      <c r="B17289" s="318" t="s">
        <v>23</v>
      </c>
    </row>
    <row r="17290" spans="1:2" ht="12.75" customHeight="1" x14ac:dyDescent="0.25">
      <c r="A17290" s="318">
        <v>96236306025</v>
      </c>
      <c r="B17290" s="318" t="s">
        <v>23</v>
      </c>
    </row>
    <row r="17291" spans="1:2" ht="12.75" customHeight="1" x14ac:dyDescent="0.25">
      <c r="A17291" s="318">
        <v>96236306026</v>
      </c>
      <c r="B17291" s="318" t="s">
        <v>23</v>
      </c>
    </row>
    <row r="17292" spans="1:2" ht="12.75" customHeight="1" x14ac:dyDescent="0.25">
      <c r="A17292" s="318">
        <v>96236306027</v>
      </c>
      <c r="B17292" s="318" t="s">
        <v>237</v>
      </c>
    </row>
    <row r="17293" spans="1:2" ht="12.75" customHeight="1" x14ac:dyDescent="0.25">
      <c r="A17293" s="318">
        <v>96236306028</v>
      </c>
      <c r="B17293" s="318" t="s">
        <v>237</v>
      </c>
    </row>
    <row r="17294" spans="1:2" ht="12.75" customHeight="1" x14ac:dyDescent="0.25">
      <c r="A17294" s="318">
        <v>96236306030</v>
      </c>
      <c r="B17294" s="318" t="s">
        <v>237</v>
      </c>
    </row>
    <row r="17295" spans="1:2" ht="12.75" customHeight="1" x14ac:dyDescent="0.25">
      <c r="A17295" s="318">
        <v>96236306031</v>
      </c>
      <c r="B17295" s="318" t="s">
        <v>237</v>
      </c>
    </row>
    <row r="17296" spans="1:2" ht="12.75" customHeight="1" x14ac:dyDescent="0.25">
      <c r="A17296" s="318">
        <v>96236306032</v>
      </c>
      <c r="B17296" s="318" t="s">
        <v>237</v>
      </c>
    </row>
    <row r="17297" spans="1:2" ht="12.75" customHeight="1" x14ac:dyDescent="0.25">
      <c r="A17297" s="318">
        <v>96236306033</v>
      </c>
      <c r="B17297" s="318" t="s">
        <v>237</v>
      </c>
    </row>
    <row r="17298" spans="1:2" ht="12.75" customHeight="1" x14ac:dyDescent="0.25">
      <c r="A17298" s="318">
        <v>96236306034</v>
      </c>
      <c r="B17298" s="318" t="s">
        <v>237</v>
      </c>
    </row>
    <row r="17299" spans="1:2" ht="12.75" customHeight="1" x14ac:dyDescent="0.25">
      <c r="A17299" s="318">
        <v>96236306035</v>
      </c>
      <c r="B17299" s="318" t="s">
        <v>237</v>
      </c>
    </row>
    <row r="17300" spans="1:2" ht="12.75" customHeight="1" x14ac:dyDescent="0.25">
      <c r="A17300" s="318">
        <v>96236306036</v>
      </c>
      <c r="B17300" s="318" t="s">
        <v>237</v>
      </c>
    </row>
    <row r="17301" spans="1:2" ht="12.75" customHeight="1" x14ac:dyDescent="0.25">
      <c r="A17301" s="318">
        <v>96236306037</v>
      </c>
      <c r="B17301" s="318" t="s">
        <v>237</v>
      </c>
    </row>
    <row r="17302" spans="1:2" ht="12.75" customHeight="1" x14ac:dyDescent="0.25">
      <c r="A17302" s="318">
        <v>96236306121</v>
      </c>
      <c r="B17302" s="318" t="s">
        <v>23</v>
      </c>
    </row>
    <row r="17303" spans="1:2" ht="12.75" customHeight="1" x14ac:dyDescent="0.25">
      <c r="A17303" s="318">
        <v>96236306122</v>
      </c>
      <c r="B17303" s="318" t="s">
        <v>23</v>
      </c>
    </row>
    <row r="17304" spans="1:2" ht="12.75" customHeight="1" x14ac:dyDescent="0.25">
      <c r="A17304" s="318">
        <v>96236306123</v>
      </c>
      <c r="B17304" s="318" t="s">
        <v>23</v>
      </c>
    </row>
    <row r="17305" spans="1:2" ht="12.75" customHeight="1" x14ac:dyDescent="0.25">
      <c r="A17305" s="318">
        <v>96236306124</v>
      </c>
      <c r="B17305" s="318" t="s">
        <v>23</v>
      </c>
    </row>
    <row r="17306" spans="1:2" ht="12.75" customHeight="1" x14ac:dyDescent="0.25">
      <c r="A17306" s="318">
        <v>96236306125</v>
      </c>
      <c r="B17306" s="318" t="s">
        <v>23</v>
      </c>
    </row>
    <row r="17307" spans="1:2" ht="12.75" customHeight="1" x14ac:dyDescent="0.25">
      <c r="A17307" s="318">
        <v>96236306126</v>
      </c>
      <c r="B17307" s="318" t="s">
        <v>23</v>
      </c>
    </row>
    <row r="17308" spans="1:2" ht="12.75" customHeight="1" x14ac:dyDescent="0.25">
      <c r="A17308" s="318">
        <v>96236306127</v>
      </c>
      <c r="B17308" s="318" t="s">
        <v>237</v>
      </c>
    </row>
    <row r="17309" spans="1:2" ht="12.75" customHeight="1" x14ac:dyDescent="0.25">
      <c r="A17309" s="318">
        <v>96236306128</v>
      </c>
      <c r="B17309" s="318" t="s">
        <v>237</v>
      </c>
    </row>
    <row r="17310" spans="1:2" ht="12.75" customHeight="1" x14ac:dyDescent="0.25">
      <c r="A17310" s="318">
        <v>96236306130</v>
      </c>
      <c r="B17310" s="318" t="s">
        <v>237</v>
      </c>
    </row>
    <row r="17311" spans="1:2" ht="12.75" customHeight="1" x14ac:dyDescent="0.25">
      <c r="A17311" s="318">
        <v>96236306131</v>
      </c>
      <c r="B17311" s="318" t="s">
        <v>237</v>
      </c>
    </row>
    <row r="17312" spans="1:2" ht="12.75" customHeight="1" x14ac:dyDescent="0.25">
      <c r="A17312" s="318">
        <v>96236306132</v>
      </c>
      <c r="B17312" s="318" t="s">
        <v>237</v>
      </c>
    </row>
    <row r="17313" spans="1:2" ht="12.75" customHeight="1" x14ac:dyDescent="0.25">
      <c r="A17313" s="318">
        <v>96236306133</v>
      </c>
      <c r="B17313" s="318" t="s">
        <v>237</v>
      </c>
    </row>
    <row r="17314" spans="1:2" ht="12.75" customHeight="1" x14ac:dyDescent="0.25">
      <c r="A17314" s="318">
        <v>96236306134</v>
      </c>
      <c r="B17314" s="318" t="s">
        <v>237</v>
      </c>
    </row>
    <row r="17315" spans="1:2" ht="12.75" customHeight="1" x14ac:dyDescent="0.25">
      <c r="A17315" s="318">
        <v>96236306135</v>
      </c>
      <c r="B17315" s="318" t="s">
        <v>237</v>
      </c>
    </row>
    <row r="17316" spans="1:2" ht="12.75" customHeight="1" x14ac:dyDescent="0.25">
      <c r="A17316" s="318">
        <v>96236306136</v>
      </c>
      <c r="B17316" s="318" t="s">
        <v>237</v>
      </c>
    </row>
    <row r="17317" spans="1:2" ht="12.75" customHeight="1" x14ac:dyDescent="0.25">
      <c r="A17317" s="318">
        <v>96236306137</v>
      </c>
      <c r="B17317" s="318" t="s">
        <v>237</v>
      </c>
    </row>
    <row r="17318" spans="1:2" ht="12.75" customHeight="1" x14ac:dyDescent="0.25">
      <c r="A17318" s="318">
        <v>96236786994</v>
      </c>
      <c r="B17318" s="318" t="s">
        <v>23</v>
      </c>
    </row>
    <row r="17319" spans="1:2" ht="12.75" customHeight="1" x14ac:dyDescent="0.25">
      <c r="A17319" s="318">
        <v>96236786995</v>
      </c>
      <c r="B17319" s="318" t="s">
        <v>23</v>
      </c>
    </row>
    <row r="17320" spans="1:2" ht="12.75" customHeight="1" x14ac:dyDescent="0.25">
      <c r="A17320" s="318">
        <v>96236786996</v>
      </c>
      <c r="B17320" s="318" t="s">
        <v>23</v>
      </c>
    </row>
    <row r="17321" spans="1:2" ht="12.75" customHeight="1" x14ac:dyDescent="0.25">
      <c r="A17321" s="318">
        <v>96236786997</v>
      </c>
      <c r="B17321" s="318" t="s">
        <v>23</v>
      </c>
    </row>
    <row r="17322" spans="1:2" ht="12.75" customHeight="1" x14ac:dyDescent="0.25">
      <c r="A17322" s="318">
        <v>96236786998</v>
      </c>
      <c r="B17322" s="318" t="s">
        <v>23</v>
      </c>
    </row>
    <row r="17323" spans="1:2" ht="12.75" customHeight="1" x14ac:dyDescent="0.25">
      <c r="A17323" s="318">
        <v>96236786999</v>
      </c>
      <c r="B17323" s="318" t="s">
        <v>23</v>
      </c>
    </row>
    <row r="17324" spans="1:2" ht="12.75" customHeight="1" x14ac:dyDescent="0.25">
      <c r="A17324" s="318">
        <v>96236787000</v>
      </c>
      <c r="B17324" s="318" t="s">
        <v>237</v>
      </c>
    </row>
    <row r="17325" spans="1:2" ht="12.75" customHeight="1" x14ac:dyDescent="0.25">
      <c r="A17325" s="318">
        <v>96236787001</v>
      </c>
      <c r="B17325" s="318" t="s">
        <v>237</v>
      </c>
    </row>
    <row r="17326" spans="1:2" ht="12.75" customHeight="1" x14ac:dyDescent="0.25">
      <c r="A17326" s="318">
        <v>96236787003</v>
      </c>
      <c r="B17326" s="318" t="s">
        <v>237</v>
      </c>
    </row>
    <row r="17327" spans="1:2" ht="12.75" customHeight="1" x14ac:dyDescent="0.25">
      <c r="A17327" s="318">
        <v>96236787004</v>
      </c>
      <c r="B17327" s="318" t="s">
        <v>237</v>
      </c>
    </row>
    <row r="17328" spans="1:2" ht="12.75" customHeight="1" x14ac:dyDescent="0.25">
      <c r="A17328" s="318">
        <v>96236787005</v>
      </c>
      <c r="B17328" s="318" t="s">
        <v>237</v>
      </c>
    </row>
    <row r="17329" spans="1:2" ht="12.75" customHeight="1" x14ac:dyDescent="0.25">
      <c r="A17329" s="318">
        <v>96236787006</v>
      </c>
      <c r="B17329" s="318" t="s">
        <v>237</v>
      </c>
    </row>
    <row r="17330" spans="1:2" ht="12.75" customHeight="1" x14ac:dyDescent="0.25">
      <c r="A17330" s="318">
        <v>96236787007</v>
      </c>
      <c r="B17330" s="318" t="s">
        <v>237</v>
      </c>
    </row>
    <row r="17331" spans="1:2" ht="12.75" customHeight="1" x14ac:dyDescent="0.25">
      <c r="A17331" s="318">
        <v>96236787008</v>
      </c>
      <c r="B17331" s="318" t="s">
        <v>237</v>
      </c>
    </row>
    <row r="17332" spans="1:2" ht="12.75" customHeight="1" x14ac:dyDescent="0.25">
      <c r="A17332" s="318">
        <v>96236787009</v>
      </c>
      <c r="B17332" s="318" t="s">
        <v>237</v>
      </c>
    </row>
    <row r="17333" spans="1:2" ht="12.75" customHeight="1" x14ac:dyDescent="0.25">
      <c r="A17333" s="318">
        <v>96236787010</v>
      </c>
      <c r="B17333" s="318" t="s">
        <v>237</v>
      </c>
    </row>
    <row r="17334" spans="1:2" ht="12.75" customHeight="1" x14ac:dyDescent="0.25">
      <c r="A17334" s="318">
        <v>96236787094</v>
      </c>
      <c r="B17334" s="318" t="s">
        <v>23</v>
      </c>
    </row>
    <row r="17335" spans="1:2" ht="12.75" customHeight="1" x14ac:dyDescent="0.25">
      <c r="A17335" s="318">
        <v>96236787095</v>
      </c>
      <c r="B17335" s="318" t="s">
        <v>23</v>
      </c>
    </row>
    <row r="17336" spans="1:2" ht="12.75" customHeight="1" x14ac:dyDescent="0.25">
      <c r="A17336" s="318">
        <v>96236787096</v>
      </c>
      <c r="B17336" s="318" t="s">
        <v>23</v>
      </c>
    </row>
    <row r="17337" spans="1:2" ht="12.75" customHeight="1" x14ac:dyDescent="0.25">
      <c r="A17337" s="318">
        <v>96236787097</v>
      </c>
      <c r="B17337" s="318" t="s">
        <v>23</v>
      </c>
    </row>
    <row r="17338" spans="1:2" ht="12.75" customHeight="1" x14ac:dyDescent="0.25">
      <c r="A17338" s="318">
        <v>96236787098</v>
      </c>
      <c r="B17338" s="318" t="s">
        <v>23</v>
      </c>
    </row>
    <row r="17339" spans="1:2" ht="12.75" customHeight="1" x14ac:dyDescent="0.25">
      <c r="A17339" s="318">
        <v>96236787099</v>
      </c>
      <c r="B17339" s="318" t="s">
        <v>23</v>
      </c>
    </row>
    <row r="17340" spans="1:2" ht="12.75" customHeight="1" x14ac:dyDescent="0.25">
      <c r="A17340" s="318">
        <v>96236787100</v>
      </c>
      <c r="B17340" s="318" t="s">
        <v>237</v>
      </c>
    </row>
    <row r="17341" spans="1:2" ht="12.75" customHeight="1" x14ac:dyDescent="0.25">
      <c r="A17341" s="318">
        <v>96236787101</v>
      </c>
      <c r="B17341" s="318" t="s">
        <v>237</v>
      </c>
    </row>
    <row r="17342" spans="1:2" ht="12.75" customHeight="1" x14ac:dyDescent="0.25">
      <c r="A17342" s="318">
        <v>96236787103</v>
      </c>
      <c r="B17342" s="318" t="s">
        <v>237</v>
      </c>
    </row>
    <row r="17343" spans="1:2" ht="12.75" customHeight="1" x14ac:dyDescent="0.25">
      <c r="A17343" s="318">
        <v>96236787104</v>
      </c>
      <c r="B17343" s="318" t="s">
        <v>237</v>
      </c>
    </row>
    <row r="17344" spans="1:2" ht="12.75" customHeight="1" x14ac:dyDescent="0.25">
      <c r="A17344" s="318">
        <v>96236787105</v>
      </c>
      <c r="B17344" s="318" t="s">
        <v>237</v>
      </c>
    </row>
    <row r="17345" spans="1:2" ht="12.75" customHeight="1" x14ac:dyDescent="0.25">
      <c r="A17345" s="318">
        <v>96236787106</v>
      </c>
      <c r="B17345" s="318" t="s">
        <v>237</v>
      </c>
    </row>
    <row r="17346" spans="1:2" ht="12.75" customHeight="1" x14ac:dyDescent="0.25">
      <c r="A17346" s="318">
        <v>96236787107</v>
      </c>
      <c r="B17346" s="318" t="s">
        <v>237</v>
      </c>
    </row>
    <row r="17347" spans="1:2" ht="12.75" customHeight="1" x14ac:dyDescent="0.25">
      <c r="A17347" s="318">
        <v>96236787108</v>
      </c>
      <c r="B17347" s="318" t="s">
        <v>237</v>
      </c>
    </row>
    <row r="17348" spans="1:2" ht="12.75" customHeight="1" x14ac:dyDescent="0.25">
      <c r="A17348" s="318">
        <v>96236787109</v>
      </c>
      <c r="B17348" s="318" t="s">
        <v>237</v>
      </c>
    </row>
    <row r="17349" spans="1:2" ht="12.75" customHeight="1" x14ac:dyDescent="0.25">
      <c r="A17349" s="318">
        <v>96236787110</v>
      </c>
      <c r="B17349" s="318" t="s">
        <v>237</v>
      </c>
    </row>
    <row r="17350" spans="1:2" ht="12.75" customHeight="1" x14ac:dyDescent="0.25">
      <c r="A17350" s="318">
        <v>96237467185</v>
      </c>
      <c r="B17350" s="318" t="s">
        <v>23</v>
      </c>
    </row>
    <row r="17351" spans="1:2" ht="12.75" customHeight="1" x14ac:dyDescent="0.25">
      <c r="A17351" s="318">
        <v>96237467186</v>
      </c>
      <c r="B17351" s="318" t="s">
        <v>23</v>
      </c>
    </row>
    <row r="17352" spans="1:2" ht="12.75" customHeight="1" x14ac:dyDescent="0.25">
      <c r="A17352" s="318">
        <v>96237467187</v>
      </c>
      <c r="B17352" s="318" t="s">
        <v>23</v>
      </c>
    </row>
    <row r="17353" spans="1:2" ht="12.75" customHeight="1" x14ac:dyDescent="0.25">
      <c r="A17353" s="318">
        <v>96237467188</v>
      </c>
      <c r="B17353" s="318" t="s">
        <v>23</v>
      </c>
    </row>
    <row r="17354" spans="1:2" ht="12.75" customHeight="1" x14ac:dyDescent="0.25">
      <c r="A17354" s="318">
        <v>96237467189</v>
      </c>
      <c r="B17354" s="318" t="s">
        <v>23</v>
      </c>
    </row>
    <row r="17355" spans="1:2" ht="12.75" customHeight="1" x14ac:dyDescent="0.25">
      <c r="A17355" s="318">
        <v>96237467190</v>
      </c>
      <c r="B17355" s="318" t="s">
        <v>23</v>
      </c>
    </row>
    <row r="17356" spans="1:2" ht="12.75" customHeight="1" x14ac:dyDescent="0.25">
      <c r="A17356" s="318">
        <v>96237467191</v>
      </c>
      <c r="B17356" s="318" t="s">
        <v>237</v>
      </c>
    </row>
    <row r="17357" spans="1:2" ht="12.75" customHeight="1" x14ac:dyDescent="0.25">
      <c r="A17357" s="318">
        <v>96237467192</v>
      </c>
      <c r="B17357" s="318" t="s">
        <v>237</v>
      </c>
    </row>
    <row r="17358" spans="1:2" ht="12.75" customHeight="1" x14ac:dyDescent="0.25">
      <c r="A17358" s="318">
        <v>96237467194</v>
      </c>
      <c r="B17358" s="318" t="s">
        <v>237</v>
      </c>
    </row>
    <row r="17359" spans="1:2" ht="12.75" customHeight="1" x14ac:dyDescent="0.25">
      <c r="A17359" s="318">
        <v>96237467195</v>
      </c>
      <c r="B17359" s="318" t="s">
        <v>237</v>
      </c>
    </row>
    <row r="17360" spans="1:2" ht="12.75" customHeight="1" x14ac:dyDescent="0.25">
      <c r="A17360" s="318">
        <v>96237467196</v>
      </c>
      <c r="B17360" s="318" t="s">
        <v>237</v>
      </c>
    </row>
    <row r="17361" spans="1:2" ht="12.75" customHeight="1" x14ac:dyDescent="0.25">
      <c r="A17361" s="318">
        <v>96237467197</v>
      </c>
      <c r="B17361" s="318" t="s">
        <v>237</v>
      </c>
    </row>
    <row r="17362" spans="1:2" ht="12.75" customHeight="1" x14ac:dyDescent="0.25">
      <c r="A17362" s="318">
        <v>96237467198</v>
      </c>
      <c r="B17362" s="318" t="s">
        <v>237</v>
      </c>
    </row>
    <row r="17363" spans="1:2" ht="12.75" customHeight="1" x14ac:dyDescent="0.25">
      <c r="A17363" s="318">
        <v>96237467199</v>
      </c>
      <c r="B17363" s="318" t="s">
        <v>237</v>
      </c>
    </row>
    <row r="17364" spans="1:2" ht="12.75" customHeight="1" x14ac:dyDescent="0.25">
      <c r="A17364" s="318">
        <v>96237467200</v>
      </c>
      <c r="B17364" s="318" t="s">
        <v>237</v>
      </c>
    </row>
    <row r="17365" spans="1:2" ht="12.75" customHeight="1" x14ac:dyDescent="0.25">
      <c r="A17365" s="318">
        <v>96237467201</v>
      </c>
      <c r="B17365" s="318" t="s">
        <v>237</v>
      </c>
    </row>
    <row r="17366" spans="1:2" ht="12.75" customHeight="1" x14ac:dyDescent="0.25">
      <c r="A17366" s="318">
        <v>96237467285</v>
      </c>
      <c r="B17366" s="318" t="s">
        <v>23</v>
      </c>
    </row>
    <row r="17367" spans="1:2" ht="12.75" customHeight="1" x14ac:dyDescent="0.25">
      <c r="A17367" s="318">
        <v>96237467286</v>
      </c>
      <c r="B17367" s="318" t="s">
        <v>23</v>
      </c>
    </row>
    <row r="17368" spans="1:2" ht="12.75" customHeight="1" x14ac:dyDescent="0.25">
      <c r="A17368" s="318">
        <v>96237467287</v>
      </c>
      <c r="B17368" s="318" t="s">
        <v>23</v>
      </c>
    </row>
    <row r="17369" spans="1:2" ht="12.75" customHeight="1" x14ac:dyDescent="0.25">
      <c r="A17369" s="318">
        <v>96237467288</v>
      </c>
      <c r="B17369" s="318" t="s">
        <v>23</v>
      </c>
    </row>
    <row r="17370" spans="1:2" ht="12.75" customHeight="1" x14ac:dyDescent="0.25">
      <c r="A17370" s="318">
        <v>96237467289</v>
      </c>
      <c r="B17370" s="318" t="s">
        <v>23</v>
      </c>
    </row>
    <row r="17371" spans="1:2" ht="12.75" customHeight="1" x14ac:dyDescent="0.25">
      <c r="A17371" s="318">
        <v>96237467290</v>
      </c>
      <c r="B17371" s="318" t="s">
        <v>23</v>
      </c>
    </row>
    <row r="17372" spans="1:2" ht="12.75" customHeight="1" x14ac:dyDescent="0.25">
      <c r="A17372" s="318">
        <v>96237467291</v>
      </c>
      <c r="B17372" s="318" t="s">
        <v>237</v>
      </c>
    </row>
    <row r="17373" spans="1:2" ht="12.75" customHeight="1" x14ac:dyDescent="0.25">
      <c r="A17373" s="318">
        <v>96237467292</v>
      </c>
      <c r="B17373" s="318" t="s">
        <v>237</v>
      </c>
    </row>
    <row r="17374" spans="1:2" ht="12.75" customHeight="1" x14ac:dyDescent="0.25">
      <c r="A17374" s="318">
        <v>96237467294</v>
      </c>
      <c r="B17374" s="318" t="s">
        <v>237</v>
      </c>
    </row>
    <row r="17375" spans="1:2" ht="12.75" customHeight="1" x14ac:dyDescent="0.25">
      <c r="A17375" s="318">
        <v>96237467295</v>
      </c>
      <c r="B17375" s="318" t="s">
        <v>237</v>
      </c>
    </row>
    <row r="17376" spans="1:2" ht="12.75" customHeight="1" x14ac:dyDescent="0.25">
      <c r="A17376" s="318">
        <v>96237467296</v>
      </c>
      <c r="B17376" s="318" t="s">
        <v>237</v>
      </c>
    </row>
    <row r="17377" spans="1:2" ht="12.75" customHeight="1" x14ac:dyDescent="0.25">
      <c r="A17377" s="318">
        <v>96237467297</v>
      </c>
      <c r="B17377" s="318" t="s">
        <v>237</v>
      </c>
    </row>
    <row r="17378" spans="1:2" ht="12.75" customHeight="1" x14ac:dyDescent="0.25">
      <c r="A17378" s="318">
        <v>96237467298</v>
      </c>
      <c r="B17378" s="318" t="s">
        <v>237</v>
      </c>
    </row>
    <row r="17379" spans="1:2" ht="12.75" customHeight="1" x14ac:dyDescent="0.25">
      <c r="A17379" s="318">
        <v>96237467299</v>
      </c>
      <c r="B17379" s="318" t="s">
        <v>237</v>
      </c>
    </row>
    <row r="17380" spans="1:2" ht="12.75" customHeight="1" x14ac:dyDescent="0.25">
      <c r="A17380" s="318">
        <v>96237467300</v>
      </c>
      <c r="B17380" s="318" t="s">
        <v>237</v>
      </c>
    </row>
    <row r="17381" spans="1:2" ht="12.75" customHeight="1" x14ac:dyDescent="0.25">
      <c r="A17381" s="318">
        <v>96237467301</v>
      </c>
      <c r="B17381" s="318" t="s">
        <v>237</v>
      </c>
    </row>
    <row r="17382" spans="1:2" ht="12.75" customHeight="1" x14ac:dyDescent="0.25">
      <c r="A17382" s="318">
        <v>96237948158</v>
      </c>
      <c r="B17382" s="318" t="s">
        <v>23</v>
      </c>
    </row>
    <row r="17383" spans="1:2" ht="12.75" customHeight="1" x14ac:dyDescent="0.25">
      <c r="A17383" s="318">
        <v>96237948159</v>
      </c>
      <c r="B17383" s="318" t="s">
        <v>23</v>
      </c>
    </row>
    <row r="17384" spans="1:2" ht="12.75" customHeight="1" x14ac:dyDescent="0.25">
      <c r="A17384" s="318">
        <v>96237948160</v>
      </c>
      <c r="B17384" s="318" t="s">
        <v>23</v>
      </c>
    </row>
    <row r="17385" spans="1:2" ht="12.75" customHeight="1" x14ac:dyDescent="0.25">
      <c r="A17385" s="318">
        <v>96237948161</v>
      </c>
      <c r="B17385" s="318" t="s">
        <v>23</v>
      </c>
    </row>
    <row r="17386" spans="1:2" ht="12.75" customHeight="1" x14ac:dyDescent="0.25">
      <c r="A17386" s="318">
        <v>96237948162</v>
      </c>
      <c r="B17386" s="318" t="s">
        <v>23</v>
      </c>
    </row>
    <row r="17387" spans="1:2" ht="12.75" customHeight="1" x14ac:dyDescent="0.25">
      <c r="A17387" s="318">
        <v>96237948163</v>
      </c>
      <c r="B17387" s="318" t="s">
        <v>23</v>
      </c>
    </row>
    <row r="17388" spans="1:2" ht="12.75" customHeight="1" x14ac:dyDescent="0.25">
      <c r="A17388" s="318">
        <v>96237948164</v>
      </c>
      <c r="B17388" s="318" t="s">
        <v>237</v>
      </c>
    </row>
    <row r="17389" spans="1:2" ht="12.75" customHeight="1" x14ac:dyDescent="0.25">
      <c r="A17389" s="318">
        <v>96237948165</v>
      </c>
      <c r="B17389" s="318" t="s">
        <v>237</v>
      </c>
    </row>
    <row r="17390" spans="1:2" ht="12.75" customHeight="1" x14ac:dyDescent="0.25">
      <c r="A17390" s="318">
        <v>96237948167</v>
      </c>
      <c r="B17390" s="318" t="s">
        <v>237</v>
      </c>
    </row>
    <row r="17391" spans="1:2" ht="12.75" customHeight="1" x14ac:dyDescent="0.25">
      <c r="A17391" s="318">
        <v>96237948168</v>
      </c>
      <c r="B17391" s="318" t="s">
        <v>237</v>
      </c>
    </row>
    <row r="17392" spans="1:2" ht="12.75" customHeight="1" x14ac:dyDescent="0.25">
      <c r="A17392" s="318">
        <v>96237948169</v>
      </c>
      <c r="B17392" s="318" t="s">
        <v>237</v>
      </c>
    </row>
    <row r="17393" spans="1:2" ht="12.75" customHeight="1" x14ac:dyDescent="0.25">
      <c r="A17393" s="318">
        <v>96237948170</v>
      </c>
      <c r="B17393" s="318" t="s">
        <v>237</v>
      </c>
    </row>
    <row r="17394" spans="1:2" ht="12.75" customHeight="1" x14ac:dyDescent="0.25">
      <c r="A17394" s="318">
        <v>96237948171</v>
      </c>
      <c r="B17394" s="318" t="s">
        <v>237</v>
      </c>
    </row>
    <row r="17395" spans="1:2" ht="12.75" customHeight="1" x14ac:dyDescent="0.25">
      <c r="A17395" s="318">
        <v>96237948172</v>
      </c>
      <c r="B17395" s="318" t="s">
        <v>237</v>
      </c>
    </row>
    <row r="17396" spans="1:2" ht="12.75" customHeight="1" x14ac:dyDescent="0.25">
      <c r="A17396" s="318">
        <v>96237948173</v>
      </c>
      <c r="B17396" s="318" t="s">
        <v>237</v>
      </c>
    </row>
    <row r="17397" spans="1:2" ht="12.75" customHeight="1" x14ac:dyDescent="0.25">
      <c r="A17397" s="318">
        <v>96237948174</v>
      </c>
      <c r="B17397" s="318" t="s">
        <v>237</v>
      </c>
    </row>
    <row r="17398" spans="1:2" ht="12.75" customHeight="1" x14ac:dyDescent="0.25">
      <c r="A17398" s="318">
        <v>96237948258</v>
      </c>
      <c r="B17398" s="318" t="s">
        <v>23</v>
      </c>
    </row>
    <row r="17399" spans="1:2" ht="12.75" customHeight="1" x14ac:dyDescent="0.25">
      <c r="A17399" s="318">
        <v>96237948259</v>
      </c>
      <c r="B17399" s="318" t="s">
        <v>23</v>
      </c>
    </row>
    <row r="17400" spans="1:2" ht="12.75" customHeight="1" x14ac:dyDescent="0.25">
      <c r="A17400" s="318">
        <v>96237948260</v>
      </c>
      <c r="B17400" s="318" t="s">
        <v>23</v>
      </c>
    </row>
    <row r="17401" spans="1:2" ht="12.75" customHeight="1" x14ac:dyDescent="0.25">
      <c r="A17401" s="318">
        <v>96237948261</v>
      </c>
      <c r="B17401" s="318" t="s">
        <v>23</v>
      </c>
    </row>
    <row r="17402" spans="1:2" ht="12.75" customHeight="1" x14ac:dyDescent="0.25">
      <c r="A17402" s="318">
        <v>96237948262</v>
      </c>
      <c r="B17402" s="318" t="s">
        <v>23</v>
      </c>
    </row>
    <row r="17403" spans="1:2" ht="12.75" customHeight="1" x14ac:dyDescent="0.25">
      <c r="A17403" s="318">
        <v>96237948263</v>
      </c>
      <c r="B17403" s="318" t="s">
        <v>23</v>
      </c>
    </row>
    <row r="17404" spans="1:2" ht="12.75" customHeight="1" x14ac:dyDescent="0.25">
      <c r="A17404" s="318">
        <v>96237948264</v>
      </c>
      <c r="B17404" s="318" t="s">
        <v>237</v>
      </c>
    </row>
    <row r="17405" spans="1:2" ht="12.75" customHeight="1" x14ac:dyDescent="0.25">
      <c r="A17405" s="318">
        <v>96237948265</v>
      </c>
      <c r="B17405" s="318" t="s">
        <v>237</v>
      </c>
    </row>
    <row r="17406" spans="1:2" ht="12.75" customHeight="1" x14ac:dyDescent="0.25">
      <c r="A17406" s="318">
        <v>96237948267</v>
      </c>
      <c r="B17406" s="318" t="s">
        <v>237</v>
      </c>
    </row>
    <row r="17407" spans="1:2" ht="12.75" customHeight="1" x14ac:dyDescent="0.25">
      <c r="A17407" s="318">
        <v>96237948268</v>
      </c>
      <c r="B17407" s="318" t="s">
        <v>237</v>
      </c>
    </row>
    <row r="17408" spans="1:2" ht="12.75" customHeight="1" x14ac:dyDescent="0.25">
      <c r="A17408" s="318">
        <v>96237948269</v>
      </c>
      <c r="B17408" s="318" t="s">
        <v>237</v>
      </c>
    </row>
    <row r="17409" spans="1:2" ht="12.75" customHeight="1" x14ac:dyDescent="0.25">
      <c r="A17409" s="318">
        <v>96237948270</v>
      </c>
      <c r="B17409" s="318" t="s">
        <v>237</v>
      </c>
    </row>
    <row r="17410" spans="1:2" ht="12.75" customHeight="1" x14ac:dyDescent="0.25">
      <c r="A17410" s="318">
        <v>96237948271</v>
      </c>
      <c r="B17410" s="318" t="s">
        <v>237</v>
      </c>
    </row>
    <row r="17411" spans="1:2" ht="12.75" customHeight="1" x14ac:dyDescent="0.25">
      <c r="A17411" s="318">
        <v>96237948272</v>
      </c>
      <c r="B17411" s="318" t="s">
        <v>237</v>
      </c>
    </row>
    <row r="17412" spans="1:2" ht="12.75" customHeight="1" x14ac:dyDescent="0.25">
      <c r="A17412" s="318">
        <v>96237948273</v>
      </c>
      <c r="B17412" s="318" t="s">
        <v>237</v>
      </c>
    </row>
    <row r="17413" spans="1:2" ht="12.75" customHeight="1" x14ac:dyDescent="0.25">
      <c r="A17413" s="318">
        <v>96237948274</v>
      </c>
      <c r="B17413" s="318" t="s">
        <v>237</v>
      </c>
    </row>
    <row r="17414" spans="1:2" ht="12.75" customHeight="1" x14ac:dyDescent="0.25">
      <c r="A17414" s="318">
        <v>96238429131</v>
      </c>
      <c r="B17414" s="318" t="s">
        <v>23</v>
      </c>
    </row>
    <row r="17415" spans="1:2" ht="12.75" customHeight="1" x14ac:dyDescent="0.25">
      <c r="A17415" s="318">
        <v>96238429132</v>
      </c>
      <c r="B17415" s="318" t="s">
        <v>23</v>
      </c>
    </row>
    <row r="17416" spans="1:2" ht="12.75" customHeight="1" x14ac:dyDescent="0.25">
      <c r="A17416" s="318">
        <v>96238429133</v>
      </c>
      <c r="B17416" s="318" t="s">
        <v>23</v>
      </c>
    </row>
    <row r="17417" spans="1:2" ht="12.75" customHeight="1" x14ac:dyDescent="0.25">
      <c r="A17417" s="318">
        <v>96238429134</v>
      </c>
      <c r="B17417" s="318" t="s">
        <v>23</v>
      </c>
    </row>
    <row r="17418" spans="1:2" ht="12.75" customHeight="1" x14ac:dyDescent="0.25">
      <c r="A17418" s="318">
        <v>96238429135</v>
      </c>
      <c r="B17418" s="318" t="s">
        <v>23</v>
      </c>
    </row>
    <row r="17419" spans="1:2" ht="12.75" customHeight="1" x14ac:dyDescent="0.25">
      <c r="A17419" s="318">
        <v>96238429136</v>
      </c>
      <c r="B17419" s="318" t="s">
        <v>23</v>
      </c>
    </row>
    <row r="17420" spans="1:2" ht="12.75" customHeight="1" x14ac:dyDescent="0.25">
      <c r="A17420" s="318">
        <v>96238429137</v>
      </c>
      <c r="B17420" s="318" t="s">
        <v>237</v>
      </c>
    </row>
    <row r="17421" spans="1:2" ht="12.75" customHeight="1" x14ac:dyDescent="0.25">
      <c r="A17421" s="318">
        <v>96238429138</v>
      </c>
      <c r="B17421" s="318" t="s">
        <v>237</v>
      </c>
    </row>
    <row r="17422" spans="1:2" ht="12.75" customHeight="1" x14ac:dyDescent="0.25">
      <c r="A17422" s="318">
        <v>96238429140</v>
      </c>
      <c r="B17422" s="318" t="s">
        <v>237</v>
      </c>
    </row>
    <row r="17423" spans="1:2" ht="12.75" customHeight="1" x14ac:dyDescent="0.25">
      <c r="A17423" s="318">
        <v>96238429141</v>
      </c>
      <c r="B17423" s="318" t="s">
        <v>237</v>
      </c>
    </row>
    <row r="17424" spans="1:2" ht="12.75" customHeight="1" x14ac:dyDescent="0.25">
      <c r="A17424" s="318">
        <v>96238429142</v>
      </c>
      <c r="B17424" s="318" t="s">
        <v>237</v>
      </c>
    </row>
    <row r="17425" spans="1:2" ht="12.75" customHeight="1" x14ac:dyDescent="0.25">
      <c r="A17425" s="318">
        <v>96238429143</v>
      </c>
      <c r="B17425" s="318" t="s">
        <v>237</v>
      </c>
    </row>
    <row r="17426" spans="1:2" ht="12.75" customHeight="1" x14ac:dyDescent="0.25">
      <c r="A17426" s="318">
        <v>96238429144</v>
      </c>
      <c r="B17426" s="318" t="s">
        <v>237</v>
      </c>
    </row>
    <row r="17427" spans="1:2" ht="12.75" customHeight="1" x14ac:dyDescent="0.25">
      <c r="A17427" s="318">
        <v>96238429145</v>
      </c>
      <c r="B17427" s="318" t="s">
        <v>237</v>
      </c>
    </row>
    <row r="17428" spans="1:2" ht="12.75" customHeight="1" x14ac:dyDescent="0.25">
      <c r="A17428" s="318">
        <v>96238429146</v>
      </c>
      <c r="B17428" s="318" t="s">
        <v>237</v>
      </c>
    </row>
    <row r="17429" spans="1:2" ht="12.75" customHeight="1" x14ac:dyDescent="0.25">
      <c r="A17429" s="318">
        <v>96238429147</v>
      </c>
      <c r="B17429" s="318" t="s">
        <v>237</v>
      </c>
    </row>
    <row r="17430" spans="1:2" ht="12.75" customHeight="1" x14ac:dyDescent="0.25">
      <c r="A17430" s="318">
        <v>96238429231</v>
      </c>
      <c r="B17430" s="318" t="s">
        <v>23</v>
      </c>
    </row>
    <row r="17431" spans="1:2" ht="12.75" customHeight="1" x14ac:dyDescent="0.25">
      <c r="A17431" s="318">
        <v>96238429232</v>
      </c>
      <c r="B17431" s="318" t="s">
        <v>23</v>
      </c>
    </row>
    <row r="17432" spans="1:2" ht="12.75" customHeight="1" x14ac:dyDescent="0.25">
      <c r="A17432" s="318">
        <v>96238429233</v>
      </c>
      <c r="B17432" s="318" t="s">
        <v>23</v>
      </c>
    </row>
    <row r="17433" spans="1:2" ht="12.75" customHeight="1" x14ac:dyDescent="0.25">
      <c r="A17433" s="318">
        <v>96238429234</v>
      </c>
      <c r="B17433" s="318" t="s">
        <v>23</v>
      </c>
    </row>
    <row r="17434" spans="1:2" ht="12.75" customHeight="1" x14ac:dyDescent="0.25">
      <c r="A17434" s="318">
        <v>96238429235</v>
      </c>
      <c r="B17434" s="318" t="s">
        <v>23</v>
      </c>
    </row>
    <row r="17435" spans="1:2" ht="12.75" customHeight="1" x14ac:dyDescent="0.25">
      <c r="A17435" s="318">
        <v>96238429236</v>
      </c>
      <c r="B17435" s="318" t="s">
        <v>23</v>
      </c>
    </row>
    <row r="17436" spans="1:2" ht="12.75" customHeight="1" x14ac:dyDescent="0.25">
      <c r="A17436" s="318">
        <v>96238429237</v>
      </c>
      <c r="B17436" s="318" t="s">
        <v>237</v>
      </c>
    </row>
    <row r="17437" spans="1:2" ht="12.75" customHeight="1" x14ac:dyDescent="0.25">
      <c r="A17437" s="318">
        <v>96238429238</v>
      </c>
      <c r="B17437" s="318" t="s">
        <v>237</v>
      </c>
    </row>
    <row r="17438" spans="1:2" ht="12.75" customHeight="1" x14ac:dyDescent="0.25">
      <c r="A17438" s="318">
        <v>96238429240</v>
      </c>
      <c r="B17438" s="318" t="s">
        <v>237</v>
      </c>
    </row>
    <row r="17439" spans="1:2" ht="12.75" customHeight="1" x14ac:dyDescent="0.25">
      <c r="A17439" s="318">
        <v>96238429241</v>
      </c>
      <c r="B17439" s="318" t="s">
        <v>237</v>
      </c>
    </row>
    <row r="17440" spans="1:2" ht="12.75" customHeight="1" x14ac:dyDescent="0.25">
      <c r="A17440" s="318">
        <v>96238429242</v>
      </c>
      <c r="B17440" s="318" t="s">
        <v>237</v>
      </c>
    </row>
    <row r="17441" spans="1:2" ht="12.75" customHeight="1" x14ac:dyDescent="0.25">
      <c r="A17441" s="318">
        <v>96238429243</v>
      </c>
      <c r="B17441" s="318" t="s">
        <v>237</v>
      </c>
    </row>
    <row r="17442" spans="1:2" ht="12.75" customHeight="1" x14ac:dyDescent="0.25">
      <c r="A17442" s="318">
        <v>96238429244</v>
      </c>
      <c r="B17442" s="318" t="s">
        <v>237</v>
      </c>
    </row>
    <row r="17443" spans="1:2" ht="12.75" customHeight="1" x14ac:dyDescent="0.25">
      <c r="A17443" s="318">
        <v>96238429245</v>
      </c>
      <c r="B17443" s="318" t="s">
        <v>237</v>
      </c>
    </row>
    <row r="17444" spans="1:2" ht="12.75" customHeight="1" x14ac:dyDescent="0.25">
      <c r="A17444" s="318">
        <v>96238429246</v>
      </c>
      <c r="B17444" s="318" t="s">
        <v>237</v>
      </c>
    </row>
    <row r="17445" spans="1:2" ht="12.75" customHeight="1" x14ac:dyDescent="0.25">
      <c r="A17445" s="318">
        <v>96238429247</v>
      </c>
      <c r="B17445" s="318" t="s">
        <v>237</v>
      </c>
    </row>
    <row r="17446" spans="1:2" ht="12.75" customHeight="1" x14ac:dyDescent="0.25">
      <c r="A17446" s="318">
        <v>96239789512</v>
      </c>
      <c r="B17446" s="318" t="s">
        <v>23</v>
      </c>
    </row>
    <row r="17447" spans="1:2" ht="12.75" customHeight="1" x14ac:dyDescent="0.25">
      <c r="A17447" s="318">
        <v>96239789513</v>
      </c>
      <c r="B17447" s="318" t="s">
        <v>23</v>
      </c>
    </row>
    <row r="17448" spans="1:2" ht="12.75" customHeight="1" x14ac:dyDescent="0.25">
      <c r="A17448" s="318">
        <v>96239789514</v>
      </c>
      <c r="B17448" s="318" t="s">
        <v>23</v>
      </c>
    </row>
    <row r="17449" spans="1:2" ht="12.75" customHeight="1" x14ac:dyDescent="0.25">
      <c r="A17449" s="318">
        <v>96239789515</v>
      </c>
      <c r="B17449" s="318" t="s">
        <v>23</v>
      </c>
    </row>
    <row r="17450" spans="1:2" ht="12.75" customHeight="1" x14ac:dyDescent="0.25">
      <c r="A17450" s="318">
        <v>96239789516</v>
      </c>
      <c r="B17450" s="318" t="s">
        <v>23</v>
      </c>
    </row>
    <row r="17451" spans="1:2" ht="12.75" customHeight="1" x14ac:dyDescent="0.25">
      <c r="A17451" s="318">
        <v>96239789517</v>
      </c>
      <c r="B17451" s="318" t="s">
        <v>23</v>
      </c>
    </row>
    <row r="17452" spans="1:2" ht="12.75" customHeight="1" x14ac:dyDescent="0.25">
      <c r="A17452" s="318">
        <v>96239789518</v>
      </c>
      <c r="B17452" s="318" t="s">
        <v>237</v>
      </c>
    </row>
    <row r="17453" spans="1:2" ht="12.75" customHeight="1" x14ac:dyDescent="0.25">
      <c r="A17453" s="318">
        <v>96239789519</v>
      </c>
      <c r="B17453" s="318" t="s">
        <v>237</v>
      </c>
    </row>
    <row r="17454" spans="1:2" ht="12.75" customHeight="1" x14ac:dyDescent="0.25">
      <c r="A17454" s="318">
        <v>96239789521</v>
      </c>
      <c r="B17454" s="318" t="s">
        <v>237</v>
      </c>
    </row>
    <row r="17455" spans="1:2" ht="12.75" customHeight="1" x14ac:dyDescent="0.25">
      <c r="A17455" s="318">
        <v>96239789522</v>
      </c>
      <c r="B17455" s="318" t="s">
        <v>237</v>
      </c>
    </row>
    <row r="17456" spans="1:2" ht="12.75" customHeight="1" x14ac:dyDescent="0.25">
      <c r="A17456" s="318">
        <v>96239789523</v>
      </c>
      <c r="B17456" s="318" t="s">
        <v>237</v>
      </c>
    </row>
    <row r="17457" spans="1:2" ht="12.75" customHeight="1" x14ac:dyDescent="0.25">
      <c r="A17457" s="318">
        <v>96239789524</v>
      </c>
      <c r="B17457" s="318" t="s">
        <v>237</v>
      </c>
    </row>
    <row r="17458" spans="1:2" ht="12.75" customHeight="1" x14ac:dyDescent="0.25">
      <c r="A17458" s="318">
        <v>96239789525</v>
      </c>
      <c r="B17458" s="318" t="s">
        <v>237</v>
      </c>
    </row>
    <row r="17459" spans="1:2" ht="12.75" customHeight="1" x14ac:dyDescent="0.25">
      <c r="A17459" s="318">
        <v>96239789526</v>
      </c>
      <c r="B17459" s="318" t="s">
        <v>237</v>
      </c>
    </row>
    <row r="17460" spans="1:2" ht="12.75" customHeight="1" x14ac:dyDescent="0.25">
      <c r="A17460" s="318">
        <v>96239789527</v>
      </c>
      <c r="B17460" s="318" t="s">
        <v>237</v>
      </c>
    </row>
    <row r="17461" spans="1:2" ht="12.75" customHeight="1" x14ac:dyDescent="0.25">
      <c r="A17461" s="318">
        <v>96239789528</v>
      </c>
      <c r="B17461" s="318" t="s">
        <v>237</v>
      </c>
    </row>
    <row r="17462" spans="1:2" ht="12.75" customHeight="1" x14ac:dyDescent="0.25">
      <c r="A17462" s="318">
        <v>96239789612</v>
      </c>
      <c r="B17462" s="318" t="s">
        <v>23</v>
      </c>
    </row>
    <row r="17463" spans="1:2" ht="12.75" customHeight="1" x14ac:dyDescent="0.25">
      <c r="A17463" s="318">
        <v>96239789613</v>
      </c>
      <c r="B17463" s="318" t="s">
        <v>23</v>
      </c>
    </row>
    <row r="17464" spans="1:2" ht="12.75" customHeight="1" x14ac:dyDescent="0.25">
      <c r="A17464" s="318">
        <v>96239789614</v>
      </c>
      <c r="B17464" s="318" t="s">
        <v>23</v>
      </c>
    </row>
    <row r="17465" spans="1:2" ht="12.75" customHeight="1" x14ac:dyDescent="0.25">
      <c r="A17465" s="318">
        <v>96239789615</v>
      </c>
      <c r="B17465" s="318" t="s">
        <v>23</v>
      </c>
    </row>
    <row r="17466" spans="1:2" ht="12.75" customHeight="1" x14ac:dyDescent="0.25">
      <c r="A17466" s="318">
        <v>96239789616</v>
      </c>
      <c r="B17466" s="318" t="s">
        <v>23</v>
      </c>
    </row>
    <row r="17467" spans="1:2" ht="12.75" customHeight="1" x14ac:dyDescent="0.25">
      <c r="A17467" s="318">
        <v>96239789617</v>
      </c>
      <c r="B17467" s="318" t="s">
        <v>23</v>
      </c>
    </row>
    <row r="17468" spans="1:2" ht="12.75" customHeight="1" x14ac:dyDescent="0.25">
      <c r="A17468" s="318">
        <v>96239789618</v>
      </c>
      <c r="B17468" s="318" t="s">
        <v>237</v>
      </c>
    </row>
    <row r="17469" spans="1:2" ht="12.75" customHeight="1" x14ac:dyDescent="0.25">
      <c r="A17469" s="318">
        <v>96239789619</v>
      </c>
      <c r="B17469" s="318" t="s">
        <v>237</v>
      </c>
    </row>
    <row r="17470" spans="1:2" ht="12.75" customHeight="1" x14ac:dyDescent="0.25">
      <c r="A17470" s="318">
        <v>96239789621</v>
      </c>
      <c r="B17470" s="318" t="s">
        <v>237</v>
      </c>
    </row>
    <row r="17471" spans="1:2" ht="12.75" customHeight="1" x14ac:dyDescent="0.25">
      <c r="A17471" s="318">
        <v>96239789622</v>
      </c>
      <c r="B17471" s="318" t="s">
        <v>237</v>
      </c>
    </row>
    <row r="17472" spans="1:2" ht="12.75" customHeight="1" x14ac:dyDescent="0.25">
      <c r="A17472" s="318">
        <v>96239789623</v>
      </c>
      <c r="B17472" s="318" t="s">
        <v>237</v>
      </c>
    </row>
    <row r="17473" spans="1:2" ht="12.75" customHeight="1" x14ac:dyDescent="0.25">
      <c r="A17473" s="318">
        <v>96239789624</v>
      </c>
      <c r="B17473" s="318" t="s">
        <v>237</v>
      </c>
    </row>
    <row r="17474" spans="1:2" ht="12.75" customHeight="1" x14ac:dyDescent="0.25">
      <c r="A17474" s="318">
        <v>96239789625</v>
      </c>
      <c r="B17474" s="318" t="s">
        <v>237</v>
      </c>
    </row>
    <row r="17475" spans="1:2" ht="12.75" customHeight="1" x14ac:dyDescent="0.25">
      <c r="A17475" s="318">
        <v>96239789626</v>
      </c>
      <c r="B17475" s="318" t="s">
        <v>237</v>
      </c>
    </row>
    <row r="17476" spans="1:2" ht="12.75" customHeight="1" x14ac:dyDescent="0.25">
      <c r="A17476" s="318">
        <v>96239789627</v>
      </c>
      <c r="B17476" s="318" t="s">
        <v>237</v>
      </c>
    </row>
    <row r="17477" spans="1:2" ht="12.75" customHeight="1" x14ac:dyDescent="0.25">
      <c r="A17477" s="318">
        <v>96239789628</v>
      </c>
      <c r="B17477" s="318" t="s">
        <v>237</v>
      </c>
    </row>
    <row r="17478" spans="1:2" ht="12.75" customHeight="1" x14ac:dyDescent="0.25">
      <c r="A17478" s="318">
        <v>96240270485</v>
      </c>
      <c r="B17478" s="318" t="s">
        <v>23</v>
      </c>
    </row>
    <row r="17479" spans="1:2" ht="12.75" customHeight="1" x14ac:dyDescent="0.25">
      <c r="A17479" s="318">
        <v>96240270486</v>
      </c>
      <c r="B17479" s="318" t="s">
        <v>23</v>
      </c>
    </row>
    <row r="17480" spans="1:2" ht="12.75" customHeight="1" x14ac:dyDescent="0.25">
      <c r="A17480" s="318">
        <v>96240270487</v>
      </c>
      <c r="B17480" s="318" t="s">
        <v>23</v>
      </c>
    </row>
    <row r="17481" spans="1:2" ht="12.75" customHeight="1" x14ac:dyDescent="0.25">
      <c r="A17481" s="318">
        <v>96240270488</v>
      </c>
      <c r="B17481" s="318" t="s">
        <v>23</v>
      </c>
    </row>
    <row r="17482" spans="1:2" ht="12.75" customHeight="1" x14ac:dyDescent="0.25">
      <c r="A17482" s="318">
        <v>96240270489</v>
      </c>
      <c r="B17482" s="318" t="s">
        <v>23</v>
      </c>
    </row>
    <row r="17483" spans="1:2" ht="12.75" customHeight="1" x14ac:dyDescent="0.25">
      <c r="A17483" s="318">
        <v>96240270490</v>
      </c>
      <c r="B17483" s="318" t="s">
        <v>23</v>
      </c>
    </row>
    <row r="17484" spans="1:2" ht="12.75" customHeight="1" x14ac:dyDescent="0.25">
      <c r="A17484" s="318">
        <v>96240270491</v>
      </c>
      <c r="B17484" s="318" t="s">
        <v>237</v>
      </c>
    </row>
    <row r="17485" spans="1:2" ht="12.75" customHeight="1" x14ac:dyDescent="0.25">
      <c r="A17485" s="318">
        <v>96240270492</v>
      </c>
      <c r="B17485" s="318" t="s">
        <v>237</v>
      </c>
    </row>
    <row r="17486" spans="1:2" ht="12.75" customHeight="1" x14ac:dyDescent="0.25">
      <c r="A17486" s="318">
        <v>96240270494</v>
      </c>
      <c r="B17486" s="318" t="s">
        <v>237</v>
      </c>
    </row>
    <row r="17487" spans="1:2" ht="12.75" customHeight="1" x14ac:dyDescent="0.25">
      <c r="A17487" s="318">
        <v>96240270495</v>
      </c>
      <c r="B17487" s="318" t="s">
        <v>237</v>
      </c>
    </row>
    <row r="17488" spans="1:2" ht="12.75" customHeight="1" x14ac:dyDescent="0.25">
      <c r="A17488" s="318">
        <v>96240270496</v>
      </c>
      <c r="B17488" s="318" t="s">
        <v>237</v>
      </c>
    </row>
    <row r="17489" spans="1:2" ht="12.75" customHeight="1" x14ac:dyDescent="0.25">
      <c r="A17489" s="318">
        <v>96240270497</v>
      </c>
      <c r="B17489" s="318" t="s">
        <v>237</v>
      </c>
    </row>
    <row r="17490" spans="1:2" ht="12.75" customHeight="1" x14ac:dyDescent="0.25">
      <c r="A17490" s="318">
        <v>96240270498</v>
      </c>
      <c r="B17490" s="318" t="s">
        <v>237</v>
      </c>
    </row>
    <row r="17491" spans="1:2" ht="12.75" customHeight="1" x14ac:dyDescent="0.25">
      <c r="A17491" s="318">
        <v>96240270499</v>
      </c>
      <c r="B17491" s="318" t="s">
        <v>237</v>
      </c>
    </row>
    <row r="17492" spans="1:2" ht="12.75" customHeight="1" x14ac:dyDescent="0.25">
      <c r="A17492" s="318">
        <v>96240270500</v>
      </c>
      <c r="B17492" s="318" t="s">
        <v>237</v>
      </c>
    </row>
    <row r="17493" spans="1:2" ht="12.75" customHeight="1" x14ac:dyDescent="0.25">
      <c r="A17493" s="318">
        <v>96240270501</v>
      </c>
      <c r="B17493" s="318" t="s">
        <v>237</v>
      </c>
    </row>
    <row r="17494" spans="1:2" ht="12.75" customHeight="1" x14ac:dyDescent="0.25">
      <c r="A17494" s="318">
        <v>96240270585</v>
      </c>
      <c r="B17494" s="318" t="s">
        <v>23</v>
      </c>
    </row>
    <row r="17495" spans="1:2" ht="12.75" customHeight="1" x14ac:dyDescent="0.25">
      <c r="A17495" s="318">
        <v>96240270586</v>
      </c>
      <c r="B17495" s="318" t="s">
        <v>23</v>
      </c>
    </row>
    <row r="17496" spans="1:2" ht="12.75" customHeight="1" x14ac:dyDescent="0.25">
      <c r="A17496" s="318">
        <v>96240270587</v>
      </c>
      <c r="B17496" s="318" t="s">
        <v>23</v>
      </c>
    </row>
    <row r="17497" spans="1:2" ht="12.75" customHeight="1" x14ac:dyDescent="0.25">
      <c r="A17497" s="318">
        <v>96240270588</v>
      </c>
      <c r="B17497" s="318" t="s">
        <v>23</v>
      </c>
    </row>
    <row r="17498" spans="1:2" ht="12.75" customHeight="1" x14ac:dyDescent="0.25">
      <c r="A17498" s="318">
        <v>96240270589</v>
      </c>
      <c r="B17498" s="318" t="s">
        <v>23</v>
      </c>
    </row>
    <row r="17499" spans="1:2" ht="12.75" customHeight="1" x14ac:dyDescent="0.25">
      <c r="A17499" s="318">
        <v>96240270590</v>
      </c>
      <c r="B17499" s="318" t="s">
        <v>23</v>
      </c>
    </row>
    <row r="17500" spans="1:2" ht="12.75" customHeight="1" x14ac:dyDescent="0.25">
      <c r="A17500" s="318">
        <v>96240270591</v>
      </c>
      <c r="B17500" s="318" t="s">
        <v>237</v>
      </c>
    </row>
    <row r="17501" spans="1:2" ht="12.75" customHeight="1" x14ac:dyDescent="0.25">
      <c r="A17501" s="318">
        <v>96240270592</v>
      </c>
      <c r="B17501" s="318" t="s">
        <v>237</v>
      </c>
    </row>
    <row r="17502" spans="1:2" ht="12.75" customHeight="1" x14ac:dyDescent="0.25">
      <c r="A17502" s="318">
        <v>96240270594</v>
      </c>
      <c r="B17502" s="318" t="s">
        <v>237</v>
      </c>
    </row>
    <row r="17503" spans="1:2" ht="12.75" customHeight="1" x14ac:dyDescent="0.25">
      <c r="A17503" s="318">
        <v>96240270595</v>
      </c>
      <c r="B17503" s="318" t="s">
        <v>237</v>
      </c>
    </row>
    <row r="17504" spans="1:2" ht="12.75" customHeight="1" x14ac:dyDescent="0.25">
      <c r="A17504" s="318">
        <v>96240270596</v>
      </c>
      <c r="B17504" s="318" t="s">
        <v>237</v>
      </c>
    </row>
    <row r="17505" spans="1:2" ht="12.75" customHeight="1" x14ac:dyDescent="0.25">
      <c r="A17505" s="318">
        <v>96240270597</v>
      </c>
      <c r="B17505" s="318" t="s">
        <v>237</v>
      </c>
    </row>
    <row r="17506" spans="1:2" ht="12.75" customHeight="1" x14ac:dyDescent="0.25">
      <c r="A17506" s="318">
        <v>96240270598</v>
      </c>
      <c r="B17506" s="318" t="s">
        <v>237</v>
      </c>
    </row>
    <row r="17507" spans="1:2" ht="12.75" customHeight="1" x14ac:dyDescent="0.25">
      <c r="A17507" s="318">
        <v>96240270599</v>
      </c>
      <c r="B17507" s="318" t="s">
        <v>237</v>
      </c>
    </row>
    <row r="17508" spans="1:2" ht="12.75" customHeight="1" x14ac:dyDescent="0.25">
      <c r="A17508" s="318">
        <v>96240270600</v>
      </c>
      <c r="B17508" s="318" t="s">
        <v>237</v>
      </c>
    </row>
    <row r="17509" spans="1:2" ht="12.75" customHeight="1" x14ac:dyDescent="0.25">
      <c r="A17509" s="318">
        <v>96240270601</v>
      </c>
      <c r="B17509" s="318" t="s">
        <v>237</v>
      </c>
    </row>
    <row r="17510" spans="1:2" ht="12.75" customHeight="1" x14ac:dyDescent="0.25">
      <c r="A17510" s="318">
        <v>96240751458</v>
      </c>
      <c r="B17510" s="318" t="s">
        <v>23</v>
      </c>
    </row>
    <row r="17511" spans="1:2" ht="12.75" customHeight="1" x14ac:dyDescent="0.25">
      <c r="A17511" s="318">
        <v>96240751459</v>
      </c>
      <c r="B17511" s="318" t="s">
        <v>23</v>
      </c>
    </row>
    <row r="17512" spans="1:2" ht="12.75" customHeight="1" x14ac:dyDescent="0.25">
      <c r="A17512" s="318">
        <v>96240751460</v>
      </c>
      <c r="B17512" s="318" t="s">
        <v>23</v>
      </c>
    </row>
    <row r="17513" spans="1:2" ht="12.75" customHeight="1" x14ac:dyDescent="0.25">
      <c r="A17513" s="318">
        <v>96240751461</v>
      </c>
      <c r="B17513" s="318" t="s">
        <v>23</v>
      </c>
    </row>
    <row r="17514" spans="1:2" ht="12.75" customHeight="1" x14ac:dyDescent="0.25">
      <c r="A17514" s="318">
        <v>96240751462</v>
      </c>
      <c r="B17514" s="318" t="s">
        <v>23</v>
      </c>
    </row>
    <row r="17515" spans="1:2" ht="12.75" customHeight="1" x14ac:dyDescent="0.25">
      <c r="A17515" s="318">
        <v>96240751463</v>
      </c>
      <c r="B17515" s="318" t="s">
        <v>23</v>
      </c>
    </row>
    <row r="17516" spans="1:2" ht="12.75" customHeight="1" x14ac:dyDescent="0.25">
      <c r="A17516" s="318">
        <v>96240751464</v>
      </c>
      <c r="B17516" s="318" t="s">
        <v>237</v>
      </c>
    </row>
    <row r="17517" spans="1:2" ht="12.75" customHeight="1" x14ac:dyDescent="0.25">
      <c r="A17517" s="318">
        <v>96240751465</v>
      </c>
      <c r="B17517" s="318" t="s">
        <v>237</v>
      </c>
    </row>
    <row r="17518" spans="1:2" ht="12.75" customHeight="1" x14ac:dyDescent="0.25">
      <c r="A17518" s="318">
        <v>96240751467</v>
      </c>
      <c r="B17518" s="318" t="s">
        <v>237</v>
      </c>
    </row>
    <row r="17519" spans="1:2" ht="12.75" customHeight="1" x14ac:dyDescent="0.25">
      <c r="A17519" s="318">
        <v>96240751468</v>
      </c>
      <c r="B17519" s="318" t="s">
        <v>237</v>
      </c>
    </row>
    <row r="17520" spans="1:2" ht="12.75" customHeight="1" x14ac:dyDescent="0.25">
      <c r="A17520" s="318">
        <v>96240751469</v>
      </c>
      <c r="B17520" s="318" t="s">
        <v>237</v>
      </c>
    </row>
    <row r="17521" spans="1:2" ht="12.75" customHeight="1" x14ac:dyDescent="0.25">
      <c r="A17521" s="318">
        <v>96240751470</v>
      </c>
      <c r="B17521" s="318" t="s">
        <v>237</v>
      </c>
    </row>
    <row r="17522" spans="1:2" ht="12.75" customHeight="1" x14ac:dyDescent="0.25">
      <c r="A17522" s="318">
        <v>96240751471</v>
      </c>
      <c r="B17522" s="318" t="s">
        <v>237</v>
      </c>
    </row>
    <row r="17523" spans="1:2" ht="12.75" customHeight="1" x14ac:dyDescent="0.25">
      <c r="A17523" s="318">
        <v>96240751472</v>
      </c>
      <c r="B17523" s="318" t="s">
        <v>237</v>
      </c>
    </row>
    <row r="17524" spans="1:2" ht="12.75" customHeight="1" x14ac:dyDescent="0.25">
      <c r="A17524" s="318">
        <v>96240751473</v>
      </c>
      <c r="B17524" s="318" t="s">
        <v>237</v>
      </c>
    </row>
    <row r="17525" spans="1:2" ht="12.75" customHeight="1" x14ac:dyDescent="0.25">
      <c r="A17525" s="318">
        <v>96240751474</v>
      </c>
      <c r="B17525" s="318" t="s">
        <v>237</v>
      </c>
    </row>
    <row r="17526" spans="1:2" ht="12.75" customHeight="1" x14ac:dyDescent="0.25">
      <c r="A17526" s="318">
        <v>96240751558</v>
      </c>
      <c r="B17526" s="318" t="s">
        <v>23</v>
      </c>
    </row>
    <row r="17527" spans="1:2" ht="12.75" customHeight="1" x14ac:dyDescent="0.25">
      <c r="A17527" s="318">
        <v>96240751559</v>
      </c>
      <c r="B17527" s="318" t="s">
        <v>23</v>
      </c>
    </row>
    <row r="17528" spans="1:2" ht="12.75" customHeight="1" x14ac:dyDescent="0.25">
      <c r="A17528" s="318">
        <v>96240751560</v>
      </c>
      <c r="B17528" s="318" t="s">
        <v>23</v>
      </c>
    </row>
    <row r="17529" spans="1:2" ht="12.75" customHeight="1" x14ac:dyDescent="0.25">
      <c r="A17529" s="318">
        <v>96240751561</v>
      </c>
      <c r="B17529" s="318" t="s">
        <v>23</v>
      </c>
    </row>
    <row r="17530" spans="1:2" ht="12.75" customHeight="1" x14ac:dyDescent="0.25">
      <c r="A17530" s="318">
        <v>96240751562</v>
      </c>
      <c r="B17530" s="318" t="s">
        <v>23</v>
      </c>
    </row>
    <row r="17531" spans="1:2" ht="12.75" customHeight="1" x14ac:dyDescent="0.25">
      <c r="A17531" s="318">
        <v>96240751563</v>
      </c>
      <c r="B17531" s="318" t="s">
        <v>23</v>
      </c>
    </row>
    <row r="17532" spans="1:2" ht="12.75" customHeight="1" x14ac:dyDescent="0.25">
      <c r="A17532" s="318">
        <v>96240751564</v>
      </c>
      <c r="B17532" s="318" t="s">
        <v>237</v>
      </c>
    </row>
    <row r="17533" spans="1:2" ht="12.75" customHeight="1" x14ac:dyDescent="0.25">
      <c r="A17533" s="318">
        <v>96240751565</v>
      </c>
      <c r="B17533" s="318" t="s">
        <v>237</v>
      </c>
    </row>
    <row r="17534" spans="1:2" ht="12.75" customHeight="1" x14ac:dyDescent="0.25">
      <c r="A17534" s="318">
        <v>96240751567</v>
      </c>
      <c r="B17534" s="318" t="s">
        <v>237</v>
      </c>
    </row>
    <row r="17535" spans="1:2" ht="12.75" customHeight="1" x14ac:dyDescent="0.25">
      <c r="A17535" s="318">
        <v>96240751568</v>
      </c>
      <c r="B17535" s="318" t="s">
        <v>237</v>
      </c>
    </row>
    <row r="17536" spans="1:2" ht="12.75" customHeight="1" x14ac:dyDescent="0.25">
      <c r="A17536" s="318">
        <v>96240751569</v>
      </c>
      <c r="B17536" s="318" t="s">
        <v>237</v>
      </c>
    </row>
    <row r="17537" spans="1:2" ht="12.75" customHeight="1" x14ac:dyDescent="0.25">
      <c r="A17537" s="318">
        <v>96240751570</v>
      </c>
      <c r="B17537" s="318" t="s">
        <v>237</v>
      </c>
    </row>
    <row r="17538" spans="1:2" ht="12.75" customHeight="1" x14ac:dyDescent="0.25">
      <c r="A17538" s="318">
        <v>96240751571</v>
      </c>
      <c r="B17538" s="318" t="s">
        <v>237</v>
      </c>
    </row>
    <row r="17539" spans="1:2" ht="12.75" customHeight="1" x14ac:dyDescent="0.25">
      <c r="A17539" s="318">
        <v>96240751572</v>
      </c>
      <c r="B17539" s="318" t="s">
        <v>237</v>
      </c>
    </row>
    <row r="17540" spans="1:2" ht="12.75" customHeight="1" x14ac:dyDescent="0.25">
      <c r="A17540" s="318">
        <v>96240751573</v>
      </c>
      <c r="B17540" s="318" t="s">
        <v>237</v>
      </c>
    </row>
    <row r="17541" spans="1:2" ht="12.75" customHeight="1" x14ac:dyDescent="0.25">
      <c r="A17541" s="318">
        <v>96240751574</v>
      </c>
      <c r="B17541" s="318" t="s">
        <v>237</v>
      </c>
    </row>
    <row r="17542" spans="1:2" ht="12.75" customHeight="1" x14ac:dyDescent="0.25">
      <c r="A17542" s="318">
        <v>96241431649</v>
      </c>
      <c r="B17542" s="318" t="s">
        <v>23</v>
      </c>
    </row>
    <row r="17543" spans="1:2" ht="12.75" customHeight="1" x14ac:dyDescent="0.25">
      <c r="A17543" s="318">
        <v>96241431650</v>
      </c>
      <c r="B17543" s="318" t="s">
        <v>23</v>
      </c>
    </row>
    <row r="17544" spans="1:2" ht="12.75" customHeight="1" x14ac:dyDescent="0.25">
      <c r="A17544" s="318">
        <v>96241431651</v>
      </c>
      <c r="B17544" s="318" t="s">
        <v>23</v>
      </c>
    </row>
    <row r="17545" spans="1:2" ht="12.75" customHeight="1" x14ac:dyDescent="0.25">
      <c r="A17545" s="318">
        <v>96241431652</v>
      </c>
      <c r="B17545" s="318" t="s">
        <v>23</v>
      </c>
    </row>
    <row r="17546" spans="1:2" ht="12.75" customHeight="1" x14ac:dyDescent="0.25">
      <c r="A17546" s="318">
        <v>96241431653</v>
      </c>
      <c r="B17546" s="318" t="s">
        <v>23</v>
      </c>
    </row>
    <row r="17547" spans="1:2" ht="12.75" customHeight="1" x14ac:dyDescent="0.25">
      <c r="A17547" s="318">
        <v>96241431654</v>
      </c>
      <c r="B17547" s="318" t="s">
        <v>23</v>
      </c>
    </row>
    <row r="17548" spans="1:2" ht="12.75" customHeight="1" x14ac:dyDescent="0.25">
      <c r="A17548" s="318">
        <v>96241431655</v>
      </c>
      <c r="B17548" s="318" t="s">
        <v>237</v>
      </c>
    </row>
    <row r="17549" spans="1:2" ht="12.75" customHeight="1" x14ac:dyDescent="0.25">
      <c r="A17549" s="318">
        <v>96241431656</v>
      </c>
      <c r="B17549" s="318" t="s">
        <v>237</v>
      </c>
    </row>
    <row r="17550" spans="1:2" ht="12.75" customHeight="1" x14ac:dyDescent="0.25">
      <c r="A17550" s="318">
        <v>96241431658</v>
      </c>
      <c r="B17550" s="318" t="s">
        <v>237</v>
      </c>
    </row>
    <row r="17551" spans="1:2" ht="12.75" customHeight="1" x14ac:dyDescent="0.25">
      <c r="A17551" s="318">
        <v>96241431659</v>
      </c>
      <c r="B17551" s="318" t="s">
        <v>237</v>
      </c>
    </row>
    <row r="17552" spans="1:2" ht="12.75" customHeight="1" x14ac:dyDescent="0.25">
      <c r="A17552" s="318">
        <v>96241431660</v>
      </c>
      <c r="B17552" s="318" t="s">
        <v>237</v>
      </c>
    </row>
    <row r="17553" spans="1:2" ht="12.75" customHeight="1" x14ac:dyDescent="0.25">
      <c r="A17553" s="318">
        <v>96241431661</v>
      </c>
      <c r="B17553" s="318" t="s">
        <v>237</v>
      </c>
    </row>
    <row r="17554" spans="1:2" ht="12.75" customHeight="1" x14ac:dyDescent="0.25">
      <c r="A17554" s="318">
        <v>96241431662</v>
      </c>
      <c r="B17554" s="318" t="s">
        <v>237</v>
      </c>
    </row>
    <row r="17555" spans="1:2" ht="12.75" customHeight="1" x14ac:dyDescent="0.25">
      <c r="A17555" s="318">
        <v>96241431663</v>
      </c>
      <c r="B17555" s="318" t="s">
        <v>237</v>
      </c>
    </row>
    <row r="17556" spans="1:2" ht="12.75" customHeight="1" x14ac:dyDescent="0.25">
      <c r="A17556" s="318">
        <v>96241431664</v>
      </c>
      <c r="B17556" s="318" t="s">
        <v>237</v>
      </c>
    </row>
    <row r="17557" spans="1:2" ht="12.75" customHeight="1" x14ac:dyDescent="0.25">
      <c r="A17557" s="318">
        <v>96241431665</v>
      </c>
      <c r="B17557" s="318" t="s">
        <v>237</v>
      </c>
    </row>
    <row r="17558" spans="1:2" ht="12.75" customHeight="1" x14ac:dyDescent="0.25">
      <c r="A17558" s="318">
        <v>96241431749</v>
      </c>
      <c r="B17558" s="318" t="s">
        <v>23</v>
      </c>
    </row>
    <row r="17559" spans="1:2" ht="12.75" customHeight="1" x14ac:dyDescent="0.25">
      <c r="A17559" s="318">
        <v>96241431750</v>
      </c>
      <c r="B17559" s="318" t="s">
        <v>23</v>
      </c>
    </row>
    <row r="17560" spans="1:2" ht="12.75" customHeight="1" x14ac:dyDescent="0.25">
      <c r="A17560" s="318">
        <v>96241431751</v>
      </c>
      <c r="B17560" s="318" t="s">
        <v>23</v>
      </c>
    </row>
    <row r="17561" spans="1:2" ht="12.75" customHeight="1" x14ac:dyDescent="0.25">
      <c r="A17561" s="318">
        <v>96241431752</v>
      </c>
      <c r="B17561" s="318" t="s">
        <v>23</v>
      </c>
    </row>
    <row r="17562" spans="1:2" ht="12.75" customHeight="1" x14ac:dyDescent="0.25">
      <c r="A17562" s="318">
        <v>96241431753</v>
      </c>
      <c r="B17562" s="318" t="s">
        <v>23</v>
      </c>
    </row>
    <row r="17563" spans="1:2" ht="12.75" customHeight="1" x14ac:dyDescent="0.25">
      <c r="A17563" s="318">
        <v>96241431754</v>
      </c>
      <c r="B17563" s="318" t="s">
        <v>23</v>
      </c>
    </row>
    <row r="17564" spans="1:2" ht="12.75" customHeight="1" x14ac:dyDescent="0.25">
      <c r="A17564" s="318">
        <v>96241431755</v>
      </c>
      <c r="B17564" s="318" t="s">
        <v>237</v>
      </c>
    </row>
    <row r="17565" spans="1:2" ht="12.75" customHeight="1" x14ac:dyDescent="0.25">
      <c r="A17565" s="318">
        <v>96241431756</v>
      </c>
      <c r="B17565" s="318" t="s">
        <v>237</v>
      </c>
    </row>
    <row r="17566" spans="1:2" ht="12.75" customHeight="1" x14ac:dyDescent="0.25">
      <c r="A17566" s="318">
        <v>96241431758</v>
      </c>
      <c r="B17566" s="318" t="s">
        <v>237</v>
      </c>
    </row>
    <row r="17567" spans="1:2" ht="12.75" customHeight="1" x14ac:dyDescent="0.25">
      <c r="A17567" s="318">
        <v>96241431759</v>
      </c>
      <c r="B17567" s="318" t="s">
        <v>237</v>
      </c>
    </row>
    <row r="17568" spans="1:2" ht="12.75" customHeight="1" x14ac:dyDescent="0.25">
      <c r="A17568" s="318">
        <v>96241431760</v>
      </c>
      <c r="B17568" s="318" t="s">
        <v>237</v>
      </c>
    </row>
    <row r="17569" spans="1:2" ht="12.75" customHeight="1" x14ac:dyDescent="0.25">
      <c r="A17569" s="318">
        <v>96241431761</v>
      </c>
      <c r="B17569" s="318" t="s">
        <v>237</v>
      </c>
    </row>
    <row r="17570" spans="1:2" ht="12.75" customHeight="1" x14ac:dyDescent="0.25">
      <c r="A17570" s="318">
        <v>96241431762</v>
      </c>
      <c r="B17570" s="318" t="s">
        <v>237</v>
      </c>
    </row>
    <row r="17571" spans="1:2" ht="12.75" customHeight="1" x14ac:dyDescent="0.25">
      <c r="A17571" s="318">
        <v>96241431763</v>
      </c>
      <c r="B17571" s="318" t="s">
        <v>237</v>
      </c>
    </row>
    <row r="17572" spans="1:2" ht="12.75" customHeight="1" x14ac:dyDescent="0.25">
      <c r="A17572" s="318">
        <v>96241431764</v>
      </c>
      <c r="B17572" s="318" t="s">
        <v>237</v>
      </c>
    </row>
    <row r="17573" spans="1:2" ht="12.75" customHeight="1" x14ac:dyDescent="0.25">
      <c r="A17573" s="318">
        <v>96241431765</v>
      </c>
      <c r="B17573" s="318" t="s">
        <v>237</v>
      </c>
    </row>
    <row r="17574" spans="1:2" ht="12.75" customHeight="1" x14ac:dyDescent="0.25">
      <c r="A17574" s="318">
        <v>96241912622</v>
      </c>
      <c r="B17574" s="318" t="s">
        <v>23</v>
      </c>
    </row>
    <row r="17575" spans="1:2" ht="12.75" customHeight="1" x14ac:dyDescent="0.25">
      <c r="A17575" s="318">
        <v>96241912623</v>
      </c>
      <c r="B17575" s="318" t="s">
        <v>23</v>
      </c>
    </row>
    <row r="17576" spans="1:2" ht="12.75" customHeight="1" x14ac:dyDescent="0.25">
      <c r="A17576" s="318">
        <v>96241912624</v>
      </c>
      <c r="B17576" s="318" t="s">
        <v>23</v>
      </c>
    </row>
    <row r="17577" spans="1:2" ht="12.75" customHeight="1" x14ac:dyDescent="0.25">
      <c r="A17577" s="318">
        <v>96241912625</v>
      </c>
      <c r="B17577" s="318" t="s">
        <v>23</v>
      </c>
    </row>
    <row r="17578" spans="1:2" ht="12.75" customHeight="1" x14ac:dyDescent="0.25">
      <c r="A17578" s="318">
        <v>96241912626</v>
      </c>
      <c r="B17578" s="318" t="s">
        <v>23</v>
      </c>
    </row>
    <row r="17579" spans="1:2" ht="12.75" customHeight="1" x14ac:dyDescent="0.25">
      <c r="A17579" s="318">
        <v>96241912627</v>
      </c>
      <c r="B17579" s="318" t="s">
        <v>23</v>
      </c>
    </row>
    <row r="17580" spans="1:2" ht="12.75" customHeight="1" x14ac:dyDescent="0.25">
      <c r="A17580" s="318">
        <v>96241912628</v>
      </c>
      <c r="B17580" s="318" t="s">
        <v>237</v>
      </c>
    </row>
    <row r="17581" spans="1:2" ht="12.75" customHeight="1" x14ac:dyDescent="0.25">
      <c r="A17581" s="318">
        <v>96241912629</v>
      </c>
      <c r="B17581" s="318" t="s">
        <v>237</v>
      </c>
    </row>
    <row r="17582" spans="1:2" ht="12.75" customHeight="1" x14ac:dyDescent="0.25">
      <c r="A17582" s="318">
        <v>96241912631</v>
      </c>
      <c r="B17582" s="318" t="s">
        <v>237</v>
      </c>
    </row>
    <row r="17583" spans="1:2" ht="12.75" customHeight="1" x14ac:dyDescent="0.25">
      <c r="A17583" s="318">
        <v>96241912632</v>
      </c>
      <c r="B17583" s="318" t="s">
        <v>237</v>
      </c>
    </row>
    <row r="17584" spans="1:2" ht="12.75" customHeight="1" x14ac:dyDescent="0.25">
      <c r="A17584" s="318">
        <v>96241912633</v>
      </c>
      <c r="B17584" s="318" t="s">
        <v>237</v>
      </c>
    </row>
    <row r="17585" spans="1:2" ht="12.75" customHeight="1" x14ac:dyDescent="0.25">
      <c r="A17585" s="318">
        <v>96241912634</v>
      </c>
      <c r="B17585" s="318" t="s">
        <v>237</v>
      </c>
    </row>
    <row r="17586" spans="1:2" ht="12.75" customHeight="1" x14ac:dyDescent="0.25">
      <c r="A17586" s="318">
        <v>96241912635</v>
      </c>
      <c r="B17586" s="318" t="s">
        <v>237</v>
      </c>
    </row>
    <row r="17587" spans="1:2" ht="12.75" customHeight="1" x14ac:dyDescent="0.25">
      <c r="A17587" s="318">
        <v>96241912636</v>
      </c>
      <c r="B17587" s="318" t="s">
        <v>237</v>
      </c>
    </row>
    <row r="17588" spans="1:2" ht="12.75" customHeight="1" x14ac:dyDescent="0.25">
      <c r="A17588" s="318">
        <v>96241912637</v>
      </c>
      <c r="B17588" s="318" t="s">
        <v>237</v>
      </c>
    </row>
    <row r="17589" spans="1:2" ht="12.75" customHeight="1" x14ac:dyDescent="0.25">
      <c r="A17589" s="318">
        <v>96241912638</v>
      </c>
      <c r="B17589" s="318" t="s">
        <v>237</v>
      </c>
    </row>
    <row r="17590" spans="1:2" ht="12.75" customHeight="1" x14ac:dyDescent="0.25">
      <c r="A17590" s="318">
        <v>96241912722</v>
      </c>
      <c r="B17590" s="318" t="s">
        <v>23</v>
      </c>
    </row>
    <row r="17591" spans="1:2" ht="12.75" customHeight="1" x14ac:dyDescent="0.25">
      <c r="A17591" s="318">
        <v>96241912723</v>
      </c>
      <c r="B17591" s="318" t="s">
        <v>23</v>
      </c>
    </row>
    <row r="17592" spans="1:2" ht="12.75" customHeight="1" x14ac:dyDescent="0.25">
      <c r="A17592" s="318">
        <v>96241912724</v>
      </c>
      <c r="B17592" s="318" t="s">
        <v>23</v>
      </c>
    </row>
    <row r="17593" spans="1:2" ht="12.75" customHeight="1" x14ac:dyDescent="0.25">
      <c r="A17593" s="318">
        <v>96241912725</v>
      </c>
      <c r="B17593" s="318" t="s">
        <v>23</v>
      </c>
    </row>
    <row r="17594" spans="1:2" ht="12.75" customHeight="1" x14ac:dyDescent="0.25">
      <c r="A17594" s="318">
        <v>96241912726</v>
      </c>
      <c r="B17594" s="318" t="s">
        <v>23</v>
      </c>
    </row>
    <row r="17595" spans="1:2" ht="12.75" customHeight="1" x14ac:dyDescent="0.25">
      <c r="A17595" s="318">
        <v>96241912727</v>
      </c>
      <c r="B17595" s="318" t="s">
        <v>23</v>
      </c>
    </row>
    <row r="17596" spans="1:2" ht="12.75" customHeight="1" x14ac:dyDescent="0.25">
      <c r="A17596" s="318">
        <v>96241912728</v>
      </c>
      <c r="B17596" s="318" t="s">
        <v>237</v>
      </c>
    </row>
    <row r="17597" spans="1:2" ht="12.75" customHeight="1" x14ac:dyDescent="0.25">
      <c r="A17597" s="318">
        <v>96241912729</v>
      </c>
      <c r="B17597" s="318" t="s">
        <v>237</v>
      </c>
    </row>
    <row r="17598" spans="1:2" ht="12.75" customHeight="1" x14ac:dyDescent="0.25">
      <c r="A17598" s="318">
        <v>96241912731</v>
      </c>
      <c r="B17598" s="318" t="s">
        <v>237</v>
      </c>
    </row>
    <row r="17599" spans="1:2" ht="12.75" customHeight="1" x14ac:dyDescent="0.25">
      <c r="A17599" s="318">
        <v>96241912732</v>
      </c>
      <c r="B17599" s="318" t="s">
        <v>237</v>
      </c>
    </row>
    <row r="17600" spans="1:2" ht="12.75" customHeight="1" x14ac:dyDescent="0.25">
      <c r="A17600" s="318">
        <v>96241912733</v>
      </c>
      <c r="B17600" s="318" t="s">
        <v>237</v>
      </c>
    </row>
    <row r="17601" spans="1:2" ht="12.75" customHeight="1" x14ac:dyDescent="0.25">
      <c r="A17601" s="318">
        <v>96241912734</v>
      </c>
      <c r="B17601" s="318" t="s">
        <v>237</v>
      </c>
    </row>
    <row r="17602" spans="1:2" ht="12.75" customHeight="1" x14ac:dyDescent="0.25">
      <c r="A17602" s="318">
        <v>96241912735</v>
      </c>
      <c r="B17602" s="318" t="s">
        <v>237</v>
      </c>
    </row>
    <row r="17603" spans="1:2" ht="12.75" customHeight="1" x14ac:dyDescent="0.25">
      <c r="A17603" s="318">
        <v>96241912736</v>
      </c>
      <c r="B17603" s="318" t="s">
        <v>237</v>
      </c>
    </row>
    <row r="17604" spans="1:2" ht="12.75" customHeight="1" x14ac:dyDescent="0.25">
      <c r="A17604" s="318">
        <v>96241912737</v>
      </c>
      <c r="B17604" s="318" t="s">
        <v>237</v>
      </c>
    </row>
    <row r="17605" spans="1:2" ht="12.75" customHeight="1" x14ac:dyDescent="0.25">
      <c r="A17605" s="318">
        <v>96241912738</v>
      </c>
      <c r="B17605" s="318" t="s">
        <v>237</v>
      </c>
    </row>
    <row r="17606" spans="1:2" ht="12.75" customHeight="1" x14ac:dyDescent="0.25">
      <c r="A17606" s="318">
        <v>96242393595</v>
      </c>
      <c r="B17606" s="318" t="s">
        <v>23</v>
      </c>
    </row>
    <row r="17607" spans="1:2" ht="12.75" customHeight="1" x14ac:dyDescent="0.25">
      <c r="A17607" s="318">
        <v>96242393596</v>
      </c>
      <c r="B17607" s="318" t="s">
        <v>23</v>
      </c>
    </row>
    <row r="17608" spans="1:2" ht="12.75" customHeight="1" x14ac:dyDescent="0.25">
      <c r="A17608" s="318">
        <v>96242393597</v>
      </c>
      <c r="B17608" s="318" t="s">
        <v>23</v>
      </c>
    </row>
    <row r="17609" spans="1:2" ht="12.75" customHeight="1" x14ac:dyDescent="0.25">
      <c r="A17609" s="318">
        <v>96242393598</v>
      </c>
      <c r="B17609" s="318" t="s">
        <v>23</v>
      </c>
    </row>
    <row r="17610" spans="1:2" ht="12.75" customHeight="1" x14ac:dyDescent="0.25">
      <c r="A17610" s="318">
        <v>96242393599</v>
      </c>
      <c r="B17610" s="318" t="s">
        <v>23</v>
      </c>
    </row>
    <row r="17611" spans="1:2" ht="12.75" customHeight="1" x14ac:dyDescent="0.25">
      <c r="A17611" s="318">
        <v>96242393600</v>
      </c>
      <c r="B17611" s="318" t="s">
        <v>23</v>
      </c>
    </row>
    <row r="17612" spans="1:2" ht="12.75" customHeight="1" x14ac:dyDescent="0.25">
      <c r="A17612" s="318">
        <v>96242393601</v>
      </c>
      <c r="B17612" s="318" t="s">
        <v>237</v>
      </c>
    </row>
    <row r="17613" spans="1:2" ht="12.75" customHeight="1" x14ac:dyDescent="0.25">
      <c r="A17613" s="318">
        <v>96242393602</v>
      </c>
      <c r="B17613" s="318" t="s">
        <v>237</v>
      </c>
    </row>
    <row r="17614" spans="1:2" ht="12.75" customHeight="1" x14ac:dyDescent="0.25">
      <c r="A17614" s="318">
        <v>96242393604</v>
      </c>
      <c r="B17614" s="318" t="s">
        <v>237</v>
      </c>
    </row>
    <row r="17615" spans="1:2" ht="12.75" customHeight="1" x14ac:dyDescent="0.25">
      <c r="A17615" s="318">
        <v>96242393605</v>
      </c>
      <c r="B17615" s="318" t="s">
        <v>237</v>
      </c>
    </row>
    <row r="17616" spans="1:2" ht="12.75" customHeight="1" x14ac:dyDescent="0.25">
      <c r="A17616" s="318">
        <v>96242393606</v>
      </c>
      <c r="B17616" s="318" t="s">
        <v>237</v>
      </c>
    </row>
    <row r="17617" spans="1:2" ht="12.75" customHeight="1" x14ac:dyDescent="0.25">
      <c r="A17617" s="318">
        <v>96242393607</v>
      </c>
      <c r="B17617" s="318" t="s">
        <v>237</v>
      </c>
    </row>
    <row r="17618" spans="1:2" ht="12.75" customHeight="1" x14ac:dyDescent="0.25">
      <c r="A17618" s="318">
        <v>96242393608</v>
      </c>
      <c r="B17618" s="318" t="s">
        <v>237</v>
      </c>
    </row>
    <row r="17619" spans="1:2" ht="12.75" customHeight="1" x14ac:dyDescent="0.25">
      <c r="A17619" s="318">
        <v>96242393609</v>
      </c>
      <c r="B17619" s="318" t="s">
        <v>237</v>
      </c>
    </row>
    <row r="17620" spans="1:2" ht="12.75" customHeight="1" x14ac:dyDescent="0.25">
      <c r="A17620" s="318">
        <v>96242393610</v>
      </c>
      <c r="B17620" s="318" t="s">
        <v>237</v>
      </c>
    </row>
    <row r="17621" spans="1:2" ht="12.75" customHeight="1" x14ac:dyDescent="0.25">
      <c r="A17621" s="318">
        <v>96242393611</v>
      </c>
      <c r="B17621" s="318" t="s">
        <v>237</v>
      </c>
    </row>
    <row r="17622" spans="1:2" ht="12.75" customHeight="1" x14ac:dyDescent="0.25">
      <c r="A17622" s="318">
        <v>96242393695</v>
      </c>
      <c r="B17622" s="318" t="s">
        <v>23</v>
      </c>
    </row>
    <row r="17623" spans="1:2" ht="12.75" customHeight="1" x14ac:dyDescent="0.25">
      <c r="A17623" s="318">
        <v>96242393696</v>
      </c>
      <c r="B17623" s="318" t="s">
        <v>23</v>
      </c>
    </row>
    <row r="17624" spans="1:2" ht="12.75" customHeight="1" x14ac:dyDescent="0.25">
      <c r="A17624" s="318">
        <v>96242393697</v>
      </c>
      <c r="B17624" s="318" t="s">
        <v>23</v>
      </c>
    </row>
    <row r="17625" spans="1:2" ht="12.75" customHeight="1" x14ac:dyDescent="0.25">
      <c r="A17625" s="318">
        <v>96242393698</v>
      </c>
      <c r="B17625" s="318" t="s">
        <v>23</v>
      </c>
    </row>
    <row r="17626" spans="1:2" ht="12.75" customHeight="1" x14ac:dyDescent="0.25">
      <c r="A17626" s="318">
        <v>96242393699</v>
      </c>
      <c r="B17626" s="318" t="s">
        <v>23</v>
      </c>
    </row>
    <row r="17627" spans="1:2" ht="12.75" customHeight="1" x14ac:dyDescent="0.25">
      <c r="A17627" s="318">
        <v>96242393700</v>
      </c>
      <c r="B17627" s="318" t="s">
        <v>23</v>
      </c>
    </row>
    <row r="17628" spans="1:2" ht="12.75" customHeight="1" x14ac:dyDescent="0.25">
      <c r="A17628" s="318">
        <v>96242393701</v>
      </c>
      <c r="B17628" s="318" t="s">
        <v>237</v>
      </c>
    </row>
    <row r="17629" spans="1:2" ht="12.75" customHeight="1" x14ac:dyDescent="0.25">
      <c r="A17629" s="318">
        <v>96242393702</v>
      </c>
      <c r="B17629" s="318" t="s">
        <v>237</v>
      </c>
    </row>
    <row r="17630" spans="1:2" ht="12.75" customHeight="1" x14ac:dyDescent="0.25">
      <c r="A17630" s="318">
        <v>96242393704</v>
      </c>
      <c r="B17630" s="318" t="s">
        <v>237</v>
      </c>
    </row>
    <row r="17631" spans="1:2" ht="12.75" customHeight="1" x14ac:dyDescent="0.25">
      <c r="A17631" s="318">
        <v>96242393705</v>
      </c>
      <c r="B17631" s="318" t="s">
        <v>237</v>
      </c>
    </row>
    <row r="17632" spans="1:2" ht="12.75" customHeight="1" x14ac:dyDescent="0.25">
      <c r="A17632" s="318">
        <v>96242393706</v>
      </c>
      <c r="B17632" s="318" t="s">
        <v>237</v>
      </c>
    </row>
    <row r="17633" spans="1:2" ht="12.75" customHeight="1" x14ac:dyDescent="0.25">
      <c r="A17633" s="318">
        <v>96242393707</v>
      </c>
      <c r="B17633" s="318" t="s">
        <v>237</v>
      </c>
    </row>
    <row r="17634" spans="1:2" ht="12.75" customHeight="1" x14ac:dyDescent="0.25">
      <c r="A17634" s="318">
        <v>96242393708</v>
      </c>
      <c r="B17634" s="318" t="s">
        <v>237</v>
      </c>
    </row>
    <row r="17635" spans="1:2" ht="12.75" customHeight="1" x14ac:dyDescent="0.25">
      <c r="A17635" s="318">
        <v>96242393709</v>
      </c>
      <c r="B17635" s="318" t="s">
        <v>237</v>
      </c>
    </row>
    <row r="17636" spans="1:2" ht="12.75" customHeight="1" x14ac:dyDescent="0.25">
      <c r="A17636" s="318">
        <v>96242393710</v>
      </c>
      <c r="B17636" s="318" t="s">
        <v>237</v>
      </c>
    </row>
    <row r="17637" spans="1:2" ht="12.75" customHeight="1" x14ac:dyDescent="0.25">
      <c r="A17637" s="318">
        <v>96242393711</v>
      </c>
      <c r="B17637" s="318" t="s">
        <v>237</v>
      </c>
    </row>
    <row r="17638" spans="1:2" ht="12.75" customHeight="1" x14ac:dyDescent="0.25">
      <c r="A17638" s="318">
        <v>96243073786</v>
      </c>
      <c r="B17638" s="318" t="s">
        <v>23</v>
      </c>
    </row>
    <row r="17639" spans="1:2" ht="12.75" customHeight="1" x14ac:dyDescent="0.25">
      <c r="A17639" s="318">
        <v>96243073787</v>
      </c>
      <c r="B17639" s="318" t="s">
        <v>23</v>
      </c>
    </row>
    <row r="17640" spans="1:2" ht="12.75" customHeight="1" x14ac:dyDescent="0.25">
      <c r="A17640" s="318">
        <v>96243073788</v>
      </c>
      <c r="B17640" s="318" t="s">
        <v>23</v>
      </c>
    </row>
    <row r="17641" spans="1:2" ht="12.75" customHeight="1" x14ac:dyDescent="0.25">
      <c r="A17641" s="318">
        <v>96243073789</v>
      </c>
      <c r="B17641" s="318" t="s">
        <v>23</v>
      </c>
    </row>
    <row r="17642" spans="1:2" ht="12.75" customHeight="1" x14ac:dyDescent="0.25">
      <c r="A17642" s="318">
        <v>96243073790</v>
      </c>
      <c r="B17642" s="318" t="s">
        <v>23</v>
      </c>
    </row>
    <row r="17643" spans="1:2" ht="12.75" customHeight="1" x14ac:dyDescent="0.25">
      <c r="A17643" s="318">
        <v>96243073791</v>
      </c>
      <c r="B17643" s="318" t="s">
        <v>23</v>
      </c>
    </row>
    <row r="17644" spans="1:2" ht="12.75" customHeight="1" x14ac:dyDescent="0.25">
      <c r="A17644" s="318">
        <v>96243073792</v>
      </c>
      <c r="B17644" s="318" t="s">
        <v>237</v>
      </c>
    </row>
    <row r="17645" spans="1:2" ht="12.75" customHeight="1" x14ac:dyDescent="0.25">
      <c r="A17645" s="318">
        <v>96243073793</v>
      </c>
      <c r="B17645" s="318" t="s">
        <v>237</v>
      </c>
    </row>
    <row r="17646" spans="1:2" ht="12.75" customHeight="1" x14ac:dyDescent="0.25">
      <c r="A17646" s="318">
        <v>96243073795</v>
      </c>
      <c r="B17646" s="318" t="s">
        <v>237</v>
      </c>
    </row>
    <row r="17647" spans="1:2" ht="12.75" customHeight="1" x14ac:dyDescent="0.25">
      <c r="A17647" s="318">
        <v>96243073796</v>
      </c>
      <c r="B17647" s="318" t="s">
        <v>237</v>
      </c>
    </row>
    <row r="17648" spans="1:2" ht="12.75" customHeight="1" x14ac:dyDescent="0.25">
      <c r="A17648" s="318">
        <v>96243073797</v>
      </c>
      <c r="B17648" s="318" t="s">
        <v>237</v>
      </c>
    </row>
    <row r="17649" spans="1:2" ht="12.75" customHeight="1" x14ac:dyDescent="0.25">
      <c r="A17649" s="318">
        <v>96243073798</v>
      </c>
      <c r="B17649" s="318" t="s">
        <v>237</v>
      </c>
    </row>
    <row r="17650" spans="1:2" ht="12.75" customHeight="1" x14ac:dyDescent="0.25">
      <c r="A17650" s="318">
        <v>96243073799</v>
      </c>
      <c r="B17650" s="318" t="s">
        <v>237</v>
      </c>
    </row>
    <row r="17651" spans="1:2" ht="12.75" customHeight="1" x14ac:dyDescent="0.25">
      <c r="A17651" s="318">
        <v>96243073800</v>
      </c>
      <c r="B17651" s="318" t="s">
        <v>237</v>
      </c>
    </row>
    <row r="17652" spans="1:2" ht="12.75" customHeight="1" x14ac:dyDescent="0.25">
      <c r="A17652" s="318">
        <v>96243073801</v>
      </c>
      <c r="B17652" s="318" t="s">
        <v>237</v>
      </c>
    </row>
    <row r="17653" spans="1:2" ht="12.75" customHeight="1" x14ac:dyDescent="0.25">
      <c r="A17653" s="318">
        <v>96243073802</v>
      </c>
      <c r="B17653" s="318" t="s">
        <v>237</v>
      </c>
    </row>
    <row r="17654" spans="1:2" ht="12.75" customHeight="1" x14ac:dyDescent="0.25">
      <c r="A17654" s="318">
        <v>96243073886</v>
      </c>
      <c r="B17654" s="318" t="s">
        <v>23</v>
      </c>
    </row>
    <row r="17655" spans="1:2" ht="12.75" customHeight="1" x14ac:dyDescent="0.25">
      <c r="A17655" s="318">
        <v>96243073887</v>
      </c>
      <c r="B17655" s="318" t="s">
        <v>23</v>
      </c>
    </row>
    <row r="17656" spans="1:2" ht="12.75" customHeight="1" x14ac:dyDescent="0.25">
      <c r="A17656" s="318">
        <v>96243073888</v>
      </c>
      <c r="B17656" s="318" t="s">
        <v>23</v>
      </c>
    </row>
    <row r="17657" spans="1:2" ht="12.75" customHeight="1" x14ac:dyDescent="0.25">
      <c r="A17657" s="318">
        <v>96243073889</v>
      </c>
      <c r="B17657" s="318" t="s">
        <v>23</v>
      </c>
    </row>
    <row r="17658" spans="1:2" ht="12.75" customHeight="1" x14ac:dyDescent="0.25">
      <c r="A17658" s="318">
        <v>96243073890</v>
      </c>
      <c r="B17658" s="318" t="s">
        <v>23</v>
      </c>
    </row>
    <row r="17659" spans="1:2" ht="12.75" customHeight="1" x14ac:dyDescent="0.25">
      <c r="A17659" s="318">
        <v>96243073891</v>
      </c>
      <c r="B17659" s="318" t="s">
        <v>23</v>
      </c>
    </row>
    <row r="17660" spans="1:2" ht="12.75" customHeight="1" x14ac:dyDescent="0.25">
      <c r="A17660" s="318">
        <v>96243073892</v>
      </c>
      <c r="B17660" s="318" t="s">
        <v>237</v>
      </c>
    </row>
    <row r="17661" spans="1:2" ht="12.75" customHeight="1" x14ac:dyDescent="0.25">
      <c r="A17661" s="318">
        <v>96243073893</v>
      </c>
      <c r="B17661" s="318" t="s">
        <v>237</v>
      </c>
    </row>
    <row r="17662" spans="1:2" ht="12.75" customHeight="1" x14ac:dyDescent="0.25">
      <c r="A17662" s="318">
        <v>96243073895</v>
      </c>
      <c r="B17662" s="318" t="s">
        <v>237</v>
      </c>
    </row>
    <row r="17663" spans="1:2" ht="12.75" customHeight="1" x14ac:dyDescent="0.25">
      <c r="A17663" s="318">
        <v>96243073896</v>
      </c>
      <c r="B17663" s="318" t="s">
        <v>237</v>
      </c>
    </row>
    <row r="17664" spans="1:2" ht="12.75" customHeight="1" x14ac:dyDescent="0.25">
      <c r="A17664" s="318">
        <v>96243073897</v>
      </c>
      <c r="B17664" s="318" t="s">
        <v>237</v>
      </c>
    </row>
    <row r="17665" spans="1:2" ht="12.75" customHeight="1" x14ac:dyDescent="0.25">
      <c r="A17665" s="318">
        <v>96243073898</v>
      </c>
      <c r="B17665" s="318" t="s">
        <v>237</v>
      </c>
    </row>
    <row r="17666" spans="1:2" ht="12.75" customHeight="1" x14ac:dyDescent="0.25">
      <c r="A17666" s="318">
        <v>96243073899</v>
      </c>
      <c r="B17666" s="318" t="s">
        <v>237</v>
      </c>
    </row>
    <row r="17667" spans="1:2" ht="12.75" customHeight="1" x14ac:dyDescent="0.25">
      <c r="A17667" s="318">
        <v>96243073900</v>
      </c>
      <c r="B17667" s="318" t="s">
        <v>237</v>
      </c>
    </row>
    <row r="17668" spans="1:2" ht="12.75" customHeight="1" x14ac:dyDescent="0.25">
      <c r="A17668" s="318">
        <v>96243073901</v>
      </c>
      <c r="B17668" s="318" t="s">
        <v>237</v>
      </c>
    </row>
    <row r="17669" spans="1:2" ht="12.75" customHeight="1" x14ac:dyDescent="0.25">
      <c r="A17669" s="318">
        <v>96243073902</v>
      </c>
      <c r="B17669" s="318" t="s">
        <v>237</v>
      </c>
    </row>
    <row r="17670" spans="1:2" ht="12.75" customHeight="1" x14ac:dyDescent="0.25">
      <c r="A17670" s="318">
        <v>96243554759</v>
      </c>
      <c r="B17670" s="318" t="s">
        <v>23</v>
      </c>
    </row>
    <row r="17671" spans="1:2" ht="12.75" customHeight="1" x14ac:dyDescent="0.25">
      <c r="A17671" s="318">
        <v>96243554760</v>
      </c>
      <c r="B17671" s="318" t="s">
        <v>23</v>
      </c>
    </row>
    <row r="17672" spans="1:2" ht="12.75" customHeight="1" x14ac:dyDescent="0.25">
      <c r="A17672" s="318">
        <v>96243554761</v>
      </c>
      <c r="B17672" s="318" t="s">
        <v>23</v>
      </c>
    </row>
    <row r="17673" spans="1:2" ht="12.75" customHeight="1" x14ac:dyDescent="0.25">
      <c r="A17673" s="318">
        <v>96243554762</v>
      </c>
      <c r="B17673" s="318" t="s">
        <v>23</v>
      </c>
    </row>
    <row r="17674" spans="1:2" ht="12.75" customHeight="1" x14ac:dyDescent="0.25">
      <c r="A17674" s="318">
        <v>96243554763</v>
      </c>
      <c r="B17674" s="318" t="s">
        <v>23</v>
      </c>
    </row>
    <row r="17675" spans="1:2" ht="12.75" customHeight="1" x14ac:dyDescent="0.25">
      <c r="A17675" s="318">
        <v>96243554764</v>
      </c>
      <c r="B17675" s="318" t="s">
        <v>23</v>
      </c>
    </row>
    <row r="17676" spans="1:2" ht="12.75" customHeight="1" x14ac:dyDescent="0.25">
      <c r="A17676" s="318">
        <v>96243554765</v>
      </c>
      <c r="B17676" s="318" t="s">
        <v>237</v>
      </c>
    </row>
    <row r="17677" spans="1:2" ht="12.75" customHeight="1" x14ac:dyDescent="0.25">
      <c r="A17677" s="318">
        <v>96243554766</v>
      </c>
      <c r="B17677" s="318" t="s">
        <v>237</v>
      </c>
    </row>
    <row r="17678" spans="1:2" ht="12.75" customHeight="1" x14ac:dyDescent="0.25">
      <c r="A17678" s="318">
        <v>96243554768</v>
      </c>
      <c r="B17678" s="318" t="s">
        <v>237</v>
      </c>
    </row>
    <row r="17679" spans="1:2" ht="12.75" customHeight="1" x14ac:dyDescent="0.25">
      <c r="A17679" s="318">
        <v>96243554769</v>
      </c>
      <c r="B17679" s="318" t="s">
        <v>237</v>
      </c>
    </row>
    <row r="17680" spans="1:2" ht="12.75" customHeight="1" x14ac:dyDescent="0.25">
      <c r="A17680" s="318">
        <v>96243554770</v>
      </c>
      <c r="B17680" s="318" t="s">
        <v>237</v>
      </c>
    </row>
    <row r="17681" spans="1:2" ht="12.75" customHeight="1" x14ac:dyDescent="0.25">
      <c r="A17681" s="318">
        <v>96243554771</v>
      </c>
      <c r="B17681" s="318" t="s">
        <v>237</v>
      </c>
    </row>
    <row r="17682" spans="1:2" ht="12.75" customHeight="1" x14ac:dyDescent="0.25">
      <c r="A17682" s="318">
        <v>96243554772</v>
      </c>
      <c r="B17682" s="318" t="s">
        <v>237</v>
      </c>
    </row>
    <row r="17683" spans="1:2" ht="12.75" customHeight="1" x14ac:dyDescent="0.25">
      <c r="A17683" s="318">
        <v>96243554773</v>
      </c>
      <c r="B17683" s="318" t="s">
        <v>237</v>
      </c>
    </row>
    <row r="17684" spans="1:2" ht="12.75" customHeight="1" x14ac:dyDescent="0.25">
      <c r="A17684" s="318">
        <v>96243554774</v>
      </c>
      <c r="B17684" s="318" t="s">
        <v>237</v>
      </c>
    </row>
    <row r="17685" spans="1:2" ht="12.75" customHeight="1" x14ac:dyDescent="0.25">
      <c r="A17685" s="318">
        <v>96243554775</v>
      </c>
      <c r="B17685" s="318" t="s">
        <v>237</v>
      </c>
    </row>
    <row r="17686" spans="1:2" ht="12.75" customHeight="1" x14ac:dyDescent="0.25">
      <c r="A17686" s="318">
        <v>96243554859</v>
      </c>
      <c r="B17686" s="318" t="s">
        <v>23</v>
      </c>
    </row>
    <row r="17687" spans="1:2" ht="12.75" customHeight="1" x14ac:dyDescent="0.25">
      <c r="A17687" s="318">
        <v>96243554860</v>
      </c>
      <c r="B17687" s="318" t="s">
        <v>23</v>
      </c>
    </row>
    <row r="17688" spans="1:2" ht="12.75" customHeight="1" x14ac:dyDescent="0.25">
      <c r="A17688" s="318">
        <v>96243554861</v>
      </c>
      <c r="B17688" s="318" t="s">
        <v>23</v>
      </c>
    </row>
    <row r="17689" spans="1:2" ht="12.75" customHeight="1" x14ac:dyDescent="0.25">
      <c r="A17689" s="318">
        <v>96243554862</v>
      </c>
      <c r="B17689" s="318" t="s">
        <v>23</v>
      </c>
    </row>
    <row r="17690" spans="1:2" ht="12.75" customHeight="1" x14ac:dyDescent="0.25">
      <c r="A17690" s="318">
        <v>96243554863</v>
      </c>
      <c r="B17690" s="318" t="s">
        <v>23</v>
      </c>
    </row>
    <row r="17691" spans="1:2" ht="12.75" customHeight="1" x14ac:dyDescent="0.25">
      <c r="A17691" s="318">
        <v>96243554864</v>
      </c>
      <c r="B17691" s="318" t="s">
        <v>23</v>
      </c>
    </row>
    <row r="17692" spans="1:2" ht="12.75" customHeight="1" x14ac:dyDescent="0.25">
      <c r="A17692" s="318">
        <v>96243554865</v>
      </c>
      <c r="B17692" s="318" t="s">
        <v>237</v>
      </c>
    </row>
    <row r="17693" spans="1:2" ht="12.75" customHeight="1" x14ac:dyDescent="0.25">
      <c r="A17693" s="318">
        <v>96243554866</v>
      </c>
      <c r="B17693" s="318" t="s">
        <v>237</v>
      </c>
    </row>
    <row r="17694" spans="1:2" ht="12.75" customHeight="1" x14ac:dyDescent="0.25">
      <c r="A17694" s="318">
        <v>96243554868</v>
      </c>
      <c r="B17694" s="318" t="s">
        <v>237</v>
      </c>
    </row>
    <row r="17695" spans="1:2" ht="12.75" customHeight="1" x14ac:dyDescent="0.25">
      <c r="A17695" s="318">
        <v>96243554869</v>
      </c>
      <c r="B17695" s="318" t="s">
        <v>237</v>
      </c>
    </row>
    <row r="17696" spans="1:2" ht="12.75" customHeight="1" x14ac:dyDescent="0.25">
      <c r="A17696" s="318">
        <v>96243554870</v>
      </c>
      <c r="B17696" s="318" t="s">
        <v>237</v>
      </c>
    </row>
    <row r="17697" spans="1:2" ht="12.75" customHeight="1" x14ac:dyDescent="0.25">
      <c r="A17697" s="318">
        <v>96243554871</v>
      </c>
      <c r="B17697" s="318" t="s">
        <v>237</v>
      </c>
    </row>
    <row r="17698" spans="1:2" ht="12.75" customHeight="1" x14ac:dyDescent="0.25">
      <c r="A17698" s="318">
        <v>96243554872</v>
      </c>
      <c r="B17698" s="318" t="s">
        <v>237</v>
      </c>
    </row>
    <row r="17699" spans="1:2" ht="12.75" customHeight="1" x14ac:dyDescent="0.25">
      <c r="A17699" s="318">
        <v>96243554873</v>
      </c>
      <c r="B17699" s="318" t="s">
        <v>237</v>
      </c>
    </row>
    <row r="17700" spans="1:2" ht="12.75" customHeight="1" x14ac:dyDescent="0.25">
      <c r="A17700" s="318">
        <v>96243554874</v>
      </c>
      <c r="B17700" s="318" t="s">
        <v>237</v>
      </c>
    </row>
    <row r="17701" spans="1:2" ht="12.75" customHeight="1" x14ac:dyDescent="0.25">
      <c r="A17701" s="318">
        <v>96243554875</v>
      </c>
      <c r="B17701" s="318" t="s">
        <v>237</v>
      </c>
    </row>
    <row r="17702" spans="1:2" ht="12.75" customHeight="1" x14ac:dyDescent="0.25">
      <c r="A17702" s="318">
        <v>96244035732</v>
      </c>
      <c r="B17702" s="318" t="s">
        <v>23</v>
      </c>
    </row>
    <row r="17703" spans="1:2" ht="12.75" customHeight="1" x14ac:dyDescent="0.25">
      <c r="A17703" s="318">
        <v>96244035733</v>
      </c>
      <c r="B17703" s="318" t="s">
        <v>23</v>
      </c>
    </row>
    <row r="17704" spans="1:2" ht="12.75" customHeight="1" x14ac:dyDescent="0.25">
      <c r="A17704" s="318">
        <v>96244035734</v>
      </c>
      <c r="B17704" s="318" t="s">
        <v>23</v>
      </c>
    </row>
    <row r="17705" spans="1:2" ht="12.75" customHeight="1" x14ac:dyDescent="0.25">
      <c r="A17705" s="318">
        <v>96244035735</v>
      </c>
      <c r="B17705" s="318" t="s">
        <v>23</v>
      </c>
    </row>
    <row r="17706" spans="1:2" ht="12.75" customHeight="1" x14ac:dyDescent="0.25">
      <c r="A17706" s="318">
        <v>96244035736</v>
      </c>
      <c r="B17706" s="318" t="s">
        <v>23</v>
      </c>
    </row>
    <row r="17707" spans="1:2" ht="12.75" customHeight="1" x14ac:dyDescent="0.25">
      <c r="A17707" s="318">
        <v>96244035737</v>
      </c>
      <c r="B17707" s="318" t="s">
        <v>23</v>
      </c>
    </row>
    <row r="17708" spans="1:2" ht="12.75" customHeight="1" x14ac:dyDescent="0.25">
      <c r="A17708" s="318">
        <v>96244035738</v>
      </c>
      <c r="B17708" s="318" t="s">
        <v>237</v>
      </c>
    </row>
    <row r="17709" spans="1:2" ht="12.75" customHeight="1" x14ac:dyDescent="0.25">
      <c r="A17709" s="318">
        <v>96244035739</v>
      </c>
      <c r="B17709" s="318" t="s">
        <v>237</v>
      </c>
    </row>
    <row r="17710" spans="1:2" ht="12.75" customHeight="1" x14ac:dyDescent="0.25">
      <c r="A17710" s="318">
        <v>96244035741</v>
      </c>
      <c r="B17710" s="318" t="s">
        <v>237</v>
      </c>
    </row>
    <row r="17711" spans="1:2" ht="12.75" customHeight="1" x14ac:dyDescent="0.25">
      <c r="A17711" s="318">
        <v>96244035742</v>
      </c>
      <c r="B17711" s="318" t="s">
        <v>237</v>
      </c>
    </row>
    <row r="17712" spans="1:2" ht="12.75" customHeight="1" x14ac:dyDescent="0.25">
      <c r="A17712" s="318">
        <v>96244035743</v>
      </c>
      <c r="B17712" s="318" t="s">
        <v>237</v>
      </c>
    </row>
    <row r="17713" spans="1:2" ht="12.75" customHeight="1" x14ac:dyDescent="0.25">
      <c r="A17713" s="318">
        <v>96244035744</v>
      </c>
      <c r="B17713" s="318" t="s">
        <v>237</v>
      </c>
    </row>
    <row r="17714" spans="1:2" ht="12.75" customHeight="1" x14ac:dyDescent="0.25">
      <c r="A17714" s="318">
        <v>96244035745</v>
      </c>
      <c r="B17714" s="318" t="s">
        <v>237</v>
      </c>
    </row>
    <row r="17715" spans="1:2" ht="12.75" customHeight="1" x14ac:dyDescent="0.25">
      <c r="A17715" s="318">
        <v>96244035746</v>
      </c>
      <c r="B17715" s="318" t="s">
        <v>237</v>
      </c>
    </row>
    <row r="17716" spans="1:2" ht="12.75" customHeight="1" x14ac:dyDescent="0.25">
      <c r="A17716" s="318">
        <v>96244035747</v>
      </c>
      <c r="B17716" s="318" t="s">
        <v>237</v>
      </c>
    </row>
    <row r="17717" spans="1:2" ht="12.75" customHeight="1" x14ac:dyDescent="0.25">
      <c r="A17717" s="318">
        <v>96244035748</v>
      </c>
      <c r="B17717" s="318" t="s">
        <v>237</v>
      </c>
    </row>
    <row r="17718" spans="1:2" ht="12.75" customHeight="1" x14ac:dyDescent="0.25">
      <c r="A17718" s="318">
        <v>96244035832</v>
      </c>
      <c r="B17718" s="318" t="s">
        <v>23</v>
      </c>
    </row>
    <row r="17719" spans="1:2" ht="12.75" customHeight="1" x14ac:dyDescent="0.25">
      <c r="A17719" s="318">
        <v>96244035833</v>
      </c>
      <c r="B17719" s="318" t="s">
        <v>23</v>
      </c>
    </row>
    <row r="17720" spans="1:2" ht="12.75" customHeight="1" x14ac:dyDescent="0.25">
      <c r="A17720" s="318">
        <v>96244035834</v>
      </c>
      <c r="B17720" s="318" t="s">
        <v>23</v>
      </c>
    </row>
    <row r="17721" spans="1:2" ht="12.75" customHeight="1" x14ac:dyDescent="0.25">
      <c r="A17721" s="318">
        <v>96244035835</v>
      </c>
      <c r="B17721" s="318" t="s">
        <v>23</v>
      </c>
    </row>
    <row r="17722" spans="1:2" ht="12.75" customHeight="1" x14ac:dyDescent="0.25">
      <c r="A17722" s="318">
        <v>96244035836</v>
      </c>
      <c r="B17722" s="318" t="s">
        <v>23</v>
      </c>
    </row>
    <row r="17723" spans="1:2" ht="12.75" customHeight="1" x14ac:dyDescent="0.25">
      <c r="A17723" s="318">
        <v>96244035837</v>
      </c>
      <c r="B17723" s="318" t="s">
        <v>23</v>
      </c>
    </row>
    <row r="17724" spans="1:2" ht="12.75" customHeight="1" x14ac:dyDescent="0.25">
      <c r="A17724" s="318">
        <v>96244035838</v>
      </c>
      <c r="B17724" s="318" t="s">
        <v>237</v>
      </c>
    </row>
    <row r="17725" spans="1:2" ht="12.75" customHeight="1" x14ac:dyDescent="0.25">
      <c r="A17725" s="318">
        <v>96244035839</v>
      </c>
      <c r="B17725" s="318" t="s">
        <v>237</v>
      </c>
    </row>
    <row r="17726" spans="1:2" ht="12.75" customHeight="1" x14ac:dyDescent="0.25">
      <c r="A17726" s="318">
        <v>96244035841</v>
      </c>
      <c r="B17726" s="318" t="s">
        <v>237</v>
      </c>
    </row>
    <row r="17727" spans="1:2" ht="12.75" customHeight="1" x14ac:dyDescent="0.25">
      <c r="A17727" s="318">
        <v>96244035842</v>
      </c>
      <c r="B17727" s="318" t="s">
        <v>237</v>
      </c>
    </row>
    <row r="17728" spans="1:2" ht="12.75" customHeight="1" x14ac:dyDescent="0.25">
      <c r="A17728" s="318">
        <v>96244035843</v>
      </c>
      <c r="B17728" s="318" t="s">
        <v>237</v>
      </c>
    </row>
    <row r="17729" spans="1:2" ht="12.75" customHeight="1" x14ac:dyDescent="0.25">
      <c r="A17729" s="318">
        <v>96244035844</v>
      </c>
      <c r="B17729" s="318" t="s">
        <v>237</v>
      </c>
    </row>
    <row r="17730" spans="1:2" ht="12.75" customHeight="1" x14ac:dyDescent="0.25">
      <c r="A17730" s="318">
        <v>96244035845</v>
      </c>
      <c r="B17730" s="318" t="s">
        <v>237</v>
      </c>
    </row>
    <row r="17731" spans="1:2" ht="12.75" customHeight="1" x14ac:dyDescent="0.25">
      <c r="A17731" s="318">
        <v>96244035846</v>
      </c>
      <c r="B17731" s="318" t="s">
        <v>237</v>
      </c>
    </row>
    <row r="17732" spans="1:2" ht="12.75" customHeight="1" x14ac:dyDescent="0.25">
      <c r="A17732" s="318">
        <v>96244035847</v>
      </c>
      <c r="B17732" s="318" t="s">
        <v>237</v>
      </c>
    </row>
    <row r="17733" spans="1:2" ht="12.75" customHeight="1" x14ac:dyDescent="0.25">
      <c r="A17733" s="318">
        <v>96244035848</v>
      </c>
      <c r="B17733" s="318" t="s">
        <v>237</v>
      </c>
    </row>
    <row r="17734" spans="1:2" ht="12.75" customHeight="1" x14ac:dyDescent="0.25">
      <c r="A17734" s="318">
        <v>96293931623</v>
      </c>
      <c r="B17734" s="318" t="s">
        <v>236</v>
      </c>
    </row>
    <row r="17735" spans="1:2" ht="12.75" customHeight="1" x14ac:dyDescent="0.25">
      <c r="A17735" s="318">
        <v>96293931624</v>
      </c>
      <c r="B17735" s="318" t="s">
        <v>235</v>
      </c>
    </row>
    <row r="17736" spans="1:2" ht="12.75" customHeight="1" x14ac:dyDescent="0.25">
      <c r="A17736" s="318">
        <v>96293931625</v>
      </c>
      <c r="B17736" s="318" t="s">
        <v>236</v>
      </c>
    </row>
    <row r="17737" spans="1:2" ht="12.75" customHeight="1" x14ac:dyDescent="0.25">
      <c r="A17737" s="318">
        <v>96293931626</v>
      </c>
      <c r="B17737" s="318" t="s">
        <v>235</v>
      </c>
    </row>
    <row r="17738" spans="1:2" ht="12.75" customHeight="1" x14ac:dyDescent="0.25">
      <c r="A17738" s="318">
        <v>96293931627</v>
      </c>
      <c r="B17738" s="318" t="s">
        <v>236</v>
      </c>
    </row>
    <row r="17739" spans="1:2" ht="12.75" customHeight="1" x14ac:dyDescent="0.25">
      <c r="A17739" s="318">
        <v>96293931628</v>
      </c>
      <c r="B17739" s="318" t="s">
        <v>235</v>
      </c>
    </row>
    <row r="17740" spans="1:2" ht="12.75" customHeight="1" x14ac:dyDescent="0.25">
      <c r="A17740" s="318">
        <v>96293931629</v>
      </c>
      <c r="B17740" s="318" t="s">
        <v>23</v>
      </c>
    </row>
    <row r="17741" spans="1:2" ht="12.75" customHeight="1" x14ac:dyDescent="0.25">
      <c r="A17741" s="318">
        <v>96293931630</v>
      </c>
      <c r="B17741" s="318" t="s">
        <v>235</v>
      </c>
    </row>
    <row r="17742" spans="1:2" ht="12.75" customHeight="1" x14ac:dyDescent="0.25">
      <c r="A17742" s="318">
        <v>96293931632</v>
      </c>
      <c r="B17742" s="318" t="s">
        <v>237</v>
      </c>
    </row>
    <row r="17743" spans="1:2" ht="12.75" customHeight="1" x14ac:dyDescent="0.25">
      <c r="A17743" s="318">
        <v>96293931633</v>
      </c>
      <c r="B17743" s="318" t="s">
        <v>237</v>
      </c>
    </row>
    <row r="17744" spans="1:2" ht="12.75" customHeight="1" x14ac:dyDescent="0.25">
      <c r="A17744" s="318">
        <v>96293931634</v>
      </c>
      <c r="B17744" s="318" t="s">
        <v>237</v>
      </c>
    </row>
    <row r="17745" spans="1:2" ht="12.75" customHeight="1" x14ac:dyDescent="0.25">
      <c r="A17745" s="318">
        <v>96293931635</v>
      </c>
      <c r="B17745" s="318" t="s">
        <v>237</v>
      </c>
    </row>
    <row r="17746" spans="1:2" ht="12.75" customHeight="1" x14ac:dyDescent="0.25">
      <c r="A17746" s="318">
        <v>96293931636</v>
      </c>
      <c r="B17746" s="318" t="s">
        <v>237</v>
      </c>
    </row>
    <row r="17747" spans="1:2" ht="12.75" customHeight="1" x14ac:dyDescent="0.25">
      <c r="A17747" s="318">
        <v>96293931637</v>
      </c>
      <c r="B17747" s="318" t="s">
        <v>237</v>
      </c>
    </row>
    <row r="17748" spans="1:2" ht="12.75" customHeight="1" x14ac:dyDescent="0.25">
      <c r="A17748" s="318">
        <v>96293931638</v>
      </c>
      <c r="B17748" s="318" t="s">
        <v>237</v>
      </c>
    </row>
    <row r="17749" spans="1:2" ht="12.75" customHeight="1" x14ac:dyDescent="0.25">
      <c r="A17749" s="318">
        <v>96293931639</v>
      </c>
      <c r="B17749" s="318" t="s">
        <v>237</v>
      </c>
    </row>
    <row r="17750" spans="1:2" ht="12.75" customHeight="1" x14ac:dyDescent="0.25">
      <c r="A17750" s="318">
        <v>96293931723</v>
      </c>
      <c r="B17750" s="318" t="s">
        <v>236</v>
      </c>
    </row>
    <row r="17751" spans="1:2" ht="12.75" customHeight="1" x14ac:dyDescent="0.25">
      <c r="A17751" s="318">
        <v>96293931724</v>
      </c>
      <c r="B17751" s="318" t="s">
        <v>235</v>
      </c>
    </row>
    <row r="17752" spans="1:2" ht="12.75" customHeight="1" x14ac:dyDescent="0.25">
      <c r="A17752" s="318">
        <v>96293931725</v>
      </c>
      <c r="B17752" s="318" t="s">
        <v>236</v>
      </c>
    </row>
    <row r="17753" spans="1:2" ht="12.75" customHeight="1" x14ac:dyDescent="0.25">
      <c r="A17753" s="318">
        <v>96293931726</v>
      </c>
      <c r="B17753" s="318" t="s">
        <v>235</v>
      </c>
    </row>
    <row r="17754" spans="1:2" ht="12.75" customHeight="1" x14ac:dyDescent="0.25">
      <c r="A17754" s="318">
        <v>96293931727</v>
      </c>
      <c r="B17754" s="318" t="s">
        <v>236</v>
      </c>
    </row>
    <row r="17755" spans="1:2" ht="12.75" customHeight="1" x14ac:dyDescent="0.25">
      <c r="A17755" s="318">
        <v>96293931728</v>
      </c>
      <c r="B17755" s="318" t="s">
        <v>235</v>
      </c>
    </row>
    <row r="17756" spans="1:2" ht="12.75" customHeight="1" x14ac:dyDescent="0.25">
      <c r="A17756" s="318">
        <v>96293931729</v>
      </c>
      <c r="B17756" s="318" t="s">
        <v>23</v>
      </c>
    </row>
    <row r="17757" spans="1:2" ht="12.75" customHeight="1" x14ac:dyDescent="0.25">
      <c r="A17757" s="318">
        <v>96293931730</v>
      </c>
      <c r="B17757" s="318" t="s">
        <v>235</v>
      </c>
    </row>
    <row r="17758" spans="1:2" ht="12.75" customHeight="1" x14ac:dyDescent="0.25">
      <c r="A17758" s="318">
        <v>96293931732</v>
      </c>
      <c r="B17758" s="318" t="s">
        <v>237</v>
      </c>
    </row>
    <row r="17759" spans="1:2" ht="12.75" customHeight="1" x14ac:dyDescent="0.25">
      <c r="A17759" s="318">
        <v>96293931733</v>
      </c>
      <c r="B17759" s="318" t="s">
        <v>237</v>
      </c>
    </row>
    <row r="17760" spans="1:2" ht="12.75" customHeight="1" x14ac:dyDescent="0.25">
      <c r="A17760" s="318">
        <v>96293931734</v>
      </c>
      <c r="B17760" s="318" t="s">
        <v>237</v>
      </c>
    </row>
    <row r="17761" spans="1:2" ht="12.75" customHeight="1" x14ac:dyDescent="0.25">
      <c r="A17761" s="318">
        <v>96293931735</v>
      </c>
      <c r="B17761" s="318" t="s">
        <v>237</v>
      </c>
    </row>
    <row r="17762" spans="1:2" ht="12.75" customHeight="1" x14ac:dyDescent="0.25">
      <c r="A17762" s="318">
        <v>96293931736</v>
      </c>
      <c r="B17762" s="318" t="s">
        <v>237</v>
      </c>
    </row>
    <row r="17763" spans="1:2" ht="12.75" customHeight="1" x14ac:dyDescent="0.25">
      <c r="A17763" s="318">
        <v>96293931737</v>
      </c>
      <c r="B17763" s="318" t="s">
        <v>237</v>
      </c>
    </row>
    <row r="17764" spans="1:2" ht="12.75" customHeight="1" x14ac:dyDescent="0.25">
      <c r="A17764" s="318">
        <v>96293931738</v>
      </c>
      <c r="B17764" s="318" t="s">
        <v>237</v>
      </c>
    </row>
    <row r="17765" spans="1:2" ht="12.75" customHeight="1" x14ac:dyDescent="0.25">
      <c r="A17765" s="318">
        <v>96293931739</v>
      </c>
      <c r="B17765" s="318" t="s">
        <v>237</v>
      </c>
    </row>
    <row r="17766" spans="1:2" ht="12.75" customHeight="1" x14ac:dyDescent="0.25">
      <c r="A17766" s="318">
        <v>96294412596</v>
      </c>
      <c r="B17766" s="318" t="s">
        <v>236</v>
      </c>
    </row>
    <row r="17767" spans="1:2" ht="12.75" customHeight="1" x14ac:dyDescent="0.25">
      <c r="A17767" s="318">
        <v>96294412597</v>
      </c>
      <c r="B17767" s="318" t="s">
        <v>235</v>
      </c>
    </row>
    <row r="17768" spans="1:2" ht="12.75" customHeight="1" x14ac:dyDescent="0.25">
      <c r="A17768" s="318">
        <v>96294412598</v>
      </c>
      <c r="B17768" s="318" t="s">
        <v>236</v>
      </c>
    </row>
    <row r="17769" spans="1:2" ht="12.75" customHeight="1" x14ac:dyDescent="0.25">
      <c r="A17769" s="318">
        <v>96294412599</v>
      </c>
      <c r="B17769" s="318" t="s">
        <v>235</v>
      </c>
    </row>
    <row r="17770" spans="1:2" ht="12.75" customHeight="1" x14ac:dyDescent="0.25">
      <c r="A17770" s="318">
        <v>96294412600</v>
      </c>
      <c r="B17770" s="318" t="s">
        <v>236</v>
      </c>
    </row>
    <row r="17771" spans="1:2" ht="12.75" customHeight="1" x14ac:dyDescent="0.25">
      <c r="A17771" s="318">
        <v>96294412601</v>
      </c>
      <c r="B17771" s="318" t="s">
        <v>235</v>
      </c>
    </row>
    <row r="17772" spans="1:2" ht="12.75" customHeight="1" x14ac:dyDescent="0.25">
      <c r="A17772" s="318">
        <v>96294412602</v>
      </c>
      <c r="B17772" s="318" t="s">
        <v>23</v>
      </c>
    </row>
    <row r="17773" spans="1:2" ht="12.75" customHeight="1" x14ac:dyDescent="0.25">
      <c r="A17773" s="318">
        <v>96294412603</v>
      </c>
      <c r="B17773" s="318" t="s">
        <v>235</v>
      </c>
    </row>
    <row r="17774" spans="1:2" ht="12.75" customHeight="1" x14ac:dyDescent="0.25">
      <c r="A17774" s="318">
        <v>96294412605</v>
      </c>
      <c r="B17774" s="318" t="s">
        <v>237</v>
      </c>
    </row>
    <row r="17775" spans="1:2" ht="12.75" customHeight="1" x14ac:dyDescent="0.25">
      <c r="A17775" s="318">
        <v>96294412606</v>
      </c>
      <c r="B17775" s="318" t="s">
        <v>237</v>
      </c>
    </row>
    <row r="17776" spans="1:2" ht="12.75" customHeight="1" x14ac:dyDescent="0.25">
      <c r="A17776" s="318">
        <v>96294412607</v>
      </c>
      <c r="B17776" s="318" t="s">
        <v>237</v>
      </c>
    </row>
    <row r="17777" spans="1:2" ht="12.75" customHeight="1" x14ac:dyDescent="0.25">
      <c r="A17777" s="318">
        <v>96294412608</v>
      </c>
      <c r="B17777" s="318" t="s">
        <v>237</v>
      </c>
    </row>
    <row r="17778" spans="1:2" ht="12.75" customHeight="1" x14ac:dyDescent="0.25">
      <c r="A17778" s="318">
        <v>96294412609</v>
      </c>
      <c r="B17778" s="318" t="s">
        <v>237</v>
      </c>
    </row>
    <row r="17779" spans="1:2" ht="12.75" customHeight="1" x14ac:dyDescent="0.25">
      <c r="A17779" s="318">
        <v>96294412610</v>
      </c>
      <c r="B17779" s="318" t="s">
        <v>237</v>
      </c>
    </row>
    <row r="17780" spans="1:2" ht="12.75" customHeight="1" x14ac:dyDescent="0.25">
      <c r="A17780" s="318">
        <v>96294412611</v>
      </c>
      <c r="B17780" s="318" t="s">
        <v>237</v>
      </c>
    </row>
    <row r="17781" spans="1:2" ht="12.75" customHeight="1" x14ac:dyDescent="0.25">
      <c r="A17781" s="318">
        <v>96294412612</v>
      </c>
      <c r="B17781" s="318" t="s">
        <v>237</v>
      </c>
    </row>
    <row r="17782" spans="1:2" ht="12.75" customHeight="1" x14ac:dyDescent="0.25">
      <c r="A17782" s="318">
        <v>96294412696</v>
      </c>
      <c r="B17782" s="318" t="s">
        <v>236</v>
      </c>
    </row>
    <row r="17783" spans="1:2" ht="12.75" customHeight="1" x14ac:dyDescent="0.25">
      <c r="A17783" s="318">
        <v>96294412697</v>
      </c>
      <c r="B17783" s="318" t="s">
        <v>235</v>
      </c>
    </row>
    <row r="17784" spans="1:2" ht="12.75" customHeight="1" x14ac:dyDescent="0.25">
      <c r="A17784" s="318">
        <v>96294412698</v>
      </c>
      <c r="B17784" s="318" t="s">
        <v>236</v>
      </c>
    </row>
    <row r="17785" spans="1:2" ht="12.75" customHeight="1" x14ac:dyDescent="0.25">
      <c r="A17785" s="318">
        <v>96294412699</v>
      </c>
      <c r="B17785" s="318" t="s">
        <v>235</v>
      </c>
    </row>
    <row r="17786" spans="1:2" ht="12.75" customHeight="1" x14ac:dyDescent="0.25">
      <c r="A17786" s="318">
        <v>96294412700</v>
      </c>
      <c r="B17786" s="318" t="s">
        <v>236</v>
      </c>
    </row>
    <row r="17787" spans="1:2" ht="12.75" customHeight="1" x14ac:dyDescent="0.25">
      <c r="A17787" s="318">
        <v>96294412701</v>
      </c>
      <c r="B17787" s="318" t="s">
        <v>235</v>
      </c>
    </row>
    <row r="17788" spans="1:2" ht="12.75" customHeight="1" x14ac:dyDescent="0.25">
      <c r="A17788" s="318">
        <v>96294412702</v>
      </c>
      <c r="B17788" s="318" t="s">
        <v>23</v>
      </c>
    </row>
    <row r="17789" spans="1:2" ht="12.75" customHeight="1" x14ac:dyDescent="0.25">
      <c r="A17789" s="318">
        <v>96294412703</v>
      </c>
      <c r="B17789" s="318" t="s">
        <v>235</v>
      </c>
    </row>
    <row r="17790" spans="1:2" ht="12.75" customHeight="1" x14ac:dyDescent="0.25">
      <c r="A17790" s="318">
        <v>96294412705</v>
      </c>
      <c r="B17790" s="318" t="s">
        <v>237</v>
      </c>
    </row>
    <row r="17791" spans="1:2" ht="12.75" customHeight="1" x14ac:dyDescent="0.25">
      <c r="A17791" s="318">
        <v>96294412706</v>
      </c>
      <c r="B17791" s="318" t="s">
        <v>237</v>
      </c>
    </row>
    <row r="17792" spans="1:2" ht="12.75" customHeight="1" x14ac:dyDescent="0.25">
      <c r="A17792" s="318">
        <v>96294412707</v>
      </c>
      <c r="B17792" s="318" t="s">
        <v>237</v>
      </c>
    </row>
    <row r="17793" spans="1:2" ht="12.75" customHeight="1" x14ac:dyDescent="0.25">
      <c r="A17793" s="318">
        <v>96294412708</v>
      </c>
      <c r="B17793" s="318" t="s">
        <v>237</v>
      </c>
    </row>
    <row r="17794" spans="1:2" ht="12.75" customHeight="1" x14ac:dyDescent="0.25">
      <c r="A17794" s="318">
        <v>96294412709</v>
      </c>
      <c r="B17794" s="318" t="s">
        <v>237</v>
      </c>
    </row>
    <row r="17795" spans="1:2" ht="12.75" customHeight="1" x14ac:dyDescent="0.25">
      <c r="A17795" s="318">
        <v>96294412710</v>
      </c>
      <c r="B17795" s="318" t="s">
        <v>237</v>
      </c>
    </row>
    <row r="17796" spans="1:2" ht="12.75" customHeight="1" x14ac:dyDescent="0.25">
      <c r="A17796" s="318">
        <v>96294412711</v>
      </c>
      <c r="B17796" s="318" t="s">
        <v>237</v>
      </c>
    </row>
    <row r="17797" spans="1:2" ht="12.75" customHeight="1" x14ac:dyDescent="0.25">
      <c r="A17797" s="318">
        <v>96294412712</v>
      </c>
      <c r="B17797" s="318" t="s">
        <v>237</v>
      </c>
    </row>
    <row r="17798" spans="1:2" ht="12.75" customHeight="1" x14ac:dyDescent="0.25">
      <c r="A17798" s="318">
        <v>96294893569</v>
      </c>
      <c r="B17798" s="318" t="s">
        <v>236</v>
      </c>
    </row>
    <row r="17799" spans="1:2" ht="12.75" customHeight="1" x14ac:dyDescent="0.25">
      <c r="A17799" s="318">
        <v>96294893570</v>
      </c>
      <c r="B17799" s="318" t="s">
        <v>235</v>
      </c>
    </row>
    <row r="17800" spans="1:2" ht="12.75" customHeight="1" x14ac:dyDescent="0.25">
      <c r="A17800" s="318">
        <v>96294893571</v>
      </c>
      <c r="B17800" s="318" t="s">
        <v>236</v>
      </c>
    </row>
    <row r="17801" spans="1:2" ht="12.75" customHeight="1" x14ac:dyDescent="0.25">
      <c r="A17801" s="318">
        <v>96294893572</v>
      </c>
      <c r="B17801" s="318" t="s">
        <v>235</v>
      </c>
    </row>
    <row r="17802" spans="1:2" ht="12.75" customHeight="1" x14ac:dyDescent="0.25">
      <c r="A17802" s="318">
        <v>96294893573</v>
      </c>
      <c r="B17802" s="318" t="s">
        <v>236</v>
      </c>
    </row>
    <row r="17803" spans="1:2" ht="12.75" customHeight="1" x14ac:dyDescent="0.25">
      <c r="A17803" s="318">
        <v>96294893574</v>
      </c>
      <c r="B17803" s="318" t="s">
        <v>235</v>
      </c>
    </row>
    <row r="17804" spans="1:2" ht="12.75" customHeight="1" x14ac:dyDescent="0.25">
      <c r="A17804" s="318">
        <v>96294893575</v>
      </c>
      <c r="B17804" s="318" t="s">
        <v>236</v>
      </c>
    </row>
    <row r="17805" spans="1:2" ht="12.75" customHeight="1" x14ac:dyDescent="0.25">
      <c r="A17805" s="318">
        <v>96294893576</v>
      </c>
      <c r="B17805" s="318" t="s">
        <v>235</v>
      </c>
    </row>
    <row r="17806" spans="1:2" ht="12.75" customHeight="1" x14ac:dyDescent="0.25">
      <c r="A17806" s="318">
        <v>96294893578</v>
      </c>
      <c r="B17806" s="318" t="s">
        <v>236</v>
      </c>
    </row>
    <row r="17807" spans="1:2" ht="12.75" customHeight="1" x14ac:dyDescent="0.25">
      <c r="A17807" s="318">
        <v>96294893579</v>
      </c>
      <c r="B17807" s="318" t="s">
        <v>235</v>
      </c>
    </row>
    <row r="17808" spans="1:2" ht="12.75" customHeight="1" x14ac:dyDescent="0.25">
      <c r="A17808" s="318">
        <v>96294893580</v>
      </c>
      <c r="B17808" s="318" t="s">
        <v>236</v>
      </c>
    </row>
    <row r="17809" spans="1:2" ht="12.75" customHeight="1" x14ac:dyDescent="0.25">
      <c r="A17809" s="318">
        <v>96294893581</v>
      </c>
      <c r="B17809" s="318" t="s">
        <v>235</v>
      </c>
    </row>
    <row r="17810" spans="1:2" ht="12.75" customHeight="1" x14ac:dyDescent="0.25">
      <c r="A17810" s="318">
        <v>96294893582</v>
      </c>
      <c r="B17810" s="318" t="s">
        <v>236</v>
      </c>
    </row>
    <row r="17811" spans="1:2" ht="12.75" customHeight="1" x14ac:dyDescent="0.25">
      <c r="A17811" s="318">
        <v>96294893583</v>
      </c>
      <c r="B17811" s="318" t="s">
        <v>235</v>
      </c>
    </row>
    <row r="17812" spans="1:2" ht="12.75" customHeight="1" x14ac:dyDescent="0.25">
      <c r="A17812" s="318">
        <v>96294893584</v>
      </c>
      <c r="B17812" s="318" t="s">
        <v>236</v>
      </c>
    </row>
    <row r="17813" spans="1:2" ht="12.75" customHeight="1" x14ac:dyDescent="0.25">
      <c r="A17813" s="318">
        <v>96294893585</v>
      </c>
      <c r="B17813" s="318" t="s">
        <v>235</v>
      </c>
    </row>
    <row r="17814" spans="1:2" ht="12.75" customHeight="1" x14ac:dyDescent="0.25">
      <c r="A17814" s="318">
        <v>96294893669</v>
      </c>
      <c r="B17814" s="318" t="s">
        <v>236</v>
      </c>
    </row>
    <row r="17815" spans="1:2" ht="12.75" customHeight="1" x14ac:dyDescent="0.25">
      <c r="A17815" s="318">
        <v>96294893670</v>
      </c>
      <c r="B17815" s="318" t="s">
        <v>235</v>
      </c>
    </row>
    <row r="17816" spans="1:2" ht="12.75" customHeight="1" x14ac:dyDescent="0.25">
      <c r="A17816" s="318">
        <v>96294893671</v>
      </c>
      <c r="B17816" s="318" t="s">
        <v>236</v>
      </c>
    </row>
    <row r="17817" spans="1:2" ht="12.75" customHeight="1" x14ac:dyDescent="0.25">
      <c r="A17817" s="318">
        <v>96294893672</v>
      </c>
      <c r="B17817" s="318" t="s">
        <v>235</v>
      </c>
    </row>
    <row r="17818" spans="1:2" ht="12.75" customHeight="1" x14ac:dyDescent="0.25">
      <c r="A17818" s="318">
        <v>96294893673</v>
      </c>
      <c r="B17818" s="318" t="s">
        <v>236</v>
      </c>
    </row>
    <row r="17819" spans="1:2" ht="12.75" customHeight="1" x14ac:dyDescent="0.25">
      <c r="A17819" s="318">
        <v>96294893674</v>
      </c>
      <c r="B17819" s="318" t="s">
        <v>235</v>
      </c>
    </row>
    <row r="17820" spans="1:2" ht="12.75" customHeight="1" x14ac:dyDescent="0.25">
      <c r="A17820" s="318">
        <v>96294893675</v>
      </c>
      <c r="B17820" s="318" t="s">
        <v>236</v>
      </c>
    </row>
    <row r="17821" spans="1:2" ht="12.75" customHeight="1" x14ac:dyDescent="0.25">
      <c r="A17821" s="318">
        <v>96294893676</v>
      </c>
      <c r="B17821" s="318" t="s">
        <v>235</v>
      </c>
    </row>
    <row r="17822" spans="1:2" ht="12.75" customHeight="1" x14ac:dyDescent="0.25">
      <c r="A17822" s="318">
        <v>96294893678</v>
      </c>
      <c r="B17822" s="318" t="s">
        <v>236</v>
      </c>
    </row>
    <row r="17823" spans="1:2" ht="12.75" customHeight="1" x14ac:dyDescent="0.25">
      <c r="A17823" s="318">
        <v>96294893679</v>
      </c>
      <c r="B17823" s="318" t="s">
        <v>235</v>
      </c>
    </row>
    <row r="17824" spans="1:2" ht="12.75" customHeight="1" x14ac:dyDescent="0.25">
      <c r="A17824" s="318">
        <v>96294893680</v>
      </c>
      <c r="B17824" s="318" t="s">
        <v>236</v>
      </c>
    </row>
    <row r="17825" spans="1:2" ht="12.75" customHeight="1" x14ac:dyDescent="0.25">
      <c r="A17825" s="318">
        <v>96294893681</v>
      </c>
      <c r="B17825" s="318" t="s">
        <v>235</v>
      </c>
    </row>
    <row r="17826" spans="1:2" ht="12.75" customHeight="1" x14ac:dyDescent="0.25">
      <c r="A17826" s="318">
        <v>96294893682</v>
      </c>
      <c r="B17826" s="318" t="s">
        <v>236</v>
      </c>
    </row>
    <row r="17827" spans="1:2" ht="12.75" customHeight="1" x14ac:dyDescent="0.25">
      <c r="A17827" s="318">
        <v>96294893683</v>
      </c>
      <c r="B17827" s="318" t="s">
        <v>235</v>
      </c>
    </row>
    <row r="17828" spans="1:2" ht="12.75" customHeight="1" x14ac:dyDescent="0.25">
      <c r="A17828" s="318">
        <v>96294893684</v>
      </c>
      <c r="B17828" s="318" t="s">
        <v>236</v>
      </c>
    </row>
    <row r="17829" spans="1:2" ht="12.75" customHeight="1" x14ac:dyDescent="0.25">
      <c r="A17829" s="318">
        <v>96294893685</v>
      </c>
      <c r="B17829" s="318" t="s">
        <v>235</v>
      </c>
    </row>
    <row r="17830" spans="1:2" ht="12.75" customHeight="1" x14ac:dyDescent="0.25">
      <c r="A17830" s="318">
        <v>96295573760</v>
      </c>
      <c r="B17830" s="318" t="s">
        <v>236</v>
      </c>
    </row>
    <row r="17831" spans="1:2" ht="12.75" customHeight="1" x14ac:dyDescent="0.25">
      <c r="A17831" s="318">
        <v>96295573761</v>
      </c>
      <c r="B17831" s="318" t="s">
        <v>235</v>
      </c>
    </row>
    <row r="17832" spans="1:2" ht="12.75" customHeight="1" x14ac:dyDescent="0.25">
      <c r="A17832" s="318">
        <v>96295573762</v>
      </c>
      <c r="B17832" s="318" t="s">
        <v>236</v>
      </c>
    </row>
    <row r="17833" spans="1:2" ht="12.75" customHeight="1" x14ac:dyDescent="0.25">
      <c r="A17833" s="318">
        <v>96295573763</v>
      </c>
      <c r="B17833" s="318" t="s">
        <v>235</v>
      </c>
    </row>
    <row r="17834" spans="1:2" ht="12.75" customHeight="1" x14ac:dyDescent="0.25">
      <c r="A17834" s="318">
        <v>96295573764</v>
      </c>
      <c r="B17834" s="318" t="s">
        <v>236</v>
      </c>
    </row>
    <row r="17835" spans="1:2" ht="12.75" customHeight="1" x14ac:dyDescent="0.25">
      <c r="A17835" s="318">
        <v>96295573765</v>
      </c>
      <c r="B17835" s="318" t="s">
        <v>235</v>
      </c>
    </row>
    <row r="17836" spans="1:2" ht="12.75" customHeight="1" x14ac:dyDescent="0.25">
      <c r="A17836" s="318">
        <v>96295573766</v>
      </c>
      <c r="B17836" s="318" t="s">
        <v>23</v>
      </c>
    </row>
    <row r="17837" spans="1:2" ht="12.75" customHeight="1" x14ac:dyDescent="0.25">
      <c r="A17837" s="318">
        <v>96295573767</v>
      </c>
      <c r="B17837" s="318" t="s">
        <v>235</v>
      </c>
    </row>
    <row r="17838" spans="1:2" ht="12.75" customHeight="1" x14ac:dyDescent="0.25">
      <c r="A17838" s="318">
        <v>96295573769</v>
      </c>
      <c r="B17838" s="318" t="s">
        <v>237</v>
      </c>
    </row>
    <row r="17839" spans="1:2" ht="12.75" customHeight="1" x14ac:dyDescent="0.25">
      <c r="A17839" s="318">
        <v>96295573770</v>
      </c>
      <c r="B17839" s="318" t="s">
        <v>237</v>
      </c>
    </row>
    <row r="17840" spans="1:2" ht="12.75" customHeight="1" x14ac:dyDescent="0.25">
      <c r="A17840" s="318">
        <v>96295573771</v>
      </c>
      <c r="B17840" s="318" t="s">
        <v>237</v>
      </c>
    </row>
    <row r="17841" spans="1:2" ht="12.75" customHeight="1" x14ac:dyDescent="0.25">
      <c r="A17841" s="318">
        <v>96295573772</v>
      </c>
      <c r="B17841" s="318" t="s">
        <v>237</v>
      </c>
    </row>
    <row r="17842" spans="1:2" ht="12.75" customHeight="1" x14ac:dyDescent="0.25">
      <c r="A17842" s="318">
        <v>96295573773</v>
      </c>
      <c r="B17842" s="318" t="s">
        <v>237</v>
      </c>
    </row>
    <row r="17843" spans="1:2" ht="12.75" customHeight="1" x14ac:dyDescent="0.25">
      <c r="A17843" s="318">
        <v>96295573774</v>
      </c>
      <c r="B17843" s="318" t="s">
        <v>237</v>
      </c>
    </row>
    <row r="17844" spans="1:2" ht="12.75" customHeight="1" x14ac:dyDescent="0.25">
      <c r="A17844" s="318">
        <v>96295573775</v>
      </c>
      <c r="B17844" s="318" t="s">
        <v>237</v>
      </c>
    </row>
    <row r="17845" spans="1:2" ht="12.75" customHeight="1" x14ac:dyDescent="0.25">
      <c r="A17845" s="318">
        <v>96295573776</v>
      </c>
      <c r="B17845" s="318" t="s">
        <v>237</v>
      </c>
    </row>
    <row r="17846" spans="1:2" ht="12.75" customHeight="1" x14ac:dyDescent="0.25">
      <c r="A17846" s="318">
        <v>96295573860</v>
      </c>
      <c r="B17846" s="318" t="s">
        <v>236</v>
      </c>
    </row>
    <row r="17847" spans="1:2" ht="12.75" customHeight="1" x14ac:dyDescent="0.25">
      <c r="A17847" s="318">
        <v>96295573861</v>
      </c>
      <c r="B17847" s="318" t="s">
        <v>235</v>
      </c>
    </row>
    <row r="17848" spans="1:2" ht="12.75" customHeight="1" x14ac:dyDescent="0.25">
      <c r="A17848" s="318">
        <v>96295573862</v>
      </c>
      <c r="B17848" s="318" t="s">
        <v>236</v>
      </c>
    </row>
    <row r="17849" spans="1:2" ht="12.75" customHeight="1" x14ac:dyDescent="0.25">
      <c r="A17849" s="318">
        <v>96295573863</v>
      </c>
      <c r="B17849" s="318" t="s">
        <v>235</v>
      </c>
    </row>
    <row r="17850" spans="1:2" ht="12.75" customHeight="1" x14ac:dyDescent="0.25">
      <c r="A17850" s="318">
        <v>96295573864</v>
      </c>
      <c r="B17850" s="318" t="s">
        <v>236</v>
      </c>
    </row>
    <row r="17851" spans="1:2" ht="12.75" customHeight="1" x14ac:dyDescent="0.25">
      <c r="A17851" s="318">
        <v>96295573865</v>
      </c>
      <c r="B17851" s="318" t="s">
        <v>235</v>
      </c>
    </row>
    <row r="17852" spans="1:2" ht="12.75" customHeight="1" x14ac:dyDescent="0.25">
      <c r="A17852" s="318">
        <v>96295573866</v>
      </c>
      <c r="B17852" s="318" t="s">
        <v>23</v>
      </c>
    </row>
    <row r="17853" spans="1:2" ht="12.75" customHeight="1" x14ac:dyDescent="0.25">
      <c r="A17853" s="318">
        <v>96295573867</v>
      </c>
      <c r="B17853" s="318" t="s">
        <v>235</v>
      </c>
    </row>
    <row r="17854" spans="1:2" ht="12.75" customHeight="1" x14ac:dyDescent="0.25">
      <c r="A17854" s="318">
        <v>96295573869</v>
      </c>
      <c r="B17854" s="318" t="s">
        <v>237</v>
      </c>
    </row>
    <row r="17855" spans="1:2" ht="12.75" customHeight="1" x14ac:dyDescent="0.25">
      <c r="A17855" s="318">
        <v>96295573870</v>
      </c>
      <c r="B17855" s="318" t="s">
        <v>237</v>
      </c>
    </row>
    <row r="17856" spans="1:2" ht="12.75" customHeight="1" x14ac:dyDescent="0.25">
      <c r="A17856" s="318">
        <v>96295573871</v>
      </c>
      <c r="B17856" s="318" t="s">
        <v>237</v>
      </c>
    </row>
    <row r="17857" spans="1:2" ht="12.75" customHeight="1" x14ac:dyDescent="0.25">
      <c r="A17857" s="318">
        <v>96295573872</v>
      </c>
      <c r="B17857" s="318" t="s">
        <v>237</v>
      </c>
    </row>
    <row r="17858" spans="1:2" ht="12.75" customHeight="1" x14ac:dyDescent="0.25">
      <c r="A17858" s="318">
        <v>96295573873</v>
      </c>
      <c r="B17858" s="318" t="s">
        <v>237</v>
      </c>
    </row>
    <row r="17859" spans="1:2" ht="12.75" customHeight="1" x14ac:dyDescent="0.25">
      <c r="A17859" s="318">
        <v>96295573874</v>
      </c>
      <c r="B17859" s="318" t="s">
        <v>237</v>
      </c>
    </row>
    <row r="17860" spans="1:2" ht="12.75" customHeight="1" x14ac:dyDescent="0.25">
      <c r="A17860" s="318">
        <v>96295573875</v>
      </c>
      <c r="B17860" s="318" t="s">
        <v>237</v>
      </c>
    </row>
    <row r="17861" spans="1:2" ht="12.75" customHeight="1" x14ac:dyDescent="0.25">
      <c r="A17861" s="318">
        <v>96295573876</v>
      </c>
      <c r="B17861" s="318" t="s">
        <v>237</v>
      </c>
    </row>
    <row r="17862" spans="1:2" ht="12.75" customHeight="1" x14ac:dyDescent="0.25">
      <c r="A17862" s="318">
        <v>96296054733</v>
      </c>
      <c r="B17862" s="318" t="s">
        <v>236</v>
      </c>
    </row>
    <row r="17863" spans="1:2" ht="12.75" customHeight="1" x14ac:dyDescent="0.25">
      <c r="A17863" s="318">
        <v>96296054734</v>
      </c>
      <c r="B17863" s="318" t="s">
        <v>235</v>
      </c>
    </row>
    <row r="17864" spans="1:2" ht="12.75" customHeight="1" x14ac:dyDescent="0.25">
      <c r="A17864" s="318">
        <v>96296054735</v>
      </c>
      <c r="B17864" s="318" t="s">
        <v>236</v>
      </c>
    </row>
    <row r="17865" spans="1:2" ht="12.75" customHeight="1" x14ac:dyDescent="0.25">
      <c r="A17865" s="318">
        <v>96296054736</v>
      </c>
      <c r="B17865" s="318" t="s">
        <v>235</v>
      </c>
    </row>
    <row r="17866" spans="1:2" ht="12.75" customHeight="1" x14ac:dyDescent="0.25">
      <c r="A17866" s="318">
        <v>96296054737</v>
      </c>
      <c r="B17866" s="318" t="s">
        <v>236</v>
      </c>
    </row>
    <row r="17867" spans="1:2" ht="12.75" customHeight="1" x14ac:dyDescent="0.25">
      <c r="A17867" s="318">
        <v>96296054738</v>
      </c>
      <c r="B17867" s="318" t="s">
        <v>235</v>
      </c>
    </row>
    <row r="17868" spans="1:2" ht="12.75" customHeight="1" x14ac:dyDescent="0.25">
      <c r="A17868" s="318">
        <v>96296054739</v>
      </c>
      <c r="B17868" s="318" t="s">
        <v>23</v>
      </c>
    </row>
    <row r="17869" spans="1:2" ht="12.75" customHeight="1" x14ac:dyDescent="0.25">
      <c r="A17869" s="318">
        <v>96296054740</v>
      </c>
      <c r="B17869" s="318" t="s">
        <v>235</v>
      </c>
    </row>
    <row r="17870" spans="1:2" ht="12.75" customHeight="1" x14ac:dyDescent="0.25">
      <c r="A17870" s="318">
        <v>96296054742</v>
      </c>
      <c r="B17870" s="318" t="s">
        <v>237</v>
      </c>
    </row>
    <row r="17871" spans="1:2" ht="12.75" customHeight="1" x14ac:dyDescent="0.25">
      <c r="A17871" s="318">
        <v>96296054743</v>
      </c>
      <c r="B17871" s="318" t="s">
        <v>237</v>
      </c>
    </row>
    <row r="17872" spans="1:2" ht="12.75" customHeight="1" x14ac:dyDescent="0.25">
      <c r="A17872" s="318">
        <v>96296054744</v>
      </c>
      <c r="B17872" s="318" t="s">
        <v>237</v>
      </c>
    </row>
    <row r="17873" spans="1:2" ht="12.75" customHeight="1" x14ac:dyDescent="0.25">
      <c r="A17873" s="318">
        <v>96296054745</v>
      </c>
      <c r="B17873" s="318" t="s">
        <v>237</v>
      </c>
    </row>
    <row r="17874" spans="1:2" ht="12.75" customHeight="1" x14ac:dyDescent="0.25">
      <c r="A17874" s="318">
        <v>96296054746</v>
      </c>
      <c r="B17874" s="318" t="s">
        <v>237</v>
      </c>
    </row>
    <row r="17875" spans="1:2" ht="12.75" customHeight="1" x14ac:dyDescent="0.25">
      <c r="A17875" s="318">
        <v>96296054747</v>
      </c>
      <c r="B17875" s="318" t="s">
        <v>237</v>
      </c>
    </row>
    <row r="17876" spans="1:2" ht="12.75" customHeight="1" x14ac:dyDescent="0.25">
      <c r="A17876" s="318">
        <v>96296054748</v>
      </c>
      <c r="B17876" s="318" t="s">
        <v>237</v>
      </c>
    </row>
    <row r="17877" spans="1:2" ht="12.75" customHeight="1" x14ac:dyDescent="0.25">
      <c r="A17877" s="318">
        <v>96296054749</v>
      </c>
      <c r="B17877" s="318" t="s">
        <v>237</v>
      </c>
    </row>
    <row r="17878" spans="1:2" ht="12.75" customHeight="1" x14ac:dyDescent="0.25">
      <c r="A17878" s="318">
        <v>96296054833</v>
      </c>
      <c r="B17878" s="318" t="s">
        <v>236</v>
      </c>
    </row>
    <row r="17879" spans="1:2" ht="12.75" customHeight="1" x14ac:dyDescent="0.25">
      <c r="A17879" s="318">
        <v>96296054834</v>
      </c>
      <c r="B17879" s="318" t="s">
        <v>235</v>
      </c>
    </row>
    <row r="17880" spans="1:2" ht="12.75" customHeight="1" x14ac:dyDescent="0.25">
      <c r="A17880" s="318">
        <v>96296054835</v>
      </c>
      <c r="B17880" s="318" t="s">
        <v>236</v>
      </c>
    </row>
    <row r="17881" spans="1:2" ht="12.75" customHeight="1" x14ac:dyDescent="0.25">
      <c r="A17881" s="318">
        <v>96296054836</v>
      </c>
      <c r="B17881" s="318" t="s">
        <v>235</v>
      </c>
    </row>
    <row r="17882" spans="1:2" ht="12.75" customHeight="1" x14ac:dyDescent="0.25">
      <c r="A17882" s="318">
        <v>96296054837</v>
      </c>
      <c r="B17882" s="318" t="s">
        <v>236</v>
      </c>
    </row>
    <row r="17883" spans="1:2" ht="12.75" customHeight="1" x14ac:dyDescent="0.25">
      <c r="A17883" s="318">
        <v>96296054838</v>
      </c>
      <c r="B17883" s="318" t="s">
        <v>235</v>
      </c>
    </row>
    <row r="17884" spans="1:2" ht="12.75" customHeight="1" x14ac:dyDescent="0.25">
      <c r="A17884" s="318">
        <v>96296054839</v>
      </c>
      <c r="B17884" s="318" t="s">
        <v>23</v>
      </c>
    </row>
    <row r="17885" spans="1:2" ht="12.75" customHeight="1" x14ac:dyDescent="0.25">
      <c r="A17885" s="318">
        <v>96296054840</v>
      </c>
      <c r="B17885" s="318" t="s">
        <v>235</v>
      </c>
    </row>
    <row r="17886" spans="1:2" ht="12.75" customHeight="1" x14ac:dyDescent="0.25">
      <c r="A17886" s="318">
        <v>96296054842</v>
      </c>
      <c r="B17886" s="318" t="s">
        <v>237</v>
      </c>
    </row>
    <row r="17887" spans="1:2" ht="12.75" customHeight="1" x14ac:dyDescent="0.25">
      <c r="A17887" s="318">
        <v>96296054843</v>
      </c>
      <c r="B17887" s="318" t="s">
        <v>237</v>
      </c>
    </row>
    <row r="17888" spans="1:2" ht="12.75" customHeight="1" x14ac:dyDescent="0.25">
      <c r="A17888" s="318">
        <v>96296054844</v>
      </c>
      <c r="B17888" s="318" t="s">
        <v>237</v>
      </c>
    </row>
    <row r="17889" spans="1:2" ht="12.75" customHeight="1" x14ac:dyDescent="0.25">
      <c r="A17889" s="318">
        <v>96296054845</v>
      </c>
      <c r="B17889" s="318" t="s">
        <v>237</v>
      </c>
    </row>
    <row r="17890" spans="1:2" ht="12.75" customHeight="1" x14ac:dyDescent="0.25">
      <c r="A17890" s="318">
        <v>96296054846</v>
      </c>
      <c r="B17890" s="318" t="s">
        <v>237</v>
      </c>
    </row>
    <row r="17891" spans="1:2" ht="12.75" customHeight="1" x14ac:dyDescent="0.25">
      <c r="A17891" s="318">
        <v>96296054847</v>
      </c>
      <c r="B17891" s="318" t="s">
        <v>237</v>
      </c>
    </row>
    <row r="17892" spans="1:2" ht="12.75" customHeight="1" x14ac:dyDescent="0.25">
      <c r="A17892" s="318">
        <v>96296054848</v>
      </c>
      <c r="B17892" s="318" t="s">
        <v>237</v>
      </c>
    </row>
    <row r="17893" spans="1:2" ht="12.75" customHeight="1" x14ac:dyDescent="0.25">
      <c r="A17893" s="318">
        <v>96296054849</v>
      </c>
      <c r="B17893" s="318" t="s">
        <v>237</v>
      </c>
    </row>
    <row r="17894" spans="1:2" ht="12.75" customHeight="1" x14ac:dyDescent="0.25">
      <c r="A17894" s="318">
        <v>96296535706</v>
      </c>
      <c r="B17894" s="318" t="s">
        <v>236</v>
      </c>
    </row>
    <row r="17895" spans="1:2" ht="12.75" customHeight="1" x14ac:dyDescent="0.25">
      <c r="A17895" s="318">
        <v>96296535707</v>
      </c>
      <c r="B17895" s="318" t="s">
        <v>235</v>
      </c>
    </row>
    <row r="17896" spans="1:2" ht="12.75" customHeight="1" x14ac:dyDescent="0.25">
      <c r="A17896" s="318">
        <v>96296535708</v>
      </c>
      <c r="B17896" s="318" t="s">
        <v>236</v>
      </c>
    </row>
    <row r="17897" spans="1:2" ht="12.75" customHeight="1" x14ac:dyDescent="0.25">
      <c r="A17897" s="318">
        <v>96296535709</v>
      </c>
      <c r="B17897" s="318" t="s">
        <v>235</v>
      </c>
    </row>
    <row r="17898" spans="1:2" ht="12.75" customHeight="1" x14ac:dyDescent="0.25">
      <c r="A17898" s="318">
        <v>96296535710</v>
      </c>
      <c r="B17898" s="318" t="s">
        <v>236</v>
      </c>
    </row>
    <row r="17899" spans="1:2" ht="12.75" customHeight="1" x14ac:dyDescent="0.25">
      <c r="A17899" s="318">
        <v>96296535711</v>
      </c>
      <c r="B17899" s="318" t="s">
        <v>235</v>
      </c>
    </row>
    <row r="17900" spans="1:2" ht="12.75" customHeight="1" x14ac:dyDescent="0.25">
      <c r="A17900" s="318">
        <v>96296535712</v>
      </c>
      <c r="B17900" s="318" t="s">
        <v>236</v>
      </c>
    </row>
    <row r="17901" spans="1:2" ht="12.75" customHeight="1" x14ac:dyDescent="0.25">
      <c r="A17901" s="318">
        <v>96296535713</v>
      </c>
      <c r="B17901" s="318" t="s">
        <v>235</v>
      </c>
    </row>
    <row r="17902" spans="1:2" ht="12.75" customHeight="1" x14ac:dyDescent="0.25">
      <c r="A17902" s="318">
        <v>96296535715</v>
      </c>
      <c r="B17902" s="318" t="s">
        <v>236</v>
      </c>
    </row>
    <row r="17903" spans="1:2" ht="12.75" customHeight="1" x14ac:dyDescent="0.25">
      <c r="A17903" s="318">
        <v>96296535716</v>
      </c>
      <c r="B17903" s="318" t="s">
        <v>235</v>
      </c>
    </row>
    <row r="17904" spans="1:2" ht="12.75" customHeight="1" x14ac:dyDescent="0.25">
      <c r="A17904" s="318">
        <v>96296535717</v>
      </c>
      <c r="B17904" s="318" t="s">
        <v>236</v>
      </c>
    </row>
    <row r="17905" spans="1:2" ht="12.75" customHeight="1" x14ac:dyDescent="0.25">
      <c r="A17905" s="318">
        <v>96296535718</v>
      </c>
      <c r="B17905" s="318" t="s">
        <v>235</v>
      </c>
    </row>
    <row r="17906" spans="1:2" ht="12.75" customHeight="1" x14ac:dyDescent="0.25">
      <c r="A17906" s="318">
        <v>96296535719</v>
      </c>
      <c r="B17906" s="318" t="s">
        <v>236</v>
      </c>
    </row>
    <row r="17907" spans="1:2" ht="12.75" customHeight="1" x14ac:dyDescent="0.25">
      <c r="A17907" s="318">
        <v>96296535720</v>
      </c>
      <c r="B17907" s="318" t="s">
        <v>235</v>
      </c>
    </row>
    <row r="17908" spans="1:2" ht="12.75" customHeight="1" x14ac:dyDescent="0.25">
      <c r="A17908" s="318">
        <v>96296535721</v>
      </c>
      <c r="B17908" s="318" t="s">
        <v>236</v>
      </c>
    </row>
    <row r="17909" spans="1:2" ht="12.75" customHeight="1" x14ac:dyDescent="0.25">
      <c r="A17909" s="318">
        <v>96296535722</v>
      </c>
      <c r="B17909" s="318" t="s">
        <v>235</v>
      </c>
    </row>
    <row r="17910" spans="1:2" ht="12.75" customHeight="1" x14ac:dyDescent="0.25">
      <c r="A17910" s="318">
        <v>96296535806</v>
      </c>
      <c r="B17910" s="318" t="s">
        <v>236</v>
      </c>
    </row>
    <row r="17911" spans="1:2" ht="12.75" customHeight="1" x14ac:dyDescent="0.25">
      <c r="A17911" s="318">
        <v>96296535807</v>
      </c>
      <c r="B17911" s="318" t="s">
        <v>235</v>
      </c>
    </row>
    <row r="17912" spans="1:2" ht="12.75" customHeight="1" x14ac:dyDescent="0.25">
      <c r="A17912" s="318">
        <v>96296535808</v>
      </c>
      <c r="B17912" s="318" t="s">
        <v>236</v>
      </c>
    </row>
    <row r="17913" spans="1:2" ht="12.75" customHeight="1" x14ac:dyDescent="0.25">
      <c r="A17913" s="318">
        <v>96296535809</v>
      </c>
      <c r="B17913" s="318" t="s">
        <v>235</v>
      </c>
    </row>
    <row r="17914" spans="1:2" ht="12.75" customHeight="1" x14ac:dyDescent="0.25">
      <c r="A17914" s="318">
        <v>96296535810</v>
      </c>
      <c r="B17914" s="318" t="s">
        <v>236</v>
      </c>
    </row>
    <row r="17915" spans="1:2" ht="12.75" customHeight="1" x14ac:dyDescent="0.25">
      <c r="A17915" s="318">
        <v>96296535811</v>
      </c>
      <c r="B17915" s="318" t="s">
        <v>235</v>
      </c>
    </row>
    <row r="17916" spans="1:2" ht="12.75" customHeight="1" x14ac:dyDescent="0.25">
      <c r="A17916" s="318">
        <v>96296535812</v>
      </c>
      <c r="B17916" s="318" t="s">
        <v>236</v>
      </c>
    </row>
    <row r="17917" spans="1:2" ht="12.75" customHeight="1" x14ac:dyDescent="0.25">
      <c r="A17917" s="318">
        <v>96296535813</v>
      </c>
      <c r="B17917" s="318" t="s">
        <v>235</v>
      </c>
    </row>
    <row r="17918" spans="1:2" ht="12.75" customHeight="1" x14ac:dyDescent="0.25">
      <c r="A17918" s="318">
        <v>96296535815</v>
      </c>
      <c r="B17918" s="318" t="s">
        <v>236</v>
      </c>
    </row>
    <row r="17919" spans="1:2" ht="12.75" customHeight="1" x14ac:dyDescent="0.25">
      <c r="A17919" s="318">
        <v>96296535816</v>
      </c>
      <c r="B17919" s="318" t="s">
        <v>235</v>
      </c>
    </row>
    <row r="17920" spans="1:2" ht="12.75" customHeight="1" x14ac:dyDescent="0.25">
      <c r="A17920" s="318">
        <v>96296535817</v>
      </c>
      <c r="B17920" s="318" t="s">
        <v>236</v>
      </c>
    </row>
    <row r="17921" spans="1:2" ht="12.75" customHeight="1" x14ac:dyDescent="0.25">
      <c r="A17921" s="318">
        <v>96296535818</v>
      </c>
      <c r="B17921" s="318" t="s">
        <v>235</v>
      </c>
    </row>
    <row r="17922" spans="1:2" ht="12.75" customHeight="1" x14ac:dyDescent="0.25">
      <c r="A17922" s="318">
        <v>96296535819</v>
      </c>
      <c r="B17922" s="318" t="s">
        <v>236</v>
      </c>
    </row>
    <row r="17923" spans="1:2" ht="12.75" customHeight="1" x14ac:dyDescent="0.25">
      <c r="A17923" s="318">
        <v>96296535820</v>
      </c>
      <c r="B17923" s="318" t="s">
        <v>235</v>
      </c>
    </row>
    <row r="17924" spans="1:2" ht="12.75" customHeight="1" x14ac:dyDescent="0.25">
      <c r="A17924" s="318">
        <v>96296535821</v>
      </c>
      <c r="B17924" s="318" t="s">
        <v>236</v>
      </c>
    </row>
    <row r="17925" spans="1:2" ht="12.75" customHeight="1" x14ac:dyDescent="0.25">
      <c r="A17925" s="318">
        <v>96296535822</v>
      </c>
      <c r="B17925" s="318" t="s">
        <v>235</v>
      </c>
    </row>
    <row r="17926" spans="1:2" ht="12.75" customHeight="1" x14ac:dyDescent="0.25">
      <c r="A17926" s="318">
        <v>96297215897</v>
      </c>
      <c r="B17926" s="318" t="s">
        <v>236</v>
      </c>
    </row>
    <row r="17927" spans="1:2" ht="12.75" customHeight="1" x14ac:dyDescent="0.25">
      <c r="A17927" s="318">
        <v>96297215898</v>
      </c>
      <c r="B17927" s="318" t="s">
        <v>235</v>
      </c>
    </row>
    <row r="17928" spans="1:2" ht="12.75" customHeight="1" x14ac:dyDescent="0.25">
      <c r="A17928" s="318">
        <v>96297215899</v>
      </c>
      <c r="B17928" s="318" t="s">
        <v>236</v>
      </c>
    </row>
    <row r="17929" spans="1:2" ht="12.75" customHeight="1" x14ac:dyDescent="0.25">
      <c r="A17929" s="318">
        <v>96297215900</v>
      </c>
      <c r="B17929" s="318" t="s">
        <v>235</v>
      </c>
    </row>
    <row r="17930" spans="1:2" ht="12.75" customHeight="1" x14ac:dyDescent="0.25">
      <c r="A17930" s="318">
        <v>96297215901</v>
      </c>
      <c r="B17930" s="318" t="s">
        <v>236</v>
      </c>
    </row>
    <row r="17931" spans="1:2" ht="12.75" customHeight="1" x14ac:dyDescent="0.25">
      <c r="A17931" s="318">
        <v>96297215902</v>
      </c>
      <c r="B17931" s="318" t="s">
        <v>235</v>
      </c>
    </row>
    <row r="17932" spans="1:2" ht="12.75" customHeight="1" x14ac:dyDescent="0.25">
      <c r="A17932" s="318">
        <v>96297215903</v>
      </c>
      <c r="B17932" s="318" t="s">
        <v>236</v>
      </c>
    </row>
    <row r="17933" spans="1:2" ht="12.75" customHeight="1" x14ac:dyDescent="0.25">
      <c r="A17933" s="318">
        <v>96297215904</v>
      </c>
      <c r="B17933" s="318" t="s">
        <v>235</v>
      </c>
    </row>
    <row r="17934" spans="1:2" ht="12.75" customHeight="1" x14ac:dyDescent="0.25">
      <c r="A17934" s="318">
        <v>96297215906</v>
      </c>
      <c r="B17934" s="318" t="s">
        <v>236</v>
      </c>
    </row>
    <row r="17935" spans="1:2" ht="12.75" customHeight="1" x14ac:dyDescent="0.25">
      <c r="A17935" s="318">
        <v>96297215907</v>
      </c>
      <c r="B17935" s="318" t="s">
        <v>235</v>
      </c>
    </row>
    <row r="17936" spans="1:2" ht="12.75" customHeight="1" x14ac:dyDescent="0.25">
      <c r="A17936" s="318">
        <v>96297215908</v>
      </c>
      <c r="B17936" s="318" t="s">
        <v>236</v>
      </c>
    </row>
    <row r="17937" spans="1:2" ht="12.75" customHeight="1" x14ac:dyDescent="0.25">
      <c r="A17937" s="318">
        <v>96297215909</v>
      </c>
      <c r="B17937" s="318" t="s">
        <v>235</v>
      </c>
    </row>
    <row r="17938" spans="1:2" ht="12.75" customHeight="1" x14ac:dyDescent="0.25">
      <c r="A17938" s="318">
        <v>96297215910</v>
      </c>
      <c r="B17938" s="318" t="s">
        <v>236</v>
      </c>
    </row>
    <row r="17939" spans="1:2" ht="12.75" customHeight="1" x14ac:dyDescent="0.25">
      <c r="A17939" s="318">
        <v>96297215911</v>
      </c>
      <c r="B17939" s="318" t="s">
        <v>235</v>
      </c>
    </row>
    <row r="17940" spans="1:2" ht="12.75" customHeight="1" x14ac:dyDescent="0.25">
      <c r="A17940" s="318">
        <v>96297215912</v>
      </c>
      <c r="B17940" s="318" t="s">
        <v>236</v>
      </c>
    </row>
    <row r="17941" spans="1:2" ht="12.75" customHeight="1" x14ac:dyDescent="0.25">
      <c r="A17941" s="318">
        <v>96297215913</v>
      </c>
      <c r="B17941" s="318" t="s">
        <v>235</v>
      </c>
    </row>
    <row r="17942" spans="1:2" ht="12.75" customHeight="1" x14ac:dyDescent="0.25">
      <c r="A17942" s="318">
        <v>96297215997</v>
      </c>
      <c r="B17942" s="318" t="s">
        <v>236</v>
      </c>
    </row>
    <row r="17943" spans="1:2" ht="12.75" customHeight="1" x14ac:dyDescent="0.25">
      <c r="A17943" s="318">
        <v>96297215998</v>
      </c>
      <c r="B17943" s="318" t="s">
        <v>235</v>
      </c>
    </row>
    <row r="17944" spans="1:2" ht="12.75" customHeight="1" x14ac:dyDescent="0.25">
      <c r="A17944" s="318">
        <v>96297215999</v>
      </c>
      <c r="B17944" s="318" t="s">
        <v>236</v>
      </c>
    </row>
    <row r="17945" spans="1:2" ht="12.75" customHeight="1" x14ac:dyDescent="0.25">
      <c r="A17945" s="318">
        <v>96297216000</v>
      </c>
      <c r="B17945" s="318" t="s">
        <v>235</v>
      </c>
    </row>
    <row r="17946" spans="1:2" ht="12.75" customHeight="1" x14ac:dyDescent="0.25">
      <c r="A17946" s="318">
        <v>96297216001</v>
      </c>
      <c r="B17946" s="318" t="s">
        <v>236</v>
      </c>
    </row>
    <row r="17947" spans="1:2" ht="12.75" customHeight="1" x14ac:dyDescent="0.25">
      <c r="A17947" s="318">
        <v>96297216002</v>
      </c>
      <c r="B17947" s="318" t="s">
        <v>235</v>
      </c>
    </row>
    <row r="17948" spans="1:2" ht="12.75" customHeight="1" x14ac:dyDescent="0.25">
      <c r="A17948" s="318">
        <v>96297216003</v>
      </c>
      <c r="B17948" s="318" t="s">
        <v>236</v>
      </c>
    </row>
    <row r="17949" spans="1:2" ht="12.75" customHeight="1" x14ac:dyDescent="0.25">
      <c r="A17949" s="318">
        <v>96297216004</v>
      </c>
      <c r="B17949" s="318" t="s">
        <v>235</v>
      </c>
    </row>
    <row r="17950" spans="1:2" ht="12.75" customHeight="1" x14ac:dyDescent="0.25">
      <c r="A17950" s="318">
        <v>96297216006</v>
      </c>
      <c r="B17950" s="318" t="s">
        <v>236</v>
      </c>
    </row>
    <row r="17951" spans="1:2" ht="12.75" customHeight="1" x14ac:dyDescent="0.25">
      <c r="A17951" s="318">
        <v>96297216007</v>
      </c>
      <c r="B17951" s="318" t="s">
        <v>235</v>
      </c>
    </row>
    <row r="17952" spans="1:2" ht="12.75" customHeight="1" x14ac:dyDescent="0.25">
      <c r="A17952" s="318">
        <v>96297216008</v>
      </c>
      <c r="B17952" s="318" t="s">
        <v>236</v>
      </c>
    </row>
    <row r="17953" spans="1:2" ht="12.75" customHeight="1" x14ac:dyDescent="0.25">
      <c r="A17953" s="318">
        <v>96297216009</v>
      </c>
      <c r="B17953" s="318" t="s">
        <v>235</v>
      </c>
    </row>
    <row r="17954" spans="1:2" ht="12.75" customHeight="1" x14ac:dyDescent="0.25">
      <c r="A17954" s="318">
        <v>96297216010</v>
      </c>
      <c r="B17954" s="318" t="s">
        <v>236</v>
      </c>
    </row>
    <row r="17955" spans="1:2" ht="12.75" customHeight="1" x14ac:dyDescent="0.25">
      <c r="A17955" s="318">
        <v>96297216011</v>
      </c>
      <c r="B17955" s="318" t="s">
        <v>235</v>
      </c>
    </row>
    <row r="17956" spans="1:2" ht="12.75" customHeight="1" x14ac:dyDescent="0.25">
      <c r="A17956" s="318">
        <v>96297216012</v>
      </c>
      <c r="B17956" s="318" t="s">
        <v>236</v>
      </c>
    </row>
    <row r="17957" spans="1:2" ht="12.75" customHeight="1" x14ac:dyDescent="0.25">
      <c r="A17957" s="318">
        <v>96297216013</v>
      </c>
      <c r="B17957" s="318" t="s">
        <v>235</v>
      </c>
    </row>
    <row r="17958" spans="1:2" ht="12.75" customHeight="1" x14ac:dyDescent="0.25">
      <c r="A17958" s="318">
        <v>96297696870</v>
      </c>
      <c r="B17958" s="318" t="s">
        <v>236</v>
      </c>
    </row>
    <row r="17959" spans="1:2" ht="12.75" customHeight="1" x14ac:dyDescent="0.25">
      <c r="A17959" s="318">
        <v>96297696871</v>
      </c>
      <c r="B17959" s="318" t="s">
        <v>235</v>
      </c>
    </row>
    <row r="17960" spans="1:2" ht="12.75" customHeight="1" x14ac:dyDescent="0.25">
      <c r="A17960" s="318">
        <v>96297696872</v>
      </c>
      <c r="B17960" s="318" t="s">
        <v>236</v>
      </c>
    </row>
    <row r="17961" spans="1:2" ht="12.75" customHeight="1" x14ac:dyDescent="0.25">
      <c r="A17961" s="318">
        <v>96297696873</v>
      </c>
      <c r="B17961" s="318" t="s">
        <v>235</v>
      </c>
    </row>
    <row r="17962" spans="1:2" ht="12.75" customHeight="1" x14ac:dyDescent="0.25">
      <c r="A17962" s="318">
        <v>96297696874</v>
      </c>
      <c r="B17962" s="318" t="s">
        <v>236</v>
      </c>
    </row>
    <row r="17963" spans="1:2" ht="12.75" customHeight="1" x14ac:dyDescent="0.25">
      <c r="A17963" s="318">
        <v>96297696875</v>
      </c>
      <c r="B17963" s="318" t="s">
        <v>235</v>
      </c>
    </row>
    <row r="17964" spans="1:2" ht="12.75" customHeight="1" x14ac:dyDescent="0.25">
      <c r="A17964" s="318">
        <v>96297696876</v>
      </c>
      <c r="B17964" s="318" t="s">
        <v>236</v>
      </c>
    </row>
    <row r="17965" spans="1:2" ht="12.75" customHeight="1" x14ac:dyDescent="0.25">
      <c r="A17965" s="318">
        <v>96297696877</v>
      </c>
      <c r="B17965" s="318" t="s">
        <v>235</v>
      </c>
    </row>
    <row r="17966" spans="1:2" ht="12.75" customHeight="1" x14ac:dyDescent="0.25">
      <c r="A17966" s="318">
        <v>96297696879</v>
      </c>
      <c r="B17966" s="318" t="s">
        <v>236</v>
      </c>
    </row>
    <row r="17967" spans="1:2" ht="12.75" customHeight="1" x14ac:dyDescent="0.25">
      <c r="A17967" s="318">
        <v>96297696880</v>
      </c>
      <c r="B17967" s="318" t="s">
        <v>235</v>
      </c>
    </row>
    <row r="17968" spans="1:2" ht="12.75" customHeight="1" x14ac:dyDescent="0.25">
      <c r="A17968" s="318">
        <v>96297696881</v>
      </c>
      <c r="B17968" s="318" t="s">
        <v>236</v>
      </c>
    </row>
    <row r="17969" spans="1:2" ht="12.75" customHeight="1" x14ac:dyDescent="0.25">
      <c r="A17969" s="318">
        <v>96297696882</v>
      </c>
      <c r="B17969" s="318" t="s">
        <v>235</v>
      </c>
    </row>
    <row r="17970" spans="1:2" ht="12.75" customHeight="1" x14ac:dyDescent="0.25">
      <c r="A17970" s="318">
        <v>96297696883</v>
      </c>
      <c r="B17970" s="318" t="s">
        <v>236</v>
      </c>
    </row>
    <row r="17971" spans="1:2" ht="12.75" customHeight="1" x14ac:dyDescent="0.25">
      <c r="A17971" s="318">
        <v>96297696884</v>
      </c>
      <c r="B17971" s="318" t="s">
        <v>235</v>
      </c>
    </row>
    <row r="17972" spans="1:2" ht="12.75" customHeight="1" x14ac:dyDescent="0.25">
      <c r="A17972" s="318">
        <v>96297696885</v>
      </c>
      <c r="B17972" s="318" t="s">
        <v>236</v>
      </c>
    </row>
    <row r="17973" spans="1:2" ht="12.75" customHeight="1" x14ac:dyDescent="0.25">
      <c r="A17973" s="318">
        <v>96297696886</v>
      </c>
      <c r="B17973" s="318" t="s">
        <v>235</v>
      </c>
    </row>
    <row r="17974" spans="1:2" ht="12.75" customHeight="1" x14ac:dyDescent="0.25">
      <c r="A17974" s="318">
        <v>96297696970</v>
      </c>
      <c r="B17974" s="318" t="s">
        <v>236</v>
      </c>
    </row>
    <row r="17975" spans="1:2" ht="12.75" customHeight="1" x14ac:dyDescent="0.25">
      <c r="A17975" s="318">
        <v>96297696971</v>
      </c>
      <c r="B17975" s="318" t="s">
        <v>235</v>
      </c>
    </row>
    <row r="17976" spans="1:2" ht="12.75" customHeight="1" x14ac:dyDescent="0.25">
      <c r="A17976" s="318">
        <v>96297696972</v>
      </c>
      <c r="B17976" s="318" t="s">
        <v>236</v>
      </c>
    </row>
    <row r="17977" spans="1:2" ht="12.75" customHeight="1" x14ac:dyDescent="0.25">
      <c r="A17977" s="318">
        <v>96297696973</v>
      </c>
      <c r="B17977" s="318" t="s">
        <v>235</v>
      </c>
    </row>
    <row r="17978" spans="1:2" ht="12.75" customHeight="1" x14ac:dyDescent="0.25">
      <c r="A17978" s="318">
        <v>96297696974</v>
      </c>
      <c r="B17978" s="318" t="s">
        <v>236</v>
      </c>
    </row>
    <row r="17979" spans="1:2" ht="12.75" customHeight="1" x14ac:dyDescent="0.25">
      <c r="A17979" s="318">
        <v>96297696975</v>
      </c>
      <c r="B17979" s="318" t="s">
        <v>235</v>
      </c>
    </row>
    <row r="17980" spans="1:2" ht="12.75" customHeight="1" x14ac:dyDescent="0.25">
      <c r="A17980" s="318">
        <v>96297696976</v>
      </c>
      <c r="B17980" s="318" t="s">
        <v>236</v>
      </c>
    </row>
    <row r="17981" spans="1:2" ht="12.75" customHeight="1" x14ac:dyDescent="0.25">
      <c r="A17981" s="318">
        <v>96297696977</v>
      </c>
      <c r="B17981" s="318" t="s">
        <v>235</v>
      </c>
    </row>
    <row r="17982" spans="1:2" ht="12.75" customHeight="1" x14ac:dyDescent="0.25">
      <c r="A17982" s="318">
        <v>96297696979</v>
      </c>
      <c r="B17982" s="318" t="s">
        <v>236</v>
      </c>
    </row>
    <row r="17983" spans="1:2" ht="12.75" customHeight="1" x14ac:dyDescent="0.25">
      <c r="A17983" s="318">
        <v>96297696980</v>
      </c>
      <c r="B17983" s="318" t="s">
        <v>235</v>
      </c>
    </row>
    <row r="17984" spans="1:2" ht="12.75" customHeight="1" x14ac:dyDescent="0.25">
      <c r="A17984" s="318">
        <v>96297696981</v>
      </c>
      <c r="B17984" s="318" t="s">
        <v>236</v>
      </c>
    </row>
    <row r="17985" spans="1:2" ht="12.75" customHeight="1" x14ac:dyDescent="0.25">
      <c r="A17985" s="318">
        <v>96297696982</v>
      </c>
      <c r="B17985" s="318" t="s">
        <v>235</v>
      </c>
    </row>
    <row r="17986" spans="1:2" ht="12.75" customHeight="1" x14ac:dyDescent="0.25">
      <c r="A17986" s="318">
        <v>96297696983</v>
      </c>
      <c r="B17986" s="318" t="s">
        <v>236</v>
      </c>
    </row>
    <row r="17987" spans="1:2" ht="12.75" customHeight="1" x14ac:dyDescent="0.25">
      <c r="A17987" s="318">
        <v>96297696984</v>
      </c>
      <c r="B17987" s="318" t="s">
        <v>235</v>
      </c>
    </row>
    <row r="17988" spans="1:2" ht="12.75" customHeight="1" x14ac:dyDescent="0.25">
      <c r="A17988" s="318">
        <v>96297696985</v>
      </c>
      <c r="B17988" s="318" t="s">
        <v>236</v>
      </c>
    </row>
    <row r="17989" spans="1:2" ht="12.75" customHeight="1" x14ac:dyDescent="0.25">
      <c r="A17989" s="318">
        <v>96297696986</v>
      </c>
      <c r="B17989" s="318" t="s">
        <v>235</v>
      </c>
    </row>
    <row r="17990" spans="1:2" ht="12.75" customHeight="1" x14ac:dyDescent="0.25">
      <c r="A17990" s="318">
        <v>96298177843</v>
      </c>
      <c r="B17990" s="318" t="s">
        <v>236</v>
      </c>
    </row>
    <row r="17991" spans="1:2" ht="12.75" customHeight="1" x14ac:dyDescent="0.25">
      <c r="A17991" s="318">
        <v>96298177844</v>
      </c>
      <c r="B17991" s="318" t="s">
        <v>235</v>
      </c>
    </row>
    <row r="17992" spans="1:2" ht="12.75" customHeight="1" x14ac:dyDescent="0.25">
      <c r="A17992" s="318">
        <v>96298177845</v>
      </c>
      <c r="B17992" s="318" t="s">
        <v>236</v>
      </c>
    </row>
    <row r="17993" spans="1:2" ht="12.75" customHeight="1" x14ac:dyDescent="0.25">
      <c r="A17993" s="318">
        <v>96298177846</v>
      </c>
      <c r="B17993" s="318" t="s">
        <v>235</v>
      </c>
    </row>
    <row r="17994" spans="1:2" ht="12.75" customHeight="1" x14ac:dyDescent="0.25">
      <c r="A17994" s="318">
        <v>96298177847</v>
      </c>
      <c r="B17994" s="318" t="s">
        <v>236</v>
      </c>
    </row>
    <row r="17995" spans="1:2" ht="12.75" customHeight="1" x14ac:dyDescent="0.25">
      <c r="A17995" s="318">
        <v>96298177848</v>
      </c>
      <c r="B17995" s="318" t="s">
        <v>235</v>
      </c>
    </row>
    <row r="17996" spans="1:2" ht="12.75" customHeight="1" x14ac:dyDescent="0.25">
      <c r="A17996" s="318">
        <v>96298177849</v>
      </c>
      <c r="B17996" s="318" t="s">
        <v>236</v>
      </c>
    </row>
    <row r="17997" spans="1:2" ht="12.75" customHeight="1" x14ac:dyDescent="0.25">
      <c r="A17997" s="318">
        <v>96298177850</v>
      </c>
      <c r="B17997" s="318" t="s">
        <v>235</v>
      </c>
    </row>
    <row r="17998" spans="1:2" ht="12.75" customHeight="1" x14ac:dyDescent="0.25">
      <c r="A17998" s="318">
        <v>96298177852</v>
      </c>
      <c r="B17998" s="318" t="s">
        <v>236</v>
      </c>
    </row>
    <row r="17999" spans="1:2" ht="12.75" customHeight="1" x14ac:dyDescent="0.25">
      <c r="A17999" s="318">
        <v>96298177853</v>
      </c>
      <c r="B17999" s="318" t="s">
        <v>235</v>
      </c>
    </row>
    <row r="18000" spans="1:2" ht="12.75" customHeight="1" x14ac:dyDescent="0.25">
      <c r="A18000" s="318">
        <v>96298177854</v>
      </c>
      <c r="B18000" s="318" t="s">
        <v>236</v>
      </c>
    </row>
    <row r="18001" spans="1:2" ht="12.75" customHeight="1" x14ac:dyDescent="0.25">
      <c r="A18001" s="318">
        <v>96298177855</v>
      </c>
      <c r="B18001" s="318" t="s">
        <v>235</v>
      </c>
    </row>
    <row r="18002" spans="1:2" ht="12.75" customHeight="1" x14ac:dyDescent="0.25">
      <c r="A18002" s="318">
        <v>96298177856</v>
      </c>
      <c r="B18002" s="318" t="s">
        <v>236</v>
      </c>
    </row>
    <row r="18003" spans="1:2" ht="12.75" customHeight="1" x14ac:dyDescent="0.25">
      <c r="A18003" s="318">
        <v>96298177857</v>
      </c>
      <c r="B18003" s="318" t="s">
        <v>235</v>
      </c>
    </row>
    <row r="18004" spans="1:2" ht="12.75" customHeight="1" x14ac:dyDescent="0.25">
      <c r="A18004" s="318">
        <v>96298177858</v>
      </c>
      <c r="B18004" s="318" t="s">
        <v>236</v>
      </c>
    </row>
    <row r="18005" spans="1:2" ht="12.75" customHeight="1" x14ac:dyDescent="0.25">
      <c r="A18005" s="318">
        <v>96298177859</v>
      </c>
      <c r="B18005" s="318" t="s">
        <v>235</v>
      </c>
    </row>
    <row r="18006" spans="1:2" ht="12.75" customHeight="1" x14ac:dyDescent="0.25">
      <c r="A18006" s="318">
        <v>96298177943</v>
      </c>
      <c r="B18006" s="318" t="s">
        <v>236</v>
      </c>
    </row>
    <row r="18007" spans="1:2" ht="12.75" customHeight="1" x14ac:dyDescent="0.25">
      <c r="A18007" s="318">
        <v>96298177944</v>
      </c>
      <c r="B18007" s="318" t="s">
        <v>235</v>
      </c>
    </row>
    <row r="18008" spans="1:2" ht="12.75" customHeight="1" x14ac:dyDescent="0.25">
      <c r="A18008" s="318">
        <v>96298177945</v>
      </c>
      <c r="B18008" s="318" t="s">
        <v>236</v>
      </c>
    </row>
    <row r="18009" spans="1:2" ht="12.75" customHeight="1" x14ac:dyDescent="0.25">
      <c r="A18009" s="318">
        <v>96298177946</v>
      </c>
      <c r="B18009" s="318" t="s">
        <v>235</v>
      </c>
    </row>
    <row r="18010" spans="1:2" ht="12.75" customHeight="1" x14ac:dyDescent="0.25">
      <c r="A18010" s="318">
        <v>96298177947</v>
      </c>
      <c r="B18010" s="318" t="s">
        <v>236</v>
      </c>
    </row>
    <row r="18011" spans="1:2" ht="12.75" customHeight="1" x14ac:dyDescent="0.25">
      <c r="A18011" s="318">
        <v>96298177948</v>
      </c>
      <c r="B18011" s="318" t="s">
        <v>235</v>
      </c>
    </row>
    <row r="18012" spans="1:2" ht="12.75" customHeight="1" x14ac:dyDescent="0.25">
      <c r="A18012" s="318">
        <v>96298177949</v>
      </c>
      <c r="B18012" s="318" t="s">
        <v>236</v>
      </c>
    </row>
    <row r="18013" spans="1:2" ht="12.75" customHeight="1" x14ac:dyDescent="0.25">
      <c r="A18013" s="318">
        <v>96298177950</v>
      </c>
      <c r="B18013" s="318" t="s">
        <v>235</v>
      </c>
    </row>
    <row r="18014" spans="1:2" ht="12.75" customHeight="1" x14ac:dyDescent="0.25">
      <c r="A18014" s="318">
        <v>96298177952</v>
      </c>
      <c r="B18014" s="318" t="s">
        <v>236</v>
      </c>
    </row>
    <row r="18015" spans="1:2" ht="12.75" customHeight="1" x14ac:dyDescent="0.25">
      <c r="A18015" s="318">
        <v>96298177953</v>
      </c>
      <c r="B18015" s="318" t="s">
        <v>235</v>
      </c>
    </row>
    <row r="18016" spans="1:2" ht="12.75" customHeight="1" x14ac:dyDescent="0.25">
      <c r="A18016" s="318">
        <v>96298177954</v>
      </c>
      <c r="B18016" s="318" t="s">
        <v>236</v>
      </c>
    </row>
    <row r="18017" spans="1:2" ht="12.75" customHeight="1" x14ac:dyDescent="0.25">
      <c r="A18017" s="318">
        <v>96298177955</v>
      </c>
      <c r="B18017" s="318" t="s">
        <v>235</v>
      </c>
    </row>
    <row r="18018" spans="1:2" ht="12.75" customHeight="1" x14ac:dyDescent="0.25">
      <c r="A18018" s="318">
        <v>96298177956</v>
      </c>
      <c r="B18018" s="318" t="s">
        <v>236</v>
      </c>
    </row>
    <row r="18019" spans="1:2" ht="12.75" customHeight="1" x14ac:dyDescent="0.25">
      <c r="A18019" s="318">
        <v>96298177957</v>
      </c>
      <c r="B18019" s="318" t="s">
        <v>235</v>
      </c>
    </row>
    <row r="18020" spans="1:2" ht="12.75" customHeight="1" x14ac:dyDescent="0.25">
      <c r="A18020" s="318">
        <v>96298177958</v>
      </c>
      <c r="B18020" s="318" t="s">
        <v>236</v>
      </c>
    </row>
    <row r="18021" spans="1:2" ht="12.75" customHeight="1" x14ac:dyDescent="0.25">
      <c r="A18021" s="318">
        <v>96298177959</v>
      </c>
      <c r="B18021" s="318" t="s">
        <v>235</v>
      </c>
    </row>
    <row r="18022" spans="1:2" ht="12.75" customHeight="1" x14ac:dyDescent="0.25">
      <c r="A18022" s="318">
        <v>96299538224</v>
      </c>
      <c r="B18022" s="318" t="s">
        <v>236</v>
      </c>
    </row>
    <row r="18023" spans="1:2" ht="12.75" customHeight="1" x14ac:dyDescent="0.25">
      <c r="A18023" s="318">
        <v>96299538225</v>
      </c>
      <c r="B18023" s="318" t="s">
        <v>235</v>
      </c>
    </row>
    <row r="18024" spans="1:2" ht="12.75" customHeight="1" x14ac:dyDescent="0.25">
      <c r="A18024" s="318">
        <v>96299538226</v>
      </c>
      <c r="B18024" s="318" t="s">
        <v>236</v>
      </c>
    </row>
    <row r="18025" spans="1:2" ht="12.75" customHeight="1" x14ac:dyDescent="0.25">
      <c r="A18025" s="318">
        <v>96299538227</v>
      </c>
      <c r="B18025" s="318" t="s">
        <v>235</v>
      </c>
    </row>
    <row r="18026" spans="1:2" ht="12.75" customHeight="1" x14ac:dyDescent="0.25">
      <c r="A18026" s="318">
        <v>96299538228</v>
      </c>
      <c r="B18026" s="318" t="s">
        <v>236</v>
      </c>
    </row>
    <row r="18027" spans="1:2" ht="12.75" customHeight="1" x14ac:dyDescent="0.25">
      <c r="A18027" s="318">
        <v>96299538229</v>
      </c>
      <c r="B18027" s="318" t="s">
        <v>235</v>
      </c>
    </row>
    <row r="18028" spans="1:2" ht="12.75" customHeight="1" x14ac:dyDescent="0.25">
      <c r="A18028" s="318">
        <v>96299538230</v>
      </c>
      <c r="B18028" s="318" t="s">
        <v>23</v>
      </c>
    </row>
    <row r="18029" spans="1:2" ht="12.75" customHeight="1" x14ac:dyDescent="0.25">
      <c r="A18029" s="318">
        <v>96299538231</v>
      </c>
      <c r="B18029" s="318" t="s">
        <v>235</v>
      </c>
    </row>
    <row r="18030" spans="1:2" ht="12.75" customHeight="1" x14ac:dyDescent="0.25">
      <c r="A18030" s="318">
        <v>96299538233</v>
      </c>
      <c r="B18030" s="318" t="s">
        <v>237</v>
      </c>
    </row>
    <row r="18031" spans="1:2" ht="12.75" customHeight="1" x14ac:dyDescent="0.25">
      <c r="A18031" s="318">
        <v>96299538234</v>
      </c>
      <c r="B18031" s="318" t="s">
        <v>237</v>
      </c>
    </row>
    <row r="18032" spans="1:2" ht="12.75" customHeight="1" x14ac:dyDescent="0.25">
      <c r="A18032" s="318">
        <v>96299538235</v>
      </c>
      <c r="B18032" s="318" t="s">
        <v>237</v>
      </c>
    </row>
    <row r="18033" spans="1:2" ht="12.75" customHeight="1" x14ac:dyDescent="0.25">
      <c r="A18033" s="318">
        <v>96299538236</v>
      </c>
      <c r="B18033" s="318" t="s">
        <v>237</v>
      </c>
    </row>
    <row r="18034" spans="1:2" ht="12.75" customHeight="1" x14ac:dyDescent="0.25">
      <c r="A18034" s="318">
        <v>96299538237</v>
      </c>
      <c r="B18034" s="318" t="s">
        <v>237</v>
      </c>
    </row>
    <row r="18035" spans="1:2" ht="12.75" customHeight="1" x14ac:dyDescent="0.25">
      <c r="A18035" s="318">
        <v>96299538238</v>
      </c>
      <c r="B18035" s="318" t="s">
        <v>237</v>
      </c>
    </row>
    <row r="18036" spans="1:2" ht="12.75" customHeight="1" x14ac:dyDescent="0.25">
      <c r="A18036" s="318">
        <v>96299538239</v>
      </c>
      <c r="B18036" s="318" t="s">
        <v>237</v>
      </c>
    </row>
    <row r="18037" spans="1:2" ht="12.75" customHeight="1" x14ac:dyDescent="0.25">
      <c r="A18037" s="318">
        <v>96299538240</v>
      </c>
      <c r="B18037" s="318" t="s">
        <v>237</v>
      </c>
    </row>
    <row r="18038" spans="1:2" ht="12.75" customHeight="1" x14ac:dyDescent="0.25">
      <c r="A18038" s="318">
        <v>96299538324</v>
      </c>
      <c r="B18038" s="318" t="s">
        <v>236</v>
      </c>
    </row>
    <row r="18039" spans="1:2" ht="12.75" customHeight="1" x14ac:dyDescent="0.25">
      <c r="A18039" s="318">
        <v>96299538325</v>
      </c>
      <c r="B18039" s="318" t="s">
        <v>235</v>
      </c>
    </row>
    <row r="18040" spans="1:2" ht="12.75" customHeight="1" x14ac:dyDescent="0.25">
      <c r="A18040" s="318">
        <v>96299538326</v>
      </c>
      <c r="B18040" s="318" t="s">
        <v>236</v>
      </c>
    </row>
    <row r="18041" spans="1:2" ht="12.75" customHeight="1" x14ac:dyDescent="0.25">
      <c r="A18041" s="318">
        <v>96299538327</v>
      </c>
      <c r="B18041" s="318" t="s">
        <v>235</v>
      </c>
    </row>
    <row r="18042" spans="1:2" ht="12.75" customHeight="1" x14ac:dyDescent="0.25">
      <c r="A18042" s="318">
        <v>96299538328</v>
      </c>
      <c r="B18042" s="318" t="s">
        <v>236</v>
      </c>
    </row>
    <row r="18043" spans="1:2" ht="12.75" customHeight="1" x14ac:dyDescent="0.25">
      <c r="A18043" s="318">
        <v>96299538329</v>
      </c>
      <c r="B18043" s="318" t="s">
        <v>235</v>
      </c>
    </row>
    <row r="18044" spans="1:2" ht="12.75" customHeight="1" x14ac:dyDescent="0.25">
      <c r="A18044" s="318">
        <v>96299538330</v>
      </c>
      <c r="B18044" s="318" t="s">
        <v>23</v>
      </c>
    </row>
    <row r="18045" spans="1:2" ht="12.75" customHeight="1" x14ac:dyDescent="0.25">
      <c r="A18045" s="318">
        <v>96299538331</v>
      </c>
      <c r="B18045" s="318" t="s">
        <v>235</v>
      </c>
    </row>
    <row r="18046" spans="1:2" ht="12.75" customHeight="1" x14ac:dyDescent="0.25">
      <c r="A18046" s="318">
        <v>96299538333</v>
      </c>
      <c r="B18046" s="318" t="s">
        <v>237</v>
      </c>
    </row>
    <row r="18047" spans="1:2" ht="12.75" customHeight="1" x14ac:dyDescent="0.25">
      <c r="A18047" s="318">
        <v>96299538334</v>
      </c>
      <c r="B18047" s="318" t="s">
        <v>237</v>
      </c>
    </row>
    <row r="18048" spans="1:2" ht="12.75" customHeight="1" x14ac:dyDescent="0.25">
      <c r="A18048" s="318">
        <v>96299538335</v>
      </c>
      <c r="B18048" s="318" t="s">
        <v>237</v>
      </c>
    </row>
    <row r="18049" spans="1:2" ht="12.75" customHeight="1" x14ac:dyDescent="0.25">
      <c r="A18049" s="318">
        <v>96299538336</v>
      </c>
      <c r="B18049" s="318" t="s">
        <v>237</v>
      </c>
    </row>
    <row r="18050" spans="1:2" ht="12.75" customHeight="1" x14ac:dyDescent="0.25">
      <c r="A18050" s="318">
        <v>96299538337</v>
      </c>
      <c r="B18050" s="318" t="s">
        <v>237</v>
      </c>
    </row>
    <row r="18051" spans="1:2" ht="12.75" customHeight="1" x14ac:dyDescent="0.25">
      <c r="A18051" s="318">
        <v>96299538338</v>
      </c>
      <c r="B18051" s="318" t="s">
        <v>237</v>
      </c>
    </row>
    <row r="18052" spans="1:2" ht="12.75" customHeight="1" x14ac:dyDescent="0.25">
      <c r="A18052" s="318">
        <v>96299538339</v>
      </c>
      <c r="B18052" s="318" t="s">
        <v>237</v>
      </c>
    </row>
    <row r="18053" spans="1:2" ht="12.75" customHeight="1" x14ac:dyDescent="0.25">
      <c r="A18053" s="318">
        <v>96299538340</v>
      </c>
      <c r="B18053" s="318" t="s">
        <v>237</v>
      </c>
    </row>
    <row r="18054" spans="1:2" ht="12.75" customHeight="1" x14ac:dyDescent="0.25">
      <c r="A18054" s="318">
        <v>96300019197</v>
      </c>
      <c r="B18054" s="318" t="s">
        <v>236</v>
      </c>
    </row>
    <row r="18055" spans="1:2" ht="12.75" customHeight="1" x14ac:dyDescent="0.25">
      <c r="A18055" s="318">
        <v>96300019198</v>
      </c>
      <c r="B18055" s="318" t="s">
        <v>235</v>
      </c>
    </row>
    <row r="18056" spans="1:2" ht="12.75" customHeight="1" x14ac:dyDescent="0.25">
      <c r="A18056" s="318">
        <v>96300019199</v>
      </c>
      <c r="B18056" s="318" t="s">
        <v>236</v>
      </c>
    </row>
    <row r="18057" spans="1:2" ht="12.75" customHeight="1" x14ac:dyDescent="0.25">
      <c r="A18057" s="318">
        <v>96300019200</v>
      </c>
      <c r="B18057" s="318" t="s">
        <v>235</v>
      </c>
    </row>
    <row r="18058" spans="1:2" ht="12.75" customHeight="1" x14ac:dyDescent="0.25">
      <c r="A18058" s="318">
        <v>96300019201</v>
      </c>
      <c r="B18058" s="318" t="s">
        <v>236</v>
      </c>
    </row>
    <row r="18059" spans="1:2" ht="12.75" customHeight="1" x14ac:dyDescent="0.25">
      <c r="A18059" s="318">
        <v>96300019202</v>
      </c>
      <c r="B18059" s="318" t="s">
        <v>235</v>
      </c>
    </row>
    <row r="18060" spans="1:2" ht="12.75" customHeight="1" x14ac:dyDescent="0.25">
      <c r="A18060" s="318">
        <v>96300019203</v>
      </c>
      <c r="B18060" s="318" t="s">
        <v>23</v>
      </c>
    </row>
    <row r="18061" spans="1:2" ht="12.75" customHeight="1" x14ac:dyDescent="0.25">
      <c r="A18061" s="318">
        <v>96300019204</v>
      </c>
      <c r="B18061" s="318" t="s">
        <v>235</v>
      </c>
    </row>
    <row r="18062" spans="1:2" ht="12.75" customHeight="1" x14ac:dyDescent="0.25">
      <c r="A18062" s="318">
        <v>96300019206</v>
      </c>
      <c r="B18062" s="318" t="s">
        <v>237</v>
      </c>
    </row>
    <row r="18063" spans="1:2" ht="12.75" customHeight="1" x14ac:dyDescent="0.25">
      <c r="A18063" s="318">
        <v>96300019207</v>
      </c>
      <c r="B18063" s="318" t="s">
        <v>237</v>
      </c>
    </row>
    <row r="18064" spans="1:2" ht="12.75" customHeight="1" x14ac:dyDescent="0.25">
      <c r="A18064" s="318">
        <v>96300019208</v>
      </c>
      <c r="B18064" s="318" t="s">
        <v>237</v>
      </c>
    </row>
    <row r="18065" spans="1:2" ht="12.75" customHeight="1" x14ac:dyDescent="0.25">
      <c r="A18065" s="318">
        <v>96300019209</v>
      </c>
      <c r="B18065" s="318" t="s">
        <v>237</v>
      </c>
    </row>
    <row r="18066" spans="1:2" ht="12.75" customHeight="1" x14ac:dyDescent="0.25">
      <c r="A18066" s="318">
        <v>96300019210</v>
      </c>
      <c r="B18066" s="318" t="s">
        <v>237</v>
      </c>
    </row>
    <row r="18067" spans="1:2" ht="12.75" customHeight="1" x14ac:dyDescent="0.25">
      <c r="A18067" s="318">
        <v>96300019211</v>
      </c>
      <c r="B18067" s="318" t="s">
        <v>237</v>
      </c>
    </row>
    <row r="18068" spans="1:2" ht="12.75" customHeight="1" x14ac:dyDescent="0.25">
      <c r="A18068" s="318">
        <v>96300019212</v>
      </c>
      <c r="B18068" s="318" t="s">
        <v>237</v>
      </c>
    </row>
    <row r="18069" spans="1:2" ht="12.75" customHeight="1" x14ac:dyDescent="0.25">
      <c r="A18069" s="318">
        <v>96300019213</v>
      </c>
      <c r="B18069" s="318" t="s">
        <v>237</v>
      </c>
    </row>
    <row r="18070" spans="1:2" ht="12.75" customHeight="1" x14ac:dyDescent="0.25">
      <c r="A18070" s="318">
        <v>96300019297</v>
      </c>
      <c r="B18070" s="318" t="s">
        <v>236</v>
      </c>
    </row>
    <row r="18071" spans="1:2" ht="12.75" customHeight="1" x14ac:dyDescent="0.25">
      <c r="A18071" s="318">
        <v>96300019298</v>
      </c>
      <c r="B18071" s="318" t="s">
        <v>235</v>
      </c>
    </row>
    <row r="18072" spans="1:2" ht="12.75" customHeight="1" x14ac:dyDescent="0.25">
      <c r="A18072" s="318">
        <v>96300019299</v>
      </c>
      <c r="B18072" s="318" t="s">
        <v>236</v>
      </c>
    </row>
    <row r="18073" spans="1:2" ht="12.75" customHeight="1" x14ac:dyDescent="0.25">
      <c r="A18073" s="318">
        <v>96300019300</v>
      </c>
      <c r="B18073" s="318" t="s">
        <v>235</v>
      </c>
    </row>
    <row r="18074" spans="1:2" ht="12.75" customHeight="1" x14ac:dyDescent="0.25">
      <c r="A18074" s="318">
        <v>96300019301</v>
      </c>
      <c r="B18074" s="318" t="s">
        <v>236</v>
      </c>
    </row>
    <row r="18075" spans="1:2" ht="12.75" customHeight="1" x14ac:dyDescent="0.25">
      <c r="A18075" s="318">
        <v>96300019302</v>
      </c>
      <c r="B18075" s="318" t="s">
        <v>235</v>
      </c>
    </row>
    <row r="18076" spans="1:2" ht="12.75" customHeight="1" x14ac:dyDescent="0.25">
      <c r="A18076" s="318">
        <v>96300019303</v>
      </c>
      <c r="B18076" s="318" t="s">
        <v>23</v>
      </c>
    </row>
    <row r="18077" spans="1:2" ht="12.75" customHeight="1" x14ac:dyDescent="0.25">
      <c r="A18077" s="318">
        <v>96300019304</v>
      </c>
      <c r="B18077" s="318" t="s">
        <v>235</v>
      </c>
    </row>
    <row r="18078" spans="1:2" ht="12.75" customHeight="1" x14ac:dyDescent="0.25">
      <c r="A18078" s="318">
        <v>96300019306</v>
      </c>
      <c r="B18078" s="318" t="s">
        <v>237</v>
      </c>
    </row>
    <row r="18079" spans="1:2" ht="12.75" customHeight="1" x14ac:dyDescent="0.25">
      <c r="A18079" s="318">
        <v>96300019307</v>
      </c>
      <c r="B18079" s="318" t="s">
        <v>237</v>
      </c>
    </row>
    <row r="18080" spans="1:2" ht="12.75" customHeight="1" x14ac:dyDescent="0.25">
      <c r="A18080" s="318">
        <v>96300019308</v>
      </c>
      <c r="B18080" s="318" t="s">
        <v>237</v>
      </c>
    </row>
    <row r="18081" spans="1:2" ht="12.75" customHeight="1" x14ac:dyDescent="0.25">
      <c r="A18081" s="318">
        <v>96300019309</v>
      </c>
      <c r="B18081" s="318" t="s">
        <v>237</v>
      </c>
    </row>
    <row r="18082" spans="1:2" ht="12.75" customHeight="1" x14ac:dyDescent="0.25">
      <c r="A18082" s="318">
        <v>96300019310</v>
      </c>
      <c r="B18082" s="318" t="s">
        <v>237</v>
      </c>
    </row>
    <row r="18083" spans="1:2" ht="12.75" customHeight="1" x14ac:dyDescent="0.25">
      <c r="A18083" s="318">
        <v>96300019311</v>
      </c>
      <c r="B18083" s="318" t="s">
        <v>237</v>
      </c>
    </row>
    <row r="18084" spans="1:2" ht="12.75" customHeight="1" x14ac:dyDescent="0.25">
      <c r="A18084" s="318">
        <v>96300019312</v>
      </c>
      <c r="B18084" s="318" t="s">
        <v>237</v>
      </c>
    </row>
    <row r="18085" spans="1:2" ht="12.75" customHeight="1" x14ac:dyDescent="0.25">
      <c r="A18085" s="318">
        <v>96300019313</v>
      </c>
      <c r="B18085" s="318" t="s">
        <v>237</v>
      </c>
    </row>
    <row r="18086" spans="1:2" ht="12.75" customHeight="1" x14ac:dyDescent="0.25">
      <c r="A18086" s="318">
        <v>96300500170</v>
      </c>
      <c r="B18086" s="318" t="s">
        <v>236</v>
      </c>
    </row>
    <row r="18087" spans="1:2" ht="12.75" customHeight="1" x14ac:dyDescent="0.25">
      <c r="A18087" s="318">
        <v>96300500171</v>
      </c>
      <c r="B18087" s="318" t="s">
        <v>235</v>
      </c>
    </row>
    <row r="18088" spans="1:2" ht="12.75" customHeight="1" x14ac:dyDescent="0.25">
      <c r="A18088" s="318">
        <v>96300500172</v>
      </c>
      <c r="B18088" s="318" t="s">
        <v>236</v>
      </c>
    </row>
    <row r="18089" spans="1:2" ht="12.75" customHeight="1" x14ac:dyDescent="0.25">
      <c r="A18089" s="318">
        <v>96300500173</v>
      </c>
      <c r="B18089" s="318" t="s">
        <v>235</v>
      </c>
    </row>
    <row r="18090" spans="1:2" ht="12.75" customHeight="1" x14ac:dyDescent="0.25">
      <c r="A18090" s="318">
        <v>96300500174</v>
      </c>
      <c r="B18090" s="318" t="s">
        <v>236</v>
      </c>
    </row>
    <row r="18091" spans="1:2" ht="12.75" customHeight="1" x14ac:dyDescent="0.25">
      <c r="A18091" s="318">
        <v>96300500175</v>
      </c>
      <c r="B18091" s="318" t="s">
        <v>235</v>
      </c>
    </row>
    <row r="18092" spans="1:2" ht="12.75" customHeight="1" x14ac:dyDescent="0.25">
      <c r="A18092" s="318">
        <v>96300500176</v>
      </c>
      <c r="B18092" s="318" t="s">
        <v>236</v>
      </c>
    </row>
    <row r="18093" spans="1:2" ht="12.75" customHeight="1" x14ac:dyDescent="0.25">
      <c r="A18093" s="318">
        <v>96300500177</v>
      </c>
      <c r="B18093" s="318" t="s">
        <v>235</v>
      </c>
    </row>
    <row r="18094" spans="1:2" ht="12.75" customHeight="1" x14ac:dyDescent="0.25">
      <c r="A18094" s="318">
        <v>96300500179</v>
      </c>
      <c r="B18094" s="318" t="s">
        <v>236</v>
      </c>
    </row>
    <row r="18095" spans="1:2" ht="12.75" customHeight="1" x14ac:dyDescent="0.25">
      <c r="A18095" s="318">
        <v>96300500180</v>
      </c>
      <c r="B18095" s="318" t="s">
        <v>235</v>
      </c>
    </row>
    <row r="18096" spans="1:2" ht="12.75" customHeight="1" x14ac:dyDescent="0.25">
      <c r="A18096" s="318">
        <v>96300500181</v>
      </c>
      <c r="B18096" s="318" t="s">
        <v>236</v>
      </c>
    </row>
    <row r="18097" spans="1:2" ht="12.75" customHeight="1" x14ac:dyDescent="0.25">
      <c r="A18097" s="318">
        <v>96300500182</v>
      </c>
      <c r="B18097" s="318" t="s">
        <v>235</v>
      </c>
    </row>
    <row r="18098" spans="1:2" ht="12.75" customHeight="1" x14ac:dyDescent="0.25">
      <c r="A18098" s="318">
        <v>96300500183</v>
      </c>
      <c r="B18098" s="318" t="s">
        <v>236</v>
      </c>
    </row>
    <row r="18099" spans="1:2" ht="12.75" customHeight="1" x14ac:dyDescent="0.25">
      <c r="A18099" s="318">
        <v>96300500184</v>
      </c>
      <c r="B18099" s="318" t="s">
        <v>235</v>
      </c>
    </row>
    <row r="18100" spans="1:2" ht="12.75" customHeight="1" x14ac:dyDescent="0.25">
      <c r="A18100" s="318">
        <v>96300500185</v>
      </c>
      <c r="B18100" s="318" t="s">
        <v>236</v>
      </c>
    </row>
    <row r="18101" spans="1:2" ht="12.75" customHeight="1" x14ac:dyDescent="0.25">
      <c r="A18101" s="318">
        <v>96300500186</v>
      </c>
      <c r="B18101" s="318" t="s">
        <v>235</v>
      </c>
    </row>
    <row r="18102" spans="1:2" ht="12.75" customHeight="1" x14ac:dyDescent="0.25">
      <c r="A18102" s="318">
        <v>96300500270</v>
      </c>
      <c r="B18102" s="318" t="s">
        <v>236</v>
      </c>
    </row>
    <row r="18103" spans="1:2" ht="12.75" customHeight="1" x14ac:dyDescent="0.25">
      <c r="A18103" s="318">
        <v>96300500271</v>
      </c>
      <c r="B18103" s="318" t="s">
        <v>235</v>
      </c>
    </row>
    <row r="18104" spans="1:2" ht="12.75" customHeight="1" x14ac:dyDescent="0.25">
      <c r="A18104" s="318">
        <v>96300500272</v>
      </c>
      <c r="B18104" s="318" t="s">
        <v>236</v>
      </c>
    </row>
    <row r="18105" spans="1:2" ht="12.75" customHeight="1" x14ac:dyDescent="0.25">
      <c r="A18105" s="318">
        <v>96300500273</v>
      </c>
      <c r="B18105" s="318" t="s">
        <v>235</v>
      </c>
    </row>
    <row r="18106" spans="1:2" ht="12.75" customHeight="1" x14ac:dyDescent="0.25">
      <c r="A18106" s="318">
        <v>96300500274</v>
      </c>
      <c r="B18106" s="318" t="s">
        <v>236</v>
      </c>
    </row>
    <row r="18107" spans="1:2" ht="12.75" customHeight="1" x14ac:dyDescent="0.25">
      <c r="A18107" s="318">
        <v>96300500275</v>
      </c>
      <c r="B18107" s="318" t="s">
        <v>235</v>
      </c>
    </row>
    <row r="18108" spans="1:2" ht="12.75" customHeight="1" x14ac:dyDescent="0.25">
      <c r="A18108" s="318">
        <v>96300500276</v>
      </c>
      <c r="B18108" s="318" t="s">
        <v>236</v>
      </c>
    </row>
    <row r="18109" spans="1:2" ht="12.75" customHeight="1" x14ac:dyDescent="0.25">
      <c r="A18109" s="318">
        <v>96300500277</v>
      </c>
      <c r="B18109" s="318" t="s">
        <v>235</v>
      </c>
    </row>
    <row r="18110" spans="1:2" ht="12.75" customHeight="1" x14ac:dyDescent="0.25">
      <c r="A18110" s="318">
        <v>96300500279</v>
      </c>
      <c r="B18110" s="318" t="s">
        <v>236</v>
      </c>
    </row>
    <row r="18111" spans="1:2" ht="12.75" customHeight="1" x14ac:dyDescent="0.25">
      <c r="A18111" s="318">
        <v>96300500280</v>
      </c>
      <c r="B18111" s="318" t="s">
        <v>235</v>
      </c>
    </row>
    <row r="18112" spans="1:2" ht="12.75" customHeight="1" x14ac:dyDescent="0.25">
      <c r="A18112" s="318">
        <v>96300500281</v>
      </c>
      <c r="B18112" s="318" t="s">
        <v>236</v>
      </c>
    </row>
    <row r="18113" spans="1:2" ht="12.75" customHeight="1" x14ac:dyDescent="0.25">
      <c r="A18113" s="318">
        <v>96300500282</v>
      </c>
      <c r="B18113" s="318" t="s">
        <v>235</v>
      </c>
    </row>
    <row r="18114" spans="1:2" ht="12.75" customHeight="1" x14ac:dyDescent="0.25">
      <c r="A18114" s="318">
        <v>96300500283</v>
      </c>
      <c r="B18114" s="318" t="s">
        <v>236</v>
      </c>
    </row>
    <row r="18115" spans="1:2" ht="12.75" customHeight="1" x14ac:dyDescent="0.25">
      <c r="A18115" s="318">
        <v>96300500284</v>
      </c>
      <c r="B18115" s="318" t="s">
        <v>235</v>
      </c>
    </row>
    <row r="18116" spans="1:2" ht="12.75" customHeight="1" x14ac:dyDescent="0.25">
      <c r="A18116" s="318">
        <v>96300500285</v>
      </c>
      <c r="B18116" s="318" t="s">
        <v>236</v>
      </c>
    </row>
    <row r="18117" spans="1:2" ht="12.75" customHeight="1" x14ac:dyDescent="0.25">
      <c r="A18117" s="318">
        <v>96300500286</v>
      </c>
      <c r="B18117" s="318" t="s">
        <v>235</v>
      </c>
    </row>
    <row r="18118" spans="1:2" ht="12.75" customHeight="1" x14ac:dyDescent="0.25">
      <c r="A18118" s="318">
        <v>96301180361</v>
      </c>
      <c r="B18118" s="318" t="s">
        <v>236</v>
      </c>
    </row>
    <row r="18119" spans="1:2" ht="12.75" customHeight="1" x14ac:dyDescent="0.25">
      <c r="A18119" s="318">
        <v>96301180362</v>
      </c>
      <c r="B18119" s="318" t="s">
        <v>235</v>
      </c>
    </row>
    <row r="18120" spans="1:2" ht="12.75" customHeight="1" x14ac:dyDescent="0.25">
      <c r="A18120" s="318">
        <v>96301180363</v>
      </c>
      <c r="B18120" s="318" t="s">
        <v>236</v>
      </c>
    </row>
    <row r="18121" spans="1:2" ht="12.75" customHeight="1" x14ac:dyDescent="0.25">
      <c r="A18121" s="318">
        <v>96301180364</v>
      </c>
      <c r="B18121" s="318" t="s">
        <v>235</v>
      </c>
    </row>
    <row r="18122" spans="1:2" ht="12.75" customHeight="1" x14ac:dyDescent="0.25">
      <c r="A18122" s="318">
        <v>96301180365</v>
      </c>
      <c r="B18122" s="318" t="s">
        <v>236</v>
      </c>
    </row>
    <row r="18123" spans="1:2" ht="12.75" customHeight="1" x14ac:dyDescent="0.25">
      <c r="A18123" s="318">
        <v>96301180366</v>
      </c>
      <c r="B18123" s="318" t="s">
        <v>235</v>
      </c>
    </row>
    <row r="18124" spans="1:2" ht="12.75" customHeight="1" x14ac:dyDescent="0.25">
      <c r="A18124" s="318">
        <v>96301180367</v>
      </c>
      <c r="B18124" s="318" t="s">
        <v>23</v>
      </c>
    </row>
    <row r="18125" spans="1:2" ht="12.75" customHeight="1" x14ac:dyDescent="0.25">
      <c r="A18125" s="318">
        <v>96301180368</v>
      </c>
      <c r="B18125" s="318" t="s">
        <v>235</v>
      </c>
    </row>
    <row r="18126" spans="1:2" ht="12.75" customHeight="1" x14ac:dyDescent="0.25">
      <c r="A18126" s="318">
        <v>96301180370</v>
      </c>
      <c r="B18126" s="318" t="s">
        <v>237</v>
      </c>
    </row>
    <row r="18127" spans="1:2" ht="12.75" customHeight="1" x14ac:dyDescent="0.25">
      <c r="A18127" s="318">
        <v>96301180371</v>
      </c>
      <c r="B18127" s="318" t="s">
        <v>237</v>
      </c>
    </row>
    <row r="18128" spans="1:2" ht="12.75" customHeight="1" x14ac:dyDescent="0.25">
      <c r="A18128" s="318">
        <v>96301180372</v>
      </c>
      <c r="B18128" s="318" t="s">
        <v>237</v>
      </c>
    </row>
    <row r="18129" spans="1:2" ht="12.75" customHeight="1" x14ac:dyDescent="0.25">
      <c r="A18129" s="318">
        <v>96301180373</v>
      </c>
      <c r="B18129" s="318" t="s">
        <v>237</v>
      </c>
    </row>
    <row r="18130" spans="1:2" ht="12.75" customHeight="1" x14ac:dyDescent="0.25">
      <c r="A18130" s="318">
        <v>96301180374</v>
      </c>
      <c r="B18130" s="318" t="s">
        <v>237</v>
      </c>
    </row>
    <row r="18131" spans="1:2" ht="12.75" customHeight="1" x14ac:dyDescent="0.25">
      <c r="A18131" s="318">
        <v>96301180375</v>
      </c>
      <c r="B18131" s="318" t="s">
        <v>237</v>
      </c>
    </row>
    <row r="18132" spans="1:2" ht="12.75" customHeight="1" x14ac:dyDescent="0.25">
      <c r="A18132" s="318">
        <v>96301180376</v>
      </c>
      <c r="B18132" s="318" t="s">
        <v>237</v>
      </c>
    </row>
    <row r="18133" spans="1:2" ht="12.75" customHeight="1" x14ac:dyDescent="0.25">
      <c r="A18133" s="318">
        <v>96301180377</v>
      </c>
      <c r="B18133" s="318" t="s">
        <v>237</v>
      </c>
    </row>
    <row r="18134" spans="1:2" ht="12.75" customHeight="1" x14ac:dyDescent="0.25">
      <c r="A18134" s="318">
        <v>96301180461</v>
      </c>
      <c r="B18134" s="318" t="s">
        <v>236</v>
      </c>
    </row>
    <row r="18135" spans="1:2" ht="12.75" customHeight="1" x14ac:dyDescent="0.25">
      <c r="A18135" s="318">
        <v>96301180462</v>
      </c>
      <c r="B18135" s="318" t="s">
        <v>235</v>
      </c>
    </row>
    <row r="18136" spans="1:2" ht="12.75" customHeight="1" x14ac:dyDescent="0.25">
      <c r="A18136" s="318">
        <v>96301180463</v>
      </c>
      <c r="B18136" s="318" t="s">
        <v>236</v>
      </c>
    </row>
    <row r="18137" spans="1:2" ht="12.75" customHeight="1" x14ac:dyDescent="0.25">
      <c r="A18137" s="318">
        <v>96301180464</v>
      </c>
      <c r="B18137" s="318" t="s">
        <v>235</v>
      </c>
    </row>
    <row r="18138" spans="1:2" ht="12.75" customHeight="1" x14ac:dyDescent="0.25">
      <c r="A18138" s="318">
        <v>96301180465</v>
      </c>
      <c r="B18138" s="318" t="s">
        <v>236</v>
      </c>
    </row>
    <row r="18139" spans="1:2" ht="12.75" customHeight="1" x14ac:dyDescent="0.25">
      <c r="A18139" s="318">
        <v>96301180466</v>
      </c>
      <c r="B18139" s="318" t="s">
        <v>235</v>
      </c>
    </row>
    <row r="18140" spans="1:2" ht="12.75" customHeight="1" x14ac:dyDescent="0.25">
      <c r="A18140" s="318">
        <v>96301180467</v>
      </c>
      <c r="B18140" s="318" t="s">
        <v>23</v>
      </c>
    </row>
    <row r="18141" spans="1:2" ht="12.75" customHeight="1" x14ac:dyDescent="0.25">
      <c r="A18141" s="318">
        <v>96301180468</v>
      </c>
      <c r="B18141" s="318" t="s">
        <v>235</v>
      </c>
    </row>
    <row r="18142" spans="1:2" ht="12.75" customHeight="1" x14ac:dyDescent="0.25">
      <c r="A18142" s="318">
        <v>96301180470</v>
      </c>
      <c r="B18142" s="318" t="s">
        <v>237</v>
      </c>
    </row>
    <row r="18143" spans="1:2" ht="12.75" customHeight="1" x14ac:dyDescent="0.25">
      <c r="A18143" s="318">
        <v>96301180471</v>
      </c>
      <c r="B18143" s="318" t="s">
        <v>237</v>
      </c>
    </row>
    <row r="18144" spans="1:2" ht="12.75" customHeight="1" x14ac:dyDescent="0.25">
      <c r="A18144" s="318">
        <v>96301180472</v>
      </c>
      <c r="B18144" s="318" t="s">
        <v>237</v>
      </c>
    </row>
    <row r="18145" spans="1:2" ht="12.75" customHeight="1" x14ac:dyDescent="0.25">
      <c r="A18145" s="318">
        <v>96301180473</v>
      </c>
      <c r="B18145" s="318" t="s">
        <v>237</v>
      </c>
    </row>
    <row r="18146" spans="1:2" ht="12.75" customHeight="1" x14ac:dyDescent="0.25">
      <c r="A18146" s="318">
        <v>96301180474</v>
      </c>
      <c r="B18146" s="318" t="s">
        <v>237</v>
      </c>
    </row>
    <row r="18147" spans="1:2" ht="12.75" customHeight="1" x14ac:dyDescent="0.25">
      <c r="A18147" s="318">
        <v>96301180475</v>
      </c>
      <c r="B18147" s="318" t="s">
        <v>237</v>
      </c>
    </row>
    <row r="18148" spans="1:2" ht="12.75" customHeight="1" x14ac:dyDescent="0.25">
      <c r="A18148" s="318">
        <v>96301180476</v>
      </c>
      <c r="B18148" s="318" t="s">
        <v>237</v>
      </c>
    </row>
    <row r="18149" spans="1:2" ht="12.75" customHeight="1" x14ac:dyDescent="0.25">
      <c r="A18149" s="318">
        <v>96301180477</v>
      </c>
      <c r="B18149" s="318" t="s">
        <v>237</v>
      </c>
    </row>
    <row r="18150" spans="1:2" ht="12.75" customHeight="1" x14ac:dyDescent="0.25">
      <c r="A18150" s="318">
        <v>96301661334</v>
      </c>
      <c r="B18150" s="318" t="s">
        <v>236</v>
      </c>
    </row>
    <row r="18151" spans="1:2" ht="12.75" customHeight="1" x14ac:dyDescent="0.25">
      <c r="A18151" s="318">
        <v>96301661335</v>
      </c>
      <c r="B18151" s="318" t="s">
        <v>235</v>
      </c>
    </row>
    <row r="18152" spans="1:2" ht="12.75" customHeight="1" x14ac:dyDescent="0.25">
      <c r="A18152" s="318">
        <v>96301661336</v>
      </c>
      <c r="B18152" s="318" t="s">
        <v>236</v>
      </c>
    </row>
    <row r="18153" spans="1:2" ht="12.75" customHeight="1" x14ac:dyDescent="0.25">
      <c r="A18153" s="318">
        <v>96301661337</v>
      </c>
      <c r="B18153" s="318" t="s">
        <v>235</v>
      </c>
    </row>
    <row r="18154" spans="1:2" ht="12.75" customHeight="1" x14ac:dyDescent="0.25">
      <c r="A18154" s="318">
        <v>96301661338</v>
      </c>
      <c r="B18154" s="318" t="s">
        <v>236</v>
      </c>
    </row>
    <row r="18155" spans="1:2" ht="12.75" customHeight="1" x14ac:dyDescent="0.25">
      <c r="A18155" s="318">
        <v>96301661339</v>
      </c>
      <c r="B18155" s="318" t="s">
        <v>235</v>
      </c>
    </row>
    <row r="18156" spans="1:2" ht="12.75" customHeight="1" x14ac:dyDescent="0.25">
      <c r="A18156" s="318">
        <v>96301661340</v>
      </c>
      <c r="B18156" s="318" t="s">
        <v>23</v>
      </c>
    </row>
    <row r="18157" spans="1:2" ht="12.75" customHeight="1" x14ac:dyDescent="0.25">
      <c r="A18157" s="318">
        <v>96301661341</v>
      </c>
      <c r="B18157" s="318" t="s">
        <v>235</v>
      </c>
    </row>
    <row r="18158" spans="1:2" ht="12.75" customHeight="1" x14ac:dyDescent="0.25">
      <c r="A18158" s="318">
        <v>96301661343</v>
      </c>
      <c r="B18158" s="318" t="s">
        <v>237</v>
      </c>
    </row>
    <row r="18159" spans="1:2" ht="12.75" customHeight="1" x14ac:dyDescent="0.25">
      <c r="A18159" s="318">
        <v>96301661344</v>
      </c>
      <c r="B18159" s="318" t="s">
        <v>237</v>
      </c>
    </row>
    <row r="18160" spans="1:2" ht="12.75" customHeight="1" x14ac:dyDescent="0.25">
      <c r="A18160" s="318">
        <v>96301661345</v>
      </c>
      <c r="B18160" s="318" t="s">
        <v>237</v>
      </c>
    </row>
    <row r="18161" spans="1:2" ht="12.75" customHeight="1" x14ac:dyDescent="0.25">
      <c r="A18161" s="318">
        <v>96301661346</v>
      </c>
      <c r="B18161" s="318" t="s">
        <v>237</v>
      </c>
    </row>
    <row r="18162" spans="1:2" ht="12.75" customHeight="1" x14ac:dyDescent="0.25">
      <c r="A18162" s="318">
        <v>96301661347</v>
      </c>
      <c r="B18162" s="318" t="s">
        <v>237</v>
      </c>
    </row>
    <row r="18163" spans="1:2" ht="12.75" customHeight="1" x14ac:dyDescent="0.25">
      <c r="A18163" s="318">
        <v>96301661348</v>
      </c>
      <c r="B18163" s="318" t="s">
        <v>237</v>
      </c>
    </row>
    <row r="18164" spans="1:2" ht="12.75" customHeight="1" x14ac:dyDescent="0.25">
      <c r="A18164" s="318">
        <v>96301661349</v>
      </c>
      <c r="B18164" s="318" t="s">
        <v>237</v>
      </c>
    </row>
    <row r="18165" spans="1:2" ht="12.75" customHeight="1" x14ac:dyDescent="0.25">
      <c r="A18165" s="318">
        <v>96301661350</v>
      </c>
      <c r="B18165" s="318" t="s">
        <v>237</v>
      </c>
    </row>
    <row r="18166" spans="1:2" ht="12.75" customHeight="1" x14ac:dyDescent="0.25">
      <c r="A18166" s="318">
        <v>96301661434</v>
      </c>
      <c r="B18166" s="318" t="s">
        <v>236</v>
      </c>
    </row>
    <row r="18167" spans="1:2" ht="12.75" customHeight="1" x14ac:dyDescent="0.25">
      <c r="A18167" s="318">
        <v>96301661435</v>
      </c>
      <c r="B18167" s="318" t="s">
        <v>235</v>
      </c>
    </row>
    <row r="18168" spans="1:2" ht="12.75" customHeight="1" x14ac:dyDescent="0.25">
      <c r="A18168" s="318">
        <v>96301661436</v>
      </c>
      <c r="B18168" s="318" t="s">
        <v>236</v>
      </c>
    </row>
    <row r="18169" spans="1:2" ht="12.75" customHeight="1" x14ac:dyDescent="0.25">
      <c r="A18169" s="318">
        <v>96301661437</v>
      </c>
      <c r="B18169" s="318" t="s">
        <v>235</v>
      </c>
    </row>
    <row r="18170" spans="1:2" ht="12.75" customHeight="1" x14ac:dyDescent="0.25">
      <c r="A18170" s="318">
        <v>96301661438</v>
      </c>
      <c r="B18170" s="318" t="s">
        <v>236</v>
      </c>
    </row>
    <row r="18171" spans="1:2" ht="12.75" customHeight="1" x14ac:dyDescent="0.25">
      <c r="A18171" s="318">
        <v>96301661439</v>
      </c>
      <c r="B18171" s="318" t="s">
        <v>235</v>
      </c>
    </row>
    <row r="18172" spans="1:2" ht="12.75" customHeight="1" x14ac:dyDescent="0.25">
      <c r="A18172" s="318">
        <v>96301661440</v>
      </c>
      <c r="B18172" s="318" t="s">
        <v>23</v>
      </c>
    </row>
    <row r="18173" spans="1:2" ht="12.75" customHeight="1" x14ac:dyDescent="0.25">
      <c r="A18173" s="318">
        <v>96301661441</v>
      </c>
      <c r="B18173" s="318" t="s">
        <v>235</v>
      </c>
    </row>
    <row r="18174" spans="1:2" ht="12.75" customHeight="1" x14ac:dyDescent="0.25">
      <c r="A18174" s="318">
        <v>96301661443</v>
      </c>
      <c r="B18174" s="318" t="s">
        <v>237</v>
      </c>
    </row>
    <row r="18175" spans="1:2" ht="12.75" customHeight="1" x14ac:dyDescent="0.25">
      <c r="A18175" s="318">
        <v>96301661444</v>
      </c>
      <c r="B18175" s="318" t="s">
        <v>237</v>
      </c>
    </row>
    <row r="18176" spans="1:2" ht="12.75" customHeight="1" x14ac:dyDescent="0.25">
      <c r="A18176" s="318">
        <v>96301661445</v>
      </c>
      <c r="B18176" s="318" t="s">
        <v>237</v>
      </c>
    </row>
    <row r="18177" spans="1:2" ht="12.75" customHeight="1" x14ac:dyDescent="0.25">
      <c r="A18177" s="318">
        <v>96301661446</v>
      </c>
      <c r="B18177" s="318" t="s">
        <v>237</v>
      </c>
    </row>
    <row r="18178" spans="1:2" ht="12.75" customHeight="1" x14ac:dyDescent="0.25">
      <c r="A18178" s="318">
        <v>96301661447</v>
      </c>
      <c r="B18178" s="318" t="s">
        <v>237</v>
      </c>
    </row>
    <row r="18179" spans="1:2" ht="12.75" customHeight="1" x14ac:dyDescent="0.25">
      <c r="A18179" s="318">
        <v>96301661448</v>
      </c>
      <c r="B18179" s="318" t="s">
        <v>237</v>
      </c>
    </row>
    <row r="18180" spans="1:2" ht="12.75" customHeight="1" x14ac:dyDescent="0.25">
      <c r="A18180" s="318">
        <v>96301661449</v>
      </c>
      <c r="B18180" s="318" t="s">
        <v>237</v>
      </c>
    </row>
    <row r="18181" spans="1:2" ht="12.75" customHeight="1" x14ac:dyDescent="0.25">
      <c r="A18181" s="318">
        <v>96301661450</v>
      </c>
      <c r="B18181" s="318" t="s">
        <v>237</v>
      </c>
    </row>
    <row r="18182" spans="1:2" ht="12.75" customHeight="1" x14ac:dyDescent="0.25">
      <c r="A18182" s="318">
        <v>96302142307</v>
      </c>
      <c r="B18182" s="318" t="s">
        <v>236</v>
      </c>
    </row>
    <row r="18183" spans="1:2" ht="12.75" customHeight="1" x14ac:dyDescent="0.25">
      <c r="A18183" s="318">
        <v>96302142308</v>
      </c>
      <c r="B18183" s="318" t="s">
        <v>235</v>
      </c>
    </row>
    <row r="18184" spans="1:2" ht="12.75" customHeight="1" x14ac:dyDescent="0.25">
      <c r="A18184" s="318">
        <v>96302142309</v>
      </c>
      <c r="B18184" s="318" t="s">
        <v>236</v>
      </c>
    </row>
    <row r="18185" spans="1:2" ht="12.75" customHeight="1" x14ac:dyDescent="0.25">
      <c r="A18185" s="318">
        <v>96302142310</v>
      </c>
      <c r="B18185" s="318" t="s">
        <v>235</v>
      </c>
    </row>
    <row r="18186" spans="1:2" ht="12.75" customHeight="1" x14ac:dyDescent="0.25">
      <c r="A18186" s="318">
        <v>96302142311</v>
      </c>
      <c r="B18186" s="318" t="s">
        <v>236</v>
      </c>
    </row>
    <row r="18187" spans="1:2" ht="12.75" customHeight="1" x14ac:dyDescent="0.25">
      <c r="A18187" s="318">
        <v>96302142312</v>
      </c>
      <c r="B18187" s="318" t="s">
        <v>235</v>
      </c>
    </row>
    <row r="18188" spans="1:2" ht="12.75" customHeight="1" x14ac:dyDescent="0.25">
      <c r="A18188" s="318">
        <v>96302142313</v>
      </c>
      <c r="B18188" s="318" t="s">
        <v>236</v>
      </c>
    </row>
    <row r="18189" spans="1:2" ht="12.75" customHeight="1" x14ac:dyDescent="0.25">
      <c r="A18189" s="318">
        <v>96302142314</v>
      </c>
      <c r="B18189" s="318" t="s">
        <v>235</v>
      </c>
    </row>
    <row r="18190" spans="1:2" ht="12.75" customHeight="1" x14ac:dyDescent="0.25">
      <c r="A18190" s="318">
        <v>96302142316</v>
      </c>
      <c r="B18190" s="318" t="s">
        <v>236</v>
      </c>
    </row>
    <row r="18191" spans="1:2" ht="12.75" customHeight="1" x14ac:dyDescent="0.25">
      <c r="A18191" s="318">
        <v>96302142317</v>
      </c>
      <c r="B18191" s="318" t="s">
        <v>235</v>
      </c>
    </row>
    <row r="18192" spans="1:2" ht="12.75" customHeight="1" x14ac:dyDescent="0.25">
      <c r="A18192" s="318">
        <v>96302142318</v>
      </c>
      <c r="B18192" s="318" t="s">
        <v>236</v>
      </c>
    </row>
    <row r="18193" spans="1:2" ht="12.75" customHeight="1" x14ac:dyDescent="0.25">
      <c r="A18193" s="318">
        <v>96302142319</v>
      </c>
      <c r="B18193" s="318" t="s">
        <v>235</v>
      </c>
    </row>
    <row r="18194" spans="1:2" ht="12.75" customHeight="1" x14ac:dyDescent="0.25">
      <c r="A18194" s="318">
        <v>96302142320</v>
      </c>
      <c r="B18194" s="318" t="s">
        <v>236</v>
      </c>
    </row>
    <row r="18195" spans="1:2" ht="12.75" customHeight="1" x14ac:dyDescent="0.25">
      <c r="A18195" s="318">
        <v>96302142321</v>
      </c>
      <c r="B18195" s="318" t="s">
        <v>235</v>
      </c>
    </row>
    <row r="18196" spans="1:2" ht="12.75" customHeight="1" x14ac:dyDescent="0.25">
      <c r="A18196" s="318">
        <v>96302142322</v>
      </c>
      <c r="B18196" s="318" t="s">
        <v>236</v>
      </c>
    </row>
    <row r="18197" spans="1:2" ht="12.75" customHeight="1" x14ac:dyDescent="0.25">
      <c r="A18197" s="318">
        <v>96302142323</v>
      </c>
      <c r="B18197" s="318" t="s">
        <v>235</v>
      </c>
    </row>
    <row r="18198" spans="1:2" ht="12.75" customHeight="1" x14ac:dyDescent="0.25">
      <c r="A18198" s="318">
        <v>96302142407</v>
      </c>
      <c r="B18198" s="318" t="s">
        <v>236</v>
      </c>
    </row>
    <row r="18199" spans="1:2" ht="12.75" customHeight="1" x14ac:dyDescent="0.25">
      <c r="A18199" s="318">
        <v>96302142408</v>
      </c>
      <c r="B18199" s="318" t="s">
        <v>235</v>
      </c>
    </row>
    <row r="18200" spans="1:2" ht="12.75" customHeight="1" x14ac:dyDescent="0.25">
      <c r="A18200" s="318">
        <v>96302142409</v>
      </c>
      <c r="B18200" s="318" t="s">
        <v>236</v>
      </c>
    </row>
    <row r="18201" spans="1:2" ht="12.75" customHeight="1" x14ac:dyDescent="0.25">
      <c r="A18201" s="318">
        <v>96302142410</v>
      </c>
      <c r="B18201" s="318" t="s">
        <v>235</v>
      </c>
    </row>
    <row r="18202" spans="1:2" ht="12.75" customHeight="1" x14ac:dyDescent="0.25">
      <c r="A18202" s="318">
        <v>96302142411</v>
      </c>
      <c r="B18202" s="318" t="s">
        <v>236</v>
      </c>
    </row>
    <row r="18203" spans="1:2" ht="12.75" customHeight="1" x14ac:dyDescent="0.25">
      <c r="A18203" s="318">
        <v>96302142412</v>
      </c>
      <c r="B18203" s="318" t="s">
        <v>235</v>
      </c>
    </row>
    <row r="18204" spans="1:2" ht="12.75" customHeight="1" x14ac:dyDescent="0.25">
      <c r="A18204" s="318">
        <v>96302142413</v>
      </c>
      <c r="B18204" s="318" t="s">
        <v>236</v>
      </c>
    </row>
    <row r="18205" spans="1:2" ht="12.75" customHeight="1" x14ac:dyDescent="0.25">
      <c r="A18205" s="318">
        <v>96302142414</v>
      </c>
      <c r="B18205" s="318" t="s">
        <v>235</v>
      </c>
    </row>
    <row r="18206" spans="1:2" ht="12.75" customHeight="1" x14ac:dyDescent="0.25">
      <c r="A18206" s="318">
        <v>96302142416</v>
      </c>
      <c r="B18206" s="318" t="s">
        <v>236</v>
      </c>
    </row>
    <row r="18207" spans="1:2" ht="12.75" customHeight="1" x14ac:dyDescent="0.25">
      <c r="A18207" s="318">
        <v>96302142417</v>
      </c>
      <c r="B18207" s="318" t="s">
        <v>235</v>
      </c>
    </row>
    <row r="18208" spans="1:2" ht="12.75" customHeight="1" x14ac:dyDescent="0.25">
      <c r="A18208" s="318">
        <v>96302142418</v>
      </c>
      <c r="B18208" s="318" t="s">
        <v>236</v>
      </c>
    </row>
    <row r="18209" spans="1:2" ht="12.75" customHeight="1" x14ac:dyDescent="0.25">
      <c r="A18209" s="318">
        <v>96302142419</v>
      </c>
      <c r="B18209" s="318" t="s">
        <v>235</v>
      </c>
    </row>
    <row r="18210" spans="1:2" ht="12.75" customHeight="1" x14ac:dyDescent="0.25">
      <c r="A18210" s="318">
        <v>96302142420</v>
      </c>
      <c r="B18210" s="318" t="s">
        <v>236</v>
      </c>
    </row>
    <row r="18211" spans="1:2" ht="12.75" customHeight="1" x14ac:dyDescent="0.25">
      <c r="A18211" s="318">
        <v>96302142421</v>
      </c>
      <c r="B18211" s="318" t="s">
        <v>235</v>
      </c>
    </row>
    <row r="18212" spans="1:2" ht="12.75" customHeight="1" x14ac:dyDescent="0.25">
      <c r="A18212" s="318">
        <v>96302142422</v>
      </c>
      <c r="B18212" s="318" t="s">
        <v>236</v>
      </c>
    </row>
    <row r="18213" spans="1:2" ht="12.75" customHeight="1" x14ac:dyDescent="0.25">
      <c r="A18213" s="318">
        <v>96302142423</v>
      </c>
      <c r="B18213" s="318" t="s">
        <v>235</v>
      </c>
    </row>
    <row r="18214" spans="1:2" ht="12.75" customHeight="1" x14ac:dyDescent="0.25">
      <c r="A18214" s="318">
        <v>96302822498</v>
      </c>
      <c r="B18214" s="318" t="s">
        <v>236</v>
      </c>
    </row>
    <row r="18215" spans="1:2" ht="12.75" customHeight="1" x14ac:dyDescent="0.25">
      <c r="A18215" s="318">
        <v>96302822499</v>
      </c>
      <c r="B18215" s="318" t="s">
        <v>235</v>
      </c>
    </row>
    <row r="18216" spans="1:2" ht="12.75" customHeight="1" x14ac:dyDescent="0.25">
      <c r="A18216" s="318">
        <v>96302822500</v>
      </c>
      <c r="B18216" s="318" t="s">
        <v>236</v>
      </c>
    </row>
    <row r="18217" spans="1:2" ht="12.75" customHeight="1" x14ac:dyDescent="0.25">
      <c r="A18217" s="318">
        <v>96302822501</v>
      </c>
      <c r="B18217" s="318" t="s">
        <v>235</v>
      </c>
    </row>
    <row r="18218" spans="1:2" ht="12.75" customHeight="1" x14ac:dyDescent="0.25">
      <c r="A18218" s="318">
        <v>96302822502</v>
      </c>
      <c r="B18218" s="318" t="s">
        <v>236</v>
      </c>
    </row>
    <row r="18219" spans="1:2" ht="12.75" customHeight="1" x14ac:dyDescent="0.25">
      <c r="A18219" s="318">
        <v>96302822503</v>
      </c>
      <c r="B18219" s="318" t="s">
        <v>235</v>
      </c>
    </row>
    <row r="18220" spans="1:2" ht="12.75" customHeight="1" x14ac:dyDescent="0.25">
      <c r="A18220" s="318">
        <v>96302822504</v>
      </c>
      <c r="B18220" s="318" t="s">
        <v>236</v>
      </c>
    </row>
    <row r="18221" spans="1:2" ht="12.75" customHeight="1" x14ac:dyDescent="0.25">
      <c r="A18221" s="318">
        <v>96302822505</v>
      </c>
      <c r="B18221" s="318" t="s">
        <v>235</v>
      </c>
    </row>
    <row r="18222" spans="1:2" ht="12.75" customHeight="1" x14ac:dyDescent="0.25">
      <c r="A18222" s="318">
        <v>96302822507</v>
      </c>
      <c r="B18222" s="318" t="s">
        <v>236</v>
      </c>
    </row>
    <row r="18223" spans="1:2" ht="12.75" customHeight="1" x14ac:dyDescent="0.25">
      <c r="A18223" s="318">
        <v>96302822508</v>
      </c>
      <c r="B18223" s="318" t="s">
        <v>235</v>
      </c>
    </row>
    <row r="18224" spans="1:2" ht="12.75" customHeight="1" x14ac:dyDescent="0.25">
      <c r="A18224" s="318">
        <v>96302822509</v>
      </c>
      <c r="B18224" s="318" t="s">
        <v>236</v>
      </c>
    </row>
    <row r="18225" spans="1:2" ht="12.75" customHeight="1" x14ac:dyDescent="0.25">
      <c r="A18225" s="318">
        <v>96302822510</v>
      </c>
      <c r="B18225" s="318" t="s">
        <v>235</v>
      </c>
    </row>
    <row r="18226" spans="1:2" ht="12.75" customHeight="1" x14ac:dyDescent="0.25">
      <c r="A18226" s="318">
        <v>96302822511</v>
      </c>
      <c r="B18226" s="318" t="s">
        <v>236</v>
      </c>
    </row>
    <row r="18227" spans="1:2" ht="12.75" customHeight="1" x14ac:dyDescent="0.25">
      <c r="A18227" s="318">
        <v>96302822512</v>
      </c>
      <c r="B18227" s="318" t="s">
        <v>235</v>
      </c>
    </row>
    <row r="18228" spans="1:2" ht="12.75" customHeight="1" x14ac:dyDescent="0.25">
      <c r="A18228" s="318">
        <v>96302822513</v>
      </c>
      <c r="B18228" s="318" t="s">
        <v>236</v>
      </c>
    </row>
    <row r="18229" spans="1:2" ht="12.75" customHeight="1" x14ac:dyDescent="0.25">
      <c r="A18229" s="318">
        <v>96302822514</v>
      </c>
      <c r="B18229" s="318" t="s">
        <v>235</v>
      </c>
    </row>
    <row r="18230" spans="1:2" ht="12.75" customHeight="1" x14ac:dyDescent="0.25">
      <c r="A18230" s="318">
        <v>96302822598</v>
      </c>
      <c r="B18230" s="318" t="s">
        <v>236</v>
      </c>
    </row>
    <row r="18231" spans="1:2" ht="12.75" customHeight="1" x14ac:dyDescent="0.25">
      <c r="A18231" s="318">
        <v>96302822599</v>
      </c>
      <c r="B18231" s="318" t="s">
        <v>235</v>
      </c>
    </row>
    <row r="18232" spans="1:2" ht="12.75" customHeight="1" x14ac:dyDescent="0.25">
      <c r="A18232" s="318">
        <v>96302822600</v>
      </c>
      <c r="B18232" s="318" t="s">
        <v>236</v>
      </c>
    </row>
    <row r="18233" spans="1:2" ht="12.75" customHeight="1" x14ac:dyDescent="0.25">
      <c r="A18233" s="318">
        <v>96302822601</v>
      </c>
      <c r="B18233" s="318" t="s">
        <v>235</v>
      </c>
    </row>
    <row r="18234" spans="1:2" ht="12.75" customHeight="1" x14ac:dyDescent="0.25">
      <c r="A18234" s="318">
        <v>96302822602</v>
      </c>
      <c r="B18234" s="318" t="s">
        <v>236</v>
      </c>
    </row>
    <row r="18235" spans="1:2" ht="12.75" customHeight="1" x14ac:dyDescent="0.25">
      <c r="A18235" s="318">
        <v>96302822603</v>
      </c>
      <c r="B18235" s="318" t="s">
        <v>235</v>
      </c>
    </row>
    <row r="18236" spans="1:2" ht="12.75" customHeight="1" x14ac:dyDescent="0.25">
      <c r="A18236" s="318">
        <v>96302822604</v>
      </c>
      <c r="B18236" s="318" t="s">
        <v>236</v>
      </c>
    </row>
    <row r="18237" spans="1:2" ht="12.75" customHeight="1" x14ac:dyDescent="0.25">
      <c r="A18237" s="318">
        <v>96302822605</v>
      </c>
      <c r="B18237" s="318" t="s">
        <v>235</v>
      </c>
    </row>
    <row r="18238" spans="1:2" ht="12.75" customHeight="1" x14ac:dyDescent="0.25">
      <c r="A18238" s="318">
        <v>96302822607</v>
      </c>
      <c r="B18238" s="318" t="s">
        <v>236</v>
      </c>
    </row>
    <row r="18239" spans="1:2" ht="12.75" customHeight="1" x14ac:dyDescent="0.25">
      <c r="A18239" s="318">
        <v>96302822608</v>
      </c>
      <c r="B18239" s="318" t="s">
        <v>235</v>
      </c>
    </row>
    <row r="18240" spans="1:2" ht="12.75" customHeight="1" x14ac:dyDescent="0.25">
      <c r="A18240" s="318">
        <v>96302822609</v>
      </c>
      <c r="B18240" s="318" t="s">
        <v>236</v>
      </c>
    </row>
    <row r="18241" spans="1:2" ht="12.75" customHeight="1" x14ac:dyDescent="0.25">
      <c r="A18241" s="318">
        <v>96302822610</v>
      </c>
      <c r="B18241" s="318" t="s">
        <v>235</v>
      </c>
    </row>
    <row r="18242" spans="1:2" ht="12.75" customHeight="1" x14ac:dyDescent="0.25">
      <c r="A18242" s="318">
        <v>96302822611</v>
      </c>
      <c r="B18242" s="318" t="s">
        <v>236</v>
      </c>
    </row>
    <row r="18243" spans="1:2" ht="12.75" customHeight="1" x14ac:dyDescent="0.25">
      <c r="A18243" s="318">
        <v>96302822612</v>
      </c>
      <c r="B18243" s="318" t="s">
        <v>235</v>
      </c>
    </row>
    <row r="18244" spans="1:2" ht="12.75" customHeight="1" x14ac:dyDescent="0.25">
      <c r="A18244" s="318">
        <v>96302822613</v>
      </c>
      <c r="B18244" s="318" t="s">
        <v>236</v>
      </c>
    </row>
    <row r="18245" spans="1:2" ht="12.75" customHeight="1" x14ac:dyDescent="0.25">
      <c r="A18245" s="318">
        <v>96302822614</v>
      </c>
      <c r="B18245" s="318" t="s">
        <v>235</v>
      </c>
    </row>
    <row r="18246" spans="1:2" ht="12.75" customHeight="1" x14ac:dyDescent="0.25">
      <c r="A18246" s="318">
        <v>96303303471</v>
      </c>
      <c r="B18246" s="318" t="s">
        <v>236</v>
      </c>
    </row>
    <row r="18247" spans="1:2" ht="12.75" customHeight="1" x14ac:dyDescent="0.25">
      <c r="A18247" s="318">
        <v>96303303472</v>
      </c>
      <c r="B18247" s="318" t="s">
        <v>235</v>
      </c>
    </row>
    <row r="18248" spans="1:2" ht="12.75" customHeight="1" x14ac:dyDescent="0.25">
      <c r="A18248" s="318">
        <v>96303303473</v>
      </c>
      <c r="B18248" s="318" t="s">
        <v>236</v>
      </c>
    </row>
    <row r="18249" spans="1:2" ht="12.75" customHeight="1" x14ac:dyDescent="0.25">
      <c r="A18249" s="318">
        <v>96303303474</v>
      </c>
      <c r="B18249" s="318" t="s">
        <v>235</v>
      </c>
    </row>
    <row r="18250" spans="1:2" ht="12.75" customHeight="1" x14ac:dyDescent="0.25">
      <c r="A18250" s="318">
        <v>96303303475</v>
      </c>
      <c r="B18250" s="318" t="s">
        <v>236</v>
      </c>
    </row>
    <row r="18251" spans="1:2" ht="12.75" customHeight="1" x14ac:dyDescent="0.25">
      <c r="A18251" s="318">
        <v>96303303476</v>
      </c>
      <c r="B18251" s="318" t="s">
        <v>235</v>
      </c>
    </row>
    <row r="18252" spans="1:2" ht="12.75" customHeight="1" x14ac:dyDescent="0.25">
      <c r="A18252" s="318">
        <v>96303303477</v>
      </c>
      <c r="B18252" s="318" t="s">
        <v>236</v>
      </c>
    </row>
    <row r="18253" spans="1:2" ht="12.75" customHeight="1" x14ac:dyDescent="0.25">
      <c r="A18253" s="318">
        <v>96303303478</v>
      </c>
      <c r="B18253" s="318" t="s">
        <v>235</v>
      </c>
    </row>
    <row r="18254" spans="1:2" ht="12.75" customHeight="1" x14ac:dyDescent="0.25">
      <c r="A18254" s="318">
        <v>96303303480</v>
      </c>
      <c r="B18254" s="318" t="s">
        <v>236</v>
      </c>
    </row>
    <row r="18255" spans="1:2" ht="12.75" customHeight="1" x14ac:dyDescent="0.25">
      <c r="A18255" s="318">
        <v>96303303481</v>
      </c>
      <c r="B18255" s="318" t="s">
        <v>235</v>
      </c>
    </row>
    <row r="18256" spans="1:2" ht="12.75" customHeight="1" x14ac:dyDescent="0.25">
      <c r="A18256" s="318">
        <v>96303303482</v>
      </c>
      <c r="B18256" s="318" t="s">
        <v>236</v>
      </c>
    </row>
    <row r="18257" spans="1:2" ht="12.75" customHeight="1" x14ac:dyDescent="0.25">
      <c r="A18257" s="318">
        <v>96303303483</v>
      </c>
      <c r="B18257" s="318" t="s">
        <v>235</v>
      </c>
    </row>
    <row r="18258" spans="1:2" ht="12.75" customHeight="1" x14ac:dyDescent="0.25">
      <c r="A18258" s="318">
        <v>96303303484</v>
      </c>
      <c r="B18258" s="318" t="s">
        <v>236</v>
      </c>
    </row>
    <row r="18259" spans="1:2" ht="12.75" customHeight="1" x14ac:dyDescent="0.25">
      <c r="A18259" s="318">
        <v>96303303485</v>
      </c>
      <c r="B18259" s="318" t="s">
        <v>235</v>
      </c>
    </row>
    <row r="18260" spans="1:2" ht="12.75" customHeight="1" x14ac:dyDescent="0.25">
      <c r="A18260" s="318">
        <v>96303303486</v>
      </c>
      <c r="B18260" s="318" t="s">
        <v>236</v>
      </c>
    </row>
    <row r="18261" spans="1:2" ht="12.75" customHeight="1" x14ac:dyDescent="0.25">
      <c r="A18261" s="318">
        <v>96303303487</v>
      </c>
      <c r="B18261" s="318" t="s">
        <v>235</v>
      </c>
    </row>
    <row r="18262" spans="1:2" ht="12.75" customHeight="1" x14ac:dyDescent="0.25">
      <c r="A18262" s="318">
        <v>96303303571</v>
      </c>
      <c r="B18262" s="318" t="s">
        <v>236</v>
      </c>
    </row>
    <row r="18263" spans="1:2" ht="12.75" customHeight="1" x14ac:dyDescent="0.25">
      <c r="A18263" s="318">
        <v>96303303572</v>
      </c>
      <c r="B18263" s="318" t="s">
        <v>235</v>
      </c>
    </row>
    <row r="18264" spans="1:2" ht="12.75" customHeight="1" x14ac:dyDescent="0.25">
      <c r="A18264" s="318">
        <v>96303303573</v>
      </c>
      <c r="B18264" s="318" t="s">
        <v>236</v>
      </c>
    </row>
    <row r="18265" spans="1:2" ht="12.75" customHeight="1" x14ac:dyDescent="0.25">
      <c r="A18265" s="318">
        <v>96303303574</v>
      </c>
      <c r="B18265" s="318" t="s">
        <v>235</v>
      </c>
    </row>
    <row r="18266" spans="1:2" ht="12.75" customHeight="1" x14ac:dyDescent="0.25">
      <c r="A18266" s="318">
        <v>96303303575</v>
      </c>
      <c r="B18266" s="318" t="s">
        <v>236</v>
      </c>
    </row>
    <row r="18267" spans="1:2" ht="12.75" customHeight="1" x14ac:dyDescent="0.25">
      <c r="A18267" s="318">
        <v>96303303576</v>
      </c>
      <c r="B18267" s="318" t="s">
        <v>235</v>
      </c>
    </row>
    <row r="18268" spans="1:2" ht="12.75" customHeight="1" x14ac:dyDescent="0.25">
      <c r="A18268" s="318">
        <v>96303303577</v>
      </c>
      <c r="B18268" s="318" t="s">
        <v>236</v>
      </c>
    </row>
    <row r="18269" spans="1:2" ht="12.75" customHeight="1" x14ac:dyDescent="0.25">
      <c r="A18269" s="318">
        <v>96303303578</v>
      </c>
      <c r="B18269" s="318" t="s">
        <v>235</v>
      </c>
    </row>
    <row r="18270" spans="1:2" ht="12.75" customHeight="1" x14ac:dyDescent="0.25">
      <c r="A18270" s="318">
        <v>96303303580</v>
      </c>
      <c r="B18270" s="318" t="s">
        <v>236</v>
      </c>
    </row>
    <row r="18271" spans="1:2" ht="12.75" customHeight="1" x14ac:dyDescent="0.25">
      <c r="A18271" s="318">
        <v>96303303581</v>
      </c>
      <c r="B18271" s="318" t="s">
        <v>235</v>
      </c>
    </row>
    <row r="18272" spans="1:2" ht="12.75" customHeight="1" x14ac:dyDescent="0.25">
      <c r="A18272" s="318">
        <v>96303303582</v>
      </c>
      <c r="B18272" s="318" t="s">
        <v>236</v>
      </c>
    </row>
    <row r="18273" spans="1:2" ht="12.75" customHeight="1" x14ac:dyDescent="0.25">
      <c r="A18273" s="318">
        <v>96303303583</v>
      </c>
      <c r="B18273" s="318" t="s">
        <v>235</v>
      </c>
    </row>
    <row r="18274" spans="1:2" ht="12.75" customHeight="1" x14ac:dyDescent="0.25">
      <c r="A18274" s="318">
        <v>96303303584</v>
      </c>
      <c r="B18274" s="318" t="s">
        <v>236</v>
      </c>
    </row>
    <row r="18275" spans="1:2" ht="12.75" customHeight="1" x14ac:dyDescent="0.25">
      <c r="A18275" s="318">
        <v>96303303585</v>
      </c>
      <c r="B18275" s="318" t="s">
        <v>235</v>
      </c>
    </row>
    <row r="18276" spans="1:2" ht="12.75" customHeight="1" x14ac:dyDescent="0.25">
      <c r="A18276" s="318">
        <v>96303303586</v>
      </c>
      <c r="B18276" s="318" t="s">
        <v>236</v>
      </c>
    </row>
    <row r="18277" spans="1:2" ht="12.75" customHeight="1" x14ac:dyDescent="0.25">
      <c r="A18277" s="318">
        <v>96303303587</v>
      </c>
      <c r="B18277" s="318" t="s">
        <v>235</v>
      </c>
    </row>
    <row r="18278" spans="1:2" ht="12.75" customHeight="1" x14ac:dyDescent="0.25">
      <c r="A18278" s="318">
        <v>96303784444</v>
      </c>
      <c r="B18278" s="318" t="s">
        <v>236</v>
      </c>
    </row>
    <row r="18279" spans="1:2" ht="12.75" customHeight="1" x14ac:dyDescent="0.25">
      <c r="A18279" s="318">
        <v>96303784445</v>
      </c>
      <c r="B18279" s="318" t="s">
        <v>235</v>
      </c>
    </row>
    <row r="18280" spans="1:2" ht="12.75" customHeight="1" x14ac:dyDescent="0.25">
      <c r="A18280" s="318">
        <v>96303784446</v>
      </c>
      <c r="B18280" s="318" t="s">
        <v>236</v>
      </c>
    </row>
    <row r="18281" spans="1:2" ht="12.75" customHeight="1" x14ac:dyDescent="0.25">
      <c r="A18281" s="318">
        <v>96303784447</v>
      </c>
      <c r="B18281" s="318" t="s">
        <v>235</v>
      </c>
    </row>
    <row r="18282" spans="1:2" ht="12.75" customHeight="1" x14ac:dyDescent="0.25">
      <c r="A18282" s="318">
        <v>96303784448</v>
      </c>
      <c r="B18282" s="318" t="s">
        <v>236</v>
      </c>
    </row>
    <row r="18283" spans="1:2" ht="12.75" customHeight="1" x14ac:dyDescent="0.25">
      <c r="A18283" s="318">
        <v>96303784449</v>
      </c>
      <c r="B18283" s="318" t="s">
        <v>235</v>
      </c>
    </row>
    <row r="18284" spans="1:2" ht="12.75" customHeight="1" x14ac:dyDescent="0.25">
      <c r="A18284" s="318">
        <v>96303784450</v>
      </c>
      <c r="B18284" s="318" t="s">
        <v>236</v>
      </c>
    </row>
    <row r="18285" spans="1:2" ht="12.75" customHeight="1" x14ac:dyDescent="0.25">
      <c r="A18285" s="318">
        <v>96303784451</v>
      </c>
      <c r="B18285" s="318" t="s">
        <v>235</v>
      </c>
    </row>
    <row r="18286" spans="1:2" ht="12.75" customHeight="1" x14ac:dyDescent="0.25">
      <c r="A18286" s="318">
        <v>96303784453</v>
      </c>
      <c r="B18286" s="318" t="s">
        <v>236</v>
      </c>
    </row>
    <row r="18287" spans="1:2" ht="12.75" customHeight="1" x14ac:dyDescent="0.25">
      <c r="A18287" s="318">
        <v>96303784454</v>
      </c>
      <c r="B18287" s="318" t="s">
        <v>235</v>
      </c>
    </row>
    <row r="18288" spans="1:2" ht="12.75" customHeight="1" x14ac:dyDescent="0.25">
      <c r="A18288" s="318">
        <v>96303784455</v>
      </c>
      <c r="B18288" s="318" t="s">
        <v>236</v>
      </c>
    </row>
    <row r="18289" spans="1:2" ht="12.75" customHeight="1" x14ac:dyDescent="0.25">
      <c r="A18289" s="318">
        <v>96303784456</v>
      </c>
      <c r="B18289" s="318" t="s">
        <v>235</v>
      </c>
    </row>
    <row r="18290" spans="1:2" ht="12.75" customHeight="1" x14ac:dyDescent="0.25">
      <c r="A18290" s="318">
        <v>96303784457</v>
      </c>
      <c r="B18290" s="318" t="s">
        <v>236</v>
      </c>
    </row>
    <row r="18291" spans="1:2" ht="12.75" customHeight="1" x14ac:dyDescent="0.25">
      <c r="A18291" s="318">
        <v>96303784458</v>
      </c>
      <c r="B18291" s="318" t="s">
        <v>235</v>
      </c>
    </row>
    <row r="18292" spans="1:2" ht="12.75" customHeight="1" x14ac:dyDescent="0.25">
      <c r="A18292" s="318">
        <v>96303784459</v>
      </c>
      <c r="B18292" s="318" t="s">
        <v>236</v>
      </c>
    </row>
    <row r="18293" spans="1:2" ht="12.75" customHeight="1" x14ac:dyDescent="0.25">
      <c r="A18293" s="318">
        <v>96303784460</v>
      </c>
      <c r="B18293" s="318" t="s">
        <v>235</v>
      </c>
    </row>
    <row r="18294" spans="1:2" ht="12.75" customHeight="1" x14ac:dyDescent="0.25">
      <c r="A18294" s="318">
        <v>96303784544</v>
      </c>
      <c r="B18294" s="318" t="s">
        <v>236</v>
      </c>
    </row>
    <row r="18295" spans="1:2" ht="12.75" customHeight="1" x14ac:dyDescent="0.25">
      <c r="A18295" s="318">
        <v>96303784545</v>
      </c>
      <c r="B18295" s="318" t="s">
        <v>235</v>
      </c>
    </row>
    <row r="18296" spans="1:2" ht="12.75" customHeight="1" x14ac:dyDescent="0.25">
      <c r="A18296" s="318">
        <v>96303784546</v>
      </c>
      <c r="B18296" s="318" t="s">
        <v>236</v>
      </c>
    </row>
    <row r="18297" spans="1:2" ht="12.75" customHeight="1" x14ac:dyDescent="0.25">
      <c r="A18297" s="318">
        <v>96303784547</v>
      </c>
      <c r="B18297" s="318" t="s">
        <v>235</v>
      </c>
    </row>
    <row r="18298" spans="1:2" ht="12.75" customHeight="1" x14ac:dyDescent="0.25">
      <c r="A18298" s="318">
        <v>96303784548</v>
      </c>
      <c r="B18298" s="318" t="s">
        <v>236</v>
      </c>
    </row>
    <row r="18299" spans="1:2" ht="12.75" customHeight="1" x14ac:dyDescent="0.25">
      <c r="A18299" s="318">
        <v>96303784549</v>
      </c>
      <c r="B18299" s="318" t="s">
        <v>235</v>
      </c>
    </row>
    <row r="18300" spans="1:2" ht="12.75" customHeight="1" x14ac:dyDescent="0.25">
      <c r="A18300" s="318">
        <v>96303784550</v>
      </c>
      <c r="B18300" s="318" t="s">
        <v>236</v>
      </c>
    </row>
    <row r="18301" spans="1:2" ht="12.75" customHeight="1" x14ac:dyDescent="0.25">
      <c r="A18301" s="318">
        <v>96303784551</v>
      </c>
      <c r="B18301" s="318" t="s">
        <v>235</v>
      </c>
    </row>
    <row r="18302" spans="1:2" ht="12.75" customHeight="1" x14ac:dyDescent="0.25">
      <c r="A18302" s="318">
        <v>96303784553</v>
      </c>
      <c r="B18302" s="318" t="s">
        <v>236</v>
      </c>
    </row>
    <row r="18303" spans="1:2" ht="12.75" customHeight="1" x14ac:dyDescent="0.25">
      <c r="A18303" s="318">
        <v>96303784554</v>
      </c>
      <c r="B18303" s="318" t="s">
        <v>235</v>
      </c>
    </row>
    <row r="18304" spans="1:2" ht="12.75" customHeight="1" x14ac:dyDescent="0.25">
      <c r="A18304" s="318">
        <v>96303784555</v>
      </c>
      <c r="B18304" s="318" t="s">
        <v>236</v>
      </c>
    </row>
    <row r="18305" spans="1:2" ht="12.75" customHeight="1" x14ac:dyDescent="0.25">
      <c r="A18305" s="318">
        <v>96303784556</v>
      </c>
      <c r="B18305" s="318" t="s">
        <v>235</v>
      </c>
    </row>
    <row r="18306" spans="1:2" ht="12.75" customHeight="1" x14ac:dyDescent="0.25">
      <c r="A18306" s="318">
        <v>96303784557</v>
      </c>
      <c r="B18306" s="318" t="s">
        <v>236</v>
      </c>
    </row>
    <row r="18307" spans="1:2" ht="12.75" customHeight="1" x14ac:dyDescent="0.25">
      <c r="A18307" s="318">
        <v>96303784558</v>
      </c>
      <c r="B18307" s="318" t="s">
        <v>235</v>
      </c>
    </row>
    <row r="18308" spans="1:2" ht="12.75" customHeight="1" x14ac:dyDescent="0.25">
      <c r="A18308" s="318">
        <v>96303784559</v>
      </c>
      <c r="B18308" s="318" t="s">
        <v>236</v>
      </c>
    </row>
    <row r="18309" spans="1:2" ht="12.75" customHeight="1" x14ac:dyDescent="0.25">
      <c r="A18309" s="318">
        <v>96303784560</v>
      </c>
      <c r="B18309" s="318" t="s">
        <v>235</v>
      </c>
    </row>
    <row r="18310" spans="1:2" ht="12.75" customHeight="1" x14ac:dyDescent="0.25">
      <c r="A18310" s="318">
        <v>96305144825</v>
      </c>
      <c r="B18310" s="318" t="s">
        <v>236</v>
      </c>
    </row>
    <row r="18311" spans="1:2" ht="12.75" customHeight="1" x14ac:dyDescent="0.25">
      <c r="A18311" s="318">
        <v>96305144826</v>
      </c>
      <c r="B18311" s="318" t="s">
        <v>235</v>
      </c>
    </row>
    <row r="18312" spans="1:2" ht="12.75" customHeight="1" x14ac:dyDescent="0.25">
      <c r="A18312" s="318">
        <v>96305144827</v>
      </c>
      <c r="B18312" s="318" t="s">
        <v>236</v>
      </c>
    </row>
    <row r="18313" spans="1:2" ht="12.75" customHeight="1" x14ac:dyDescent="0.25">
      <c r="A18313" s="318">
        <v>96305144828</v>
      </c>
      <c r="B18313" s="318" t="s">
        <v>235</v>
      </c>
    </row>
    <row r="18314" spans="1:2" ht="12.75" customHeight="1" x14ac:dyDescent="0.25">
      <c r="A18314" s="318">
        <v>96305144829</v>
      </c>
      <c r="B18314" s="318" t="s">
        <v>236</v>
      </c>
    </row>
    <row r="18315" spans="1:2" ht="12.75" customHeight="1" x14ac:dyDescent="0.25">
      <c r="A18315" s="318">
        <v>96305144830</v>
      </c>
      <c r="B18315" s="318" t="s">
        <v>235</v>
      </c>
    </row>
    <row r="18316" spans="1:2" ht="12.75" customHeight="1" x14ac:dyDescent="0.25">
      <c r="A18316" s="318">
        <v>96305144831</v>
      </c>
      <c r="B18316" s="318" t="s">
        <v>236</v>
      </c>
    </row>
    <row r="18317" spans="1:2" ht="12.75" customHeight="1" x14ac:dyDescent="0.25">
      <c r="A18317" s="318">
        <v>96305144832</v>
      </c>
      <c r="B18317" s="318" t="s">
        <v>235</v>
      </c>
    </row>
    <row r="18318" spans="1:2" ht="12.75" customHeight="1" x14ac:dyDescent="0.25">
      <c r="A18318" s="318">
        <v>96305144834</v>
      </c>
      <c r="B18318" s="318" t="s">
        <v>236</v>
      </c>
    </row>
    <row r="18319" spans="1:2" ht="12.75" customHeight="1" x14ac:dyDescent="0.25">
      <c r="A18319" s="318">
        <v>96305144835</v>
      </c>
      <c r="B18319" s="318" t="s">
        <v>235</v>
      </c>
    </row>
    <row r="18320" spans="1:2" ht="12.75" customHeight="1" x14ac:dyDescent="0.25">
      <c r="A18320" s="318">
        <v>96305144836</v>
      </c>
      <c r="B18320" s="318" t="s">
        <v>236</v>
      </c>
    </row>
    <row r="18321" spans="1:2" ht="12.75" customHeight="1" x14ac:dyDescent="0.25">
      <c r="A18321" s="318">
        <v>96305144837</v>
      </c>
      <c r="B18321" s="318" t="s">
        <v>235</v>
      </c>
    </row>
    <row r="18322" spans="1:2" ht="12.75" customHeight="1" x14ac:dyDescent="0.25">
      <c r="A18322" s="318">
        <v>96305144838</v>
      </c>
      <c r="B18322" s="318" t="s">
        <v>236</v>
      </c>
    </row>
    <row r="18323" spans="1:2" ht="12.75" customHeight="1" x14ac:dyDescent="0.25">
      <c r="A18323" s="318">
        <v>96305144839</v>
      </c>
      <c r="B18323" s="318" t="s">
        <v>235</v>
      </c>
    </row>
    <row r="18324" spans="1:2" ht="12.75" customHeight="1" x14ac:dyDescent="0.25">
      <c r="A18324" s="318">
        <v>96305144840</v>
      </c>
      <c r="B18324" s="318" t="s">
        <v>236</v>
      </c>
    </row>
    <row r="18325" spans="1:2" ht="12.75" customHeight="1" x14ac:dyDescent="0.25">
      <c r="A18325" s="318">
        <v>96305144841</v>
      </c>
      <c r="B18325" s="318" t="s">
        <v>235</v>
      </c>
    </row>
    <row r="18326" spans="1:2" ht="12.75" customHeight="1" x14ac:dyDescent="0.25">
      <c r="A18326" s="318">
        <v>96305144925</v>
      </c>
      <c r="B18326" s="318" t="s">
        <v>236</v>
      </c>
    </row>
    <row r="18327" spans="1:2" ht="12.75" customHeight="1" x14ac:dyDescent="0.25">
      <c r="A18327" s="318">
        <v>96305144926</v>
      </c>
      <c r="B18327" s="318" t="s">
        <v>235</v>
      </c>
    </row>
    <row r="18328" spans="1:2" ht="12.75" customHeight="1" x14ac:dyDescent="0.25">
      <c r="A18328" s="318">
        <v>96305144927</v>
      </c>
      <c r="B18328" s="318" t="s">
        <v>236</v>
      </c>
    </row>
    <row r="18329" spans="1:2" ht="12.75" customHeight="1" x14ac:dyDescent="0.25">
      <c r="A18329" s="318">
        <v>96305144928</v>
      </c>
      <c r="B18329" s="318" t="s">
        <v>235</v>
      </c>
    </row>
    <row r="18330" spans="1:2" ht="12.75" customHeight="1" x14ac:dyDescent="0.25">
      <c r="A18330" s="318">
        <v>96305144929</v>
      </c>
      <c r="B18330" s="318" t="s">
        <v>236</v>
      </c>
    </row>
    <row r="18331" spans="1:2" ht="12.75" customHeight="1" x14ac:dyDescent="0.25">
      <c r="A18331" s="318">
        <v>96305144930</v>
      </c>
      <c r="B18331" s="318" t="s">
        <v>235</v>
      </c>
    </row>
    <row r="18332" spans="1:2" ht="12.75" customHeight="1" x14ac:dyDescent="0.25">
      <c r="A18332" s="318">
        <v>96305144931</v>
      </c>
      <c r="B18332" s="318" t="s">
        <v>236</v>
      </c>
    </row>
    <row r="18333" spans="1:2" ht="12.75" customHeight="1" x14ac:dyDescent="0.25">
      <c r="A18333" s="318">
        <v>96305144932</v>
      </c>
      <c r="B18333" s="318" t="s">
        <v>235</v>
      </c>
    </row>
    <row r="18334" spans="1:2" ht="12.75" customHeight="1" x14ac:dyDescent="0.25">
      <c r="A18334" s="318">
        <v>96305144934</v>
      </c>
      <c r="B18334" s="318" t="s">
        <v>236</v>
      </c>
    </row>
    <row r="18335" spans="1:2" ht="12.75" customHeight="1" x14ac:dyDescent="0.25">
      <c r="A18335" s="318">
        <v>96305144935</v>
      </c>
      <c r="B18335" s="318" t="s">
        <v>235</v>
      </c>
    </row>
    <row r="18336" spans="1:2" ht="12.75" customHeight="1" x14ac:dyDescent="0.25">
      <c r="A18336" s="318">
        <v>96305144936</v>
      </c>
      <c r="B18336" s="318" t="s">
        <v>236</v>
      </c>
    </row>
    <row r="18337" spans="1:2" ht="12.75" customHeight="1" x14ac:dyDescent="0.25">
      <c r="A18337" s="318">
        <v>96305144937</v>
      </c>
      <c r="B18337" s="318" t="s">
        <v>235</v>
      </c>
    </row>
    <row r="18338" spans="1:2" ht="12.75" customHeight="1" x14ac:dyDescent="0.25">
      <c r="A18338" s="318">
        <v>96305144938</v>
      </c>
      <c r="B18338" s="318" t="s">
        <v>236</v>
      </c>
    </row>
    <row r="18339" spans="1:2" ht="12.75" customHeight="1" x14ac:dyDescent="0.25">
      <c r="A18339" s="318">
        <v>96305144939</v>
      </c>
      <c r="B18339" s="318" t="s">
        <v>235</v>
      </c>
    </row>
    <row r="18340" spans="1:2" ht="12.75" customHeight="1" x14ac:dyDescent="0.25">
      <c r="A18340" s="318">
        <v>96305144940</v>
      </c>
      <c r="B18340" s="318" t="s">
        <v>236</v>
      </c>
    </row>
    <row r="18341" spans="1:2" ht="12.75" customHeight="1" x14ac:dyDescent="0.25">
      <c r="A18341" s="318">
        <v>96305144941</v>
      </c>
      <c r="B18341" s="318" t="s">
        <v>235</v>
      </c>
    </row>
    <row r="18342" spans="1:2" ht="12.75" customHeight="1" x14ac:dyDescent="0.25">
      <c r="A18342" s="318">
        <v>96305625798</v>
      </c>
      <c r="B18342" s="318" t="s">
        <v>236</v>
      </c>
    </row>
    <row r="18343" spans="1:2" ht="12.75" customHeight="1" x14ac:dyDescent="0.25">
      <c r="A18343" s="318">
        <v>96305625799</v>
      </c>
      <c r="B18343" s="318" t="s">
        <v>235</v>
      </c>
    </row>
    <row r="18344" spans="1:2" ht="12.75" customHeight="1" x14ac:dyDescent="0.25">
      <c r="A18344" s="318">
        <v>96305625800</v>
      </c>
      <c r="B18344" s="318" t="s">
        <v>236</v>
      </c>
    </row>
    <row r="18345" spans="1:2" ht="12.75" customHeight="1" x14ac:dyDescent="0.25">
      <c r="A18345" s="318">
        <v>96305625801</v>
      </c>
      <c r="B18345" s="318" t="s">
        <v>235</v>
      </c>
    </row>
    <row r="18346" spans="1:2" ht="12.75" customHeight="1" x14ac:dyDescent="0.25">
      <c r="A18346" s="318">
        <v>96305625802</v>
      </c>
      <c r="B18346" s="318" t="s">
        <v>236</v>
      </c>
    </row>
    <row r="18347" spans="1:2" ht="12.75" customHeight="1" x14ac:dyDescent="0.25">
      <c r="A18347" s="318">
        <v>96305625803</v>
      </c>
      <c r="B18347" s="318" t="s">
        <v>235</v>
      </c>
    </row>
    <row r="18348" spans="1:2" ht="12.75" customHeight="1" x14ac:dyDescent="0.25">
      <c r="A18348" s="318">
        <v>96305625804</v>
      </c>
      <c r="B18348" s="318" t="s">
        <v>236</v>
      </c>
    </row>
    <row r="18349" spans="1:2" ht="12.75" customHeight="1" x14ac:dyDescent="0.25">
      <c r="A18349" s="318">
        <v>96305625805</v>
      </c>
      <c r="B18349" s="318" t="s">
        <v>235</v>
      </c>
    </row>
    <row r="18350" spans="1:2" ht="12.75" customHeight="1" x14ac:dyDescent="0.25">
      <c r="A18350" s="318">
        <v>96305625807</v>
      </c>
      <c r="B18350" s="318" t="s">
        <v>236</v>
      </c>
    </row>
    <row r="18351" spans="1:2" ht="12.75" customHeight="1" x14ac:dyDescent="0.25">
      <c r="A18351" s="318">
        <v>96305625808</v>
      </c>
      <c r="B18351" s="318" t="s">
        <v>235</v>
      </c>
    </row>
    <row r="18352" spans="1:2" ht="12.75" customHeight="1" x14ac:dyDescent="0.25">
      <c r="A18352" s="318">
        <v>96305625809</v>
      </c>
      <c r="B18352" s="318" t="s">
        <v>236</v>
      </c>
    </row>
    <row r="18353" spans="1:2" ht="12.75" customHeight="1" x14ac:dyDescent="0.25">
      <c r="A18353" s="318">
        <v>96305625810</v>
      </c>
      <c r="B18353" s="318" t="s">
        <v>235</v>
      </c>
    </row>
    <row r="18354" spans="1:2" ht="12.75" customHeight="1" x14ac:dyDescent="0.25">
      <c r="A18354" s="318">
        <v>96305625811</v>
      </c>
      <c r="B18354" s="318" t="s">
        <v>236</v>
      </c>
    </row>
    <row r="18355" spans="1:2" ht="12.75" customHeight="1" x14ac:dyDescent="0.25">
      <c r="A18355" s="318">
        <v>96305625812</v>
      </c>
      <c r="B18355" s="318" t="s">
        <v>235</v>
      </c>
    </row>
    <row r="18356" spans="1:2" ht="12.75" customHeight="1" x14ac:dyDescent="0.25">
      <c r="A18356" s="318">
        <v>96305625813</v>
      </c>
      <c r="B18356" s="318" t="s">
        <v>236</v>
      </c>
    </row>
    <row r="18357" spans="1:2" ht="12.75" customHeight="1" x14ac:dyDescent="0.25">
      <c r="A18357" s="318">
        <v>96305625814</v>
      </c>
      <c r="B18357" s="318" t="s">
        <v>235</v>
      </c>
    </row>
    <row r="18358" spans="1:2" ht="12.75" customHeight="1" x14ac:dyDescent="0.25">
      <c r="A18358" s="318">
        <v>96305625898</v>
      </c>
      <c r="B18358" s="318" t="s">
        <v>236</v>
      </c>
    </row>
    <row r="18359" spans="1:2" ht="12.75" customHeight="1" x14ac:dyDescent="0.25">
      <c r="A18359" s="318">
        <v>96305625899</v>
      </c>
      <c r="B18359" s="318" t="s">
        <v>235</v>
      </c>
    </row>
    <row r="18360" spans="1:2" ht="12.75" customHeight="1" x14ac:dyDescent="0.25">
      <c r="A18360" s="318">
        <v>96305625900</v>
      </c>
      <c r="B18360" s="318" t="s">
        <v>236</v>
      </c>
    </row>
    <row r="18361" spans="1:2" ht="12.75" customHeight="1" x14ac:dyDescent="0.25">
      <c r="A18361" s="318">
        <v>96305625901</v>
      </c>
      <c r="B18361" s="318" t="s">
        <v>235</v>
      </c>
    </row>
    <row r="18362" spans="1:2" ht="12.75" customHeight="1" x14ac:dyDescent="0.25">
      <c r="A18362" s="318">
        <v>96305625902</v>
      </c>
      <c r="B18362" s="318" t="s">
        <v>236</v>
      </c>
    </row>
    <row r="18363" spans="1:2" ht="12.75" customHeight="1" x14ac:dyDescent="0.25">
      <c r="A18363" s="318">
        <v>96305625903</v>
      </c>
      <c r="B18363" s="318" t="s">
        <v>235</v>
      </c>
    </row>
    <row r="18364" spans="1:2" ht="12.75" customHeight="1" x14ac:dyDescent="0.25">
      <c r="A18364" s="318">
        <v>96305625904</v>
      </c>
      <c r="B18364" s="318" t="s">
        <v>236</v>
      </c>
    </row>
    <row r="18365" spans="1:2" ht="12.75" customHeight="1" x14ac:dyDescent="0.25">
      <c r="A18365" s="318">
        <v>96305625905</v>
      </c>
      <c r="B18365" s="318" t="s">
        <v>235</v>
      </c>
    </row>
    <row r="18366" spans="1:2" ht="12.75" customHeight="1" x14ac:dyDescent="0.25">
      <c r="A18366" s="318">
        <v>96305625907</v>
      </c>
      <c r="B18366" s="318" t="s">
        <v>236</v>
      </c>
    </row>
    <row r="18367" spans="1:2" ht="12.75" customHeight="1" x14ac:dyDescent="0.25">
      <c r="A18367" s="318">
        <v>96305625908</v>
      </c>
      <c r="B18367" s="318" t="s">
        <v>235</v>
      </c>
    </row>
    <row r="18368" spans="1:2" ht="12.75" customHeight="1" x14ac:dyDescent="0.25">
      <c r="A18368" s="318">
        <v>96305625909</v>
      </c>
      <c r="B18368" s="318" t="s">
        <v>236</v>
      </c>
    </row>
    <row r="18369" spans="1:2" ht="12.75" customHeight="1" x14ac:dyDescent="0.25">
      <c r="A18369" s="318">
        <v>96305625910</v>
      </c>
      <c r="B18369" s="318" t="s">
        <v>235</v>
      </c>
    </row>
    <row r="18370" spans="1:2" ht="12.75" customHeight="1" x14ac:dyDescent="0.25">
      <c r="A18370" s="318">
        <v>96305625911</v>
      </c>
      <c r="B18370" s="318" t="s">
        <v>236</v>
      </c>
    </row>
    <row r="18371" spans="1:2" ht="12.75" customHeight="1" x14ac:dyDescent="0.25">
      <c r="A18371" s="318">
        <v>96305625912</v>
      </c>
      <c r="B18371" s="318" t="s">
        <v>235</v>
      </c>
    </row>
    <row r="18372" spans="1:2" ht="12.75" customHeight="1" x14ac:dyDescent="0.25">
      <c r="A18372" s="318">
        <v>96305625913</v>
      </c>
      <c r="B18372" s="318" t="s">
        <v>236</v>
      </c>
    </row>
    <row r="18373" spans="1:2" ht="12.75" customHeight="1" x14ac:dyDescent="0.25">
      <c r="A18373" s="318">
        <v>96305625914</v>
      </c>
      <c r="B18373" s="318" t="s">
        <v>235</v>
      </c>
    </row>
    <row r="18374" spans="1:2" ht="12.75" customHeight="1" x14ac:dyDescent="0.25">
      <c r="A18374" s="318">
        <v>96306106771</v>
      </c>
      <c r="B18374" s="318" t="s">
        <v>236</v>
      </c>
    </row>
    <row r="18375" spans="1:2" ht="12.75" customHeight="1" x14ac:dyDescent="0.25">
      <c r="A18375" s="318">
        <v>96306106772</v>
      </c>
      <c r="B18375" s="318" t="s">
        <v>235</v>
      </c>
    </row>
    <row r="18376" spans="1:2" ht="12.75" customHeight="1" x14ac:dyDescent="0.25">
      <c r="A18376" s="318">
        <v>96306106773</v>
      </c>
      <c r="B18376" s="318" t="s">
        <v>236</v>
      </c>
    </row>
    <row r="18377" spans="1:2" ht="12.75" customHeight="1" x14ac:dyDescent="0.25">
      <c r="A18377" s="318">
        <v>96306106774</v>
      </c>
      <c r="B18377" s="318" t="s">
        <v>235</v>
      </c>
    </row>
    <row r="18378" spans="1:2" ht="12.75" customHeight="1" x14ac:dyDescent="0.25">
      <c r="A18378" s="318">
        <v>96306106775</v>
      </c>
      <c r="B18378" s="318" t="s">
        <v>236</v>
      </c>
    </row>
    <row r="18379" spans="1:2" ht="12.75" customHeight="1" x14ac:dyDescent="0.25">
      <c r="A18379" s="318">
        <v>96306106776</v>
      </c>
      <c r="B18379" s="318" t="s">
        <v>235</v>
      </c>
    </row>
    <row r="18380" spans="1:2" ht="12.75" customHeight="1" x14ac:dyDescent="0.25">
      <c r="A18380" s="318">
        <v>96306106777</v>
      </c>
      <c r="B18380" s="318" t="s">
        <v>236</v>
      </c>
    </row>
    <row r="18381" spans="1:2" ht="12.75" customHeight="1" x14ac:dyDescent="0.25">
      <c r="A18381" s="318">
        <v>96306106778</v>
      </c>
      <c r="B18381" s="318" t="s">
        <v>235</v>
      </c>
    </row>
    <row r="18382" spans="1:2" ht="12.75" customHeight="1" x14ac:dyDescent="0.25">
      <c r="A18382" s="318">
        <v>96306106780</v>
      </c>
      <c r="B18382" s="318" t="s">
        <v>236</v>
      </c>
    </row>
    <row r="18383" spans="1:2" ht="12.75" customHeight="1" x14ac:dyDescent="0.25">
      <c r="A18383" s="318">
        <v>96306106781</v>
      </c>
      <c r="B18383" s="318" t="s">
        <v>235</v>
      </c>
    </row>
    <row r="18384" spans="1:2" ht="12.75" customHeight="1" x14ac:dyDescent="0.25">
      <c r="A18384" s="318">
        <v>96306106782</v>
      </c>
      <c r="B18384" s="318" t="s">
        <v>236</v>
      </c>
    </row>
    <row r="18385" spans="1:2" ht="12.75" customHeight="1" x14ac:dyDescent="0.25">
      <c r="A18385" s="318">
        <v>96306106783</v>
      </c>
      <c r="B18385" s="318" t="s">
        <v>235</v>
      </c>
    </row>
    <row r="18386" spans="1:2" ht="12.75" customHeight="1" x14ac:dyDescent="0.25">
      <c r="A18386" s="318">
        <v>96306106784</v>
      </c>
      <c r="B18386" s="318" t="s">
        <v>236</v>
      </c>
    </row>
    <row r="18387" spans="1:2" ht="12.75" customHeight="1" x14ac:dyDescent="0.25">
      <c r="A18387" s="318">
        <v>96306106785</v>
      </c>
      <c r="B18387" s="318" t="s">
        <v>235</v>
      </c>
    </row>
    <row r="18388" spans="1:2" ht="12.75" customHeight="1" x14ac:dyDescent="0.25">
      <c r="A18388" s="318">
        <v>96306106786</v>
      </c>
      <c r="B18388" s="318" t="s">
        <v>236</v>
      </c>
    </row>
    <row r="18389" spans="1:2" ht="12.75" customHeight="1" x14ac:dyDescent="0.25">
      <c r="A18389" s="318">
        <v>96306106787</v>
      </c>
      <c r="B18389" s="318" t="s">
        <v>235</v>
      </c>
    </row>
    <row r="18390" spans="1:2" ht="12.75" customHeight="1" x14ac:dyDescent="0.25">
      <c r="A18390" s="318">
        <v>96306106871</v>
      </c>
      <c r="B18390" s="318" t="s">
        <v>236</v>
      </c>
    </row>
    <row r="18391" spans="1:2" ht="12.75" customHeight="1" x14ac:dyDescent="0.25">
      <c r="A18391" s="318">
        <v>96306106872</v>
      </c>
      <c r="B18391" s="318" t="s">
        <v>235</v>
      </c>
    </row>
    <row r="18392" spans="1:2" ht="12.75" customHeight="1" x14ac:dyDescent="0.25">
      <c r="A18392" s="318">
        <v>96306106873</v>
      </c>
      <c r="B18392" s="318" t="s">
        <v>236</v>
      </c>
    </row>
    <row r="18393" spans="1:2" ht="12.75" customHeight="1" x14ac:dyDescent="0.25">
      <c r="A18393" s="318">
        <v>96306106874</v>
      </c>
      <c r="B18393" s="318" t="s">
        <v>235</v>
      </c>
    </row>
    <row r="18394" spans="1:2" ht="12.75" customHeight="1" x14ac:dyDescent="0.25">
      <c r="A18394" s="318">
        <v>96306106875</v>
      </c>
      <c r="B18394" s="318" t="s">
        <v>236</v>
      </c>
    </row>
    <row r="18395" spans="1:2" ht="12.75" customHeight="1" x14ac:dyDescent="0.25">
      <c r="A18395" s="318">
        <v>96306106876</v>
      </c>
      <c r="B18395" s="318" t="s">
        <v>235</v>
      </c>
    </row>
    <row r="18396" spans="1:2" ht="12.75" customHeight="1" x14ac:dyDescent="0.25">
      <c r="A18396" s="318">
        <v>96306106877</v>
      </c>
      <c r="B18396" s="318" t="s">
        <v>236</v>
      </c>
    </row>
    <row r="18397" spans="1:2" ht="12.75" customHeight="1" x14ac:dyDescent="0.25">
      <c r="A18397" s="318">
        <v>96306106878</v>
      </c>
      <c r="B18397" s="318" t="s">
        <v>235</v>
      </c>
    </row>
    <row r="18398" spans="1:2" ht="12.75" customHeight="1" x14ac:dyDescent="0.25">
      <c r="A18398" s="318">
        <v>96306106880</v>
      </c>
      <c r="B18398" s="318" t="s">
        <v>236</v>
      </c>
    </row>
    <row r="18399" spans="1:2" ht="12.75" customHeight="1" x14ac:dyDescent="0.25">
      <c r="A18399" s="318">
        <v>96306106881</v>
      </c>
      <c r="B18399" s="318" t="s">
        <v>235</v>
      </c>
    </row>
    <row r="18400" spans="1:2" ht="12.75" customHeight="1" x14ac:dyDescent="0.25">
      <c r="A18400" s="318">
        <v>96306106882</v>
      </c>
      <c r="B18400" s="318" t="s">
        <v>236</v>
      </c>
    </row>
    <row r="18401" spans="1:2" ht="12.75" customHeight="1" x14ac:dyDescent="0.25">
      <c r="A18401" s="318">
        <v>96306106883</v>
      </c>
      <c r="B18401" s="318" t="s">
        <v>235</v>
      </c>
    </row>
    <row r="18402" spans="1:2" ht="12.75" customHeight="1" x14ac:dyDescent="0.25">
      <c r="A18402" s="318">
        <v>96306106884</v>
      </c>
      <c r="B18402" s="318" t="s">
        <v>236</v>
      </c>
    </row>
    <row r="18403" spans="1:2" ht="12.75" customHeight="1" x14ac:dyDescent="0.25">
      <c r="A18403" s="318">
        <v>96306106885</v>
      </c>
      <c r="B18403" s="318" t="s">
        <v>235</v>
      </c>
    </row>
    <row r="18404" spans="1:2" ht="12.75" customHeight="1" x14ac:dyDescent="0.25">
      <c r="A18404" s="318">
        <v>96306106886</v>
      </c>
      <c r="B18404" s="318" t="s">
        <v>236</v>
      </c>
    </row>
    <row r="18405" spans="1:2" ht="12.75" customHeight="1" x14ac:dyDescent="0.25">
      <c r="A18405" s="318">
        <v>96306106887</v>
      </c>
      <c r="B18405" s="318" t="s">
        <v>235</v>
      </c>
    </row>
    <row r="18406" spans="1:2" ht="12.75" customHeight="1" x14ac:dyDescent="0.25">
      <c r="A18406" s="318">
        <v>96306786962</v>
      </c>
      <c r="B18406" s="318" t="s">
        <v>236</v>
      </c>
    </row>
    <row r="18407" spans="1:2" ht="12.75" customHeight="1" x14ac:dyDescent="0.25">
      <c r="A18407" s="318">
        <v>96306786963</v>
      </c>
      <c r="B18407" s="318" t="s">
        <v>235</v>
      </c>
    </row>
    <row r="18408" spans="1:2" ht="12.75" customHeight="1" x14ac:dyDescent="0.25">
      <c r="A18408" s="318">
        <v>96306786964</v>
      </c>
      <c r="B18408" s="318" t="s">
        <v>236</v>
      </c>
    </row>
    <row r="18409" spans="1:2" ht="12.75" customHeight="1" x14ac:dyDescent="0.25">
      <c r="A18409" s="318">
        <v>96306786965</v>
      </c>
      <c r="B18409" s="318" t="s">
        <v>235</v>
      </c>
    </row>
    <row r="18410" spans="1:2" ht="12.75" customHeight="1" x14ac:dyDescent="0.25">
      <c r="A18410" s="318">
        <v>96306786966</v>
      </c>
      <c r="B18410" s="318" t="s">
        <v>236</v>
      </c>
    </row>
    <row r="18411" spans="1:2" ht="12.75" customHeight="1" x14ac:dyDescent="0.25">
      <c r="A18411" s="318">
        <v>96306786967</v>
      </c>
      <c r="B18411" s="318" t="s">
        <v>235</v>
      </c>
    </row>
    <row r="18412" spans="1:2" ht="12.75" customHeight="1" x14ac:dyDescent="0.25">
      <c r="A18412" s="318">
        <v>96306786968</v>
      </c>
      <c r="B18412" s="318" t="s">
        <v>236</v>
      </c>
    </row>
    <row r="18413" spans="1:2" ht="12.75" customHeight="1" x14ac:dyDescent="0.25">
      <c r="A18413" s="318">
        <v>96306786969</v>
      </c>
      <c r="B18413" s="318" t="s">
        <v>235</v>
      </c>
    </row>
    <row r="18414" spans="1:2" ht="12.75" customHeight="1" x14ac:dyDescent="0.25">
      <c r="A18414" s="318">
        <v>96306786971</v>
      </c>
      <c r="B18414" s="318" t="s">
        <v>236</v>
      </c>
    </row>
    <row r="18415" spans="1:2" ht="12.75" customHeight="1" x14ac:dyDescent="0.25">
      <c r="A18415" s="318">
        <v>96306786972</v>
      </c>
      <c r="B18415" s="318" t="s">
        <v>235</v>
      </c>
    </row>
    <row r="18416" spans="1:2" ht="12.75" customHeight="1" x14ac:dyDescent="0.25">
      <c r="A18416" s="318">
        <v>96306786973</v>
      </c>
      <c r="B18416" s="318" t="s">
        <v>236</v>
      </c>
    </row>
    <row r="18417" spans="1:2" ht="12.75" customHeight="1" x14ac:dyDescent="0.25">
      <c r="A18417" s="318">
        <v>96306786974</v>
      </c>
      <c r="B18417" s="318" t="s">
        <v>235</v>
      </c>
    </row>
    <row r="18418" spans="1:2" ht="12.75" customHeight="1" x14ac:dyDescent="0.25">
      <c r="A18418" s="318">
        <v>96306786975</v>
      </c>
      <c r="B18418" s="318" t="s">
        <v>236</v>
      </c>
    </row>
    <row r="18419" spans="1:2" ht="12.75" customHeight="1" x14ac:dyDescent="0.25">
      <c r="A18419" s="318">
        <v>96306786976</v>
      </c>
      <c r="B18419" s="318" t="s">
        <v>235</v>
      </c>
    </row>
    <row r="18420" spans="1:2" ht="12.75" customHeight="1" x14ac:dyDescent="0.25">
      <c r="A18420" s="318">
        <v>96306786977</v>
      </c>
      <c r="B18420" s="318" t="s">
        <v>236</v>
      </c>
    </row>
    <row r="18421" spans="1:2" ht="12.75" customHeight="1" x14ac:dyDescent="0.25">
      <c r="A18421" s="318">
        <v>96306786978</v>
      </c>
      <c r="B18421" s="318" t="s">
        <v>235</v>
      </c>
    </row>
    <row r="18422" spans="1:2" ht="12.75" customHeight="1" x14ac:dyDescent="0.25">
      <c r="A18422" s="318">
        <v>96306787062</v>
      </c>
      <c r="B18422" s="318" t="s">
        <v>236</v>
      </c>
    </row>
    <row r="18423" spans="1:2" ht="12.75" customHeight="1" x14ac:dyDescent="0.25">
      <c r="A18423" s="318">
        <v>96306787063</v>
      </c>
      <c r="B18423" s="318" t="s">
        <v>235</v>
      </c>
    </row>
    <row r="18424" spans="1:2" ht="12.75" customHeight="1" x14ac:dyDescent="0.25">
      <c r="A18424" s="318">
        <v>96306787064</v>
      </c>
      <c r="B18424" s="318" t="s">
        <v>236</v>
      </c>
    </row>
    <row r="18425" spans="1:2" ht="12.75" customHeight="1" x14ac:dyDescent="0.25">
      <c r="A18425" s="318">
        <v>96306787065</v>
      </c>
      <c r="B18425" s="318" t="s">
        <v>235</v>
      </c>
    </row>
    <row r="18426" spans="1:2" ht="12.75" customHeight="1" x14ac:dyDescent="0.25">
      <c r="A18426" s="318">
        <v>96306787066</v>
      </c>
      <c r="B18426" s="318" t="s">
        <v>236</v>
      </c>
    </row>
    <row r="18427" spans="1:2" ht="12.75" customHeight="1" x14ac:dyDescent="0.25">
      <c r="A18427" s="318">
        <v>96306787067</v>
      </c>
      <c r="B18427" s="318" t="s">
        <v>235</v>
      </c>
    </row>
    <row r="18428" spans="1:2" ht="12.75" customHeight="1" x14ac:dyDescent="0.25">
      <c r="A18428" s="318">
        <v>96306787068</v>
      </c>
      <c r="B18428" s="318" t="s">
        <v>236</v>
      </c>
    </row>
    <row r="18429" spans="1:2" ht="12.75" customHeight="1" x14ac:dyDescent="0.25">
      <c r="A18429" s="318">
        <v>96306787069</v>
      </c>
      <c r="B18429" s="318" t="s">
        <v>235</v>
      </c>
    </row>
    <row r="18430" spans="1:2" ht="12.75" customHeight="1" x14ac:dyDescent="0.25">
      <c r="A18430" s="318">
        <v>96306787071</v>
      </c>
      <c r="B18430" s="318" t="s">
        <v>236</v>
      </c>
    </row>
    <row r="18431" spans="1:2" ht="12.75" customHeight="1" x14ac:dyDescent="0.25">
      <c r="A18431" s="318">
        <v>96306787072</v>
      </c>
      <c r="B18431" s="318" t="s">
        <v>235</v>
      </c>
    </row>
    <row r="18432" spans="1:2" ht="12.75" customHeight="1" x14ac:dyDescent="0.25">
      <c r="A18432" s="318">
        <v>96306787073</v>
      </c>
      <c r="B18432" s="318" t="s">
        <v>236</v>
      </c>
    </row>
    <row r="18433" spans="1:2" ht="12.75" customHeight="1" x14ac:dyDescent="0.25">
      <c r="A18433" s="318">
        <v>96306787074</v>
      </c>
      <c r="B18433" s="318" t="s">
        <v>235</v>
      </c>
    </row>
    <row r="18434" spans="1:2" ht="12.75" customHeight="1" x14ac:dyDescent="0.25">
      <c r="A18434" s="318">
        <v>96306787075</v>
      </c>
      <c r="B18434" s="318" t="s">
        <v>236</v>
      </c>
    </row>
    <row r="18435" spans="1:2" ht="12.75" customHeight="1" x14ac:dyDescent="0.25">
      <c r="A18435" s="318">
        <v>96306787076</v>
      </c>
      <c r="B18435" s="318" t="s">
        <v>235</v>
      </c>
    </row>
    <row r="18436" spans="1:2" ht="12.75" customHeight="1" x14ac:dyDescent="0.25">
      <c r="A18436" s="318">
        <v>96306787077</v>
      </c>
      <c r="B18436" s="318" t="s">
        <v>236</v>
      </c>
    </row>
    <row r="18437" spans="1:2" ht="12.75" customHeight="1" x14ac:dyDescent="0.25">
      <c r="A18437" s="318">
        <v>96306787078</v>
      </c>
      <c r="B18437" s="318" t="s">
        <v>235</v>
      </c>
    </row>
    <row r="18438" spans="1:2" ht="12.75" customHeight="1" x14ac:dyDescent="0.25">
      <c r="A18438" s="318">
        <v>96307267935</v>
      </c>
      <c r="B18438" s="318" t="s">
        <v>236</v>
      </c>
    </row>
    <row r="18439" spans="1:2" ht="12.75" customHeight="1" x14ac:dyDescent="0.25">
      <c r="A18439" s="318">
        <v>96307267936</v>
      </c>
      <c r="B18439" s="318" t="s">
        <v>235</v>
      </c>
    </row>
    <row r="18440" spans="1:2" ht="12.75" customHeight="1" x14ac:dyDescent="0.25">
      <c r="A18440" s="318">
        <v>96307267937</v>
      </c>
      <c r="B18440" s="318" t="s">
        <v>236</v>
      </c>
    </row>
    <row r="18441" spans="1:2" ht="12.75" customHeight="1" x14ac:dyDescent="0.25">
      <c r="A18441" s="318">
        <v>96307267938</v>
      </c>
      <c r="B18441" s="318" t="s">
        <v>235</v>
      </c>
    </row>
    <row r="18442" spans="1:2" ht="12.75" customHeight="1" x14ac:dyDescent="0.25">
      <c r="A18442" s="318">
        <v>96307267939</v>
      </c>
      <c r="B18442" s="318" t="s">
        <v>236</v>
      </c>
    </row>
    <row r="18443" spans="1:2" ht="12.75" customHeight="1" x14ac:dyDescent="0.25">
      <c r="A18443" s="318">
        <v>96307267940</v>
      </c>
      <c r="B18443" s="318" t="s">
        <v>235</v>
      </c>
    </row>
    <row r="18444" spans="1:2" ht="12.75" customHeight="1" x14ac:dyDescent="0.25">
      <c r="A18444" s="318">
        <v>96307267941</v>
      </c>
      <c r="B18444" s="318" t="s">
        <v>236</v>
      </c>
    </row>
    <row r="18445" spans="1:2" ht="12.75" customHeight="1" x14ac:dyDescent="0.25">
      <c r="A18445" s="318">
        <v>96307267942</v>
      </c>
      <c r="B18445" s="318" t="s">
        <v>235</v>
      </c>
    </row>
    <row r="18446" spans="1:2" ht="12.75" customHeight="1" x14ac:dyDescent="0.25">
      <c r="A18446" s="318">
        <v>96307267944</v>
      </c>
      <c r="B18446" s="318" t="s">
        <v>236</v>
      </c>
    </row>
    <row r="18447" spans="1:2" ht="12.75" customHeight="1" x14ac:dyDescent="0.25">
      <c r="A18447" s="318">
        <v>96307267945</v>
      </c>
      <c r="B18447" s="318" t="s">
        <v>235</v>
      </c>
    </row>
    <row r="18448" spans="1:2" ht="12.75" customHeight="1" x14ac:dyDescent="0.25">
      <c r="A18448" s="318">
        <v>96307267946</v>
      </c>
      <c r="B18448" s="318" t="s">
        <v>236</v>
      </c>
    </row>
    <row r="18449" spans="1:2" ht="12.75" customHeight="1" x14ac:dyDescent="0.25">
      <c r="A18449" s="318">
        <v>96307267947</v>
      </c>
      <c r="B18449" s="318" t="s">
        <v>235</v>
      </c>
    </row>
    <row r="18450" spans="1:2" ht="12.75" customHeight="1" x14ac:dyDescent="0.25">
      <c r="A18450" s="318">
        <v>96307267948</v>
      </c>
      <c r="B18450" s="318" t="s">
        <v>236</v>
      </c>
    </row>
    <row r="18451" spans="1:2" ht="12.75" customHeight="1" x14ac:dyDescent="0.25">
      <c r="A18451" s="318">
        <v>96307267949</v>
      </c>
      <c r="B18451" s="318" t="s">
        <v>235</v>
      </c>
    </row>
    <row r="18452" spans="1:2" ht="12.75" customHeight="1" x14ac:dyDescent="0.25">
      <c r="A18452" s="318">
        <v>96307267950</v>
      </c>
      <c r="B18452" s="318" t="s">
        <v>236</v>
      </c>
    </row>
    <row r="18453" spans="1:2" ht="12.75" customHeight="1" x14ac:dyDescent="0.25">
      <c r="A18453" s="318">
        <v>96307267951</v>
      </c>
      <c r="B18453" s="318" t="s">
        <v>235</v>
      </c>
    </row>
    <row r="18454" spans="1:2" ht="12.75" customHeight="1" x14ac:dyDescent="0.25">
      <c r="A18454" s="318">
        <v>96307268035</v>
      </c>
      <c r="B18454" s="318" t="s">
        <v>236</v>
      </c>
    </row>
    <row r="18455" spans="1:2" ht="12.75" customHeight="1" x14ac:dyDescent="0.25">
      <c r="A18455" s="318">
        <v>96307268036</v>
      </c>
      <c r="B18455" s="318" t="s">
        <v>235</v>
      </c>
    </row>
    <row r="18456" spans="1:2" ht="12.75" customHeight="1" x14ac:dyDescent="0.25">
      <c r="A18456" s="318">
        <v>96307268037</v>
      </c>
      <c r="B18456" s="318" t="s">
        <v>236</v>
      </c>
    </row>
    <row r="18457" spans="1:2" ht="12.75" customHeight="1" x14ac:dyDescent="0.25">
      <c r="A18457" s="318">
        <v>96307268038</v>
      </c>
      <c r="B18457" s="318" t="s">
        <v>235</v>
      </c>
    </row>
    <row r="18458" spans="1:2" ht="12.75" customHeight="1" x14ac:dyDescent="0.25">
      <c r="A18458" s="318">
        <v>96307268039</v>
      </c>
      <c r="B18458" s="318" t="s">
        <v>236</v>
      </c>
    </row>
    <row r="18459" spans="1:2" ht="12.75" customHeight="1" x14ac:dyDescent="0.25">
      <c r="A18459" s="318">
        <v>96307268040</v>
      </c>
      <c r="B18459" s="318" t="s">
        <v>235</v>
      </c>
    </row>
    <row r="18460" spans="1:2" ht="12.75" customHeight="1" x14ac:dyDescent="0.25">
      <c r="A18460" s="318">
        <v>96307268041</v>
      </c>
      <c r="B18460" s="318" t="s">
        <v>236</v>
      </c>
    </row>
    <row r="18461" spans="1:2" ht="12.75" customHeight="1" x14ac:dyDescent="0.25">
      <c r="A18461" s="318">
        <v>96307268042</v>
      </c>
      <c r="B18461" s="318" t="s">
        <v>235</v>
      </c>
    </row>
    <row r="18462" spans="1:2" ht="12.75" customHeight="1" x14ac:dyDescent="0.25">
      <c r="A18462" s="318">
        <v>96307268044</v>
      </c>
      <c r="B18462" s="318" t="s">
        <v>236</v>
      </c>
    </row>
    <row r="18463" spans="1:2" ht="12.75" customHeight="1" x14ac:dyDescent="0.25">
      <c r="A18463" s="318">
        <v>96307268045</v>
      </c>
      <c r="B18463" s="318" t="s">
        <v>235</v>
      </c>
    </row>
    <row r="18464" spans="1:2" ht="12.75" customHeight="1" x14ac:dyDescent="0.25">
      <c r="A18464" s="318">
        <v>96307268046</v>
      </c>
      <c r="B18464" s="318" t="s">
        <v>236</v>
      </c>
    </row>
    <row r="18465" spans="1:2" ht="12.75" customHeight="1" x14ac:dyDescent="0.25">
      <c r="A18465" s="318">
        <v>96307268047</v>
      </c>
      <c r="B18465" s="318" t="s">
        <v>235</v>
      </c>
    </row>
    <row r="18466" spans="1:2" ht="12.75" customHeight="1" x14ac:dyDescent="0.25">
      <c r="A18466" s="318">
        <v>96307268048</v>
      </c>
      <c r="B18466" s="318" t="s">
        <v>236</v>
      </c>
    </row>
    <row r="18467" spans="1:2" ht="12.75" customHeight="1" x14ac:dyDescent="0.25">
      <c r="A18467" s="318">
        <v>96307268049</v>
      </c>
      <c r="B18467" s="318" t="s">
        <v>235</v>
      </c>
    </row>
    <row r="18468" spans="1:2" ht="12.75" customHeight="1" x14ac:dyDescent="0.25">
      <c r="A18468" s="318">
        <v>96307268050</v>
      </c>
      <c r="B18468" s="318" t="s">
        <v>236</v>
      </c>
    </row>
    <row r="18469" spans="1:2" ht="12.75" customHeight="1" x14ac:dyDescent="0.25">
      <c r="A18469" s="318">
        <v>96307268051</v>
      </c>
      <c r="B18469" s="318" t="s">
        <v>235</v>
      </c>
    </row>
    <row r="18470" spans="1:2" ht="12.75" customHeight="1" x14ac:dyDescent="0.25">
      <c r="A18470" s="318">
        <v>96307748908</v>
      </c>
      <c r="B18470" s="318" t="s">
        <v>236</v>
      </c>
    </row>
    <row r="18471" spans="1:2" ht="12.75" customHeight="1" x14ac:dyDescent="0.25">
      <c r="A18471" s="318">
        <v>96307748909</v>
      </c>
      <c r="B18471" s="318" t="s">
        <v>235</v>
      </c>
    </row>
    <row r="18472" spans="1:2" ht="12.75" customHeight="1" x14ac:dyDescent="0.25">
      <c r="A18472" s="318">
        <v>96307748910</v>
      </c>
      <c r="B18472" s="318" t="s">
        <v>236</v>
      </c>
    </row>
    <row r="18473" spans="1:2" ht="12.75" customHeight="1" x14ac:dyDescent="0.25">
      <c r="A18473" s="318">
        <v>96307748911</v>
      </c>
      <c r="B18473" s="318" t="s">
        <v>235</v>
      </c>
    </row>
    <row r="18474" spans="1:2" ht="12.75" customHeight="1" x14ac:dyDescent="0.25">
      <c r="A18474" s="318">
        <v>96307748912</v>
      </c>
      <c r="B18474" s="318" t="s">
        <v>236</v>
      </c>
    </row>
    <row r="18475" spans="1:2" ht="12.75" customHeight="1" x14ac:dyDescent="0.25">
      <c r="A18475" s="318">
        <v>96307748913</v>
      </c>
      <c r="B18475" s="318" t="s">
        <v>235</v>
      </c>
    </row>
    <row r="18476" spans="1:2" ht="12.75" customHeight="1" x14ac:dyDescent="0.25">
      <c r="A18476" s="318">
        <v>96307748914</v>
      </c>
      <c r="B18476" s="318" t="s">
        <v>236</v>
      </c>
    </row>
    <row r="18477" spans="1:2" ht="12.75" customHeight="1" x14ac:dyDescent="0.25">
      <c r="A18477" s="318">
        <v>96307748915</v>
      </c>
      <c r="B18477" s="318" t="s">
        <v>235</v>
      </c>
    </row>
    <row r="18478" spans="1:2" ht="12.75" customHeight="1" x14ac:dyDescent="0.25">
      <c r="A18478" s="318">
        <v>96307748917</v>
      </c>
      <c r="B18478" s="318" t="s">
        <v>236</v>
      </c>
    </row>
    <row r="18479" spans="1:2" ht="12.75" customHeight="1" x14ac:dyDescent="0.25">
      <c r="A18479" s="318">
        <v>96307748918</v>
      </c>
      <c r="B18479" s="318" t="s">
        <v>235</v>
      </c>
    </row>
    <row r="18480" spans="1:2" ht="12.75" customHeight="1" x14ac:dyDescent="0.25">
      <c r="A18480" s="318">
        <v>96307748919</v>
      </c>
      <c r="B18480" s="318" t="s">
        <v>236</v>
      </c>
    </row>
    <row r="18481" spans="1:2" ht="12.75" customHeight="1" x14ac:dyDescent="0.25">
      <c r="A18481" s="318">
        <v>96307748920</v>
      </c>
      <c r="B18481" s="318" t="s">
        <v>235</v>
      </c>
    </row>
    <row r="18482" spans="1:2" ht="12.75" customHeight="1" x14ac:dyDescent="0.25">
      <c r="A18482" s="318">
        <v>96307748921</v>
      </c>
      <c r="B18482" s="318" t="s">
        <v>236</v>
      </c>
    </row>
    <row r="18483" spans="1:2" ht="12.75" customHeight="1" x14ac:dyDescent="0.25">
      <c r="A18483" s="318">
        <v>96307748922</v>
      </c>
      <c r="B18483" s="318" t="s">
        <v>235</v>
      </c>
    </row>
    <row r="18484" spans="1:2" ht="12.75" customHeight="1" x14ac:dyDescent="0.25">
      <c r="A18484" s="318">
        <v>96307748923</v>
      </c>
      <c r="B18484" s="318" t="s">
        <v>236</v>
      </c>
    </row>
    <row r="18485" spans="1:2" ht="12.75" customHeight="1" x14ac:dyDescent="0.25">
      <c r="A18485" s="318">
        <v>96307748924</v>
      </c>
      <c r="B18485" s="318" t="s">
        <v>235</v>
      </c>
    </row>
    <row r="18486" spans="1:2" ht="12.75" customHeight="1" x14ac:dyDescent="0.25">
      <c r="A18486" s="318">
        <v>96307749008</v>
      </c>
      <c r="B18486" s="318" t="s">
        <v>236</v>
      </c>
    </row>
    <row r="18487" spans="1:2" ht="12.75" customHeight="1" x14ac:dyDescent="0.25">
      <c r="A18487" s="318">
        <v>96307749009</v>
      </c>
      <c r="B18487" s="318" t="s">
        <v>235</v>
      </c>
    </row>
    <row r="18488" spans="1:2" ht="12.75" customHeight="1" x14ac:dyDescent="0.25">
      <c r="A18488" s="318">
        <v>96307749010</v>
      </c>
      <c r="B18488" s="318" t="s">
        <v>236</v>
      </c>
    </row>
    <row r="18489" spans="1:2" ht="12.75" customHeight="1" x14ac:dyDescent="0.25">
      <c r="A18489" s="318">
        <v>96307749011</v>
      </c>
      <c r="B18489" s="318" t="s">
        <v>235</v>
      </c>
    </row>
    <row r="18490" spans="1:2" ht="12.75" customHeight="1" x14ac:dyDescent="0.25">
      <c r="A18490" s="318">
        <v>96307749012</v>
      </c>
      <c r="B18490" s="318" t="s">
        <v>236</v>
      </c>
    </row>
    <row r="18491" spans="1:2" ht="12.75" customHeight="1" x14ac:dyDescent="0.25">
      <c r="A18491" s="318">
        <v>96307749013</v>
      </c>
      <c r="B18491" s="318" t="s">
        <v>235</v>
      </c>
    </row>
    <row r="18492" spans="1:2" ht="12.75" customHeight="1" x14ac:dyDescent="0.25">
      <c r="A18492" s="318">
        <v>96307749014</v>
      </c>
      <c r="B18492" s="318" t="s">
        <v>236</v>
      </c>
    </row>
    <row r="18493" spans="1:2" ht="12.75" customHeight="1" x14ac:dyDescent="0.25">
      <c r="A18493" s="318">
        <v>96307749015</v>
      </c>
      <c r="B18493" s="318" t="s">
        <v>235</v>
      </c>
    </row>
    <row r="18494" spans="1:2" ht="12.75" customHeight="1" x14ac:dyDescent="0.25">
      <c r="A18494" s="318">
        <v>96307749017</v>
      </c>
      <c r="B18494" s="318" t="s">
        <v>236</v>
      </c>
    </row>
    <row r="18495" spans="1:2" ht="12.75" customHeight="1" x14ac:dyDescent="0.25">
      <c r="A18495" s="318">
        <v>96307749018</v>
      </c>
      <c r="B18495" s="318" t="s">
        <v>235</v>
      </c>
    </row>
    <row r="18496" spans="1:2" ht="12.75" customHeight="1" x14ac:dyDescent="0.25">
      <c r="A18496" s="318">
        <v>96307749019</v>
      </c>
      <c r="B18496" s="318" t="s">
        <v>236</v>
      </c>
    </row>
    <row r="18497" spans="1:2" ht="12.75" customHeight="1" x14ac:dyDescent="0.25">
      <c r="A18497" s="318">
        <v>96307749020</v>
      </c>
      <c r="B18497" s="318" t="s">
        <v>235</v>
      </c>
    </row>
    <row r="18498" spans="1:2" ht="12.75" customHeight="1" x14ac:dyDescent="0.25">
      <c r="A18498" s="318">
        <v>96307749021</v>
      </c>
      <c r="B18498" s="318" t="s">
        <v>236</v>
      </c>
    </row>
    <row r="18499" spans="1:2" ht="12.75" customHeight="1" x14ac:dyDescent="0.25">
      <c r="A18499" s="318">
        <v>96307749022</v>
      </c>
      <c r="B18499" s="318" t="s">
        <v>235</v>
      </c>
    </row>
    <row r="18500" spans="1:2" ht="12.75" customHeight="1" x14ac:dyDescent="0.25">
      <c r="A18500" s="318">
        <v>96307749023</v>
      </c>
      <c r="B18500" s="318" t="s">
        <v>236</v>
      </c>
    </row>
    <row r="18501" spans="1:2" ht="12.75" customHeight="1" x14ac:dyDescent="0.25">
      <c r="A18501" s="318">
        <v>96307749024</v>
      </c>
      <c r="B18501" s="318" t="s">
        <v>235</v>
      </c>
    </row>
    <row r="18502" spans="1:2" ht="12.75" customHeight="1" x14ac:dyDescent="0.25">
      <c r="A18502" s="318">
        <v>96308429099</v>
      </c>
      <c r="B18502" s="318" t="s">
        <v>236</v>
      </c>
    </row>
    <row r="18503" spans="1:2" ht="12.75" customHeight="1" x14ac:dyDescent="0.25">
      <c r="A18503" s="318">
        <v>96308429100</v>
      </c>
      <c r="B18503" s="318" t="s">
        <v>235</v>
      </c>
    </row>
    <row r="18504" spans="1:2" ht="12.75" customHeight="1" x14ac:dyDescent="0.25">
      <c r="A18504" s="318">
        <v>96308429101</v>
      </c>
      <c r="B18504" s="318" t="s">
        <v>236</v>
      </c>
    </row>
    <row r="18505" spans="1:2" ht="12.75" customHeight="1" x14ac:dyDescent="0.25">
      <c r="A18505" s="318">
        <v>96308429102</v>
      </c>
      <c r="B18505" s="318" t="s">
        <v>235</v>
      </c>
    </row>
    <row r="18506" spans="1:2" ht="12.75" customHeight="1" x14ac:dyDescent="0.25">
      <c r="A18506" s="318">
        <v>96308429103</v>
      </c>
      <c r="B18506" s="318" t="s">
        <v>236</v>
      </c>
    </row>
    <row r="18507" spans="1:2" ht="12.75" customHeight="1" x14ac:dyDescent="0.25">
      <c r="A18507" s="318">
        <v>96308429104</v>
      </c>
      <c r="B18507" s="318" t="s">
        <v>235</v>
      </c>
    </row>
    <row r="18508" spans="1:2" ht="12.75" customHeight="1" x14ac:dyDescent="0.25">
      <c r="A18508" s="318">
        <v>96308429105</v>
      </c>
      <c r="B18508" s="318" t="s">
        <v>236</v>
      </c>
    </row>
    <row r="18509" spans="1:2" ht="12.75" customHeight="1" x14ac:dyDescent="0.25">
      <c r="A18509" s="318">
        <v>96308429106</v>
      </c>
      <c r="B18509" s="318" t="s">
        <v>235</v>
      </c>
    </row>
    <row r="18510" spans="1:2" ht="12.75" customHeight="1" x14ac:dyDescent="0.25">
      <c r="A18510" s="318">
        <v>96308429108</v>
      </c>
      <c r="B18510" s="318" t="s">
        <v>236</v>
      </c>
    </row>
    <row r="18511" spans="1:2" ht="12.75" customHeight="1" x14ac:dyDescent="0.25">
      <c r="A18511" s="318">
        <v>96308429109</v>
      </c>
      <c r="B18511" s="318" t="s">
        <v>235</v>
      </c>
    </row>
    <row r="18512" spans="1:2" ht="12.75" customHeight="1" x14ac:dyDescent="0.25">
      <c r="A18512" s="318">
        <v>96308429110</v>
      </c>
      <c r="B18512" s="318" t="s">
        <v>236</v>
      </c>
    </row>
    <row r="18513" spans="1:2" ht="12.75" customHeight="1" x14ac:dyDescent="0.25">
      <c r="A18513" s="318">
        <v>96308429111</v>
      </c>
      <c r="B18513" s="318" t="s">
        <v>235</v>
      </c>
    </row>
    <row r="18514" spans="1:2" ht="12.75" customHeight="1" x14ac:dyDescent="0.25">
      <c r="A18514" s="318">
        <v>96308429112</v>
      </c>
      <c r="B18514" s="318" t="s">
        <v>236</v>
      </c>
    </row>
    <row r="18515" spans="1:2" ht="12.75" customHeight="1" x14ac:dyDescent="0.25">
      <c r="A18515" s="318">
        <v>96308429113</v>
      </c>
      <c r="B18515" s="318" t="s">
        <v>235</v>
      </c>
    </row>
    <row r="18516" spans="1:2" ht="12.75" customHeight="1" x14ac:dyDescent="0.25">
      <c r="A18516" s="318">
        <v>96308429114</v>
      </c>
      <c r="B18516" s="318" t="s">
        <v>236</v>
      </c>
    </row>
    <row r="18517" spans="1:2" ht="12.75" customHeight="1" x14ac:dyDescent="0.25">
      <c r="A18517" s="318">
        <v>96308429115</v>
      </c>
      <c r="B18517" s="318" t="s">
        <v>235</v>
      </c>
    </row>
    <row r="18518" spans="1:2" ht="12.75" customHeight="1" x14ac:dyDescent="0.25">
      <c r="A18518" s="318">
        <v>96308429199</v>
      </c>
      <c r="B18518" s="318" t="s">
        <v>236</v>
      </c>
    </row>
    <row r="18519" spans="1:2" ht="12.75" customHeight="1" x14ac:dyDescent="0.25">
      <c r="A18519" s="318">
        <v>96308429200</v>
      </c>
      <c r="B18519" s="318" t="s">
        <v>235</v>
      </c>
    </row>
    <row r="18520" spans="1:2" ht="12.75" customHeight="1" x14ac:dyDescent="0.25">
      <c r="A18520" s="318">
        <v>96308429201</v>
      </c>
      <c r="B18520" s="318" t="s">
        <v>236</v>
      </c>
    </row>
    <row r="18521" spans="1:2" ht="12.75" customHeight="1" x14ac:dyDescent="0.25">
      <c r="A18521" s="318">
        <v>96308429202</v>
      </c>
      <c r="B18521" s="318" t="s">
        <v>235</v>
      </c>
    </row>
    <row r="18522" spans="1:2" ht="12.75" customHeight="1" x14ac:dyDescent="0.25">
      <c r="A18522" s="318">
        <v>96308429203</v>
      </c>
      <c r="B18522" s="318" t="s">
        <v>236</v>
      </c>
    </row>
    <row r="18523" spans="1:2" ht="12.75" customHeight="1" x14ac:dyDescent="0.25">
      <c r="A18523" s="318">
        <v>96308429204</v>
      </c>
      <c r="B18523" s="318" t="s">
        <v>235</v>
      </c>
    </row>
    <row r="18524" spans="1:2" ht="12.75" customHeight="1" x14ac:dyDescent="0.25">
      <c r="A18524" s="318">
        <v>96308429205</v>
      </c>
      <c r="B18524" s="318" t="s">
        <v>236</v>
      </c>
    </row>
    <row r="18525" spans="1:2" ht="12.75" customHeight="1" x14ac:dyDescent="0.25">
      <c r="A18525" s="318">
        <v>96308429206</v>
      </c>
      <c r="B18525" s="318" t="s">
        <v>235</v>
      </c>
    </row>
    <row r="18526" spans="1:2" ht="12.75" customHeight="1" x14ac:dyDescent="0.25">
      <c r="A18526" s="318">
        <v>96308429208</v>
      </c>
      <c r="B18526" s="318" t="s">
        <v>236</v>
      </c>
    </row>
    <row r="18527" spans="1:2" ht="12.75" customHeight="1" x14ac:dyDescent="0.25">
      <c r="A18527" s="318">
        <v>96308429209</v>
      </c>
      <c r="B18527" s="318" t="s">
        <v>235</v>
      </c>
    </row>
    <row r="18528" spans="1:2" ht="12.75" customHeight="1" x14ac:dyDescent="0.25">
      <c r="A18528" s="318">
        <v>96308429210</v>
      </c>
      <c r="B18528" s="318" t="s">
        <v>236</v>
      </c>
    </row>
    <row r="18529" spans="1:2" ht="12.75" customHeight="1" x14ac:dyDescent="0.25">
      <c r="A18529" s="318">
        <v>96308429211</v>
      </c>
      <c r="B18529" s="318" t="s">
        <v>235</v>
      </c>
    </row>
    <row r="18530" spans="1:2" ht="12.75" customHeight="1" x14ac:dyDescent="0.25">
      <c r="A18530" s="318">
        <v>96308429212</v>
      </c>
      <c r="B18530" s="318" t="s">
        <v>236</v>
      </c>
    </row>
    <row r="18531" spans="1:2" ht="12.75" customHeight="1" x14ac:dyDescent="0.25">
      <c r="A18531" s="318">
        <v>96308429213</v>
      </c>
      <c r="B18531" s="318" t="s">
        <v>235</v>
      </c>
    </row>
    <row r="18532" spans="1:2" ht="12.75" customHeight="1" x14ac:dyDescent="0.25">
      <c r="A18532" s="318">
        <v>96308429214</v>
      </c>
      <c r="B18532" s="318" t="s">
        <v>236</v>
      </c>
    </row>
    <row r="18533" spans="1:2" ht="12.75" customHeight="1" x14ac:dyDescent="0.25">
      <c r="A18533" s="318">
        <v>96308429215</v>
      </c>
      <c r="B18533" s="318" t="s">
        <v>235</v>
      </c>
    </row>
    <row r="18534" spans="1:2" ht="12.75" customHeight="1" x14ac:dyDescent="0.25">
      <c r="A18534" s="318">
        <v>96308910072</v>
      </c>
      <c r="B18534" s="318" t="s">
        <v>236</v>
      </c>
    </row>
    <row r="18535" spans="1:2" ht="12.75" customHeight="1" x14ac:dyDescent="0.25">
      <c r="A18535" s="318">
        <v>96308910073</v>
      </c>
      <c r="B18535" s="318" t="s">
        <v>235</v>
      </c>
    </row>
    <row r="18536" spans="1:2" ht="12.75" customHeight="1" x14ac:dyDescent="0.25">
      <c r="A18536" s="318">
        <v>96308910074</v>
      </c>
      <c r="B18536" s="318" t="s">
        <v>236</v>
      </c>
    </row>
    <row r="18537" spans="1:2" ht="12.75" customHeight="1" x14ac:dyDescent="0.25">
      <c r="A18537" s="318">
        <v>96308910075</v>
      </c>
      <c r="B18537" s="318" t="s">
        <v>235</v>
      </c>
    </row>
    <row r="18538" spans="1:2" ht="12.75" customHeight="1" x14ac:dyDescent="0.25">
      <c r="A18538" s="318">
        <v>96308910076</v>
      </c>
      <c r="B18538" s="318" t="s">
        <v>236</v>
      </c>
    </row>
    <row r="18539" spans="1:2" ht="12.75" customHeight="1" x14ac:dyDescent="0.25">
      <c r="A18539" s="318">
        <v>96308910077</v>
      </c>
      <c r="B18539" s="318" t="s">
        <v>235</v>
      </c>
    </row>
    <row r="18540" spans="1:2" ht="12.75" customHeight="1" x14ac:dyDescent="0.25">
      <c r="A18540" s="318">
        <v>96308910078</v>
      </c>
      <c r="B18540" s="318" t="s">
        <v>236</v>
      </c>
    </row>
    <row r="18541" spans="1:2" ht="12.75" customHeight="1" x14ac:dyDescent="0.25">
      <c r="A18541" s="318">
        <v>96308910079</v>
      </c>
      <c r="B18541" s="318" t="s">
        <v>235</v>
      </c>
    </row>
    <row r="18542" spans="1:2" ht="12.75" customHeight="1" x14ac:dyDescent="0.25">
      <c r="A18542" s="318">
        <v>96308910081</v>
      </c>
      <c r="B18542" s="318" t="s">
        <v>236</v>
      </c>
    </row>
    <row r="18543" spans="1:2" ht="12.75" customHeight="1" x14ac:dyDescent="0.25">
      <c r="A18543" s="318">
        <v>96308910082</v>
      </c>
      <c r="B18543" s="318" t="s">
        <v>235</v>
      </c>
    </row>
    <row r="18544" spans="1:2" ht="12.75" customHeight="1" x14ac:dyDescent="0.25">
      <c r="A18544" s="318">
        <v>96308910083</v>
      </c>
      <c r="B18544" s="318" t="s">
        <v>236</v>
      </c>
    </row>
    <row r="18545" spans="1:2" ht="12.75" customHeight="1" x14ac:dyDescent="0.25">
      <c r="A18545" s="318">
        <v>96308910084</v>
      </c>
      <c r="B18545" s="318" t="s">
        <v>235</v>
      </c>
    </row>
    <row r="18546" spans="1:2" ht="12.75" customHeight="1" x14ac:dyDescent="0.25">
      <c r="A18546" s="318">
        <v>96308910085</v>
      </c>
      <c r="B18546" s="318" t="s">
        <v>236</v>
      </c>
    </row>
    <row r="18547" spans="1:2" ht="12.75" customHeight="1" x14ac:dyDescent="0.25">
      <c r="A18547" s="318">
        <v>96308910086</v>
      </c>
      <c r="B18547" s="318" t="s">
        <v>235</v>
      </c>
    </row>
    <row r="18548" spans="1:2" ht="12.75" customHeight="1" x14ac:dyDescent="0.25">
      <c r="A18548" s="318">
        <v>96308910087</v>
      </c>
      <c r="B18548" s="318" t="s">
        <v>236</v>
      </c>
    </row>
    <row r="18549" spans="1:2" ht="12.75" customHeight="1" x14ac:dyDescent="0.25">
      <c r="A18549" s="318">
        <v>96308910088</v>
      </c>
      <c r="B18549" s="318" t="s">
        <v>235</v>
      </c>
    </row>
    <row r="18550" spans="1:2" ht="12.75" customHeight="1" x14ac:dyDescent="0.25">
      <c r="A18550" s="318">
        <v>96308910172</v>
      </c>
      <c r="B18550" s="318" t="s">
        <v>236</v>
      </c>
    </row>
    <row r="18551" spans="1:2" ht="12.75" customHeight="1" x14ac:dyDescent="0.25">
      <c r="A18551" s="318">
        <v>96308910173</v>
      </c>
      <c r="B18551" s="318" t="s">
        <v>235</v>
      </c>
    </row>
    <row r="18552" spans="1:2" ht="12.75" customHeight="1" x14ac:dyDescent="0.25">
      <c r="A18552" s="318">
        <v>96308910174</v>
      </c>
      <c r="B18552" s="318" t="s">
        <v>236</v>
      </c>
    </row>
    <row r="18553" spans="1:2" ht="12.75" customHeight="1" x14ac:dyDescent="0.25">
      <c r="A18553" s="318">
        <v>96308910175</v>
      </c>
      <c r="B18553" s="318" t="s">
        <v>235</v>
      </c>
    </row>
    <row r="18554" spans="1:2" ht="12.75" customHeight="1" x14ac:dyDescent="0.25">
      <c r="A18554" s="318">
        <v>96308910176</v>
      </c>
      <c r="B18554" s="318" t="s">
        <v>236</v>
      </c>
    </row>
    <row r="18555" spans="1:2" ht="12.75" customHeight="1" x14ac:dyDescent="0.25">
      <c r="A18555" s="318">
        <v>96308910177</v>
      </c>
      <c r="B18555" s="318" t="s">
        <v>235</v>
      </c>
    </row>
    <row r="18556" spans="1:2" ht="12.75" customHeight="1" x14ac:dyDescent="0.25">
      <c r="A18556" s="318">
        <v>96308910178</v>
      </c>
      <c r="B18556" s="318" t="s">
        <v>236</v>
      </c>
    </row>
    <row r="18557" spans="1:2" ht="12.75" customHeight="1" x14ac:dyDescent="0.25">
      <c r="A18557" s="318">
        <v>96308910179</v>
      </c>
      <c r="B18557" s="318" t="s">
        <v>235</v>
      </c>
    </row>
    <row r="18558" spans="1:2" ht="12.75" customHeight="1" x14ac:dyDescent="0.25">
      <c r="A18558" s="318">
        <v>96308910181</v>
      </c>
      <c r="B18558" s="318" t="s">
        <v>236</v>
      </c>
    </row>
    <row r="18559" spans="1:2" ht="12.75" customHeight="1" x14ac:dyDescent="0.25">
      <c r="A18559" s="318">
        <v>96308910182</v>
      </c>
      <c r="B18559" s="318" t="s">
        <v>235</v>
      </c>
    </row>
    <row r="18560" spans="1:2" ht="12.75" customHeight="1" x14ac:dyDescent="0.25">
      <c r="A18560" s="318">
        <v>96308910183</v>
      </c>
      <c r="B18560" s="318" t="s">
        <v>236</v>
      </c>
    </row>
    <row r="18561" spans="1:2" ht="12.75" customHeight="1" x14ac:dyDescent="0.25">
      <c r="A18561" s="318">
        <v>96308910184</v>
      </c>
      <c r="B18561" s="318" t="s">
        <v>235</v>
      </c>
    </row>
    <row r="18562" spans="1:2" ht="12.75" customHeight="1" x14ac:dyDescent="0.25">
      <c r="A18562" s="318">
        <v>96308910185</v>
      </c>
      <c r="B18562" s="318" t="s">
        <v>236</v>
      </c>
    </row>
    <row r="18563" spans="1:2" ht="12.75" customHeight="1" x14ac:dyDescent="0.25">
      <c r="A18563" s="318">
        <v>96308910186</v>
      </c>
      <c r="B18563" s="318" t="s">
        <v>235</v>
      </c>
    </row>
    <row r="18564" spans="1:2" ht="12.75" customHeight="1" x14ac:dyDescent="0.25">
      <c r="A18564" s="318">
        <v>96308910187</v>
      </c>
      <c r="B18564" s="318" t="s">
        <v>236</v>
      </c>
    </row>
    <row r="18565" spans="1:2" ht="12.75" customHeight="1" x14ac:dyDescent="0.25">
      <c r="A18565" s="318">
        <v>96308910188</v>
      </c>
      <c r="B18565" s="318" t="s">
        <v>235</v>
      </c>
    </row>
    <row r="18566" spans="1:2" ht="12.75" customHeight="1" x14ac:dyDescent="0.25">
      <c r="A18566" s="318">
        <v>96309391045</v>
      </c>
      <c r="B18566" s="318" t="s">
        <v>236</v>
      </c>
    </row>
    <row r="18567" spans="1:2" ht="12.75" customHeight="1" x14ac:dyDescent="0.25">
      <c r="A18567" s="318">
        <v>96309391046</v>
      </c>
      <c r="B18567" s="318" t="s">
        <v>235</v>
      </c>
    </row>
    <row r="18568" spans="1:2" ht="12.75" customHeight="1" x14ac:dyDescent="0.25">
      <c r="A18568" s="318">
        <v>96309391047</v>
      </c>
      <c r="B18568" s="318" t="s">
        <v>236</v>
      </c>
    </row>
    <row r="18569" spans="1:2" ht="12.75" customHeight="1" x14ac:dyDescent="0.25">
      <c r="A18569" s="318">
        <v>96309391048</v>
      </c>
      <c r="B18569" s="318" t="s">
        <v>235</v>
      </c>
    </row>
    <row r="18570" spans="1:2" ht="12.75" customHeight="1" x14ac:dyDescent="0.25">
      <c r="A18570" s="318">
        <v>96309391049</v>
      </c>
      <c r="B18570" s="318" t="s">
        <v>236</v>
      </c>
    </row>
    <row r="18571" spans="1:2" ht="12.75" customHeight="1" x14ac:dyDescent="0.25">
      <c r="A18571" s="318">
        <v>96309391050</v>
      </c>
      <c r="B18571" s="318" t="s">
        <v>235</v>
      </c>
    </row>
    <row r="18572" spans="1:2" ht="12.75" customHeight="1" x14ac:dyDescent="0.25">
      <c r="A18572" s="318">
        <v>96309391051</v>
      </c>
      <c r="B18572" s="318" t="s">
        <v>236</v>
      </c>
    </row>
    <row r="18573" spans="1:2" ht="12.75" customHeight="1" x14ac:dyDescent="0.25">
      <c r="A18573" s="318">
        <v>96309391052</v>
      </c>
      <c r="B18573" s="318" t="s">
        <v>235</v>
      </c>
    </row>
    <row r="18574" spans="1:2" ht="12.75" customHeight="1" x14ac:dyDescent="0.25">
      <c r="A18574" s="318">
        <v>96309391054</v>
      </c>
      <c r="B18574" s="318" t="s">
        <v>236</v>
      </c>
    </row>
    <row r="18575" spans="1:2" ht="12.75" customHeight="1" x14ac:dyDescent="0.25">
      <c r="A18575" s="318">
        <v>96309391055</v>
      </c>
      <c r="B18575" s="318" t="s">
        <v>235</v>
      </c>
    </row>
    <row r="18576" spans="1:2" ht="12.75" customHeight="1" x14ac:dyDescent="0.25">
      <c r="A18576" s="318">
        <v>96309391056</v>
      </c>
      <c r="B18576" s="318" t="s">
        <v>236</v>
      </c>
    </row>
    <row r="18577" spans="1:2" ht="12.75" customHeight="1" x14ac:dyDescent="0.25">
      <c r="A18577" s="318">
        <v>96309391057</v>
      </c>
      <c r="B18577" s="318" t="s">
        <v>235</v>
      </c>
    </row>
    <row r="18578" spans="1:2" ht="12.75" customHeight="1" x14ac:dyDescent="0.25">
      <c r="A18578" s="318">
        <v>96309391058</v>
      </c>
      <c r="B18578" s="318" t="s">
        <v>236</v>
      </c>
    </row>
    <row r="18579" spans="1:2" ht="12.75" customHeight="1" x14ac:dyDescent="0.25">
      <c r="A18579" s="318">
        <v>96309391059</v>
      </c>
      <c r="B18579" s="318" t="s">
        <v>235</v>
      </c>
    </row>
    <row r="18580" spans="1:2" ht="12.75" customHeight="1" x14ac:dyDescent="0.25">
      <c r="A18580" s="318">
        <v>96309391060</v>
      </c>
      <c r="B18580" s="318" t="s">
        <v>236</v>
      </c>
    </row>
    <row r="18581" spans="1:2" ht="12.75" customHeight="1" x14ac:dyDescent="0.25">
      <c r="A18581" s="318">
        <v>96309391061</v>
      </c>
      <c r="B18581" s="318" t="s">
        <v>235</v>
      </c>
    </row>
    <row r="18582" spans="1:2" ht="12.75" customHeight="1" x14ac:dyDescent="0.25">
      <c r="A18582" s="318">
        <v>96309391145</v>
      </c>
      <c r="B18582" s="318" t="s">
        <v>236</v>
      </c>
    </row>
    <row r="18583" spans="1:2" ht="12.75" customHeight="1" x14ac:dyDescent="0.25">
      <c r="A18583" s="318">
        <v>96309391146</v>
      </c>
      <c r="B18583" s="318" t="s">
        <v>235</v>
      </c>
    </row>
    <row r="18584" spans="1:2" ht="12.75" customHeight="1" x14ac:dyDescent="0.25">
      <c r="A18584" s="318">
        <v>96309391147</v>
      </c>
      <c r="B18584" s="318" t="s">
        <v>236</v>
      </c>
    </row>
    <row r="18585" spans="1:2" ht="12.75" customHeight="1" x14ac:dyDescent="0.25">
      <c r="A18585" s="318">
        <v>96309391148</v>
      </c>
      <c r="B18585" s="318" t="s">
        <v>235</v>
      </c>
    </row>
    <row r="18586" spans="1:2" ht="12.75" customHeight="1" x14ac:dyDescent="0.25">
      <c r="A18586" s="318">
        <v>96309391149</v>
      </c>
      <c r="B18586" s="318" t="s">
        <v>236</v>
      </c>
    </row>
    <row r="18587" spans="1:2" ht="12.75" customHeight="1" x14ac:dyDescent="0.25">
      <c r="A18587" s="318">
        <v>96309391150</v>
      </c>
      <c r="B18587" s="318" t="s">
        <v>235</v>
      </c>
    </row>
    <row r="18588" spans="1:2" ht="12.75" customHeight="1" x14ac:dyDescent="0.25">
      <c r="A18588" s="318">
        <v>96309391151</v>
      </c>
      <c r="B18588" s="318" t="s">
        <v>236</v>
      </c>
    </row>
    <row r="18589" spans="1:2" ht="12.75" customHeight="1" x14ac:dyDescent="0.25">
      <c r="A18589" s="318">
        <v>96309391152</v>
      </c>
      <c r="B18589" s="318" t="s">
        <v>235</v>
      </c>
    </row>
    <row r="18590" spans="1:2" ht="12.75" customHeight="1" x14ac:dyDescent="0.25">
      <c r="A18590" s="318">
        <v>96309391154</v>
      </c>
      <c r="B18590" s="318" t="s">
        <v>236</v>
      </c>
    </row>
    <row r="18591" spans="1:2" ht="12.75" customHeight="1" x14ac:dyDescent="0.25">
      <c r="A18591" s="318">
        <v>96309391155</v>
      </c>
      <c r="B18591" s="318" t="s">
        <v>235</v>
      </c>
    </row>
    <row r="18592" spans="1:2" ht="12.75" customHeight="1" x14ac:dyDescent="0.25">
      <c r="A18592" s="318">
        <v>96309391156</v>
      </c>
      <c r="B18592" s="318" t="s">
        <v>236</v>
      </c>
    </row>
    <row r="18593" spans="1:2" ht="12.75" customHeight="1" x14ac:dyDescent="0.25">
      <c r="A18593" s="318">
        <v>96309391157</v>
      </c>
      <c r="B18593" s="318" t="s">
        <v>235</v>
      </c>
    </row>
    <row r="18594" spans="1:2" ht="12.75" customHeight="1" x14ac:dyDescent="0.25">
      <c r="A18594" s="318">
        <v>96309391158</v>
      </c>
      <c r="B18594" s="318" t="s">
        <v>236</v>
      </c>
    </row>
    <row r="18595" spans="1:2" ht="12.75" customHeight="1" x14ac:dyDescent="0.25">
      <c r="A18595" s="318">
        <v>96309391159</v>
      </c>
      <c r="B18595" s="318" t="s">
        <v>235</v>
      </c>
    </row>
    <row r="18596" spans="1:2" ht="12.75" customHeight="1" x14ac:dyDescent="0.25">
      <c r="A18596" s="318">
        <v>96309391160</v>
      </c>
      <c r="B18596" s="318" t="s">
        <v>236</v>
      </c>
    </row>
    <row r="18597" spans="1:2" ht="12.75" customHeight="1" x14ac:dyDescent="0.25">
      <c r="A18597" s="318">
        <v>96309391161</v>
      </c>
      <c r="B18597" s="318" t="s">
        <v>235</v>
      </c>
    </row>
    <row r="18598" spans="1:2" ht="12.75" customHeight="1" x14ac:dyDescent="0.25">
      <c r="A18598" s="318">
        <v>96925058342</v>
      </c>
      <c r="B18598" s="318" t="s">
        <v>23</v>
      </c>
    </row>
    <row r="18599" spans="1:2" ht="12.75" customHeight="1" x14ac:dyDescent="0.25">
      <c r="A18599" s="318">
        <v>96925058343</v>
      </c>
      <c r="B18599" s="318" t="s">
        <v>23</v>
      </c>
    </row>
    <row r="18600" spans="1:2" ht="12.75" customHeight="1" x14ac:dyDescent="0.25">
      <c r="A18600" s="318">
        <v>96925058344</v>
      </c>
      <c r="B18600" s="318" t="s">
        <v>23</v>
      </c>
    </row>
    <row r="18601" spans="1:2" ht="12.75" customHeight="1" x14ac:dyDescent="0.25">
      <c r="A18601" s="318">
        <v>96925058345</v>
      </c>
      <c r="B18601" s="318" t="s">
        <v>23</v>
      </c>
    </row>
    <row r="18602" spans="1:2" ht="12.75" customHeight="1" x14ac:dyDescent="0.25">
      <c r="A18602" s="318">
        <v>96925058346</v>
      </c>
      <c r="B18602" s="318" t="s">
        <v>23</v>
      </c>
    </row>
    <row r="18603" spans="1:2" ht="12.75" customHeight="1" x14ac:dyDescent="0.25">
      <c r="A18603" s="318">
        <v>96925058347</v>
      </c>
      <c r="B18603" s="318" t="s">
        <v>23</v>
      </c>
    </row>
    <row r="18604" spans="1:2" ht="12.75" customHeight="1" x14ac:dyDescent="0.25">
      <c r="A18604" s="318">
        <v>96925058348</v>
      </c>
      <c r="B18604" s="318" t="s">
        <v>23</v>
      </c>
    </row>
    <row r="18605" spans="1:2" ht="12.75" customHeight="1" x14ac:dyDescent="0.25">
      <c r="A18605" s="318">
        <v>96925058349</v>
      </c>
      <c r="B18605" s="318" t="s">
        <v>237</v>
      </c>
    </row>
    <row r="18606" spans="1:2" ht="12.75" customHeight="1" x14ac:dyDescent="0.25">
      <c r="A18606" s="318">
        <v>96925058351</v>
      </c>
      <c r="B18606" s="318" t="s">
        <v>237</v>
      </c>
    </row>
    <row r="18607" spans="1:2" ht="12.75" customHeight="1" x14ac:dyDescent="0.25">
      <c r="A18607" s="318">
        <v>96925058352</v>
      </c>
      <c r="B18607" s="318" t="s">
        <v>237</v>
      </c>
    </row>
    <row r="18608" spans="1:2" ht="12.75" customHeight="1" x14ac:dyDescent="0.25">
      <c r="A18608" s="318">
        <v>96925058353</v>
      </c>
      <c r="B18608" s="318" t="s">
        <v>237</v>
      </c>
    </row>
    <row r="18609" spans="1:2" ht="12.75" customHeight="1" x14ac:dyDescent="0.25">
      <c r="A18609" s="318">
        <v>96925058354</v>
      </c>
      <c r="B18609" s="318" t="s">
        <v>237</v>
      </c>
    </row>
    <row r="18610" spans="1:2" ht="12.75" customHeight="1" x14ac:dyDescent="0.25">
      <c r="A18610" s="318">
        <v>96925058355</v>
      </c>
      <c r="B18610" s="318" t="s">
        <v>237</v>
      </c>
    </row>
    <row r="18611" spans="1:2" ht="12.75" customHeight="1" x14ac:dyDescent="0.25">
      <c r="A18611" s="318">
        <v>96925058356</v>
      </c>
      <c r="B18611" s="318" t="s">
        <v>237</v>
      </c>
    </row>
    <row r="18612" spans="1:2" ht="12.75" customHeight="1" x14ac:dyDescent="0.25">
      <c r="A18612" s="318">
        <v>96925058357</v>
      </c>
      <c r="B18612" s="318" t="s">
        <v>237</v>
      </c>
    </row>
    <row r="18613" spans="1:2" ht="12.75" customHeight="1" x14ac:dyDescent="0.25">
      <c r="A18613" s="318">
        <v>96925058358</v>
      </c>
      <c r="B18613" s="318" t="s">
        <v>237</v>
      </c>
    </row>
    <row r="18614" spans="1:2" ht="12.75" customHeight="1" x14ac:dyDescent="0.25">
      <c r="A18614" s="318">
        <v>96925058442</v>
      </c>
      <c r="B18614" s="318" t="s">
        <v>237</v>
      </c>
    </row>
    <row r="18615" spans="1:2" ht="12.75" customHeight="1" x14ac:dyDescent="0.25">
      <c r="A18615" s="318">
        <v>96925058443</v>
      </c>
      <c r="B18615" s="318" t="s">
        <v>237</v>
      </c>
    </row>
    <row r="18616" spans="1:2" ht="12.75" customHeight="1" x14ac:dyDescent="0.25">
      <c r="A18616" s="318">
        <v>96925058444</v>
      </c>
      <c r="B18616" s="318" t="s">
        <v>237</v>
      </c>
    </row>
    <row r="18617" spans="1:2" ht="12.75" customHeight="1" x14ac:dyDescent="0.25">
      <c r="A18617" s="318">
        <v>96925058445</v>
      </c>
      <c r="B18617" s="318" t="s">
        <v>237</v>
      </c>
    </row>
    <row r="18618" spans="1:2" ht="12.75" customHeight="1" x14ac:dyDescent="0.25">
      <c r="A18618" s="318">
        <v>96925058446</v>
      </c>
      <c r="B18618" s="318" t="s">
        <v>237</v>
      </c>
    </row>
    <row r="18619" spans="1:2" ht="12.75" customHeight="1" x14ac:dyDescent="0.25">
      <c r="A18619" s="318">
        <v>96925058447</v>
      </c>
      <c r="B18619" s="318" t="s">
        <v>237</v>
      </c>
    </row>
    <row r="18620" spans="1:2" ht="12.75" customHeight="1" x14ac:dyDescent="0.25">
      <c r="A18620" s="318">
        <v>96925058448</v>
      </c>
      <c r="B18620" s="318" t="s">
        <v>237</v>
      </c>
    </row>
    <row r="18621" spans="1:2" ht="12.75" customHeight="1" x14ac:dyDescent="0.25">
      <c r="A18621" s="318">
        <v>96925058449</v>
      </c>
      <c r="B18621" s="318" t="s">
        <v>237</v>
      </c>
    </row>
    <row r="18622" spans="1:2" ht="12.75" customHeight="1" x14ac:dyDescent="0.25">
      <c r="A18622" s="318">
        <v>96925058451</v>
      </c>
      <c r="B18622" s="318" t="s">
        <v>237</v>
      </c>
    </row>
    <row r="18623" spans="1:2" ht="12.75" customHeight="1" x14ac:dyDescent="0.25">
      <c r="A18623" s="318">
        <v>96925058452</v>
      </c>
      <c r="B18623" s="318" t="s">
        <v>237</v>
      </c>
    </row>
    <row r="18624" spans="1:2" ht="12.75" customHeight="1" x14ac:dyDescent="0.25">
      <c r="A18624" s="318">
        <v>96925058453</v>
      </c>
      <c r="B18624" s="318" t="s">
        <v>237</v>
      </c>
    </row>
    <row r="18625" spans="1:2" ht="12.75" customHeight="1" x14ac:dyDescent="0.25">
      <c r="A18625" s="318">
        <v>96925058454</v>
      </c>
      <c r="B18625" s="318" t="s">
        <v>237</v>
      </c>
    </row>
    <row r="18626" spans="1:2" ht="12.75" customHeight="1" x14ac:dyDescent="0.25">
      <c r="A18626" s="318">
        <v>96925058455</v>
      </c>
      <c r="B18626" s="318" t="s">
        <v>237</v>
      </c>
    </row>
    <row r="18627" spans="1:2" ht="12.75" customHeight="1" x14ac:dyDescent="0.25">
      <c r="A18627" s="318">
        <v>96925058456</v>
      </c>
      <c r="B18627" s="318" t="s">
        <v>237</v>
      </c>
    </row>
    <row r="18628" spans="1:2" ht="12.75" customHeight="1" x14ac:dyDescent="0.25">
      <c r="A18628" s="318">
        <v>96925058457</v>
      </c>
      <c r="B18628" s="318" t="s">
        <v>237</v>
      </c>
    </row>
    <row r="18629" spans="1:2" ht="12.75" customHeight="1" x14ac:dyDescent="0.25">
      <c r="A18629" s="318">
        <v>96925058458</v>
      </c>
      <c r="B18629" s="318" t="s">
        <v>237</v>
      </c>
    </row>
    <row r="18630" spans="1:2" ht="12.75" customHeight="1" x14ac:dyDescent="0.25">
      <c r="A18630" s="318">
        <v>96925539315</v>
      </c>
      <c r="B18630" s="318" t="s">
        <v>23</v>
      </c>
    </row>
    <row r="18631" spans="1:2" ht="12.75" customHeight="1" x14ac:dyDescent="0.25">
      <c r="A18631" s="318">
        <v>96925539316</v>
      </c>
      <c r="B18631" s="318" t="s">
        <v>23</v>
      </c>
    </row>
    <row r="18632" spans="1:2" ht="12.75" customHeight="1" x14ac:dyDescent="0.25">
      <c r="A18632" s="318">
        <v>96925539317</v>
      </c>
      <c r="B18632" s="318" t="s">
        <v>23</v>
      </c>
    </row>
    <row r="18633" spans="1:2" ht="12.75" customHeight="1" x14ac:dyDescent="0.25">
      <c r="A18633" s="318">
        <v>96925539318</v>
      </c>
      <c r="B18633" s="318" t="s">
        <v>23</v>
      </c>
    </row>
    <row r="18634" spans="1:2" ht="12.75" customHeight="1" x14ac:dyDescent="0.25">
      <c r="A18634" s="318">
        <v>96925539319</v>
      </c>
      <c r="B18634" s="318" t="s">
        <v>23</v>
      </c>
    </row>
    <row r="18635" spans="1:2" ht="12.75" customHeight="1" x14ac:dyDescent="0.25">
      <c r="A18635" s="318">
        <v>96925539320</v>
      </c>
      <c r="B18635" s="318" t="s">
        <v>23</v>
      </c>
    </row>
    <row r="18636" spans="1:2" ht="12.75" customHeight="1" x14ac:dyDescent="0.25">
      <c r="A18636" s="318">
        <v>96925539321</v>
      </c>
      <c r="B18636" s="318" t="s">
        <v>23</v>
      </c>
    </row>
    <row r="18637" spans="1:2" ht="12.75" customHeight="1" x14ac:dyDescent="0.25">
      <c r="A18637" s="318">
        <v>96925539322</v>
      </c>
      <c r="B18637" s="318" t="s">
        <v>237</v>
      </c>
    </row>
    <row r="18638" spans="1:2" ht="12.75" customHeight="1" x14ac:dyDescent="0.25">
      <c r="A18638" s="318">
        <v>96925539324</v>
      </c>
      <c r="B18638" s="318" t="s">
        <v>237</v>
      </c>
    </row>
    <row r="18639" spans="1:2" ht="12.75" customHeight="1" x14ac:dyDescent="0.25">
      <c r="A18639" s="318">
        <v>96925539325</v>
      </c>
      <c r="B18639" s="318" t="s">
        <v>237</v>
      </c>
    </row>
    <row r="18640" spans="1:2" ht="12.75" customHeight="1" x14ac:dyDescent="0.25">
      <c r="A18640" s="318">
        <v>96925539326</v>
      </c>
      <c r="B18640" s="318" t="s">
        <v>237</v>
      </c>
    </row>
    <row r="18641" spans="1:2" ht="12.75" customHeight="1" x14ac:dyDescent="0.25">
      <c r="A18641" s="318">
        <v>96925539327</v>
      </c>
      <c r="B18641" s="318" t="s">
        <v>237</v>
      </c>
    </row>
    <row r="18642" spans="1:2" ht="12.75" customHeight="1" x14ac:dyDescent="0.25">
      <c r="A18642" s="318">
        <v>96925539328</v>
      </c>
      <c r="B18642" s="318" t="s">
        <v>237</v>
      </c>
    </row>
    <row r="18643" spans="1:2" ht="12.75" customHeight="1" x14ac:dyDescent="0.25">
      <c r="A18643" s="318">
        <v>96925539329</v>
      </c>
      <c r="B18643" s="318" t="s">
        <v>237</v>
      </c>
    </row>
    <row r="18644" spans="1:2" ht="12.75" customHeight="1" x14ac:dyDescent="0.25">
      <c r="A18644" s="318">
        <v>96925539330</v>
      </c>
      <c r="B18644" s="318" t="s">
        <v>237</v>
      </c>
    </row>
    <row r="18645" spans="1:2" ht="12.75" customHeight="1" x14ac:dyDescent="0.25">
      <c r="A18645" s="318">
        <v>96925539331</v>
      </c>
      <c r="B18645" s="318" t="s">
        <v>237</v>
      </c>
    </row>
    <row r="18646" spans="1:2" ht="12.75" customHeight="1" x14ac:dyDescent="0.25">
      <c r="A18646" s="318">
        <v>96925539415</v>
      </c>
      <c r="B18646" s="318" t="s">
        <v>237</v>
      </c>
    </row>
    <row r="18647" spans="1:2" ht="12.75" customHeight="1" x14ac:dyDescent="0.25">
      <c r="A18647" s="318">
        <v>96925539416</v>
      </c>
      <c r="B18647" s="318" t="s">
        <v>237</v>
      </c>
    </row>
    <row r="18648" spans="1:2" ht="12.75" customHeight="1" x14ac:dyDescent="0.25">
      <c r="A18648" s="318">
        <v>96925539417</v>
      </c>
      <c r="B18648" s="318" t="s">
        <v>237</v>
      </c>
    </row>
    <row r="18649" spans="1:2" ht="12.75" customHeight="1" x14ac:dyDescent="0.25">
      <c r="A18649" s="318">
        <v>96925539418</v>
      </c>
      <c r="B18649" s="318" t="s">
        <v>237</v>
      </c>
    </row>
    <row r="18650" spans="1:2" ht="12.75" customHeight="1" x14ac:dyDescent="0.25">
      <c r="A18650" s="318">
        <v>96925539419</v>
      </c>
      <c r="B18650" s="318" t="s">
        <v>237</v>
      </c>
    </row>
    <row r="18651" spans="1:2" ht="12.75" customHeight="1" x14ac:dyDescent="0.25">
      <c r="A18651" s="318">
        <v>96925539420</v>
      </c>
      <c r="B18651" s="318" t="s">
        <v>237</v>
      </c>
    </row>
    <row r="18652" spans="1:2" ht="12.75" customHeight="1" x14ac:dyDescent="0.25">
      <c r="A18652" s="318">
        <v>96925539421</v>
      </c>
      <c r="B18652" s="318" t="s">
        <v>237</v>
      </c>
    </row>
    <row r="18653" spans="1:2" ht="12.75" customHeight="1" x14ac:dyDescent="0.25">
      <c r="A18653" s="318">
        <v>96925539422</v>
      </c>
      <c r="B18653" s="318" t="s">
        <v>237</v>
      </c>
    </row>
    <row r="18654" spans="1:2" ht="12.75" customHeight="1" x14ac:dyDescent="0.25">
      <c r="A18654" s="318">
        <v>96925539424</v>
      </c>
      <c r="B18654" s="318" t="s">
        <v>237</v>
      </c>
    </row>
    <row r="18655" spans="1:2" ht="12.75" customHeight="1" x14ac:dyDescent="0.25">
      <c r="A18655" s="318">
        <v>96925539425</v>
      </c>
      <c r="B18655" s="318" t="s">
        <v>237</v>
      </c>
    </row>
    <row r="18656" spans="1:2" ht="12.75" customHeight="1" x14ac:dyDescent="0.25">
      <c r="A18656" s="318">
        <v>96925539426</v>
      </c>
      <c r="B18656" s="318" t="s">
        <v>237</v>
      </c>
    </row>
    <row r="18657" spans="1:2" ht="12.75" customHeight="1" x14ac:dyDescent="0.25">
      <c r="A18657" s="318">
        <v>96925539427</v>
      </c>
      <c r="B18657" s="318" t="s">
        <v>237</v>
      </c>
    </row>
    <row r="18658" spans="1:2" ht="12.75" customHeight="1" x14ac:dyDescent="0.25">
      <c r="A18658" s="318">
        <v>96925539428</v>
      </c>
      <c r="B18658" s="318" t="s">
        <v>237</v>
      </c>
    </row>
    <row r="18659" spans="1:2" ht="12.75" customHeight="1" x14ac:dyDescent="0.25">
      <c r="A18659" s="318">
        <v>96925539429</v>
      </c>
      <c r="B18659" s="318" t="s">
        <v>237</v>
      </c>
    </row>
    <row r="18660" spans="1:2" ht="12.75" customHeight="1" x14ac:dyDescent="0.25">
      <c r="A18660" s="318">
        <v>96925539430</v>
      </c>
      <c r="B18660" s="318" t="s">
        <v>237</v>
      </c>
    </row>
    <row r="18661" spans="1:2" ht="12.75" customHeight="1" x14ac:dyDescent="0.25">
      <c r="A18661" s="318">
        <v>96925539431</v>
      </c>
      <c r="B18661" s="318" t="s">
        <v>237</v>
      </c>
    </row>
    <row r="18662" spans="1:2" ht="12.75" customHeight="1" x14ac:dyDescent="0.25">
      <c r="A18662" s="318">
        <v>96926020288</v>
      </c>
      <c r="B18662" s="318" t="s">
        <v>23</v>
      </c>
    </row>
    <row r="18663" spans="1:2" ht="12.75" customHeight="1" x14ac:dyDescent="0.25">
      <c r="A18663" s="318">
        <v>96926020289</v>
      </c>
      <c r="B18663" s="318" t="s">
        <v>23</v>
      </c>
    </row>
    <row r="18664" spans="1:2" ht="12.75" customHeight="1" x14ac:dyDescent="0.25">
      <c r="A18664" s="318">
        <v>96926020290</v>
      </c>
      <c r="B18664" s="318" t="s">
        <v>23</v>
      </c>
    </row>
    <row r="18665" spans="1:2" ht="12.75" customHeight="1" x14ac:dyDescent="0.25">
      <c r="A18665" s="318">
        <v>96926020291</v>
      </c>
      <c r="B18665" s="318" t="s">
        <v>23</v>
      </c>
    </row>
    <row r="18666" spans="1:2" ht="12.75" customHeight="1" x14ac:dyDescent="0.25">
      <c r="A18666" s="318">
        <v>96926020292</v>
      </c>
      <c r="B18666" s="318" t="s">
        <v>23</v>
      </c>
    </row>
    <row r="18667" spans="1:2" ht="12.75" customHeight="1" x14ac:dyDescent="0.25">
      <c r="A18667" s="318">
        <v>96926020293</v>
      </c>
      <c r="B18667" s="318" t="s">
        <v>23</v>
      </c>
    </row>
    <row r="18668" spans="1:2" ht="12.75" customHeight="1" x14ac:dyDescent="0.25">
      <c r="A18668" s="318">
        <v>96926020294</v>
      </c>
      <c r="B18668" s="318" t="s">
        <v>23</v>
      </c>
    </row>
    <row r="18669" spans="1:2" ht="12.75" customHeight="1" x14ac:dyDescent="0.25">
      <c r="A18669" s="318">
        <v>96926020295</v>
      </c>
      <c r="B18669" s="318" t="s">
        <v>237</v>
      </c>
    </row>
    <row r="18670" spans="1:2" ht="12.75" customHeight="1" x14ac:dyDescent="0.25">
      <c r="A18670" s="318">
        <v>96926020297</v>
      </c>
      <c r="B18670" s="318" t="s">
        <v>23</v>
      </c>
    </row>
    <row r="18671" spans="1:2" ht="12.75" customHeight="1" x14ac:dyDescent="0.25">
      <c r="A18671" s="318">
        <v>96926020298</v>
      </c>
      <c r="B18671" s="318" t="s">
        <v>237</v>
      </c>
    </row>
    <row r="18672" spans="1:2" ht="12.75" customHeight="1" x14ac:dyDescent="0.25">
      <c r="A18672" s="318">
        <v>96926020299</v>
      </c>
      <c r="B18672" s="318" t="s">
        <v>23</v>
      </c>
    </row>
    <row r="18673" spans="1:2" ht="12.75" customHeight="1" x14ac:dyDescent="0.25">
      <c r="A18673" s="318">
        <v>96926020300</v>
      </c>
      <c r="B18673" s="318" t="s">
        <v>237</v>
      </c>
    </row>
    <row r="18674" spans="1:2" ht="12.75" customHeight="1" x14ac:dyDescent="0.25">
      <c r="A18674" s="318">
        <v>96926020301</v>
      </c>
      <c r="B18674" s="318" t="s">
        <v>23</v>
      </c>
    </row>
    <row r="18675" spans="1:2" ht="12.75" customHeight="1" x14ac:dyDescent="0.25">
      <c r="A18675" s="318">
        <v>96926020302</v>
      </c>
      <c r="B18675" s="318" t="s">
        <v>237</v>
      </c>
    </row>
    <row r="18676" spans="1:2" ht="12.75" customHeight="1" x14ac:dyDescent="0.25">
      <c r="A18676" s="318">
        <v>96926020303</v>
      </c>
      <c r="B18676" s="318" t="s">
        <v>23</v>
      </c>
    </row>
    <row r="18677" spans="1:2" ht="12.75" customHeight="1" x14ac:dyDescent="0.25">
      <c r="A18677" s="318">
        <v>96926020304</v>
      </c>
      <c r="B18677" s="318" t="s">
        <v>237</v>
      </c>
    </row>
    <row r="18678" spans="1:2" ht="12.75" customHeight="1" x14ac:dyDescent="0.25">
      <c r="A18678" s="318">
        <v>96926020388</v>
      </c>
      <c r="B18678" s="318" t="s">
        <v>237</v>
      </c>
    </row>
    <row r="18679" spans="1:2" ht="12.75" customHeight="1" x14ac:dyDescent="0.25">
      <c r="A18679" s="318">
        <v>96926020389</v>
      </c>
      <c r="B18679" s="318" t="s">
        <v>237</v>
      </c>
    </row>
    <row r="18680" spans="1:2" ht="12.75" customHeight="1" x14ac:dyDescent="0.25">
      <c r="A18680" s="318">
        <v>96926020390</v>
      </c>
      <c r="B18680" s="318" t="s">
        <v>237</v>
      </c>
    </row>
    <row r="18681" spans="1:2" ht="12.75" customHeight="1" x14ac:dyDescent="0.25">
      <c r="A18681" s="318">
        <v>96926020391</v>
      </c>
      <c r="B18681" s="318" t="s">
        <v>237</v>
      </c>
    </row>
    <row r="18682" spans="1:2" ht="12.75" customHeight="1" x14ac:dyDescent="0.25">
      <c r="A18682" s="318">
        <v>96926020392</v>
      </c>
      <c r="B18682" s="318" t="s">
        <v>237</v>
      </c>
    </row>
    <row r="18683" spans="1:2" ht="12.75" customHeight="1" x14ac:dyDescent="0.25">
      <c r="A18683" s="318">
        <v>96926020393</v>
      </c>
      <c r="B18683" s="318" t="s">
        <v>237</v>
      </c>
    </row>
    <row r="18684" spans="1:2" ht="12.75" customHeight="1" x14ac:dyDescent="0.25">
      <c r="A18684" s="318">
        <v>96926020394</v>
      </c>
      <c r="B18684" s="318" t="s">
        <v>237</v>
      </c>
    </row>
    <row r="18685" spans="1:2" ht="12.75" customHeight="1" x14ac:dyDescent="0.25">
      <c r="A18685" s="318">
        <v>96926020395</v>
      </c>
      <c r="B18685" s="318" t="s">
        <v>237</v>
      </c>
    </row>
    <row r="18686" spans="1:2" ht="12.75" customHeight="1" x14ac:dyDescent="0.25">
      <c r="A18686" s="318">
        <v>96926020397</v>
      </c>
      <c r="B18686" s="318" t="s">
        <v>237</v>
      </c>
    </row>
    <row r="18687" spans="1:2" ht="12.75" customHeight="1" x14ac:dyDescent="0.25">
      <c r="A18687" s="318">
        <v>96926020398</v>
      </c>
      <c r="B18687" s="318" t="s">
        <v>237</v>
      </c>
    </row>
    <row r="18688" spans="1:2" ht="12.75" customHeight="1" x14ac:dyDescent="0.25">
      <c r="A18688" s="318">
        <v>96926020399</v>
      </c>
      <c r="B18688" s="318" t="s">
        <v>237</v>
      </c>
    </row>
    <row r="18689" spans="1:2" ht="12.75" customHeight="1" x14ac:dyDescent="0.25">
      <c r="A18689" s="318">
        <v>96926020400</v>
      </c>
      <c r="B18689" s="318" t="s">
        <v>237</v>
      </c>
    </row>
    <row r="18690" spans="1:2" ht="12.75" customHeight="1" x14ac:dyDescent="0.25">
      <c r="A18690" s="318">
        <v>96926020401</v>
      </c>
      <c r="B18690" s="318" t="s">
        <v>237</v>
      </c>
    </row>
    <row r="18691" spans="1:2" ht="12.75" customHeight="1" x14ac:dyDescent="0.25">
      <c r="A18691" s="318">
        <v>96926020402</v>
      </c>
      <c r="B18691" s="318" t="s">
        <v>237</v>
      </c>
    </row>
    <row r="18692" spans="1:2" ht="12.75" customHeight="1" x14ac:dyDescent="0.25">
      <c r="A18692" s="318">
        <v>96926020403</v>
      </c>
      <c r="B18692" s="318" t="s">
        <v>237</v>
      </c>
    </row>
    <row r="18693" spans="1:2" ht="12.75" customHeight="1" x14ac:dyDescent="0.25">
      <c r="A18693" s="318">
        <v>96926020404</v>
      </c>
      <c r="B18693" s="318" t="s">
        <v>237</v>
      </c>
    </row>
    <row r="18694" spans="1:2" ht="12.75" customHeight="1" x14ac:dyDescent="0.25">
      <c r="A18694" s="318">
        <v>96926700479</v>
      </c>
      <c r="B18694" s="318" t="s">
        <v>23</v>
      </c>
    </row>
    <row r="18695" spans="1:2" ht="12.75" customHeight="1" x14ac:dyDescent="0.25">
      <c r="A18695" s="318">
        <v>96926700480</v>
      </c>
      <c r="B18695" s="318" t="s">
        <v>23</v>
      </c>
    </row>
    <row r="18696" spans="1:2" ht="12.75" customHeight="1" x14ac:dyDescent="0.25">
      <c r="A18696" s="318">
        <v>96926700481</v>
      </c>
      <c r="B18696" s="318" t="s">
        <v>23</v>
      </c>
    </row>
    <row r="18697" spans="1:2" ht="12.75" customHeight="1" x14ac:dyDescent="0.25">
      <c r="A18697" s="318">
        <v>96926700482</v>
      </c>
      <c r="B18697" s="318" t="s">
        <v>23</v>
      </c>
    </row>
    <row r="18698" spans="1:2" ht="12.75" customHeight="1" x14ac:dyDescent="0.25">
      <c r="A18698" s="318">
        <v>96926700483</v>
      </c>
      <c r="B18698" s="318" t="s">
        <v>23</v>
      </c>
    </row>
    <row r="18699" spans="1:2" ht="12.75" customHeight="1" x14ac:dyDescent="0.25">
      <c r="A18699" s="318">
        <v>96926700484</v>
      </c>
      <c r="B18699" s="318" t="s">
        <v>23</v>
      </c>
    </row>
    <row r="18700" spans="1:2" ht="12.75" customHeight="1" x14ac:dyDescent="0.25">
      <c r="A18700" s="318">
        <v>96926700485</v>
      </c>
      <c r="B18700" s="318" t="s">
        <v>23</v>
      </c>
    </row>
    <row r="18701" spans="1:2" ht="12.75" customHeight="1" x14ac:dyDescent="0.25">
      <c r="A18701" s="318">
        <v>96926700486</v>
      </c>
      <c r="B18701" s="318" t="s">
        <v>237</v>
      </c>
    </row>
    <row r="18702" spans="1:2" ht="12.75" customHeight="1" x14ac:dyDescent="0.25">
      <c r="A18702" s="318">
        <v>96926700488</v>
      </c>
      <c r="B18702" s="318" t="s">
        <v>237</v>
      </c>
    </row>
    <row r="18703" spans="1:2" ht="12.75" customHeight="1" x14ac:dyDescent="0.25">
      <c r="A18703" s="318">
        <v>96926700489</v>
      </c>
      <c r="B18703" s="318" t="s">
        <v>237</v>
      </c>
    </row>
    <row r="18704" spans="1:2" ht="12.75" customHeight="1" x14ac:dyDescent="0.25">
      <c r="A18704" s="318">
        <v>96926700490</v>
      </c>
      <c r="B18704" s="318" t="s">
        <v>237</v>
      </c>
    </row>
    <row r="18705" spans="1:2" ht="12.75" customHeight="1" x14ac:dyDescent="0.25">
      <c r="A18705" s="318">
        <v>96926700491</v>
      </c>
      <c r="B18705" s="318" t="s">
        <v>237</v>
      </c>
    </row>
    <row r="18706" spans="1:2" ht="12.75" customHeight="1" x14ac:dyDescent="0.25">
      <c r="A18706" s="318">
        <v>96926700492</v>
      </c>
      <c r="B18706" s="318" t="s">
        <v>237</v>
      </c>
    </row>
    <row r="18707" spans="1:2" ht="12.75" customHeight="1" x14ac:dyDescent="0.25">
      <c r="A18707" s="318">
        <v>96926700493</v>
      </c>
      <c r="B18707" s="318" t="s">
        <v>237</v>
      </c>
    </row>
    <row r="18708" spans="1:2" ht="12.75" customHeight="1" x14ac:dyDescent="0.25">
      <c r="A18708" s="318">
        <v>96926700494</v>
      </c>
      <c r="B18708" s="318" t="s">
        <v>237</v>
      </c>
    </row>
    <row r="18709" spans="1:2" ht="12.75" customHeight="1" x14ac:dyDescent="0.25">
      <c r="A18709" s="318">
        <v>96926700495</v>
      </c>
      <c r="B18709" s="318" t="s">
        <v>237</v>
      </c>
    </row>
    <row r="18710" spans="1:2" ht="12.75" customHeight="1" x14ac:dyDescent="0.25">
      <c r="A18710" s="318">
        <v>96926700579</v>
      </c>
      <c r="B18710" s="318" t="s">
        <v>237</v>
      </c>
    </row>
    <row r="18711" spans="1:2" ht="12.75" customHeight="1" x14ac:dyDescent="0.25">
      <c r="A18711" s="318">
        <v>96926700580</v>
      </c>
      <c r="B18711" s="318" t="s">
        <v>237</v>
      </c>
    </row>
    <row r="18712" spans="1:2" ht="12.75" customHeight="1" x14ac:dyDescent="0.25">
      <c r="A18712" s="318">
        <v>96926700581</v>
      </c>
      <c r="B18712" s="318" t="s">
        <v>237</v>
      </c>
    </row>
    <row r="18713" spans="1:2" ht="12.75" customHeight="1" x14ac:dyDescent="0.25">
      <c r="A18713" s="318">
        <v>96926700582</v>
      </c>
      <c r="B18713" s="318" t="s">
        <v>237</v>
      </c>
    </row>
    <row r="18714" spans="1:2" ht="12.75" customHeight="1" x14ac:dyDescent="0.25">
      <c r="A18714" s="318">
        <v>96926700583</v>
      </c>
      <c r="B18714" s="318" t="s">
        <v>237</v>
      </c>
    </row>
    <row r="18715" spans="1:2" ht="12.75" customHeight="1" x14ac:dyDescent="0.25">
      <c r="A18715" s="318">
        <v>96926700584</v>
      </c>
      <c r="B18715" s="318" t="s">
        <v>237</v>
      </c>
    </row>
    <row r="18716" spans="1:2" ht="12.75" customHeight="1" x14ac:dyDescent="0.25">
      <c r="A18716" s="318">
        <v>96926700585</v>
      </c>
      <c r="B18716" s="318" t="s">
        <v>237</v>
      </c>
    </row>
    <row r="18717" spans="1:2" ht="12.75" customHeight="1" x14ac:dyDescent="0.25">
      <c r="A18717" s="318">
        <v>96926700586</v>
      </c>
      <c r="B18717" s="318" t="s">
        <v>237</v>
      </c>
    </row>
    <row r="18718" spans="1:2" ht="12.75" customHeight="1" x14ac:dyDescent="0.25">
      <c r="A18718" s="318">
        <v>96926700588</v>
      </c>
      <c r="B18718" s="318" t="s">
        <v>237</v>
      </c>
    </row>
    <row r="18719" spans="1:2" ht="12.75" customHeight="1" x14ac:dyDescent="0.25">
      <c r="A18719" s="318">
        <v>96926700589</v>
      </c>
      <c r="B18719" s="318" t="s">
        <v>237</v>
      </c>
    </row>
    <row r="18720" spans="1:2" ht="12.75" customHeight="1" x14ac:dyDescent="0.25">
      <c r="A18720" s="318">
        <v>96926700590</v>
      </c>
      <c r="B18720" s="318" t="s">
        <v>237</v>
      </c>
    </row>
    <row r="18721" spans="1:2" ht="12.75" customHeight="1" x14ac:dyDescent="0.25">
      <c r="A18721" s="318">
        <v>96926700591</v>
      </c>
      <c r="B18721" s="318" t="s">
        <v>237</v>
      </c>
    </row>
    <row r="18722" spans="1:2" ht="12.75" customHeight="1" x14ac:dyDescent="0.25">
      <c r="A18722" s="318">
        <v>96926700592</v>
      </c>
      <c r="B18722" s="318" t="s">
        <v>237</v>
      </c>
    </row>
    <row r="18723" spans="1:2" ht="12.75" customHeight="1" x14ac:dyDescent="0.25">
      <c r="A18723" s="318">
        <v>96926700593</v>
      </c>
      <c r="B18723" s="318" t="s">
        <v>237</v>
      </c>
    </row>
    <row r="18724" spans="1:2" ht="12.75" customHeight="1" x14ac:dyDescent="0.25">
      <c r="A18724" s="318">
        <v>96926700594</v>
      </c>
      <c r="B18724" s="318" t="s">
        <v>237</v>
      </c>
    </row>
    <row r="18725" spans="1:2" ht="12.75" customHeight="1" x14ac:dyDescent="0.25">
      <c r="A18725" s="318">
        <v>96926700595</v>
      </c>
      <c r="B18725" s="318" t="s">
        <v>237</v>
      </c>
    </row>
    <row r="18726" spans="1:2" ht="12.75" customHeight="1" x14ac:dyDescent="0.25">
      <c r="A18726" s="318">
        <v>96927181452</v>
      </c>
      <c r="B18726" s="318" t="s">
        <v>23</v>
      </c>
    </row>
    <row r="18727" spans="1:2" ht="12.75" customHeight="1" x14ac:dyDescent="0.25">
      <c r="A18727" s="318">
        <v>96927181453</v>
      </c>
      <c r="B18727" s="318" t="s">
        <v>23</v>
      </c>
    </row>
    <row r="18728" spans="1:2" ht="12.75" customHeight="1" x14ac:dyDescent="0.25">
      <c r="A18728" s="318">
        <v>96927181454</v>
      </c>
      <c r="B18728" s="318" t="s">
        <v>23</v>
      </c>
    </row>
    <row r="18729" spans="1:2" ht="12.75" customHeight="1" x14ac:dyDescent="0.25">
      <c r="A18729" s="318">
        <v>96927181455</v>
      </c>
      <c r="B18729" s="318" t="s">
        <v>23</v>
      </c>
    </row>
    <row r="18730" spans="1:2" ht="12.75" customHeight="1" x14ac:dyDescent="0.25">
      <c r="A18730" s="318">
        <v>96927181456</v>
      </c>
      <c r="B18730" s="318" t="s">
        <v>23</v>
      </c>
    </row>
    <row r="18731" spans="1:2" ht="12.75" customHeight="1" x14ac:dyDescent="0.25">
      <c r="A18731" s="318">
        <v>96927181457</v>
      </c>
      <c r="B18731" s="318" t="s">
        <v>23</v>
      </c>
    </row>
    <row r="18732" spans="1:2" ht="12.75" customHeight="1" x14ac:dyDescent="0.25">
      <c r="A18732" s="318">
        <v>96927181458</v>
      </c>
      <c r="B18732" s="318" t="s">
        <v>23</v>
      </c>
    </row>
    <row r="18733" spans="1:2" ht="12.75" customHeight="1" x14ac:dyDescent="0.25">
      <c r="A18733" s="318">
        <v>96927181459</v>
      </c>
      <c r="B18733" s="318" t="s">
        <v>237</v>
      </c>
    </row>
    <row r="18734" spans="1:2" ht="12.75" customHeight="1" x14ac:dyDescent="0.25">
      <c r="A18734" s="318">
        <v>96927181461</v>
      </c>
      <c r="B18734" s="318" t="s">
        <v>237</v>
      </c>
    </row>
    <row r="18735" spans="1:2" ht="12.75" customHeight="1" x14ac:dyDescent="0.25">
      <c r="A18735" s="318">
        <v>96927181462</v>
      </c>
      <c r="B18735" s="318" t="s">
        <v>237</v>
      </c>
    </row>
    <row r="18736" spans="1:2" ht="12.75" customHeight="1" x14ac:dyDescent="0.25">
      <c r="A18736" s="318">
        <v>96927181463</v>
      </c>
      <c r="B18736" s="318" t="s">
        <v>237</v>
      </c>
    </row>
    <row r="18737" spans="1:2" ht="12.75" customHeight="1" x14ac:dyDescent="0.25">
      <c r="A18737" s="318">
        <v>96927181464</v>
      </c>
      <c r="B18737" s="318" t="s">
        <v>237</v>
      </c>
    </row>
    <row r="18738" spans="1:2" ht="12.75" customHeight="1" x14ac:dyDescent="0.25">
      <c r="A18738" s="318">
        <v>96927181465</v>
      </c>
      <c r="B18738" s="318" t="s">
        <v>237</v>
      </c>
    </row>
    <row r="18739" spans="1:2" ht="12.75" customHeight="1" x14ac:dyDescent="0.25">
      <c r="A18739" s="318">
        <v>96927181466</v>
      </c>
      <c r="B18739" s="318" t="s">
        <v>237</v>
      </c>
    </row>
    <row r="18740" spans="1:2" ht="12.75" customHeight="1" x14ac:dyDescent="0.25">
      <c r="A18740" s="318">
        <v>96927181467</v>
      </c>
      <c r="B18740" s="318" t="s">
        <v>237</v>
      </c>
    </row>
    <row r="18741" spans="1:2" ht="12.75" customHeight="1" x14ac:dyDescent="0.25">
      <c r="A18741" s="318">
        <v>96927181468</v>
      </c>
      <c r="B18741" s="318" t="s">
        <v>237</v>
      </c>
    </row>
    <row r="18742" spans="1:2" ht="12.75" customHeight="1" x14ac:dyDescent="0.25">
      <c r="A18742" s="318">
        <v>96927181552</v>
      </c>
      <c r="B18742" s="318" t="s">
        <v>237</v>
      </c>
    </row>
    <row r="18743" spans="1:2" ht="12.75" customHeight="1" x14ac:dyDescent="0.25">
      <c r="A18743" s="318">
        <v>96927181553</v>
      </c>
      <c r="B18743" s="318" t="s">
        <v>237</v>
      </c>
    </row>
    <row r="18744" spans="1:2" ht="12.75" customHeight="1" x14ac:dyDescent="0.25">
      <c r="A18744" s="318">
        <v>96927181554</v>
      </c>
      <c r="B18744" s="318" t="s">
        <v>237</v>
      </c>
    </row>
    <row r="18745" spans="1:2" ht="12.75" customHeight="1" x14ac:dyDescent="0.25">
      <c r="A18745" s="318">
        <v>96927181555</v>
      </c>
      <c r="B18745" s="318" t="s">
        <v>237</v>
      </c>
    </row>
    <row r="18746" spans="1:2" ht="12.75" customHeight="1" x14ac:dyDescent="0.25">
      <c r="A18746" s="318">
        <v>96927181556</v>
      </c>
      <c r="B18746" s="318" t="s">
        <v>237</v>
      </c>
    </row>
    <row r="18747" spans="1:2" ht="12.75" customHeight="1" x14ac:dyDescent="0.25">
      <c r="A18747" s="318">
        <v>96927181557</v>
      </c>
      <c r="B18747" s="318" t="s">
        <v>237</v>
      </c>
    </row>
    <row r="18748" spans="1:2" ht="12.75" customHeight="1" x14ac:dyDescent="0.25">
      <c r="A18748" s="318">
        <v>96927181558</v>
      </c>
      <c r="B18748" s="318" t="s">
        <v>237</v>
      </c>
    </row>
    <row r="18749" spans="1:2" ht="12.75" customHeight="1" x14ac:dyDescent="0.25">
      <c r="A18749" s="318">
        <v>96927181559</v>
      </c>
      <c r="B18749" s="318" t="s">
        <v>237</v>
      </c>
    </row>
    <row r="18750" spans="1:2" ht="12.75" customHeight="1" x14ac:dyDescent="0.25">
      <c r="A18750" s="318">
        <v>96927181561</v>
      </c>
      <c r="B18750" s="318" t="s">
        <v>237</v>
      </c>
    </row>
    <row r="18751" spans="1:2" ht="12.75" customHeight="1" x14ac:dyDescent="0.25">
      <c r="A18751" s="318">
        <v>96927181562</v>
      </c>
      <c r="B18751" s="318" t="s">
        <v>237</v>
      </c>
    </row>
    <row r="18752" spans="1:2" ht="12.75" customHeight="1" x14ac:dyDescent="0.25">
      <c r="A18752" s="318">
        <v>96927181563</v>
      </c>
      <c r="B18752" s="318" t="s">
        <v>237</v>
      </c>
    </row>
    <row r="18753" spans="1:2" ht="12.75" customHeight="1" x14ac:dyDescent="0.25">
      <c r="A18753" s="318">
        <v>96927181564</v>
      </c>
      <c r="B18753" s="318" t="s">
        <v>237</v>
      </c>
    </row>
    <row r="18754" spans="1:2" ht="12.75" customHeight="1" x14ac:dyDescent="0.25">
      <c r="A18754" s="318">
        <v>96927181565</v>
      </c>
      <c r="B18754" s="318" t="s">
        <v>237</v>
      </c>
    </row>
    <row r="18755" spans="1:2" ht="12.75" customHeight="1" x14ac:dyDescent="0.25">
      <c r="A18755" s="318">
        <v>96927181566</v>
      </c>
      <c r="B18755" s="318" t="s">
        <v>237</v>
      </c>
    </row>
    <row r="18756" spans="1:2" ht="12.75" customHeight="1" x14ac:dyDescent="0.25">
      <c r="A18756" s="318">
        <v>96927181567</v>
      </c>
      <c r="B18756" s="318" t="s">
        <v>237</v>
      </c>
    </row>
    <row r="18757" spans="1:2" ht="12.75" customHeight="1" x14ac:dyDescent="0.25">
      <c r="A18757" s="318">
        <v>96927181568</v>
      </c>
      <c r="B18757" s="318" t="s">
        <v>237</v>
      </c>
    </row>
    <row r="18758" spans="1:2" ht="12.75" customHeight="1" x14ac:dyDescent="0.25">
      <c r="A18758" s="318">
        <v>96927662425</v>
      </c>
      <c r="B18758" s="318" t="s">
        <v>23</v>
      </c>
    </row>
    <row r="18759" spans="1:2" ht="12.75" customHeight="1" x14ac:dyDescent="0.25">
      <c r="A18759" s="318">
        <v>96927662426</v>
      </c>
      <c r="B18759" s="318" t="s">
        <v>23</v>
      </c>
    </row>
    <row r="18760" spans="1:2" ht="12.75" customHeight="1" x14ac:dyDescent="0.25">
      <c r="A18760" s="318">
        <v>96927662427</v>
      </c>
      <c r="B18760" s="318" t="s">
        <v>23</v>
      </c>
    </row>
    <row r="18761" spans="1:2" ht="12.75" customHeight="1" x14ac:dyDescent="0.25">
      <c r="A18761" s="318">
        <v>96927662428</v>
      </c>
      <c r="B18761" s="318" t="s">
        <v>23</v>
      </c>
    </row>
    <row r="18762" spans="1:2" ht="12.75" customHeight="1" x14ac:dyDescent="0.25">
      <c r="A18762" s="318">
        <v>96927662429</v>
      </c>
      <c r="B18762" s="318" t="s">
        <v>23</v>
      </c>
    </row>
    <row r="18763" spans="1:2" ht="12.75" customHeight="1" x14ac:dyDescent="0.25">
      <c r="A18763" s="318">
        <v>96927662430</v>
      </c>
      <c r="B18763" s="318" t="s">
        <v>23</v>
      </c>
    </row>
    <row r="18764" spans="1:2" ht="12.75" customHeight="1" x14ac:dyDescent="0.25">
      <c r="A18764" s="318">
        <v>96927662431</v>
      </c>
      <c r="B18764" s="318" t="s">
        <v>23</v>
      </c>
    </row>
    <row r="18765" spans="1:2" ht="12.75" customHeight="1" x14ac:dyDescent="0.25">
      <c r="A18765" s="318">
        <v>96927662432</v>
      </c>
      <c r="B18765" s="318" t="s">
        <v>237</v>
      </c>
    </row>
    <row r="18766" spans="1:2" ht="12.75" customHeight="1" x14ac:dyDescent="0.25">
      <c r="A18766" s="318">
        <v>96927662434</v>
      </c>
      <c r="B18766" s="318" t="s">
        <v>23</v>
      </c>
    </row>
    <row r="18767" spans="1:2" ht="12.75" customHeight="1" x14ac:dyDescent="0.25">
      <c r="A18767" s="318">
        <v>96927662435</v>
      </c>
      <c r="B18767" s="318" t="s">
        <v>237</v>
      </c>
    </row>
    <row r="18768" spans="1:2" ht="12.75" customHeight="1" x14ac:dyDescent="0.25">
      <c r="A18768" s="318">
        <v>96927662436</v>
      </c>
      <c r="B18768" s="318" t="s">
        <v>23</v>
      </c>
    </row>
    <row r="18769" spans="1:2" ht="12.75" customHeight="1" x14ac:dyDescent="0.25">
      <c r="A18769" s="318">
        <v>96927662437</v>
      </c>
      <c r="B18769" s="318" t="s">
        <v>237</v>
      </c>
    </row>
    <row r="18770" spans="1:2" ht="12.75" customHeight="1" x14ac:dyDescent="0.25">
      <c r="A18770" s="318">
        <v>96927662438</v>
      </c>
      <c r="B18770" s="318" t="s">
        <v>23</v>
      </c>
    </row>
    <row r="18771" spans="1:2" ht="12.75" customHeight="1" x14ac:dyDescent="0.25">
      <c r="A18771" s="318">
        <v>96927662439</v>
      </c>
      <c r="B18771" s="318" t="s">
        <v>237</v>
      </c>
    </row>
    <row r="18772" spans="1:2" ht="12.75" customHeight="1" x14ac:dyDescent="0.25">
      <c r="A18772" s="318">
        <v>96927662440</v>
      </c>
      <c r="B18772" s="318" t="s">
        <v>23</v>
      </c>
    </row>
    <row r="18773" spans="1:2" ht="12.75" customHeight="1" x14ac:dyDescent="0.25">
      <c r="A18773" s="318">
        <v>96927662441</v>
      </c>
      <c r="B18773" s="318" t="s">
        <v>237</v>
      </c>
    </row>
    <row r="18774" spans="1:2" ht="12.75" customHeight="1" x14ac:dyDescent="0.25">
      <c r="A18774" s="318">
        <v>96927662525</v>
      </c>
      <c r="B18774" s="318" t="s">
        <v>237</v>
      </c>
    </row>
    <row r="18775" spans="1:2" ht="12.75" customHeight="1" x14ac:dyDescent="0.25">
      <c r="A18775" s="318">
        <v>96927662526</v>
      </c>
      <c r="B18775" s="318" t="s">
        <v>237</v>
      </c>
    </row>
    <row r="18776" spans="1:2" ht="12.75" customHeight="1" x14ac:dyDescent="0.25">
      <c r="A18776" s="318">
        <v>96927662527</v>
      </c>
      <c r="B18776" s="318" t="s">
        <v>237</v>
      </c>
    </row>
    <row r="18777" spans="1:2" ht="12.75" customHeight="1" x14ac:dyDescent="0.25">
      <c r="A18777" s="318">
        <v>96927662528</v>
      </c>
      <c r="B18777" s="318" t="s">
        <v>237</v>
      </c>
    </row>
    <row r="18778" spans="1:2" ht="12.75" customHeight="1" x14ac:dyDescent="0.25">
      <c r="A18778" s="318">
        <v>96927662529</v>
      </c>
      <c r="B18778" s="318" t="s">
        <v>237</v>
      </c>
    </row>
    <row r="18779" spans="1:2" ht="12.75" customHeight="1" x14ac:dyDescent="0.25">
      <c r="A18779" s="318">
        <v>96927662530</v>
      </c>
      <c r="B18779" s="318" t="s">
        <v>237</v>
      </c>
    </row>
    <row r="18780" spans="1:2" ht="12.75" customHeight="1" x14ac:dyDescent="0.25">
      <c r="A18780" s="318">
        <v>96927662531</v>
      </c>
      <c r="B18780" s="318" t="s">
        <v>237</v>
      </c>
    </row>
    <row r="18781" spans="1:2" ht="12.75" customHeight="1" x14ac:dyDescent="0.25">
      <c r="A18781" s="318">
        <v>96927662532</v>
      </c>
      <c r="B18781" s="318" t="s">
        <v>237</v>
      </c>
    </row>
    <row r="18782" spans="1:2" ht="12.75" customHeight="1" x14ac:dyDescent="0.25">
      <c r="A18782" s="318">
        <v>96927662534</v>
      </c>
      <c r="B18782" s="318" t="s">
        <v>237</v>
      </c>
    </row>
    <row r="18783" spans="1:2" ht="12.75" customHeight="1" x14ac:dyDescent="0.25">
      <c r="A18783" s="318">
        <v>96927662535</v>
      </c>
      <c r="B18783" s="318" t="s">
        <v>237</v>
      </c>
    </row>
    <row r="18784" spans="1:2" ht="12.75" customHeight="1" x14ac:dyDescent="0.25">
      <c r="A18784" s="318">
        <v>96927662536</v>
      </c>
      <c r="B18784" s="318" t="s">
        <v>237</v>
      </c>
    </row>
    <row r="18785" spans="1:2" ht="12.75" customHeight="1" x14ac:dyDescent="0.25">
      <c r="A18785" s="318">
        <v>96927662537</v>
      </c>
      <c r="B18785" s="318" t="s">
        <v>237</v>
      </c>
    </row>
    <row r="18786" spans="1:2" ht="12.75" customHeight="1" x14ac:dyDescent="0.25">
      <c r="A18786" s="318">
        <v>96927662538</v>
      </c>
      <c r="B18786" s="318" t="s">
        <v>237</v>
      </c>
    </row>
    <row r="18787" spans="1:2" ht="12.75" customHeight="1" x14ac:dyDescent="0.25">
      <c r="A18787" s="318">
        <v>96927662539</v>
      </c>
      <c r="B18787" s="318" t="s">
        <v>237</v>
      </c>
    </row>
    <row r="18788" spans="1:2" ht="12.75" customHeight="1" x14ac:dyDescent="0.25">
      <c r="A18788" s="318">
        <v>96927662540</v>
      </c>
      <c r="B18788" s="318" t="s">
        <v>237</v>
      </c>
    </row>
    <row r="18789" spans="1:2" ht="12.75" customHeight="1" x14ac:dyDescent="0.25">
      <c r="A18789" s="318">
        <v>96927662541</v>
      </c>
      <c r="B18789" s="318" t="s">
        <v>237</v>
      </c>
    </row>
    <row r="18790" spans="1:2" ht="12.75" customHeight="1" x14ac:dyDescent="0.25">
      <c r="A18790" s="318">
        <v>96928342616</v>
      </c>
      <c r="B18790" s="318" t="s">
        <v>23</v>
      </c>
    </row>
    <row r="18791" spans="1:2" ht="12.75" customHeight="1" x14ac:dyDescent="0.25">
      <c r="A18791" s="318">
        <v>96928342617</v>
      </c>
      <c r="B18791" s="318" t="s">
        <v>23</v>
      </c>
    </row>
    <row r="18792" spans="1:2" ht="12.75" customHeight="1" x14ac:dyDescent="0.25">
      <c r="A18792" s="318">
        <v>96928342618</v>
      </c>
      <c r="B18792" s="318" t="s">
        <v>23</v>
      </c>
    </row>
    <row r="18793" spans="1:2" ht="12.75" customHeight="1" x14ac:dyDescent="0.25">
      <c r="A18793" s="318">
        <v>96928342619</v>
      </c>
      <c r="B18793" s="318" t="s">
        <v>23</v>
      </c>
    </row>
    <row r="18794" spans="1:2" ht="12.75" customHeight="1" x14ac:dyDescent="0.25">
      <c r="A18794" s="318">
        <v>96928342620</v>
      </c>
      <c r="B18794" s="318" t="s">
        <v>23</v>
      </c>
    </row>
    <row r="18795" spans="1:2" ht="12.75" customHeight="1" x14ac:dyDescent="0.25">
      <c r="A18795" s="318">
        <v>96928342621</v>
      </c>
      <c r="B18795" s="318" t="s">
        <v>23</v>
      </c>
    </row>
    <row r="18796" spans="1:2" ht="12.75" customHeight="1" x14ac:dyDescent="0.25">
      <c r="A18796" s="318">
        <v>96928342622</v>
      </c>
      <c r="B18796" s="318" t="s">
        <v>23</v>
      </c>
    </row>
    <row r="18797" spans="1:2" ht="12.75" customHeight="1" x14ac:dyDescent="0.25">
      <c r="A18797" s="318">
        <v>96928342623</v>
      </c>
      <c r="B18797" s="318" t="s">
        <v>237</v>
      </c>
    </row>
    <row r="18798" spans="1:2" ht="12.75" customHeight="1" x14ac:dyDescent="0.25">
      <c r="A18798" s="318">
        <v>96928342625</v>
      </c>
      <c r="B18798" s="318" t="s">
        <v>23</v>
      </c>
    </row>
    <row r="18799" spans="1:2" ht="12.75" customHeight="1" x14ac:dyDescent="0.25">
      <c r="A18799" s="318">
        <v>96928342626</v>
      </c>
      <c r="B18799" s="318" t="s">
        <v>237</v>
      </c>
    </row>
    <row r="18800" spans="1:2" ht="12.75" customHeight="1" x14ac:dyDescent="0.25">
      <c r="A18800" s="318">
        <v>96928342627</v>
      </c>
      <c r="B18800" s="318" t="s">
        <v>23</v>
      </c>
    </row>
    <row r="18801" spans="1:2" ht="12.75" customHeight="1" x14ac:dyDescent="0.25">
      <c r="A18801" s="318">
        <v>96928342628</v>
      </c>
      <c r="B18801" s="318" t="s">
        <v>237</v>
      </c>
    </row>
    <row r="18802" spans="1:2" ht="12.75" customHeight="1" x14ac:dyDescent="0.25">
      <c r="A18802" s="318">
        <v>96928342629</v>
      </c>
      <c r="B18802" s="318" t="s">
        <v>23</v>
      </c>
    </row>
    <row r="18803" spans="1:2" ht="12.75" customHeight="1" x14ac:dyDescent="0.25">
      <c r="A18803" s="318">
        <v>96928342630</v>
      </c>
      <c r="B18803" s="318" t="s">
        <v>237</v>
      </c>
    </row>
    <row r="18804" spans="1:2" ht="12.75" customHeight="1" x14ac:dyDescent="0.25">
      <c r="A18804" s="318">
        <v>96928342631</v>
      </c>
      <c r="B18804" s="318" t="s">
        <v>23</v>
      </c>
    </row>
    <row r="18805" spans="1:2" ht="12.75" customHeight="1" x14ac:dyDescent="0.25">
      <c r="A18805" s="318">
        <v>96928342632</v>
      </c>
      <c r="B18805" s="318" t="s">
        <v>237</v>
      </c>
    </row>
    <row r="18806" spans="1:2" ht="12.75" customHeight="1" x14ac:dyDescent="0.25">
      <c r="A18806" s="318">
        <v>96928342716</v>
      </c>
      <c r="B18806" s="318" t="s">
        <v>237</v>
      </c>
    </row>
    <row r="18807" spans="1:2" ht="12.75" customHeight="1" x14ac:dyDescent="0.25">
      <c r="A18807" s="318">
        <v>96928342717</v>
      </c>
      <c r="B18807" s="318" t="s">
        <v>237</v>
      </c>
    </row>
    <row r="18808" spans="1:2" ht="12.75" customHeight="1" x14ac:dyDescent="0.25">
      <c r="A18808" s="318">
        <v>96928342718</v>
      </c>
      <c r="B18808" s="318" t="s">
        <v>237</v>
      </c>
    </row>
    <row r="18809" spans="1:2" ht="12.75" customHeight="1" x14ac:dyDescent="0.25">
      <c r="A18809" s="318">
        <v>96928342719</v>
      </c>
      <c r="B18809" s="318" t="s">
        <v>237</v>
      </c>
    </row>
    <row r="18810" spans="1:2" ht="12.75" customHeight="1" x14ac:dyDescent="0.25">
      <c r="A18810" s="318">
        <v>96928342720</v>
      </c>
      <c r="B18810" s="318" t="s">
        <v>237</v>
      </c>
    </row>
    <row r="18811" spans="1:2" ht="12.75" customHeight="1" x14ac:dyDescent="0.25">
      <c r="A18811" s="318">
        <v>96928342721</v>
      </c>
      <c r="B18811" s="318" t="s">
        <v>237</v>
      </c>
    </row>
    <row r="18812" spans="1:2" ht="12.75" customHeight="1" x14ac:dyDescent="0.25">
      <c r="A18812" s="318">
        <v>96928342722</v>
      </c>
      <c r="B18812" s="318" t="s">
        <v>237</v>
      </c>
    </row>
    <row r="18813" spans="1:2" ht="12.75" customHeight="1" x14ac:dyDescent="0.25">
      <c r="A18813" s="318">
        <v>96928342723</v>
      </c>
      <c r="B18813" s="318" t="s">
        <v>237</v>
      </c>
    </row>
    <row r="18814" spans="1:2" ht="12.75" customHeight="1" x14ac:dyDescent="0.25">
      <c r="A18814" s="318">
        <v>96928342725</v>
      </c>
      <c r="B18814" s="318" t="s">
        <v>237</v>
      </c>
    </row>
    <row r="18815" spans="1:2" ht="12.75" customHeight="1" x14ac:dyDescent="0.25">
      <c r="A18815" s="318">
        <v>96928342726</v>
      </c>
      <c r="B18815" s="318" t="s">
        <v>237</v>
      </c>
    </row>
    <row r="18816" spans="1:2" ht="12.75" customHeight="1" x14ac:dyDescent="0.25">
      <c r="A18816" s="318">
        <v>96928342727</v>
      </c>
      <c r="B18816" s="318" t="s">
        <v>237</v>
      </c>
    </row>
    <row r="18817" spans="1:2" ht="12.75" customHeight="1" x14ac:dyDescent="0.25">
      <c r="A18817" s="318">
        <v>96928342728</v>
      </c>
      <c r="B18817" s="318" t="s">
        <v>237</v>
      </c>
    </row>
    <row r="18818" spans="1:2" ht="12.75" customHeight="1" x14ac:dyDescent="0.25">
      <c r="A18818" s="318">
        <v>96928342729</v>
      </c>
      <c r="B18818" s="318" t="s">
        <v>237</v>
      </c>
    </row>
    <row r="18819" spans="1:2" ht="12.75" customHeight="1" x14ac:dyDescent="0.25">
      <c r="A18819" s="318">
        <v>96928342730</v>
      </c>
      <c r="B18819" s="318" t="s">
        <v>237</v>
      </c>
    </row>
    <row r="18820" spans="1:2" ht="12.75" customHeight="1" x14ac:dyDescent="0.25">
      <c r="A18820" s="318">
        <v>96928342731</v>
      </c>
      <c r="B18820" s="318" t="s">
        <v>237</v>
      </c>
    </row>
    <row r="18821" spans="1:2" ht="12.75" customHeight="1" x14ac:dyDescent="0.25">
      <c r="A18821" s="318">
        <v>96928342732</v>
      </c>
      <c r="B18821" s="318" t="s">
        <v>237</v>
      </c>
    </row>
    <row r="18822" spans="1:2" ht="12.75" customHeight="1" x14ac:dyDescent="0.25">
      <c r="A18822" s="318">
        <v>96928823589</v>
      </c>
      <c r="B18822" s="318" t="s">
        <v>23</v>
      </c>
    </row>
    <row r="18823" spans="1:2" ht="12.75" customHeight="1" x14ac:dyDescent="0.25">
      <c r="A18823" s="318">
        <v>96928823590</v>
      </c>
      <c r="B18823" s="318" t="s">
        <v>23</v>
      </c>
    </row>
    <row r="18824" spans="1:2" ht="12.75" customHeight="1" x14ac:dyDescent="0.25">
      <c r="A18824" s="318">
        <v>96928823591</v>
      </c>
      <c r="B18824" s="318" t="s">
        <v>23</v>
      </c>
    </row>
    <row r="18825" spans="1:2" ht="12.75" customHeight="1" x14ac:dyDescent="0.25">
      <c r="A18825" s="318">
        <v>96928823592</v>
      </c>
      <c r="B18825" s="318" t="s">
        <v>23</v>
      </c>
    </row>
    <row r="18826" spans="1:2" ht="12.75" customHeight="1" x14ac:dyDescent="0.25">
      <c r="A18826" s="318">
        <v>96928823593</v>
      </c>
      <c r="B18826" s="318" t="s">
        <v>23</v>
      </c>
    </row>
    <row r="18827" spans="1:2" ht="12.75" customHeight="1" x14ac:dyDescent="0.25">
      <c r="A18827" s="318">
        <v>96928823594</v>
      </c>
      <c r="B18827" s="318" t="s">
        <v>23</v>
      </c>
    </row>
    <row r="18828" spans="1:2" ht="12.75" customHeight="1" x14ac:dyDescent="0.25">
      <c r="A18828" s="318">
        <v>96928823595</v>
      </c>
      <c r="B18828" s="318" t="s">
        <v>23</v>
      </c>
    </row>
    <row r="18829" spans="1:2" ht="12.75" customHeight="1" x14ac:dyDescent="0.25">
      <c r="A18829" s="318">
        <v>96928823596</v>
      </c>
      <c r="B18829" s="318" t="s">
        <v>237</v>
      </c>
    </row>
    <row r="18830" spans="1:2" ht="12.75" customHeight="1" x14ac:dyDescent="0.25">
      <c r="A18830" s="318">
        <v>96928823598</v>
      </c>
      <c r="B18830" s="318" t="s">
        <v>23</v>
      </c>
    </row>
    <row r="18831" spans="1:2" ht="12.75" customHeight="1" x14ac:dyDescent="0.25">
      <c r="A18831" s="318">
        <v>96928823599</v>
      </c>
      <c r="B18831" s="318" t="s">
        <v>237</v>
      </c>
    </row>
    <row r="18832" spans="1:2" ht="12.75" customHeight="1" x14ac:dyDescent="0.25">
      <c r="A18832" s="318">
        <v>96928823600</v>
      </c>
      <c r="B18832" s="318" t="s">
        <v>23</v>
      </c>
    </row>
    <row r="18833" spans="1:2" ht="12.75" customHeight="1" x14ac:dyDescent="0.25">
      <c r="A18833" s="318">
        <v>96928823601</v>
      </c>
      <c r="B18833" s="318" t="s">
        <v>237</v>
      </c>
    </row>
    <row r="18834" spans="1:2" ht="12.75" customHeight="1" x14ac:dyDescent="0.25">
      <c r="A18834" s="318">
        <v>96928823602</v>
      </c>
      <c r="B18834" s="318" t="s">
        <v>23</v>
      </c>
    </row>
    <row r="18835" spans="1:2" ht="12.75" customHeight="1" x14ac:dyDescent="0.25">
      <c r="A18835" s="318">
        <v>96928823603</v>
      </c>
      <c r="B18835" s="318" t="s">
        <v>237</v>
      </c>
    </row>
    <row r="18836" spans="1:2" ht="12.75" customHeight="1" x14ac:dyDescent="0.25">
      <c r="A18836" s="318">
        <v>96928823604</v>
      </c>
      <c r="B18836" s="318" t="s">
        <v>23</v>
      </c>
    </row>
    <row r="18837" spans="1:2" ht="12.75" customHeight="1" x14ac:dyDescent="0.25">
      <c r="A18837" s="318">
        <v>96928823605</v>
      </c>
      <c r="B18837" s="318" t="s">
        <v>237</v>
      </c>
    </row>
    <row r="18838" spans="1:2" ht="12.75" customHeight="1" x14ac:dyDescent="0.25">
      <c r="A18838" s="318">
        <v>96928823689</v>
      </c>
      <c r="B18838" s="318" t="s">
        <v>237</v>
      </c>
    </row>
    <row r="18839" spans="1:2" ht="12.75" customHeight="1" x14ac:dyDescent="0.25">
      <c r="A18839" s="318">
        <v>96928823690</v>
      </c>
      <c r="B18839" s="318" t="s">
        <v>237</v>
      </c>
    </row>
    <row r="18840" spans="1:2" ht="12.75" customHeight="1" x14ac:dyDescent="0.25">
      <c r="A18840" s="318">
        <v>96928823691</v>
      </c>
      <c r="B18840" s="318" t="s">
        <v>237</v>
      </c>
    </row>
    <row r="18841" spans="1:2" ht="12.75" customHeight="1" x14ac:dyDescent="0.25">
      <c r="A18841" s="318">
        <v>96928823692</v>
      </c>
      <c r="B18841" s="318" t="s">
        <v>237</v>
      </c>
    </row>
    <row r="18842" spans="1:2" ht="12.75" customHeight="1" x14ac:dyDescent="0.25">
      <c r="A18842" s="318">
        <v>96928823693</v>
      </c>
      <c r="B18842" s="318" t="s">
        <v>237</v>
      </c>
    </row>
    <row r="18843" spans="1:2" ht="12.75" customHeight="1" x14ac:dyDescent="0.25">
      <c r="A18843" s="318">
        <v>96928823694</v>
      </c>
      <c r="B18843" s="318" t="s">
        <v>237</v>
      </c>
    </row>
    <row r="18844" spans="1:2" ht="12.75" customHeight="1" x14ac:dyDescent="0.25">
      <c r="A18844" s="318">
        <v>96928823695</v>
      </c>
      <c r="B18844" s="318" t="s">
        <v>237</v>
      </c>
    </row>
    <row r="18845" spans="1:2" ht="12.75" customHeight="1" x14ac:dyDescent="0.25">
      <c r="A18845" s="318">
        <v>96928823696</v>
      </c>
      <c r="B18845" s="318" t="s">
        <v>237</v>
      </c>
    </row>
    <row r="18846" spans="1:2" ht="12.75" customHeight="1" x14ac:dyDescent="0.25">
      <c r="A18846" s="318">
        <v>96928823698</v>
      </c>
      <c r="B18846" s="318" t="s">
        <v>237</v>
      </c>
    </row>
    <row r="18847" spans="1:2" ht="12.75" customHeight="1" x14ac:dyDescent="0.25">
      <c r="A18847" s="318">
        <v>96928823699</v>
      </c>
      <c r="B18847" s="318" t="s">
        <v>237</v>
      </c>
    </row>
    <row r="18848" spans="1:2" ht="12.75" customHeight="1" x14ac:dyDescent="0.25">
      <c r="A18848" s="318">
        <v>96928823700</v>
      </c>
      <c r="B18848" s="318" t="s">
        <v>237</v>
      </c>
    </row>
    <row r="18849" spans="1:2" ht="12.75" customHeight="1" x14ac:dyDescent="0.25">
      <c r="A18849" s="318">
        <v>96928823701</v>
      </c>
      <c r="B18849" s="318" t="s">
        <v>237</v>
      </c>
    </row>
    <row r="18850" spans="1:2" ht="12.75" customHeight="1" x14ac:dyDescent="0.25">
      <c r="A18850" s="318">
        <v>96928823702</v>
      </c>
      <c r="B18850" s="318" t="s">
        <v>237</v>
      </c>
    </row>
    <row r="18851" spans="1:2" ht="12.75" customHeight="1" x14ac:dyDescent="0.25">
      <c r="A18851" s="318">
        <v>96928823703</v>
      </c>
      <c r="B18851" s="318" t="s">
        <v>237</v>
      </c>
    </row>
    <row r="18852" spans="1:2" ht="12.75" customHeight="1" x14ac:dyDescent="0.25">
      <c r="A18852" s="318">
        <v>96928823704</v>
      </c>
      <c r="B18852" s="318" t="s">
        <v>237</v>
      </c>
    </row>
    <row r="18853" spans="1:2" ht="12.75" customHeight="1" x14ac:dyDescent="0.25">
      <c r="A18853" s="318">
        <v>96928823705</v>
      </c>
      <c r="B18853" s="318" t="s">
        <v>237</v>
      </c>
    </row>
    <row r="18854" spans="1:2" ht="12.75" customHeight="1" x14ac:dyDescent="0.25">
      <c r="A18854" s="318">
        <v>96929304562</v>
      </c>
      <c r="B18854" s="318" t="s">
        <v>23</v>
      </c>
    </row>
    <row r="18855" spans="1:2" ht="12.75" customHeight="1" x14ac:dyDescent="0.25">
      <c r="A18855" s="318">
        <v>96929304563</v>
      </c>
      <c r="B18855" s="318" t="s">
        <v>23</v>
      </c>
    </row>
    <row r="18856" spans="1:2" ht="12.75" customHeight="1" x14ac:dyDescent="0.25">
      <c r="A18856" s="318">
        <v>96929304564</v>
      </c>
      <c r="B18856" s="318" t="s">
        <v>23</v>
      </c>
    </row>
    <row r="18857" spans="1:2" ht="12.75" customHeight="1" x14ac:dyDescent="0.25">
      <c r="A18857" s="318">
        <v>96929304565</v>
      </c>
      <c r="B18857" s="318" t="s">
        <v>23</v>
      </c>
    </row>
    <row r="18858" spans="1:2" ht="12.75" customHeight="1" x14ac:dyDescent="0.25">
      <c r="A18858" s="318">
        <v>96929304566</v>
      </c>
      <c r="B18858" s="318" t="s">
        <v>23</v>
      </c>
    </row>
    <row r="18859" spans="1:2" ht="12.75" customHeight="1" x14ac:dyDescent="0.25">
      <c r="A18859" s="318">
        <v>96929304567</v>
      </c>
      <c r="B18859" s="318" t="s">
        <v>23</v>
      </c>
    </row>
    <row r="18860" spans="1:2" ht="12.75" customHeight="1" x14ac:dyDescent="0.25">
      <c r="A18860" s="318">
        <v>96929304568</v>
      </c>
      <c r="B18860" s="318" t="s">
        <v>23</v>
      </c>
    </row>
    <row r="18861" spans="1:2" ht="12.75" customHeight="1" x14ac:dyDescent="0.25">
      <c r="A18861" s="318">
        <v>96929304569</v>
      </c>
      <c r="B18861" s="318" t="s">
        <v>237</v>
      </c>
    </row>
    <row r="18862" spans="1:2" ht="12.75" customHeight="1" x14ac:dyDescent="0.25">
      <c r="A18862" s="318">
        <v>96929304571</v>
      </c>
      <c r="B18862" s="318" t="s">
        <v>23</v>
      </c>
    </row>
    <row r="18863" spans="1:2" ht="12.75" customHeight="1" x14ac:dyDescent="0.25">
      <c r="A18863" s="318">
        <v>96929304572</v>
      </c>
      <c r="B18863" s="318" t="s">
        <v>237</v>
      </c>
    </row>
    <row r="18864" spans="1:2" ht="12.75" customHeight="1" x14ac:dyDescent="0.25">
      <c r="A18864" s="318">
        <v>96929304573</v>
      </c>
      <c r="B18864" s="318" t="s">
        <v>23</v>
      </c>
    </row>
    <row r="18865" spans="1:2" ht="12.75" customHeight="1" x14ac:dyDescent="0.25">
      <c r="A18865" s="318">
        <v>96929304574</v>
      </c>
      <c r="B18865" s="318" t="s">
        <v>237</v>
      </c>
    </row>
    <row r="18866" spans="1:2" ht="12.75" customHeight="1" x14ac:dyDescent="0.25">
      <c r="A18866" s="318">
        <v>96929304575</v>
      </c>
      <c r="B18866" s="318" t="s">
        <v>23</v>
      </c>
    </row>
    <row r="18867" spans="1:2" ht="12.75" customHeight="1" x14ac:dyDescent="0.25">
      <c r="A18867" s="318">
        <v>96929304576</v>
      </c>
      <c r="B18867" s="318" t="s">
        <v>237</v>
      </c>
    </row>
    <row r="18868" spans="1:2" ht="12.75" customHeight="1" x14ac:dyDescent="0.25">
      <c r="A18868" s="318">
        <v>96929304577</v>
      </c>
      <c r="B18868" s="318" t="s">
        <v>23</v>
      </c>
    </row>
    <row r="18869" spans="1:2" ht="12.75" customHeight="1" x14ac:dyDescent="0.25">
      <c r="A18869" s="318">
        <v>96929304578</v>
      </c>
      <c r="B18869" s="318" t="s">
        <v>237</v>
      </c>
    </row>
    <row r="18870" spans="1:2" ht="12.75" customHeight="1" x14ac:dyDescent="0.25">
      <c r="A18870" s="318">
        <v>96929304662</v>
      </c>
      <c r="B18870" s="318" t="s">
        <v>237</v>
      </c>
    </row>
    <row r="18871" spans="1:2" ht="12.75" customHeight="1" x14ac:dyDescent="0.25">
      <c r="A18871" s="318">
        <v>96929304663</v>
      </c>
      <c r="B18871" s="318" t="s">
        <v>237</v>
      </c>
    </row>
    <row r="18872" spans="1:2" ht="12.75" customHeight="1" x14ac:dyDescent="0.25">
      <c r="A18872" s="318">
        <v>96929304664</v>
      </c>
      <c r="B18872" s="318" t="s">
        <v>237</v>
      </c>
    </row>
    <row r="18873" spans="1:2" ht="12.75" customHeight="1" x14ac:dyDescent="0.25">
      <c r="A18873" s="318">
        <v>96929304665</v>
      </c>
      <c r="B18873" s="318" t="s">
        <v>237</v>
      </c>
    </row>
    <row r="18874" spans="1:2" ht="12.75" customHeight="1" x14ac:dyDescent="0.25">
      <c r="A18874" s="318">
        <v>96929304666</v>
      </c>
      <c r="B18874" s="318" t="s">
        <v>237</v>
      </c>
    </row>
    <row r="18875" spans="1:2" ht="12.75" customHeight="1" x14ac:dyDescent="0.25">
      <c r="A18875" s="318">
        <v>96929304667</v>
      </c>
      <c r="B18875" s="318" t="s">
        <v>237</v>
      </c>
    </row>
    <row r="18876" spans="1:2" ht="12.75" customHeight="1" x14ac:dyDescent="0.25">
      <c r="A18876" s="318">
        <v>96929304668</v>
      </c>
      <c r="B18876" s="318" t="s">
        <v>237</v>
      </c>
    </row>
    <row r="18877" spans="1:2" ht="12.75" customHeight="1" x14ac:dyDescent="0.25">
      <c r="A18877" s="318">
        <v>96929304669</v>
      </c>
      <c r="B18877" s="318" t="s">
        <v>237</v>
      </c>
    </row>
    <row r="18878" spans="1:2" ht="12.75" customHeight="1" x14ac:dyDescent="0.25">
      <c r="A18878" s="318">
        <v>96929304671</v>
      </c>
      <c r="B18878" s="318" t="s">
        <v>237</v>
      </c>
    </row>
    <row r="18879" spans="1:2" ht="12.75" customHeight="1" x14ac:dyDescent="0.25">
      <c r="A18879" s="318">
        <v>96929304672</v>
      </c>
      <c r="B18879" s="318" t="s">
        <v>237</v>
      </c>
    </row>
    <row r="18880" spans="1:2" ht="12.75" customHeight="1" x14ac:dyDescent="0.25">
      <c r="A18880" s="318">
        <v>96929304673</v>
      </c>
      <c r="B18880" s="318" t="s">
        <v>237</v>
      </c>
    </row>
    <row r="18881" spans="1:2" ht="12.75" customHeight="1" x14ac:dyDescent="0.25">
      <c r="A18881" s="318">
        <v>96929304674</v>
      </c>
      <c r="B18881" s="318" t="s">
        <v>237</v>
      </c>
    </row>
    <row r="18882" spans="1:2" ht="12.75" customHeight="1" x14ac:dyDescent="0.25">
      <c r="A18882" s="318">
        <v>96929304675</v>
      </c>
      <c r="B18882" s="318" t="s">
        <v>237</v>
      </c>
    </row>
    <row r="18883" spans="1:2" ht="12.75" customHeight="1" x14ac:dyDescent="0.25">
      <c r="A18883" s="318">
        <v>96929304676</v>
      </c>
      <c r="B18883" s="318" t="s">
        <v>237</v>
      </c>
    </row>
    <row r="18884" spans="1:2" ht="12.75" customHeight="1" x14ac:dyDescent="0.25">
      <c r="A18884" s="318">
        <v>96929304677</v>
      </c>
      <c r="B18884" s="318" t="s">
        <v>237</v>
      </c>
    </row>
    <row r="18885" spans="1:2" ht="12.75" customHeight="1" x14ac:dyDescent="0.25">
      <c r="A18885" s="318">
        <v>96929304678</v>
      </c>
      <c r="B18885" s="318" t="s">
        <v>237</v>
      </c>
    </row>
    <row r="18886" spans="1:2" ht="12.75" customHeight="1" x14ac:dyDescent="0.25">
      <c r="A18886" s="318">
        <v>96930664943</v>
      </c>
      <c r="B18886" s="318" t="s">
        <v>23</v>
      </c>
    </row>
    <row r="18887" spans="1:2" ht="12.75" customHeight="1" x14ac:dyDescent="0.25">
      <c r="A18887" s="318">
        <v>96930664944</v>
      </c>
      <c r="B18887" s="318" t="s">
        <v>23</v>
      </c>
    </row>
    <row r="18888" spans="1:2" ht="12.75" customHeight="1" x14ac:dyDescent="0.25">
      <c r="A18888" s="318">
        <v>96930664945</v>
      </c>
      <c r="B18888" s="318" t="s">
        <v>23</v>
      </c>
    </row>
    <row r="18889" spans="1:2" ht="12.75" customHeight="1" x14ac:dyDescent="0.25">
      <c r="A18889" s="318">
        <v>96930664946</v>
      </c>
      <c r="B18889" s="318" t="s">
        <v>23</v>
      </c>
    </row>
    <row r="18890" spans="1:2" ht="12.75" customHeight="1" x14ac:dyDescent="0.25">
      <c r="A18890" s="318">
        <v>96930664947</v>
      </c>
      <c r="B18890" s="318" t="s">
        <v>23</v>
      </c>
    </row>
    <row r="18891" spans="1:2" ht="12.75" customHeight="1" x14ac:dyDescent="0.25">
      <c r="A18891" s="318">
        <v>96930664948</v>
      </c>
      <c r="B18891" s="318" t="s">
        <v>23</v>
      </c>
    </row>
    <row r="18892" spans="1:2" ht="12.75" customHeight="1" x14ac:dyDescent="0.25">
      <c r="A18892" s="318">
        <v>96930664949</v>
      </c>
      <c r="B18892" s="318" t="s">
        <v>23</v>
      </c>
    </row>
    <row r="18893" spans="1:2" ht="12.75" customHeight="1" x14ac:dyDescent="0.25">
      <c r="A18893" s="318">
        <v>96930664950</v>
      </c>
      <c r="B18893" s="318" t="s">
        <v>237</v>
      </c>
    </row>
    <row r="18894" spans="1:2" ht="12.75" customHeight="1" x14ac:dyDescent="0.25">
      <c r="A18894" s="318">
        <v>96930664952</v>
      </c>
      <c r="B18894" s="318" t="s">
        <v>237</v>
      </c>
    </row>
    <row r="18895" spans="1:2" ht="12.75" customHeight="1" x14ac:dyDescent="0.25">
      <c r="A18895" s="318">
        <v>96930664953</v>
      </c>
      <c r="B18895" s="318" t="s">
        <v>237</v>
      </c>
    </row>
    <row r="18896" spans="1:2" ht="12.75" customHeight="1" x14ac:dyDescent="0.25">
      <c r="A18896" s="318">
        <v>96930664954</v>
      </c>
      <c r="B18896" s="318" t="s">
        <v>237</v>
      </c>
    </row>
    <row r="18897" spans="1:2" ht="12.75" customHeight="1" x14ac:dyDescent="0.25">
      <c r="A18897" s="318">
        <v>96930664955</v>
      </c>
      <c r="B18897" s="318" t="s">
        <v>237</v>
      </c>
    </row>
    <row r="18898" spans="1:2" ht="12.75" customHeight="1" x14ac:dyDescent="0.25">
      <c r="A18898" s="318">
        <v>96930664956</v>
      </c>
      <c r="B18898" s="318" t="s">
        <v>237</v>
      </c>
    </row>
    <row r="18899" spans="1:2" ht="12.75" customHeight="1" x14ac:dyDescent="0.25">
      <c r="A18899" s="318">
        <v>96930664957</v>
      </c>
      <c r="B18899" s="318" t="s">
        <v>237</v>
      </c>
    </row>
    <row r="18900" spans="1:2" ht="12.75" customHeight="1" x14ac:dyDescent="0.25">
      <c r="A18900" s="318">
        <v>96930664958</v>
      </c>
      <c r="B18900" s="318" t="s">
        <v>237</v>
      </c>
    </row>
    <row r="18901" spans="1:2" ht="12.75" customHeight="1" x14ac:dyDescent="0.25">
      <c r="A18901" s="318">
        <v>96930664959</v>
      </c>
      <c r="B18901" s="318" t="s">
        <v>237</v>
      </c>
    </row>
    <row r="18902" spans="1:2" ht="12.75" customHeight="1" x14ac:dyDescent="0.25">
      <c r="A18902" s="318">
        <v>96930665043</v>
      </c>
      <c r="B18902" s="318" t="s">
        <v>237</v>
      </c>
    </row>
    <row r="18903" spans="1:2" ht="12.75" customHeight="1" x14ac:dyDescent="0.25">
      <c r="A18903" s="318">
        <v>96930665044</v>
      </c>
      <c r="B18903" s="318" t="s">
        <v>237</v>
      </c>
    </row>
    <row r="18904" spans="1:2" ht="12.75" customHeight="1" x14ac:dyDescent="0.25">
      <c r="A18904" s="318">
        <v>96930665045</v>
      </c>
      <c r="B18904" s="318" t="s">
        <v>237</v>
      </c>
    </row>
    <row r="18905" spans="1:2" ht="12.75" customHeight="1" x14ac:dyDescent="0.25">
      <c r="A18905" s="318">
        <v>96930665046</v>
      </c>
      <c r="B18905" s="318" t="s">
        <v>237</v>
      </c>
    </row>
    <row r="18906" spans="1:2" ht="12.75" customHeight="1" x14ac:dyDescent="0.25">
      <c r="A18906" s="318">
        <v>96930665047</v>
      </c>
      <c r="B18906" s="318" t="s">
        <v>237</v>
      </c>
    </row>
    <row r="18907" spans="1:2" ht="12.75" customHeight="1" x14ac:dyDescent="0.25">
      <c r="A18907" s="318">
        <v>96930665048</v>
      </c>
      <c r="B18907" s="318" t="s">
        <v>237</v>
      </c>
    </row>
    <row r="18908" spans="1:2" ht="12.75" customHeight="1" x14ac:dyDescent="0.25">
      <c r="A18908" s="318">
        <v>96930665049</v>
      </c>
      <c r="B18908" s="318" t="s">
        <v>237</v>
      </c>
    </row>
    <row r="18909" spans="1:2" ht="12.75" customHeight="1" x14ac:dyDescent="0.25">
      <c r="A18909" s="318">
        <v>96930665050</v>
      </c>
      <c r="B18909" s="318" t="s">
        <v>237</v>
      </c>
    </row>
    <row r="18910" spans="1:2" ht="12.75" customHeight="1" x14ac:dyDescent="0.25">
      <c r="A18910" s="318">
        <v>96930665052</v>
      </c>
      <c r="B18910" s="318" t="s">
        <v>237</v>
      </c>
    </row>
    <row r="18911" spans="1:2" ht="12.75" customHeight="1" x14ac:dyDescent="0.25">
      <c r="A18911" s="318">
        <v>96930665053</v>
      </c>
      <c r="B18911" s="318" t="s">
        <v>237</v>
      </c>
    </row>
    <row r="18912" spans="1:2" ht="12.75" customHeight="1" x14ac:dyDescent="0.25">
      <c r="A18912" s="318">
        <v>96930665054</v>
      </c>
      <c r="B18912" s="318" t="s">
        <v>237</v>
      </c>
    </row>
    <row r="18913" spans="1:2" ht="12.75" customHeight="1" x14ac:dyDescent="0.25">
      <c r="A18913" s="318">
        <v>96930665055</v>
      </c>
      <c r="B18913" s="318" t="s">
        <v>237</v>
      </c>
    </row>
    <row r="18914" spans="1:2" ht="12.75" customHeight="1" x14ac:dyDescent="0.25">
      <c r="A18914" s="318">
        <v>96930665056</v>
      </c>
      <c r="B18914" s="318" t="s">
        <v>237</v>
      </c>
    </row>
    <row r="18915" spans="1:2" ht="12.75" customHeight="1" x14ac:dyDescent="0.25">
      <c r="A18915" s="318">
        <v>96930665057</v>
      </c>
      <c r="B18915" s="318" t="s">
        <v>237</v>
      </c>
    </row>
    <row r="18916" spans="1:2" ht="12.75" customHeight="1" x14ac:dyDescent="0.25">
      <c r="A18916" s="318">
        <v>96930665058</v>
      </c>
      <c r="B18916" s="318" t="s">
        <v>237</v>
      </c>
    </row>
    <row r="18917" spans="1:2" ht="12.75" customHeight="1" x14ac:dyDescent="0.25">
      <c r="A18917" s="318">
        <v>96930665059</v>
      </c>
      <c r="B18917" s="318" t="s">
        <v>237</v>
      </c>
    </row>
    <row r="18918" spans="1:2" ht="12.75" customHeight="1" x14ac:dyDescent="0.25">
      <c r="A18918" s="318">
        <v>96931145916</v>
      </c>
      <c r="B18918" s="318" t="s">
        <v>23</v>
      </c>
    </row>
    <row r="18919" spans="1:2" ht="12.75" customHeight="1" x14ac:dyDescent="0.25">
      <c r="A18919" s="318">
        <v>96931145917</v>
      </c>
      <c r="B18919" s="318" t="s">
        <v>23</v>
      </c>
    </row>
    <row r="18920" spans="1:2" ht="12.75" customHeight="1" x14ac:dyDescent="0.25">
      <c r="A18920" s="318">
        <v>96931145918</v>
      </c>
      <c r="B18920" s="318" t="s">
        <v>23</v>
      </c>
    </row>
    <row r="18921" spans="1:2" ht="12.75" customHeight="1" x14ac:dyDescent="0.25">
      <c r="A18921" s="318">
        <v>96931145919</v>
      </c>
      <c r="B18921" s="318" t="s">
        <v>23</v>
      </c>
    </row>
    <row r="18922" spans="1:2" ht="12.75" customHeight="1" x14ac:dyDescent="0.25">
      <c r="A18922" s="318">
        <v>96931145920</v>
      </c>
      <c r="B18922" s="318" t="s">
        <v>23</v>
      </c>
    </row>
    <row r="18923" spans="1:2" ht="12.75" customHeight="1" x14ac:dyDescent="0.25">
      <c r="A18923" s="318">
        <v>96931145921</v>
      </c>
      <c r="B18923" s="318" t="s">
        <v>23</v>
      </c>
    </row>
    <row r="18924" spans="1:2" ht="12.75" customHeight="1" x14ac:dyDescent="0.25">
      <c r="A18924" s="318">
        <v>96931145922</v>
      </c>
      <c r="B18924" s="318" t="s">
        <v>23</v>
      </c>
    </row>
    <row r="18925" spans="1:2" ht="12.75" customHeight="1" x14ac:dyDescent="0.25">
      <c r="A18925" s="318">
        <v>96931145923</v>
      </c>
      <c r="B18925" s="318" t="s">
        <v>237</v>
      </c>
    </row>
    <row r="18926" spans="1:2" ht="12.75" customHeight="1" x14ac:dyDescent="0.25">
      <c r="A18926" s="318">
        <v>96931145925</v>
      </c>
      <c r="B18926" s="318" t="s">
        <v>237</v>
      </c>
    </row>
    <row r="18927" spans="1:2" ht="12.75" customHeight="1" x14ac:dyDescent="0.25">
      <c r="A18927" s="318">
        <v>96931145926</v>
      </c>
      <c r="B18927" s="318" t="s">
        <v>237</v>
      </c>
    </row>
    <row r="18928" spans="1:2" ht="12.75" customHeight="1" x14ac:dyDescent="0.25">
      <c r="A18928" s="318">
        <v>96931145927</v>
      </c>
      <c r="B18928" s="318" t="s">
        <v>237</v>
      </c>
    </row>
    <row r="18929" spans="1:2" ht="12.75" customHeight="1" x14ac:dyDescent="0.25">
      <c r="A18929" s="318">
        <v>96931145928</v>
      </c>
      <c r="B18929" s="318" t="s">
        <v>237</v>
      </c>
    </row>
    <row r="18930" spans="1:2" ht="12.75" customHeight="1" x14ac:dyDescent="0.25">
      <c r="A18930" s="318">
        <v>96931145929</v>
      </c>
      <c r="B18930" s="318" t="s">
        <v>237</v>
      </c>
    </row>
    <row r="18931" spans="1:2" ht="12.75" customHeight="1" x14ac:dyDescent="0.25">
      <c r="A18931" s="318">
        <v>96931145930</v>
      </c>
      <c r="B18931" s="318" t="s">
        <v>237</v>
      </c>
    </row>
    <row r="18932" spans="1:2" ht="12.75" customHeight="1" x14ac:dyDescent="0.25">
      <c r="A18932" s="318">
        <v>96931145931</v>
      </c>
      <c r="B18932" s="318" t="s">
        <v>237</v>
      </c>
    </row>
    <row r="18933" spans="1:2" ht="12.75" customHeight="1" x14ac:dyDescent="0.25">
      <c r="A18933" s="318">
        <v>96931145932</v>
      </c>
      <c r="B18933" s="318" t="s">
        <v>237</v>
      </c>
    </row>
    <row r="18934" spans="1:2" ht="12.75" customHeight="1" x14ac:dyDescent="0.25">
      <c r="A18934" s="318">
        <v>96931146016</v>
      </c>
      <c r="B18934" s="318" t="s">
        <v>237</v>
      </c>
    </row>
    <row r="18935" spans="1:2" ht="12.75" customHeight="1" x14ac:dyDescent="0.25">
      <c r="A18935" s="318">
        <v>96931146017</v>
      </c>
      <c r="B18935" s="318" t="s">
        <v>237</v>
      </c>
    </row>
    <row r="18936" spans="1:2" ht="12.75" customHeight="1" x14ac:dyDescent="0.25">
      <c r="A18936" s="318">
        <v>96931146018</v>
      </c>
      <c r="B18936" s="318" t="s">
        <v>237</v>
      </c>
    </row>
    <row r="18937" spans="1:2" ht="12.75" customHeight="1" x14ac:dyDescent="0.25">
      <c r="A18937" s="318">
        <v>96931146019</v>
      </c>
      <c r="B18937" s="318" t="s">
        <v>237</v>
      </c>
    </row>
    <row r="18938" spans="1:2" ht="12.75" customHeight="1" x14ac:dyDescent="0.25">
      <c r="A18938" s="318">
        <v>96931146020</v>
      </c>
      <c r="B18938" s="318" t="s">
        <v>237</v>
      </c>
    </row>
    <row r="18939" spans="1:2" ht="12.75" customHeight="1" x14ac:dyDescent="0.25">
      <c r="A18939" s="318">
        <v>96931146021</v>
      </c>
      <c r="B18939" s="318" t="s">
        <v>237</v>
      </c>
    </row>
    <row r="18940" spans="1:2" ht="12.75" customHeight="1" x14ac:dyDescent="0.25">
      <c r="A18940" s="318">
        <v>96931146022</v>
      </c>
      <c r="B18940" s="318" t="s">
        <v>237</v>
      </c>
    </row>
    <row r="18941" spans="1:2" ht="12.75" customHeight="1" x14ac:dyDescent="0.25">
      <c r="A18941" s="318">
        <v>96931146023</v>
      </c>
      <c r="B18941" s="318" t="s">
        <v>237</v>
      </c>
    </row>
    <row r="18942" spans="1:2" ht="12.75" customHeight="1" x14ac:dyDescent="0.25">
      <c r="A18942" s="318">
        <v>96931146025</v>
      </c>
      <c r="B18942" s="318" t="s">
        <v>237</v>
      </c>
    </row>
    <row r="18943" spans="1:2" ht="12.75" customHeight="1" x14ac:dyDescent="0.25">
      <c r="A18943" s="318">
        <v>96931146026</v>
      </c>
      <c r="B18943" s="318" t="s">
        <v>237</v>
      </c>
    </row>
    <row r="18944" spans="1:2" ht="12.75" customHeight="1" x14ac:dyDescent="0.25">
      <c r="A18944" s="318">
        <v>96931146027</v>
      </c>
      <c r="B18944" s="318" t="s">
        <v>237</v>
      </c>
    </row>
    <row r="18945" spans="1:2" ht="12.75" customHeight="1" x14ac:dyDescent="0.25">
      <c r="A18945" s="318">
        <v>96931146028</v>
      </c>
      <c r="B18945" s="318" t="s">
        <v>237</v>
      </c>
    </row>
    <row r="18946" spans="1:2" ht="12.75" customHeight="1" x14ac:dyDescent="0.25">
      <c r="A18946" s="318">
        <v>96931146029</v>
      </c>
      <c r="B18946" s="318" t="s">
        <v>237</v>
      </c>
    </row>
    <row r="18947" spans="1:2" ht="12.75" customHeight="1" x14ac:dyDescent="0.25">
      <c r="A18947" s="318">
        <v>96931146030</v>
      </c>
      <c r="B18947" s="318" t="s">
        <v>237</v>
      </c>
    </row>
    <row r="18948" spans="1:2" ht="12.75" customHeight="1" x14ac:dyDescent="0.25">
      <c r="A18948" s="318">
        <v>96931146031</v>
      </c>
      <c r="B18948" s="318" t="s">
        <v>237</v>
      </c>
    </row>
    <row r="18949" spans="1:2" ht="12.75" customHeight="1" x14ac:dyDescent="0.25">
      <c r="A18949" s="318">
        <v>96931146032</v>
      </c>
      <c r="B18949" s="318" t="s">
        <v>237</v>
      </c>
    </row>
    <row r="18950" spans="1:2" ht="12.75" customHeight="1" x14ac:dyDescent="0.25">
      <c r="A18950" s="318">
        <v>96931626889</v>
      </c>
      <c r="B18950" s="318" t="s">
        <v>23</v>
      </c>
    </row>
    <row r="18951" spans="1:2" ht="12.75" customHeight="1" x14ac:dyDescent="0.25">
      <c r="A18951" s="318">
        <v>96931626890</v>
      </c>
      <c r="B18951" s="318" t="s">
        <v>23</v>
      </c>
    </row>
    <row r="18952" spans="1:2" ht="12.75" customHeight="1" x14ac:dyDescent="0.25">
      <c r="A18952" s="318">
        <v>96931626891</v>
      </c>
      <c r="B18952" s="318" t="s">
        <v>23</v>
      </c>
    </row>
    <row r="18953" spans="1:2" ht="12.75" customHeight="1" x14ac:dyDescent="0.25">
      <c r="A18953" s="318">
        <v>96931626892</v>
      </c>
      <c r="B18953" s="318" t="s">
        <v>23</v>
      </c>
    </row>
    <row r="18954" spans="1:2" ht="12.75" customHeight="1" x14ac:dyDescent="0.25">
      <c r="A18954" s="318">
        <v>96931626893</v>
      </c>
      <c r="B18954" s="318" t="s">
        <v>23</v>
      </c>
    </row>
    <row r="18955" spans="1:2" ht="12.75" customHeight="1" x14ac:dyDescent="0.25">
      <c r="A18955" s="318">
        <v>96931626894</v>
      </c>
      <c r="B18955" s="318" t="s">
        <v>23</v>
      </c>
    </row>
    <row r="18956" spans="1:2" ht="12.75" customHeight="1" x14ac:dyDescent="0.25">
      <c r="A18956" s="318">
        <v>96931626895</v>
      </c>
      <c r="B18956" s="318" t="s">
        <v>23</v>
      </c>
    </row>
    <row r="18957" spans="1:2" ht="12.75" customHeight="1" x14ac:dyDescent="0.25">
      <c r="A18957" s="318">
        <v>96931626896</v>
      </c>
      <c r="B18957" s="318" t="s">
        <v>237</v>
      </c>
    </row>
    <row r="18958" spans="1:2" ht="12.75" customHeight="1" x14ac:dyDescent="0.25">
      <c r="A18958" s="318">
        <v>96931626898</v>
      </c>
      <c r="B18958" s="318" t="s">
        <v>23</v>
      </c>
    </row>
    <row r="18959" spans="1:2" ht="12.75" customHeight="1" x14ac:dyDescent="0.25">
      <c r="A18959" s="318">
        <v>96931626899</v>
      </c>
      <c r="B18959" s="318" t="s">
        <v>237</v>
      </c>
    </row>
    <row r="18960" spans="1:2" ht="12.75" customHeight="1" x14ac:dyDescent="0.25">
      <c r="A18960" s="318">
        <v>96931626900</v>
      </c>
      <c r="B18960" s="318" t="s">
        <v>23</v>
      </c>
    </row>
    <row r="18961" spans="1:2" ht="12.75" customHeight="1" x14ac:dyDescent="0.25">
      <c r="A18961" s="318">
        <v>96931626901</v>
      </c>
      <c r="B18961" s="318" t="s">
        <v>237</v>
      </c>
    </row>
    <row r="18962" spans="1:2" ht="12.75" customHeight="1" x14ac:dyDescent="0.25">
      <c r="A18962" s="318">
        <v>96931626902</v>
      </c>
      <c r="B18962" s="318" t="s">
        <v>23</v>
      </c>
    </row>
    <row r="18963" spans="1:2" ht="12.75" customHeight="1" x14ac:dyDescent="0.25">
      <c r="A18963" s="318">
        <v>96931626903</v>
      </c>
      <c r="B18963" s="318" t="s">
        <v>237</v>
      </c>
    </row>
    <row r="18964" spans="1:2" ht="12.75" customHeight="1" x14ac:dyDescent="0.25">
      <c r="A18964" s="318">
        <v>96931626904</v>
      </c>
      <c r="B18964" s="318" t="s">
        <v>23</v>
      </c>
    </row>
    <row r="18965" spans="1:2" ht="12.75" customHeight="1" x14ac:dyDescent="0.25">
      <c r="A18965" s="318">
        <v>96931626905</v>
      </c>
      <c r="B18965" s="318" t="s">
        <v>237</v>
      </c>
    </row>
    <row r="18966" spans="1:2" ht="12.75" customHeight="1" x14ac:dyDescent="0.25">
      <c r="A18966" s="318">
        <v>96931626989</v>
      </c>
      <c r="B18966" s="318" t="s">
        <v>237</v>
      </c>
    </row>
    <row r="18967" spans="1:2" ht="12.75" customHeight="1" x14ac:dyDescent="0.25">
      <c r="A18967" s="318">
        <v>96931626990</v>
      </c>
      <c r="B18967" s="318" t="s">
        <v>237</v>
      </c>
    </row>
    <row r="18968" spans="1:2" ht="12.75" customHeight="1" x14ac:dyDescent="0.25">
      <c r="A18968" s="318">
        <v>96931626991</v>
      </c>
      <c r="B18968" s="318" t="s">
        <v>237</v>
      </c>
    </row>
    <row r="18969" spans="1:2" ht="12.75" customHeight="1" x14ac:dyDescent="0.25">
      <c r="A18969" s="318">
        <v>96931626992</v>
      </c>
      <c r="B18969" s="318" t="s">
        <v>237</v>
      </c>
    </row>
    <row r="18970" spans="1:2" ht="12.75" customHeight="1" x14ac:dyDescent="0.25">
      <c r="A18970" s="318">
        <v>96931626993</v>
      </c>
      <c r="B18970" s="318" t="s">
        <v>237</v>
      </c>
    </row>
    <row r="18971" spans="1:2" ht="12.75" customHeight="1" x14ac:dyDescent="0.25">
      <c r="A18971" s="318">
        <v>96931626994</v>
      </c>
      <c r="B18971" s="318" t="s">
        <v>237</v>
      </c>
    </row>
    <row r="18972" spans="1:2" ht="12.75" customHeight="1" x14ac:dyDescent="0.25">
      <c r="A18972" s="318">
        <v>96931626995</v>
      </c>
      <c r="B18972" s="318" t="s">
        <v>237</v>
      </c>
    </row>
    <row r="18973" spans="1:2" ht="12.75" customHeight="1" x14ac:dyDescent="0.25">
      <c r="A18973" s="318">
        <v>96931626996</v>
      </c>
      <c r="B18973" s="318" t="s">
        <v>237</v>
      </c>
    </row>
    <row r="18974" spans="1:2" ht="12.75" customHeight="1" x14ac:dyDescent="0.25">
      <c r="A18974" s="318">
        <v>96931626998</v>
      </c>
      <c r="B18974" s="318" t="s">
        <v>237</v>
      </c>
    </row>
    <row r="18975" spans="1:2" ht="12.75" customHeight="1" x14ac:dyDescent="0.25">
      <c r="A18975" s="318">
        <v>96931626999</v>
      </c>
      <c r="B18975" s="318" t="s">
        <v>237</v>
      </c>
    </row>
    <row r="18976" spans="1:2" ht="12.75" customHeight="1" x14ac:dyDescent="0.25">
      <c r="A18976" s="318">
        <v>96931627000</v>
      </c>
      <c r="B18976" s="318" t="s">
        <v>237</v>
      </c>
    </row>
    <row r="18977" spans="1:2" ht="12.75" customHeight="1" x14ac:dyDescent="0.25">
      <c r="A18977" s="318">
        <v>96931627001</v>
      </c>
      <c r="B18977" s="318" t="s">
        <v>237</v>
      </c>
    </row>
    <row r="18978" spans="1:2" ht="12.75" customHeight="1" x14ac:dyDescent="0.25">
      <c r="A18978" s="318">
        <v>96931627002</v>
      </c>
      <c r="B18978" s="318" t="s">
        <v>237</v>
      </c>
    </row>
    <row r="18979" spans="1:2" ht="12.75" customHeight="1" x14ac:dyDescent="0.25">
      <c r="A18979" s="318">
        <v>96931627003</v>
      </c>
      <c r="B18979" s="318" t="s">
        <v>237</v>
      </c>
    </row>
    <row r="18980" spans="1:2" ht="12.75" customHeight="1" x14ac:dyDescent="0.25">
      <c r="A18980" s="318">
        <v>96931627004</v>
      </c>
      <c r="B18980" s="318" t="s">
        <v>237</v>
      </c>
    </row>
    <row r="18981" spans="1:2" ht="12.75" customHeight="1" x14ac:dyDescent="0.25">
      <c r="A18981" s="318">
        <v>96931627005</v>
      </c>
      <c r="B18981" s="318" t="s">
        <v>237</v>
      </c>
    </row>
    <row r="18982" spans="1:2" ht="12.75" customHeight="1" x14ac:dyDescent="0.25">
      <c r="A18982" s="318">
        <v>96932307080</v>
      </c>
      <c r="B18982" s="318" t="s">
        <v>23</v>
      </c>
    </row>
    <row r="18983" spans="1:2" ht="12.75" customHeight="1" x14ac:dyDescent="0.25">
      <c r="A18983" s="318">
        <v>96932307081</v>
      </c>
      <c r="B18983" s="318" t="s">
        <v>23</v>
      </c>
    </row>
    <row r="18984" spans="1:2" ht="12.75" customHeight="1" x14ac:dyDescent="0.25">
      <c r="A18984" s="318">
        <v>96932307082</v>
      </c>
      <c r="B18984" s="318" t="s">
        <v>23</v>
      </c>
    </row>
    <row r="18985" spans="1:2" ht="12.75" customHeight="1" x14ac:dyDescent="0.25">
      <c r="A18985" s="318">
        <v>96932307083</v>
      </c>
      <c r="B18985" s="318" t="s">
        <v>23</v>
      </c>
    </row>
    <row r="18986" spans="1:2" ht="12.75" customHeight="1" x14ac:dyDescent="0.25">
      <c r="A18986" s="318">
        <v>96932307084</v>
      </c>
      <c r="B18986" s="318" t="s">
        <v>23</v>
      </c>
    </row>
    <row r="18987" spans="1:2" ht="12.75" customHeight="1" x14ac:dyDescent="0.25">
      <c r="A18987" s="318">
        <v>96932307085</v>
      </c>
      <c r="B18987" s="318" t="s">
        <v>23</v>
      </c>
    </row>
    <row r="18988" spans="1:2" ht="12.75" customHeight="1" x14ac:dyDescent="0.25">
      <c r="A18988" s="318">
        <v>96932307086</v>
      </c>
      <c r="B18988" s="318" t="s">
        <v>23</v>
      </c>
    </row>
    <row r="18989" spans="1:2" ht="12.75" customHeight="1" x14ac:dyDescent="0.25">
      <c r="A18989" s="318">
        <v>96932307087</v>
      </c>
      <c r="B18989" s="318" t="s">
        <v>237</v>
      </c>
    </row>
    <row r="18990" spans="1:2" ht="12.75" customHeight="1" x14ac:dyDescent="0.25">
      <c r="A18990" s="318">
        <v>96932307089</v>
      </c>
      <c r="B18990" s="318" t="s">
        <v>237</v>
      </c>
    </row>
    <row r="18991" spans="1:2" ht="12.75" customHeight="1" x14ac:dyDescent="0.25">
      <c r="A18991" s="318">
        <v>96932307090</v>
      </c>
      <c r="B18991" s="318" t="s">
        <v>237</v>
      </c>
    </row>
    <row r="18992" spans="1:2" ht="12.75" customHeight="1" x14ac:dyDescent="0.25">
      <c r="A18992" s="318">
        <v>96932307091</v>
      </c>
      <c r="B18992" s="318" t="s">
        <v>237</v>
      </c>
    </row>
    <row r="18993" spans="1:2" ht="12.75" customHeight="1" x14ac:dyDescent="0.25">
      <c r="A18993" s="318">
        <v>96932307092</v>
      </c>
      <c r="B18993" s="318" t="s">
        <v>237</v>
      </c>
    </row>
    <row r="18994" spans="1:2" ht="12.75" customHeight="1" x14ac:dyDescent="0.25">
      <c r="A18994" s="318">
        <v>96932307093</v>
      </c>
      <c r="B18994" s="318" t="s">
        <v>237</v>
      </c>
    </row>
    <row r="18995" spans="1:2" ht="12.75" customHeight="1" x14ac:dyDescent="0.25">
      <c r="A18995" s="318">
        <v>96932307094</v>
      </c>
      <c r="B18995" s="318" t="s">
        <v>237</v>
      </c>
    </row>
    <row r="18996" spans="1:2" ht="12.75" customHeight="1" x14ac:dyDescent="0.25">
      <c r="A18996" s="318">
        <v>96932307095</v>
      </c>
      <c r="B18996" s="318" t="s">
        <v>237</v>
      </c>
    </row>
    <row r="18997" spans="1:2" ht="12.75" customHeight="1" x14ac:dyDescent="0.25">
      <c r="A18997" s="318">
        <v>96932307096</v>
      </c>
      <c r="B18997" s="318" t="s">
        <v>237</v>
      </c>
    </row>
    <row r="18998" spans="1:2" ht="12.75" customHeight="1" x14ac:dyDescent="0.25">
      <c r="A18998" s="318">
        <v>96932307180</v>
      </c>
      <c r="B18998" s="318" t="s">
        <v>237</v>
      </c>
    </row>
    <row r="18999" spans="1:2" ht="12.75" customHeight="1" x14ac:dyDescent="0.25">
      <c r="A18999" s="318">
        <v>96932307181</v>
      </c>
      <c r="B18999" s="318" t="s">
        <v>237</v>
      </c>
    </row>
    <row r="19000" spans="1:2" ht="12.75" customHeight="1" x14ac:dyDescent="0.25">
      <c r="A19000" s="318">
        <v>96932307182</v>
      </c>
      <c r="B19000" s="318" t="s">
        <v>237</v>
      </c>
    </row>
    <row r="19001" spans="1:2" ht="12.75" customHeight="1" x14ac:dyDescent="0.25">
      <c r="A19001" s="318">
        <v>96932307183</v>
      </c>
      <c r="B19001" s="318" t="s">
        <v>237</v>
      </c>
    </row>
    <row r="19002" spans="1:2" ht="12.75" customHeight="1" x14ac:dyDescent="0.25">
      <c r="A19002" s="318">
        <v>96932307184</v>
      </c>
      <c r="B19002" s="318" t="s">
        <v>237</v>
      </c>
    </row>
    <row r="19003" spans="1:2" ht="12.75" customHeight="1" x14ac:dyDescent="0.25">
      <c r="A19003" s="318">
        <v>96932307185</v>
      </c>
      <c r="B19003" s="318" t="s">
        <v>237</v>
      </c>
    </row>
    <row r="19004" spans="1:2" ht="12.75" customHeight="1" x14ac:dyDescent="0.25">
      <c r="A19004" s="318">
        <v>96932307186</v>
      </c>
      <c r="B19004" s="318" t="s">
        <v>237</v>
      </c>
    </row>
    <row r="19005" spans="1:2" ht="12.75" customHeight="1" x14ac:dyDescent="0.25">
      <c r="A19005" s="318">
        <v>96932307187</v>
      </c>
      <c r="B19005" s="318" t="s">
        <v>237</v>
      </c>
    </row>
    <row r="19006" spans="1:2" ht="12.75" customHeight="1" x14ac:dyDescent="0.25">
      <c r="A19006" s="318">
        <v>96932307189</v>
      </c>
      <c r="B19006" s="318" t="s">
        <v>237</v>
      </c>
    </row>
    <row r="19007" spans="1:2" ht="12.75" customHeight="1" x14ac:dyDescent="0.25">
      <c r="A19007" s="318">
        <v>96932307190</v>
      </c>
      <c r="B19007" s="318" t="s">
        <v>237</v>
      </c>
    </row>
    <row r="19008" spans="1:2" ht="12.75" customHeight="1" x14ac:dyDescent="0.25">
      <c r="A19008" s="318">
        <v>96932307191</v>
      </c>
      <c r="B19008" s="318" t="s">
        <v>237</v>
      </c>
    </row>
    <row r="19009" spans="1:2" ht="12.75" customHeight="1" x14ac:dyDescent="0.25">
      <c r="A19009" s="318">
        <v>96932307192</v>
      </c>
      <c r="B19009" s="318" t="s">
        <v>237</v>
      </c>
    </row>
    <row r="19010" spans="1:2" ht="12.75" customHeight="1" x14ac:dyDescent="0.25">
      <c r="A19010" s="318">
        <v>96932307193</v>
      </c>
      <c r="B19010" s="318" t="s">
        <v>237</v>
      </c>
    </row>
    <row r="19011" spans="1:2" ht="12.75" customHeight="1" x14ac:dyDescent="0.25">
      <c r="A19011" s="318">
        <v>96932307194</v>
      </c>
      <c r="B19011" s="318" t="s">
        <v>237</v>
      </c>
    </row>
    <row r="19012" spans="1:2" ht="12.75" customHeight="1" x14ac:dyDescent="0.25">
      <c r="A19012" s="318">
        <v>96932307195</v>
      </c>
      <c r="B19012" s="318" t="s">
        <v>237</v>
      </c>
    </row>
    <row r="19013" spans="1:2" ht="12.75" customHeight="1" x14ac:dyDescent="0.25">
      <c r="A19013" s="318">
        <v>96932307196</v>
      </c>
      <c r="B19013" s="318" t="s">
        <v>237</v>
      </c>
    </row>
    <row r="19014" spans="1:2" ht="12.75" customHeight="1" x14ac:dyDescent="0.25">
      <c r="A19014" s="318">
        <v>96932788053</v>
      </c>
      <c r="B19014" s="318" t="s">
        <v>23</v>
      </c>
    </row>
    <row r="19015" spans="1:2" ht="12.75" customHeight="1" x14ac:dyDescent="0.25">
      <c r="A19015" s="318">
        <v>96932788054</v>
      </c>
      <c r="B19015" s="318" t="s">
        <v>23</v>
      </c>
    </row>
    <row r="19016" spans="1:2" ht="12.75" customHeight="1" x14ac:dyDescent="0.25">
      <c r="A19016" s="318">
        <v>96932788055</v>
      </c>
      <c r="B19016" s="318" t="s">
        <v>23</v>
      </c>
    </row>
    <row r="19017" spans="1:2" ht="12.75" customHeight="1" x14ac:dyDescent="0.25">
      <c r="A19017" s="318">
        <v>96932788056</v>
      </c>
      <c r="B19017" s="318" t="s">
        <v>23</v>
      </c>
    </row>
    <row r="19018" spans="1:2" ht="12.75" customHeight="1" x14ac:dyDescent="0.25">
      <c r="A19018" s="318">
        <v>96932788057</v>
      </c>
      <c r="B19018" s="318" t="s">
        <v>23</v>
      </c>
    </row>
    <row r="19019" spans="1:2" ht="12.75" customHeight="1" x14ac:dyDescent="0.25">
      <c r="A19019" s="318">
        <v>96932788058</v>
      </c>
      <c r="B19019" s="318" t="s">
        <v>23</v>
      </c>
    </row>
    <row r="19020" spans="1:2" ht="12.75" customHeight="1" x14ac:dyDescent="0.25">
      <c r="A19020" s="318">
        <v>96932788059</v>
      </c>
      <c r="B19020" s="318" t="s">
        <v>23</v>
      </c>
    </row>
    <row r="19021" spans="1:2" ht="12.75" customHeight="1" x14ac:dyDescent="0.25">
      <c r="A19021" s="318">
        <v>96932788060</v>
      </c>
      <c r="B19021" s="318" t="s">
        <v>237</v>
      </c>
    </row>
    <row r="19022" spans="1:2" ht="12.75" customHeight="1" x14ac:dyDescent="0.25">
      <c r="A19022" s="318">
        <v>96932788062</v>
      </c>
      <c r="B19022" s="318" t="s">
        <v>237</v>
      </c>
    </row>
    <row r="19023" spans="1:2" ht="12.75" customHeight="1" x14ac:dyDescent="0.25">
      <c r="A19023" s="318">
        <v>96932788063</v>
      </c>
      <c r="B19023" s="318" t="s">
        <v>237</v>
      </c>
    </row>
    <row r="19024" spans="1:2" ht="12.75" customHeight="1" x14ac:dyDescent="0.25">
      <c r="A19024" s="318">
        <v>96932788064</v>
      </c>
      <c r="B19024" s="318" t="s">
        <v>237</v>
      </c>
    </row>
    <row r="19025" spans="1:2" ht="12.75" customHeight="1" x14ac:dyDescent="0.25">
      <c r="A19025" s="318">
        <v>96932788065</v>
      </c>
      <c r="B19025" s="318" t="s">
        <v>237</v>
      </c>
    </row>
    <row r="19026" spans="1:2" ht="12.75" customHeight="1" x14ac:dyDescent="0.25">
      <c r="A19026" s="318">
        <v>96932788066</v>
      </c>
      <c r="B19026" s="318" t="s">
        <v>237</v>
      </c>
    </row>
    <row r="19027" spans="1:2" ht="12.75" customHeight="1" x14ac:dyDescent="0.25">
      <c r="A19027" s="318">
        <v>96932788067</v>
      </c>
      <c r="B19027" s="318" t="s">
        <v>237</v>
      </c>
    </row>
    <row r="19028" spans="1:2" ht="12.75" customHeight="1" x14ac:dyDescent="0.25">
      <c r="A19028" s="318">
        <v>96932788068</v>
      </c>
      <c r="B19028" s="318" t="s">
        <v>237</v>
      </c>
    </row>
    <row r="19029" spans="1:2" ht="12.75" customHeight="1" x14ac:dyDescent="0.25">
      <c r="A19029" s="318">
        <v>96932788069</v>
      </c>
      <c r="B19029" s="318" t="s">
        <v>237</v>
      </c>
    </row>
    <row r="19030" spans="1:2" ht="12.75" customHeight="1" x14ac:dyDescent="0.25">
      <c r="A19030" s="318">
        <v>96932788153</v>
      </c>
      <c r="B19030" s="318" t="s">
        <v>237</v>
      </c>
    </row>
    <row r="19031" spans="1:2" ht="12.75" customHeight="1" x14ac:dyDescent="0.25">
      <c r="A19031" s="318">
        <v>96932788154</v>
      </c>
      <c r="B19031" s="318" t="s">
        <v>237</v>
      </c>
    </row>
    <row r="19032" spans="1:2" ht="12.75" customHeight="1" x14ac:dyDescent="0.25">
      <c r="A19032" s="318">
        <v>96932788155</v>
      </c>
      <c r="B19032" s="318" t="s">
        <v>237</v>
      </c>
    </row>
    <row r="19033" spans="1:2" ht="12.75" customHeight="1" x14ac:dyDescent="0.25">
      <c r="A19033" s="318">
        <v>96932788156</v>
      </c>
      <c r="B19033" s="318" t="s">
        <v>237</v>
      </c>
    </row>
    <row r="19034" spans="1:2" ht="12.75" customHeight="1" x14ac:dyDescent="0.25">
      <c r="A19034" s="318">
        <v>96932788157</v>
      </c>
      <c r="B19034" s="318" t="s">
        <v>237</v>
      </c>
    </row>
    <row r="19035" spans="1:2" ht="12.75" customHeight="1" x14ac:dyDescent="0.25">
      <c r="A19035" s="318">
        <v>96932788158</v>
      </c>
      <c r="B19035" s="318" t="s">
        <v>237</v>
      </c>
    </row>
    <row r="19036" spans="1:2" ht="12.75" customHeight="1" x14ac:dyDescent="0.25">
      <c r="A19036" s="318">
        <v>96932788159</v>
      </c>
      <c r="B19036" s="318" t="s">
        <v>237</v>
      </c>
    </row>
    <row r="19037" spans="1:2" ht="12.75" customHeight="1" x14ac:dyDescent="0.25">
      <c r="A19037" s="318">
        <v>96932788160</v>
      </c>
      <c r="B19037" s="318" t="s">
        <v>237</v>
      </c>
    </row>
    <row r="19038" spans="1:2" ht="12.75" customHeight="1" x14ac:dyDescent="0.25">
      <c r="A19038" s="318">
        <v>96932788162</v>
      </c>
      <c r="B19038" s="318" t="s">
        <v>237</v>
      </c>
    </row>
    <row r="19039" spans="1:2" ht="12.75" customHeight="1" x14ac:dyDescent="0.25">
      <c r="A19039" s="318">
        <v>96932788163</v>
      </c>
      <c r="B19039" s="318" t="s">
        <v>237</v>
      </c>
    </row>
    <row r="19040" spans="1:2" ht="12.75" customHeight="1" x14ac:dyDescent="0.25">
      <c r="A19040" s="318">
        <v>96932788164</v>
      </c>
      <c r="B19040" s="318" t="s">
        <v>237</v>
      </c>
    </row>
    <row r="19041" spans="1:2" ht="12.75" customHeight="1" x14ac:dyDescent="0.25">
      <c r="A19041" s="318">
        <v>96932788165</v>
      </c>
      <c r="B19041" s="318" t="s">
        <v>237</v>
      </c>
    </row>
    <row r="19042" spans="1:2" ht="12.75" customHeight="1" x14ac:dyDescent="0.25">
      <c r="A19042" s="318">
        <v>96932788166</v>
      </c>
      <c r="B19042" s="318" t="s">
        <v>237</v>
      </c>
    </row>
    <row r="19043" spans="1:2" ht="12.75" customHeight="1" x14ac:dyDescent="0.25">
      <c r="A19043" s="318">
        <v>96932788167</v>
      </c>
      <c r="B19043" s="318" t="s">
        <v>237</v>
      </c>
    </row>
    <row r="19044" spans="1:2" ht="12.75" customHeight="1" x14ac:dyDescent="0.25">
      <c r="A19044" s="318">
        <v>96932788168</v>
      </c>
      <c r="B19044" s="318" t="s">
        <v>237</v>
      </c>
    </row>
    <row r="19045" spans="1:2" ht="12.75" customHeight="1" x14ac:dyDescent="0.25">
      <c r="A19045" s="318">
        <v>96932788169</v>
      </c>
      <c r="B19045" s="318" t="s">
        <v>237</v>
      </c>
    </row>
    <row r="19046" spans="1:2" ht="12.75" customHeight="1" x14ac:dyDescent="0.25">
      <c r="A19046" s="318">
        <v>96933269026</v>
      </c>
      <c r="B19046" s="318" t="s">
        <v>23</v>
      </c>
    </row>
    <row r="19047" spans="1:2" ht="12.75" customHeight="1" x14ac:dyDescent="0.25">
      <c r="A19047" s="318">
        <v>96933269027</v>
      </c>
      <c r="B19047" s="318" t="s">
        <v>23</v>
      </c>
    </row>
    <row r="19048" spans="1:2" ht="12.75" customHeight="1" x14ac:dyDescent="0.25">
      <c r="A19048" s="318">
        <v>96933269028</v>
      </c>
      <c r="B19048" s="318" t="s">
        <v>23</v>
      </c>
    </row>
    <row r="19049" spans="1:2" ht="12.75" customHeight="1" x14ac:dyDescent="0.25">
      <c r="A19049" s="318">
        <v>96933269029</v>
      </c>
      <c r="B19049" s="318" t="s">
        <v>23</v>
      </c>
    </row>
    <row r="19050" spans="1:2" ht="12.75" customHeight="1" x14ac:dyDescent="0.25">
      <c r="A19050" s="318">
        <v>96933269030</v>
      </c>
      <c r="B19050" s="318" t="s">
        <v>23</v>
      </c>
    </row>
    <row r="19051" spans="1:2" ht="12.75" customHeight="1" x14ac:dyDescent="0.25">
      <c r="A19051" s="318">
        <v>96933269031</v>
      </c>
      <c r="B19051" s="318" t="s">
        <v>23</v>
      </c>
    </row>
    <row r="19052" spans="1:2" ht="12.75" customHeight="1" x14ac:dyDescent="0.25">
      <c r="A19052" s="318">
        <v>96933269032</v>
      </c>
      <c r="B19052" s="318" t="s">
        <v>23</v>
      </c>
    </row>
    <row r="19053" spans="1:2" ht="12.75" customHeight="1" x14ac:dyDescent="0.25">
      <c r="A19053" s="318">
        <v>96933269033</v>
      </c>
      <c r="B19053" s="318" t="s">
        <v>237</v>
      </c>
    </row>
    <row r="19054" spans="1:2" ht="12.75" customHeight="1" x14ac:dyDescent="0.25">
      <c r="A19054" s="318">
        <v>96933269035</v>
      </c>
      <c r="B19054" s="318" t="s">
        <v>23</v>
      </c>
    </row>
    <row r="19055" spans="1:2" ht="12.75" customHeight="1" x14ac:dyDescent="0.25">
      <c r="A19055" s="318">
        <v>96933269036</v>
      </c>
      <c r="B19055" s="318" t="s">
        <v>237</v>
      </c>
    </row>
    <row r="19056" spans="1:2" ht="12.75" customHeight="1" x14ac:dyDescent="0.25">
      <c r="A19056" s="318">
        <v>96933269037</v>
      </c>
      <c r="B19056" s="318" t="s">
        <v>23</v>
      </c>
    </row>
    <row r="19057" spans="1:2" ht="12.75" customHeight="1" x14ac:dyDescent="0.25">
      <c r="A19057" s="318">
        <v>96933269038</v>
      </c>
      <c r="B19057" s="318" t="s">
        <v>237</v>
      </c>
    </row>
    <row r="19058" spans="1:2" ht="12.75" customHeight="1" x14ac:dyDescent="0.25">
      <c r="A19058" s="318">
        <v>96933269039</v>
      </c>
      <c r="B19058" s="318" t="s">
        <v>23</v>
      </c>
    </row>
    <row r="19059" spans="1:2" ht="12.75" customHeight="1" x14ac:dyDescent="0.25">
      <c r="A19059" s="318">
        <v>96933269040</v>
      </c>
      <c r="B19059" s="318" t="s">
        <v>237</v>
      </c>
    </row>
    <row r="19060" spans="1:2" ht="12.75" customHeight="1" x14ac:dyDescent="0.25">
      <c r="A19060" s="318">
        <v>96933269041</v>
      </c>
      <c r="B19060" s="318" t="s">
        <v>23</v>
      </c>
    </row>
    <row r="19061" spans="1:2" ht="12.75" customHeight="1" x14ac:dyDescent="0.25">
      <c r="A19061" s="318">
        <v>96933269042</v>
      </c>
      <c r="B19061" s="318" t="s">
        <v>237</v>
      </c>
    </row>
    <row r="19062" spans="1:2" ht="12.75" customHeight="1" x14ac:dyDescent="0.25">
      <c r="A19062" s="318">
        <v>96933269126</v>
      </c>
      <c r="B19062" s="318" t="s">
        <v>237</v>
      </c>
    </row>
    <row r="19063" spans="1:2" ht="12.75" customHeight="1" x14ac:dyDescent="0.25">
      <c r="A19063" s="318">
        <v>96933269127</v>
      </c>
      <c r="B19063" s="318" t="s">
        <v>237</v>
      </c>
    </row>
    <row r="19064" spans="1:2" ht="12.75" customHeight="1" x14ac:dyDescent="0.25">
      <c r="A19064" s="318">
        <v>96933269128</v>
      </c>
      <c r="B19064" s="318" t="s">
        <v>237</v>
      </c>
    </row>
    <row r="19065" spans="1:2" ht="12.75" customHeight="1" x14ac:dyDescent="0.25">
      <c r="A19065" s="318">
        <v>96933269129</v>
      </c>
      <c r="B19065" s="318" t="s">
        <v>237</v>
      </c>
    </row>
    <row r="19066" spans="1:2" ht="12.75" customHeight="1" x14ac:dyDescent="0.25">
      <c r="A19066" s="318">
        <v>96933269130</v>
      </c>
      <c r="B19066" s="318" t="s">
        <v>237</v>
      </c>
    </row>
    <row r="19067" spans="1:2" ht="12.75" customHeight="1" x14ac:dyDescent="0.25">
      <c r="A19067" s="318">
        <v>96933269131</v>
      </c>
      <c r="B19067" s="318" t="s">
        <v>237</v>
      </c>
    </row>
    <row r="19068" spans="1:2" ht="12.75" customHeight="1" x14ac:dyDescent="0.25">
      <c r="A19068" s="318">
        <v>96933269132</v>
      </c>
      <c r="B19068" s="318" t="s">
        <v>237</v>
      </c>
    </row>
    <row r="19069" spans="1:2" ht="12.75" customHeight="1" x14ac:dyDescent="0.25">
      <c r="A19069" s="318">
        <v>96933269133</v>
      </c>
      <c r="B19069" s="318" t="s">
        <v>237</v>
      </c>
    </row>
    <row r="19070" spans="1:2" ht="12.75" customHeight="1" x14ac:dyDescent="0.25">
      <c r="A19070" s="318">
        <v>96933269135</v>
      </c>
      <c r="B19070" s="318" t="s">
        <v>237</v>
      </c>
    </row>
    <row r="19071" spans="1:2" ht="12.75" customHeight="1" x14ac:dyDescent="0.25">
      <c r="A19071" s="318">
        <v>96933269136</v>
      </c>
      <c r="B19071" s="318" t="s">
        <v>237</v>
      </c>
    </row>
    <row r="19072" spans="1:2" ht="12.75" customHeight="1" x14ac:dyDescent="0.25">
      <c r="A19072" s="318">
        <v>96933269137</v>
      </c>
      <c r="B19072" s="318" t="s">
        <v>237</v>
      </c>
    </row>
    <row r="19073" spans="1:2" ht="12.75" customHeight="1" x14ac:dyDescent="0.25">
      <c r="A19073" s="318">
        <v>96933269138</v>
      </c>
      <c r="B19073" s="318" t="s">
        <v>237</v>
      </c>
    </row>
    <row r="19074" spans="1:2" ht="12.75" customHeight="1" x14ac:dyDescent="0.25">
      <c r="A19074" s="318">
        <v>96933269139</v>
      </c>
      <c r="B19074" s="318" t="s">
        <v>237</v>
      </c>
    </row>
    <row r="19075" spans="1:2" ht="12.75" customHeight="1" x14ac:dyDescent="0.25">
      <c r="A19075" s="318">
        <v>96933269140</v>
      </c>
      <c r="B19075" s="318" t="s">
        <v>237</v>
      </c>
    </row>
    <row r="19076" spans="1:2" ht="12.75" customHeight="1" x14ac:dyDescent="0.25">
      <c r="A19076" s="318">
        <v>96933269141</v>
      </c>
      <c r="B19076" s="318" t="s">
        <v>237</v>
      </c>
    </row>
    <row r="19077" spans="1:2" ht="12.75" customHeight="1" x14ac:dyDescent="0.25">
      <c r="A19077" s="318">
        <v>96933269142</v>
      </c>
      <c r="B19077" s="318" t="s">
        <v>237</v>
      </c>
    </row>
    <row r="19078" spans="1:2" ht="12.75" customHeight="1" x14ac:dyDescent="0.25">
      <c r="A19078" s="318">
        <v>96933949217</v>
      </c>
      <c r="B19078" s="318" t="s">
        <v>23</v>
      </c>
    </row>
    <row r="19079" spans="1:2" ht="12.75" customHeight="1" x14ac:dyDescent="0.25">
      <c r="A19079" s="318">
        <v>96933949218</v>
      </c>
      <c r="B19079" s="318" t="s">
        <v>23</v>
      </c>
    </row>
    <row r="19080" spans="1:2" ht="12.75" customHeight="1" x14ac:dyDescent="0.25">
      <c r="A19080" s="318">
        <v>96933949219</v>
      </c>
      <c r="B19080" s="318" t="s">
        <v>23</v>
      </c>
    </row>
    <row r="19081" spans="1:2" ht="12.75" customHeight="1" x14ac:dyDescent="0.25">
      <c r="A19081" s="318">
        <v>96933949220</v>
      </c>
      <c r="B19081" s="318" t="s">
        <v>23</v>
      </c>
    </row>
    <row r="19082" spans="1:2" ht="12.75" customHeight="1" x14ac:dyDescent="0.25">
      <c r="A19082" s="318">
        <v>96933949221</v>
      </c>
      <c r="B19082" s="318" t="s">
        <v>23</v>
      </c>
    </row>
    <row r="19083" spans="1:2" ht="12.75" customHeight="1" x14ac:dyDescent="0.25">
      <c r="A19083" s="318">
        <v>96933949222</v>
      </c>
      <c r="B19083" s="318" t="s">
        <v>23</v>
      </c>
    </row>
    <row r="19084" spans="1:2" ht="12.75" customHeight="1" x14ac:dyDescent="0.25">
      <c r="A19084" s="318">
        <v>96933949223</v>
      </c>
      <c r="B19084" s="318" t="s">
        <v>23</v>
      </c>
    </row>
    <row r="19085" spans="1:2" ht="12.75" customHeight="1" x14ac:dyDescent="0.25">
      <c r="A19085" s="318">
        <v>96933949224</v>
      </c>
      <c r="B19085" s="318" t="s">
        <v>237</v>
      </c>
    </row>
    <row r="19086" spans="1:2" ht="12.75" customHeight="1" x14ac:dyDescent="0.25">
      <c r="A19086" s="318">
        <v>96933949226</v>
      </c>
      <c r="B19086" s="318" t="s">
        <v>23</v>
      </c>
    </row>
    <row r="19087" spans="1:2" ht="12.75" customHeight="1" x14ac:dyDescent="0.25">
      <c r="A19087" s="318">
        <v>96933949227</v>
      </c>
      <c r="B19087" s="318" t="s">
        <v>237</v>
      </c>
    </row>
    <row r="19088" spans="1:2" ht="12.75" customHeight="1" x14ac:dyDescent="0.25">
      <c r="A19088" s="318">
        <v>96933949228</v>
      </c>
      <c r="B19088" s="318" t="s">
        <v>23</v>
      </c>
    </row>
    <row r="19089" spans="1:2" ht="12.75" customHeight="1" x14ac:dyDescent="0.25">
      <c r="A19089" s="318">
        <v>96933949229</v>
      </c>
      <c r="B19089" s="318" t="s">
        <v>237</v>
      </c>
    </row>
    <row r="19090" spans="1:2" ht="12.75" customHeight="1" x14ac:dyDescent="0.25">
      <c r="A19090" s="318">
        <v>96933949230</v>
      </c>
      <c r="B19090" s="318" t="s">
        <v>23</v>
      </c>
    </row>
    <row r="19091" spans="1:2" ht="12.75" customHeight="1" x14ac:dyDescent="0.25">
      <c r="A19091" s="318">
        <v>96933949231</v>
      </c>
      <c r="B19091" s="318" t="s">
        <v>237</v>
      </c>
    </row>
    <row r="19092" spans="1:2" ht="12.75" customHeight="1" x14ac:dyDescent="0.25">
      <c r="A19092" s="318">
        <v>96933949232</v>
      </c>
      <c r="B19092" s="318" t="s">
        <v>23</v>
      </c>
    </row>
    <row r="19093" spans="1:2" ht="12.75" customHeight="1" x14ac:dyDescent="0.25">
      <c r="A19093" s="318">
        <v>96933949233</v>
      </c>
      <c r="B19093" s="318" t="s">
        <v>237</v>
      </c>
    </row>
    <row r="19094" spans="1:2" ht="12.75" customHeight="1" x14ac:dyDescent="0.25">
      <c r="A19094" s="318">
        <v>96933949317</v>
      </c>
      <c r="B19094" s="318" t="s">
        <v>237</v>
      </c>
    </row>
    <row r="19095" spans="1:2" ht="12.75" customHeight="1" x14ac:dyDescent="0.25">
      <c r="A19095" s="318">
        <v>96933949318</v>
      </c>
      <c r="B19095" s="318" t="s">
        <v>237</v>
      </c>
    </row>
    <row r="19096" spans="1:2" ht="12.75" customHeight="1" x14ac:dyDescent="0.25">
      <c r="A19096" s="318">
        <v>96933949319</v>
      </c>
      <c r="B19096" s="318" t="s">
        <v>237</v>
      </c>
    </row>
    <row r="19097" spans="1:2" ht="12.75" customHeight="1" x14ac:dyDescent="0.25">
      <c r="A19097" s="318">
        <v>96933949320</v>
      </c>
      <c r="B19097" s="318" t="s">
        <v>237</v>
      </c>
    </row>
    <row r="19098" spans="1:2" ht="12.75" customHeight="1" x14ac:dyDescent="0.25">
      <c r="A19098" s="318">
        <v>96933949321</v>
      </c>
      <c r="B19098" s="318" t="s">
        <v>237</v>
      </c>
    </row>
    <row r="19099" spans="1:2" ht="12.75" customHeight="1" x14ac:dyDescent="0.25">
      <c r="A19099" s="318">
        <v>96933949322</v>
      </c>
      <c r="B19099" s="318" t="s">
        <v>237</v>
      </c>
    </row>
    <row r="19100" spans="1:2" ht="12.75" customHeight="1" x14ac:dyDescent="0.25">
      <c r="A19100" s="318">
        <v>96933949323</v>
      </c>
      <c r="B19100" s="318" t="s">
        <v>237</v>
      </c>
    </row>
    <row r="19101" spans="1:2" ht="12.75" customHeight="1" x14ac:dyDescent="0.25">
      <c r="A19101" s="318">
        <v>96933949324</v>
      </c>
      <c r="B19101" s="318" t="s">
        <v>237</v>
      </c>
    </row>
    <row r="19102" spans="1:2" ht="12.75" customHeight="1" x14ac:dyDescent="0.25">
      <c r="A19102" s="318">
        <v>96933949326</v>
      </c>
      <c r="B19102" s="318" t="s">
        <v>237</v>
      </c>
    </row>
    <row r="19103" spans="1:2" ht="12.75" customHeight="1" x14ac:dyDescent="0.25">
      <c r="A19103" s="318">
        <v>96933949327</v>
      </c>
      <c r="B19103" s="318" t="s">
        <v>237</v>
      </c>
    </row>
    <row r="19104" spans="1:2" ht="12.75" customHeight="1" x14ac:dyDescent="0.25">
      <c r="A19104" s="318">
        <v>96933949328</v>
      </c>
      <c r="B19104" s="318" t="s">
        <v>237</v>
      </c>
    </row>
    <row r="19105" spans="1:2" ht="12.75" customHeight="1" x14ac:dyDescent="0.25">
      <c r="A19105" s="318">
        <v>96933949329</v>
      </c>
      <c r="B19105" s="318" t="s">
        <v>237</v>
      </c>
    </row>
    <row r="19106" spans="1:2" ht="12.75" customHeight="1" x14ac:dyDescent="0.25">
      <c r="A19106" s="318">
        <v>96933949330</v>
      </c>
      <c r="B19106" s="318" t="s">
        <v>237</v>
      </c>
    </row>
    <row r="19107" spans="1:2" ht="12.75" customHeight="1" x14ac:dyDescent="0.25">
      <c r="A19107" s="318">
        <v>96933949331</v>
      </c>
      <c r="B19107" s="318" t="s">
        <v>237</v>
      </c>
    </row>
    <row r="19108" spans="1:2" ht="12.75" customHeight="1" x14ac:dyDescent="0.25">
      <c r="A19108" s="318">
        <v>96933949332</v>
      </c>
      <c r="B19108" s="318" t="s">
        <v>237</v>
      </c>
    </row>
    <row r="19109" spans="1:2" ht="12.75" customHeight="1" x14ac:dyDescent="0.25">
      <c r="A19109" s="318">
        <v>96933949333</v>
      </c>
      <c r="B19109" s="318" t="s">
        <v>237</v>
      </c>
    </row>
    <row r="19110" spans="1:2" ht="12.75" customHeight="1" x14ac:dyDescent="0.25">
      <c r="A19110" s="318">
        <v>96934430190</v>
      </c>
      <c r="B19110" s="318" t="s">
        <v>23</v>
      </c>
    </row>
    <row r="19111" spans="1:2" ht="12.75" customHeight="1" x14ac:dyDescent="0.25">
      <c r="A19111" s="318">
        <v>96934430191</v>
      </c>
      <c r="B19111" s="318" t="s">
        <v>23</v>
      </c>
    </row>
    <row r="19112" spans="1:2" ht="12.75" customHeight="1" x14ac:dyDescent="0.25">
      <c r="A19112" s="318">
        <v>96934430192</v>
      </c>
      <c r="B19112" s="318" t="s">
        <v>23</v>
      </c>
    </row>
    <row r="19113" spans="1:2" ht="12.75" customHeight="1" x14ac:dyDescent="0.25">
      <c r="A19113" s="318">
        <v>96934430193</v>
      </c>
      <c r="B19113" s="318" t="s">
        <v>23</v>
      </c>
    </row>
    <row r="19114" spans="1:2" ht="12.75" customHeight="1" x14ac:dyDescent="0.25">
      <c r="A19114" s="318">
        <v>96934430194</v>
      </c>
      <c r="B19114" s="318" t="s">
        <v>23</v>
      </c>
    </row>
    <row r="19115" spans="1:2" ht="12.75" customHeight="1" x14ac:dyDescent="0.25">
      <c r="A19115" s="318">
        <v>96934430195</v>
      </c>
      <c r="B19115" s="318" t="s">
        <v>23</v>
      </c>
    </row>
    <row r="19116" spans="1:2" ht="12.75" customHeight="1" x14ac:dyDescent="0.25">
      <c r="A19116" s="318">
        <v>96934430196</v>
      </c>
      <c r="B19116" s="318" t="s">
        <v>23</v>
      </c>
    </row>
    <row r="19117" spans="1:2" ht="12.75" customHeight="1" x14ac:dyDescent="0.25">
      <c r="A19117" s="318">
        <v>96934430197</v>
      </c>
      <c r="B19117" s="318" t="s">
        <v>237</v>
      </c>
    </row>
    <row r="19118" spans="1:2" ht="12.75" customHeight="1" x14ac:dyDescent="0.25">
      <c r="A19118" s="318">
        <v>96934430199</v>
      </c>
      <c r="B19118" s="318" t="s">
        <v>23</v>
      </c>
    </row>
    <row r="19119" spans="1:2" ht="12.75" customHeight="1" x14ac:dyDescent="0.25">
      <c r="A19119" s="318">
        <v>96934430200</v>
      </c>
      <c r="B19119" s="318" t="s">
        <v>237</v>
      </c>
    </row>
    <row r="19120" spans="1:2" ht="12.75" customHeight="1" x14ac:dyDescent="0.25">
      <c r="A19120" s="318">
        <v>96934430201</v>
      </c>
      <c r="B19120" s="318" t="s">
        <v>23</v>
      </c>
    </row>
    <row r="19121" spans="1:2" ht="12.75" customHeight="1" x14ac:dyDescent="0.25">
      <c r="A19121" s="318">
        <v>96934430202</v>
      </c>
      <c r="B19121" s="318" t="s">
        <v>237</v>
      </c>
    </row>
    <row r="19122" spans="1:2" ht="12.75" customHeight="1" x14ac:dyDescent="0.25">
      <c r="A19122" s="318">
        <v>96934430203</v>
      </c>
      <c r="B19122" s="318" t="s">
        <v>23</v>
      </c>
    </row>
    <row r="19123" spans="1:2" ht="12.75" customHeight="1" x14ac:dyDescent="0.25">
      <c r="A19123" s="318">
        <v>96934430204</v>
      </c>
      <c r="B19123" s="318" t="s">
        <v>237</v>
      </c>
    </row>
    <row r="19124" spans="1:2" ht="12.75" customHeight="1" x14ac:dyDescent="0.25">
      <c r="A19124" s="318">
        <v>96934430205</v>
      </c>
      <c r="B19124" s="318" t="s">
        <v>23</v>
      </c>
    </row>
    <row r="19125" spans="1:2" ht="12.75" customHeight="1" x14ac:dyDescent="0.25">
      <c r="A19125" s="318">
        <v>96934430206</v>
      </c>
      <c r="B19125" s="318" t="s">
        <v>237</v>
      </c>
    </row>
    <row r="19126" spans="1:2" ht="12.75" customHeight="1" x14ac:dyDescent="0.25">
      <c r="A19126" s="318">
        <v>96934430290</v>
      </c>
      <c r="B19126" s="318" t="s">
        <v>237</v>
      </c>
    </row>
    <row r="19127" spans="1:2" ht="12.75" customHeight="1" x14ac:dyDescent="0.25">
      <c r="A19127" s="318">
        <v>96934430291</v>
      </c>
      <c r="B19127" s="318" t="s">
        <v>237</v>
      </c>
    </row>
    <row r="19128" spans="1:2" ht="12.75" customHeight="1" x14ac:dyDescent="0.25">
      <c r="A19128" s="318">
        <v>96934430292</v>
      </c>
      <c r="B19128" s="318" t="s">
        <v>237</v>
      </c>
    </row>
    <row r="19129" spans="1:2" ht="12.75" customHeight="1" x14ac:dyDescent="0.25">
      <c r="A19129" s="318">
        <v>96934430293</v>
      </c>
      <c r="B19129" s="318" t="s">
        <v>237</v>
      </c>
    </row>
    <row r="19130" spans="1:2" ht="12.75" customHeight="1" x14ac:dyDescent="0.25">
      <c r="A19130" s="318">
        <v>96934430294</v>
      </c>
      <c r="B19130" s="318" t="s">
        <v>237</v>
      </c>
    </row>
    <row r="19131" spans="1:2" ht="12.75" customHeight="1" x14ac:dyDescent="0.25">
      <c r="A19131" s="318">
        <v>96934430295</v>
      </c>
      <c r="B19131" s="318" t="s">
        <v>237</v>
      </c>
    </row>
    <row r="19132" spans="1:2" ht="12.75" customHeight="1" x14ac:dyDescent="0.25">
      <c r="A19132" s="318">
        <v>96934430296</v>
      </c>
      <c r="B19132" s="318" t="s">
        <v>237</v>
      </c>
    </row>
    <row r="19133" spans="1:2" ht="12.75" customHeight="1" x14ac:dyDescent="0.25">
      <c r="A19133" s="318">
        <v>96934430297</v>
      </c>
      <c r="B19133" s="318" t="s">
        <v>237</v>
      </c>
    </row>
    <row r="19134" spans="1:2" ht="12.75" customHeight="1" x14ac:dyDescent="0.25">
      <c r="A19134" s="318">
        <v>96934430299</v>
      </c>
      <c r="B19134" s="318" t="s">
        <v>237</v>
      </c>
    </row>
    <row r="19135" spans="1:2" ht="12.75" customHeight="1" x14ac:dyDescent="0.25">
      <c r="A19135" s="318">
        <v>96934430300</v>
      </c>
      <c r="B19135" s="318" t="s">
        <v>237</v>
      </c>
    </row>
    <row r="19136" spans="1:2" ht="12.75" customHeight="1" x14ac:dyDescent="0.25">
      <c r="A19136" s="318">
        <v>96934430301</v>
      </c>
      <c r="B19136" s="318" t="s">
        <v>237</v>
      </c>
    </row>
    <row r="19137" spans="1:2" ht="12.75" customHeight="1" x14ac:dyDescent="0.25">
      <c r="A19137" s="318">
        <v>96934430302</v>
      </c>
      <c r="B19137" s="318" t="s">
        <v>237</v>
      </c>
    </row>
    <row r="19138" spans="1:2" ht="12.75" customHeight="1" x14ac:dyDescent="0.25">
      <c r="A19138" s="318">
        <v>96934430303</v>
      </c>
      <c r="B19138" s="318" t="s">
        <v>237</v>
      </c>
    </row>
    <row r="19139" spans="1:2" ht="12.75" customHeight="1" x14ac:dyDescent="0.25">
      <c r="A19139" s="318">
        <v>96934430304</v>
      </c>
      <c r="B19139" s="318" t="s">
        <v>237</v>
      </c>
    </row>
    <row r="19140" spans="1:2" ht="12.75" customHeight="1" x14ac:dyDescent="0.25">
      <c r="A19140" s="318">
        <v>96934430305</v>
      </c>
      <c r="B19140" s="318" t="s">
        <v>237</v>
      </c>
    </row>
    <row r="19141" spans="1:2" ht="12.75" customHeight="1" x14ac:dyDescent="0.25">
      <c r="A19141" s="318">
        <v>96934430306</v>
      </c>
      <c r="B19141" s="318" t="s">
        <v>237</v>
      </c>
    </row>
    <row r="19142" spans="1:2" ht="12.75" customHeight="1" x14ac:dyDescent="0.25">
      <c r="A19142" s="318">
        <v>96934911163</v>
      </c>
      <c r="B19142" s="318" t="s">
        <v>23</v>
      </c>
    </row>
    <row r="19143" spans="1:2" ht="12.75" customHeight="1" x14ac:dyDescent="0.25">
      <c r="A19143" s="318">
        <v>96934911164</v>
      </c>
      <c r="B19143" s="318" t="s">
        <v>23</v>
      </c>
    </row>
    <row r="19144" spans="1:2" ht="12.75" customHeight="1" x14ac:dyDescent="0.25">
      <c r="A19144" s="318">
        <v>96934911165</v>
      </c>
      <c r="B19144" s="318" t="s">
        <v>23</v>
      </c>
    </row>
    <row r="19145" spans="1:2" ht="12.75" customHeight="1" x14ac:dyDescent="0.25">
      <c r="A19145" s="318">
        <v>96934911166</v>
      </c>
      <c r="B19145" s="318" t="s">
        <v>23</v>
      </c>
    </row>
    <row r="19146" spans="1:2" ht="12.75" customHeight="1" x14ac:dyDescent="0.25">
      <c r="A19146" s="318">
        <v>96934911167</v>
      </c>
      <c r="B19146" s="318" t="s">
        <v>23</v>
      </c>
    </row>
    <row r="19147" spans="1:2" ht="12.75" customHeight="1" x14ac:dyDescent="0.25">
      <c r="A19147" s="318">
        <v>96934911168</v>
      </c>
      <c r="B19147" s="318" t="s">
        <v>23</v>
      </c>
    </row>
    <row r="19148" spans="1:2" ht="12.75" customHeight="1" x14ac:dyDescent="0.25">
      <c r="A19148" s="318">
        <v>96934911169</v>
      </c>
      <c r="B19148" s="318" t="s">
        <v>23</v>
      </c>
    </row>
    <row r="19149" spans="1:2" ht="12.75" customHeight="1" x14ac:dyDescent="0.25">
      <c r="A19149" s="318">
        <v>96934911170</v>
      </c>
      <c r="B19149" s="318" t="s">
        <v>237</v>
      </c>
    </row>
    <row r="19150" spans="1:2" ht="12.75" customHeight="1" x14ac:dyDescent="0.25">
      <c r="A19150" s="318">
        <v>96934911172</v>
      </c>
      <c r="B19150" s="318" t="s">
        <v>23</v>
      </c>
    </row>
    <row r="19151" spans="1:2" ht="12.75" customHeight="1" x14ac:dyDescent="0.25">
      <c r="A19151" s="318">
        <v>96934911173</v>
      </c>
      <c r="B19151" s="318" t="s">
        <v>237</v>
      </c>
    </row>
    <row r="19152" spans="1:2" ht="12.75" customHeight="1" x14ac:dyDescent="0.25">
      <c r="A19152" s="318">
        <v>96934911174</v>
      </c>
      <c r="B19152" s="318" t="s">
        <v>23</v>
      </c>
    </row>
    <row r="19153" spans="1:2" ht="12.75" customHeight="1" x14ac:dyDescent="0.25">
      <c r="A19153" s="318">
        <v>96934911175</v>
      </c>
      <c r="B19153" s="318" t="s">
        <v>237</v>
      </c>
    </row>
    <row r="19154" spans="1:2" ht="12.75" customHeight="1" x14ac:dyDescent="0.25">
      <c r="A19154" s="318">
        <v>96934911176</v>
      </c>
      <c r="B19154" s="318" t="s">
        <v>23</v>
      </c>
    </row>
    <row r="19155" spans="1:2" ht="12.75" customHeight="1" x14ac:dyDescent="0.25">
      <c r="A19155" s="318">
        <v>96934911177</v>
      </c>
      <c r="B19155" s="318" t="s">
        <v>237</v>
      </c>
    </row>
    <row r="19156" spans="1:2" ht="12.75" customHeight="1" x14ac:dyDescent="0.25">
      <c r="A19156" s="318">
        <v>96934911178</v>
      </c>
      <c r="B19156" s="318" t="s">
        <v>23</v>
      </c>
    </row>
    <row r="19157" spans="1:2" ht="12.75" customHeight="1" x14ac:dyDescent="0.25">
      <c r="A19157" s="318">
        <v>96934911179</v>
      </c>
      <c r="B19157" s="318" t="s">
        <v>237</v>
      </c>
    </row>
    <row r="19158" spans="1:2" ht="12.75" customHeight="1" x14ac:dyDescent="0.25">
      <c r="A19158" s="318">
        <v>96934911263</v>
      </c>
      <c r="B19158" s="318" t="s">
        <v>237</v>
      </c>
    </row>
    <row r="19159" spans="1:2" ht="12.75" customHeight="1" x14ac:dyDescent="0.25">
      <c r="A19159" s="318">
        <v>96934911264</v>
      </c>
      <c r="B19159" s="318" t="s">
        <v>237</v>
      </c>
    </row>
    <row r="19160" spans="1:2" ht="12.75" customHeight="1" x14ac:dyDescent="0.25">
      <c r="A19160" s="318">
        <v>96934911265</v>
      </c>
      <c r="B19160" s="318" t="s">
        <v>237</v>
      </c>
    </row>
    <row r="19161" spans="1:2" ht="12.75" customHeight="1" x14ac:dyDescent="0.25">
      <c r="A19161" s="318">
        <v>96934911266</v>
      </c>
      <c r="B19161" s="318" t="s">
        <v>237</v>
      </c>
    </row>
    <row r="19162" spans="1:2" ht="12.75" customHeight="1" x14ac:dyDescent="0.25">
      <c r="A19162" s="318">
        <v>96934911267</v>
      </c>
      <c r="B19162" s="318" t="s">
        <v>237</v>
      </c>
    </row>
    <row r="19163" spans="1:2" ht="12.75" customHeight="1" x14ac:dyDescent="0.25">
      <c r="A19163" s="318">
        <v>96934911268</v>
      </c>
      <c r="B19163" s="318" t="s">
        <v>237</v>
      </c>
    </row>
    <row r="19164" spans="1:2" ht="12.75" customHeight="1" x14ac:dyDescent="0.25">
      <c r="A19164" s="318">
        <v>96934911269</v>
      </c>
      <c r="B19164" s="318" t="s">
        <v>237</v>
      </c>
    </row>
    <row r="19165" spans="1:2" ht="12.75" customHeight="1" x14ac:dyDescent="0.25">
      <c r="A19165" s="318">
        <v>96934911270</v>
      </c>
      <c r="B19165" s="318" t="s">
        <v>237</v>
      </c>
    </row>
    <row r="19166" spans="1:2" ht="12.75" customHeight="1" x14ac:dyDescent="0.25">
      <c r="A19166" s="318">
        <v>96934911272</v>
      </c>
      <c r="B19166" s="318" t="s">
        <v>237</v>
      </c>
    </row>
    <row r="19167" spans="1:2" ht="12.75" customHeight="1" x14ac:dyDescent="0.25">
      <c r="A19167" s="318">
        <v>96934911273</v>
      </c>
      <c r="B19167" s="318" t="s">
        <v>237</v>
      </c>
    </row>
    <row r="19168" spans="1:2" ht="12.75" customHeight="1" x14ac:dyDescent="0.25">
      <c r="A19168" s="318">
        <v>96934911274</v>
      </c>
      <c r="B19168" s="318" t="s">
        <v>237</v>
      </c>
    </row>
    <row r="19169" spans="1:2" ht="12.75" customHeight="1" x14ac:dyDescent="0.25">
      <c r="A19169" s="318">
        <v>96934911275</v>
      </c>
      <c r="B19169" s="318" t="s">
        <v>237</v>
      </c>
    </row>
    <row r="19170" spans="1:2" ht="12.75" customHeight="1" x14ac:dyDescent="0.25">
      <c r="A19170" s="318">
        <v>96934911276</v>
      </c>
      <c r="B19170" s="318" t="s">
        <v>237</v>
      </c>
    </row>
    <row r="19171" spans="1:2" ht="12.75" customHeight="1" x14ac:dyDescent="0.25">
      <c r="A19171" s="318">
        <v>96934911277</v>
      </c>
      <c r="B19171" s="318" t="s">
        <v>237</v>
      </c>
    </row>
    <row r="19172" spans="1:2" ht="12.75" customHeight="1" x14ac:dyDescent="0.25">
      <c r="A19172" s="318">
        <v>96934911278</v>
      </c>
      <c r="B19172" s="318" t="s">
        <v>237</v>
      </c>
    </row>
    <row r="19173" spans="1:2" ht="12.75" customHeight="1" x14ac:dyDescent="0.25">
      <c r="A19173" s="318">
        <v>96934911279</v>
      </c>
      <c r="B19173" s="318" t="s">
        <v>237</v>
      </c>
    </row>
    <row r="19174" spans="1:2" ht="12.75" customHeight="1" x14ac:dyDescent="0.25">
      <c r="A19174" s="318">
        <v>96936271544</v>
      </c>
      <c r="B19174" s="318" t="s">
        <v>23</v>
      </c>
    </row>
    <row r="19175" spans="1:2" ht="12.75" customHeight="1" x14ac:dyDescent="0.25">
      <c r="A19175" s="318">
        <v>96936271545</v>
      </c>
      <c r="B19175" s="318" t="s">
        <v>23</v>
      </c>
    </row>
    <row r="19176" spans="1:2" ht="12.75" customHeight="1" x14ac:dyDescent="0.25">
      <c r="A19176" s="318">
        <v>96936271546</v>
      </c>
      <c r="B19176" s="318" t="s">
        <v>23</v>
      </c>
    </row>
    <row r="19177" spans="1:2" ht="12.75" customHeight="1" x14ac:dyDescent="0.25">
      <c r="A19177" s="318">
        <v>96936271547</v>
      </c>
      <c r="B19177" s="318" t="s">
        <v>23</v>
      </c>
    </row>
    <row r="19178" spans="1:2" ht="12.75" customHeight="1" x14ac:dyDescent="0.25">
      <c r="A19178" s="318">
        <v>96936271548</v>
      </c>
      <c r="B19178" s="318" t="s">
        <v>23</v>
      </c>
    </row>
    <row r="19179" spans="1:2" ht="12.75" customHeight="1" x14ac:dyDescent="0.25">
      <c r="A19179" s="318">
        <v>96936271549</v>
      </c>
      <c r="B19179" s="318" t="s">
        <v>23</v>
      </c>
    </row>
    <row r="19180" spans="1:2" ht="12.75" customHeight="1" x14ac:dyDescent="0.25">
      <c r="A19180" s="318">
        <v>96936271550</v>
      </c>
      <c r="B19180" s="318" t="s">
        <v>23</v>
      </c>
    </row>
    <row r="19181" spans="1:2" ht="12.75" customHeight="1" x14ac:dyDescent="0.25">
      <c r="A19181" s="318">
        <v>96936271551</v>
      </c>
      <c r="B19181" s="318" t="s">
        <v>237</v>
      </c>
    </row>
    <row r="19182" spans="1:2" ht="12.75" customHeight="1" x14ac:dyDescent="0.25">
      <c r="A19182" s="318">
        <v>96936271553</v>
      </c>
      <c r="B19182" s="318" t="s">
        <v>23</v>
      </c>
    </row>
    <row r="19183" spans="1:2" ht="12.75" customHeight="1" x14ac:dyDescent="0.25">
      <c r="A19183" s="318">
        <v>96936271554</v>
      </c>
      <c r="B19183" s="318" t="s">
        <v>237</v>
      </c>
    </row>
    <row r="19184" spans="1:2" ht="12.75" customHeight="1" x14ac:dyDescent="0.25">
      <c r="A19184" s="318">
        <v>96936271555</v>
      </c>
      <c r="B19184" s="318" t="s">
        <v>23</v>
      </c>
    </row>
    <row r="19185" spans="1:2" ht="12.75" customHeight="1" x14ac:dyDescent="0.25">
      <c r="A19185" s="318">
        <v>96936271556</v>
      </c>
      <c r="B19185" s="318" t="s">
        <v>237</v>
      </c>
    </row>
    <row r="19186" spans="1:2" ht="12.75" customHeight="1" x14ac:dyDescent="0.25">
      <c r="A19186" s="318">
        <v>96936271557</v>
      </c>
      <c r="B19186" s="318" t="s">
        <v>23</v>
      </c>
    </row>
    <row r="19187" spans="1:2" ht="12.75" customHeight="1" x14ac:dyDescent="0.25">
      <c r="A19187" s="318">
        <v>96936271558</v>
      </c>
      <c r="B19187" s="318" t="s">
        <v>237</v>
      </c>
    </row>
    <row r="19188" spans="1:2" ht="12.75" customHeight="1" x14ac:dyDescent="0.25">
      <c r="A19188" s="318">
        <v>96936271559</v>
      </c>
      <c r="B19188" s="318" t="s">
        <v>23</v>
      </c>
    </row>
    <row r="19189" spans="1:2" ht="12.75" customHeight="1" x14ac:dyDescent="0.25">
      <c r="A19189" s="318">
        <v>96936271560</v>
      </c>
      <c r="B19189" s="318" t="s">
        <v>237</v>
      </c>
    </row>
    <row r="19190" spans="1:2" ht="12.75" customHeight="1" x14ac:dyDescent="0.25">
      <c r="A19190" s="318">
        <v>96936271644</v>
      </c>
      <c r="B19190" s="318" t="s">
        <v>237</v>
      </c>
    </row>
    <row r="19191" spans="1:2" ht="12.75" customHeight="1" x14ac:dyDescent="0.25">
      <c r="A19191" s="318">
        <v>96936271645</v>
      </c>
      <c r="B19191" s="318" t="s">
        <v>237</v>
      </c>
    </row>
    <row r="19192" spans="1:2" ht="12.75" customHeight="1" x14ac:dyDescent="0.25">
      <c r="A19192" s="318">
        <v>96936271646</v>
      </c>
      <c r="B19192" s="318" t="s">
        <v>237</v>
      </c>
    </row>
    <row r="19193" spans="1:2" ht="12.75" customHeight="1" x14ac:dyDescent="0.25">
      <c r="A19193" s="318">
        <v>96936271647</v>
      </c>
      <c r="B19193" s="318" t="s">
        <v>237</v>
      </c>
    </row>
    <row r="19194" spans="1:2" ht="12.75" customHeight="1" x14ac:dyDescent="0.25">
      <c r="A19194" s="318">
        <v>96936271648</v>
      </c>
      <c r="B19194" s="318" t="s">
        <v>237</v>
      </c>
    </row>
    <row r="19195" spans="1:2" ht="12.75" customHeight="1" x14ac:dyDescent="0.25">
      <c r="A19195" s="318">
        <v>96936271649</v>
      </c>
      <c r="B19195" s="318" t="s">
        <v>237</v>
      </c>
    </row>
    <row r="19196" spans="1:2" ht="12.75" customHeight="1" x14ac:dyDescent="0.25">
      <c r="A19196" s="318">
        <v>96936271650</v>
      </c>
      <c r="B19196" s="318" t="s">
        <v>237</v>
      </c>
    </row>
    <row r="19197" spans="1:2" ht="12.75" customHeight="1" x14ac:dyDescent="0.25">
      <c r="A19197" s="318">
        <v>96936271651</v>
      </c>
      <c r="B19197" s="318" t="s">
        <v>237</v>
      </c>
    </row>
    <row r="19198" spans="1:2" ht="12.75" customHeight="1" x14ac:dyDescent="0.25">
      <c r="A19198" s="318">
        <v>96936271653</v>
      </c>
      <c r="B19198" s="318" t="s">
        <v>237</v>
      </c>
    </row>
    <row r="19199" spans="1:2" ht="12.75" customHeight="1" x14ac:dyDescent="0.25">
      <c r="A19199" s="318">
        <v>96936271654</v>
      </c>
      <c r="B19199" s="318" t="s">
        <v>237</v>
      </c>
    </row>
    <row r="19200" spans="1:2" ht="12.75" customHeight="1" x14ac:dyDescent="0.25">
      <c r="A19200" s="318">
        <v>96936271655</v>
      </c>
      <c r="B19200" s="318" t="s">
        <v>237</v>
      </c>
    </row>
    <row r="19201" spans="1:2" ht="12.75" customHeight="1" x14ac:dyDescent="0.25">
      <c r="A19201" s="318">
        <v>96936271656</v>
      </c>
      <c r="B19201" s="318" t="s">
        <v>237</v>
      </c>
    </row>
    <row r="19202" spans="1:2" ht="12.75" customHeight="1" x14ac:dyDescent="0.25">
      <c r="A19202" s="318">
        <v>96936271657</v>
      </c>
      <c r="B19202" s="318" t="s">
        <v>237</v>
      </c>
    </row>
    <row r="19203" spans="1:2" ht="12.75" customHeight="1" x14ac:dyDescent="0.25">
      <c r="A19203" s="318">
        <v>96936271658</v>
      </c>
      <c r="B19203" s="318" t="s">
        <v>237</v>
      </c>
    </row>
    <row r="19204" spans="1:2" ht="12.75" customHeight="1" x14ac:dyDescent="0.25">
      <c r="A19204" s="318">
        <v>96936271659</v>
      </c>
      <c r="B19204" s="318" t="s">
        <v>237</v>
      </c>
    </row>
    <row r="19205" spans="1:2" ht="12.75" customHeight="1" x14ac:dyDescent="0.25">
      <c r="A19205" s="318">
        <v>96936271660</v>
      </c>
      <c r="B19205" s="318" t="s">
        <v>237</v>
      </c>
    </row>
    <row r="19206" spans="1:2" ht="12.75" customHeight="1" x14ac:dyDescent="0.25">
      <c r="A19206" s="318">
        <v>96936752517</v>
      </c>
      <c r="B19206" s="318" t="s">
        <v>23</v>
      </c>
    </row>
    <row r="19207" spans="1:2" ht="12.75" customHeight="1" x14ac:dyDescent="0.25">
      <c r="A19207" s="318">
        <v>96936752518</v>
      </c>
      <c r="B19207" s="318" t="s">
        <v>23</v>
      </c>
    </row>
    <row r="19208" spans="1:2" ht="12.75" customHeight="1" x14ac:dyDescent="0.25">
      <c r="A19208" s="318">
        <v>96936752519</v>
      </c>
      <c r="B19208" s="318" t="s">
        <v>23</v>
      </c>
    </row>
    <row r="19209" spans="1:2" ht="12.75" customHeight="1" x14ac:dyDescent="0.25">
      <c r="A19209" s="318">
        <v>96936752520</v>
      </c>
      <c r="B19209" s="318" t="s">
        <v>23</v>
      </c>
    </row>
    <row r="19210" spans="1:2" ht="12.75" customHeight="1" x14ac:dyDescent="0.25">
      <c r="A19210" s="318">
        <v>96936752521</v>
      </c>
      <c r="B19210" s="318" t="s">
        <v>23</v>
      </c>
    </row>
    <row r="19211" spans="1:2" ht="12.75" customHeight="1" x14ac:dyDescent="0.25">
      <c r="A19211" s="318">
        <v>96936752522</v>
      </c>
      <c r="B19211" s="318" t="s">
        <v>23</v>
      </c>
    </row>
    <row r="19212" spans="1:2" ht="12.75" customHeight="1" x14ac:dyDescent="0.25">
      <c r="A19212" s="318">
        <v>96936752523</v>
      </c>
      <c r="B19212" s="318" t="s">
        <v>23</v>
      </c>
    </row>
    <row r="19213" spans="1:2" ht="12.75" customHeight="1" x14ac:dyDescent="0.25">
      <c r="A19213" s="318">
        <v>96936752524</v>
      </c>
      <c r="B19213" s="318" t="s">
        <v>237</v>
      </c>
    </row>
    <row r="19214" spans="1:2" ht="12.75" customHeight="1" x14ac:dyDescent="0.25">
      <c r="A19214" s="318">
        <v>96936752526</v>
      </c>
      <c r="B19214" s="318" t="s">
        <v>23</v>
      </c>
    </row>
    <row r="19215" spans="1:2" ht="12.75" customHeight="1" x14ac:dyDescent="0.25">
      <c r="A19215" s="318">
        <v>96936752527</v>
      </c>
      <c r="B19215" s="318" t="s">
        <v>237</v>
      </c>
    </row>
    <row r="19216" spans="1:2" ht="12.75" customHeight="1" x14ac:dyDescent="0.25">
      <c r="A19216" s="318">
        <v>96936752528</v>
      </c>
      <c r="B19216" s="318" t="s">
        <v>23</v>
      </c>
    </row>
    <row r="19217" spans="1:2" ht="12.75" customHeight="1" x14ac:dyDescent="0.25">
      <c r="A19217" s="318">
        <v>96936752529</v>
      </c>
      <c r="B19217" s="318" t="s">
        <v>237</v>
      </c>
    </row>
    <row r="19218" spans="1:2" ht="12.75" customHeight="1" x14ac:dyDescent="0.25">
      <c r="A19218" s="318">
        <v>96936752530</v>
      </c>
      <c r="B19218" s="318" t="s">
        <v>23</v>
      </c>
    </row>
    <row r="19219" spans="1:2" ht="12.75" customHeight="1" x14ac:dyDescent="0.25">
      <c r="A19219" s="318">
        <v>96936752531</v>
      </c>
      <c r="B19219" s="318" t="s">
        <v>237</v>
      </c>
    </row>
    <row r="19220" spans="1:2" ht="12.75" customHeight="1" x14ac:dyDescent="0.25">
      <c r="A19220" s="318">
        <v>96936752532</v>
      </c>
      <c r="B19220" s="318" t="s">
        <v>23</v>
      </c>
    </row>
    <row r="19221" spans="1:2" ht="12.75" customHeight="1" x14ac:dyDescent="0.25">
      <c r="A19221" s="318">
        <v>96936752533</v>
      </c>
      <c r="B19221" s="318" t="s">
        <v>237</v>
      </c>
    </row>
    <row r="19222" spans="1:2" ht="12.75" customHeight="1" x14ac:dyDescent="0.25">
      <c r="A19222" s="318">
        <v>96936752617</v>
      </c>
      <c r="B19222" s="318" t="s">
        <v>237</v>
      </c>
    </row>
    <row r="19223" spans="1:2" ht="12.75" customHeight="1" x14ac:dyDescent="0.25">
      <c r="A19223" s="318">
        <v>96936752618</v>
      </c>
      <c r="B19223" s="318" t="s">
        <v>237</v>
      </c>
    </row>
    <row r="19224" spans="1:2" ht="12.75" customHeight="1" x14ac:dyDescent="0.25">
      <c r="A19224" s="318">
        <v>96936752619</v>
      </c>
      <c r="B19224" s="318" t="s">
        <v>237</v>
      </c>
    </row>
    <row r="19225" spans="1:2" ht="12.75" customHeight="1" x14ac:dyDescent="0.25">
      <c r="A19225" s="318">
        <v>96936752620</v>
      </c>
      <c r="B19225" s="318" t="s">
        <v>237</v>
      </c>
    </row>
    <row r="19226" spans="1:2" ht="12.75" customHeight="1" x14ac:dyDescent="0.25">
      <c r="A19226" s="318">
        <v>96936752621</v>
      </c>
      <c r="B19226" s="318" t="s">
        <v>237</v>
      </c>
    </row>
    <row r="19227" spans="1:2" ht="12.75" customHeight="1" x14ac:dyDescent="0.25">
      <c r="A19227" s="318">
        <v>96936752622</v>
      </c>
      <c r="B19227" s="318" t="s">
        <v>237</v>
      </c>
    </row>
    <row r="19228" spans="1:2" ht="12.75" customHeight="1" x14ac:dyDescent="0.25">
      <c r="A19228" s="318">
        <v>96936752623</v>
      </c>
      <c r="B19228" s="318" t="s">
        <v>237</v>
      </c>
    </row>
    <row r="19229" spans="1:2" ht="12.75" customHeight="1" x14ac:dyDescent="0.25">
      <c r="A19229" s="318">
        <v>96936752624</v>
      </c>
      <c r="B19229" s="318" t="s">
        <v>237</v>
      </c>
    </row>
    <row r="19230" spans="1:2" ht="12.75" customHeight="1" x14ac:dyDescent="0.25">
      <c r="A19230" s="318">
        <v>96936752626</v>
      </c>
      <c r="B19230" s="318" t="s">
        <v>237</v>
      </c>
    </row>
    <row r="19231" spans="1:2" ht="12.75" customHeight="1" x14ac:dyDescent="0.25">
      <c r="A19231" s="318">
        <v>96936752627</v>
      </c>
      <c r="B19231" s="318" t="s">
        <v>237</v>
      </c>
    </row>
    <row r="19232" spans="1:2" ht="12.75" customHeight="1" x14ac:dyDescent="0.25">
      <c r="A19232" s="318">
        <v>96936752628</v>
      </c>
      <c r="B19232" s="318" t="s">
        <v>237</v>
      </c>
    </row>
    <row r="19233" spans="1:2" ht="12.75" customHeight="1" x14ac:dyDescent="0.25">
      <c r="A19233" s="318">
        <v>96936752629</v>
      </c>
      <c r="B19233" s="318" t="s">
        <v>237</v>
      </c>
    </row>
    <row r="19234" spans="1:2" ht="12.75" customHeight="1" x14ac:dyDescent="0.25">
      <c r="A19234" s="318">
        <v>96936752630</v>
      </c>
      <c r="B19234" s="318" t="s">
        <v>237</v>
      </c>
    </row>
    <row r="19235" spans="1:2" ht="12.75" customHeight="1" x14ac:dyDescent="0.25">
      <c r="A19235" s="318">
        <v>96936752631</v>
      </c>
      <c r="B19235" s="318" t="s">
        <v>237</v>
      </c>
    </row>
    <row r="19236" spans="1:2" ht="12.75" customHeight="1" x14ac:dyDescent="0.25">
      <c r="A19236" s="318">
        <v>96936752632</v>
      </c>
      <c r="B19236" s="318" t="s">
        <v>237</v>
      </c>
    </row>
    <row r="19237" spans="1:2" ht="12.75" customHeight="1" x14ac:dyDescent="0.25">
      <c r="A19237" s="318">
        <v>96936752633</v>
      </c>
      <c r="B19237" s="318" t="s">
        <v>237</v>
      </c>
    </row>
    <row r="19238" spans="1:2" ht="12.75" customHeight="1" x14ac:dyDescent="0.25">
      <c r="A19238" s="318">
        <v>96937233490</v>
      </c>
      <c r="B19238" s="318" t="s">
        <v>23</v>
      </c>
    </row>
    <row r="19239" spans="1:2" ht="12.75" customHeight="1" x14ac:dyDescent="0.25">
      <c r="A19239" s="318">
        <v>96937233491</v>
      </c>
      <c r="B19239" s="318" t="s">
        <v>23</v>
      </c>
    </row>
    <row r="19240" spans="1:2" ht="12.75" customHeight="1" x14ac:dyDescent="0.25">
      <c r="A19240" s="318">
        <v>96937233492</v>
      </c>
      <c r="B19240" s="318" t="s">
        <v>23</v>
      </c>
    </row>
    <row r="19241" spans="1:2" ht="12.75" customHeight="1" x14ac:dyDescent="0.25">
      <c r="A19241" s="318">
        <v>96937233493</v>
      </c>
      <c r="B19241" s="318" t="s">
        <v>23</v>
      </c>
    </row>
    <row r="19242" spans="1:2" ht="12.75" customHeight="1" x14ac:dyDescent="0.25">
      <c r="A19242" s="318">
        <v>96937233494</v>
      </c>
      <c r="B19242" s="318" t="s">
        <v>23</v>
      </c>
    </row>
    <row r="19243" spans="1:2" ht="12.75" customHeight="1" x14ac:dyDescent="0.25">
      <c r="A19243" s="318">
        <v>96937233495</v>
      </c>
      <c r="B19243" s="318" t="s">
        <v>23</v>
      </c>
    </row>
    <row r="19244" spans="1:2" ht="12.75" customHeight="1" x14ac:dyDescent="0.25">
      <c r="A19244" s="318">
        <v>96937233496</v>
      </c>
      <c r="B19244" s="318" t="s">
        <v>23</v>
      </c>
    </row>
    <row r="19245" spans="1:2" ht="12.75" customHeight="1" x14ac:dyDescent="0.25">
      <c r="A19245" s="318">
        <v>96937233497</v>
      </c>
      <c r="B19245" s="318" t="s">
        <v>237</v>
      </c>
    </row>
    <row r="19246" spans="1:2" ht="12.75" customHeight="1" x14ac:dyDescent="0.25">
      <c r="A19246" s="318">
        <v>96937233499</v>
      </c>
      <c r="B19246" s="318" t="s">
        <v>23</v>
      </c>
    </row>
    <row r="19247" spans="1:2" ht="12.75" customHeight="1" x14ac:dyDescent="0.25">
      <c r="A19247" s="318">
        <v>96937233500</v>
      </c>
      <c r="B19247" s="318" t="s">
        <v>237</v>
      </c>
    </row>
    <row r="19248" spans="1:2" ht="12.75" customHeight="1" x14ac:dyDescent="0.25">
      <c r="A19248" s="318">
        <v>96937233501</v>
      </c>
      <c r="B19248" s="318" t="s">
        <v>23</v>
      </c>
    </row>
    <row r="19249" spans="1:2" ht="12.75" customHeight="1" x14ac:dyDescent="0.25">
      <c r="A19249" s="318">
        <v>96937233502</v>
      </c>
      <c r="B19249" s="318" t="s">
        <v>237</v>
      </c>
    </row>
    <row r="19250" spans="1:2" ht="12.75" customHeight="1" x14ac:dyDescent="0.25">
      <c r="A19250" s="318">
        <v>96937233503</v>
      </c>
      <c r="B19250" s="318" t="s">
        <v>23</v>
      </c>
    </row>
    <row r="19251" spans="1:2" ht="12.75" customHeight="1" x14ac:dyDescent="0.25">
      <c r="A19251" s="318">
        <v>96937233504</v>
      </c>
      <c r="B19251" s="318" t="s">
        <v>237</v>
      </c>
    </row>
    <row r="19252" spans="1:2" ht="12.75" customHeight="1" x14ac:dyDescent="0.25">
      <c r="A19252" s="318">
        <v>96937233505</v>
      </c>
      <c r="B19252" s="318" t="s">
        <v>23</v>
      </c>
    </row>
    <row r="19253" spans="1:2" ht="12.75" customHeight="1" x14ac:dyDescent="0.25">
      <c r="A19253" s="318">
        <v>96937233506</v>
      </c>
      <c r="B19253" s="318" t="s">
        <v>237</v>
      </c>
    </row>
    <row r="19254" spans="1:2" ht="12.75" customHeight="1" x14ac:dyDescent="0.25">
      <c r="A19254" s="318">
        <v>96937233590</v>
      </c>
      <c r="B19254" s="318" t="s">
        <v>237</v>
      </c>
    </row>
    <row r="19255" spans="1:2" ht="12.75" customHeight="1" x14ac:dyDescent="0.25">
      <c r="A19255" s="318">
        <v>96937233591</v>
      </c>
      <c r="B19255" s="318" t="s">
        <v>237</v>
      </c>
    </row>
    <row r="19256" spans="1:2" ht="12.75" customHeight="1" x14ac:dyDescent="0.25">
      <c r="A19256" s="318">
        <v>96937233592</v>
      </c>
      <c r="B19256" s="318" t="s">
        <v>237</v>
      </c>
    </row>
    <row r="19257" spans="1:2" ht="12.75" customHeight="1" x14ac:dyDescent="0.25">
      <c r="A19257" s="318">
        <v>96937233593</v>
      </c>
      <c r="B19257" s="318" t="s">
        <v>237</v>
      </c>
    </row>
    <row r="19258" spans="1:2" ht="12.75" customHeight="1" x14ac:dyDescent="0.25">
      <c r="A19258" s="318">
        <v>96937233594</v>
      </c>
      <c r="B19258" s="318" t="s">
        <v>237</v>
      </c>
    </row>
    <row r="19259" spans="1:2" ht="12.75" customHeight="1" x14ac:dyDescent="0.25">
      <c r="A19259" s="318">
        <v>96937233595</v>
      </c>
      <c r="B19259" s="318" t="s">
        <v>237</v>
      </c>
    </row>
    <row r="19260" spans="1:2" ht="12.75" customHeight="1" x14ac:dyDescent="0.25">
      <c r="A19260" s="318">
        <v>96937233596</v>
      </c>
      <c r="B19260" s="318" t="s">
        <v>237</v>
      </c>
    </row>
    <row r="19261" spans="1:2" ht="12.75" customHeight="1" x14ac:dyDescent="0.25">
      <c r="A19261" s="318">
        <v>96937233597</v>
      </c>
      <c r="B19261" s="318" t="s">
        <v>237</v>
      </c>
    </row>
    <row r="19262" spans="1:2" ht="12.75" customHeight="1" x14ac:dyDescent="0.25">
      <c r="A19262" s="318">
        <v>96937233599</v>
      </c>
      <c r="B19262" s="318" t="s">
        <v>237</v>
      </c>
    </row>
    <row r="19263" spans="1:2" ht="12.75" customHeight="1" x14ac:dyDescent="0.25">
      <c r="A19263" s="318">
        <v>96937233600</v>
      </c>
      <c r="B19263" s="318" t="s">
        <v>237</v>
      </c>
    </row>
    <row r="19264" spans="1:2" ht="12.75" customHeight="1" x14ac:dyDescent="0.25">
      <c r="A19264" s="318">
        <v>96937233601</v>
      </c>
      <c r="B19264" s="318" t="s">
        <v>237</v>
      </c>
    </row>
    <row r="19265" spans="1:2" ht="12.75" customHeight="1" x14ac:dyDescent="0.25">
      <c r="A19265" s="318">
        <v>96937233602</v>
      </c>
      <c r="B19265" s="318" t="s">
        <v>237</v>
      </c>
    </row>
    <row r="19266" spans="1:2" ht="12.75" customHeight="1" x14ac:dyDescent="0.25">
      <c r="A19266" s="318">
        <v>96937233603</v>
      </c>
      <c r="B19266" s="318" t="s">
        <v>237</v>
      </c>
    </row>
    <row r="19267" spans="1:2" ht="12.75" customHeight="1" x14ac:dyDescent="0.25">
      <c r="A19267" s="318">
        <v>96937233604</v>
      </c>
      <c r="B19267" s="318" t="s">
        <v>237</v>
      </c>
    </row>
    <row r="19268" spans="1:2" ht="12.75" customHeight="1" x14ac:dyDescent="0.25">
      <c r="A19268" s="318">
        <v>96937233605</v>
      </c>
      <c r="B19268" s="318" t="s">
        <v>237</v>
      </c>
    </row>
    <row r="19269" spans="1:2" ht="12.75" customHeight="1" x14ac:dyDescent="0.25">
      <c r="A19269" s="318">
        <v>96937233606</v>
      </c>
      <c r="B19269" s="318" t="s">
        <v>237</v>
      </c>
    </row>
    <row r="19270" spans="1:2" ht="12.75" customHeight="1" x14ac:dyDescent="0.25">
      <c r="A19270" s="318">
        <v>96937913681</v>
      </c>
      <c r="B19270" s="318" t="s">
        <v>23</v>
      </c>
    </row>
    <row r="19271" spans="1:2" ht="12.75" customHeight="1" x14ac:dyDescent="0.25">
      <c r="A19271" s="318">
        <v>96937913682</v>
      </c>
      <c r="B19271" s="318" t="s">
        <v>23</v>
      </c>
    </row>
    <row r="19272" spans="1:2" ht="12.75" customHeight="1" x14ac:dyDescent="0.25">
      <c r="A19272" s="318">
        <v>96937913683</v>
      </c>
      <c r="B19272" s="318" t="s">
        <v>23</v>
      </c>
    </row>
    <row r="19273" spans="1:2" ht="12.75" customHeight="1" x14ac:dyDescent="0.25">
      <c r="A19273" s="318">
        <v>96937913684</v>
      </c>
      <c r="B19273" s="318" t="s">
        <v>23</v>
      </c>
    </row>
    <row r="19274" spans="1:2" ht="12.75" customHeight="1" x14ac:dyDescent="0.25">
      <c r="A19274" s="318">
        <v>96937913685</v>
      </c>
      <c r="B19274" s="318" t="s">
        <v>23</v>
      </c>
    </row>
    <row r="19275" spans="1:2" ht="12.75" customHeight="1" x14ac:dyDescent="0.25">
      <c r="A19275" s="318">
        <v>96937913686</v>
      </c>
      <c r="B19275" s="318" t="s">
        <v>23</v>
      </c>
    </row>
    <row r="19276" spans="1:2" ht="12.75" customHeight="1" x14ac:dyDescent="0.25">
      <c r="A19276" s="318">
        <v>96937913687</v>
      </c>
      <c r="B19276" s="318" t="s">
        <v>23</v>
      </c>
    </row>
    <row r="19277" spans="1:2" ht="12.75" customHeight="1" x14ac:dyDescent="0.25">
      <c r="A19277" s="318">
        <v>96937913688</v>
      </c>
      <c r="B19277" s="318" t="s">
        <v>237</v>
      </c>
    </row>
    <row r="19278" spans="1:2" ht="12.75" customHeight="1" x14ac:dyDescent="0.25">
      <c r="A19278" s="318">
        <v>96937913690</v>
      </c>
      <c r="B19278" s="318" t="s">
        <v>23</v>
      </c>
    </row>
    <row r="19279" spans="1:2" ht="12.75" customHeight="1" x14ac:dyDescent="0.25">
      <c r="A19279" s="318">
        <v>96937913691</v>
      </c>
      <c r="B19279" s="318" t="s">
        <v>237</v>
      </c>
    </row>
    <row r="19280" spans="1:2" ht="12.75" customHeight="1" x14ac:dyDescent="0.25">
      <c r="A19280" s="318">
        <v>96937913692</v>
      </c>
      <c r="B19280" s="318" t="s">
        <v>23</v>
      </c>
    </row>
    <row r="19281" spans="1:2" ht="12.75" customHeight="1" x14ac:dyDescent="0.25">
      <c r="A19281" s="318">
        <v>96937913693</v>
      </c>
      <c r="B19281" s="318" t="s">
        <v>237</v>
      </c>
    </row>
    <row r="19282" spans="1:2" ht="12.75" customHeight="1" x14ac:dyDescent="0.25">
      <c r="A19282" s="318">
        <v>96937913694</v>
      </c>
      <c r="B19282" s="318" t="s">
        <v>23</v>
      </c>
    </row>
    <row r="19283" spans="1:2" ht="12.75" customHeight="1" x14ac:dyDescent="0.25">
      <c r="A19283" s="318">
        <v>96937913695</v>
      </c>
      <c r="B19283" s="318" t="s">
        <v>237</v>
      </c>
    </row>
    <row r="19284" spans="1:2" ht="12.75" customHeight="1" x14ac:dyDescent="0.25">
      <c r="A19284" s="318">
        <v>96937913696</v>
      </c>
      <c r="B19284" s="318" t="s">
        <v>23</v>
      </c>
    </row>
    <row r="19285" spans="1:2" ht="12.75" customHeight="1" x14ac:dyDescent="0.25">
      <c r="A19285" s="318">
        <v>96937913697</v>
      </c>
      <c r="B19285" s="318" t="s">
        <v>237</v>
      </c>
    </row>
    <row r="19286" spans="1:2" ht="12.75" customHeight="1" x14ac:dyDescent="0.25">
      <c r="A19286" s="318">
        <v>96937913781</v>
      </c>
      <c r="B19286" s="318" t="s">
        <v>237</v>
      </c>
    </row>
    <row r="19287" spans="1:2" ht="12.75" customHeight="1" x14ac:dyDescent="0.25">
      <c r="A19287" s="318">
        <v>96937913782</v>
      </c>
      <c r="B19287" s="318" t="s">
        <v>237</v>
      </c>
    </row>
    <row r="19288" spans="1:2" ht="12.75" customHeight="1" x14ac:dyDescent="0.25">
      <c r="A19288" s="318">
        <v>96937913783</v>
      </c>
      <c r="B19288" s="318" t="s">
        <v>237</v>
      </c>
    </row>
    <row r="19289" spans="1:2" ht="12.75" customHeight="1" x14ac:dyDescent="0.25">
      <c r="A19289" s="318">
        <v>96937913784</v>
      </c>
      <c r="B19289" s="318" t="s">
        <v>237</v>
      </c>
    </row>
    <row r="19290" spans="1:2" ht="12.75" customHeight="1" x14ac:dyDescent="0.25">
      <c r="A19290" s="318">
        <v>96937913785</v>
      </c>
      <c r="B19290" s="318" t="s">
        <v>237</v>
      </c>
    </row>
    <row r="19291" spans="1:2" ht="12.75" customHeight="1" x14ac:dyDescent="0.25">
      <c r="A19291" s="318">
        <v>96937913786</v>
      </c>
      <c r="B19291" s="318" t="s">
        <v>237</v>
      </c>
    </row>
    <row r="19292" spans="1:2" ht="12.75" customHeight="1" x14ac:dyDescent="0.25">
      <c r="A19292" s="318">
        <v>96937913787</v>
      </c>
      <c r="B19292" s="318" t="s">
        <v>237</v>
      </c>
    </row>
    <row r="19293" spans="1:2" ht="12.75" customHeight="1" x14ac:dyDescent="0.25">
      <c r="A19293" s="318">
        <v>96937913788</v>
      </c>
      <c r="B19293" s="318" t="s">
        <v>237</v>
      </c>
    </row>
    <row r="19294" spans="1:2" ht="12.75" customHeight="1" x14ac:dyDescent="0.25">
      <c r="A19294" s="318">
        <v>96937913790</v>
      </c>
      <c r="B19294" s="318" t="s">
        <v>237</v>
      </c>
    </row>
    <row r="19295" spans="1:2" ht="12.75" customHeight="1" x14ac:dyDescent="0.25">
      <c r="A19295" s="318">
        <v>96937913791</v>
      </c>
      <c r="B19295" s="318" t="s">
        <v>237</v>
      </c>
    </row>
    <row r="19296" spans="1:2" ht="12.75" customHeight="1" x14ac:dyDescent="0.25">
      <c r="A19296" s="318">
        <v>96937913792</v>
      </c>
      <c r="B19296" s="318" t="s">
        <v>237</v>
      </c>
    </row>
    <row r="19297" spans="1:2" ht="12.75" customHeight="1" x14ac:dyDescent="0.25">
      <c r="A19297" s="318">
        <v>96937913793</v>
      </c>
      <c r="B19297" s="318" t="s">
        <v>237</v>
      </c>
    </row>
    <row r="19298" spans="1:2" ht="12.75" customHeight="1" x14ac:dyDescent="0.25">
      <c r="A19298" s="318">
        <v>96937913794</v>
      </c>
      <c r="B19298" s="318" t="s">
        <v>237</v>
      </c>
    </row>
    <row r="19299" spans="1:2" ht="12.75" customHeight="1" x14ac:dyDescent="0.25">
      <c r="A19299" s="318">
        <v>96937913795</v>
      </c>
      <c r="B19299" s="318" t="s">
        <v>237</v>
      </c>
    </row>
    <row r="19300" spans="1:2" ht="12.75" customHeight="1" x14ac:dyDescent="0.25">
      <c r="A19300" s="318">
        <v>96937913796</v>
      </c>
      <c r="B19300" s="318" t="s">
        <v>237</v>
      </c>
    </row>
    <row r="19301" spans="1:2" ht="12.75" customHeight="1" x14ac:dyDescent="0.25">
      <c r="A19301" s="318">
        <v>96937913797</v>
      </c>
      <c r="B19301" s="318" t="s">
        <v>237</v>
      </c>
    </row>
    <row r="19302" spans="1:2" ht="12.75" customHeight="1" x14ac:dyDescent="0.25">
      <c r="A19302" s="318">
        <v>96938394654</v>
      </c>
      <c r="B19302" s="318" t="s">
        <v>23</v>
      </c>
    </row>
    <row r="19303" spans="1:2" ht="12.75" customHeight="1" x14ac:dyDescent="0.25">
      <c r="A19303" s="318">
        <v>96938394655</v>
      </c>
      <c r="B19303" s="318" t="s">
        <v>23</v>
      </c>
    </row>
    <row r="19304" spans="1:2" ht="12.75" customHeight="1" x14ac:dyDescent="0.25">
      <c r="A19304" s="318">
        <v>96938394656</v>
      </c>
      <c r="B19304" s="318" t="s">
        <v>23</v>
      </c>
    </row>
    <row r="19305" spans="1:2" ht="12.75" customHeight="1" x14ac:dyDescent="0.25">
      <c r="A19305" s="318">
        <v>96938394657</v>
      </c>
      <c r="B19305" s="318" t="s">
        <v>23</v>
      </c>
    </row>
    <row r="19306" spans="1:2" ht="12.75" customHeight="1" x14ac:dyDescent="0.25">
      <c r="A19306" s="318">
        <v>96938394658</v>
      </c>
      <c r="B19306" s="318" t="s">
        <v>23</v>
      </c>
    </row>
    <row r="19307" spans="1:2" ht="12.75" customHeight="1" x14ac:dyDescent="0.25">
      <c r="A19307" s="318">
        <v>96938394659</v>
      </c>
      <c r="B19307" s="318" t="s">
        <v>23</v>
      </c>
    </row>
    <row r="19308" spans="1:2" ht="12.75" customHeight="1" x14ac:dyDescent="0.25">
      <c r="A19308" s="318">
        <v>96938394660</v>
      </c>
      <c r="B19308" s="318" t="s">
        <v>23</v>
      </c>
    </row>
    <row r="19309" spans="1:2" ht="12.75" customHeight="1" x14ac:dyDescent="0.25">
      <c r="A19309" s="318">
        <v>96938394661</v>
      </c>
      <c r="B19309" s="318" t="s">
        <v>237</v>
      </c>
    </row>
    <row r="19310" spans="1:2" ht="12.75" customHeight="1" x14ac:dyDescent="0.25">
      <c r="A19310" s="318">
        <v>96938394663</v>
      </c>
      <c r="B19310" s="318" t="s">
        <v>23</v>
      </c>
    </row>
    <row r="19311" spans="1:2" ht="12.75" customHeight="1" x14ac:dyDescent="0.25">
      <c r="A19311" s="318">
        <v>96938394664</v>
      </c>
      <c r="B19311" s="318" t="s">
        <v>237</v>
      </c>
    </row>
    <row r="19312" spans="1:2" ht="12.75" customHeight="1" x14ac:dyDescent="0.25">
      <c r="A19312" s="318">
        <v>96938394665</v>
      </c>
      <c r="B19312" s="318" t="s">
        <v>23</v>
      </c>
    </row>
    <row r="19313" spans="1:2" ht="12.75" customHeight="1" x14ac:dyDescent="0.25">
      <c r="A19313" s="318">
        <v>96938394666</v>
      </c>
      <c r="B19313" s="318" t="s">
        <v>237</v>
      </c>
    </row>
    <row r="19314" spans="1:2" ht="12.75" customHeight="1" x14ac:dyDescent="0.25">
      <c r="A19314" s="318">
        <v>96938394667</v>
      </c>
      <c r="B19314" s="318" t="s">
        <v>23</v>
      </c>
    </row>
    <row r="19315" spans="1:2" ht="12.75" customHeight="1" x14ac:dyDescent="0.25">
      <c r="A19315" s="318">
        <v>96938394668</v>
      </c>
      <c r="B19315" s="318" t="s">
        <v>237</v>
      </c>
    </row>
    <row r="19316" spans="1:2" ht="12.75" customHeight="1" x14ac:dyDescent="0.25">
      <c r="A19316" s="318">
        <v>96938394669</v>
      </c>
      <c r="B19316" s="318" t="s">
        <v>23</v>
      </c>
    </row>
    <row r="19317" spans="1:2" ht="12.75" customHeight="1" x14ac:dyDescent="0.25">
      <c r="A19317" s="318">
        <v>96938394670</v>
      </c>
      <c r="B19317" s="318" t="s">
        <v>237</v>
      </c>
    </row>
    <row r="19318" spans="1:2" ht="12.75" customHeight="1" x14ac:dyDescent="0.25">
      <c r="A19318" s="318">
        <v>96938394754</v>
      </c>
      <c r="B19318" s="318" t="s">
        <v>237</v>
      </c>
    </row>
    <row r="19319" spans="1:2" ht="12.75" customHeight="1" x14ac:dyDescent="0.25">
      <c r="A19319" s="318">
        <v>96938394755</v>
      </c>
      <c r="B19319" s="318" t="s">
        <v>237</v>
      </c>
    </row>
    <row r="19320" spans="1:2" ht="12.75" customHeight="1" x14ac:dyDescent="0.25">
      <c r="A19320" s="318">
        <v>96938394756</v>
      </c>
      <c r="B19320" s="318" t="s">
        <v>237</v>
      </c>
    </row>
    <row r="19321" spans="1:2" ht="12.75" customHeight="1" x14ac:dyDescent="0.25">
      <c r="A19321" s="318">
        <v>96938394757</v>
      </c>
      <c r="B19321" s="318" t="s">
        <v>237</v>
      </c>
    </row>
    <row r="19322" spans="1:2" ht="12.75" customHeight="1" x14ac:dyDescent="0.25">
      <c r="A19322" s="318">
        <v>96938394758</v>
      </c>
      <c r="B19322" s="318" t="s">
        <v>237</v>
      </c>
    </row>
    <row r="19323" spans="1:2" ht="12.75" customHeight="1" x14ac:dyDescent="0.25">
      <c r="A19323" s="318">
        <v>96938394759</v>
      </c>
      <c r="B19323" s="318" t="s">
        <v>237</v>
      </c>
    </row>
    <row r="19324" spans="1:2" ht="12.75" customHeight="1" x14ac:dyDescent="0.25">
      <c r="A19324" s="318">
        <v>96938394760</v>
      </c>
      <c r="B19324" s="318" t="s">
        <v>237</v>
      </c>
    </row>
    <row r="19325" spans="1:2" ht="12.75" customHeight="1" x14ac:dyDescent="0.25">
      <c r="A19325" s="318">
        <v>96938394761</v>
      </c>
      <c r="B19325" s="318" t="s">
        <v>237</v>
      </c>
    </row>
    <row r="19326" spans="1:2" ht="12.75" customHeight="1" x14ac:dyDescent="0.25">
      <c r="A19326" s="318">
        <v>96938394763</v>
      </c>
      <c r="B19326" s="318" t="s">
        <v>237</v>
      </c>
    </row>
    <row r="19327" spans="1:2" ht="12.75" customHeight="1" x14ac:dyDescent="0.25">
      <c r="A19327" s="318">
        <v>96938394764</v>
      </c>
      <c r="B19327" s="318" t="s">
        <v>237</v>
      </c>
    </row>
    <row r="19328" spans="1:2" ht="12.75" customHeight="1" x14ac:dyDescent="0.25">
      <c r="A19328" s="318">
        <v>96938394765</v>
      </c>
      <c r="B19328" s="318" t="s">
        <v>237</v>
      </c>
    </row>
    <row r="19329" spans="1:2" ht="12.75" customHeight="1" x14ac:dyDescent="0.25">
      <c r="A19329" s="318">
        <v>96938394766</v>
      </c>
      <c r="B19329" s="318" t="s">
        <v>237</v>
      </c>
    </row>
    <row r="19330" spans="1:2" ht="12.75" customHeight="1" x14ac:dyDescent="0.25">
      <c r="A19330" s="318">
        <v>96938394767</v>
      </c>
      <c r="B19330" s="318" t="s">
        <v>237</v>
      </c>
    </row>
    <row r="19331" spans="1:2" ht="12.75" customHeight="1" x14ac:dyDescent="0.25">
      <c r="A19331" s="318">
        <v>96938394768</v>
      </c>
      <c r="B19331" s="318" t="s">
        <v>237</v>
      </c>
    </row>
    <row r="19332" spans="1:2" ht="12.75" customHeight="1" x14ac:dyDescent="0.25">
      <c r="A19332" s="318">
        <v>96938394769</v>
      </c>
      <c r="B19332" s="318" t="s">
        <v>237</v>
      </c>
    </row>
    <row r="19333" spans="1:2" ht="12.75" customHeight="1" x14ac:dyDescent="0.25">
      <c r="A19333" s="318">
        <v>96938394770</v>
      </c>
      <c r="B19333" s="318" t="s">
        <v>237</v>
      </c>
    </row>
    <row r="19334" spans="1:2" ht="12.75" customHeight="1" x14ac:dyDescent="0.25">
      <c r="A19334" s="318">
        <v>96938875627</v>
      </c>
      <c r="B19334" s="318" t="s">
        <v>23</v>
      </c>
    </row>
    <row r="19335" spans="1:2" ht="12.75" customHeight="1" x14ac:dyDescent="0.25">
      <c r="A19335" s="318">
        <v>96938875628</v>
      </c>
      <c r="B19335" s="318" t="s">
        <v>23</v>
      </c>
    </row>
    <row r="19336" spans="1:2" ht="12.75" customHeight="1" x14ac:dyDescent="0.25">
      <c r="A19336" s="318">
        <v>96938875629</v>
      </c>
      <c r="B19336" s="318" t="s">
        <v>23</v>
      </c>
    </row>
    <row r="19337" spans="1:2" ht="12.75" customHeight="1" x14ac:dyDescent="0.25">
      <c r="A19337" s="318">
        <v>96938875630</v>
      </c>
      <c r="B19337" s="318" t="s">
        <v>23</v>
      </c>
    </row>
    <row r="19338" spans="1:2" ht="12.75" customHeight="1" x14ac:dyDescent="0.25">
      <c r="A19338" s="318">
        <v>96938875631</v>
      </c>
      <c r="B19338" s="318" t="s">
        <v>23</v>
      </c>
    </row>
    <row r="19339" spans="1:2" ht="12.75" customHeight="1" x14ac:dyDescent="0.25">
      <c r="A19339" s="318">
        <v>96938875632</v>
      </c>
      <c r="B19339" s="318" t="s">
        <v>23</v>
      </c>
    </row>
    <row r="19340" spans="1:2" ht="12.75" customHeight="1" x14ac:dyDescent="0.25">
      <c r="A19340" s="318">
        <v>96938875633</v>
      </c>
      <c r="B19340" s="318" t="s">
        <v>23</v>
      </c>
    </row>
    <row r="19341" spans="1:2" ht="12.75" customHeight="1" x14ac:dyDescent="0.25">
      <c r="A19341" s="318">
        <v>96938875634</v>
      </c>
      <c r="B19341" s="318" t="s">
        <v>237</v>
      </c>
    </row>
    <row r="19342" spans="1:2" ht="12.75" customHeight="1" x14ac:dyDescent="0.25">
      <c r="A19342" s="318">
        <v>96938875636</v>
      </c>
      <c r="B19342" s="318" t="s">
        <v>23</v>
      </c>
    </row>
    <row r="19343" spans="1:2" ht="12.75" customHeight="1" x14ac:dyDescent="0.25">
      <c r="A19343" s="318">
        <v>96938875637</v>
      </c>
      <c r="B19343" s="318" t="s">
        <v>237</v>
      </c>
    </row>
    <row r="19344" spans="1:2" ht="12.75" customHeight="1" x14ac:dyDescent="0.25">
      <c r="A19344" s="318">
        <v>96938875638</v>
      </c>
      <c r="B19344" s="318" t="s">
        <v>23</v>
      </c>
    </row>
    <row r="19345" spans="1:2" ht="12.75" customHeight="1" x14ac:dyDescent="0.25">
      <c r="A19345" s="318">
        <v>96938875639</v>
      </c>
      <c r="B19345" s="318" t="s">
        <v>237</v>
      </c>
    </row>
    <row r="19346" spans="1:2" ht="12.75" customHeight="1" x14ac:dyDescent="0.25">
      <c r="A19346" s="318">
        <v>96938875640</v>
      </c>
      <c r="B19346" s="318" t="s">
        <v>23</v>
      </c>
    </row>
    <row r="19347" spans="1:2" ht="12.75" customHeight="1" x14ac:dyDescent="0.25">
      <c r="A19347" s="318">
        <v>96938875641</v>
      </c>
      <c r="B19347" s="318" t="s">
        <v>237</v>
      </c>
    </row>
    <row r="19348" spans="1:2" ht="12.75" customHeight="1" x14ac:dyDescent="0.25">
      <c r="A19348" s="318">
        <v>96938875642</v>
      </c>
      <c r="B19348" s="318" t="s">
        <v>23</v>
      </c>
    </row>
    <row r="19349" spans="1:2" ht="12.75" customHeight="1" x14ac:dyDescent="0.25">
      <c r="A19349" s="318">
        <v>96938875643</v>
      </c>
      <c r="B19349" s="318" t="s">
        <v>237</v>
      </c>
    </row>
    <row r="19350" spans="1:2" ht="12.75" customHeight="1" x14ac:dyDescent="0.25">
      <c r="A19350" s="318">
        <v>96938875727</v>
      </c>
      <c r="B19350" s="318" t="s">
        <v>237</v>
      </c>
    </row>
    <row r="19351" spans="1:2" ht="12.75" customHeight="1" x14ac:dyDescent="0.25">
      <c r="A19351" s="318">
        <v>96938875728</v>
      </c>
      <c r="B19351" s="318" t="s">
        <v>237</v>
      </c>
    </row>
    <row r="19352" spans="1:2" ht="12.75" customHeight="1" x14ac:dyDescent="0.25">
      <c r="A19352" s="318">
        <v>96938875729</v>
      </c>
      <c r="B19352" s="318" t="s">
        <v>237</v>
      </c>
    </row>
    <row r="19353" spans="1:2" ht="12.75" customHeight="1" x14ac:dyDescent="0.25">
      <c r="A19353" s="318">
        <v>96938875730</v>
      </c>
      <c r="B19353" s="318" t="s">
        <v>237</v>
      </c>
    </row>
    <row r="19354" spans="1:2" ht="12.75" customHeight="1" x14ac:dyDescent="0.25">
      <c r="A19354" s="318">
        <v>96938875731</v>
      </c>
      <c r="B19354" s="318" t="s">
        <v>237</v>
      </c>
    </row>
    <row r="19355" spans="1:2" ht="12.75" customHeight="1" x14ac:dyDescent="0.25">
      <c r="A19355" s="318">
        <v>96938875732</v>
      </c>
      <c r="B19355" s="318" t="s">
        <v>237</v>
      </c>
    </row>
    <row r="19356" spans="1:2" ht="12.75" customHeight="1" x14ac:dyDescent="0.25">
      <c r="A19356" s="318">
        <v>96938875733</v>
      </c>
      <c r="B19356" s="318" t="s">
        <v>237</v>
      </c>
    </row>
    <row r="19357" spans="1:2" ht="12.75" customHeight="1" x14ac:dyDescent="0.25">
      <c r="A19357" s="318">
        <v>96938875734</v>
      </c>
      <c r="B19357" s="318" t="s">
        <v>237</v>
      </c>
    </row>
    <row r="19358" spans="1:2" ht="12.75" customHeight="1" x14ac:dyDescent="0.25">
      <c r="A19358" s="318">
        <v>96938875736</v>
      </c>
      <c r="B19358" s="318" t="s">
        <v>237</v>
      </c>
    </row>
    <row r="19359" spans="1:2" ht="12.75" customHeight="1" x14ac:dyDescent="0.25">
      <c r="A19359" s="318">
        <v>96938875737</v>
      </c>
      <c r="B19359" s="318" t="s">
        <v>237</v>
      </c>
    </row>
    <row r="19360" spans="1:2" ht="12.75" customHeight="1" x14ac:dyDescent="0.25">
      <c r="A19360" s="318">
        <v>96938875738</v>
      </c>
      <c r="B19360" s="318" t="s">
        <v>237</v>
      </c>
    </row>
    <row r="19361" spans="1:2" ht="12.75" customHeight="1" x14ac:dyDescent="0.25">
      <c r="A19361" s="318">
        <v>96938875739</v>
      </c>
      <c r="B19361" s="318" t="s">
        <v>237</v>
      </c>
    </row>
    <row r="19362" spans="1:2" ht="12.75" customHeight="1" x14ac:dyDescent="0.25">
      <c r="A19362" s="318">
        <v>96938875740</v>
      </c>
      <c r="B19362" s="318" t="s">
        <v>237</v>
      </c>
    </row>
    <row r="19363" spans="1:2" ht="12.75" customHeight="1" x14ac:dyDescent="0.25">
      <c r="A19363" s="318">
        <v>96938875741</v>
      </c>
      <c r="B19363" s="318" t="s">
        <v>237</v>
      </c>
    </row>
    <row r="19364" spans="1:2" ht="12.75" customHeight="1" x14ac:dyDescent="0.25">
      <c r="A19364" s="318">
        <v>96938875742</v>
      </c>
      <c r="B19364" s="318" t="s">
        <v>237</v>
      </c>
    </row>
    <row r="19365" spans="1:2" ht="12.75" customHeight="1" x14ac:dyDescent="0.25">
      <c r="A19365" s="318">
        <v>96938875743</v>
      </c>
      <c r="B19365" s="318" t="s">
        <v>237</v>
      </c>
    </row>
    <row r="19366" spans="1:2" ht="12.75" customHeight="1" x14ac:dyDescent="0.25">
      <c r="A19366" s="318">
        <v>96939555818</v>
      </c>
      <c r="B19366" s="318" t="s">
        <v>23</v>
      </c>
    </row>
    <row r="19367" spans="1:2" ht="12.75" customHeight="1" x14ac:dyDescent="0.25">
      <c r="A19367" s="318">
        <v>96939555819</v>
      </c>
      <c r="B19367" s="318" t="s">
        <v>23</v>
      </c>
    </row>
    <row r="19368" spans="1:2" ht="12.75" customHeight="1" x14ac:dyDescent="0.25">
      <c r="A19368" s="318">
        <v>96939555820</v>
      </c>
      <c r="B19368" s="318" t="s">
        <v>23</v>
      </c>
    </row>
    <row r="19369" spans="1:2" ht="12.75" customHeight="1" x14ac:dyDescent="0.25">
      <c r="A19369" s="318">
        <v>96939555821</v>
      </c>
      <c r="B19369" s="318" t="s">
        <v>23</v>
      </c>
    </row>
    <row r="19370" spans="1:2" ht="12.75" customHeight="1" x14ac:dyDescent="0.25">
      <c r="A19370" s="318">
        <v>96939555822</v>
      </c>
      <c r="B19370" s="318" t="s">
        <v>23</v>
      </c>
    </row>
    <row r="19371" spans="1:2" ht="12.75" customHeight="1" x14ac:dyDescent="0.25">
      <c r="A19371" s="318">
        <v>96939555823</v>
      </c>
      <c r="B19371" s="318" t="s">
        <v>23</v>
      </c>
    </row>
    <row r="19372" spans="1:2" ht="12.75" customHeight="1" x14ac:dyDescent="0.25">
      <c r="A19372" s="318">
        <v>96939555824</v>
      </c>
      <c r="B19372" s="318" t="s">
        <v>23</v>
      </c>
    </row>
    <row r="19373" spans="1:2" ht="12.75" customHeight="1" x14ac:dyDescent="0.25">
      <c r="A19373" s="318">
        <v>96939555825</v>
      </c>
      <c r="B19373" s="318" t="s">
        <v>237</v>
      </c>
    </row>
    <row r="19374" spans="1:2" ht="12.75" customHeight="1" x14ac:dyDescent="0.25">
      <c r="A19374" s="318">
        <v>96939555827</v>
      </c>
      <c r="B19374" s="318" t="s">
        <v>23</v>
      </c>
    </row>
    <row r="19375" spans="1:2" ht="12.75" customHeight="1" x14ac:dyDescent="0.25">
      <c r="A19375" s="318">
        <v>96939555828</v>
      </c>
      <c r="B19375" s="318" t="s">
        <v>237</v>
      </c>
    </row>
    <row r="19376" spans="1:2" ht="12.75" customHeight="1" x14ac:dyDescent="0.25">
      <c r="A19376" s="318">
        <v>96939555829</v>
      </c>
      <c r="B19376" s="318" t="s">
        <v>23</v>
      </c>
    </row>
    <row r="19377" spans="1:2" ht="12.75" customHeight="1" x14ac:dyDescent="0.25">
      <c r="A19377" s="318">
        <v>96939555830</v>
      </c>
      <c r="B19377" s="318" t="s">
        <v>237</v>
      </c>
    </row>
    <row r="19378" spans="1:2" ht="12.75" customHeight="1" x14ac:dyDescent="0.25">
      <c r="A19378" s="318">
        <v>96939555831</v>
      </c>
      <c r="B19378" s="318" t="s">
        <v>23</v>
      </c>
    </row>
    <row r="19379" spans="1:2" ht="12.75" customHeight="1" x14ac:dyDescent="0.25">
      <c r="A19379" s="318">
        <v>96939555832</v>
      </c>
      <c r="B19379" s="318" t="s">
        <v>237</v>
      </c>
    </row>
    <row r="19380" spans="1:2" ht="12.75" customHeight="1" x14ac:dyDescent="0.25">
      <c r="A19380" s="318">
        <v>96939555833</v>
      </c>
      <c r="B19380" s="318" t="s">
        <v>23</v>
      </c>
    </row>
    <row r="19381" spans="1:2" ht="12.75" customHeight="1" x14ac:dyDescent="0.25">
      <c r="A19381" s="318">
        <v>96939555834</v>
      </c>
      <c r="B19381" s="318" t="s">
        <v>237</v>
      </c>
    </row>
    <row r="19382" spans="1:2" ht="12.75" customHeight="1" x14ac:dyDescent="0.25">
      <c r="A19382" s="318">
        <v>96939555918</v>
      </c>
      <c r="B19382" s="318" t="s">
        <v>237</v>
      </c>
    </row>
    <row r="19383" spans="1:2" ht="12.75" customHeight="1" x14ac:dyDescent="0.25">
      <c r="A19383" s="318">
        <v>96939555919</v>
      </c>
      <c r="B19383" s="318" t="s">
        <v>237</v>
      </c>
    </row>
    <row r="19384" spans="1:2" ht="12.75" customHeight="1" x14ac:dyDescent="0.25">
      <c r="A19384" s="318">
        <v>96939555920</v>
      </c>
      <c r="B19384" s="318" t="s">
        <v>237</v>
      </c>
    </row>
    <row r="19385" spans="1:2" ht="12.75" customHeight="1" x14ac:dyDescent="0.25">
      <c r="A19385" s="318">
        <v>96939555921</v>
      </c>
      <c r="B19385" s="318" t="s">
        <v>237</v>
      </c>
    </row>
    <row r="19386" spans="1:2" ht="12.75" customHeight="1" x14ac:dyDescent="0.25">
      <c r="A19386" s="318">
        <v>96939555922</v>
      </c>
      <c r="B19386" s="318" t="s">
        <v>237</v>
      </c>
    </row>
    <row r="19387" spans="1:2" ht="12.75" customHeight="1" x14ac:dyDescent="0.25">
      <c r="A19387" s="318">
        <v>96939555923</v>
      </c>
      <c r="B19387" s="318" t="s">
        <v>237</v>
      </c>
    </row>
    <row r="19388" spans="1:2" ht="12.75" customHeight="1" x14ac:dyDescent="0.25">
      <c r="A19388" s="318">
        <v>96939555924</v>
      </c>
      <c r="B19388" s="318" t="s">
        <v>237</v>
      </c>
    </row>
    <row r="19389" spans="1:2" ht="12.75" customHeight="1" x14ac:dyDescent="0.25">
      <c r="A19389" s="318">
        <v>96939555925</v>
      </c>
      <c r="B19389" s="318" t="s">
        <v>237</v>
      </c>
    </row>
    <row r="19390" spans="1:2" ht="12.75" customHeight="1" x14ac:dyDescent="0.25">
      <c r="A19390" s="318">
        <v>96939555927</v>
      </c>
      <c r="B19390" s="318" t="s">
        <v>237</v>
      </c>
    </row>
    <row r="19391" spans="1:2" ht="12.75" customHeight="1" x14ac:dyDescent="0.25">
      <c r="A19391" s="318">
        <v>96939555928</v>
      </c>
      <c r="B19391" s="318" t="s">
        <v>237</v>
      </c>
    </row>
    <row r="19392" spans="1:2" ht="12.75" customHeight="1" x14ac:dyDescent="0.25">
      <c r="A19392" s="318">
        <v>96939555929</v>
      </c>
      <c r="B19392" s="318" t="s">
        <v>237</v>
      </c>
    </row>
    <row r="19393" spans="1:2" ht="12.75" customHeight="1" x14ac:dyDescent="0.25">
      <c r="A19393" s="318">
        <v>96939555930</v>
      </c>
      <c r="B19393" s="318" t="s">
        <v>237</v>
      </c>
    </row>
    <row r="19394" spans="1:2" ht="12.75" customHeight="1" x14ac:dyDescent="0.25">
      <c r="A19394" s="318">
        <v>96939555931</v>
      </c>
      <c r="B19394" s="318" t="s">
        <v>237</v>
      </c>
    </row>
    <row r="19395" spans="1:2" ht="12.75" customHeight="1" x14ac:dyDescent="0.25">
      <c r="A19395" s="318">
        <v>96939555932</v>
      </c>
      <c r="B19395" s="318" t="s">
        <v>237</v>
      </c>
    </row>
    <row r="19396" spans="1:2" ht="12.75" customHeight="1" x14ac:dyDescent="0.25">
      <c r="A19396" s="318">
        <v>96939555933</v>
      </c>
      <c r="B19396" s="318" t="s">
        <v>237</v>
      </c>
    </row>
    <row r="19397" spans="1:2" ht="12.75" customHeight="1" x14ac:dyDescent="0.25">
      <c r="A19397" s="318">
        <v>96939555934</v>
      </c>
      <c r="B19397" s="318" t="s">
        <v>237</v>
      </c>
    </row>
    <row r="19398" spans="1:2" ht="12.75" customHeight="1" x14ac:dyDescent="0.25">
      <c r="A19398" s="318">
        <v>96940036791</v>
      </c>
      <c r="B19398" s="318" t="s">
        <v>23</v>
      </c>
    </row>
    <row r="19399" spans="1:2" ht="12.75" customHeight="1" x14ac:dyDescent="0.25">
      <c r="A19399" s="318">
        <v>96940036792</v>
      </c>
      <c r="B19399" s="318" t="s">
        <v>23</v>
      </c>
    </row>
    <row r="19400" spans="1:2" ht="12.75" customHeight="1" x14ac:dyDescent="0.25">
      <c r="A19400" s="318">
        <v>96940036793</v>
      </c>
      <c r="B19400" s="318" t="s">
        <v>23</v>
      </c>
    </row>
    <row r="19401" spans="1:2" ht="12.75" customHeight="1" x14ac:dyDescent="0.25">
      <c r="A19401" s="318">
        <v>96940036794</v>
      </c>
      <c r="B19401" s="318" t="s">
        <v>23</v>
      </c>
    </row>
    <row r="19402" spans="1:2" ht="12.75" customHeight="1" x14ac:dyDescent="0.25">
      <c r="A19402" s="318">
        <v>96940036795</v>
      </c>
      <c r="B19402" s="318" t="s">
        <v>23</v>
      </c>
    </row>
    <row r="19403" spans="1:2" ht="12.75" customHeight="1" x14ac:dyDescent="0.25">
      <c r="A19403" s="318">
        <v>96940036796</v>
      </c>
      <c r="B19403" s="318" t="s">
        <v>23</v>
      </c>
    </row>
    <row r="19404" spans="1:2" ht="12.75" customHeight="1" x14ac:dyDescent="0.25">
      <c r="A19404" s="318">
        <v>96940036797</v>
      </c>
      <c r="B19404" s="318" t="s">
        <v>23</v>
      </c>
    </row>
    <row r="19405" spans="1:2" ht="12.75" customHeight="1" x14ac:dyDescent="0.25">
      <c r="A19405" s="318">
        <v>96940036798</v>
      </c>
      <c r="B19405" s="318" t="s">
        <v>237</v>
      </c>
    </row>
    <row r="19406" spans="1:2" ht="12.75" customHeight="1" x14ac:dyDescent="0.25">
      <c r="A19406" s="318">
        <v>96940036800</v>
      </c>
      <c r="B19406" s="318" t="s">
        <v>23</v>
      </c>
    </row>
    <row r="19407" spans="1:2" ht="12.75" customHeight="1" x14ac:dyDescent="0.25">
      <c r="A19407" s="318">
        <v>96940036801</v>
      </c>
      <c r="B19407" s="318" t="s">
        <v>237</v>
      </c>
    </row>
    <row r="19408" spans="1:2" ht="12.75" customHeight="1" x14ac:dyDescent="0.25">
      <c r="A19408" s="318">
        <v>96940036802</v>
      </c>
      <c r="B19408" s="318" t="s">
        <v>23</v>
      </c>
    </row>
    <row r="19409" spans="1:2" ht="12.75" customHeight="1" x14ac:dyDescent="0.25">
      <c r="A19409" s="318">
        <v>96940036803</v>
      </c>
      <c r="B19409" s="318" t="s">
        <v>237</v>
      </c>
    </row>
    <row r="19410" spans="1:2" ht="12.75" customHeight="1" x14ac:dyDescent="0.25">
      <c r="A19410" s="318">
        <v>96940036804</v>
      </c>
      <c r="B19410" s="318" t="s">
        <v>23</v>
      </c>
    </row>
    <row r="19411" spans="1:2" ht="12.75" customHeight="1" x14ac:dyDescent="0.25">
      <c r="A19411" s="318">
        <v>96940036805</v>
      </c>
      <c r="B19411" s="318" t="s">
        <v>237</v>
      </c>
    </row>
    <row r="19412" spans="1:2" ht="12.75" customHeight="1" x14ac:dyDescent="0.25">
      <c r="A19412" s="318">
        <v>96940036806</v>
      </c>
      <c r="B19412" s="318" t="s">
        <v>23</v>
      </c>
    </row>
    <row r="19413" spans="1:2" ht="12.75" customHeight="1" x14ac:dyDescent="0.25">
      <c r="A19413" s="318">
        <v>96940036807</v>
      </c>
      <c r="B19413" s="318" t="s">
        <v>237</v>
      </c>
    </row>
    <row r="19414" spans="1:2" ht="12.75" customHeight="1" x14ac:dyDescent="0.25">
      <c r="A19414" s="318">
        <v>96940036891</v>
      </c>
      <c r="B19414" s="318" t="s">
        <v>237</v>
      </c>
    </row>
    <row r="19415" spans="1:2" ht="12.75" customHeight="1" x14ac:dyDescent="0.25">
      <c r="A19415" s="318">
        <v>96940036892</v>
      </c>
      <c r="B19415" s="318" t="s">
        <v>237</v>
      </c>
    </row>
    <row r="19416" spans="1:2" ht="12.75" customHeight="1" x14ac:dyDescent="0.25">
      <c r="A19416" s="318">
        <v>96940036893</v>
      </c>
      <c r="B19416" s="318" t="s">
        <v>237</v>
      </c>
    </row>
    <row r="19417" spans="1:2" ht="12.75" customHeight="1" x14ac:dyDescent="0.25">
      <c r="A19417" s="318">
        <v>96940036894</v>
      </c>
      <c r="B19417" s="318" t="s">
        <v>237</v>
      </c>
    </row>
    <row r="19418" spans="1:2" ht="12.75" customHeight="1" x14ac:dyDescent="0.25">
      <c r="A19418" s="318">
        <v>96940036895</v>
      </c>
      <c r="B19418" s="318" t="s">
        <v>237</v>
      </c>
    </row>
    <row r="19419" spans="1:2" ht="12.75" customHeight="1" x14ac:dyDescent="0.25">
      <c r="A19419" s="318">
        <v>96940036896</v>
      </c>
      <c r="B19419" s="318" t="s">
        <v>237</v>
      </c>
    </row>
    <row r="19420" spans="1:2" ht="12.75" customHeight="1" x14ac:dyDescent="0.25">
      <c r="A19420" s="318">
        <v>96940036897</v>
      </c>
      <c r="B19420" s="318" t="s">
        <v>237</v>
      </c>
    </row>
    <row r="19421" spans="1:2" ht="12.75" customHeight="1" x14ac:dyDescent="0.25">
      <c r="A19421" s="318">
        <v>96940036898</v>
      </c>
      <c r="B19421" s="318" t="s">
        <v>237</v>
      </c>
    </row>
    <row r="19422" spans="1:2" ht="12.75" customHeight="1" x14ac:dyDescent="0.25">
      <c r="A19422" s="318">
        <v>96940036900</v>
      </c>
      <c r="B19422" s="318" t="s">
        <v>237</v>
      </c>
    </row>
    <row r="19423" spans="1:2" ht="12.75" customHeight="1" x14ac:dyDescent="0.25">
      <c r="A19423" s="318">
        <v>96940036901</v>
      </c>
      <c r="B19423" s="318" t="s">
        <v>237</v>
      </c>
    </row>
    <row r="19424" spans="1:2" ht="12.75" customHeight="1" x14ac:dyDescent="0.25">
      <c r="A19424" s="318">
        <v>96940036902</v>
      </c>
      <c r="B19424" s="318" t="s">
        <v>237</v>
      </c>
    </row>
    <row r="19425" spans="1:2" ht="12.75" customHeight="1" x14ac:dyDescent="0.25">
      <c r="A19425" s="318">
        <v>96940036903</v>
      </c>
      <c r="B19425" s="318" t="s">
        <v>237</v>
      </c>
    </row>
    <row r="19426" spans="1:2" ht="12.75" customHeight="1" x14ac:dyDescent="0.25">
      <c r="A19426" s="318">
        <v>96940036904</v>
      </c>
      <c r="B19426" s="318" t="s">
        <v>237</v>
      </c>
    </row>
    <row r="19427" spans="1:2" ht="12.75" customHeight="1" x14ac:dyDescent="0.25">
      <c r="A19427" s="318">
        <v>96940036905</v>
      </c>
      <c r="B19427" s="318" t="s">
        <v>237</v>
      </c>
    </row>
    <row r="19428" spans="1:2" ht="12.75" customHeight="1" x14ac:dyDescent="0.25">
      <c r="A19428" s="318">
        <v>96940036906</v>
      </c>
      <c r="B19428" s="318" t="s">
        <v>237</v>
      </c>
    </row>
    <row r="19429" spans="1:2" ht="12.75" customHeight="1" x14ac:dyDescent="0.25">
      <c r="A19429" s="318">
        <v>96940036907</v>
      </c>
      <c r="B19429" s="318" t="s">
        <v>237</v>
      </c>
    </row>
    <row r="19430" spans="1:2" ht="12.75" customHeight="1" x14ac:dyDescent="0.25">
      <c r="A19430" s="318">
        <v>96940517764</v>
      </c>
      <c r="B19430" s="318" t="s">
        <v>23</v>
      </c>
    </row>
    <row r="19431" spans="1:2" ht="12.75" customHeight="1" x14ac:dyDescent="0.25">
      <c r="A19431" s="318">
        <v>96940517765</v>
      </c>
      <c r="B19431" s="318" t="s">
        <v>23</v>
      </c>
    </row>
    <row r="19432" spans="1:2" ht="12.75" customHeight="1" x14ac:dyDescent="0.25">
      <c r="A19432" s="318">
        <v>96940517766</v>
      </c>
      <c r="B19432" s="318" t="s">
        <v>23</v>
      </c>
    </row>
    <row r="19433" spans="1:2" ht="12.75" customHeight="1" x14ac:dyDescent="0.25">
      <c r="A19433" s="318">
        <v>96940517767</v>
      </c>
      <c r="B19433" s="318" t="s">
        <v>23</v>
      </c>
    </row>
    <row r="19434" spans="1:2" ht="12.75" customHeight="1" x14ac:dyDescent="0.25">
      <c r="A19434" s="318">
        <v>96940517768</v>
      </c>
      <c r="B19434" s="318" t="s">
        <v>23</v>
      </c>
    </row>
    <row r="19435" spans="1:2" ht="12.75" customHeight="1" x14ac:dyDescent="0.25">
      <c r="A19435" s="318">
        <v>96940517769</v>
      </c>
      <c r="B19435" s="318" t="s">
        <v>23</v>
      </c>
    </row>
    <row r="19436" spans="1:2" ht="12.75" customHeight="1" x14ac:dyDescent="0.25">
      <c r="A19436" s="318">
        <v>96940517770</v>
      </c>
      <c r="B19436" s="318" t="s">
        <v>23</v>
      </c>
    </row>
    <row r="19437" spans="1:2" ht="12.75" customHeight="1" x14ac:dyDescent="0.25">
      <c r="A19437" s="318">
        <v>96940517771</v>
      </c>
      <c r="B19437" s="318" t="s">
        <v>237</v>
      </c>
    </row>
    <row r="19438" spans="1:2" ht="12.75" customHeight="1" x14ac:dyDescent="0.25">
      <c r="A19438" s="318">
        <v>96940517773</v>
      </c>
      <c r="B19438" s="318" t="s">
        <v>23</v>
      </c>
    </row>
    <row r="19439" spans="1:2" ht="12.75" customHeight="1" x14ac:dyDescent="0.25">
      <c r="A19439" s="318">
        <v>96940517774</v>
      </c>
      <c r="B19439" s="318" t="s">
        <v>237</v>
      </c>
    </row>
    <row r="19440" spans="1:2" ht="12.75" customHeight="1" x14ac:dyDescent="0.25">
      <c r="A19440" s="318">
        <v>96940517775</v>
      </c>
      <c r="B19440" s="318" t="s">
        <v>23</v>
      </c>
    </row>
    <row r="19441" spans="1:2" ht="12.75" customHeight="1" x14ac:dyDescent="0.25">
      <c r="A19441" s="318">
        <v>96940517776</v>
      </c>
      <c r="B19441" s="318" t="s">
        <v>237</v>
      </c>
    </row>
    <row r="19442" spans="1:2" ht="12.75" customHeight="1" x14ac:dyDescent="0.25">
      <c r="A19442" s="318">
        <v>96940517777</v>
      </c>
      <c r="B19442" s="318" t="s">
        <v>23</v>
      </c>
    </row>
    <row r="19443" spans="1:2" ht="12.75" customHeight="1" x14ac:dyDescent="0.25">
      <c r="A19443" s="318">
        <v>96940517778</v>
      </c>
      <c r="B19443" s="318" t="s">
        <v>237</v>
      </c>
    </row>
    <row r="19444" spans="1:2" ht="12.75" customHeight="1" x14ac:dyDescent="0.25">
      <c r="A19444" s="318">
        <v>96940517779</v>
      </c>
      <c r="B19444" s="318" t="s">
        <v>23</v>
      </c>
    </row>
    <row r="19445" spans="1:2" ht="12.75" customHeight="1" x14ac:dyDescent="0.25">
      <c r="A19445" s="318">
        <v>96940517780</v>
      </c>
      <c r="B19445" s="318" t="s">
        <v>237</v>
      </c>
    </row>
    <row r="19446" spans="1:2" ht="12.75" customHeight="1" x14ac:dyDescent="0.25">
      <c r="A19446" s="318">
        <v>96940517864</v>
      </c>
      <c r="B19446" s="318" t="s">
        <v>237</v>
      </c>
    </row>
    <row r="19447" spans="1:2" ht="12.75" customHeight="1" x14ac:dyDescent="0.25">
      <c r="A19447" s="318">
        <v>96940517865</v>
      </c>
      <c r="B19447" s="318" t="s">
        <v>237</v>
      </c>
    </row>
    <row r="19448" spans="1:2" ht="12.75" customHeight="1" x14ac:dyDescent="0.25">
      <c r="A19448" s="318">
        <v>96940517866</v>
      </c>
      <c r="B19448" s="318" t="s">
        <v>237</v>
      </c>
    </row>
    <row r="19449" spans="1:2" ht="12.75" customHeight="1" x14ac:dyDescent="0.25">
      <c r="A19449" s="318">
        <v>96940517867</v>
      </c>
      <c r="B19449" s="318" t="s">
        <v>237</v>
      </c>
    </row>
    <row r="19450" spans="1:2" ht="12.75" customHeight="1" x14ac:dyDescent="0.25">
      <c r="A19450" s="318">
        <v>96940517868</v>
      </c>
      <c r="B19450" s="318" t="s">
        <v>237</v>
      </c>
    </row>
    <row r="19451" spans="1:2" ht="12.75" customHeight="1" x14ac:dyDescent="0.25">
      <c r="A19451" s="318">
        <v>96940517869</v>
      </c>
      <c r="B19451" s="318" t="s">
        <v>237</v>
      </c>
    </row>
    <row r="19452" spans="1:2" ht="12.75" customHeight="1" x14ac:dyDescent="0.25">
      <c r="A19452" s="318">
        <v>96940517870</v>
      </c>
      <c r="B19452" s="318" t="s">
        <v>237</v>
      </c>
    </row>
    <row r="19453" spans="1:2" ht="12.75" customHeight="1" x14ac:dyDescent="0.25">
      <c r="A19453" s="318">
        <v>96940517871</v>
      </c>
      <c r="B19453" s="318" t="s">
        <v>237</v>
      </c>
    </row>
    <row r="19454" spans="1:2" ht="12.75" customHeight="1" x14ac:dyDescent="0.25">
      <c r="A19454" s="318">
        <v>96940517873</v>
      </c>
      <c r="B19454" s="318" t="s">
        <v>237</v>
      </c>
    </row>
    <row r="19455" spans="1:2" ht="12.75" customHeight="1" x14ac:dyDescent="0.25">
      <c r="A19455" s="318">
        <v>96940517874</v>
      </c>
      <c r="B19455" s="318" t="s">
        <v>237</v>
      </c>
    </row>
    <row r="19456" spans="1:2" ht="12.75" customHeight="1" x14ac:dyDescent="0.25">
      <c r="A19456" s="318">
        <v>96940517875</v>
      </c>
      <c r="B19456" s="318" t="s">
        <v>237</v>
      </c>
    </row>
    <row r="19457" spans="1:2" ht="12.75" customHeight="1" x14ac:dyDescent="0.25">
      <c r="A19457" s="318">
        <v>96940517876</v>
      </c>
      <c r="B19457" s="318" t="s">
        <v>237</v>
      </c>
    </row>
    <row r="19458" spans="1:2" ht="12.75" customHeight="1" x14ac:dyDescent="0.25">
      <c r="A19458" s="318">
        <v>96940517877</v>
      </c>
      <c r="B19458" s="318" t="s">
        <v>237</v>
      </c>
    </row>
    <row r="19459" spans="1:2" ht="12.75" customHeight="1" x14ac:dyDescent="0.25">
      <c r="A19459" s="318">
        <v>96940517878</v>
      </c>
      <c r="B19459" s="318" t="s">
        <v>237</v>
      </c>
    </row>
    <row r="19460" spans="1:2" ht="12.75" customHeight="1" x14ac:dyDescent="0.25">
      <c r="A19460" s="318">
        <v>96940517879</v>
      </c>
      <c r="B19460" s="318" t="s">
        <v>237</v>
      </c>
    </row>
    <row r="19461" spans="1:2" ht="12.75" customHeight="1" x14ac:dyDescent="0.25">
      <c r="A19461" s="318">
        <v>96940517880</v>
      </c>
      <c r="B19461" s="318" t="s">
        <v>237</v>
      </c>
    </row>
    <row r="19462" spans="1:2" ht="12.75" customHeight="1" x14ac:dyDescent="0.25">
      <c r="A19462" s="318">
        <v>96990413655</v>
      </c>
      <c r="B19462" s="318" t="s">
        <v>23</v>
      </c>
    </row>
    <row r="19463" spans="1:2" ht="12.75" customHeight="1" x14ac:dyDescent="0.25">
      <c r="A19463" s="318">
        <v>96990413656</v>
      </c>
      <c r="B19463" s="318" t="s">
        <v>23</v>
      </c>
    </row>
    <row r="19464" spans="1:2" ht="12.75" customHeight="1" x14ac:dyDescent="0.25">
      <c r="A19464" s="318">
        <v>96990413657</v>
      </c>
      <c r="B19464" s="318" t="s">
        <v>23</v>
      </c>
    </row>
    <row r="19465" spans="1:2" ht="12.75" customHeight="1" x14ac:dyDescent="0.25">
      <c r="A19465" s="318">
        <v>96990413658</v>
      </c>
      <c r="B19465" s="318" t="s">
        <v>23</v>
      </c>
    </row>
    <row r="19466" spans="1:2" ht="12.75" customHeight="1" x14ac:dyDescent="0.25">
      <c r="A19466" s="318">
        <v>96990413659</v>
      </c>
      <c r="B19466" s="318" t="s">
        <v>23</v>
      </c>
    </row>
    <row r="19467" spans="1:2" ht="12.75" customHeight="1" x14ac:dyDescent="0.25">
      <c r="A19467" s="318">
        <v>96990413660</v>
      </c>
      <c r="B19467" s="318" t="s">
        <v>23</v>
      </c>
    </row>
    <row r="19468" spans="1:2" ht="12.75" customHeight="1" x14ac:dyDescent="0.25">
      <c r="A19468" s="318">
        <v>96990413661</v>
      </c>
      <c r="B19468" s="318" t="s">
        <v>237</v>
      </c>
    </row>
    <row r="19469" spans="1:2" ht="12.75" customHeight="1" x14ac:dyDescent="0.25">
      <c r="A19469" s="318">
        <v>96990413662</v>
      </c>
      <c r="B19469" s="318" t="s">
        <v>237</v>
      </c>
    </row>
    <row r="19470" spans="1:2" ht="12.75" customHeight="1" x14ac:dyDescent="0.25">
      <c r="A19470" s="318">
        <v>96990413664</v>
      </c>
      <c r="B19470" s="318" t="s">
        <v>237</v>
      </c>
    </row>
    <row r="19471" spans="1:2" ht="12.75" customHeight="1" x14ac:dyDescent="0.25">
      <c r="A19471" s="318">
        <v>96990413665</v>
      </c>
      <c r="B19471" s="318" t="s">
        <v>237</v>
      </c>
    </row>
    <row r="19472" spans="1:2" ht="12.75" customHeight="1" x14ac:dyDescent="0.25">
      <c r="A19472" s="318">
        <v>96990413666</v>
      </c>
      <c r="B19472" s="318" t="s">
        <v>237</v>
      </c>
    </row>
    <row r="19473" spans="1:2" ht="12.75" customHeight="1" x14ac:dyDescent="0.25">
      <c r="A19473" s="318">
        <v>96990413667</v>
      </c>
      <c r="B19473" s="318" t="s">
        <v>237</v>
      </c>
    </row>
    <row r="19474" spans="1:2" ht="12.75" customHeight="1" x14ac:dyDescent="0.25">
      <c r="A19474" s="318">
        <v>96990413668</v>
      </c>
      <c r="B19474" s="318" t="s">
        <v>237</v>
      </c>
    </row>
    <row r="19475" spans="1:2" ht="12.75" customHeight="1" x14ac:dyDescent="0.25">
      <c r="A19475" s="318">
        <v>96990413669</v>
      </c>
      <c r="B19475" s="318" t="s">
        <v>237</v>
      </c>
    </row>
    <row r="19476" spans="1:2" ht="12.75" customHeight="1" x14ac:dyDescent="0.25">
      <c r="A19476" s="318">
        <v>96990413670</v>
      </c>
      <c r="B19476" s="318" t="s">
        <v>237</v>
      </c>
    </row>
    <row r="19477" spans="1:2" ht="12.75" customHeight="1" x14ac:dyDescent="0.25">
      <c r="A19477" s="318">
        <v>96990413671</v>
      </c>
      <c r="B19477" s="318" t="s">
        <v>237</v>
      </c>
    </row>
    <row r="19478" spans="1:2" ht="12.75" customHeight="1" x14ac:dyDescent="0.25">
      <c r="A19478" s="318">
        <v>96990413755</v>
      </c>
      <c r="B19478" s="318" t="s">
        <v>237</v>
      </c>
    </row>
    <row r="19479" spans="1:2" ht="12.75" customHeight="1" x14ac:dyDescent="0.25">
      <c r="A19479" s="318">
        <v>96990413756</v>
      </c>
      <c r="B19479" s="318" t="s">
        <v>237</v>
      </c>
    </row>
    <row r="19480" spans="1:2" ht="12.75" customHeight="1" x14ac:dyDescent="0.25">
      <c r="A19480" s="318">
        <v>96990413757</v>
      </c>
      <c r="B19480" s="318" t="s">
        <v>237</v>
      </c>
    </row>
    <row r="19481" spans="1:2" ht="12.75" customHeight="1" x14ac:dyDescent="0.25">
      <c r="A19481" s="318">
        <v>96990413758</v>
      </c>
      <c r="B19481" s="318" t="s">
        <v>237</v>
      </c>
    </row>
    <row r="19482" spans="1:2" ht="12.75" customHeight="1" x14ac:dyDescent="0.25">
      <c r="A19482" s="318">
        <v>96990413759</v>
      </c>
      <c r="B19482" s="318" t="s">
        <v>237</v>
      </c>
    </row>
    <row r="19483" spans="1:2" ht="12.75" customHeight="1" x14ac:dyDescent="0.25">
      <c r="A19483" s="318">
        <v>96990413760</v>
      </c>
      <c r="B19483" s="318" t="s">
        <v>237</v>
      </c>
    </row>
    <row r="19484" spans="1:2" ht="12.75" customHeight="1" x14ac:dyDescent="0.25">
      <c r="A19484" s="318">
        <v>96990413761</v>
      </c>
      <c r="B19484" s="318" t="s">
        <v>237</v>
      </c>
    </row>
    <row r="19485" spans="1:2" ht="12.75" customHeight="1" x14ac:dyDescent="0.25">
      <c r="A19485" s="318">
        <v>96990413762</v>
      </c>
      <c r="B19485" s="318" t="s">
        <v>237</v>
      </c>
    </row>
    <row r="19486" spans="1:2" ht="12.75" customHeight="1" x14ac:dyDescent="0.25">
      <c r="A19486" s="318">
        <v>96990413764</v>
      </c>
      <c r="B19486" s="318" t="s">
        <v>237</v>
      </c>
    </row>
    <row r="19487" spans="1:2" ht="12.75" customHeight="1" x14ac:dyDescent="0.25">
      <c r="A19487" s="318">
        <v>96990413765</v>
      </c>
      <c r="B19487" s="318" t="s">
        <v>237</v>
      </c>
    </row>
    <row r="19488" spans="1:2" ht="12.75" customHeight="1" x14ac:dyDescent="0.25">
      <c r="A19488" s="318">
        <v>96990413766</v>
      </c>
      <c r="B19488" s="318" t="s">
        <v>237</v>
      </c>
    </row>
    <row r="19489" spans="1:2" ht="12.75" customHeight="1" x14ac:dyDescent="0.25">
      <c r="A19489" s="318">
        <v>96990413767</v>
      </c>
      <c r="B19489" s="318" t="s">
        <v>237</v>
      </c>
    </row>
    <row r="19490" spans="1:2" ht="12.75" customHeight="1" x14ac:dyDescent="0.25">
      <c r="A19490" s="318">
        <v>96990413768</v>
      </c>
      <c r="B19490" s="318" t="s">
        <v>237</v>
      </c>
    </row>
    <row r="19491" spans="1:2" ht="12.75" customHeight="1" x14ac:dyDescent="0.25">
      <c r="A19491" s="318">
        <v>96990413769</v>
      </c>
      <c r="B19491" s="318" t="s">
        <v>237</v>
      </c>
    </row>
    <row r="19492" spans="1:2" ht="12.75" customHeight="1" x14ac:dyDescent="0.25">
      <c r="A19492" s="318">
        <v>96990413770</v>
      </c>
      <c r="B19492" s="318" t="s">
        <v>237</v>
      </c>
    </row>
    <row r="19493" spans="1:2" ht="12.75" customHeight="1" x14ac:dyDescent="0.25">
      <c r="A19493" s="318">
        <v>96990413771</v>
      </c>
      <c r="B19493" s="318" t="s">
        <v>237</v>
      </c>
    </row>
    <row r="19494" spans="1:2" ht="12.75" customHeight="1" x14ac:dyDescent="0.25">
      <c r="A19494" s="318">
        <v>96990894628</v>
      </c>
      <c r="B19494" s="318" t="s">
        <v>23</v>
      </c>
    </row>
    <row r="19495" spans="1:2" ht="12.75" customHeight="1" x14ac:dyDescent="0.25">
      <c r="A19495" s="318">
        <v>96990894629</v>
      </c>
      <c r="B19495" s="318" t="s">
        <v>23</v>
      </c>
    </row>
    <row r="19496" spans="1:2" ht="12.75" customHeight="1" x14ac:dyDescent="0.25">
      <c r="A19496" s="318">
        <v>96990894630</v>
      </c>
      <c r="B19496" s="318" t="s">
        <v>23</v>
      </c>
    </row>
    <row r="19497" spans="1:2" ht="12.75" customHeight="1" x14ac:dyDescent="0.25">
      <c r="A19497" s="318">
        <v>96990894631</v>
      </c>
      <c r="B19497" s="318" t="s">
        <v>23</v>
      </c>
    </row>
    <row r="19498" spans="1:2" ht="12.75" customHeight="1" x14ac:dyDescent="0.25">
      <c r="A19498" s="318">
        <v>96990894632</v>
      </c>
      <c r="B19498" s="318" t="s">
        <v>23</v>
      </c>
    </row>
    <row r="19499" spans="1:2" ht="12.75" customHeight="1" x14ac:dyDescent="0.25">
      <c r="A19499" s="318">
        <v>96990894633</v>
      </c>
      <c r="B19499" s="318" t="s">
        <v>23</v>
      </c>
    </row>
    <row r="19500" spans="1:2" ht="12.75" customHeight="1" x14ac:dyDescent="0.25">
      <c r="A19500" s="318">
        <v>96990894634</v>
      </c>
      <c r="B19500" s="318" t="s">
        <v>237</v>
      </c>
    </row>
    <row r="19501" spans="1:2" ht="12.75" customHeight="1" x14ac:dyDescent="0.25">
      <c r="A19501" s="318">
        <v>96990894635</v>
      </c>
      <c r="B19501" s="318" t="s">
        <v>237</v>
      </c>
    </row>
    <row r="19502" spans="1:2" ht="12.75" customHeight="1" x14ac:dyDescent="0.25">
      <c r="A19502" s="318">
        <v>96990894637</v>
      </c>
      <c r="B19502" s="318" t="s">
        <v>237</v>
      </c>
    </row>
    <row r="19503" spans="1:2" ht="12.75" customHeight="1" x14ac:dyDescent="0.25">
      <c r="A19503" s="318">
        <v>96990894638</v>
      </c>
      <c r="B19503" s="318" t="s">
        <v>237</v>
      </c>
    </row>
    <row r="19504" spans="1:2" ht="12.75" customHeight="1" x14ac:dyDescent="0.25">
      <c r="A19504" s="318">
        <v>96990894639</v>
      </c>
      <c r="B19504" s="318" t="s">
        <v>237</v>
      </c>
    </row>
    <row r="19505" spans="1:2" ht="12.75" customHeight="1" x14ac:dyDescent="0.25">
      <c r="A19505" s="318">
        <v>96990894640</v>
      </c>
      <c r="B19505" s="318" t="s">
        <v>237</v>
      </c>
    </row>
    <row r="19506" spans="1:2" ht="12.75" customHeight="1" x14ac:dyDescent="0.25">
      <c r="A19506" s="318">
        <v>96990894641</v>
      </c>
      <c r="B19506" s="318" t="s">
        <v>237</v>
      </c>
    </row>
    <row r="19507" spans="1:2" ht="12.75" customHeight="1" x14ac:dyDescent="0.25">
      <c r="A19507" s="318">
        <v>96990894642</v>
      </c>
      <c r="B19507" s="318" t="s">
        <v>237</v>
      </c>
    </row>
    <row r="19508" spans="1:2" ht="12.75" customHeight="1" x14ac:dyDescent="0.25">
      <c r="A19508" s="318">
        <v>96990894643</v>
      </c>
      <c r="B19508" s="318" t="s">
        <v>237</v>
      </c>
    </row>
    <row r="19509" spans="1:2" ht="12.75" customHeight="1" x14ac:dyDescent="0.25">
      <c r="A19509" s="318">
        <v>96990894644</v>
      </c>
      <c r="B19509" s="318" t="s">
        <v>237</v>
      </c>
    </row>
    <row r="19510" spans="1:2" ht="12.75" customHeight="1" x14ac:dyDescent="0.25">
      <c r="A19510" s="318">
        <v>96990894728</v>
      </c>
      <c r="B19510" s="318" t="s">
        <v>237</v>
      </c>
    </row>
    <row r="19511" spans="1:2" ht="12.75" customHeight="1" x14ac:dyDescent="0.25">
      <c r="A19511" s="318">
        <v>96990894729</v>
      </c>
      <c r="B19511" s="318" t="s">
        <v>237</v>
      </c>
    </row>
    <row r="19512" spans="1:2" ht="12.75" customHeight="1" x14ac:dyDescent="0.25">
      <c r="A19512" s="318">
        <v>96990894730</v>
      </c>
      <c r="B19512" s="318" t="s">
        <v>237</v>
      </c>
    </row>
    <row r="19513" spans="1:2" ht="12.75" customHeight="1" x14ac:dyDescent="0.25">
      <c r="A19513" s="318">
        <v>96990894731</v>
      </c>
      <c r="B19513" s="318" t="s">
        <v>237</v>
      </c>
    </row>
    <row r="19514" spans="1:2" ht="12.75" customHeight="1" x14ac:dyDescent="0.25">
      <c r="A19514" s="318">
        <v>96990894732</v>
      </c>
      <c r="B19514" s="318" t="s">
        <v>237</v>
      </c>
    </row>
    <row r="19515" spans="1:2" ht="12.75" customHeight="1" x14ac:dyDescent="0.25">
      <c r="A19515" s="318">
        <v>96990894733</v>
      </c>
      <c r="B19515" s="318" t="s">
        <v>237</v>
      </c>
    </row>
    <row r="19516" spans="1:2" ht="12.75" customHeight="1" x14ac:dyDescent="0.25">
      <c r="A19516" s="318">
        <v>96990894734</v>
      </c>
      <c r="B19516" s="318" t="s">
        <v>237</v>
      </c>
    </row>
    <row r="19517" spans="1:2" ht="12.75" customHeight="1" x14ac:dyDescent="0.25">
      <c r="A19517" s="318">
        <v>96990894735</v>
      </c>
      <c r="B19517" s="318" t="s">
        <v>237</v>
      </c>
    </row>
    <row r="19518" spans="1:2" ht="12.75" customHeight="1" x14ac:dyDescent="0.25">
      <c r="A19518" s="318">
        <v>96990894737</v>
      </c>
      <c r="B19518" s="318" t="s">
        <v>237</v>
      </c>
    </row>
    <row r="19519" spans="1:2" ht="12.75" customHeight="1" x14ac:dyDescent="0.25">
      <c r="A19519" s="318">
        <v>96990894738</v>
      </c>
      <c r="B19519" s="318" t="s">
        <v>237</v>
      </c>
    </row>
    <row r="19520" spans="1:2" ht="12.75" customHeight="1" x14ac:dyDescent="0.25">
      <c r="A19520" s="318">
        <v>96990894739</v>
      </c>
      <c r="B19520" s="318" t="s">
        <v>237</v>
      </c>
    </row>
    <row r="19521" spans="1:2" ht="12.75" customHeight="1" x14ac:dyDescent="0.25">
      <c r="A19521" s="318">
        <v>96990894740</v>
      </c>
      <c r="B19521" s="318" t="s">
        <v>237</v>
      </c>
    </row>
    <row r="19522" spans="1:2" ht="12.75" customHeight="1" x14ac:dyDescent="0.25">
      <c r="A19522" s="318">
        <v>96990894741</v>
      </c>
      <c r="B19522" s="318" t="s">
        <v>237</v>
      </c>
    </row>
    <row r="19523" spans="1:2" ht="12.75" customHeight="1" x14ac:dyDescent="0.25">
      <c r="A19523" s="318">
        <v>96990894742</v>
      </c>
      <c r="B19523" s="318" t="s">
        <v>237</v>
      </c>
    </row>
    <row r="19524" spans="1:2" ht="12.75" customHeight="1" x14ac:dyDescent="0.25">
      <c r="A19524" s="318">
        <v>96990894743</v>
      </c>
      <c r="B19524" s="318" t="s">
        <v>237</v>
      </c>
    </row>
    <row r="19525" spans="1:2" ht="12.75" customHeight="1" x14ac:dyDescent="0.25">
      <c r="A19525" s="318">
        <v>96990894744</v>
      </c>
      <c r="B19525" s="318" t="s">
        <v>237</v>
      </c>
    </row>
    <row r="19526" spans="1:2" ht="12.75" customHeight="1" x14ac:dyDescent="0.25">
      <c r="A19526" s="318">
        <v>96991375601</v>
      </c>
      <c r="B19526" s="318" t="s">
        <v>23</v>
      </c>
    </row>
    <row r="19527" spans="1:2" ht="12.75" customHeight="1" x14ac:dyDescent="0.25">
      <c r="A19527" s="318">
        <v>96991375602</v>
      </c>
      <c r="B19527" s="318" t="s">
        <v>23</v>
      </c>
    </row>
    <row r="19528" spans="1:2" ht="12.75" customHeight="1" x14ac:dyDescent="0.25">
      <c r="A19528" s="318">
        <v>96991375603</v>
      </c>
      <c r="B19528" s="318" t="s">
        <v>23</v>
      </c>
    </row>
    <row r="19529" spans="1:2" ht="12.75" customHeight="1" x14ac:dyDescent="0.25">
      <c r="A19529" s="318">
        <v>96991375604</v>
      </c>
      <c r="B19529" s="318" t="s">
        <v>23</v>
      </c>
    </row>
    <row r="19530" spans="1:2" ht="12.75" customHeight="1" x14ac:dyDescent="0.25">
      <c r="A19530" s="318">
        <v>96991375605</v>
      </c>
      <c r="B19530" s="318" t="s">
        <v>23</v>
      </c>
    </row>
    <row r="19531" spans="1:2" ht="12.75" customHeight="1" x14ac:dyDescent="0.25">
      <c r="A19531" s="318">
        <v>96991375606</v>
      </c>
      <c r="B19531" s="318" t="s">
        <v>23</v>
      </c>
    </row>
    <row r="19532" spans="1:2" ht="12.75" customHeight="1" x14ac:dyDescent="0.25">
      <c r="A19532" s="318">
        <v>96991375607</v>
      </c>
      <c r="B19532" s="318" t="s">
        <v>237</v>
      </c>
    </row>
    <row r="19533" spans="1:2" ht="12.75" customHeight="1" x14ac:dyDescent="0.25">
      <c r="A19533" s="318">
        <v>96991375608</v>
      </c>
      <c r="B19533" s="318" t="s">
        <v>237</v>
      </c>
    </row>
    <row r="19534" spans="1:2" ht="12.75" customHeight="1" x14ac:dyDescent="0.25">
      <c r="A19534" s="318">
        <v>96991375610</v>
      </c>
      <c r="B19534" s="318" t="s">
        <v>237</v>
      </c>
    </row>
    <row r="19535" spans="1:2" ht="12.75" customHeight="1" x14ac:dyDescent="0.25">
      <c r="A19535" s="318">
        <v>96991375611</v>
      </c>
      <c r="B19535" s="318" t="s">
        <v>237</v>
      </c>
    </row>
    <row r="19536" spans="1:2" ht="12.75" customHeight="1" x14ac:dyDescent="0.25">
      <c r="A19536" s="318">
        <v>96991375612</v>
      </c>
      <c r="B19536" s="318" t="s">
        <v>237</v>
      </c>
    </row>
    <row r="19537" spans="1:2" ht="12.75" customHeight="1" x14ac:dyDescent="0.25">
      <c r="A19537" s="318">
        <v>96991375613</v>
      </c>
      <c r="B19537" s="318" t="s">
        <v>237</v>
      </c>
    </row>
    <row r="19538" spans="1:2" ht="12.75" customHeight="1" x14ac:dyDescent="0.25">
      <c r="A19538" s="318">
        <v>96991375614</v>
      </c>
      <c r="B19538" s="318" t="s">
        <v>237</v>
      </c>
    </row>
    <row r="19539" spans="1:2" ht="12.75" customHeight="1" x14ac:dyDescent="0.25">
      <c r="A19539" s="318">
        <v>96991375615</v>
      </c>
      <c r="B19539" s="318" t="s">
        <v>237</v>
      </c>
    </row>
    <row r="19540" spans="1:2" ht="12.75" customHeight="1" x14ac:dyDescent="0.25">
      <c r="A19540" s="318">
        <v>96991375616</v>
      </c>
      <c r="B19540" s="318" t="s">
        <v>237</v>
      </c>
    </row>
    <row r="19541" spans="1:2" ht="12.75" customHeight="1" x14ac:dyDescent="0.25">
      <c r="A19541" s="318">
        <v>96991375617</v>
      </c>
      <c r="B19541" s="318" t="s">
        <v>237</v>
      </c>
    </row>
    <row r="19542" spans="1:2" ht="12.75" customHeight="1" x14ac:dyDescent="0.25">
      <c r="A19542" s="318">
        <v>96991375701</v>
      </c>
      <c r="B19542" s="318" t="s">
        <v>237</v>
      </c>
    </row>
    <row r="19543" spans="1:2" ht="12.75" customHeight="1" x14ac:dyDescent="0.25">
      <c r="A19543" s="318">
        <v>96991375702</v>
      </c>
      <c r="B19543" s="318" t="s">
        <v>237</v>
      </c>
    </row>
    <row r="19544" spans="1:2" ht="12.75" customHeight="1" x14ac:dyDescent="0.25">
      <c r="A19544" s="318">
        <v>96991375703</v>
      </c>
      <c r="B19544" s="318" t="s">
        <v>237</v>
      </c>
    </row>
    <row r="19545" spans="1:2" ht="12.75" customHeight="1" x14ac:dyDescent="0.25">
      <c r="A19545" s="318">
        <v>96991375704</v>
      </c>
      <c r="B19545" s="318" t="s">
        <v>237</v>
      </c>
    </row>
    <row r="19546" spans="1:2" ht="12.75" customHeight="1" x14ac:dyDescent="0.25">
      <c r="A19546" s="318">
        <v>96991375705</v>
      </c>
      <c r="B19546" s="318" t="s">
        <v>237</v>
      </c>
    </row>
    <row r="19547" spans="1:2" ht="12.75" customHeight="1" x14ac:dyDescent="0.25">
      <c r="A19547" s="318">
        <v>96991375706</v>
      </c>
      <c r="B19547" s="318" t="s">
        <v>237</v>
      </c>
    </row>
    <row r="19548" spans="1:2" ht="12.75" customHeight="1" x14ac:dyDescent="0.25">
      <c r="A19548" s="318">
        <v>96991375707</v>
      </c>
      <c r="B19548" s="318" t="s">
        <v>237</v>
      </c>
    </row>
    <row r="19549" spans="1:2" ht="12.75" customHeight="1" x14ac:dyDescent="0.25">
      <c r="A19549" s="318">
        <v>96991375708</v>
      </c>
      <c r="B19549" s="318" t="s">
        <v>237</v>
      </c>
    </row>
    <row r="19550" spans="1:2" ht="12.75" customHeight="1" x14ac:dyDescent="0.25">
      <c r="A19550" s="318">
        <v>96991375710</v>
      </c>
      <c r="B19550" s="318" t="s">
        <v>237</v>
      </c>
    </row>
    <row r="19551" spans="1:2" ht="12.75" customHeight="1" x14ac:dyDescent="0.25">
      <c r="A19551" s="318">
        <v>96991375711</v>
      </c>
      <c r="B19551" s="318" t="s">
        <v>237</v>
      </c>
    </row>
    <row r="19552" spans="1:2" ht="12.75" customHeight="1" x14ac:dyDescent="0.25">
      <c r="A19552" s="318">
        <v>96991375712</v>
      </c>
      <c r="B19552" s="318" t="s">
        <v>237</v>
      </c>
    </row>
    <row r="19553" spans="1:2" ht="12.75" customHeight="1" x14ac:dyDescent="0.25">
      <c r="A19553" s="318">
        <v>96991375713</v>
      </c>
      <c r="B19553" s="318" t="s">
        <v>237</v>
      </c>
    </row>
    <row r="19554" spans="1:2" ht="12.75" customHeight="1" x14ac:dyDescent="0.25">
      <c r="A19554" s="318">
        <v>96991375714</v>
      </c>
      <c r="B19554" s="318" t="s">
        <v>237</v>
      </c>
    </row>
    <row r="19555" spans="1:2" ht="12.75" customHeight="1" x14ac:dyDescent="0.25">
      <c r="A19555" s="318">
        <v>96991375715</v>
      </c>
      <c r="B19555" s="318" t="s">
        <v>237</v>
      </c>
    </row>
    <row r="19556" spans="1:2" ht="12.75" customHeight="1" x14ac:dyDescent="0.25">
      <c r="A19556" s="318">
        <v>96991375716</v>
      </c>
      <c r="B19556" s="318" t="s">
        <v>237</v>
      </c>
    </row>
    <row r="19557" spans="1:2" ht="12.75" customHeight="1" x14ac:dyDescent="0.25">
      <c r="A19557" s="318">
        <v>96991375717</v>
      </c>
      <c r="B19557" s="318" t="s">
        <v>237</v>
      </c>
    </row>
    <row r="19558" spans="1:2" ht="12.75" customHeight="1" x14ac:dyDescent="0.25">
      <c r="A19558" s="318">
        <v>96992055792</v>
      </c>
      <c r="B19558" s="318" t="s">
        <v>23</v>
      </c>
    </row>
    <row r="19559" spans="1:2" ht="12.75" customHeight="1" x14ac:dyDescent="0.25">
      <c r="A19559" s="318">
        <v>96992055793</v>
      </c>
      <c r="B19559" s="318" t="s">
        <v>23</v>
      </c>
    </row>
    <row r="19560" spans="1:2" ht="12.75" customHeight="1" x14ac:dyDescent="0.25">
      <c r="A19560" s="318">
        <v>96992055794</v>
      </c>
      <c r="B19560" s="318" t="s">
        <v>23</v>
      </c>
    </row>
    <row r="19561" spans="1:2" ht="12.75" customHeight="1" x14ac:dyDescent="0.25">
      <c r="A19561" s="318">
        <v>96992055795</v>
      </c>
      <c r="B19561" s="318" t="s">
        <v>23</v>
      </c>
    </row>
    <row r="19562" spans="1:2" ht="12.75" customHeight="1" x14ac:dyDescent="0.25">
      <c r="A19562" s="318">
        <v>96992055796</v>
      </c>
      <c r="B19562" s="318" t="s">
        <v>23</v>
      </c>
    </row>
    <row r="19563" spans="1:2" ht="12.75" customHeight="1" x14ac:dyDescent="0.25">
      <c r="A19563" s="318">
        <v>96992055797</v>
      </c>
      <c r="B19563" s="318" t="s">
        <v>23</v>
      </c>
    </row>
    <row r="19564" spans="1:2" ht="12.75" customHeight="1" x14ac:dyDescent="0.25">
      <c r="A19564" s="318">
        <v>96992055798</v>
      </c>
      <c r="B19564" s="318" t="s">
        <v>237</v>
      </c>
    </row>
    <row r="19565" spans="1:2" ht="12.75" customHeight="1" x14ac:dyDescent="0.25">
      <c r="A19565" s="318">
        <v>96992055799</v>
      </c>
      <c r="B19565" s="318" t="s">
        <v>237</v>
      </c>
    </row>
    <row r="19566" spans="1:2" ht="12.75" customHeight="1" x14ac:dyDescent="0.25">
      <c r="A19566" s="318">
        <v>96992055801</v>
      </c>
      <c r="B19566" s="318" t="s">
        <v>237</v>
      </c>
    </row>
    <row r="19567" spans="1:2" ht="12.75" customHeight="1" x14ac:dyDescent="0.25">
      <c r="A19567" s="318">
        <v>96992055802</v>
      </c>
      <c r="B19567" s="318" t="s">
        <v>237</v>
      </c>
    </row>
    <row r="19568" spans="1:2" ht="12.75" customHeight="1" x14ac:dyDescent="0.25">
      <c r="A19568" s="318">
        <v>96992055803</v>
      </c>
      <c r="B19568" s="318" t="s">
        <v>237</v>
      </c>
    </row>
    <row r="19569" spans="1:2" ht="12.75" customHeight="1" x14ac:dyDescent="0.25">
      <c r="A19569" s="318">
        <v>96992055804</v>
      </c>
      <c r="B19569" s="318" t="s">
        <v>237</v>
      </c>
    </row>
    <row r="19570" spans="1:2" ht="12.75" customHeight="1" x14ac:dyDescent="0.25">
      <c r="A19570" s="318">
        <v>96992055805</v>
      </c>
      <c r="B19570" s="318" t="s">
        <v>237</v>
      </c>
    </row>
    <row r="19571" spans="1:2" ht="12.75" customHeight="1" x14ac:dyDescent="0.25">
      <c r="A19571" s="318">
        <v>96992055806</v>
      </c>
      <c r="B19571" s="318" t="s">
        <v>237</v>
      </c>
    </row>
    <row r="19572" spans="1:2" ht="12.75" customHeight="1" x14ac:dyDescent="0.25">
      <c r="A19572" s="318">
        <v>96992055807</v>
      </c>
      <c r="B19572" s="318" t="s">
        <v>237</v>
      </c>
    </row>
    <row r="19573" spans="1:2" ht="12.75" customHeight="1" x14ac:dyDescent="0.25">
      <c r="A19573" s="318">
        <v>96992055808</v>
      </c>
      <c r="B19573" s="318" t="s">
        <v>237</v>
      </c>
    </row>
    <row r="19574" spans="1:2" ht="12.75" customHeight="1" x14ac:dyDescent="0.25">
      <c r="A19574" s="318">
        <v>96992055892</v>
      </c>
      <c r="B19574" s="318" t="s">
        <v>237</v>
      </c>
    </row>
    <row r="19575" spans="1:2" ht="12.75" customHeight="1" x14ac:dyDescent="0.25">
      <c r="A19575" s="318">
        <v>96992055893</v>
      </c>
      <c r="B19575" s="318" t="s">
        <v>237</v>
      </c>
    </row>
    <row r="19576" spans="1:2" ht="12.75" customHeight="1" x14ac:dyDescent="0.25">
      <c r="A19576" s="318">
        <v>96992055894</v>
      </c>
      <c r="B19576" s="318" t="s">
        <v>237</v>
      </c>
    </row>
    <row r="19577" spans="1:2" ht="12.75" customHeight="1" x14ac:dyDescent="0.25">
      <c r="A19577" s="318">
        <v>96992055895</v>
      </c>
      <c r="B19577" s="318" t="s">
        <v>237</v>
      </c>
    </row>
    <row r="19578" spans="1:2" ht="12.75" customHeight="1" x14ac:dyDescent="0.25">
      <c r="A19578" s="318">
        <v>96992055896</v>
      </c>
      <c r="B19578" s="318" t="s">
        <v>237</v>
      </c>
    </row>
    <row r="19579" spans="1:2" ht="12.75" customHeight="1" x14ac:dyDescent="0.25">
      <c r="A19579" s="318">
        <v>96992055897</v>
      </c>
      <c r="B19579" s="318" t="s">
        <v>237</v>
      </c>
    </row>
    <row r="19580" spans="1:2" ht="12.75" customHeight="1" x14ac:dyDescent="0.25">
      <c r="A19580" s="318">
        <v>96992055898</v>
      </c>
      <c r="B19580" s="318" t="s">
        <v>237</v>
      </c>
    </row>
    <row r="19581" spans="1:2" ht="12.75" customHeight="1" x14ac:dyDescent="0.25">
      <c r="A19581" s="318">
        <v>96992055899</v>
      </c>
      <c r="B19581" s="318" t="s">
        <v>237</v>
      </c>
    </row>
    <row r="19582" spans="1:2" ht="12.75" customHeight="1" x14ac:dyDescent="0.25">
      <c r="A19582" s="318">
        <v>96992055901</v>
      </c>
      <c r="B19582" s="318" t="s">
        <v>237</v>
      </c>
    </row>
    <row r="19583" spans="1:2" ht="12.75" customHeight="1" x14ac:dyDescent="0.25">
      <c r="A19583" s="318">
        <v>96992055902</v>
      </c>
      <c r="B19583" s="318" t="s">
        <v>237</v>
      </c>
    </row>
    <row r="19584" spans="1:2" ht="12.75" customHeight="1" x14ac:dyDescent="0.25">
      <c r="A19584" s="318">
        <v>96992055903</v>
      </c>
      <c r="B19584" s="318" t="s">
        <v>237</v>
      </c>
    </row>
    <row r="19585" spans="1:2" ht="12.75" customHeight="1" x14ac:dyDescent="0.25">
      <c r="A19585" s="318">
        <v>96992055904</v>
      </c>
      <c r="B19585" s="318" t="s">
        <v>237</v>
      </c>
    </row>
    <row r="19586" spans="1:2" ht="12.75" customHeight="1" x14ac:dyDescent="0.25">
      <c r="A19586" s="318">
        <v>96992055905</v>
      </c>
      <c r="B19586" s="318" t="s">
        <v>237</v>
      </c>
    </row>
    <row r="19587" spans="1:2" ht="12.75" customHeight="1" x14ac:dyDescent="0.25">
      <c r="A19587" s="318">
        <v>96992055906</v>
      </c>
      <c r="B19587" s="318" t="s">
        <v>237</v>
      </c>
    </row>
    <row r="19588" spans="1:2" ht="12.75" customHeight="1" x14ac:dyDescent="0.25">
      <c r="A19588" s="318">
        <v>96992055907</v>
      </c>
      <c r="B19588" s="318" t="s">
        <v>237</v>
      </c>
    </row>
    <row r="19589" spans="1:2" ht="12.75" customHeight="1" x14ac:dyDescent="0.25">
      <c r="A19589" s="318">
        <v>96992055908</v>
      </c>
      <c r="B19589" s="318" t="s">
        <v>237</v>
      </c>
    </row>
    <row r="19590" spans="1:2" ht="12.75" customHeight="1" x14ac:dyDescent="0.25">
      <c r="A19590" s="318">
        <v>96992536765</v>
      </c>
      <c r="B19590" s="318" t="s">
        <v>23</v>
      </c>
    </row>
    <row r="19591" spans="1:2" ht="12.75" customHeight="1" x14ac:dyDescent="0.25">
      <c r="A19591" s="318">
        <v>96992536766</v>
      </c>
      <c r="B19591" s="318" t="s">
        <v>23</v>
      </c>
    </row>
    <row r="19592" spans="1:2" ht="12.75" customHeight="1" x14ac:dyDescent="0.25">
      <c r="A19592" s="318">
        <v>96992536767</v>
      </c>
      <c r="B19592" s="318" t="s">
        <v>23</v>
      </c>
    </row>
    <row r="19593" spans="1:2" ht="12.75" customHeight="1" x14ac:dyDescent="0.25">
      <c r="A19593" s="318">
        <v>96992536768</v>
      </c>
      <c r="B19593" s="318" t="s">
        <v>23</v>
      </c>
    </row>
    <row r="19594" spans="1:2" ht="12.75" customHeight="1" x14ac:dyDescent="0.25">
      <c r="A19594" s="318">
        <v>96992536769</v>
      </c>
      <c r="B19594" s="318" t="s">
        <v>23</v>
      </c>
    </row>
    <row r="19595" spans="1:2" ht="12.75" customHeight="1" x14ac:dyDescent="0.25">
      <c r="A19595" s="318">
        <v>96992536770</v>
      </c>
      <c r="B19595" s="318" t="s">
        <v>23</v>
      </c>
    </row>
    <row r="19596" spans="1:2" ht="12.75" customHeight="1" x14ac:dyDescent="0.25">
      <c r="A19596" s="318">
        <v>96992536771</v>
      </c>
      <c r="B19596" s="318" t="s">
        <v>237</v>
      </c>
    </row>
    <row r="19597" spans="1:2" ht="12.75" customHeight="1" x14ac:dyDescent="0.25">
      <c r="A19597" s="318">
        <v>96992536772</v>
      </c>
      <c r="B19597" s="318" t="s">
        <v>237</v>
      </c>
    </row>
    <row r="19598" spans="1:2" ht="12.75" customHeight="1" x14ac:dyDescent="0.25">
      <c r="A19598" s="318">
        <v>96992536774</v>
      </c>
      <c r="B19598" s="318" t="s">
        <v>237</v>
      </c>
    </row>
    <row r="19599" spans="1:2" ht="12.75" customHeight="1" x14ac:dyDescent="0.25">
      <c r="A19599" s="318">
        <v>96992536775</v>
      </c>
      <c r="B19599" s="318" t="s">
        <v>237</v>
      </c>
    </row>
    <row r="19600" spans="1:2" ht="12.75" customHeight="1" x14ac:dyDescent="0.25">
      <c r="A19600" s="318">
        <v>96992536776</v>
      </c>
      <c r="B19600" s="318" t="s">
        <v>237</v>
      </c>
    </row>
    <row r="19601" spans="1:2" ht="12.75" customHeight="1" x14ac:dyDescent="0.25">
      <c r="A19601" s="318">
        <v>96992536777</v>
      </c>
      <c r="B19601" s="318" t="s">
        <v>237</v>
      </c>
    </row>
    <row r="19602" spans="1:2" ht="12.75" customHeight="1" x14ac:dyDescent="0.25">
      <c r="A19602" s="318">
        <v>96992536778</v>
      </c>
      <c r="B19602" s="318" t="s">
        <v>237</v>
      </c>
    </row>
    <row r="19603" spans="1:2" ht="12.75" customHeight="1" x14ac:dyDescent="0.25">
      <c r="A19603" s="318">
        <v>96992536779</v>
      </c>
      <c r="B19603" s="318" t="s">
        <v>237</v>
      </c>
    </row>
    <row r="19604" spans="1:2" ht="12.75" customHeight="1" x14ac:dyDescent="0.25">
      <c r="A19604" s="318">
        <v>96992536780</v>
      </c>
      <c r="B19604" s="318" t="s">
        <v>237</v>
      </c>
    </row>
    <row r="19605" spans="1:2" ht="12.75" customHeight="1" x14ac:dyDescent="0.25">
      <c r="A19605" s="318">
        <v>96992536781</v>
      </c>
      <c r="B19605" s="318" t="s">
        <v>237</v>
      </c>
    </row>
    <row r="19606" spans="1:2" ht="12.75" customHeight="1" x14ac:dyDescent="0.25">
      <c r="A19606" s="318">
        <v>96992536865</v>
      </c>
      <c r="B19606" s="318" t="s">
        <v>237</v>
      </c>
    </row>
    <row r="19607" spans="1:2" ht="12.75" customHeight="1" x14ac:dyDescent="0.25">
      <c r="A19607" s="318">
        <v>96992536866</v>
      </c>
      <c r="B19607" s="318" t="s">
        <v>237</v>
      </c>
    </row>
    <row r="19608" spans="1:2" ht="12.75" customHeight="1" x14ac:dyDescent="0.25">
      <c r="A19608" s="318">
        <v>96992536867</v>
      </c>
      <c r="B19608" s="318" t="s">
        <v>237</v>
      </c>
    </row>
    <row r="19609" spans="1:2" ht="12.75" customHeight="1" x14ac:dyDescent="0.25">
      <c r="A19609" s="318">
        <v>96992536868</v>
      </c>
      <c r="B19609" s="318" t="s">
        <v>237</v>
      </c>
    </row>
    <row r="19610" spans="1:2" ht="12.75" customHeight="1" x14ac:dyDescent="0.25">
      <c r="A19610" s="318">
        <v>96992536869</v>
      </c>
      <c r="B19610" s="318" t="s">
        <v>237</v>
      </c>
    </row>
    <row r="19611" spans="1:2" ht="12.75" customHeight="1" x14ac:dyDescent="0.25">
      <c r="A19611" s="318">
        <v>96992536870</v>
      </c>
      <c r="B19611" s="318" t="s">
        <v>237</v>
      </c>
    </row>
    <row r="19612" spans="1:2" ht="12.75" customHeight="1" x14ac:dyDescent="0.25">
      <c r="A19612" s="318">
        <v>96992536871</v>
      </c>
      <c r="B19612" s="318" t="s">
        <v>237</v>
      </c>
    </row>
    <row r="19613" spans="1:2" ht="12.75" customHeight="1" x14ac:dyDescent="0.25">
      <c r="A19613" s="318">
        <v>96992536872</v>
      </c>
      <c r="B19613" s="318" t="s">
        <v>237</v>
      </c>
    </row>
    <row r="19614" spans="1:2" ht="12.75" customHeight="1" x14ac:dyDescent="0.25">
      <c r="A19614" s="318">
        <v>96992536874</v>
      </c>
      <c r="B19614" s="318" t="s">
        <v>237</v>
      </c>
    </row>
    <row r="19615" spans="1:2" ht="12.75" customHeight="1" x14ac:dyDescent="0.25">
      <c r="A19615" s="318">
        <v>96992536875</v>
      </c>
      <c r="B19615" s="318" t="s">
        <v>237</v>
      </c>
    </row>
    <row r="19616" spans="1:2" ht="12.75" customHeight="1" x14ac:dyDescent="0.25">
      <c r="A19616" s="318">
        <v>96992536876</v>
      </c>
      <c r="B19616" s="318" t="s">
        <v>237</v>
      </c>
    </row>
    <row r="19617" spans="1:2" ht="12.75" customHeight="1" x14ac:dyDescent="0.25">
      <c r="A19617" s="318">
        <v>96992536877</v>
      </c>
      <c r="B19617" s="318" t="s">
        <v>237</v>
      </c>
    </row>
    <row r="19618" spans="1:2" ht="12.75" customHeight="1" x14ac:dyDescent="0.25">
      <c r="A19618" s="318">
        <v>96992536878</v>
      </c>
      <c r="B19618" s="318" t="s">
        <v>237</v>
      </c>
    </row>
    <row r="19619" spans="1:2" ht="12.75" customHeight="1" x14ac:dyDescent="0.25">
      <c r="A19619" s="318">
        <v>96992536879</v>
      </c>
      <c r="B19619" s="318" t="s">
        <v>237</v>
      </c>
    </row>
    <row r="19620" spans="1:2" ht="12.75" customHeight="1" x14ac:dyDescent="0.25">
      <c r="A19620" s="318">
        <v>96992536880</v>
      </c>
      <c r="B19620" s="318" t="s">
        <v>237</v>
      </c>
    </row>
    <row r="19621" spans="1:2" ht="12.75" customHeight="1" x14ac:dyDescent="0.25">
      <c r="A19621" s="318">
        <v>96992536881</v>
      </c>
      <c r="B19621" s="318" t="s">
        <v>237</v>
      </c>
    </row>
    <row r="19622" spans="1:2" ht="12.75" customHeight="1" x14ac:dyDescent="0.25">
      <c r="A19622" s="318">
        <v>96993017738</v>
      </c>
      <c r="B19622" s="318" t="s">
        <v>23</v>
      </c>
    </row>
    <row r="19623" spans="1:2" ht="12.75" customHeight="1" x14ac:dyDescent="0.25">
      <c r="A19623" s="318">
        <v>96993017739</v>
      </c>
      <c r="B19623" s="318" t="s">
        <v>23</v>
      </c>
    </row>
    <row r="19624" spans="1:2" ht="12.75" customHeight="1" x14ac:dyDescent="0.25">
      <c r="A19624" s="318">
        <v>96993017740</v>
      </c>
      <c r="B19624" s="318" t="s">
        <v>23</v>
      </c>
    </row>
    <row r="19625" spans="1:2" ht="12.75" customHeight="1" x14ac:dyDescent="0.25">
      <c r="A19625" s="318">
        <v>96993017741</v>
      </c>
      <c r="B19625" s="318" t="s">
        <v>23</v>
      </c>
    </row>
    <row r="19626" spans="1:2" ht="12.75" customHeight="1" x14ac:dyDescent="0.25">
      <c r="A19626" s="318">
        <v>96993017742</v>
      </c>
      <c r="B19626" s="318" t="s">
        <v>23</v>
      </c>
    </row>
    <row r="19627" spans="1:2" ht="12.75" customHeight="1" x14ac:dyDescent="0.25">
      <c r="A19627" s="318">
        <v>96993017743</v>
      </c>
      <c r="B19627" s="318" t="s">
        <v>23</v>
      </c>
    </row>
    <row r="19628" spans="1:2" ht="12.75" customHeight="1" x14ac:dyDescent="0.25">
      <c r="A19628" s="318">
        <v>96993017744</v>
      </c>
      <c r="B19628" s="318" t="s">
        <v>237</v>
      </c>
    </row>
    <row r="19629" spans="1:2" ht="12.75" customHeight="1" x14ac:dyDescent="0.25">
      <c r="A19629" s="318">
        <v>96993017745</v>
      </c>
      <c r="B19629" s="318" t="s">
        <v>237</v>
      </c>
    </row>
    <row r="19630" spans="1:2" ht="12.75" customHeight="1" x14ac:dyDescent="0.25">
      <c r="A19630" s="318">
        <v>96993017747</v>
      </c>
      <c r="B19630" s="318" t="s">
        <v>237</v>
      </c>
    </row>
    <row r="19631" spans="1:2" ht="12.75" customHeight="1" x14ac:dyDescent="0.25">
      <c r="A19631" s="318">
        <v>96993017748</v>
      </c>
      <c r="B19631" s="318" t="s">
        <v>237</v>
      </c>
    </row>
    <row r="19632" spans="1:2" ht="12.75" customHeight="1" x14ac:dyDescent="0.25">
      <c r="A19632" s="318">
        <v>96993017749</v>
      </c>
      <c r="B19632" s="318" t="s">
        <v>237</v>
      </c>
    </row>
    <row r="19633" spans="1:2" ht="12.75" customHeight="1" x14ac:dyDescent="0.25">
      <c r="A19633" s="318">
        <v>96993017750</v>
      </c>
      <c r="B19633" s="318" t="s">
        <v>237</v>
      </c>
    </row>
    <row r="19634" spans="1:2" ht="12.75" customHeight="1" x14ac:dyDescent="0.25">
      <c r="A19634" s="318">
        <v>96993017751</v>
      </c>
      <c r="B19634" s="318" t="s">
        <v>237</v>
      </c>
    </row>
    <row r="19635" spans="1:2" ht="12.75" customHeight="1" x14ac:dyDescent="0.25">
      <c r="A19635" s="318">
        <v>96993017752</v>
      </c>
      <c r="B19635" s="318" t="s">
        <v>237</v>
      </c>
    </row>
    <row r="19636" spans="1:2" ht="12.75" customHeight="1" x14ac:dyDescent="0.25">
      <c r="A19636" s="318">
        <v>96993017753</v>
      </c>
      <c r="B19636" s="318" t="s">
        <v>237</v>
      </c>
    </row>
    <row r="19637" spans="1:2" ht="12.75" customHeight="1" x14ac:dyDescent="0.25">
      <c r="A19637" s="318">
        <v>96993017754</v>
      </c>
      <c r="B19637" s="318" t="s">
        <v>237</v>
      </c>
    </row>
    <row r="19638" spans="1:2" ht="12.75" customHeight="1" x14ac:dyDescent="0.25">
      <c r="A19638" s="318">
        <v>96993017838</v>
      </c>
      <c r="B19638" s="318" t="s">
        <v>237</v>
      </c>
    </row>
    <row r="19639" spans="1:2" ht="12.75" customHeight="1" x14ac:dyDescent="0.25">
      <c r="A19639" s="318">
        <v>96993017839</v>
      </c>
      <c r="B19639" s="318" t="s">
        <v>237</v>
      </c>
    </row>
    <row r="19640" spans="1:2" ht="12.75" customHeight="1" x14ac:dyDescent="0.25">
      <c r="A19640" s="318">
        <v>96993017840</v>
      </c>
      <c r="B19640" s="318" t="s">
        <v>237</v>
      </c>
    </row>
    <row r="19641" spans="1:2" ht="12.75" customHeight="1" x14ac:dyDescent="0.25">
      <c r="A19641" s="318">
        <v>96993017841</v>
      </c>
      <c r="B19641" s="318" t="s">
        <v>237</v>
      </c>
    </row>
    <row r="19642" spans="1:2" ht="12.75" customHeight="1" x14ac:dyDescent="0.25">
      <c r="A19642" s="318">
        <v>96993017842</v>
      </c>
      <c r="B19642" s="318" t="s">
        <v>237</v>
      </c>
    </row>
    <row r="19643" spans="1:2" ht="12.75" customHeight="1" x14ac:dyDescent="0.25">
      <c r="A19643" s="318">
        <v>96993017843</v>
      </c>
      <c r="B19643" s="318" t="s">
        <v>237</v>
      </c>
    </row>
    <row r="19644" spans="1:2" ht="12.75" customHeight="1" x14ac:dyDescent="0.25">
      <c r="A19644" s="318">
        <v>96993017844</v>
      </c>
      <c r="B19644" s="318" t="s">
        <v>237</v>
      </c>
    </row>
    <row r="19645" spans="1:2" ht="12.75" customHeight="1" x14ac:dyDescent="0.25">
      <c r="A19645" s="318">
        <v>96993017845</v>
      </c>
      <c r="B19645" s="318" t="s">
        <v>237</v>
      </c>
    </row>
    <row r="19646" spans="1:2" ht="12.75" customHeight="1" x14ac:dyDescent="0.25">
      <c r="A19646" s="318">
        <v>96993017847</v>
      </c>
      <c r="B19646" s="318" t="s">
        <v>237</v>
      </c>
    </row>
    <row r="19647" spans="1:2" ht="12.75" customHeight="1" x14ac:dyDescent="0.25">
      <c r="A19647" s="318">
        <v>96993017848</v>
      </c>
      <c r="B19647" s="318" t="s">
        <v>237</v>
      </c>
    </row>
    <row r="19648" spans="1:2" ht="12.75" customHeight="1" x14ac:dyDescent="0.25">
      <c r="A19648" s="318">
        <v>96993017849</v>
      </c>
      <c r="B19648" s="318" t="s">
        <v>237</v>
      </c>
    </row>
    <row r="19649" spans="1:2" ht="12.75" customHeight="1" x14ac:dyDescent="0.25">
      <c r="A19649" s="318">
        <v>96993017850</v>
      </c>
      <c r="B19649" s="318" t="s">
        <v>237</v>
      </c>
    </row>
    <row r="19650" spans="1:2" ht="12.75" customHeight="1" x14ac:dyDescent="0.25">
      <c r="A19650" s="318">
        <v>96993017851</v>
      </c>
      <c r="B19650" s="318" t="s">
        <v>237</v>
      </c>
    </row>
    <row r="19651" spans="1:2" ht="12.75" customHeight="1" x14ac:dyDescent="0.25">
      <c r="A19651" s="318">
        <v>96993017852</v>
      </c>
      <c r="B19651" s="318" t="s">
        <v>237</v>
      </c>
    </row>
    <row r="19652" spans="1:2" ht="12.75" customHeight="1" x14ac:dyDescent="0.25">
      <c r="A19652" s="318">
        <v>96993017853</v>
      </c>
      <c r="B19652" s="318" t="s">
        <v>237</v>
      </c>
    </row>
    <row r="19653" spans="1:2" ht="12.75" customHeight="1" x14ac:dyDescent="0.25">
      <c r="A19653" s="318">
        <v>96993017854</v>
      </c>
      <c r="B19653" s="318" t="s">
        <v>237</v>
      </c>
    </row>
    <row r="19654" spans="1:2" ht="12.75" customHeight="1" x14ac:dyDescent="0.25">
      <c r="A19654" s="318">
        <v>96993697929</v>
      </c>
      <c r="B19654" s="318" t="s">
        <v>23</v>
      </c>
    </row>
    <row r="19655" spans="1:2" ht="12.75" customHeight="1" x14ac:dyDescent="0.25">
      <c r="A19655" s="318">
        <v>96993697930</v>
      </c>
      <c r="B19655" s="318" t="s">
        <v>23</v>
      </c>
    </row>
    <row r="19656" spans="1:2" ht="12.75" customHeight="1" x14ac:dyDescent="0.25">
      <c r="A19656" s="318">
        <v>96993697931</v>
      </c>
      <c r="B19656" s="318" t="s">
        <v>23</v>
      </c>
    </row>
    <row r="19657" spans="1:2" ht="12.75" customHeight="1" x14ac:dyDescent="0.25">
      <c r="A19657" s="318">
        <v>96993697932</v>
      </c>
      <c r="B19657" s="318" t="s">
        <v>23</v>
      </c>
    </row>
    <row r="19658" spans="1:2" ht="12.75" customHeight="1" x14ac:dyDescent="0.25">
      <c r="A19658" s="318">
        <v>96993697933</v>
      </c>
      <c r="B19658" s="318" t="s">
        <v>23</v>
      </c>
    </row>
    <row r="19659" spans="1:2" ht="12.75" customHeight="1" x14ac:dyDescent="0.25">
      <c r="A19659" s="318">
        <v>96993697934</v>
      </c>
      <c r="B19659" s="318" t="s">
        <v>23</v>
      </c>
    </row>
    <row r="19660" spans="1:2" ht="12.75" customHeight="1" x14ac:dyDescent="0.25">
      <c r="A19660" s="318">
        <v>96993697935</v>
      </c>
      <c r="B19660" s="318" t="s">
        <v>237</v>
      </c>
    </row>
    <row r="19661" spans="1:2" ht="12.75" customHeight="1" x14ac:dyDescent="0.25">
      <c r="A19661" s="318">
        <v>96993697936</v>
      </c>
      <c r="B19661" s="318" t="s">
        <v>237</v>
      </c>
    </row>
    <row r="19662" spans="1:2" ht="12.75" customHeight="1" x14ac:dyDescent="0.25">
      <c r="A19662" s="318">
        <v>96993697938</v>
      </c>
      <c r="B19662" s="318" t="s">
        <v>237</v>
      </c>
    </row>
    <row r="19663" spans="1:2" ht="12.75" customHeight="1" x14ac:dyDescent="0.25">
      <c r="A19663" s="318">
        <v>96993697939</v>
      </c>
      <c r="B19663" s="318" t="s">
        <v>237</v>
      </c>
    </row>
    <row r="19664" spans="1:2" ht="12.75" customHeight="1" x14ac:dyDescent="0.25">
      <c r="A19664" s="318">
        <v>96993697940</v>
      </c>
      <c r="B19664" s="318" t="s">
        <v>237</v>
      </c>
    </row>
    <row r="19665" spans="1:2" ht="12.75" customHeight="1" x14ac:dyDescent="0.25">
      <c r="A19665" s="318">
        <v>96993697941</v>
      </c>
      <c r="B19665" s="318" t="s">
        <v>237</v>
      </c>
    </row>
    <row r="19666" spans="1:2" ht="12.75" customHeight="1" x14ac:dyDescent="0.25">
      <c r="A19666" s="318">
        <v>96993697942</v>
      </c>
      <c r="B19666" s="318" t="s">
        <v>237</v>
      </c>
    </row>
    <row r="19667" spans="1:2" ht="12.75" customHeight="1" x14ac:dyDescent="0.25">
      <c r="A19667" s="318">
        <v>96993697943</v>
      </c>
      <c r="B19667" s="318" t="s">
        <v>237</v>
      </c>
    </row>
    <row r="19668" spans="1:2" ht="12.75" customHeight="1" x14ac:dyDescent="0.25">
      <c r="A19668" s="318">
        <v>96993697944</v>
      </c>
      <c r="B19668" s="318" t="s">
        <v>237</v>
      </c>
    </row>
    <row r="19669" spans="1:2" ht="12.75" customHeight="1" x14ac:dyDescent="0.25">
      <c r="A19669" s="318">
        <v>96993697945</v>
      </c>
      <c r="B19669" s="318" t="s">
        <v>237</v>
      </c>
    </row>
    <row r="19670" spans="1:2" ht="12.75" customHeight="1" x14ac:dyDescent="0.25">
      <c r="A19670" s="318">
        <v>96993698029</v>
      </c>
      <c r="B19670" s="318" t="s">
        <v>237</v>
      </c>
    </row>
    <row r="19671" spans="1:2" ht="12.75" customHeight="1" x14ac:dyDescent="0.25">
      <c r="A19671" s="318">
        <v>96993698030</v>
      </c>
      <c r="B19671" s="318" t="s">
        <v>237</v>
      </c>
    </row>
    <row r="19672" spans="1:2" ht="12.75" customHeight="1" x14ac:dyDescent="0.25">
      <c r="A19672" s="318">
        <v>96993698031</v>
      </c>
      <c r="B19672" s="318" t="s">
        <v>237</v>
      </c>
    </row>
    <row r="19673" spans="1:2" ht="12.75" customHeight="1" x14ac:dyDescent="0.25">
      <c r="A19673" s="318">
        <v>96993698032</v>
      </c>
      <c r="B19673" s="318" t="s">
        <v>237</v>
      </c>
    </row>
    <row r="19674" spans="1:2" ht="12.75" customHeight="1" x14ac:dyDescent="0.25">
      <c r="A19674" s="318">
        <v>96993698033</v>
      </c>
      <c r="B19674" s="318" t="s">
        <v>237</v>
      </c>
    </row>
    <row r="19675" spans="1:2" ht="12.75" customHeight="1" x14ac:dyDescent="0.25">
      <c r="A19675" s="318">
        <v>96993698034</v>
      </c>
      <c r="B19675" s="318" t="s">
        <v>237</v>
      </c>
    </row>
    <row r="19676" spans="1:2" ht="12.75" customHeight="1" x14ac:dyDescent="0.25">
      <c r="A19676" s="318">
        <v>96993698035</v>
      </c>
      <c r="B19676" s="318" t="s">
        <v>237</v>
      </c>
    </row>
    <row r="19677" spans="1:2" ht="12.75" customHeight="1" x14ac:dyDescent="0.25">
      <c r="A19677" s="318">
        <v>96993698036</v>
      </c>
      <c r="B19677" s="318" t="s">
        <v>237</v>
      </c>
    </row>
    <row r="19678" spans="1:2" ht="12.75" customHeight="1" x14ac:dyDescent="0.25">
      <c r="A19678" s="318">
        <v>96993698038</v>
      </c>
      <c r="B19678" s="318" t="s">
        <v>237</v>
      </c>
    </row>
    <row r="19679" spans="1:2" ht="12.75" customHeight="1" x14ac:dyDescent="0.25">
      <c r="A19679" s="318">
        <v>96993698039</v>
      </c>
      <c r="B19679" s="318" t="s">
        <v>237</v>
      </c>
    </row>
    <row r="19680" spans="1:2" ht="12.75" customHeight="1" x14ac:dyDescent="0.25">
      <c r="A19680" s="318">
        <v>96993698040</v>
      </c>
      <c r="B19680" s="318" t="s">
        <v>237</v>
      </c>
    </row>
    <row r="19681" spans="1:2" ht="12.75" customHeight="1" x14ac:dyDescent="0.25">
      <c r="A19681" s="318">
        <v>96993698041</v>
      </c>
      <c r="B19681" s="318" t="s">
        <v>237</v>
      </c>
    </row>
    <row r="19682" spans="1:2" ht="12.75" customHeight="1" x14ac:dyDescent="0.25">
      <c r="A19682" s="318">
        <v>96993698042</v>
      </c>
      <c r="B19682" s="318" t="s">
        <v>237</v>
      </c>
    </row>
    <row r="19683" spans="1:2" ht="12.75" customHeight="1" x14ac:dyDescent="0.25">
      <c r="A19683" s="318">
        <v>96993698043</v>
      </c>
      <c r="B19683" s="318" t="s">
        <v>237</v>
      </c>
    </row>
    <row r="19684" spans="1:2" ht="12.75" customHeight="1" x14ac:dyDescent="0.25">
      <c r="A19684" s="318">
        <v>96993698044</v>
      </c>
      <c r="B19684" s="318" t="s">
        <v>237</v>
      </c>
    </row>
    <row r="19685" spans="1:2" ht="12.75" customHeight="1" x14ac:dyDescent="0.25">
      <c r="A19685" s="318">
        <v>96993698045</v>
      </c>
      <c r="B19685" s="318" t="s">
        <v>237</v>
      </c>
    </row>
    <row r="19686" spans="1:2" ht="12.75" customHeight="1" x14ac:dyDescent="0.25">
      <c r="A19686" s="318">
        <v>96994178902</v>
      </c>
      <c r="B19686" s="318" t="s">
        <v>23</v>
      </c>
    </row>
    <row r="19687" spans="1:2" ht="12.75" customHeight="1" x14ac:dyDescent="0.25">
      <c r="A19687" s="318">
        <v>96994178903</v>
      </c>
      <c r="B19687" s="318" t="s">
        <v>23</v>
      </c>
    </row>
    <row r="19688" spans="1:2" ht="12.75" customHeight="1" x14ac:dyDescent="0.25">
      <c r="A19688" s="318">
        <v>96994178904</v>
      </c>
      <c r="B19688" s="318" t="s">
        <v>23</v>
      </c>
    </row>
    <row r="19689" spans="1:2" ht="12.75" customHeight="1" x14ac:dyDescent="0.25">
      <c r="A19689" s="318">
        <v>96994178905</v>
      </c>
      <c r="B19689" s="318" t="s">
        <v>23</v>
      </c>
    </row>
    <row r="19690" spans="1:2" ht="12.75" customHeight="1" x14ac:dyDescent="0.25">
      <c r="A19690" s="318">
        <v>96994178906</v>
      </c>
      <c r="B19690" s="318" t="s">
        <v>23</v>
      </c>
    </row>
    <row r="19691" spans="1:2" ht="12.75" customHeight="1" x14ac:dyDescent="0.25">
      <c r="A19691" s="318">
        <v>96994178907</v>
      </c>
      <c r="B19691" s="318" t="s">
        <v>23</v>
      </c>
    </row>
    <row r="19692" spans="1:2" ht="12.75" customHeight="1" x14ac:dyDescent="0.25">
      <c r="A19692" s="318">
        <v>96994178908</v>
      </c>
      <c r="B19692" s="318" t="s">
        <v>237</v>
      </c>
    </row>
    <row r="19693" spans="1:2" ht="12.75" customHeight="1" x14ac:dyDescent="0.25">
      <c r="A19693" s="318">
        <v>96994178909</v>
      </c>
      <c r="B19693" s="318" t="s">
        <v>237</v>
      </c>
    </row>
    <row r="19694" spans="1:2" ht="12.75" customHeight="1" x14ac:dyDescent="0.25">
      <c r="A19694" s="318">
        <v>96994178911</v>
      </c>
      <c r="B19694" s="318" t="s">
        <v>237</v>
      </c>
    </row>
    <row r="19695" spans="1:2" ht="12.75" customHeight="1" x14ac:dyDescent="0.25">
      <c r="A19695" s="318">
        <v>96994178912</v>
      </c>
      <c r="B19695" s="318" t="s">
        <v>237</v>
      </c>
    </row>
    <row r="19696" spans="1:2" ht="12.75" customHeight="1" x14ac:dyDescent="0.25">
      <c r="A19696" s="318">
        <v>96994178913</v>
      </c>
      <c r="B19696" s="318" t="s">
        <v>237</v>
      </c>
    </row>
    <row r="19697" spans="1:2" ht="12.75" customHeight="1" x14ac:dyDescent="0.25">
      <c r="A19697" s="318">
        <v>96994178914</v>
      </c>
      <c r="B19697" s="318" t="s">
        <v>237</v>
      </c>
    </row>
    <row r="19698" spans="1:2" ht="12.75" customHeight="1" x14ac:dyDescent="0.25">
      <c r="A19698" s="318">
        <v>96994178915</v>
      </c>
      <c r="B19698" s="318" t="s">
        <v>237</v>
      </c>
    </row>
    <row r="19699" spans="1:2" ht="12.75" customHeight="1" x14ac:dyDescent="0.25">
      <c r="A19699" s="318">
        <v>96994178916</v>
      </c>
      <c r="B19699" s="318" t="s">
        <v>237</v>
      </c>
    </row>
    <row r="19700" spans="1:2" ht="12.75" customHeight="1" x14ac:dyDescent="0.25">
      <c r="A19700" s="318">
        <v>96994178917</v>
      </c>
      <c r="B19700" s="318" t="s">
        <v>237</v>
      </c>
    </row>
    <row r="19701" spans="1:2" ht="12.75" customHeight="1" x14ac:dyDescent="0.25">
      <c r="A19701" s="318">
        <v>96994178918</v>
      </c>
      <c r="B19701" s="318" t="s">
        <v>237</v>
      </c>
    </row>
    <row r="19702" spans="1:2" ht="12.75" customHeight="1" x14ac:dyDescent="0.25">
      <c r="A19702" s="318">
        <v>96994179002</v>
      </c>
      <c r="B19702" s="318" t="s">
        <v>237</v>
      </c>
    </row>
    <row r="19703" spans="1:2" ht="12.75" customHeight="1" x14ac:dyDescent="0.25">
      <c r="A19703" s="318">
        <v>96994179003</v>
      </c>
      <c r="B19703" s="318" t="s">
        <v>237</v>
      </c>
    </row>
    <row r="19704" spans="1:2" ht="12.75" customHeight="1" x14ac:dyDescent="0.25">
      <c r="A19704" s="318">
        <v>96994179004</v>
      </c>
      <c r="B19704" s="318" t="s">
        <v>237</v>
      </c>
    </row>
    <row r="19705" spans="1:2" ht="12.75" customHeight="1" x14ac:dyDescent="0.25">
      <c r="A19705" s="318">
        <v>96994179005</v>
      </c>
      <c r="B19705" s="318" t="s">
        <v>237</v>
      </c>
    </row>
    <row r="19706" spans="1:2" ht="12.75" customHeight="1" x14ac:dyDescent="0.25">
      <c r="A19706" s="318">
        <v>96994179006</v>
      </c>
      <c r="B19706" s="318" t="s">
        <v>237</v>
      </c>
    </row>
    <row r="19707" spans="1:2" ht="12.75" customHeight="1" x14ac:dyDescent="0.25">
      <c r="A19707" s="318">
        <v>96994179007</v>
      </c>
      <c r="B19707" s="318" t="s">
        <v>237</v>
      </c>
    </row>
    <row r="19708" spans="1:2" ht="12.75" customHeight="1" x14ac:dyDescent="0.25">
      <c r="A19708" s="318">
        <v>96994179008</v>
      </c>
      <c r="B19708" s="318" t="s">
        <v>237</v>
      </c>
    </row>
    <row r="19709" spans="1:2" ht="12.75" customHeight="1" x14ac:dyDescent="0.25">
      <c r="A19709" s="318">
        <v>96994179009</v>
      </c>
      <c r="B19709" s="318" t="s">
        <v>237</v>
      </c>
    </row>
    <row r="19710" spans="1:2" ht="12.75" customHeight="1" x14ac:dyDescent="0.25">
      <c r="A19710" s="318">
        <v>96994179011</v>
      </c>
      <c r="B19710" s="318" t="s">
        <v>237</v>
      </c>
    </row>
    <row r="19711" spans="1:2" ht="12.75" customHeight="1" x14ac:dyDescent="0.25">
      <c r="A19711" s="318">
        <v>96994179012</v>
      </c>
      <c r="B19711" s="318" t="s">
        <v>237</v>
      </c>
    </row>
    <row r="19712" spans="1:2" ht="12.75" customHeight="1" x14ac:dyDescent="0.25">
      <c r="A19712" s="318">
        <v>96994179013</v>
      </c>
      <c r="B19712" s="318" t="s">
        <v>237</v>
      </c>
    </row>
    <row r="19713" spans="1:2" ht="12.75" customHeight="1" x14ac:dyDescent="0.25">
      <c r="A19713" s="318">
        <v>96994179014</v>
      </c>
      <c r="B19713" s="318" t="s">
        <v>237</v>
      </c>
    </row>
    <row r="19714" spans="1:2" ht="12.75" customHeight="1" x14ac:dyDescent="0.25">
      <c r="A19714" s="318">
        <v>96994179015</v>
      </c>
      <c r="B19714" s="318" t="s">
        <v>237</v>
      </c>
    </row>
    <row r="19715" spans="1:2" ht="12.75" customHeight="1" x14ac:dyDescent="0.25">
      <c r="A19715" s="318">
        <v>96994179016</v>
      </c>
      <c r="B19715" s="318" t="s">
        <v>237</v>
      </c>
    </row>
    <row r="19716" spans="1:2" ht="12.75" customHeight="1" x14ac:dyDescent="0.25">
      <c r="A19716" s="318">
        <v>96994179017</v>
      </c>
      <c r="B19716" s="318" t="s">
        <v>237</v>
      </c>
    </row>
    <row r="19717" spans="1:2" ht="12.75" customHeight="1" x14ac:dyDescent="0.25">
      <c r="A19717" s="318">
        <v>96994179018</v>
      </c>
      <c r="B19717" s="318" t="s">
        <v>237</v>
      </c>
    </row>
    <row r="19718" spans="1:2" ht="12.75" customHeight="1" x14ac:dyDescent="0.25">
      <c r="A19718" s="318">
        <v>96994659875</v>
      </c>
      <c r="B19718" s="318" t="s">
        <v>23</v>
      </c>
    </row>
    <row r="19719" spans="1:2" ht="12.75" customHeight="1" x14ac:dyDescent="0.25">
      <c r="A19719" s="318">
        <v>96994659876</v>
      </c>
      <c r="B19719" s="318" t="s">
        <v>23</v>
      </c>
    </row>
    <row r="19720" spans="1:2" ht="12.75" customHeight="1" x14ac:dyDescent="0.25">
      <c r="A19720" s="318">
        <v>96994659877</v>
      </c>
      <c r="B19720" s="318" t="s">
        <v>23</v>
      </c>
    </row>
    <row r="19721" spans="1:2" ht="12.75" customHeight="1" x14ac:dyDescent="0.25">
      <c r="A19721" s="318">
        <v>96994659878</v>
      </c>
      <c r="B19721" s="318" t="s">
        <v>23</v>
      </c>
    </row>
    <row r="19722" spans="1:2" ht="12.75" customHeight="1" x14ac:dyDescent="0.25">
      <c r="A19722" s="318">
        <v>96994659879</v>
      </c>
      <c r="B19722" s="318" t="s">
        <v>23</v>
      </c>
    </row>
    <row r="19723" spans="1:2" ht="12.75" customHeight="1" x14ac:dyDescent="0.25">
      <c r="A19723" s="318">
        <v>96994659880</v>
      </c>
      <c r="B19723" s="318" t="s">
        <v>23</v>
      </c>
    </row>
    <row r="19724" spans="1:2" ht="12.75" customHeight="1" x14ac:dyDescent="0.25">
      <c r="A19724" s="318">
        <v>96994659881</v>
      </c>
      <c r="B19724" s="318" t="s">
        <v>237</v>
      </c>
    </row>
    <row r="19725" spans="1:2" ht="12.75" customHeight="1" x14ac:dyDescent="0.25">
      <c r="A19725" s="318">
        <v>96994659882</v>
      </c>
      <c r="B19725" s="318" t="s">
        <v>237</v>
      </c>
    </row>
    <row r="19726" spans="1:2" ht="12.75" customHeight="1" x14ac:dyDescent="0.25">
      <c r="A19726" s="318">
        <v>96994659884</v>
      </c>
      <c r="B19726" s="318" t="s">
        <v>237</v>
      </c>
    </row>
    <row r="19727" spans="1:2" ht="12.75" customHeight="1" x14ac:dyDescent="0.25">
      <c r="A19727" s="318">
        <v>96994659885</v>
      </c>
      <c r="B19727" s="318" t="s">
        <v>237</v>
      </c>
    </row>
    <row r="19728" spans="1:2" ht="12.75" customHeight="1" x14ac:dyDescent="0.25">
      <c r="A19728" s="318">
        <v>96994659886</v>
      </c>
      <c r="B19728" s="318" t="s">
        <v>237</v>
      </c>
    </row>
    <row r="19729" spans="1:2" ht="12.75" customHeight="1" x14ac:dyDescent="0.25">
      <c r="A19729" s="318">
        <v>96994659887</v>
      </c>
      <c r="B19729" s="318" t="s">
        <v>237</v>
      </c>
    </row>
    <row r="19730" spans="1:2" ht="12.75" customHeight="1" x14ac:dyDescent="0.25">
      <c r="A19730" s="318">
        <v>96994659888</v>
      </c>
      <c r="B19730" s="318" t="s">
        <v>237</v>
      </c>
    </row>
    <row r="19731" spans="1:2" ht="12.75" customHeight="1" x14ac:dyDescent="0.25">
      <c r="A19731" s="318">
        <v>96994659889</v>
      </c>
      <c r="B19731" s="318" t="s">
        <v>237</v>
      </c>
    </row>
    <row r="19732" spans="1:2" ht="12.75" customHeight="1" x14ac:dyDescent="0.25">
      <c r="A19732" s="318">
        <v>96994659890</v>
      </c>
      <c r="B19732" s="318" t="s">
        <v>237</v>
      </c>
    </row>
    <row r="19733" spans="1:2" ht="12.75" customHeight="1" x14ac:dyDescent="0.25">
      <c r="A19733" s="318">
        <v>96994659891</v>
      </c>
      <c r="B19733" s="318" t="s">
        <v>237</v>
      </c>
    </row>
    <row r="19734" spans="1:2" ht="12.75" customHeight="1" x14ac:dyDescent="0.25">
      <c r="A19734" s="318">
        <v>96994659975</v>
      </c>
      <c r="B19734" s="318" t="s">
        <v>237</v>
      </c>
    </row>
    <row r="19735" spans="1:2" ht="12.75" customHeight="1" x14ac:dyDescent="0.25">
      <c r="A19735" s="318">
        <v>96994659976</v>
      </c>
      <c r="B19735" s="318" t="s">
        <v>237</v>
      </c>
    </row>
    <row r="19736" spans="1:2" ht="12.75" customHeight="1" x14ac:dyDescent="0.25">
      <c r="A19736" s="318">
        <v>96994659977</v>
      </c>
      <c r="B19736" s="318" t="s">
        <v>237</v>
      </c>
    </row>
    <row r="19737" spans="1:2" ht="12.75" customHeight="1" x14ac:dyDescent="0.25">
      <c r="A19737" s="318">
        <v>96994659978</v>
      </c>
      <c r="B19737" s="318" t="s">
        <v>237</v>
      </c>
    </row>
    <row r="19738" spans="1:2" ht="12.75" customHeight="1" x14ac:dyDescent="0.25">
      <c r="A19738" s="318">
        <v>96994659979</v>
      </c>
      <c r="B19738" s="318" t="s">
        <v>237</v>
      </c>
    </row>
    <row r="19739" spans="1:2" ht="12.75" customHeight="1" x14ac:dyDescent="0.25">
      <c r="A19739" s="318">
        <v>96994659980</v>
      </c>
      <c r="B19739" s="318" t="s">
        <v>237</v>
      </c>
    </row>
    <row r="19740" spans="1:2" ht="12.75" customHeight="1" x14ac:dyDescent="0.25">
      <c r="A19740" s="318">
        <v>96994659981</v>
      </c>
      <c r="B19740" s="318" t="s">
        <v>237</v>
      </c>
    </row>
    <row r="19741" spans="1:2" ht="12.75" customHeight="1" x14ac:dyDescent="0.25">
      <c r="A19741" s="318">
        <v>96994659982</v>
      </c>
      <c r="B19741" s="318" t="s">
        <v>237</v>
      </c>
    </row>
    <row r="19742" spans="1:2" ht="12.75" customHeight="1" x14ac:dyDescent="0.25">
      <c r="A19742" s="318">
        <v>96994659984</v>
      </c>
      <c r="B19742" s="318" t="s">
        <v>237</v>
      </c>
    </row>
    <row r="19743" spans="1:2" ht="12.75" customHeight="1" x14ac:dyDescent="0.25">
      <c r="A19743" s="318">
        <v>96994659985</v>
      </c>
      <c r="B19743" s="318" t="s">
        <v>237</v>
      </c>
    </row>
    <row r="19744" spans="1:2" ht="12.75" customHeight="1" x14ac:dyDescent="0.25">
      <c r="A19744" s="318">
        <v>96994659986</v>
      </c>
      <c r="B19744" s="318" t="s">
        <v>237</v>
      </c>
    </row>
    <row r="19745" spans="1:2" ht="12.75" customHeight="1" x14ac:dyDescent="0.25">
      <c r="A19745" s="318">
        <v>96994659987</v>
      </c>
      <c r="B19745" s="318" t="s">
        <v>237</v>
      </c>
    </row>
    <row r="19746" spans="1:2" ht="12.75" customHeight="1" x14ac:dyDescent="0.25">
      <c r="A19746" s="318">
        <v>96994659988</v>
      </c>
      <c r="B19746" s="318" t="s">
        <v>237</v>
      </c>
    </row>
    <row r="19747" spans="1:2" ht="12.75" customHeight="1" x14ac:dyDescent="0.25">
      <c r="A19747" s="318">
        <v>96994659989</v>
      </c>
      <c r="B19747" s="318" t="s">
        <v>237</v>
      </c>
    </row>
    <row r="19748" spans="1:2" ht="12.75" customHeight="1" x14ac:dyDescent="0.25">
      <c r="A19748" s="318">
        <v>96994659990</v>
      </c>
      <c r="B19748" s="318" t="s">
        <v>237</v>
      </c>
    </row>
    <row r="19749" spans="1:2" ht="12.75" customHeight="1" x14ac:dyDescent="0.25">
      <c r="A19749" s="318">
        <v>96994659991</v>
      </c>
      <c r="B19749" s="318" t="s">
        <v>237</v>
      </c>
    </row>
    <row r="19750" spans="1:2" ht="12.75" customHeight="1" x14ac:dyDescent="0.25">
      <c r="A19750" s="318">
        <v>96996020256</v>
      </c>
      <c r="B19750" s="318" t="s">
        <v>23</v>
      </c>
    </row>
    <row r="19751" spans="1:2" ht="12.75" customHeight="1" x14ac:dyDescent="0.25">
      <c r="A19751" s="318">
        <v>96996020257</v>
      </c>
      <c r="B19751" s="318" t="s">
        <v>23</v>
      </c>
    </row>
    <row r="19752" spans="1:2" ht="12.75" customHeight="1" x14ac:dyDescent="0.25">
      <c r="A19752" s="318">
        <v>96996020258</v>
      </c>
      <c r="B19752" s="318" t="s">
        <v>23</v>
      </c>
    </row>
    <row r="19753" spans="1:2" ht="12.75" customHeight="1" x14ac:dyDescent="0.25">
      <c r="A19753" s="318">
        <v>96996020259</v>
      </c>
      <c r="B19753" s="318" t="s">
        <v>23</v>
      </c>
    </row>
    <row r="19754" spans="1:2" ht="12.75" customHeight="1" x14ac:dyDescent="0.25">
      <c r="A19754" s="318">
        <v>96996020260</v>
      </c>
      <c r="B19754" s="318" t="s">
        <v>23</v>
      </c>
    </row>
    <row r="19755" spans="1:2" ht="12.75" customHeight="1" x14ac:dyDescent="0.25">
      <c r="A19755" s="318">
        <v>96996020261</v>
      </c>
      <c r="B19755" s="318" t="s">
        <v>23</v>
      </c>
    </row>
    <row r="19756" spans="1:2" ht="12.75" customHeight="1" x14ac:dyDescent="0.25">
      <c r="A19756" s="318">
        <v>96996020262</v>
      </c>
      <c r="B19756" s="318" t="s">
        <v>237</v>
      </c>
    </row>
    <row r="19757" spans="1:2" ht="12.75" customHeight="1" x14ac:dyDescent="0.25">
      <c r="A19757" s="318">
        <v>96996020263</v>
      </c>
      <c r="B19757" s="318" t="s">
        <v>237</v>
      </c>
    </row>
    <row r="19758" spans="1:2" ht="12.75" customHeight="1" x14ac:dyDescent="0.25">
      <c r="A19758" s="318">
        <v>96996020265</v>
      </c>
      <c r="B19758" s="318" t="s">
        <v>237</v>
      </c>
    </row>
    <row r="19759" spans="1:2" ht="12.75" customHeight="1" x14ac:dyDescent="0.25">
      <c r="A19759" s="318">
        <v>96996020266</v>
      </c>
      <c r="B19759" s="318" t="s">
        <v>237</v>
      </c>
    </row>
    <row r="19760" spans="1:2" ht="12.75" customHeight="1" x14ac:dyDescent="0.25">
      <c r="A19760" s="318">
        <v>96996020267</v>
      </c>
      <c r="B19760" s="318" t="s">
        <v>237</v>
      </c>
    </row>
    <row r="19761" spans="1:2" ht="12.75" customHeight="1" x14ac:dyDescent="0.25">
      <c r="A19761" s="318">
        <v>96996020268</v>
      </c>
      <c r="B19761" s="318" t="s">
        <v>237</v>
      </c>
    </row>
    <row r="19762" spans="1:2" ht="12.75" customHeight="1" x14ac:dyDescent="0.25">
      <c r="A19762" s="318">
        <v>96996020269</v>
      </c>
      <c r="B19762" s="318" t="s">
        <v>237</v>
      </c>
    </row>
    <row r="19763" spans="1:2" ht="12.75" customHeight="1" x14ac:dyDescent="0.25">
      <c r="A19763" s="318">
        <v>96996020270</v>
      </c>
      <c r="B19763" s="318" t="s">
        <v>237</v>
      </c>
    </row>
    <row r="19764" spans="1:2" ht="12.75" customHeight="1" x14ac:dyDescent="0.25">
      <c r="A19764" s="318">
        <v>96996020271</v>
      </c>
      <c r="B19764" s="318" t="s">
        <v>237</v>
      </c>
    </row>
    <row r="19765" spans="1:2" ht="12.75" customHeight="1" x14ac:dyDescent="0.25">
      <c r="A19765" s="318">
        <v>96996020272</v>
      </c>
      <c r="B19765" s="318" t="s">
        <v>237</v>
      </c>
    </row>
    <row r="19766" spans="1:2" ht="12.75" customHeight="1" x14ac:dyDescent="0.25">
      <c r="A19766" s="318">
        <v>96996020356</v>
      </c>
      <c r="B19766" s="318" t="s">
        <v>237</v>
      </c>
    </row>
    <row r="19767" spans="1:2" ht="12.75" customHeight="1" x14ac:dyDescent="0.25">
      <c r="A19767" s="318">
        <v>96996020357</v>
      </c>
      <c r="B19767" s="318" t="s">
        <v>237</v>
      </c>
    </row>
    <row r="19768" spans="1:2" ht="12.75" customHeight="1" x14ac:dyDescent="0.25">
      <c r="A19768" s="318">
        <v>96996020358</v>
      </c>
      <c r="B19768" s="318" t="s">
        <v>237</v>
      </c>
    </row>
    <row r="19769" spans="1:2" ht="12.75" customHeight="1" x14ac:dyDescent="0.25">
      <c r="A19769" s="318">
        <v>96996020359</v>
      </c>
      <c r="B19769" s="318" t="s">
        <v>237</v>
      </c>
    </row>
    <row r="19770" spans="1:2" ht="12.75" customHeight="1" x14ac:dyDescent="0.25">
      <c r="A19770" s="318">
        <v>96996020360</v>
      </c>
      <c r="B19770" s="318" t="s">
        <v>237</v>
      </c>
    </row>
    <row r="19771" spans="1:2" ht="12.75" customHeight="1" x14ac:dyDescent="0.25">
      <c r="A19771" s="318">
        <v>96996020361</v>
      </c>
      <c r="B19771" s="318" t="s">
        <v>237</v>
      </c>
    </row>
    <row r="19772" spans="1:2" ht="12.75" customHeight="1" x14ac:dyDescent="0.25">
      <c r="A19772" s="318">
        <v>96996020362</v>
      </c>
      <c r="B19772" s="318" t="s">
        <v>237</v>
      </c>
    </row>
    <row r="19773" spans="1:2" ht="12.75" customHeight="1" x14ac:dyDescent="0.25">
      <c r="A19773" s="318">
        <v>96996020363</v>
      </c>
      <c r="B19773" s="318" t="s">
        <v>237</v>
      </c>
    </row>
    <row r="19774" spans="1:2" ht="12.75" customHeight="1" x14ac:dyDescent="0.25">
      <c r="A19774" s="318">
        <v>96996020365</v>
      </c>
      <c r="B19774" s="318" t="s">
        <v>237</v>
      </c>
    </row>
    <row r="19775" spans="1:2" ht="12.75" customHeight="1" x14ac:dyDescent="0.25">
      <c r="A19775" s="318">
        <v>96996020366</v>
      </c>
      <c r="B19775" s="318" t="s">
        <v>237</v>
      </c>
    </row>
    <row r="19776" spans="1:2" ht="12.75" customHeight="1" x14ac:dyDescent="0.25">
      <c r="A19776" s="318">
        <v>96996020367</v>
      </c>
      <c r="B19776" s="318" t="s">
        <v>237</v>
      </c>
    </row>
    <row r="19777" spans="1:2" ht="12.75" customHeight="1" x14ac:dyDescent="0.25">
      <c r="A19777" s="318">
        <v>96996020368</v>
      </c>
      <c r="B19777" s="318" t="s">
        <v>237</v>
      </c>
    </row>
    <row r="19778" spans="1:2" ht="12.75" customHeight="1" x14ac:dyDescent="0.25">
      <c r="A19778" s="318">
        <v>96996020369</v>
      </c>
      <c r="B19778" s="318" t="s">
        <v>237</v>
      </c>
    </row>
    <row r="19779" spans="1:2" ht="12.75" customHeight="1" x14ac:dyDescent="0.25">
      <c r="A19779" s="318">
        <v>96996020370</v>
      </c>
      <c r="B19779" s="318" t="s">
        <v>237</v>
      </c>
    </row>
    <row r="19780" spans="1:2" ht="12.75" customHeight="1" x14ac:dyDescent="0.25">
      <c r="A19780" s="318">
        <v>96996020371</v>
      </c>
      <c r="B19780" s="318" t="s">
        <v>237</v>
      </c>
    </row>
    <row r="19781" spans="1:2" ht="12.75" customHeight="1" x14ac:dyDescent="0.25">
      <c r="A19781" s="318">
        <v>96996020372</v>
      </c>
      <c r="B19781" s="318" t="s">
        <v>237</v>
      </c>
    </row>
    <row r="19782" spans="1:2" ht="12.75" customHeight="1" x14ac:dyDescent="0.25">
      <c r="A19782" s="318">
        <v>96996501229</v>
      </c>
      <c r="B19782" s="318" t="s">
        <v>23</v>
      </c>
    </row>
    <row r="19783" spans="1:2" ht="12.75" customHeight="1" x14ac:dyDescent="0.25">
      <c r="A19783" s="318">
        <v>96996501230</v>
      </c>
      <c r="B19783" s="318" t="s">
        <v>23</v>
      </c>
    </row>
    <row r="19784" spans="1:2" ht="12.75" customHeight="1" x14ac:dyDescent="0.25">
      <c r="A19784" s="318">
        <v>96996501231</v>
      </c>
      <c r="B19784" s="318" t="s">
        <v>23</v>
      </c>
    </row>
    <row r="19785" spans="1:2" ht="12.75" customHeight="1" x14ac:dyDescent="0.25">
      <c r="A19785" s="318">
        <v>96996501232</v>
      </c>
      <c r="B19785" s="318" t="s">
        <v>23</v>
      </c>
    </row>
    <row r="19786" spans="1:2" ht="12.75" customHeight="1" x14ac:dyDescent="0.25">
      <c r="A19786" s="318">
        <v>96996501233</v>
      </c>
      <c r="B19786" s="318" t="s">
        <v>23</v>
      </c>
    </row>
    <row r="19787" spans="1:2" ht="12.75" customHeight="1" x14ac:dyDescent="0.25">
      <c r="A19787" s="318">
        <v>96996501234</v>
      </c>
      <c r="B19787" s="318" t="s">
        <v>23</v>
      </c>
    </row>
    <row r="19788" spans="1:2" ht="12.75" customHeight="1" x14ac:dyDescent="0.25">
      <c r="A19788" s="318">
        <v>96996501235</v>
      </c>
      <c r="B19788" s="318" t="s">
        <v>237</v>
      </c>
    </row>
    <row r="19789" spans="1:2" ht="12.75" customHeight="1" x14ac:dyDescent="0.25">
      <c r="A19789" s="318">
        <v>96996501236</v>
      </c>
      <c r="B19789" s="318" t="s">
        <v>237</v>
      </c>
    </row>
    <row r="19790" spans="1:2" ht="12.75" customHeight="1" x14ac:dyDescent="0.25">
      <c r="A19790" s="318">
        <v>96996501238</v>
      </c>
      <c r="B19790" s="318" t="s">
        <v>237</v>
      </c>
    </row>
    <row r="19791" spans="1:2" ht="12.75" customHeight="1" x14ac:dyDescent="0.25">
      <c r="A19791" s="318">
        <v>96996501239</v>
      </c>
      <c r="B19791" s="318" t="s">
        <v>237</v>
      </c>
    </row>
    <row r="19792" spans="1:2" ht="12.75" customHeight="1" x14ac:dyDescent="0.25">
      <c r="A19792" s="318">
        <v>96996501240</v>
      </c>
      <c r="B19792" s="318" t="s">
        <v>237</v>
      </c>
    </row>
    <row r="19793" spans="1:2" ht="12.75" customHeight="1" x14ac:dyDescent="0.25">
      <c r="A19793" s="318">
        <v>96996501241</v>
      </c>
      <c r="B19793" s="318" t="s">
        <v>237</v>
      </c>
    </row>
    <row r="19794" spans="1:2" ht="12.75" customHeight="1" x14ac:dyDescent="0.25">
      <c r="A19794" s="318">
        <v>96996501242</v>
      </c>
      <c r="B19794" s="318" t="s">
        <v>237</v>
      </c>
    </row>
    <row r="19795" spans="1:2" ht="12.75" customHeight="1" x14ac:dyDescent="0.25">
      <c r="A19795" s="318">
        <v>96996501243</v>
      </c>
      <c r="B19795" s="318" t="s">
        <v>237</v>
      </c>
    </row>
    <row r="19796" spans="1:2" ht="12.75" customHeight="1" x14ac:dyDescent="0.25">
      <c r="A19796" s="318">
        <v>96996501244</v>
      </c>
      <c r="B19796" s="318" t="s">
        <v>237</v>
      </c>
    </row>
    <row r="19797" spans="1:2" ht="12.75" customHeight="1" x14ac:dyDescent="0.25">
      <c r="A19797" s="318">
        <v>96996501245</v>
      </c>
      <c r="B19797" s="318" t="s">
        <v>237</v>
      </c>
    </row>
    <row r="19798" spans="1:2" ht="12.75" customHeight="1" x14ac:dyDescent="0.25">
      <c r="A19798" s="318">
        <v>96996501329</v>
      </c>
      <c r="B19798" s="318" t="s">
        <v>237</v>
      </c>
    </row>
    <row r="19799" spans="1:2" ht="12.75" customHeight="1" x14ac:dyDescent="0.25">
      <c r="A19799" s="318">
        <v>96996501330</v>
      </c>
      <c r="B19799" s="318" t="s">
        <v>237</v>
      </c>
    </row>
    <row r="19800" spans="1:2" ht="12.75" customHeight="1" x14ac:dyDescent="0.25">
      <c r="A19800" s="318">
        <v>96996501331</v>
      </c>
      <c r="B19800" s="318" t="s">
        <v>237</v>
      </c>
    </row>
    <row r="19801" spans="1:2" ht="12.75" customHeight="1" x14ac:dyDescent="0.25">
      <c r="A19801" s="318">
        <v>96996501332</v>
      </c>
      <c r="B19801" s="318" t="s">
        <v>237</v>
      </c>
    </row>
    <row r="19802" spans="1:2" ht="12.75" customHeight="1" x14ac:dyDescent="0.25">
      <c r="A19802" s="318">
        <v>96996501333</v>
      </c>
      <c r="B19802" s="318" t="s">
        <v>237</v>
      </c>
    </row>
    <row r="19803" spans="1:2" ht="12.75" customHeight="1" x14ac:dyDescent="0.25">
      <c r="A19803" s="318">
        <v>96996501334</v>
      </c>
      <c r="B19803" s="318" t="s">
        <v>237</v>
      </c>
    </row>
    <row r="19804" spans="1:2" ht="12.75" customHeight="1" x14ac:dyDescent="0.25">
      <c r="A19804" s="318">
        <v>96996501335</v>
      </c>
      <c r="B19804" s="318" t="s">
        <v>237</v>
      </c>
    </row>
    <row r="19805" spans="1:2" ht="12.75" customHeight="1" x14ac:dyDescent="0.25">
      <c r="A19805" s="318">
        <v>96996501336</v>
      </c>
      <c r="B19805" s="318" t="s">
        <v>237</v>
      </c>
    </row>
    <row r="19806" spans="1:2" ht="12.75" customHeight="1" x14ac:dyDescent="0.25">
      <c r="A19806" s="318">
        <v>96996501338</v>
      </c>
      <c r="B19806" s="318" t="s">
        <v>237</v>
      </c>
    </row>
    <row r="19807" spans="1:2" ht="12.75" customHeight="1" x14ac:dyDescent="0.25">
      <c r="A19807" s="318">
        <v>96996501339</v>
      </c>
      <c r="B19807" s="318" t="s">
        <v>237</v>
      </c>
    </row>
    <row r="19808" spans="1:2" ht="12.75" customHeight="1" x14ac:dyDescent="0.25">
      <c r="A19808" s="318">
        <v>96996501340</v>
      </c>
      <c r="B19808" s="318" t="s">
        <v>237</v>
      </c>
    </row>
    <row r="19809" spans="1:2" ht="12.75" customHeight="1" x14ac:dyDescent="0.25">
      <c r="A19809" s="318">
        <v>96996501341</v>
      </c>
      <c r="B19809" s="318" t="s">
        <v>237</v>
      </c>
    </row>
    <row r="19810" spans="1:2" ht="12.75" customHeight="1" x14ac:dyDescent="0.25">
      <c r="A19810" s="318">
        <v>96996501342</v>
      </c>
      <c r="B19810" s="318" t="s">
        <v>237</v>
      </c>
    </row>
    <row r="19811" spans="1:2" ht="12.75" customHeight="1" x14ac:dyDescent="0.25">
      <c r="A19811" s="318">
        <v>96996501343</v>
      </c>
      <c r="B19811" s="318" t="s">
        <v>237</v>
      </c>
    </row>
    <row r="19812" spans="1:2" ht="12.75" customHeight="1" x14ac:dyDescent="0.25">
      <c r="A19812" s="318">
        <v>96996501344</v>
      </c>
      <c r="B19812" s="318" t="s">
        <v>237</v>
      </c>
    </row>
    <row r="19813" spans="1:2" ht="12.75" customHeight="1" x14ac:dyDescent="0.25">
      <c r="A19813" s="318">
        <v>96996501345</v>
      </c>
      <c r="B19813" s="318" t="s">
        <v>237</v>
      </c>
    </row>
    <row r="19814" spans="1:2" ht="12.75" customHeight="1" x14ac:dyDescent="0.25">
      <c r="A19814" s="318">
        <v>96996982202</v>
      </c>
      <c r="B19814" s="318" t="s">
        <v>23</v>
      </c>
    </row>
    <row r="19815" spans="1:2" ht="12.75" customHeight="1" x14ac:dyDescent="0.25">
      <c r="A19815" s="318">
        <v>96996982203</v>
      </c>
      <c r="B19815" s="318" t="s">
        <v>23</v>
      </c>
    </row>
    <row r="19816" spans="1:2" ht="12.75" customHeight="1" x14ac:dyDescent="0.25">
      <c r="A19816" s="318">
        <v>96996982204</v>
      </c>
      <c r="B19816" s="318" t="s">
        <v>23</v>
      </c>
    </row>
    <row r="19817" spans="1:2" ht="12.75" customHeight="1" x14ac:dyDescent="0.25">
      <c r="A19817" s="318">
        <v>96996982205</v>
      </c>
      <c r="B19817" s="318" t="s">
        <v>23</v>
      </c>
    </row>
    <row r="19818" spans="1:2" ht="12.75" customHeight="1" x14ac:dyDescent="0.25">
      <c r="A19818" s="318">
        <v>96996982206</v>
      </c>
      <c r="B19818" s="318" t="s">
        <v>23</v>
      </c>
    </row>
    <row r="19819" spans="1:2" ht="12.75" customHeight="1" x14ac:dyDescent="0.25">
      <c r="A19819" s="318">
        <v>96996982207</v>
      </c>
      <c r="B19819" s="318" t="s">
        <v>23</v>
      </c>
    </row>
    <row r="19820" spans="1:2" ht="12.75" customHeight="1" x14ac:dyDescent="0.25">
      <c r="A19820" s="318">
        <v>96996982208</v>
      </c>
      <c r="B19820" s="318" t="s">
        <v>237</v>
      </c>
    </row>
    <row r="19821" spans="1:2" ht="12.75" customHeight="1" x14ac:dyDescent="0.25">
      <c r="A19821" s="318">
        <v>96996982209</v>
      </c>
      <c r="B19821" s="318" t="s">
        <v>237</v>
      </c>
    </row>
    <row r="19822" spans="1:2" ht="12.75" customHeight="1" x14ac:dyDescent="0.25">
      <c r="A19822" s="318">
        <v>96996982211</v>
      </c>
      <c r="B19822" s="318" t="s">
        <v>237</v>
      </c>
    </row>
    <row r="19823" spans="1:2" ht="12.75" customHeight="1" x14ac:dyDescent="0.25">
      <c r="A19823" s="318">
        <v>96996982212</v>
      </c>
      <c r="B19823" s="318" t="s">
        <v>237</v>
      </c>
    </row>
    <row r="19824" spans="1:2" ht="12.75" customHeight="1" x14ac:dyDescent="0.25">
      <c r="A19824" s="318">
        <v>96996982213</v>
      </c>
      <c r="B19824" s="318" t="s">
        <v>237</v>
      </c>
    </row>
    <row r="19825" spans="1:2" ht="12.75" customHeight="1" x14ac:dyDescent="0.25">
      <c r="A19825" s="318">
        <v>96996982214</v>
      </c>
      <c r="B19825" s="318" t="s">
        <v>237</v>
      </c>
    </row>
    <row r="19826" spans="1:2" ht="12.75" customHeight="1" x14ac:dyDescent="0.25">
      <c r="A19826" s="318">
        <v>96996982215</v>
      </c>
      <c r="B19826" s="318" t="s">
        <v>237</v>
      </c>
    </row>
    <row r="19827" spans="1:2" ht="12.75" customHeight="1" x14ac:dyDescent="0.25">
      <c r="A19827" s="318">
        <v>96996982216</v>
      </c>
      <c r="B19827" s="318" t="s">
        <v>237</v>
      </c>
    </row>
    <row r="19828" spans="1:2" ht="12.75" customHeight="1" x14ac:dyDescent="0.25">
      <c r="A19828" s="318">
        <v>96996982217</v>
      </c>
      <c r="B19828" s="318" t="s">
        <v>237</v>
      </c>
    </row>
    <row r="19829" spans="1:2" ht="12.75" customHeight="1" x14ac:dyDescent="0.25">
      <c r="A19829" s="318">
        <v>96996982218</v>
      </c>
      <c r="B19829" s="318" t="s">
        <v>237</v>
      </c>
    </row>
    <row r="19830" spans="1:2" ht="12.75" customHeight="1" x14ac:dyDescent="0.25">
      <c r="A19830" s="318">
        <v>96996982302</v>
      </c>
      <c r="B19830" s="318" t="s">
        <v>237</v>
      </c>
    </row>
    <row r="19831" spans="1:2" ht="12.75" customHeight="1" x14ac:dyDescent="0.25">
      <c r="A19831" s="318">
        <v>96996982303</v>
      </c>
      <c r="B19831" s="318" t="s">
        <v>237</v>
      </c>
    </row>
    <row r="19832" spans="1:2" ht="12.75" customHeight="1" x14ac:dyDescent="0.25">
      <c r="A19832" s="318">
        <v>96996982304</v>
      </c>
      <c r="B19832" s="318" t="s">
        <v>237</v>
      </c>
    </row>
    <row r="19833" spans="1:2" ht="12.75" customHeight="1" x14ac:dyDescent="0.25">
      <c r="A19833" s="318">
        <v>96996982305</v>
      </c>
      <c r="B19833" s="318" t="s">
        <v>237</v>
      </c>
    </row>
    <row r="19834" spans="1:2" ht="12.75" customHeight="1" x14ac:dyDescent="0.25">
      <c r="A19834" s="318">
        <v>96996982306</v>
      </c>
      <c r="B19834" s="318" t="s">
        <v>237</v>
      </c>
    </row>
    <row r="19835" spans="1:2" ht="12.75" customHeight="1" x14ac:dyDescent="0.25">
      <c r="A19835" s="318">
        <v>96996982307</v>
      </c>
      <c r="B19835" s="318" t="s">
        <v>237</v>
      </c>
    </row>
    <row r="19836" spans="1:2" ht="12.75" customHeight="1" x14ac:dyDescent="0.25">
      <c r="A19836" s="318">
        <v>96996982308</v>
      </c>
      <c r="B19836" s="318" t="s">
        <v>237</v>
      </c>
    </row>
    <row r="19837" spans="1:2" ht="12.75" customHeight="1" x14ac:dyDescent="0.25">
      <c r="A19837" s="318">
        <v>96996982309</v>
      </c>
      <c r="B19837" s="318" t="s">
        <v>237</v>
      </c>
    </row>
    <row r="19838" spans="1:2" ht="12.75" customHeight="1" x14ac:dyDescent="0.25">
      <c r="A19838" s="318">
        <v>96996982311</v>
      </c>
      <c r="B19838" s="318" t="s">
        <v>237</v>
      </c>
    </row>
    <row r="19839" spans="1:2" ht="12.75" customHeight="1" x14ac:dyDescent="0.25">
      <c r="A19839" s="318">
        <v>96996982312</v>
      </c>
      <c r="B19839" s="318" t="s">
        <v>237</v>
      </c>
    </row>
    <row r="19840" spans="1:2" ht="12.75" customHeight="1" x14ac:dyDescent="0.25">
      <c r="A19840" s="318">
        <v>96996982313</v>
      </c>
      <c r="B19840" s="318" t="s">
        <v>237</v>
      </c>
    </row>
    <row r="19841" spans="1:2" ht="12.75" customHeight="1" x14ac:dyDescent="0.25">
      <c r="A19841" s="318">
        <v>96996982314</v>
      </c>
      <c r="B19841" s="318" t="s">
        <v>237</v>
      </c>
    </row>
    <row r="19842" spans="1:2" ht="12.75" customHeight="1" x14ac:dyDescent="0.25">
      <c r="A19842" s="318">
        <v>96996982315</v>
      </c>
      <c r="B19842" s="318" t="s">
        <v>237</v>
      </c>
    </row>
    <row r="19843" spans="1:2" ht="12.75" customHeight="1" x14ac:dyDescent="0.25">
      <c r="A19843" s="318">
        <v>96996982316</v>
      </c>
      <c r="B19843" s="318" t="s">
        <v>237</v>
      </c>
    </row>
    <row r="19844" spans="1:2" ht="12.75" customHeight="1" x14ac:dyDescent="0.25">
      <c r="A19844" s="318">
        <v>96996982317</v>
      </c>
      <c r="B19844" s="318" t="s">
        <v>237</v>
      </c>
    </row>
    <row r="19845" spans="1:2" ht="12.75" customHeight="1" x14ac:dyDescent="0.25">
      <c r="A19845" s="318">
        <v>96996982318</v>
      </c>
      <c r="B19845" s="318" t="s">
        <v>237</v>
      </c>
    </row>
    <row r="19846" spans="1:2" ht="12.75" customHeight="1" x14ac:dyDescent="0.25">
      <c r="A19846" s="318">
        <v>96997662393</v>
      </c>
      <c r="B19846" s="318" t="s">
        <v>23</v>
      </c>
    </row>
    <row r="19847" spans="1:2" ht="12.75" customHeight="1" x14ac:dyDescent="0.25">
      <c r="A19847" s="318">
        <v>96997662394</v>
      </c>
      <c r="B19847" s="318" t="s">
        <v>23</v>
      </c>
    </row>
    <row r="19848" spans="1:2" ht="12.75" customHeight="1" x14ac:dyDescent="0.25">
      <c r="A19848" s="318">
        <v>96997662395</v>
      </c>
      <c r="B19848" s="318" t="s">
        <v>23</v>
      </c>
    </row>
    <row r="19849" spans="1:2" ht="12.75" customHeight="1" x14ac:dyDescent="0.25">
      <c r="A19849" s="318">
        <v>96997662396</v>
      </c>
      <c r="B19849" s="318" t="s">
        <v>23</v>
      </c>
    </row>
    <row r="19850" spans="1:2" ht="12.75" customHeight="1" x14ac:dyDescent="0.25">
      <c r="A19850" s="318">
        <v>96997662397</v>
      </c>
      <c r="B19850" s="318" t="s">
        <v>23</v>
      </c>
    </row>
    <row r="19851" spans="1:2" ht="12.75" customHeight="1" x14ac:dyDescent="0.25">
      <c r="A19851" s="318">
        <v>96997662398</v>
      </c>
      <c r="B19851" s="318" t="s">
        <v>23</v>
      </c>
    </row>
    <row r="19852" spans="1:2" ht="12.75" customHeight="1" x14ac:dyDescent="0.25">
      <c r="A19852" s="318">
        <v>96997662399</v>
      </c>
      <c r="B19852" s="318" t="s">
        <v>237</v>
      </c>
    </row>
    <row r="19853" spans="1:2" ht="12.75" customHeight="1" x14ac:dyDescent="0.25">
      <c r="A19853" s="318">
        <v>96997662400</v>
      </c>
      <c r="B19853" s="318" t="s">
        <v>237</v>
      </c>
    </row>
    <row r="19854" spans="1:2" ht="12.75" customHeight="1" x14ac:dyDescent="0.25">
      <c r="A19854" s="318">
        <v>96997662402</v>
      </c>
      <c r="B19854" s="318" t="s">
        <v>237</v>
      </c>
    </row>
    <row r="19855" spans="1:2" ht="12.75" customHeight="1" x14ac:dyDescent="0.25">
      <c r="A19855" s="318">
        <v>96997662403</v>
      </c>
      <c r="B19855" s="318" t="s">
        <v>237</v>
      </c>
    </row>
    <row r="19856" spans="1:2" ht="12.75" customHeight="1" x14ac:dyDescent="0.25">
      <c r="A19856" s="318">
        <v>96997662404</v>
      </c>
      <c r="B19856" s="318" t="s">
        <v>237</v>
      </c>
    </row>
    <row r="19857" spans="1:2" ht="12.75" customHeight="1" x14ac:dyDescent="0.25">
      <c r="A19857" s="318">
        <v>96997662405</v>
      </c>
      <c r="B19857" s="318" t="s">
        <v>237</v>
      </c>
    </row>
    <row r="19858" spans="1:2" ht="12.75" customHeight="1" x14ac:dyDescent="0.25">
      <c r="A19858" s="318">
        <v>96997662406</v>
      </c>
      <c r="B19858" s="318" t="s">
        <v>237</v>
      </c>
    </row>
    <row r="19859" spans="1:2" ht="12.75" customHeight="1" x14ac:dyDescent="0.25">
      <c r="A19859" s="318">
        <v>96997662407</v>
      </c>
      <c r="B19859" s="318" t="s">
        <v>237</v>
      </c>
    </row>
    <row r="19860" spans="1:2" ht="12.75" customHeight="1" x14ac:dyDescent="0.25">
      <c r="A19860" s="318">
        <v>96997662408</v>
      </c>
      <c r="B19860" s="318" t="s">
        <v>237</v>
      </c>
    </row>
    <row r="19861" spans="1:2" ht="12.75" customHeight="1" x14ac:dyDescent="0.25">
      <c r="A19861" s="318">
        <v>96997662409</v>
      </c>
      <c r="B19861" s="318" t="s">
        <v>237</v>
      </c>
    </row>
    <row r="19862" spans="1:2" ht="12.75" customHeight="1" x14ac:dyDescent="0.25">
      <c r="A19862" s="318">
        <v>96997662493</v>
      </c>
      <c r="B19862" s="318" t="s">
        <v>237</v>
      </c>
    </row>
    <row r="19863" spans="1:2" ht="12.75" customHeight="1" x14ac:dyDescent="0.25">
      <c r="A19863" s="318">
        <v>96997662494</v>
      </c>
      <c r="B19863" s="318" t="s">
        <v>237</v>
      </c>
    </row>
    <row r="19864" spans="1:2" ht="12.75" customHeight="1" x14ac:dyDescent="0.25">
      <c r="A19864" s="318">
        <v>96997662495</v>
      </c>
      <c r="B19864" s="318" t="s">
        <v>237</v>
      </c>
    </row>
    <row r="19865" spans="1:2" ht="12.75" customHeight="1" x14ac:dyDescent="0.25">
      <c r="A19865" s="318">
        <v>96997662496</v>
      </c>
      <c r="B19865" s="318" t="s">
        <v>237</v>
      </c>
    </row>
    <row r="19866" spans="1:2" ht="12.75" customHeight="1" x14ac:dyDescent="0.25">
      <c r="A19866" s="318">
        <v>96997662497</v>
      </c>
      <c r="B19866" s="318" t="s">
        <v>237</v>
      </c>
    </row>
    <row r="19867" spans="1:2" ht="12.75" customHeight="1" x14ac:dyDescent="0.25">
      <c r="A19867" s="318">
        <v>96997662498</v>
      </c>
      <c r="B19867" s="318" t="s">
        <v>237</v>
      </c>
    </row>
    <row r="19868" spans="1:2" ht="12.75" customHeight="1" x14ac:dyDescent="0.25">
      <c r="A19868" s="318">
        <v>96997662499</v>
      </c>
      <c r="B19868" s="318" t="s">
        <v>237</v>
      </c>
    </row>
    <row r="19869" spans="1:2" ht="12.75" customHeight="1" x14ac:dyDescent="0.25">
      <c r="A19869" s="318">
        <v>96997662500</v>
      </c>
      <c r="B19869" s="318" t="s">
        <v>237</v>
      </c>
    </row>
    <row r="19870" spans="1:2" ht="12.75" customHeight="1" x14ac:dyDescent="0.25">
      <c r="A19870" s="318">
        <v>96997662502</v>
      </c>
      <c r="B19870" s="318" t="s">
        <v>237</v>
      </c>
    </row>
    <row r="19871" spans="1:2" ht="12.75" customHeight="1" x14ac:dyDescent="0.25">
      <c r="A19871" s="318">
        <v>96997662503</v>
      </c>
      <c r="B19871" s="318" t="s">
        <v>237</v>
      </c>
    </row>
    <row r="19872" spans="1:2" ht="12.75" customHeight="1" x14ac:dyDescent="0.25">
      <c r="A19872" s="318">
        <v>96997662504</v>
      </c>
      <c r="B19872" s="318" t="s">
        <v>237</v>
      </c>
    </row>
    <row r="19873" spans="1:2" ht="12.75" customHeight="1" x14ac:dyDescent="0.25">
      <c r="A19873" s="318">
        <v>96997662505</v>
      </c>
      <c r="B19873" s="318" t="s">
        <v>237</v>
      </c>
    </row>
    <row r="19874" spans="1:2" ht="12.75" customHeight="1" x14ac:dyDescent="0.25">
      <c r="A19874" s="318">
        <v>96997662506</v>
      </c>
      <c r="B19874" s="318" t="s">
        <v>237</v>
      </c>
    </row>
    <row r="19875" spans="1:2" ht="12.75" customHeight="1" x14ac:dyDescent="0.25">
      <c r="A19875" s="318">
        <v>96997662507</v>
      </c>
      <c r="B19875" s="318" t="s">
        <v>237</v>
      </c>
    </row>
    <row r="19876" spans="1:2" ht="12.75" customHeight="1" x14ac:dyDescent="0.25">
      <c r="A19876" s="318">
        <v>96997662508</v>
      </c>
      <c r="B19876" s="318" t="s">
        <v>237</v>
      </c>
    </row>
    <row r="19877" spans="1:2" ht="12.75" customHeight="1" x14ac:dyDescent="0.25">
      <c r="A19877" s="318">
        <v>96997662509</v>
      </c>
      <c r="B19877" s="318" t="s">
        <v>237</v>
      </c>
    </row>
    <row r="19878" spans="1:2" ht="12.75" customHeight="1" x14ac:dyDescent="0.25">
      <c r="A19878" s="318">
        <v>96998143366</v>
      </c>
      <c r="B19878" s="318" t="s">
        <v>23</v>
      </c>
    </row>
    <row r="19879" spans="1:2" ht="12.75" customHeight="1" x14ac:dyDescent="0.25">
      <c r="A19879" s="318">
        <v>96998143367</v>
      </c>
      <c r="B19879" s="318" t="s">
        <v>23</v>
      </c>
    </row>
    <row r="19880" spans="1:2" ht="12.75" customHeight="1" x14ac:dyDescent="0.25">
      <c r="A19880" s="318">
        <v>96998143368</v>
      </c>
      <c r="B19880" s="318" t="s">
        <v>23</v>
      </c>
    </row>
    <row r="19881" spans="1:2" ht="12.75" customHeight="1" x14ac:dyDescent="0.25">
      <c r="A19881" s="318">
        <v>96998143369</v>
      </c>
      <c r="B19881" s="318" t="s">
        <v>23</v>
      </c>
    </row>
    <row r="19882" spans="1:2" ht="12.75" customHeight="1" x14ac:dyDescent="0.25">
      <c r="A19882" s="318">
        <v>96998143370</v>
      </c>
      <c r="B19882" s="318" t="s">
        <v>23</v>
      </c>
    </row>
    <row r="19883" spans="1:2" ht="12.75" customHeight="1" x14ac:dyDescent="0.25">
      <c r="A19883" s="318">
        <v>96998143371</v>
      </c>
      <c r="B19883" s="318" t="s">
        <v>23</v>
      </c>
    </row>
    <row r="19884" spans="1:2" ht="12.75" customHeight="1" x14ac:dyDescent="0.25">
      <c r="A19884" s="318">
        <v>96998143372</v>
      </c>
      <c r="B19884" s="318" t="s">
        <v>237</v>
      </c>
    </row>
    <row r="19885" spans="1:2" ht="12.75" customHeight="1" x14ac:dyDescent="0.25">
      <c r="A19885" s="318">
        <v>96998143373</v>
      </c>
      <c r="B19885" s="318" t="s">
        <v>237</v>
      </c>
    </row>
    <row r="19886" spans="1:2" ht="12.75" customHeight="1" x14ac:dyDescent="0.25">
      <c r="A19886" s="318">
        <v>96998143375</v>
      </c>
      <c r="B19886" s="318" t="s">
        <v>237</v>
      </c>
    </row>
    <row r="19887" spans="1:2" ht="12.75" customHeight="1" x14ac:dyDescent="0.25">
      <c r="A19887" s="318">
        <v>96998143376</v>
      </c>
      <c r="B19887" s="318" t="s">
        <v>237</v>
      </c>
    </row>
    <row r="19888" spans="1:2" ht="12.75" customHeight="1" x14ac:dyDescent="0.25">
      <c r="A19888" s="318">
        <v>96998143377</v>
      </c>
      <c r="B19888" s="318" t="s">
        <v>237</v>
      </c>
    </row>
    <row r="19889" spans="1:2" ht="12.75" customHeight="1" x14ac:dyDescent="0.25">
      <c r="A19889" s="318">
        <v>96998143378</v>
      </c>
      <c r="B19889" s="318" t="s">
        <v>237</v>
      </c>
    </row>
    <row r="19890" spans="1:2" ht="12.75" customHeight="1" x14ac:dyDescent="0.25">
      <c r="A19890" s="318">
        <v>96998143379</v>
      </c>
      <c r="B19890" s="318" t="s">
        <v>237</v>
      </c>
    </row>
    <row r="19891" spans="1:2" ht="12.75" customHeight="1" x14ac:dyDescent="0.25">
      <c r="A19891" s="318">
        <v>96998143380</v>
      </c>
      <c r="B19891" s="318" t="s">
        <v>237</v>
      </c>
    </row>
    <row r="19892" spans="1:2" ht="12.75" customHeight="1" x14ac:dyDescent="0.25">
      <c r="A19892" s="318">
        <v>96998143381</v>
      </c>
      <c r="B19892" s="318" t="s">
        <v>237</v>
      </c>
    </row>
    <row r="19893" spans="1:2" ht="12.75" customHeight="1" x14ac:dyDescent="0.25">
      <c r="A19893" s="318">
        <v>96998143382</v>
      </c>
      <c r="B19893" s="318" t="s">
        <v>237</v>
      </c>
    </row>
    <row r="19894" spans="1:2" ht="12.75" customHeight="1" x14ac:dyDescent="0.25">
      <c r="A19894" s="318">
        <v>96998143466</v>
      </c>
      <c r="B19894" s="318" t="s">
        <v>237</v>
      </c>
    </row>
    <row r="19895" spans="1:2" ht="12.75" customHeight="1" x14ac:dyDescent="0.25">
      <c r="A19895" s="318">
        <v>96998143467</v>
      </c>
      <c r="B19895" s="318" t="s">
        <v>237</v>
      </c>
    </row>
    <row r="19896" spans="1:2" ht="12.75" customHeight="1" x14ac:dyDescent="0.25">
      <c r="A19896" s="318">
        <v>96998143468</v>
      </c>
      <c r="B19896" s="318" t="s">
        <v>237</v>
      </c>
    </row>
    <row r="19897" spans="1:2" ht="12.75" customHeight="1" x14ac:dyDescent="0.25">
      <c r="A19897" s="318">
        <v>96998143469</v>
      </c>
      <c r="B19897" s="318" t="s">
        <v>237</v>
      </c>
    </row>
    <row r="19898" spans="1:2" ht="12.75" customHeight="1" x14ac:dyDescent="0.25">
      <c r="A19898" s="318">
        <v>96998143470</v>
      </c>
      <c r="B19898" s="318" t="s">
        <v>237</v>
      </c>
    </row>
    <row r="19899" spans="1:2" ht="12.75" customHeight="1" x14ac:dyDescent="0.25">
      <c r="A19899" s="318">
        <v>96998143471</v>
      </c>
      <c r="B19899" s="318" t="s">
        <v>237</v>
      </c>
    </row>
    <row r="19900" spans="1:2" ht="12.75" customHeight="1" x14ac:dyDescent="0.25">
      <c r="A19900" s="318">
        <v>96998143472</v>
      </c>
      <c r="B19900" s="318" t="s">
        <v>237</v>
      </c>
    </row>
    <row r="19901" spans="1:2" ht="12.75" customHeight="1" x14ac:dyDescent="0.25">
      <c r="A19901" s="318">
        <v>96998143473</v>
      </c>
      <c r="B19901" s="318" t="s">
        <v>237</v>
      </c>
    </row>
    <row r="19902" spans="1:2" ht="12.75" customHeight="1" x14ac:dyDescent="0.25">
      <c r="A19902" s="318">
        <v>96998143475</v>
      </c>
      <c r="B19902" s="318" t="s">
        <v>237</v>
      </c>
    </row>
    <row r="19903" spans="1:2" ht="12.75" customHeight="1" x14ac:dyDescent="0.25">
      <c r="A19903" s="318">
        <v>96998143476</v>
      </c>
      <c r="B19903" s="318" t="s">
        <v>237</v>
      </c>
    </row>
    <row r="19904" spans="1:2" ht="12.75" customHeight="1" x14ac:dyDescent="0.25">
      <c r="A19904" s="318">
        <v>96998143477</v>
      </c>
      <c r="B19904" s="318" t="s">
        <v>237</v>
      </c>
    </row>
    <row r="19905" spans="1:2" ht="12.75" customHeight="1" x14ac:dyDescent="0.25">
      <c r="A19905" s="318">
        <v>96998143478</v>
      </c>
      <c r="B19905" s="318" t="s">
        <v>237</v>
      </c>
    </row>
    <row r="19906" spans="1:2" ht="12.75" customHeight="1" x14ac:dyDescent="0.25">
      <c r="A19906" s="318">
        <v>96998143479</v>
      </c>
      <c r="B19906" s="318" t="s">
        <v>237</v>
      </c>
    </row>
    <row r="19907" spans="1:2" ht="12.75" customHeight="1" x14ac:dyDescent="0.25">
      <c r="A19907" s="318">
        <v>96998143480</v>
      </c>
      <c r="B19907" s="318" t="s">
        <v>237</v>
      </c>
    </row>
    <row r="19908" spans="1:2" ht="12.75" customHeight="1" x14ac:dyDescent="0.25">
      <c r="A19908" s="318">
        <v>96998143481</v>
      </c>
      <c r="B19908" s="318" t="s">
        <v>237</v>
      </c>
    </row>
    <row r="19909" spans="1:2" ht="12.75" customHeight="1" x14ac:dyDescent="0.25">
      <c r="A19909" s="318">
        <v>96998143482</v>
      </c>
      <c r="B19909" s="318" t="s">
        <v>237</v>
      </c>
    </row>
    <row r="19910" spans="1:2" ht="12.75" customHeight="1" x14ac:dyDescent="0.25">
      <c r="A19910" s="318">
        <v>96998624339</v>
      </c>
      <c r="B19910" s="318" t="s">
        <v>23</v>
      </c>
    </row>
    <row r="19911" spans="1:2" ht="12.75" customHeight="1" x14ac:dyDescent="0.25">
      <c r="A19911" s="318">
        <v>96998624340</v>
      </c>
      <c r="B19911" s="318" t="s">
        <v>23</v>
      </c>
    </row>
    <row r="19912" spans="1:2" ht="12.75" customHeight="1" x14ac:dyDescent="0.25">
      <c r="A19912" s="318">
        <v>96998624341</v>
      </c>
      <c r="B19912" s="318" t="s">
        <v>23</v>
      </c>
    </row>
    <row r="19913" spans="1:2" ht="12.75" customHeight="1" x14ac:dyDescent="0.25">
      <c r="A19913" s="318">
        <v>96998624342</v>
      </c>
      <c r="B19913" s="318" t="s">
        <v>23</v>
      </c>
    </row>
    <row r="19914" spans="1:2" ht="12.75" customHeight="1" x14ac:dyDescent="0.25">
      <c r="A19914" s="318">
        <v>96998624343</v>
      </c>
      <c r="B19914" s="318" t="s">
        <v>23</v>
      </c>
    </row>
    <row r="19915" spans="1:2" ht="12.75" customHeight="1" x14ac:dyDescent="0.25">
      <c r="A19915" s="318">
        <v>96998624344</v>
      </c>
      <c r="B19915" s="318" t="s">
        <v>23</v>
      </c>
    </row>
    <row r="19916" spans="1:2" ht="12.75" customHeight="1" x14ac:dyDescent="0.25">
      <c r="A19916" s="318">
        <v>96998624345</v>
      </c>
      <c r="B19916" s="318" t="s">
        <v>237</v>
      </c>
    </row>
    <row r="19917" spans="1:2" ht="12.75" customHeight="1" x14ac:dyDescent="0.25">
      <c r="A19917" s="318">
        <v>96998624346</v>
      </c>
      <c r="B19917" s="318" t="s">
        <v>237</v>
      </c>
    </row>
    <row r="19918" spans="1:2" ht="12.75" customHeight="1" x14ac:dyDescent="0.25">
      <c r="A19918" s="318">
        <v>96998624348</v>
      </c>
      <c r="B19918" s="318" t="s">
        <v>237</v>
      </c>
    </row>
    <row r="19919" spans="1:2" ht="12.75" customHeight="1" x14ac:dyDescent="0.25">
      <c r="A19919" s="318">
        <v>96998624349</v>
      </c>
      <c r="B19919" s="318" t="s">
        <v>237</v>
      </c>
    </row>
    <row r="19920" spans="1:2" ht="12.75" customHeight="1" x14ac:dyDescent="0.25">
      <c r="A19920" s="318">
        <v>96998624350</v>
      </c>
      <c r="B19920" s="318" t="s">
        <v>237</v>
      </c>
    </row>
    <row r="19921" spans="1:2" ht="12.75" customHeight="1" x14ac:dyDescent="0.25">
      <c r="A19921" s="318">
        <v>96998624351</v>
      </c>
      <c r="B19921" s="318" t="s">
        <v>237</v>
      </c>
    </row>
    <row r="19922" spans="1:2" ht="12.75" customHeight="1" x14ac:dyDescent="0.25">
      <c r="A19922" s="318">
        <v>96998624352</v>
      </c>
      <c r="B19922" s="318" t="s">
        <v>237</v>
      </c>
    </row>
    <row r="19923" spans="1:2" ht="12.75" customHeight="1" x14ac:dyDescent="0.25">
      <c r="A19923" s="318">
        <v>96998624353</v>
      </c>
      <c r="B19923" s="318" t="s">
        <v>237</v>
      </c>
    </row>
    <row r="19924" spans="1:2" ht="12.75" customHeight="1" x14ac:dyDescent="0.25">
      <c r="A19924" s="318">
        <v>96998624354</v>
      </c>
      <c r="B19924" s="318" t="s">
        <v>237</v>
      </c>
    </row>
    <row r="19925" spans="1:2" ht="12.75" customHeight="1" x14ac:dyDescent="0.25">
      <c r="A19925" s="318">
        <v>96998624355</v>
      </c>
      <c r="B19925" s="318" t="s">
        <v>237</v>
      </c>
    </row>
    <row r="19926" spans="1:2" ht="12.75" customHeight="1" x14ac:dyDescent="0.25">
      <c r="A19926" s="318">
        <v>96998624439</v>
      </c>
      <c r="B19926" s="318" t="s">
        <v>237</v>
      </c>
    </row>
    <row r="19927" spans="1:2" ht="12.75" customHeight="1" x14ac:dyDescent="0.25">
      <c r="A19927" s="318">
        <v>96998624440</v>
      </c>
      <c r="B19927" s="318" t="s">
        <v>237</v>
      </c>
    </row>
    <row r="19928" spans="1:2" ht="12.75" customHeight="1" x14ac:dyDescent="0.25">
      <c r="A19928" s="318">
        <v>96998624441</v>
      </c>
      <c r="B19928" s="318" t="s">
        <v>237</v>
      </c>
    </row>
    <row r="19929" spans="1:2" ht="12.75" customHeight="1" x14ac:dyDescent="0.25">
      <c r="A19929" s="318">
        <v>96998624442</v>
      </c>
      <c r="B19929" s="318" t="s">
        <v>237</v>
      </c>
    </row>
    <row r="19930" spans="1:2" ht="12.75" customHeight="1" x14ac:dyDescent="0.25">
      <c r="A19930" s="318">
        <v>96998624443</v>
      </c>
      <c r="B19930" s="318" t="s">
        <v>237</v>
      </c>
    </row>
    <row r="19931" spans="1:2" ht="12.75" customHeight="1" x14ac:dyDescent="0.25">
      <c r="A19931" s="318">
        <v>96998624444</v>
      </c>
      <c r="B19931" s="318" t="s">
        <v>237</v>
      </c>
    </row>
    <row r="19932" spans="1:2" ht="12.75" customHeight="1" x14ac:dyDescent="0.25">
      <c r="A19932" s="318">
        <v>96998624445</v>
      </c>
      <c r="B19932" s="318" t="s">
        <v>237</v>
      </c>
    </row>
    <row r="19933" spans="1:2" ht="12.75" customHeight="1" x14ac:dyDescent="0.25">
      <c r="A19933" s="318">
        <v>96998624446</v>
      </c>
      <c r="B19933" s="318" t="s">
        <v>237</v>
      </c>
    </row>
    <row r="19934" spans="1:2" ht="12.75" customHeight="1" x14ac:dyDescent="0.25">
      <c r="A19934" s="318">
        <v>96998624448</v>
      </c>
      <c r="B19934" s="318" t="s">
        <v>237</v>
      </c>
    </row>
    <row r="19935" spans="1:2" ht="12.75" customHeight="1" x14ac:dyDescent="0.25">
      <c r="A19935" s="318">
        <v>96998624449</v>
      </c>
      <c r="B19935" s="318" t="s">
        <v>237</v>
      </c>
    </row>
    <row r="19936" spans="1:2" ht="12.75" customHeight="1" x14ac:dyDescent="0.25">
      <c r="A19936" s="318">
        <v>96998624450</v>
      </c>
      <c r="B19936" s="318" t="s">
        <v>237</v>
      </c>
    </row>
    <row r="19937" spans="1:2" ht="12.75" customHeight="1" x14ac:dyDescent="0.25">
      <c r="A19937" s="318">
        <v>96998624451</v>
      </c>
      <c r="B19937" s="318" t="s">
        <v>237</v>
      </c>
    </row>
    <row r="19938" spans="1:2" ht="12.75" customHeight="1" x14ac:dyDescent="0.25">
      <c r="A19938" s="318">
        <v>96998624452</v>
      </c>
      <c r="B19938" s="318" t="s">
        <v>237</v>
      </c>
    </row>
    <row r="19939" spans="1:2" ht="12.75" customHeight="1" x14ac:dyDescent="0.25">
      <c r="A19939" s="318">
        <v>96998624453</v>
      </c>
      <c r="B19939" s="318" t="s">
        <v>237</v>
      </c>
    </row>
    <row r="19940" spans="1:2" ht="12.75" customHeight="1" x14ac:dyDescent="0.25">
      <c r="A19940" s="318">
        <v>96998624454</v>
      </c>
      <c r="B19940" s="318" t="s">
        <v>237</v>
      </c>
    </row>
    <row r="19941" spans="1:2" ht="12.75" customHeight="1" x14ac:dyDescent="0.25">
      <c r="A19941" s="318">
        <v>96998624455</v>
      </c>
      <c r="B19941" s="318" t="s">
        <v>237</v>
      </c>
    </row>
    <row r="19942" spans="1:2" ht="12.75" customHeight="1" x14ac:dyDescent="0.25">
      <c r="A19942" s="318">
        <v>96999304530</v>
      </c>
      <c r="B19942" s="318" t="s">
        <v>23</v>
      </c>
    </row>
    <row r="19943" spans="1:2" ht="12.75" customHeight="1" x14ac:dyDescent="0.25">
      <c r="A19943" s="318">
        <v>96999304531</v>
      </c>
      <c r="B19943" s="318" t="s">
        <v>23</v>
      </c>
    </row>
    <row r="19944" spans="1:2" ht="12.75" customHeight="1" x14ac:dyDescent="0.25">
      <c r="A19944" s="318">
        <v>96999304532</v>
      </c>
      <c r="B19944" s="318" t="s">
        <v>23</v>
      </c>
    </row>
    <row r="19945" spans="1:2" ht="12.75" customHeight="1" x14ac:dyDescent="0.25">
      <c r="A19945" s="318">
        <v>96999304533</v>
      </c>
      <c r="B19945" s="318" t="s">
        <v>23</v>
      </c>
    </row>
    <row r="19946" spans="1:2" ht="12.75" customHeight="1" x14ac:dyDescent="0.25">
      <c r="A19946" s="318">
        <v>96999304534</v>
      </c>
      <c r="B19946" s="318" t="s">
        <v>23</v>
      </c>
    </row>
    <row r="19947" spans="1:2" ht="12.75" customHeight="1" x14ac:dyDescent="0.25">
      <c r="A19947" s="318">
        <v>96999304535</v>
      </c>
      <c r="B19947" s="318" t="s">
        <v>23</v>
      </c>
    </row>
    <row r="19948" spans="1:2" ht="12.75" customHeight="1" x14ac:dyDescent="0.25">
      <c r="A19948" s="318">
        <v>96999304536</v>
      </c>
      <c r="B19948" s="318" t="s">
        <v>237</v>
      </c>
    </row>
    <row r="19949" spans="1:2" ht="12.75" customHeight="1" x14ac:dyDescent="0.25">
      <c r="A19949" s="318">
        <v>96999304537</v>
      </c>
      <c r="B19949" s="318" t="s">
        <v>237</v>
      </c>
    </row>
    <row r="19950" spans="1:2" ht="12.75" customHeight="1" x14ac:dyDescent="0.25">
      <c r="A19950" s="318">
        <v>96999304539</v>
      </c>
      <c r="B19950" s="318" t="s">
        <v>237</v>
      </c>
    </row>
    <row r="19951" spans="1:2" ht="12.75" customHeight="1" x14ac:dyDescent="0.25">
      <c r="A19951" s="318">
        <v>96999304540</v>
      </c>
      <c r="B19951" s="318" t="s">
        <v>237</v>
      </c>
    </row>
    <row r="19952" spans="1:2" ht="12.75" customHeight="1" x14ac:dyDescent="0.25">
      <c r="A19952" s="318">
        <v>96999304541</v>
      </c>
      <c r="B19952" s="318" t="s">
        <v>237</v>
      </c>
    </row>
    <row r="19953" spans="1:2" ht="12.75" customHeight="1" x14ac:dyDescent="0.25">
      <c r="A19953" s="318">
        <v>96999304542</v>
      </c>
      <c r="B19953" s="318" t="s">
        <v>237</v>
      </c>
    </row>
    <row r="19954" spans="1:2" ht="12.75" customHeight="1" x14ac:dyDescent="0.25">
      <c r="A19954" s="318">
        <v>96999304543</v>
      </c>
      <c r="B19954" s="318" t="s">
        <v>237</v>
      </c>
    </row>
    <row r="19955" spans="1:2" ht="12.75" customHeight="1" x14ac:dyDescent="0.25">
      <c r="A19955" s="318">
        <v>96999304544</v>
      </c>
      <c r="B19955" s="318" t="s">
        <v>237</v>
      </c>
    </row>
    <row r="19956" spans="1:2" ht="12.75" customHeight="1" x14ac:dyDescent="0.25">
      <c r="A19956" s="318">
        <v>96999304545</v>
      </c>
      <c r="B19956" s="318" t="s">
        <v>237</v>
      </c>
    </row>
    <row r="19957" spans="1:2" ht="12.75" customHeight="1" x14ac:dyDescent="0.25">
      <c r="A19957" s="318">
        <v>96999304546</v>
      </c>
      <c r="B19957" s="318" t="s">
        <v>237</v>
      </c>
    </row>
    <row r="19958" spans="1:2" ht="12.75" customHeight="1" x14ac:dyDescent="0.25">
      <c r="A19958" s="318">
        <v>96999304630</v>
      </c>
      <c r="B19958" s="318" t="s">
        <v>237</v>
      </c>
    </row>
    <row r="19959" spans="1:2" ht="12.75" customHeight="1" x14ac:dyDescent="0.25">
      <c r="A19959" s="318">
        <v>96999304631</v>
      </c>
      <c r="B19959" s="318" t="s">
        <v>237</v>
      </c>
    </row>
    <row r="19960" spans="1:2" ht="12.75" customHeight="1" x14ac:dyDescent="0.25">
      <c r="A19960" s="318">
        <v>96999304632</v>
      </c>
      <c r="B19960" s="318" t="s">
        <v>237</v>
      </c>
    </row>
    <row r="19961" spans="1:2" ht="12.75" customHeight="1" x14ac:dyDescent="0.25">
      <c r="A19961" s="318">
        <v>96999304633</v>
      </c>
      <c r="B19961" s="318" t="s">
        <v>237</v>
      </c>
    </row>
    <row r="19962" spans="1:2" ht="12.75" customHeight="1" x14ac:dyDescent="0.25">
      <c r="A19962" s="318">
        <v>96999304634</v>
      </c>
      <c r="B19962" s="318" t="s">
        <v>237</v>
      </c>
    </row>
    <row r="19963" spans="1:2" ht="12.75" customHeight="1" x14ac:dyDescent="0.25">
      <c r="A19963" s="318">
        <v>96999304635</v>
      </c>
      <c r="B19963" s="318" t="s">
        <v>237</v>
      </c>
    </row>
    <row r="19964" spans="1:2" ht="12.75" customHeight="1" x14ac:dyDescent="0.25">
      <c r="A19964" s="318">
        <v>96999304636</v>
      </c>
      <c r="B19964" s="318" t="s">
        <v>237</v>
      </c>
    </row>
    <row r="19965" spans="1:2" ht="12.75" customHeight="1" x14ac:dyDescent="0.25">
      <c r="A19965" s="318">
        <v>96999304637</v>
      </c>
      <c r="B19965" s="318" t="s">
        <v>237</v>
      </c>
    </row>
    <row r="19966" spans="1:2" ht="12.75" customHeight="1" x14ac:dyDescent="0.25">
      <c r="A19966" s="318">
        <v>96999304639</v>
      </c>
      <c r="B19966" s="318" t="s">
        <v>237</v>
      </c>
    </row>
    <row r="19967" spans="1:2" ht="12.75" customHeight="1" x14ac:dyDescent="0.25">
      <c r="A19967" s="318">
        <v>96999304640</v>
      </c>
      <c r="B19967" s="318" t="s">
        <v>237</v>
      </c>
    </row>
    <row r="19968" spans="1:2" ht="12.75" customHeight="1" x14ac:dyDescent="0.25">
      <c r="A19968" s="318">
        <v>96999304641</v>
      </c>
      <c r="B19968" s="318" t="s">
        <v>237</v>
      </c>
    </row>
    <row r="19969" spans="1:2" ht="12.75" customHeight="1" x14ac:dyDescent="0.25">
      <c r="A19969" s="318">
        <v>96999304642</v>
      </c>
      <c r="B19969" s="318" t="s">
        <v>237</v>
      </c>
    </row>
    <row r="19970" spans="1:2" ht="12.75" customHeight="1" x14ac:dyDescent="0.25">
      <c r="A19970" s="318">
        <v>96999304643</v>
      </c>
      <c r="B19970" s="318" t="s">
        <v>237</v>
      </c>
    </row>
    <row r="19971" spans="1:2" ht="12.75" customHeight="1" x14ac:dyDescent="0.25">
      <c r="A19971" s="318">
        <v>96999304644</v>
      </c>
      <c r="B19971" s="318" t="s">
        <v>237</v>
      </c>
    </row>
    <row r="19972" spans="1:2" ht="12.75" customHeight="1" x14ac:dyDescent="0.25">
      <c r="A19972" s="318">
        <v>96999304645</v>
      </c>
      <c r="B19972" s="318" t="s">
        <v>237</v>
      </c>
    </row>
    <row r="19973" spans="1:2" ht="12.75" customHeight="1" x14ac:dyDescent="0.25">
      <c r="A19973" s="318">
        <v>96999304646</v>
      </c>
      <c r="B19973" s="318" t="s">
        <v>237</v>
      </c>
    </row>
    <row r="19974" spans="1:2" ht="12.75" customHeight="1" x14ac:dyDescent="0.25">
      <c r="A19974" s="318">
        <v>96999785503</v>
      </c>
      <c r="B19974" s="318" t="s">
        <v>23</v>
      </c>
    </row>
    <row r="19975" spans="1:2" ht="12.75" customHeight="1" x14ac:dyDescent="0.25">
      <c r="A19975" s="318">
        <v>96999785504</v>
      </c>
      <c r="B19975" s="318" t="s">
        <v>23</v>
      </c>
    </row>
    <row r="19976" spans="1:2" ht="12.75" customHeight="1" x14ac:dyDescent="0.25">
      <c r="A19976" s="318">
        <v>96999785505</v>
      </c>
      <c r="B19976" s="318" t="s">
        <v>23</v>
      </c>
    </row>
    <row r="19977" spans="1:2" ht="12.75" customHeight="1" x14ac:dyDescent="0.25">
      <c r="A19977" s="318">
        <v>96999785506</v>
      </c>
      <c r="B19977" s="318" t="s">
        <v>23</v>
      </c>
    </row>
    <row r="19978" spans="1:2" ht="12.75" customHeight="1" x14ac:dyDescent="0.25">
      <c r="A19978" s="318">
        <v>96999785507</v>
      </c>
      <c r="B19978" s="318" t="s">
        <v>23</v>
      </c>
    </row>
    <row r="19979" spans="1:2" ht="12.75" customHeight="1" x14ac:dyDescent="0.25">
      <c r="A19979" s="318">
        <v>96999785508</v>
      </c>
      <c r="B19979" s="318" t="s">
        <v>23</v>
      </c>
    </row>
    <row r="19980" spans="1:2" ht="12.75" customHeight="1" x14ac:dyDescent="0.25">
      <c r="A19980" s="318">
        <v>96999785509</v>
      </c>
      <c r="B19980" s="318" t="s">
        <v>237</v>
      </c>
    </row>
    <row r="19981" spans="1:2" ht="12.75" customHeight="1" x14ac:dyDescent="0.25">
      <c r="A19981" s="318">
        <v>96999785510</v>
      </c>
      <c r="B19981" s="318" t="s">
        <v>237</v>
      </c>
    </row>
    <row r="19982" spans="1:2" ht="12.75" customHeight="1" x14ac:dyDescent="0.25">
      <c r="A19982" s="318">
        <v>96999785512</v>
      </c>
      <c r="B19982" s="318" t="s">
        <v>237</v>
      </c>
    </row>
    <row r="19983" spans="1:2" ht="12.75" customHeight="1" x14ac:dyDescent="0.25">
      <c r="A19983" s="318">
        <v>96999785513</v>
      </c>
      <c r="B19983" s="318" t="s">
        <v>237</v>
      </c>
    </row>
    <row r="19984" spans="1:2" ht="12.75" customHeight="1" x14ac:dyDescent="0.25">
      <c r="A19984" s="318">
        <v>96999785514</v>
      </c>
      <c r="B19984" s="318" t="s">
        <v>237</v>
      </c>
    </row>
    <row r="19985" spans="1:2" ht="12.75" customHeight="1" x14ac:dyDescent="0.25">
      <c r="A19985" s="318">
        <v>96999785515</v>
      </c>
      <c r="B19985" s="318" t="s">
        <v>237</v>
      </c>
    </row>
    <row r="19986" spans="1:2" ht="12.75" customHeight="1" x14ac:dyDescent="0.25">
      <c r="A19986" s="318">
        <v>96999785516</v>
      </c>
      <c r="B19986" s="318" t="s">
        <v>237</v>
      </c>
    </row>
    <row r="19987" spans="1:2" ht="12.75" customHeight="1" x14ac:dyDescent="0.25">
      <c r="A19987" s="318">
        <v>96999785517</v>
      </c>
      <c r="B19987" s="318" t="s">
        <v>237</v>
      </c>
    </row>
    <row r="19988" spans="1:2" ht="12.75" customHeight="1" x14ac:dyDescent="0.25">
      <c r="A19988" s="318">
        <v>96999785518</v>
      </c>
      <c r="B19988" s="318" t="s">
        <v>237</v>
      </c>
    </row>
    <row r="19989" spans="1:2" ht="12.75" customHeight="1" x14ac:dyDescent="0.25">
      <c r="A19989" s="318">
        <v>96999785519</v>
      </c>
      <c r="B19989" s="318" t="s">
        <v>237</v>
      </c>
    </row>
    <row r="19990" spans="1:2" ht="12.75" customHeight="1" x14ac:dyDescent="0.25">
      <c r="A19990" s="318">
        <v>96999785603</v>
      </c>
      <c r="B19990" s="318" t="s">
        <v>237</v>
      </c>
    </row>
    <row r="19991" spans="1:2" ht="12.75" customHeight="1" x14ac:dyDescent="0.25">
      <c r="A19991" s="318">
        <v>96999785604</v>
      </c>
      <c r="B19991" s="318" t="s">
        <v>237</v>
      </c>
    </row>
    <row r="19992" spans="1:2" ht="12.75" customHeight="1" x14ac:dyDescent="0.25">
      <c r="A19992" s="318">
        <v>96999785605</v>
      </c>
      <c r="B19992" s="318" t="s">
        <v>237</v>
      </c>
    </row>
    <row r="19993" spans="1:2" ht="12.75" customHeight="1" x14ac:dyDescent="0.25">
      <c r="A19993" s="318">
        <v>96999785606</v>
      </c>
      <c r="B19993" s="318" t="s">
        <v>237</v>
      </c>
    </row>
    <row r="19994" spans="1:2" ht="12.75" customHeight="1" x14ac:dyDescent="0.25">
      <c r="A19994" s="318">
        <v>96999785607</v>
      </c>
      <c r="B19994" s="318" t="s">
        <v>237</v>
      </c>
    </row>
    <row r="19995" spans="1:2" ht="12.75" customHeight="1" x14ac:dyDescent="0.25">
      <c r="A19995" s="318">
        <v>96999785608</v>
      </c>
      <c r="B19995" s="318" t="s">
        <v>237</v>
      </c>
    </row>
    <row r="19996" spans="1:2" ht="12.75" customHeight="1" x14ac:dyDescent="0.25">
      <c r="A19996" s="318">
        <v>96999785609</v>
      </c>
      <c r="B19996" s="318" t="s">
        <v>237</v>
      </c>
    </row>
    <row r="19997" spans="1:2" ht="12.75" customHeight="1" x14ac:dyDescent="0.25">
      <c r="A19997" s="318">
        <v>96999785610</v>
      </c>
      <c r="B19997" s="318" t="s">
        <v>237</v>
      </c>
    </row>
    <row r="19998" spans="1:2" ht="12.75" customHeight="1" x14ac:dyDescent="0.25">
      <c r="A19998" s="318">
        <v>96999785612</v>
      </c>
      <c r="B19998" s="318" t="s">
        <v>237</v>
      </c>
    </row>
    <row r="19999" spans="1:2" ht="12.75" customHeight="1" x14ac:dyDescent="0.25">
      <c r="A19999" s="318">
        <v>96999785613</v>
      </c>
      <c r="B19999" s="318" t="s">
        <v>237</v>
      </c>
    </row>
    <row r="20000" spans="1:2" ht="12.75" customHeight="1" x14ac:dyDescent="0.25">
      <c r="A20000" s="318">
        <v>96999785614</v>
      </c>
      <c r="B20000" s="318" t="s">
        <v>237</v>
      </c>
    </row>
    <row r="20001" spans="1:2" ht="12.75" customHeight="1" x14ac:dyDescent="0.25">
      <c r="A20001" s="318">
        <v>96999785615</v>
      </c>
      <c r="B20001" s="318" t="s">
        <v>237</v>
      </c>
    </row>
    <row r="20002" spans="1:2" ht="12.75" customHeight="1" x14ac:dyDescent="0.25">
      <c r="A20002" s="318">
        <v>96999785616</v>
      </c>
      <c r="B20002" s="318" t="s">
        <v>237</v>
      </c>
    </row>
    <row r="20003" spans="1:2" ht="12.75" customHeight="1" x14ac:dyDescent="0.25">
      <c r="A20003" s="318">
        <v>96999785617</v>
      </c>
      <c r="B20003" s="318" t="s">
        <v>237</v>
      </c>
    </row>
    <row r="20004" spans="1:2" ht="12.75" customHeight="1" x14ac:dyDescent="0.25">
      <c r="A20004" s="318">
        <v>96999785618</v>
      </c>
      <c r="B20004" s="318" t="s">
        <v>237</v>
      </c>
    </row>
    <row r="20005" spans="1:2" ht="12.75" customHeight="1" x14ac:dyDescent="0.25">
      <c r="A20005" s="318">
        <v>96999785619</v>
      </c>
      <c r="B20005" s="318" t="s">
        <v>237</v>
      </c>
    </row>
    <row r="20006" spans="1:2" ht="12.75" customHeight="1" x14ac:dyDescent="0.25">
      <c r="A20006" s="318">
        <v>97000266476</v>
      </c>
      <c r="B20006" s="318" t="s">
        <v>23</v>
      </c>
    </row>
    <row r="20007" spans="1:2" ht="12.75" customHeight="1" x14ac:dyDescent="0.25">
      <c r="A20007" s="318">
        <v>97000266477</v>
      </c>
      <c r="B20007" s="318" t="s">
        <v>23</v>
      </c>
    </row>
    <row r="20008" spans="1:2" ht="12.75" customHeight="1" x14ac:dyDescent="0.25">
      <c r="A20008" s="318">
        <v>97000266478</v>
      </c>
      <c r="B20008" s="318" t="s">
        <v>23</v>
      </c>
    </row>
    <row r="20009" spans="1:2" ht="12.75" customHeight="1" x14ac:dyDescent="0.25">
      <c r="A20009" s="318">
        <v>97000266479</v>
      </c>
      <c r="B20009" s="318" t="s">
        <v>23</v>
      </c>
    </row>
    <row r="20010" spans="1:2" ht="12.75" customHeight="1" x14ac:dyDescent="0.25">
      <c r="A20010" s="318">
        <v>97000266480</v>
      </c>
      <c r="B20010" s="318" t="s">
        <v>23</v>
      </c>
    </row>
    <row r="20011" spans="1:2" ht="12.75" customHeight="1" x14ac:dyDescent="0.25">
      <c r="A20011" s="318">
        <v>97000266481</v>
      </c>
      <c r="B20011" s="318" t="s">
        <v>23</v>
      </c>
    </row>
    <row r="20012" spans="1:2" ht="12.75" customHeight="1" x14ac:dyDescent="0.25">
      <c r="A20012" s="318">
        <v>97000266482</v>
      </c>
      <c r="B20012" s="318" t="s">
        <v>237</v>
      </c>
    </row>
    <row r="20013" spans="1:2" ht="12.75" customHeight="1" x14ac:dyDescent="0.25">
      <c r="A20013" s="318">
        <v>97000266483</v>
      </c>
      <c r="B20013" s="318" t="s">
        <v>237</v>
      </c>
    </row>
    <row r="20014" spans="1:2" ht="12.75" customHeight="1" x14ac:dyDescent="0.25">
      <c r="A20014" s="318">
        <v>97000266485</v>
      </c>
      <c r="B20014" s="318" t="s">
        <v>237</v>
      </c>
    </row>
    <row r="20015" spans="1:2" ht="12.75" customHeight="1" x14ac:dyDescent="0.25">
      <c r="A20015" s="318">
        <v>97000266486</v>
      </c>
      <c r="B20015" s="318" t="s">
        <v>237</v>
      </c>
    </row>
    <row r="20016" spans="1:2" ht="12.75" customHeight="1" x14ac:dyDescent="0.25">
      <c r="A20016" s="318">
        <v>97000266487</v>
      </c>
      <c r="B20016" s="318" t="s">
        <v>237</v>
      </c>
    </row>
    <row r="20017" spans="1:2" ht="12.75" customHeight="1" x14ac:dyDescent="0.25">
      <c r="A20017" s="318">
        <v>97000266488</v>
      </c>
      <c r="B20017" s="318" t="s">
        <v>237</v>
      </c>
    </row>
    <row r="20018" spans="1:2" ht="12.75" customHeight="1" x14ac:dyDescent="0.25">
      <c r="A20018" s="318">
        <v>97000266489</v>
      </c>
      <c r="B20018" s="318" t="s">
        <v>237</v>
      </c>
    </row>
    <row r="20019" spans="1:2" ht="12.75" customHeight="1" x14ac:dyDescent="0.25">
      <c r="A20019" s="318">
        <v>97000266490</v>
      </c>
      <c r="B20019" s="318" t="s">
        <v>237</v>
      </c>
    </row>
    <row r="20020" spans="1:2" ht="12.75" customHeight="1" x14ac:dyDescent="0.25">
      <c r="A20020" s="318">
        <v>97000266491</v>
      </c>
      <c r="B20020" s="318" t="s">
        <v>237</v>
      </c>
    </row>
    <row r="20021" spans="1:2" ht="12.75" customHeight="1" x14ac:dyDescent="0.25">
      <c r="A20021" s="318">
        <v>97000266492</v>
      </c>
      <c r="B20021" s="318" t="s">
        <v>237</v>
      </c>
    </row>
    <row r="20022" spans="1:2" ht="12.75" customHeight="1" x14ac:dyDescent="0.25">
      <c r="A20022" s="318">
        <v>97000266576</v>
      </c>
      <c r="B20022" s="318" t="s">
        <v>237</v>
      </c>
    </row>
    <row r="20023" spans="1:2" ht="12.75" customHeight="1" x14ac:dyDescent="0.25">
      <c r="A20023" s="318">
        <v>97000266577</v>
      </c>
      <c r="B20023" s="318" t="s">
        <v>237</v>
      </c>
    </row>
    <row r="20024" spans="1:2" ht="12.75" customHeight="1" x14ac:dyDescent="0.25">
      <c r="A20024" s="318">
        <v>97000266578</v>
      </c>
      <c r="B20024" s="318" t="s">
        <v>237</v>
      </c>
    </row>
    <row r="20025" spans="1:2" ht="12.75" customHeight="1" x14ac:dyDescent="0.25">
      <c r="A20025" s="318">
        <v>97000266579</v>
      </c>
      <c r="B20025" s="318" t="s">
        <v>237</v>
      </c>
    </row>
    <row r="20026" spans="1:2" ht="12.75" customHeight="1" x14ac:dyDescent="0.25">
      <c r="A20026" s="318">
        <v>97000266580</v>
      </c>
      <c r="B20026" s="318" t="s">
        <v>237</v>
      </c>
    </row>
    <row r="20027" spans="1:2" ht="12.75" customHeight="1" x14ac:dyDescent="0.25">
      <c r="A20027" s="318">
        <v>97000266581</v>
      </c>
      <c r="B20027" s="318" t="s">
        <v>237</v>
      </c>
    </row>
    <row r="20028" spans="1:2" ht="12.75" customHeight="1" x14ac:dyDescent="0.25">
      <c r="A20028" s="318">
        <v>97000266582</v>
      </c>
      <c r="B20028" s="318" t="s">
        <v>237</v>
      </c>
    </row>
    <row r="20029" spans="1:2" ht="12.75" customHeight="1" x14ac:dyDescent="0.25">
      <c r="A20029" s="318">
        <v>97000266583</v>
      </c>
      <c r="B20029" s="318" t="s">
        <v>237</v>
      </c>
    </row>
    <row r="20030" spans="1:2" ht="12.75" customHeight="1" x14ac:dyDescent="0.25">
      <c r="A20030" s="318">
        <v>97000266585</v>
      </c>
      <c r="B20030" s="318" t="s">
        <v>237</v>
      </c>
    </row>
    <row r="20031" spans="1:2" ht="12.75" customHeight="1" x14ac:dyDescent="0.25">
      <c r="A20031" s="318">
        <v>97000266586</v>
      </c>
      <c r="B20031" s="318" t="s">
        <v>237</v>
      </c>
    </row>
    <row r="20032" spans="1:2" ht="12.75" customHeight="1" x14ac:dyDescent="0.25">
      <c r="A20032" s="318">
        <v>97000266587</v>
      </c>
      <c r="B20032" s="318" t="s">
        <v>237</v>
      </c>
    </row>
    <row r="20033" spans="1:2" ht="12.75" customHeight="1" x14ac:dyDescent="0.25">
      <c r="A20033" s="318">
        <v>97000266588</v>
      </c>
      <c r="B20033" s="318" t="s">
        <v>237</v>
      </c>
    </row>
    <row r="20034" spans="1:2" ht="12.75" customHeight="1" x14ac:dyDescent="0.25">
      <c r="A20034" s="318">
        <v>97000266589</v>
      </c>
      <c r="B20034" s="318" t="s">
        <v>237</v>
      </c>
    </row>
    <row r="20035" spans="1:2" ht="12.75" customHeight="1" x14ac:dyDescent="0.25">
      <c r="A20035" s="318">
        <v>97000266590</v>
      </c>
      <c r="B20035" s="318" t="s">
        <v>237</v>
      </c>
    </row>
    <row r="20036" spans="1:2" ht="12.75" customHeight="1" x14ac:dyDescent="0.25">
      <c r="A20036" s="318">
        <v>97000266591</v>
      </c>
      <c r="B20036" s="318" t="s">
        <v>237</v>
      </c>
    </row>
    <row r="20037" spans="1:2" ht="12.75" customHeight="1" x14ac:dyDescent="0.25">
      <c r="A20037" s="318">
        <v>97000266592</v>
      </c>
      <c r="B20037" s="318" t="s">
        <v>237</v>
      </c>
    </row>
    <row r="20038" spans="1:2" ht="12.75" customHeight="1" x14ac:dyDescent="0.25">
      <c r="A20038" s="318">
        <v>97001626857</v>
      </c>
      <c r="B20038" s="318" t="s">
        <v>23</v>
      </c>
    </row>
    <row r="20039" spans="1:2" ht="12.75" customHeight="1" x14ac:dyDescent="0.25">
      <c r="A20039" s="318">
        <v>97001626858</v>
      </c>
      <c r="B20039" s="318" t="s">
        <v>23</v>
      </c>
    </row>
    <row r="20040" spans="1:2" ht="12.75" customHeight="1" x14ac:dyDescent="0.25">
      <c r="A20040" s="318">
        <v>97001626859</v>
      </c>
      <c r="B20040" s="318" t="s">
        <v>23</v>
      </c>
    </row>
    <row r="20041" spans="1:2" ht="12.75" customHeight="1" x14ac:dyDescent="0.25">
      <c r="A20041" s="318">
        <v>97001626860</v>
      </c>
      <c r="B20041" s="318" t="s">
        <v>23</v>
      </c>
    </row>
    <row r="20042" spans="1:2" ht="12.75" customHeight="1" x14ac:dyDescent="0.25">
      <c r="A20042" s="318">
        <v>97001626861</v>
      </c>
      <c r="B20042" s="318" t="s">
        <v>23</v>
      </c>
    </row>
    <row r="20043" spans="1:2" ht="12.75" customHeight="1" x14ac:dyDescent="0.25">
      <c r="A20043" s="318">
        <v>97001626862</v>
      </c>
      <c r="B20043" s="318" t="s">
        <v>23</v>
      </c>
    </row>
    <row r="20044" spans="1:2" ht="12.75" customHeight="1" x14ac:dyDescent="0.25">
      <c r="A20044" s="318">
        <v>97001626863</v>
      </c>
      <c r="B20044" s="318" t="s">
        <v>237</v>
      </c>
    </row>
    <row r="20045" spans="1:2" ht="12.75" customHeight="1" x14ac:dyDescent="0.25">
      <c r="A20045" s="318">
        <v>97001626864</v>
      </c>
      <c r="B20045" s="318" t="s">
        <v>237</v>
      </c>
    </row>
    <row r="20046" spans="1:2" ht="12.75" customHeight="1" x14ac:dyDescent="0.25">
      <c r="A20046" s="318">
        <v>97001626866</v>
      </c>
      <c r="B20046" s="318" t="s">
        <v>237</v>
      </c>
    </row>
    <row r="20047" spans="1:2" ht="12.75" customHeight="1" x14ac:dyDescent="0.25">
      <c r="A20047" s="318">
        <v>97001626867</v>
      </c>
      <c r="B20047" s="318" t="s">
        <v>237</v>
      </c>
    </row>
    <row r="20048" spans="1:2" ht="12.75" customHeight="1" x14ac:dyDescent="0.25">
      <c r="A20048" s="318">
        <v>97001626868</v>
      </c>
      <c r="B20048" s="318" t="s">
        <v>237</v>
      </c>
    </row>
    <row r="20049" spans="1:2" ht="12.75" customHeight="1" x14ac:dyDescent="0.25">
      <c r="A20049" s="318">
        <v>97001626869</v>
      </c>
      <c r="B20049" s="318" t="s">
        <v>237</v>
      </c>
    </row>
    <row r="20050" spans="1:2" ht="12.75" customHeight="1" x14ac:dyDescent="0.25">
      <c r="A20050" s="318">
        <v>97001626870</v>
      </c>
      <c r="B20050" s="318" t="s">
        <v>237</v>
      </c>
    </row>
    <row r="20051" spans="1:2" ht="12.75" customHeight="1" x14ac:dyDescent="0.25">
      <c r="A20051" s="318">
        <v>97001626871</v>
      </c>
      <c r="B20051" s="318" t="s">
        <v>237</v>
      </c>
    </row>
    <row r="20052" spans="1:2" ht="12.75" customHeight="1" x14ac:dyDescent="0.25">
      <c r="A20052" s="318">
        <v>97001626872</v>
      </c>
      <c r="B20052" s="318" t="s">
        <v>237</v>
      </c>
    </row>
    <row r="20053" spans="1:2" ht="12.75" customHeight="1" x14ac:dyDescent="0.25">
      <c r="A20053" s="318">
        <v>97001626873</v>
      </c>
      <c r="B20053" s="318" t="s">
        <v>237</v>
      </c>
    </row>
    <row r="20054" spans="1:2" ht="12.75" customHeight="1" x14ac:dyDescent="0.25">
      <c r="A20054" s="318">
        <v>97001626957</v>
      </c>
      <c r="B20054" s="318" t="s">
        <v>237</v>
      </c>
    </row>
    <row r="20055" spans="1:2" ht="12.75" customHeight="1" x14ac:dyDescent="0.25">
      <c r="A20055" s="318">
        <v>97001626958</v>
      </c>
      <c r="B20055" s="318" t="s">
        <v>237</v>
      </c>
    </row>
    <row r="20056" spans="1:2" ht="12.75" customHeight="1" x14ac:dyDescent="0.25">
      <c r="A20056" s="318">
        <v>97001626959</v>
      </c>
      <c r="B20056" s="318" t="s">
        <v>237</v>
      </c>
    </row>
    <row r="20057" spans="1:2" ht="12.75" customHeight="1" x14ac:dyDescent="0.25">
      <c r="A20057" s="318">
        <v>97001626960</v>
      </c>
      <c r="B20057" s="318" t="s">
        <v>237</v>
      </c>
    </row>
    <row r="20058" spans="1:2" ht="12.75" customHeight="1" x14ac:dyDescent="0.25">
      <c r="A20058" s="318">
        <v>97001626961</v>
      </c>
      <c r="B20058" s="318" t="s">
        <v>237</v>
      </c>
    </row>
    <row r="20059" spans="1:2" ht="12.75" customHeight="1" x14ac:dyDescent="0.25">
      <c r="A20059" s="318">
        <v>97001626962</v>
      </c>
      <c r="B20059" s="318" t="s">
        <v>237</v>
      </c>
    </row>
    <row r="20060" spans="1:2" ht="12.75" customHeight="1" x14ac:dyDescent="0.25">
      <c r="A20060" s="318">
        <v>97001626963</v>
      </c>
      <c r="B20060" s="318" t="s">
        <v>237</v>
      </c>
    </row>
    <row r="20061" spans="1:2" ht="12.75" customHeight="1" x14ac:dyDescent="0.25">
      <c r="A20061" s="318">
        <v>97001626964</v>
      </c>
      <c r="B20061" s="318" t="s">
        <v>237</v>
      </c>
    </row>
    <row r="20062" spans="1:2" ht="12.75" customHeight="1" x14ac:dyDescent="0.25">
      <c r="A20062" s="318">
        <v>97001626966</v>
      </c>
      <c r="B20062" s="318" t="s">
        <v>237</v>
      </c>
    </row>
    <row r="20063" spans="1:2" ht="12.75" customHeight="1" x14ac:dyDescent="0.25">
      <c r="A20063" s="318">
        <v>97001626967</v>
      </c>
      <c r="B20063" s="318" t="s">
        <v>237</v>
      </c>
    </row>
    <row r="20064" spans="1:2" ht="12.75" customHeight="1" x14ac:dyDescent="0.25">
      <c r="A20064" s="318">
        <v>97001626968</v>
      </c>
      <c r="B20064" s="318" t="s">
        <v>237</v>
      </c>
    </row>
    <row r="20065" spans="1:2" ht="12.75" customHeight="1" x14ac:dyDescent="0.25">
      <c r="A20065" s="318">
        <v>97001626969</v>
      </c>
      <c r="B20065" s="318" t="s">
        <v>237</v>
      </c>
    </row>
    <row r="20066" spans="1:2" ht="12.75" customHeight="1" x14ac:dyDescent="0.25">
      <c r="A20066" s="318">
        <v>97001626970</v>
      </c>
      <c r="B20066" s="318" t="s">
        <v>237</v>
      </c>
    </row>
    <row r="20067" spans="1:2" ht="12.75" customHeight="1" x14ac:dyDescent="0.25">
      <c r="A20067" s="318">
        <v>97001626971</v>
      </c>
      <c r="B20067" s="318" t="s">
        <v>237</v>
      </c>
    </row>
    <row r="20068" spans="1:2" ht="12.75" customHeight="1" x14ac:dyDescent="0.25">
      <c r="A20068" s="318">
        <v>97001626972</v>
      </c>
      <c r="B20068" s="318" t="s">
        <v>237</v>
      </c>
    </row>
    <row r="20069" spans="1:2" ht="12.75" customHeight="1" x14ac:dyDescent="0.25">
      <c r="A20069" s="318">
        <v>97001626973</v>
      </c>
      <c r="B20069" s="318" t="s">
        <v>237</v>
      </c>
    </row>
    <row r="20070" spans="1:2" ht="12.75" customHeight="1" x14ac:dyDescent="0.25">
      <c r="A20070" s="318">
        <v>97002107830</v>
      </c>
      <c r="B20070" s="318" t="s">
        <v>23</v>
      </c>
    </row>
    <row r="20071" spans="1:2" ht="12.75" customHeight="1" x14ac:dyDescent="0.25">
      <c r="A20071" s="318">
        <v>97002107831</v>
      </c>
      <c r="B20071" s="318" t="s">
        <v>23</v>
      </c>
    </row>
    <row r="20072" spans="1:2" ht="12.75" customHeight="1" x14ac:dyDescent="0.25">
      <c r="A20072" s="318">
        <v>97002107832</v>
      </c>
      <c r="B20072" s="318" t="s">
        <v>23</v>
      </c>
    </row>
    <row r="20073" spans="1:2" ht="12.75" customHeight="1" x14ac:dyDescent="0.25">
      <c r="A20073" s="318">
        <v>97002107833</v>
      </c>
      <c r="B20073" s="318" t="s">
        <v>23</v>
      </c>
    </row>
    <row r="20074" spans="1:2" ht="12.75" customHeight="1" x14ac:dyDescent="0.25">
      <c r="A20074" s="318">
        <v>97002107834</v>
      </c>
      <c r="B20074" s="318" t="s">
        <v>23</v>
      </c>
    </row>
    <row r="20075" spans="1:2" ht="12.75" customHeight="1" x14ac:dyDescent="0.25">
      <c r="A20075" s="318">
        <v>97002107835</v>
      </c>
      <c r="B20075" s="318" t="s">
        <v>23</v>
      </c>
    </row>
    <row r="20076" spans="1:2" ht="12.75" customHeight="1" x14ac:dyDescent="0.25">
      <c r="A20076" s="318">
        <v>97002107836</v>
      </c>
      <c r="B20076" s="318" t="s">
        <v>237</v>
      </c>
    </row>
    <row r="20077" spans="1:2" ht="12.75" customHeight="1" x14ac:dyDescent="0.25">
      <c r="A20077" s="318">
        <v>97002107837</v>
      </c>
      <c r="B20077" s="318" t="s">
        <v>237</v>
      </c>
    </row>
    <row r="20078" spans="1:2" ht="12.75" customHeight="1" x14ac:dyDescent="0.25">
      <c r="A20078" s="318">
        <v>97002107839</v>
      </c>
      <c r="B20078" s="318" t="s">
        <v>237</v>
      </c>
    </row>
    <row r="20079" spans="1:2" ht="12.75" customHeight="1" x14ac:dyDescent="0.25">
      <c r="A20079" s="318">
        <v>97002107840</v>
      </c>
      <c r="B20079" s="318" t="s">
        <v>237</v>
      </c>
    </row>
    <row r="20080" spans="1:2" ht="12.75" customHeight="1" x14ac:dyDescent="0.25">
      <c r="A20080" s="318">
        <v>97002107841</v>
      </c>
      <c r="B20080" s="318" t="s">
        <v>237</v>
      </c>
    </row>
    <row r="20081" spans="1:2" ht="12.75" customHeight="1" x14ac:dyDescent="0.25">
      <c r="A20081" s="318">
        <v>97002107842</v>
      </c>
      <c r="B20081" s="318" t="s">
        <v>237</v>
      </c>
    </row>
    <row r="20082" spans="1:2" ht="12.75" customHeight="1" x14ac:dyDescent="0.25">
      <c r="A20082" s="318">
        <v>97002107843</v>
      </c>
      <c r="B20082" s="318" t="s">
        <v>237</v>
      </c>
    </row>
    <row r="20083" spans="1:2" ht="12.75" customHeight="1" x14ac:dyDescent="0.25">
      <c r="A20083" s="318">
        <v>97002107844</v>
      </c>
      <c r="B20083" s="318" t="s">
        <v>237</v>
      </c>
    </row>
    <row r="20084" spans="1:2" ht="12.75" customHeight="1" x14ac:dyDescent="0.25">
      <c r="A20084" s="318">
        <v>97002107845</v>
      </c>
      <c r="B20084" s="318" t="s">
        <v>237</v>
      </c>
    </row>
    <row r="20085" spans="1:2" ht="12.75" customHeight="1" x14ac:dyDescent="0.25">
      <c r="A20085" s="318">
        <v>97002107846</v>
      </c>
      <c r="B20085" s="318" t="s">
        <v>237</v>
      </c>
    </row>
    <row r="20086" spans="1:2" ht="12.75" customHeight="1" x14ac:dyDescent="0.25">
      <c r="A20086" s="318">
        <v>97002107930</v>
      </c>
      <c r="B20086" s="318" t="s">
        <v>237</v>
      </c>
    </row>
    <row r="20087" spans="1:2" ht="12.75" customHeight="1" x14ac:dyDescent="0.25">
      <c r="A20087" s="318">
        <v>97002107931</v>
      </c>
      <c r="B20087" s="318" t="s">
        <v>237</v>
      </c>
    </row>
    <row r="20088" spans="1:2" ht="12.75" customHeight="1" x14ac:dyDescent="0.25">
      <c r="A20088" s="318">
        <v>97002107932</v>
      </c>
      <c r="B20088" s="318" t="s">
        <v>237</v>
      </c>
    </row>
    <row r="20089" spans="1:2" ht="12.75" customHeight="1" x14ac:dyDescent="0.25">
      <c r="A20089" s="318">
        <v>97002107933</v>
      </c>
      <c r="B20089" s="318" t="s">
        <v>237</v>
      </c>
    </row>
    <row r="20090" spans="1:2" ht="12.75" customHeight="1" x14ac:dyDescent="0.25">
      <c r="A20090" s="318">
        <v>97002107934</v>
      </c>
      <c r="B20090" s="318" t="s">
        <v>237</v>
      </c>
    </row>
    <row r="20091" spans="1:2" ht="12.75" customHeight="1" x14ac:dyDescent="0.25">
      <c r="A20091" s="318">
        <v>97002107935</v>
      </c>
      <c r="B20091" s="318" t="s">
        <v>237</v>
      </c>
    </row>
    <row r="20092" spans="1:2" ht="12.75" customHeight="1" x14ac:dyDescent="0.25">
      <c r="A20092" s="318">
        <v>97002107936</v>
      </c>
      <c r="B20092" s="318" t="s">
        <v>237</v>
      </c>
    </row>
    <row r="20093" spans="1:2" ht="12.75" customHeight="1" x14ac:dyDescent="0.25">
      <c r="A20093" s="318">
        <v>97002107937</v>
      </c>
      <c r="B20093" s="318" t="s">
        <v>237</v>
      </c>
    </row>
    <row r="20094" spans="1:2" ht="12.75" customHeight="1" x14ac:dyDescent="0.25">
      <c r="A20094" s="318">
        <v>97002107939</v>
      </c>
      <c r="B20094" s="318" t="s">
        <v>237</v>
      </c>
    </row>
    <row r="20095" spans="1:2" ht="12.75" customHeight="1" x14ac:dyDescent="0.25">
      <c r="A20095" s="318">
        <v>97002107940</v>
      </c>
      <c r="B20095" s="318" t="s">
        <v>237</v>
      </c>
    </row>
    <row r="20096" spans="1:2" ht="12.75" customHeight="1" x14ac:dyDescent="0.25">
      <c r="A20096" s="318">
        <v>97002107941</v>
      </c>
      <c r="B20096" s="318" t="s">
        <v>237</v>
      </c>
    </row>
    <row r="20097" spans="1:2" ht="12.75" customHeight="1" x14ac:dyDescent="0.25">
      <c r="A20097" s="318">
        <v>97002107942</v>
      </c>
      <c r="B20097" s="318" t="s">
        <v>237</v>
      </c>
    </row>
    <row r="20098" spans="1:2" ht="12.75" customHeight="1" x14ac:dyDescent="0.25">
      <c r="A20098" s="318">
        <v>97002107943</v>
      </c>
      <c r="B20098" s="318" t="s">
        <v>237</v>
      </c>
    </row>
    <row r="20099" spans="1:2" ht="12.75" customHeight="1" x14ac:dyDescent="0.25">
      <c r="A20099" s="318">
        <v>97002107944</v>
      </c>
      <c r="B20099" s="318" t="s">
        <v>237</v>
      </c>
    </row>
    <row r="20100" spans="1:2" ht="12.75" customHeight="1" x14ac:dyDescent="0.25">
      <c r="A20100" s="318">
        <v>97002107945</v>
      </c>
      <c r="B20100" s="318" t="s">
        <v>237</v>
      </c>
    </row>
    <row r="20101" spans="1:2" ht="12.75" customHeight="1" x14ac:dyDescent="0.25">
      <c r="A20101" s="318">
        <v>97002107946</v>
      </c>
      <c r="B20101" s="318" t="s">
        <v>237</v>
      </c>
    </row>
    <row r="20102" spans="1:2" ht="12.75" customHeight="1" x14ac:dyDescent="0.25">
      <c r="A20102" s="318">
        <v>97002588803</v>
      </c>
      <c r="B20102" s="318" t="s">
        <v>23</v>
      </c>
    </row>
    <row r="20103" spans="1:2" ht="12.75" customHeight="1" x14ac:dyDescent="0.25">
      <c r="A20103" s="318">
        <v>97002588804</v>
      </c>
      <c r="B20103" s="318" t="s">
        <v>23</v>
      </c>
    </row>
    <row r="20104" spans="1:2" ht="12.75" customHeight="1" x14ac:dyDescent="0.25">
      <c r="A20104" s="318">
        <v>97002588805</v>
      </c>
      <c r="B20104" s="318" t="s">
        <v>23</v>
      </c>
    </row>
    <row r="20105" spans="1:2" ht="12.75" customHeight="1" x14ac:dyDescent="0.25">
      <c r="A20105" s="318">
        <v>97002588806</v>
      </c>
      <c r="B20105" s="318" t="s">
        <v>23</v>
      </c>
    </row>
    <row r="20106" spans="1:2" ht="12.75" customHeight="1" x14ac:dyDescent="0.25">
      <c r="A20106" s="318">
        <v>97002588807</v>
      </c>
      <c r="B20106" s="318" t="s">
        <v>23</v>
      </c>
    </row>
    <row r="20107" spans="1:2" ht="12.75" customHeight="1" x14ac:dyDescent="0.25">
      <c r="A20107" s="318">
        <v>97002588808</v>
      </c>
      <c r="B20107" s="318" t="s">
        <v>23</v>
      </c>
    </row>
    <row r="20108" spans="1:2" ht="12.75" customHeight="1" x14ac:dyDescent="0.25">
      <c r="A20108" s="318">
        <v>97002588809</v>
      </c>
      <c r="B20108" s="318" t="s">
        <v>237</v>
      </c>
    </row>
    <row r="20109" spans="1:2" ht="12.75" customHeight="1" x14ac:dyDescent="0.25">
      <c r="A20109" s="318">
        <v>97002588810</v>
      </c>
      <c r="B20109" s="318" t="s">
        <v>237</v>
      </c>
    </row>
    <row r="20110" spans="1:2" ht="12.75" customHeight="1" x14ac:dyDescent="0.25">
      <c r="A20110" s="318">
        <v>97002588812</v>
      </c>
      <c r="B20110" s="318" t="s">
        <v>237</v>
      </c>
    </row>
    <row r="20111" spans="1:2" ht="12.75" customHeight="1" x14ac:dyDescent="0.25">
      <c r="A20111" s="318">
        <v>97002588813</v>
      </c>
      <c r="B20111" s="318" t="s">
        <v>237</v>
      </c>
    </row>
    <row r="20112" spans="1:2" ht="12.75" customHeight="1" x14ac:dyDescent="0.25">
      <c r="A20112" s="318">
        <v>97002588814</v>
      </c>
      <c r="B20112" s="318" t="s">
        <v>237</v>
      </c>
    </row>
    <row r="20113" spans="1:2" ht="12.75" customHeight="1" x14ac:dyDescent="0.25">
      <c r="A20113" s="318">
        <v>97002588815</v>
      </c>
      <c r="B20113" s="318" t="s">
        <v>237</v>
      </c>
    </row>
    <row r="20114" spans="1:2" ht="12.75" customHeight="1" x14ac:dyDescent="0.25">
      <c r="A20114" s="318">
        <v>97002588816</v>
      </c>
      <c r="B20114" s="318" t="s">
        <v>237</v>
      </c>
    </row>
    <row r="20115" spans="1:2" ht="12.75" customHeight="1" x14ac:dyDescent="0.25">
      <c r="A20115" s="318">
        <v>97002588817</v>
      </c>
      <c r="B20115" s="318" t="s">
        <v>237</v>
      </c>
    </row>
    <row r="20116" spans="1:2" ht="12.75" customHeight="1" x14ac:dyDescent="0.25">
      <c r="A20116" s="318">
        <v>97002588818</v>
      </c>
      <c r="B20116" s="318" t="s">
        <v>237</v>
      </c>
    </row>
    <row r="20117" spans="1:2" ht="12.75" customHeight="1" x14ac:dyDescent="0.25">
      <c r="A20117" s="318">
        <v>97002588819</v>
      </c>
      <c r="B20117" s="318" t="s">
        <v>237</v>
      </c>
    </row>
    <row r="20118" spans="1:2" ht="12.75" customHeight="1" x14ac:dyDescent="0.25">
      <c r="A20118" s="318">
        <v>97002588903</v>
      </c>
      <c r="B20118" s="318" t="s">
        <v>237</v>
      </c>
    </row>
    <row r="20119" spans="1:2" ht="12.75" customHeight="1" x14ac:dyDescent="0.25">
      <c r="A20119" s="318">
        <v>97002588904</v>
      </c>
      <c r="B20119" s="318" t="s">
        <v>237</v>
      </c>
    </row>
    <row r="20120" spans="1:2" ht="12.75" customHeight="1" x14ac:dyDescent="0.25">
      <c r="A20120" s="318">
        <v>97002588905</v>
      </c>
      <c r="B20120" s="318" t="s">
        <v>237</v>
      </c>
    </row>
    <row r="20121" spans="1:2" ht="12.75" customHeight="1" x14ac:dyDescent="0.25">
      <c r="A20121" s="318">
        <v>97002588906</v>
      </c>
      <c r="B20121" s="318" t="s">
        <v>237</v>
      </c>
    </row>
    <row r="20122" spans="1:2" ht="12.75" customHeight="1" x14ac:dyDescent="0.25">
      <c r="A20122" s="318">
        <v>97002588907</v>
      </c>
      <c r="B20122" s="318" t="s">
        <v>237</v>
      </c>
    </row>
    <row r="20123" spans="1:2" ht="12.75" customHeight="1" x14ac:dyDescent="0.25">
      <c r="A20123" s="318">
        <v>97002588908</v>
      </c>
      <c r="B20123" s="318" t="s">
        <v>237</v>
      </c>
    </row>
    <row r="20124" spans="1:2" ht="12.75" customHeight="1" x14ac:dyDescent="0.25">
      <c r="A20124" s="318">
        <v>97002588909</v>
      </c>
      <c r="B20124" s="318" t="s">
        <v>237</v>
      </c>
    </row>
    <row r="20125" spans="1:2" ht="12.75" customHeight="1" x14ac:dyDescent="0.25">
      <c r="A20125" s="318">
        <v>97002588910</v>
      </c>
      <c r="B20125" s="318" t="s">
        <v>237</v>
      </c>
    </row>
    <row r="20126" spans="1:2" ht="12.75" customHeight="1" x14ac:dyDescent="0.25">
      <c r="A20126" s="318">
        <v>97002588912</v>
      </c>
      <c r="B20126" s="318" t="s">
        <v>237</v>
      </c>
    </row>
    <row r="20127" spans="1:2" ht="12.75" customHeight="1" x14ac:dyDescent="0.25">
      <c r="A20127" s="318">
        <v>97002588913</v>
      </c>
      <c r="B20127" s="318" t="s">
        <v>237</v>
      </c>
    </row>
    <row r="20128" spans="1:2" ht="12.75" customHeight="1" x14ac:dyDescent="0.25">
      <c r="A20128" s="318">
        <v>97002588914</v>
      </c>
      <c r="B20128" s="318" t="s">
        <v>237</v>
      </c>
    </row>
    <row r="20129" spans="1:2" ht="12.75" customHeight="1" x14ac:dyDescent="0.25">
      <c r="A20129" s="318">
        <v>97002588915</v>
      </c>
      <c r="B20129" s="318" t="s">
        <v>237</v>
      </c>
    </row>
    <row r="20130" spans="1:2" ht="12.75" customHeight="1" x14ac:dyDescent="0.25">
      <c r="A20130" s="318">
        <v>97002588916</v>
      </c>
      <c r="B20130" s="318" t="s">
        <v>237</v>
      </c>
    </row>
    <row r="20131" spans="1:2" ht="12.75" customHeight="1" x14ac:dyDescent="0.25">
      <c r="A20131" s="318">
        <v>97002588917</v>
      </c>
      <c r="B20131" s="318" t="s">
        <v>237</v>
      </c>
    </row>
    <row r="20132" spans="1:2" ht="12.75" customHeight="1" x14ac:dyDescent="0.25">
      <c r="A20132" s="318">
        <v>97002588918</v>
      </c>
      <c r="B20132" s="318" t="s">
        <v>237</v>
      </c>
    </row>
    <row r="20133" spans="1:2" ht="12.75" customHeight="1" x14ac:dyDescent="0.25">
      <c r="A20133" s="318">
        <v>97002588919</v>
      </c>
      <c r="B20133" s="318" t="s">
        <v>237</v>
      </c>
    </row>
    <row r="20134" spans="1:2" ht="12.75" customHeight="1" x14ac:dyDescent="0.25">
      <c r="A20134" s="318">
        <v>97003268994</v>
      </c>
      <c r="B20134" s="318" t="s">
        <v>23</v>
      </c>
    </row>
    <row r="20135" spans="1:2" ht="12.75" customHeight="1" x14ac:dyDescent="0.25">
      <c r="A20135" s="318">
        <v>97003268995</v>
      </c>
      <c r="B20135" s="318" t="s">
        <v>23</v>
      </c>
    </row>
    <row r="20136" spans="1:2" ht="12.75" customHeight="1" x14ac:dyDescent="0.25">
      <c r="A20136" s="318">
        <v>97003268996</v>
      </c>
      <c r="B20136" s="318" t="s">
        <v>23</v>
      </c>
    </row>
    <row r="20137" spans="1:2" ht="12.75" customHeight="1" x14ac:dyDescent="0.25">
      <c r="A20137" s="318">
        <v>97003268997</v>
      </c>
      <c r="B20137" s="318" t="s">
        <v>23</v>
      </c>
    </row>
    <row r="20138" spans="1:2" ht="12.75" customHeight="1" x14ac:dyDescent="0.25">
      <c r="A20138" s="318">
        <v>97003268998</v>
      </c>
      <c r="B20138" s="318" t="s">
        <v>23</v>
      </c>
    </row>
    <row r="20139" spans="1:2" ht="12.75" customHeight="1" x14ac:dyDescent="0.25">
      <c r="A20139" s="318">
        <v>97003268999</v>
      </c>
      <c r="B20139" s="318" t="s">
        <v>23</v>
      </c>
    </row>
    <row r="20140" spans="1:2" ht="12.75" customHeight="1" x14ac:dyDescent="0.25">
      <c r="A20140" s="318">
        <v>97003269000</v>
      </c>
      <c r="B20140" s="318" t="s">
        <v>237</v>
      </c>
    </row>
    <row r="20141" spans="1:2" ht="12.75" customHeight="1" x14ac:dyDescent="0.25">
      <c r="A20141" s="318">
        <v>97003269001</v>
      </c>
      <c r="B20141" s="318" t="s">
        <v>237</v>
      </c>
    </row>
    <row r="20142" spans="1:2" ht="12.75" customHeight="1" x14ac:dyDescent="0.25">
      <c r="A20142" s="318">
        <v>97003269003</v>
      </c>
      <c r="B20142" s="318" t="s">
        <v>237</v>
      </c>
    </row>
    <row r="20143" spans="1:2" ht="12.75" customHeight="1" x14ac:dyDescent="0.25">
      <c r="A20143" s="318">
        <v>97003269004</v>
      </c>
      <c r="B20143" s="318" t="s">
        <v>237</v>
      </c>
    </row>
    <row r="20144" spans="1:2" ht="12.75" customHeight="1" x14ac:dyDescent="0.25">
      <c r="A20144" s="318">
        <v>97003269005</v>
      </c>
      <c r="B20144" s="318" t="s">
        <v>237</v>
      </c>
    </row>
    <row r="20145" spans="1:2" ht="12.75" customHeight="1" x14ac:dyDescent="0.25">
      <c r="A20145" s="318">
        <v>97003269006</v>
      </c>
      <c r="B20145" s="318" t="s">
        <v>237</v>
      </c>
    </row>
    <row r="20146" spans="1:2" ht="12.75" customHeight="1" x14ac:dyDescent="0.25">
      <c r="A20146" s="318">
        <v>97003269007</v>
      </c>
      <c r="B20146" s="318" t="s">
        <v>237</v>
      </c>
    </row>
    <row r="20147" spans="1:2" ht="12.75" customHeight="1" x14ac:dyDescent="0.25">
      <c r="A20147" s="318">
        <v>97003269008</v>
      </c>
      <c r="B20147" s="318" t="s">
        <v>237</v>
      </c>
    </row>
    <row r="20148" spans="1:2" ht="12.75" customHeight="1" x14ac:dyDescent="0.25">
      <c r="A20148" s="318">
        <v>97003269009</v>
      </c>
      <c r="B20148" s="318" t="s">
        <v>237</v>
      </c>
    </row>
    <row r="20149" spans="1:2" ht="12.75" customHeight="1" x14ac:dyDescent="0.25">
      <c r="A20149" s="318">
        <v>97003269010</v>
      </c>
      <c r="B20149" s="318" t="s">
        <v>237</v>
      </c>
    </row>
    <row r="20150" spans="1:2" ht="12.75" customHeight="1" x14ac:dyDescent="0.25">
      <c r="A20150" s="318">
        <v>97003269094</v>
      </c>
      <c r="B20150" s="318" t="s">
        <v>237</v>
      </c>
    </row>
    <row r="20151" spans="1:2" ht="12.75" customHeight="1" x14ac:dyDescent="0.25">
      <c r="A20151" s="318">
        <v>97003269095</v>
      </c>
      <c r="B20151" s="318" t="s">
        <v>237</v>
      </c>
    </row>
    <row r="20152" spans="1:2" ht="12.75" customHeight="1" x14ac:dyDescent="0.25">
      <c r="A20152" s="318">
        <v>97003269096</v>
      </c>
      <c r="B20152" s="318" t="s">
        <v>237</v>
      </c>
    </row>
    <row r="20153" spans="1:2" ht="12.75" customHeight="1" x14ac:dyDescent="0.25">
      <c r="A20153" s="318">
        <v>97003269097</v>
      </c>
      <c r="B20153" s="318" t="s">
        <v>237</v>
      </c>
    </row>
    <row r="20154" spans="1:2" ht="12.75" customHeight="1" x14ac:dyDescent="0.25">
      <c r="A20154" s="318">
        <v>97003269098</v>
      </c>
      <c r="B20154" s="318" t="s">
        <v>237</v>
      </c>
    </row>
    <row r="20155" spans="1:2" ht="12.75" customHeight="1" x14ac:dyDescent="0.25">
      <c r="A20155" s="318">
        <v>97003269099</v>
      </c>
      <c r="B20155" s="318" t="s">
        <v>237</v>
      </c>
    </row>
    <row r="20156" spans="1:2" ht="12.75" customHeight="1" x14ac:dyDescent="0.25">
      <c r="A20156" s="318">
        <v>97003269100</v>
      </c>
      <c r="B20156" s="318" t="s">
        <v>237</v>
      </c>
    </row>
    <row r="20157" spans="1:2" ht="12.75" customHeight="1" x14ac:dyDescent="0.25">
      <c r="A20157" s="318">
        <v>97003269101</v>
      </c>
      <c r="B20157" s="318" t="s">
        <v>237</v>
      </c>
    </row>
    <row r="20158" spans="1:2" ht="12.75" customHeight="1" x14ac:dyDescent="0.25">
      <c r="A20158" s="318">
        <v>97003269103</v>
      </c>
      <c r="B20158" s="318" t="s">
        <v>237</v>
      </c>
    </row>
    <row r="20159" spans="1:2" ht="12.75" customHeight="1" x14ac:dyDescent="0.25">
      <c r="A20159" s="318">
        <v>97003269104</v>
      </c>
      <c r="B20159" s="318" t="s">
        <v>237</v>
      </c>
    </row>
    <row r="20160" spans="1:2" ht="12.75" customHeight="1" x14ac:dyDescent="0.25">
      <c r="A20160" s="318">
        <v>97003269105</v>
      </c>
      <c r="B20160" s="318" t="s">
        <v>237</v>
      </c>
    </row>
    <row r="20161" spans="1:2" ht="12.75" customHeight="1" x14ac:dyDescent="0.25">
      <c r="A20161" s="318">
        <v>97003269106</v>
      </c>
      <c r="B20161" s="318" t="s">
        <v>237</v>
      </c>
    </row>
    <row r="20162" spans="1:2" ht="12.75" customHeight="1" x14ac:dyDescent="0.25">
      <c r="A20162" s="318">
        <v>97003269107</v>
      </c>
      <c r="B20162" s="318" t="s">
        <v>237</v>
      </c>
    </row>
    <row r="20163" spans="1:2" ht="12.75" customHeight="1" x14ac:dyDescent="0.25">
      <c r="A20163" s="318">
        <v>97003269108</v>
      </c>
      <c r="B20163" s="318" t="s">
        <v>237</v>
      </c>
    </row>
    <row r="20164" spans="1:2" ht="12.75" customHeight="1" x14ac:dyDescent="0.25">
      <c r="A20164" s="318">
        <v>97003269109</v>
      </c>
      <c r="B20164" s="318" t="s">
        <v>237</v>
      </c>
    </row>
    <row r="20165" spans="1:2" ht="12.75" customHeight="1" x14ac:dyDescent="0.25">
      <c r="A20165" s="318">
        <v>97003269110</v>
      </c>
      <c r="B20165" s="318" t="s">
        <v>237</v>
      </c>
    </row>
    <row r="20166" spans="1:2" ht="12.75" customHeight="1" x14ac:dyDescent="0.25">
      <c r="A20166" s="318">
        <v>97003749967</v>
      </c>
      <c r="B20166" s="318" t="s">
        <v>23</v>
      </c>
    </row>
    <row r="20167" spans="1:2" ht="12.75" customHeight="1" x14ac:dyDescent="0.25">
      <c r="A20167" s="318">
        <v>97003749968</v>
      </c>
      <c r="B20167" s="318" t="s">
        <v>23</v>
      </c>
    </row>
    <row r="20168" spans="1:2" ht="12.75" customHeight="1" x14ac:dyDescent="0.25">
      <c r="A20168" s="318">
        <v>97003749969</v>
      </c>
      <c r="B20168" s="318" t="s">
        <v>23</v>
      </c>
    </row>
    <row r="20169" spans="1:2" ht="12.75" customHeight="1" x14ac:dyDescent="0.25">
      <c r="A20169" s="318">
        <v>97003749970</v>
      </c>
      <c r="B20169" s="318" t="s">
        <v>23</v>
      </c>
    </row>
    <row r="20170" spans="1:2" ht="12.75" customHeight="1" x14ac:dyDescent="0.25">
      <c r="A20170" s="318">
        <v>97003749971</v>
      </c>
      <c r="B20170" s="318" t="s">
        <v>23</v>
      </c>
    </row>
    <row r="20171" spans="1:2" ht="12.75" customHeight="1" x14ac:dyDescent="0.25">
      <c r="A20171" s="318">
        <v>97003749972</v>
      </c>
      <c r="B20171" s="318" t="s">
        <v>23</v>
      </c>
    </row>
    <row r="20172" spans="1:2" ht="12.75" customHeight="1" x14ac:dyDescent="0.25">
      <c r="A20172" s="318">
        <v>97003749973</v>
      </c>
      <c r="B20172" s="318" t="s">
        <v>237</v>
      </c>
    </row>
    <row r="20173" spans="1:2" ht="12.75" customHeight="1" x14ac:dyDescent="0.25">
      <c r="A20173" s="318">
        <v>97003749974</v>
      </c>
      <c r="B20173" s="318" t="s">
        <v>237</v>
      </c>
    </row>
    <row r="20174" spans="1:2" ht="12.75" customHeight="1" x14ac:dyDescent="0.25">
      <c r="A20174" s="318">
        <v>97003749976</v>
      </c>
      <c r="B20174" s="318" t="s">
        <v>237</v>
      </c>
    </row>
    <row r="20175" spans="1:2" ht="12.75" customHeight="1" x14ac:dyDescent="0.25">
      <c r="A20175" s="318">
        <v>97003749977</v>
      </c>
      <c r="B20175" s="318" t="s">
        <v>237</v>
      </c>
    </row>
    <row r="20176" spans="1:2" ht="12.75" customHeight="1" x14ac:dyDescent="0.25">
      <c r="A20176" s="318">
        <v>97003749978</v>
      </c>
      <c r="B20176" s="318" t="s">
        <v>237</v>
      </c>
    </row>
    <row r="20177" spans="1:2" ht="12.75" customHeight="1" x14ac:dyDescent="0.25">
      <c r="A20177" s="318">
        <v>97003749979</v>
      </c>
      <c r="B20177" s="318" t="s">
        <v>237</v>
      </c>
    </row>
    <row r="20178" spans="1:2" ht="12.75" customHeight="1" x14ac:dyDescent="0.25">
      <c r="A20178" s="318">
        <v>97003749980</v>
      </c>
      <c r="B20178" s="318" t="s">
        <v>237</v>
      </c>
    </row>
    <row r="20179" spans="1:2" ht="12.75" customHeight="1" x14ac:dyDescent="0.25">
      <c r="A20179" s="318">
        <v>97003749981</v>
      </c>
      <c r="B20179" s="318" t="s">
        <v>237</v>
      </c>
    </row>
    <row r="20180" spans="1:2" ht="12.75" customHeight="1" x14ac:dyDescent="0.25">
      <c r="A20180" s="318">
        <v>97003749982</v>
      </c>
      <c r="B20180" s="318" t="s">
        <v>237</v>
      </c>
    </row>
    <row r="20181" spans="1:2" ht="12.75" customHeight="1" x14ac:dyDescent="0.25">
      <c r="A20181" s="318">
        <v>97003749983</v>
      </c>
      <c r="B20181" s="318" t="s">
        <v>237</v>
      </c>
    </row>
    <row r="20182" spans="1:2" ht="12.75" customHeight="1" x14ac:dyDescent="0.25">
      <c r="A20182" s="318">
        <v>97003750067</v>
      </c>
      <c r="B20182" s="318" t="s">
        <v>237</v>
      </c>
    </row>
    <row r="20183" spans="1:2" ht="12.75" customHeight="1" x14ac:dyDescent="0.25">
      <c r="A20183" s="318">
        <v>97003750068</v>
      </c>
      <c r="B20183" s="318" t="s">
        <v>237</v>
      </c>
    </row>
    <row r="20184" spans="1:2" ht="12.75" customHeight="1" x14ac:dyDescent="0.25">
      <c r="A20184" s="318">
        <v>97003750069</v>
      </c>
      <c r="B20184" s="318" t="s">
        <v>237</v>
      </c>
    </row>
    <row r="20185" spans="1:2" ht="12.75" customHeight="1" x14ac:dyDescent="0.25">
      <c r="A20185" s="318">
        <v>97003750070</v>
      </c>
      <c r="B20185" s="318" t="s">
        <v>237</v>
      </c>
    </row>
    <row r="20186" spans="1:2" ht="12.75" customHeight="1" x14ac:dyDescent="0.25">
      <c r="A20186" s="318">
        <v>97003750071</v>
      </c>
      <c r="B20186" s="318" t="s">
        <v>237</v>
      </c>
    </row>
    <row r="20187" spans="1:2" ht="12.75" customHeight="1" x14ac:dyDescent="0.25">
      <c r="A20187" s="318">
        <v>97003750072</v>
      </c>
      <c r="B20187" s="318" t="s">
        <v>237</v>
      </c>
    </row>
    <row r="20188" spans="1:2" ht="12.75" customHeight="1" x14ac:dyDescent="0.25">
      <c r="A20188" s="318">
        <v>97003750073</v>
      </c>
      <c r="B20188" s="318" t="s">
        <v>237</v>
      </c>
    </row>
    <row r="20189" spans="1:2" ht="12.75" customHeight="1" x14ac:dyDescent="0.25">
      <c r="A20189" s="318">
        <v>97003750074</v>
      </c>
      <c r="B20189" s="318" t="s">
        <v>237</v>
      </c>
    </row>
    <row r="20190" spans="1:2" ht="12.75" customHeight="1" x14ac:dyDescent="0.25">
      <c r="A20190" s="318">
        <v>97003750076</v>
      </c>
      <c r="B20190" s="318" t="s">
        <v>237</v>
      </c>
    </row>
    <row r="20191" spans="1:2" ht="12.75" customHeight="1" x14ac:dyDescent="0.25">
      <c r="A20191" s="318">
        <v>97003750077</v>
      </c>
      <c r="B20191" s="318" t="s">
        <v>237</v>
      </c>
    </row>
    <row r="20192" spans="1:2" ht="12.75" customHeight="1" x14ac:dyDescent="0.25">
      <c r="A20192" s="318">
        <v>97003750078</v>
      </c>
      <c r="B20192" s="318" t="s">
        <v>237</v>
      </c>
    </row>
    <row r="20193" spans="1:2" ht="12.75" customHeight="1" x14ac:dyDescent="0.25">
      <c r="A20193" s="318">
        <v>97003750079</v>
      </c>
      <c r="B20193" s="318" t="s">
        <v>237</v>
      </c>
    </row>
    <row r="20194" spans="1:2" ht="12.75" customHeight="1" x14ac:dyDescent="0.25">
      <c r="A20194" s="318">
        <v>97003750080</v>
      </c>
      <c r="B20194" s="318" t="s">
        <v>237</v>
      </c>
    </row>
    <row r="20195" spans="1:2" ht="12.75" customHeight="1" x14ac:dyDescent="0.25">
      <c r="A20195" s="318">
        <v>97003750081</v>
      </c>
      <c r="B20195" s="318" t="s">
        <v>237</v>
      </c>
    </row>
    <row r="20196" spans="1:2" ht="12.75" customHeight="1" x14ac:dyDescent="0.25">
      <c r="A20196" s="318">
        <v>97003750082</v>
      </c>
      <c r="B20196" s="318" t="s">
        <v>237</v>
      </c>
    </row>
    <row r="20197" spans="1:2" ht="12.75" customHeight="1" x14ac:dyDescent="0.25">
      <c r="A20197" s="318">
        <v>97003750083</v>
      </c>
      <c r="B20197" s="318" t="s">
        <v>237</v>
      </c>
    </row>
    <row r="20198" spans="1:2" ht="12.75" customHeight="1" x14ac:dyDescent="0.25">
      <c r="A20198" s="318">
        <v>97004230940</v>
      </c>
      <c r="B20198" s="318" t="s">
        <v>23</v>
      </c>
    </row>
    <row r="20199" spans="1:2" ht="12.75" customHeight="1" x14ac:dyDescent="0.25">
      <c r="A20199" s="318">
        <v>97004230941</v>
      </c>
      <c r="B20199" s="318" t="s">
        <v>23</v>
      </c>
    </row>
    <row r="20200" spans="1:2" ht="12.75" customHeight="1" x14ac:dyDescent="0.25">
      <c r="A20200" s="318">
        <v>97004230942</v>
      </c>
      <c r="B20200" s="318" t="s">
        <v>23</v>
      </c>
    </row>
    <row r="20201" spans="1:2" ht="12.75" customHeight="1" x14ac:dyDescent="0.25">
      <c r="A20201" s="318">
        <v>97004230943</v>
      </c>
      <c r="B20201" s="318" t="s">
        <v>23</v>
      </c>
    </row>
    <row r="20202" spans="1:2" ht="12.75" customHeight="1" x14ac:dyDescent="0.25">
      <c r="A20202" s="318">
        <v>97004230944</v>
      </c>
      <c r="B20202" s="318" t="s">
        <v>23</v>
      </c>
    </row>
    <row r="20203" spans="1:2" ht="12.75" customHeight="1" x14ac:dyDescent="0.25">
      <c r="A20203" s="318">
        <v>97004230945</v>
      </c>
      <c r="B20203" s="318" t="s">
        <v>23</v>
      </c>
    </row>
    <row r="20204" spans="1:2" ht="12.75" customHeight="1" x14ac:dyDescent="0.25">
      <c r="A20204" s="318">
        <v>97004230946</v>
      </c>
      <c r="B20204" s="318" t="s">
        <v>237</v>
      </c>
    </row>
    <row r="20205" spans="1:2" ht="12.75" customHeight="1" x14ac:dyDescent="0.25">
      <c r="A20205" s="318">
        <v>97004230947</v>
      </c>
      <c r="B20205" s="318" t="s">
        <v>237</v>
      </c>
    </row>
    <row r="20206" spans="1:2" ht="12.75" customHeight="1" x14ac:dyDescent="0.25">
      <c r="A20206" s="318">
        <v>97004230949</v>
      </c>
      <c r="B20206" s="318" t="s">
        <v>237</v>
      </c>
    </row>
    <row r="20207" spans="1:2" ht="12.75" customHeight="1" x14ac:dyDescent="0.25">
      <c r="A20207" s="318">
        <v>97004230950</v>
      </c>
      <c r="B20207" s="318" t="s">
        <v>237</v>
      </c>
    </row>
    <row r="20208" spans="1:2" ht="12.75" customHeight="1" x14ac:dyDescent="0.25">
      <c r="A20208" s="318">
        <v>97004230951</v>
      </c>
      <c r="B20208" s="318" t="s">
        <v>237</v>
      </c>
    </row>
    <row r="20209" spans="1:2" ht="12.75" customHeight="1" x14ac:dyDescent="0.25">
      <c r="A20209" s="318">
        <v>97004230952</v>
      </c>
      <c r="B20209" s="318" t="s">
        <v>237</v>
      </c>
    </row>
    <row r="20210" spans="1:2" ht="12.75" customHeight="1" x14ac:dyDescent="0.25">
      <c r="A20210" s="318">
        <v>97004230953</v>
      </c>
      <c r="B20210" s="318" t="s">
        <v>237</v>
      </c>
    </row>
    <row r="20211" spans="1:2" ht="12.75" customHeight="1" x14ac:dyDescent="0.25">
      <c r="A20211" s="318">
        <v>97004230954</v>
      </c>
      <c r="B20211" s="318" t="s">
        <v>237</v>
      </c>
    </row>
    <row r="20212" spans="1:2" ht="12.75" customHeight="1" x14ac:dyDescent="0.25">
      <c r="A20212" s="318">
        <v>97004230955</v>
      </c>
      <c r="B20212" s="318" t="s">
        <v>237</v>
      </c>
    </row>
    <row r="20213" spans="1:2" ht="12.75" customHeight="1" x14ac:dyDescent="0.25">
      <c r="A20213" s="318">
        <v>97004230956</v>
      </c>
      <c r="B20213" s="318" t="s">
        <v>237</v>
      </c>
    </row>
    <row r="20214" spans="1:2" ht="12.75" customHeight="1" x14ac:dyDescent="0.25">
      <c r="A20214" s="318">
        <v>97004231040</v>
      </c>
      <c r="B20214" s="318" t="s">
        <v>237</v>
      </c>
    </row>
    <row r="20215" spans="1:2" ht="12.75" customHeight="1" x14ac:dyDescent="0.25">
      <c r="A20215" s="318">
        <v>97004231041</v>
      </c>
      <c r="B20215" s="318" t="s">
        <v>237</v>
      </c>
    </row>
    <row r="20216" spans="1:2" ht="12.75" customHeight="1" x14ac:dyDescent="0.25">
      <c r="A20216" s="318">
        <v>97004231042</v>
      </c>
      <c r="B20216" s="318" t="s">
        <v>237</v>
      </c>
    </row>
    <row r="20217" spans="1:2" ht="12.75" customHeight="1" x14ac:dyDescent="0.25">
      <c r="A20217" s="318">
        <v>97004231043</v>
      </c>
      <c r="B20217" s="318" t="s">
        <v>237</v>
      </c>
    </row>
    <row r="20218" spans="1:2" ht="12.75" customHeight="1" x14ac:dyDescent="0.25">
      <c r="A20218" s="318">
        <v>97004231044</v>
      </c>
      <c r="B20218" s="318" t="s">
        <v>237</v>
      </c>
    </row>
    <row r="20219" spans="1:2" ht="12.75" customHeight="1" x14ac:dyDescent="0.25">
      <c r="A20219" s="318">
        <v>97004231045</v>
      </c>
      <c r="B20219" s="318" t="s">
        <v>237</v>
      </c>
    </row>
    <row r="20220" spans="1:2" ht="12.75" customHeight="1" x14ac:dyDescent="0.25">
      <c r="A20220" s="318">
        <v>97004231046</v>
      </c>
      <c r="B20220" s="318" t="s">
        <v>237</v>
      </c>
    </row>
    <row r="20221" spans="1:2" ht="12.75" customHeight="1" x14ac:dyDescent="0.25">
      <c r="A20221" s="318">
        <v>97004231047</v>
      </c>
      <c r="B20221" s="318" t="s">
        <v>237</v>
      </c>
    </row>
    <row r="20222" spans="1:2" ht="12.75" customHeight="1" x14ac:dyDescent="0.25">
      <c r="A20222" s="318">
        <v>97004231049</v>
      </c>
      <c r="B20222" s="318" t="s">
        <v>237</v>
      </c>
    </row>
    <row r="20223" spans="1:2" ht="12.75" customHeight="1" x14ac:dyDescent="0.25">
      <c r="A20223" s="318">
        <v>97004231050</v>
      </c>
      <c r="B20223" s="318" t="s">
        <v>237</v>
      </c>
    </row>
    <row r="20224" spans="1:2" ht="12.75" customHeight="1" x14ac:dyDescent="0.25">
      <c r="A20224" s="318">
        <v>97004231051</v>
      </c>
      <c r="B20224" s="318" t="s">
        <v>237</v>
      </c>
    </row>
    <row r="20225" spans="1:2" ht="12.75" customHeight="1" x14ac:dyDescent="0.25">
      <c r="A20225" s="318">
        <v>97004231052</v>
      </c>
      <c r="B20225" s="318" t="s">
        <v>237</v>
      </c>
    </row>
    <row r="20226" spans="1:2" ht="12.75" customHeight="1" x14ac:dyDescent="0.25">
      <c r="A20226" s="318">
        <v>97004231053</v>
      </c>
      <c r="B20226" s="318" t="s">
        <v>237</v>
      </c>
    </row>
    <row r="20227" spans="1:2" ht="12.75" customHeight="1" x14ac:dyDescent="0.25">
      <c r="A20227" s="318">
        <v>97004231054</v>
      </c>
      <c r="B20227" s="318" t="s">
        <v>237</v>
      </c>
    </row>
    <row r="20228" spans="1:2" ht="12.75" customHeight="1" x14ac:dyDescent="0.25">
      <c r="A20228" s="318">
        <v>97004231055</v>
      </c>
      <c r="B20228" s="318" t="s">
        <v>237</v>
      </c>
    </row>
    <row r="20229" spans="1:2" ht="12.75" customHeight="1" x14ac:dyDescent="0.25">
      <c r="A20229" s="318">
        <v>97004231056</v>
      </c>
      <c r="B20229" s="318" t="s">
        <v>237</v>
      </c>
    </row>
    <row r="20230" spans="1:2" ht="12.75" customHeight="1" x14ac:dyDescent="0.25">
      <c r="A20230" s="318">
        <v>97004911131</v>
      </c>
      <c r="B20230" s="318" t="s">
        <v>23</v>
      </c>
    </row>
    <row r="20231" spans="1:2" ht="12.75" customHeight="1" x14ac:dyDescent="0.25">
      <c r="A20231" s="318">
        <v>97004911132</v>
      </c>
      <c r="B20231" s="318" t="s">
        <v>23</v>
      </c>
    </row>
    <row r="20232" spans="1:2" ht="12.75" customHeight="1" x14ac:dyDescent="0.25">
      <c r="A20232" s="318">
        <v>97004911133</v>
      </c>
      <c r="B20232" s="318" t="s">
        <v>23</v>
      </c>
    </row>
    <row r="20233" spans="1:2" ht="12.75" customHeight="1" x14ac:dyDescent="0.25">
      <c r="A20233" s="318">
        <v>97004911134</v>
      </c>
      <c r="B20233" s="318" t="s">
        <v>23</v>
      </c>
    </row>
    <row r="20234" spans="1:2" ht="12.75" customHeight="1" x14ac:dyDescent="0.25">
      <c r="A20234" s="318">
        <v>97004911135</v>
      </c>
      <c r="B20234" s="318" t="s">
        <v>23</v>
      </c>
    </row>
    <row r="20235" spans="1:2" ht="12.75" customHeight="1" x14ac:dyDescent="0.25">
      <c r="A20235" s="318">
        <v>97004911136</v>
      </c>
      <c r="B20235" s="318" t="s">
        <v>23</v>
      </c>
    </row>
    <row r="20236" spans="1:2" ht="12.75" customHeight="1" x14ac:dyDescent="0.25">
      <c r="A20236" s="318">
        <v>97004911137</v>
      </c>
      <c r="B20236" s="318" t="s">
        <v>237</v>
      </c>
    </row>
    <row r="20237" spans="1:2" ht="12.75" customHeight="1" x14ac:dyDescent="0.25">
      <c r="A20237" s="318">
        <v>97004911138</v>
      </c>
      <c r="B20237" s="318" t="s">
        <v>237</v>
      </c>
    </row>
    <row r="20238" spans="1:2" ht="12.75" customHeight="1" x14ac:dyDescent="0.25">
      <c r="A20238" s="318">
        <v>97004911140</v>
      </c>
      <c r="B20238" s="318" t="s">
        <v>237</v>
      </c>
    </row>
    <row r="20239" spans="1:2" ht="12.75" customHeight="1" x14ac:dyDescent="0.25">
      <c r="A20239" s="318">
        <v>97004911141</v>
      </c>
      <c r="B20239" s="318" t="s">
        <v>237</v>
      </c>
    </row>
    <row r="20240" spans="1:2" ht="12.75" customHeight="1" x14ac:dyDescent="0.25">
      <c r="A20240" s="318">
        <v>97004911142</v>
      </c>
      <c r="B20240" s="318" t="s">
        <v>237</v>
      </c>
    </row>
    <row r="20241" spans="1:2" ht="12.75" customHeight="1" x14ac:dyDescent="0.25">
      <c r="A20241" s="318">
        <v>97004911143</v>
      </c>
      <c r="B20241" s="318" t="s">
        <v>237</v>
      </c>
    </row>
    <row r="20242" spans="1:2" ht="12.75" customHeight="1" x14ac:dyDescent="0.25">
      <c r="A20242" s="318">
        <v>97004911144</v>
      </c>
      <c r="B20242" s="318" t="s">
        <v>237</v>
      </c>
    </row>
    <row r="20243" spans="1:2" ht="12.75" customHeight="1" x14ac:dyDescent="0.25">
      <c r="A20243" s="318">
        <v>97004911145</v>
      </c>
      <c r="B20243" s="318" t="s">
        <v>237</v>
      </c>
    </row>
    <row r="20244" spans="1:2" ht="12.75" customHeight="1" x14ac:dyDescent="0.25">
      <c r="A20244" s="318">
        <v>97004911146</v>
      </c>
      <c r="B20244" s="318" t="s">
        <v>237</v>
      </c>
    </row>
    <row r="20245" spans="1:2" ht="12.75" customHeight="1" x14ac:dyDescent="0.25">
      <c r="A20245" s="318">
        <v>97004911147</v>
      </c>
      <c r="B20245" s="318" t="s">
        <v>237</v>
      </c>
    </row>
    <row r="20246" spans="1:2" ht="12.75" customHeight="1" x14ac:dyDescent="0.25">
      <c r="A20246" s="318">
        <v>97004911231</v>
      </c>
      <c r="B20246" s="318" t="s">
        <v>237</v>
      </c>
    </row>
    <row r="20247" spans="1:2" ht="12.75" customHeight="1" x14ac:dyDescent="0.25">
      <c r="A20247" s="318">
        <v>97004911232</v>
      </c>
      <c r="B20247" s="318" t="s">
        <v>237</v>
      </c>
    </row>
    <row r="20248" spans="1:2" ht="12.75" customHeight="1" x14ac:dyDescent="0.25">
      <c r="A20248" s="318">
        <v>97004911233</v>
      </c>
      <c r="B20248" s="318" t="s">
        <v>237</v>
      </c>
    </row>
    <row r="20249" spans="1:2" ht="12.75" customHeight="1" x14ac:dyDescent="0.25">
      <c r="A20249" s="318">
        <v>97004911234</v>
      </c>
      <c r="B20249" s="318" t="s">
        <v>237</v>
      </c>
    </row>
    <row r="20250" spans="1:2" ht="12.75" customHeight="1" x14ac:dyDescent="0.25">
      <c r="A20250" s="318">
        <v>97004911235</v>
      </c>
      <c r="B20250" s="318" t="s">
        <v>237</v>
      </c>
    </row>
    <row r="20251" spans="1:2" ht="12.75" customHeight="1" x14ac:dyDescent="0.25">
      <c r="A20251" s="318">
        <v>97004911236</v>
      </c>
      <c r="B20251" s="318" t="s">
        <v>237</v>
      </c>
    </row>
    <row r="20252" spans="1:2" ht="12.75" customHeight="1" x14ac:dyDescent="0.25">
      <c r="A20252" s="318">
        <v>97004911237</v>
      </c>
      <c r="B20252" s="318" t="s">
        <v>237</v>
      </c>
    </row>
    <row r="20253" spans="1:2" ht="12.75" customHeight="1" x14ac:dyDescent="0.25">
      <c r="A20253" s="318">
        <v>97004911238</v>
      </c>
      <c r="B20253" s="318" t="s">
        <v>237</v>
      </c>
    </row>
    <row r="20254" spans="1:2" ht="12.75" customHeight="1" x14ac:dyDescent="0.25">
      <c r="A20254" s="318">
        <v>97004911240</v>
      </c>
      <c r="B20254" s="318" t="s">
        <v>237</v>
      </c>
    </row>
    <row r="20255" spans="1:2" ht="12.75" customHeight="1" x14ac:dyDescent="0.25">
      <c r="A20255" s="318">
        <v>97004911241</v>
      </c>
      <c r="B20255" s="318" t="s">
        <v>237</v>
      </c>
    </row>
    <row r="20256" spans="1:2" ht="12.75" customHeight="1" x14ac:dyDescent="0.25">
      <c r="A20256" s="318">
        <v>97004911242</v>
      </c>
      <c r="B20256" s="318" t="s">
        <v>237</v>
      </c>
    </row>
    <row r="20257" spans="1:2" ht="12.75" customHeight="1" x14ac:dyDescent="0.25">
      <c r="A20257" s="318">
        <v>97004911243</v>
      </c>
      <c r="B20257" s="318" t="s">
        <v>237</v>
      </c>
    </row>
    <row r="20258" spans="1:2" ht="12.75" customHeight="1" x14ac:dyDescent="0.25">
      <c r="A20258" s="318">
        <v>97004911244</v>
      </c>
      <c r="B20258" s="318" t="s">
        <v>237</v>
      </c>
    </row>
    <row r="20259" spans="1:2" ht="12.75" customHeight="1" x14ac:dyDescent="0.25">
      <c r="A20259" s="318">
        <v>97004911245</v>
      </c>
      <c r="B20259" s="318" t="s">
        <v>237</v>
      </c>
    </row>
    <row r="20260" spans="1:2" ht="12.75" customHeight="1" x14ac:dyDescent="0.25">
      <c r="A20260" s="318">
        <v>97004911246</v>
      </c>
      <c r="B20260" s="318" t="s">
        <v>237</v>
      </c>
    </row>
    <row r="20261" spans="1:2" ht="12.75" customHeight="1" x14ac:dyDescent="0.25">
      <c r="A20261" s="318">
        <v>97004911247</v>
      </c>
      <c r="B20261" s="318" t="s">
        <v>237</v>
      </c>
    </row>
    <row r="20262" spans="1:2" ht="12.75" customHeight="1" x14ac:dyDescent="0.25">
      <c r="A20262" s="318">
        <v>97005392104</v>
      </c>
      <c r="B20262" s="318" t="s">
        <v>23</v>
      </c>
    </row>
    <row r="20263" spans="1:2" ht="12.75" customHeight="1" x14ac:dyDescent="0.25">
      <c r="A20263" s="318">
        <v>97005392105</v>
      </c>
      <c r="B20263" s="318" t="s">
        <v>23</v>
      </c>
    </row>
    <row r="20264" spans="1:2" ht="12.75" customHeight="1" x14ac:dyDescent="0.25">
      <c r="A20264" s="318">
        <v>97005392106</v>
      </c>
      <c r="B20264" s="318" t="s">
        <v>23</v>
      </c>
    </row>
    <row r="20265" spans="1:2" ht="12.75" customHeight="1" x14ac:dyDescent="0.25">
      <c r="A20265" s="318">
        <v>97005392107</v>
      </c>
      <c r="B20265" s="318" t="s">
        <v>23</v>
      </c>
    </row>
    <row r="20266" spans="1:2" ht="12.75" customHeight="1" x14ac:dyDescent="0.25">
      <c r="A20266" s="318">
        <v>97005392108</v>
      </c>
      <c r="B20266" s="318" t="s">
        <v>23</v>
      </c>
    </row>
    <row r="20267" spans="1:2" ht="12.75" customHeight="1" x14ac:dyDescent="0.25">
      <c r="A20267" s="318">
        <v>97005392109</v>
      </c>
      <c r="B20267" s="318" t="s">
        <v>23</v>
      </c>
    </row>
    <row r="20268" spans="1:2" ht="12.75" customHeight="1" x14ac:dyDescent="0.25">
      <c r="A20268" s="318">
        <v>97005392110</v>
      </c>
      <c r="B20268" s="318" t="s">
        <v>237</v>
      </c>
    </row>
    <row r="20269" spans="1:2" ht="12.75" customHeight="1" x14ac:dyDescent="0.25">
      <c r="A20269" s="318">
        <v>97005392111</v>
      </c>
      <c r="B20269" s="318" t="s">
        <v>237</v>
      </c>
    </row>
    <row r="20270" spans="1:2" ht="12.75" customHeight="1" x14ac:dyDescent="0.25">
      <c r="A20270" s="318">
        <v>97005392113</v>
      </c>
      <c r="B20270" s="318" t="s">
        <v>237</v>
      </c>
    </row>
    <row r="20271" spans="1:2" ht="12.75" customHeight="1" x14ac:dyDescent="0.25">
      <c r="A20271" s="318">
        <v>97005392114</v>
      </c>
      <c r="B20271" s="318" t="s">
        <v>237</v>
      </c>
    </row>
    <row r="20272" spans="1:2" ht="12.75" customHeight="1" x14ac:dyDescent="0.25">
      <c r="A20272" s="318">
        <v>97005392115</v>
      </c>
      <c r="B20272" s="318" t="s">
        <v>237</v>
      </c>
    </row>
    <row r="20273" spans="1:2" ht="12.75" customHeight="1" x14ac:dyDescent="0.25">
      <c r="A20273" s="318">
        <v>97005392116</v>
      </c>
      <c r="B20273" s="318" t="s">
        <v>237</v>
      </c>
    </row>
    <row r="20274" spans="1:2" ht="12.75" customHeight="1" x14ac:dyDescent="0.25">
      <c r="A20274" s="318">
        <v>97005392117</v>
      </c>
      <c r="B20274" s="318" t="s">
        <v>237</v>
      </c>
    </row>
    <row r="20275" spans="1:2" ht="12.75" customHeight="1" x14ac:dyDescent="0.25">
      <c r="A20275" s="318">
        <v>97005392118</v>
      </c>
      <c r="B20275" s="318" t="s">
        <v>237</v>
      </c>
    </row>
    <row r="20276" spans="1:2" ht="12.75" customHeight="1" x14ac:dyDescent="0.25">
      <c r="A20276" s="318">
        <v>97005392119</v>
      </c>
      <c r="B20276" s="318" t="s">
        <v>237</v>
      </c>
    </row>
    <row r="20277" spans="1:2" ht="12.75" customHeight="1" x14ac:dyDescent="0.25">
      <c r="A20277" s="318">
        <v>97005392120</v>
      </c>
      <c r="B20277" s="318" t="s">
        <v>237</v>
      </c>
    </row>
    <row r="20278" spans="1:2" ht="12.75" customHeight="1" x14ac:dyDescent="0.25">
      <c r="A20278" s="318">
        <v>97005392204</v>
      </c>
      <c r="B20278" s="318" t="s">
        <v>237</v>
      </c>
    </row>
    <row r="20279" spans="1:2" ht="12.75" customHeight="1" x14ac:dyDescent="0.25">
      <c r="A20279" s="318">
        <v>97005392205</v>
      </c>
      <c r="B20279" s="318" t="s">
        <v>237</v>
      </c>
    </row>
    <row r="20280" spans="1:2" ht="12.75" customHeight="1" x14ac:dyDescent="0.25">
      <c r="A20280" s="318">
        <v>97005392206</v>
      </c>
      <c r="B20280" s="318" t="s">
        <v>237</v>
      </c>
    </row>
    <row r="20281" spans="1:2" ht="12.75" customHeight="1" x14ac:dyDescent="0.25">
      <c r="A20281" s="318">
        <v>97005392207</v>
      </c>
      <c r="B20281" s="318" t="s">
        <v>237</v>
      </c>
    </row>
    <row r="20282" spans="1:2" ht="12.75" customHeight="1" x14ac:dyDescent="0.25">
      <c r="A20282" s="318">
        <v>97005392208</v>
      </c>
      <c r="B20282" s="318" t="s">
        <v>237</v>
      </c>
    </row>
    <row r="20283" spans="1:2" ht="12.75" customHeight="1" x14ac:dyDescent="0.25">
      <c r="A20283" s="318">
        <v>97005392209</v>
      </c>
      <c r="B20283" s="318" t="s">
        <v>237</v>
      </c>
    </row>
    <row r="20284" spans="1:2" ht="12.75" customHeight="1" x14ac:dyDescent="0.25">
      <c r="A20284" s="318">
        <v>97005392210</v>
      </c>
      <c r="B20284" s="318" t="s">
        <v>237</v>
      </c>
    </row>
    <row r="20285" spans="1:2" ht="12.75" customHeight="1" x14ac:dyDescent="0.25">
      <c r="A20285" s="318">
        <v>97005392211</v>
      </c>
      <c r="B20285" s="318" t="s">
        <v>237</v>
      </c>
    </row>
    <row r="20286" spans="1:2" ht="12.75" customHeight="1" x14ac:dyDescent="0.25">
      <c r="A20286" s="318">
        <v>97005392213</v>
      </c>
      <c r="B20286" s="318" t="s">
        <v>237</v>
      </c>
    </row>
    <row r="20287" spans="1:2" ht="12.75" customHeight="1" x14ac:dyDescent="0.25">
      <c r="A20287" s="318">
        <v>97005392214</v>
      </c>
      <c r="B20287" s="318" t="s">
        <v>237</v>
      </c>
    </row>
    <row r="20288" spans="1:2" ht="12.75" customHeight="1" x14ac:dyDescent="0.25">
      <c r="A20288" s="318">
        <v>97005392215</v>
      </c>
      <c r="B20288" s="318" t="s">
        <v>237</v>
      </c>
    </row>
    <row r="20289" spans="1:2" ht="12.75" customHeight="1" x14ac:dyDescent="0.25">
      <c r="A20289" s="318">
        <v>97005392216</v>
      </c>
      <c r="B20289" s="318" t="s">
        <v>237</v>
      </c>
    </row>
    <row r="20290" spans="1:2" ht="12.75" customHeight="1" x14ac:dyDescent="0.25">
      <c r="A20290" s="318">
        <v>97005392217</v>
      </c>
      <c r="B20290" s="318" t="s">
        <v>237</v>
      </c>
    </row>
    <row r="20291" spans="1:2" ht="12.75" customHeight="1" x14ac:dyDescent="0.25">
      <c r="A20291" s="318">
        <v>97005392218</v>
      </c>
      <c r="B20291" s="318" t="s">
        <v>237</v>
      </c>
    </row>
    <row r="20292" spans="1:2" ht="12.75" customHeight="1" x14ac:dyDescent="0.25">
      <c r="A20292" s="318">
        <v>97005392219</v>
      </c>
      <c r="B20292" s="318" t="s">
        <v>237</v>
      </c>
    </row>
    <row r="20293" spans="1:2" ht="12.75" customHeight="1" x14ac:dyDescent="0.25">
      <c r="A20293" s="318">
        <v>97005392220</v>
      </c>
      <c r="B20293" s="318" t="s">
        <v>237</v>
      </c>
    </row>
    <row r="20294" spans="1:2" ht="12.75" customHeight="1" x14ac:dyDescent="0.25">
      <c r="A20294" s="318">
        <v>97005873077</v>
      </c>
      <c r="B20294" s="318" t="s">
        <v>23</v>
      </c>
    </row>
    <row r="20295" spans="1:2" ht="12.75" customHeight="1" x14ac:dyDescent="0.25">
      <c r="A20295" s="318">
        <v>97005873078</v>
      </c>
      <c r="B20295" s="318" t="s">
        <v>23</v>
      </c>
    </row>
    <row r="20296" spans="1:2" ht="12.75" customHeight="1" x14ac:dyDescent="0.25">
      <c r="A20296" s="318">
        <v>97005873079</v>
      </c>
      <c r="B20296" s="318" t="s">
        <v>23</v>
      </c>
    </row>
    <row r="20297" spans="1:2" ht="12.75" customHeight="1" x14ac:dyDescent="0.25">
      <c r="A20297" s="318">
        <v>97005873080</v>
      </c>
      <c r="B20297" s="318" t="s">
        <v>23</v>
      </c>
    </row>
    <row r="20298" spans="1:2" ht="12.75" customHeight="1" x14ac:dyDescent="0.25">
      <c r="A20298" s="318">
        <v>97005873081</v>
      </c>
      <c r="B20298" s="318" t="s">
        <v>23</v>
      </c>
    </row>
    <row r="20299" spans="1:2" ht="12.75" customHeight="1" x14ac:dyDescent="0.25">
      <c r="A20299" s="318">
        <v>97005873082</v>
      </c>
      <c r="B20299" s="318" t="s">
        <v>23</v>
      </c>
    </row>
    <row r="20300" spans="1:2" ht="12.75" customHeight="1" x14ac:dyDescent="0.25">
      <c r="A20300" s="318">
        <v>97005873083</v>
      </c>
      <c r="B20300" s="318" t="s">
        <v>237</v>
      </c>
    </row>
    <row r="20301" spans="1:2" ht="12.75" customHeight="1" x14ac:dyDescent="0.25">
      <c r="A20301" s="318">
        <v>97005873084</v>
      </c>
      <c r="B20301" s="318" t="s">
        <v>237</v>
      </c>
    </row>
    <row r="20302" spans="1:2" ht="12.75" customHeight="1" x14ac:dyDescent="0.25">
      <c r="A20302" s="318">
        <v>97005873086</v>
      </c>
      <c r="B20302" s="318" t="s">
        <v>237</v>
      </c>
    </row>
    <row r="20303" spans="1:2" ht="12.75" customHeight="1" x14ac:dyDescent="0.25">
      <c r="A20303" s="318">
        <v>97005873087</v>
      </c>
      <c r="B20303" s="318" t="s">
        <v>237</v>
      </c>
    </row>
    <row r="20304" spans="1:2" ht="12.75" customHeight="1" x14ac:dyDescent="0.25">
      <c r="A20304" s="318">
        <v>97005873088</v>
      </c>
      <c r="B20304" s="318" t="s">
        <v>237</v>
      </c>
    </row>
    <row r="20305" spans="1:2" ht="12.75" customHeight="1" x14ac:dyDescent="0.25">
      <c r="A20305" s="318">
        <v>97005873089</v>
      </c>
      <c r="B20305" s="318" t="s">
        <v>237</v>
      </c>
    </row>
    <row r="20306" spans="1:2" ht="12.75" customHeight="1" x14ac:dyDescent="0.25">
      <c r="A20306" s="318">
        <v>97005873090</v>
      </c>
      <c r="B20306" s="318" t="s">
        <v>237</v>
      </c>
    </row>
    <row r="20307" spans="1:2" ht="12.75" customHeight="1" x14ac:dyDescent="0.25">
      <c r="A20307" s="318">
        <v>97005873091</v>
      </c>
      <c r="B20307" s="318" t="s">
        <v>237</v>
      </c>
    </row>
    <row r="20308" spans="1:2" ht="12.75" customHeight="1" x14ac:dyDescent="0.25">
      <c r="A20308" s="318">
        <v>97005873092</v>
      </c>
      <c r="B20308" s="318" t="s">
        <v>237</v>
      </c>
    </row>
    <row r="20309" spans="1:2" ht="12.75" customHeight="1" x14ac:dyDescent="0.25">
      <c r="A20309" s="318">
        <v>97005873093</v>
      </c>
      <c r="B20309" s="318" t="s">
        <v>237</v>
      </c>
    </row>
    <row r="20310" spans="1:2" ht="12.75" customHeight="1" x14ac:dyDescent="0.25">
      <c r="A20310" s="318">
        <v>97005873177</v>
      </c>
      <c r="B20310" s="318" t="s">
        <v>237</v>
      </c>
    </row>
    <row r="20311" spans="1:2" ht="12.75" customHeight="1" x14ac:dyDescent="0.25">
      <c r="A20311" s="318">
        <v>97005873178</v>
      </c>
      <c r="B20311" s="318" t="s">
        <v>237</v>
      </c>
    </row>
    <row r="20312" spans="1:2" ht="12.75" customHeight="1" x14ac:dyDescent="0.25">
      <c r="A20312" s="318">
        <v>97005873179</v>
      </c>
      <c r="B20312" s="318" t="s">
        <v>237</v>
      </c>
    </row>
    <row r="20313" spans="1:2" ht="12.75" customHeight="1" x14ac:dyDescent="0.25">
      <c r="A20313" s="318">
        <v>97005873180</v>
      </c>
      <c r="B20313" s="318" t="s">
        <v>237</v>
      </c>
    </row>
    <row r="20314" spans="1:2" ht="12.75" customHeight="1" x14ac:dyDescent="0.25">
      <c r="A20314" s="318">
        <v>97005873181</v>
      </c>
      <c r="B20314" s="318" t="s">
        <v>237</v>
      </c>
    </row>
    <row r="20315" spans="1:2" ht="12.75" customHeight="1" x14ac:dyDescent="0.25">
      <c r="A20315" s="318">
        <v>97005873182</v>
      </c>
      <c r="B20315" s="318" t="s">
        <v>237</v>
      </c>
    </row>
    <row r="20316" spans="1:2" ht="12.75" customHeight="1" x14ac:dyDescent="0.25">
      <c r="A20316" s="318">
        <v>97005873183</v>
      </c>
      <c r="B20316" s="318" t="s">
        <v>237</v>
      </c>
    </row>
    <row r="20317" spans="1:2" ht="12.75" customHeight="1" x14ac:dyDescent="0.25">
      <c r="A20317" s="318">
        <v>97005873184</v>
      </c>
      <c r="B20317" s="318" t="s">
        <v>237</v>
      </c>
    </row>
    <row r="20318" spans="1:2" ht="12.75" customHeight="1" x14ac:dyDescent="0.25">
      <c r="A20318" s="318">
        <v>97005873186</v>
      </c>
      <c r="B20318" s="318" t="s">
        <v>237</v>
      </c>
    </row>
    <row r="20319" spans="1:2" ht="12.75" customHeight="1" x14ac:dyDescent="0.25">
      <c r="A20319" s="318">
        <v>97005873187</v>
      </c>
      <c r="B20319" s="318" t="s">
        <v>237</v>
      </c>
    </row>
    <row r="20320" spans="1:2" ht="12.75" customHeight="1" x14ac:dyDescent="0.25">
      <c r="A20320" s="318">
        <v>97005873188</v>
      </c>
      <c r="B20320" s="318" t="s">
        <v>237</v>
      </c>
    </row>
    <row r="20321" spans="1:2" ht="12.75" customHeight="1" x14ac:dyDescent="0.25">
      <c r="A20321" s="318">
        <v>97005873189</v>
      </c>
      <c r="B20321" s="318" t="s">
        <v>237</v>
      </c>
    </row>
    <row r="20322" spans="1:2" ht="12.75" customHeight="1" x14ac:dyDescent="0.25">
      <c r="A20322" s="318">
        <v>97005873190</v>
      </c>
      <c r="B20322" s="318" t="s">
        <v>237</v>
      </c>
    </row>
    <row r="20323" spans="1:2" ht="12.75" customHeight="1" x14ac:dyDescent="0.25">
      <c r="A20323" s="318">
        <v>97005873191</v>
      </c>
      <c r="B20323" s="318" t="s">
        <v>237</v>
      </c>
    </row>
    <row r="20324" spans="1:2" ht="12.75" customHeight="1" x14ac:dyDescent="0.25">
      <c r="A20324" s="318">
        <v>97005873192</v>
      </c>
      <c r="B20324" s="318" t="s">
        <v>237</v>
      </c>
    </row>
    <row r="20325" spans="1:2" ht="12.75" customHeight="1" x14ac:dyDescent="0.25">
      <c r="A20325" s="318">
        <v>97005873193</v>
      </c>
      <c r="B20325" s="318" t="s">
        <v>237</v>
      </c>
    </row>
    <row r="20326" spans="1:2" ht="12.75" customHeight="1" x14ac:dyDescent="0.25">
      <c r="A20326" s="318">
        <v>97055768968</v>
      </c>
      <c r="B20326" s="318" t="s">
        <v>23</v>
      </c>
    </row>
    <row r="20327" spans="1:2" ht="12.75" customHeight="1" x14ac:dyDescent="0.25">
      <c r="A20327" s="318">
        <v>97055768969</v>
      </c>
      <c r="B20327" s="318" t="s">
        <v>23</v>
      </c>
    </row>
    <row r="20328" spans="1:2" ht="12.75" customHeight="1" x14ac:dyDescent="0.25">
      <c r="A20328" s="318">
        <v>97055768970</v>
      </c>
      <c r="B20328" s="318" t="s">
        <v>23</v>
      </c>
    </row>
    <row r="20329" spans="1:2" ht="12.75" customHeight="1" x14ac:dyDescent="0.25">
      <c r="A20329" s="318">
        <v>97055768971</v>
      </c>
      <c r="B20329" s="318" t="s">
        <v>23</v>
      </c>
    </row>
    <row r="20330" spans="1:2" ht="12.75" customHeight="1" x14ac:dyDescent="0.25">
      <c r="A20330" s="318">
        <v>97055768972</v>
      </c>
      <c r="B20330" s="318" t="s">
        <v>23</v>
      </c>
    </row>
    <row r="20331" spans="1:2" ht="12.75" customHeight="1" x14ac:dyDescent="0.25">
      <c r="A20331" s="318">
        <v>97055768973</v>
      </c>
      <c r="B20331" s="318" t="s">
        <v>23</v>
      </c>
    </row>
    <row r="20332" spans="1:2" ht="12.75" customHeight="1" x14ac:dyDescent="0.25">
      <c r="A20332" s="318">
        <v>97055768974</v>
      </c>
      <c r="B20332" s="318" t="s">
        <v>23</v>
      </c>
    </row>
    <row r="20333" spans="1:2" ht="12.75" customHeight="1" x14ac:dyDescent="0.25">
      <c r="A20333" s="318">
        <v>97055768975</v>
      </c>
      <c r="B20333" s="318" t="s">
        <v>23</v>
      </c>
    </row>
    <row r="20334" spans="1:2" ht="12.75" customHeight="1" x14ac:dyDescent="0.25">
      <c r="A20334" s="318">
        <v>97055768977</v>
      </c>
      <c r="B20334" s="318" t="s">
        <v>237</v>
      </c>
    </row>
    <row r="20335" spans="1:2" ht="12.75" customHeight="1" x14ac:dyDescent="0.25">
      <c r="A20335" s="318">
        <v>97055768978</v>
      </c>
      <c r="B20335" s="318" t="s">
        <v>237</v>
      </c>
    </row>
    <row r="20336" spans="1:2" ht="12.75" customHeight="1" x14ac:dyDescent="0.25">
      <c r="A20336" s="318">
        <v>97055768979</v>
      </c>
      <c r="B20336" s="318" t="s">
        <v>237</v>
      </c>
    </row>
    <row r="20337" spans="1:2" ht="12.75" customHeight="1" x14ac:dyDescent="0.25">
      <c r="A20337" s="318">
        <v>97055768980</v>
      </c>
      <c r="B20337" s="318" t="s">
        <v>237</v>
      </c>
    </row>
    <row r="20338" spans="1:2" ht="12.75" customHeight="1" x14ac:dyDescent="0.25">
      <c r="A20338" s="318">
        <v>97055768981</v>
      </c>
      <c r="B20338" s="318" t="s">
        <v>237</v>
      </c>
    </row>
    <row r="20339" spans="1:2" ht="12.75" customHeight="1" x14ac:dyDescent="0.25">
      <c r="A20339" s="318">
        <v>97055768982</v>
      </c>
      <c r="B20339" s="318" t="s">
        <v>237</v>
      </c>
    </row>
    <row r="20340" spans="1:2" ht="12.75" customHeight="1" x14ac:dyDescent="0.25">
      <c r="A20340" s="318">
        <v>97055768983</v>
      </c>
      <c r="B20340" s="318" t="s">
        <v>237</v>
      </c>
    </row>
    <row r="20341" spans="1:2" ht="12.75" customHeight="1" x14ac:dyDescent="0.25">
      <c r="A20341" s="318">
        <v>97055768984</v>
      </c>
      <c r="B20341" s="318" t="s">
        <v>237</v>
      </c>
    </row>
    <row r="20342" spans="1:2" ht="12.75" customHeight="1" x14ac:dyDescent="0.25">
      <c r="A20342" s="318">
        <v>97055769068</v>
      </c>
      <c r="B20342" s="318" t="s">
        <v>237</v>
      </c>
    </row>
    <row r="20343" spans="1:2" ht="12.75" customHeight="1" x14ac:dyDescent="0.25">
      <c r="A20343" s="318">
        <v>97055769069</v>
      </c>
      <c r="B20343" s="318" t="s">
        <v>237</v>
      </c>
    </row>
    <row r="20344" spans="1:2" ht="12.75" customHeight="1" x14ac:dyDescent="0.25">
      <c r="A20344" s="318">
        <v>97055769070</v>
      </c>
      <c r="B20344" s="318" t="s">
        <v>237</v>
      </c>
    </row>
    <row r="20345" spans="1:2" ht="12.75" customHeight="1" x14ac:dyDescent="0.25">
      <c r="A20345" s="318">
        <v>97055769071</v>
      </c>
      <c r="B20345" s="318" t="s">
        <v>237</v>
      </c>
    </row>
    <row r="20346" spans="1:2" ht="12.75" customHeight="1" x14ac:dyDescent="0.25">
      <c r="A20346" s="318">
        <v>97055769072</v>
      </c>
      <c r="B20346" s="318" t="s">
        <v>237</v>
      </c>
    </row>
    <row r="20347" spans="1:2" ht="12.75" customHeight="1" x14ac:dyDescent="0.25">
      <c r="A20347" s="318">
        <v>97055769073</v>
      </c>
      <c r="B20347" s="318" t="s">
        <v>237</v>
      </c>
    </row>
    <row r="20348" spans="1:2" ht="12.75" customHeight="1" x14ac:dyDescent="0.25">
      <c r="A20348" s="318">
        <v>97055769074</v>
      </c>
      <c r="B20348" s="318" t="s">
        <v>237</v>
      </c>
    </row>
    <row r="20349" spans="1:2" ht="12.75" customHeight="1" x14ac:dyDescent="0.25">
      <c r="A20349" s="318">
        <v>97055769075</v>
      </c>
      <c r="B20349" s="318" t="s">
        <v>237</v>
      </c>
    </row>
    <row r="20350" spans="1:2" ht="12.75" customHeight="1" x14ac:dyDescent="0.25">
      <c r="A20350" s="318">
        <v>97055769077</v>
      </c>
      <c r="B20350" s="318" t="s">
        <v>237</v>
      </c>
    </row>
    <row r="20351" spans="1:2" ht="12.75" customHeight="1" x14ac:dyDescent="0.25">
      <c r="A20351" s="318">
        <v>97055769078</v>
      </c>
      <c r="B20351" s="318" t="s">
        <v>237</v>
      </c>
    </row>
    <row r="20352" spans="1:2" ht="12.75" customHeight="1" x14ac:dyDescent="0.25">
      <c r="A20352" s="318">
        <v>97055769079</v>
      </c>
      <c r="B20352" s="318" t="s">
        <v>237</v>
      </c>
    </row>
    <row r="20353" spans="1:2" ht="12.75" customHeight="1" x14ac:dyDescent="0.25">
      <c r="A20353" s="318">
        <v>97055769080</v>
      </c>
      <c r="B20353" s="318" t="s">
        <v>237</v>
      </c>
    </row>
    <row r="20354" spans="1:2" ht="12.75" customHeight="1" x14ac:dyDescent="0.25">
      <c r="A20354" s="318">
        <v>97055769081</v>
      </c>
      <c r="B20354" s="318" t="s">
        <v>237</v>
      </c>
    </row>
    <row r="20355" spans="1:2" ht="12.75" customHeight="1" x14ac:dyDescent="0.25">
      <c r="A20355" s="318">
        <v>97055769082</v>
      </c>
      <c r="B20355" s="318" t="s">
        <v>237</v>
      </c>
    </row>
    <row r="20356" spans="1:2" ht="12.75" customHeight="1" x14ac:dyDescent="0.25">
      <c r="A20356" s="318">
        <v>97055769083</v>
      </c>
      <c r="B20356" s="318" t="s">
        <v>237</v>
      </c>
    </row>
    <row r="20357" spans="1:2" ht="12.75" customHeight="1" x14ac:dyDescent="0.25">
      <c r="A20357" s="318">
        <v>97055769084</v>
      </c>
      <c r="B20357" s="318" t="s">
        <v>237</v>
      </c>
    </row>
    <row r="20358" spans="1:2" ht="12.75" customHeight="1" x14ac:dyDescent="0.25">
      <c r="A20358" s="318">
        <v>97056249941</v>
      </c>
      <c r="B20358" s="318" t="s">
        <v>23</v>
      </c>
    </row>
    <row r="20359" spans="1:2" ht="12.75" customHeight="1" x14ac:dyDescent="0.25">
      <c r="A20359" s="318">
        <v>97056249942</v>
      </c>
      <c r="B20359" s="318" t="s">
        <v>23</v>
      </c>
    </row>
    <row r="20360" spans="1:2" ht="12.75" customHeight="1" x14ac:dyDescent="0.25">
      <c r="A20360" s="318">
        <v>97056249943</v>
      </c>
      <c r="B20360" s="318" t="s">
        <v>23</v>
      </c>
    </row>
    <row r="20361" spans="1:2" ht="12.75" customHeight="1" x14ac:dyDescent="0.25">
      <c r="A20361" s="318">
        <v>97056249944</v>
      </c>
      <c r="B20361" s="318" t="s">
        <v>23</v>
      </c>
    </row>
    <row r="20362" spans="1:2" ht="12.75" customHeight="1" x14ac:dyDescent="0.25">
      <c r="A20362" s="318">
        <v>97056249945</v>
      </c>
      <c r="B20362" s="318" t="s">
        <v>23</v>
      </c>
    </row>
    <row r="20363" spans="1:2" ht="12.75" customHeight="1" x14ac:dyDescent="0.25">
      <c r="A20363" s="318">
        <v>97056249946</v>
      </c>
      <c r="B20363" s="318" t="s">
        <v>23</v>
      </c>
    </row>
    <row r="20364" spans="1:2" ht="12.75" customHeight="1" x14ac:dyDescent="0.25">
      <c r="A20364" s="318">
        <v>97056249947</v>
      </c>
      <c r="B20364" s="318" t="s">
        <v>23</v>
      </c>
    </row>
    <row r="20365" spans="1:2" ht="12.75" customHeight="1" x14ac:dyDescent="0.25">
      <c r="A20365" s="318">
        <v>97056249948</v>
      </c>
      <c r="B20365" s="318" t="s">
        <v>23</v>
      </c>
    </row>
    <row r="20366" spans="1:2" ht="12.75" customHeight="1" x14ac:dyDescent="0.25">
      <c r="A20366" s="318">
        <v>97056249950</v>
      </c>
      <c r="B20366" s="318" t="s">
        <v>237</v>
      </c>
    </row>
    <row r="20367" spans="1:2" ht="12.75" customHeight="1" x14ac:dyDescent="0.25">
      <c r="A20367" s="318">
        <v>97056249951</v>
      </c>
      <c r="B20367" s="318" t="s">
        <v>237</v>
      </c>
    </row>
    <row r="20368" spans="1:2" ht="12.75" customHeight="1" x14ac:dyDescent="0.25">
      <c r="A20368" s="318">
        <v>97056249952</v>
      </c>
      <c r="B20368" s="318" t="s">
        <v>237</v>
      </c>
    </row>
    <row r="20369" spans="1:2" ht="12.75" customHeight="1" x14ac:dyDescent="0.25">
      <c r="A20369" s="318">
        <v>97056249953</v>
      </c>
      <c r="B20369" s="318" t="s">
        <v>237</v>
      </c>
    </row>
    <row r="20370" spans="1:2" ht="12.75" customHeight="1" x14ac:dyDescent="0.25">
      <c r="A20370" s="318">
        <v>97056249954</v>
      </c>
      <c r="B20370" s="318" t="s">
        <v>237</v>
      </c>
    </row>
    <row r="20371" spans="1:2" ht="12.75" customHeight="1" x14ac:dyDescent="0.25">
      <c r="A20371" s="318">
        <v>97056249955</v>
      </c>
      <c r="B20371" s="318" t="s">
        <v>237</v>
      </c>
    </row>
    <row r="20372" spans="1:2" ht="12.75" customHeight="1" x14ac:dyDescent="0.25">
      <c r="A20372" s="318">
        <v>97056249956</v>
      </c>
      <c r="B20372" s="318" t="s">
        <v>237</v>
      </c>
    </row>
    <row r="20373" spans="1:2" ht="12.75" customHeight="1" x14ac:dyDescent="0.25">
      <c r="A20373" s="318">
        <v>97056249957</v>
      </c>
      <c r="B20373" s="318" t="s">
        <v>237</v>
      </c>
    </row>
    <row r="20374" spans="1:2" ht="12.75" customHeight="1" x14ac:dyDescent="0.25">
      <c r="A20374" s="318">
        <v>97056250041</v>
      </c>
      <c r="B20374" s="318" t="s">
        <v>237</v>
      </c>
    </row>
    <row r="20375" spans="1:2" ht="12.75" customHeight="1" x14ac:dyDescent="0.25">
      <c r="A20375" s="318">
        <v>97056250042</v>
      </c>
      <c r="B20375" s="318" t="s">
        <v>237</v>
      </c>
    </row>
    <row r="20376" spans="1:2" ht="12.75" customHeight="1" x14ac:dyDescent="0.25">
      <c r="A20376" s="318">
        <v>97056250043</v>
      </c>
      <c r="B20376" s="318" t="s">
        <v>237</v>
      </c>
    </row>
    <row r="20377" spans="1:2" ht="12.75" customHeight="1" x14ac:dyDescent="0.25">
      <c r="A20377" s="318">
        <v>97056250044</v>
      </c>
      <c r="B20377" s="318" t="s">
        <v>237</v>
      </c>
    </row>
    <row r="20378" spans="1:2" ht="12.75" customHeight="1" x14ac:dyDescent="0.25">
      <c r="A20378" s="318">
        <v>97056250045</v>
      </c>
      <c r="B20378" s="318" t="s">
        <v>237</v>
      </c>
    </row>
    <row r="20379" spans="1:2" ht="12.75" customHeight="1" x14ac:dyDescent="0.25">
      <c r="A20379" s="318">
        <v>97056250046</v>
      </c>
      <c r="B20379" s="318" t="s">
        <v>237</v>
      </c>
    </row>
    <row r="20380" spans="1:2" ht="12.75" customHeight="1" x14ac:dyDescent="0.25">
      <c r="A20380" s="318">
        <v>97056250047</v>
      </c>
      <c r="B20380" s="318" t="s">
        <v>237</v>
      </c>
    </row>
    <row r="20381" spans="1:2" ht="12.75" customHeight="1" x14ac:dyDescent="0.25">
      <c r="A20381" s="318">
        <v>97056250048</v>
      </c>
      <c r="B20381" s="318" t="s">
        <v>237</v>
      </c>
    </row>
    <row r="20382" spans="1:2" ht="12.75" customHeight="1" x14ac:dyDescent="0.25">
      <c r="A20382" s="318">
        <v>97056250050</v>
      </c>
      <c r="B20382" s="318" t="s">
        <v>237</v>
      </c>
    </row>
    <row r="20383" spans="1:2" ht="12.75" customHeight="1" x14ac:dyDescent="0.25">
      <c r="A20383" s="318">
        <v>97056250051</v>
      </c>
      <c r="B20383" s="318" t="s">
        <v>237</v>
      </c>
    </row>
    <row r="20384" spans="1:2" ht="12.75" customHeight="1" x14ac:dyDescent="0.25">
      <c r="A20384" s="318">
        <v>97056250052</v>
      </c>
      <c r="B20384" s="318" t="s">
        <v>237</v>
      </c>
    </row>
    <row r="20385" spans="1:2" ht="12.75" customHeight="1" x14ac:dyDescent="0.25">
      <c r="A20385" s="318">
        <v>97056250053</v>
      </c>
      <c r="B20385" s="318" t="s">
        <v>237</v>
      </c>
    </row>
    <row r="20386" spans="1:2" ht="12.75" customHeight="1" x14ac:dyDescent="0.25">
      <c r="A20386" s="318">
        <v>97056250054</v>
      </c>
      <c r="B20386" s="318" t="s">
        <v>237</v>
      </c>
    </row>
    <row r="20387" spans="1:2" ht="12.75" customHeight="1" x14ac:dyDescent="0.25">
      <c r="A20387" s="318">
        <v>97056250055</v>
      </c>
      <c r="B20387" s="318" t="s">
        <v>237</v>
      </c>
    </row>
    <row r="20388" spans="1:2" ht="12.75" customHeight="1" x14ac:dyDescent="0.25">
      <c r="A20388" s="318">
        <v>97056250056</v>
      </c>
      <c r="B20388" s="318" t="s">
        <v>237</v>
      </c>
    </row>
    <row r="20389" spans="1:2" ht="12.75" customHeight="1" x14ac:dyDescent="0.25">
      <c r="A20389" s="318">
        <v>97056250057</v>
      </c>
      <c r="B20389" s="318" t="s">
        <v>237</v>
      </c>
    </row>
    <row r="20390" spans="1:2" ht="12.75" customHeight="1" x14ac:dyDescent="0.25">
      <c r="A20390" s="318">
        <v>97056730914</v>
      </c>
      <c r="B20390" s="318" t="s">
        <v>23</v>
      </c>
    </row>
    <row r="20391" spans="1:2" ht="12.75" customHeight="1" x14ac:dyDescent="0.25">
      <c r="A20391" s="318">
        <v>97056730915</v>
      </c>
      <c r="B20391" s="318" t="s">
        <v>23</v>
      </c>
    </row>
    <row r="20392" spans="1:2" ht="12.75" customHeight="1" x14ac:dyDescent="0.25">
      <c r="A20392" s="318">
        <v>97056730916</v>
      </c>
      <c r="B20392" s="318" t="s">
        <v>23</v>
      </c>
    </row>
    <row r="20393" spans="1:2" ht="12.75" customHeight="1" x14ac:dyDescent="0.25">
      <c r="A20393" s="318">
        <v>97056730917</v>
      </c>
      <c r="B20393" s="318" t="s">
        <v>23</v>
      </c>
    </row>
    <row r="20394" spans="1:2" ht="12.75" customHeight="1" x14ac:dyDescent="0.25">
      <c r="A20394" s="318">
        <v>97056730918</v>
      </c>
      <c r="B20394" s="318" t="s">
        <v>23</v>
      </c>
    </row>
    <row r="20395" spans="1:2" ht="12.75" customHeight="1" x14ac:dyDescent="0.25">
      <c r="A20395" s="318">
        <v>97056730919</v>
      </c>
      <c r="B20395" s="318" t="s">
        <v>23</v>
      </c>
    </row>
    <row r="20396" spans="1:2" ht="12.75" customHeight="1" x14ac:dyDescent="0.25">
      <c r="A20396" s="318">
        <v>97056730920</v>
      </c>
      <c r="B20396" s="318" t="s">
        <v>23</v>
      </c>
    </row>
    <row r="20397" spans="1:2" ht="12.75" customHeight="1" x14ac:dyDescent="0.25">
      <c r="A20397" s="318">
        <v>97056730921</v>
      </c>
      <c r="B20397" s="318" t="s">
        <v>23</v>
      </c>
    </row>
    <row r="20398" spans="1:2" ht="12.75" customHeight="1" x14ac:dyDescent="0.25">
      <c r="A20398" s="318">
        <v>97056730923</v>
      </c>
      <c r="B20398" s="318" t="s">
        <v>23</v>
      </c>
    </row>
    <row r="20399" spans="1:2" ht="12.75" customHeight="1" x14ac:dyDescent="0.25">
      <c r="A20399" s="318">
        <v>97056730924</v>
      </c>
      <c r="B20399" s="318" t="s">
        <v>23</v>
      </c>
    </row>
    <row r="20400" spans="1:2" ht="12.75" customHeight="1" x14ac:dyDescent="0.25">
      <c r="A20400" s="318">
        <v>97056730925</v>
      </c>
      <c r="B20400" s="318" t="s">
        <v>23</v>
      </c>
    </row>
    <row r="20401" spans="1:2" ht="12.75" customHeight="1" x14ac:dyDescent="0.25">
      <c r="A20401" s="318">
        <v>97056730926</v>
      </c>
      <c r="B20401" s="318" t="s">
        <v>23</v>
      </c>
    </row>
    <row r="20402" spans="1:2" ht="12.75" customHeight="1" x14ac:dyDescent="0.25">
      <c r="A20402" s="318">
        <v>97056730927</v>
      </c>
      <c r="B20402" s="318" t="s">
        <v>23</v>
      </c>
    </row>
    <row r="20403" spans="1:2" ht="12.75" customHeight="1" x14ac:dyDescent="0.25">
      <c r="A20403" s="318">
        <v>97056730928</v>
      </c>
      <c r="B20403" s="318" t="s">
        <v>23</v>
      </c>
    </row>
    <row r="20404" spans="1:2" ht="12.75" customHeight="1" x14ac:dyDescent="0.25">
      <c r="A20404" s="318">
        <v>97056730929</v>
      </c>
      <c r="B20404" s="318" t="s">
        <v>23</v>
      </c>
    </row>
    <row r="20405" spans="1:2" ht="12.75" customHeight="1" x14ac:dyDescent="0.25">
      <c r="A20405" s="318">
        <v>97056730930</v>
      </c>
      <c r="B20405" s="318" t="s">
        <v>23</v>
      </c>
    </row>
    <row r="20406" spans="1:2" ht="12.75" customHeight="1" x14ac:dyDescent="0.25">
      <c r="A20406" s="318">
        <v>97056731014</v>
      </c>
      <c r="B20406" s="318" t="s">
        <v>237</v>
      </c>
    </row>
    <row r="20407" spans="1:2" ht="12.75" customHeight="1" x14ac:dyDescent="0.25">
      <c r="A20407" s="318">
        <v>97056731015</v>
      </c>
      <c r="B20407" s="318" t="s">
        <v>237</v>
      </c>
    </row>
    <row r="20408" spans="1:2" ht="12.75" customHeight="1" x14ac:dyDescent="0.25">
      <c r="A20408" s="318">
        <v>97056731016</v>
      </c>
      <c r="B20408" s="318" t="s">
        <v>237</v>
      </c>
    </row>
    <row r="20409" spans="1:2" ht="12.75" customHeight="1" x14ac:dyDescent="0.25">
      <c r="A20409" s="318">
        <v>97056731017</v>
      </c>
      <c r="B20409" s="318" t="s">
        <v>237</v>
      </c>
    </row>
    <row r="20410" spans="1:2" ht="12.75" customHeight="1" x14ac:dyDescent="0.25">
      <c r="A20410" s="318">
        <v>97056731018</v>
      </c>
      <c r="B20410" s="318" t="s">
        <v>237</v>
      </c>
    </row>
    <row r="20411" spans="1:2" ht="12.75" customHeight="1" x14ac:dyDescent="0.25">
      <c r="A20411" s="318">
        <v>97056731019</v>
      </c>
      <c r="B20411" s="318" t="s">
        <v>237</v>
      </c>
    </row>
    <row r="20412" spans="1:2" ht="12.75" customHeight="1" x14ac:dyDescent="0.25">
      <c r="A20412" s="318">
        <v>97056731020</v>
      </c>
      <c r="B20412" s="318" t="s">
        <v>237</v>
      </c>
    </row>
    <row r="20413" spans="1:2" ht="12.75" customHeight="1" x14ac:dyDescent="0.25">
      <c r="A20413" s="318">
        <v>97056731021</v>
      </c>
      <c r="B20413" s="318" t="s">
        <v>237</v>
      </c>
    </row>
    <row r="20414" spans="1:2" ht="12.75" customHeight="1" x14ac:dyDescent="0.25">
      <c r="A20414" s="318">
        <v>97056731023</v>
      </c>
      <c r="B20414" s="318" t="s">
        <v>237</v>
      </c>
    </row>
    <row r="20415" spans="1:2" ht="12.75" customHeight="1" x14ac:dyDescent="0.25">
      <c r="A20415" s="318">
        <v>97056731024</v>
      </c>
      <c r="B20415" s="318" t="s">
        <v>237</v>
      </c>
    </row>
    <row r="20416" spans="1:2" ht="12.75" customHeight="1" x14ac:dyDescent="0.25">
      <c r="A20416" s="318">
        <v>97056731025</v>
      </c>
      <c r="B20416" s="318" t="s">
        <v>237</v>
      </c>
    </row>
    <row r="20417" spans="1:2" ht="12.75" customHeight="1" x14ac:dyDescent="0.25">
      <c r="A20417" s="318">
        <v>97056731026</v>
      </c>
      <c r="B20417" s="318" t="s">
        <v>237</v>
      </c>
    </row>
    <row r="20418" spans="1:2" ht="12.75" customHeight="1" x14ac:dyDescent="0.25">
      <c r="A20418" s="318">
        <v>97056731027</v>
      </c>
      <c r="B20418" s="318" t="s">
        <v>237</v>
      </c>
    </row>
    <row r="20419" spans="1:2" ht="12.75" customHeight="1" x14ac:dyDescent="0.25">
      <c r="A20419" s="318">
        <v>97056731028</v>
      </c>
      <c r="B20419" s="318" t="s">
        <v>237</v>
      </c>
    </row>
    <row r="20420" spans="1:2" ht="12.75" customHeight="1" x14ac:dyDescent="0.25">
      <c r="A20420" s="318">
        <v>97056731029</v>
      </c>
      <c r="B20420" s="318" t="s">
        <v>237</v>
      </c>
    </row>
    <row r="20421" spans="1:2" ht="12.75" customHeight="1" x14ac:dyDescent="0.25">
      <c r="A20421" s="318">
        <v>97056731030</v>
      </c>
      <c r="B20421" s="318" t="s">
        <v>237</v>
      </c>
    </row>
    <row r="20422" spans="1:2" ht="12.75" customHeight="1" x14ac:dyDescent="0.25">
      <c r="A20422" s="318">
        <v>97057411105</v>
      </c>
      <c r="B20422" s="318" t="s">
        <v>23</v>
      </c>
    </row>
    <row r="20423" spans="1:2" ht="12.75" customHeight="1" x14ac:dyDescent="0.25">
      <c r="A20423" s="318">
        <v>97057411106</v>
      </c>
      <c r="B20423" s="318" t="s">
        <v>23</v>
      </c>
    </row>
    <row r="20424" spans="1:2" ht="12.75" customHeight="1" x14ac:dyDescent="0.25">
      <c r="A20424" s="318">
        <v>97057411107</v>
      </c>
      <c r="B20424" s="318" t="s">
        <v>23</v>
      </c>
    </row>
    <row r="20425" spans="1:2" ht="12.75" customHeight="1" x14ac:dyDescent="0.25">
      <c r="A20425" s="318">
        <v>97057411108</v>
      </c>
      <c r="B20425" s="318" t="s">
        <v>23</v>
      </c>
    </row>
    <row r="20426" spans="1:2" ht="12.75" customHeight="1" x14ac:dyDescent="0.25">
      <c r="A20426" s="318">
        <v>97057411109</v>
      </c>
      <c r="B20426" s="318" t="s">
        <v>23</v>
      </c>
    </row>
    <row r="20427" spans="1:2" ht="12.75" customHeight="1" x14ac:dyDescent="0.25">
      <c r="A20427" s="318">
        <v>97057411110</v>
      </c>
      <c r="B20427" s="318" t="s">
        <v>23</v>
      </c>
    </row>
    <row r="20428" spans="1:2" ht="12.75" customHeight="1" x14ac:dyDescent="0.25">
      <c r="A20428" s="318">
        <v>97057411111</v>
      </c>
      <c r="B20428" s="318" t="s">
        <v>23</v>
      </c>
    </row>
    <row r="20429" spans="1:2" ht="12.75" customHeight="1" x14ac:dyDescent="0.25">
      <c r="A20429" s="318">
        <v>97057411112</v>
      </c>
      <c r="B20429" s="318" t="s">
        <v>23</v>
      </c>
    </row>
    <row r="20430" spans="1:2" ht="12.75" customHeight="1" x14ac:dyDescent="0.25">
      <c r="A20430" s="318">
        <v>97057411114</v>
      </c>
      <c r="B20430" s="318" t="s">
        <v>237</v>
      </c>
    </row>
    <row r="20431" spans="1:2" ht="12.75" customHeight="1" x14ac:dyDescent="0.25">
      <c r="A20431" s="318">
        <v>97057411115</v>
      </c>
      <c r="B20431" s="318" t="s">
        <v>237</v>
      </c>
    </row>
    <row r="20432" spans="1:2" ht="12.75" customHeight="1" x14ac:dyDescent="0.25">
      <c r="A20432" s="318">
        <v>97057411116</v>
      </c>
      <c r="B20432" s="318" t="s">
        <v>237</v>
      </c>
    </row>
    <row r="20433" spans="1:2" ht="12.75" customHeight="1" x14ac:dyDescent="0.25">
      <c r="A20433" s="318">
        <v>97057411117</v>
      </c>
      <c r="B20433" s="318" t="s">
        <v>237</v>
      </c>
    </row>
    <row r="20434" spans="1:2" ht="12.75" customHeight="1" x14ac:dyDescent="0.25">
      <c r="A20434" s="318">
        <v>97057411118</v>
      </c>
      <c r="B20434" s="318" t="s">
        <v>237</v>
      </c>
    </row>
    <row r="20435" spans="1:2" ht="12.75" customHeight="1" x14ac:dyDescent="0.25">
      <c r="A20435" s="318">
        <v>97057411119</v>
      </c>
      <c r="B20435" s="318" t="s">
        <v>237</v>
      </c>
    </row>
    <row r="20436" spans="1:2" ht="12.75" customHeight="1" x14ac:dyDescent="0.25">
      <c r="A20436" s="318">
        <v>97057411120</v>
      </c>
      <c r="B20436" s="318" t="s">
        <v>237</v>
      </c>
    </row>
    <row r="20437" spans="1:2" ht="12.75" customHeight="1" x14ac:dyDescent="0.25">
      <c r="A20437" s="318">
        <v>97057411121</v>
      </c>
      <c r="B20437" s="318" t="s">
        <v>237</v>
      </c>
    </row>
    <row r="20438" spans="1:2" ht="12.75" customHeight="1" x14ac:dyDescent="0.25">
      <c r="A20438" s="318">
        <v>97057411205</v>
      </c>
      <c r="B20438" s="318" t="s">
        <v>237</v>
      </c>
    </row>
    <row r="20439" spans="1:2" ht="12.75" customHeight="1" x14ac:dyDescent="0.25">
      <c r="A20439" s="318">
        <v>97057411206</v>
      </c>
      <c r="B20439" s="318" t="s">
        <v>237</v>
      </c>
    </row>
    <row r="20440" spans="1:2" ht="12.75" customHeight="1" x14ac:dyDescent="0.25">
      <c r="A20440" s="318">
        <v>97057411207</v>
      </c>
      <c r="B20440" s="318" t="s">
        <v>237</v>
      </c>
    </row>
    <row r="20441" spans="1:2" ht="12.75" customHeight="1" x14ac:dyDescent="0.25">
      <c r="A20441" s="318">
        <v>97057411208</v>
      </c>
      <c r="B20441" s="318" t="s">
        <v>237</v>
      </c>
    </row>
    <row r="20442" spans="1:2" ht="12.75" customHeight="1" x14ac:dyDescent="0.25">
      <c r="A20442" s="318">
        <v>97057411209</v>
      </c>
      <c r="B20442" s="318" t="s">
        <v>237</v>
      </c>
    </row>
    <row r="20443" spans="1:2" ht="12.75" customHeight="1" x14ac:dyDescent="0.25">
      <c r="A20443" s="318">
        <v>97057411210</v>
      </c>
      <c r="B20443" s="318" t="s">
        <v>237</v>
      </c>
    </row>
    <row r="20444" spans="1:2" ht="12.75" customHeight="1" x14ac:dyDescent="0.25">
      <c r="A20444" s="318">
        <v>97057411211</v>
      </c>
      <c r="B20444" s="318" t="s">
        <v>237</v>
      </c>
    </row>
    <row r="20445" spans="1:2" ht="12.75" customHeight="1" x14ac:dyDescent="0.25">
      <c r="A20445" s="318">
        <v>97057411212</v>
      </c>
      <c r="B20445" s="318" t="s">
        <v>237</v>
      </c>
    </row>
    <row r="20446" spans="1:2" ht="12.75" customHeight="1" x14ac:dyDescent="0.25">
      <c r="A20446" s="318">
        <v>97057411214</v>
      </c>
      <c r="B20446" s="318" t="s">
        <v>237</v>
      </c>
    </row>
    <row r="20447" spans="1:2" ht="12.75" customHeight="1" x14ac:dyDescent="0.25">
      <c r="A20447" s="318">
        <v>97057411215</v>
      </c>
      <c r="B20447" s="318" t="s">
        <v>237</v>
      </c>
    </row>
    <row r="20448" spans="1:2" ht="12.75" customHeight="1" x14ac:dyDescent="0.25">
      <c r="A20448" s="318">
        <v>97057411216</v>
      </c>
      <c r="B20448" s="318" t="s">
        <v>237</v>
      </c>
    </row>
    <row r="20449" spans="1:2" ht="12.75" customHeight="1" x14ac:dyDescent="0.25">
      <c r="A20449" s="318">
        <v>97057411217</v>
      </c>
      <c r="B20449" s="318" t="s">
        <v>237</v>
      </c>
    </row>
    <row r="20450" spans="1:2" ht="12.75" customHeight="1" x14ac:dyDescent="0.25">
      <c r="A20450" s="318">
        <v>97057411218</v>
      </c>
      <c r="B20450" s="318" t="s">
        <v>237</v>
      </c>
    </row>
    <row r="20451" spans="1:2" ht="12.75" customHeight="1" x14ac:dyDescent="0.25">
      <c r="A20451" s="318">
        <v>97057411219</v>
      </c>
      <c r="B20451" s="318" t="s">
        <v>237</v>
      </c>
    </row>
    <row r="20452" spans="1:2" ht="12.75" customHeight="1" x14ac:dyDescent="0.25">
      <c r="A20452" s="318">
        <v>97057411220</v>
      </c>
      <c r="B20452" s="318" t="s">
        <v>237</v>
      </c>
    </row>
    <row r="20453" spans="1:2" ht="12.75" customHeight="1" x14ac:dyDescent="0.25">
      <c r="A20453" s="318">
        <v>97057411221</v>
      </c>
      <c r="B20453" s="318" t="s">
        <v>237</v>
      </c>
    </row>
    <row r="20454" spans="1:2" ht="12.75" customHeight="1" x14ac:dyDescent="0.25">
      <c r="A20454" s="318">
        <v>97057892078</v>
      </c>
      <c r="B20454" s="318" t="s">
        <v>23</v>
      </c>
    </row>
    <row r="20455" spans="1:2" ht="12.75" customHeight="1" x14ac:dyDescent="0.25">
      <c r="A20455" s="318">
        <v>97057892079</v>
      </c>
      <c r="B20455" s="318" t="s">
        <v>23</v>
      </c>
    </row>
    <row r="20456" spans="1:2" ht="12.75" customHeight="1" x14ac:dyDescent="0.25">
      <c r="A20456" s="318">
        <v>97057892080</v>
      </c>
      <c r="B20456" s="318" t="s">
        <v>23</v>
      </c>
    </row>
    <row r="20457" spans="1:2" ht="12.75" customHeight="1" x14ac:dyDescent="0.25">
      <c r="A20457" s="318">
        <v>97057892081</v>
      </c>
      <c r="B20457" s="318" t="s">
        <v>23</v>
      </c>
    </row>
    <row r="20458" spans="1:2" ht="12.75" customHeight="1" x14ac:dyDescent="0.25">
      <c r="A20458" s="318">
        <v>97057892082</v>
      </c>
      <c r="B20458" s="318" t="s">
        <v>23</v>
      </c>
    </row>
    <row r="20459" spans="1:2" ht="12.75" customHeight="1" x14ac:dyDescent="0.25">
      <c r="A20459" s="318">
        <v>97057892083</v>
      </c>
      <c r="B20459" s="318" t="s">
        <v>23</v>
      </c>
    </row>
    <row r="20460" spans="1:2" ht="12.75" customHeight="1" x14ac:dyDescent="0.25">
      <c r="A20460" s="318">
        <v>97057892084</v>
      </c>
      <c r="B20460" s="318" t="s">
        <v>23</v>
      </c>
    </row>
    <row r="20461" spans="1:2" ht="12.75" customHeight="1" x14ac:dyDescent="0.25">
      <c r="A20461" s="318">
        <v>97057892085</v>
      </c>
      <c r="B20461" s="318" t="s">
        <v>23</v>
      </c>
    </row>
    <row r="20462" spans="1:2" ht="12.75" customHeight="1" x14ac:dyDescent="0.25">
      <c r="A20462" s="318">
        <v>97057892087</v>
      </c>
      <c r="B20462" s="318" t="s">
        <v>237</v>
      </c>
    </row>
    <row r="20463" spans="1:2" ht="12.75" customHeight="1" x14ac:dyDescent="0.25">
      <c r="A20463" s="318">
        <v>97057892088</v>
      </c>
      <c r="B20463" s="318" t="s">
        <v>237</v>
      </c>
    </row>
    <row r="20464" spans="1:2" ht="12.75" customHeight="1" x14ac:dyDescent="0.25">
      <c r="A20464" s="318">
        <v>97057892089</v>
      </c>
      <c r="B20464" s="318" t="s">
        <v>237</v>
      </c>
    </row>
    <row r="20465" spans="1:2" ht="12.75" customHeight="1" x14ac:dyDescent="0.25">
      <c r="A20465" s="318">
        <v>97057892090</v>
      </c>
      <c r="B20465" s="318" t="s">
        <v>237</v>
      </c>
    </row>
    <row r="20466" spans="1:2" ht="12.75" customHeight="1" x14ac:dyDescent="0.25">
      <c r="A20466" s="318">
        <v>97057892091</v>
      </c>
      <c r="B20466" s="318" t="s">
        <v>237</v>
      </c>
    </row>
    <row r="20467" spans="1:2" ht="12.75" customHeight="1" x14ac:dyDescent="0.25">
      <c r="A20467" s="318">
        <v>97057892092</v>
      </c>
      <c r="B20467" s="318" t="s">
        <v>237</v>
      </c>
    </row>
    <row r="20468" spans="1:2" ht="12.75" customHeight="1" x14ac:dyDescent="0.25">
      <c r="A20468" s="318">
        <v>97057892093</v>
      </c>
      <c r="B20468" s="318" t="s">
        <v>237</v>
      </c>
    </row>
    <row r="20469" spans="1:2" ht="12.75" customHeight="1" x14ac:dyDescent="0.25">
      <c r="A20469" s="318">
        <v>97057892094</v>
      </c>
      <c r="B20469" s="318" t="s">
        <v>237</v>
      </c>
    </row>
    <row r="20470" spans="1:2" ht="12.75" customHeight="1" x14ac:dyDescent="0.25">
      <c r="A20470" s="318">
        <v>97057892178</v>
      </c>
      <c r="B20470" s="318" t="s">
        <v>237</v>
      </c>
    </row>
    <row r="20471" spans="1:2" ht="12.75" customHeight="1" x14ac:dyDescent="0.25">
      <c r="A20471" s="318">
        <v>97057892179</v>
      </c>
      <c r="B20471" s="318" t="s">
        <v>237</v>
      </c>
    </row>
    <row r="20472" spans="1:2" ht="12.75" customHeight="1" x14ac:dyDescent="0.25">
      <c r="A20472" s="318">
        <v>97057892180</v>
      </c>
      <c r="B20472" s="318" t="s">
        <v>237</v>
      </c>
    </row>
    <row r="20473" spans="1:2" ht="12.75" customHeight="1" x14ac:dyDescent="0.25">
      <c r="A20473" s="318">
        <v>97057892181</v>
      </c>
      <c r="B20473" s="318" t="s">
        <v>237</v>
      </c>
    </row>
    <row r="20474" spans="1:2" ht="12.75" customHeight="1" x14ac:dyDescent="0.25">
      <c r="A20474" s="318">
        <v>97057892182</v>
      </c>
      <c r="B20474" s="318" t="s">
        <v>237</v>
      </c>
    </row>
    <row r="20475" spans="1:2" ht="12.75" customHeight="1" x14ac:dyDescent="0.25">
      <c r="A20475" s="318">
        <v>97057892183</v>
      </c>
      <c r="B20475" s="318" t="s">
        <v>237</v>
      </c>
    </row>
    <row r="20476" spans="1:2" ht="12.75" customHeight="1" x14ac:dyDescent="0.25">
      <c r="A20476" s="318">
        <v>97057892184</v>
      </c>
      <c r="B20476" s="318" t="s">
        <v>237</v>
      </c>
    </row>
    <row r="20477" spans="1:2" ht="12.75" customHeight="1" x14ac:dyDescent="0.25">
      <c r="A20477" s="318">
        <v>97057892185</v>
      </c>
      <c r="B20477" s="318" t="s">
        <v>237</v>
      </c>
    </row>
    <row r="20478" spans="1:2" ht="12.75" customHeight="1" x14ac:dyDescent="0.25">
      <c r="A20478" s="318">
        <v>97057892187</v>
      </c>
      <c r="B20478" s="318" t="s">
        <v>237</v>
      </c>
    </row>
    <row r="20479" spans="1:2" ht="12.75" customHeight="1" x14ac:dyDescent="0.25">
      <c r="A20479" s="318">
        <v>97057892188</v>
      </c>
      <c r="B20479" s="318" t="s">
        <v>237</v>
      </c>
    </row>
    <row r="20480" spans="1:2" ht="12.75" customHeight="1" x14ac:dyDescent="0.25">
      <c r="A20480" s="318">
        <v>97057892189</v>
      </c>
      <c r="B20480" s="318" t="s">
        <v>237</v>
      </c>
    </row>
    <row r="20481" spans="1:2" ht="12.75" customHeight="1" x14ac:dyDescent="0.25">
      <c r="A20481" s="318">
        <v>97057892190</v>
      </c>
      <c r="B20481" s="318" t="s">
        <v>237</v>
      </c>
    </row>
    <row r="20482" spans="1:2" ht="12.75" customHeight="1" x14ac:dyDescent="0.25">
      <c r="A20482" s="318">
        <v>97057892191</v>
      </c>
      <c r="B20482" s="318" t="s">
        <v>237</v>
      </c>
    </row>
    <row r="20483" spans="1:2" ht="12.75" customHeight="1" x14ac:dyDescent="0.25">
      <c r="A20483" s="318">
        <v>97057892192</v>
      </c>
      <c r="B20483" s="318" t="s">
        <v>237</v>
      </c>
    </row>
    <row r="20484" spans="1:2" ht="12.75" customHeight="1" x14ac:dyDescent="0.25">
      <c r="A20484" s="318">
        <v>97057892193</v>
      </c>
      <c r="B20484" s="318" t="s">
        <v>237</v>
      </c>
    </row>
    <row r="20485" spans="1:2" ht="12.75" customHeight="1" x14ac:dyDescent="0.25">
      <c r="A20485" s="318">
        <v>97057892194</v>
      </c>
      <c r="B20485" s="318" t="s">
        <v>237</v>
      </c>
    </row>
    <row r="20486" spans="1:2" ht="12.75" customHeight="1" x14ac:dyDescent="0.25">
      <c r="A20486" s="318">
        <v>97058373051</v>
      </c>
      <c r="B20486" s="318" t="s">
        <v>23</v>
      </c>
    </row>
    <row r="20487" spans="1:2" ht="12.75" customHeight="1" x14ac:dyDescent="0.25">
      <c r="A20487" s="318">
        <v>97058373052</v>
      </c>
      <c r="B20487" s="318" t="s">
        <v>23</v>
      </c>
    </row>
    <row r="20488" spans="1:2" ht="12.75" customHeight="1" x14ac:dyDescent="0.25">
      <c r="A20488" s="318">
        <v>97058373053</v>
      </c>
      <c r="B20488" s="318" t="s">
        <v>23</v>
      </c>
    </row>
    <row r="20489" spans="1:2" ht="12.75" customHeight="1" x14ac:dyDescent="0.25">
      <c r="A20489" s="318">
        <v>97058373054</v>
      </c>
      <c r="B20489" s="318" t="s">
        <v>23</v>
      </c>
    </row>
    <row r="20490" spans="1:2" ht="12.75" customHeight="1" x14ac:dyDescent="0.25">
      <c r="A20490" s="318">
        <v>97058373055</v>
      </c>
      <c r="B20490" s="318" t="s">
        <v>23</v>
      </c>
    </row>
    <row r="20491" spans="1:2" ht="12.75" customHeight="1" x14ac:dyDescent="0.25">
      <c r="A20491" s="318">
        <v>97058373056</v>
      </c>
      <c r="B20491" s="318" t="s">
        <v>23</v>
      </c>
    </row>
    <row r="20492" spans="1:2" ht="12.75" customHeight="1" x14ac:dyDescent="0.25">
      <c r="A20492" s="318">
        <v>97058373057</v>
      </c>
      <c r="B20492" s="318" t="s">
        <v>23</v>
      </c>
    </row>
    <row r="20493" spans="1:2" ht="12.75" customHeight="1" x14ac:dyDescent="0.25">
      <c r="A20493" s="318">
        <v>97058373058</v>
      </c>
      <c r="B20493" s="318" t="s">
        <v>23</v>
      </c>
    </row>
    <row r="20494" spans="1:2" ht="12.75" customHeight="1" x14ac:dyDescent="0.25">
      <c r="A20494" s="318">
        <v>97058373060</v>
      </c>
      <c r="B20494" s="318" t="s">
        <v>23</v>
      </c>
    </row>
    <row r="20495" spans="1:2" ht="12.75" customHeight="1" x14ac:dyDescent="0.25">
      <c r="A20495" s="318">
        <v>97058373061</v>
      </c>
      <c r="B20495" s="318" t="s">
        <v>23</v>
      </c>
    </row>
    <row r="20496" spans="1:2" ht="12.75" customHeight="1" x14ac:dyDescent="0.25">
      <c r="A20496" s="318">
        <v>97058373062</v>
      </c>
      <c r="B20496" s="318" t="s">
        <v>23</v>
      </c>
    </row>
    <row r="20497" spans="1:2" ht="12.75" customHeight="1" x14ac:dyDescent="0.25">
      <c r="A20497" s="318">
        <v>97058373063</v>
      </c>
      <c r="B20497" s="318" t="s">
        <v>23</v>
      </c>
    </row>
    <row r="20498" spans="1:2" ht="12.75" customHeight="1" x14ac:dyDescent="0.25">
      <c r="A20498" s="318">
        <v>97058373064</v>
      </c>
      <c r="B20498" s="318" t="s">
        <v>23</v>
      </c>
    </row>
    <row r="20499" spans="1:2" ht="12.75" customHeight="1" x14ac:dyDescent="0.25">
      <c r="A20499" s="318">
        <v>97058373065</v>
      </c>
      <c r="B20499" s="318" t="s">
        <v>23</v>
      </c>
    </row>
    <row r="20500" spans="1:2" ht="12.75" customHeight="1" x14ac:dyDescent="0.25">
      <c r="A20500" s="318">
        <v>97058373066</v>
      </c>
      <c r="B20500" s="318" t="s">
        <v>23</v>
      </c>
    </row>
    <row r="20501" spans="1:2" ht="12.75" customHeight="1" x14ac:dyDescent="0.25">
      <c r="A20501" s="318">
        <v>97058373067</v>
      </c>
      <c r="B20501" s="318" t="s">
        <v>23</v>
      </c>
    </row>
    <row r="20502" spans="1:2" ht="12.75" customHeight="1" x14ac:dyDescent="0.25">
      <c r="A20502" s="318">
        <v>97058373151</v>
      </c>
      <c r="B20502" s="318" t="s">
        <v>237</v>
      </c>
    </row>
    <row r="20503" spans="1:2" ht="12.75" customHeight="1" x14ac:dyDescent="0.25">
      <c r="A20503" s="318">
        <v>97058373152</v>
      </c>
      <c r="B20503" s="318" t="s">
        <v>237</v>
      </c>
    </row>
    <row r="20504" spans="1:2" ht="12.75" customHeight="1" x14ac:dyDescent="0.25">
      <c r="A20504" s="318">
        <v>97058373153</v>
      </c>
      <c r="B20504" s="318" t="s">
        <v>237</v>
      </c>
    </row>
    <row r="20505" spans="1:2" ht="12.75" customHeight="1" x14ac:dyDescent="0.25">
      <c r="A20505" s="318">
        <v>97058373154</v>
      </c>
      <c r="B20505" s="318" t="s">
        <v>237</v>
      </c>
    </row>
    <row r="20506" spans="1:2" ht="12.75" customHeight="1" x14ac:dyDescent="0.25">
      <c r="A20506" s="318">
        <v>97058373155</v>
      </c>
      <c r="B20506" s="318" t="s">
        <v>237</v>
      </c>
    </row>
    <row r="20507" spans="1:2" ht="12.75" customHeight="1" x14ac:dyDescent="0.25">
      <c r="A20507" s="318">
        <v>97058373156</v>
      </c>
      <c r="B20507" s="318" t="s">
        <v>237</v>
      </c>
    </row>
    <row r="20508" spans="1:2" ht="12.75" customHeight="1" x14ac:dyDescent="0.25">
      <c r="A20508" s="318">
        <v>97058373157</v>
      </c>
      <c r="B20508" s="318" t="s">
        <v>237</v>
      </c>
    </row>
    <row r="20509" spans="1:2" ht="12.75" customHeight="1" x14ac:dyDescent="0.25">
      <c r="A20509" s="318">
        <v>97058373158</v>
      </c>
      <c r="B20509" s="318" t="s">
        <v>237</v>
      </c>
    </row>
    <row r="20510" spans="1:2" ht="12.75" customHeight="1" x14ac:dyDescent="0.25">
      <c r="A20510" s="318">
        <v>97058373160</v>
      </c>
      <c r="B20510" s="318" t="s">
        <v>237</v>
      </c>
    </row>
    <row r="20511" spans="1:2" ht="12.75" customHeight="1" x14ac:dyDescent="0.25">
      <c r="A20511" s="318">
        <v>97058373161</v>
      </c>
      <c r="B20511" s="318" t="s">
        <v>237</v>
      </c>
    </row>
    <row r="20512" spans="1:2" ht="12.75" customHeight="1" x14ac:dyDescent="0.25">
      <c r="A20512" s="318">
        <v>97058373162</v>
      </c>
      <c r="B20512" s="318" t="s">
        <v>237</v>
      </c>
    </row>
    <row r="20513" spans="1:2" ht="12.75" customHeight="1" x14ac:dyDescent="0.25">
      <c r="A20513" s="318">
        <v>97058373163</v>
      </c>
      <c r="B20513" s="318" t="s">
        <v>237</v>
      </c>
    </row>
    <row r="20514" spans="1:2" ht="12.75" customHeight="1" x14ac:dyDescent="0.25">
      <c r="A20514" s="318">
        <v>97058373164</v>
      </c>
      <c r="B20514" s="318" t="s">
        <v>237</v>
      </c>
    </row>
    <row r="20515" spans="1:2" ht="12.75" customHeight="1" x14ac:dyDescent="0.25">
      <c r="A20515" s="318">
        <v>97058373165</v>
      </c>
      <c r="B20515" s="318" t="s">
        <v>237</v>
      </c>
    </row>
    <row r="20516" spans="1:2" ht="12.75" customHeight="1" x14ac:dyDescent="0.25">
      <c r="A20516" s="318">
        <v>97058373166</v>
      </c>
      <c r="B20516" s="318" t="s">
        <v>237</v>
      </c>
    </row>
    <row r="20517" spans="1:2" ht="12.75" customHeight="1" x14ac:dyDescent="0.25">
      <c r="A20517" s="318">
        <v>97058373167</v>
      </c>
      <c r="B20517" s="318" t="s">
        <v>237</v>
      </c>
    </row>
    <row r="20518" spans="1:2" ht="12.75" customHeight="1" x14ac:dyDescent="0.25">
      <c r="A20518" s="318">
        <v>97059053242</v>
      </c>
      <c r="B20518" s="318" t="s">
        <v>23</v>
      </c>
    </row>
    <row r="20519" spans="1:2" ht="12.75" customHeight="1" x14ac:dyDescent="0.25">
      <c r="A20519" s="318">
        <v>97059053243</v>
      </c>
      <c r="B20519" s="318" t="s">
        <v>23</v>
      </c>
    </row>
    <row r="20520" spans="1:2" ht="12.75" customHeight="1" x14ac:dyDescent="0.25">
      <c r="A20520" s="318">
        <v>97059053244</v>
      </c>
      <c r="B20520" s="318" t="s">
        <v>23</v>
      </c>
    </row>
    <row r="20521" spans="1:2" ht="12.75" customHeight="1" x14ac:dyDescent="0.25">
      <c r="A20521" s="318">
        <v>97059053245</v>
      </c>
      <c r="B20521" s="318" t="s">
        <v>23</v>
      </c>
    </row>
    <row r="20522" spans="1:2" ht="12.75" customHeight="1" x14ac:dyDescent="0.25">
      <c r="A20522" s="318">
        <v>97059053246</v>
      </c>
      <c r="B20522" s="318" t="s">
        <v>23</v>
      </c>
    </row>
    <row r="20523" spans="1:2" ht="12.75" customHeight="1" x14ac:dyDescent="0.25">
      <c r="A20523" s="318">
        <v>97059053247</v>
      </c>
      <c r="B20523" s="318" t="s">
        <v>23</v>
      </c>
    </row>
    <row r="20524" spans="1:2" ht="12.75" customHeight="1" x14ac:dyDescent="0.25">
      <c r="A20524" s="318">
        <v>97059053248</v>
      </c>
      <c r="B20524" s="318" t="s">
        <v>23</v>
      </c>
    </row>
    <row r="20525" spans="1:2" ht="12.75" customHeight="1" x14ac:dyDescent="0.25">
      <c r="A20525" s="318">
        <v>97059053249</v>
      </c>
      <c r="B20525" s="318" t="s">
        <v>23</v>
      </c>
    </row>
    <row r="20526" spans="1:2" ht="12.75" customHeight="1" x14ac:dyDescent="0.25">
      <c r="A20526" s="318">
        <v>97059053251</v>
      </c>
      <c r="B20526" s="318" t="s">
        <v>23</v>
      </c>
    </row>
    <row r="20527" spans="1:2" ht="12.75" customHeight="1" x14ac:dyDescent="0.25">
      <c r="A20527" s="318">
        <v>97059053252</v>
      </c>
      <c r="B20527" s="318" t="s">
        <v>23</v>
      </c>
    </row>
    <row r="20528" spans="1:2" ht="12.75" customHeight="1" x14ac:dyDescent="0.25">
      <c r="A20528" s="318">
        <v>97059053253</v>
      </c>
      <c r="B20528" s="318" t="s">
        <v>23</v>
      </c>
    </row>
    <row r="20529" spans="1:2" ht="12.75" customHeight="1" x14ac:dyDescent="0.25">
      <c r="A20529" s="318">
        <v>97059053254</v>
      </c>
      <c r="B20529" s="318" t="s">
        <v>23</v>
      </c>
    </row>
    <row r="20530" spans="1:2" ht="12.75" customHeight="1" x14ac:dyDescent="0.25">
      <c r="A20530" s="318">
        <v>97059053255</v>
      </c>
      <c r="B20530" s="318" t="s">
        <v>23</v>
      </c>
    </row>
    <row r="20531" spans="1:2" ht="12.75" customHeight="1" x14ac:dyDescent="0.25">
      <c r="A20531" s="318">
        <v>97059053256</v>
      </c>
      <c r="B20531" s="318" t="s">
        <v>23</v>
      </c>
    </row>
    <row r="20532" spans="1:2" ht="12.75" customHeight="1" x14ac:dyDescent="0.25">
      <c r="A20532" s="318">
        <v>97059053257</v>
      </c>
      <c r="B20532" s="318" t="s">
        <v>23</v>
      </c>
    </row>
    <row r="20533" spans="1:2" ht="12.75" customHeight="1" x14ac:dyDescent="0.25">
      <c r="A20533" s="318">
        <v>97059053258</v>
      </c>
      <c r="B20533" s="318" t="s">
        <v>23</v>
      </c>
    </row>
    <row r="20534" spans="1:2" ht="12.75" customHeight="1" x14ac:dyDescent="0.25">
      <c r="A20534" s="318">
        <v>97059053342</v>
      </c>
      <c r="B20534" s="318" t="s">
        <v>237</v>
      </c>
    </row>
    <row r="20535" spans="1:2" ht="12.75" customHeight="1" x14ac:dyDescent="0.25">
      <c r="A20535" s="318">
        <v>97059053343</v>
      </c>
      <c r="B20535" s="318" t="s">
        <v>237</v>
      </c>
    </row>
    <row r="20536" spans="1:2" ht="12.75" customHeight="1" x14ac:dyDescent="0.25">
      <c r="A20536" s="318">
        <v>97059053344</v>
      </c>
      <c r="B20536" s="318" t="s">
        <v>237</v>
      </c>
    </row>
    <row r="20537" spans="1:2" ht="12.75" customHeight="1" x14ac:dyDescent="0.25">
      <c r="A20537" s="318">
        <v>97059053345</v>
      </c>
      <c r="B20537" s="318" t="s">
        <v>237</v>
      </c>
    </row>
    <row r="20538" spans="1:2" ht="12.75" customHeight="1" x14ac:dyDescent="0.25">
      <c r="A20538" s="318">
        <v>97059053346</v>
      </c>
      <c r="B20538" s="318" t="s">
        <v>237</v>
      </c>
    </row>
    <row r="20539" spans="1:2" ht="12.75" customHeight="1" x14ac:dyDescent="0.25">
      <c r="A20539" s="318">
        <v>97059053347</v>
      </c>
      <c r="B20539" s="318" t="s">
        <v>237</v>
      </c>
    </row>
    <row r="20540" spans="1:2" ht="12.75" customHeight="1" x14ac:dyDescent="0.25">
      <c r="A20540" s="318">
        <v>97059053348</v>
      </c>
      <c r="B20540" s="318" t="s">
        <v>237</v>
      </c>
    </row>
    <row r="20541" spans="1:2" ht="12.75" customHeight="1" x14ac:dyDescent="0.25">
      <c r="A20541" s="318">
        <v>97059053349</v>
      </c>
      <c r="B20541" s="318" t="s">
        <v>237</v>
      </c>
    </row>
    <row r="20542" spans="1:2" ht="12.75" customHeight="1" x14ac:dyDescent="0.25">
      <c r="A20542" s="318">
        <v>97059053351</v>
      </c>
      <c r="B20542" s="318" t="s">
        <v>237</v>
      </c>
    </row>
    <row r="20543" spans="1:2" ht="12.75" customHeight="1" x14ac:dyDescent="0.25">
      <c r="A20543" s="318">
        <v>97059053352</v>
      </c>
      <c r="B20543" s="318" t="s">
        <v>237</v>
      </c>
    </row>
    <row r="20544" spans="1:2" ht="12.75" customHeight="1" x14ac:dyDescent="0.25">
      <c r="A20544" s="318">
        <v>97059053353</v>
      </c>
      <c r="B20544" s="318" t="s">
        <v>237</v>
      </c>
    </row>
    <row r="20545" spans="1:2" ht="12.75" customHeight="1" x14ac:dyDescent="0.25">
      <c r="A20545" s="318">
        <v>97059053354</v>
      </c>
      <c r="B20545" s="318" t="s">
        <v>237</v>
      </c>
    </row>
    <row r="20546" spans="1:2" ht="12.75" customHeight="1" x14ac:dyDescent="0.25">
      <c r="A20546" s="318">
        <v>97059053355</v>
      </c>
      <c r="B20546" s="318" t="s">
        <v>237</v>
      </c>
    </row>
    <row r="20547" spans="1:2" ht="12.75" customHeight="1" x14ac:dyDescent="0.25">
      <c r="A20547" s="318">
        <v>97059053356</v>
      </c>
      <c r="B20547" s="318" t="s">
        <v>237</v>
      </c>
    </row>
    <row r="20548" spans="1:2" ht="12.75" customHeight="1" x14ac:dyDescent="0.25">
      <c r="A20548" s="318">
        <v>97059053357</v>
      </c>
      <c r="B20548" s="318" t="s">
        <v>237</v>
      </c>
    </row>
    <row r="20549" spans="1:2" ht="12.75" customHeight="1" x14ac:dyDescent="0.25">
      <c r="A20549" s="318">
        <v>97059053358</v>
      </c>
      <c r="B20549" s="318" t="s">
        <v>237</v>
      </c>
    </row>
    <row r="20550" spans="1:2" ht="12.75" customHeight="1" x14ac:dyDescent="0.25">
      <c r="A20550" s="318">
        <v>97059534215</v>
      </c>
      <c r="B20550" s="318" t="s">
        <v>23</v>
      </c>
    </row>
    <row r="20551" spans="1:2" ht="12.75" customHeight="1" x14ac:dyDescent="0.25">
      <c r="A20551" s="318">
        <v>97059534216</v>
      </c>
      <c r="B20551" s="318" t="s">
        <v>23</v>
      </c>
    </row>
    <row r="20552" spans="1:2" ht="12.75" customHeight="1" x14ac:dyDescent="0.25">
      <c r="A20552" s="318">
        <v>97059534217</v>
      </c>
      <c r="B20552" s="318" t="s">
        <v>23</v>
      </c>
    </row>
    <row r="20553" spans="1:2" ht="12.75" customHeight="1" x14ac:dyDescent="0.25">
      <c r="A20553" s="318">
        <v>97059534218</v>
      </c>
      <c r="B20553" s="318" t="s">
        <v>23</v>
      </c>
    </row>
    <row r="20554" spans="1:2" ht="12.75" customHeight="1" x14ac:dyDescent="0.25">
      <c r="A20554" s="318">
        <v>97059534219</v>
      </c>
      <c r="B20554" s="318" t="s">
        <v>23</v>
      </c>
    </row>
    <row r="20555" spans="1:2" ht="12.75" customHeight="1" x14ac:dyDescent="0.25">
      <c r="A20555" s="318">
        <v>97059534220</v>
      </c>
      <c r="B20555" s="318" t="s">
        <v>23</v>
      </c>
    </row>
    <row r="20556" spans="1:2" ht="12.75" customHeight="1" x14ac:dyDescent="0.25">
      <c r="A20556" s="318">
        <v>97059534221</v>
      </c>
      <c r="B20556" s="318" t="s">
        <v>23</v>
      </c>
    </row>
    <row r="20557" spans="1:2" ht="12.75" customHeight="1" x14ac:dyDescent="0.25">
      <c r="A20557" s="318">
        <v>97059534222</v>
      </c>
      <c r="B20557" s="318" t="s">
        <v>23</v>
      </c>
    </row>
    <row r="20558" spans="1:2" ht="12.75" customHeight="1" x14ac:dyDescent="0.25">
      <c r="A20558" s="318">
        <v>97059534224</v>
      </c>
      <c r="B20558" s="318" t="s">
        <v>23</v>
      </c>
    </row>
    <row r="20559" spans="1:2" ht="12.75" customHeight="1" x14ac:dyDescent="0.25">
      <c r="A20559" s="318">
        <v>97059534225</v>
      </c>
      <c r="B20559" s="318" t="s">
        <v>23</v>
      </c>
    </row>
    <row r="20560" spans="1:2" ht="12.75" customHeight="1" x14ac:dyDescent="0.25">
      <c r="A20560" s="318">
        <v>97059534226</v>
      </c>
      <c r="B20560" s="318" t="s">
        <v>23</v>
      </c>
    </row>
    <row r="20561" spans="1:2" ht="12.75" customHeight="1" x14ac:dyDescent="0.25">
      <c r="A20561" s="318">
        <v>97059534227</v>
      </c>
      <c r="B20561" s="318" t="s">
        <v>23</v>
      </c>
    </row>
    <row r="20562" spans="1:2" ht="12.75" customHeight="1" x14ac:dyDescent="0.25">
      <c r="A20562" s="318">
        <v>97059534228</v>
      </c>
      <c r="B20562" s="318" t="s">
        <v>23</v>
      </c>
    </row>
    <row r="20563" spans="1:2" ht="12.75" customHeight="1" x14ac:dyDescent="0.25">
      <c r="A20563" s="318">
        <v>97059534229</v>
      </c>
      <c r="B20563" s="318" t="s">
        <v>23</v>
      </c>
    </row>
    <row r="20564" spans="1:2" ht="12.75" customHeight="1" x14ac:dyDescent="0.25">
      <c r="A20564" s="318">
        <v>97059534230</v>
      </c>
      <c r="B20564" s="318" t="s">
        <v>23</v>
      </c>
    </row>
    <row r="20565" spans="1:2" ht="12.75" customHeight="1" x14ac:dyDescent="0.25">
      <c r="A20565" s="318">
        <v>97059534231</v>
      </c>
      <c r="B20565" s="318" t="s">
        <v>23</v>
      </c>
    </row>
    <row r="20566" spans="1:2" ht="12.75" customHeight="1" x14ac:dyDescent="0.25">
      <c r="A20566" s="318">
        <v>97059534315</v>
      </c>
      <c r="B20566" s="318" t="s">
        <v>237</v>
      </c>
    </row>
    <row r="20567" spans="1:2" ht="12.75" customHeight="1" x14ac:dyDescent="0.25">
      <c r="A20567" s="318">
        <v>97059534316</v>
      </c>
      <c r="B20567" s="318" t="s">
        <v>237</v>
      </c>
    </row>
    <row r="20568" spans="1:2" ht="12.75" customHeight="1" x14ac:dyDescent="0.25">
      <c r="A20568" s="318">
        <v>97059534317</v>
      </c>
      <c r="B20568" s="318" t="s">
        <v>237</v>
      </c>
    </row>
    <row r="20569" spans="1:2" ht="12.75" customHeight="1" x14ac:dyDescent="0.25">
      <c r="A20569" s="318">
        <v>97059534318</v>
      </c>
      <c r="B20569" s="318" t="s">
        <v>237</v>
      </c>
    </row>
    <row r="20570" spans="1:2" ht="12.75" customHeight="1" x14ac:dyDescent="0.25">
      <c r="A20570" s="318">
        <v>97059534319</v>
      </c>
      <c r="B20570" s="318" t="s">
        <v>237</v>
      </c>
    </row>
    <row r="20571" spans="1:2" ht="12.75" customHeight="1" x14ac:dyDescent="0.25">
      <c r="A20571" s="318">
        <v>97059534320</v>
      </c>
      <c r="B20571" s="318" t="s">
        <v>237</v>
      </c>
    </row>
    <row r="20572" spans="1:2" ht="12.75" customHeight="1" x14ac:dyDescent="0.25">
      <c r="A20572" s="318">
        <v>97059534321</v>
      </c>
      <c r="B20572" s="318" t="s">
        <v>237</v>
      </c>
    </row>
    <row r="20573" spans="1:2" ht="12.75" customHeight="1" x14ac:dyDescent="0.25">
      <c r="A20573" s="318">
        <v>97059534322</v>
      </c>
      <c r="B20573" s="318" t="s">
        <v>237</v>
      </c>
    </row>
    <row r="20574" spans="1:2" ht="12.75" customHeight="1" x14ac:dyDescent="0.25">
      <c r="A20574" s="318">
        <v>97059534324</v>
      </c>
      <c r="B20574" s="318" t="s">
        <v>237</v>
      </c>
    </row>
    <row r="20575" spans="1:2" ht="12.75" customHeight="1" x14ac:dyDescent="0.25">
      <c r="A20575" s="318">
        <v>97059534325</v>
      </c>
      <c r="B20575" s="318" t="s">
        <v>237</v>
      </c>
    </row>
    <row r="20576" spans="1:2" ht="12.75" customHeight="1" x14ac:dyDescent="0.25">
      <c r="A20576" s="318">
        <v>97059534326</v>
      </c>
      <c r="B20576" s="318" t="s">
        <v>237</v>
      </c>
    </row>
    <row r="20577" spans="1:2" ht="12.75" customHeight="1" x14ac:dyDescent="0.25">
      <c r="A20577" s="318">
        <v>97059534327</v>
      </c>
      <c r="B20577" s="318" t="s">
        <v>237</v>
      </c>
    </row>
    <row r="20578" spans="1:2" ht="12.75" customHeight="1" x14ac:dyDescent="0.25">
      <c r="A20578" s="318">
        <v>97059534328</v>
      </c>
      <c r="B20578" s="318" t="s">
        <v>237</v>
      </c>
    </row>
    <row r="20579" spans="1:2" ht="12.75" customHeight="1" x14ac:dyDescent="0.25">
      <c r="A20579" s="318">
        <v>97059534329</v>
      </c>
      <c r="B20579" s="318" t="s">
        <v>237</v>
      </c>
    </row>
    <row r="20580" spans="1:2" ht="12.75" customHeight="1" x14ac:dyDescent="0.25">
      <c r="A20580" s="318">
        <v>97059534330</v>
      </c>
      <c r="B20580" s="318" t="s">
        <v>237</v>
      </c>
    </row>
    <row r="20581" spans="1:2" ht="12.75" customHeight="1" x14ac:dyDescent="0.25">
      <c r="A20581" s="318">
        <v>97059534331</v>
      </c>
      <c r="B20581" s="318" t="s">
        <v>237</v>
      </c>
    </row>
    <row r="20582" spans="1:2" ht="12.75" customHeight="1" x14ac:dyDescent="0.25">
      <c r="A20582" s="318">
        <v>97060015188</v>
      </c>
      <c r="B20582" s="318" t="s">
        <v>23</v>
      </c>
    </row>
    <row r="20583" spans="1:2" ht="12.75" customHeight="1" x14ac:dyDescent="0.25">
      <c r="A20583" s="318">
        <v>97060015189</v>
      </c>
      <c r="B20583" s="318" t="s">
        <v>23</v>
      </c>
    </row>
    <row r="20584" spans="1:2" ht="12.75" customHeight="1" x14ac:dyDescent="0.25">
      <c r="A20584" s="318">
        <v>97060015190</v>
      </c>
      <c r="B20584" s="318" t="s">
        <v>23</v>
      </c>
    </row>
    <row r="20585" spans="1:2" ht="12.75" customHeight="1" x14ac:dyDescent="0.25">
      <c r="A20585" s="318">
        <v>97060015191</v>
      </c>
      <c r="B20585" s="318" t="s">
        <v>23</v>
      </c>
    </row>
    <row r="20586" spans="1:2" ht="12.75" customHeight="1" x14ac:dyDescent="0.25">
      <c r="A20586" s="318">
        <v>97060015192</v>
      </c>
      <c r="B20586" s="318" t="s">
        <v>23</v>
      </c>
    </row>
    <row r="20587" spans="1:2" ht="12.75" customHeight="1" x14ac:dyDescent="0.25">
      <c r="A20587" s="318">
        <v>97060015193</v>
      </c>
      <c r="B20587" s="318" t="s">
        <v>23</v>
      </c>
    </row>
    <row r="20588" spans="1:2" ht="12.75" customHeight="1" x14ac:dyDescent="0.25">
      <c r="A20588" s="318">
        <v>97060015194</v>
      </c>
      <c r="B20588" s="318" t="s">
        <v>23</v>
      </c>
    </row>
    <row r="20589" spans="1:2" ht="12.75" customHeight="1" x14ac:dyDescent="0.25">
      <c r="A20589" s="318">
        <v>97060015195</v>
      </c>
      <c r="B20589" s="318" t="s">
        <v>23</v>
      </c>
    </row>
    <row r="20590" spans="1:2" ht="12.75" customHeight="1" x14ac:dyDescent="0.25">
      <c r="A20590" s="318">
        <v>97060015197</v>
      </c>
      <c r="B20590" s="318" t="s">
        <v>23</v>
      </c>
    </row>
    <row r="20591" spans="1:2" ht="12.75" customHeight="1" x14ac:dyDescent="0.25">
      <c r="A20591" s="318">
        <v>97060015198</v>
      </c>
      <c r="B20591" s="318" t="s">
        <v>23</v>
      </c>
    </row>
    <row r="20592" spans="1:2" ht="12.75" customHeight="1" x14ac:dyDescent="0.25">
      <c r="A20592" s="318">
        <v>97060015199</v>
      </c>
      <c r="B20592" s="318" t="s">
        <v>23</v>
      </c>
    </row>
    <row r="20593" spans="1:2" ht="12.75" customHeight="1" x14ac:dyDescent="0.25">
      <c r="A20593" s="318">
        <v>97060015200</v>
      </c>
      <c r="B20593" s="318" t="s">
        <v>23</v>
      </c>
    </row>
    <row r="20594" spans="1:2" ht="12.75" customHeight="1" x14ac:dyDescent="0.25">
      <c r="A20594" s="318">
        <v>97060015201</v>
      </c>
      <c r="B20594" s="318" t="s">
        <v>23</v>
      </c>
    </row>
    <row r="20595" spans="1:2" ht="12.75" customHeight="1" x14ac:dyDescent="0.25">
      <c r="A20595" s="318">
        <v>97060015202</v>
      </c>
      <c r="B20595" s="318" t="s">
        <v>23</v>
      </c>
    </row>
    <row r="20596" spans="1:2" ht="12.75" customHeight="1" x14ac:dyDescent="0.25">
      <c r="A20596" s="318">
        <v>97060015203</v>
      </c>
      <c r="B20596" s="318" t="s">
        <v>23</v>
      </c>
    </row>
    <row r="20597" spans="1:2" ht="12.75" customHeight="1" x14ac:dyDescent="0.25">
      <c r="A20597" s="318">
        <v>97060015204</v>
      </c>
      <c r="B20597" s="318" t="s">
        <v>23</v>
      </c>
    </row>
    <row r="20598" spans="1:2" ht="12.75" customHeight="1" x14ac:dyDescent="0.25">
      <c r="A20598" s="318">
        <v>97060015288</v>
      </c>
      <c r="B20598" s="318" t="s">
        <v>237</v>
      </c>
    </row>
    <row r="20599" spans="1:2" ht="12.75" customHeight="1" x14ac:dyDescent="0.25">
      <c r="A20599" s="318">
        <v>97060015289</v>
      </c>
      <c r="B20599" s="318" t="s">
        <v>237</v>
      </c>
    </row>
    <row r="20600" spans="1:2" ht="12.75" customHeight="1" x14ac:dyDescent="0.25">
      <c r="A20600" s="318">
        <v>97060015290</v>
      </c>
      <c r="B20600" s="318" t="s">
        <v>237</v>
      </c>
    </row>
    <row r="20601" spans="1:2" ht="12.75" customHeight="1" x14ac:dyDescent="0.25">
      <c r="A20601" s="318">
        <v>97060015291</v>
      </c>
      <c r="B20601" s="318" t="s">
        <v>237</v>
      </c>
    </row>
    <row r="20602" spans="1:2" ht="12.75" customHeight="1" x14ac:dyDescent="0.25">
      <c r="A20602" s="318">
        <v>97060015292</v>
      </c>
      <c r="B20602" s="318" t="s">
        <v>237</v>
      </c>
    </row>
    <row r="20603" spans="1:2" ht="12.75" customHeight="1" x14ac:dyDescent="0.25">
      <c r="A20603" s="318">
        <v>97060015293</v>
      </c>
      <c r="B20603" s="318" t="s">
        <v>237</v>
      </c>
    </row>
    <row r="20604" spans="1:2" ht="12.75" customHeight="1" x14ac:dyDescent="0.25">
      <c r="A20604" s="318">
        <v>97060015294</v>
      </c>
      <c r="B20604" s="318" t="s">
        <v>237</v>
      </c>
    </row>
    <row r="20605" spans="1:2" ht="12.75" customHeight="1" x14ac:dyDescent="0.25">
      <c r="A20605" s="318">
        <v>97060015295</v>
      </c>
      <c r="B20605" s="318" t="s">
        <v>237</v>
      </c>
    </row>
    <row r="20606" spans="1:2" ht="12.75" customHeight="1" x14ac:dyDescent="0.25">
      <c r="A20606" s="318">
        <v>97060015297</v>
      </c>
      <c r="B20606" s="318" t="s">
        <v>237</v>
      </c>
    </row>
    <row r="20607" spans="1:2" ht="12.75" customHeight="1" x14ac:dyDescent="0.25">
      <c r="A20607" s="318">
        <v>97060015298</v>
      </c>
      <c r="B20607" s="318" t="s">
        <v>237</v>
      </c>
    </row>
    <row r="20608" spans="1:2" ht="12.75" customHeight="1" x14ac:dyDescent="0.25">
      <c r="A20608" s="318">
        <v>97060015299</v>
      </c>
      <c r="B20608" s="318" t="s">
        <v>237</v>
      </c>
    </row>
    <row r="20609" spans="1:2" ht="12.75" customHeight="1" x14ac:dyDescent="0.25">
      <c r="A20609" s="318">
        <v>97060015300</v>
      </c>
      <c r="B20609" s="318" t="s">
        <v>237</v>
      </c>
    </row>
    <row r="20610" spans="1:2" ht="12.75" customHeight="1" x14ac:dyDescent="0.25">
      <c r="A20610" s="318">
        <v>97060015301</v>
      </c>
      <c r="B20610" s="318" t="s">
        <v>237</v>
      </c>
    </row>
    <row r="20611" spans="1:2" ht="12.75" customHeight="1" x14ac:dyDescent="0.25">
      <c r="A20611" s="318">
        <v>97060015302</v>
      </c>
      <c r="B20611" s="318" t="s">
        <v>237</v>
      </c>
    </row>
    <row r="20612" spans="1:2" ht="12.75" customHeight="1" x14ac:dyDescent="0.25">
      <c r="A20612" s="318">
        <v>97060015303</v>
      </c>
      <c r="B20612" s="318" t="s">
        <v>237</v>
      </c>
    </row>
    <row r="20613" spans="1:2" ht="12.75" customHeight="1" x14ac:dyDescent="0.25">
      <c r="A20613" s="318">
        <v>97060015304</v>
      </c>
      <c r="B20613" s="318" t="s">
        <v>237</v>
      </c>
    </row>
    <row r="20614" spans="1:2" ht="12.75" customHeight="1" x14ac:dyDescent="0.25">
      <c r="A20614" s="318">
        <v>97061375569</v>
      </c>
      <c r="B20614" s="318" t="s">
        <v>23</v>
      </c>
    </row>
    <row r="20615" spans="1:2" ht="12.75" customHeight="1" x14ac:dyDescent="0.25">
      <c r="A20615" s="318">
        <v>97061375570</v>
      </c>
      <c r="B20615" s="318" t="s">
        <v>23</v>
      </c>
    </row>
    <row r="20616" spans="1:2" ht="12.75" customHeight="1" x14ac:dyDescent="0.25">
      <c r="A20616" s="318">
        <v>97061375571</v>
      </c>
      <c r="B20616" s="318" t="s">
        <v>23</v>
      </c>
    </row>
    <row r="20617" spans="1:2" ht="12.75" customHeight="1" x14ac:dyDescent="0.25">
      <c r="A20617" s="318">
        <v>97061375572</v>
      </c>
      <c r="B20617" s="318" t="s">
        <v>23</v>
      </c>
    </row>
    <row r="20618" spans="1:2" ht="12.75" customHeight="1" x14ac:dyDescent="0.25">
      <c r="A20618" s="318">
        <v>97061375573</v>
      </c>
      <c r="B20618" s="318" t="s">
        <v>23</v>
      </c>
    </row>
    <row r="20619" spans="1:2" ht="12.75" customHeight="1" x14ac:dyDescent="0.25">
      <c r="A20619" s="318">
        <v>97061375574</v>
      </c>
      <c r="B20619" s="318" t="s">
        <v>23</v>
      </c>
    </row>
    <row r="20620" spans="1:2" ht="12.75" customHeight="1" x14ac:dyDescent="0.25">
      <c r="A20620" s="318">
        <v>97061375575</v>
      </c>
      <c r="B20620" s="318" t="s">
        <v>23</v>
      </c>
    </row>
    <row r="20621" spans="1:2" ht="12.75" customHeight="1" x14ac:dyDescent="0.25">
      <c r="A20621" s="318">
        <v>97061375576</v>
      </c>
      <c r="B20621" s="318" t="s">
        <v>23</v>
      </c>
    </row>
    <row r="20622" spans="1:2" ht="12.75" customHeight="1" x14ac:dyDescent="0.25">
      <c r="A20622" s="318">
        <v>97061375578</v>
      </c>
      <c r="B20622" s="318" t="s">
        <v>237</v>
      </c>
    </row>
    <row r="20623" spans="1:2" ht="12.75" customHeight="1" x14ac:dyDescent="0.25">
      <c r="A20623" s="318">
        <v>97061375579</v>
      </c>
      <c r="B20623" s="318" t="s">
        <v>237</v>
      </c>
    </row>
    <row r="20624" spans="1:2" ht="12.75" customHeight="1" x14ac:dyDescent="0.25">
      <c r="A20624" s="318">
        <v>97061375580</v>
      </c>
      <c r="B20624" s="318" t="s">
        <v>237</v>
      </c>
    </row>
    <row r="20625" spans="1:2" ht="12.75" customHeight="1" x14ac:dyDescent="0.25">
      <c r="A20625" s="318">
        <v>97061375581</v>
      </c>
      <c r="B20625" s="318" t="s">
        <v>237</v>
      </c>
    </row>
    <row r="20626" spans="1:2" ht="12.75" customHeight="1" x14ac:dyDescent="0.25">
      <c r="A20626" s="318">
        <v>97061375582</v>
      </c>
      <c r="B20626" s="318" t="s">
        <v>237</v>
      </c>
    </row>
    <row r="20627" spans="1:2" ht="12.75" customHeight="1" x14ac:dyDescent="0.25">
      <c r="A20627" s="318">
        <v>97061375583</v>
      </c>
      <c r="B20627" s="318" t="s">
        <v>237</v>
      </c>
    </row>
    <row r="20628" spans="1:2" ht="12.75" customHeight="1" x14ac:dyDescent="0.25">
      <c r="A20628" s="318">
        <v>97061375584</v>
      </c>
      <c r="B20628" s="318" t="s">
        <v>237</v>
      </c>
    </row>
    <row r="20629" spans="1:2" ht="12.75" customHeight="1" x14ac:dyDescent="0.25">
      <c r="A20629" s="318">
        <v>97061375585</v>
      </c>
      <c r="B20629" s="318" t="s">
        <v>237</v>
      </c>
    </row>
    <row r="20630" spans="1:2" ht="12.75" customHeight="1" x14ac:dyDescent="0.25">
      <c r="A20630" s="318">
        <v>97061375669</v>
      </c>
      <c r="B20630" s="318" t="s">
        <v>237</v>
      </c>
    </row>
    <row r="20631" spans="1:2" ht="12.75" customHeight="1" x14ac:dyDescent="0.25">
      <c r="A20631" s="318">
        <v>97061375670</v>
      </c>
      <c r="B20631" s="318" t="s">
        <v>237</v>
      </c>
    </row>
    <row r="20632" spans="1:2" ht="12.75" customHeight="1" x14ac:dyDescent="0.25">
      <c r="A20632" s="318">
        <v>97061375671</v>
      </c>
      <c r="B20632" s="318" t="s">
        <v>237</v>
      </c>
    </row>
    <row r="20633" spans="1:2" ht="12.75" customHeight="1" x14ac:dyDescent="0.25">
      <c r="A20633" s="318">
        <v>97061375672</v>
      </c>
      <c r="B20633" s="318" t="s">
        <v>237</v>
      </c>
    </row>
    <row r="20634" spans="1:2" ht="12.75" customHeight="1" x14ac:dyDescent="0.25">
      <c r="A20634" s="318">
        <v>97061375673</v>
      </c>
      <c r="B20634" s="318" t="s">
        <v>237</v>
      </c>
    </row>
    <row r="20635" spans="1:2" ht="12.75" customHeight="1" x14ac:dyDescent="0.25">
      <c r="A20635" s="318">
        <v>97061375674</v>
      </c>
      <c r="B20635" s="318" t="s">
        <v>237</v>
      </c>
    </row>
    <row r="20636" spans="1:2" ht="12.75" customHeight="1" x14ac:dyDescent="0.25">
      <c r="A20636" s="318">
        <v>97061375675</v>
      </c>
      <c r="B20636" s="318" t="s">
        <v>237</v>
      </c>
    </row>
    <row r="20637" spans="1:2" ht="12.75" customHeight="1" x14ac:dyDescent="0.25">
      <c r="A20637" s="318">
        <v>97061375676</v>
      </c>
      <c r="B20637" s="318" t="s">
        <v>237</v>
      </c>
    </row>
    <row r="20638" spans="1:2" ht="12.75" customHeight="1" x14ac:dyDescent="0.25">
      <c r="A20638" s="318">
        <v>97061375678</v>
      </c>
      <c r="B20638" s="318" t="s">
        <v>237</v>
      </c>
    </row>
    <row r="20639" spans="1:2" ht="12.75" customHeight="1" x14ac:dyDescent="0.25">
      <c r="A20639" s="318">
        <v>97061375679</v>
      </c>
      <c r="B20639" s="318" t="s">
        <v>237</v>
      </c>
    </row>
    <row r="20640" spans="1:2" ht="12.75" customHeight="1" x14ac:dyDescent="0.25">
      <c r="A20640" s="318">
        <v>97061375680</v>
      </c>
      <c r="B20640" s="318" t="s">
        <v>237</v>
      </c>
    </row>
    <row r="20641" spans="1:2" ht="12.75" customHeight="1" x14ac:dyDescent="0.25">
      <c r="A20641" s="318">
        <v>97061375681</v>
      </c>
      <c r="B20641" s="318" t="s">
        <v>237</v>
      </c>
    </row>
    <row r="20642" spans="1:2" ht="12.75" customHeight="1" x14ac:dyDescent="0.25">
      <c r="A20642" s="318">
        <v>97061375682</v>
      </c>
      <c r="B20642" s="318" t="s">
        <v>237</v>
      </c>
    </row>
    <row r="20643" spans="1:2" ht="12.75" customHeight="1" x14ac:dyDescent="0.25">
      <c r="A20643" s="318">
        <v>97061375683</v>
      </c>
      <c r="B20643" s="318" t="s">
        <v>237</v>
      </c>
    </row>
    <row r="20644" spans="1:2" ht="12.75" customHeight="1" x14ac:dyDescent="0.25">
      <c r="A20644" s="318">
        <v>97061375684</v>
      </c>
      <c r="B20644" s="318" t="s">
        <v>237</v>
      </c>
    </row>
    <row r="20645" spans="1:2" ht="12.75" customHeight="1" x14ac:dyDescent="0.25">
      <c r="A20645" s="318">
        <v>97061375685</v>
      </c>
      <c r="B20645" s="318" t="s">
        <v>237</v>
      </c>
    </row>
    <row r="20646" spans="1:2" ht="12.75" customHeight="1" x14ac:dyDescent="0.25">
      <c r="A20646" s="318">
        <v>97061856542</v>
      </c>
      <c r="B20646" s="318" t="s">
        <v>23</v>
      </c>
    </row>
    <row r="20647" spans="1:2" ht="12.75" customHeight="1" x14ac:dyDescent="0.25">
      <c r="A20647" s="318">
        <v>97061856543</v>
      </c>
      <c r="B20647" s="318" t="s">
        <v>23</v>
      </c>
    </row>
    <row r="20648" spans="1:2" ht="12.75" customHeight="1" x14ac:dyDescent="0.25">
      <c r="A20648" s="318">
        <v>97061856544</v>
      </c>
      <c r="B20648" s="318" t="s">
        <v>23</v>
      </c>
    </row>
    <row r="20649" spans="1:2" ht="12.75" customHeight="1" x14ac:dyDescent="0.25">
      <c r="A20649" s="318">
        <v>97061856545</v>
      </c>
      <c r="B20649" s="318" t="s">
        <v>23</v>
      </c>
    </row>
    <row r="20650" spans="1:2" ht="12.75" customHeight="1" x14ac:dyDescent="0.25">
      <c r="A20650" s="318">
        <v>97061856546</v>
      </c>
      <c r="B20650" s="318" t="s">
        <v>23</v>
      </c>
    </row>
    <row r="20651" spans="1:2" ht="12.75" customHeight="1" x14ac:dyDescent="0.25">
      <c r="A20651" s="318">
        <v>97061856547</v>
      </c>
      <c r="B20651" s="318" t="s">
        <v>23</v>
      </c>
    </row>
    <row r="20652" spans="1:2" ht="12.75" customHeight="1" x14ac:dyDescent="0.25">
      <c r="A20652" s="318">
        <v>97061856548</v>
      </c>
      <c r="B20652" s="318" t="s">
        <v>23</v>
      </c>
    </row>
    <row r="20653" spans="1:2" ht="12.75" customHeight="1" x14ac:dyDescent="0.25">
      <c r="A20653" s="318">
        <v>97061856549</v>
      </c>
      <c r="B20653" s="318" t="s">
        <v>23</v>
      </c>
    </row>
    <row r="20654" spans="1:2" ht="12.75" customHeight="1" x14ac:dyDescent="0.25">
      <c r="A20654" s="318">
        <v>97061856551</v>
      </c>
      <c r="B20654" s="318" t="s">
        <v>237</v>
      </c>
    </row>
    <row r="20655" spans="1:2" ht="12.75" customHeight="1" x14ac:dyDescent="0.25">
      <c r="A20655" s="318">
        <v>97061856552</v>
      </c>
      <c r="B20655" s="318" t="s">
        <v>237</v>
      </c>
    </row>
    <row r="20656" spans="1:2" ht="12.75" customHeight="1" x14ac:dyDescent="0.25">
      <c r="A20656" s="318">
        <v>97061856553</v>
      </c>
      <c r="B20656" s="318" t="s">
        <v>237</v>
      </c>
    </row>
    <row r="20657" spans="1:2" ht="12.75" customHeight="1" x14ac:dyDescent="0.25">
      <c r="A20657" s="318">
        <v>97061856554</v>
      </c>
      <c r="B20657" s="318" t="s">
        <v>237</v>
      </c>
    </row>
    <row r="20658" spans="1:2" ht="12.75" customHeight="1" x14ac:dyDescent="0.25">
      <c r="A20658" s="318">
        <v>97061856555</v>
      </c>
      <c r="B20658" s="318" t="s">
        <v>237</v>
      </c>
    </row>
    <row r="20659" spans="1:2" ht="12.75" customHeight="1" x14ac:dyDescent="0.25">
      <c r="A20659" s="318">
        <v>97061856556</v>
      </c>
      <c r="B20659" s="318" t="s">
        <v>237</v>
      </c>
    </row>
    <row r="20660" spans="1:2" ht="12.75" customHeight="1" x14ac:dyDescent="0.25">
      <c r="A20660" s="318">
        <v>97061856557</v>
      </c>
      <c r="B20660" s="318" t="s">
        <v>237</v>
      </c>
    </row>
    <row r="20661" spans="1:2" ht="12.75" customHeight="1" x14ac:dyDescent="0.25">
      <c r="A20661" s="318">
        <v>97061856558</v>
      </c>
      <c r="B20661" s="318" t="s">
        <v>237</v>
      </c>
    </row>
    <row r="20662" spans="1:2" ht="12.75" customHeight="1" x14ac:dyDescent="0.25">
      <c r="A20662" s="318">
        <v>97061856642</v>
      </c>
      <c r="B20662" s="318" t="s">
        <v>237</v>
      </c>
    </row>
    <row r="20663" spans="1:2" ht="12.75" customHeight="1" x14ac:dyDescent="0.25">
      <c r="A20663" s="318">
        <v>97061856643</v>
      </c>
      <c r="B20663" s="318" t="s">
        <v>237</v>
      </c>
    </row>
    <row r="20664" spans="1:2" ht="12.75" customHeight="1" x14ac:dyDescent="0.25">
      <c r="A20664" s="318">
        <v>97061856644</v>
      </c>
      <c r="B20664" s="318" t="s">
        <v>237</v>
      </c>
    </row>
    <row r="20665" spans="1:2" ht="12.75" customHeight="1" x14ac:dyDescent="0.25">
      <c r="A20665" s="318">
        <v>97061856645</v>
      </c>
      <c r="B20665" s="318" t="s">
        <v>237</v>
      </c>
    </row>
    <row r="20666" spans="1:2" ht="12.75" customHeight="1" x14ac:dyDescent="0.25">
      <c r="A20666" s="318">
        <v>97061856646</v>
      </c>
      <c r="B20666" s="318" t="s">
        <v>237</v>
      </c>
    </row>
    <row r="20667" spans="1:2" ht="12.75" customHeight="1" x14ac:dyDescent="0.25">
      <c r="A20667" s="318">
        <v>97061856647</v>
      </c>
      <c r="B20667" s="318" t="s">
        <v>237</v>
      </c>
    </row>
    <row r="20668" spans="1:2" ht="12.75" customHeight="1" x14ac:dyDescent="0.25">
      <c r="A20668" s="318">
        <v>97061856648</v>
      </c>
      <c r="B20668" s="318" t="s">
        <v>237</v>
      </c>
    </row>
    <row r="20669" spans="1:2" ht="12.75" customHeight="1" x14ac:dyDescent="0.25">
      <c r="A20669" s="318">
        <v>97061856649</v>
      </c>
      <c r="B20669" s="318" t="s">
        <v>237</v>
      </c>
    </row>
    <row r="20670" spans="1:2" ht="12.75" customHeight="1" x14ac:dyDescent="0.25">
      <c r="A20670" s="318">
        <v>97061856651</v>
      </c>
      <c r="B20670" s="318" t="s">
        <v>237</v>
      </c>
    </row>
    <row r="20671" spans="1:2" ht="12.75" customHeight="1" x14ac:dyDescent="0.25">
      <c r="A20671" s="318">
        <v>97061856652</v>
      </c>
      <c r="B20671" s="318" t="s">
        <v>237</v>
      </c>
    </row>
    <row r="20672" spans="1:2" ht="12.75" customHeight="1" x14ac:dyDescent="0.25">
      <c r="A20672" s="318">
        <v>97061856653</v>
      </c>
      <c r="B20672" s="318" t="s">
        <v>237</v>
      </c>
    </row>
    <row r="20673" spans="1:2" ht="12.75" customHeight="1" x14ac:dyDescent="0.25">
      <c r="A20673" s="318">
        <v>97061856654</v>
      </c>
      <c r="B20673" s="318" t="s">
        <v>237</v>
      </c>
    </row>
    <row r="20674" spans="1:2" ht="12.75" customHeight="1" x14ac:dyDescent="0.25">
      <c r="A20674" s="318">
        <v>97061856655</v>
      </c>
      <c r="B20674" s="318" t="s">
        <v>237</v>
      </c>
    </row>
    <row r="20675" spans="1:2" ht="12.75" customHeight="1" x14ac:dyDescent="0.25">
      <c r="A20675" s="318">
        <v>97061856656</v>
      </c>
      <c r="B20675" s="318" t="s">
        <v>237</v>
      </c>
    </row>
    <row r="20676" spans="1:2" ht="12.75" customHeight="1" x14ac:dyDescent="0.25">
      <c r="A20676" s="318">
        <v>97061856657</v>
      </c>
      <c r="B20676" s="318" t="s">
        <v>237</v>
      </c>
    </row>
    <row r="20677" spans="1:2" ht="12.75" customHeight="1" x14ac:dyDescent="0.25">
      <c r="A20677" s="318">
        <v>97061856658</v>
      </c>
      <c r="B20677" s="318" t="s">
        <v>237</v>
      </c>
    </row>
    <row r="20678" spans="1:2" ht="12.75" customHeight="1" x14ac:dyDescent="0.25">
      <c r="A20678" s="318">
        <v>97062337515</v>
      </c>
      <c r="B20678" s="318" t="s">
        <v>23</v>
      </c>
    </row>
    <row r="20679" spans="1:2" ht="12.75" customHeight="1" x14ac:dyDescent="0.25">
      <c r="A20679" s="318">
        <v>97062337516</v>
      </c>
      <c r="B20679" s="318" t="s">
        <v>23</v>
      </c>
    </row>
    <row r="20680" spans="1:2" ht="12.75" customHeight="1" x14ac:dyDescent="0.25">
      <c r="A20680" s="318">
        <v>97062337517</v>
      </c>
      <c r="B20680" s="318" t="s">
        <v>23</v>
      </c>
    </row>
    <row r="20681" spans="1:2" ht="12.75" customHeight="1" x14ac:dyDescent="0.25">
      <c r="A20681" s="318">
        <v>97062337518</v>
      </c>
      <c r="B20681" s="318" t="s">
        <v>23</v>
      </c>
    </row>
    <row r="20682" spans="1:2" ht="12.75" customHeight="1" x14ac:dyDescent="0.25">
      <c r="A20682" s="318">
        <v>97062337519</v>
      </c>
      <c r="B20682" s="318" t="s">
        <v>23</v>
      </c>
    </row>
    <row r="20683" spans="1:2" ht="12.75" customHeight="1" x14ac:dyDescent="0.25">
      <c r="A20683" s="318">
        <v>97062337520</v>
      </c>
      <c r="B20683" s="318" t="s">
        <v>23</v>
      </c>
    </row>
    <row r="20684" spans="1:2" ht="12.75" customHeight="1" x14ac:dyDescent="0.25">
      <c r="A20684" s="318">
        <v>97062337521</v>
      </c>
      <c r="B20684" s="318" t="s">
        <v>23</v>
      </c>
    </row>
    <row r="20685" spans="1:2" ht="12.75" customHeight="1" x14ac:dyDescent="0.25">
      <c r="A20685" s="318">
        <v>97062337522</v>
      </c>
      <c r="B20685" s="318" t="s">
        <v>23</v>
      </c>
    </row>
    <row r="20686" spans="1:2" ht="12.75" customHeight="1" x14ac:dyDescent="0.25">
      <c r="A20686" s="318">
        <v>97062337524</v>
      </c>
      <c r="B20686" s="318" t="s">
        <v>23</v>
      </c>
    </row>
    <row r="20687" spans="1:2" ht="12.75" customHeight="1" x14ac:dyDescent="0.25">
      <c r="A20687" s="318">
        <v>97062337525</v>
      </c>
      <c r="B20687" s="318" t="s">
        <v>23</v>
      </c>
    </row>
    <row r="20688" spans="1:2" ht="12.75" customHeight="1" x14ac:dyDescent="0.25">
      <c r="A20688" s="318">
        <v>97062337526</v>
      </c>
      <c r="B20688" s="318" t="s">
        <v>23</v>
      </c>
    </row>
    <row r="20689" spans="1:2" ht="12.75" customHeight="1" x14ac:dyDescent="0.25">
      <c r="A20689" s="318">
        <v>97062337527</v>
      </c>
      <c r="B20689" s="318" t="s">
        <v>23</v>
      </c>
    </row>
    <row r="20690" spans="1:2" ht="12.75" customHeight="1" x14ac:dyDescent="0.25">
      <c r="A20690" s="318">
        <v>97062337528</v>
      </c>
      <c r="B20690" s="318" t="s">
        <v>23</v>
      </c>
    </row>
    <row r="20691" spans="1:2" ht="12.75" customHeight="1" x14ac:dyDescent="0.25">
      <c r="A20691" s="318">
        <v>97062337529</v>
      </c>
      <c r="B20691" s="318" t="s">
        <v>23</v>
      </c>
    </row>
    <row r="20692" spans="1:2" ht="12.75" customHeight="1" x14ac:dyDescent="0.25">
      <c r="A20692" s="318">
        <v>97062337530</v>
      </c>
      <c r="B20692" s="318" t="s">
        <v>23</v>
      </c>
    </row>
    <row r="20693" spans="1:2" ht="12.75" customHeight="1" x14ac:dyDescent="0.25">
      <c r="A20693" s="318">
        <v>97062337531</v>
      </c>
      <c r="B20693" s="318" t="s">
        <v>23</v>
      </c>
    </row>
    <row r="20694" spans="1:2" ht="12.75" customHeight="1" x14ac:dyDescent="0.25">
      <c r="A20694" s="318">
        <v>97062337615</v>
      </c>
      <c r="B20694" s="318" t="s">
        <v>237</v>
      </c>
    </row>
    <row r="20695" spans="1:2" ht="12.75" customHeight="1" x14ac:dyDescent="0.25">
      <c r="A20695" s="318">
        <v>97062337616</v>
      </c>
      <c r="B20695" s="318" t="s">
        <v>237</v>
      </c>
    </row>
    <row r="20696" spans="1:2" ht="12.75" customHeight="1" x14ac:dyDescent="0.25">
      <c r="A20696" s="318">
        <v>97062337617</v>
      </c>
      <c r="B20696" s="318" t="s">
        <v>237</v>
      </c>
    </row>
    <row r="20697" spans="1:2" ht="12.75" customHeight="1" x14ac:dyDescent="0.25">
      <c r="A20697" s="318">
        <v>97062337618</v>
      </c>
      <c r="B20697" s="318" t="s">
        <v>237</v>
      </c>
    </row>
    <row r="20698" spans="1:2" ht="12.75" customHeight="1" x14ac:dyDescent="0.25">
      <c r="A20698" s="318">
        <v>97062337619</v>
      </c>
      <c r="B20698" s="318" t="s">
        <v>237</v>
      </c>
    </row>
    <row r="20699" spans="1:2" ht="12.75" customHeight="1" x14ac:dyDescent="0.25">
      <c r="A20699" s="318">
        <v>97062337620</v>
      </c>
      <c r="B20699" s="318" t="s">
        <v>237</v>
      </c>
    </row>
    <row r="20700" spans="1:2" ht="12.75" customHeight="1" x14ac:dyDescent="0.25">
      <c r="A20700" s="318">
        <v>97062337621</v>
      </c>
      <c r="B20700" s="318" t="s">
        <v>237</v>
      </c>
    </row>
    <row r="20701" spans="1:2" ht="12.75" customHeight="1" x14ac:dyDescent="0.25">
      <c r="A20701" s="318">
        <v>97062337622</v>
      </c>
      <c r="B20701" s="318" t="s">
        <v>237</v>
      </c>
    </row>
    <row r="20702" spans="1:2" ht="12.75" customHeight="1" x14ac:dyDescent="0.25">
      <c r="A20702" s="318">
        <v>97062337624</v>
      </c>
      <c r="B20702" s="318" t="s">
        <v>237</v>
      </c>
    </row>
    <row r="20703" spans="1:2" ht="12.75" customHeight="1" x14ac:dyDescent="0.25">
      <c r="A20703" s="318">
        <v>97062337625</v>
      </c>
      <c r="B20703" s="318" t="s">
        <v>237</v>
      </c>
    </row>
    <row r="20704" spans="1:2" ht="12.75" customHeight="1" x14ac:dyDescent="0.25">
      <c r="A20704" s="318">
        <v>97062337626</v>
      </c>
      <c r="B20704" s="318" t="s">
        <v>237</v>
      </c>
    </row>
    <row r="20705" spans="1:2" ht="12.75" customHeight="1" x14ac:dyDescent="0.25">
      <c r="A20705" s="318">
        <v>97062337627</v>
      </c>
      <c r="B20705" s="318" t="s">
        <v>237</v>
      </c>
    </row>
    <row r="20706" spans="1:2" ht="12.75" customHeight="1" x14ac:dyDescent="0.25">
      <c r="A20706" s="318">
        <v>97062337628</v>
      </c>
      <c r="B20706" s="318" t="s">
        <v>237</v>
      </c>
    </row>
    <row r="20707" spans="1:2" ht="12.75" customHeight="1" x14ac:dyDescent="0.25">
      <c r="A20707" s="318">
        <v>97062337629</v>
      </c>
      <c r="B20707" s="318" t="s">
        <v>237</v>
      </c>
    </row>
    <row r="20708" spans="1:2" ht="12.75" customHeight="1" x14ac:dyDescent="0.25">
      <c r="A20708" s="318">
        <v>97062337630</v>
      </c>
      <c r="B20708" s="318" t="s">
        <v>237</v>
      </c>
    </row>
    <row r="20709" spans="1:2" ht="12.75" customHeight="1" x14ac:dyDescent="0.25">
      <c r="A20709" s="318">
        <v>97062337631</v>
      </c>
      <c r="B20709" s="318" t="s">
        <v>237</v>
      </c>
    </row>
    <row r="20710" spans="1:2" ht="12.75" customHeight="1" x14ac:dyDescent="0.25">
      <c r="A20710" s="318">
        <v>97063017706</v>
      </c>
      <c r="B20710" s="318" t="s">
        <v>23</v>
      </c>
    </row>
    <row r="20711" spans="1:2" ht="12.75" customHeight="1" x14ac:dyDescent="0.25">
      <c r="A20711" s="318">
        <v>97063017707</v>
      </c>
      <c r="B20711" s="318" t="s">
        <v>23</v>
      </c>
    </row>
    <row r="20712" spans="1:2" ht="12.75" customHeight="1" x14ac:dyDescent="0.25">
      <c r="A20712" s="318">
        <v>97063017708</v>
      </c>
      <c r="B20712" s="318" t="s">
        <v>23</v>
      </c>
    </row>
    <row r="20713" spans="1:2" ht="12.75" customHeight="1" x14ac:dyDescent="0.25">
      <c r="A20713" s="318">
        <v>97063017709</v>
      </c>
      <c r="B20713" s="318" t="s">
        <v>23</v>
      </c>
    </row>
    <row r="20714" spans="1:2" ht="12.75" customHeight="1" x14ac:dyDescent="0.25">
      <c r="A20714" s="318">
        <v>97063017710</v>
      </c>
      <c r="B20714" s="318" t="s">
        <v>23</v>
      </c>
    </row>
    <row r="20715" spans="1:2" ht="12.75" customHeight="1" x14ac:dyDescent="0.25">
      <c r="A20715" s="318">
        <v>97063017711</v>
      </c>
      <c r="B20715" s="318" t="s">
        <v>23</v>
      </c>
    </row>
    <row r="20716" spans="1:2" ht="12.75" customHeight="1" x14ac:dyDescent="0.25">
      <c r="A20716" s="318">
        <v>97063017712</v>
      </c>
      <c r="B20716" s="318" t="s">
        <v>23</v>
      </c>
    </row>
    <row r="20717" spans="1:2" ht="12.75" customHeight="1" x14ac:dyDescent="0.25">
      <c r="A20717" s="318">
        <v>97063017713</v>
      </c>
      <c r="B20717" s="318" t="s">
        <v>23</v>
      </c>
    </row>
    <row r="20718" spans="1:2" ht="12.75" customHeight="1" x14ac:dyDescent="0.25">
      <c r="A20718" s="318">
        <v>97063017715</v>
      </c>
      <c r="B20718" s="318" t="s">
        <v>237</v>
      </c>
    </row>
    <row r="20719" spans="1:2" ht="12.75" customHeight="1" x14ac:dyDescent="0.25">
      <c r="A20719" s="318">
        <v>97063017716</v>
      </c>
      <c r="B20719" s="318" t="s">
        <v>237</v>
      </c>
    </row>
    <row r="20720" spans="1:2" ht="12.75" customHeight="1" x14ac:dyDescent="0.25">
      <c r="A20720" s="318">
        <v>97063017717</v>
      </c>
      <c r="B20720" s="318" t="s">
        <v>237</v>
      </c>
    </row>
    <row r="20721" spans="1:2" ht="12.75" customHeight="1" x14ac:dyDescent="0.25">
      <c r="A20721" s="318">
        <v>97063017718</v>
      </c>
      <c r="B20721" s="318" t="s">
        <v>237</v>
      </c>
    </row>
    <row r="20722" spans="1:2" ht="12.75" customHeight="1" x14ac:dyDescent="0.25">
      <c r="A20722" s="318">
        <v>97063017719</v>
      </c>
      <c r="B20722" s="318" t="s">
        <v>237</v>
      </c>
    </row>
    <row r="20723" spans="1:2" ht="12.75" customHeight="1" x14ac:dyDescent="0.25">
      <c r="A20723" s="318">
        <v>97063017720</v>
      </c>
      <c r="B20723" s="318" t="s">
        <v>237</v>
      </c>
    </row>
    <row r="20724" spans="1:2" ht="12.75" customHeight="1" x14ac:dyDescent="0.25">
      <c r="A20724" s="318">
        <v>97063017721</v>
      </c>
      <c r="B20724" s="318" t="s">
        <v>237</v>
      </c>
    </row>
    <row r="20725" spans="1:2" ht="12.75" customHeight="1" x14ac:dyDescent="0.25">
      <c r="A20725" s="318">
        <v>97063017722</v>
      </c>
      <c r="B20725" s="318" t="s">
        <v>237</v>
      </c>
    </row>
    <row r="20726" spans="1:2" ht="12.75" customHeight="1" x14ac:dyDescent="0.25">
      <c r="A20726" s="318">
        <v>97063017806</v>
      </c>
      <c r="B20726" s="318" t="s">
        <v>237</v>
      </c>
    </row>
    <row r="20727" spans="1:2" ht="12.75" customHeight="1" x14ac:dyDescent="0.25">
      <c r="A20727" s="318">
        <v>97063017807</v>
      </c>
      <c r="B20727" s="318" t="s">
        <v>237</v>
      </c>
    </row>
    <row r="20728" spans="1:2" ht="12.75" customHeight="1" x14ac:dyDescent="0.25">
      <c r="A20728" s="318">
        <v>97063017808</v>
      </c>
      <c r="B20728" s="318" t="s">
        <v>237</v>
      </c>
    </row>
    <row r="20729" spans="1:2" ht="12.75" customHeight="1" x14ac:dyDescent="0.25">
      <c r="A20729" s="318">
        <v>97063017809</v>
      </c>
      <c r="B20729" s="318" t="s">
        <v>237</v>
      </c>
    </row>
    <row r="20730" spans="1:2" ht="12.75" customHeight="1" x14ac:dyDescent="0.25">
      <c r="A20730" s="318">
        <v>97063017810</v>
      </c>
      <c r="B20730" s="318" t="s">
        <v>237</v>
      </c>
    </row>
    <row r="20731" spans="1:2" ht="12.75" customHeight="1" x14ac:dyDescent="0.25">
      <c r="A20731" s="318">
        <v>97063017811</v>
      </c>
      <c r="B20731" s="318" t="s">
        <v>237</v>
      </c>
    </row>
    <row r="20732" spans="1:2" ht="12.75" customHeight="1" x14ac:dyDescent="0.25">
      <c r="A20732" s="318">
        <v>97063017812</v>
      </c>
      <c r="B20732" s="318" t="s">
        <v>237</v>
      </c>
    </row>
    <row r="20733" spans="1:2" ht="12.75" customHeight="1" x14ac:dyDescent="0.25">
      <c r="A20733" s="318">
        <v>97063017813</v>
      </c>
      <c r="B20733" s="318" t="s">
        <v>237</v>
      </c>
    </row>
    <row r="20734" spans="1:2" ht="12.75" customHeight="1" x14ac:dyDescent="0.25">
      <c r="A20734" s="318">
        <v>97063017815</v>
      </c>
      <c r="B20734" s="318" t="s">
        <v>237</v>
      </c>
    </row>
    <row r="20735" spans="1:2" ht="12.75" customHeight="1" x14ac:dyDescent="0.25">
      <c r="A20735" s="318">
        <v>97063017816</v>
      </c>
      <c r="B20735" s="318" t="s">
        <v>237</v>
      </c>
    </row>
    <row r="20736" spans="1:2" ht="12.75" customHeight="1" x14ac:dyDescent="0.25">
      <c r="A20736" s="318">
        <v>97063017817</v>
      </c>
      <c r="B20736" s="318" t="s">
        <v>237</v>
      </c>
    </row>
    <row r="20737" spans="1:2" ht="12.75" customHeight="1" x14ac:dyDescent="0.25">
      <c r="A20737" s="318">
        <v>97063017818</v>
      </c>
      <c r="B20737" s="318" t="s">
        <v>237</v>
      </c>
    </row>
    <row r="20738" spans="1:2" ht="12.75" customHeight="1" x14ac:dyDescent="0.25">
      <c r="A20738" s="318">
        <v>97063017819</v>
      </c>
      <c r="B20738" s="318" t="s">
        <v>237</v>
      </c>
    </row>
    <row r="20739" spans="1:2" ht="12.75" customHeight="1" x14ac:dyDescent="0.25">
      <c r="A20739" s="318">
        <v>97063017820</v>
      </c>
      <c r="B20739" s="318" t="s">
        <v>237</v>
      </c>
    </row>
    <row r="20740" spans="1:2" ht="12.75" customHeight="1" x14ac:dyDescent="0.25">
      <c r="A20740" s="318">
        <v>97063017821</v>
      </c>
      <c r="B20740" s="318" t="s">
        <v>237</v>
      </c>
    </row>
    <row r="20741" spans="1:2" ht="12.75" customHeight="1" x14ac:dyDescent="0.25">
      <c r="A20741" s="318">
        <v>97063017822</v>
      </c>
      <c r="B20741" s="318" t="s">
        <v>237</v>
      </c>
    </row>
    <row r="20742" spans="1:2" ht="12.75" customHeight="1" x14ac:dyDescent="0.25">
      <c r="A20742" s="318">
        <v>97063498679</v>
      </c>
      <c r="B20742" s="318" t="s">
        <v>23</v>
      </c>
    </row>
    <row r="20743" spans="1:2" ht="12.75" customHeight="1" x14ac:dyDescent="0.25">
      <c r="A20743" s="318">
        <v>97063498680</v>
      </c>
      <c r="B20743" s="318" t="s">
        <v>23</v>
      </c>
    </row>
    <row r="20744" spans="1:2" ht="12.75" customHeight="1" x14ac:dyDescent="0.25">
      <c r="A20744" s="318">
        <v>97063498681</v>
      </c>
      <c r="B20744" s="318" t="s">
        <v>23</v>
      </c>
    </row>
    <row r="20745" spans="1:2" ht="12.75" customHeight="1" x14ac:dyDescent="0.25">
      <c r="A20745" s="318">
        <v>97063498682</v>
      </c>
      <c r="B20745" s="318" t="s">
        <v>23</v>
      </c>
    </row>
    <row r="20746" spans="1:2" ht="12.75" customHeight="1" x14ac:dyDescent="0.25">
      <c r="A20746" s="318">
        <v>97063498683</v>
      </c>
      <c r="B20746" s="318" t="s">
        <v>23</v>
      </c>
    </row>
    <row r="20747" spans="1:2" ht="12.75" customHeight="1" x14ac:dyDescent="0.25">
      <c r="A20747" s="318">
        <v>97063498684</v>
      </c>
      <c r="B20747" s="318" t="s">
        <v>23</v>
      </c>
    </row>
    <row r="20748" spans="1:2" ht="12.75" customHeight="1" x14ac:dyDescent="0.25">
      <c r="A20748" s="318">
        <v>97063498685</v>
      </c>
      <c r="B20748" s="318" t="s">
        <v>23</v>
      </c>
    </row>
    <row r="20749" spans="1:2" ht="12.75" customHeight="1" x14ac:dyDescent="0.25">
      <c r="A20749" s="318">
        <v>97063498686</v>
      </c>
      <c r="B20749" s="318" t="s">
        <v>23</v>
      </c>
    </row>
    <row r="20750" spans="1:2" ht="12.75" customHeight="1" x14ac:dyDescent="0.25">
      <c r="A20750" s="318">
        <v>97063498688</v>
      </c>
      <c r="B20750" s="318" t="s">
        <v>237</v>
      </c>
    </row>
    <row r="20751" spans="1:2" ht="12.75" customHeight="1" x14ac:dyDescent="0.25">
      <c r="A20751" s="318">
        <v>97063498689</v>
      </c>
      <c r="B20751" s="318" t="s">
        <v>237</v>
      </c>
    </row>
    <row r="20752" spans="1:2" ht="12.75" customHeight="1" x14ac:dyDescent="0.25">
      <c r="A20752" s="318">
        <v>97063498690</v>
      </c>
      <c r="B20752" s="318" t="s">
        <v>237</v>
      </c>
    </row>
    <row r="20753" spans="1:2" ht="12.75" customHeight="1" x14ac:dyDescent="0.25">
      <c r="A20753" s="318">
        <v>97063498691</v>
      </c>
      <c r="B20753" s="318" t="s">
        <v>237</v>
      </c>
    </row>
    <row r="20754" spans="1:2" ht="12.75" customHeight="1" x14ac:dyDescent="0.25">
      <c r="A20754" s="318">
        <v>97063498692</v>
      </c>
      <c r="B20754" s="318" t="s">
        <v>237</v>
      </c>
    </row>
    <row r="20755" spans="1:2" ht="12.75" customHeight="1" x14ac:dyDescent="0.25">
      <c r="A20755" s="318">
        <v>97063498693</v>
      </c>
      <c r="B20755" s="318" t="s">
        <v>237</v>
      </c>
    </row>
    <row r="20756" spans="1:2" ht="12.75" customHeight="1" x14ac:dyDescent="0.25">
      <c r="A20756" s="318">
        <v>97063498694</v>
      </c>
      <c r="B20756" s="318" t="s">
        <v>237</v>
      </c>
    </row>
    <row r="20757" spans="1:2" ht="12.75" customHeight="1" x14ac:dyDescent="0.25">
      <c r="A20757" s="318">
        <v>97063498695</v>
      </c>
      <c r="B20757" s="318" t="s">
        <v>237</v>
      </c>
    </row>
    <row r="20758" spans="1:2" ht="12.75" customHeight="1" x14ac:dyDescent="0.25">
      <c r="A20758" s="318">
        <v>97063498779</v>
      </c>
      <c r="B20758" s="318" t="s">
        <v>237</v>
      </c>
    </row>
    <row r="20759" spans="1:2" ht="12.75" customHeight="1" x14ac:dyDescent="0.25">
      <c r="A20759" s="318">
        <v>97063498780</v>
      </c>
      <c r="B20759" s="318" t="s">
        <v>237</v>
      </c>
    </row>
    <row r="20760" spans="1:2" ht="12.75" customHeight="1" x14ac:dyDescent="0.25">
      <c r="A20760" s="318">
        <v>97063498781</v>
      </c>
      <c r="B20760" s="318" t="s">
        <v>237</v>
      </c>
    </row>
    <row r="20761" spans="1:2" ht="12.75" customHeight="1" x14ac:dyDescent="0.25">
      <c r="A20761" s="318">
        <v>97063498782</v>
      </c>
      <c r="B20761" s="318" t="s">
        <v>237</v>
      </c>
    </row>
    <row r="20762" spans="1:2" ht="12.75" customHeight="1" x14ac:dyDescent="0.25">
      <c r="A20762" s="318">
        <v>97063498783</v>
      </c>
      <c r="B20762" s="318" t="s">
        <v>237</v>
      </c>
    </row>
    <row r="20763" spans="1:2" ht="12.75" customHeight="1" x14ac:dyDescent="0.25">
      <c r="A20763" s="318">
        <v>97063498784</v>
      </c>
      <c r="B20763" s="318" t="s">
        <v>237</v>
      </c>
    </row>
    <row r="20764" spans="1:2" ht="12.75" customHeight="1" x14ac:dyDescent="0.25">
      <c r="A20764" s="318">
        <v>97063498785</v>
      </c>
      <c r="B20764" s="318" t="s">
        <v>237</v>
      </c>
    </row>
    <row r="20765" spans="1:2" ht="12.75" customHeight="1" x14ac:dyDescent="0.25">
      <c r="A20765" s="318">
        <v>97063498786</v>
      </c>
      <c r="B20765" s="318" t="s">
        <v>237</v>
      </c>
    </row>
    <row r="20766" spans="1:2" ht="12.75" customHeight="1" x14ac:dyDescent="0.25">
      <c r="A20766" s="318">
        <v>97063498788</v>
      </c>
      <c r="B20766" s="318" t="s">
        <v>237</v>
      </c>
    </row>
    <row r="20767" spans="1:2" ht="12.75" customHeight="1" x14ac:dyDescent="0.25">
      <c r="A20767" s="318">
        <v>97063498789</v>
      </c>
      <c r="B20767" s="318" t="s">
        <v>237</v>
      </c>
    </row>
    <row r="20768" spans="1:2" ht="12.75" customHeight="1" x14ac:dyDescent="0.25">
      <c r="A20768" s="318">
        <v>97063498790</v>
      </c>
      <c r="B20768" s="318" t="s">
        <v>237</v>
      </c>
    </row>
    <row r="20769" spans="1:2" ht="12.75" customHeight="1" x14ac:dyDescent="0.25">
      <c r="A20769" s="318">
        <v>97063498791</v>
      </c>
      <c r="B20769" s="318" t="s">
        <v>237</v>
      </c>
    </row>
    <row r="20770" spans="1:2" ht="12.75" customHeight="1" x14ac:dyDescent="0.25">
      <c r="A20770" s="318">
        <v>97063498792</v>
      </c>
      <c r="B20770" s="318" t="s">
        <v>237</v>
      </c>
    </row>
    <row r="20771" spans="1:2" ht="12.75" customHeight="1" x14ac:dyDescent="0.25">
      <c r="A20771" s="318">
        <v>97063498793</v>
      </c>
      <c r="B20771" s="318" t="s">
        <v>237</v>
      </c>
    </row>
    <row r="20772" spans="1:2" ht="12.75" customHeight="1" x14ac:dyDescent="0.25">
      <c r="A20772" s="318">
        <v>97063498794</v>
      </c>
      <c r="B20772" s="318" t="s">
        <v>237</v>
      </c>
    </row>
    <row r="20773" spans="1:2" ht="12.75" customHeight="1" x14ac:dyDescent="0.25">
      <c r="A20773" s="318">
        <v>97063498795</v>
      </c>
      <c r="B20773" s="318" t="s">
        <v>237</v>
      </c>
    </row>
    <row r="20774" spans="1:2" ht="12.75" customHeight="1" x14ac:dyDescent="0.25">
      <c r="A20774" s="318">
        <v>97063979652</v>
      </c>
      <c r="B20774" s="318" t="s">
        <v>23</v>
      </c>
    </row>
    <row r="20775" spans="1:2" ht="12.75" customHeight="1" x14ac:dyDescent="0.25">
      <c r="A20775" s="318">
        <v>97063979653</v>
      </c>
      <c r="B20775" s="318" t="s">
        <v>23</v>
      </c>
    </row>
    <row r="20776" spans="1:2" ht="12.75" customHeight="1" x14ac:dyDescent="0.25">
      <c r="A20776" s="318">
        <v>97063979654</v>
      </c>
      <c r="B20776" s="318" t="s">
        <v>23</v>
      </c>
    </row>
    <row r="20777" spans="1:2" ht="12.75" customHeight="1" x14ac:dyDescent="0.25">
      <c r="A20777" s="318">
        <v>97063979655</v>
      </c>
      <c r="B20777" s="318" t="s">
        <v>23</v>
      </c>
    </row>
    <row r="20778" spans="1:2" ht="12.75" customHeight="1" x14ac:dyDescent="0.25">
      <c r="A20778" s="318">
        <v>97063979656</v>
      </c>
      <c r="B20778" s="318" t="s">
        <v>23</v>
      </c>
    </row>
    <row r="20779" spans="1:2" ht="12.75" customHeight="1" x14ac:dyDescent="0.25">
      <c r="A20779" s="318">
        <v>97063979657</v>
      </c>
      <c r="B20779" s="318" t="s">
        <v>23</v>
      </c>
    </row>
    <row r="20780" spans="1:2" ht="12.75" customHeight="1" x14ac:dyDescent="0.25">
      <c r="A20780" s="318">
        <v>97063979658</v>
      </c>
      <c r="B20780" s="318" t="s">
        <v>23</v>
      </c>
    </row>
    <row r="20781" spans="1:2" ht="12.75" customHeight="1" x14ac:dyDescent="0.25">
      <c r="A20781" s="318">
        <v>97063979659</v>
      </c>
      <c r="B20781" s="318" t="s">
        <v>23</v>
      </c>
    </row>
    <row r="20782" spans="1:2" ht="12.75" customHeight="1" x14ac:dyDescent="0.25">
      <c r="A20782" s="318">
        <v>97063979661</v>
      </c>
      <c r="B20782" s="318" t="s">
        <v>23</v>
      </c>
    </row>
    <row r="20783" spans="1:2" ht="12.75" customHeight="1" x14ac:dyDescent="0.25">
      <c r="A20783" s="318">
        <v>97063979662</v>
      </c>
      <c r="B20783" s="318" t="s">
        <v>23</v>
      </c>
    </row>
    <row r="20784" spans="1:2" ht="12.75" customHeight="1" x14ac:dyDescent="0.25">
      <c r="A20784" s="318">
        <v>97063979663</v>
      </c>
      <c r="B20784" s="318" t="s">
        <v>23</v>
      </c>
    </row>
    <row r="20785" spans="1:2" ht="12.75" customHeight="1" x14ac:dyDescent="0.25">
      <c r="A20785" s="318">
        <v>97063979664</v>
      </c>
      <c r="B20785" s="318" t="s">
        <v>23</v>
      </c>
    </row>
    <row r="20786" spans="1:2" ht="12.75" customHeight="1" x14ac:dyDescent="0.25">
      <c r="A20786" s="318">
        <v>97063979665</v>
      </c>
      <c r="B20786" s="318" t="s">
        <v>23</v>
      </c>
    </row>
    <row r="20787" spans="1:2" ht="12.75" customHeight="1" x14ac:dyDescent="0.25">
      <c r="A20787" s="318">
        <v>97063979666</v>
      </c>
      <c r="B20787" s="318" t="s">
        <v>23</v>
      </c>
    </row>
    <row r="20788" spans="1:2" ht="12.75" customHeight="1" x14ac:dyDescent="0.25">
      <c r="A20788" s="318">
        <v>97063979667</v>
      </c>
      <c r="B20788" s="318" t="s">
        <v>23</v>
      </c>
    </row>
    <row r="20789" spans="1:2" ht="12.75" customHeight="1" x14ac:dyDescent="0.25">
      <c r="A20789" s="318">
        <v>97063979668</v>
      </c>
      <c r="B20789" s="318" t="s">
        <v>23</v>
      </c>
    </row>
    <row r="20790" spans="1:2" ht="12.75" customHeight="1" x14ac:dyDescent="0.25">
      <c r="A20790" s="318">
        <v>97063979752</v>
      </c>
      <c r="B20790" s="318" t="s">
        <v>237</v>
      </c>
    </row>
    <row r="20791" spans="1:2" ht="12.75" customHeight="1" x14ac:dyDescent="0.25">
      <c r="A20791" s="318">
        <v>97063979753</v>
      </c>
      <c r="B20791" s="318" t="s">
        <v>237</v>
      </c>
    </row>
    <row r="20792" spans="1:2" ht="12.75" customHeight="1" x14ac:dyDescent="0.25">
      <c r="A20792" s="318">
        <v>97063979754</v>
      </c>
      <c r="B20792" s="318" t="s">
        <v>237</v>
      </c>
    </row>
    <row r="20793" spans="1:2" ht="12.75" customHeight="1" x14ac:dyDescent="0.25">
      <c r="A20793" s="318">
        <v>97063979755</v>
      </c>
      <c r="B20793" s="318" t="s">
        <v>237</v>
      </c>
    </row>
    <row r="20794" spans="1:2" ht="12.75" customHeight="1" x14ac:dyDescent="0.25">
      <c r="A20794" s="318">
        <v>97063979756</v>
      </c>
      <c r="B20794" s="318" t="s">
        <v>237</v>
      </c>
    </row>
    <row r="20795" spans="1:2" ht="12.75" customHeight="1" x14ac:dyDescent="0.25">
      <c r="A20795" s="318">
        <v>97063979757</v>
      </c>
      <c r="B20795" s="318" t="s">
        <v>237</v>
      </c>
    </row>
    <row r="20796" spans="1:2" ht="12.75" customHeight="1" x14ac:dyDescent="0.25">
      <c r="A20796" s="318">
        <v>97063979758</v>
      </c>
      <c r="B20796" s="318" t="s">
        <v>237</v>
      </c>
    </row>
    <row r="20797" spans="1:2" ht="12.75" customHeight="1" x14ac:dyDescent="0.25">
      <c r="A20797" s="318">
        <v>97063979759</v>
      </c>
      <c r="B20797" s="318" t="s">
        <v>237</v>
      </c>
    </row>
    <row r="20798" spans="1:2" ht="12.75" customHeight="1" x14ac:dyDescent="0.25">
      <c r="A20798" s="318">
        <v>97063979761</v>
      </c>
      <c r="B20798" s="318" t="s">
        <v>237</v>
      </c>
    </row>
    <row r="20799" spans="1:2" ht="12.75" customHeight="1" x14ac:dyDescent="0.25">
      <c r="A20799" s="318">
        <v>97063979762</v>
      </c>
      <c r="B20799" s="318" t="s">
        <v>237</v>
      </c>
    </row>
    <row r="20800" spans="1:2" ht="12.75" customHeight="1" x14ac:dyDescent="0.25">
      <c r="A20800" s="318">
        <v>97063979763</v>
      </c>
      <c r="B20800" s="318" t="s">
        <v>237</v>
      </c>
    </row>
    <row r="20801" spans="1:2" ht="12.75" customHeight="1" x14ac:dyDescent="0.25">
      <c r="A20801" s="318">
        <v>97063979764</v>
      </c>
      <c r="B20801" s="318" t="s">
        <v>237</v>
      </c>
    </row>
    <row r="20802" spans="1:2" ht="12.75" customHeight="1" x14ac:dyDescent="0.25">
      <c r="A20802" s="318">
        <v>97063979765</v>
      </c>
      <c r="B20802" s="318" t="s">
        <v>237</v>
      </c>
    </row>
    <row r="20803" spans="1:2" ht="12.75" customHeight="1" x14ac:dyDescent="0.25">
      <c r="A20803" s="318">
        <v>97063979766</v>
      </c>
      <c r="B20803" s="318" t="s">
        <v>237</v>
      </c>
    </row>
    <row r="20804" spans="1:2" ht="12.75" customHeight="1" x14ac:dyDescent="0.25">
      <c r="A20804" s="318">
        <v>97063979767</v>
      </c>
      <c r="B20804" s="318" t="s">
        <v>237</v>
      </c>
    </row>
    <row r="20805" spans="1:2" ht="12.75" customHeight="1" x14ac:dyDescent="0.25">
      <c r="A20805" s="318">
        <v>97063979768</v>
      </c>
      <c r="B20805" s="318" t="s">
        <v>237</v>
      </c>
    </row>
    <row r="20806" spans="1:2" ht="12.75" customHeight="1" x14ac:dyDescent="0.25">
      <c r="A20806" s="318">
        <v>97064659843</v>
      </c>
      <c r="B20806" s="318" t="s">
        <v>23</v>
      </c>
    </row>
    <row r="20807" spans="1:2" ht="12.75" customHeight="1" x14ac:dyDescent="0.25">
      <c r="A20807" s="318">
        <v>97064659844</v>
      </c>
      <c r="B20807" s="318" t="s">
        <v>23</v>
      </c>
    </row>
    <row r="20808" spans="1:2" ht="12.75" customHeight="1" x14ac:dyDescent="0.25">
      <c r="A20808" s="318">
        <v>97064659845</v>
      </c>
      <c r="B20808" s="318" t="s">
        <v>23</v>
      </c>
    </row>
    <row r="20809" spans="1:2" ht="12.75" customHeight="1" x14ac:dyDescent="0.25">
      <c r="A20809" s="318">
        <v>97064659846</v>
      </c>
      <c r="B20809" s="318" t="s">
        <v>23</v>
      </c>
    </row>
    <row r="20810" spans="1:2" ht="12.75" customHeight="1" x14ac:dyDescent="0.25">
      <c r="A20810" s="318">
        <v>97064659847</v>
      </c>
      <c r="B20810" s="318" t="s">
        <v>23</v>
      </c>
    </row>
    <row r="20811" spans="1:2" ht="12.75" customHeight="1" x14ac:dyDescent="0.25">
      <c r="A20811" s="318">
        <v>97064659848</v>
      </c>
      <c r="B20811" s="318" t="s">
        <v>23</v>
      </c>
    </row>
    <row r="20812" spans="1:2" ht="12.75" customHeight="1" x14ac:dyDescent="0.25">
      <c r="A20812" s="318">
        <v>97064659849</v>
      </c>
      <c r="B20812" s="318" t="s">
        <v>23</v>
      </c>
    </row>
    <row r="20813" spans="1:2" ht="12.75" customHeight="1" x14ac:dyDescent="0.25">
      <c r="A20813" s="318">
        <v>97064659850</v>
      </c>
      <c r="B20813" s="318" t="s">
        <v>23</v>
      </c>
    </row>
    <row r="20814" spans="1:2" ht="12.75" customHeight="1" x14ac:dyDescent="0.25">
      <c r="A20814" s="318">
        <v>97064659852</v>
      </c>
      <c r="B20814" s="318" t="s">
        <v>23</v>
      </c>
    </row>
    <row r="20815" spans="1:2" ht="12.75" customHeight="1" x14ac:dyDescent="0.25">
      <c r="A20815" s="318">
        <v>97064659853</v>
      </c>
      <c r="B20815" s="318" t="s">
        <v>23</v>
      </c>
    </row>
    <row r="20816" spans="1:2" ht="12.75" customHeight="1" x14ac:dyDescent="0.25">
      <c r="A20816" s="318">
        <v>97064659854</v>
      </c>
      <c r="B20816" s="318" t="s">
        <v>23</v>
      </c>
    </row>
    <row r="20817" spans="1:2" ht="12.75" customHeight="1" x14ac:dyDescent="0.25">
      <c r="A20817" s="318">
        <v>97064659855</v>
      </c>
      <c r="B20817" s="318" t="s">
        <v>23</v>
      </c>
    </row>
    <row r="20818" spans="1:2" ht="12.75" customHeight="1" x14ac:dyDescent="0.25">
      <c r="A20818" s="318">
        <v>97064659856</v>
      </c>
      <c r="B20818" s="318" t="s">
        <v>23</v>
      </c>
    </row>
    <row r="20819" spans="1:2" ht="12.75" customHeight="1" x14ac:dyDescent="0.25">
      <c r="A20819" s="318">
        <v>97064659857</v>
      </c>
      <c r="B20819" s="318" t="s">
        <v>23</v>
      </c>
    </row>
    <row r="20820" spans="1:2" ht="12.75" customHeight="1" x14ac:dyDescent="0.25">
      <c r="A20820" s="318">
        <v>97064659858</v>
      </c>
      <c r="B20820" s="318" t="s">
        <v>23</v>
      </c>
    </row>
    <row r="20821" spans="1:2" ht="12.75" customHeight="1" x14ac:dyDescent="0.25">
      <c r="A20821" s="318">
        <v>97064659859</v>
      </c>
      <c r="B20821" s="318" t="s">
        <v>23</v>
      </c>
    </row>
    <row r="20822" spans="1:2" ht="12.75" customHeight="1" x14ac:dyDescent="0.25">
      <c r="A20822" s="318">
        <v>97064659943</v>
      </c>
      <c r="B20822" s="318" t="s">
        <v>237</v>
      </c>
    </row>
    <row r="20823" spans="1:2" ht="12.75" customHeight="1" x14ac:dyDescent="0.25">
      <c r="A20823" s="318">
        <v>97064659944</v>
      </c>
      <c r="B20823" s="318" t="s">
        <v>237</v>
      </c>
    </row>
    <row r="20824" spans="1:2" ht="12.75" customHeight="1" x14ac:dyDescent="0.25">
      <c r="A20824" s="318">
        <v>97064659945</v>
      </c>
      <c r="B20824" s="318" t="s">
        <v>237</v>
      </c>
    </row>
    <row r="20825" spans="1:2" ht="12.75" customHeight="1" x14ac:dyDescent="0.25">
      <c r="A20825" s="318">
        <v>97064659946</v>
      </c>
      <c r="B20825" s="318" t="s">
        <v>237</v>
      </c>
    </row>
    <row r="20826" spans="1:2" ht="12.75" customHeight="1" x14ac:dyDescent="0.25">
      <c r="A20826" s="318">
        <v>97064659947</v>
      </c>
      <c r="B20826" s="318" t="s">
        <v>237</v>
      </c>
    </row>
    <row r="20827" spans="1:2" ht="12.75" customHeight="1" x14ac:dyDescent="0.25">
      <c r="A20827" s="318">
        <v>97064659948</v>
      </c>
      <c r="B20827" s="318" t="s">
        <v>237</v>
      </c>
    </row>
    <row r="20828" spans="1:2" ht="12.75" customHeight="1" x14ac:dyDescent="0.25">
      <c r="A20828" s="318">
        <v>97064659949</v>
      </c>
      <c r="B20828" s="318" t="s">
        <v>237</v>
      </c>
    </row>
    <row r="20829" spans="1:2" ht="12.75" customHeight="1" x14ac:dyDescent="0.25">
      <c r="A20829" s="318">
        <v>97064659950</v>
      </c>
      <c r="B20829" s="318" t="s">
        <v>237</v>
      </c>
    </row>
    <row r="20830" spans="1:2" ht="12.75" customHeight="1" x14ac:dyDescent="0.25">
      <c r="A20830" s="318">
        <v>97064659952</v>
      </c>
      <c r="B20830" s="318" t="s">
        <v>237</v>
      </c>
    </row>
    <row r="20831" spans="1:2" ht="12.75" customHeight="1" x14ac:dyDescent="0.25">
      <c r="A20831" s="318">
        <v>97064659953</v>
      </c>
      <c r="B20831" s="318" t="s">
        <v>237</v>
      </c>
    </row>
    <row r="20832" spans="1:2" ht="12.75" customHeight="1" x14ac:dyDescent="0.25">
      <c r="A20832" s="318">
        <v>97064659954</v>
      </c>
      <c r="B20832" s="318" t="s">
        <v>237</v>
      </c>
    </row>
    <row r="20833" spans="1:2" ht="12.75" customHeight="1" x14ac:dyDescent="0.25">
      <c r="A20833" s="318">
        <v>97064659955</v>
      </c>
      <c r="B20833" s="318" t="s">
        <v>237</v>
      </c>
    </row>
    <row r="20834" spans="1:2" ht="12.75" customHeight="1" x14ac:dyDescent="0.25">
      <c r="A20834" s="318">
        <v>97064659956</v>
      </c>
      <c r="B20834" s="318" t="s">
        <v>237</v>
      </c>
    </row>
    <row r="20835" spans="1:2" ht="12.75" customHeight="1" x14ac:dyDescent="0.25">
      <c r="A20835" s="318">
        <v>97064659957</v>
      </c>
      <c r="B20835" s="318" t="s">
        <v>237</v>
      </c>
    </row>
    <row r="20836" spans="1:2" ht="12.75" customHeight="1" x14ac:dyDescent="0.25">
      <c r="A20836" s="318">
        <v>97064659958</v>
      </c>
      <c r="B20836" s="318" t="s">
        <v>237</v>
      </c>
    </row>
    <row r="20837" spans="1:2" ht="12.75" customHeight="1" x14ac:dyDescent="0.25">
      <c r="A20837" s="318">
        <v>97064659959</v>
      </c>
      <c r="B20837" s="318" t="s">
        <v>237</v>
      </c>
    </row>
    <row r="20838" spans="1:2" ht="12.75" customHeight="1" x14ac:dyDescent="0.25">
      <c r="A20838" s="318">
        <v>97065140816</v>
      </c>
      <c r="B20838" s="318" t="s">
        <v>23</v>
      </c>
    </row>
    <row r="20839" spans="1:2" ht="12.75" customHeight="1" x14ac:dyDescent="0.25">
      <c r="A20839" s="318">
        <v>97065140817</v>
      </c>
      <c r="B20839" s="318" t="s">
        <v>23</v>
      </c>
    </row>
    <row r="20840" spans="1:2" ht="12.75" customHeight="1" x14ac:dyDescent="0.25">
      <c r="A20840" s="318">
        <v>97065140818</v>
      </c>
      <c r="B20840" s="318" t="s">
        <v>23</v>
      </c>
    </row>
    <row r="20841" spans="1:2" ht="12.75" customHeight="1" x14ac:dyDescent="0.25">
      <c r="A20841" s="318">
        <v>97065140819</v>
      </c>
      <c r="B20841" s="318" t="s">
        <v>23</v>
      </c>
    </row>
    <row r="20842" spans="1:2" ht="12.75" customHeight="1" x14ac:dyDescent="0.25">
      <c r="A20842" s="318">
        <v>97065140820</v>
      </c>
      <c r="B20842" s="318" t="s">
        <v>23</v>
      </c>
    </row>
    <row r="20843" spans="1:2" ht="12.75" customHeight="1" x14ac:dyDescent="0.25">
      <c r="A20843" s="318">
        <v>97065140821</v>
      </c>
      <c r="B20843" s="318" t="s">
        <v>23</v>
      </c>
    </row>
    <row r="20844" spans="1:2" ht="12.75" customHeight="1" x14ac:dyDescent="0.25">
      <c r="A20844" s="318">
        <v>97065140822</v>
      </c>
      <c r="B20844" s="318" t="s">
        <v>23</v>
      </c>
    </row>
    <row r="20845" spans="1:2" ht="12.75" customHeight="1" x14ac:dyDescent="0.25">
      <c r="A20845" s="318">
        <v>97065140823</v>
      </c>
      <c r="B20845" s="318" t="s">
        <v>23</v>
      </c>
    </row>
    <row r="20846" spans="1:2" ht="12.75" customHeight="1" x14ac:dyDescent="0.25">
      <c r="A20846" s="318">
        <v>97065140825</v>
      </c>
      <c r="B20846" s="318" t="s">
        <v>23</v>
      </c>
    </row>
    <row r="20847" spans="1:2" ht="12.75" customHeight="1" x14ac:dyDescent="0.25">
      <c r="A20847" s="318">
        <v>97065140826</v>
      </c>
      <c r="B20847" s="318" t="s">
        <v>23</v>
      </c>
    </row>
    <row r="20848" spans="1:2" ht="12.75" customHeight="1" x14ac:dyDescent="0.25">
      <c r="A20848" s="318">
        <v>97065140827</v>
      </c>
      <c r="B20848" s="318" t="s">
        <v>23</v>
      </c>
    </row>
    <row r="20849" spans="1:2" ht="12.75" customHeight="1" x14ac:dyDescent="0.25">
      <c r="A20849" s="318">
        <v>97065140828</v>
      </c>
      <c r="B20849" s="318" t="s">
        <v>23</v>
      </c>
    </row>
    <row r="20850" spans="1:2" ht="12.75" customHeight="1" x14ac:dyDescent="0.25">
      <c r="A20850" s="318">
        <v>97065140829</v>
      </c>
      <c r="B20850" s="318" t="s">
        <v>23</v>
      </c>
    </row>
    <row r="20851" spans="1:2" ht="12.75" customHeight="1" x14ac:dyDescent="0.25">
      <c r="A20851" s="318">
        <v>97065140830</v>
      </c>
      <c r="B20851" s="318" t="s">
        <v>23</v>
      </c>
    </row>
    <row r="20852" spans="1:2" ht="12.75" customHeight="1" x14ac:dyDescent="0.25">
      <c r="A20852" s="318">
        <v>97065140831</v>
      </c>
      <c r="B20852" s="318" t="s">
        <v>23</v>
      </c>
    </row>
    <row r="20853" spans="1:2" ht="12.75" customHeight="1" x14ac:dyDescent="0.25">
      <c r="A20853" s="318">
        <v>97065140832</v>
      </c>
      <c r="B20853" s="318" t="s">
        <v>23</v>
      </c>
    </row>
    <row r="20854" spans="1:2" ht="12.75" customHeight="1" x14ac:dyDescent="0.25">
      <c r="A20854" s="318">
        <v>97065140916</v>
      </c>
      <c r="B20854" s="318" t="s">
        <v>237</v>
      </c>
    </row>
    <row r="20855" spans="1:2" ht="12.75" customHeight="1" x14ac:dyDescent="0.25">
      <c r="A20855" s="318">
        <v>97065140917</v>
      </c>
      <c r="B20855" s="318" t="s">
        <v>237</v>
      </c>
    </row>
    <row r="20856" spans="1:2" ht="12.75" customHeight="1" x14ac:dyDescent="0.25">
      <c r="A20856" s="318">
        <v>97065140918</v>
      </c>
      <c r="B20856" s="318" t="s">
        <v>237</v>
      </c>
    </row>
    <row r="20857" spans="1:2" ht="12.75" customHeight="1" x14ac:dyDescent="0.25">
      <c r="A20857" s="318">
        <v>97065140919</v>
      </c>
      <c r="B20857" s="318" t="s">
        <v>237</v>
      </c>
    </row>
    <row r="20858" spans="1:2" ht="12.75" customHeight="1" x14ac:dyDescent="0.25">
      <c r="A20858" s="318">
        <v>97065140920</v>
      </c>
      <c r="B20858" s="318" t="s">
        <v>237</v>
      </c>
    </row>
    <row r="20859" spans="1:2" ht="12.75" customHeight="1" x14ac:dyDescent="0.25">
      <c r="A20859" s="318">
        <v>97065140921</v>
      </c>
      <c r="B20859" s="318" t="s">
        <v>237</v>
      </c>
    </row>
    <row r="20860" spans="1:2" ht="12.75" customHeight="1" x14ac:dyDescent="0.25">
      <c r="A20860" s="318">
        <v>97065140922</v>
      </c>
      <c r="B20860" s="318" t="s">
        <v>237</v>
      </c>
    </row>
    <row r="20861" spans="1:2" ht="12.75" customHeight="1" x14ac:dyDescent="0.25">
      <c r="A20861" s="318">
        <v>97065140923</v>
      </c>
      <c r="B20861" s="318" t="s">
        <v>237</v>
      </c>
    </row>
    <row r="20862" spans="1:2" ht="12.75" customHeight="1" x14ac:dyDescent="0.25">
      <c r="A20862" s="318">
        <v>97065140925</v>
      </c>
      <c r="B20862" s="318" t="s">
        <v>237</v>
      </c>
    </row>
    <row r="20863" spans="1:2" ht="12.75" customHeight="1" x14ac:dyDescent="0.25">
      <c r="A20863" s="318">
        <v>97065140926</v>
      </c>
      <c r="B20863" s="318" t="s">
        <v>237</v>
      </c>
    </row>
    <row r="20864" spans="1:2" ht="12.75" customHeight="1" x14ac:dyDescent="0.25">
      <c r="A20864" s="318">
        <v>97065140927</v>
      </c>
      <c r="B20864" s="318" t="s">
        <v>237</v>
      </c>
    </row>
    <row r="20865" spans="1:2" ht="12.75" customHeight="1" x14ac:dyDescent="0.25">
      <c r="A20865" s="318">
        <v>97065140928</v>
      </c>
      <c r="B20865" s="318" t="s">
        <v>237</v>
      </c>
    </row>
    <row r="20866" spans="1:2" ht="12.75" customHeight="1" x14ac:dyDescent="0.25">
      <c r="A20866" s="318">
        <v>97065140929</v>
      </c>
      <c r="B20866" s="318" t="s">
        <v>237</v>
      </c>
    </row>
    <row r="20867" spans="1:2" ht="12.75" customHeight="1" x14ac:dyDescent="0.25">
      <c r="A20867" s="318">
        <v>97065140930</v>
      </c>
      <c r="B20867" s="318" t="s">
        <v>237</v>
      </c>
    </row>
    <row r="20868" spans="1:2" ht="12.75" customHeight="1" x14ac:dyDescent="0.25">
      <c r="A20868" s="318">
        <v>97065140931</v>
      </c>
      <c r="B20868" s="318" t="s">
        <v>237</v>
      </c>
    </row>
    <row r="20869" spans="1:2" ht="12.75" customHeight="1" x14ac:dyDescent="0.25">
      <c r="A20869" s="318">
        <v>97065140932</v>
      </c>
      <c r="B20869" s="318" t="s">
        <v>237</v>
      </c>
    </row>
    <row r="20870" spans="1:2" ht="12.75" customHeight="1" x14ac:dyDescent="0.25">
      <c r="A20870" s="318">
        <v>97065621789</v>
      </c>
      <c r="B20870" s="318" t="s">
        <v>23</v>
      </c>
    </row>
    <row r="20871" spans="1:2" ht="12.75" customHeight="1" x14ac:dyDescent="0.25">
      <c r="A20871" s="318">
        <v>97065621790</v>
      </c>
      <c r="B20871" s="318" t="s">
        <v>23</v>
      </c>
    </row>
    <row r="20872" spans="1:2" ht="12.75" customHeight="1" x14ac:dyDescent="0.25">
      <c r="A20872" s="318">
        <v>97065621791</v>
      </c>
      <c r="B20872" s="318" t="s">
        <v>23</v>
      </c>
    </row>
    <row r="20873" spans="1:2" ht="12.75" customHeight="1" x14ac:dyDescent="0.25">
      <c r="A20873" s="318">
        <v>97065621792</v>
      </c>
      <c r="B20873" s="318" t="s">
        <v>23</v>
      </c>
    </row>
    <row r="20874" spans="1:2" ht="12.75" customHeight="1" x14ac:dyDescent="0.25">
      <c r="A20874" s="318">
        <v>97065621793</v>
      </c>
      <c r="B20874" s="318" t="s">
        <v>23</v>
      </c>
    </row>
    <row r="20875" spans="1:2" ht="12.75" customHeight="1" x14ac:dyDescent="0.25">
      <c r="A20875" s="318">
        <v>97065621794</v>
      </c>
      <c r="B20875" s="318" t="s">
        <v>23</v>
      </c>
    </row>
    <row r="20876" spans="1:2" ht="12.75" customHeight="1" x14ac:dyDescent="0.25">
      <c r="A20876" s="318">
        <v>97065621795</v>
      </c>
      <c r="B20876" s="318" t="s">
        <v>23</v>
      </c>
    </row>
    <row r="20877" spans="1:2" ht="12.75" customHeight="1" x14ac:dyDescent="0.25">
      <c r="A20877" s="318">
        <v>97065621796</v>
      </c>
      <c r="B20877" s="318" t="s">
        <v>23</v>
      </c>
    </row>
    <row r="20878" spans="1:2" ht="12.75" customHeight="1" x14ac:dyDescent="0.25">
      <c r="A20878" s="318">
        <v>97065621798</v>
      </c>
      <c r="B20878" s="318" t="s">
        <v>23</v>
      </c>
    </row>
    <row r="20879" spans="1:2" ht="12.75" customHeight="1" x14ac:dyDescent="0.25">
      <c r="A20879" s="318">
        <v>97065621799</v>
      </c>
      <c r="B20879" s="318" t="s">
        <v>23</v>
      </c>
    </row>
    <row r="20880" spans="1:2" ht="12.75" customHeight="1" x14ac:dyDescent="0.25">
      <c r="A20880" s="318">
        <v>97065621800</v>
      </c>
      <c r="B20880" s="318" t="s">
        <v>23</v>
      </c>
    </row>
    <row r="20881" spans="1:2" ht="12.75" customHeight="1" x14ac:dyDescent="0.25">
      <c r="A20881" s="318">
        <v>97065621801</v>
      </c>
      <c r="B20881" s="318" t="s">
        <v>23</v>
      </c>
    </row>
    <row r="20882" spans="1:2" ht="12.75" customHeight="1" x14ac:dyDescent="0.25">
      <c r="A20882" s="318">
        <v>97065621802</v>
      </c>
      <c r="B20882" s="318" t="s">
        <v>23</v>
      </c>
    </row>
    <row r="20883" spans="1:2" ht="12.75" customHeight="1" x14ac:dyDescent="0.25">
      <c r="A20883" s="318">
        <v>97065621803</v>
      </c>
      <c r="B20883" s="318" t="s">
        <v>23</v>
      </c>
    </row>
    <row r="20884" spans="1:2" ht="12.75" customHeight="1" x14ac:dyDescent="0.25">
      <c r="A20884" s="318">
        <v>97065621804</v>
      </c>
      <c r="B20884" s="318" t="s">
        <v>23</v>
      </c>
    </row>
    <row r="20885" spans="1:2" ht="12.75" customHeight="1" x14ac:dyDescent="0.25">
      <c r="A20885" s="318">
        <v>97065621805</v>
      </c>
      <c r="B20885" s="318" t="s">
        <v>23</v>
      </c>
    </row>
    <row r="20886" spans="1:2" ht="12.75" customHeight="1" x14ac:dyDescent="0.25">
      <c r="A20886" s="318">
        <v>97065621889</v>
      </c>
      <c r="B20886" s="318" t="s">
        <v>237</v>
      </c>
    </row>
    <row r="20887" spans="1:2" ht="12.75" customHeight="1" x14ac:dyDescent="0.25">
      <c r="A20887" s="318">
        <v>97065621890</v>
      </c>
      <c r="B20887" s="318" t="s">
        <v>237</v>
      </c>
    </row>
    <row r="20888" spans="1:2" ht="12.75" customHeight="1" x14ac:dyDescent="0.25">
      <c r="A20888" s="318">
        <v>97065621891</v>
      </c>
      <c r="B20888" s="318" t="s">
        <v>237</v>
      </c>
    </row>
    <row r="20889" spans="1:2" ht="12.75" customHeight="1" x14ac:dyDescent="0.25">
      <c r="A20889" s="318">
        <v>97065621892</v>
      </c>
      <c r="B20889" s="318" t="s">
        <v>237</v>
      </c>
    </row>
    <row r="20890" spans="1:2" ht="12.75" customHeight="1" x14ac:dyDescent="0.25">
      <c r="A20890" s="318">
        <v>97065621893</v>
      </c>
      <c r="B20890" s="318" t="s">
        <v>237</v>
      </c>
    </row>
    <row r="20891" spans="1:2" ht="12.75" customHeight="1" x14ac:dyDescent="0.25">
      <c r="A20891" s="318">
        <v>97065621894</v>
      </c>
      <c r="B20891" s="318" t="s">
        <v>237</v>
      </c>
    </row>
    <row r="20892" spans="1:2" ht="12.75" customHeight="1" x14ac:dyDescent="0.25">
      <c r="A20892" s="318">
        <v>97065621895</v>
      </c>
      <c r="B20892" s="318" t="s">
        <v>237</v>
      </c>
    </row>
    <row r="20893" spans="1:2" ht="12.75" customHeight="1" x14ac:dyDescent="0.25">
      <c r="A20893" s="318">
        <v>97065621896</v>
      </c>
      <c r="B20893" s="318" t="s">
        <v>237</v>
      </c>
    </row>
    <row r="20894" spans="1:2" ht="12.75" customHeight="1" x14ac:dyDescent="0.25">
      <c r="A20894" s="318">
        <v>97065621898</v>
      </c>
      <c r="B20894" s="318" t="s">
        <v>237</v>
      </c>
    </row>
    <row r="20895" spans="1:2" ht="12.75" customHeight="1" x14ac:dyDescent="0.25">
      <c r="A20895" s="318">
        <v>97065621899</v>
      </c>
      <c r="B20895" s="318" t="s">
        <v>237</v>
      </c>
    </row>
    <row r="20896" spans="1:2" ht="12.75" customHeight="1" x14ac:dyDescent="0.25">
      <c r="A20896" s="318">
        <v>97065621900</v>
      </c>
      <c r="B20896" s="318" t="s">
        <v>237</v>
      </c>
    </row>
    <row r="20897" spans="1:2" ht="12.75" customHeight="1" x14ac:dyDescent="0.25">
      <c r="A20897" s="318">
        <v>97065621901</v>
      </c>
      <c r="B20897" s="318" t="s">
        <v>237</v>
      </c>
    </row>
    <row r="20898" spans="1:2" ht="12.75" customHeight="1" x14ac:dyDescent="0.25">
      <c r="A20898" s="318">
        <v>97065621902</v>
      </c>
      <c r="B20898" s="318" t="s">
        <v>237</v>
      </c>
    </row>
    <row r="20899" spans="1:2" ht="12.75" customHeight="1" x14ac:dyDescent="0.25">
      <c r="A20899" s="318">
        <v>97065621903</v>
      </c>
      <c r="B20899" s="318" t="s">
        <v>237</v>
      </c>
    </row>
    <row r="20900" spans="1:2" ht="12.75" customHeight="1" x14ac:dyDescent="0.25">
      <c r="A20900" s="318">
        <v>97065621904</v>
      </c>
      <c r="B20900" s="318" t="s">
        <v>237</v>
      </c>
    </row>
    <row r="20901" spans="1:2" ht="12.75" customHeight="1" x14ac:dyDescent="0.25">
      <c r="A20901" s="318">
        <v>97065621905</v>
      </c>
      <c r="B20901" s="318" t="s">
        <v>237</v>
      </c>
    </row>
    <row r="20902" spans="1:2" ht="12.75" customHeight="1" x14ac:dyDescent="0.25">
      <c r="A20902" s="318">
        <v>97066982170</v>
      </c>
      <c r="B20902" s="318" t="s">
        <v>23</v>
      </c>
    </row>
    <row r="20903" spans="1:2" ht="12.75" customHeight="1" x14ac:dyDescent="0.25">
      <c r="A20903" s="318">
        <v>97066982171</v>
      </c>
      <c r="B20903" s="318" t="s">
        <v>23</v>
      </c>
    </row>
    <row r="20904" spans="1:2" ht="12.75" customHeight="1" x14ac:dyDescent="0.25">
      <c r="A20904" s="318">
        <v>97066982172</v>
      </c>
      <c r="B20904" s="318" t="s">
        <v>23</v>
      </c>
    </row>
    <row r="20905" spans="1:2" ht="12.75" customHeight="1" x14ac:dyDescent="0.25">
      <c r="A20905" s="318">
        <v>97066982173</v>
      </c>
      <c r="B20905" s="318" t="s">
        <v>23</v>
      </c>
    </row>
    <row r="20906" spans="1:2" ht="12.75" customHeight="1" x14ac:dyDescent="0.25">
      <c r="A20906" s="318">
        <v>97066982174</v>
      </c>
      <c r="B20906" s="318" t="s">
        <v>23</v>
      </c>
    </row>
    <row r="20907" spans="1:2" ht="12.75" customHeight="1" x14ac:dyDescent="0.25">
      <c r="A20907" s="318">
        <v>97066982175</v>
      </c>
      <c r="B20907" s="318" t="s">
        <v>23</v>
      </c>
    </row>
    <row r="20908" spans="1:2" ht="12.75" customHeight="1" x14ac:dyDescent="0.25">
      <c r="A20908" s="318">
        <v>97066982176</v>
      </c>
      <c r="B20908" s="318" t="s">
        <v>23</v>
      </c>
    </row>
    <row r="20909" spans="1:2" ht="12.75" customHeight="1" x14ac:dyDescent="0.25">
      <c r="A20909" s="318">
        <v>97066982177</v>
      </c>
      <c r="B20909" s="318" t="s">
        <v>23</v>
      </c>
    </row>
    <row r="20910" spans="1:2" ht="12.75" customHeight="1" x14ac:dyDescent="0.25">
      <c r="A20910" s="318">
        <v>97066982179</v>
      </c>
      <c r="B20910" s="318" t="s">
        <v>23</v>
      </c>
    </row>
    <row r="20911" spans="1:2" ht="12.75" customHeight="1" x14ac:dyDescent="0.25">
      <c r="A20911" s="318">
        <v>97066982180</v>
      </c>
      <c r="B20911" s="318" t="s">
        <v>23</v>
      </c>
    </row>
    <row r="20912" spans="1:2" ht="12.75" customHeight="1" x14ac:dyDescent="0.25">
      <c r="A20912" s="318">
        <v>97066982181</v>
      </c>
      <c r="B20912" s="318" t="s">
        <v>23</v>
      </c>
    </row>
    <row r="20913" spans="1:2" ht="12.75" customHeight="1" x14ac:dyDescent="0.25">
      <c r="A20913" s="318">
        <v>97066982182</v>
      </c>
      <c r="B20913" s="318" t="s">
        <v>23</v>
      </c>
    </row>
    <row r="20914" spans="1:2" ht="12.75" customHeight="1" x14ac:dyDescent="0.25">
      <c r="A20914" s="318">
        <v>97066982183</v>
      </c>
      <c r="B20914" s="318" t="s">
        <v>23</v>
      </c>
    </row>
    <row r="20915" spans="1:2" ht="12.75" customHeight="1" x14ac:dyDescent="0.25">
      <c r="A20915" s="318">
        <v>97066982184</v>
      </c>
      <c r="B20915" s="318" t="s">
        <v>23</v>
      </c>
    </row>
    <row r="20916" spans="1:2" ht="12.75" customHeight="1" x14ac:dyDescent="0.25">
      <c r="A20916" s="318">
        <v>97066982185</v>
      </c>
      <c r="B20916" s="318" t="s">
        <v>23</v>
      </c>
    </row>
    <row r="20917" spans="1:2" ht="12.75" customHeight="1" x14ac:dyDescent="0.25">
      <c r="A20917" s="318">
        <v>97066982186</v>
      </c>
      <c r="B20917" s="318" t="s">
        <v>23</v>
      </c>
    </row>
    <row r="20918" spans="1:2" ht="12.75" customHeight="1" x14ac:dyDescent="0.25">
      <c r="A20918" s="318">
        <v>97066982270</v>
      </c>
      <c r="B20918" s="318" t="s">
        <v>237</v>
      </c>
    </row>
    <row r="20919" spans="1:2" ht="12.75" customHeight="1" x14ac:dyDescent="0.25">
      <c r="A20919" s="318">
        <v>97066982271</v>
      </c>
      <c r="B20919" s="318" t="s">
        <v>237</v>
      </c>
    </row>
    <row r="20920" spans="1:2" ht="12.75" customHeight="1" x14ac:dyDescent="0.25">
      <c r="A20920" s="318">
        <v>97066982272</v>
      </c>
      <c r="B20920" s="318" t="s">
        <v>237</v>
      </c>
    </row>
    <row r="20921" spans="1:2" ht="12.75" customHeight="1" x14ac:dyDescent="0.25">
      <c r="A20921" s="318">
        <v>97066982273</v>
      </c>
      <c r="B20921" s="318" t="s">
        <v>237</v>
      </c>
    </row>
    <row r="20922" spans="1:2" ht="12.75" customHeight="1" x14ac:dyDescent="0.25">
      <c r="A20922" s="318">
        <v>97066982274</v>
      </c>
      <c r="B20922" s="318" t="s">
        <v>237</v>
      </c>
    </row>
    <row r="20923" spans="1:2" ht="12.75" customHeight="1" x14ac:dyDescent="0.25">
      <c r="A20923" s="318">
        <v>97066982275</v>
      </c>
      <c r="B20923" s="318" t="s">
        <v>237</v>
      </c>
    </row>
    <row r="20924" spans="1:2" ht="12.75" customHeight="1" x14ac:dyDescent="0.25">
      <c r="A20924" s="318">
        <v>97066982276</v>
      </c>
      <c r="B20924" s="318" t="s">
        <v>237</v>
      </c>
    </row>
    <row r="20925" spans="1:2" ht="12.75" customHeight="1" x14ac:dyDescent="0.25">
      <c r="A20925" s="318">
        <v>97066982277</v>
      </c>
      <c r="B20925" s="318" t="s">
        <v>237</v>
      </c>
    </row>
    <row r="20926" spans="1:2" ht="12.75" customHeight="1" x14ac:dyDescent="0.25">
      <c r="A20926" s="318">
        <v>97066982279</v>
      </c>
      <c r="B20926" s="318" t="s">
        <v>237</v>
      </c>
    </row>
    <row r="20927" spans="1:2" ht="12.75" customHeight="1" x14ac:dyDescent="0.25">
      <c r="A20927" s="318">
        <v>97066982280</v>
      </c>
      <c r="B20927" s="318" t="s">
        <v>237</v>
      </c>
    </row>
    <row r="20928" spans="1:2" ht="12.75" customHeight="1" x14ac:dyDescent="0.25">
      <c r="A20928" s="318">
        <v>97066982281</v>
      </c>
      <c r="B20928" s="318" t="s">
        <v>237</v>
      </c>
    </row>
    <row r="20929" spans="1:2" ht="12.75" customHeight="1" x14ac:dyDescent="0.25">
      <c r="A20929" s="318">
        <v>97066982282</v>
      </c>
      <c r="B20929" s="318" t="s">
        <v>237</v>
      </c>
    </row>
    <row r="20930" spans="1:2" ht="12.75" customHeight="1" x14ac:dyDescent="0.25">
      <c r="A20930" s="318">
        <v>97066982283</v>
      </c>
      <c r="B20930" s="318" t="s">
        <v>237</v>
      </c>
    </row>
    <row r="20931" spans="1:2" ht="12.75" customHeight="1" x14ac:dyDescent="0.25">
      <c r="A20931" s="318">
        <v>97066982284</v>
      </c>
      <c r="B20931" s="318" t="s">
        <v>237</v>
      </c>
    </row>
    <row r="20932" spans="1:2" ht="12.75" customHeight="1" x14ac:dyDescent="0.25">
      <c r="A20932" s="318">
        <v>97066982285</v>
      </c>
      <c r="B20932" s="318" t="s">
        <v>237</v>
      </c>
    </row>
    <row r="20933" spans="1:2" ht="12.75" customHeight="1" x14ac:dyDescent="0.25">
      <c r="A20933" s="318">
        <v>97066982286</v>
      </c>
      <c r="B20933" s="318" t="s">
        <v>237</v>
      </c>
    </row>
    <row r="20934" spans="1:2" ht="12.75" customHeight="1" x14ac:dyDescent="0.25">
      <c r="A20934" s="318">
        <v>97067463143</v>
      </c>
      <c r="B20934" s="318" t="s">
        <v>23</v>
      </c>
    </row>
    <row r="20935" spans="1:2" ht="12.75" customHeight="1" x14ac:dyDescent="0.25">
      <c r="A20935" s="318">
        <v>97067463144</v>
      </c>
      <c r="B20935" s="318" t="s">
        <v>23</v>
      </c>
    </row>
    <row r="20936" spans="1:2" ht="12.75" customHeight="1" x14ac:dyDescent="0.25">
      <c r="A20936" s="318">
        <v>97067463145</v>
      </c>
      <c r="B20936" s="318" t="s">
        <v>23</v>
      </c>
    </row>
    <row r="20937" spans="1:2" ht="12.75" customHeight="1" x14ac:dyDescent="0.25">
      <c r="A20937" s="318">
        <v>97067463146</v>
      </c>
      <c r="B20937" s="318" t="s">
        <v>23</v>
      </c>
    </row>
    <row r="20938" spans="1:2" ht="12.75" customHeight="1" x14ac:dyDescent="0.25">
      <c r="A20938" s="318">
        <v>97067463147</v>
      </c>
      <c r="B20938" s="318" t="s">
        <v>23</v>
      </c>
    </row>
    <row r="20939" spans="1:2" ht="12.75" customHeight="1" x14ac:dyDescent="0.25">
      <c r="A20939" s="318">
        <v>97067463148</v>
      </c>
      <c r="B20939" s="318" t="s">
        <v>23</v>
      </c>
    </row>
    <row r="20940" spans="1:2" ht="12.75" customHeight="1" x14ac:dyDescent="0.25">
      <c r="A20940" s="318">
        <v>97067463149</v>
      </c>
      <c r="B20940" s="318" t="s">
        <v>23</v>
      </c>
    </row>
    <row r="20941" spans="1:2" ht="12.75" customHeight="1" x14ac:dyDescent="0.25">
      <c r="A20941" s="318">
        <v>97067463150</v>
      </c>
      <c r="B20941" s="318" t="s">
        <v>23</v>
      </c>
    </row>
    <row r="20942" spans="1:2" ht="12.75" customHeight="1" x14ac:dyDescent="0.25">
      <c r="A20942" s="318">
        <v>97067463152</v>
      </c>
      <c r="B20942" s="318" t="s">
        <v>23</v>
      </c>
    </row>
    <row r="20943" spans="1:2" ht="12.75" customHeight="1" x14ac:dyDescent="0.25">
      <c r="A20943" s="318">
        <v>97067463153</v>
      </c>
      <c r="B20943" s="318" t="s">
        <v>23</v>
      </c>
    </row>
    <row r="20944" spans="1:2" ht="12.75" customHeight="1" x14ac:dyDescent="0.25">
      <c r="A20944" s="318">
        <v>97067463154</v>
      </c>
      <c r="B20944" s="318" t="s">
        <v>23</v>
      </c>
    </row>
    <row r="20945" spans="1:2" ht="12.75" customHeight="1" x14ac:dyDescent="0.25">
      <c r="A20945" s="318">
        <v>97067463155</v>
      </c>
      <c r="B20945" s="318" t="s">
        <v>23</v>
      </c>
    </row>
    <row r="20946" spans="1:2" ht="12.75" customHeight="1" x14ac:dyDescent="0.25">
      <c r="A20946" s="318">
        <v>97067463156</v>
      </c>
      <c r="B20946" s="318" t="s">
        <v>23</v>
      </c>
    </row>
    <row r="20947" spans="1:2" ht="12.75" customHeight="1" x14ac:dyDescent="0.25">
      <c r="A20947" s="318">
        <v>97067463157</v>
      </c>
      <c r="B20947" s="318" t="s">
        <v>23</v>
      </c>
    </row>
    <row r="20948" spans="1:2" ht="12.75" customHeight="1" x14ac:dyDescent="0.25">
      <c r="A20948" s="318">
        <v>97067463158</v>
      </c>
      <c r="B20948" s="318" t="s">
        <v>23</v>
      </c>
    </row>
    <row r="20949" spans="1:2" ht="12.75" customHeight="1" x14ac:dyDescent="0.25">
      <c r="A20949" s="318">
        <v>97067463159</v>
      </c>
      <c r="B20949" s="318" t="s">
        <v>23</v>
      </c>
    </row>
    <row r="20950" spans="1:2" ht="12.75" customHeight="1" x14ac:dyDescent="0.25">
      <c r="A20950" s="318">
        <v>97067463243</v>
      </c>
      <c r="B20950" s="318" t="s">
        <v>237</v>
      </c>
    </row>
    <row r="20951" spans="1:2" ht="12.75" customHeight="1" x14ac:dyDescent="0.25">
      <c r="A20951" s="318">
        <v>97067463244</v>
      </c>
      <c r="B20951" s="318" t="s">
        <v>237</v>
      </c>
    </row>
    <row r="20952" spans="1:2" ht="12.75" customHeight="1" x14ac:dyDescent="0.25">
      <c r="A20952" s="318">
        <v>97067463245</v>
      </c>
      <c r="B20952" s="318" t="s">
        <v>237</v>
      </c>
    </row>
    <row r="20953" spans="1:2" ht="12.75" customHeight="1" x14ac:dyDescent="0.25">
      <c r="A20953" s="318">
        <v>97067463246</v>
      </c>
      <c r="B20953" s="318" t="s">
        <v>237</v>
      </c>
    </row>
    <row r="20954" spans="1:2" ht="12.75" customHeight="1" x14ac:dyDescent="0.25">
      <c r="A20954" s="318">
        <v>97067463247</v>
      </c>
      <c r="B20954" s="318" t="s">
        <v>237</v>
      </c>
    </row>
    <row r="20955" spans="1:2" ht="12.75" customHeight="1" x14ac:dyDescent="0.25">
      <c r="A20955" s="318">
        <v>97067463248</v>
      </c>
      <c r="B20955" s="318" t="s">
        <v>237</v>
      </c>
    </row>
    <row r="20956" spans="1:2" ht="12.75" customHeight="1" x14ac:dyDescent="0.25">
      <c r="A20956" s="318">
        <v>97067463249</v>
      </c>
      <c r="B20956" s="318" t="s">
        <v>237</v>
      </c>
    </row>
    <row r="20957" spans="1:2" ht="12.75" customHeight="1" x14ac:dyDescent="0.25">
      <c r="A20957" s="318">
        <v>97067463250</v>
      </c>
      <c r="B20957" s="318" t="s">
        <v>237</v>
      </c>
    </row>
    <row r="20958" spans="1:2" ht="12.75" customHeight="1" x14ac:dyDescent="0.25">
      <c r="A20958" s="318">
        <v>97067463252</v>
      </c>
      <c r="B20958" s="318" t="s">
        <v>237</v>
      </c>
    </row>
    <row r="20959" spans="1:2" ht="12.75" customHeight="1" x14ac:dyDescent="0.25">
      <c r="A20959" s="318">
        <v>97067463253</v>
      </c>
      <c r="B20959" s="318" t="s">
        <v>237</v>
      </c>
    </row>
    <row r="20960" spans="1:2" ht="12.75" customHeight="1" x14ac:dyDescent="0.25">
      <c r="A20960" s="318">
        <v>97067463254</v>
      </c>
      <c r="B20960" s="318" t="s">
        <v>237</v>
      </c>
    </row>
    <row r="20961" spans="1:2" ht="12.75" customHeight="1" x14ac:dyDescent="0.25">
      <c r="A20961" s="318">
        <v>97067463255</v>
      </c>
      <c r="B20961" s="318" t="s">
        <v>237</v>
      </c>
    </row>
    <row r="20962" spans="1:2" ht="12.75" customHeight="1" x14ac:dyDescent="0.25">
      <c r="A20962" s="318">
        <v>97067463256</v>
      </c>
      <c r="B20962" s="318" t="s">
        <v>237</v>
      </c>
    </row>
    <row r="20963" spans="1:2" ht="12.75" customHeight="1" x14ac:dyDescent="0.25">
      <c r="A20963" s="318">
        <v>97067463257</v>
      </c>
      <c r="B20963" s="318" t="s">
        <v>237</v>
      </c>
    </row>
    <row r="20964" spans="1:2" ht="12.75" customHeight="1" x14ac:dyDescent="0.25">
      <c r="A20964" s="318">
        <v>97067463258</v>
      </c>
      <c r="B20964" s="318" t="s">
        <v>237</v>
      </c>
    </row>
    <row r="20965" spans="1:2" ht="12.75" customHeight="1" x14ac:dyDescent="0.25">
      <c r="A20965" s="318">
        <v>97067463259</v>
      </c>
      <c r="B20965" s="318" t="s">
        <v>237</v>
      </c>
    </row>
    <row r="20966" spans="1:2" ht="12.75" customHeight="1" x14ac:dyDescent="0.25">
      <c r="A20966" s="318">
        <v>97067944116</v>
      </c>
      <c r="B20966" s="318" t="s">
        <v>23</v>
      </c>
    </row>
    <row r="20967" spans="1:2" ht="12.75" customHeight="1" x14ac:dyDescent="0.25">
      <c r="A20967" s="318">
        <v>97067944117</v>
      </c>
      <c r="B20967" s="318" t="s">
        <v>23</v>
      </c>
    </row>
    <row r="20968" spans="1:2" ht="12.75" customHeight="1" x14ac:dyDescent="0.25">
      <c r="A20968" s="318">
        <v>97067944118</v>
      </c>
      <c r="B20968" s="318" t="s">
        <v>23</v>
      </c>
    </row>
    <row r="20969" spans="1:2" ht="12.75" customHeight="1" x14ac:dyDescent="0.25">
      <c r="A20969" s="318">
        <v>97067944119</v>
      </c>
      <c r="B20969" s="318" t="s">
        <v>23</v>
      </c>
    </row>
    <row r="20970" spans="1:2" ht="12.75" customHeight="1" x14ac:dyDescent="0.25">
      <c r="A20970" s="318">
        <v>97067944120</v>
      </c>
      <c r="B20970" s="318" t="s">
        <v>23</v>
      </c>
    </row>
    <row r="20971" spans="1:2" ht="12.75" customHeight="1" x14ac:dyDescent="0.25">
      <c r="A20971" s="318">
        <v>97067944121</v>
      </c>
      <c r="B20971" s="318" t="s">
        <v>23</v>
      </c>
    </row>
    <row r="20972" spans="1:2" ht="12.75" customHeight="1" x14ac:dyDescent="0.25">
      <c r="A20972" s="318">
        <v>97067944122</v>
      </c>
      <c r="B20972" s="318" t="s">
        <v>23</v>
      </c>
    </row>
    <row r="20973" spans="1:2" ht="12.75" customHeight="1" x14ac:dyDescent="0.25">
      <c r="A20973" s="318">
        <v>97067944123</v>
      </c>
      <c r="B20973" s="318" t="s">
        <v>23</v>
      </c>
    </row>
    <row r="20974" spans="1:2" ht="12.75" customHeight="1" x14ac:dyDescent="0.25">
      <c r="A20974" s="318">
        <v>97067944125</v>
      </c>
      <c r="B20974" s="318" t="s">
        <v>23</v>
      </c>
    </row>
    <row r="20975" spans="1:2" ht="12.75" customHeight="1" x14ac:dyDescent="0.25">
      <c r="A20975" s="318">
        <v>97067944126</v>
      </c>
      <c r="B20975" s="318" t="s">
        <v>23</v>
      </c>
    </row>
    <row r="20976" spans="1:2" ht="12.75" customHeight="1" x14ac:dyDescent="0.25">
      <c r="A20976" s="318">
        <v>97067944127</v>
      </c>
      <c r="B20976" s="318" t="s">
        <v>23</v>
      </c>
    </row>
    <row r="20977" spans="1:2" ht="12.75" customHeight="1" x14ac:dyDescent="0.25">
      <c r="A20977" s="318">
        <v>97067944128</v>
      </c>
      <c r="B20977" s="318" t="s">
        <v>23</v>
      </c>
    </row>
    <row r="20978" spans="1:2" ht="12.75" customHeight="1" x14ac:dyDescent="0.25">
      <c r="A20978" s="318">
        <v>97067944129</v>
      </c>
      <c r="B20978" s="318" t="s">
        <v>23</v>
      </c>
    </row>
    <row r="20979" spans="1:2" ht="12.75" customHeight="1" x14ac:dyDescent="0.25">
      <c r="A20979" s="318">
        <v>97067944130</v>
      </c>
      <c r="B20979" s="318" t="s">
        <v>23</v>
      </c>
    </row>
    <row r="20980" spans="1:2" ht="12.75" customHeight="1" x14ac:dyDescent="0.25">
      <c r="A20980" s="318">
        <v>97067944131</v>
      </c>
      <c r="B20980" s="318" t="s">
        <v>23</v>
      </c>
    </row>
    <row r="20981" spans="1:2" ht="12.75" customHeight="1" x14ac:dyDescent="0.25">
      <c r="A20981" s="318">
        <v>97067944132</v>
      </c>
      <c r="B20981" s="318" t="s">
        <v>23</v>
      </c>
    </row>
    <row r="20982" spans="1:2" ht="12.75" customHeight="1" x14ac:dyDescent="0.25">
      <c r="A20982" s="318">
        <v>97067944216</v>
      </c>
      <c r="B20982" s="318" t="s">
        <v>237</v>
      </c>
    </row>
    <row r="20983" spans="1:2" ht="12.75" customHeight="1" x14ac:dyDescent="0.25">
      <c r="A20983" s="318">
        <v>97067944217</v>
      </c>
      <c r="B20983" s="318" t="s">
        <v>237</v>
      </c>
    </row>
    <row r="20984" spans="1:2" ht="12.75" customHeight="1" x14ac:dyDescent="0.25">
      <c r="A20984" s="318">
        <v>97067944218</v>
      </c>
      <c r="B20984" s="318" t="s">
        <v>237</v>
      </c>
    </row>
    <row r="20985" spans="1:2" ht="12.75" customHeight="1" x14ac:dyDescent="0.25">
      <c r="A20985" s="318">
        <v>97067944219</v>
      </c>
      <c r="B20985" s="318" t="s">
        <v>237</v>
      </c>
    </row>
    <row r="20986" spans="1:2" ht="12.75" customHeight="1" x14ac:dyDescent="0.25">
      <c r="A20986" s="318">
        <v>97067944220</v>
      </c>
      <c r="B20986" s="318" t="s">
        <v>237</v>
      </c>
    </row>
    <row r="20987" spans="1:2" ht="12.75" customHeight="1" x14ac:dyDescent="0.25">
      <c r="A20987" s="318">
        <v>97067944221</v>
      </c>
      <c r="B20987" s="318" t="s">
        <v>237</v>
      </c>
    </row>
    <row r="20988" spans="1:2" ht="12.75" customHeight="1" x14ac:dyDescent="0.25">
      <c r="A20988" s="318">
        <v>97067944222</v>
      </c>
      <c r="B20988" s="318" t="s">
        <v>237</v>
      </c>
    </row>
    <row r="20989" spans="1:2" ht="12.75" customHeight="1" x14ac:dyDescent="0.25">
      <c r="A20989" s="318">
        <v>97067944223</v>
      </c>
      <c r="B20989" s="318" t="s">
        <v>237</v>
      </c>
    </row>
    <row r="20990" spans="1:2" ht="12.75" customHeight="1" x14ac:dyDescent="0.25">
      <c r="A20990" s="318">
        <v>97067944225</v>
      </c>
      <c r="B20990" s="318" t="s">
        <v>237</v>
      </c>
    </row>
    <row r="20991" spans="1:2" ht="12.75" customHeight="1" x14ac:dyDescent="0.25">
      <c r="A20991" s="318">
        <v>97067944226</v>
      </c>
      <c r="B20991" s="318" t="s">
        <v>237</v>
      </c>
    </row>
    <row r="20992" spans="1:2" ht="12.75" customHeight="1" x14ac:dyDescent="0.25">
      <c r="A20992" s="318">
        <v>97067944227</v>
      </c>
      <c r="B20992" s="318" t="s">
        <v>237</v>
      </c>
    </row>
    <row r="20993" spans="1:2" ht="12.75" customHeight="1" x14ac:dyDescent="0.25">
      <c r="A20993" s="318">
        <v>97067944228</v>
      </c>
      <c r="B20993" s="318" t="s">
        <v>237</v>
      </c>
    </row>
    <row r="20994" spans="1:2" ht="12.75" customHeight="1" x14ac:dyDescent="0.25">
      <c r="A20994" s="318">
        <v>97067944229</v>
      </c>
      <c r="B20994" s="318" t="s">
        <v>237</v>
      </c>
    </row>
    <row r="20995" spans="1:2" ht="12.75" customHeight="1" x14ac:dyDescent="0.25">
      <c r="A20995" s="318">
        <v>97067944230</v>
      </c>
      <c r="B20995" s="318" t="s">
        <v>237</v>
      </c>
    </row>
    <row r="20996" spans="1:2" ht="12.75" customHeight="1" x14ac:dyDescent="0.25">
      <c r="A20996" s="318">
        <v>97067944231</v>
      </c>
      <c r="B20996" s="318" t="s">
        <v>237</v>
      </c>
    </row>
    <row r="20997" spans="1:2" ht="12.75" customHeight="1" x14ac:dyDescent="0.25">
      <c r="A20997" s="318">
        <v>97067944232</v>
      </c>
      <c r="B20997" s="318" t="s">
        <v>237</v>
      </c>
    </row>
    <row r="20998" spans="1:2" ht="12.75" customHeight="1" x14ac:dyDescent="0.25">
      <c r="A20998" s="318">
        <v>97068624307</v>
      </c>
      <c r="B20998" s="318" t="s">
        <v>23</v>
      </c>
    </row>
    <row r="20999" spans="1:2" ht="12.75" customHeight="1" x14ac:dyDescent="0.25">
      <c r="A20999" s="318">
        <v>97068624308</v>
      </c>
      <c r="B20999" s="318" t="s">
        <v>23</v>
      </c>
    </row>
    <row r="21000" spans="1:2" ht="12.75" customHeight="1" x14ac:dyDescent="0.25">
      <c r="A21000" s="318">
        <v>97068624309</v>
      </c>
      <c r="B21000" s="318" t="s">
        <v>23</v>
      </c>
    </row>
    <row r="21001" spans="1:2" ht="12.75" customHeight="1" x14ac:dyDescent="0.25">
      <c r="A21001" s="318">
        <v>97068624310</v>
      </c>
      <c r="B21001" s="318" t="s">
        <v>23</v>
      </c>
    </row>
    <row r="21002" spans="1:2" ht="12.75" customHeight="1" x14ac:dyDescent="0.25">
      <c r="A21002" s="318">
        <v>97068624311</v>
      </c>
      <c r="B21002" s="318" t="s">
        <v>23</v>
      </c>
    </row>
    <row r="21003" spans="1:2" ht="12.75" customHeight="1" x14ac:dyDescent="0.25">
      <c r="A21003" s="318">
        <v>97068624312</v>
      </c>
      <c r="B21003" s="318" t="s">
        <v>23</v>
      </c>
    </row>
    <row r="21004" spans="1:2" ht="12.75" customHeight="1" x14ac:dyDescent="0.25">
      <c r="A21004" s="318">
        <v>97068624313</v>
      </c>
      <c r="B21004" s="318" t="s">
        <v>23</v>
      </c>
    </row>
    <row r="21005" spans="1:2" ht="12.75" customHeight="1" x14ac:dyDescent="0.25">
      <c r="A21005" s="318">
        <v>97068624314</v>
      </c>
      <c r="B21005" s="318" t="s">
        <v>23</v>
      </c>
    </row>
    <row r="21006" spans="1:2" ht="12.75" customHeight="1" x14ac:dyDescent="0.25">
      <c r="A21006" s="318">
        <v>97068624316</v>
      </c>
      <c r="B21006" s="318" t="s">
        <v>23</v>
      </c>
    </row>
    <row r="21007" spans="1:2" ht="12.75" customHeight="1" x14ac:dyDescent="0.25">
      <c r="A21007" s="318">
        <v>97068624317</v>
      </c>
      <c r="B21007" s="318" t="s">
        <v>23</v>
      </c>
    </row>
    <row r="21008" spans="1:2" ht="12.75" customHeight="1" x14ac:dyDescent="0.25">
      <c r="A21008" s="318">
        <v>97068624318</v>
      </c>
      <c r="B21008" s="318" t="s">
        <v>23</v>
      </c>
    </row>
    <row r="21009" spans="1:2" ht="12.75" customHeight="1" x14ac:dyDescent="0.25">
      <c r="A21009" s="318">
        <v>97068624319</v>
      </c>
      <c r="B21009" s="318" t="s">
        <v>23</v>
      </c>
    </row>
    <row r="21010" spans="1:2" ht="12.75" customHeight="1" x14ac:dyDescent="0.25">
      <c r="A21010" s="318">
        <v>97068624320</v>
      </c>
      <c r="B21010" s="318" t="s">
        <v>23</v>
      </c>
    </row>
    <row r="21011" spans="1:2" ht="12.75" customHeight="1" x14ac:dyDescent="0.25">
      <c r="A21011" s="318">
        <v>97068624321</v>
      </c>
      <c r="B21011" s="318" t="s">
        <v>23</v>
      </c>
    </row>
    <row r="21012" spans="1:2" ht="12.75" customHeight="1" x14ac:dyDescent="0.25">
      <c r="A21012" s="318">
        <v>97068624322</v>
      </c>
      <c r="B21012" s="318" t="s">
        <v>23</v>
      </c>
    </row>
    <row r="21013" spans="1:2" ht="12.75" customHeight="1" x14ac:dyDescent="0.25">
      <c r="A21013" s="318">
        <v>97068624323</v>
      </c>
      <c r="B21013" s="318" t="s">
        <v>23</v>
      </c>
    </row>
    <row r="21014" spans="1:2" ht="12.75" customHeight="1" x14ac:dyDescent="0.25">
      <c r="A21014" s="318">
        <v>97068624407</v>
      </c>
      <c r="B21014" s="318" t="s">
        <v>237</v>
      </c>
    </row>
    <row r="21015" spans="1:2" ht="12.75" customHeight="1" x14ac:dyDescent="0.25">
      <c r="A21015" s="318">
        <v>97068624408</v>
      </c>
      <c r="B21015" s="318" t="s">
        <v>237</v>
      </c>
    </row>
    <row r="21016" spans="1:2" ht="12.75" customHeight="1" x14ac:dyDescent="0.25">
      <c r="A21016" s="318">
        <v>97068624409</v>
      </c>
      <c r="B21016" s="318" t="s">
        <v>237</v>
      </c>
    </row>
    <row r="21017" spans="1:2" ht="12.75" customHeight="1" x14ac:dyDescent="0.25">
      <c r="A21017" s="318">
        <v>97068624410</v>
      </c>
      <c r="B21017" s="318" t="s">
        <v>237</v>
      </c>
    </row>
    <row r="21018" spans="1:2" ht="12.75" customHeight="1" x14ac:dyDescent="0.25">
      <c r="A21018" s="318">
        <v>97068624411</v>
      </c>
      <c r="B21018" s="318" t="s">
        <v>237</v>
      </c>
    </row>
    <row r="21019" spans="1:2" ht="12.75" customHeight="1" x14ac:dyDescent="0.25">
      <c r="A21019" s="318">
        <v>97068624412</v>
      </c>
      <c r="B21019" s="318" t="s">
        <v>237</v>
      </c>
    </row>
    <row r="21020" spans="1:2" ht="12.75" customHeight="1" x14ac:dyDescent="0.25">
      <c r="A21020" s="318">
        <v>97068624413</v>
      </c>
      <c r="B21020" s="318" t="s">
        <v>237</v>
      </c>
    </row>
    <row r="21021" spans="1:2" ht="12.75" customHeight="1" x14ac:dyDescent="0.25">
      <c r="A21021" s="318">
        <v>97068624414</v>
      </c>
      <c r="B21021" s="318" t="s">
        <v>237</v>
      </c>
    </row>
    <row r="21022" spans="1:2" ht="12.75" customHeight="1" x14ac:dyDescent="0.25">
      <c r="A21022" s="318">
        <v>97068624416</v>
      </c>
      <c r="B21022" s="318" t="s">
        <v>237</v>
      </c>
    </row>
    <row r="21023" spans="1:2" ht="12.75" customHeight="1" x14ac:dyDescent="0.25">
      <c r="A21023" s="318">
        <v>97068624417</v>
      </c>
      <c r="B21023" s="318" t="s">
        <v>237</v>
      </c>
    </row>
    <row r="21024" spans="1:2" ht="12.75" customHeight="1" x14ac:dyDescent="0.25">
      <c r="A21024" s="318">
        <v>97068624418</v>
      </c>
      <c r="B21024" s="318" t="s">
        <v>237</v>
      </c>
    </row>
    <row r="21025" spans="1:2" ht="12.75" customHeight="1" x14ac:dyDescent="0.25">
      <c r="A21025" s="318">
        <v>97068624419</v>
      </c>
      <c r="B21025" s="318" t="s">
        <v>237</v>
      </c>
    </row>
    <row r="21026" spans="1:2" ht="12.75" customHeight="1" x14ac:dyDescent="0.25">
      <c r="A21026" s="318">
        <v>97068624420</v>
      </c>
      <c r="B21026" s="318" t="s">
        <v>237</v>
      </c>
    </row>
    <row r="21027" spans="1:2" ht="12.75" customHeight="1" x14ac:dyDescent="0.25">
      <c r="A21027" s="318">
        <v>97068624421</v>
      </c>
      <c r="B21027" s="318" t="s">
        <v>237</v>
      </c>
    </row>
    <row r="21028" spans="1:2" ht="12.75" customHeight="1" x14ac:dyDescent="0.25">
      <c r="A21028" s="318">
        <v>97068624422</v>
      </c>
      <c r="B21028" s="318" t="s">
        <v>237</v>
      </c>
    </row>
    <row r="21029" spans="1:2" ht="12.75" customHeight="1" x14ac:dyDescent="0.25">
      <c r="A21029" s="318">
        <v>97068624423</v>
      </c>
      <c r="B21029" s="318" t="s">
        <v>237</v>
      </c>
    </row>
    <row r="21030" spans="1:2" ht="12.75" customHeight="1" x14ac:dyDescent="0.25">
      <c r="A21030" s="318">
        <v>97069105280</v>
      </c>
      <c r="B21030" s="318" t="s">
        <v>23</v>
      </c>
    </row>
    <row r="21031" spans="1:2" ht="12.75" customHeight="1" x14ac:dyDescent="0.25">
      <c r="A21031" s="318">
        <v>97069105281</v>
      </c>
      <c r="B21031" s="318" t="s">
        <v>23</v>
      </c>
    </row>
    <row r="21032" spans="1:2" ht="12.75" customHeight="1" x14ac:dyDescent="0.25">
      <c r="A21032" s="318">
        <v>97069105282</v>
      </c>
      <c r="B21032" s="318" t="s">
        <v>23</v>
      </c>
    </row>
    <row r="21033" spans="1:2" ht="12.75" customHeight="1" x14ac:dyDescent="0.25">
      <c r="A21033" s="318">
        <v>97069105283</v>
      </c>
      <c r="B21033" s="318" t="s">
        <v>23</v>
      </c>
    </row>
    <row r="21034" spans="1:2" ht="12.75" customHeight="1" x14ac:dyDescent="0.25">
      <c r="A21034" s="318">
        <v>97069105284</v>
      </c>
      <c r="B21034" s="318" t="s">
        <v>23</v>
      </c>
    </row>
    <row r="21035" spans="1:2" ht="12.75" customHeight="1" x14ac:dyDescent="0.25">
      <c r="A21035" s="318">
        <v>97069105285</v>
      </c>
      <c r="B21035" s="318" t="s">
        <v>23</v>
      </c>
    </row>
    <row r="21036" spans="1:2" ht="12.75" customHeight="1" x14ac:dyDescent="0.25">
      <c r="A21036" s="318">
        <v>97069105286</v>
      </c>
      <c r="B21036" s="318" t="s">
        <v>23</v>
      </c>
    </row>
    <row r="21037" spans="1:2" ht="12.75" customHeight="1" x14ac:dyDescent="0.25">
      <c r="A21037" s="318">
        <v>97069105287</v>
      </c>
      <c r="B21037" s="318" t="s">
        <v>23</v>
      </c>
    </row>
    <row r="21038" spans="1:2" ht="12.75" customHeight="1" x14ac:dyDescent="0.25">
      <c r="A21038" s="318">
        <v>97069105289</v>
      </c>
      <c r="B21038" s="318" t="s">
        <v>23</v>
      </c>
    </row>
    <row r="21039" spans="1:2" ht="12.75" customHeight="1" x14ac:dyDescent="0.25">
      <c r="A21039" s="318">
        <v>97069105290</v>
      </c>
      <c r="B21039" s="318" t="s">
        <v>23</v>
      </c>
    </row>
    <row r="21040" spans="1:2" ht="12.75" customHeight="1" x14ac:dyDescent="0.25">
      <c r="A21040" s="318">
        <v>97069105291</v>
      </c>
      <c r="B21040" s="318" t="s">
        <v>23</v>
      </c>
    </row>
    <row r="21041" spans="1:2" ht="12.75" customHeight="1" x14ac:dyDescent="0.25">
      <c r="A21041" s="318">
        <v>97069105292</v>
      </c>
      <c r="B21041" s="318" t="s">
        <v>23</v>
      </c>
    </row>
    <row r="21042" spans="1:2" ht="12.75" customHeight="1" x14ac:dyDescent="0.25">
      <c r="A21042" s="318">
        <v>97069105293</v>
      </c>
      <c r="B21042" s="318" t="s">
        <v>23</v>
      </c>
    </row>
    <row r="21043" spans="1:2" ht="12.75" customHeight="1" x14ac:dyDescent="0.25">
      <c r="A21043" s="318">
        <v>97069105294</v>
      </c>
      <c r="B21043" s="318" t="s">
        <v>23</v>
      </c>
    </row>
    <row r="21044" spans="1:2" ht="12.75" customHeight="1" x14ac:dyDescent="0.25">
      <c r="A21044" s="318">
        <v>97069105295</v>
      </c>
      <c r="B21044" s="318" t="s">
        <v>23</v>
      </c>
    </row>
    <row r="21045" spans="1:2" ht="12.75" customHeight="1" x14ac:dyDescent="0.25">
      <c r="A21045" s="318">
        <v>97069105296</v>
      </c>
      <c r="B21045" s="318" t="s">
        <v>23</v>
      </c>
    </row>
    <row r="21046" spans="1:2" ht="12.75" customHeight="1" x14ac:dyDescent="0.25">
      <c r="A21046" s="318">
        <v>97069105380</v>
      </c>
      <c r="B21046" s="318" t="s">
        <v>237</v>
      </c>
    </row>
    <row r="21047" spans="1:2" ht="12.75" customHeight="1" x14ac:dyDescent="0.25">
      <c r="A21047" s="318">
        <v>97069105381</v>
      </c>
      <c r="B21047" s="318" t="s">
        <v>237</v>
      </c>
    </row>
    <row r="21048" spans="1:2" ht="12.75" customHeight="1" x14ac:dyDescent="0.25">
      <c r="A21048" s="318">
        <v>97069105382</v>
      </c>
      <c r="B21048" s="318" t="s">
        <v>237</v>
      </c>
    </row>
    <row r="21049" spans="1:2" ht="12.75" customHeight="1" x14ac:dyDescent="0.25">
      <c r="A21049" s="318">
        <v>97069105383</v>
      </c>
      <c r="B21049" s="318" t="s">
        <v>237</v>
      </c>
    </row>
    <row r="21050" spans="1:2" ht="12.75" customHeight="1" x14ac:dyDescent="0.25">
      <c r="A21050" s="318">
        <v>97069105384</v>
      </c>
      <c r="B21050" s="318" t="s">
        <v>237</v>
      </c>
    </row>
    <row r="21051" spans="1:2" ht="12.75" customHeight="1" x14ac:dyDescent="0.25">
      <c r="A21051" s="318">
        <v>97069105385</v>
      </c>
      <c r="B21051" s="318" t="s">
        <v>237</v>
      </c>
    </row>
    <row r="21052" spans="1:2" ht="12.75" customHeight="1" x14ac:dyDescent="0.25">
      <c r="A21052" s="318">
        <v>97069105386</v>
      </c>
      <c r="B21052" s="318" t="s">
        <v>237</v>
      </c>
    </row>
    <row r="21053" spans="1:2" ht="12.75" customHeight="1" x14ac:dyDescent="0.25">
      <c r="A21053" s="318">
        <v>97069105387</v>
      </c>
      <c r="B21053" s="318" t="s">
        <v>237</v>
      </c>
    </row>
    <row r="21054" spans="1:2" ht="12.75" customHeight="1" x14ac:dyDescent="0.25">
      <c r="A21054" s="318">
        <v>97069105389</v>
      </c>
      <c r="B21054" s="318" t="s">
        <v>237</v>
      </c>
    </row>
    <row r="21055" spans="1:2" ht="12.75" customHeight="1" x14ac:dyDescent="0.25">
      <c r="A21055" s="318">
        <v>97069105390</v>
      </c>
      <c r="B21055" s="318" t="s">
        <v>237</v>
      </c>
    </row>
    <row r="21056" spans="1:2" ht="12.75" customHeight="1" x14ac:dyDescent="0.25">
      <c r="A21056" s="318">
        <v>97069105391</v>
      </c>
      <c r="B21056" s="318" t="s">
        <v>237</v>
      </c>
    </row>
    <row r="21057" spans="1:2" ht="12.75" customHeight="1" x14ac:dyDescent="0.25">
      <c r="A21057" s="318">
        <v>97069105392</v>
      </c>
      <c r="B21057" s="318" t="s">
        <v>237</v>
      </c>
    </row>
    <row r="21058" spans="1:2" ht="12.75" customHeight="1" x14ac:dyDescent="0.25">
      <c r="A21058" s="318">
        <v>97069105393</v>
      </c>
      <c r="B21058" s="318" t="s">
        <v>237</v>
      </c>
    </row>
    <row r="21059" spans="1:2" ht="12.75" customHeight="1" x14ac:dyDescent="0.25">
      <c r="A21059" s="318">
        <v>97069105394</v>
      </c>
      <c r="B21059" s="318" t="s">
        <v>237</v>
      </c>
    </row>
    <row r="21060" spans="1:2" ht="12.75" customHeight="1" x14ac:dyDescent="0.25">
      <c r="A21060" s="318">
        <v>97069105395</v>
      </c>
      <c r="B21060" s="318" t="s">
        <v>237</v>
      </c>
    </row>
    <row r="21061" spans="1:2" ht="12.75" customHeight="1" x14ac:dyDescent="0.25">
      <c r="A21061" s="318">
        <v>97069105396</v>
      </c>
      <c r="B21061" s="318" t="s">
        <v>237</v>
      </c>
    </row>
    <row r="21062" spans="1:2" ht="12.75" customHeight="1" x14ac:dyDescent="0.25">
      <c r="A21062" s="318">
        <v>97069586253</v>
      </c>
      <c r="B21062" s="318" t="s">
        <v>23</v>
      </c>
    </row>
    <row r="21063" spans="1:2" ht="12.75" customHeight="1" x14ac:dyDescent="0.25">
      <c r="A21063" s="318">
        <v>97069586254</v>
      </c>
      <c r="B21063" s="318" t="s">
        <v>23</v>
      </c>
    </row>
    <row r="21064" spans="1:2" ht="12.75" customHeight="1" x14ac:dyDescent="0.25">
      <c r="A21064" s="318">
        <v>97069586255</v>
      </c>
      <c r="B21064" s="318" t="s">
        <v>23</v>
      </c>
    </row>
    <row r="21065" spans="1:2" ht="12.75" customHeight="1" x14ac:dyDescent="0.25">
      <c r="A21065" s="318">
        <v>97069586256</v>
      </c>
      <c r="B21065" s="318" t="s">
        <v>23</v>
      </c>
    </row>
    <row r="21066" spans="1:2" ht="12.75" customHeight="1" x14ac:dyDescent="0.25">
      <c r="A21066" s="318">
        <v>97069586257</v>
      </c>
      <c r="B21066" s="318" t="s">
        <v>23</v>
      </c>
    </row>
    <row r="21067" spans="1:2" ht="12.75" customHeight="1" x14ac:dyDescent="0.25">
      <c r="A21067" s="318">
        <v>97069586258</v>
      </c>
      <c r="B21067" s="318" t="s">
        <v>23</v>
      </c>
    </row>
    <row r="21068" spans="1:2" ht="12.75" customHeight="1" x14ac:dyDescent="0.25">
      <c r="A21068" s="318">
        <v>97069586259</v>
      </c>
      <c r="B21068" s="318" t="s">
        <v>23</v>
      </c>
    </row>
    <row r="21069" spans="1:2" ht="12.75" customHeight="1" x14ac:dyDescent="0.25">
      <c r="A21069" s="318">
        <v>97069586260</v>
      </c>
      <c r="B21069" s="318" t="s">
        <v>23</v>
      </c>
    </row>
    <row r="21070" spans="1:2" ht="12.75" customHeight="1" x14ac:dyDescent="0.25">
      <c r="A21070" s="318">
        <v>97069586262</v>
      </c>
      <c r="B21070" s="318" t="s">
        <v>23</v>
      </c>
    </row>
    <row r="21071" spans="1:2" ht="12.75" customHeight="1" x14ac:dyDescent="0.25">
      <c r="A21071" s="318">
        <v>97069586263</v>
      </c>
      <c r="B21071" s="318" t="s">
        <v>23</v>
      </c>
    </row>
    <row r="21072" spans="1:2" ht="12.75" customHeight="1" x14ac:dyDescent="0.25">
      <c r="A21072" s="318">
        <v>97069586264</v>
      </c>
      <c r="B21072" s="318" t="s">
        <v>23</v>
      </c>
    </row>
    <row r="21073" spans="1:2" ht="12.75" customHeight="1" x14ac:dyDescent="0.25">
      <c r="A21073" s="318">
        <v>97069586265</v>
      </c>
      <c r="B21073" s="318" t="s">
        <v>23</v>
      </c>
    </row>
    <row r="21074" spans="1:2" ht="12.75" customHeight="1" x14ac:dyDescent="0.25">
      <c r="A21074" s="318">
        <v>97069586266</v>
      </c>
      <c r="B21074" s="318" t="s">
        <v>23</v>
      </c>
    </row>
    <row r="21075" spans="1:2" ht="12.75" customHeight="1" x14ac:dyDescent="0.25">
      <c r="A21075" s="318">
        <v>97069586267</v>
      </c>
      <c r="B21075" s="318" t="s">
        <v>23</v>
      </c>
    </row>
    <row r="21076" spans="1:2" ht="12.75" customHeight="1" x14ac:dyDescent="0.25">
      <c r="A21076" s="318">
        <v>97069586268</v>
      </c>
      <c r="B21076" s="318" t="s">
        <v>23</v>
      </c>
    </row>
    <row r="21077" spans="1:2" ht="12.75" customHeight="1" x14ac:dyDescent="0.25">
      <c r="A21077" s="318">
        <v>97069586269</v>
      </c>
      <c r="B21077" s="318" t="s">
        <v>23</v>
      </c>
    </row>
    <row r="21078" spans="1:2" ht="12.75" customHeight="1" x14ac:dyDescent="0.25">
      <c r="A21078" s="318">
        <v>97069586353</v>
      </c>
      <c r="B21078" s="318" t="s">
        <v>237</v>
      </c>
    </row>
    <row r="21079" spans="1:2" ht="12.75" customHeight="1" x14ac:dyDescent="0.25">
      <c r="A21079" s="318">
        <v>97069586354</v>
      </c>
      <c r="B21079" s="318" t="s">
        <v>237</v>
      </c>
    </row>
    <row r="21080" spans="1:2" ht="12.75" customHeight="1" x14ac:dyDescent="0.25">
      <c r="A21080" s="318">
        <v>97069586355</v>
      </c>
      <c r="B21080" s="318" t="s">
        <v>237</v>
      </c>
    </row>
    <row r="21081" spans="1:2" ht="12.75" customHeight="1" x14ac:dyDescent="0.25">
      <c r="A21081" s="318">
        <v>97069586356</v>
      </c>
      <c r="B21081" s="318" t="s">
        <v>237</v>
      </c>
    </row>
    <row r="21082" spans="1:2" ht="12.75" customHeight="1" x14ac:dyDescent="0.25">
      <c r="A21082" s="318">
        <v>97069586357</v>
      </c>
      <c r="B21082" s="318" t="s">
        <v>237</v>
      </c>
    </row>
    <row r="21083" spans="1:2" ht="12.75" customHeight="1" x14ac:dyDescent="0.25">
      <c r="A21083" s="318">
        <v>97069586358</v>
      </c>
      <c r="B21083" s="318" t="s">
        <v>237</v>
      </c>
    </row>
    <row r="21084" spans="1:2" ht="12.75" customHeight="1" x14ac:dyDescent="0.25">
      <c r="A21084" s="318">
        <v>97069586359</v>
      </c>
      <c r="B21084" s="318" t="s">
        <v>237</v>
      </c>
    </row>
    <row r="21085" spans="1:2" ht="12.75" customHeight="1" x14ac:dyDescent="0.25">
      <c r="A21085" s="318">
        <v>97069586360</v>
      </c>
      <c r="B21085" s="318" t="s">
        <v>237</v>
      </c>
    </row>
    <row r="21086" spans="1:2" ht="12.75" customHeight="1" x14ac:dyDescent="0.25">
      <c r="A21086" s="318">
        <v>97069586362</v>
      </c>
      <c r="B21086" s="318" t="s">
        <v>237</v>
      </c>
    </row>
    <row r="21087" spans="1:2" ht="12.75" customHeight="1" x14ac:dyDescent="0.25">
      <c r="A21087" s="318">
        <v>97069586363</v>
      </c>
      <c r="B21087" s="318" t="s">
        <v>237</v>
      </c>
    </row>
    <row r="21088" spans="1:2" ht="12.75" customHeight="1" x14ac:dyDescent="0.25">
      <c r="A21088" s="318">
        <v>97069586364</v>
      </c>
      <c r="B21088" s="318" t="s">
        <v>237</v>
      </c>
    </row>
    <row r="21089" spans="1:2" ht="12.75" customHeight="1" x14ac:dyDescent="0.25">
      <c r="A21089" s="318">
        <v>97069586365</v>
      </c>
      <c r="B21089" s="318" t="s">
        <v>237</v>
      </c>
    </row>
    <row r="21090" spans="1:2" ht="12.75" customHeight="1" x14ac:dyDescent="0.25">
      <c r="A21090" s="318">
        <v>97069586366</v>
      </c>
      <c r="B21090" s="318" t="s">
        <v>237</v>
      </c>
    </row>
    <row r="21091" spans="1:2" ht="12.75" customHeight="1" x14ac:dyDescent="0.25">
      <c r="A21091" s="318">
        <v>97069586367</v>
      </c>
      <c r="B21091" s="318" t="s">
        <v>237</v>
      </c>
    </row>
    <row r="21092" spans="1:2" ht="12.75" customHeight="1" x14ac:dyDescent="0.25">
      <c r="A21092" s="318">
        <v>97069586368</v>
      </c>
      <c r="B21092" s="318" t="s">
        <v>237</v>
      </c>
    </row>
    <row r="21093" spans="1:2" ht="12.75" customHeight="1" x14ac:dyDescent="0.25">
      <c r="A21093" s="318">
        <v>97069586369</v>
      </c>
      <c r="B21093" s="318" t="s">
        <v>237</v>
      </c>
    </row>
    <row r="21094" spans="1:2" ht="12.75" customHeight="1" x14ac:dyDescent="0.25">
      <c r="A21094" s="318">
        <v>97070266444</v>
      </c>
      <c r="B21094" s="318" t="s">
        <v>23</v>
      </c>
    </row>
    <row r="21095" spans="1:2" ht="12.75" customHeight="1" x14ac:dyDescent="0.25">
      <c r="A21095" s="318">
        <v>97070266445</v>
      </c>
      <c r="B21095" s="318" t="s">
        <v>23</v>
      </c>
    </row>
    <row r="21096" spans="1:2" ht="12.75" customHeight="1" x14ac:dyDescent="0.25">
      <c r="A21096" s="318">
        <v>97070266446</v>
      </c>
      <c r="B21096" s="318" t="s">
        <v>23</v>
      </c>
    </row>
    <row r="21097" spans="1:2" ht="12.75" customHeight="1" x14ac:dyDescent="0.25">
      <c r="A21097" s="318">
        <v>97070266447</v>
      </c>
      <c r="B21097" s="318" t="s">
        <v>23</v>
      </c>
    </row>
    <row r="21098" spans="1:2" ht="12.75" customHeight="1" x14ac:dyDescent="0.25">
      <c r="A21098" s="318">
        <v>97070266448</v>
      </c>
      <c r="B21098" s="318" t="s">
        <v>23</v>
      </c>
    </row>
    <row r="21099" spans="1:2" ht="12.75" customHeight="1" x14ac:dyDescent="0.25">
      <c r="A21099" s="318">
        <v>97070266449</v>
      </c>
      <c r="B21099" s="318" t="s">
        <v>23</v>
      </c>
    </row>
    <row r="21100" spans="1:2" ht="12.75" customHeight="1" x14ac:dyDescent="0.25">
      <c r="A21100" s="318">
        <v>97070266450</v>
      </c>
      <c r="B21100" s="318" t="s">
        <v>23</v>
      </c>
    </row>
    <row r="21101" spans="1:2" ht="12.75" customHeight="1" x14ac:dyDescent="0.25">
      <c r="A21101" s="318">
        <v>97070266451</v>
      </c>
      <c r="B21101" s="318" t="s">
        <v>23</v>
      </c>
    </row>
    <row r="21102" spans="1:2" ht="12.75" customHeight="1" x14ac:dyDescent="0.25">
      <c r="A21102" s="318">
        <v>97070266453</v>
      </c>
      <c r="B21102" s="318" t="s">
        <v>23</v>
      </c>
    </row>
    <row r="21103" spans="1:2" ht="12.75" customHeight="1" x14ac:dyDescent="0.25">
      <c r="A21103" s="318">
        <v>97070266454</v>
      </c>
      <c r="B21103" s="318" t="s">
        <v>23</v>
      </c>
    </row>
    <row r="21104" spans="1:2" ht="12.75" customHeight="1" x14ac:dyDescent="0.25">
      <c r="A21104" s="318">
        <v>97070266455</v>
      </c>
      <c r="B21104" s="318" t="s">
        <v>23</v>
      </c>
    </row>
    <row r="21105" spans="1:2" ht="12.75" customHeight="1" x14ac:dyDescent="0.25">
      <c r="A21105" s="318">
        <v>97070266456</v>
      </c>
      <c r="B21105" s="318" t="s">
        <v>23</v>
      </c>
    </row>
    <row r="21106" spans="1:2" ht="12.75" customHeight="1" x14ac:dyDescent="0.25">
      <c r="A21106" s="318">
        <v>97070266457</v>
      </c>
      <c r="B21106" s="318" t="s">
        <v>23</v>
      </c>
    </row>
    <row r="21107" spans="1:2" ht="12.75" customHeight="1" x14ac:dyDescent="0.25">
      <c r="A21107" s="318">
        <v>97070266458</v>
      </c>
      <c r="B21107" s="318" t="s">
        <v>23</v>
      </c>
    </row>
    <row r="21108" spans="1:2" ht="12.75" customHeight="1" x14ac:dyDescent="0.25">
      <c r="A21108" s="318">
        <v>97070266459</v>
      </c>
      <c r="B21108" s="318" t="s">
        <v>23</v>
      </c>
    </row>
    <row r="21109" spans="1:2" ht="12.75" customHeight="1" x14ac:dyDescent="0.25">
      <c r="A21109" s="318">
        <v>97070266460</v>
      </c>
      <c r="B21109" s="318" t="s">
        <v>23</v>
      </c>
    </row>
    <row r="21110" spans="1:2" ht="12.75" customHeight="1" x14ac:dyDescent="0.25">
      <c r="A21110" s="318">
        <v>97070266544</v>
      </c>
      <c r="B21110" s="318" t="s">
        <v>237</v>
      </c>
    </row>
    <row r="21111" spans="1:2" ht="12.75" customHeight="1" x14ac:dyDescent="0.25">
      <c r="A21111" s="318">
        <v>97070266545</v>
      </c>
      <c r="B21111" s="318" t="s">
        <v>237</v>
      </c>
    </row>
    <row r="21112" spans="1:2" ht="12.75" customHeight="1" x14ac:dyDescent="0.25">
      <c r="A21112" s="318">
        <v>97070266546</v>
      </c>
      <c r="B21112" s="318" t="s">
        <v>237</v>
      </c>
    </row>
    <row r="21113" spans="1:2" ht="12.75" customHeight="1" x14ac:dyDescent="0.25">
      <c r="A21113" s="318">
        <v>97070266547</v>
      </c>
      <c r="B21113" s="318" t="s">
        <v>237</v>
      </c>
    </row>
    <row r="21114" spans="1:2" ht="12.75" customHeight="1" x14ac:dyDescent="0.25">
      <c r="A21114" s="318">
        <v>97070266548</v>
      </c>
      <c r="B21114" s="318" t="s">
        <v>237</v>
      </c>
    </row>
    <row r="21115" spans="1:2" ht="12.75" customHeight="1" x14ac:dyDescent="0.25">
      <c r="A21115" s="318">
        <v>97070266549</v>
      </c>
      <c r="B21115" s="318" t="s">
        <v>237</v>
      </c>
    </row>
    <row r="21116" spans="1:2" ht="12.75" customHeight="1" x14ac:dyDescent="0.25">
      <c r="A21116" s="318">
        <v>97070266550</v>
      </c>
      <c r="B21116" s="318" t="s">
        <v>237</v>
      </c>
    </row>
    <row r="21117" spans="1:2" ht="12.75" customHeight="1" x14ac:dyDescent="0.25">
      <c r="A21117" s="318">
        <v>97070266551</v>
      </c>
      <c r="B21117" s="318" t="s">
        <v>237</v>
      </c>
    </row>
    <row r="21118" spans="1:2" ht="12.75" customHeight="1" x14ac:dyDescent="0.25">
      <c r="A21118" s="318">
        <v>97070266553</v>
      </c>
      <c r="B21118" s="318" t="s">
        <v>237</v>
      </c>
    </row>
    <row r="21119" spans="1:2" ht="12.75" customHeight="1" x14ac:dyDescent="0.25">
      <c r="A21119" s="318">
        <v>97070266554</v>
      </c>
      <c r="B21119" s="318" t="s">
        <v>237</v>
      </c>
    </row>
    <row r="21120" spans="1:2" ht="12.75" customHeight="1" x14ac:dyDescent="0.25">
      <c r="A21120" s="318">
        <v>97070266555</v>
      </c>
      <c r="B21120" s="318" t="s">
        <v>237</v>
      </c>
    </row>
    <row r="21121" spans="1:2" ht="12.75" customHeight="1" x14ac:dyDescent="0.25">
      <c r="A21121" s="318">
        <v>97070266556</v>
      </c>
      <c r="B21121" s="318" t="s">
        <v>237</v>
      </c>
    </row>
    <row r="21122" spans="1:2" ht="12.75" customHeight="1" x14ac:dyDescent="0.25">
      <c r="A21122" s="318">
        <v>97070266557</v>
      </c>
      <c r="B21122" s="318" t="s">
        <v>237</v>
      </c>
    </row>
    <row r="21123" spans="1:2" ht="12.75" customHeight="1" x14ac:dyDescent="0.25">
      <c r="A21123" s="318">
        <v>97070266558</v>
      </c>
      <c r="B21123" s="318" t="s">
        <v>237</v>
      </c>
    </row>
    <row r="21124" spans="1:2" ht="12.75" customHeight="1" x14ac:dyDescent="0.25">
      <c r="A21124" s="318">
        <v>97070266559</v>
      </c>
      <c r="B21124" s="318" t="s">
        <v>237</v>
      </c>
    </row>
    <row r="21125" spans="1:2" ht="12.75" customHeight="1" x14ac:dyDescent="0.25">
      <c r="A21125" s="318">
        <v>97070266560</v>
      </c>
      <c r="B21125" s="318" t="s">
        <v>237</v>
      </c>
    </row>
    <row r="21126" spans="1:2" ht="12.75" customHeight="1" x14ac:dyDescent="0.25">
      <c r="A21126" s="318">
        <v>97070747417</v>
      </c>
      <c r="B21126" s="318" t="s">
        <v>23</v>
      </c>
    </row>
    <row r="21127" spans="1:2" ht="12.75" customHeight="1" x14ac:dyDescent="0.25">
      <c r="A21127" s="318">
        <v>97070747418</v>
      </c>
      <c r="B21127" s="318" t="s">
        <v>23</v>
      </c>
    </row>
    <row r="21128" spans="1:2" ht="12.75" customHeight="1" x14ac:dyDescent="0.25">
      <c r="A21128" s="318">
        <v>97070747419</v>
      </c>
      <c r="B21128" s="318" t="s">
        <v>23</v>
      </c>
    </row>
    <row r="21129" spans="1:2" ht="12.75" customHeight="1" x14ac:dyDescent="0.25">
      <c r="A21129" s="318">
        <v>97070747420</v>
      </c>
      <c r="B21129" s="318" t="s">
        <v>23</v>
      </c>
    </row>
    <row r="21130" spans="1:2" ht="12.75" customHeight="1" x14ac:dyDescent="0.25">
      <c r="A21130" s="318">
        <v>97070747421</v>
      </c>
      <c r="B21130" s="318" t="s">
        <v>23</v>
      </c>
    </row>
    <row r="21131" spans="1:2" ht="12.75" customHeight="1" x14ac:dyDescent="0.25">
      <c r="A21131" s="318">
        <v>97070747422</v>
      </c>
      <c r="B21131" s="318" t="s">
        <v>23</v>
      </c>
    </row>
    <row r="21132" spans="1:2" ht="12.75" customHeight="1" x14ac:dyDescent="0.25">
      <c r="A21132" s="318">
        <v>97070747423</v>
      </c>
      <c r="B21132" s="318" t="s">
        <v>23</v>
      </c>
    </row>
    <row r="21133" spans="1:2" ht="12.75" customHeight="1" x14ac:dyDescent="0.25">
      <c r="A21133" s="318">
        <v>97070747424</v>
      </c>
      <c r="B21133" s="318" t="s">
        <v>23</v>
      </c>
    </row>
    <row r="21134" spans="1:2" ht="12.75" customHeight="1" x14ac:dyDescent="0.25">
      <c r="A21134" s="318">
        <v>97070747426</v>
      </c>
      <c r="B21134" s="318" t="s">
        <v>23</v>
      </c>
    </row>
    <row r="21135" spans="1:2" ht="12.75" customHeight="1" x14ac:dyDescent="0.25">
      <c r="A21135" s="318">
        <v>97070747427</v>
      </c>
      <c r="B21135" s="318" t="s">
        <v>23</v>
      </c>
    </row>
    <row r="21136" spans="1:2" ht="12.75" customHeight="1" x14ac:dyDescent="0.25">
      <c r="A21136" s="318">
        <v>97070747428</v>
      </c>
      <c r="B21136" s="318" t="s">
        <v>23</v>
      </c>
    </row>
    <row r="21137" spans="1:2" ht="12.75" customHeight="1" x14ac:dyDescent="0.25">
      <c r="A21137" s="318">
        <v>97070747429</v>
      </c>
      <c r="B21137" s="318" t="s">
        <v>23</v>
      </c>
    </row>
    <row r="21138" spans="1:2" ht="12.75" customHeight="1" x14ac:dyDescent="0.25">
      <c r="A21138" s="318">
        <v>97070747430</v>
      </c>
      <c r="B21138" s="318" t="s">
        <v>23</v>
      </c>
    </row>
    <row r="21139" spans="1:2" ht="12.75" customHeight="1" x14ac:dyDescent="0.25">
      <c r="A21139" s="318">
        <v>97070747431</v>
      </c>
      <c r="B21139" s="318" t="s">
        <v>23</v>
      </c>
    </row>
    <row r="21140" spans="1:2" ht="12.75" customHeight="1" x14ac:dyDescent="0.25">
      <c r="A21140" s="318">
        <v>97070747432</v>
      </c>
      <c r="B21140" s="318" t="s">
        <v>23</v>
      </c>
    </row>
    <row r="21141" spans="1:2" ht="12.75" customHeight="1" x14ac:dyDescent="0.25">
      <c r="A21141" s="318">
        <v>97070747433</v>
      </c>
      <c r="B21141" s="318" t="s">
        <v>23</v>
      </c>
    </row>
    <row r="21142" spans="1:2" ht="12.75" customHeight="1" x14ac:dyDescent="0.25">
      <c r="A21142" s="318">
        <v>97070747517</v>
      </c>
      <c r="B21142" s="318" t="s">
        <v>237</v>
      </c>
    </row>
    <row r="21143" spans="1:2" ht="12.75" customHeight="1" x14ac:dyDescent="0.25">
      <c r="A21143" s="318">
        <v>97070747518</v>
      </c>
      <c r="B21143" s="318" t="s">
        <v>237</v>
      </c>
    </row>
    <row r="21144" spans="1:2" ht="12.75" customHeight="1" x14ac:dyDescent="0.25">
      <c r="A21144" s="318">
        <v>97070747519</v>
      </c>
      <c r="B21144" s="318" t="s">
        <v>237</v>
      </c>
    </row>
    <row r="21145" spans="1:2" ht="12.75" customHeight="1" x14ac:dyDescent="0.25">
      <c r="A21145" s="318">
        <v>97070747520</v>
      </c>
      <c r="B21145" s="318" t="s">
        <v>237</v>
      </c>
    </row>
    <row r="21146" spans="1:2" ht="12.75" customHeight="1" x14ac:dyDescent="0.25">
      <c r="A21146" s="318">
        <v>97070747521</v>
      </c>
      <c r="B21146" s="318" t="s">
        <v>237</v>
      </c>
    </row>
    <row r="21147" spans="1:2" ht="12.75" customHeight="1" x14ac:dyDescent="0.25">
      <c r="A21147" s="318">
        <v>97070747522</v>
      </c>
      <c r="B21147" s="318" t="s">
        <v>237</v>
      </c>
    </row>
    <row r="21148" spans="1:2" ht="12.75" customHeight="1" x14ac:dyDescent="0.25">
      <c r="A21148" s="318">
        <v>97070747523</v>
      </c>
      <c r="B21148" s="318" t="s">
        <v>237</v>
      </c>
    </row>
    <row r="21149" spans="1:2" ht="12.75" customHeight="1" x14ac:dyDescent="0.25">
      <c r="A21149" s="318">
        <v>97070747524</v>
      </c>
      <c r="B21149" s="318" t="s">
        <v>237</v>
      </c>
    </row>
    <row r="21150" spans="1:2" ht="12.75" customHeight="1" x14ac:dyDescent="0.25">
      <c r="A21150" s="318">
        <v>97070747526</v>
      </c>
      <c r="B21150" s="318" t="s">
        <v>237</v>
      </c>
    </row>
    <row r="21151" spans="1:2" ht="12.75" customHeight="1" x14ac:dyDescent="0.25">
      <c r="A21151" s="318">
        <v>97070747527</v>
      </c>
      <c r="B21151" s="318" t="s">
        <v>237</v>
      </c>
    </row>
    <row r="21152" spans="1:2" ht="12.75" customHeight="1" x14ac:dyDescent="0.25">
      <c r="A21152" s="318">
        <v>97070747528</v>
      </c>
      <c r="B21152" s="318" t="s">
        <v>237</v>
      </c>
    </row>
    <row r="21153" spans="1:2" ht="12.75" customHeight="1" x14ac:dyDescent="0.25">
      <c r="A21153" s="318">
        <v>97070747529</v>
      </c>
      <c r="B21153" s="318" t="s">
        <v>237</v>
      </c>
    </row>
    <row r="21154" spans="1:2" ht="12.75" customHeight="1" x14ac:dyDescent="0.25">
      <c r="A21154" s="318">
        <v>97070747530</v>
      </c>
      <c r="B21154" s="318" t="s">
        <v>237</v>
      </c>
    </row>
    <row r="21155" spans="1:2" ht="12.75" customHeight="1" x14ac:dyDescent="0.25">
      <c r="A21155" s="318">
        <v>97070747531</v>
      </c>
      <c r="B21155" s="318" t="s">
        <v>237</v>
      </c>
    </row>
    <row r="21156" spans="1:2" ht="12.75" customHeight="1" x14ac:dyDescent="0.25">
      <c r="A21156" s="318">
        <v>97070747532</v>
      </c>
      <c r="B21156" s="318" t="s">
        <v>237</v>
      </c>
    </row>
    <row r="21157" spans="1:2" ht="12.75" customHeight="1" x14ac:dyDescent="0.25">
      <c r="A21157" s="318">
        <v>97070747533</v>
      </c>
      <c r="B21157" s="318" t="s">
        <v>237</v>
      </c>
    </row>
    <row r="21158" spans="1:2" ht="12.75" customHeight="1" x14ac:dyDescent="0.25">
      <c r="A21158" s="318">
        <v>97071228390</v>
      </c>
      <c r="B21158" s="318" t="s">
        <v>23</v>
      </c>
    </row>
    <row r="21159" spans="1:2" ht="12.75" customHeight="1" x14ac:dyDescent="0.25">
      <c r="A21159" s="318">
        <v>97071228391</v>
      </c>
      <c r="B21159" s="318" t="s">
        <v>23</v>
      </c>
    </row>
    <row r="21160" spans="1:2" ht="12.75" customHeight="1" x14ac:dyDescent="0.25">
      <c r="A21160" s="318">
        <v>97071228392</v>
      </c>
      <c r="B21160" s="318" t="s">
        <v>23</v>
      </c>
    </row>
    <row r="21161" spans="1:2" ht="12.75" customHeight="1" x14ac:dyDescent="0.25">
      <c r="A21161" s="318">
        <v>97071228393</v>
      </c>
      <c r="B21161" s="318" t="s">
        <v>23</v>
      </c>
    </row>
    <row r="21162" spans="1:2" ht="12.75" customHeight="1" x14ac:dyDescent="0.25">
      <c r="A21162" s="318">
        <v>97071228394</v>
      </c>
      <c r="B21162" s="318" t="s">
        <v>23</v>
      </c>
    </row>
    <row r="21163" spans="1:2" ht="12.75" customHeight="1" x14ac:dyDescent="0.25">
      <c r="A21163" s="318">
        <v>97071228395</v>
      </c>
      <c r="B21163" s="318" t="s">
        <v>23</v>
      </c>
    </row>
    <row r="21164" spans="1:2" ht="12.75" customHeight="1" x14ac:dyDescent="0.25">
      <c r="A21164" s="318">
        <v>97071228396</v>
      </c>
      <c r="B21164" s="318" t="s">
        <v>23</v>
      </c>
    </row>
    <row r="21165" spans="1:2" ht="12.75" customHeight="1" x14ac:dyDescent="0.25">
      <c r="A21165" s="318">
        <v>97071228397</v>
      </c>
      <c r="B21165" s="318" t="s">
        <v>23</v>
      </c>
    </row>
    <row r="21166" spans="1:2" ht="12.75" customHeight="1" x14ac:dyDescent="0.25">
      <c r="A21166" s="318">
        <v>97071228399</v>
      </c>
      <c r="B21166" s="318" t="s">
        <v>23</v>
      </c>
    </row>
    <row r="21167" spans="1:2" ht="12.75" customHeight="1" x14ac:dyDescent="0.25">
      <c r="A21167" s="318">
        <v>97071228400</v>
      </c>
      <c r="B21167" s="318" t="s">
        <v>23</v>
      </c>
    </row>
    <row r="21168" spans="1:2" ht="12.75" customHeight="1" x14ac:dyDescent="0.25">
      <c r="A21168" s="318">
        <v>97071228401</v>
      </c>
      <c r="B21168" s="318" t="s">
        <v>23</v>
      </c>
    </row>
    <row r="21169" spans="1:2" ht="12.75" customHeight="1" x14ac:dyDescent="0.25">
      <c r="A21169" s="318">
        <v>97071228402</v>
      </c>
      <c r="B21169" s="318" t="s">
        <v>23</v>
      </c>
    </row>
    <row r="21170" spans="1:2" ht="12.75" customHeight="1" x14ac:dyDescent="0.25">
      <c r="A21170" s="318">
        <v>97071228403</v>
      </c>
      <c r="B21170" s="318" t="s">
        <v>23</v>
      </c>
    </row>
    <row r="21171" spans="1:2" ht="12.75" customHeight="1" x14ac:dyDescent="0.25">
      <c r="A21171" s="318">
        <v>97071228404</v>
      </c>
      <c r="B21171" s="318" t="s">
        <v>23</v>
      </c>
    </row>
    <row r="21172" spans="1:2" ht="12.75" customHeight="1" x14ac:dyDescent="0.25">
      <c r="A21172" s="318">
        <v>97071228405</v>
      </c>
      <c r="B21172" s="318" t="s">
        <v>23</v>
      </c>
    </row>
    <row r="21173" spans="1:2" ht="12.75" customHeight="1" x14ac:dyDescent="0.25">
      <c r="A21173" s="318">
        <v>97071228406</v>
      </c>
      <c r="B21173" s="318" t="s">
        <v>23</v>
      </c>
    </row>
    <row r="21174" spans="1:2" ht="12.75" customHeight="1" x14ac:dyDescent="0.25">
      <c r="A21174" s="318">
        <v>97071228490</v>
      </c>
      <c r="B21174" s="318" t="s">
        <v>237</v>
      </c>
    </row>
    <row r="21175" spans="1:2" ht="12.75" customHeight="1" x14ac:dyDescent="0.25">
      <c r="A21175" s="318">
        <v>97071228491</v>
      </c>
      <c r="B21175" s="318" t="s">
        <v>237</v>
      </c>
    </row>
    <row r="21176" spans="1:2" ht="12.75" customHeight="1" x14ac:dyDescent="0.25">
      <c r="A21176" s="318">
        <v>97071228492</v>
      </c>
      <c r="B21176" s="318" t="s">
        <v>237</v>
      </c>
    </row>
    <row r="21177" spans="1:2" ht="12.75" customHeight="1" x14ac:dyDescent="0.25">
      <c r="A21177" s="318">
        <v>97071228493</v>
      </c>
      <c r="B21177" s="318" t="s">
        <v>237</v>
      </c>
    </row>
    <row r="21178" spans="1:2" ht="12.75" customHeight="1" x14ac:dyDescent="0.25">
      <c r="A21178" s="318">
        <v>97071228494</v>
      </c>
      <c r="B21178" s="318" t="s">
        <v>237</v>
      </c>
    </row>
    <row r="21179" spans="1:2" ht="12.75" customHeight="1" x14ac:dyDescent="0.25">
      <c r="A21179" s="318">
        <v>97071228495</v>
      </c>
      <c r="B21179" s="318" t="s">
        <v>237</v>
      </c>
    </row>
    <row r="21180" spans="1:2" ht="12.75" customHeight="1" x14ac:dyDescent="0.25">
      <c r="A21180" s="318">
        <v>97071228496</v>
      </c>
      <c r="B21180" s="318" t="s">
        <v>237</v>
      </c>
    </row>
    <row r="21181" spans="1:2" ht="12.75" customHeight="1" x14ac:dyDescent="0.25">
      <c r="A21181" s="318">
        <v>97071228497</v>
      </c>
      <c r="B21181" s="318" t="s">
        <v>237</v>
      </c>
    </row>
    <row r="21182" spans="1:2" ht="12.75" customHeight="1" x14ac:dyDescent="0.25">
      <c r="A21182" s="318">
        <v>97071228499</v>
      </c>
      <c r="B21182" s="318" t="s">
        <v>237</v>
      </c>
    </row>
    <row r="21183" spans="1:2" ht="12.75" customHeight="1" x14ac:dyDescent="0.25">
      <c r="A21183" s="318">
        <v>97071228500</v>
      </c>
      <c r="B21183" s="318" t="s">
        <v>237</v>
      </c>
    </row>
    <row r="21184" spans="1:2" ht="12.75" customHeight="1" x14ac:dyDescent="0.25">
      <c r="A21184" s="318">
        <v>97071228501</v>
      </c>
      <c r="B21184" s="318" t="s">
        <v>237</v>
      </c>
    </row>
    <row r="21185" spans="1:2" ht="12.75" customHeight="1" x14ac:dyDescent="0.25">
      <c r="A21185" s="318">
        <v>97071228502</v>
      </c>
      <c r="B21185" s="318" t="s">
        <v>237</v>
      </c>
    </row>
    <row r="21186" spans="1:2" ht="12.75" customHeight="1" x14ac:dyDescent="0.25">
      <c r="A21186" s="318">
        <v>97071228503</v>
      </c>
      <c r="B21186" s="318" t="s">
        <v>237</v>
      </c>
    </row>
    <row r="21187" spans="1:2" ht="12.75" customHeight="1" x14ac:dyDescent="0.25">
      <c r="A21187" s="318">
        <v>97071228504</v>
      </c>
      <c r="B21187" s="318" t="s">
        <v>237</v>
      </c>
    </row>
    <row r="21188" spans="1:2" ht="12.75" customHeight="1" x14ac:dyDescent="0.25">
      <c r="A21188" s="318">
        <v>97071228505</v>
      </c>
      <c r="B21188" s="318" t="s">
        <v>237</v>
      </c>
    </row>
    <row r="21189" spans="1:2" ht="12.75" customHeight="1" x14ac:dyDescent="0.25">
      <c r="A21189" s="318">
        <v>97071228506</v>
      </c>
      <c r="B21189" s="318" t="s">
        <v>237</v>
      </c>
    </row>
    <row r="21190" spans="1:2" ht="12.75" customHeight="1" x14ac:dyDescent="0.25">
      <c r="A21190" s="318">
        <v>97686895687</v>
      </c>
      <c r="B21190" s="318" t="s">
        <v>236</v>
      </c>
    </row>
    <row r="21191" spans="1:2" ht="12.75" customHeight="1" x14ac:dyDescent="0.25">
      <c r="A21191" s="318">
        <v>97686895688</v>
      </c>
      <c r="B21191" s="318" t="s">
        <v>23</v>
      </c>
    </row>
    <row r="21192" spans="1:2" ht="12.75" customHeight="1" x14ac:dyDescent="0.25">
      <c r="A21192" s="318">
        <v>97686895689</v>
      </c>
      <c r="B21192" s="318" t="s">
        <v>236</v>
      </c>
    </row>
    <row r="21193" spans="1:2" ht="12.75" customHeight="1" x14ac:dyDescent="0.25">
      <c r="A21193" s="318">
        <v>97686895690</v>
      </c>
      <c r="B21193" s="318" t="s">
        <v>23</v>
      </c>
    </row>
    <row r="21194" spans="1:2" ht="12.75" customHeight="1" x14ac:dyDescent="0.25">
      <c r="A21194" s="318">
        <v>97686895691</v>
      </c>
      <c r="B21194" s="318" t="s">
        <v>236</v>
      </c>
    </row>
    <row r="21195" spans="1:2" ht="12.75" customHeight="1" x14ac:dyDescent="0.25">
      <c r="A21195" s="318">
        <v>97686895692</v>
      </c>
      <c r="B21195" s="318" t="s">
        <v>23</v>
      </c>
    </row>
    <row r="21196" spans="1:2" ht="12.75" customHeight="1" x14ac:dyDescent="0.25">
      <c r="A21196" s="318">
        <v>97686895693</v>
      </c>
      <c r="B21196" s="318" t="s">
        <v>23</v>
      </c>
    </row>
    <row r="21197" spans="1:2" ht="12.75" customHeight="1" x14ac:dyDescent="0.25">
      <c r="A21197" s="318">
        <v>97686895694</v>
      </c>
      <c r="B21197" s="318" t="s">
        <v>237</v>
      </c>
    </row>
    <row r="21198" spans="1:2" ht="12.75" customHeight="1" x14ac:dyDescent="0.25">
      <c r="A21198" s="318">
        <v>97686895696</v>
      </c>
      <c r="B21198" s="318" t="s">
        <v>237</v>
      </c>
    </row>
    <row r="21199" spans="1:2" ht="12.75" customHeight="1" x14ac:dyDescent="0.25">
      <c r="A21199" s="318">
        <v>97686895697</v>
      </c>
      <c r="B21199" s="318" t="s">
        <v>237</v>
      </c>
    </row>
    <row r="21200" spans="1:2" ht="12.75" customHeight="1" x14ac:dyDescent="0.25">
      <c r="A21200" s="318">
        <v>97686895698</v>
      </c>
      <c r="B21200" s="318" t="s">
        <v>237</v>
      </c>
    </row>
    <row r="21201" spans="1:2" ht="12.75" customHeight="1" x14ac:dyDescent="0.25">
      <c r="A21201" s="318">
        <v>97686895699</v>
      </c>
      <c r="B21201" s="318" t="s">
        <v>237</v>
      </c>
    </row>
    <row r="21202" spans="1:2" ht="12.75" customHeight="1" x14ac:dyDescent="0.25">
      <c r="A21202" s="318">
        <v>97686895700</v>
      </c>
      <c r="B21202" s="318" t="s">
        <v>237</v>
      </c>
    </row>
    <row r="21203" spans="1:2" ht="12.75" customHeight="1" x14ac:dyDescent="0.25">
      <c r="A21203" s="318">
        <v>97686895701</v>
      </c>
      <c r="B21203" s="318" t="s">
        <v>237</v>
      </c>
    </row>
    <row r="21204" spans="1:2" ht="12.75" customHeight="1" x14ac:dyDescent="0.25">
      <c r="A21204" s="318">
        <v>97686895702</v>
      </c>
      <c r="B21204" s="318" t="s">
        <v>237</v>
      </c>
    </row>
    <row r="21205" spans="1:2" ht="12.75" customHeight="1" x14ac:dyDescent="0.25">
      <c r="A21205" s="318">
        <v>97686895703</v>
      </c>
      <c r="B21205" s="318" t="s">
        <v>237</v>
      </c>
    </row>
    <row r="21206" spans="1:2" ht="12.75" customHeight="1" x14ac:dyDescent="0.25">
      <c r="A21206" s="318">
        <v>97686895787</v>
      </c>
      <c r="B21206" s="318" t="s">
        <v>236</v>
      </c>
    </row>
    <row r="21207" spans="1:2" ht="12.75" customHeight="1" x14ac:dyDescent="0.25">
      <c r="A21207" s="318">
        <v>97686895788</v>
      </c>
      <c r="B21207" s="318" t="s">
        <v>23</v>
      </c>
    </row>
    <row r="21208" spans="1:2" ht="12.75" customHeight="1" x14ac:dyDescent="0.25">
      <c r="A21208" s="318">
        <v>97686895789</v>
      </c>
      <c r="B21208" s="318" t="s">
        <v>236</v>
      </c>
    </row>
    <row r="21209" spans="1:2" ht="12.75" customHeight="1" x14ac:dyDescent="0.25">
      <c r="A21209" s="318">
        <v>97686895790</v>
      </c>
      <c r="B21209" s="318" t="s">
        <v>23</v>
      </c>
    </row>
    <row r="21210" spans="1:2" ht="12.75" customHeight="1" x14ac:dyDescent="0.25">
      <c r="A21210" s="318">
        <v>97686895791</v>
      </c>
      <c r="B21210" s="318" t="s">
        <v>236</v>
      </c>
    </row>
    <row r="21211" spans="1:2" ht="12.75" customHeight="1" x14ac:dyDescent="0.25">
      <c r="A21211" s="318">
        <v>97686895792</v>
      </c>
      <c r="B21211" s="318" t="s">
        <v>23</v>
      </c>
    </row>
    <row r="21212" spans="1:2" ht="12.75" customHeight="1" x14ac:dyDescent="0.25">
      <c r="A21212" s="318">
        <v>97686895793</v>
      </c>
      <c r="B21212" s="318" t="s">
        <v>23</v>
      </c>
    </row>
    <row r="21213" spans="1:2" ht="12.75" customHeight="1" x14ac:dyDescent="0.25">
      <c r="A21213" s="318">
        <v>97686895794</v>
      </c>
      <c r="B21213" s="318" t="s">
        <v>237</v>
      </c>
    </row>
    <row r="21214" spans="1:2" ht="12.75" customHeight="1" x14ac:dyDescent="0.25">
      <c r="A21214" s="318">
        <v>97686895796</v>
      </c>
      <c r="B21214" s="318" t="s">
        <v>237</v>
      </c>
    </row>
    <row r="21215" spans="1:2" ht="12.75" customHeight="1" x14ac:dyDescent="0.25">
      <c r="A21215" s="318">
        <v>97686895797</v>
      </c>
      <c r="B21215" s="318" t="s">
        <v>237</v>
      </c>
    </row>
    <row r="21216" spans="1:2" ht="12.75" customHeight="1" x14ac:dyDescent="0.25">
      <c r="A21216" s="318">
        <v>97686895798</v>
      </c>
      <c r="B21216" s="318" t="s">
        <v>237</v>
      </c>
    </row>
    <row r="21217" spans="1:2" ht="12.75" customHeight="1" x14ac:dyDescent="0.25">
      <c r="A21217" s="318">
        <v>97686895799</v>
      </c>
      <c r="B21217" s="318" t="s">
        <v>237</v>
      </c>
    </row>
    <row r="21218" spans="1:2" ht="12.75" customHeight="1" x14ac:dyDescent="0.25">
      <c r="A21218" s="318">
        <v>97686895800</v>
      </c>
      <c r="B21218" s="318" t="s">
        <v>237</v>
      </c>
    </row>
    <row r="21219" spans="1:2" ht="12.75" customHeight="1" x14ac:dyDescent="0.25">
      <c r="A21219" s="318">
        <v>97686895801</v>
      </c>
      <c r="B21219" s="318" t="s">
        <v>237</v>
      </c>
    </row>
    <row r="21220" spans="1:2" ht="12.75" customHeight="1" x14ac:dyDescent="0.25">
      <c r="A21220" s="318">
        <v>97686895802</v>
      </c>
      <c r="B21220" s="318" t="s">
        <v>237</v>
      </c>
    </row>
    <row r="21221" spans="1:2" ht="12.75" customHeight="1" x14ac:dyDescent="0.25">
      <c r="A21221" s="318">
        <v>97686895803</v>
      </c>
      <c r="B21221" s="318" t="s">
        <v>237</v>
      </c>
    </row>
    <row r="21222" spans="1:2" ht="12.75" customHeight="1" x14ac:dyDescent="0.25">
      <c r="A21222" s="318">
        <v>97687376660</v>
      </c>
      <c r="B21222" s="318" t="s">
        <v>236</v>
      </c>
    </row>
    <row r="21223" spans="1:2" ht="12.75" customHeight="1" x14ac:dyDescent="0.25">
      <c r="A21223" s="318">
        <v>97687376661</v>
      </c>
      <c r="B21223" s="318" t="s">
        <v>23</v>
      </c>
    </row>
    <row r="21224" spans="1:2" ht="12.75" customHeight="1" x14ac:dyDescent="0.25">
      <c r="A21224" s="318">
        <v>97687376662</v>
      </c>
      <c r="B21224" s="318" t="s">
        <v>236</v>
      </c>
    </row>
    <row r="21225" spans="1:2" ht="12.75" customHeight="1" x14ac:dyDescent="0.25">
      <c r="A21225" s="318">
        <v>97687376663</v>
      </c>
      <c r="B21225" s="318" t="s">
        <v>23</v>
      </c>
    </row>
    <row r="21226" spans="1:2" ht="12.75" customHeight="1" x14ac:dyDescent="0.25">
      <c r="A21226" s="318">
        <v>97687376664</v>
      </c>
      <c r="B21226" s="318" t="s">
        <v>236</v>
      </c>
    </row>
    <row r="21227" spans="1:2" ht="12.75" customHeight="1" x14ac:dyDescent="0.25">
      <c r="A21227" s="318">
        <v>97687376665</v>
      </c>
      <c r="B21227" s="318" t="s">
        <v>23</v>
      </c>
    </row>
    <row r="21228" spans="1:2" ht="12.75" customHeight="1" x14ac:dyDescent="0.25">
      <c r="A21228" s="318">
        <v>97687376666</v>
      </c>
      <c r="B21228" s="318" t="s">
        <v>23</v>
      </c>
    </row>
    <row r="21229" spans="1:2" ht="12.75" customHeight="1" x14ac:dyDescent="0.25">
      <c r="A21229" s="318">
        <v>97687376667</v>
      </c>
      <c r="B21229" s="318" t="s">
        <v>237</v>
      </c>
    </row>
    <row r="21230" spans="1:2" ht="12.75" customHeight="1" x14ac:dyDescent="0.25">
      <c r="A21230" s="318">
        <v>97687376669</v>
      </c>
      <c r="B21230" s="318" t="s">
        <v>237</v>
      </c>
    </row>
    <row r="21231" spans="1:2" ht="12.75" customHeight="1" x14ac:dyDescent="0.25">
      <c r="A21231" s="318">
        <v>97687376670</v>
      </c>
      <c r="B21231" s="318" t="s">
        <v>237</v>
      </c>
    </row>
    <row r="21232" spans="1:2" ht="12.75" customHeight="1" x14ac:dyDescent="0.25">
      <c r="A21232" s="318">
        <v>97687376671</v>
      </c>
      <c r="B21232" s="318" t="s">
        <v>237</v>
      </c>
    </row>
    <row r="21233" spans="1:2" ht="12.75" customHeight="1" x14ac:dyDescent="0.25">
      <c r="A21233" s="318">
        <v>97687376672</v>
      </c>
      <c r="B21233" s="318" t="s">
        <v>237</v>
      </c>
    </row>
    <row r="21234" spans="1:2" ht="12.75" customHeight="1" x14ac:dyDescent="0.25">
      <c r="A21234" s="318">
        <v>97687376673</v>
      </c>
      <c r="B21234" s="318" t="s">
        <v>237</v>
      </c>
    </row>
    <row r="21235" spans="1:2" ht="12.75" customHeight="1" x14ac:dyDescent="0.25">
      <c r="A21235" s="318">
        <v>97687376674</v>
      </c>
      <c r="B21235" s="318" t="s">
        <v>237</v>
      </c>
    </row>
    <row r="21236" spans="1:2" ht="12.75" customHeight="1" x14ac:dyDescent="0.25">
      <c r="A21236" s="318">
        <v>97687376675</v>
      </c>
      <c r="B21236" s="318" t="s">
        <v>237</v>
      </c>
    </row>
    <row r="21237" spans="1:2" ht="12.75" customHeight="1" x14ac:dyDescent="0.25">
      <c r="A21237" s="318">
        <v>97687376676</v>
      </c>
      <c r="B21237" s="318" t="s">
        <v>237</v>
      </c>
    </row>
    <row r="21238" spans="1:2" ht="12.75" customHeight="1" x14ac:dyDescent="0.25">
      <c r="A21238" s="318">
        <v>97687376760</v>
      </c>
      <c r="B21238" s="318" t="s">
        <v>236</v>
      </c>
    </row>
    <row r="21239" spans="1:2" ht="12.75" customHeight="1" x14ac:dyDescent="0.25">
      <c r="A21239" s="318">
        <v>97687376761</v>
      </c>
      <c r="B21239" s="318" t="s">
        <v>23</v>
      </c>
    </row>
    <row r="21240" spans="1:2" ht="12.75" customHeight="1" x14ac:dyDescent="0.25">
      <c r="A21240" s="318">
        <v>97687376762</v>
      </c>
      <c r="B21240" s="318" t="s">
        <v>236</v>
      </c>
    </row>
    <row r="21241" spans="1:2" ht="12.75" customHeight="1" x14ac:dyDescent="0.25">
      <c r="A21241" s="318">
        <v>97687376763</v>
      </c>
      <c r="B21241" s="318" t="s">
        <v>23</v>
      </c>
    </row>
    <row r="21242" spans="1:2" ht="12.75" customHeight="1" x14ac:dyDescent="0.25">
      <c r="A21242" s="318">
        <v>97687376764</v>
      </c>
      <c r="B21242" s="318" t="s">
        <v>236</v>
      </c>
    </row>
    <row r="21243" spans="1:2" ht="12.75" customHeight="1" x14ac:dyDescent="0.25">
      <c r="A21243" s="318">
        <v>97687376765</v>
      </c>
      <c r="B21243" s="318" t="s">
        <v>23</v>
      </c>
    </row>
    <row r="21244" spans="1:2" ht="12.75" customHeight="1" x14ac:dyDescent="0.25">
      <c r="A21244" s="318">
        <v>97687376766</v>
      </c>
      <c r="B21244" s="318" t="s">
        <v>23</v>
      </c>
    </row>
    <row r="21245" spans="1:2" ht="12.75" customHeight="1" x14ac:dyDescent="0.25">
      <c r="A21245" s="318">
        <v>97687376767</v>
      </c>
      <c r="B21245" s="318" t="s">
        <v>237</v>
      </c>
    </row>
    <row r="21246" spans="1:2" ht="12.75" customHeight="1" x14ac:dyDescent="0.25">
      <c r="A21246" s="318">
        <v>97687376769</v>
      </c>
      <c r="B21246" s="318" t="s">
        <v>237</v>
      </c>
    </row>
    <row r="21247" spans="1:2" ht="12.75" customHeight="1" x14ac:dyDescent="0.25">
      <c r="A21247" s="318">
        <v>97687376770</v>
      </c>
      <c r="B21247" s="318" t="s">
        <v>237</v>
      </c>
    </row>
    <row r="21248" spans="1:2" ht="12.75" customHeight="1" x14ac:dyDescent="0.25">
      <c r="A21248" s="318">
        <v>97687376771</v>
      </c>
      <c r="B21248" s="318" t="s">
        <v>237</v>
      </c>
    </row>
    <row r="21249" spans="1:2" ht="12.75" customHeight="1" x14ac:dyDescent="0.25">
      <c r="A21249" s="318">
        <v>97687376772</v>
      </c>
      <c r="B21249" s="318" t="s">
        <v>237</v>
      </c>
    </row>
    <row r="21250" spans="1:2" ht="12.75" customHeight="1" x14ac:dyDescent="0.25">
      <c r="A21250" s="318">
        <v>97687376773</v>
      </c>
      <c r="B21250" s="318" t="s">
        <v>237</v>
      </c>
    </row>
    <row r="21251" spans="1:2" ht="12.75" customHeight="1" x14ac:dyDescent="0.25">
      <c r="A21251" s="318">
        <v>97687376774</v>
      </c>
      <c r="B21251" s="318" t="s">
        <v>237</v>
      </c>
    </row>
    <row r="21252" spans="1:2" ht="12.75" customHeight="1" x14ac:dyDescent="0.25">
      <c r="A21252" s="318">
        <v>97687376775</v>
      </c>
      <c r="B21252" s="318" t="s">
        <v>237</v>
      </c>
    </row>
    <row r="21253" spans="1:2" ht="12.75" customHeight="1" x14ac:dyDescent="0.25">
      <c r="A21253" s="318">
        <v>97687376776</v>
      </c>
      <c r="B21253" s="318" t="s">
        <v>237</v>
      </c>
    </row>
    <row r="21254" spans="1:2" ht="12.75" customHeight="1" x14ac:dyDescent="0.25">
      <c r="A21254" s="318">
        <v>97687857633</v>
      </c>
      <c r="B21254" s="318" t="s">
        <v>236</v>
      </c>
    </row>
    <row r="21255" spans="1:2" ht="12.75" customHeight="1" x14ac:dyDescent="0.25">
      <c r="A21255" s="318">
        <v>97687857634</v>
      </c>
      <c r="B21255" s="318" t="s">
        <v>23</v>
      </c>
    </row>
    <row r="21256" spans="1:2" ht="12.75" customHeight="1" x14ac:dyDescent="0.25">
      <c r="A21256" s="318">
        <v>97687857635</v>
      </c>
      <c r="B21256" s="318" t="s">
        <v>236</v>
      </c>
    </row>
    <row r="21257" spans="1:2" ht="12.75" customHeight="1" x14ac:dyDescent="0.25">
      <c r="A21257" s="318">
        <v>97687857636</v>
      </c>
      <c r="B21257" s="318" t="s">
        <v>23</v>
      </c>
    </row>
    <row r="21258" spans="1:2" ht="12.75" customHeight="1" x14ac:dyDescent="0.25">
      <c r="A21258" s="318">
        <v>97687857637</v>
      </c>
      <c r="B21258" s="318" t="s">
        <v>236</v>
      </c>
    </row>
    <row r="21259" spans="1:2" ht="12.75" customHeight="1" x14ac:dyDescent="0.25">
      <c r="A21259" s="318">
        <v>97687857638</v>
      </c>
      <c r="B21259" s="318" t="s">
        <v>23</v>
      </c>
    </row>
    <row r="21260" spans="1:2" ht="12.75" customHeight="1" x14ac:dyDescent="0.25">
      <c r="A21260" s="318">
        <v>97687857639</v>
      </c>
      <c r="B21260" s="318" t="s">
        <v>236</v>
      </c>
    </row>
    <row r="21261" spans="1:2" ht="12.75" customHeight="1" x14ac:dyDescent="0.25">
      <c r="A21261" s="318">
        <v>97687857640</v>
      </c>
      <c r="B21261" s="318" t="s">
        <v>237</v>
      </c>
    </row>
    <row r="21262" spans="1:2" ht="12.75" customHeight="1" x14ac:dyDescent="0.25">
      <c r="A21262" s="318">
        <v>97687857642</v>
      </c>
      <c r="B21262" s="318" t="s">
        <v>236</v>
      </c>
    </row>
    <row r="21263" spans="1:2" ht="12.75" customHeight="1" x14ac:dyDescent="0.25">
      <c r="A21263" s="318">
        <v>97687857643</v>
      </c>
      <c r="B21263" s="318" t="s">
        <v>237</v>
      </c>
    </row>
    <row r="21264" spans="1:2" ht="12.75" customHeight="1" x14ac:dyDescent="0.25">
      <c r="A21264" s="318">
        <v>97687857644</v>
      </c>
      <c r="B21264" s="318" t="s">
        <v>236</v>
      </c>
    </row>
    <row r="21265" spans="1:2" ht="12.75" customHeight="1" x14ac:dyDescent="0.25">
      <c r="A21265" s="318">
        <v>97687857645</v>
      </c>
      <c r="B21265" s="318" t="s">
        <v>237</v>
      </c>
    </row>
    <row r="21266" spans="1:2" ht="12.75" customHeight="1" x14ac:dyDescent="0.25">
      <c r="A21266" s="318">
        <v>97687857646</v>
      </c>
      <c r="B21266" s="318" t="s">
        <v>236</v>
      </c>
    </row>
    <row r="21267" spans="1:2" ht="12.75" customHeight="1" x14ac:dyDescent="0.25">
      <c r="A21267" s="318">
        <v>97687857647</v>
      </c>
      <c r="B21267" s="318" t="s">
        <v>237</v>
      </c>
    </row>
    <row r="21268" spans="1:2" ht="12.75" customHeight="1" x14ac:dyDescent="0.25">
      <c r="A21268" s="318">
        <v>97687857648</v>
      </c>
      <c r="B21268" s="318" t="s">
        <v>236</v>
      </c>
    </row>
    <row r="21269" spans="1:2" ht="12.75" customHeight="1" x14ac:dyDescent="0.25">
      <c r="A21269" s="318">
        <v>97687857649</v>
      </c>
      <c r="B21269" s="318" t="s">
        <v>237</v>
      </c>
    </row>
    <row r="21270" spans="1:2" ht="12.75" customHeight="1" x14ac:dyDescent="0.25">
      <c r="A21270" s="318">
        <v>97687857733</v>
      </c>
      <c r="B21270" s="318" t="s">
        <v>236</v>
      </c>
    </row>
    <row r="21271" spans="1:2" ht="12.75" customHeight="1" x14ac:dyDescent="0.25">
      <c r="A21271" s="318">
        <v>97687857734</v>
      </c>
      <c r="B21271" s="318" t="s">
        <v>23</v>
      </c>
    </row>
    <row r="21272" spans="1:2" ht="12.75" customHeight="1" x14ac:dyDescent="0.25">
      <c r="A21272" s="318">
        <v>97687857735</v>
      </c>
      <c r="B21272" s="318" t="s">
        <v>236</v>
      </c>
    </row>
    <row r="21273" spans="1:2" ht="12.75" customHeight="1" x14ac:dyDescent="0.25">
      <c r="A21273" s="318">
        <v>97687857736</v>
      </c>
      <c r="B21273" s="318" t="s">
        <v>23</v>
      </c>
    </row>
    <row r="21274" spans="1:2" ht="12.75" customHeight="1" x14ac:dyDescent="0.25">
      <c r="A21274" s="318">
        <v>97687857737</v>
      </c>
      <c r="B21274" s="318" t="s">
        <v>236</v>
      </c>
    </row>
    <row r="21275" spans="1:2" ht="12.75" customHeight="1" x14ac:dyDescent="0.25">
      <c r="A21275" s="318">
        <v>97687857738</v>
      </c>
      <c r="B21275" s="318" t="s">
        <v>23</v>
      </c>
    </row>
    <row r="21276" spans="1:2" ht="12.75" customHeight="1" x14ac:dyDescent="0.25">
      <c r="A21276" s="318">
        <v>97687857739</v>
      </c>
      <c r="B21276" s="318" t="s">
        <v>236</v>
      </c>
    </row>
    <row r="21277" spans="1:2" ht="12.75" customHeight="1" x14ac:dyDescent="0.25">
      <c r="A21277" s="318">
        <v>97687857740</v>
      </c>
      <c r="B21277" s="318" t="s">
        <v>237</v>
      </c>
    </row>
    <row r="21278" spans="1:2" ht="12.75" customHeight="1" x14ac:dyDescent="0.25">
      <c r="A21278" s="318">
        <v>97687857742</v>
      </c>
      <c r="B21278" s="318" t="s">
        <v>236</v>
      </c>
    </row>
    <row r="21279" spans="1:2" ht="12.75" customHeight="1" x14ac:dyDescent="0.25">
      <c r="A21279" s="318">
        <v>97687857743</v>
      </c>
      <c r="B21279" s="318" t="s">
        <v>237</v>
      </c>
    </row>
    <row r="21280" spans="1:2" ht="12.75" customHeight="1" x14ac:dyDescent="0.25">
      <c r="A21280" s="318">
        <v>97687857744</v>
      </c>
      <c r="B21280" s="318" t="s">
        <v>236</v>
      </c>
    </row>
    <row r="21281" spans="1:2" ht="12.75" customHeight="1" x14ac:dyDescent="0.25">
      <c r="A21281" s="318">
        <v>97687857745</v>
      </c>
      <c r="B21281" s="318" t="s">
        <v>237</v>
      </c>
    </row>
    <row r="21282" spans="1:2" ht="12.75" customHeight="1" x14ac:dyDescent="0.25">
      <c r="A21282" s="318">
        <v>97687857746</v>
      </c>
      <c r="B21282" s="318" t="s">
        <v>236</v>
      </c>
    </row>
    <row r="21283" spans="1:2" ht="12.75" customHeight="1" x14ac:dyDescent="0.25">
      <c r="A21283" s="318">
        <v>97687857747</v>
      </c>
      <c r="B21283" s="318" t="s">
        <v>237</v>
      </c>
    </row>
    <row r="21284" spans="1:2" ht="12.75" customHeight="1" x14ac:dyDescent="0.25">
      <c r="A21284" s="318">
        <v>97687857748</v>
      </c>
      <c r="B21284" s="318" t="s">
        <v>236</v>
      </c>
    </row>
    <row r="21285" spans="1:2" ht="12.75" customHeight="1" x14ac:dyDescent="0.25">
      <c r="A21285" s="318">
        <v>97687857749</v>
      </c>
      <c r="B21285" s="318" t="s">
        <v>237</v>
      </c>
    </row>
    <row r="21286" spans="1:2" ht="12.75" customHeight="1" x14ac:dyDescent="0.25">
      <c r="A21286" s="318">
        <v>97688537824</v>
      </c>
      <c r="B21286" s="318" t="s">
        <v>236</v>
      </c>
    </row>
    <row r="21287" spans="1:2" ht="12.75" customHeight="1" x14ac:dyDescent="0.25">
      <c r="A21287" s="318">
        <v>97688537825</v>
      </c>
      <c r="B21287" s="318" t="s">
        <v>23</v>
      </c>
    </row>
    <row r="21288" spans="1:2" ht="12.75" customHeight="1" x14ac:dyDescent="0.25">
      <c r="A21288" s="318">
        <v>97688537826</v>
      </c>
      <c r="B21288" s="318" t="s">
        <v>236</v>
      </c>
    </row>
    <row r="21289" spans="1:2" ht="12.75" customHeight="1" x14ac:dyDescent="0.25">
      <c r="A21289" s="318">
        <v>97688537827</v>
      </c>
      <c r="B21289" s="318" t="s">
        <v>23</v>
      </c>
    </row>
    <row r="21290" spans="1:2" ht="12.75" customHeight="1" x14ac:dyDescent="0.25">
      <c r="A21290" s="318">
        <v>97688537828</v>
      </c>
      <c r="B21290" s="318" t="s">
        <v>236</v>
      </c>
    </row>
    <row r="21291" spans="1:2" ht="12.75" customHeight="1" x14ac:dyDescent="0.25">
      <c r="A21291" s="318">
        <v>97688537829</v>
      </c>
      <c r="B21291" s="318" t="s">
        <v>23</v>
      </c>
    </row>
    <row r="21292" spans="1:2" ht="12.75" customHeight="1" x14ac:dyDescent="0.25">
      <c r="A21292" s="318">
        <v>97688537830</v>
      </c>
      <c r="B21292" s="318" t="s">
        <v>23</v>
      </c>
    </row>
    <row r="21293" spans="1:2" ht="12.75" customHeight="1" x14ac:dyDescent="0.25">
      <c r="A21293" s="318">
        <v>97688537831</v>
      </c>
      <c r="B21293" s="318" t="s">
        <v>237</v>
      </c>
    </row>
    <row r="21294" spans="1:2" ht="12.75" customHeight="1" x14ac:dyDescent="0.25">
      <c r="A21294" s="318">
        <v>97688537833</v>
      </c>
      <c r="B21294" s="318" t="s">
        <v>237</v>
      </c>
    </row>
    <row r="21295" spans="1:2" ht="12.75" customHeight="1" x14ac:dyDescent="0.25">
      <c r="A21295" s="318">
        <v>97688537834</v>
      </c>
      <c r="B21295" s="318" t="s">
        <v>237</v>
      </c>
    </row>
    <row r="21296" spans="1:2" ht="12.75" customHeight="1" x14ac:dyDescent="0.25">
      <c r="A21296" s="318">
        <v>97688537835</v>
      </c>
      <c r="B21296" s="318" t="s">
        <v>237</v>
      </c>
    </row>
    <row r="21297" spans="1:2" ht="12.75" customHeight="1" x14ac:dyDescent="0.25">
      <c r="A21297" s="318">
        <v>97688537836</v>
      </c>
      <c r="B21297" s="318" t="s">
        <v>237</v>
      </c>
    </row>
    <row r="21298" spans="1:2" ht="12.75" customHeight="1" x14ac:dyDescent="0.25">
      <c r="A21298" s="318">
        <v>97688537837</v>
      </c>
      <c r="B21298" s="318" t="s">
        <v>237</v>
      </c>
    </row>
    <row r="21299" spans="1:2" ht="12.75" customHeight="1" x14ac:dyDescent="0.25">
      <c r="A21299" s="318">
        <v>97688537838</v>
      </c>
      <c r="B21299" s="318" t="s">
        <v>237</v>
      </c>
    </row>
    <row r="21300" spans="1:2" ht="12.75" customHeight="1" x14ac:dyDescent="0.25">
      <c r="A21300" s="318">
        <v>97688537839</v>
      </c>
      <c r="B21300" s="318" t="s">
        <v>237</v>
      </c>
    </row>
    <row r="21301" spans="1:2" ht="12.75" customHeight="1" x14ac:dyDescent="0.25">
      <c r="A21301" s="318">
        <v>97688537840</v>
      </c>
      <c r="B21301" s="318" t="s">
        <v>237</v>
      </c>
    </row>
    <row r="21302" spans="1:2" ht="12.75" customHeight="1" x14ac:dyDescent="0.25">
      <c r="A21302" s="318">
        <v>97688537924</v>
      </c>
      <c r="B21302" s="318" t="s">
        <v>236</v>
      </c>
    </row>
    <row r="21303" spans="1:2" ht="12.75" customHeight="1" x14ac:dyDescent="0.25">
      <c r="A21303" s="318">
        <v>97688537925</v>
      </c>
      <c r="B21303" s="318" t="s">
        <v>23</v>
      </c>
    </row>
    <row r="21304" spans="1:2" ht="12.75" customHeight="1" x14ac:dyDescent="0.25">
      <c r="A21304" s="318">
        <v>97688537926</v>
      </c>
      <c r="B21304" s="318" t="s">
        <v>236</v>
      </c>
    </row>
    <row r="21305" spans="1:2" ht="12.75" customHeight="1" x14ac:dyDescent="0.25">
      <c r="A21305" s="318">
        <v>97688537927</v>
      </c>
      <c r="B21305" s="318" t="s">
        <v>23</v>
      </c>
    </row>
    <row r="21306" spans="1:2" ht="12.75" customHeight="1" x14ac:dyDescent="0.25">
      <c r="A21306" s="318">
        <v>97688537928</v>
      </c>
      <c r="B21306" s="318" t="s">
        <v>236</v>
      </c>
    </row>
    <row r="21307" spans="1:2" ht="12.75" customHeight="1" x14ac:dyDescent="0.25">
      <c r="A21307" s="318">
        <v>97688537929</v>
      </c>
      <c r="B21307" s="318" t="s">
        <v>23</v>
      </c>
    </row>
    <row r="21308" spans="1:2" ht="12.75" customHeight="1" x14ac:dyDescent="0.25">
      <c r="A21308" s="318">
        <v>97688537930</v>
      </c>
      <c r="B21308" s="318" t="s">
        <v>23</v>
      </c>
    </row>
    <row r="21309" spans="1:2" ht="12.75" customHeight="1" x14ac:dyDescent="0.25">
      <c r="A21309" s="318">
        <v>97688537931</v>
      </c>
      <c r="B21309" s="318" t="s">
        <v>237</v>
      </c>
    </row>
    <row r="21310" spans="1:2" ht="12.75" customHeight="1" x14ac:dyDescent="0.25">
      <c r="A21310" s="318">
        <v>97688537933</v>
      </c>
      <c r="B21310" s="318" t="s">
        <v>237</v>
      </c>
    </row>
    <row r="21311" spans="1:2" ht="12.75" customHeight="1" x14ac:dyDescent="0.25">
      <c r="A21311" s="318">
        <v>97688537934</v>
      </c>
      <c r="B21311" s="318" t="s">
        <v>237</v>
      </c>
    </row>
    <row r="21312" spans="1:2" ht="12.75" customHeight="1" x14ac:dyDescent="0.25">
      <c r="A21312" s="318">
        <v>97688537935</v>
      </c>
      <c r="B21312" s="318" t="s">
        <v>237</v>
      </c>
    </row>
    <row r="21313" spans="1:2" ht="12.75" customHeight="1" x14ac:dyDescent="0.25">
      <c r="A21313" s="318">
        <v>97688537936</v>
      </c>
      <c r="B21313" s="318" t="s">
        <v>237</v>
      </c>
    </row>
    <row r="21314" spans="1:2" ht="12.75" customHeight="1" x14ac:dyDescent="0.25">
      <c r="A21314" s="318">
        <v>97688537937</v>
      </c>
      <c r="B21314" s="318" t="s">
        <v>237</v>
      </c>
    </row>
    <row r="21315" spans="1:2" ht="12.75" customHeight="1" x14ac:dyDescent="0.25">
      <c r="A21315" s="318">
        <v>97688537938</v>
      </c>
      <c r="B21315" s="318" t="s">
        <v>237</v>
      </c>
    </row>
    <row r="21316" spans="1:2" ht="12.75" customHeight="1" x14ac:dyDescent="0.25">
      <c r="A21316" s="318">
        <v>97688537939</v>
      </c>
      <c r="B21316" s="318" t="s">
        <v>237</v>
      </c>
    </row>
    <row r="21317" spans="1:2" ht="12.75" customHeight="1" x14ac:dyDescent="0.25">
      <c r="A21317" s="318">
        <v>97688537940</v>
      </c>
      <c r="B21317" s="318" t="s">
        <v>237</v>
      </c>
    </row>
    <row r="21318" spans="1:2" ht="12.75" customHeight="1" x14ac:dyDescent="0.25">
      <c r="A21318" s="318">
        <v>97689018797</v>
      </c>
      <c r="B21318" s="318" t="s">
        <v>236</v>
      </c>
    </row>
    <row r="21319" spans="1:2" ht="12.75" customHeight="1" x14ac:dyDescent="0.25">
      <c r="A21319" s="318">
        <v>97689018798</v>
      </c>
      <c r="B21319" s="318" t="s">
        <v>23</v>
      </c>
    </row>
    <row r="21320" spans="1:2" ht="12.75" customHeight="1" x14ac:dyDescent="0.25">
      <c r="A21320" s="318">
        <v>97689018799</v>
      </c>
      <c r="B21320" s="318" t="s">
        <v>236</v>
      </c>
    </row>
    <row r="21321" spans="1:2" ht="12.75" customHeight="1" x14ac:dyDescent="0.25">
      <c r="A21321" s="318">
        <v>97689018800</v>
      </c>
      <c r="B21321" s="318" t="s">
        <v>23</v>
      </c>
    </row>
    <row r="21322" spans="1:2" ht="12.75" customHeight="1" x14ac:dyDescent="0.25">
      <c r="A21322" s="318">
        <v>97689018801</v>
      </c>
      <c r="B21322" s="318" t="s">
        <v>236</v>
      </c>
    </row>
    <row r="21323" spans="1:2" ht="12.75" customHeight="1" x14ac:dyDescent="0.25">
      <c r="A21323" s="318">
        <v>97689018802</v>
      </c>
      <c r="B21323" s="318" t="s">
        <v>23</v>
      </c>
    </row>
    <row r="21324" spans="1:2" ht="12.75" customHeight="1" x14ac:dyDescent="0.25">
      <c r="A21324" s="318">
        <v>97689018803</v>
      </c>
      <c r="B21324" s="318" t="s">
        <v>23</v>
      </c>
    </row>
    <row r="21325" spans="1:2" ht="12.75" customHeight="1" x14ac:dyDescent="0.25">
      <c r="A21325" s="318">
        <v>97689018804</v>
      </c>
      <c r="B21325" s="318" t="s">
        <v>237</v>
      </c>
    </row>
    <row r="21326" spans="1:2" ht="12.75" customHeight="1" x14ac:dyDescent="0.25">
      <c r="A21326" s="318">
        <v>97689018806</v>
      </c>
      <c r="B21326" s="318" t="s">
        <v>237</v>
      </c>
    </row>
    <row r="21327" spans="1:2" ht="12.75" customHeight="1" x14ac:dyDescent="0.25">
      <c r="A21327" s="318">
        <v>97689018807</v>
      </c>
      <c r="B21327" s="318" t="s">
        <v>237</v>
      </c>
    </row>
    <row r="21328" spans="1:2" ht="12.75" customHeight="1" x14ac:dyDescent="0.25">
      <c r="A21328" s="318">
        <v>97689018808</v>
      </c>
      <c r="B21328" s="318" t="s">
        <v>237</v>
      </c>
    </row>
    <row r="21329" spans="1:2" ht="12.75" customHeight="1" x14ac:dyDescent="0.25">
      <c r="A21329" s="318">
        <v>97689018809</v>
      </c>
      <c r="B21329" s="318" t="s">
        <v>237</v>
      </c>
    </row>
    <row r="21330" spans="1:2" ht="12.75" customHeight="1" x14ac:dyDescent="0.25">
      <c r="A21330" s="318">
        <v>97689018810</v>
      </c>
      <c r="B21330" s="318" t="s">
        <v>237</v>
      </c>
    </row>
    <row r="21331" spans="1:2" ht="12.75" customHeight="1" x14ac:dyDescent="0.25">
      <c r="A21331" s="318">
        <v>97689018811</v>
      </c>
      <c r="B21331" s="318" t="s">
        <v>237</v>
      </c>
    </row>
    <row r="21332" spans="1:2" ht="12.75" customHeight="1" x14ac:dyDescent="0.25">
      <c r="A21332" s="318">
        <v>97689018812</v>
      </c>
      <c r="B21332" s="318" t="s">
        <v>237</v>
      </c>
    </row>
    <row r="21333" spans="1:2" ht="12.75" customHeight="1" x14ac:dyDescent="0.25">
      <c r="A21333" s="318">
        <v>97689018813</v>
      </c>
      <c r="B21333" s="318" t="s">
        <v>237</v>
      </c>
    </row>
    <row r="21334" spans="1:2" ht="12.75" customHeight="1" x14ac:dyDescent="0.25">
      <c r="A21334" s="318">
        <v>97689018897</v>
      </c>
      <c r="B21334" s="318" t="s">
        <v>236</v>
      </c>
    </row>
    <row r="21335" spans="1:2" ht="12.75" customHeight="1" x14ac:dyDescent="0.25">
      <c r="A21335" s="318">
        <v>97689018898</v>
      </c>
      <c r="B21335" s="318" t="s">
        <v>23</v>
      </c>
    </row>
    <row r="21336" spans="1:2" ht="12.75" customHeight="1" x14ac:dyDescent="0.25">
      <c r="A21336" s="318">
        <v>97689018899</v>
      </c>
      <c r="B21336" s="318" t="s">
        <v>236</v>
      </c>
    </row>
    <row r="21337" spans="1:2" ht="12.75" customHeight="1" x14ac:dyDescent="0.25">
      <c r="A21337" s="318">
        <v>97689018900</v>
      </c>
      <c r="B21337" s="318" t="s">
        <v>23</v>
      </c>
    </row>
    <row r="21338" spans="1:2" ht="12.75" customHeight="1" x14ac:dyDescent="0.25">
      <c r="A21338" s="318">
        <v>97689018901</v>
      </c>
      <c r="B21338" s="318" t="s">
        <v>236</v>
      </c>
    </row>
    <row r="21339" spans="1:2" ht="12.75" customHeight="1" x14ac:dyDescent="0.25">
      <c r="A21339" s="318">
        <v>97689018902</v>
      </c>
      <c r="B21339" s="318" t="s">
        <v>23</v>
      </c>
    </row>
    <row r="21340" spans="1:2" ht="12.75" customHeight="1" x14ac:dyDescent="0.25">
      <c r="A21340" s="318">
        <v>97689018903</v>
      </c>
      <c r="B21340" s="318" t="s">
        <v>23</v>
      </c>
    </row>
    <row r="21341" spans="1:2" ht="12.75" customHeight="1" x14ac:dyDescent="0.25">
      <c r="A21341" s="318">
        <v>97689018904</v>
      </c>
      <c r="B21341" s="318" t="s">
        <v>237</v>
      </c>
    </row>
    <row r="21342" spans="1:2" ht="12.75" customHeight="1" x14ac:dyDescent="0.25">
      <c r="A21342" s="318">
        <v>97689018906</v>
      </c>
      <c r="B21342" s="318" t="s">
        <v>237</v>
      </c>
    </row>
    <row r="21343" spans="1:2" ht="12.75" customHeight="1" x14ac:dyDescent="0.25">
      <c r="A21343" s="318">
        <v>97689018907</v>
      </c>
      <c r="B21343" s="318" t="s">
        <v>237</v>
      </c>
    </row>
    <row r="21344" spans="1:2" ht="12.75" customHeight="1" x14ac:dyDescent="0.25">
      <c r="A21344" s="318">
        <v>97689018908</v>
      </c>
      <c r="B21344" s="318" t="s">
        <v>237</v>
      </c>
    </row>
    <row r="21345" spans="1:2" ht="12.75" customHeight="1" x14ac:dyDescent="0.25">
      <c r="A21345" s="318">
        <v>97689018909</v>
      </c>
      <c r="B21345" s="318" t="s">
        <v>237</v>
      </c>
    </row>
    <row r="21346" spans="1:2" ht="12.75" customHeight="1" x14ac:dyDescent="0.25">
      <c r="A21346" s="318">
        <v>97689018910</v>
      </c>
      <c r="B21346" s="318" t="s">
        <v>237</v>
      </c>
    </row>
    <row r="21347" spans="1:2" ht="12.75" customHeight="1" x14ac:dyDescent="0.25">
      <c r="A21347" s="318">
        <v>97689018911</v>
      </c>
      <c r="B21347" s="318" t="s">
        <v>237</v>
      </c>
    </row>
    <row r="21348" spans="1:2" ht="12.75" customHeight="1" x14ac:dyDescent="0.25">
      <c r="A21348" s="318">
        <v>97689018912</v>
      </c>
      <c r="B21348" s="318" t="s">
        <v>237</v>
      </c>
    </row>
    <row r="21349" spans="1:2" ht="12.75" customHeight="1" x14ac:dyDescent="0.25">
      <c r="A21349" s="318">
        <v>97689018913</v>
      </c>
      <c r="B21349" s="318" t="s">
        <v>237</v>
      </c>
    </row>
    <row r="21350" spans="1:2" ht="12.75" customHeight="1" x14ac:dyDescent="0.25">
      <c r="A21350" s="318">
        <v>97689499770</v>
      </c>
      <c r="B21350" s="318" t="s">
        <v>236</v>
      </c>
    </row>
    <row r="21351" spans="1:2" ht="12.75" customHeight="1" x14ac:dyDescent="0.25">
      <c r="A21351" s="318">
        <v>97689499771</v>
      </c>
      <c r="B21351" s="318" t="s">
        <v>23</v>
      </c>
    </row>
    <row r="21352" spans="1:2" ht="12.75" customHeight="1" x14ac:dyDescent="0.25">
      <c r="A21352" s="318">
        <v>97689499772</v>
      </c>
      <c r="B21352" s="318" t="s">
        <v>236</v>
      </c>
    </row>
    <row r="21353" spans="1:2" ht="12.75" customHeight="1" x14ac:dyDescent="0.25">
      <c r="A21353" s="318">
        <v>97689499773</v>
      </c>
      <c r="B21353" s="318" t="s">
        <v>23</v>
      </c>
    </row>
    <row r="21354" spans="1:2" ht="12.75" customHeight="1" x14ac:dyDescent="0.25">
      <c r="A21354" s="318">
        <v>97689499774</v>
      </c>
      <c r="B21354" s="318" t="s">
        <v>236</v>
      </c>
    </row>
    <row r="21355" spans="1:2" ht="12.75" customHeight="1" x14ac:dyDescent="0.25">
      <c r="A21355" s="318">
        <v>97689499775</v>
      </c>
      <c r="B21355" s="318" t="s">
        <v>23</v>
      </c>
    </row>
    <row r="21356" spans="1:2" ht="12.75" customHeight="1" x14ac:dyDescent="0.25">
      <c r="A21356" s="318">
        <v>97689499776</v>
      </c>
      <c r="B21356" s="318" t="s">
        <v>236</v>
      </c>
    </row>
    <row r="21357" spans="1:2" ht="12.75" customHeight="1" x14ac:dyDescent="0.25">
      <c r="A21357" s="318">
        <v>97689499777</v>
      </c>
      <c r="B21357" s="318" t="s">
        <v>237</v>
      </c>
    </row>
    <row r="21358" spans="1:2" ht="12.75" customHeight="1" x14ac:dyDescent="0.25">
      <c r="A21358" s="318">
        <v>97689499779</v>
      </c>
      <c r="B21358" s="318" t="s">
        <v>236</v>
      </c>
    </row>
    <row r="21359" spans="1:2" ht="12.75" customHeight="1" x14ac:dyDescent="0.25">
      <c r="A21359" s="318">
        <v>97689499780</v>
      </c>
      <c r="B21359" s="318" t="s">
        <v>237</v>
      </c>
    </row>
    <row r="21360" spans="1:2" ht="12.75" customHeight="1" x14ac:dyDescent="0.25">
      <c r="A21360" s="318">
        <v>97689499781</v>
      </c>
      <c r="B21360" s="318" t="s">
        <v>236</v>
      </c>
    </row>
    <row r="21361" spans="1:2" ht="12.75" customHeight="1" x14ac:dyDescent="0.25">
      <c r="A21361" s="318">
        <v>97689499782</v>
      </c>
      <c r="B21361" s="318" t="s">
        <v>237</v>
      </c>
    </row>
    <row r="21362" spans="1:2" ht="12.75" customHeight="1" x14ac:dyDescent="0.25">
      <c r="A21362" s="318">
        <v>97689499783</v>
      </c>
      <c r="B21362" s="318" t="s">
        <v>236</v>
      </c>
    </row>
    <row r="21363" spans="1:2" ht="12.75" customHeight="1" x14ac:dyDescent="0.25">
      <c r="A21363" s="318">
        <v>97689499784</v>
      </c>
      <c r="B21363" s="318" t="s">
        <v>237</v>
      </c>
    </row>
    <row r="21364" spans="1:2" ht="12.75" customHeight="1" x14ac:dyDescent="0.25">
      <c r="A21364" s="318">
        <v>97689499785</v>
      </c>
      <c r="B21364" s="318" t="s">
        <v>236</v>
      </c>
    </row>
    <row r="21365" spans="1:2" ht="12.75" customHeight="1" x14ac:dyDescent="0.25">
      <c r="A21365" s="318">
        <v>97689499786</v>
      </c>
      <c r="B21365" s="318" t="s">
        <v>237</v>
      </c>
    </row>
    <row r="21366" spans="1:2" ht="12.75" customHeight="1" x14ac:dyDescent="0.25">
      <c r="A21366" s="318">
        <v>97689499870</v>
      </c>
      <c r="B21366" s="318" t="s">
        <v>236</v>
      </c>
    </row>
    <row r="21367" spans="1:2" ht="12.75" customHeight="1" x14ac:dyDescent="0.25">
      <c r="A21367" s="318">
        <v>97689499871</v>
      </c>
      <c r="B21367" s="318" t="s">
        <v>23</v>
      </c>
    </row>
    <row r="21368" spans="1:2" ht="12.75" customHeight="1" x14ac:dyDescent="0.25">
      <c r="A21368" s="318">
        <v>97689499872</v>
      </c>
      <c r="B21368" s="318" t="s">
        <v>236</v>
      </c>
    </row>
    <row r="21369" spans="1:2" ht="12.75" customHeight="1" x14ac:dyDescent="0.25">
      <c r="A21369" s="318">
        <v>97689499873</v>
      </c>
      <c r="B21369" s="318" t="s">
        <v>23</v>
      </c>
    </row>
    <row r="21370" spans="1:2" ht="12.75" customHeight="1" x14ac:dyDescent="0.25">
      <c r="A21370" s="318">
        <v>97689499874</v>
      </c>
      <c r="B21370" s="318" t="s">
        <v>236</v>
      </c>
    </row>
    <row r="21371" spans="1:2" ht="12.75" customHeight="1" x14ac:dyDescent="0.25">
      <c r="A21371" s="318">
        <v>97689499875</v>
      </c>
      <c r="B21371" s="318" t="s">
        <v>23</v>
      </c>
    </row>
    <row r="21372" spans="1:2" ht="12.75" customHeight="1" x14ac:dyDescent="0.25">
      <c r="A21372" s="318">
        <v>97689499876</v>
      </c>
      <c r="B21372" s="318" t="s">
        <v>236</v>
      </c>
    </row>
    <row r="21373" spans="1:2" ht="12.75" customHeight="1" x14ac:dyDescent="0.25">
      <c r="A21373" s="318">
        <v>97689499877</v>
      </c>
      <c r="B21373" s="318" t="s">
        <v>237</v>
      </c>
    </row>
    <row r="21374" spans="1:2" ht="12.75" customHeight="1" x14ac:dyDescent="0.25">
      <c r="A21374" s="318">
        <v>97689499879</v>
      </c>
      <c r="B21374" s="318" t="s">
        <v>236</v>
      </c>
    </row>
    <row r="21375" spans="1:2" ht="12.75" customHeight="1" x14ac:dyDescent="0.25">
      <c r="A21375" s="318">
        <v>97689499880</v>
      </c>
      <c r="B21375" s="318" t="s">
        <v>237</v>
      </c>
    </row>
    <row r="21376" spans="1:2" ht="12.75" customHeight="1" x14ac:dyDescent="0.25">
      <c r="A21376" s="318">
        <v>97689499881</v>
      </c>
      <c r="B21376" s="318" t="s">
        <v>236</v>
      </c>
    </row>
    <row r="21377" spans="1:2" ht="12.75" customHeight="1" x14ac:dyDescent="0.25">
      <c r="A21377" s="318">
        <v>97689499882</v>
      </c>
      <c r="B21377" s="318" t="s">
        <v>237</v>
      </c>
    </row>
    <row r="21378" spans="1:2" ht="12.75" customHeight="1" x14ac:dyDescent="0.25">
      <c r="A21378" s="318">
        <v>97689499883</v>
      </c>
      <c r="B21378" s="318" t="s">
        <v>236</v>
      </c>
    </row>
    <row r="21379" spans="1:2" ht="12.75" customHeight="1" x14ac:dyDescent="0.25">
      <c r="A21379" s="318">
        <v>97689499884</v>
      </c>
      <c r="B21379" s="318" t="s">
        <v>237</v>
      </c>
    </row>
    <row r="21380" spans="1:2" ht="12.75" customHeight="1" x14ac:dyDescent="0.25">
      <c r="A21380" s="318">
        <v>97689499885</v>
      </c>
      <c r="B21380" s="318" t="s">
        <v>236</v>
      </c>
    </row>
    <row r="21381" spans="1:2" ht="12.75" customHeight="1" x14ac:dyDescent="0.25">
      <c r="A21381" s="318">
        <v>97689499886</v>
      </c>
      <c r="B21381" s="318" t="s">
        <v>237</v>
      </c>
    </row>
    <row r="21382" spans="1:2" ht="12.75" customHeight="1" x14ac:dyDescent="0.25">
      <c r="A21382" s="318">
        <v>97690179961</v>
      </c>
      <c r="B21382" s="318" t="s">
        <v>236</v>
      </c>
    </row>
    <row r="21383" spans="1:2" ht="12.75" customHeight="1" x14ac:dyDescent="0.25">
      <c r="A21383" s="318">
        <v>97690179962</v>
      </c>
      <c r="B21383" s="318" t="s">
        <v>23</v>
      </c>
    </row>
    <row r="21384" spans="1:2" ht="12.75" customHeight="1" x14ac:dyDescent="0.25">
      <c r="A21384" s="318">
        <v>97690179963</v>
      </c>
      <c r="B21384" s="318" t="s">
        <v>236</v>
      </c>
    </row>
    <row r="21385" spans="1:2" ht="12.75" customHeight="1" x14ac:dyDescent="0.25">
      <c r="A21385" s="318">
        <v>97690179964</v>
      </c>
      <c r="B21385" s="318" t="s">
        <v>23</v>
      </c>
    </row>
    <row r="21386" spans="1:2" ht="12.75" customHeight="1" x14ac:dyDescent="0.25">
      <c r="A21386" s="318">
        <v>97690179965</v>
      </c>
      <c r="B21386" s="318" t="s">
        <v>236</v>
      </c>
    </row>
    <row r="21387" spans="1:2" ht="12.75" customHeight="1" x14ac:dyDescent="0.25">
      <c r="A21387" s="318">
        <v>97690179966</v>
      </c>
      <c r="B21387" s="318" t="s">
        <v>23</v>
      </c>
    </row>
    <row r="21388" spans="1:2" ht="12.75" customHeight="1" x14ac:dyDescent="0.25">
      <c r="A21388" s="318">
        <v>97690179967</v>
      </c>
      <c r="B21388" s="318" t="s">
        <v>236</v>
      </c>
    </row>
    <row r="21389" spans="1:2" ht="12.75" customHeight="1" x14ac:dyDescent="0.25">
      <c r="A21389" s="318">
        <v>97690179968</v>
      </c>
      <c r="B21389" s="318" t="s">
        <v>237</v>
      </c>
    </row>
    <row r="21390" spans="1:2" ht="12.75" customHeight="1" x14ac:dyDescent="0.25">
      <c r="A21390" s="318">
        <v>97690179970</v>
      </c>
      <c r="B21390" s="318" t="s">
        <v>236</v>
      </c>
    </row>
    <row r="21391" spans="1:2" ht="12.75" customHeight="1" x14ac:dyDescent="0.25">
      <c r="A21391" s="318">
        <v>97690179971</v>
      </c>
      <c r="B21391" s="318" t="s">
        <v>237</v>
      </c>
    </row>
    <row r="21392" spans="1:2" ht="12.75" customHeight="1" x14ac:dyDescent="0.25">
      <c r="A21392" s="318">
        <v>97690179972</v>
      </c>
      <c r="B21392" s="318" t="s">
        <v>236</v>
      </c>
    </row>
    <row r="21393" spans="1:2" ht="12.75" customHeight="1" x14ac:dyDescent="0.25">
      <c r="A21393" s="318">
        <v>97690179973</v>
      </c>
      <c r="B21393" s="318" t="s">
        <v>237</v>
      </c>
    </row>
    <row r="21394" spans="1:2" ht="12.75" customHeight="1" x14ac:dyDescent="0.25">
      <c r="A21394" s="318">
        <v>97690179974</v>
      </c>
      <c r="B21394" s="318" t="s">
        <v>236</v>
      </c>
    </row>
    <row r="21395" spans="1:2" ht="12.75" customHeight="1" x14ac:dyDescent="0.25">
      <c r="A21395" s="318">
        <v>97690179975</v>
      </c>
      <c r="B21395" s="318" t="s">
        <v>237</v>
      </c>
    </row>
    <row r="21396" spans="1:2" ht="12.75" customHeight="1" x14ac:dyDescent="0.25">
      <c r="A21396" s="318">
        <v>97690179976</v>
      </c>
      <c r="B21396" s="318" t="s">
        <v>236</v>
      </c>
    </row>
    <row r="21397" spans="1:2" ht="12.75" customHeight="1" x14ac:dyDescent="0.25">
      <c r="A21397" s="318">
        <v>97690179977</v>
      </c>
      <c r="B21397" s="318" t="s">
        <v>237</v>
      </c>
    </row>
    <row r="21398" spans="1:2" ht="12.75" customHeight="1" x14ac:dyDescent="0.25">
      <c r="A21398" s="318">
        <v>97690180061</v>
      </c>
      <c r="B21398" s="318" t="s">
        <v>236</v>
      </c>
    </row>
    <row r="21399" spans="1:2" ht="12.75" customHeight="1" x14ac:dyDescent="0.25">
      <c r="A21399" s="318">
        <v>97690180062</v>
      </c>
      <c r="B21399" s="318" t="s">
        <v>23</v>
      </c>
    </row>
    <row r="21400" spans="1:2" ht="12.75" customHeight="1" x14ac:dyDescent="0.25">
      <c r="A21400" s="318">
        <v>97690180063</v>
      </c>
      <c r="B21400" s="318" t="s">
        <v>236</v>
      </c>
    </row>
    <row r="21401" spans="1:2" ht="12.75" customHeight="1" x14ac:dyDescent="0.25">
      <c r="A21401" s="318">
        <v>97690180064</v>
      </c>
      <c r="B21401" s="318" t="s">
        <v>23</v>
      </c>
    </row>
    <row r="21402" spans="1:2" ht="12.75" customHeight="1" x14ac:dyDescent="0.25">
      <c r="A21402" s="318">
        <v>97690180065</v>
      </c>
      <c r="B21402" s="318" t="s">
        <v>236</v>
      </c>
    </row>
    <row r="21403" spans="1:2" ht="12.75" customHeight="1" x14ac:dyDescent="0.25">
      <c r="A21403" s="318">
        <v>97690180066</v>
      </c>
      <c r="B21403" s="318" t="s">
        <v>23</v>
      </c>
    </row>
    <row r="21404" spans="1:2" ht="12.75" customHeight="1" x14ac:dyDescent="0.25">
      <c r="A21404" s="318">
        <v>97690180067</v>
      </c>
      <c r="B21404" s="318" t="s">
        <v>236</v>
      </c>
    </row>
    <row r="21405" spans="1:2" ht="12.75" customHeight="1" x14ac:dyDescent="0.25">
      <c r="A21405" s="318">
        <v>97690180068</v>
      </c>
      <c r="B21405" s="318" t="s">
        <v>237</v>
      </c>
    </row>
    <row r="21406" spans="1:2" ht="12.75" customHeight="1" x14ac:dyDescent="0.25">
      <c r="A21406" s="318">
        <v>97690180070</v>
      </c>
      <c r="B21406" s="318" t="s">
        <v>236</v>
      </c>
    </row>
    <row r="21407" spans="1:2" ht="12.75" customHeight="1" x14ac:dyDescent="0.25">
      <c r="A21407" s="318">
        <v>97690180071</v>
      </c>
      <c r="B21407" s="318" t="s">
        <v>237</v>
      </c>
    </row>
    <row r="21408" spans="1:2" ht="12.75" customHeight="1" x14ac:dyDescent="0.25">
      <c r="A21408" s="318">
        <v>97690180072</v>
      </c>
      <c r="B21408" s="318" t="s">
        <v>236</v>
      </c>
    </row>
    <row r="21409" spans="1:2" ht="12.75" customHeight="1" x14ac:dyDescent="0.25">
      <c r="A21409" s="318">
        <v>97690180073</v>
      </c>
      <c r="B21409" s="318" t="s">
        <v>237</v>
      </c>
    </row>
    <row r="21410" spans="1:2" ht="12.75" customHeight="1" x14ac:dyDescent="0.25">
      <c r="A21410" s="318">
        <v>97690180074</v>
      </c>
      <c r="B21410" s="318" t="s">
        <v>236</v>
      </c>
    </row>
    <row r="21411" spans="1:2" ht="12.75" customHeight="1" x14ac:dyDescent="0.25">
      <c r="A21411" s="318">
        <v>97690180075</v>
      </c>
      <c r="B21411" s="318" t="s">
        <v>237</v>
      </c>
    </row>
    <row r="21412" spans="1:2" ht="12.75" customHeight="1" x14ac:dyDescent="0.25">
      <c r="A21412" s="318">
        <v>97690180076</v>
      </c>
      <c r="B21412" s="318" t="s">
        <v>236</v>
      </c>
    </row>
    <row r="21413" spans="1:2" ht="12.75" customHeight="1" x14ac:dyDescent="0.25">
      <c r="A21413" s="318">
        <v>97690180077</v>
      </c>
      <c r="B21413" s="318" t="s">
        <v>237</v>
      </c>
    </row>
    <row r="21414" spans="1:2" ht="12.75" customHeight="1" x14ac:dyDescent="0.25">
      <c r="A21414" s="318">
        <v>97690660934</v>
      </c>
      <c r="B21414" s="318" t="s">
        <v>236</v>
      </c>
    </row>
    <row r="21415" spans="1:2" ht="12.75" customHeight="1" x14ac:dyDescent="0.25">
      <c r="A21415" s="318">
        <v>97690660935</v>
      </c>
      <c r="B21415" s="318" t="s">
        <v>23</v>
      </c>
    </row>
    <row r="21416" spans="1:2" ht="12.75" customHeight="1" x14ac:dyDescent="0.25">
      <c r="A21416" s="318">
        <v>97690660936</v>
      </c>
      <c r="B21416" s="318" t="s">
        <v>236</v>
      </c>
    </row>
    <row r="21417" spans="1:2" ht="12.75" customHeight="1" x14ac:dyDescent="0.25">
      <c r="A21417" s="318">
        <v>97690660937</v>
      </c>
      <c r="B21417" s="318" t="s">
        <v>23</v>
      </c>
    </row>
    <row r="21418" spans="1:2" ht="12.75" customHeight="1" x14ac:dyDescent="0.25">
      <c r="A21418" s="318">
        <v>97690660938</v>
      </c>
      <c r="B21418" s="318" t="s">
        <v>236</v>
      </c>
    </row>
    <row r="21419" spans="1:2" ht="12.75" customHeight="1" x14ac:dyDescent="0.25">
      <c r="A21419" s="318">
        <v>97690660939</v>
      </c>
      <c r="B21419" s="318" t="s">
        <v>23</v>
      </c>
    </row>
    <row r="21420" spans="1:2" ht="12.75" customHeight="1" x14ac:dyDescent="0.25">
      <c r="A21420" s="318">
        <v>97690660940</v>
      </c>
      <c r="B21420" s="318" t="s">
        <v>236</v>
      </c>
    </row>
    <row r="21421" spans="1:2" ht="12.75" customHeight="1" x14ac:dyDescent="0.25">
      <c r="A21421" s="318">
        <v>97690660941</v>
      </c>
      <c r="B21421" s="318" t="s">
        <v>237</v>
      </c>
    </row>
    <row r="21422" spans="1:2" ht="12.75" customHeight="1" x14ac:dyDescent="0.25">
      <c r="A21422" s="318">
        <v>97690660943</v>
      </c>
      <c r="B21422" s="318" t="s">
        <v>236</v>
      </c>
    </row>
    <row r="21423" spans="1:2" ht="12.75" customHeight="1" x14ac:dyDescent="0.25">
      <c r="A21423" s="318">
        <v>97690660944</v>
      </c>
      <c r="B21423" s="318" t="s">
        <v>237</v>
      </c>
    </row>
    <row r="21424" spans="1:2" ht="12.75" customHeight="1" x14ac:dyDescent="0.25">
      <c r="A21424" s="318">
        <v>97690660945</v>
      </c>
      <c r="B21424" s="318" t="s">
        <v>236</v>
      </c>
    </row>
    <row r="21425" spans="1:2" ht="12.75" customHeight="1" x14ac:dyDescent="0.25">
      <c r="A21425" s="318">
        <v>97690660946</v>
      </c>
      <c r="B21425" s="318" t="s">
        <v>237</v>
      </c>
    </row>
    <row r="21426" spans="1:2" ht="12.75" customHeight="1" x14ac:dyDescent="0.25">
      <c r="A21426" s="318">
        <v>97690660947</v>
      </c>
      <c r="B21426" s="318" t="s">
        <v>236</v>
      </c>
    </row>
    <row r="21427" spans="1:2" ht="12.75" customHeight="1" x14ac:dyDescent="0.25">
      <c r="A21427" s="318">
        <v>97690660948</v>
      </c>
      <c r="B21427" s="318" t="s">
        <v>237</v>
      </c>
    </row>
    <row r="21428" spans="1:2" ht="12.75" customHeight="1" x14ac:dyDescent="0.25">
      <c r="A21428" s="318">
        <v>97690660949</v>
      </c>
      <c r="B21428" s="318" t="s">
        <v>236</v>
      </c>
    </row>
    <row r="21429" spans="1:2" ht="12.75" customHeight="1" x14ac:dyDescent="0.25">
      <c r="A21429" s="318">
        <v>97690660950</v>
      </c>
      <c r="B21429" s="318" t="s">
        <v>237</v>
      </c>
    </row>
    <row r="21430" spans="1:2" ht="12.75" customHeight="1" x14ac:dyDescent="0.25">
      <c r="A21430" s="318">
        <v>97690661034</v>
      </c>
      <c r="B21430" s="318" t="s">
        <v>236</v>
      </c>
    </row>
    <row r="21431" spans="1:2" ht="12.75" customHeight="1" x14ac:dyDescent="0.25">
      <c r="A21431" s="318">
        <v>97690661035</v>
      </c>
      <c r="B21431" s="318" t="s">
        <v>23</v>
      </c>
    </row>
    <row r="21432" spans="1:2" ht="12.75" customHeight="1" x14ac:dyDescent="0.25">
      <c r="A21432" s="318">
        <v>97690661036</v>
      </c>
      <c r="B21432" s="318" t="s">
        <v>236</v>
      </c>
    </row>
    <row r="21433" spans="1:2" ht="12.75" customHeight="1" x14ac:dyDescent="0.25">
      <c r="A21433" s="318">
        <v>97690661037</v>
      </c>
      <c r="B21433" s="318" t="s">
        <v>23</v>
      </c>
    </row>
    <row r="21434" spans="1:2" ht="12.75" customHeight="1" x14ac:dyDescent="0.25">
      <c r="A21434" s="318">
        <v>97690661038</v>
      </c>
      <c r="B21434" s="318" t="s">
        <v>236</v>
      </c>
    </row>
    <row r="21435" spans="1:2" ht="12.75" customHeight="1" x14ac:dyDescent="0.25">
      <c r="A21435" s="318">
        <v>97690661039</v>
      </c>
      <c r="B21435" s="318" t="s">
        <v>23</v>
      </c>
    </row>
    <row r="21436" spans="1:2" ht="12.75" customHeight="1" x14ac:dyDescent="0.25">
      <c r="A21436" s="318">
        <v>97690661040</v>
      </c>
      <c r="B21436" s="318" t="s">
        <v>236</v>
      </c>
    </row>
    <row r="21437" spans="1:2" ht="12.75" customHeight="1" x14ac:dyDescent="0.25">
      <c r="A21437" s="318">
        <v>97690661041</v>
      </c>
      <c r="B21437" s="318" t="s">
        <v>237</v>
      </c>
    </row>
    <row r="21438" spans="1:2" ht="12.75" customHeight="1" x14ac:dyDescent="0.25">
      <c r="A21438" s="318">
        <v>97690661043</v>
      </c>
      <c r="B21438" s="318" t="s">
        <v>236</v>
      </c>
    </row>
    <row r="21439" spans="1:2" ht="12.75" customHeight="1" x14ac:dyDescent="0.25">
      <c r="A21439" s="318">
        <v>97690661044</v>
      </c>
      <c r="B21439" s="318" t="s">
        <v>237</v>
      </c>
    </row>
    <row r="21440" spans="1:2" ht="12.75" customHeight="1" x14ac:dyDescent="0.25">
      <c r="A21440" s="318">
        <v>97690661045</v>
      </c>
      <c r="B21440" s="318" t="s">
        <v>236</v>
      </c>
    </row>
    <row r="21441" spans="1:2" ht="12.75" customHeight="1" x14ac:dyDescent="0.25">
      <c r="A21441" s="318">
        <v>97690661046</v>
      </c>
      <c r="B21441" s="318" t="s">
        <v>237</v>
      </c>
    </row>
    <row r="21442" spans="1:2" ht="12.75" customHeight="1" x14ac:dyDescent="0.25">
      <c r="A21442" s="318">
        <v>97690661047</v>
      </c>
      <c r="B21442" s="318" t="s">
        <v>236</v>
      </c>
    </row>
    <row r="21443" spans="1:2" ht="12.75" customHeight="1" x14ac:dyDescent="0.25">
      <c r="A21443" s="318">
        <v>97690661048</v>
      </c>
      <c r="B21443" s="318" t="s">
        <v>237</v>
      </c>
    </row>
    <row r="21444" spans="1:2" ht="12.75" customHeight="1" x14ac:dyDescent="0.25">
      <c r="A21444" s="318">
        <v>97690661049</v>
      </c>
      <c r="B21444" s="318" t="s">
        <v>236</v>
      </c>
    </row>
    <row r="21445" spans="1:2" ht="12.75" customHeight="1" x14ac:dyDescent="0.25">
      <c r="A21445" s="318">
        <v>97690661050</v>
      </c>
      <c r="B21445" s="318" t="s">
        <v>237</v>
      </c>
    </row>
    <row r="21446" spans="1:2" ht="12.75" customHeight="1" x14ac:dyDescent="0.25">
      <c r="A21446" s="318">
        <v>97691141907</v>
      </c>
      <c r="B21446" s="318" t="s">
        <v>236</v>
      </c>
    </row>
    <row r="21447" spans="1:2" ht="12.75" customHeight="1" x14ac:dyDescent="0.25">
      <c r="A21447" s="318">
        <v>97691141908</v>
      </c>
      <c r="B21447" s="318" t="s">
        <v>23</v>
      </c>
    </row>
    <row r="21448" spans="1:2" ht="12.75" customHeight="1" x14ac:dyDescent="0.25">
      <c r="A21448" s="318">
        <v>97691141909</v>
      </c>
      <c r="B21448" s="318" t="s">
        <v>236</v>
      </c>
    </row>
    <row r="21449" spans="1:2" ht="12.75" customHeight="1" x14ac:dyDescent="0.25">
      <c r="A21449" s="318">
        <v>97691141910</v>
      </c>
      <c r="B21449" s="318" t="s">
        <v>23</v>
      </c>
    </row>
    <row r="21450" spans="1:2" ht="12.75" customHeight="1" x14ac:dyDescent="0.25">
      <c r="A21450" s="318">
        <v>97691141911</v>
      </c>
      <c r="B21450" s="318" t="s">
        <v>236</v>
      </c>
    </row>
    <row r="21451" spans="1:2" ht="12.75" customHeight="1" x14ac:dyDescent="0.25">
      <c r="A21451" s="318">
        <v>97691141912</v>
      </c>
      <c r="B21451" s="318" t="s">
        <v>23</v>
      </c>
    </row>
    <row r="21452" spans="1:2" ht="12.75" customHeight="1" x14ac:dyDescent="0.25">
      <c r="A21452" s="318">
        <v>97691141913</v>
      </c>
      <c r="B21452" s="318" t="s">
        <v>236</v>
      </c>
    </row>
    <row r="21453" spans="1:2" ht="12.75" customHeight="1" x14ac:dyDescent="0.25">
      <c r="A21453" s="318">
        <v>97691141914</v>
      </c>
      <c r="B21453" s="318" t="s">
        <v>237</v>
      </c>
    </row>
    <row r="21454" spans="1:2" ht="12.75" customHeight="1" x14ac:dyDescent="0.25">
      <c r="A21454" s="318">
        <v>97691141916</v>
      </c>
      <c r="B21454" s="318" t="s">
        <v>236</v>
      </c>
    </row>
    <row r="21455" spans="1:2" ht="12.75" customHeight="1" x14ac:dyDescent="0.25">
      <c r="A21455" s="318">
        <v>97691141917</v>
      </c>
      <c r="B21455" s="318" t="s">
        <v>237</v>
      </c>
    </row>
    <row r="21456" spans="1:2" ht="12.75" customHeight="1" x14ac:dyDescent="0.25">
      <c r="A21456" s="318">
        <v>97691141918</v>
      </c>
      <c r="B21456" s="318" t="s">
        <v>236</v>
      </c>
    </row>
    <row r="21457" spans="1:2" ht="12.75" customHeight="1" x14ac:dyDescent="0.25">
      <c r="A21457" s="318">
        <v>97691141919</v>
      </c>
      <c r="B21457" s="318" t="s">
        <v>237</v>
      </c>
    </row>
    <row r="21458" spans="1:2" ht="12.75" customHeight="1" x14ac:dyDescent="0.25">
      <c r="A21458" s="318">
        <v>97691141920</v>
      </c>
      <c r="B21458" s="318" t="s">
        <v>236</v>
      </c>
    </row>
    <row r="21459" spans="1:2" ht="12.75" customHeight="1" x14ac:dyDescent="0.25">
      <c r="A21459" s="318">
        <v>97691141921</v>
      </c>
      <c r="B21459" s="318" t="s">
        <v>237</v>
      </c>
    </row>
    <row r="21460" spans="1:2" ht="12.75" customHeight="1" x14ac:dyDescent="0.25">
      <c r="A21460" s="318">
        <v>97691141922</v>
      </c>
      <c r="B21460" s="318" t="s">
        <v>236</v>
      </c>
    </row>
    <row r="21461" spans="1:2" ht="12.75" customHeight="1" x14ac:dyDescent="0.25">
      <c r="A21461" s="318">
        <v>97691141923</v>
      </c>
      <c r="B21461" s="318" t="s">
        <v>237</v>
      </c>
    </row>
    <row r="21462" spans="1:2" ht="12.75" customHeight="1" x14ac:dyDescent="0.25">
      <c r="A21462" s="318">
        <v>97691142007</v>
      </c>
      <c r="B21462" s="318" t="s">
        <v>236</v>
      </c>
    </row>
    <row r="21463" spans="1:2" ht="12.75" customHeight="1" x14ac:dyDescent="0.25">
      <c r="A21463" s="318">
        <v>97691142008</v>
      </c>
      <c r="B21463" s="318" t="s">
        <v>23</v>
      </c>
    </row>
    <row r="21464" spans="1:2" ht="12.75" customHeight="1" x14ac:dyDescent="0.25">
      <c r="A21464" s="318">
        <v>97691142009</v>
      </c>
      <c r="B21464" s="318" t="s">
        <v>236</v>
      </c>
    </row>
    <row r="21465" spans="1:2" ht="12.75" customHeight="1" x14ac:dyDescent="0.25">
      <c r="A21465" s="318">
        <v>97691142010</v>
      </c>
      <c r="B21465" s="318" t="s">
        <v>23</v>
      </c>
    </row>
    <row r="21466" spans="1:2" ht="12.75" customHeight="1" x14ac:dyDescent="0.25">
      <c r="A21466" s="318">
        <v>97691142011</v>
      </c>
      <c r="B21466" s="318" t="s">
        <v>236</v>
      </c>
    </row>
    <row r="21467" spans="1:2" ht="12.75" customHeight="1" x14ac:dyDescent="0.25">
      <c r="A21467" s="318">
        <v>97691142012</v>
      </c>
      <c r="B21467" s="318" t="s">
        <v>23</v>
      </c>
    </row>
    <row r="21468" spans="1:2" ht="12.75" customHeight="1" x14ac:dyDescent="0.25">
      <c r="A21468" s="318">
        <v>97691142013</v>
      </c>
      <c r="B21468" s="318" t="s">
        <v>236</v>
      </c>
    </row>
    <row r="21469" spans="1:2" ht="12.75" customHeight="1" x14ac:dyDescent="0.25">
      <c r="A21469" s="318">
        <v>97691142014</v>
      </c>
      <c r="B21469" s="318" t="s">
        <v>237</v>
      </c>
    </row>
    <row r="21470" spans="1:2" ht="12.75" customHeight="1" x14ac:dyDescent="0.25">
      <c r="A21470" s="318">
        <v>97691142016</v>
      </c>
      <c r="B21470" s="318" t="s">
        <v>236</v>
      </c>
    </row>
    <row r="21471" spans="1:2" ht="12.75" customHeight="1" x14ac:dyDescent="0.25">
      <c r="A21471" s="318">
        <v>97691142017</v>
      </c>
      <c r="B21471" s="318" t="s">
        <v>237</v>
      </c>
    </row>
    <row r="21472" spans="1:2" ht="12.75" customHeight="1" x14ac:dyDescent="0.25">
      <c r="A21472" s="318">
        <v>97691142018</v>
      </c>
      <c r="B21472" s="318" t="s">
        <v>236</v>
      </c>
    </row>
    <row r="21473" spans="1:2" ht="12.75" customHeight="1" x14ac:dyDescent="0.25">
      <c r="A21473" s="318">
        <v>97691142019</v>
      </c>
      <c r="B21473" s="318" t="s">
        <v>237</v>
      </c>
    </row>
    <row r="21474" spans="1:2" ht="12.75" customHeight="1" x14ac:dyDescent="0.25">
      <c r="A21474" s="318">
        <v>97691142020</v>
      </c>
      <c r="B21474" s="318" t="s">
        <v>236</v>
      </c>
    </row>
    <row r="21475" spans="1:2" ht="12.75" customHeight="1" x14ac:dyDescent="0.25">
      <c r="A21475" s="318">
        <v>97691142021</v>
      </c>
      <c r="B21475" s="318" t="s">
        <v>237</v>
      </c>
    </row>
    <row r="21476" spans="1:2" ht="12.75" customHeight="1" x14ac:dyDescent="0.25">
      <c r="A21476" s="318">
        <v>97691142022</v>
      </c>
      <c r="B21476" s="318" t="s">
        <v>236</v>
      </c>
    </row>
    <row r="21477" spans="1:2" ht="12.75" customHeight="1" x14ac:dyDescent="0.25">
      <c r="A21477" s="318">
        <v>97691142023</v>
      </c>
      <c r="B21477" s="318" t="s">
        <v>237</v>
      </c>
    </row>
    <row r="21478" spans="1:2" ht="12.75" customHeight="1" x14ac:dyDescent="0.25">
      <c r="A21478" s="318">
        <v>97692502288</v>
      </c>
      <c r="B21478" s="318" t="s">
        <v>236</v>
      </c>
    </row>
    <row r="21479" spans="1:2" ht="12.75" customHeight="1" x14ac:dyDescent="0.25">
      <c r="A21479" s="318">
        <v>97692502289</v>
      </c>
      <c r="B21479" s="318" t="s">
        <v>23</v>
      </c>
    </row>
    <row r="21480" spans="1:2" ht="12.75" customHeight="1" x14ac:dyDescent="0.25">
      <c r="A21480" s="318">
        <v>97692502290</v>
      </c>
      <c r="B21480" s="318" t="s">
        <v>236</v>
      </c>
    </row>
    <row r="21481" spans="1:2" ht="12.75" customHeight="1" x14ac:dyDescent="0.25">
      <c r="A21481" s="318">
        <v>97692502291</v>
      </c>
      <c r="B21481" s="318" t="s">
        <v>23</v>
      </c>
    </row>
    <row r="21482" spans="1:2" ht="12.75" customHeight="1" x14ac:dyDescent="0.25">
      <c r="A21482" s="318">
        <v>97692502292</v>
      </c>
      <c r="B21482" s="318" t="s">
        <v>236</v>
      </c>
    </row>
    <row r="21483" spans="1:2" ht="12.75" customHeight="1" x14ac:dyDescent="0.25">
      <c r="A21483" s="318">
        <v>97692502293</v>
      </c>
      <c r="B21483" s="318" t="s">
        <v>23</v>
      </c>
    </row>
    <row r="21484" spans="1:2" ht="12.75" customHeight="1" x14ac:dyDescent="0.25">
      <c r="A21484" s="318">
        <v>97692502294</v>
      </c>
      <c r="B21484" s="318" t="s">
        <v>23</v>
      </c>
    </row>
    <row r="21485" spans="1:2" ht="12.75" customHeight="1" x14ac:dyDescent="0.25">
      <c r="A21485" s="318">
        <v>97692502295</v>
      </c>
      <c r="B21485" s="318" t="s">
        <v>237</v>
      </c>
    </row>
    <row r="21486" spans="1:2" ht="12.75" customHeight="1" x14ac:dyDescent="0.25">
      <c r="A21486" s="318">
        <v>97692502297</v>
      </c>
      <c r="B21486" s="318" t="s">
        <v>237</v>
      </c>
    </row>
    <row r="21487" spans="1:2" ht="12.75" customHeight="1" x14ac:dyDescent="0.25">
      <c r="A21487" s="318">
        <v>97692502298</v>
      </c>
      <c r="B21487" s="318" t="s">
        <v>237</v>
      </c>
    </row>
    <row r="21488" spans="1:2" ht="12.75" customHeight="1" x14ac:dyDescent="0.25">
      <c r="A21488" s="318">
        <v>97692502299</v>
      </c>
      <c r="B21488" s="318" t="s">
        <v>237</v>
      </c>
    </row>
    <row r="21489" spans="1:2" ht="12.75" customHeight="1" x14ac:dyDescent="0.25">
      <c r="A21489" s="318">
        <v>97692502300</v>
      </c>
      <c r="B21489" s="318" t="s">
        <v>237</v>
      </c>
    </row>
    <row r="21490" spans="1:2" ht="12.75" customHeight="1" x14ac:dyDescent="0.25">
      <c r="A21490" s="318">
        <v>97692502301</v>
      </c>
      <c r="B21490" s="318" t="s">
        <v>237</v>
      </c>
    </row>
    <row r="21491" spans="1:2" ht="12.75" customHeight="1" x14ac:dyDescent="0.25">
      <c r="A21491" s="318">
        <v>97692502302</v>
      </c>
      <c r="B21491" s="318" t="s">
        <v>237</v>
      </c>
    </row>
    <row r="21492" spans="1:2" ht="12.75" customHeight="1" x14ac:dyDescent="0.25">
      <c r="A21492" s="318">
        <v>97692502303</v>
      </c>
      <c r="B21492" s="318" t="s">
        <v>237</v>
      </c>
    </row>
    <row r="21493" spans="1:2" ht="12.75" customHeight="1" x14ac:dyDescent="0.25">
      <c r="A21493" s="318">
        <v>97692502304</v>
      </c>
      <c r="B21493" s="318" t="s">
        <v>237</v>
      </c>
    </row>
    <row r="21494" spans="1:2" ht="12.75" customHeight="1" x14ac:dyDescent="0.25">
      <c r="A21494" s="318">
        <v>97692502388</v>
      </c>
      <c r="B21494" s="318" t="s">
        <v>236</v>
      </c>
    </row>
    <row r="21495" spans="1:2" ht="12.75" customHeight="1" x14ac:dyDescent="0.25">
      <c r="A21495" s="318">
        <v>97692502389</v>
      </c>
      <c r="B21495" s="318" t="s">
        <v>23</v>
      </c>
    </row>
    <row r="21496" spans="1:2" ht="12.75" customHeight="1" x14ac:dyDescent="0.25">
      <c r="A21496" s="318">
        <v>97692502390</v>
      </c>
      <c r="B21496" s="318" t="s">
        <v>236</v>
      </c>
    </row>
    <row r="21497" spans="1:2" ht="12.75" customHeight="1" x14ac:dyDescent="0.25">
      <c r="A21497" s="318">
        <v>97692502391</v>
      </c>
      <c r="B21497" s="318" t="s">
        <v>23</v>
      </c>
    </row>
    <row r="21498" spans="1:2" ht="12.75" customHeight="1" x14ac:dyDescent="0.25">
      <c r="A21498" s="318">
        <v>97692502392</v>
      </c>
      <c r="B21498" s="318" t="s">
        <v>236</v>
      </c>
    </row>
    <row r="21499" spans="1:2" ht="12.75" customHeight="1" x14ac:dyDescent="0.25">
      <c r="A21499" s="318">
        <v>97692502393</v>
      </c>
      <c r="B21499" s="318" t="s">
        <v>23</v>
      </c>
    </row>
    <row r="21500" spans="1:2" ht="12.75" customHeight="1" x14ac:dyDescent="0.25">
      <c r="A21500" s="318">
        <v>97692502394</v>
      </c>
      <c r="B21500" s="318" t="s">
        <v>23</v>
      </c>
    </row>
    <row r="21501" spans="1:2" ht="12.75" customHeight="1" x14ac:dyDescent="0.25">
      <c r="A21501" s="318">
        <v>97692502395</v>
      </c>
      <c r="B21501" s="318" t="s">
        <v>237</v>
      </c>
    </row>
    <row r="21502" spans="1:2" ht="12.75" customHeight="1" x14ac:dyDescent="0.25">
      <c r="A21502" s="318">
        <v>97692502397</v>
      </c>
      <c r="B21502" s="318" t="s">
        <v>237</v>
      </c>
    </row>
    <row r="21503" spans="1:2" ht="12.75" customHeight="1" x14ac:dyDescent="0.25">
      <c r="A21503" s="318">
        <v>97692502398</v>
      </c>
      <c r="B21503" s="318" t="s">
        <v>237</v>
      </c>
    </row>
    <row r="21504" spans="1:2" ht="12.75" customHeight="1" x14ac:dyDescent="0.25">
      <c r="A21504" s="318">
        <v>97692502399</v>
      </c>
      <c r="B21504" s="318" t="s">
        <v>237</v>
      </c>
    </row>
    <row r="21505" spans="1:2" ht="12.75" customHeight="1" x14ac:dyDescent="0.25">
      <c r="A21505" s="318">
        <v>97692502400</v>
      </c>
      <c r="B21505" s="318" t="s">
        <v>237</v>
      </c>
    </row>
    <row r="21506" spans="1:2" ht="12.75" customHeight="1" x14ac:dyDescent="0.25">
      <c r="A21506" s="318">
        <v>97692502401</v>
      </c>
      <c r="B21506" s="318" t="s">
        <v>237</v>
      </c>
    </row>
    <row r="21507" spans="1:2" ht="12.75" customHeight="1" x14ac:dyDescent="0.25">
      <c r="A21507" s="318">
        <v>97692502402</v>
      </c>
      <c r="B21507" s="318" t="s">
        <v>237</v>
      </c>
    </row>
    <row r="21508" spans="1:2" ht="12.75" customHeight="1" x14ac:dyDescent="0.25">
      <c r="A21508" s="318">
        <v>97692502403</v>
      </c>
      <c r="B21508" s="318" t="s">
        <v>237</v>
      </c>
    </row>
    <row r="21509" spans="1:2" ht="12.75" customHeight="1" x14ac:dyDescent="0.25">
      <c r="A21509" s="318">
        <v>97692502404</v>
      </c>
      <c r="B21509" s="318" t="s">
        <v>237</v>
      </c>
    </row>
    <row r="21510" spans="1:2" ht="12.75" customHeight="1" x14ac:dyDescent="0.25">
      <c r="A21510" s="318">
        <v>97692983261</v>
      </c>
      <c r="B21510" s="318" t="s">
        <v>236</v>
      </c>
    </row>
    <row r="21511" spans="1:2" ht="12.75" customHeight="1" x14ac:dyDescent="0.25">
      <c r="A21511" s="318">
        <v>97692983262</v>
      </c>
      <c r="B21511" s="318" t="s">
        <v>23</v>
      </c>
    </row>
    <row r="21512" spans="1:2" ht="12.75" customHeight="1" x14ac:dyDescent="0.25">
      <c r="A21512" s="318">
        <v>97692983263</v>
      </c>
      <c r="B21512" s="318" t="s">
        <v>236</v>
      </c>
    </row>
    <row r="21513" spans="1:2" ht="12.75" customHeight="1" x14ac:dyDescent="0.25">
      <c r="A21513" s="318">
        <v>97692983264</v>
      </c>
      <c r="B21513" s="318" t="s">
        <v>23</v>
      </c>
    </row>
    <row r="21514" spans="1:2" ht="12.75" customHeight="1" x14ac:dyDescent="0.25">
      <c r="A21514" s="318">
        <v>97692983265</v>
      </c>
      <c r="B21514" s="318" t="s">
        <v>236</v>
      </c>
    </row>
    <row r="21515" spans="1:2" ht="12.75" customHeight="1" x14ac:dyDescent="0.25">
      <c r="A21515" s="318">
        <v>97692983266</v>
      </c>
      <c r="B21515" s="318" t="s">
        <v>23</v>
      </c>
    </row>
    <row r="21516" spans="1:2" ht="12.75" customHeight="1" x14ac:dyDescent="0.25">
      <c r="A21516" s="318">
        <v>97692983267</v>
      </c>
      <c r="B21516" s="318" t="s">
        <v>23</v>
      </c>
    </row>
    <row r="21517" spans="1:2" ht="12.75" customHeight="1" x14ac:dyDescent="0.25">
      <c r="A21517" s="318">
        <v>97692983268</v>
      </c>
      <c r="B21517" s="318" t="s">
        <v>237</v>
      </c>
    </row>
    <row r="21518" spans="1:2" ht="12.75" customHeight="1" x14ac:dyDescent="0.25">
      <c r="A21518" s="318">
        <v>97692983270</v>
      </c>
      <c r="B21518" s="318" t="s">
        <v>237</v>
      </c>
    </row>
    <row r="21519" spans="1:2" ht="12.75" customHeight="1" x14ac:dyDescent="0.25">
      <c r="A21519" s="318">
        <v>97692983271</v>
      </c>
      <c r="B21519" s="318" t="s">
        <v>237</v>
      </c>
    </row>
    <row r="21520" spans="1:2" ht="12.75" customHeight="1" x14ac:dyDescent="0.25">
      <c r="A21520" s="318">
        <v>97692983272</v>
      </c>
      <c r="B21520" s="318" t="s">
        <v>237</v>
      </c>
    </row>
    <row r="21521" spans="1:2" ht="12.75" customHeight="1" x14ac:dyDescent="0.25">
      <c r="A21521" s="318">
        <v>97692983273</v>
      </c>
      <c r="B21521" s="318" t="s">
        <v>237</v>
      </c>
    </row>
    <row r="21522" spans="1:2" ht="12.75" customHeight="1" x14ac:dyDescent="0.25">
      <c r="A21522" s="318">
        <v>97692983274</v>
      </c>
      <c r="B21522" s="318" t="s">
        <v>237</v>
      </c>
    </row>
    <row r="21523" spans="1:2" ht="12.75" customHeight="1" x14ac:dyDescent="0.25">
      <c r="A21523" s="318">
        <v>97692983275</v>
      </c>
      <c r="B21523" s="318" t="s">
        <v>237</v>
      </c>
    </row>
    <row r="21524" spans="1:2" ht="12.75" customHeight="1" x14ac:dyDescent="0.25">
      <c r="A21524" s="318">
        <v>97692983276</v>
      </c>
      <c r="B21524" s="318" t="s">
        <v>237</v>
      </c>
    </row>
    <row r="21525" spans="1:2" ht="12.75" customHeight="1" x14ac:dyDescent="0.25">
      <c r="A21525" s="318">
        <v>97692983277</v>
      </c>
      <c r="B21525" s="318" t="s">
        <v>237</v>
      </c>
    </row>
    <row r="21526" spans="1:2" ht="12.75" customHeight="1" x14ac:dyDescent="0.25">
      <c r="A21526" s="318">
        <v>97692983361</v>
      </c>
      <c r="B21526" s="318" t="s">
        <v>236</v>
      </c>
    </row>
    <row r="21527" spans="1:2" ht="12.75" customHeight="1" x14ac:dyDescent="0.25">
      <c r="A21527" s="318">
        <v>97692983362</v>
      </c>
      <c r="B21527" s="318" t="s">
        <v>23</v>
      </c>
    </row>
    <row r="21528" spans="1:2" ht="12.75" customHeight="1" x14ac:dyDescent="0.25">
      <c r="A21528" s="318">
        <v>97692983363</v>
      </c>
      <c r="B21528" s="318" t="s">
        <v>236</v>
      </c>
    </row>
    <row r="21529" spans="1:2" ht="12.75" customHeight="1" x14ac:dyDescent="0.25">
      <c r="A21529" s="318">
        <v>97692983364</v>
      </c>
      <c r="B21529" s="318" t="s">
        <v>23</v>
      </c>
    </row>
    <row r="21530" spans="1:2" ht="12.75" customHeight="1" x14ac:dyDescent="0.25">
      <c r="A21530" s="318">
        <v>97692983365</v>
      </c>
      <c r="B21530" s="318" t="s">
        <v>236</v>
      </c>
    </row>
    <row r="21531" spans="1:2" ht="12.75" customHeight="1" x14ac:dyDescent="0.25">
      <c r="A21531" s="318">
        <v>97692983366</v>
      </c>
      <c r="B21531" s="318" t="s">
        <v>23</v>
      </c>
    </row>
    <row r="21532" spans="1:2" ht="12.75" customHeight="1" x14ac:dyDescent="0.25">
      <c r="A21532" s="318">
        <v>97692983367</v>
      </c>
      <c r="B21532" s="318" t="s">
        <v>23</v>
      </c>
    </row>
    <row r="21533" spans="1:2" ht="12.75" customHeight="1" x14ac:dyDescent="0.25">
      <c r="A21533" s="318">
        <v>97692983368</v>
      </c>
      <c r="B21533" s="318" t="s">
        <v>237</v>
      </c>
    </row>
    <row r="21534" spans="1:2" ht="12.75" customHeight="1" x14ac:dyDescent="0.25">
      <c r="A21534" s="318">
        <v>97692983370</v>
      </c>
      <c r="B21534" s="318" t="s">
        <v>237</v>
      </c>
    </row>
    <row r="21535" spans="1:2" ht="12.75" customHeight="1" x14ac:dyDescent="0.25">
      <c r="A21535" s="318">
        <v>97692983371</v>
      </c>
      <c r="B21535" s="318" t="s">
        <v>237</v>
      </c>
    </row>
    <row r="21536" spans="1:2" ht="12.75" customHeight="1" x14ac:dyDescent="0.25">
      <c r="A21536" s="318">
        <v>97692983372</v>
      </c>
      <c r="B21536" s="318" t="s">
        <v>237</v>
      </c>
    </row>
    <row r="21537" spans="1:2" ht="12.75" customHeight="1" x14ac:dyDescent="0.25">
      <c r="A21537" s="318">
        <v>97692983373</v>
      </c>
      <c r="B21537" s="318" t="s">
        <v>237</v>
      </c>
    </row>
    <row r="21538" spans="1:2" ht="12.75" customHeight="1" x14ac:dyDescent="0.25">
      <c r="A21538" s="318">
        <v>97692983374</v>
      </c>
      <c r="B21538" s="318" t="s">
        <v>237</v>
      </c>
    </row>
    <row r="21539" spans="1:2" ht="12.75" customHeight="1" x14ac:dyDescent="0.25">
      <c r="A21539" s="318">
        <v>97692983375</v>
      </c>
      <c r="B21539" s="318" t="s">
        <v>237</v>
      </c>
    </row>
    <row r="21540" spans="1:2" ht="12.75" customHeight="1" x14ac:dyDescent="0.25">
      <c r="A21540" s="318">
        <v>97692983376</v>
      </c>
      <c r="B21540" s="318" t="s">
        <v>237</v>
      </c>
    </row>
    <row r="21541" spans="1:2" ht="12.75" customHeight="1" x14ac:dyDescent="0.25">
      <c r="A21541" s="318">
        <v>97692983377</v>
      </c>
      <c r="B21541" s="318" t="s">
        <v>237</v>
      </c>
    </row>
    <row r="21542" spans="1:2" ht="12.75" customHeight="1" x14ac:dyDescent="0.25">
      <c r="A21542" s="318">
        <v>97693464234</v>
      </c>
      <c r="B21542" s="318" t="s">
        <v>236</v>
      </c>
    </row>
    <row r="21543" spans="1:2" ht="12.75" customHeight="1" x14ac:dyDescent="0.25">
      <c r="A21543" s="318">
        <v>97693464235</v>
      </c>
      <c r="B21543" s="318" t="s">
        <v>23</v>
      </c>
    </row>
    <row r="21544" spans="1:2" ht="12.75" customHeight="1" x14ac:dyDescent="0.25">
      <c r="A21544" s="318">
        <v>97693464236</v>
      </c>
      <c r="B21544" s="318" t="s">
        <v>236</v>
      </c>
    </row>
    <row r="21545" spans="1:2" ht="12.75" customHeight="1" x14ac:dyDescent="0.25">
      <c r="A21545" s="318">
        <v>97693464237</v>
      </c>
      <c r="B21545" s="318" t="s">
        <v>23</v>
      </c>
    </row>
    <row r="21546" spans="1:2" ht="12.75" customHeight="1" x14ac:dyDescent="0.25">
      <c r="A21546" s="318">
        <v>97693464238</v>
      </c>
      <c r="B21546" s="318" t="s">
        <v>236</v>
      </c>
    </row>
    <row r="21547" spans="1:2" ht="12.75" customHeight="1" x14ac:dyDescent="0.25">
      <c r="A21547" s="318">
        <v>97693464239</v>
      </c>
      <c r="B21547" s="318" t="s">
        <v>23</v>
      </c>
    </row>
    <row r="21548" spans="1:2" ht="12.75" customHeight="1" x14ac:dyDescent="0.25">
      <c r="A21548" s="318">
        <v>97693464240</v>
      </c>
      <c r="B21548" s="318" t="s">
        <v>236</v>
      </c>
    </row>
    <row r="21549" spans="1:2" ht="12.75" customHeight="1" x14ac:dyDescent="0.25">
      <c r="A21549" s="318">
        <v>97693464241</v>
      </c>
      <c r="B21549" s="318" t="s">
        <v>237</v>
      </c>
    </row>
    <row r="21550" spans="1:2" ht="12.75" customHeight="1" x14ac:dyDescent="0.25">
      <c r="A21550" s="318">
        <v>97693464243</v>
      </c>
      <c r="B21550" s="318" t="s">
        <v>236</v>
      </c>
    </row>
    <row r="21551" spans="1:2" ht="12.75" customHeight="1" x14ac:dyDescent="0.25">
      <c r="A21551" s="318">
        <v>97693464244</v>
      </c>
      <c r="B21551" s="318" t="s">
        <v>237</v>
      </c>
    </row>
    <row r="21552" spans="1:2" ht="12.75" customHeight="1" x14ac:dyDescent="0.25">
      <c r="A21552" s="318">
        <v>97693464245</v>
      </c>
      <c r="B21552" s="318" t="s">
        <v>236</v>
      </c>
    </row>
    <row r="21553" spans="1:2" ht="12.75" customHeight="1" x14ac:dyDescent="0.25">
      <c r="A21553" s="318">
        <v>97693464246</v>
      </c>
      <c r="B21553" s="318" t="s">
        <v>237</v>
      </c>
    </row>
    <row r="21554" spans="1:2" ht="12.75" customHeight="1" x14ac:dyDescent="0.25">
      <c r="A21554" s="318">
        <v>97693464247</v>
      </c>
      <c r="B21554" s="318" t="s">
        <v>236</v>
      </c>
    </row>
    <row r="21555" spans="1:2" ht="12.75" customHeight="1" x14ac:dyDescent="0.25">
      <c r="A21555" s="318">
        <v>97693464248</v>
      </c>
      <c r="B21555" s="318" t="s">
        <v>237</v>
      </c>
    </row>
    <row r="21556" spans="1:2" ht="12.75" customHeight="1" x14ac:dyDescent="0.25">
      <c r="A21556" s="318">
        <v>97693464249</v>
      </c>
      <c r="B21556" s="318" t="s">
        <v>236</v>
      </c>
    </row>
    <row r="21557" spans="1:2" ht="12.75" customHeight="1" x14ac:dyDescent="0.25">
      <c r="A21557" s="318">
        <v>97693464250</v>
      </c>
      <c r="B21557" s="318" t="s">
        <v>237</v>
      </c>
    </row>
    <row r="21558" spans="1:2" ht="12.75" customHeight="1" x14ac:dyDescent="0.25">
      <c r="A21558" s="318">
        <v>97693464334</v>
      </c>
      <c r="B21558" s="318" t="s">
        <v>236</v>
      </c>
    </row>
    <row r="21559" spans="1:2" ht="12.75" customHeight="1" x14ac:dyDescent="0.25">
      <c r="A21559" s="318">
        <v>97693464335</v>
      </c>
      <c r="B21559" s="318" t="s">
        <v>23</v>
      </c>
    </row>
    <row r="21560" spans="1:2" ht="12.75" customHeight="1" x14ac:dyDescent="0.25">
      <c r="A21560" s="318">
        <v>97693464336</v>
      </c>
      <c r="B21560" s="318" t="s">
        <v>236</v>
      </c>
    </row>
    <row r="21561" spans="1:2" ht="12.75" customHeight="1" x14ac:dyDescent="0.25">
      <c r="A21561" s="318">
        <v>97693464337</v>
      </c>
      <c r="B21561" s="318" t="s">
        <v>23</v>
      </c>
    </row>
    <row r="21562" spans="1:2" ht="12.75" customHeight="1" x14ac:dyDescent="0.25">
      <c r="A21562" s="318">
        <v>97693464338</v>
      </c>
      <c r="B21562" s="318" t="s">
        <v>236</v>
      </c>
    </row>
    <row r="21563" spans="1:2" ht="12.75" customHeight="1" x14ac:dyDescent="0.25">
      <c r="A21563" s="318">
        <v>97693464339</v>
      </c>
      <c r="B21563" s="318" t="s">
        <v>23</v>
      </c>
    </row>
    <row r="21564" spans="1:2" ht="12.75" customHeight="1" x14ac:dyDescent="0.25">
      <c r="A21564" s="318">
        <v>97693464340</v>
      </c>
      <c r="B21564" s="318" t="s">
        <v>236</v>
      </c>
    </row>
    <row r="21565" spans="1:2" ht="12.75" customHeight="1" x14ac:dyDescent="0.25">
      <c r="A21565" s="318">
        <v>97693464341</v>
      </c>
      <c r="B21565" s="318" t="s">
        <v>237</v>
      </c>
    </row>
    <row r="21566" spans="1:2" ht="12.75" customHeight="1" x14ac:dyDescent="0.25">
      <c r="A21566" s="318">
        <v>97693464343</v>
      </c>
      <c r="B21566" s="318" t="s">
        <v>236</v>
      </c>
    </row>
    <row r="21567" spans="1:2" ht="12.75" customHeight="1" x14ac:dyDescent="0.25">
      <c r="A21567" s="318">
        <v>97693464344</v>
      </c>
      <c r="B21567" s="318" t="s">
        <v>237</v>
      </c>
    </row>
    <row r="21568" spans="1:2" ht="12.75" customHeight="1" x14ac:dyDescent="0.25">
      <c r="A21568" s="318">
        <v>97693464345</v>
      </c>
      <c r="B21568" s="318" t="s">
        <v>236</v>
      </c>
    </row>
    <row r="21569" spans="1:2" ht="12.75" customHeight="1" x14ac:dyDescent="0.25">
      <c r="A21569" s="318">
        <v>97693464346</v>
      </c>
      <c r="B21569" s="318" t="s">
        <v>237</v>
      </c>
    </row>
    <row r="21570" spans="1:2" ht="12.75" customHeight="1" x14ac:dyDescent="0.25">
      <c r="A21570" s="318">
        <v>97693464347</v>
      </c>
      <c r="B21570" s="318" t="s">
        <v>236</v>
      </c>
    </row>
    <row r="21571" spans="1:2" ht="12.75" customHeight="1" x14ac:dyDescent="0.25">
      <c r="A21571" s="318">
        <v>97693464348</v>
      </c>
      <c r="B21571" s="318" t="s">
        <v>237</v>
      </c>
    </row>
    <row r="21572" spans="1:2" ht="12.75" customHeight="1" x14ac:dyDescent="0.25">
      <c r="A21572" s="318">
        <v>97693464349</v>
      </c>
      <c r="B21572" s="318" t="s">
        <v>236</v>
      </c>
    </row>
    <row r="21573" spans="1:2" ht="12.75" customHeight="1" x14ac:dyDescent="0.25">
      <c r="A21573" s="318">
        <v>97693464350</v>
      </c>
      <c r="B21573" s="318" t="s">
        <v>237</v>
      </c>
    </row>
    <row r="21574" spans="1:2" ht="12.75" customHeight="1" x14ac:dyDescent="0.25">
      <c r="A21574" s="318">
        <v>97694144425</v>
      </c>
      <c r="B21574" s="318" t="s">
        <v>236</v>
      </c>
    </row>
    <row r="21575" spans="1:2" ht="12.75" customHeight="1" x14ac:dyDescent="0.25">
      <c r="A21575" s="318">
        <v>97694144426</v>
      </c>
      <c r="B21575" s="318" t="s">
        <v>23</v>
      </c>
    </row>
    <row r="21576" spans="1:2" ht="12.75" customHeight="1" x14ac:dyDescent="0.25">
      <c r="A21576" s="318">
        <v>97694144427</v>
      </c>
      <c r="B21576" s="318" t="s">
        <v>236</v>
      </c>
    </row>
    <row r="21577" spans="1:2" ht="12.75" customHeight="1" x14ac:dyDescent="0.25">
      <c r="A21577" s="318">
        <v>97694144428</v>
      </c>
      <c r="B21577" s="318" t="s">
        <v>23</v>
      </c>
    </row>
    <row r="21578" spans="1:2" ht="12.75" customHeight="1" x14ac:dyDescent="0.25">
      <c r="A21578" s="318">
        <v>97694144429</v>
      </c>
      <c r="B21578" s="318" t="s">
        <v>236</v>
      </c>
    </row>
    <row r="21579" spans="1:2" ht="12.75" customHeight="1" x14ac:dyDescent="0.25">
      <c r="A21579" s="318">
        <v>97694144430</v>
      </c>
      <c r="B21579" s="318" t="s">
        <v>23</v>
      </c>
    </row>
    <row r="21580" spans="1:2" ht="12.75" customHeight="1" x14ac:dyDescent="0.25">
      <c r="A21580" s="318">
        <v>97694144431</v>
      </c>
      <c r="B21580" s="318" t="s">
        <v>23</v>
      </c>
    </row>
    <row r="21581" spans="1:2" ht="12.75" customHeight="1" x14ac:dyDescent="0.25">
      <c r="A21581" s="318">
        <v>97694144432</v>
      </c>
      <c r="B21581" s="318" t="s">
        <v>237</v>
      </c>
    </row>
    <row r="21582" spans="1:2" ht="12.75" customHeight="1" x14ac:dyDescent="0.25">
      <c r="A21582" s="318">
        <v>97694144434</v>
      </c>
      <c r="B21582" s="318" t="s">
        <v>237</v>
      </c>
    </row>
    <row r="21583" spans="1:2" ht="12.75" customHeight="1" x14ac:dyDescent="0.25">
      <c r="A21583" s="318">
        <v>97694144435</v>
      </c>
      <c r="B21583" s="318" t="s">
        <v>237</v>
      </c>
    </row>
    <row r="21584" spans="1:2" ht="12.75" customHeight="1" x14ac:dyDescent="0.25">
      <c r="A21584" s="318">
        <v>97694144436</v>
      </c>
      <c r="B21584" s="318" t="s">
        <v>237</v>
      </c>
    </row>
    <row r="21585" spans="1:2" ht="12.75" customHeight="1" x14ac:dyDescent="0.25">
      <c r="A21585" s="318">
        <v>97694144437</v>
      </c>
      <c r="B21585" s="318" t="s">
        <v>237</v>
      </c>
    </row>
    <row r="21586" spans="1:2" ht="12.75" customHeight="1" x14ac:dyDescent="0.25">
      <c r="A21586" s="318">
        <v>97694144438</v>
      </c>
      <c r="B21586" s="318" t="s">
        <v>237</v>
      </c>
    </row>
    <row r="21587" spans="1:2" ht="12.75" customHeight="1" x14ac:dyDescent="0.25">
      <c r="A21587" s="318">
        <v>97694144439</v>
      </c>
      <c r="B21587" s="318" t="s">
        <v>237</v>
      </c>
    </row>
    <row r="21588" spans="1:2" ht="12.75" customHeight="1" x14ac:dyDescent="0.25">
      <c r="A21588" s="318">
        <v>97694144440</v>
      </c>
      <c r="B21588" s="318" t="s">
        <v>237</v>
      </c>
    </row>
    <row r="21589" spans="1:2" ht="12.75" customHeight="1" x14ac:dyDescent="0.25">
      <c r="A21589" s="318">
        <v>97694144441</v>
      </c>
      <c r="B21589" s="318" t="s">
        <v>237</v>
      </c>
    </row>
    <row r="21590" spans="1:2" ht="12.75" customHeight="1" x14ac:dyDescent="0.25">
      <c r="A21590" s="318">
        <v>97694144525</v>
      </c>
      <c r="B21590" s="318" t="s">
        <v>236</v>
      </c>
    </row>
    <row r="21591" spans="1:2" ht="12.75" customHeight="1" x14ac:dyDescent="0.25">
      <c r="A21591" s="318">
        <v>97694144526</v>
      </c>
      <c r="B21591" s="318" t="s">
        <v>23</v>
      </c>
    </row>
    <row r="21592" spans="1:2" ht="12.75" customHeight="1" x14ac:dyDescent="0.25">
      <c r="A21592" s="318">
        <v>97694144527</v>
      </c>
      <c r="B21592" s="318" t="s">
        <v>236</v>
      </c>
    </row>
    <row r="21593" spans="1:2" ht="12.75" customHeight="1" x14ac:dyDescent="0.25">
      <c r="A21593" s="318">
        <v>97694144528</v>
      </c>
      <c r="B21593" s="318" t="s">
        <v>23</v>
      </c>
    </row>
    <row r="21594" spans="1:2" ht="12.75" customHeight="1" x14ac:dyDescent="0.25">
      <c r="A21594" s="318">
        <v>97694144529</v>
      </c>
      <c r="B21594" s="318" t="s">
        <v>236</v>
      </c>
    </row>
    <row r="21595" spans="1:2" ht="12.75" customHeight="1" x14ac:dyDescent="0.25">
      <c r="A21595" s="318">
        <v>97694144530</v>
      </c>
      <c r="B21595" s="318" t="s">
        <v>23</v>
      </c>
    </row>
    <row r="21596" spans="1:2" ht="12.75" customHeight="1" x14ac:dyDescent="0.25">
      <c r="A21596" s="318">
        <v>97694144531</v>
      </c>
      <c r="B21596" s="318" t="s">
        <v>23</v>
      </c>
    </row>
    <row r="21597" spans="1:2" ht="12.75" customHeight="1" x14ac:dyDescent="0.25">
      <c r="A21597" s="318">
        <v>97694144532</v>
      </c>
      <c r="B21597" s="318" t="s">
        <v>237</v>
      </c>
    </row>
    <row r="21598" spans="1:2" ht="12.75" customHeight="1" x14ac:dyDescent="0.25">
      <c r="A21598" s="318">
        <v>97694144534</v>
      </c>
      <c r="B21598" s="318" t="s">
        <v>237</v>
      </c>
    </row>
    <row r="21599" spans="1:2" ht="12.75" customHeight="1" x14ac:dyDescent="0.25">
      <c r="A21599" s="318">
        <v>97694144535</v>
      </c>
      <c r="B21599" s="318" t="s">
        <v>237</v>
      </c>
    </row>
    <row r="21600" spans="1:2" ht="12.75" customHeight="1" x14ac:dyDescent="0.25">
      <c r="A21600" s="318">
        <v>97694144536</v>
      </c>
      <c r="B21600" s="318" t="s">
        <v>237</v>
      </c>
    </row>
    <row r="21601" spans="1:2" ht="12.75" customHeight="1" x14ac:dyDescent="0.25">
      <c r="A21601" s="318">
        <v>97694144537</v>
      </c>
      <c r="B21601" s="318" t="s">
        <v>237</v>
      </c>
    </row>
    <row r="21602" spans="1:2" ht="12.75" customHeight="1" x14ac:dyDescent="0.25">
      <c r="A21602" s="318">
        <v>97694144538</v>
      </c>
      <c r="B21602" s="318" t="s">
        <v>237</v>
      </c>
    </row>
    <row r="21603" spans="1:2" ht="12.75" customHeight="1" x14ac:dyDescent="0.25">
      <c r="A21603" s="318">
        <v>97694144539</v>
      </c>
      <c r="B21603" s="318" t="s">
        <v>237</v>
      </c>
    </row>
    <row r="21604" spans="1:2" ht="12.75" customHeight="1" x14ac:dyDescent="0.25">
      <c r="A21604" s="318">
        <v>97694144540</v>
      </c>
      <c r="B21604" s="318" t="s">
        <v>237</v>
      </c>
    </row>
    <row r="21605" spans="1:2" ht="12.75" customHeight="1" x14ac:dyDescent="0.25">
      <c r="A21605" s="318">
        <v>97694144541</v>
      </c>
      <c r="B21605" s="318" t="s">
        <v>237</v>
      </c>
    </row>
    <row r="21606" spans="1:2" ht="12.75" customHeight="1" x14ac:dyDescent="0.25">
      <c r="A21606" s="318">
        <v>97694625398</v>
      </c>
      <c r="B21606" s="318" t="s">
        <v>236</v>
      </c>
    </row>
    <row r="21607" spans="1:2" ht="12.75" customHeight="1" x14ac:dyDescent="0.25">
      <c r="A21607" s="318">
        <v>97694625399</v>
      </c>
      <c r="B21607" s="318" t="s">
        <v>23</v>
      </c>
    </row>
    <row r="21608" spans="1:2" ht="12.75" customHeight="1" x14ac:dyDescent="0.25">
      <c r="A21608" s="318">
        <v>97694625400</v>
      </c>
      <c r="B21608" s="318" t="s">
        <v>236</v>
      </c>
    </row>
    <row r="21609" spans="1:2" ht="12.75" customHeight="1" x14ac:dyDescent="0.25">
      <c r="A21609" s="318">
        <v>97694625401</v>
      </c>
      <c r="B21609" s="318" t="s">
        <v>23</v>
      </c>
    </row>
    <row r="21610" spans="1:2" ht="12.75" customHeight="1" x14ac:dyDescent="0.25">
      <c r="A21610" s="318">
        <v>97694625402</v>
      </c>
      <c r="B21610" s="318" t="s">
        <v>236</v>
      </c>
    </row>
    <row r="21611" spans="1:2" ht="12.75" customHeight="1" x14ac:dyDescent="0.25">
      <c r="A21611" s="318">
        <v>97694625403</v>
      </c>
      <c r="B21611" s="318" t="s">
        <v>23</v>
      </c>
    </row>
    <row r="21612" spans="1:2" ht="12.75" customHeight="1" x14ac:dyDescent="0.25">
      <c r="A21612" s="318">
        <v>97694625404</v>
      </c>
      <c r="B21612" s="318" t="s">
        <v>23</v>
      </c>
    </row>
    <row r="21613" spans="1:2" ht="12.75" customHeight="1" x14ac:dyDescent="0.25">
      <c r="A21613" s="318">
        <v>97694625405</v>
      </c>
      <c r="B21613" s="318" t="s">
        <v>237</v>
      </c>
    </row>
    <row r="21614" spans="1:2" ht="12.75" customHeight="1" x14ac:dyDescent="0.25">
      <c r="A21614" s="318">
        <v>97694625407</v>
      </c>
      <c r="B21614" s="318" t="s">
        <v>237</v>
      </c>
    </row>
    <row r="21615" spans="1:2" ht="12.75" customHeight="1" x14ac:dyDescent="0.25">
      <c r="A21615" s="318">
        <v>97694625408</v>
      </c>
      <c r="B21615" s="318" t="s">
        <v>237</v>
      </c>
    </row>
    <row r="21616" spans="1:2" ht="12.75" customHeight="1" x14ac:dyDescent="0.25">
      <c r="A21616" s="318">
        <v>97694625409</v>
      </c>
      <c r="B21616" s="318" t="s">
        <v>237</v>
      </c>
    </row>
    <row r="21617" spans="1:2" ht="12.75" customHeight="1" x14ac:dyDescent="0.25">
      <c r="A21617" s="318">
        <v>97694625410</v>
      </c>
      <c r="B21617" s="318" t="s">
        <v>237</v>
      </c>
    </row>
    <row r="21618" spans="1:2" ht="12.75" customHeight="1" x14ac:dyDescent="0.25">
      <c r="A21618" s="318">
        <v>97694625411</v>
      </c>
      <c r="B21618" s="318" t="s">
        <v>237</v>
      </c>
    </row>
    <row r="21619" spans="1:2" ht="12.75" customHeight="1" x14ac:dyDescent="0.25">
      <c r="A21619" s="318">
        <v>97694625412</v>
      </c>
      <c r="B21619" s="318" t="s">
        <v>237</v>
      </c>
    </row>
    <row r="21620" spans="1:2" ht="12.75" customHeight="1" x14ac:dyDescent="0.25">
      <c r="A21620" s="318">
        <v>97694625413</v>
      </c>
      <c r="B21620" s="318" t="s">
        <v>237</v>
      </c>
    </row>
    <row r="21621" spans="1:2" ht="12.75" customHeight="1" x14ac:dyDescent="0.25">
      <c r="A21621" s="318">
        <v>97694625414</v>
      </c>
      <c r="B21621" s="318" t="s">
        <v>237</v>
      </c>
    </row>
    <row r="21622" spans="1:2" ht="12.75" customHeight="1" x14ac:dyDescent="0.25">
      <c r="A21622" s="318">
        <v>97694625498</v>
      </c>
      <c r="B21622" s="318" t="s">
        <v>236</v>
      </c>
    </row>
    <row r="21623" spans="1:2" ht="12.75" customHeight="1" x14ac:dyDescent="0.25">
      <c r="A21623" s="318">
        <v>97694625499</v>
      </c>
      <c r="B21623" s="318" t="s">
        <v>23</v>
      </c>
    </row>
    <row r="21624" spans="1:2" ht="12.75" customHeight="1" x14ac:dyDescent="0.25">
      <c r="A21624" s="318">
        <v>97694625500</v>
      </c>
      <c r="B21624" s="318" t="s">
        <v>236</v>
      </c>
    </row>
    <row r="21625" spans="1:2" ht="12.75" customHeight="1" x14ac:dyDescent="0.25">
      <c r="A21625" s="318">
        <v>97694625501</v>
      </c>
      <c r="B21625" s="318" t="s">
        <v>23</v>
      </c>
    </row>
    <row r="21626" spans="1:2" ht="12.75" customHeight="1" x14ac:dyDescent="0.25">
      <c r="A21626" s="318">
        <v>97694625502</v>
      </c>
      <c r="B21626" s="318" t="s">
        <v>236</v>
      </c>
    </row>
    <row r="21627" spans="1:2" ht="12.75" customHeight="1" x14ac:dyDescent="0.25">
      <c r="A21627" s="318">
        <v>97694625503</v>
      </c>
      <c r="B21627" s="318" t="s">
        <v>23</v>
      </c>
    </row>
    <row r="21628" spans="1:2" ht="12.75" customHeight="1" x14ac:dyDescent="0.25">
      <c r="A21628" s="318">
        <v>97694625504</v>
      </c>
      <c r="B21628" s="318" t="s">
        <v>23</v>
      </c>
    </row>
    <row r="21629" spans="1:2" ht="12.75" customHeight="1" x14ac:dyDescent="0.25">
      <c r="A21629" s="318">
        <v>97694625505</v>
      </c>
      <c r="B21629" s="318" t="s">
        <v>237</v>
      </c>
    </row>
    <row r="21630" spans="1:2" ht="12.75" customHeight="1" x14ac:dyDescent="0.25">
      <c r="A21630" s="318">
        <v>97694625507</v>
      </c>
      <c r="B21630" s="318" t="s">
        <v>237</v>
      </c>
    </row>
    <row r="21631" spans="1:2" ht="12.75" customHeight="1" x14ac:dyDescent="0.25">
      <c r="A21631" s="318">
        <v>97694625508</v>
      </c>
      <c r="B21631" s="318" t="s">
        <v>237</v>
      </c>
    </row>
    <row r="21632" spans="1:2" ht="12.75" customHeight="1" x14ac:dyDescent="0.25">
      <c r="A21632" s="318">
        <v>97694625509</v>
      </c>
      <c r="B21632" s="318" t="s">
        <v>237</v>
      </c>
    </row>
    <row r="21633" spans="1:2" ht="12.75" customHeight="1" x14ac:dyDescent="0.25">
      <c r="A21633" s="318">
        <v>97694625510</v>
      </c>
      <c r="B21633" s="318" t="s">
        <v>237</v>
      </c>
    </row>
    <row r="21634" spans="1:2" ht="12.75" customHeight="1" x14ac:dyDescent="0.25">
      <c r="A21634" s="318">
        <v>97694625511</v>
      </c>
      <c r="B21634" s="318" t="s">
        <v>237</v>
      </c>
    </row>
    <row r="21635" spans="1:2" ht="12.75" customHeight="1" x14ac:dyDescent="0.25">
      <c r="A21635" s="318">
        <v>97694625512</v>
      </c>
      <c r="B21635" s="318" t="s">
        <v>237</v>
      </c>
    </row>
    <row r="21636" spans="1:2" ht="12.75" customHeight="1" x14ac:dyDescent="0.25">
      <c r="A21636" s="318">
        <v>97694625513</v>
      </c>
      <c r="B21636" s="318" t="s">
        <v>237</v>
      </c>
    </row>
    <row r="21637" spans="1:2" ht="12.75" customHeight="1" x14ac:dyDescent="0.25">
      <c r="A21637" s="318">
        <v>97694625514</v>
      </c>
      <c r="B21637" s="318" t="s">
        <v>237</v>
      </c>
    </row>
    <row r="21638" spans="1:2" ht="12.75" customHeight="1" x14ac:dyDescent="0.25">
      <c r="A21638" s="318">
        <v>97695106371</v>
      </c>
      <c r="B21638" s="318" t="s">
        <v>236</v>
      </c>
    </row>
    <row r="21639" spans="1:2" ht="12.75" customHeight="1" x14ac:dyDescent="0.25">
      <c r="A21639" s="318">
        <v>97695106372</v>
      </c>
      <c r="B21639" s="318" t="s">
        <v>23</v>
      </c>
    </row>
    <row r="21640" spans="1:2" ht="12.75" customHeight="1" x14ac:dyDescent="0.25">
      <c r="A21640" s="318">
        <v>97695106373</v>
      </c>
      <c r="B21640" s="318" t="s">
        <v>236</v>
      </c>
    </row>
    <row r="21641" spans="1:2" ht="12.75" customHeight="1" x14ac:dyDescent="0.25">
      <c r="A21641" s="318">
        <v>97695106374</v>
      </c>
      <c r="B21641" s="318" t="s">
        <v>23</v>
      </c>
    </row>
    <row r="21642" spans="1:2" ht="12.75" customHeight="1" x14ac:dyDescent="0.25">
      <c r="A21642" s="318">
        <v>97695106375</v>
      </c>
      <c r="B21642" s="318" t="s">
        <v>236</v>
      </c>
    </row>
    <row r="21643" spans="1:2" ht="12.75" customHeight="1" x14ac:dyDescent="0.25">
      <c r="A21643" s="318">
        <v>97695106376</v>
      </c>
      <c r="B21643" s="318" t="s">
        <v>23</v>
      </c>
    </row>
    <row r="21644" spans="1:2" ht="12.75" customHeight="1" x14ac:dyDescent="0.25">
      <c r="A21644" s="318">
        <v>97695106377</v>
      </c>
      <c r="B21644" s="318" t="s">
        <v>236</v>
      </c>
    </row>
    <row r="21645" spans="1:2" ht="12.75" customHeight="1" x14ac:dyDescent="0.25">
      <c r="A21645" s="318">
        <v>97695106378</v>
      </c>
      <c r="B21645" s="318" t="s">
        <v>237</v>
      </c>
    </row>
    <row r="21646" spans="1:2" ht="12.75" customHeight="1" x14ac:dyDescent="0.25">
      <c r="A21646" s="318">
        <v>97695106380</v>
      </c>
      <c r="B21646" s="318" t="s">
        <v>236</v>
      </c>
    </row>
    <row r="21647" spans="1:2" ht="12.75" customHeight="1" x14ac:dyDescent="0.25">
      <c r="A21647" s="318">
        <v>97695106381</v>
      </c>
      <c r="B21647" s="318" t="s">
        <v>237</v>
      </c>
    </row>
    <row r="21648" spans="1:2" ht="12.75" customHeight="1" x14ac:dyDescent="0.25">
      <c r="A21648" s="318">
        <v>97695106382</v>
      </c>
      <c r="B21648" s="318" t="s">
        <v>236</v>
      </c>
    </row>
    <row r="21649" spans="1:2" ht="12.75" customHeight="1" x14ac:dyDescent="0.25">
      <c r="A21649" s="318">
        <v>97695106383</v>
      </c>
      <c r="B21649" s="318" t="s">
        <v>237</v>
      </c>
    </row>
    <row r="21650" spans="1:2" ht="12.75" customHeight="1" x14ac:dyDescent="0.25">
      <c r="A21650" s="318">
        <v>97695106384</v>
      </c>
      <c r="B21650" s="318" t="s">
        <v>236</v>
      </c>
    </row>
    <row r="21651" spans="1:2" ht="12.75" customHeight="1" x14ac:dyDescent="0.25">
      <c r="A21651" s="318">
        <v>97695106385</v>
      </c>
      <c r="B21651" s="318" t="s">
        <v>237</v>
      </c>
    </row>
    <row r="21652" spans="1:2" ht="12.75" customHeight="1" x14ac:dyDescent="0.25">
      <c r="A21652" s="318">
        <v>97695106386</v>
      </c>
      <c r="B21652" s="318" t="s">
        <v>236</v>
      </c>
    </row>
    <row r="21653" spans="1:2" ht="12.75" customHeight="1" x14ac:dyDescent="0.25">
      <c r="A21653" s="318">
        <v>97695106387</v>
      </c>
      <c r="B21653" s="318" t="s">
        <v>237</v>
      </c>
    </row>
    <row r="21654" spans="1:2" ht="12.75" customHeight="1" x14ac:dyDescent="0.25">
      <c r="A21654" s="318">
        <v>97695106471</v>
      </c>
      <c r="B21654" s="318" t="s">
        <v>236</v>
      </c>
    </row>
    <row r="21655" spans="1:2" ht="12.75" customHeight="1" x14ac:dyDescent="0.25">
      <c r="A21655" s="318">
        <v>97695106472</v>
      </c>
      <c r="B21655" s="318" t="s">
        <v>23</v>
      </c>
    </row>
    <row r="21656" spans="1:2" ht="12.75" customHeight="1" x14ac:dyDescent="0.25">
      <c r="A21656" s="318">
        <v>97695106473</v>
      </c>
      <c r="B21656" s="318" t="s">
        <v>236</v>
      </c>
    </row>
    <row r="21657" spans="1:2" ht="12.75" customHeight="1" x14ac:dyDescent="0.25">
      <c r="A21657" s="318">
        <v>97695106474</v>
      </c>
      <c r="B21657" s="318" t="s">
        <v>23</v>
      </c>
    </row>
    <row r="21658" spans="1:2" ht="12.75" customHeight="1" x14ac:dyDescent="0.25">
      <c r="A21658" s="318">
        <v>97695106475</v>
      </c>
      <c r="B21658" s="318" t="s">
        <v>236</v>
      </c>
    </row>
    <row r="21659" spans="1:2" ht="12.75" customHeight="1" x14ac:dyDescent="0.25">
      <c r="A21659" s="318">
        <v>97695106476</v>
      </c>
      <c r="B21659" s="318" t="s">
        <v>23</v>
      </c>
    </row>
    <row r="21660" spans="1:2" ht="12.75" customHeight="1" x14ac:dyDescent="0.25">
      <c r="A21660" s="318">
        <v>97695106477</v>
      </c>
      <c r="B21660" s="318" t="s">
        <v>236</v>
      </c>
    </row>
    <row r="21661" spans="1:2" ht="12.75" customHeight="1" x14ac:dyDescent="0.25">
      <c r="A21661" s="318">
        <v>97695106478</v>
      </c>
      <c r="B21661" s="318" t="s">
        <v>237</v>
      </c>
    </row>
    <row r="21662" spans="1:2" ht="12.75" customHeight="1" x14ac:dyDescent="0.25">
      <c r="A21662" s="318">
        <v>97695106480</v>
      </c>
      <c r="B21662" s="318" t="s">
        <v>236</v>
      </c>
    </row>
    <row r="21663" spans="1:2" ht="12.75" customHeight="1" x14ac:dyDescent="0.25">
      <c r="A21663" s="318">
        <v>97695106481</v>
      </c>
      <c r="B21663" s="318" t="s">
        <v>237</v>
      </c>
    </row>
    <row r="21664" spans="1:2" ht="12.75" customHeight="1" x14ac:dyDescent="0.25">
      <c r="A21664" s="318">
        <v>97695106482</v>
      </c>
      <c r="B21664" s="318" t="s">
        <v>236</v>
      </c>
    </row>
    <row r="21665" spans="1:2" ht="12.75" customHeight="1" x14ac:dyDescent="0.25">
      <c r="A21665" s="318">
        <v>97695106483</v>
      </c>
      <c r="B21665" s="318" t="s">
        <v>237</v>
      </c>
    </row>
    <row r="21666" spans="1:2" ht="12.75" customHeight="1" x14ac:dyDescent="0.25">
      <c r="A21666" s="318">
        <v>97695106484</v>
      </c>
      <c r="B21666" s="318" t="s">
        <v>236</v>
      </c>
    </row>
    <row r="21667" spans="1:2" ht="12.75" customHeight="1" x14ac:dyDescent="0.25">
      <c r="A21667" s="318">
        <v>97695106485</v>
      </c>
      <c r="B21667" s="318" t="s">
        <v>237</v>
      </c>
    </row>
    <row r="21668" spans="1:2" ht="12.75" customHeight="1" x14ac:dyDescent="0.25">
      <c r="A21668" s="318">
        <v>97695106486</v>
      </c>
      <c r="B21668" s="318" t="s">
        <v>236</v>
      </c>
    </row>
    <row r="21669" spans="1:2" ht="12.75" customHeight="1" x14ac:dyDescent="0.25">
      <c r="A21669" s="318">
        <v>97695106487</v>
      </c>
      <c r="B21669" s="318" t="s">
        <v>237</v>
      </c>
    </row>
    <row r="21670" spans="1:2" ht="12.75" customHeight="1" x14ac:dyDescent="0.25">
      <c r="A21670" s="318">
        <v>97695786562</v>
      </c>
      <c r="B21670" s="318" t="s">
        <v>236</v>
      </c>
    </row>
    <row r="21671" spans="1:2" ht="12.75" customHeight="1" x14ac:dyDescent="0.25">
      <c r="A21671" s="318">
        <v>97695786563</v>
      </c>
      <c r="B21671" s="318" t="s">
        <v>23</v>
      </c>
    </row>
    <row r="21672" spans="1:2" ht="12.75" customHeight="1" x14ac:dyDescent="0.25">
      <c r="A21672" s="318">
        <v>97695786564</v>
      </c>
      <c r="B21672" s="318" t="s">
        <v>236</v>
      </c>
    </row>
    <row r="21673" spans="1:2" ht="12.75" customHeight="1" x14ac:dyDescent="0.25">
      <c r="A21673" s="318">
        <v>97695786565</v>
      </c>
      <c r="B21673" s="318" t="s">
        <v>23</v>
      </c>
    </row>
    <row r="21674" spans="1:2" ht="12.75" customHeight="1" x14ac:dyDescent="0.25">
      <c r="A21674" s="318">
        <v>97695786566</v>
      </c>
      <c r="B21674" s="318" t="s">
        <v>236</v>
      </c>
    </row>
    <row r="21675" spans="1:2" ht="12.75" customHeight="1" x14ac:dyDescent="0.25">
      <c r="A21675" s="318">
        <v>97695786567</v>
      </c>
      <c r="B21675" s="318" t="s">
        <v>23</v>
      </c>
    </row>
    <row r="21676" spans="1:2" ht="12.75" customHeight="1" x14ac:dyDescent="0.25">
      <c r="A21676" s="318">
        <v>97695786568</v>
      </c>
      <c r="B21676" s="318" t="s">
        <v>236</v>
      </c>
    </row>
    <row r="21677" spans="1:2" ht="12.75" customHeight="1" x14ac:dyDescent="0.25">
      <c r="A21677" s="318">
        <v>97695786569</v>
      </c>
      <c r="B21677" s="318" t="s">
        <v>237</v>
      </c>
    </row>
    <row r="21678" spans="1:2" ht="12.75" customHeight="1" x14ac:dyDescent="0.25">
      <c r="A21678" s="318">
        <v>97695786571</v>
      </c>
      <c r="B21678" s="318" t="s">
        <v>236</v>
      </c>
    </row>
    <row r="21679" spans="1:2" ht="12.75" customHeight="1" x14ac:dyDescent="0.25">
      <c r="A21679" s="318">
        <v>97695786572</v>
      </c>
      <c r="B21679" s="318" t="s">
        <v>237</v>
      </c>
    </row>
    <row r="21680" spans="1:2" ht="12.75" customHeight="1" x14ac:dyDescent="0.25">
      <c r="A21680" s="318">
        <v>97695786573</v>
      </c>
      <c r="B21680" s="318" t="s">
        <v>236</v>
      </c>
    </row>
    <row r="21681" spans="1:2" ht="12.75" customHeight="1" x14ac:dyDescent="0.25">
      <c r="A21681" s="318">
        <v>97695786574</v>
      </c>
      <c r="B21681" s="318" t="s">
        <v>237</v>
      </c>
    </row>
    <row r="21682" spans="1:2" ht="12.75" customHeight="1" x14ac:dyDescent="0.25">
      <c r="A21682" s="318">
        <v>97695786575</v>
      </c>
      <c r="B21682" s="318" t="s">
        <v>236</v>
      </c>
    </row>
    <row r="21683" spans="1:2" ht="12.75" customHeight="1" x14ac:dyDescent="0.25">
      <c r="A21683" s="318">
        <v>97695786576</v>
      </c>
      <c r="B21683" s="318" t="s">
        <v>237</v>
      </c>
    </row>
    <row r="21684" spans="1:2" ht="12.75" customHeight="1" x14ac:dyDescent="0.25">
      <c r="A21684" s="318">
        <v>97695786577</v>
      </c>
      <c r="B21684" s="318" t="s">
        <v>236</v>
      </c>
    </row>
    <row r="21685" spans="1:2" ht="12.75" customHeight="1" x14ac:dyDescent="0.25">
      <c r="A21685" s="318">
        <v>97695786578</v>
      </c>
      <c r="B21685" s="318" t="s">
        <v>237</v>
      </c>
    </row>
    <row r="21686" spans="1:2" ht="12.75" customHeight="1" x14ac:dyDescent="0.25">
      <c r="A21686" s="318">
        <v>97695786662</v>
      </c>
      <c r="B21686" s="318" t="s">
        <v>236</v>
      </c>
    </row>
    <row r="21687" spans="1:2" ht="12.75" customHeight="1" x14ac:dyDescent="0.25">
      <c r="A21687" s="318">
        <v>97695786663</v>
      </c>
      <c r="B21687" s="318" t="s">
        <v>23</v>
      </c>
    </row>
    <row r="21688" spans="1:2" ht="12.75" customHeight="1" x14ac:dyDescent="0.25">
      <c r="A21688" s="318">
        <v>97695786664</v>
      </c>
      <c r="B21688" s="318" t="s">
        <v>236</v>
      </c>
    </row>
    <row r="21689" spans="1:2" ht="12.75" customHeight="1" x14ac:dyDescent="0.25">
      <c r="A21689" s="318">
        <v>97695786665</v>
      </c>
      <c r="B21689" s="318" t="s">
        <v>23</v>
      </c>
    </row>
    <row r="21690" spans="1:2" ht="12.75" customHeight="1" x14ac:dyDescent="0.25">
      <c r="A21690" s="318">
        <v>97695786666</v>
      </c>
      <c r="B21690" s="318" t="s">
        <v>236</v>
      </c>
    </row>
    <row r="21691" spans="1:2" ht="12.75" customHeight="1" x14ac:dyDescent="0.25">
      <c r="A21691" s="318">
        <v>97695786667</v>
      </c>
      <c r="B21691" s="318" t="s">
        <v>23</v>
      </c>
    </row>
    <row r="21692" spans="1:2" ht="12.75" customHeight="1" x14ac:dyDescent="0.25">
      <c r="A21692" s="318">
        <v>97695786668</v>
      </c>
      <c r="B21692" s="318" t="s">
        <v>236</v>
      </c>
    </row>
    <row r="21693" spans="1:2" ht="12.75" customHeight="1" x14ac:dyDescent="0.25">
      <c r="A21693" s="318">
        <v>97695786669</v>
      </c>
      <c r="B21693" s="318" t="s">
        <v>237</v>
      </c>
    </row>
    <row r="21694" spans="1:2" ht="12.75" customHeight="1" x14ac:dyDescent="0.25">
      <c r="A21694" s="318">
        <v>97695786671</v>
      </c>
      <c r="B21694" s="318" t="s">
        <v>236</v>
      </c>
    </row>
    <row r="21695" spans="1:2" ht="12.75" customHeight="1" x14ac:dyDescent="0.25">
      <c r="A21695" s="318">
        <v>97695786672</v>
      </c>
      <c r="B21695" s="318" t="s">
        <v>237</v>
      </c>
    </row>
    <row r="21696" spans="1:2" ht="12.75" customHeight="1" x14ac:dyDescent="0.25">
      <c r="A21696" s="318">
        <v>97695786673</v>
      </c>
      <c r="B21696" s="318" t="s">
        <v>236</v>
      </c>
    </row>
    <row r="21697" spans="1:2" ht="12.75" customHeight="1" x14ac:dyDescent="0.25">
      <c r="A21697" s="318">
        <v>97695786674</v>
      </c>
      <c r="B21697" s="318" t="s">
        <v>237</v>
      </c>
    </row>
    <row r="21698" spans="1:2" ht="12.75" customHeight="1" x14ac:dyDescent="0.25">
      <c r="A21698" s="318">
        <v>97695786675</v>
      </c>
      <c r="B21698" s="318" t="s">
        <v>236</v>
      </c>
    </row>
    <row r="21699" spans="1:2" ht="12.75" customHeight="1" x14ac:dyDescent="0.25">
      <c r="A21699" s="318">
        <v>97695786676</v>
      </c>
      <c r="B21699" s="318" t="s">
        <v>237</v>
      </c>
    </row>
    <row r="21700" spans="1:2" ht="12.75" customHeight="1" x14ac:dyDescent="0.25">
      <c r="A21700" s="318">
        <v>97695786677</v>
      </c>
      <c r="B21700" s="318" t="s">
        <v>236</v>
      </c>
    </row>
    <row r="21701" spans="1:2" ht="12.75" customHeight="1" x14ac:dyDescent="0.25">
      <c r="A21701" s="318">
        <v>97695786678</v>
      </c>
      <c r="B21701" s="318" t="s">
        <v>237</v>
      </c>
    </row>
    <row r="21702" spans="1:2" ht="12.75" customHeight="1" x14ac:dyDescent="0.25">
      <c r="A21702" s="318">
        <v>97696267535</v>
      </c>
      <c r="B21702" s="318" t="s">
        <v>236</v>
      </c>
    </row>
    <row r="21703" spans="1:2" ht="12.75" customHeight="1" x14ac:dyDescent="0.25">
      <c r="A21703" s="318">
        <v>97696267536</v>
      </c>
      <c r="B21703" s="318" t="s">
        <v>23</v>
      </c>
    </row>
    <row r="21704" spans="1:2" ht="12.75" customHeight="1" x14ac:dyDescent="0.25">
      <c r="A21704" s="318">
        <v>97696267537</v>
      </c>
      <c r="B21704" s="318" t="s">
        <v>236</v>
      </c>
    </row>
    <row r="21705" spans="1:2" ht="12.75" customHeight="1" x14ac:dyDescent="0.25">
      <c r="A21705" s="318">
        <v>97696267538</v>
      </c>
      <c r="B21705" s="318" t="s">
        <v>23</v>
      </c>
    </row>
    <row r="21706" spans="1:2" ht="12.75" customHeight="1" x14ac:dyDescent="0.25">
      <c r="A21706" s="318">
        <v>97696267539</v>
      </c>
      <c r="B21706" s="318" t="s">
        <v>236</v>
      </c>
    </row>
    <row r="21707" spans="1:2" ht="12.75" customHeight="1" x14ac:dyDescent="0.25">
      <c r="A21707" s="318">
        <v>97696267540</v>
      </c>
      <c r="B21707" s="318" t="s">
        <v>23</v>
      </c>
    </row>
    <row r="21708" spans="1:2" ht="12.75" customHeight="1" x14ac:dyDescent="0.25">
      <c r="A21708" s="318">
        <v>97696267541</v>
      </c>
      <c r="B21708" s="318" t="s">
        <v>236</v>
      </c>
    </row>
    <row r="21709" spans="1:2" ht="12.75" customHeight="1" x14ac:dyDescent="0.25">
      <c r="A21709" s="318">
        <v>97696267542</v>
      </c>
      <c r="B21709" s="318" t="s">
        <v>237</v>
      </c>
    </row>
    <row r="21710" spans="1:2" ht="12.75" customHeight="1" x14ac:dyDescent="0.25">
      <c r="A21710" s="318">
        <v>97696267544</v>
      </c>
      <c r="B21710" s="318" t="s">
        <v>236</v>
      </c>
    </row>
    <row r="21711" spans="1:2" ht="12.75" customHeight="1" x14ac:dyDescent="0.25">
      <c r="A21711" s="318">
        <v>97696267545</v>
      </c>
      <c r="B21711" s="318" t="s">
        <v>237</v>
      </c>
    </row>
    <row r="21712" spans="1:2" ht="12.75" customHeight="1" x14ac:dyDescent="0.25">
      <c r="A21712" s="318">
        <v>97696267546</v>
      </c>
      <c r="B21712" s="318" t="s">
        <v>236</v>
      </c>
    </row>
    <row r="21713" spans="1:2" ht="12.75" customHeight="1" x14ac:dyDescent="0.25">
      <c r="A21713" s="318">
        <v>97696267547</v>
      </c>
      <c r="B21713" s="318" t="s">
        <v>237</v>
      </c>
    </row>
    <row r="21714" spans="1:2" ht="12.75" customHeight="1" x14ac:dyDescent="0.25">
      <c r="A21714" s="318">
        <v>97696267548</v>
      </c>
      <c r="B21714" s="318" t="s">
        <v>236</v>
      </c>
    </row>
    <row r="21715" spans="1:2" ht="12.75" customHeight="1" x14ac:dyDescent="0.25">
      <c r="A21715" s="318">
        <v>97696267549</v>
      </c>
      <c r="B21715" s="318" t="s">
        <v>237</v>
      </c>
    </row>
    <row r="21716" spans="1:2" ht="12.75" customHeight="1" x14ac:dyDescent="0.25">
      <c r="A21716" s="318">
        <v>97696267550</v>
      </c>
      <c r="B21716" s="318" t="s">
        <v>236</v>
      </c>
    </row>
    <row r="21717" spans="1:2" ht="12.75" customHeight="1" x14ac:dyDescent="0.25">
      <c r="A21717" s="318">
        <v>97696267551</v>
      </c>
      <c r="B21717" s="318" t="s">
        <v>237</v>
      </c>
    </row>
    <row r="21718" spans="1:2" ht="12.75" customHeight="1" x14ac:dyDescent="0.25">
      <c r="A21718" s="318">
        <v>97696267635</v>
      </c>
      <c r="B21718" s="318" t="s">
        <v>236</v>
      </c>
    </row>
    <row r="21719" spans="1:2" ht="12.75" customHeight="1" x14ac:dyDescent="0.25">
      <c r="A21719" s="318">
        <v>97696267636</v>
      </c>
      <c r="B21719" s="318" t="s">
        <v>23</v>
      </c>
    </row>
    <row r="21720" spans="1:2" ht="12.75" customHeight="1" x14ac:dyDescent="0.25">
      <c r="A21720" s="318">
        <v>97696267637</v>
      </c>
      <c r="B21720" s="318" t="s">
        <v>236</v>
      </c>
    </row>
    <row r="21721" spans="1:2" ht="12.75" customHeight="1" x14ac:dyDescent="0.25">
      <c r="A21721" s="318">
        <v>97696267638</v>
      </c>
      <c r="B21721" s="318" t="s">
        <v>23</v>
      </c>
    </row>
    <row r="21722" spans="1:2" ht="12.75" customHeight="1" x14ac:dyDescent="0.25">
      <c r="A21722" s="318">
        <v>97696267639</v>
      </c>
      <c r="B21722" s="318" t="s">
        <v>236</v>
      </c>
    </row>
    <row r="21723" spans="1:2" ht="12.75" customHeight="1" x14ac:dyDescent="0.25">
      <c r="A21723" s="318">
        <v>97696267640</v>
      </c>
      <c r="B21723" s="318" t="s">
        <v>23</v>
      </c>
    </row>
    <row r="21724" spans="1:2" ht="12.75" customHeight="1" x14ac:dyDescent="0.25">
      <c r="A21724" s="318">
        <v>97696267641</v>
      </c>
      <c r="B21724" s="318" t="s">
        <v>236</v>
      </c>
    </row>
    <row r="21725" spans="1:2" ht="12.75" customHeight="1" x14ac:dyDescent="0.25">
      <c r="A21725" s="318">
        <v>97696267642</v>
      </c>
      <c r="B21725" s="318" t="s">
        <v>237</v>
      </c>
    </row>
    <row r="21726" spans="1:2" ht="12.75" customHeight="1" x14ac:dyDescent="0.25">
      <c r="A21726" s="318">
        <v>97696267644</v>
      </c>
      <c r="B21726" s="318" t="s">
        <v>236</v>
      </c>
    </row>
    <row r="21727" spans="1:2" ht="12.75" customHeight="1" x14ac:dyDescent="0.25">
      <c r="A21727" s="318">
        <v>97696267645</v>
      </c>
      <c r="B21727" s="318" t="s">
        <v>237</v>
      </c>
    </row>
    <row r="21728" spans="1:2" ht="12.75" customHeight="1" x14ac:dyDescent="0.25">
      <c r="A21728" s="318">
        <v>97696267646</v>
      </c>
      <c r="B21728" s="318" t="s">
        <v>236</v>
      </c>
    </row>
    <row r="21729" spans="1:2" ht="12.75" customHeight="1" x14ac:dyDescent="0.25">
      <c r="A21729" s="318">
        <v>97696267647</v>
      </c>
      <c r="B21729" s="318" t="s">
        <v>237</v>
      </c>
    </row>
    <row r="21730" spans="1:2" ht="12.75" customHeight="1" x14ac:dyDescent="0.25">
      <c r="A21730" s="318">
        <v>97696267648</v>
      </c>
      <c r="B21730" s="318" t="s">
        <v>236</v>
      </c>
    </row>
    <row r="21731" spans="1:2" ht="12.75" customHeight="1" x14ac:dyDescent="0.25">
      <c r="A21731" s="318">
        <v>97696267649</v>
      </c>
      <c r="B21731" s="318" t="s">
        <v>237</v>
      </c>
    </row>
    <row r="21732" spans="1:2" ht="12.75" customHeight="1" x14ac:dyDescent="0.25">
      <c r="A21732" s="318">
        <v>97696267650</v>
      </c>
      <c r="B21732" s="318" t="s">
        <v>236</v>
      </c>
    </row>
    <row r="21733" spans="1:2" ht="12.75" customHeight="1" x14ac:dyDescent="0.25">
      <c r="A21733" s="318">
        <v>97696267651</v>
      </c>
      <c r="B21733" s="318" t="s">
        <v>237</v>
      </c>
    </row>
    <row r="21734" spans="1:2" ht="12.75" customHeight="1" x14ac:dyDescent="0.25">
      <c r="A21734" s="318">
        <v>97696748508</v>
      </c>
      <c r="B21734" s="318" t="s">
        <v>236</v>
      </c>
    </row>
    <row r="21735" spans="1:2" ht="12.75" customHeight="1" x14ac:dyDescent="0.25">
      <c r="A21735" s="318">
        <v>97696748509</v>
      </c>
      <c r="B21735" s="318" t="s">
        <v>23</v>
      </c>
    </row>
    <row r="21736" spans="1:2" ht="12.75" customHeight="1" x14ac:dyDescent="0.25">
      <c r="A21736" s="318">
        <v>97696748510</v>
      </c>
      <c r="B21736" s="318" t="s">
        <v>236</v>
      </c>
    </row>
    <row r="21737" spans="1:2" ht="12.75" customHeight="1" x14ac:dyDescent="0.25">
      <c r="A21737" s="318">
        <v>97696748511</v>
      </c>
      <c r="B21737" s="318" t="s">
        <v>23</v>
      </c>
    </row>
    <row r="21738" spans="1:2" ht="12.75" customHeight="1" x14ac:dyDescent="0.25">
      <c r="A21738" s="318">
        <v>97696748512</v>
      </c>
      <c r="B21738" s="318" t="s">
        <v>236</v>
      </c>
    </row>
    <row r="21739" spans="1:2" ht="12.75" customHeight="1" x14ac:dyDescent="0.25">
      <c r="A21739" s="318">
        <v>97696748513</v>
      </c>
      <c r="B21739" s="318" t="s">
        <v>23</v>
      </c>
    </row>
    <row r="21740" spans="1:2" ht="12.75" customHeight="1" x14ac:dyDescent="0.25">
      <c r="A21740" s="318">
        <v>97696748514</v>
      </c>
      <c r="B21740" s="318" t="s">
        <v>236</v>
      </c>
    </row>
    <row r="21741" spans="1:2" ht="12.75" customHeight="1" x14ac:dyDescent="0.25">
      <c r="A21741" s="318">
        <v>97696748515</v>
      </c>
      <c r="B21741" s="318" t="s">
        <v>237</v>
      </c>
    </row>
    <row r="21742" spans="1:2" ht="12.75" customHeight="1" x14ac:dyDescent="0.25">
      <c r="A21742" s="318">
        <v>97696748517</v>
      </c>
      <c r="B21742" s="318" t="s">
        <v>236</v>
      </c>
    </row>
    <row r="21743" spans="1:2" ht="12.75" customHeight="1" x14ac:dyDescent="0.25">
      <c r="A21743" s="318">
        <v>97696748518</v>
      </c>
      <c r="B21743" s="318" t="s">
        <v>237</v>
      </c>
    </row>
    <row r="21744" spans="1:2" ht="12.75" customHeight="1" x14ac:dyDescent="0.25">
      <c r="A21744" s="318">
        <v>97696748519</v>
      </c>
      <c r="B21744" s="318" t="s">
        <v>236</v>
      </c>
    </row>
    <row r="21745" spans="1:2" ht="12.75" customHeight="1" x14ac:dyDescent="0.25">
      <c r="A21745" s="318">
        <v>97696748520</v>
      </c>
      <c r="B21745" s="318" t="s">
        <v>237</v>
      </c>
    </row>
    <row r="21746" spans="1:2" ht="12.75" customHeight="1" x14ac:dyDescent="0.25">
      <c r="A21746" s="318">
        <v>97696748521</v>
      </c>
      <c r="B21746" s="318" t="s">
        <v>236</v>
      </c>
    </row>
    <row r="21747" spans="1:2" ht="12.75" customHeight="1" x14ac:dyDescent="0.25">
      <c r="A21747" s="318">
        <v>97696748522</v>
      </c>
      <c r="B21747" s="318" t="s">
        <v>237</v>
      </c>
    </row>
    <row r="21748" spans="1:2" ht="12.75" customHeight="1" x14ac:dyDescent="0.25">
      <c r="A21748" s="318">
        <v>97696748523</v>
      </c>
      <c r="B21748" s="318" t="s">
        <v>236</v>
      </c>
    </row>
    <row r="21749" spans="1:2" ht="12.75" customHeight="1" x14ac:dyDescent="0.25">
      <c r="A21749" s="318">
        <v>97696748524</v>
      </c>
      <c r="B21749" s="318" t="s">
        <v>237</v>
      </c>
    </row>
    <row r="21750" spans="1:2" ht="12.75" customHeight="1" x14ac:dyDescent="0.25">
      <c r="A21750" s="318">
        <v>97696748608</v>
      </c>
      <c r="B21750" s="318" t="s">
        <v>236</v>
      </c>
    </row>
    <row r="21751" spans="1:2" ht="12.75" customHeight="1" x14ac:dyDescent="0.25">
      <c r="A21751" s="318">
        <v>97696748609</v>
      </c>
      <c r="B21751" s="318" t="s">
        <v>23</v>
      </c>
    </row>
    <row r="21752" spans="1:2" ht="12.75" customHeight="1" x14ac:dyDescent="0.25">
      <c r="A21752" s="318">
        <v>97696748610</v>
      </c>
      <c r="B21752" s="318" t="s">
        <v>236</v>
      </c>
    </row>
    <row r="21753" spans="1:2" ht="12.75" customHeight="1" x14ac:dyDescent="0.25">
      <c r="A21753" s="318">
        <v>97696748611</v>
      </c>
      <c r="B21753" s="318" t="s">
        <v>23</v>
      </c>
    </row>
    <row r="21754" spans="1:2" ht="12.75" customHeight="1" x14ac:dyDescent="0.25">
      <c r="A21754" s="318">
        <v>97696748612</v>
      </c>
      <c r="B21754" s="318" t="s">
        <v>236</v>
      </c>
    </row>
    <row r="21755" spans="1:2" ht="12.75" customHeight="1" x14ac:dyDescent="0.25">
      <c r="A21755" s="318">
        <v>97696748613</v>
      </c>
      <c r="B21755" s="318" t="s">
        <v>23</v>
      </c>
    </row>
    <row r="21756" spans="1:2" ht="12.75" customHeight="1" x14ac:dyDescent="0.25">
      <c r="A21756" s="318">
        <v>97696748614</v>
      </c>
      <c r="B21756" s="318" t="s">
        <v>236</v>
      </c>
    </row>
    <row r="21757" spans="1:2" ht="12.75" customHeight="1" x14ac:dyDescent="0.25">
      <c r="A21757" s="318">
        <v>97696748615</v>
      </c>
      <c r="B21757" s="318" t="s">
        <v>237</v>
      </c>
    </row>
    <row r="21758" spans="1:2" ht="12.75" customHeight="1" x14ac:dyDescent="0.25">
      <c r="A21758" s="318">
        <v>97696748617</v>
      </c>
      <c r="B21758" s="318" t="s">
        <v>236</v>
      </c>
    </row>
    <row r="21759" spans="1:2" ht="12.75" customHeight="1" x14ac:dyDescent="0.25">
      <c r="A21759" s="318">
        <v>97696748618</v>
      </c>
      <c r="B21759" s="318" t="s">
        <v>237</v>
      </c>
    </row>
    <row r="21760" spans="1:2" ht="12.75" customHeight="1" x14ac:dyDescent="0.25">
      <c r="A21760" s="318">
        <v>97696748619</v>
      </c>
      <c r="B21760" s="318" t="s">
        <v>236</v>
      </c>
    </row>
    <row r="21761" spans="1:2" ht="12.75" customHeight="1" x14ac:dyDescent="0.25">
      <c r="A21761" s="318">
        <v>97696748620</v>
      </c>
      <c r="B21761" s="318" t="s">
        <v>237</v>
      </c>
    </row>
    <row r="21762" spans="1:2" ht="12.75" customHeight="1" x14ac:dyDescent="0.25">
      <c r="A21762" s="318">
        <v>97696748621</v>
      </c>
      <c r="B21762" s="318" t="s">
        <v>236</v>
      </c>
    </row>
    <row r="21763" spans="1:2" ht="12.75" customHeight="1" x14ac:dyDescent="0.25">
      <c r="A21763" s="318">
        <v>97696748622</v>
      </c>
      <c r="B21763" s="318" t="s">
        <v>237</v>
      </c>
    </row>
    <row r="21764" spans="1:2" ht="12.75" customHeight="1" x14ac:dyDescent="0.25">
      <c r="A21764" s="318">
        <v>97696748623</v>
      </c>
      <c r="B21764" s="318" t="s">
        <v>236</v>
      </c>
    </row>
    <row r="21765" spans="1:2" ht="12.75" customHeight="1" x14ac:dyDescent="0.25">
      <c r="A21765" s="318">
        <v>97696748624</v>
      </c>
      <c r="B21765" s="318" t="s">
        <v>237</v>
      </c>
    </row>
    <row r="21766" spans="1:2" ht="12.75" customHeight="1" x14ac:dyDescent="0.25">
      <c r="A21766" s="318">
        <v>97698108889</v>
      </c>
      <c r="B21766" s="318" t="s">
        <v>236</v>
      </c>
    </row>
    <row r="21767" spans="1:2" ht="12.75" customHeight="1" x14ac:dyDescent="0.25">
      <c r="A21767" s="318">
        <v>97698108890</v>
      </c>
      <c r="B21767" s="318" t="s">
        <v>23</v>
      </c>
    </row>
    <row r="21768" spans="1:2" ht="12.75" customHeight="1" x14ac:dyDescent="0.25">
      <c r="A21768" s="318">
        <v>97698108891</v>
      </c>
      <c r="B21768" s="318" t="s">
        <v>236</v>
      </c>
    </row>
    <row r="21769" spans="1:2" ht="12.75" customHeight="1" x14ac:dyDescent="0.25">
      <c r="A21769" s="318">
        <v>97698108892</v>
      </c>
      <c r="B21769" s="318" t="s">
        <v>23</v>
      </c>
    </row>
    <row r="21770" spans="1:2" ht="12.75" customHeight="1" x14ac:dyDescent="0.25">
      <c r="A21770" s="318">
        <v>97698108893</v>
      </c>
      <c r="B21770" s="318" t="s">
        <v>236</v>
      </c>
    </row>
    <row r="21771" spans="1:2" ht="12.75" customHeight="1" x14ac:dyDescent="0.25">
      <c r="A21771" s="318">
        <v>97698108894</v>
      </c>
      <c r="B21771" s="318" t="s">
        <v>23</v>
      </c>
    </row>
    <row r="21772" spans="1:2" ht="12.75" customHeight="1" x14ac:dyDescent="0.25">
      <c r="A21772" s="318">
        <v>97698108895</v>
      </c>
      <c r="B21772" s="318" t="s">
        <v>236</v>
      </c>
    </row>
    <row r="21773" spans="1:2" ht="12.75" customHeight="1" x14ac:dyDescent="0.25">
      <c r="A21773" s="318">
        <v>97698108896</v>
      </c>
      <c r="B21773" s="318" t="s">
        <v>237</v>
      </c>
    </row>
    <row r="21774" spans="1:2" ht="12.75" customHeight="1" x14ac:dyDescent="0.25">
      <c r="A21774" s="318">
        <v>97698108898</v>
      </c>
      <c r="B21774" s="318" t="s">
        <v>236</v>
      </c>
    </row>
    <row r="21775" spans="1:2" ht="12.75" customHeight="1" x14ac:dyDescent="0.25">
      <c r="A21775" s="318">
        <v>97698108899</v>
      </c>
      <c r="B21775" s="318" t="s">
        <v>237</v>
      </c>
    </row>
    <row r="21776" spans="1:2" ht="12.75" customHeight="1" x14ac:dyDescent="0.25">
      <c r="A21776" s="318">
        <v>97698108900</v>
      </c>
      <c r="B21776" s="318" t="s">
        <v>236</v>
      </c>
    </row>
    <row r="21777" spans="1:2" ht="12.75" customHeight="1" x14ac:dyDescent="0.25">
      <c r="A21777" s="318">
        <v>97698108901</v>
      </c>
      <c r="B21777" s="318" t="s">
        <v>237</v>
      </c>
    </row>
    <row r="21778" spans="1:2" ht="12.75" customHeight="1" x14ac:dyDescent="0.25">
      <c r="A21778" s="318">
        <v>97698108902</v>
      </c>
      <c r="B21778" s="318" t="s">
        <v>236</v>
      </c>
    </row>
    <row r="21779" spans="1:2" ht="12.75" customHeight="1" x14ac:dyDescent="0.25">
      <c r="A21779" s="318">
        <v>97698108903</v>
      </c>
      <c r="B21779" s="318" t="s">
        <v>237</v>
      </c>
    </row>
    <row r="21780" spans="1:2" ht="12.75" customHeight="1" x14ac:dyDescent="0.25">
      <c r="A21780" s="318">
        <v>97698108904</v>
      </c>
      <c r="B21780" s="318" t="s">
        <v>236</v>
      </c>
    </row>
    <row r="21781" spans="1:2" ht="12.75" customHeight="1" x14ac:dyDescent="0.25">
      <c r="A21781" s="318">
        <v>97698108905</v>
      </c>
      <c r="B21781" s="318" t="s">
        <v>237</v>
      </c>
    </row>
    <row r="21782" spans="1:2" ht="12.75" customHeight="1" x14ac:dyDescent="0.25">
      <c r="A21782" s="318">
        <v>97698108989</v>
      </c>
      <c r="B21782" s="318" t="s">
        <v>236</v>
      </c>
    </row>
    <row r="21783" spans="1:2" ht="12.75" customHeight="1" x14ac:dyDescent="0.25">
      <c r="A21783" s="318">
        <v>97698108990</v>
      </c>
      <c r="B21783" s="318" t="s">
        <v>23</v>
      </c>
    </row>
    <row r="21784" spans="1:2" ht="12.75" customHeight="1" x14ac:dyDescent="0.25">
      <c r="A21784" s="318">
        <v>97698108991</v>
      </c>
      <c r="B21784" s="318" t="s">
        <v>236</v>
      </c>
    </row>
    <row r="21785" spans="1:2" ht="12.75" customHeight="1" x14ac:dyDescent="0.25">
      <c r="A21785" s="318">
        <v>97698108992</v>
      </c>
      <c r="B21785" s="318" t="s">
        <v>23</v>
      </c>
    </row>
    <row r="21786" spans="1:2" ht="12.75" customHeight="1" x14ac:dyDescent="0.25">
      <c r="A21786" s="318">
        <v>97698108993</v>
      </c>
      <c r="B21786" s="318" t="s">
        <v>236</v>
      </c>
    </row>
    <row r="21787" spans="1:2" ht="12.75" customHeight="1" x14ac:dyDescent="0.25">
      <c r="A21787" s="318">
        <v>97698108994</v>
      </c>
      <c r="B21787" s="318" t="s">
        <v>23</v>
      </c>
    </row>
    <row r="21788" spans="1:2" ht="12.75" customHeight="1" x14ac:dyDescent="0.25">
      <c r="A21788" s="318">
        <v>97698108995</v>
      </c>
      <c r="B21788" s="318" t="s">
        <v>236</v>
      </c>
    </row>
    <row r="21789" spans="1:2" ht="12.75" customHeight="1" x14ac:dyDescent="0.25">
      <c r="A21789" s="318">
        <v>97698108996</v>
      </c>
      <c r="B21789" s="318" t="s">
        <v>237</v>
      </c>
    </row>
    <row r="21790" spans="1:2" ht="12.75" customHeight="1" x14ac:dyDescent="0.25">
      <c r="A21790" s="318">
        <v>97698108998</v>
      </c>
      <c r="B21790" s="318" t="s">
        <v>236</v>
      </c>
    </row>
    <row r="21791" spans="1:2" ht="12.75" customHeight="1" x14ac:dyDescent="0.25">
      <c r="A21791" s="318">
        <v>97698108999</v>
      </c>
      <c r="B21791" s="318" t="s">
        <v>237</v>
      </c>
    </row>
    <row r="21792" spans="1:2" ht="12.75" customHeight="1" x14ac:dyDescent="0.25">
      <c r="A21792" s="318">
        <v>97698109000</v>
      </c>
      <c r="B21792" s="318" t="s">
        <v>236</v>
      </c>
    </row>
    <row r="21793" spans="1:2" ht="12.75" customHeight="1" x14ac:dyDescent="0.25">
      <c r="A21793" s="318">
        <v>97698109001</v>
      </c>
      <c r="B21793" s="318" t="s">
        <v>237</v>
      </c>
    </row>
    <row r="21794" spans="1:2" ht="12.75" customHeight="1" x14ac:dyDescent="0.25">
      <c r="A21794" s="318">
        <v>97698109002</v>
      </c>
      <c r="B21794" s="318" t="s">
        <v>236</v>
      </c>
    </row>
    <row r="21795" spans="1:2" ht="12.75" customHeight="1" x14ac:dyDescent="0.25">
      <c r="A21795" s="318">
        <v>97698109003</v>
      </c>
      <c r="B21795" s="318" t="s">
        <v>237</v>
      </c>
    </row>
    <row r="21796" spans="1:2" ht="12.75" customHeight="1" x14ac:dyDescent="0.25">
      <c r="A21796" s="318">
        <v>97698109004</v>
      </c>
      <c r="B21796" s="318" t="s">
        <v>236</v>
      </c>
    </row>
    <row r="21797" spans="1:2" ht="12.75" customHeight="1" x14ac:dyDescent="0.25">
      <c r="A21797" s="318">
        <v>97698109005</v>
      </c>
      <c r="B21797" s="318" t="s">
        <v>237</v>
      </c>
    </row>
    <row r="21798" spans="1:2" ht="12.75" customHeight="1" x14ac:dyDescent="0.25">
      <c r="A21798" s="318">
        <v>97698589862</v>
      </c>
      <c r="B21798" s="318" t="s">
        <v>236</v>
      </c>
    </row>
    <row r="21799" spans="1:2" ht="12.75" customHeight="1" x14ac:dyDescent="0.25">
      <c r="A21799" s="318">
        <v>97698589863</v>
      </c>
      <c r="B21799" s="318" t="s">
        <v>23</v>
      </c>
    </row>
    <row r="21800" spans="1:2" ht="12.75" customHeight="1" x14ac:dyDescent="0.25">
      <c r="A21800" s="318">
        <v>97698589864</v>
      </c>
      <c r="B21800" s="318" t="s">
        <v>236</v>
      </c>
    </row>
    <row r="21801" spans="1:2" ht="12.75" customHeight="1" x14ac:dyDescent="0.25">
      <c r="A21801" s="318">
        <v>97698589865</v>
      </c>
      <c r="B21801" s="318" t="s">
        <v>23</v>
      </c>
    </row>
    <row r="21802" spans="1:2" ht="12.75" customHeight="1" x14ac:dyDescent="0.25">
      <c r="A21802" s="318">
        <v>97698589866</v>
      </c>
      <c r="B21802" s="318" t="s">
        <v>236</v>
      </c>
    </row>
    <row r="21803" spans="1:2" ht="12.75" customHeight="1" x14ac:dyDescent="0.25">
      <c r="A21803" s="318">
        <v>97698589867</v>
      </c>
      <c r="B21803" s="318" t="s">
        <v>23</v>
      </c>
    </row>
    <row r="21804" spans="1:2" ht="12.75" customHeight="1" x14ac:dyDescent="0.25">
      <c r="A21804" s="318">
        <v>97698589868</v>
      </c>
      <c r="B21804" s="318" t="s">
        <v>236</v>
      </c>
    </row>
    <row r="21805" spans="1:2" ht="12.75" customHeight="1" x14ac:dyDescent="0.25">
      <c r="A21805" s="318">
        <v>97698589869</v>
      </c>
      <c r="B21805" s="318" t="s">
        <v>237</v>
      </c>
    </row>
    <row r="21806" spans="1:2" ht="12.75" customHeight="1" x14ac:dyDescent="0.25">
      <c r="A21806" s="318">
        <v>97698589871</v>
      </c>
      <c r="B21806" s="318" t="s">
        <v>236</v>
      </c>
    </row>
    <row r="21807" spans="1:2" ht="12.75" customHeight="1" x14ac:dyDescent="0.25">
      <c r="A21807" s="318">
        <v>97698589872</v>
      </c>
      <c r="B21807" s="318" t="s">
        <v>237</v>
      </c>
    </row>
    <row r="21808" spans="1:2" ht="12.75" customHeight="1" x14ac:dyDescent="0.25">
      <c r="A21808" s="318">
        <v>97698589873</v>
      </c>
      <c r="B21808" s="318" t="s">
        <v>236</v>
      </c>
    </row>
    <row r="21809" spans="1:2" ht="12.75" customHeight="1" x14ac:dyDescent="0.25">
      <c r="A21809" s="318">
        <v>97698589874</v>
      </c>
      <c r="B21809" s="318" t="s">
        <v>237</v>
      </c>
    </row>
    <row r="21810" spans="1:2" ht="12.75" customHeight="1" x14ac:dyDescent="0.25">
      <c r="A21810" s="318">
        <v>97698589875</v>
      </c>
      <c r="B21810" s="318" t="s">
        <v>236</v>
      </c>
    </row>
    <row r="21811" spans="1:2" ht="12.75" customHeight="1" x14ac:dyDescent="0.25">
      <c r="A21811" s="318">
        <v>97698589876</v>
      </c>
      <c r="B21811" s="318" t="s">
        <v>237</v>
      </c>
    </row>
    <row r="21812" spans="1:2" ht="12.75" customHeight="1" x14ac:dyDescent="0.25">
      <c r="A21812" s="318">
        <v>97698589877</v>
      </c>
      <c r="B21812" s="318" t="s">
        <v>236</v>
      </c>
    </row>
    <row r="21813" spans="1:2" ht="12.75" customHeight="1" x14ac:dyDescent="0.25">
      <c r="A21813" s="318">
        <v>97698589878</v>
      </c>
      <c r="B21813" s="318" t="s">
        <v>237</v>
      </c>
    </row>
    <row r="21814" spans="1:2" ht="12.75" customHeight="1" x14ac:dyDescent="0.25">
      <c r="A21814" s="318">
        <v>97698589962</v>
      </c>
      <c r="B21814" s="318" t="s">
        <v>236</v>
      </c>
    </row>
    <row r="21815" spans="1:2" ht="12.75" customHeight="1" x14ac:dyDescent="0.25">
      <c r="A21815" s="318">
        <v>97698589963</v>
      </c>
      <c r="B21815" s="318" t="s">
        <v>23</v>
      </c>
    </row>
    <row r="21816" spans="1:2" ht="12.75" customHeight="1" x14ac:dyDescent="0.25">
      <c r="A21816" s="318">
        <v>97698589964</v>
      </c>
      <c r="B21816" s="318" t="s">
        <v>236</v>
      </c>
    </row>
    <row r="21817" spans="1:2" ht="12.75" customHeight="1" x14ac:dyDescent="0.25">
      <c r="A21817" s="318">
        <v>97698589965</v>
      </c>
      <c r="B21817" s="318" t="s">
        <v>23</v>
      </c>
    </row>
    <row r="21818" spans="1:2" ht="12.75" customHeight="1" x14ac:dyDescent="0.25">
      <c r="A21818" s="318">
        <v>97698589966</v>
      </c>
      <c r="B21818" s="318" t="s">
        <v>236</v>
      </c>
    </row>
    <row r="21819" spans="1:2" ht="12.75" customHeight="1" x14ac:dyDescent="0.25">
      <c r="A21819" s="318">
        <v>97698589967</v>
      </c>
      <c r="B21819" s="318" t="s">
        <v>23</v>
      </c>
    </row>
    <row r="21820" spans="1:2" ht="12.75" customHeight="1" x14ac:dyDescent="0.25">
      <c r="A21820" s="318">
        <v>97698589968</v>
      </c>
      <c r="B21820" s="318" t="s">
        <v>236</v>
      </c>
    </row>
    <row r="21821" spans="1:2" ht="12.75" customHeight="1" x14ac:dyDescent="0.25">
      <c r="A21821" s="318">
        <v>97698589969</v>
      </c>
      <c r="B21821" s="318" t="s">
        <v>237</v>
      </c>
    </row>
    <row r="21822" spans="1:2" ht="12.75" customHeight="1" x14ac:dyDescent="0.25">
      <c r="A21822" s="318">
        <v>97698589971</v>
      </c>
      <c r="B21822" s="318" t="s">
        <v>236</v>
      </c>
    </row>
    <row r="21823" spans="1:2" ht="12.75" customHeight="1" x14ac:dyDescent="0.25">
      <c r="A21823" s="318">
        <v>97698589972</v>
      </c>
      <c r="B21823" s="318" t="s">
        <v>237</v>
      </c>
    </row>
    <row r="21824" spans="1:2" ht="12.75" customHeight="1" x14ac:dyDescent="0.25">
      <c r="A21824" s="318">
        <v>97698589973</v>
      </c>
      <c r="B21824" s="318" t="s">
        <v>236</v>
      </c>
    </row>
    <row r="21825" spans="1:2" ht="12.75" customHeight="1" x14ac:dyDescent="0.25">
      <c r="A21825" s="318">
        <v>97698589974</v>
      </c>
      <c r="B21825" s="318" t="s">
        <v>237</v>
      </c>
    </row>
    <row r="21826" spans="1:2" ht="12.75" customHeight="1" x14ac:dyDescent="0.25">
      <c r="A21826" s="318">
        <v>97698589975</v>
      </c>
      <c r="B21826" s="318" t="s">
        <v>236</v>
      </c>
    </row>
    <row r="21827" spans="1:2" ht="12.75" customHeight="1" x14ac:dyDescent="0.25">
      <c r="A21827" s="318">
        <v>97698589976</v>
      </c>
      <c r="B21827" s="318" t="s">
        <v>237</v>
      </c>
    </row>
    <row r="21828" spans="1:2" ht="12.75" customHeight="1" x14ac:dyDescent="0.25">
      <c r="A21828" s="318">
        <v>97698589977</v>
      </c>
      <c r="B21828" s="318" t="s">
        <v>236</v>
      </c>
    </row>
    <row r="21829" spans="1:2" ht="12.75" customHeight="1" x14ac:dyDescent="0.25">
      <c r="A21829" s="318">
        <v>97698589978</v>
      </c>
      <c r="B21829" s="318" t="s">
        <v>237</v>
      </c>
    </row>
    <row r="21830" spans="1:2" ht="12.75" customHeight="1" x14ac:dyDescent="0.25">
      <c r="A21830" s="318">
        <v>97699070835</v>
      </c>
      <c r="B21830" s="318" t="s">
        <v>236</v>
      </c>
    </row>
    <row r="21831" spans="1:2" ht="12.75" customHeight="1" x14ac:dyDescent="0.25">
      <c r="A21831" s="318">
        <v>97699070836</v>
      </c>
      <c r="B21831" s="318" t="s">
        <v>23</v>
      </c>
    </row>
    <row r="21832" spans="1:2" ht="12.75" customHeight="1" x14ac:dyDescent="0.25">
      <c r="A21832" s="318">
        <v>97699070837</v>
      </c>
      <c r="B21832" s="318" t="s">
        <v>236</v>
      </c>
    </row>
    <row r="21833" spans="1:2" ht="12.75" customHeight="1" x14ac:dyDescent="0.25">
      <c r="A21833" s="318">
        <v>97699070838</v>
      </c>
      <c r="B21833" s="318" t="s">
        <v>23</v>
      </c>
    </row>
    <row r="21834" spans="1:2" ht="12.75" customHeight="1" x14ac:dyDescent="0.25">
      <c r="A21834" s="318">
        <v>97699070839</v>
      </c>
      <c r="B21834" s="318" t="s">
        <v>236</v>
      </c>
    </row>
    <row r="21835" spans="1:2" ht="12.75" customHeight="1" x14ac:dyDescent="0.25">
      <c r="A21835" s="318">
        <v>97699070840</v>
      </c>
      <c r="B21835" s="318" t="s">
        <v>23</v>
      </c>
    </row>
    <row r="21836" spans="1:2" ht="12.75" customHeight="1" x14ac:dyDescent="0.25">
      <c r="A21836" s="318">
        <v>97699070841</v>
      </c>
      <c r="B21836" s="318" t="s">
        <v>236</v>
      </c>
    </row>
    <row r="21837" spans="1:2" ht="12.75" customHeight="1" x14ac:dyDescent="0.25">
      <c r="A21837" s="318">
        <v>97699070842</v>
      </c>
      <c r="B21837" s="318" t="s">
        <v>237</v>
      </c>
    </row>
    <row r="21838" spans="1:2" ht="12.75" customHeight="1" x14ac:dyDescent="0.25">
      <c r="A21838" s="318">
        <v>97699070844</v>
      </c>
      <c r="B21838" s="318" t="s">
        <v>236</v>
      </c>
    </row>
    <row r="21839" spans="1:2" ht="12.75" customHeight="1" x14ac:dyDescent="0.25">
      <c r="A21839" s="318">
        <v>97699070845</v>
      </c>
      <c r="B21839" s="318" t="s">
        <v>237</v>
      </c>
    </row>
    <row r="21840" spans="1:2" ht="12.75" customHeight="1" x14ac:dyDescent="0.25">
      <c r="A21840" s="318">
        <v>97699070846</v>
      </c>
      <c r="B21840" s="318" t="s">
        <v>236</v>
      </c>
    </row>
    <row r="21841" spans="1:2" ht="12.75" customHeight="1" x14ac:dyDescent="0.25">
      <c r="A21841" s="318">
        <v>97699070847</v>
      </c>
      <c r="B21841" s="318" t="s">
        <v>237</v>
      </c>
    </row>
    <row r="21842" spans="1:2" ht="12.75" customHeight="1" x14ac:dyDescent="0.25">
      <c r="A21842" s="318">
        <v>97699070848</v>
      </c>
      <c r="B21842" s="318" t="s">
        <v>236</v>
      </c>
    </row>
    <row r="21843" spans="1:2" ht="12.75" customHeight="1" x14ac:dyDescent="0.25">
      <c r="A21843" s="318">
        <v>97699070849</v>
      </c>
      <c r="B21843" s="318" t="s">
        <v>237</v>
      </c>
    </row>
    <row r="21844" spans="1:2" ht="12.75" customHeight="1" x14ac:dyDescent="0.25">
      <c r="A21844" s="318">
        <v>97699070850</v>
      </c>
      <c r="B21844" s="318" t="s">
        <v>236</v>
      </c>
    </row>
    <row r="21845" spans="1:2" ht="12.75" customHeight="1" x14ac:dyDescent="0.25">
      <c r="A21845" s="318">
        <v>97699070851</v>
      </c>
      <c r="B21845" s="318" t="s">
        <v>237</v>
      </c>
    </row>
    <row r="21846" spans="1:2" ht="12.75" customHeight="1" x14ac:dyDescent="0.25">
      <c r="A21846" s="318">
        <v>97699070935</v>
      </c>
      <c r="B21846" s="318" t="s">
        <v>236</v>
      </c>
    </row>
    <row r="21847" spans="1:2" ht="12.75" customHeight="1" x14ac:dyDescent="0.25">
      <c r="A21847" s="318">
        <v>97699070936</v>
      </c>
      <c r="B21847" s="318" t="s">
        <v>23</v>
      </c>
    </row>
    <row r="21848" spans="1:2" ht="12.75" customHeight="1" x14ac:dyDescent="0.25">
      <c r="A21848" s="318">
        <v>97699070937</v>
      </c>
      <c r="B21848" s="318" t="s">
        <v>236</v>
      </c>
    </row>
    <row r="21849" spans="1:2" ht="12.75" customHeight="1" x14ac:dyDescent="0.25">
      <c r="A21849" s="318">
        <v>97699070938</v>
      </c>
      <c r="B21849" s="318" t="s">
        <v>23</v>
      </c>
    </row>
    <row r="21850" spans="1:2" ht="12.75" customHeight="1" x14ac:dyDescent="0.25">
      <c r="A21850" s="318">
        <v>97699070939</v>
      </c>
      <c r="B21850" s="318" t="s">
        <v>236</v>
      </c>
    </row>
    <row r="21851" spans="1:2" ht="12.75" customHeight="1" x14ac:dyDescent="0.25">
      <c r="A21851" s="318">
        <v>97699070940</v>
      </c>
      <c r="B21851" s="318" t="s">
        <v>23</v>
      </c>
    </row>
    <row r="21852" spans="1:2" ht="12.75" customHeight="1" x14ac:dyDescent="0.25">
      <c r="A21852" s="318">
        <v>97699070941</v>
      </c>
      <c r="B21852" s="318" t="s">
        <v>236</v>
      </c>
    </row>
    <row r="21853" spans="1:2" ht="12.75" customHeight="1" x14ac:dyDescent="0.25">
      <c r="A21853" s="318">
        <v>97699070942</v>
      </c>
      <c r="B21853" s="318" t="s">
        <v>237</v>
      </c>
    </row>
    <row r="21854" spans="1:2" ht="12.75" customHeight="1" x14ac:dyDescent="0.25">
      <c r="A21854" s="318">
        <v>97699070944</v>
      </c>
      <c r="B21854" s="318" t="s">
        <v>236</v>
      </c>
    </row>
    <row r="21855" spans="1:2" ht="12.75" customHeight="1" x14ac:dyDescent="0.25">
      <c r="A21855" s="318">
        <v>97699070945</v>
      </c>
      <c r="B21855" s="318" t="s">
        <v>237</v>
      </c>
    </row>
    <row r="21856" spans="1:2" ht="12.75" customHeight="1" x14ac:dyDescent="0.25">
      <c r="A21856" s="318">
        <v>97699070946</v>
      </c>
      <c r="B21856" s="318" t="s">
        <v>236</v>
      </c>
    </row>
    <row r="21857" spans="1:2" ht="12.75" customHeight="1" x14ac:dyDescent="0.25">
      <c r="A21857" s="318">
        <v>97699070947</v>
      </c>
      <c r="B21857" s="318" t="s">
        <v>237</v>
      </c>
    </row>
    <row r="21858" spans="1:2" ht="12.75" customHeight="1" x14ac:dyDescent="0.25">
      <c r="A21858" s="318">
        <v>97699070948</v>
      </c>
      <c r="B21858" s="318" t="s">
        <v>236</v>
      </c>
    </row>
    <row r="21859" spans="1:2" ht="12.75" customHeight="1" x14ac:dyDescent="0.25">
      <c r="A21859" s="318">
        <v>97699070949</v>
      </c>
      <c r="B21859" s="318" t="s">
        <v>237</v>
      </c>
    </row>
    <row r="21860" spans="1:2" ht="12.75" customHeight="1" x14ac:dyDescent="0.25">
      <c r="A21860" s="318">
        <v>97699070950</v>
      </c>
      <c r="B21860" s="318" t="s">
        <v>236</v>
      </c>
    </row>
    <row r="21861" spans="1:2" ht="12.75" customHeight="1" x14ac:dyDescent="0.25">
      <c r="A21861" s="318">
        <v>97699070951</v>
      </c>
      <c r="B21861" s="318" t="s">
        <v>237</v>
      </c>
    </row>
    <row r="21862" spans="1:2" ht="12.75" customHeight="1" x14ac:dyDescent="0.25">
      <c r="A21862" s="318">
        <v>97699751026</v>
      </c>
      <c r="B21862" s="318" t="s">
        <v>236</v>
      </c>
    </row>
    <row r="21863" spans="1:2" ht="12.75" customHeight="1" x14ac:dyDescent="0.25">
      <c r="A21863" s="318">
        <v>97699751027</v>
      </c>
      <c r="B21863" s="318" t="s">
        <v>23</v>
      </c>
    </row>
    <row r="21864" spans="1:2" ht="12.75" customHeight="1" x14ac:dyDescent="0.25">
      <c r="A21864" s="318">
        <v>97699751028</v>
      </c>
      <c r="B21864" s="318" t="s">
        <v>236</v>
      </c>
    </row>
    <row r="21865" spans="1:2" ht="12.75" customHeight="1" x14ac:dyDescent="0.25">
      <c r="A21865" s="318">
        <v>97699751029</v>
      </c>
      <c r="B21865" s="318" t="s">
        <v>23</v>
      </c>
    </row>
    <row r="21866" spans="1:2" ht="12.75" customHeight="1" x14ac:dyDescent="0.25">
      <c r="A21866" s="318">
        <v>97699751030</v>
      </c>
      <c r="B21866" s="318" t="s">
        <v>236</v>
      </c>
    </row>
    <row r="21867" spans="1:2" ht="12.75" customHeight="1" x14ac:dyDescent="0.25">
      <c r="A21867" s="318">
        <v>97699751031</v>
      </c>
      <c r="B21867" s="318" t="s">
        <v>23</v>
      </c>
    </row>
    <row r="21868" spans="1:2" ht="12.75" customHeight="1" x14ac:dyDescent="0.25">
      <c r="A21868" s="318">
        <v>97699751032</v>
      </c>
      <c r="B21868" s="318" t="s">
        <v>236</v>
      </c>
    </row>
    <row r="21869" spans="1:2" ht="12.75" customHeight="1" x14ac:dyDescent="0.25">
      <c r="A21869" s="318">
        <v>97699751033</v>
      </c>
      <c r="B21869" s="318" t="s">
        <v>237</v>
      </c>
    </row>
    <row r="21870" spans="1:2" ht="12.75" customHeight="1" x14ac:dyDescent="0.25">
      <c r="A21870" s="318">
        <v>97699751035</v>
      </c>
      <c r="B21870" s="318" t="s">
        <v>236</v>
      </c>
    </row>
    <row r="21871" spans="1:2" ht="12.75" customHeight="1" x14ac:dyDescent="0.25">
      <c r="A21871" s="318">
        <v>97699751036</v>
      </c>
      <c r="B21871" s="318" t="s">
        <v>237</v>
      </c>
    </row>
    <row r="21872" spans="1:2" ht="12.75" customHeight="1" x14ac:dyDescent="0.25">
      <c r="A21872" s="318">
        <v>97699751037</v>
      </c>
      <c r="B21872" s="318" t="s">
        <v>236</v>
      </c>
    </row>
    <row r="21873" spans="1:2" ht="12.75" customHeight="1" x14ac:dyDescent="0.25">
      <c r="A21873" s="318">
        <v>97699751038</v>
      </c>
      <c r="B21873" s="318" t="s">
        <v>237</v>
      </c>
    </row>
    <row r="21874" spans="1:2" ht="12.75" customHeight="1" x14ac:dyDescent="0.25">
      <c r="A21874" s="318">
        <v>97699751039</v>
      </c>
      <c r="B21874" s="318" t="s">
        <v>236</v>
      </c>
    </row>
    <row r="21875" spans="1:2" ht="12.75" customHeight="1" x14ac:dyDescent="0.25">
      <c r="A21875" s="318">
        <v>97699751040</v>
      </c>
      <c r="B21875" s="318" t="s">
        <v>237</v>
      </c>
    </row>
    <row r="21876" spans="1:2" ht="12.75" customHeight="1" x14ac:dyDescent="0.25">
      <c r="A21876" s="318">
        <v>97699751041</v>
      </c>
      <c r="B21876" s="318" t="s">
        <v>236</v>
      </c>
    </row>
    <row r="21877" spans="1:2" ht="12.75" customHeight="1" x14ac:dyDescent="0.25">
      <c r="A21877" s="318">
        <v>97699751042</v>
      </c>
      <c r="B21877" s="318" t="s">
        <v>237</v>
      </c>
    </row>
    <row r="21878" spans="1:2" ht="12.75" customHeight="1" x14ac:dyDescent="0.25">
      <c r="A21878" s="318">
        <v>97699751126</v>
      </c>
      <c r="B21878" s="318" t="s">
        <v>236</v>
      </c>
    </row>
    <row r="21879" spans="1:2" ht="12.75" customHeight="1" x14ac:dyDescent="0.25">
      <c r="A21879" s="318">
        <v>97699751127</v>
      </c>
      <c r="B21879" s="318" t="s">
        <v>23</v>
      </c>
    </row>
    <row r="21880" spans="1:2" ht="12.75" customHeight="1" x14ac:dyDescent="0.25">
      <c r="A21880" s="318">
        <v>97699751128</v>
      </c>
      <c r="B21880" s="318" t="s">
        <v>236</v>
      </c>
    </row>
    <row r="21881" spans="1:2" ht="12.75" customHeight="1" x14ac:dyDescent="0.25">
      <c r="A21881" s="318">
        <v>97699751129</v>
      </c>
      <c r="B21881" s="318" t="s">
        <v>23</v>
      </c>
    </row>
    <row r="21882" spans="1:2" ht="12.75" customHeight="1" x14ac:dyDescent="0.25">
      <c r="A21882" s="318">
        <v>97699751130</v>
      </c>
      <c r="B21882" s="318" t="s">
        <v>236</v>
      </c>
    </row>
    <row r="21883" spans="1:2" ht="12.75" customHeight="1" x14ac:dyDescent="0.25">
      <c r="A21883" s="318">
        <v>97699751131</v>
      </c>
      <c r="B21883" s="318" t="s">
        <v>23</v>
      </c>
    </row>
    <row r="21884" spans="1:2" ht="12.75" customHeight="1" x14ac:dyDescent="0.25">
      <c r="A21884" s="318">
        <v>97699751132</v>
      </c>
      <c r="B21884" s="318" t="s">
        <v>236</v>
      </c>
    </row>
    <row r="21885" spans="1:2" ht="12.75" customHeight="1" x14ac:dyDescent="0.25">
      <c r="A21885" s="318">
        <v>97699751133</v>
      </c>
      <c r="B21885" s="318" t="s">
        <v>237</v>
      </c>
    </row>
    <row r="21886" spans="1:2" ht="12.75" customHeight="1" x14ac:dyDescent="0.25">
      <c r="A21886" s="318">
        <v>97699751135</v>
      </c>
      <c r="B21886" s="318" t="s">
        <v>236</v>
      </c>
    </row>
    <row r="21887" spans="1:2" ht="12.75" customHeight="1" x14ac:dyDescent="0.25">
      <c r="A21887" s="318">
        <v>97699751136</v>
      </c>
      <c r="B21887" s="318" t="s">
        <v>237</v>
      </c>
    </row>
    <row r="21888" spans="1:2" ht="12.75" customHeight="1" x14ac:dyDescent="0.25">
      <c r="A21888" s="318">
        <v>97699751137</v>
      </c>
      <c r="B21888" s="318" t="s">
        <v>236</v>
      </c>
    </row>
    <row r="21889" spans="1:2" ht="12.75" customHeight="1" x14ac:dyDescent="0.25">
      <c r="A21889" s="318">
        <v>97699751138</v>
      </c>
      <c r="B21889" s="318" t="s">
        <v>237</v>
      </c>
    </row>
    <row r="21890" spans="1:2" ht="12.75" customHeight="1" x14ac:dyDescent="0.25">
      <c r="A21890" s="318">
        <v>97699751139</v>
      </c>
      <c r="B21890" s="318" t="s">
        <v>236</v>
      </c>
    </row>
    <row r="21891" spans="1:2" ht="12.75" customHeight="1" x14ac:dyDescent="0.25">
      <c r="A21891" s="318">
        <v>97699751140</v>
      </c>
      <c r="B21891" s="318" t="s">
        <v>237</v>
      </c>
    </row>
    <row r="21892" spans="1:2" ht="12.75" customHeight="1" x14ac:dyDescent="0.25">
      <c r="A21892" s="318">
        <v>97699751141</v>
      </c>
      <c r="B21892" s="318" t="s">
        <v>236</v>
      </c>
    </row>
    <row r="21893" spans="1:2" ht="12.75" customHeight="1" x14ac:dyDescent="0.25">
      <c r="A21893" s="318">
        <v>97699751142</v>
      </c>
      <c r="B21893" s="318" t="s">
        <v>237</v>
      </c>
    </row>
    <row r="21894" spans="1:2" ht="12.75" customHeight="1" x14ac:dyDescent="0.25">
      <c r="A21894" s="318">
        <v>97700231999</v>
      </c>
      <c r="B21894" s="318" t="s">
        <v>236</v>
      </c>
    </row>
    <row r="21895" spans="1:2" ht="12.75" customHeight="1" x14ac:dyDescent="0.25">
      <c r="A21895" s="318">
        <v>97700232000</v>
      </c>
      <c r="B21895" s="318" t="s">
        <v>23</v>
      </c>
    </row>
    <row r="21896" spans="1:2" ht="12.75" customHeight="1" x14ac:dyDescent="0.25">
      <c r="A21896" s="318">
        <v>97700232001</v>
      </c>
      <c r="B21896" s="318" t="s">
        <v>236</v>
      </c>
    </row>
    <row r="21897" spans="1:2" ht="12.75" customHeight="1" x14ac:dyDescent="0.25">
      <c r="A21897" s="318">
        <v>97700232002</v>
      </c>
      <c r="B21897" s="318" t="s">
        <v>23</v>
      </c>
    </row>
    <row r="21898" spans="1:2" ht="12.75" customHeight="1" x14ac:dyDescent="0.25">
      <c r="A21898" s="318">
        <v>97700232003</v>
      </c>
      <c r="B21898" s="318" t="s">
        <v>236</v>
      </c>
    </row>
    <row r="21899" spans="1:2" ht="12.75" customHeight="1" x14ac:dyDescent="0.25">
      <c r="A21899" s="318">
        <v>97700232004</v>
      </c>
      <c r="B21899" s="318" t="s">
        <v>23</v>
      </c>
    </row>
    <row r="21900" spans="1:2" ht="12.75" customHeight="1" x14ac:dyDescent="0.25">
      <c r="A21900" s="318">
        <v>97700232005</v>
      </c>
      <c r="B21900" s="318" t="s">
        <v>236</v>
      </c>
    </row>
    <row r="21901" spans="1:2" ht="12.75" customHeight="1" x14ac:dyDescent="0.25">
      <c r="A21901" s="318">
        <v>97700232006</v>
      </c>
      <c r="B21901" s="318" t="s">
        <v>237</v>
      </c>
    </row>
    <row r="21902" spans="1:2" ht="12.75" customHeight="1" x14ac:dyDescent="0.25">
      <c r="A21902" s="318">
        <v>97700232008</v>
      </c>
      <c r="B21902" s="318" t="s">
        <v>236</v>
      </c>
    </row>
    <row r="21903" spans="1:2" ht="12.75" customHeight="1" x14ac:dyDescent="0.25">
      <c r="A21903" s="318">
        <v>97700232009</v>
      </c>
      <c r="B21903" s="318" t="s">
        <v>237</v>
      </c>
    </row>
    <row r="21904" spans="1:2" ht="12.75" customHeight="1" x14ac:dyDescent="0.25">
      <c r="A21904" s="318">
        <v>97700232010</v>
      </c>
      <c r="B21904" s="318" t="s">
        <v>236</v>
      </c>
    </row>
    <row r="21905" spans="1:2" ht="12.75" customHeight="1" x14ac:dyDescent="0.25">
      <c r="A21905" s="318">
        <v>97700232011</v>
      </c>
      <c r="B21905" s="318" t="s">
        <v>237</v>
      </c>
    </row>
    <row r="21906" spans="1:2" ht="12.75" customHeight="1" x14ac:dyDescent="0.25">
      <c r="A21906" s="318">
        <v>97700232012</v>
      </c>
      <c r="B21906" s="318" t="s">
        <v>236</v>
      </c>
    </row>
    <row r="21907" spans="1:2" ht="12.75" customHeight="1" x14ac:dyDescent="0.25">
      <c r="A21907" s="318">
        <v>97700232013</v>
      </c>
      <c r="B21907" s="318" t="s">
        <v>237</v>
      </c>
    </row>
    <row r="21908" spans="1:2" ht="12.75" customHeight="1" x14ac:dyDescent="0.25">
      <c r="A21908" s="318">
        <v>97700232014</v>
      </c>
      <c r="B21908" s="318" t="s">
        <v>236</v>
      </c>
    </row>
    <row r="21909" spans="1:2" ht="12.75" customHeight="1" x14ac:dyDescent="0.25">
      <c r="A21909" s="318">
        <v>97700232015</v>
      </c>
      <c r="B21909" s="318" t="s">
        <v>237</v>
      </c>
    </row>
    <row r="21910" spans="1:2" ht="12.75" customHeight="1" x14ac:dyDescent="0.25">
      <c r="A21910" s="318">
        <v>97700232099</v>
      </c>
      <c r="B21910" s="318" t="s">
        <v>236</v>
      </c>
    </row>
    <row r="21911" spans="1:2" ht="12.75" customHeight="1" x14ac:dyDescent="0.25">
      <c r="A21911" s="318">
        <v>97700232100</v>
      </c>
      <c r="B21911" s="318" t="s">
        <v>23</v>
      </c>
    </row>
    <row r="21912" spans="1:2" ht="12.75" customHeight="1" x14ac:dyDescent="0.25">
      <c r="A21912" s="318">
        <v>97700232101</v>
      </c>
      <c r="B21912" s="318" t="s">
        <v>236</v>
      </c>
    </row>
    <row r="21913" spans="1:2" ht="12.75" customHeight="1" x14ac:dyDescent="0.25">
      <c r="A21913" s="318">
        <v>97700232102</v>
      </c>
      <c r="B21913" s="318" t="s">
        <v>23</v>
      </c>
    </row>
    <row r="21914" spans="1:2" ht="12.75" customHeight="1" x14ac:dyDescent="0.25">
      <c r="A21914" s="318">
        <v>97700232103</v>
      </c>
      <c r="B21914" s="318" t="s">
        <v>236</v>
      </c>
    </row>
    <row r="21915" spans="1:2" ht="12.75" customHeight="1" x14ac:dyDescent="0.25">
      <c r="A21915" s="318">
        <v>97700232104</v>
      </c>
      <c r="B21915" s="318" t="s">
        <v>23</v>
      </c>
    </row>
    <row r="21916" spans="1:2" ht="12.75" customHeight="1" x14ac:dyDescent="0.25">
      <c r="A21916" s="318">
        <v>97700232105</v>
      </c>
      <c r="B21916" s="318" t="s">
        <v>236</v>
      </c>
    </row>
    <row r="21917" spans="1:2" ht="12.75" customHeight="1" x14ac:dyDescent="0.25">
      <c r="A21917" s="318">
        <v>97700232106</v>
      </c>
      <c r="B21917" s="318" t="s">
        <v>237</v>
      </c>
    </row>
    <row r="21918" spans="1:2" ht="12.75" customHeight="1" x14ac:dyDescent="0.25">
      <c r="A21918" s="318">
        <v>97700232108</v>
      </c>
      <c r="B21918" s="318" t="s">
        <v>236</v>
      </c>
    </row>
    <row r="21919" spans="1:2" ht="12.75" customHeight="1" x14ac:dyDescent="0.25">
      <c r="A21919" s="318">
        <v>97700232109</v>
      </c>
      <c r="B21919" s="318" t="s">
        <v>237</v>
      </c>
    </row>
    <row r="21920" spans="1:2" ht="12.75" customHeight="1" x14ac:dyDescent="0.25">
      <c r="A21920" s="318">
        <v>97700232110</v>
      </c>
      <c r="B21920" s="318" t="s">
        <v>236</v>
      </c>
    </row>
    <row r="21921" spans="1:2" ht="12.75" customHeight="1" x14ac:dyDescent="0.25">
      <c r="A21921" s="318">
        <v>97700232111</v>
      </c>
      <c r="B21921" s="318" t="s">
        <v>237</v>
      </c>
    </row>
    <row r="21922" spans="1:2" ht="12.75" customHeight="1" x14ac:dyDescent="0.25">
      <c r="A21922" s="318">
        <v>97700232112</v>
      </c>
      <c r="B21922" s="318" t="s">
        <v>236</v>
      </c>
    </row>
    <row r="21923" spans="1:2" ht="12.75" customHeight="1" x14ac:dyDescent="0.25">
      <c r="A21923" s="318">
        <v>97700232113</v>
      </c>
      <c r="B21923" s="318" t="s">
        <v>237</v>
      </c>
    </row>
    <row r="21924" spans="1:2" ht="12.75" customHeight="1" x14ac:dyDescent="0.25">
      <c r="A21924" s="318">
        <v>97700232114</v>
      </c>
      <c r="B21924" s="318" t="s">
        <v>236</v>
      </c>
    </row>
    <row r="21925" spans="1:2" ht="12.75" customHeight="1" x14ac:dyDescent="0.25">
      <c r="A21925" s="318">
        <v>97700232115</v>
      </c>
      <c r="B21925" s="318" t="s">
        <v>237</v>
      </c>
    </row>
    <row r="21926" spans="1:2" ht="12.75" customHeight="1" x14ac:dyDescent="0.25">
      <c r="A21926" s="318">
        <v>97700712972</v>
      </c>
      <c r="B21926" s="318" t="s">
        <v>236</v>
      </c>
    </row>
    <row r="21927" spans="1:2" ht="12.75" customHeight="1" x14ac:dyDescent="0.25">
      <c r="A21927" s="318">
        <v>97700712973</v>
      </c>
      <c r="B21927" s="318" t="s">
        <v>23</v>
      </c>
    </row>
    <row r="21928" spans="1:2" ht="12.75" customHeight="1" x14ac:dyDescent="0.25">
      <c r="A21928" s="318">
        <v>97700712974</v>
      </c>
      <c r="B21928" s="318" t="s">
        <v>236</v>
      </c>
    </row>
    <row r="21929" spans="1:2" ht="12.75" customHeight="1" x14ac:dyDescent="0.25">
      <c r="A21929" s="318">
        <v>97700712975</v>
      </c>
      <c r="B21929" s="318" t="s">
        <v>23</v>
      </c>
    </row>
    <row r="21930" spans="1:2" ht="12.75" customHeight="1" x14ac:dyDescent="0.25">
      <c r="A21930" s="318">
        <v>97700712976</v>
      </c>
      <c r="B21930" s="318" t="s">
        <v>236</v>
      </c>
    </row>
    <row r="21931" spans="1:2" ht="12.75" customHeight="1" x14ac:dyDescent="0.25">
      <c r="A21931" s="318">
        <v>97700712977</v>
      </c>
      <c r="B21931" s="318" t="s">
        <v>23</v>
      </c>
    </row>
    <row r="21932" spans="1:2" ht="12.75" customHeight="1" x14ac:dyDescent="0.25">
      <c r="A21932" s="318">
        <v>97700712978</v>
      </c>
      <c r="B21932" s="318" t="s">
        <v>236</v>
      </c>
    </row>
    <row r="21933" spans="1:2" ht="12.75" customHeight="1" x14ac:dyDescent="0.25">
      <c r="A21933" s="318">
        <v>97700712979</v>
      </c>
      <c r="B21933" s="318" t="s">
        <v>237</v>
      </c>
    </row>
    <row r="21934" spans="1:2" ht="12.75" customHeight="1" x14ac:dyDescent="0.25">
      <c r="A21934" s="318">
        <v>97700712981</v>
      </c>
      <c r="B21934" s="318" t="s">
        <v>236</v>
      </c>
    </row>
    <row r="21935" spans="1:2" ht="12.75" customHeight="1" x14ac:dyDescent="0.25">
      <c r="A21935" s="318">
        <v>97700712982</v>
      </c>
      <c r="B21935" s="318" t="s">
        <v>237</v>
      </c>
    </row>
    <row r="21936" spans="1:2" ht="12.75" customHeight="1" x14ac:dyDescent="0.25">
      <c r="A21936" s="318">
        <v>97700712983</v>
      </c>
      <c r="B21936" s="318" t="s">
        <v>236</v>
      </c>
    </row>
    <row r="21937" spans="1:2" ht="12.75" customHeight="1" x14ac:dyDescent="0.25">
      <c r="A21937" s="318">
        <v>97700712984</v>
      </c>
      <c r="B21937" s="318" t="s">
        <v>237</v>
      </c>
    </row>
    <row r="21938" spans="1:2" ht="12.75" customHeight="1" x14ac:dyDescent="0.25">
      <c r="A21938" s="318">
        <v>97700712985</v>
      </c>
      <c r="B21938" s="318" t="s">
        <v>236</v>
      </c>
    </row>
    <row r="21939" spans="1:2" ht="12.75" customHeight="1" x14ac:dyDescent="0.25">
      <c r="A21939" s="318">
        <v>97700712986</v>
      </c>
      <c r="B21939" s="318" t="s">
        <v>237</v>
      </c>
    </row>
    <row r="21940" spans="1:2" ht="12.75" customHeight="1" x14ac:dyDescent="0.25">
      <c r="A21940" s="318">
        <v>97700712987</v>
      </c>
      <c r="B21940" s="318" t="s">
        <v>236</v>
      </c>
    </row>
    <row r="21941" spans="1:2" ht="12.75" customHeight="1" x14ac:dyDescent="0.25">
      <c r="A21941" s="318">
        <v>97700712988</v>
      </c>
      <c r="B21941" s="318" t="s">
        <v>237</v>
      </c>
    </row>
    <row r="21942" spans="1:2" ht="12.75" customHeight="1" x14ac:dyDescent="0.25">
      <c r="A21942" s="318">
        <v>97700713072</v>
      </c>
      <c r="B21942" s="318" t="s">
        <v>236</v>
      </c>
    </row>
    <row r="21943" spans="1:2" ht="12.75" customHeight="1" x14ac:dyDescent="0.25">
      <c r="A21943" s="318">
        <v>97700713073</v>
      </c>
      <c r="B21943" s="318" t="s">
        <v>23</v>
      </c>
    </row>
    <row r="21944" spans="1:2" ht="12.75" customHeight="1" x14ac:dyDescent="0.25">
      <c r="A21944" s="318">
        <v>97700713074</v>
      </c>
      <c r="B21944" s="318" t="s">
        <v>236</v>
      </c>
    </row>
    <row r="21945" spans="1:2" ht="12.75" customHeight="1" x14ac:dyDescent="0.25">
      <c r="A21945" s="318">
        <v>97700713075</v>
      </c>
      <c r="B21945" s="318" t="s">
        <v>23</v>
      </c>
    </row>
    <row r="21946" spans="1:2" ht="12.75" customHeight="1" x14ac:dyDescent="0.25">
      <c r="A21946" s="318">
        <v>97700713076</v>
      </c>
      <c r="B21946" s="318" t="s">
        <v>236</v>
      </c>
    </row>
    <row r="21947" spans="1:2" ht="12.75" customHeight="1" x14ac:dyDescent="0.25">
      <c r="A21947" s="318">
        <v>97700713077</v>
      </c>
      <c r="B21947" s="318" t="s">
        <v>23</v>
      </c>
    </row>
    <row r="21948" spans="1:2" ht="12.75" customHeight="1" x14ac:dyDescent="0.25">
      <c r="A21948" s="318">
        <v>97700713078</v>
      </c>
      <c r="B21948" s="318" t="s">
        <v>236</v>
      </c>
    </row>
    <row r="21949" spans="1:2" ht="12.75" customHeight="1" x14ac:dyDescent="0.25">
      <c r="A21949" s="318">
        <v>97700713079</v>
      </c>
      <c r="B21949" s="318" t="s">
        <v>237</v>
      </c>
    </row>
    <row r="21950" spans="1:2" ht="12.75" customHeight="1" x14ac:dyDescent="0.25">
      <c r="A21950" s="318">
        <v>97700713081</v>
      </c>
      <c r="B21950" s="318" t="s">
        <v>236</v>
      </c>
    </row>
    <row r="21951" spans="1:2" ht="12.75" customHeight="1" x14ac:dyDescent="0.25">
      <c r="A21951" s="318">
        <v>97700713082</v>
      </c>
      <c r="B21951" s="318" t="s">
        <v>237</v>
      </c>
    </row>
    <row r="21952" spans="1:2" ht="12.75" customHeight="1" x14ac:dyDescent="0.25">
      <c r="A21952" s="318">
        <v>97700713083</v>
      </c>
      <c r="B21952" s="318" t="s">
        <v>236</v>
      </c>
    </row>
    <row r="21953" spans="1:2" ht="12.75" customHeight="1" x14ac:dyDescent="0.25">
      <c r="A21953" s="318">
        <v>97700713084</v>
      </c>
      <c r="B21953" s="318" t="s">
        <v>237</v>
      </c>
    </row>
    <row r="21954" spans="1:2" ht="12.75" customHeight="1" x14ac:dyDescent="0.25">
      <c r="A21954" s="318">
        <v>97700713085</v>
      </c>
      <c r="B21954" s="318" t="s">
        <v>236</v>
      </c>
    </row>
    <row r="21955" spans="1:2" ht="12.75" customHeight="1" x14ac:dyDescent="0.25">
      <c r="A21955" s="318">
        <v>97700713086</v>
      </c>
      <c r="B21955" s="318" t="s">
        <v>237</v>
      </c>
    </row>
    <row r="21956" spans="1:2" ht="12.75" customHeight="1" x14ac:dyDescent="0.25">
      <c r="A21956" s="318">
        <v>97700713087</v>
      </c>
      <c r="B21956" s="318" t="s">
        <v>236</v>
      </c>
    </row>
    <row r="21957" spans="1:2" ht="12.75" customHeight="1" x14ac:dyDescent="0.25">
      <c r="A21957" s="318">
        <v>97700713088</v>
      </c>
      <c r="B21957" s="318" t="s">
        <v>237</v>
      </c>
    </row>
    <row r="21958" spans="1:2" ht="12.75" customHeight="1" x14ac:dyDescent="0.25">
      <c r="A21958" s="318">
        <v>97701393163</v>
      </c>
      <c r="B21958" s="318" t="s">
        <v>236</v>
      </c>
    </row>
    <row r="21959" spans="1:2" ht="12.75" customHeight="1" x14ac:dyDescent="0.25">
      <c r="A21959" s="318">
        <v>97701393164</v>
      </c>
      <c r="B21959" s="318" t="s">
        <v>23</v>
      </c>
    </row>
    <row r="21960" spans="1:2" ht="12.75" customHeight="1" x14ac:dyDescent="0.25">
      <c r="A21960" s="318">
        <v>97701393165</v>
      </c>
      <c r="B21960" s="318" t="s">
        <v>236</v>
      </c>
    </row>
    <row r="21961" spans="1:2" ht="12.75" customHeight="1" x14ac:dyDescent="0.25">
      <c r="A21961" s="318">
        <v>97701393166</v>
      </c>
      <c r="B21961" s="318" t="s">
        <v>23</v>
      </c>
    </row>
    <row r="21962" spans="1:2" ht="12.75" customHeight="1" x14ac:dyDescent="0.25">
      <c r="A21962" s="318">
        <v>97701393167</v>
      </c>
      <c r="B21962" s="318" t="s">
        <v>236</v>
      </c>
    </row>
    <row r="21963" spans="1:2" ht="12.75" customHeight="1" x14ac:dyDescent="0.25">
      <c r="A21963" s="318">
        <v>97701393168</v>
      </c>
      <c r="B21963" s="318" t="s">
        <v>23</v>
      </c>
    </row>
    <row r="21964" spans="1:2" ht="12.75" customHeight="1" x14ac:dyDescent="0.25">
      <c r="A21964" s="318">
        <v>97701393169</v>
      </c>
      <c r="B21964" s="318" t="s">
        <v>236</v>
      </c>
    </row>
    <row r="21965" spans="1:2" ht="12.75" customHeight="1" x14ac:dyDescent="0.25">
      <c r="A21965" s="318">
        <v>97701393170</v>
      </c>
      <c r="B21965" s="318" t="s">
        <v>237</v>
      </c>
    </row>
    <row r="21966" spans="1:2" ht="12.75" customHeight="1" x14ac:dyDescent="0.25">
      <c r="A21966" s="318">
        <v>97701393172</v>
      </c>
      <c r="B21966" s="318" t="s">
        <v>236</v>
      </c>
    </row>
    <row r="21967" spans="1:2" ht="12.75" customHeight="1" x14ac:dyDescent="0.25">
      <c r="A21967" s="318">
        <v>97701393173</v>
      </c>
      <c r="B21967" s="318" t="s">
        <v>237</v>
      </c>
    </row>
    <row r="21968" spans="1:2" ht="12.75" customHeight="1" x14ac:dyDescent="0.25">
      <c r="A21968" s="318">
        <v>97701393174</v>
      </c>
      <c r="B21968" s="318" t="s">
        <v>236</v>
      </c>
    </row>
    <row r="21969" spans="1:2" ht="12.75" customHeight="1" x14ac:dyDescent="0.25">
      <c r="A21969" s="318">
        <v>97701393175</v>
      </c>
      <c r="B21969" s="318" t="s">
        <v>237</v>
      </c>
    </row>
    <row r="21970" spans="1:2" ht="12.75" customHeight="1" x14ac:dyDescent="0.25">
      <c r="A21970" s="318">
        <v>97701393176</v>
      </c>
      <c r="B21970" s="318" t="s">
        <v>236</v>
      </c>
    </row>
    <row r="21971" spans="1:2" ht="12.75" customHeight="1" x14ac:dyDescent="0.25">
      <c r="A21971" s="318">
        <v>97701393177</v>
      </c>
      <c r="B21971" s="318" t="s">
        <v>237</v>
      </c>
    </row>
    <row r="21972" spans="1:2" ht="12.75" customHeight="1" x14ac:dyDescent="0.25">
      <c r="A21972" s="318">
        <v>97701393178</v>
      </c>
      <c r="B21972" s="318" t="s">
        <v>236</v>
      </c>
    </row>
    <row r="21973" spans="1:2" ht="12.75" customHeight="1" x14ac:dyDescent="0.25">
      <c r="A21973" s="318">
        <v>97701393179</v>
      </c>
      <c r="B21973" s="318" t="s">
        <v>237</v>
      </c>
    </row>
    <row r="21974" spans="1:2" ht="12.75" customHeight="1" x14ac:dyDescent="0.25">
      <c r="A21974" s="318">
        <v>97701393263</v>
      </c>
      <c r="B21974" s="318" t="s">
        <v>236</v>
      </c>
    </row>
    <row r="21975" spans="1:2" ht="12.75" customHeight="1" x14ac:dyDescent="0.25">
      <c r="A21975" s="318">
        <v>97701393264</v>
      </c>
      <c r="B21975" s="318" t="s">
        <v>23</v>
      </c>
    </row>
    <row r="21976" spans="1:2" ht="12.75" customHeight="1" x14ac:dyDescent="0.25">
      <c r="A21976" s="318">
        <v>97701393265</v>
      </c>
      <c r="B21976" s="318" t="s">
        <v>236</v>
      </c>
    </row>
    <row r="21977" spans="1:2" ht="12.75" customHeight="1" x14ac:dyDescent="0.25">
      <c r="A21977" s="318">
        <v>97701393266</v>
      </c>
      <c r="B21977" s="318" t="s">
        <v>23</v>
      </c>
    </row>
    <row r="21978" spans="1:2" ht="12.75" customHeight="1" x14ac:dyDescent="0.25">
      <c r="A21978" s="318">
        <v>97701393267</v>
      </c>
      <c r="B21978" s="318" t="s">
        <v>236</v>
      </c>
    </row>
    <row r="21979" spans="1:2" ht="12.75" customHeight="1" x14ac:dyDescent="0.25">
      <c r="A21979" s="318">
        <v>97701393268</v>
      </c>
      <c r="B21979" s="318" t="s">
        <v>23</v>
      </c>
    </row>
    <row r="21980" spans="1:2" ht="12.75" customHeight="1" x14ac:dyDescent="0.25">
      <c r="A21980" s="318">
        <v>97701393269</v>
      </c>
      <c r="B21980" s="318" t="s">
        <v>236</v>
      </c>
    </row>
    <row r="21981" spans="1:2" ht="12.75" customHeight="1" x14ac:dyDescent="0.25">
      <c r="A21981" s="318">
        <v>97701393270</v>
      </c>
      <c r="B21981" s="318" t="s">
        <v>237</v>
      </c>
    </row>
    <row r="21982" spans="1:2" ht="12.75" customHeight="1" x14ac:dyDescent="0.25">
      <c r="A21982" s="318">
        <v>97701393272</v>
      </c>
      <c r="B21982" s="318" t="s">
        <v>236</v>
      </c>
    </row>
    <row r="21983" spans="1:2" ht="12.75" customHeight="1" x14ac:dyDescent="0.25">
      <c r="A21983" s="318">
        <v>97701393273</v>
      </c>
      <c r="B21983" s="318" t="s">
        <v>237</v>
      </c>
    </row>
    <row r="21984" spans="1:2" ht="12.75" customHeight="1" x14ac:dyDescent="0.25">
      <c r="A21984" s="318">
        <v>97701393274</v>
      </c>
      <c r="B21984" s="318" t="s">
        <v>236</v>
      </c>
    </row>
    <row r="21985" spans="1:2" ht="12.75" customHeight="1" x14ac:dyDescent="0.25">
      <c r="A21985" s="318">
        <v>97701393275</v>
      </c>
      <c r="B21985" s="318" t="s">
        <v>237</v>
      </c>
    </row>
    <row r="21986" spans="1:2" ht="12.75" customHeight="1" x14ac:dyDescent="0.25">
      <c r="A21986" s="318">
        <v>97701393276</v>
      </c>
      <c r="B21986" s="318" t="s">
        <v>236</v>
      </c>
    </row>
    <row r="21987" spans="1:2" ht="12.75" customHeight="1" x14ac:dyDescent="0.25">
      <c r="A21987" s="318">
        <v>97701393277</v>
      </c>
      <c r="B21987" s="318" t="s">
        <v>237</v>
      </c>
    </row>
    <row r="21988" spans="1:2" ht="12.75" customHeight="1" x14ac:dyDescent="0.25">
      <c r="A21988" s="318">
        <v>97701393278</v>
      </c>
      <c r="B21988" s="318" t="s">
        <v>236</v>
      </c>
    </row>
    <row r="21989" spans="1:2" ht="12.75" customHeight="1" x14ac:dyDescent="0.25">
      <c r="A21989" s="318">
        <v>97701393279</v>
      </c>
      <c r="B21989" s="318" t="s">
        <v>237</v>
      </c>
    </row>
    <row r="21990" spans="1:2" ht="12.75" customHeight="1" x14ac:dyDescent="0.25">
      <c r="A21990" s="318">
        <v>97701874136</v>
      </c>
      <c r="B21990" s="318" t="s">
        <v>236</v>
      </c>
    </row>
    <row r="21991" spans="1:2" ht="12.75" customHeight="1" x14ac:dyDescent="0.25">
      <c r="A21991" s="318">
        <v>97701874137</v>
      </c>
      <c r="B21991" s="318" t="s">
        <v>23</v>
      </c>
    </row>
    <row r="21992" spans="1:2" ht="12.75" customHeight="1" x14ac:dyDescent="0.25">
      <c r="A21992" s="318">
        <v>97701874138</v>
      </c>
      <c r="B21992" s="318" t="s">
        <v>236</v>
      </c>
    </row>
    <row r="21993" spans="1:2" ht="12.75" customHeight="1" x14ac:dyDescent="0.25">
      <c r="A21993" s="318">
        <v>97701874139</v>
      </c>
      <c r="B21993" s="318" t="s">
        <v>23</v>
      </c>
    </row>
    <row r="21994" spans="1:2" ht="12.75" customHeight="1" x14ac:dyDescent="0.25">
      <c r="A21994" s="318">
        <v>97701874140</v>
      </c>
      <c r="B21994" s="318" t="s">
        <v>236</v>
      </c>
    </row>
    <row r="21995" spans="1:2" ht="12.75" customHeight="1" x14ac:dyDescent="0.25">
      <c r="A21995" s="318">
        <v>97701874141</v>
      </c>
      <c r="B21995" s="318" t="s">
        <v>23</v>
      </c>
    </row>
    <row r="21996" spans="1:2" ht="12.75" customHeight="1" x14ac:dyDescent="0.25">
      <c r="A21996" s="318">
        <v>97701874142</v>
      </c>
      <c r="B21996" s="318" t="s">
        <v>236</v>
      </c>
    </row>
    <row r="21997" spans="1:2" ht="12.75" customHeight="1" x14ac:dyDescent="0.25">
      <c r="A21997" s="318">
        <v>97701874143</v>
      </c>
      <c r="B21997" s="318" t="s">
        <v>237</v>
      </c>
    </row>
    <row r="21998" spans="1:2" ht="12.75" customHeight="1" x14ac:dyDescent="0.25">
      <c r="A21998" s="318">
        <v>97701874145</v>
      </c>
      <c r="B21998" s="318" t="s">
        <v>236</v>
      </c>
    </row>
    <row r="21999" spans="1:2" ht="12.75" customHeight="1" x14ac:dyDescent="0.25">
      <c r="A21999" s="318">
        <v>97701874146</v>
      </c>
      <c r="B21999" s="318" t="s">
        <v>237</v>
      </c>
    </row>
    <row r="22000" spans="1:2" ht="12.75" customHeight="1" x14ac:dyDescent="0.25">
      <c r="A22000" s="318">
        <v>97701874147</v>
      </c>
      <c r="B22000" s="318" t="s">
        <v>236</v>
      </c>
    </row>
    <row r="22001" spans="1:2" ht="12.75" customHeight="1" x14ac:dyDescent="0.25">
      <c r="A22001" s="318">
        <v>97701874148</v>
      </c>
      <c r="B22001" s="318" t="s">
        <v>237</v>
      </c>
    </row>
    <row r="22002" spans="1:2" ht="12.75" customHeight="1" x14ac:dyDescent="0.25">
      <c r="A22002" s="318">
        <v>97701874149</v>
      </c>
      <c r="B22002" s="318" t="s">
        <v>236</v>
      </c>
    </row>
    <row r="22003" spans="1:2" ht="12.75" customHeight="1" x14ac:dyDescent="0.25">
      <c r="A22003" s="318">
        <v>97701874150</v>
      </c>
      <c r="B22003" s="318" t="s">
        <v>237</v>
      </c>
    </row>
    <row r="22004" spans="1:2" ht="12.75" customHeight="1" x14ac:dyDescent="0.25">
      <c r="A22004" s="318">
        <v>97701874151</v>
      </c>
      <c r="B22004" s="318" t="s">
        <v>236</v>
      </c>
    </row>
    <row r="22005" spans="1:2" ht="12.75" customHeight="1" x14ac:dyDescent="0.25">
      <c r="A22005" s="318">
        <v>97701874152</v>
      </c>
      <c r="B22005" s="318" t="s">
        <v>237</v>
      </c>
    </row>
    <row r="22006" spans="1:2" ht="12.75" customHeight="1" x14ac:dyDescent="0.25">
      <c r="A22006" s="318">
        <v>97701874236</v>
      </c>
      <c r="B22006" s="318" t="s">
        <v>236</v>
      </c>
    </row>
    <row r="22007" spans="1:2" ht="12.75" customHeight="1" x14ac:dyDescent="0.25">
      <c r="A22007" s="318">
        <v>97701874237</v>
      </c>
      <c r="B22007" s="318" t="s">
        <v>23</v>
      </c>
    </row>
    <row r="22008" spans="1:2" ht="12.75" customHeight="1" x14ac:dyDescent="0.25">
      <c r="A22008" s="318">
        <v>97701874238</v>
      </c>
      <c r="B22008" s="318" t="s">
        <v>236</v>
      </c>
    </row>
    <row r="22009" spans="1:2" ht="12.75" customHeight="1" x14ac:dyDescent="0.25">
      <c r="A22009" s="318">
        <v>97701874239</v>
      </c>
      <c r="B22009" s="318" t="s">
        <v>23</v>
      </c>
    </row>
    <row r="22010" spans="1:2" ht="12.75" customHeight="1" x14ac:dyDescent="0.25">
      <c r="A22010" s="318">
        <v>97701874240</v>
      </c>
      <c r="B22010" s="318" t="s">
        <v>236</v>
      </c>
    </row>
    <row r="22011" spans="1:2" ht="12.75" customHeight="1" x14ac:dyDescent="0.25">
      <c r="A22011" s="318">
        <v>97701874241</v>
      </c>
      <c r="B22011" s="318" t="s">
        <v>23</v>
      </c>
    </row>
    <row r="22012" spans="1:2" ht="12.75" customHeight="1" x14ac:dyDescent="0.25">
      <c r="A22012" s="318">
        <v>97701874242</v>
      </c>
      <c r="B22012" s="318" t="s">
        <v>236</v>
      </c>
    </row>
    <row r="22013" spans="1:2" ht="12.75" customHeight="1" x14ac:dyDescent="0.25">
      <c r="A22013" s="318">
        <v>97701874243</v>
      </c>
      <c r="B22013" s="318" t="s">
        <v>237</v>
      </c>
    </row>
    <row r="22014" spans="1:2" ht="12.75" customHeight="1" x14ac:dyDescent="0.25">
      <c r="A22014" s="318">
        <v>97701874245</v>
      </c>
      <c r="B22014" s="318" t="s">
        <v>236</v>
      </c>
    </row>
    <row r="22015" spans="1:2" ht="12.75" customHeight="1" x14ac:dyDescent="0.25">
      <c r="A22015" s="318">
        <v>97701874246</v>
      </c>
      <c r="B22015" s="318" t="s">
        <v>237</v>
      </c>
    </row>
    <row r="22016" spans="1:2" ht="12.75" customHeight="1" x14ac:dyDescent="0.25">
      <c r="A22016" s="318">
        <v>97701874247</v>
      </c>
      <c r="B22016" s="318" t="s">
        <v>236</v>
      </c>
    </row>
    <row r="22017" spans="1:2" ht="12.75" customHeight="1" x14ac:dyDescent="0.25">
      <c r="A22017" s="318">
        <v>97701874248</v>
      </c>
      <c r="B22017" s="318" t="s">
        <v>237</v>
      </c>
    </row>
    <row r="22018" spans="1:2" ht="12.75" customHeight="1" x14ac:dyDescent="0.25">
      <c r="A22018" s="318">
        <v>97701874249</v>
      </c>
      <c r="B22018" s="318" t="s">
        <v>236</v>
      </c>
    </row>
    <row r="22019" spans="1:2" ht="12.75" customHeight="1" x14ac:dyDescent="0.25">
      <c r="A22019" s="318">
        <v>97701874250</v>
      </c>
      <c r="B22019" s="318" t="s">
        <v>237</v>
      </c>
    </row>
    <row r="22020" spans="1:2" ht="12.75" customHeight="1" x14ac:dyDescent="0.25">
      <c r="A22020" s="318">
        <v>97701874251</v>
      </c>
      <c r="B22020" s="318" t="s">
        <v>236</v>
      </c>
    </row>
    <row r="22021" spans="1:2" ht="12.75" customHeight="1" x14ac:dyDescent="0.25">
      <c r="A22021" s="318">
        <v>97701874252</v>
      </c>
      <c r="B22021" s="318" t="s">
        <v>237</v>
      </c>
    </row>
    <row r="22022" spans="1:2" ht="12.75" customHeight="1" x14ac:dyDescent="0.25">
      <c r="A22022" s="318">
        <v>97702355109</v>
      </c>
      <c r="B22022" s="318" t="s">
        <v>236</v>
      </c>
    </row>
    <row r="22023" spans="1:2" ht="12.75" customHeight="1" x14ac:dyDescent="0.25">
      <c r="A22023" s="318">
        <v>97702355110</v>
      </c>
      <c r="B22023" s="318" t="s">
        <v>23</v>
      </c>
    </row>
    <row r="22024" spans="1:2" ht="12.75" customHeight="1" x14ac:dyDescent="0.25">
      <c r="A22024" s="318">
        <v>97702355111</v>
      </c>
      <c r="B22024" s="318" t="s">
        <v>236</v>
      </c>
    </row>
    <row r="22025" spans="1:2" ht="12.75" customHeight="1" x14ac:dyDescent="0.25">
      <c r="A22025" s="318">
        <v>97702355112</v>
      </c>
      <c r="B22025" s="318" t="s">
        <v>23</v>
      </c>
    </row>
    <row r="22026" spans="1:2" ht="12.75" customHeight="1" x14ac:dyDescent="0.25">
      <c r="A22026" s="318">
        <v>97702355113</v>
      </c>
      <c r="B22026" s="318" t="s">
        <v>236</v>
      </c>
    </row>
    <row r="22027" spans="1:2" ht="12.75" customHeight="1" x14ac:dyDescent="0.25">
      <c r="A22027" s="318">
        <v>97702355114</v>
      </c>
      <c r="B22027" s="318" t="s">
        <v>23</v>
      </c>
    </row>
    <row r="22028" spans="1:2" ht="12.75" customHeight="1" x14ac:dyDescent="0.25">
      <c r="A22028" s="318">
        <v>97702355115</v>
      </c>
      <c r="B22028" s="318" t="s">
        <v>236</v>
      </c>
    </row>
    <row r="22029" spans="1:2" ht="12.75" customHeight="1" x14ac:dyDescent="0.25">
      <c r="A22029" s="318">
        <v>97702355116</v>
      </c>
      <c r="B22029" s="318" t="s">
        <v>237</v>
      </c>
    </row>
    <row r="22030" spans="1:2" ht="12.75" customHeight="1" x14ac:dyDescent="0.25">
      <c r="A22030" s="318">
        <v>97702355118</v>
      </c>
      <c r="B22030" s="318" t="s">
        <v>236</v>
      </c>
    </row>
    <row r="22031" spans="1:2" ht="12.75" customHeight="1" x14ac:dyDescent="0.25">
      <c r="A22031" s="318">
        <v>97702355119</v>
      </c>
      <c r="B22031" s="318" t="s">
        <v>237</v>
      </c>
    </row>
    <row r="22032" spans="1:2" ht="12.75" customHeight="1" x14ac:dyDescent="0.25">
      <c r="A22032" s="318">
        <v>97702355120</v>
      </c>
      <c r="B22032" s="318" t="s">
        <v>236</v>
      </c>
    </row>
    <row r="22033" spans="1:2" ht="12.75" customHeight="1" x14ac:dyDescent="0.25">
      <c r="A22033" s="318">
        <v>97702355121</v>
      </c>
      <c r="B22033" s="318" t="s">
        <v>237</v>
      </c>
    </row>
    <row r="22034" spans="1:2" ht="12.75" customHeight="1" x14ac:dyDescent="0.25">
      <c r="A22034" s="318">
        <v>97702355122</v>
      </c>
      <c r="B22034" s="318" t="s">
        <v>236</v>
      </c>
    </row>
    <row r="22035" spans="1:2" ht="12.75" customHeight="1" x14ac:dyDescent="0.25">
      <c r="A22035" s="318">
        <v>97702355123</v>
      </c>
      <c r="B22035" s="318" t="s">
        <v>237</v>
      </c>
    </row>
    <row r="22036" spans="1:2" ht="12.75" customHeight="1" x14ac:dyDescent="0.25">
      <c r="A22036" s="318">
        <v>97702355124</v>
      </c>
      <c r="B22036" s="318" t="s">
        <v>236</v>
      </c>
    </row>
    <row r="22037" spans="1:2" ht="12.75" customHeight="1" x14ac:dyDescent="0.25">
      <c r="A22037" s="318">
        <v>97702355125</v>
      </c>
      <c r="B22037" s="318" t="s">
        <v>237</v>
      </c>
    </row>
    <row r="22038" spans="1:2" ht="12.75" customHeight="1" x14ac:dyDescent="0.25">
      <c r="A22038" s="318">
        <v>97702355209</v>
      </c>
      <c r="B22038" s="318" t="s">
        <v>236</v>
      </c>
    </row>
    <row r="22039" spans="1:2" ht="12.75" customHeight="1" x14ac:dyDescent="0.25">
      <c r="A22039" s="318">
        <v>97702355210</v>
      </c>
      <c r="B22039" s="318" t="s">
        <v>23</v>
      </c>
    </row>
    <row r="22040" spans="1:2" ht="12.75" customHeight="1" x14ac:dyDescent="0.25">
      <c r="A22040" s="318">
        <v>97702355211</v>
      </c>
      <c r="B22040" s="318" t="s">
        <v>236</v>
      </c>
    </row>
    <row r="22041" spans="1:2" ht="12.75" customHeight="1" x14ac:dyDescent="0.25">
      <c r="A22041" s="318">
        <v>97702355212</v>
      </c>
      <c r="B22041" s="318" t="s">
        <v>23</v>
      </c>
    </row>
    <row r="22042" spans="1:2" ht="12.75" customHeight="1" x14ac:dyDescent="0.25">
      <c r="A22042" s="318">
        <v>97702355213</v>
      </c>
      <c r="B22042" s="318" t="s">
        <v>236</v>
      </c>
    </row>
    <row r="22043" spans="1:2" ht="12.75" customHeight="1" x14ac:dyDescent="0.25">
      <c r="A22043" s="318">
        <v>97702355214</v>
      </c>
      <c r="B22043" s="318" t="s">
        <v>23</v>
      </c>
    </row>
    <row r="22044" spans="1:2" ht="12.75" customHeight="1" x14ac:dyDescent="0.25">
      <c r="A22044" s="318">
        <v>97702355215</v>
      </c>
      <c r="B22044" s="318" t="s">
        <v>236</v>
      </c>
    </row>
    <row r="22045" spans="1:2" ht="12.75" customHeight="1" x14ac:dyDescent="0.25">
      <c r="A22045" s="318">
        <v>97702355216</v>
      </c>
      <c r="B22045" s="318" t="s">
        <v>237</v>
      </c>
    </row>
    <row r="22046" spans="1:2" ht="12.75" customHeight="1" x14ac:dyDescent="0.25">
      <c r="A22046" s="318">
        <v>97702355218</v>
      </c>
      <c r="B22046" s="318" t="s">
        <v>236</v>
      </c>
    </row>
    <row r="22047" spans="1:2" ht="12.75" customHeight="1" x14ac:dyDescent="0.25">
      <c r="A22047" s="318">
        <v>97702355219</v>
      </c>
      <c r="B22047" s="318" t="s">
        <v>237</v>
      </c>
    </row>
    <row r="22048" spans="1:2" ht="12.75" customHeight="1" x14ac:dyDescent="0.25">
      <c r="A22048" s="318">
        <v>97702355220</v>
      </c>
      <c r="B22048" s="318" t="s">
        <v>236</v>
      </c>
    </row>
    <row r="22049" spans="1:2" ht="12.75" customHeight="1" x14ac:dyDescent="0.25">
      <c r="A22049" s="318">
        <v>97702355221</v>
      </c>
      <c r="B22049" s="318" t="s">
        <v>237</v>
      </c>
    </row>
    <row r="22050" spans="1:2" ht="12.75" customHeight="1" x14ac:dyDescent="0.25">
      <c r="A22050" s="318">
        <v>97702355222</v>
      </c>
      <c r="B22050" s="318" t="s">
        <v>236</v>
      </c>
    </row>
    <row r="22051" spans="1:2" ht="12.75" customHeight="1" x14ac:dyDescent="0.25">
      <c r="A22051" s="318">
        <v>97702355223</v>
      </c>
      <c r="B22051" s="318" t="s">
        <v>237</v>
      </c>
    </row>
    <row r="22052" spans="1:2" ht="12.75" customHeight="1" x14ac:dyDescent="0.25">
      <c r="A22052" s="318">
        <v>97702355224</v>
      </c>
      <c r="B22052" s="318" t="s">
        <v>236</v>
      </c>
    </row>
    <row r="22053" spans="1:2" ht="12.75" customHeight="1" x14ac:dyDescent="0.25">
      <c r="A22053" s="318">
        <v>97702355225</v>
      </c>
      <c r="B22053" s="318" t="s">
        <v>237</v>
      </c>
    </row>
    <row r="22054" spans="1:2" ht="12.75" customHeight="1" x14ac:dyDescent="0.25">
      <c r="A22054" s="318">
        <v>97752251000</v>
      </c>
      <c r="B22054" s="318" t="s">
        <v>23</v>
      </c>
    </row>
    <row r="22055" spans="1:2" ht="12.75" customHeight="1" x14ac:dyDescent="0.25">
      <c r="A22055" s="318">
        <v>97752251001</v>
      </c>
      <c r="B22055" s="318" t="s">
        <v>23</v>
      </c>
    </row>
    <row r="22056" spans="1:2" ht="12.75" customHeight="1" x14ac:dyDescent="0.25">
      <c r="A22056" s="318">
        <v>97752251002</v>
      </c>
      <c r="B22056" s="318" t="s">
        <v>23</v>
      </c>
    </row>
    <row r="22057" spans="1:2" ht="12.75" customHeight="1" x14ac:dyDescent="0.25">
      <c r="A22057" s="318">
        <v>97752251003</v>
      </c>
      <c r="B22057" s="318" t="s">
        <v>23</v>
      </c>
    </row>
    <row r="22058" spans="1:2" ht="12.75" customHeight="1" x14ac:dyDescent="0.25">
      <c r="A22058" s="318">
        <v>97752251004</v>
      </c>
      <c r="B22058" s="318" t="s">
        <v>23</v>
      </c>
    </row>
    <row r="22059" spans="1:2" ht="12.75" customHeight="1" x14ac:dyDescent="0.25">
      <c r="A22059" s="318">
        <v>97752251005</v>
      </c>
      <c r="B22059" s="318" t="s">
        <v>23</v>
      </c>
    </row>
    <row r="22060" spans="1:2" ht="12.75" customHeight="1" x14ac:dyDescent="0.25">
      <c r="A22060" s="318">
        <v>97752251006</v>
      </c>
      <c r="B22060" s="318" t="s">
        <v>237</v>
      </c>
    </row>
    <row r="22061" spans="1:2" ht="12.75" customHeight="1" x14ac:dyDescent="0.25">
      <c r="A22061" s="318">
        <v>97752251007</v>
      </c>
      <c r="B22061" s="318" t="s">
        <v>237</v>
      </c>
    </row>
    <row r="22062" spans="1:2" ht="12.75" customHeight="1" x14ac:dyDescent="0.25">
      <c r="A22062" s="318">
        <v>97752251009</v>
      </c>
      <c r="B22062" s="318" t="s">
        <v>237</v>
      </c>
    </row>
    <row r="22063" spans="1:2" ht="12.75" customHeight="1" x14ac:dyDescent="0.25">
      <c r="A22063" s="318">
        <v>97752251010</v>
      </c>
      <c r="B22063" s="318" t="s">
        <v>237</v>
      </c>
    </row>
    <row r="22064" spans="1:2" ht="12.75" customHeight="1" x14ac:dyDescent="0.25">
      <c r="A22064" s="318">
        <v>97752251011</v>
      </c>
      <c r="B22064" s="318" t="s">
        <v>237</v>
      </c>
    </row>
    <row r="22065" spans="1:2" ht="12.75" customHeight="1" x14ac:dyDescent="0.25">
      <c r="A22065" s="318">
        <v>97752251012</v>
      </c>
      <c r="B22065" s="318" t="s">
        <v>237</v>
      </c>
    </row>
    <row r="22066" spans="1:2" ht="12.75" customHeight="1" x14ac:dyDescent="0.25">
      <c r="A22066" s="318">
        <v>97752251013</v>
      </c>
      <c r="B22066" s="318" t="s">
        <v>237</v>
      </c>
    </row>
    <row r="22067" spans="1:2" ht="12.75" customHeight="1" x14ac:dyDescent="0.25">
      <c r="A22067" s="318">
        <v>97752251014</v>
      </c>
      <c r="B22067" s="318" t="s">
        <v>237</v>
      </c>
    </row>
    <row r="22068" spans="1:2" ht="12.75" customHeight="1" x14ac:dyDescent="0.25">
      <c r="A22068" s="318">
        <v>97752251015</v>
      </c>
      <c r="B22068" s="318" t="s">
        <v>237</v>
      </c>
    </row>
    <row r="22069" spans="1:2" ht="12.75" customHeight="1" x14ac:dyDescent="0.25">
      <c r="A22069" s="318">
        <v>97752251016</v>
      </c>
      <c r="B22069" s="318" t="s">
        <v>237</v>
      </c>
    </row>
    <row r="22070" spans="1:2" ht="12.75" customHeight="1" x14ac:dyDescent="0.25">
      <c r="A22070" s="318">
        <v>97752251100</v>
      </c>
      <c r="B22070" s="318" t="s">
        <v>23</v>
      </c>
    </row>
    <row r="22071" spans="1:2" ht="12.75" customHeight="1" x14ac:dyDescent="0.25">
      <c r="A22071" s="318">
        <v>97752251101</v>
      </c>
      <c r="B22071" s="318" t="s">
        <v>23</v>
      </c>
    </row>
    <row r="22072" spans="1:2" ht="12.75" customHeight="1" x14ac:dyDescent="0.25">
      <c r="A22072" s="318">
        <v>97752251102</v>
      </c>
      <c r="B22072" s="318" t="s">
        <v>23</v>
      </c>
    </row>
    <row r="22073" spans="1:2" ht="12.75" customHeight="1" x14ac:dyDescent="0.25">
      <c r="A22073" s="318">
        <v>97752251103</v>
      </c>
      <c r="B22073" s="318" t="s">
        <v>23</v>
      </c>
    </row>
    <row r="22074" spans="1:2" ht="12.75" customHeight="1" x14ac:dyDescent="0.25">
      <c r="A22074" s="318">
        <v>97752251104</v>
      </c>
      <c r="B22074" s="318" t="s">
        <v>23</v>
      </c>
    </row>
    <row r="22075" spans="1:2" ht="12.75" customHeight="1" x14ac:dyDescent="0.25">
      <c r="A22075" s="318">
        <v>97752251105</v>
      </c>
      <c r="B22075" s="318" t="s">
        <v>23</v>
      </c>
    </row>
    <row r="22076" spans="1:2" ht="12.75" customHeight="1" x14ac:dyDescent="0.25">
      <c r="A22076" s="318">
        <v>97752251106</v>
      </c>
      <c r="B22076" s="318" t="s">
        <v>237</v>
      </c>
    </row>
    <row r="22077" spans="1:2" ht="12.75" customHeight="1" x14ac:dyDescent="0.25">
      <c r="A22077" s="318">
        <v>97752251107</v>
      </c>
      <c r="B22077" s="318" t="s">
        <v>237</v>
      </c>
    </row>
    <row r="22078" spans="1:2" ht="12.75" customHeight="1" x14ac:dyDescent="0.25">
      <c r="A22078" s="318">
        <v>97752251109</v>
      </c>
      <c r="B22078" s="318" t="s">
        <v>237</v>
      </c>
    </row>
    <row r="22079" spans="1:2" ht="12.75" customHeight="1" x14ac:dyDescent="0.25">
      <c r="A22079" s="318">
        <v>97752251110</v>
      </c>
      <c r="B22079" s="318" t="s">
        <v>237</v>
      </c>
    </row>
    <row r="22080" spans="1:2" ht="12.75" customHeight="1" x14ac:dyDescent="0.25">
      <c r="A22080" s="318">
        <v>97752251111</v>
      </c>
      <c r="B22080" s="318" t="s">
        <v>237</v>
      </c>
    </row>
    <row r="22081" spans="1:2" ht="12.75" customHeight="1" x14ac:dyDescent="0.25">
      <c r="A22081" s="318">
        <v>97752251112</v>
      </c>
      <c r="B22081" s="318" t="s">
        <v>237</v>
      </c>
    </row>
    <row r="22082" spans="1:2" ht="12.75" customHeight="1" x14ac:dyDescent="0.25">
      <c r="A22082" s="318">
        <v>97752251113</v>
      </c>
      <c r="B22082" s="318" t="s">
        <v>237</v>
      </c>
    </row>
    <row r="22083" spans="1:2" ht="12.75" customHeight="1" x14ac:dyDescent="0.25">
      <c r="A22083" s="318">
        <v>97752251114</v>
      </c>
      <c r="B22083" s="318" t="s">
        <v>237</v>
      </c>
    </row>
    <row r="22084" spans="1:2" ht="12.75" customHeight="1" x14ac:dyDescent="0.25">
      <c r="A22084" s="318">
        <v>97752251115</v>
      </c>
      <c r="B22084" s="318" t="s">
        <v>237</v>
      </c>
    </row>
    <row r="22085" spans="1:2" ht="12.75" customHeight="1" x14ac:dyDescent="0.25">
      <c r="A22085" s="318">
        <v>97752251116</v>
      </c>
      <c r="B22085" s="318" t="s">
        <v>237</v>
      </c>
    </row>
    <row r="22086" spans="1:2" ht="12.75" customHeight="1" x14ac:dyDescent="0.25">
      <c r="A22086" s="318">
        <v>97752731973</v>
      </c>
      <c r="B22086" s="318" t="s">
        <v>23</v>
      </c>
    </row>
    <row r="22087" spans="1:2" ht="12.75" customHeight="1" x14ac:dyDescent="0.25">
      <c r="A22087" s="318">
        <v>97752731974</v>
      </c>
      <c r="B22087" s="318" t="s">
        <v>23</v>
      </c>
    </row>
    <row r="22088" spans="1:2" ht="12.75" customHeight="1" x14ac:dyDescent="0.25">
      <c r="A22088" s="318">
        <v>97752731975</v>
      </c>
      <c r="B22088" s="318" t="s">
        <v>23</v>
      </c>
    </row>
    <row r="22089" spans="1:2" ht="12.75" customHeight="1" x14ac:dyDescent="0.25">
      <c r="A22089" s="318">
        <v>97752731976</v>
      </c>
      <c r="B22089" s="318" t="s">
        <v>23</v>
      </c>
    </row>
    <row r="22090" spans="1:2" ht="12.75" customHeight="1" x14ac:dyDescent="0.25">
      <c r="A22090" s="318">
        <v>97752731977</v>
      </c>
      <c r="B22090" s="318" t="s">
        <v>23</v>
      </c>
    </row>
    <row r="22091" spans="1:2" ht="12.75" customHeight="1" x14ac:dyDescent="0.25">
      <c r="A22091" s="318">
        <v>97752731978</v>
      </c>
      <c r="B22091" s="318" t="s">
        <v>23</v>
      </c>
    </row>
    <row r="22092" spans="1:2" ht="12.75" customHeight="1" x14ac:dyDescent="0.25">
      <c r="A22092" s="318">
        <v>97752731979</v>
      </c>
      <c r="B22092" s="318" t="s">
        <v>237</v>
      </c>
    </row>
    <row r="22093" spans="1:2" ht="12.75" customHeight="1" x14ac:dyDescent="0.25">
      <c r="A22093" s="318">
        <v>97752731980</v>
      </c>
      <c r="B22093" s="318" t="s">
        <v>237</v>
      </c>
    </row>
    <row r="22094" spans="1:2" ht="12.75" customHeight="1" x14ac:dyDescent="0.25">
      <c r="A22094" s="318">
        <v>97752731982</v>
      </c>
      <c r="B22094" s="318" t="s">
        <v>237</v>
      </c>
    </row>
    <row r="22095" spans="1:2" ht="12.75" customHeight="1" x14ac:dyDescent="0.25">
      <c r="A22095" s="318">
        <v>97752731983</v>
      </c>
      <c r="B22095" s="318" t="s">
        <v>237</v>
      </c>
    </row>
    <row r="22096" spans="1:2" ht="12.75" customHeight="1" x14ac:dyDescent="0.25">
      <c r="A22096" s="318">
        <v>97752731984</v>
      </c>
      <c r="B22096" s="318" t="s">
        <v>237</v>
      </c>
    </row>
    <row r="22097" spans="1:2" ht="12.75" customHeight="1" x14ac:dyDescent="0.25">
      <c r="A22097" s="318">
        <v>97752731985</v>
      </c>
      <c r="B22097" s="318" t="s">
        <v>237</v>
      </c>
    </row>
    <row r="22098" spans="1:2" ht="12.75" customHeight="1" x14ac:dyDescent="0.25">
      <c r="A22098" s="318">
        <v>97752731986</v>
      </c>
      <c r="B22098" s="318" t="s">
        <v>237</v>
      </c>
    </row>
    <row r="22099" spans="1:2" ht="12.75" customHeight="1" x14ac:dyDescent="0.25">
      <c r="A22099" s="318">
        <v>97752731987</v>
      </c>
      <c r="B22099" s="318" t="s">
        <v>237</v>
      </c>
    </row>
    <row r="22100" spans="1:2" ht="12.75" customHeight="1" x14ac:dyDescent="0.25">
      <c r="A22100" s="318">
        <v>97752731988</v>
      </c>
      <c r="B22100" s="318" t="s">
        <v>237</v>
      </c>
    </row>
    <row r="22101" spans="1:2" ht="12.75" customHeight="1" x14ac:dyDescent="0.25">
      <c r="A22101" s="318">
        <v>97752731989</v>
      </c>
      <c r="B22101" s="318" t="s">
        <v>237</v>
      </c>
    </row>
    <row r="22102" spans="1:2" ht="12.75" customHeight="1" x14ac:dyDescent="0.25">
      <c r="A22102" s="318">
        <v>97752732073</v>
      </c>
      <c r="B22102" s="318" t="s">
        <v>23</v>
      </c>
    </row>
    <row r="22103" spans="1:2" ht="12.75" customHeight="1" x14ac:dyDescent="0.25">
      <c r="A22103" s="318">
        <v>97752732074</v>
      </c>
      <c r="B22103" s="318" t="s">
        <v>23</v>
      </c>
    </row>
    <row r="22104" spans="1:2" ht="12.75" customHeight="1" x14ac:dyDescent="0.25">
      <c r="A22104" s="318">
        <v>97752732075</v>
      </c>
      <c r="B22104" s="318" t="s">
        <v>23</v>
      </c>
    </row>
    <row r="22105" spans="1:2" ht="12.75" customHeight="1" x14ac:dyDescent="0.25">
      <c r="A22105" s="318">
        <v>97752732076</v>
      </c>
      <c r="B22105" s="318" t="s">
        <v>23</v>
      </c>
    </row>
    <row r="22106" spans="1:2" ht="12.75" customHeight="1" x14ac:dyDescent="0.25">
      <c r="A22106" s="318">
        <v>97752732077</v>
      </c>
      <c r="B22106" s="318" t="s">
        <v>23</v>
      </c>
    </row>
    <row r="22107" spans="1:2" ht="12.75" customHeight="1" x14ac:dyDescent="0.25">
      <c r="A22107" s="318">
        <v>97752732078</v>
      </c>
      <c r="B22107" s="318" t="s">
        <v>23</v>
      </c>
    </row>
    <row r="22108" spans="1:2" ht="12.75" customHeight="1" x14ac:dyDescent="0.25">
      <c r="A22108" s="318">
        <v>97752732079</v>
      </c>
      <c r="B22108" s="318" t="s">
        <v>237</v>
      </c>
    </row>
    <row r="22109" spans="1:2" ht="12.75" customHeight="1" x14ac:dyDescent="0.25">
      <c r="A22109" s="318">
        <v>97752732080</v>
      </c>
      <c r="B22109" s="318" t="s">
        <v>237</v>
      </c>
    </row>
    <row r="22110" spans="1:2" ht="12.75" customHeight="1" x14ac:dyDescent="0.25">
      <c r="A22110" s="318">
        <v>97752732082</v>
      </c>
      <c r="B22110" s="318" t="s">
        <v>237</v>
      </c>
    </row>
    <row r="22111" spans="1:2" ht="12.75" customHeight="1" x14ac:dyDescent="0.25">
      <c r="A22111" s="318">
        <v>97752732083</v>
      </c>
      <c r="B22111" s="318" t="s">
        <v>237</v>
      </c>
    </row>
    <row r="22112" spans="1:2" ht="12.75" customHeight="1" x14ac:dyDescent="0.25">
      <c r="A22112" s="318">
        <v>97752732084</v>
      </c>
      <c r="B22112" s="318" t="s">
        <v>237</v>
      </c>
    </row>
    <row r="22113" spans="1:2" ht="12.75" customHeight="1" x14ac:dyDescent="0.25">
      <c r="A22113" s="318">
        <v>97752732085</v>
      </c>
      <c r="B22113" s="318" t="s">
        <v>237</v>
      </c>
    </row>
    <row r="22114" spans="1:2" ht="12.75" customHeight="1" x14ac:dyDescent="0.25">
      <c r="A22114" s="318">
        <v>97752732086</v>
      </c>
      <c r="B22114" s="318" t="s">
        <v>237</v>
      </c>
    </row>
    <row r="22115" spans="1:2" ht="12.75" customHeight="1" x14ac:dyDescent="0.25">
      <c r="A22115" s="318">
        <v>97752732087</v>
      </c>
      <c r="B22115" s="318" t="s">
        <v>237</v>
      </c>
    </row>
    <row r="22116" spans="1:2" ht="12.75" customHeight="1" x14ac:dyDescent="0.25">
      <c r="A22116" s="318">
        <v>97752732088</v>
      </c>
      <c r="B22116" s="318" t="s">
        <v>237</v>
      </c>
    </row>
    <row r="22117" spans="1:2" ht="12.75" customHeight="1" x14ac:dyDescent="0.25">
      <c r="A22117" s="318">
        <v>97752732089</v>
      </c>
      <c r="B22117" s="318" t="s">
        <v>237</v>
      </c>
    </row>
    <row r="22118" spans="1:2" ht="12.75" customHeight="1" x14ac:dyDescent="0.25">
      <c r="A22118" s="318">
        <v>97753212946</v>
      </c>
      <c r="B22118" s="318" t="s">
        <v>23</v>
      </c>
    </row>
    <row r="22119" spans="1:2" ht="12.75" customHeight="1" x14ac:dyDescent="0.25">
      <c r="A22119" s="318">
        <v>97753212947</v>
      </c>
      <c r="B22119" s="318" t="s">
        <v>23</v>
      </c>
    </row>
    <row r="22120" spans="1:2" ht="12.75" customHeight="1" x14ac:dyDescent="0.25">
      <c r="A22120" s="318">
        <v>97753212948</v>
      </c>
      <c r="B22120" s="318" t="s">
        <v>23</v>
      </c>
    </row>
    <row r="22121" spans="1:2" ht="12.75" customHeight="1" x14ac:dyDescent="0.25">
      <c r="A22121" s="318">
        <v>97753212949</v>
      </c>
      <c r="B22121" s="318" t="s">
        <v>23</v>
      </c>
    </row>
    <row r="22122" spans="1:2" ht="12.75" customHeight="1" x14ac:dyDescent="0.25">
      <c r="A22122" s="318">
        <v>97753212950</v>
      </c>
      <c r="B22122" s="318" t="s">
        <v>23</v>
      </c>
    </row>
    <row r="22123" spans="1:2" ht="12.75" customHeight="1" x14ac:dyDescent="0.25">
      <c r="A22123" s="318">
        <v>97753212951</v>
      </c>
      <c r="B22123" s="318" t="s">
        <v>23</v>
      </c>
    </row>
    <row r="22124" spans="1:2" ht="12.75" customHeight="1" x14ac:dyDescent="0.25">
      <c r="A22124" s="318">
        <v>97753212952</v>
      </c>
      <c r="B22124" s="318" t="s">
        <v>237</v>
      </c>
    </row>
    <row r="22125" spans="1:2" ht="12.75" customHeight="1" x14ac:dyDescent="0.25">
      <c r="A22125" s="318">
        <v>97753212953</v>
      </c>
      <c r="B22125" s="318" t="s">
        <v>237</v>
      </c>
    </row>
    <row r="22126" spans="1:2" ht="12.75" customHeight="1" x14ac:dyDescent="0.25">
      <c r="A22126" s="318">
        <v>97753212955</v>
      </c>
      <c r="B22126" s="318" t="s">
        <v>237</v>
      </c>
    </row>
    <row r="22127" spans="1:2" ht="12.75" customHeight="1" x14ac:dyDescent="0.25">
      <c r="A22127" s="318">
        <v>97753212956</v>
      </c>
      <c r="B22127" s="318" t="s">
        <v>237</v>
      </c>
    </row>
    <row r="22128" spans="1:2" ht="12.75" customHeight="1" x14ac:dyDescent="0.25">
      <c r="A22128" s="318">
        <v>97753212957</v>
      </c>
      <c r="B22128" s="318" t="s">
        <v>237</v>
      </c>
    </row>
    <row r="22129" spans="1:2" ht="12.75" customHeight="1" x14ac:dyDescent="0.25">
      <c r="A22129" s="318">
        <v>97753212958</v>
      </c>
      <c r="B22129" s="318" t="s">
        <v>237</v>
      </c>
    </row>
    <row r="22130" spans="1:2" ht="12.75" customHeight="1" x14ac:dyDescent="0.25">
      <c r="A22130" s="318">
        <v>97753212959</v>
      </c>
      <c r="B22130" s="318" t="s">
        <v>237</v>
      </c>
    </row>
    <row r="22131" spans="1:2" ht="12.75" customHeight="1" x14ac:dyDescent="0.25">
      <c r="A22131" s="318">
        <v>97753212960</v>
      </c>
      <c r="B22131" s="318" t="s">
        <v>237</v>
      </c>
    </row>
    <row r="22132" spans="1:2" ht="12.75" customHeight="1" x14ac:dyDescent="0.25">
      <c r="A22132" s="318">
        <v>97753212961</v>
      </c>
      <c r="B22132" s="318" t="s">
        <v>237</v>
      </c>
    </row>
    <row r="22133" spans="1:2" ht="12.75" customHeight="1" x14ac:dyDescent="0.25">
      <c r="A22133" s="318">
        <v>97753212962</v>
      </c>
      <c r="B22133" s="318" t="s">
        <v>237</v>
      </c>
    </row>
    <row r="22134" spans="1:2" ht="12.75" customHeight="1" x14ac:dyDescent="0.25">
      <c r="A22134" s="318">
        <v>97753213046</v>
      </c>
      <c r="B22134" s="318" t="s">
        <v>23</v>
      </c>
    </row>
    <row r="22135" spans="1:2" ht="12.75" customHeight="1" x14ac:dyDescent="0.25">
      <c r="A22135" s="318">
        <v>97753213047</v>
      </c>
      <c r="B22135" s="318" t="s">
        <v>23</v>
      </c>
    </row>
    <row r="22136" spans="1:2" ht="12.75" customHeight="1" x14ac:dyDescent="0.25">
      <c r="A22136" s="318">
        <v>97753213048</v>
      </c>
      <c r="B22136" s="318" t="s">
        <v>23</v>
      </c>
    </row>
    <row r="22137" spans="1:2" ht="12.75" customHeight="1" x14ac:dyDescent="0.25">
      <c r="A22137" s="318">
        <v>97753213049</v>
      </c>
      <c r="B22137" s="318" t="s">
        <v>23</v>
      </c>
    </row>
    <row r="22138" spans="1:2" ht="12.75" customHeight="1" x14ac:dyDescent="0.25">
      <c r="A22138" s="318">
        <v>97753213050</v>
      </c>
      <c r="B22138" s="318" t="s">
        <v>23</v>
      </c>
    </row>
    <row r="22139" spans="1:2" ht="12.75" customHeight="1" x14ac:dyDescent="0.25">
      <c r="A22139" s="318">
        <v>97753213051</v>
      </c>
      <c r="B22139" s="318" t="s">
        <v>23</v>
      </c>
    </row>
    <row r="22140" spans="1:2" ht="12.75" customHeight="1" x14ac:dyDescent="0.25">
      <c r="A22140" s="318">
        <v>97753213052</v>
      </c>
      <c r="B22140" s="318" t="s">
        <v>237</v>
      </c>
    </row>
    <row r="22141" spans="1:2" ht="12.75" customHeight="1" x14ac:dyDescent="0.25">
      <c r="A22141" s="318">
        <v>97753213053</v>
      </c>
      <c r="B22141" s="318" t="s">
        <v>237</v>
      </c>
    </row>
    <row r="22142" spans="1:2" ht="12.75" customHeight="1" x14ac:dyDescent="0.25">
      <c r="A22142" s="318">
        <v>97753213055</v>
      </c>
      <c r="B22142" s="318" t="s">
        <v>237</v>
      </c>
    </row>
    <row r="22143" spans="1:2" ht="12.75" customHeight="1" x14ac:dyDescent="0.25">
      <c r="A22143" s="318">
        <v>97753213056</v>
      </c>
      <c r="B22143" s="318" t="s">
        <v>237</v>
      </c>
    </row>
    <row r="22144" spans="1:2" ht="12.75" customHeight="1" x14ac:dyDescent="0.25">
      <c r="A22144" s="318">
        <v>97753213057</v>
      </c>
      <c r="B22144" s="318" t="s">
        <v>237</v>
      </c>
    </row>
    <row r="22145" spans="1:2" ht="12.75" customHeight="1" x14ac:dyDescent="0.25">
      <c r="A22145" s="318">
        <v>97753213058</v>
      </c>
      <c r="B22145" s="318" t="s">
        <v>237</v>
      </c>
    </row>
    <row r="22146" spans="1:2" ht="12.75" customHeight="1" x14ac:dyDescent="0.25">
      <c r="A22146" s="318">
        <v>97753213059</v>
      </c>
      <c r="B22146" s="318" t="s">
        <v>237</v>
      </c>
    </row>
    <row r="22147" spans="1:2" ht="12.75" customHeight="1" x14ac:dyDescent="0.25">
      <c r="A22147" s="318">
        <v>97753213060</v>
      </c>
      <c r="B22147" s="318" t="s">
        <v>237</v>
      </c>
    </row>
    <row r="22148" spans="1:2" ht="12.75" customHeight="1" x14ac:dyDescent="0.25">
      <c r="A22148" s="318">
        <v>97753213061</v>
      </c>
      <c r="B22148" s="318" t="s">
        <v>237</v>
      </c>
    </row>
    <row r="22149" spans="1:2" ht="12.75" customHeight="1" x14ac:dyDescent="0.25">
      <c r="A22149" s="318">
        <v>97753213062</v>
      </c>
      <c r="B22149" s="318" t="s">
        <v>237</v>
      </c>
    </row>
    <row r="22150" spans="1:2" ht="12.75" customHeight="1" x14ac:dyDescent="0.25">
      <c r="A22150" s="318">
        <v>97753893137</v>
      </c>
      <c r="B22150" s="318" t="s">
        <v>23</v>
      </c>
    </row>
    <row r="22151" spans="1:2" ht="12.75" customHeight="1" x14ac:dyDescent="0.25">
      <c r="A22151" s="318">
        <v>97753893138</v>
      </c>
      <c r="B22151" s="318" t="s">
        <v>23</v>
      </c>
    </row>
    <row r="22152" spans="1:2" ht="12.75" customHeight="1" x14ac:dyDescent="0.25">
      <c r="A22152" s="318">
        <v>97753893139</v>
      </c>
      <c r="B22152" s="318" t="s">
        <v>23</v>
      </c>
    </row>
    <row r="22153" spans="1:2" ht="12.75" customHeight="1" x14ac:dyDescent="0.25">
      <c r="A22153" s="318">
        <v>97753893140</v>
      </c>
      <c r="B22153" s="318" t="s">
        <v>23</v>
      </c>
    </row>
    <row r="22154" spans="1:2" ht="12.75" customHeight="1" x14ac:dyDescent="0.25">
      <c r="A22154" s="318">
        <v>97753893141</v>
      </c>
      <c r="B22154" s="318" t="s">
        <v>23</v>
      </c>
    </row>
    <row r="22155" spans="1:2" ht="12.75" customHeight="1" x14ac:dyDescent="0.25">
      <c r="A22155" s="318">
        <v>97753893142</v>
      </c>
      <c r="B22155" s="318" t="s">
        <v>23</v>
      </c>
    </row>
    <row r="22156" spans="1:2" ht="12.75" customHeight="1" x14ac:dyDescent="0.25">
      <c r="A22156" s="318">
        <v>97753893143</v>
      </c>
      <c r="B22156" s="318" t="s">
        <v>237</v>
      </c>
    </row>
    <row r="22157" spans="1:2" ht="12.75" customHeight="1" x14ac:dyDescent="0.25">
      <c r="A22157" s="318">
        <v>97753893144</v>
      </c>
      <c r="B22157" s="318" t="s">
        <v>237</v>
      </c>
    </row>
    <row r="22158" spans="1:2" ht="12.75" customHeight="1" x14ac:dyDescent="0.25">
      <c r="A22158" s="318">
        <v>97753893146</v>
      </c>
      <c r="B22158" s="318" t="s">
        <v>237</v>
      </c>
    </row>
    <row r="22159" spans="1:2" ht="12.75" customHeight="1" x14ac:dyDescent="0.25">
      <c r="A22159" s="318">
        <v>97753893147</v>
      </c>
      <c r="B22159" s="318" t="s">
        <v>237</v>
      </c>
    </row>
    <row r="22160" spans="1:2" ht="12.75" customHeight="1" x14ac:dyDescent="0.25">
      <c r="A22160" s="318">
        <v>97753893148</v>
      </c>
      <c r="B22160" s="318" t="s">
        <v>237</v>
      </c>
    </row>
    <row r="22161" spans="1:2" ht="12.75" customHeight="1" x14ac:dyDescent="0.25">
      <c r="A22161" s="318">
        <v>97753893149</v>
      </c>
      <c r="B22161" s="318" t="s">
        <v>237</v>
      </c>
    </row>
    <row r="22162" spans="1:2" ht="12.75" customHeight="1" x14ac:dyDescent="0.25">
      <c r="A22162" s="318">
        <v>97753893150</v>
      </c>
      <c r="B22162" s="318" t="s">
        <v>237</v>
      </c>
    </row>
    <row r="22163" spans="1:2" ht="12.75" customHeight="1" x14ac:dyDescent="0.25">
      <c r="A22163" s="318">
        <v>97753893151</v>
      </c>
      <c r="B22163" s="318" t="s">
        <v>237</v>
      </c>
    </row>
    <row r="22164" spans="1:2" ht="12.75" customHeight="1" x14ac:dyDescent="0.25">
      <c r="A22164" s="318">
        <v>97753893152</v>
      </c>
      <c r="B22164" s="318" t="s">
        <v>237</v>
      </c>
    </row>
    <row r="22165" spans="1:2" ht="12.75" customHeight="1" x14ac:dyDescent="0.25">
      <c r="A22165" s="318">
        <v>97753893153</v>
      </c>
      <c r="B22165" s="318" t="s">
        <v>237</v>
      </c>
    </row>
    <row r="22166" spans="1:2" ht="12.75" customHeight="1" x14ac:dyDescent="0.25">
      <c r="A22166" s="318">
        <v>97753893237</v>
      </c>
      <c r="B22166" s="318" t="s">
        <v>23</v>
      </c>
    </row>
    <row r="22167" spans="1:2" ht="12.75" customHeight="1" x14ac:dyDescent="0.25">
      <c r="A22167" s="318">
        <v>97753893238</v>
      </c>
      <c r="B22167" s="318" t="s">
        <v>23</v>
      </c>
    </row>
    <row r="22168" spans="1:2" ht="12.75" customHeight="1" x14ac:dyDescent="0.25">
      <c r="A22168" s="318">
        <v>97753893239</v>
      </c>
      <c r="B22168" s="318" t="s">
        <v>23</v>
      </c>
    </row>
    <row r="22169" spans="1:2" ht="12.75" customHeight="1" x14ac:dyDescent="0.25">
      <c r="A22169" s="318">
        <v>97753893240</v>
      </c>
      <c r="B22169" s="318" t="s">
        <v>23</v>
      </c>
    </row>
    <row r="22170" spans="1:2" ht="12.75" customHeight="1" x14ac:dyDescent="0.25">
      <c r="A22170" s="318">
        <v>97753893241</v>
      </c>
      <c r="B22170" s="318" t="s">
        <v>23</v>
      </c>
    </row>
    <row r="22171" spans="1:2" ht="12.75" customHeight="1" x14ac:dyDescent="0.25">
      <c r="A22171" s="318">
        <v>97753893242</v>
      </c>
      <c r="B22171" s="318" t="s">
        <v>23</v>
      </c>
    </row>
    <row r="22172" spans="1:2" ht="12.75" customHeight="1" x14ac:dyDescent="0.25">
      <c r="A22172" s="318">
        <v>97753893243</v>
      </c>
      <c r="B22172" s="318" t="s">
        <v>237</v>
      </c>
    </row>
    <row r="22173" spans="1:2" ht="12.75" customHeight="1" x14ac:dyDescent="0.25">
      <c r="A22173" s="318">
        <v>97753893244</v>
      </c>
      <c r="B22173" s="318" t="s">
        <v>237</v>
      </c>
    </row>
    <row r="22174" spans="1:2" ht="12.75" customHeight="1" x14ac:dyDescent="0.25">
      <c r="A22174" s="318">
        <v>97753893246</v>
      </c>
      <c r="B22174" s="318" t="s">
        <v>237</v>
      </c>
    </row>
    <row r="22175" spans="1:2" ht="12.75" customHeight="1" x14ac:dyDescent="0.25">
      <c r="A22175" s="318">
        <v>97753893247</v>
      </c>
      <c r="B22175" s="318" t="s">
        <v>237</v>
      </c>
    </row>
    <row r="22176" spans="1:2" ht="12.75" customHeight="1" x14ac:dyDescent="0.25">
      <c r="A22176" s="318">
        <v>97753893248</v>
      </c>
      <c r="B22176" s="318" t="s">
        <v>237</v>
      </c>
    </row>
    <row r="22177" spans="1:2" ht="12.75" customHeight="1" x14ac:dyDescent="0.25">
      <c r="A22177" s="318">
        <v>97753893249</v>
      </c>
      <c r="B22177" s="318" t="s">
        <v>237</v>
      </c>
    </row>
    <row r="22178" spans="1:2" ht="12.75" customHeight="1" x14ac:dyDescent="0.25">
      <c r="A22178" s="318">
        <v>97753893250</v>
      </c>
      <c r="B22178" s="318" t="s">
        <v>237</v>
      </c>
    </row>
    <row r="22179" spans="1:2" ht="12.75" customHeight="1" x14ac:dyDescent="0.25">
      <c r="A22179" s="318">
        <v>97753893251</v>
      </c>
      <c r="B22179" s="318" t="s">
        <v>237</v>
      </c>
    </row>
    <row r="22180" spans="1:2" ht="12.75" customHeight="1" x14ac:dyDescent="0.25">
      <c r="A22180" s="318">
        <v>97753893252</v>
      </c>
      <c r="B22180" s="318" t="s">
        <v>237</v>
      </c>
    </row>
    <row r="22181" spans="1:2" ht="12.75" customHeight="1" x14ac:dyDescent="0.25">
      <c r="A22181" s="318">
        <v>97753893253</v>
      </c>
      <c r="B22181" s="318" t="s">
        <v>237</v>
      </c>
    </row>
    <row r="22182" spans="1:2" ht="12.75" customHeight="1" x14ac:dyDescent="0.25">
      <c r="A22182" s="318">
        <v>97754374110</v>
      </c>
      <c r="B22182" s="318" t="s">
        <v>23</v>
      </c>
    </row>
    <row r="22183" spans="1:2" ht="12.75" customHeight="1" x14ac:dyDescent="0.25">
      <c r="A22183" s="318">
        <v>97754374111</v>
      </c>
      <c r="B22183" s="318" t="s">
        <v>23</v>
      </c>
    </row>
    <row r="22184" spans="1:2" ht="12.75" customHeight="1" x14ac:dyDescent="0.25">
      <c r="A22184" s="318">
        <v>97754374112</v>
      </c>
      <c r="B22184" s="318" t="s">
        <v>23</v>
      </c>
    </row>
    <row r="22185" spans="1:2" ht="12.75" customHeight="1" x14ac:dyDescent="0.25">
      <c r="A22185" s="318">
        <v>97754374113</v>
      </c>
      <c r="B22185" s="318" t="s">
        <v>23</v>
      </c>
    </row>
    <row r="22186" spans="1:2" ht="12.75" customHeight="1" x14ac:dyDescent="0.25">
      <c r="A22186" s="318">
        <v>97754374114</v>
      </c>
      <c r="B22186" s="318" t="s">
        <v>23</v>
      </c>
    </row>
    <row r="22187" spans="1:2" ht="12.75" customHeight="1" x14ac:dyDescent="0.25">
      <c r="A22187" s="318">
        <v>97754374115</v>
      </c>
      <c r="B22187" s="318" t="s">
        <v>23</v>
      </c>
    </row>
    <row r="22188" spans="1:2" ht="12.75" customHeight="1" x14ac:dyDescent="0.25">
      <c r="A22188" s="318">
        <v>97754374116</v>
      </c>
      <c r="B22188" s="318" t="s">
        <v>237</v>
      </c>
    </row>
    <row r="22189" spans="1:2" ht="12.75" customHeight="1" x14ac:dyDescent="0.25">
      <c r="A22189" s="318">
        <v>97754374117</v>
      </c>
      <c r="B22189" s="318" t="s">
        <v>237</v>
      </c>
    </row>
    <row r="22190" spans="1:2" ht="12.75" customHeight="1" x14ac:dyDescent="0.25">
      <c r="A22190" s="318">
        <v>97754374119</v>
      </c>
      <c r="B22190" s="318" t="s">
        <v>237</v>
      </c>
    </row>
    <row r="22191" spans="1:2" ht="12.75" customHeight="1" x14ac:dyDescent="0.25">
      <c r="A22191" s="318">
        <v>97754374120</v>
      </c>
      <c r="B22191" s="318" t="s">
        <v>237</v>
      </c>
    </row>
    <row r="22192" spans="1:2" ht="12.75" customHeight="1" x14ac:dyDescent="0.25">
      <c r="A22192" s="318">
        <v>97754374121</v>
      </c>
      <c r="B22192" s="318" t="s">
        <v>237</v>
      </c>
    </row>
    <row r="22193" spans="1:2" ht="12.75" customHeight="1" x14ac:dyDescent="0.25">
      <c r="A22193" s="318">
        <v>97754374122</v>
      </c>
      <c r="B22193" s="318" t="s">
        <v>237</v>
      </c>
    </row>
    <row r="22194" spans="1:2" ht="12.75" customHeight="1" x14ac:dyDescent="0.25">
      <c r="A22194" s="318">
        <v>97754374123</v>
      </c>
      <c r="B22194" s="318" t="s">
        <v>237</v>
      </c>
    </row>
    <row r="22195" spans="1:2" ht="12.75" customHeight="1" x14ac:dyDescent="0.25">
      <c r="A22195" s="318">
        <v>97754374124</v>
      </c>
      <c r="B22195" s="318" t="s">
        <v>237</v>
      </c>
    </row>
    <row r="22196" spans="1:2" ht="12.75" customHeight="1" x14ac:dyDescent="0.25">
      <c r="A22196" s="318">
        <v>97754374125</v>
      </c>
      <c r="B22196" s="318" t="s">
        <v>237</v>
      </c>
    </row>
    <row r="22197" spans="1:2" ht="12.75" customHeight="1" x14ac:dyDescent="0.25">
      <c r="A22197" s="318">
        <v>97754374126</v>
      </c>
      <c r="B22197" s="318" t="s">
        <v>237</v>
      </c>
    </row>
    <row r="22198" spans="1:2" ht="12.75" customHeight="1" x14ac:dyDescent="0.25">
      <c r="A22198" s="318">
        <v>97754374210</v>
      </c>
      <c r="B22198" s="318" t="s">
        <v>23</v>
      </c>
    </row>
    <row r="22199" spans="1:2" ht="12.75" customHeight="1" x14ac:dyDescent="0.25">
      <c r="A22199" s="318">
        <v>97754374211</v>
      </c>
      <c r="B22199" s="318" t="s">
        <v>23</v>
      </c>
    </row>
    <row r="22200" spans="1:2" ht="12.75" customHeight="1" x14ac:dyDescent="0.25">
      <c r="A22200" s="318">
        <v>97754374212</v>
      </c>
      <c r="B22200" s="318" t="s">
        <v>23</v>
      </c>
    </row>
    <row r="22201" spans="1:2" ht="12.75" customHeight="1" x14ac:dyDescent="0.25">
      <c r="A22201" s="318">
        <v>97754374213</v>
      </c>
      <c r="B22201" s="318" t="s">
        <v>23</v>
      </c>
    </row>
    <row r="22202" spans="1:2" ht="12.75" customHeight="1" x14ac:dyDescent="0.25">
      <c r="A22202" s="318">
        <v>97754374214</v>
      </c>
      <c r="B22202" s="318" t="s">
        <v>23</v>
      </c>
    </row>
    <row r="22203" spans="1:2" ht="12.75" customHeight="1" x14ac:dyDescent="0.25">
      <c r="A22203" s="318">
        <v>97754374215</v>
      </c>
      <c r="B22203" s="318" t="s">
        <v>23</v>
      </c>
    </row>
    <row r="22204" spans="1:2" ht="12.75" customHeight="1" x14ac:dyDescent="0.25">
      <c r="A22204" s="318">
        <v>97754374216</v>
      </c>
      <c r="B22204" s="318" t="s">
        <v>237</v>
      </c>
    </row>
    <row r="22205" spans="1:2" ht="12.75" customHeight="1" x14ac:dyDescent="0.25">
      <c r="A22205" s="318">
        <v>97754374217</v>
      </c>
      <c r="B22205" s="318" t="s">
        <v>237</v>
      </c>
    </row>
    <row r="22206" spans="1:2" ht="12.75" customHeight="1" x14ac:dyDescent="0.25">
      <c r="A22206" s="318">
        <v>97754374219</v>
      </c>
      <c r="B22206" s="318" t="s">
        <v>237</v>
      </c>
    </row>
    <row r="22207" spans="1:2" ht="12.75" customHeight="1" x14ac:dyDescent="0.25">
      <c r="A22207" s="318">
        <v>97754374220</v>
      </c>
      <c r="B22207" s="318" t="s">
        <v>237</v>
      </c>
    </row>
    <row r="22208" spans="1:2" ht="12.75" customHeight="1" x14ac:dyDescent="0.25">
      <c r="A22208" s="318">
        <v>97754374221</v>
      </c>
      <c r="B22208" s="318" t="s">
        <v>237</v>
      </c>
    </row>
    <row r="22209" spans="1:2" ht="12.75" customHeight="1" x14ac:dyDescent="0.25">
      <c r="A22209" s="318">
        <v>97754374222</v>
      </c>
      <c r="B22209" s="318" t="s">
        <v>237</v>
      </c>
    </row>
    <row r="22210" spans="1:2" ht="12.75" customHeight="1" x14ac:dyDescent="0.25">
      <c r="A22210" s="318">
        <v>97754374223</v>
      </c>
      <c r="B22210" s="318" t="s">
        <v>237</v>
      </c>
    </row>
    <row r="22211" spans="1:2" ht="12.75" customHeight="1" x14ac:dyDescent="0.25">
      <c r="A22211" s="318">
        <v>97754374224</v>
      </c>
      <c r="B22211" s="318" t="s">
        <v>237</v>
      </c>
    </row>
    <row r="22212" spans="1:2" ht="12.75" customHeight="1" x14ac:dyDescent="0.25">
      <c r="A22212" s="318">
        <v>97754374225</v>
      </c>
      <c r="B22212" s="318" t="s">
        <v>237</v>
      </c>
    </row>
    <row r="22213" spans="1:2" ht="12.75" customHeight="1" x14ac:dyDescent="0.25">
      <c r="A22213" s="318">
        <v>97754374226</v>
      </c>
      <c r="B22213" s="318" t="s">
        <v>237</v>
      </c>
    </row>
    <row r="22214" spans="1:2" ht="12.75" customHeight="1" x14ac:dyDescent="0.25">
      <c r="A22214" s="318">
        <v>97754855083</v>
      </c>
      <c r="B22214" s="318" t="s">
        <v>23</v>
      </c>
    </row>
    <row r="22215" spans="1:2" ht="12.75" customHeight="1" x14ac:dyDescent="0.25">
      <c r="A22215" s="318">
        <v>97754855084</v>
      </c>
      <c r="B22215" s="318" t="s">
        <v>23</v>
      </c>
    </row>
    <row r="22216" spans="1:2" ht="12.75" customHeight="1" x14ac:dyDescent="0.25">
      <c r="A22216" s="318">
        <v>97754855085</v>
      </c>
      <c r="B22216" s="318" t="s">
        <v>23</v>
      </c>
    </row>
    <row r="22217" spans="1:2" ht="12.75" customHeight="1" x14ac:dyDescent="0.25">
      <c r="A22217" s="318">
        <v>97754855086</v>
      </c>
      <c r="B22217" s="318" t="s">
        <v>23</v>
      </c>
    </row>
    <row r="22218" spans="1:2" ht="12.75" customHeight="1" x14ac:dyDescent="0.25">
      <c r="A22218" s="318">
        <v>97754855087</v>
      </c>
      <c r="B22218" s="318" t="s">
        <v>23</v>
      </c>
    </row>
    <row r="22219" spans="1:2" ht="12.75" customHeight="1" x14ac:dyDescent="0.25">
      <c r="A22219" s="318">
        <v>97754855088</v>
      </c>
      <c r="B22219" s="318" t="s">
        <v>23</v>
      </c>
    </row>
    <row r="22220" spans="1:2" ht="12.75" customHeight="1" x14ac:dyDescent="0.25">
      <c r="A22220" s="318">
        <v>97754855089</v>
      </c>
      <c r="B22220" s="318" t="s">
        <v>237</v>
      </c>
    </row>
    <row r="22221" spans="1:2" ht="12.75" customHeight="1" x14ac:dyDescent="0.25">
      <c r="A22221" s="318">
        <v>97754855090</v>
      </c>
      <c r="B22221" s="318" t="s">
        <v>237</v>
      </c>
    </row>
    <row r="22222" spans="1:2" ht="12.75" customHeight="1" x14ac:dyDescent="0.25">
      <c r="A22222" s="318">
        <v>97754855092</v>
      </c>
      <c r="B22222" s="318" t="s">
        <v>237</v>
      </c>
    </row>
    <row r="22223" spans="1:2" ht="12.75" customHeight="1" x14ac:dyDescent="0.25">
      <c r="A22223" s="318">
        <v>97754855093</v>
      </c>
      <c r="B22223" s="318" t="s">
        <v>237</v>
      </c>
    </row>
    <row r="22224" spans="1:2" ht="12.75" customHeight="1" x14ac:dyDescent="0.25">
      <c r="A22224" s="318">
        <v>97754855094</v>
      </c>
      <c r="B22224" s="318" t="s">
        <v>237</v>
      </c>
    </row>
    <row r="22225" spans="1:2" ht="12.75" customHeight="1" x14ac:dyDescent="0.25">
      <c r="A22225" s="318">
        <v>97754855095</v>
      </c>
      <c r="B22225" s="318" t="s">
        <v>237</v>
      </c>
    </row>
    <row r="22226" spans="1:2" ht="12.75" customHeight="1" x14ac:dyDescent="0.25">
      <c r="A22226" s="318">
        <v>97754855096</v>
      </c>
      <c r="B22226" s="318" t="s">
        <v>237</v>
      </c>
    </row>
    <row r="22227" spans="1:2" ht="12.75" customHeight="1" x14ac:dyDescent="0.25">
      <c r="A22227" s="318">
        <v>97754855097</v>
      </c>
      <c r="B22227" s="318" t="s">
        <v>237</v>
      </c>
    </row>
    <row r="22228" spans="1:2" ht="12.75" customHeight="1" x14ac:dyDescent="0.25">
      <c r="A22228" s="318">
        <v>97754855098</v>
      </c>
      <c r="B22228" s="318" t="s">
        <v>237</v>
      </c>
    </row>
    <row r="22229" spans="1:2" ht="12.75" customHeight="1" x14ac:dyDescent="0.25">
      <c r="A22229" s="318">
        <v>97754855099</v>
      </c>
      <c r="B22229" s="318" t="s">
        <v>237</v>
      </c>
    </row>
    <row r="22230" spans="1:2" ht="12.75" customHeight="1" x14ac:dyDescent="0.25">
      <c r="A22230" s="318">
        <v>97754855183</v>
      </c>
      <c r="B22230" s="318" t="s">
        <v>23</v>
      </c>
    </row>
    <row r="22231" spans="1:2" ht="12.75" customHeight="1" x14ac:dyDescent="0.25">
      <c r="A22231" s="318">
        <v>97754855184</v>
      </c>
      <c r="B22231" s="318" t="s">
        <v>23</v>
      </c>
    </row>
    <row r="22232" spans="1:2" ht="12.75" customHeight="1" x14ac:dyDescent="0.25">
      <c r="A22232" s="318">
        <v>97754855185</v>
      </c>
      <c r="B22232" s="318" t="s">
        <v>23</v>
      </c>
    </row>
    <row r="22233" spans="1:2" ht="12.75" customHeight="1" x14ac:dyDescent="0.25">
      <c r="A22233" s="318">
        <v>97754855186</v>
      </c>
      <c r="B22233" s="318" t="s">
        <v>23</v>
      </c>
    </row>
    <row r="22234" spans="1:2" ht="12.75" customHeight="1" x14ac:dyDescent="0.25">
      <c r="A22234" s="318">
        <v>97754855187</v>
      </c>
      <c r="B22234" s="318" t="s">
        <v>23</v>
      </c>
    </row>
    <row r="22235" spans="1:2" ht="12.75" customHeight="1" x14ac:dyDescent="0.25">
      <c r="A22235" s="318">
        <v>97754855188</v>
      </c>
      <c r="B22235" s="318" t="s">
        <v>23</v>
      </c>
    </row>
    <row r="22236" spans="1:2" ht="12.75" customHeight="1" x14ac:dyDescent="0.25">
      <c r="A22236" s="318">
        <v>97754855189</v>
      </c>
      <c r="B22236" s="318" t="s">
        <v>237</v>
      </c>
    </row>
    <row r="22237" spans="1:2" ht="12.75" customHeight="1" x14ac:dyDescent="0.25">
      <c r="A22237" s="318">
        <v>97754855190</v>
      </c>
      <c r="B22237" s="318" t="s">
        <v>237</v>
      </c>
    </row>
    <row r="22238" spans="1:2" ht="12.75" customHeight="1" x14ac:dyDescent="0.25">
      <c r="A22238" s="318">
        <v>97754855192</v>
      </c>
      <c r="B22238" s="318" t="s">
        <v>237</v>
      </c>
    </row>
    <row r="22239" spans="1:2" ht="12.75" customHeight="1" x14ac:dyDescent="0.25">
      <c r="A22239" s="318">
        <v>97754855193</v>
      </c>
      <c r="B22239" s="318" t="s">
        <v>237</v>
      </c>
    </row>
    <row r="22240" spans="1:2" ht="12.75" customHeight="1" x14ac:dyDescent="0.25">
      <c r="A22240" s="318">
        <v>97754855194</v>
      </c>
      <c r="B22240" s="318" t="s">
        <v>237</v>
      </c>
    </row>
    <row r="22241" spans="1:2" ht="12.75" customHeight="1" x14ac:dyDescent="0.25">
      <c r="A22241" s="318">
        <v>97754855195</v>
      </c>
      <c r="B22241" s="318" t="s">
        <v>237</v>
      </c>
    </row>
    <row r="22242" spans="1:2" ht="12.75" customHeight="1" x14ac:dyDescent="0.25">
      <c r="A22242" s="318">
        <v>97754855196</v>
      </c>
      <c r="B22242" s="318" t="s">
        <v>237</v>
      </c>
    </row>
    <row r="22243" spans="1:2" ht="12.75" customHeight="1" x14ac:dyDescent="0.25">
      <c r="A22243" s="318">
        <v>97754855197</v>
      </c>
      <c r="B22243" s="318" t="s">
        <v>237</v>
      </c>
    </row>
    <row r="22244" spans="1:2" ht="12.75" customHeight="1" x14ac:dyDescent="0.25">
      <c r="A22244" s="318">
        <v>97754855198</v>
      </c>
      <c r="B22244" s="318" t="s">
        <v>237</v>
      </c>
    </row>
    <row r="22245" spans="1:2" ht="12.75" customHeight="1" x14ac:dyDescent="0.25">
      <c r="A22245" s="318">
        <v>97754855199</v>
      </c>
      <c r="B22245" s="318" t="s">
        <v>237</v>
      </c>
    </row>
    <row r="22246" spans="1:2" ht="12.75" customHeight="1" x14ac:dyDescent="0.25">
      <c r="A22246" s="318">
        <v>97755535274</v>
      </c>
      <c r="B22246" s="318" t="s">
        <v>23</v>
      </c>
    </row>
    <row r="22247" spans="1:2" ht="12.75" customHeight="1" x14ac:dyDescent="0.25">
      <c r="A22247" s="318">
        <v>97755535275</v>
      </c>
      <c r="B22247" s="318" t="s">
        <v>23</v>
      </c>
    </row>
    <row r="22248" spans="1:2" ht="12.75" customHeight="1" x14ac:dyDescent="0.25">
      <c r="A22248" s="318">
        <v>97755535276</v>
      </c>
      <c r="B22248" s="318" t="s">
        <v>23</v>
      </c>
    </row>
    <row r="22249" spans="1:2" ht="12.75" customHeight="1" x14ac:dyDescent="0.25">
      <c r="A22249" s="318">
        <v>97755535277</v>
      </c>
      <c r="B22249" s="318" t="s">
        <v>23</v>
      </c>
    </row>
    <row r="22250" spans="1:2" ht="12.75" customHeight="1" x14ac:dyDescent="0.25">
      <c r="A22250" s="318">
        <v>97755535278</v>
      </c>
      <c r="B22250" s="318" t="s">
        <v>23</v>
      </c>
    </row>
    <row r="22251" spans="1:2" ht="12.75" customHeight="1" x14ac:dyDescent="0.25">
      <c r="A22251" s="318">
        <v>97755535279</v>
      </c>
      <c r="B22251" s="318" t="s">
        <v>23</v>
      </c>
    </row>
    <row r="22252" spans="1:2" ht="12.75" customHeight="1" x14ac:dyDescent="0.25">
      <c r="A22252" s="318">
        <v>97755535280</v>
      </c>
      <c r="B22252" s="318" t="s">
        <v>237</v>
      </c>
    </row>
    <row r="22253" spans="1:2" ht="12.75" customHeight="1" x14ac:dyDescent="0.25">
      <c r="A22253" s="318">
        <v>97755535281</v>
      </c>
      <c r="B22253" s="318" t="s">
        <v>237</v>
      </c>
    </row>
    <row r="22254" spans="1:2" ht="12.75" customHeight="1" x14ac:dyDescent="0.25">
      <c r="A22254" s="318">
        <v>97755535283</v>
      </c>
      <c r="B22254" s="318" t="s">
        <v>237</v>
      </c>
    </row>
    <row r="22255" spans="1:2" ht="12.75" customHeight="1" x14ac:dyDescent="0.25">
      <c r="A22255" s="318">
        <v>97755535284</v>
      </c>
      <c r="B22255" s="318" t="s">
        <v>237</v>
      </c>
    </row>
    <row r="22256" spans="1:2" ht="12.75" customHeight="1" x14ac:dyDescent="0.25">
      <c r="A22256" s="318">
        <v>97755535285</v>
      </c>
      <c r="B22256" s="318" t="s">
        <v>237</v>
      </c>
    </row>
    <row r="22257" spans="1:2" ht="12.75" customHeight="1" x14ac:dyDescent="0.25">
      <c r="A22257" s="318">
        <v>97755535286</v>
      </c>
      <c r="B22257" s="318" t="s">
        <v>237</v>
      </c>
    </row>
    <row r="22258" spans="1:2" ht="12.75" customHeight="1" x14ac:dyDescent="0.25">
      <c r="A22258" s="318">
        <v>97755535287</v>
      </c>
      <c r="B22258" s="318" t="s">
        <v>237</v>
      </c>
    </row>
    <row r="22259" spans="1:2" ht="12.75" customHeight="1" x14ac:dyDescent="0.25">
      <c r="A22259" s="318">
        <v>97755535288</v>
      </c>
      <c r="B22259" s="318" t="s">
        <v>237</v>
      </c>
    </row>
    <row r="22260" spans="1:2" ht="12.75" customHeight="1" x14ac:dyDescent="0.25">
      <c r="A22260" s="318">
        <v>97755535289</v>
      </c>
      <c r="B22260" s="318" t="s">
        <v>237</v>
      </c>
    </row>
    <row r="22261" spans="1:2" ht="12.75" customHeight="1" x14ac:dyDescent="0.25">
      <c r="A22261" s="318">
        <v>97755535290</v>
      </c>
      <c r="B22261" s="318" t="s">
        <v>237</v>
      </c>
    </row>
    <row r="22262" spans="1:2" ht="12.75" customHeight="1" x14ac:dyDescent="0.25">
      <c r="A22262" s="318">
        <v>97755535374</v>
      </c>
      <c r="B22262" s="318" t="s">
        <v>23</v>
      </c>
    </row>
    <row r="22263" spans="1:2" ht="12.75" customHeight="1" x14ac:dyDescent="0.25">
      <c r="A22263" s="318">
        <v>97755535375</v>
      </c>
      <c r="B22263" s="318" t="s">
        <v>23</v>
      </c>
    </row>
    <row r="22264" spans="1:2" ht="12.75" customHeight="1" x14ac:dyDescent="0.25">
      <c r="A22264" s="318">
        <v>97755535376</v>
      </c>
      <c r="B22264" s="318" t="s">
        <v>23</v>
      </c>
    </row>
    <row r="22265" spans="1:2" ht="12.75" customHeight="1" x14ac:dyDescent="0.25">
      <c r="A22265" s="318">
        <v>97755535377</v>
      </c>
      <c r="B22265" s="318" t="s">
        <v>23</v>
      </c>
    </row>
    <row r="22266" spans="1:2" ht="12.75" customHeight="1" x14ac:dyDescent="0.25">
      <c r="A22266" s="318">
        <v>97755535378</v>
      </c>
      <c r="B22266" s="318" t="s">
        <v>23</v>
      </c>
    </row>
    <row r="22267" spans="1:2" ht="12.75" customHeight="1" x14ac:dyDescent="0.25">
      <c r="A22267" s="318">
        <v>97755535379</v>
      </c>
      <c r="B22267" s="318" t="s">
        <v>23</v>
      </c>
    </row>
    <row r="22268" spans="1:2" ht="12.75" customHeight="1" x14ac:dyDescent="0.25">
      <c r="A22268" s="318">
        <v>97755535380</v>
      </c>
      <c r="B22268" s="318" t="s">
        <v>237</v>
      </c>
    </row>
    <row r="22269" spans="1:2" ht="12.75" customHeight="1" x14ac:dyDescent="0.25">
      <c r="A22269" s="318">
        <v>97755535381</v>
      </c>
      <c r="B22269" s="318" t="s">
        <v>237</v>
      </c>
    </row>
    <row r="22270" spans="1:2" ht="12.75" customHeight="1" x14ac:dyDescent="0.25">
      <c r="A22270" s="318">
        <v>97755535383</v>
      </c>
      <c r="B22270" s="318" t="s">
        <v>237</v>
      </c>
    </row>
    <row r="22271" spans="1:2" ht="12.75" customHeight="1" x14ac:dyDescent="0.25">
      <c r="A22271" s="318">
        <v>97755535384</v>
      </c>
      <c r="B22271" s="318" t="s">
        <v>237</v>
      </c>
    </row>
    <row r="22272" spans="1:2" ht="12.75" customHeight="1" x14ac:dyDescent="0.25">
      <c r="A22272" s="318">
        <v>97755535385</v>
      </c>
      <c r="B22272" s="318" t="s">
        <v>237</v>
      </c>
    </row>
    <row r="22273" spans="1:2" ht="12.75" customHeight="1" x14ac:dyDescent="0.25">
      <c r="A22273" s="318">
        <v>97755535386</v>
      </c>
      <c r="B22273" s="318" t="s">
        <v>237</v>
      </c>
    </row>
    <row r="22274" spans="1:2" ht="12.75" customHeight="1" x14ac:dyDescent="0.25">
      <c r="A22274" s="318">
        <v>97755535387</v>
      </c>
      <c r="B22274" s="318" t="s">
        <v>237</v>
      </c>
    </row>
    <row r="22275" spans="1:2" ht="12.75" customHeight="1" x14ac:dyDescent="0.25">
      <c r="A22275" s="318">
        <v>97755535388</v>
      </c>
      <c r="B22275" s="318" t="s">
        <v>237</v>
      </c>
    </row>
    <row r="22276" spans="1:2" ht="12.75" customHeight="1" x14ac:dyDescent="0.25">
      <c r="A22276" s="318">
        <v>97755535389</v>
      </c>
      <c r="B22276" s="318" t="s">
        <v>237</v>
      </c>
    </row>
    <row r="22277" spans="1:2" ht="12.75" customHeight="1" x14ac:dyDescent="0.25">
      <c r="A22277" s="318">
        <v>97755535390</v>
      </c>
      <c r="B22277" s="318" t="s">
        <v>237</v>
      </c>
    </row>
    <row r="22278" spans="1:2" ht="12.75" customHeight="1" x14ac:dyDescent="0.25">
      <c r="A22278" s="318">
        <v>97756016247</v>
      </c>
      <c r="B22278" s="318" t="s">
        <v>23</v>
      </c>
    </row>
    <row r="22279" spans="1:2" ht="12.75" customHeight="1" x14ac:dyDescent="0.25">
      <c r="A22279" s="318">
        <v>97756016248</v>
      </c>
      <c r="B22279" s="318" t="s">
        <v>23</v>
      </c>
    </row>
    <row r="22280" spans="1:2" ht="12.75" customHeight="1" x14ac:dyDescent="0.25">
      <c r="A22280" s="318">
        <v>97756016249</v>
      </c>
      <c r="B22280" s="318" t="s">
        <v>23</v>
      </c>
    </row>
    <row r="22281" spans="1:2" ht="12.75" customHeight="1" x14ac:dyDescent="0.25">
      <c r="A22281" s="318">
        <v>97756016250</v>
      </c>
      <c r="B22281" s="318" t="s">
        <v>23</v>
      </c>
    </row>
    <row r="22282" spans="1:2" ht="12.75" customHeight="1" x14ac:dyDescent="0.25">
      <c r="A22282" s="318">
        <v>97756016251</v>
      </c>
      <c r="B22282" s="318" t="s">
        <v>23</v>
      </c>
    </row>
    <row r="22283" spans="1:2" ht="12.75" customHeight="1" x14ac:dyDescent="0.25">
      <c r="A22283" s="318">
        <v>97756016252</v>
      </c>
      <c r="B22283" s="318" t="s">
        <v>23</v>
      </c>
    </row>
    <row r="22284" spans="1:2" ht="12.75" customHeight="1" x14ac:dyDescent="0.25">
      <c r="A22284" s="318">
        <v>97756016253</v>
      </c>
      <c r="B22284" s="318" t="s">
        <v>237</v>
      </c>
    </row>
    <row r="22285" spans="1:2" ht="12.75" customHeight="1" x14ac:dyDescent="0.25">
      <c r="A22285" s="318">
        <v>97756016254</v>
      </c>
      <c r="B22285" s="318" t="s">
        <v>237</v>
      </c>
    </row>
    <row r="22286" spans="1:2" ht="12.75" customHeight="1" x14ac:dyDescent="0.25">
      <c r="A22286" s="318">
        <v>97756016256</v>
      </c>
      <c r="B22286" s="318" t="s">
        <v>237</v>
      </c>
    </row>
    <row r="22287" spans="1:2" ht="12.75" customHeight="1" x14ac:dyDescent="0.25">
      <c r="A22287" s="318">
        <v>97756016257</v>
      </c>
      <c r="B22287" s="318" t="s">
        <v>237</v>
      </c>
    </row>
    <row r="22288" spans="1:2" ht="12.75" customHeight="1" x14ac:dyDescent="0.25">
      <c r="A22288" s="318">
        <v>97756016258</v>
      </c>
      <c r="B22288" s="318" t="s">
        <v>237</v>
      </c>
    </row>
    <row r="22289" spans="1:2" ht="12.75" customHeight="1" x14ac:dyDescent="0.25">
      <c r="A22289" s="318">
        <v>97756016259</v>
      </c>
      <c r="B22289" s="318" t="s">
        <v>237</v>
      </c>
    </row>
    <row r="22290" spans="1:2" ht="12.75" customHeight="1" x14ac:dyDescent="0.25">
      <c r="A22290" s="318">
        <v>97756016260</v>
      </c>
      <c r="B22290" s="318" t="s">
        <v>237</v>
      </c>
    </row>
    <row r="22291" spans="1:2" ht="12.75" customHeight="1" x14ac:dyDescent="0.25">
      <c r="A22291" s="318">
        <v>97756016261</v>
      </c>
      <c r="B22291" s="318" t="s">
        <v>237</v>
      </c>
    </row>
    <row r="22292" spans="1:2" ht="12.75" customHeight="1" x14ac:dyDescent="0.25">
      <c r="A22292" s="318">
        <v>97756016262</v>
      </c>
      <c r="B22292" s="318" t="s">
        <v>237</v>
      </c>
    </row>
    <row r="22293" spans="1:2" ht="12.75" customHeight="1" x14ac:dyDescent="0.25">
      <c r="A22293" s="318">
        <v>97756016263</v>
      </c>
      <c r="B22293" s="318" t="s">
        <v>237</v>
      </c>
    </row>
    <row r="22294" spans="1:2" ht="12.75" customHeight="1" x14ac:dyDescent="0.25">
      <c r="A22294" s="318">
        <v>97756016347</v>
      </c>
      <c r="B22294" s="318" t="s">
        <v>23</v>
      </c>
    </row>
    <row r="22295" spans="1:2" ht="12.75" customHeight="1" x14ac:dyDescent="0.25">
      <c r="A22295" s="318">
        <v>97756016348</v>
      </c>
      <c r="B22295" s="318" t="s">
        <v>23</v>
      </c>
    </row>
    <row r="22296" spans="1:2" ht="12.75" customHeight="1" x14ac:dyDescent="0.25">
      <c r="A22296" s="318">
        <v>97756016349</v>
      </c>
      <c r="B22296" s="318" t="s">
        <v>23</v>
      </c>
    </row>
    <row r="22297" spans="1:2" ht="12.75" customHeight="1" x14ac:dyDescent="0.25">
      <c r="A22297" s="318">
        <v>97756016350</v>
      </c>
      <c r="B22297" s="318" t="s">
        <v>23</v>
      </c>
    </row>
    <row r="22298" spans="1:2" ht="12.75" customHeight="1" x14ac:dyDescent="0.25">
      <c r="A22298" s="318">
        <v>97756016351</v>
      </c>
      <c r="B22298" s="318" t="s">
        <v>23</v>
      </c>
    </row>
    <row r="22299" spans="1:2" ht="12.75" customHeight="1" x14ac:dyDescent="0.25">
      <c r="A22299" s="318">
        <v>97756016352</v>
      </c>
      <c r="B22299" s="318" t="s">
        <v>23</v>
      </c>
    </row>
    <row r="22300" spans="1:2" ht="12.75" customHeight="1" x14ac:dyDescent="0.25">
      <c r="A22300" s="318">
        <v>97756016353</v>
      </c>
      <c r="B22300" s="318" t="s">
        <v>237</v>
      </c>
    </row>
    <row r="22301" spans="1:2" ht="12.75" customHeight="1" x14ac:dyDescent="0.25">
      <c r="A22301" s="318">
        <v>97756016354</v>
      </c>
      <c r="B22301" s="318" t="s">
        <v>237</v>
      </c>
    </row>
    <row r="22302" spans="1:2" ht="12.75" customHeight="1" x14ac:dyDescent="0.25">
      <c r="A22302" s="318">
        <v>97756016356</v>
      </c>
      <c r="B22302" s="318" t="s">
        <v>237</v>
      </c>
    </row>
    <row r="22303" spans="1:2" ht="12.75" customHeight="1" x14ac:dyDescent="0.25">
      <c r="A22303" s="318">
        <v>97756016357</v>
      </c>
      <c r="B22303" s="318" t="s">
        <v>237</v>
      </c>
    </row>
    <row r="22304" spans="1:2" ht="12.75" customHeight="1" x14ac:dyDescent="0.25">
      <c r="A22304" s="318">
        <v>97756016358</v>
      </c>
      <c r="B22304" s="318" t="s">
        <v>237</v>
      </c>
    </row>
    <row r="22305" spans="1:2" ht="12.75" customHeight="1" x14ac:dyDescent="0.25">
      <c r="A22305" s="318">
        <v>97756016359</v>
      </c>
      <c r="B22305" s="318" t="s">
        <v>237</v>
      </c>
    </row>
    <row r="22306" spans="1:2" ht="12.75" customHeight="1" x14ac:dyDescent="0.25">
      <c r="A22306" s="318">
        <v>97756016360</v>
      </c>
      <c r="B22306" s="318" t="s">
        <v>237</v>
      </c>
    </row>
    <row r="22307" spans="1:2" ht="12.75" customHeight="1" x14ac:dyDescent="0.25">
      <c r="A22307" s="318">
        <v>97756016361</v>
      </c>
      <c r="B22307" s="318" t="s">
        <v>237</v>
      </c>
    </row>
    <row r="22308" spans="1:2" ht="12.75" customHeight="1" x14ac:dyDescent="0.25">
      <c r="A22308" s="318">
        <v>97756016362</v>
      </c>
      <c r="B22308" s="318" t="s">
        <v>237</v>
      </c>
    </row>
    <row r="22309" spans="1:2" ht="12.75" customHeight="1" x14ac:dyDescent="0.25">
      <c r="A22309" s="318">
        <v>97756016363</v>
      </c>
      <c r="B22309" s="318" t="s">
        <v>237</v>
      </c>
    </row>
    <row r="22310" spans="1:2" ht="12.75" customHeight="1" x14ac:dyDescent="0.25">
      <c r="A22310" s="318">
        <v>97756497220</v>
      </c>
      <c r="B22310" s="318" t="s">
        <v>23</v>
      </c>
    </row>
    <row r="22311" spans="1:2" ht="12.75" customHeight="1" x14ac:dyDescent="0.25">
      <c r="A22311" s="318">
        <v>97756497221</v>
      </c>
      <c r="B22311" s="318" t="s">
        <v>23</v>
      </c>
    </row>
    <row r="22312" spans="1:2" ht="12.75" customHeight="1" x14ac:dyDescent="0.25">
      <c r="A22312" s="318">
        <v>97756497222</v>
      </c>
      <c r="B22312" s="318" t="s">
        <v>23</v>
      </c>
    </row>
    <row r="22313" spans="1:2" ht="12.75" customHeight="1" x14ac:dyDescent="0.25">
      <c r="A22313" s="318">
        <v>97756497223</v>
      </c>
      <c r="B22313" s="318" t="s">
        <v>23</v>
      </c>
    </row>
    <row r="22314" spans="1:2" ht="12.75" customHeight="1" x14ac:dyDescent="0.25">
      <c r="A22314" s="318">
        <v>97756497224</v>
      </c>
      <c r="B22314" s="318" t="s">
        <v>23</v>
      </c>
    </row>
    <row r="22315" spans="1:2" ht="12.75" customHeight="1" x14ac:dyDescent="0.25">
      <c r="A22315" s="318">
        <v>97756497225</v>
      </c>
      <c r="B22315" s="318" t="s">
        <v>23</v>
      </c>
    </row>
    <row r="22316" spans="1:2" ht="12.75" customHeight="1" x14ac:dyDescent="0.25">
      <c r="A22316" s="318">
        <v>97756497226</v>
      </c>
      <c r="B22316" s="318" t="s">
        <v>237</v>
      </c>
    </row>
    <row r="22317" spans="1:2" ht="12.75" customHeight="1" x14ac:dyDescent="0.25">
      <c r="A22317" s="318">
        <v>97756497227</v>
      </c>
      <c r="B22317" s="318" t="s">
        <v>237</v>
      </c>
    </row>
    <row r="22318" spans="1:2" ht="12.75" customHeight="1" x14ac:dyDescent="0.25">
      <c r="A22318" s="318">
        <v>97756497229</v>
      </c>
      <c r="B22318" s="318" t="s">
        <v>237</v>
      </c>
    </row>
    <row r="22319" spans="1:2" ht="12.75" customHeight="1" x14ac:dyDescent="0.25">
      <c r="A22319" s="318">
        <v>97756497230</v>
      </c>
      <c r="B22319" s="318" t="s">
        <v>237</v>
      </c>
    </row>
    <row r="22320" spans="1:2" ht="12.75" customHeight="1" x14ac:dyDescent="0.25">
      <c r="A22320" s="318">
        <v>97756497231</v>
      </c>
      <c r="B22320" s="318" t="s">
        <v>237</v>
      </c>
    </row>
    <row r="22321" spans="1:2" ht="12.75" customHeight="1" x14ac:dyDescent="0.25">
      <c r="A22321" s="318">
        <v>97756497232</v>
      </c>
      <c r="B22321" s="318" t="s">
        <v>237</v>
      </c>
    </row>
    <row r="22322" spans="1:2" ht="12.75" customHeight="1" x14ac:dyDescent="0.25">
      <c r="A22322" s="318">
        <v>97756497233</v>
      </c>
      <c r="B22322" s="318" t="s">
        <v>237</v>
      </c>
    </row>
    <row r="22323" spans="1:2" ht="12.75" customHeight="1" x14ac:dyDescent="0.25">
      <c r="A22323" s="318">
        <v>97756497234</v>
      </c>
      <c r="B22323" s="318" t="s">
        <v>237</v>
      </c>
    </row>
    <row r="22324" spans="1:2" ht="12.75" customHeight="1" x14ac:dyDescent="0.25">
      <c r="A22324" s="318">
        <v>97756497235</v>
      </c>
      <c r="B22324" s="318" t="s">
        <v>237</v>
      </c>
    </row>
    <row r="22325" spans="1:2" ht="12.75" customHeight="1" x14ac:dyDescent="0.25">
      <c r="A22325" s="318">
        <v>97756497236</v>
      </c>
      <c r="B22325" s="318" t="s">
        <v>237</v>
      </c>
    </row>
    <row r="22326" spans="1:2" ht="12.75" customHeight="1" x14ac:dyDescent="0.25">
      <c r="A22326" s="318">
        <v>97756497320</v>
      </c>
      <c r="B22326" s="318" t="s">
        <v>23</v>
      </c>
    </row>
    <row r="22327" spans="1:2" ht="12.75" customHeight="1" x14ac:dyDescent="0.25">
      <c r="A22327" s="318">
        <v>97756497321</v>
      </c>
      <c r="B22327" s="318" t="s">
        <v>23</v>
      </c>
    </row>
    <row r="22328" spans="1:2" ht="12.75" customHeight="1" x14ac:dyDescent="0.25">
      <c r="A22328" s="318">
        <v>97756497322</v>
      </c>
      <c r="B22328" s="318" t="s">
        <v>23</v>
      </c>
    </row>
    <row r="22329" spans="1:2" ht="12.75" customHeight="1" x14ac:dyDescent="0.25">
      <c r="A22329" s="318">
        <v>97756497323</v>
      </c>
      <c r="B22329" s="318" t="s">
        <v>23</v>
      </c>
    </row>
    <row r="22330" spans="1:2" ht="12.75" customHeight="1" x14ac:dyDescent="0.25">
      <c r="A22330" s="318">
        <v>97756497324</v>
      </c>
      <c r="B22330" s="318" t="s">
        <v>23</v>
      </c>
    </row>
    <row r="22331" spans="1:2" ht="12.75" customHeight="1" x14ac:dyDescent="0.25">
      <c r="A22331" s="318">
        <v>97756497325</v>
      </c>
      <c r="B22331" s="318" t="s">
        <v>23</v>
      </c>
    </row>
    <row r="22332" spans="1:2" ht="12.75" customHeight="1" x14ac:dyDescent="0.25">
      <c r="A22332" s="318">
        <v>97756497326</v>
      </c>
      <c r="B22332" s="318" t="s">
        <v>237</v>
      </c>
    </row>
    <row r="22333" spans="1:2" ht="12.75" customHeight="1" x14ac:dyDescent="0.25">
      <c r="A22333" s="318">
        <v>97756497327</v>
      </c>
      <c r="B22333" s="318" t="s">
        <v>237</v>
      </c>
    </row>
    <row r="22334" spans="1:2" ht="12.75" customHeight="1" x14ac:dyDescent="0.25">
      <c r="A22334" s="318">
        <v>97756497329</v>
      </c>
      <c r="B22334" s="318" t="s">
        <v>237</v>
      </c>
    </row>
    <row r="22335" spans="1:2" ht="12.75" customHeight="1" x14ac:dyDescent="0.25">
      <c r="A22335" s="318">
        <v>97756497330</v>
      </c>
      <c r="B22335" s="318" t="s">
        <v>237</v>
      </c>
    </row>
    <row r="22336" spans="1:2" ht="12.75" customHeight="1" x14ac:dyDescent="0.25">
      <c r="A22336" s="318">
        <v>97756497331</v>
      </c>
      <c r="B22336" s="318" t="s">
        <v>237</v>
      </c>
    </row>
    <row r="22337" spans="1:2" ht="12.75" customHeight="1" x14ac:dyDescent="0.25">
      <c r="A22337" s="318">
        <v>97756497332</v>
      </c>
      <c r="B22337" s="318" t="s">
        <v>237</v>
      </c>
    </row>
    <row r="22338" spans="1:2" ht="12.75" customHeight="1" x14ac:dyDescent="0.25">
      <c r="A22338" s="318">
        <v>97756497333</v>
      </c>
      <c r="B22338" s="318" t="s">
        <v>237</v>
      </c>
    </row>
    <row r="22339" spans="1:2" ht="12.75" customHeight="1" x14ac:dyDescent="0.25">
      <c r="A22339" s="318">
        <v>97756497334</v>
      </c>
      <c r="B22339" s="318" t="s">
        <v>237</v>
      </c>
    </row>
    <row r="22340" spans="1:2" ht="12.75" customHeight="1" x14ac:dyDescent="0.25">
      <c r="A22340" s="318">
        <v>97756497335</v>
      </c>
      <c r="B22340" s="318" t="s">
        <v>237</v>
      </c>
    </row>
    <row r="22341" spans="1:2" ht="12.75" customHeight="1" x14ac:dyDescent="0.25">
      <c r="A22341" s="318">
        <v>97756497336</v>
      </c>
      <c r="B22341" s="318" t="s">
        <v>237</v>
      </c>
    </row>
    <row r="22342" spans="1:2" ht="12.75" customHeight="1" x14ac:dyDescent="0.25">
      <c r="A22342" s="318">
        <v>97757857601</v>
      </c>
      <c r="B22342" s="318" t="s">
        <v>23</v>
      </c>
    </row>
    <row r="22343" spans="1:2" ht="12.75" customHeight="1" x14ac:dyDescent="0.25">
      <c r="A22343" s="318">
        <v>97757857602</v>
      </c>
      <c r="B22343" s="318" t="s">
        <v>23</v>
      </c>
    </row>
    <row r="22344" spans="1:2" ht="12.75" customHeight="1" x14ac:dyDescent="0.25">
      <c r="A22344" s="318">
        <v>97757857603</v>
      </c>
      <c r="B22344" s="318" t="s">
        <v>23</v>
      </c>
    </row>
    <row r="22345" spans="1:2" ht="12.75" customHeight="1" x14ac:dyDescent="0.25">
      <c r="A22345" s="318">
        <v>97757857604</v>
      </c>
      <c r="B22345" s="318" t="s">
        <v>23</v>
      </c>
    </row>
    <row r="22346" spans="1:2" ht="12.75" customHeight="1" x14ac:dyDescent="0.25">
      <c r="A22346" s="318">
        <v>97757857605</v>
      </c>
      <c r="B22346" s="318" t="s">
        <v>23</v>
      </c>
    </row>
    <row r="22347" spans="1:2" ht="12.75" customHeight="1" x14ac:dyDescent="0.25">
      <c r="A22347" s="318">
        <v>97757857606</v>
      </c>
      <c r="B22347" s="318" t="s">
        <v>23</v>
      </c>
    </row>
    <row r="22348" spans="1:2" ht="12.75" customHeight="1" x14ac:dyDescent="0.25">
      <c r="A22348" s="318">
        <v>97757857607</v>
      </c>
      <c r="B22348" s="318" t="s">
        <v>237</v>
      </c>
    </row>
    <row r="22349" spans="1:2" ht="12.75" customHeight="1" x14ac:dyDescent="0.25">
      <c r="A22349" s="318">
        <v>97757857608</v>
      </c>
      <c r="B22349" s="318" t="s">
        <v>237</v>
      </c>
    </row>
    <row r="22350" spans="1:2" ht="12.75" customHeight="1" x14ac:dyDescent="0.25">
      <c r="A22350" s="318">
        <v>97757857610</v>
      </c>
      <c r="B22350" s="318" t="s">
        <v>237</v>
      </c>
    </row>
    <row r="22351" spans="1:2" ht="12.75" customHeight="1" x14ac:dyDescent="0.25">
      <c r="A22351" s="318">
        <v>97757857611</v>
      </c>
      <c r="B22351" s="318" t="s">
        <v>237</v>
      </c>
    </row>
    <row r="22352" spans="1:2" ht="12.75" customHeight="1" x14ac:dyDescent="0.25">
      <c r="A22352" s="318">
        <v>97757857612</v>
      </c>
      <c r="B22352" s="318" t="s">
        <v>237</v>
      </c>
    </row>
    <row r="22353" spans="1:2" ht="12.75" customHeight="1" x14ac:dyDescent="0.25">
      <c r="A22353" s="318">
        <v>97757857613</v>
      </c>
      <c r="B22353" s="318" t="s">
        <v>237</v>
      </c>
    </row>
    <row r="22354" spans="1:2" ht="12.75" customHeight="1" x14ac:dyDescent="0.25">
      <c r="A22354" s="318">
        <v>97757857614</v>
      </c>
      <c r="B22354" s="318" t="s">
        <v>237</v>
      </c>
    </row>
    <row r="22355" spans="1:2" ht="12.75" customHeight="1" x14ac:dyDescent="0.25">
      <c r="A22355" s="318">
        <v>97757857615</v>
      </c>
      <c r="B22355" s="318" t="s">
        <v>237</v>
      </c>
    </row>
    <row r="22356" spans="1:2" ht="12.75" customHeight="1" x14ac:dyDescent="0.25">
      <c r="A22356" s="318">
        <v>97757857616</v>
      </c>
      <c r="B22356" s="318" t="s">
        <v>237</v>
      </c>
    </row>
    <row r="22357" spans="1:2" ht="12.75" customHeight="1" x14ac:dyDescent="0.25">
      <c r="A22357" s="318">
        <v>97757857617</v>
      </c>
      <c r="B22357" s="318" t="s">
        <v>237</v>
      </c>
    </row>
    <row r="22358" spans="1:2" ht="12.75" customHeight="1" x14ac:dyDescent="0.25">
      <c r="A22358" s="318">
        <v>97757857701</v>
      </c>
      <c r="B22358" s="318" t="s">
        <v>23</v>
      </c>
    </row>
    <row r="22359" spans="1:2" ht="12.75" customHeight="1" x14ac:dyDescent="0.25">
      <c r="A22359" s="318">
        <v>97757857702</v>
      </c>
      <c r="B22359" s="318" t="s">
        <v>23</v>
      </c>
    </row>
    <row r="22360" spans="1:2" ht="12.75" customHeight="1" x14ac:dyDescent="0.25">
      <c r="A22360" s="318">
        <v>97757857703</v>
      </c>
      <c r="B22360" s="318" t="s">
        <v>23</v>
      </c>
    </row>
    <row r="22361" spans="1:2" ht="12.75" customHeight="1" x14ac:dyDescent="0.25">
      <c r="A22361" s="318">
        <v>97757857704</v>
      </c>
      <c r="B22361" s="318" t="s">
        <v>23</v>
      </c>
    </row>
    <row r="22362" spans="1:2" ht="12.75" customHeight="1" x14ac:dyDescent="0.25">
      <c r="A22362" s="318">
        <v>97757857705</v>
      </c>
      <c r="B22362" s="318" t="s">
        <v>23</v>
      </c>
    </row>
    <row r="22363" spans="1:2" ht="12.75" customHeight="1" x14ac:dyDescent="0.25">
      <c r="A22363" s="318">
        <v>97757857706</v>
      </c>
      <c r="B22363" s="318" t="s">
        <v>23</v>
      </c>
    </row>
    <row r="22364" spans="1:2" ht="12.75" customHeight="1" x14ac:dyDescent="0.25">
      <c r="A22364" s="318">
        <v>97757857707</v>
      </c>
      <c r="B22364" s="318" t="s">
        <v>237</v>
      </c>
    </row>
    <row r="22365" spans="1:2" ht="12.75" customHeight="1" x14ac:dyDescent="0.25">
      <c r="A22365" s="318">
        <v>97757857708</v>
      </c>
      <c r="B22365" s="318" t="s">
        <v>237</v>
      </c>
    </row>
    <row r="22366" spans="1:2" ht="12.75" customHeight="1" x14ac:dyDescent="0.25">
      <c r="A22366" s="318">
        <v>97757857710</v>
      </c>
      <c r="B22366" s="318" t="s">
        <v>237</v>
      </c>
    </row>
    <row r="22367" spans="1:2" ht="12.75" customHeight="1" x14ac:dyDescent="0.25">
      <c r="A22367" s="318">
        <v>97757857711</v>
      </c>
      <c r="B22367" s="318" t="s">
        <v>237</v>
      </c>
    </row>
    <row r="22368" spans="1:2" ht="12.75" customHeight="1" x14ac:dyDescent="0.25">
      <c r="A22368" s="318">
        <v>97757857712</v>
      </c>
      <c r="B22368" s="318" t="s">
        <v>237</v>
      </c>
    </row>
    <row r="22369" spans="1:2" ht="12.75" customHeight="1" x14ac:dyDescent="0.25">
      <c r="A22369" s="318">
        <v>97757857713</v>
      </c>
      <c r="B22369" s="318" t="s">
        <v>237</v>
      </c>
    </row>
    <row r="22370" spans="1:2" ht="12.75" customHeight="1" x14ac:dyDescent="0.25">
      <c r="A22370" s="318">
        <v>97757857714</v>
      </c>
      <c r="B22370" s="318" t="s">
        <v>237</v>
      </c>
    </row>
    <row r="22371" spans="1:2" ht="12.75" customHeight="1" x14ac:dyDescent="0.25">
      <c r="A22371" s="318">
        <v>97757857715</v>
      </c>
      <c r="B22371" s="318" t="s">
        <v>237</v>
      </c>
    </row>
    <row r="22372" spans="1:2" ht="12.75" customHeight="1" x14ac:dyDescent="0.25">
      <c r="A22372" s="318">
        <v>97757857716</v>
      </c>
      <c r="B22372" s="318" t="s">
        <v>237</v>
      </c>
    </row>
    <row r="22373" spans="1:2" ht="12.75" customHeight="1" x14ac:dyDescent="0.25">
      <c r="A22373" s="318">
        <v>97757857717</v>
      </c>
      <c r="B22373" s="318" t="s">
        <v>237</v>
      </c>
    </row>
    <row r="22374" spans="1:2" ht="12.75" customHeight="1" x14ac:dyDescent="0.25">
      <c r="A22374" s="318">
        <v>97758338574</v>
      </c>
      <c r="B22374" s="318" t="s">
        <v>23</v>
      </c>
    </row>
    <row r="22375" spans="1:2" ht="12.75" customHeight="1" x14ac:dyDescent="0.25">
      <c r="A22375" s="318">
        <v>97758338575</v>
      </c>
      <c r="B22375" s="318" t="s">
        <v>23</v>
      </c>
    </row>
    <row r="22376" spans="1:2" ht="12.75" customHeight="1" x14ac:dyDescent="0.25">
      <c r="A22376" s="318">
        <v>97758338576</v>
      </c>
      <c r="B22376" s="318" t="s">
        <v>23</v>
      </c>
    </row>
    <row r="22377" spans="1:2" ht="12.75" customHeight="1" x14ac:dyDescent="0.25">
      <c r="A22377" s="318">
        <v>97758338577</v>
      </c>
      <c r="B22377" s="318" t="s">
        <v>23</v>
      </c>
    </row>
    <row r="22378" spans="1:2" ht="12.75" customHeight="1" x14ac:dyDescent="0.25">
      <c r="A22378" s="318">
        <v>97758338578</v>
      </c>
      <c r="B22378" s="318" t="s">
        <v>23</v>
      </c>
    </row>
    <row r="22379" spans="1:2" ht="12.75" customHeight="1" x14ac:dyDescent="0.25">
      <c r="A22379" s="318">
        <v>97758338579</v>
      </c>
      <c r="B22379" s="318" t="s">
        <v>23</v>
      </c>
    </row>
    <row r="22380" spans="1:2" ht="12.75" customHeight="1" x14ac:dyDescent="0.25">
      <c r="A22380" s="318">
        <v>97758338580</v>
      </c>
      <c r="B22380" s="318" t="s">
        <v>237</v>
      </c>
    </row>
    <row r="22381" spans="1:2" ht="12.75" customHeight="1" x14ac:dyDescent="0.25">
      <c r="A22381" s="318">
        <v>97758338581</v>
      </c>
      <c r="B22381" s="318" t="s">
        <v>237</v>
      </c>
    </row>
    <row r="22382" spans="1:2" ht="12.75" customHeight="1" x14ac:dyDescent="0.25">
      <c r="A22382" s="318">
        <v>97758338583</v>
      </c>
      <c r="B22382" s="318" t="s">
        <v>237</v>
      </c>
    </row>
    <row r="22383" spans="1:2" ht="12.75" customHeight="1" x14ac:dyDescent="0.25">
      <c r="A22383" s="318">
        <v>97758338584</v>
      </c>
      <c r="B22383" s="318" t="s">
        <v>237</v>
      </c>
    </row>
    <row r="22384" spans="1:2" ht="12.75" customHeight="1" x14ac:dyDescent="0.25">
      <c r="A22384" s="318">
        <v>97758338585</v>
      </c>
      <c r="B22384" s="318" t="s">
        <v>237</v>
      </c>
    </row>
    <row r="22385" spans="1:2" ht="12.75" customHeight="1" x14ac:dyDescent="0.25">
      <c r="A22385" s="318">
        <v>97758338586</v>
      </c>
      <c r="B22385" s="318" t="s">
        <v>237</v>
      </c>
    </row>
    <row r="22386" spans="1:2" ht="12.75" customHeight="1" x14ac:dyDescent="0.25">
      <c r="A22386" s="318">
        <v>97758338587</v>
      </c>
      <c r="B22386" s="318" t="s">
        <v>237</v>
      </c>
    </row>
    <row r="22387" spans="1:2" ht="12.75" customHeight="1" x14ac:dyDescent="0.25">
      <c r="A22387" s="318">
        <v>97758338588</v>
      </c>
      <c r="B22387" s="318" t="s">
        <v>237</v>
      </c>
    </row>
    <row r="22388" spans="1:2" ht="12.75" customHeight="1" x14ac:dyDescent="0.25">
      <c r="A22388" s="318">
        <v>97758338589</v>
      </c>
      <c r="B22388" s="318" t="s">
        <v>237</v>
      </c>
    </row>
    <row r="22389" spans="1:2" ht="12.75" customHeight="1" x14ac:dyDescent="0.25">
      <c r="A22389" s="318">
        <v>97758338590</v>
      </c>
      <c r="B22389" s="318" t="s">
        <v>237</v>
      </c>
    </row>
    <row r="22390" spans="1:2" ht="12.75" customHeight="1" x14ac:dyDescent="0.25">
      <c r="A22390" s="318">
        <v>97758338674</v>
      </c>
      <c r="B22390" s="318" t="s">
        <v>23</v>
      </c>
    </row>
    <row r="22391" spans="1:2" ht="12.75" customHeight="1" x14ac:dyDescent="0.25">
      <c r="A22391" s="318">
        <v>97758338675</v>
      </c>
      <c r="B22391" s="318" t="s">
        <v>23</v>
      </c>
    </row>
    <row r="22392" spans="1:2" ht="12.75" customHeight="1" x14ac:dyDescent="0.25">
      <c r="A22392" s="318">
        <v>97758338676</v>
      </c>
      <c r="B22392" s="318" t="s">
        <v>23</v>
      </c>
    </row>
    <row r="22393" spans="1:2" ht="12.75" customHeight="1" x14ac:dyDescent="0.25">
      <c r="A22393" s="318">
        <v>97758338677</v>
      </c>
      <c r="B22393" s="318" t="s">
        <v>23</v>
      </c>
    </row>
    <row r="22394" spans="1:2" ht="12.75" customHeight="1" x14ac:dyDescent="0.25">
      <c r="A22394" s="318">
        <v>97758338678</v>
      </c>
      <c r="B22394" s="318" t="s">
        <v>23</v>
      </c>
    </row>
    <row r="22395" spans="1:2" ht="12.75" customHeight="1" x14ac:dyDescent="0.25">
      <c r="A22395" s="318">
        <v>97758338679</v>
      </c>
      <c r="B22395" s="318" t="s">
        <v>23</v>
      </c>
    </row>
    <row r="22396" spans="1:2" ht="12.75" customHeight="1" x14ac:dyDescent="0.25">
      <c r="A22396" s="318">
        <v>97758338680</v>
      </c>
      <c r="B22396" s="318" t="s">
        <v>237</v>
      </c>
    </row>
    <row r="22397" spans="1:2" ht="12.75" customHeight="1" x14ac:dyDescent="0.25">
      <c r="A22397" s="318">
        <v>97758338681</v>
      </c>
      <c r="B22397" s="318" t="s">
        <v>237</v>
      </c>
    </row>
    <row r="22398" spans="1:2" ht="12.75" customHeight="1" x14ac:dyDescent="0.25">
      <c r="A22398" s="318">
        <v>97758338683</v>
      </c>
      <c r="B22398" s="318" t="s">
        <v>237</v>
      </c>
    </row>
    <row r="22399" spans="1:2" ht="12.75" customHeight="1" x14ac:dyDescent="0.25">
      <c r="A22399" s="318">
        <v>97758338684</v>
      </c>
      <c r="B22399" s="318" t="s">
        <v>237</v>
      </c>
    </row>
    <row r="22400" spans="1:2" ht="12.75" customHeight="1" x14ac:dyDescent="0.25">
      <c r="A22400" s="318">
        <v>97758338685</v>
      </c>
      <c r="B22400" s="318" t="s">
        <v>237</v>
      </c>
    </row>
    <row r="22401" spans="1:2" ht="12.75" customHeight="1" x14ac:dyDescent="0.25">
      <c r="A22401" s="318">
        <v>97758338686</v>
      </c>
      <c r="B22401" s="318" t="s">
        <v>237</v>
      </c>
    </row>
    <row r="22402" spans="1:2" ht="12.75" customHeight="1" x14ac:dyDescent="0.25">
      <c r="A22402" s="318">
        <v>97758338687</v>
      </c>
      <c r="B22402" s="318" t="s">
        <v>237</v>
      </c>
    </row>
    <row r="22403" spans="1:2" ht="12.75" customHeight="1" x14ac:dyDescent="0.25">
      <c r="A22403" s="318">
        <v>97758338688</v>
      </c>
      <c r="B22403" s="318" t="s">
        <v>237</v>
      </c>
    </row>
    <row r="22404" spans="1:2" ht="12.75" customHeight="1" x14ac:dyDescent="0.25">
      <c r="A22404" s="318">
        <v>97758338689</v>
      </c>
      <c r="B22404" s="318" t="s">
        <v>237</v>
      </c>
    </row>
    <row r="22405" spans="1:2" ht="12.75" customHeight="1" x14ac:dyDescent="0.25">
      <c r="A22405" s="318">
        <v>97758338690</v>
      </c>
      <c r="B22405" s="318" t="s">
        <v>237</v>
      </c>
    </row>
    <row r="22406" spans="1:2" ht="12.75" customHeight="1" x14ac:dyDescent="0.25">
      <c r="A22406" s="318">
        <v>97758819547</v>
      </c>
      <c r="B22406" s="318" t="s">
        <v>23</v>
      </c>
    </row>
    <row r="22407" spans="1:2" ht="12.75" customHeight="1" x14ac:dyDescent="0.25">
      <c r="A22407" s="318">
        <v>97758819548</v>
      </c>
      <c r="B22407" s="318" t="s">
        <v>23</v>
      </c>
    </row>
    <row r="22408" spans="1:2" ht="12.75" customHeight="1" x14ac:dyDescent="0.25">
      <c r="A22408" s="318">
        <v>97758819549</v>
      </c>
      <c r="B22408" s="318" t="s">
        <v>23</v>
      </c>
    </row>
    <row r="22409" spans="1:2" ht="12.75" customHeight="1" x14ac:dyDescent="0.25">
      <c r="A22409" s="318">
        <v>97758819550</v>
      </c>
      <c r="B22409" s="318" t="s">
        <v>23</v>
      </c>
    </row>
    <row r="22410" spans="1:2" ht="12.75" customHeight="1" x14ac:dyDescent="0.25">
      <c r="A22410" s="318">
        <v>97758819551</v>
      </c>
      <c r="B22410" s="318" t="s">
        <v>23</v>
      </c>
    </row>
    <row r="22411" spans="1:2" ht="12.75" customHeight="1" x14ac:dyDescent="0.25">
      <c r="A22411" s="318">
        <v>97758819552</v>
      </c>
      <c r="B22411" s="318" t="s">
        <v>23</v>
      </c>
    </row>
    <row r="22412" spans="1:2" ht="12.75" customHeight="1" x14ac:dyDescent="0.25">
      <c r="A22412" s="318">
        <v>97758819553</v>
      </c>
      <c r="B22412" s="318" t="s">
        <v>237</v>
      </c>
    </row>
    <row r="22413" spans="1:2" ht="12.75" customHeight="1" x14ac:dyDescent="0.25">
      <c r="A22413" s="318">
        <v>97758819554</v>
      </c>
      <c r="B22413" s="318" t="s">
        <v>237</v>
      </c>
    </row>
    <row r="22414" spans="1:2" ht="12.75" customHeight="1" x14ac:dyDescent="0.25">
      <c r="A22414" s="318">
        <v>97758819556</v>
      </c>
      <c r="B22414" s="318" t="s">
        <v>237</v>
      </c>
    </row>
    <row r="22415" spans="1:2" ht="12.75" customHeight="1" x14ac:dyDescent="0.25">
      <c r="A22415" s="318">
        <v>97758819557</v>
      </c>
      <c r="B22415" s="318" t="s">
        <v>237</v>
      </c>
    </row>
    <row r="22416" spans="1:2" ht="12.75" customHeight="1" x14ac:dyDescent="0.25">
      <c r="A22416" s="318">
        <v>97758819558</v>
      </c>
      <c r="B22416" s="318" t="s">
        <v>237</v>
      </c>
    </row>
    <row r="22417" spans="1:2" ht="12.75" customHeight="1" x14ac:dyDescent="0.25">
      <c r="A22417" s="318">
        <v>97758819559</v>
      </c>
      <c r="B22417" s="318" t="s">
        <v>237</v>
      </c>
    </row>
    <row r="22418" spans="1:2" ht="12.75" customHeight="1" x14ac:dyDescent="0.25">
      <c r="A22418" s="318">
        <v>97758819560</v>
      </c>
      <c r="B22418" s="318" t="s">
        <v>237</v>
      </c>
    </row>
    <row r="22419" spans="1:2" ht="12.75" customHeight="1" x14ac:dyDescent="0.25">
      <c r="A22419" s="318">
        <v>97758819561</v>
      </c>
      <c r="B22419" s="318" t="s">
        <v>237</v>
      </c>
    </row>
    <row r="22420" spans="1:2" ht="12.75" customHeight="1" x14ac:dyDescent="0.25">
      <c r="A22420" s="318">
        <v>97758819562</v>
      </c>
      <c r="B22420" s="318" t="s">
        <v>237</v>
      </c>
    </row>
    <row r="22421" spans="1:2" ht="12.75" customHeight="1" x14ac:dyDescent="0.25">
      <c r="A22421" s="318">
        <v>97758819563</v>
      </c>
      <c r="B22421" s="318" t="s">
        <v>237</v>
      </c>
    </row>
    <row r="22422" spans="1:2" ht="12.75" customHeight="1" x14ac:dyDescent="0.25">
      <c r="A22422" s="318">
        <v>97758819647</v>
      </c>
      <c r="B22422" s="318" t="s">
        <v>23</v>
      </c>
    </row>
    <row r="22423" spans="1:2" ht="12.75" customHeight="1" x14ac:dyDescent="0.25">
      <c r="A22423" s="318">
        <v>97758819648</v>
      </c>
      <c r="B22423" s="318" t="s">
        <v>23</v>
      </c>
    </row>
    <row r="22424" spans="1:2" ht="12.75" customHeight="1" x14ac:dyDescent="0.25">
      <c r="A22424" s="318">
        <v>97758819649</v>
      </c>
      <c r="B22424" s="318" t="s">
        <v>23</v>
      </c>
    </row>
    <row r="22425" spans="1:2" ht="12.75" customHeight="1" x14ac:dyDescent="0.25">
      <c r="A22425" s="318">
        <v>97758819650</v>
      </c>
      <c r="B22425" s="318" t="s">
        <v>23</v>
      </c>
    </row>
    <row r="22426" spans="1:2" ht="12.75" customHeight="1" x14ac:dyDescent="0.25">
      <c r="A22426" s="318">
        <v>97758819651</v>
      </c>
      <c r="B22426" s="318" t="s">
        <v>23</v>
      </c>
    </row>
    <row r="22427" spans="1:2" ht="12.75" customHeight="1" x14ac:dyDescent="0.25">
      <c r="A22427" s="318">
        <v>97758819652</v>
      </c>
      <c r="B22427" s="318" t="s">
        <v>23</v>
      </c>
    </row>
    <row r="22428" spans="1:2" ht="12.75" customHeight="1" x14ac:dyDescent="0.25">
      <c r="A22428" s="318">
        <v>97758819653</v>
      </c>
      <c r="B22428" s="318" t="s">
        <v>237</v>
      </c>
    </row>
    <row r="22429" spans="1:2" ht="12.75" customHeight="1" x14ac:dyDescent="0.25">
      <c r="A22429" s="318">
        <v>97758819654</v>
      </c>
      <c r="B22429" s="318" t="s">
        <v>237</v>
      </c>
    </row>
    <row r="22430" spans="1:2" ht="12.75" customHeight="1" x14ac:dyDescent="0.25">
      <c r="A22430" s="318">
        <v>97758819656</v>
      </c>
      <c r="B22430" s="318" t="s">
        <v>237</v>
      </c>
    </row>
    <row r="22431" spans="1:2" ht="12.75" customHeight="1" x14ac:dyDescent="0.25">
      <c r="A22431" s="318">
        <v>97758819657</v>
      </c>
      <c r="B22431" s="318" t="s">
        <v>237</v>
      </c>
    </row>
    <row r="22432" spans="1:2" ht="12.75" customHeight="1" x14ac:dyDescent="0.25">
      <c r="A22432" s="318">
        <v>97758819658</v>
      </c>
      <c r="B22432" s="318" t="s">
        <v>237</v>
      </c>
    </row>
    <row r="22433" spans="1:2" ht="12.75" customHeight="1" x14ac:dyDescent="0.25">
      <c r="A22433" s="318">
        <v>97758819659</v>
      </c>
      <c r="B22433" s="318" t="s">
        <v>237</v>
      </c>
    </row>
    <row r="22434" spans="1:2" ht="12.75" customHeight="1" x14ac:dyDescent="0.25">
      <c r="A22434" s="318">
        <v>97758819660</v>
      </c>
      <c r="B22434" s="318" t="s">
        <v>237</v>
      </c>
    </row>
    <row r="22435" spans="1:2" ht="12.75" customHeight="1" x14ac:dyDescent="0.25">
      <c r="A22435" s="318">
        <v>97758819661</v>
      </c>
      <c r="B22435" s="318" t="s">
        <v>237</v>
      </c>
    </row>
    <row r="22436" spans="1:2" ht="12.75" customHeight="1" x14ac:dyDescent="0.25">
      <c r="A22436" s="318">
        <v>97758819662</v>
      </c>
      <c r="B22436" s="318" t="s">
        <v>237</v>
      </c>
    </row>
    <row r="22437" spans="1:2" ht="12.75" customHeight="1" x14ac:dyDescent="0.25">
      <c r="A22437" s="318">
        <v>97758819663</v>
      </c>
      <c r="B22437" s="318" t="s">
        <v>237</v>
      </c>
    </row>
    <row r="22438" spans="1:2" ht="12.75" customHeight="1" x14ac:dyDescent="0.25">
      <c r="A22438" s="318">
        <v>97759499738</v>
      </c>
      <c r="B22438" s="318" t="s">
        <v>23</v>
      </c>
    </row>
    <row r="22439" spans="1:2" ht="12.75" customHeight="1" x14ac:dyDescent="0.25">
      <c r="A22439" s="318">
        <v>97759499739</v>
      </c>
      <c r="B22439" s="318" t="s">
        <v>23</v>
      </c>
    </row>
    <row r="22440" spans="1:2" ht="12.75" customHeight="1" x14ac:dyDescent="0.25">
      <c r="A22440" s="318">
        <v>97759499740</v>
      </c>
      <c r="B22440" s="318" t="s">
        <v>23</v>
      </c>
    </row>
    <row r="22441" spans="1:2" ht="12.75" customHeight="1" x14ac:dyDescent="0.25">
      <c r="A22441" s="318">
        <v>97759499741</v>
      </c>
      <c r="B22441" s="318" t="s">
        <v>23</v>
      </c>
    </row>
    <row r="22442" spans="1:2" ht="12.75" customHeight="1" x14ac:dyDescent="0.25">
      <c r="A22442" s="318">
        <v>97759499742</v>
      </c>
      <c r="B22442" s="318" t="s">
        <v>23</v>
      </c>
    </row>
    <row r="22443" spans="1:2" ht="12.75" customHeight="1" x14ac:dyDescent="0.25">
      <c r="A22443" s="318">
        <v>97759499743</v>
      </c>
      <c r="B22443" s="318" t="s">
        <v>23</v>
      </c>
    </row>
    <row r="22444" spans="1:2" ht="12.75" customHeight="1" x14ac:dyDescent="0.25">
      <c r="A22444" s="318">
        <v>97759499744</v>
      </c>
      <c r="B22444" s="318" t="s">
        <v>237</v>
      </c>
    </row>
    <row r="22445" spans="1:2" ht="12.75" customHeight="1" x14ac:dyDescent="0.25">
      <c r="A22445" s="318">
        <v>97759499745</v>
      </c>
      <c r="B22445" s="318" t="s">
        <v>237</v>
      </c>
    </row>
    <row r="22446" spans="1:2" ht="12.75" customHeight="1" x14ac:dyDescent="0.25">
      <c r="A22446" s="318">
        <v>97759499747</v>
      </c>
      <c r="B22446" s="318" t="s">
        <v>237</v>
      </c>
    </row>
    <row r="22447" spans="1:2" ht="12.75" customHeight="1" x14ac:dyDescent="0.25">
      <c r="A22447" s="318">
        <v>97759499748</v>
      </c>
      <c r="B22447" s="318" t="s">
        <v>237</v>
      </c>
    </row>
    <row r="22448" spans="1:2" ht="12.75" customHeight="1" x14ac:dyDescent="0.25">
      <c r="A22448" s="318">
        <v>97759499749</v>
      </c>
      <c r="B22448" s="318" t="s">
        <v>237</v>
      </c>
    </row>
    <row r="22449" spans="1:2" ht="12.75" customHeight="1" x14ac:dyDescent="0.25">
      <c r="A22449" s="318">
        <v>97759499750</v>
      </c>
      <c r="B22449" s="318" t="s">
        <v>237</v>
      </c>
    </row>
    <row r="22450" spans="1:2" ht="12.75" customHeight="1" x14ac:dyDescent="0.25">
      <c r="A22450" s="318">
        <v>97759499751</v>
      </c>
      <c r="B22450" s="318" t="s">
        <v>237</v>
      </c>
    </row>
    <row r="22451" spans="1:2" ht="12.75" customHeight="1" x14ac:dyDescent="0.25">
      <c r="A22451" s="318">
        <v>97759499752</v>
      </c>
      <c r="B22451" s="318" t="s">
        <v>237</v>
      </c>
    </row>
    <row r="22452" spans="1:2" ht="12.75" customHeight="1" x14ac:dyDescent="0.25">
      <c r="A22452" s="318">
        <v>97759499753</v>
      </c>
      <c r="B22452" s="318" t="s">
        <v>237</v>
      </c>
    </row>
    <row r="22453" spans="1:2" ht="12.75" customHeight="1" x14ac:dyDescent="0.25">
      <c r="A22453" s="318">
        <v>97759499754</v>
      </c>
      <c r="B22453" s="318" t="s">
        <v>237</v>
      </c>
    </row>
    <row r="22454" spans="1:2" ht="12.75" customHeight="1" x14ac:dyDescent="0.25">
      <c r="A22454" s="318">
        <v>97759499838</v>
      </c>
      <c r="B22454" s="318" t="s">
        <v>23</v>
      </c>
    </row>
    <row r="22455" spans="1:2" ht="12.75" customHeight="1" x14ac:dyDescent="0.25">
      <c r="A22455" s="318">
        <v>97759499839</v>
      </c>
      <c r="B22455" s="318" t="s">
        <v>23</v>
      </c>
    </row>
    <row r="22456" spans="1:2" ht="12.75" customHeight="1" x14ac:dyDescent="0.25">
      <c r="A22456" s="318">
        <v>97759499840</v>
      </c>
      <c r="B22456" s="318" t="s">
        <v>23</v>
      </c>
    </row>
    <row r="22457" spans="1:2" ht="12.75" customHeight="1" x14ac:dyDescent="0.25">
      <c r="A22457" s="318">
        <v>97759499841</v>
      </c>
      <c r="B22457" s="318" t="s">
        <v>23</v>
      </c>
    </row>
    <row r="22458" spans="1:2" ht="12.75" customHeight="1" x14ac:dyDescent="0.25">
      <c r="A22458" s="318">
        <v>97759499842</v>
      </c>
      <c r="B22458" s="318" t="s">
        <v>23</v>
      </c>
    </row>
    <row r="22459" spans="1:2" ht="12.75" customHeight="1" x14ac:dyDescent="0.25">
      <c r="A22459" s="318">
        <v>97759499843</v>
      </c>
      <c r="B22459" s="318" t="s">
        <v>23</v>
      </c>
    </row>
    <row r="22460" spans="1:2" ht="12.75" customHeight="1" x14ac:dyDescent="0.25">
      <c r="A22460" s="318">
        <v>97759499844</v>
      </c>
      <c r="B22460" s="318" t="s">
        <v>237</v>
      </c>
    </row>
    <row r="22461" spans="1:2" ht="12.75" customHeight="1" x14ac:dyDescent="0.25">
      <c r="A22461" s="318">
        <v>97759499845</v>
      </c>
      <c r="B22461" s="318" t="s">
        <v>237</v>
      </c>
    </row>
    <row r="22462" spans="1:2" ht="12.75" customHeight="1" x14ac:dyDescent="0.25">
      <c r="A22462" s="318">
        <v>97759499847</v>
      </c>
      <c r="B22462" s="318" t="s">
        <v>237</v>
      </c>
    </row>
    <row r="22463" spans="1:2" ht="12.75" customHeight="1" x14ac:dyDescent="0.25">
      <c r="A22463" s="318">
        <v>97759499848</v>
      </c>
      <c r="B22463" s="318" t="s">
        <v>237</v>
      </c>
    </row>
    <row r="22464" spans="1:2" ht="12.75" customHeight="1" x14ac:dyDescent="0.25">
      <c r="A22464" s="318">
        <v>97759499849</v>
      </c>
      <c r="B22464" s="318" t="s">
        <v>237</v>
      </c>
    </row>
    <row r="22465" spans="1:2" ht="12.75" customHeight="1" x14ac:dyDescent="0.25">
      <c r="A22465" s="318">
        <v>97759499850</v>
      </c>
      <c r="B22465" s="318" t="s">
        <v>237</v>
      </c>
    </row>
    <row r="22466" spans="1:2" ht="12.75" customHeight="1" x14ac:dyDescent="0.25">
      <c r="A22466" s="318">
        <v>97759499851</v>
      </c>
      <c r="B22466" s="318" t="s">
        <v>237</v>
      </c>
    </row>
    <row r="22467" spans="1:2" ht="12.75" customHeight="1" x14ac:dyDescent="0.25">
      <c r="A22467" s="318">
        <v>97759499852</v>
      </c>
      <c r="B22467" s="318" t="s">
        <v>237</v>
      </c>
    </row>
    <row r="22468" spans="1:2" ht="12.75" customHeight="1" x14ac:dyDescent="0.25">
      <c r="A22468" s="318">
        <v>97759499853</v>
      </c>
      <c r="B22468" s="318" t="s">
        <v>237</v>
      </c>
    </row>
    <row r="22469" spans="1:2" ht="12.75" customHeight="1" x14ac:dyDescent="0.25">
      <c r="A22469" s="318">
        <v>97759499854</v>
      </c>
      <c r="B22469" s="318" t="s">
        <v>237</v>
      </c>
    </row>
    <row r="22470" spans="1:2" ht="12.75" customHeight="1" x14ac:dyDescent="0.25">
      <c r="A22470" s="318">
        <v>97759980711</v>
      </c>
      <c r="B22470" s="318" t="s">
        <v>23</v>
      </c>
    </row>
    <row r="22471" spans="1:2" ht="12.75" customHeight="1" x14ac:dyDescent="0.25">
      <c r="A22471" s="318">
        <v>97759980712</v>
      </c>
      <c r="B22471" s="318" t="s">
        <v>23</v>
      </c>
    </row>
    <row r="22472" spans="1:2" ht="12.75" customHeight="1" x14ac:dyDescent="0.25">
      <c r="A22472" s="318">
        <v>97759980713</v>
      </c>
      <c r="B22472" s="318" t="s">
        <v>23</v>
      </c>
    </row>
    <row r="22473" spans="1:2" ht="12.75" customHeight="1" x14ac:dyDescent="0.25">
      <c r="A22473" s="318">
        <v>97759980714</v>
      </c>
      <c r="B22473" s="318" t="s">
        <v>23</v>
      </c>
    </row>
    <row r="22474" spans="1:2" ht="12.75" customHeight="1" x14ac:dyDescent="0.25">
      <c r="A22474" s="318">
        <v>97759980715</v>
      </c>
      <c r="B22474" s="318" t="s">
        <v>23</v>
      </c>
    </row>
    <row r="22475" spans="1:2" ht="12.75" customHeight="1" x14ac:dyDescent="0.25">
      <c r="A22475" s="318">
        <v>97759980716</v>
      </c>
      <c r="B22475" s="318" t="s">
        <v>23</v>
      </c>
    </row>
    <row r="22476" spans="1:2" ht="12.75" customHeight="1" x14ac:dyDescent="0.25">
      <c r="A22476" s="318">
        <v>97759980717</v>
      </c>
      <c r="B22476" s="318" t="s">
        <v>237</v>
      </c>
    </row>
    <row r="22477" spans="1:2" ht="12.75" customHeight="1" x14ac:dyDescent="0.25">
      <c r="A22477" s="318">
        <v>97759980718</v>
      </c>
      <c r="B22477" s="318" t="s">
        <v>237</v>
      </c>
    </row>
    <row r="22478" spans="1:2" ht="12.75" customHeight="1" x14ac:dyDescent="0.25">
      <c r="A22478" s="318">
        <v>97759980720</v>
      </c>
      <c r="B22478" s="318" t="s">
        <v>237</v>
      </c>
    </row>
    <row r="22479" spans="1:2" ht="12.75" customHeight="1" x14ac:dyDescent="0.25">
      <c r="A22479" s="318">
        <v>97759980721</v>
      </c>
      <c r="B22479" s="318" t="s">
        <v>237</v>
      </c>
    </row>
    <row r="22480" spans="1:2" ht="12.75" customHeight="1" x14ac:dyDescent="0.25">
      <c r="A22480" s="318">
        <v>97759980722</v>
      </c>
      <c r="B22480" s="318" t="s">
        <v>237</v>
      </c>
    </row>
    <row r="22481" spans="1:2" ht="12.75" customHeight="1" x14ac:dyDescent="0.25">
      <c r="A22481" s="318">
        <v>97759980723</v>
      </c>
      <c r="B22481" s="318" t="s">
        <v>237</v>
      </c>
    </row>
    <row r="22482" spans="1:2" ht="12.75" customHeight="1" x14ac:dyDescent="0.25">
      <c r="A22482" s="318">
        <v>97759980724</v>
      </c>
      <c r="B22482" s="318" t="s">
        <v>237</v>
      </c>
    </row>
    <row r="22483" spans="1:2" ht="12.75" customHeight="1" x14ac:dyDescent="0.25">
      <c r="A22483" s="318">
        <v>97759980725</v>
      </c>
      <c r="B22483" s="318" t="s">
        <v>237</v>
      </c>
    </row>
    <row r="22484" spans="1:2" ht="12.75" customHeight="1" x14ac:dyDescent="0.25">
      <c r="A22484" s="318">
        <v>97759980726</v>
      </c>
      <c r="B22484" s="318" t="s">
        <v>237</v>
      </c>
    </row>
    <row r="22485" spans="1:2" ht="12.75" customHeight="1" x14ac:dyDescent="0.25">
      <c r="A22485" s="318">
        <v>97759980727</v>
      </c>
      <c r="B22485" s="318" t="s">
        <v>237</v>
      </c>
    </row>
    <row r="22486" spans="1:2" ht="12.75" customHeight="1" x14ac:dyDescent="0.25">
      <c r="A22486" s="318">
        <v>97759980811</v>
      </c>
      <c r="B22486" s="318" t="s">
        <v>23</v>
      </c>
    </row>
    <row r="22487" spans="1:2" ht="12.75" customHeight="1" x14ac:dyDescent="0.25">
      <c r="A22487" s="318">
        <v>97759980812</v>
      </c>
      <c r="B22487" s="318" t="s">
        <v>23</v>
      </c>
    </row>
    <row r="22488" spans="1:2" ht="12.75" customHeight="1" x14ac:dyDescent="0.25">
      <c r="A22488" s="318">
        <v>97759980813</v>
      </c>
      <c r="B22488" s="318" t="s">
        <v>23</v>
      </c>
    </row>
    <row r="22489" spans="1:2" ht="12.75" customHeight="1" x14ac:dyDescent="0.25">
      <c r="A22489" s="318">
        <v>97759980814</v>
      </c>
      <c r="B22489" s="318" t="s">
        <v>23</v>
      </c>
    </row>
    <row r="22490" spans="1:2" ht="12.75" customHeight="1" x14ac:dyDescent="0.25">
      <c r="A22490" s="318">
        <v>97759980815</v>
      </c>
      <c r="B22490" s="318" t="s">
        <v>23</v>
      </c>
    </row>
    <row r="22491" spans="1:2" ht="12.75" customHeight="1" x14ac:dyDescent="0.25">
      <c r="A22491" s="318">
        <v>97759980816</v>
      </c>
      <c r="B22491" s="318" t="s">
        <v>23</v>
      </c>
    </row>
    <row r="22492" spans="1:2" ht="12.75" customHeight="1" x14ac:dyDescent="0.25">
      <c r="A22492" s="318">
        <v>97759980817</v>
      </c>
      <c r="B22492" s="318" t="s">
        <v>237</v>
      </c>
    </row>
    <row r="22493" spans="1:2" ht="12.75" customHeight="1" x14ac:dyDescent="0.25">
      <c r="A22493" s="318">
        <v>97759980818</v>
      </c>
      <c r="B22493" s="318" t="s">
        <v>237</v>
      </c>
    </row>
    <row r="22494" spans="1:2" ht="12.75" customHeight="1" x14ac:dyDescent="0.25">
      <c r="A22494" s="318">
        <v>97759980820</v>
      </c>
      <c r="B22494" s="318" t="s">
        <v>237</v>
      </c>
    </row>
    <row r="22495" spans="1:2" ht="12.75" customHeight="1" x14ac:dyDescent="0.25">
      <c r="A22495" s="318">
        <v>97759980821</v>
      </c>
      <c r="B22495" s="318" t="s">
        <v>237</v>
      </c>
    </row>
    <row r="22496" spans="1:2" ht="12.75" customHeight="1" x14ac:dyDescent="0.25">
      <c r="A22496" s="318">
        <v>97759980822</v>
      </c>
      <c r="B22496" s="318" t="s">
        <v>237</v>
      </c>
    </row>
    <row r="22497" spans="1:2" ht="12.75" customHeight="1" x14ac:dyDescent="0.25">
      <c r="A22497" s="318">
        <v>97759980823</v>
      </c>
      <c r="B22497" s="318" t="s">
        <v>237</v>
      </c>
    </row>
    <row r="22498" spans="1:2" ht="12.75" customHeight="1" x14ac:dyDescent="0.25">
      <c r="A22498" s="318">
        <v>97759980824</v>
      </c>
      <c r="B22498" s="318" t="s">
        <v>237</v>
      </c>
    </row>
    <row r="22499" spans="1:2" ht="12.75" customHeight="1" x14ac:dyDescent="0.25">
      <c r="A22499" s="318">
        <v>97759980825</v>
      </c>
      <c r="B22499" s="318" t="s">
        <v>237</v>
      </c>
    </row>
    <row r="22500" spans="1:2" ht="12.75" customHeight="1" x14ac:dyDescent="0.25">
      <c r="A22500" s="318">
        <v>97759980826</v>
      </c>
      <c r="B22500" s="318" t="s">
        <v>237</v>
      </c>
    </row>
    <row r="22501" spans="1:2" ht="12.75" customHeight="1" x14ac:dyDescent="0.25">
      <c r="A22501" s="318">
        <v>97759980827</v>
      </c>
      <c r="B22501" s="318" t="s">
        <v>237</v>
      </c>
    </row>
    <row r="22502" spans="1:2" ht="12.75" customHeight="1" x14ac:dyDescent="0.25">
      <c r="A22502" s="318">
        <v>97760461684</v>
      </c>
      <c r="B22502" s="318" t="s">
        <v>23</v>
      </c>
    </row>
    <row r="22503" spans="1:2" ht="12.75" customHeight="1" x14ac:dyDescent="0.25">
      <c r="A22503" s="318">
        <v>97760461685</v>
      </c>
      <c r="B22503" s="318" t="s">
        <v>23</v>
      </c>
    </row>
    <row r="22504" spans="1:2" ht="12.75" customHeight="1" x14ac:dyDescent="0.25">
      <c r="A22504" s="318">
        <v>97760461686</v>
      </c>
      <c r="B22504" s="318" t="s">
        <v>23</v>
      </c>
    </row>
    <row r="22505" spans="1:2" ht="12.75" customHeight="1" x14ac:dyDescent="0.25">
      <c r="A22505" s="318">
        <v>97760461687</v>
      </c>
      <c r="B22505" s="318" t="s">
        <v>23</v>
      </c>
    </row>
    <row r="22506" spans="1:2" ht="12.75" customHeight="1" x14ac:dyDescent="0.25">
      <c r="A22506" s="318">
        <v>97760461688</v>
      </c>
      <c r="B22506" s="318" t="s">
        <v>23</v>
      </c>
    </row>
    <row r="22507" spans="1:2" ht="12.75" customHeight="1" x14ac:dyDescent="0.25">
      <c r="A22507" s="318">
        <v>97760461689</v>
      </c>
      <c r="B22507" s="318" t="s">
        <v>23</v>
      </c>
    </row>
    <row r="22508" spans="1:2" ht="12.75" customHeight="1" x14ac:dyDescent="0.25">
      <c r="A22508" s="318">
        <v>97760461690</v>
      </c>
      <c r="B22508" s="318" t="s">
        <v>237</v>
      </c>
    </row>
    <row r="22509" spans="1:2" ht="12.75" customHeight="1" x14ac:dyDescent="0.25">
      <c r="A22509" s="318">
        <v>97760461691</v>
      </c>
      <c r="B22509" s="318" t="s">
        <v>237</v>
      </c>
    </row>
    <row r="22510" spans="1:2" ht="12.75" customHeight="1" x14ac:dyDescent="0.25">
      <c r="A22510" s="318">
        <v>97760461693</v>
      </c>
      <c r="B22510" s="318" t="s">
        <v>237</v>
      </c>
    </row>
    <row r="22511" spans="1:2" ht="12.75" customHeight="1" x14ac:dyDescent="0.25">
      <c r="A22511" s="318">
        <v>97760461694</v>
      </c>
      <c r="B22511" s="318" t="s">
        <v>237</v>
      </c>
    </row>
    <row r="22512" spans="1:2" ht="12.75" customHeight="1" x14ac:dyDescent="0.25">
      <c r="A22512" s="318">
        <v>97760461695</v>
      </c>
      <c r="B22512" s="318" t="s">
        <v>237</v>
      </c>
    </row>
    <row r="22513" spans="1:2" ht="12.75" customHeight="1" x14ac:dyDescent="0.25">
      <c r="A22513" s="318">
        <v>97760461696</v>
      </c>
      <c r="B22513" s="318" t="s">
        <v>237</v>
      </c>
    </row>
    <row r="22514" spans="1:2" ht="12.75" customHeight="1" x14ac:dyDescent="0.25">
      <c r="A22514" s="318">
        <v>97760461697</v>
      </c>
      <c r="B22514" s="318" t="s">
        <v>237</v>
      </c>
    </row>
    <row r="22515" spans="1:2" ht="12.75" customHeight="1" x14ac:dyDescent="0.25">
      <c r="A22515" s="318">
        <v>97760461698</v>
      </c>
      <c r="B22515" s="318" t="s">
        <v>237</v>
      </c>
    </row>
    <row r="22516" spans="1:2" ht="12.75" customHeight="1" x14ac:dyDescent="0.25">
      <c r="A22516" s="318">
        <v>97760461699</v>
      </c>
      <c r="B22516" s="318" t="s">
        <v>237</v>
      </c>
    </row>
    <row r="22517" spans="1:2" ht="12.75" customHeight="1" x14ac:dyDescent="0.25">
      <c r="A22517" s="318">
        <v>97760461700</v>
      </c>
      <c r="B22517" s="318" t="s">
        <v>237</v>
      </c>
    </row>
    <row r="22518" spans="1:2" ht="12.75" customHeight="1" x14ac:dyDescent="0.25">
      <c r="A22518" s="318">
        <v>97760461784</v>
      </c>
      <c r="B22518" s="318" t="s">
        <v>23</v>
      </c>
    </row>
    <row r="22519" spans="1:2" ht="12.75" customHeight="1" x14ac:dyDescent="0.25">
      <c r="A22519" s="318">
        <v>97760461785</v>
      </c>
      <c r="B22519" s="318" t="s">
        <v>23</v>
      </c>
    </row>
    <row r="22520" spans="1:2" ht="12.75" customHeight="1" x14ac:dyDescent="0.25">
      <c r="A22520" s="318">
        <v>97760461786</v>
      </c>
      <c r="B22520" s="318" t="s">
        <v>23</v>
      </c>
    </row>
    <row r="22521" spans="1:2" ht="12.75" customHeight="1" x14ac:dyDescent="0.25">
      <c r="A22521" s="318">
        <v>97760461787</v>
      </c>
      <c r="B22521" s="318" t="s">
        <v>23</v>
      </c>
    </row>
    <row r="22522" spans="1:2" ht="12.75" customHeight="1" x14ac:dyDescent="0.25">
      <c r="A22522" s="318">
        <v>97760461788</v>
      </c>
      <c r="B22522" s="318" t="s">
        <v>23</v>
      </c>
    </row>
    <row r="22523" spans="1:2" ht="12.75" customHeight="1" x14ac:dyDescent="0.25">
      <c r="A22523" s="318">
        <v>97760461789</v>
      </c>
      <c r="B22523" s="318" t="s">
        <v>23</v>
      </c>
    </row>
    <row r="22524" spans="1:2" ht="12.75" customHeight="1" x14ac:dyDescent="0.25">
      <c r="A22524" s="318">
        <v>97760461790</v>
      </c>
      <c r="B22524" s="318" t="s">
        <v>237</v>
      </c>
    </row>
    <row r="22525" spans="1:2" ht="12.75" customHeight="1" x14ac:dyDescent="0.25">
      <c r="A22525" s="318">
        <v>97760461791</v>
      </c>
      <c r="B22525" s="318" t="s">
        <v>237</v>
      </c>
    </row>
    <row r="22526" spans="1:2" ht="12.75" customHeight="1" x14ac:dyDescent="0.25">
      <c r="A22526" s="318">
        <v>97760461793</v>
      </c>
      <c r="B22526" s="318" t="s">
        <v>237</v>
      </c>
    </row>
    <row r="22527" spans="1:2" ht="12.75" customHeight="1" x14ac:dyDescent="0.25">
      <c r="A22527" s="318">
        <v>97760461794</v>
      </c>
      <c r="B22527" s="318" t="s">
        <v>237</v>
      </c>
    </row>
    <row r="22528" spans="1:2" ht="12.75" customHeight="1" x14ac:dyDescent="0.25">
      <c r="A22528" s="318">
        <v>97760461795</v>
      </c>
      <c r="B22528" s="318" t="s">
        <v>237</v>
      </c>
    </row>
    <row r="22529" spans="1:2" ht="12.75" customHeight="1" x14ac:dyDescent="0.25">
      <c r="A22529" s="318">
        <v>97760461796</v>
      </c>
      <c r="B22529" s="318" t="s">
        <v>237</v>
      </c>
    </row>
    <row r="22530" spans="1:2" ht="12.75" customHeight="1" x14ac:dyDescent="0.25">
      <c r="A22530" s="318">
        <v>97760461797</v>
      </c>
      <c r="B22530" s="318" t="s">
        <v>237</v>
      </c>
    </row>
    <row r="22531" spans="1:2" ht="12.75" customHeight="1" x14ac:dyDescent="0.25">
      <c r="A22531" s="318">
        <v>97760461798</v>
      </c>
      <c r="B22531" s="318" t="s">
        <v>237</v>
      </c>
    </row>
    <row r="22532" spans="1:2" ht="12.75" customHeight="1" x14ac:dyDescent="0.25">
      <c r="A22532" s="318">
        <v>97760461799</v>
      </c>
      <c r="B22532" s="318" t="s">
        <v>237</v>
      </c>
    </row>
    <row r="22533" spans="1:2" ht="12.75" customHeight="1" x14ac:dyDescent="0.25">
      <c r="A22533" s="318">
        <v>97760461800</v>
      </c>
      <c r="B22533" s="318" t="s">
        <v>237</v>
      </c>
    </row>
    <row r="22534" spans="1:2" ht="12.75" customHeight="1" x14ac:dyDescent="0.25">
      <c r="A22534" s="318">
        <v>97761141875</v>
      </c>
      <c r="B22534" s="318" t="s">
        <v>23</v>
      </c>
    </row>
    <row r="22535" spans="1:2" ht="12.75" customHeight="1" x14ac:dyDescent="0.25">
      <c r="A22535" s="318">
        <v>97761141876</v>
      </c>
      <c r="B22535" s="318" t="s">
        <v>23</v>
      </c>
    </row>
    <row r="22536" spans="1:2" ht="12.75" customHeight="1" x14ac:dyDescent="0.25">
      <c r="A22536" s="318">
        <v>97761141877</v>
      </c>
      <c r="B22536" s="318" t="s">
        <v>23</v>
      </c>
    </row>
    <row r="22537" spans="1:2" ht="12.75" customHeight="1" x14ac:dyDescent="0.25">
      <c r="A22537" s="318">
        <v>97761141878</v>
      </c>
      <c r="B22537" s="318" t="s">
        <v>23</v>
      </c>
    </row>
    <row r="22538" spans="1:2" ht="12.75" customHeight="1" x14ac:dyDescent="0.25">
      <c r="A22538" s="318">
        <v>97761141879</v>
      </c>
      <c r="B22538" s="318" t="s">
        <v>23</v>
      </c>
    </row>
    <row r="22539" spans="1:2" ht="12.75" customHeight="1" x14ac:dyDescent="0.25">
      <c r="A22539" s="318">
        <v>97761141880</v>
      </c>
      <c r="B22539" s="318" t="s">
        <v>23</v>
      </c>
    </row>
    <row r="22540" spans="1:2" ht="12.75" customHeight="1" x14ac:dyDescent="0.25">
      <c r="A22540" s="318">
        <v>97761141881</v>
      </c>
      <c r="B22540" s="318" t="s">
        <v>237</v>
      </c>
    </row>
    <row r="22541" spans="1:2" ht="12.75" customHeight="1" x14ac:dyDescent="0.25">
      <c r="A22541" s="318">
        <v>97761141882</v>
      </c>
      <c r="B22541" s="318" t="s">
        <v>237</v>
      </c>
    </row>
    <row r="22542" spans="1:2" ht="12.75" customHeight="1" x14ac:dyDescent="0.25">
      <c r="A22542" s="318">
        <v>97761141884</v>
      </c>
      <c r="B22542" s="318" t="s">
        <v>237</v>
      </c>
    </row>
    <row r="22543" spans="1:2" ht="12.75" customHeight="1" x14ac:dyDescent="0.25">
      <c r="A22543" s="318">
        <v>97761141885</v>
      </c>
      <c r="B22543" s="318" t="s">
        <v>237</v>
      </c>
    </row>
    <row r="22544" spans="1:2" ht="12.75" customHeight="1" x14ac:dyDescent="0.25">
      <c r="A22544" s="318">
        <v>97761141886</v>
      </c>
      <c r="B22544" s="318" t="s">
        <v>237</v>
      </c>
    </row>
    <row r="22545" spans="1:2" ht="12.75" customHeight="1" x14ac:dyDescent="0.25">
      <c r="A22545" s="318">
        <v>97761141887</v>
      </c>
      <c r="B22545" s="318" t="s">
        <v>237</v>
      </c>
    </row>
    <row r="22546" spans="1:2" ht="12.75" customHeight="1" x14ac:dyDescent="0.25">
      <c r="A22546" s="318">
        <v>97761141888</v>
      </c>
      <c r="B22546" s="318" t="s">
        <v>237</v>
      </c>
    </row>
    <row r="22547" spans="1:2" ht="12.75" customHeight="1" x14ac:dyDescent="0.25">
      <c r="A22547" s="318">
        <v>97761141889</v>
      </c>
      <c r="B22547" s="318" t="s">
        <v>237</v>
      </c>
    </row>
    <row r="22548" spans="1:2" ht="12.75" customHeight="1" x14ac:dyDescent="0.25">
      <c r="A22548" s="318">
        <v>97761141890</v>
      </c>
      <c r="B22548" s="318" t="s">
        <v>237</v>
      </c>
    </row>
    <row r="22549" spans="1:2" ht="12.75" customHeight="1" x14ac:dyDescent="0.25">
      <c r="A22549" s="318">
        <v>97761141891</v>
      </c>
      <c r="B22549" s="318" t="s">
        <v>237</v>
      </c>
    </row>
    <row r="22550" spans="1:2" ht="12.75" customHeight="1" x14ac:dyDescent="0.25">
      <c r="A22550" s="318">
        <v>97761141975</v>
      </c>
      <c r="B22550" s="318" t="s">
        <v>23</v>
      </c>
    </row>
    <row r="22551" spans="1:2" ht="12.75" customHeight="1" x14ac:dyDescent="0.25">
      <c r="A22551" s="318">
        <v>97761141976</v>
      </c>
      <c r="B22551" s="318" t="s">
        <v>23</v>
      </c>
    </row>
    <row r="22552" spans="1:2" ht="12.75" customHeight="1" x14ac:dyDescent="0.25">
      <c r="A22552" s="318">
        <v>97761141977</v>
      </c>
      <c r="B22552" s="318" t="s">
        <v>23</v>
      </c>
    </row>
    <row r="22553" spans="1:2" ht="12.75" customHeight="1" x14ac:dyDescent="0.25">
      <c r="A22553" s="318">
        <v>97761141978</v>
      </c>
      <c r="B22553" s="318" t="s">
        <v>23</v>
      </c>
    </row>
    <row r="22554" spans="1:2" ht="12.75" customHeight="1" x14ac:dyDescent="0.25">
      <c r="A22554" s="318">
        <v>97761141979</v>
      </c>
      <c r="B22554" s="318" t="s">
        <v>23</v>
      </c>
    </row>
    <row r="22555" spans="1:2" ht="12.75" customHeight="1" x14ac:dyDescent="0.25">
      <c r="A22555" s="318">
        <v>97761141980</v>
      </c>
      <c r="B22555" s="318" t="s">
        <v>23</v>
      </c>
    </row>
    <row r="22556" spans="1:2" ht="12.75" customHeight="1" x14ac:dyDescent="0.25">
      <c r="A22556" s="318">
        <v>97761141981</v>
      </c>
      <c r="B22556" s="318" t="s">
        <v>237</v>
      </c>
    </row>
    <row r="22557" spans="1:2" ht="12.75" customHeight="1" x14ac:dyDescent="0.25">
      <c r="A22557" s="318">
        <v>97761141982</v>
      </c>
      <c r="B22557" s="318" t="s">
        <v>237</v>
      </c>
    </row>
    <row r="22558" spans="1:2" ht="12.75" customHeight="1" x14ac:dyDescent="0.25">
      <c r="A22558" s="318">
        <v>97761141984</v>
      </c>
      <c r="B22558" s="318" t="s">
        <v>237</v>
      </c>
    </row>
    <row r="22559" spans="1:2" ht="12.75" customHeight="1" x14ac:dyDescent="0.25">
      <c r="A22559" s="318">
        <v>97761141985</v>
      </c>
      <c r="B22559" s="318" t="s">
        <v>237</v>
      </c>
    </row>
    <row r="22560" spans="1:2" ht="12.75" customHeight="1" x14ac:dyDescent="0.25">
      <c r="A22560" s="318">
        <v>97761141986</v>
      </c>
      <c r="B22560" s="318" t="s">
        <v>237</v>
      </c>
    </row>
    <row r="22561" spans="1:2" ht="12.75" customHeight="1" x14ac:dyDescent="0.25">
      <c r="A22561" s="318">
        <v>97761141987</v>
      </c>
      <c r="B22561" s="318" t="s">
        <v>237</v>
      </c>
    </row>
    <row r="22562" spans="1:2" ht="12.75" customHeight="1" x14ac:dyDescent="0.25">
      <c r="A22562" s="318">
        <v>97761141988</v>
      </c>
      <c r="B22562" s="318" t="s">
        <v>237</v>
      </c>
    </row>
    <row r="22563" spans="1:2" ht="12.75" customHeight="1" x14ac:dyDescent="0.25">
      <c r="A22563" s="318">
        <v>97761141989</v>
      </c>
      <c r="B22563" s="318" t="s">
        <v>237</v>
      </c>
    </row>
    <row r="22564" spans="1:2" ht="12.75" customHeight="1" x14ac:dyDescent="0.25">
      <c r="A22564" s="318">
        <v>97761141990</v>
      </c>
      <c r="B22564" s="318" t="s">
        <v>237</v>
      </c>
    </row>
    <row r="22565" spans="1:2" ht="12.75" customHeight="1" x14ac:dyDescent="0.25">
      <c r="A22565" s="318">
        <v>97761141991</v>
      </c>
      <c r="B22565" s="318" t="s">
        <v>237</v>
      </c>
    </row>
    <row r="22566" spans="1:2" ht="12.75" customHeight="1" x14ac:dyDescent="0.25">
      <c r="A22566" s="318">
        <v>97761622848</v>
      </c>
      <c r="B22566" s="318" t="s">
        <v>23</v>
      </c>
    </row>
    <row r="22567" spans="1:2" ht="12.75" customHeight="1" x14ac:dyDescent="0.25">
      <c r="A22567" s="318">
        <v>97761622849</v>
      </c>
      <c r="B22567" s="318" t="s">
        <v>23</v>
      </c>
    </row>
    <row r="22568" spans="1:2" ht="12.75" customHeight="1" x14ac:dyDescent="0.25">
      <c r="A22568" s="318">
        <v>97761622850</v>
      </c>
      <c r="B22568" s="318" t="s">
        <v>23</v>
      </c>
    </row>
    <row r="22569" spans="1:2" ht="12.75" customHeight="1" x14ac:dyDescent="0.25">
      <c r="A22569" s="318">
        <v>97761622851</v>
      </c>
      <c r="B22569" s="318" t="s">
        <v>23</v>
      </c>
    </row>
    <row r="22570" spans="1:2" ht="12.75" customHeight="1" x14ac:dyDescent="0.25">
      <c r="A22570" s="318">
        <v>97761622852</v>
      </c>
      <c r="B22570" s="318" t="s">
        <v>23</v>
      </c>
    </row>
    <row r="22571" spans="1:2" ht="12.75" customHeight="1" x14ac:dyDescent="0.25">
      <c r="A22571" s="318">
        <v>97761622853</v>
      </c>
      <c r="B22571" s="318" t="s">
        <v>23</v>
      </c>
    </row>
    <row r="22572" spans="1:2" ht="12.75" customHeight="1" x14ac:dyDescent="0.25">
      <c r="A22572" s="318">
        <v>97761622854</v>
      </c>
      <c r="B22572" s="318" t="s">
        <v>237</v>
      </c>
    </row>
    <row r="22573" spans="1:2" ht="12.75" customHeight="1" x14ac:dyDescent="0.25">
      <c r="A22573" s="318">
        <v>97761622855</v>
      </c>
      <c r="B22573" s="318" t="s">
        <v>237</v>
      </c>
    </row>
    <row r="22574" spans="1:2" ht="12.75" customHeight="1" x14ac:dyDescent="0.25">
      <c r="A22574" s="318">
        <v>97761622857</v>
      </c>
      <c r="B22574" s="318" t="s">
        <v>237</v>
      </c>
    </row>
    <row r="22575" spans="1:2" ht="12.75" customHeight="1" x14ac:dyDescent="0.25">
      <c r="A22575" s="318">
        <v>97761622858</v>
      </c>
      <c r="B22575" s="318" t="s">
        <v>237</v>
      </c>
    </row>
    <row r="22576" spans="1:2" ht="12.75" customHeight="1" x14ac:dyDescent="0.25">
      <c r="A22576" s="318">
        <v>97761622859</v>
      </c>
      <c r="B22576" s="318" t="s">
        <v>237</v>
      </c>
    </row>
    <row r="22577" spans="1:2" ht="12.75" customHeight="1" x14ac:dyDescent="0.25">
      <c r="A22577" s="318">
        <v>97761622860</v>
      </c>
      <c r="B22577" s="318" t="s">
        <v>237</v>
      </c>
    </row>
    <row r="22578" spans="1:2" ht="12.75" customHeight="1" x14ac:dyDescent="0.25">
      <c r="A22578" s="318">
        <v>97761622861</v>
      </c>
      <c r="B22578" s="318" t="s">
        <v>237</v>
      </c>
    </row>
    <row r="22579" spans="1:2" ht="12.75" customHeight="1" x14ac:dyDescent="0.25">
      <c r="A22579" s="318">
        <v>97761622862</v>
      </c>
      <c r="B22579" s="318" t="s">
        <v>237</v>
      </c>
    </row>
    <row r="22580" spans="1:2" ht="12.75" customHeight="1" x14ac:dyDescent="0.25">
      <c r="A22580" s="318">
        <v>97761622863</v>
      </c>
      <c r="B22580" s="318" t="s">
        <v>237</v>
      </c>
    </row>
    <row r="22581" spans="1:2" ht="12.75" customHeight="1" x14ac:dyDescent="0.25">
      <c r="A22581" s="318">
        <v>97761622864</v>
      </c>
      <c r="B22581" s="318" t="s">
        <v>237</v>
      </c>
    </row>
    <row r="22582" spans="1:2" ht="12.75" customHeight="1" x14ac:dyDescent="0.25">
      <c r="A22582" s="318">
        <v>97761622948</v>
      </c>
      <c r="B22582" s="318" t="s">
        <v>23</v>
      </c>
    </row>
    <row r="22583" spans="1:2" ht="12.75" customHeight="1" x14ac:dyDescent="0.25">
      <c r="A22583" s="318">
        <v>97761622949</v>
      </c>
      <c r="B22583" s="318" t="s">
        <v>23</v>
      </c>
    </row>
    <row r="22584" spans="1:2" ht="12.75" customHeight="1" x14ac:dyDescent="0.25">
      <c r="A22584" s="318">
        <v>97761622950</v>
      </c>
      <c r="B22584" s="318" t="s">
        <v>23</v>
      </c>
    </row>
    <row r="22585" spans="1:2" ht="12.75" customHeight="1" x14ac:dyDescent="0.25">
      <c r="A22585" s="318">
        <v>97761622951</v>
      </c>
      <c r="B22585" s="318" t="s">
        <v>23</v>
      </c>
    </row>
    <row r="22586" spans="1:2" ht="12.75" customHeight="1" x14ac:dyDescent="0.25">
      <c r="A22586" s="318">
        <v>97761622952</v>
      </c>
      <c r="B22586" s="318" t="s">
        <v>23</v>
      </c>
    </row>
    <row r="22587" spans="1:2" ht="12.75" customHeight="1" x14ac:dyDescent="0.25">
      <c r="A22587" s="318">
        <v>97761622953</v>
      </c>
      <c r="B22587" s="318" t="s">
        <v>23</v>
      </c>
    </row>
    <row r="22588" spans="1:2" ht="12.75" customHeight="1" x14ac:dyDescent="0.25">
      <c r="A22588" s="318">
        <v>97761622954</v>
      </c>
      <c r="B22588" s="318" t="s">
        <v>237</v>
      </c>
    </row>
    <row r="22589" spans="1:2" ht="12.75" customHeight="1" x14ac:dyDescent="0.25">
      <c r="A22589" s="318">
        <v>97761622955</v>
      </c>
      <c r="B22589" s="318" t="s">
        <v>237</v>
      </c>
    </row>
    <row r="22590" spans="1:2" ht="12.75" customHeight="1" x14ac:dyDescent="0.25">
      <c r="A22590" s="318">
        <v>97761622957</v>
      </c>
      <c r="B22590" s="318" t="s">
        <v>237</v>
      </c>
    </row>
    <row r="22591" spans="1:2" ht="12.75" customHeight="1" x14ac:dyDescent="0.25">
      <c r="A22591" s="318">
        <v>97761622958</v>
      </c>
      <c r="B22591" s="318" t="s">
        <v>237</v>
      </c>
    </row>
    <row r="22592" spans="1:2" ht="12.75" customHeight="1" x14ac:dyDescent="0.25">
      <c r="A22592" s="318">
        <v>97761622959</v>
      </c>
      <c r="B22592" s="318" t="s">
        <v>237</v>
      </c>
    </row>
    <row r="22593" spans="1:2" ht="12.75" customHeight="1" x14ac:dyDescent="0.25">
      <c r="A22593" s="318">
        <v>97761622960</v>
      </c>
      <c r="B22593" s="318" t="s">
        <v>237</v>
      </c>
    </row>
    <row r="22594" spans="1:2" ht="12.75" customHeight="1" x14ac:dyDescent="0.25">
      <c r="A22594" s="318">
        <v>97761622961</v>
      </c>
      <c r="B22594" s="318" t="s">
        <v>237</v>
      </c>
    </row>
    <row r="22595" spans="1:2" ht="12.75" customHeight="1" x14ac:dyDescent="0.25">
      <c r="A22595" s="318">
        <v>97761622962</v>
      </c>
      <c r="B22595" s="318" t="s">
        <v>237</v>
      </c>
    </row>
    <row r="22596" spans="1:2" ht="12.75" customHeight="1" x14ac:dyDescent="0.25">
      <c r="A22596" s="318">
        <v>97761622963</v>
      </c>
      <c r="B22596" s="318" t="s">
        <v>237</v>
      </c>
    </row>
    <row r="22597" spans="1:2" ht="12.75" customHeight="1" x14ac:dyDescent="0.25">
      <c r="A22597" s="318">
        <v>97761622964</v>
      </c>
      <c r="B22597" s="318" t="s">
        <v>237</v>
      </c>
    </row>
    <row r="22598" spans="1:2" ht="12.75" customHeight="1" x14ac:dyDescent="0.25">
      <c r="A22598" s="318">
        <v>97762103821</v>
      </c>
      <c r="B22598" s="318" t="s">
        <v>23</v>
      </c>
    </row>
    <row r="22599" spans="1:2" ht="12.75" customHeight="1" x14ac:dyDescent="0.25">
      <c r="A22599" s="318">
        <v>97762103822</v>
      </c>
      <c r="B22599" s="318" t="s">
        <v>23</v>
      </c>
    </row>
    <row r="22600" spans="1:2" ht="12.75" customHeight="1" x14ac:dyDescent="0.25">
      <c r="A22600" s="318">
        <v>97762103823</v>
      </c>
      <c r="B22600" s="318" t="s">
        <v>23</v>
      </c>
    </row>
    <row r="22601" spans="1:2" ht="12.75" customHeight="1" x14ac:dyDescent="0.25">
      <c r="A22601" s="318">
        <v>97762103824</v>
      </c>
      <c r="B22601" s="318" t="s">
        <v>23</v>
      </c>
    </row>
    <row r="22602" spans="1:2" ht="12.75" customHeight="1" x14ac:dyDescent="0.25">
      <c r="A22602" s="318">
        <v>97762103825</v>
      </c>
      <c r="B22602" s="318" t="s">
        <v>23</v>
      </c>
    </row>
    <row r="22603" spans="1:2" ht="12.75" customHeight="1" x14ac:dyDescent="0.25">
      <c r="A22603" s="318">
        <v>97762103826</v>
      </c>
      <c r="B22603" s="318" t="s">
        <v>23</v>
      </c>
    </row>
    <row r="22604" spans="1:2" ht="12.75" customHeight="1" x14ac:dyDescent="0.25">
      <c r="A22604" s="318">
        <v>97762103827</v>
      </c>
      <c r="B22604" s="318" t="s">
        <v>237</v>
      </c>
    </row>
    <row r="22605" spans="1:2" ht="12.75" customHeight="1" x14ac:dyDescent="0.25">
      <c r="A22605" s="318">
        <v>97762103828</v>
      </c>
      <c r="B22605" s="318" t="s">
        <v>237</v>
      </c>
    </row>
    <row r="22606" spans="1:2" ht="12.75" customHeight="1" x14ac:dyDescent="0.25">
      <c r="A22606" s="318">
        <v>97762103830</v>
      </c>
      <c r="B22606" s="318" t="s">
        <v>237</v>
      </c>
    </row>
    <row r="22607" spans="1:2" ht="12.75" customHeight="1" x14ac:dyDescent="0.25">
      <c r="A22607" s="318">
        <v>97762103831</v>
      </c>
      <c r="B22607" s="318" t="s">
        <v>237</v>
      </c>
    </row>
    <row r="22608" spans="1:2" ht="12.75" customHeight="1" x14ac:dyDescent="0.25">
      <c r="A22608" s="318">
        <v>97762103832</v>
      </c>
      <c r="B22608" s="318" t="s">
        <v>237</v>
      </c>
    </row>
    <row r="22609" spans="1:2" ht="12.75" customHeight="1" x14ac:dyDescent="0.25">
      <c r="A22609" s="318">
        <v>97762103833</v>
      </c>
      <c r="B22609" s="318" t="s">
        <v>237</v>
      </c>
    </row>
    <row r="22610" spans="1:2" ht="12.75" customHeight="1" x14ac:dyDescent="0.25">
      <c r="A22610" s="318">
        <v>97762103834</v>
      </c>
      <c r="B22610" s="318" t="s">
        <v>237</v>
      </c>
    </row>
    <row r="22611" spans="1:2" ht="12.75" customHeight="1" x14ac:dyDescent="0.25">
      <c r="A22611" s="318">
        <v>97762103835</v>
      </c>
      <c r="B22611" s="318" t="s">
        <v>237</v>
      </c>
    </row>
    <row r="22612" spans="1:2" ht="12.75" customHeight="1" x14ac:dyDescent="0.25">
      <c r="A22612" s="318">
        <v>97762103836</v>
      </c>
      <c r="B22612" s="318" t="s">
        <v>237</v>
      </c>
    </row>
    <row r="22613" spans="1:2" ht="12.75" customHeight="1" x14ac:dyDescent="0.25">
      <c r="A22613" s="318">
        <v>97762103837</v>
      </c>
      <c r="B22613" s="318" t="s">
        <v>237</v>
      </c>
    </row>
    <row r="22614" spans="1:2" ht="12.75" customHeight="1" x14ac:dyDescent="0.25">
      <c r="A22614" s="318">
        <v>97762103921</v>
      </c>
      <c r="B22614" s="318" t="s">
        <v>23</v>
      </c>
    </row>
    <row r="22615" spans="1:2" ht="12.75" customHeight="1" x14ac:dyDescent="0.25">
      <c r="A22615" s="318">
        <v>97762103922</v>
      </c>
      <c r="B22615" s="318" t="s">
        <v>23</v>
      </c>
    </row>
    <row r="22616" spans="1:2" ht="12.75" customHeight="1" x14ac:dyDescent="0.25">
      <c r="A22616" s="318">
        <v>97762103923</v>
      </c>
      <c r="B22616" s="318" t="s">
        <v>23</v>
      </c>
    </row>
    <row r="22617" spans="1:2" ht="12.75" customHeight="1" x14ac:dyDescent="0.25">
      <c r="A22617" s="318">
        <v>97762103924</v>
      </c>
      <c r="B22617" s="318" t="s">
        <v>23</v>
      </c>
    </row>
    <row r="22618" spans="1:2" ht="12.75" customHeight="1" x14ac:dyDescent="0.25">
      <c r="A22618" s="318">
        <v>97762103925</v>
      </c>
      <c r="B22618" s="318" t="s">
        <v>23</v>
      </c>
    </row>
    <row r="22619" spans="1:2" ht="12.75" customHeight="1" x14ac:dyDescent="0.25">
      <c r="A22619" s="318">
        <v>97762103926</v>
      </c>
      <c r="B22619" s="318" t="s">
        <v>23</v>
      </c>
    </row>
    <row r="22620" spans="1:2" ht="12.75" customHeight="1" x14ac:dyDescent="0.25">
      <c r="A22620" s="318">
        <v>97762103927</v>
      </c>
      <c r="B22620" s="318" t="s">
        <v>237</v>
      </c>
    </row>
    <row r="22621" spans="1:2" ht="12.75" customHeight="1" x14ac:dyDescent="0.25">
      <c r="A22621" s="318">
        <v>97762103928</v>
      </c>
      <c r="B22621" s="318" t="s">
        <v>237</v>
      </c>
    </row>
    <row r="22622" spans="1:2" ht="12.75" customHeight="1" x14ac:dyDescent="0.25">
      <c r="A22622" s="318">
        <v>97762103930</v>
      </c>
      <c r="B22622" s="318" t="s">
        <v>237</v>
      </c>
    </row>
    <row r="22623" spans="1:2" ht="12.75" customHeight="1" x14ac:dyDescent="0.25">
      <c r="A22623" s="318">
        <v>97762103931</v>
      </c>
      <c r="B22623" s="318" t="s">
        <v>237</v>
      </c>
    </row>
    <row r="22624" spans="1:2" ht="12.75" customHeight="1" x14ac:dyDescent="0.25">
      <c r="A22624" s="318">
        <v>97762103932</v>
      </c>
      <c r="B22624" s="318" t="s">
        <v>237</v>
      </c>
    </row>
    <row r="22625" spans="1:2" ht="12.75" customHeight="1" x14ac:dyDescent="0.25">
      <c r="A22625" s="318">
        <v>97762103933</v>
      </c>
      <c r="B22625" s="318" t="s">
        <v>237</v>
      </c>
    </row>
    <row r="22626" spans="1:2" ht="12.75" customHeight="1" x14ac:dyDescent="0.25">
      <c r="A22626" s="318">
        <v>97762103934</v>
      </c>
      <c r="B22626" s="318" t="s">
        <v>237</v>
      </c>
    </row>
    <row r="22627" spans="1:2" ht="12.75" customHeight="1" x14ac:dyDescent="0.25">
      <c r="A22627" s="318">
        <v>97762103935</v>
      </c>
      <c r="B22627" s="318" t="s">
        <v>237</v>
      </c>
    </row>
    <row r="22628" spans="1:2" ht="12.75" customHeight="1" x14ac:dyDescent="0.25">
      <c r="A22628" s="318">
        <v>97762103936</v>
      </c>
      <c r="B22628" s="318" t="s">
        <v>237</v>
      </c>
    </row>
    <row r="22629" spans="1:2" ht="12.75" customHeight="1" x14ac:dyDescent="0.25">
      <c r="A22629" s="318">
        <v>97762103937</v>
      </c>
      <c r="B22629" s="318" t="s">
        <v>237</v>
      </c>
    </row>
    <row r="22630" spans="1:2" ht="12.75" customHeight="1" x14ac:dyDescent="0.25">
      <c r="A22630" s="318">
        <v>97763464202</v>
      </c>
      <c r="B22630" s="318" t="s">
        <v>23</v>
      </c>
    </row>
    <row r="22631" spans="1:2" ht="12.75" customHeight="1" x14ac:dyDescent="0.25">
      <c r="A22631" s="318">
        <v>97763464203</v>
      </c>
      <c r="B22631" s="318" t="s">
        <v>23</v>
      </c>
    </row>
    <row r="22632" spans="1:2" ht="12.75" customHeight="1" x14ac:dyDescent="0.25">
      <c r="A22632" s="318">
        <v>97763464204</v>
      </c>
      <c r="B22632" s="318" t="s">
        <v>23</v>
      </c>
    </row>
    <row r="22633" spans="1:2" ht="12.75" customHeight="1" x14ac:dyDescent="0.25">
      <c r="A22633" s="318">
        <v>97763464205</v>
      </c>
      <c r="B22633" s="318" t="s">
        <v>23</v>
      </c>
    </row>
    <row r="22634" spans="1:2" ht="12.75" customHeight="1" x14ac:dyDescent="0.25">
      <c r="A22634" s="318">
        <v>97763464206</v>
      </c>
      <c r="B22634" s="318" t="s">
        <v>23</v>
      </c>
    </row>
    <row r="22635" spans="1:2" ht="12.75" customHeight="1" x14ac:dyDescent="0.25">
      <c r="A22635" s="318">
        <v>97763464207</v>
      </c>
      <c r="B22635" s="318" t="s">
        <v>23</v>
      </c>
    </row>
    <row r="22636" spans="1:2" ht="12.75" customHeight="1" x14ac:dyDescent="0.25">
      <c r="A22636" s="318">
        <v>97763464208</v>
      </c>
      <c r="B22636" s="318" t="s">
        <v>237</v>
      </c>
    </row>
    <row r="22637" spans="1:2" ht="12.75" customHeight="1" x14ac:dyDescent="0.25">
      <c r="A22637" s="318">
        <v>97763464209</v>
      </c>
      <c r="B22637" s="318" t="s">
        <v>237</v>
      </c>
    </row>
    <row r="22638" spans="1:2" ht="12.75" customHeight="1" x14ac:dyDescent="0.25">
      <c r="A22638" s="318">
        <v>97763464211</v>
      </c>
      <c r="B22638" s="318" t="s">
        <v>237</v>
      </c>
    </row>
    <row r="22639" spans="1:2" ht="12.75" customHeight="1" x14ac:dyDescent="0.25">
      <c r="A22639" s="318">
        <v>97763464212</v>
      </c>
      <c r="B22639" s="318" t="s">
        <v>237</v>
      </c>
    </row>
    <row r="22640" spans="1:2" ht="12.75" customHeight="1" x14ac:dyDescent="0.25">
      <c r="A22640" s="318">
        <v>97763464213</v>
      </c>
      <c r="B22640" s="318" t="s">
        <v>237</v>
      </c>
    </row>
    <row r="22641" spans="1:2" ht="12.75" customHeight="1" x14ac:dyDescent="0.25">
      <c r="A22641" s="318">
        <v>97763464214</v>
      </c>
      <c r="B22641" s="318" t="s">
        <v>237</v>
      </c>
    </row>
    <row r="22642" spans="1:2" ht="12.75" customHeight="1" x14ac:dyDescent="0.25">
      <c r="A22642" s="318">
        <v>97763464215</v>
      </c>
      <c r="B22642" s="318" t="s">
        <v>237</v>
      </c>
    </row>
    <row r="22643" spans="1:2" ht="12.75" customHeight="1" x14ac:dyDescent="0.25">
      <c r="A22643" s="318">
        <v>97763464216</v>
      </c>
      <c r="B22643" s="318" t="s">
        <v>237</v>
      </c>
    </row>
    <row r="22644" spans="1:2" ht="12.75" customHeight="1" x14ac:dyDescent="0.25">
      <c r="A22644" s="318">
        <v>97763464217</v>
      </c>
      <c r="B22644" s="318" t="s">
        <v>237</v>
      </c>
    </row>
    <row r="22645" spans="1:2" ht="12.75" customHeight="1" x14ac:dyDescent="0.25">
      <c r="A22645" s="318">
        <v>97763464218</v>
      </c>
      <c r="B22645" s="318" t="s">
        <v>237</v>
      </c>
    </row>
    <row r="22646" spans="1:2" ht="12.75" customHeight="1" x14ac:dyDescent="0.25">
      <c r="A22646" s="318">
        <v>97763464302</v>
      </c>
      <c r="B22646" s="318" t="s">
        <v>23</v>
      </c>
    </row>
    <row r="22647" spans="1:2" ht="12.75" customHeight="1" x14ac:dyDescent="0.25">
      <c r="A22647" s="318">
        <v>97763464303</v>
      </c>
      <c r="B22647" s="318" t="s">
        <v>23</v>
      </c>
    </row>
    <row r="22648" spans="1:2" ht="12.75" customHeight="1" x14ac:dyDescent="0.25">
      <c r="A22648" s="318">
        <v>97763464304</v>
      </c>
      <c r="B22648" s="318" t="s">
        <v>23</v>
      </c>
    </row>
    <row r="22649" spans="1:2" ht="12.75" customHeight="1" x14ac:dyDescent="0.25">
      <c r="A22649" s="318">
        <v>97763464305</v>
      </c>
      <c r="B22649" s="318" t="s">
        <v>23</v>
      </c>
    </row>
    <row r="22650" spans="1:2" ht="12.75" customHeight="1" x14ac:dyDescent="0.25">
      <c r="A22650" s="318">
        <v>97763464306</v>
      </c>
      <c r="B22650" s="318" t="s">
        <v>23</v>
      </c>
    </row>
    <row r="22651" spans="1:2" ht="12.75" customHeight="1" x14ac:dyDescent="0.25">
      <c r="A22651" s="318">
        <v>97763464307</v>
      </c>
      <c r="B22651" s="318" t="s">
        <v>23</v>
      </c>
    </row>
    <row r="22652" spans="1:2" ht="12.75" customHeight="1" x14ac:dyDescent="0.25">
      <c r="A22652" s="318">
        <v>97763464308</v>
      </c>
      <c r="B22652" s="318" t="s">
        <v>237</v>
      </c>
    </row>
    <row r="22653" spans="1:2" ht="12.75" customHeight="1" x14ac:dyDescent="0.25">
      <c r="A22653" s="318">
        <v>97763464309</v>
      </c>
      <c r="B22653" s="318" t="s">
        <v>237</v>
      </c>
    </row>
    <row r="22654" spans="1:2" ht="12.75" customHeight="1" x14ac:dyDescent="0.25">
      <c r="A22654" s="318">
        <v>97763464311</v>
      </c>
      <c r="B22654" s="318" t="s">
        <v>237</v>
      </c>
    </row>
    <row r="22655" spans="1:2" ht="12.75" customHeight="1" x14ac:dyDescent="0.25">
      <c r="A22655" s="318">
        <v>97763464312</v>
      </c>
      <c r="B22655" s="318" t="s">
        <v>237</v>
      </c>
    </row>
    <row r="22656" spans="1:2" ht="12.75" customHeight="1" x14ac:dyDescent="0.25">
      <c r="A22656" s="318">
        <v>97763464313</v>
      </c>
      <c r="B22656" s="318" t="s">
        <v>237</v>
      </c>
    </row>
    <row r="22657" spans="1:2" ht="12.75" customHeight="1" x14ac:dyDescent="0.25">
      <c r="A22657" s="318">
        <v>97763464314</v>
      </c>
      <c r="B22657" s="318" t="s">
        <v>237</v>
      </c>
    </row>
    <row r="22658" spans="1:2" ht="12.75" customHeight="1" x14ac:dyDescent="0.25">
      <c r="A22658" s="318">
        <v>97763464315</v>
      </c>
      <c r="B22658" s="318" t="s">
        <v>237</v>
      </c>
    </row>
    <row r="22659" spans="1:2" ht="12.75" customHeight="1" x14ac:dyDescent="0.25">
      <c r="A22659" s="318">
        <v>97763464316</v>
      </c>
      <c r="B22659" s="318" t="s">
        <v>237</v>
      </c>
    </row>
    <row r="22660" spans="1:2" ht="12.75" customHeight="1" x14ac:dyDescent="0.25">
      <c r="A22660" s="318">
        <v>97763464317</v>
      </c>
      <c r="B22660" s="318" t="s">
        <v>237</v>
      </c>
    </row>
    <row r="22661" spans="1:2" ht="12.75" customHeight="1" x14ac:dyDescent="0.25">
      <c r="A22661" s="318">
        <v>97763464318</v>
      </c>
      <c r="B22661" s="318" t="s">
        <v>237</v>
      </c>
    </row>
    <row r="22662" spans="1:2" ht="12.75" customHeight="1" x14ac:dyDescent="0.25">
      <c r="A22662" s="318">
        <v>97763945175</v>
      </c>
      <c r="B22662" s="318" t="s">
        <v>23</v>
      </c>
    </row>
    <row r="22663" spans="1:2" ht="12.75" customHeight="1" x14ac:dyDescent="0.25">
      <c r="A22663" s="318">
        <v>97763945176</v>
      </c>
      <c r="B22663" s="318" t="s">
        <v>23</v>
      </c>
    </row>
    <row r="22664" spans="1:2" ht="12.75" customHeight="1" x14ac:dyDescent="0.25">
      <c r="A22664" s="318">
        <v>97763945177</v>
      </c>
      <c r="B22664" s="318" t="s">
        <v>23</v>
      </c>
    </row>
    <row r="22665" spans="1:2" ht="12.75" customHeight="1" x14ac:dyDescent="0.25">
      <c r="A22665" s="318">
        <v>97763945178</v>
      </c>
      <c r="B22665" s="318" t="s">
        <v>23</v>
      </c>
    </row>
    <row r="22666" spans="1:2" ht="12.75" customHeight="1" x14ac:dyDescent="0.25">
      <c r="A22666" s="318">
        <v>97763945179</v>
      </c>
      <c r="B22666" s="318" t="s">
        <v>23</v>
      </c>
    </row>
    <row r="22667" spans="1:2" ht="12.75" customHeight="1" x14ac:dyDescent="0.25">
      <c r="A22667" s="318">
        <v>97763945180</v>
      </c>
      <c r="B22667" s="318" t="s">
        <v>23</v>
      </c>
    </row>
    <row r="22668" spans="1:2" ht="12.75" customHeight="1" x14ac:dyDescent="0.25">
      <c r="A22668" s="318">
        <v>97763945181</v>
      </c>
      <c r="B22668" s="318" t="s">
        <v>237</v>
      </c>
    </row>
    <row r="22669" spans="1:2" ht="12.75" customHeight="1" x14ac:dyDescent="0.25">
      <c r="A22669" s="318">
        <v>97763945182</v>
      </c>
      <c r="B22669" s="318" t="s">
        <v>237</v>
      </c>
    </row>
    <row r="22670" spans="1:2" ht="12.75" customHeight="1" x14ac:dyDescent="0.25">
      <c r="A22670" s="318">
        <v>97763945184</v>
      </c>
      <c r="B22670" s="318" t="s">
        <v>237</v>
      </c>
    </row>
    <row r="22671" spans="1:2" ht="12.75" customHeight="1" x14ac:dyDescent="0.25">
      <c r="A22671" s="318">
        <v>97763945185</v>
      </c>
      <c r="B22671" s="318" t="s">
        <v>237</v>
      </c>
    </row>
    <row r="22672" spans="1:2" ht="12.75" customHeight="1" x14ac:dyDescent="0.25">
      <c r="A22672" s="318">
        <v>97763945186</v>
      </c>
      <c r="B22672" s="318" t="s">
        <v>237</v>
      </c>
    </row>
    <row r="22673" spans="1:2" ht="12.75" customHeight="1" x14ac:dyDescent="0.25">
      <c r="A22673" s="318">
        <v>97763945187</v>
      </c>
      <c r="B22673" s="318" t="s">
        <v>237</v>
      </c>
    </row>
    <row r="22674" spans="1:2" ht="12.75" customHeight="1" x14ac:dyDescent="0.25">
      <c r="A22674" s="318">
        <v>97763945188</v>
      </c>
      <c r="B22674" s="318" t="s">
        <v>237</v>
      </c>
    </row>
    <row r="22675" spans="1:2" ht="12.75" customHeight="1" x14ac:dyDescent="0.25">
      <c r="A22675" s="318">
        <v>97763945189</v>
      </c>
      <c r="B22675" s="318" t="s">
        <v>237</v>
      </c>
    </row>
    <row r="22676" spans="1:2" ht="12.75" customHeight="1" x14ac:dyDescent="0.25">
      <c r="A22676" s="318">
        <v>97763945190</v>
      </c>
      <c r="B22676" s="318" t="s">
        <v>237</v>
      </c>
    </row>
    <row r="22677" spans="1:2" ht="12.75" customHeight="1" x14ac:dyDescent="0.25">
      <c r="A22677" s="318">
        <v>97763945191</v>
      </c>
      <c r="B22677" s="318" t="s">
        <v>237</v>
      </c>
    </row>
    <row r="22678" spans="1:2" ht="12.75" customHeight="1" x14ac:dyDescent="0.25">
      <c r="A22678" s="318">
        <v>97763945275</v>
      </c>
      <c r="B22678" s="318" t="s">
        <v>23</v>
      </c>
    </row>
    <row r="22679" spans="1:2" ht="12.75" customHeight="1" x14ac:dyDescent="0.25">
      <c r="A22679" s="318">
        <v>97763945276</v>
      </c>
      <c r="B22679" s="318" t="s">
        <v>23</v>
      </c>
    </row>
    <row r="22680" spans="1:2" ht="12.75" customHeight="1" x14ac:dyDescent="0.25">
      <c r="A22680" s="318">
        <v>97763945277</v>
      </c>
      <c r="B22680" s="318" t="s">
        <v>23</v>
      </c>
    </row>
    <row r="22681" spans="1:2" ht="12.75" customHeight="1" x14ac:dyDescent="0.25">
      <c r="A22681" s="318">
        <v>97763945278</v>
      </c>
      <c r="B22681" s="318" t="s">
        <v>23</v>
      </c>
    </row>
    <row r="22682" spans="1:2" ht="12.75" customHeight="1" x14ac:dyDescent="0.25">
      <c r="A22682" s="318">
        <v>97763945279</v>
      </c>
      <c r="B22682" s="318" t="s">
        <v>23</v>
      </c>
    </row>
    <row r="22683" spans="1:2" ht="12.75" customHeight="1" x14ac:dyDescent="0.25">
      <c r="A22683" s="318">
        <v>97763945280</v>
      </c>
      <c r="B22683" s="318" t="s">
        <v>23</v>
      </c>
    </row>
    <row r="22684" spans="1:2" ht="12.75" customHeight="1" x14ac:dyDescent="0.25">
      <c r="A22684" s="318">
        <v>97763945281</v>
      </c>
      <c r="B22684" s="318" t="s">
        <v>237</v>
      </c>
    </row>
    <row r="22685" spans="1:2" ht="12.75" customHeight="1" x14ac:dyDescent="0.25">
      <c r="A22685" s="318">
        <v>97763945282</v>
      </c>
      <c r="B22685" s="318" t="s">
        <v>237</v>
      </c>
    </row>
    <row r="22686" spans="1:2" ht="12.75" customHeight="1" x14ac:dyDescent="0.25">
      <c r="A22686" s="318">
        <v>97763945284</v>
      </c>
      <c r="B22686" s="318" t="s">
        <v>237</v>
      </c>
    </row>
    <row r="22687" spans="1:2" ht="12.75" customHeight="1" x14ac:dyDescent="0.25">
      <c r="A22687" s="318">
        <v>97763945285</v>
      </c>
      <c r="B22687" s="318" t="s">
        <v>237</v>
      </c>
    </row>
    <row r="22688" spans="1:2" ht="12.75" customHeight="1" x14ac:dyDescent="0.25">
      <c r="A22688" s="318">
        <v>97763945286</v>
      </c>
      <c r="B22688" s="318" t="s">
        <v>237</v>
      </c>
    </row>
    <row r="22689" spans="1:2" ht="12.75" customHeight="1" x14ac:dyDescent="0.25">
      <c r="A22689" s="318">
        <v>97763945287</v>
      </c>
      <c r="B22689" s="318" t="s">
        <v>237</v>
      </c>
    </row>
    <row r="22690" spans="1:2" ht="12.75" customHeight="1" x14ac:dyDescent="0.25">
      <c r="A22690" s="318">
        <v>97763945288</v>
      </c>
      <c r="B22690" s="318" t="s">
        <v>237</v>
      </c>
    </row>
    <row r="22691" spans="1:2" ht="12.75" customHeight="1" x14ac:dyDescent="0.25">
      <c r="A22691" s="318">
        <v>97763945289</v>
      </c>
      <c r="B22691" s="318" t="s">
        <v>237</v>
      </c>
    </row>
    <row r="22692" spans="1:2" ht="12.75" customHeight="1" x14ac:dyDescent="0.25">
      <c r="A22692" s="318">
        <v>97763945290</v>
      </c>
      <c r="B22692" s="318" t="s">
        <v>237</v>
      </c>
    </row>
    <row r="22693" spans="1:2" ht="12.75" customHeight="1" x14ac:dyDescent="0.25">
      <c r="A22693" s="318">
        <v>97763945291</v>
      </c>
      <c r="B22693" s="318" t="s">
        <v>237</v>
      </c>
    </row>
    <row r="22694" spans="1:2" ht="12.75" customHeight="1" x14ac:dyDescent="0.25">
      <c r="A22694" s="318">
        <v>97764426148</v>
      </c>
      <c r="B22694" s="318" t="s">
        <v>23</v>
      </c>
    </row>
    <row r="22695" spans="1:2" ht="12.75" customHeight="1" x14ac:dyDescent="0.25">
      <c r="A22695" s="318">
        <v>97764426149</v>
      </c>
      <c r="B22695" s="318" t="s">
        <v>23</v>
      </c>
    </row>
    <row r="22696" spans="1:2" ht="12.75" customHeight="1" x14ac:dyDescent="0.25">
      <c r="A22696" s="318">
        <v>97764426150</v>
      </c>
      <c r="B22696" s="318" t="s">
        <v>23</v>
      </c>
    </row>
    <row r="22697" spans="1:2" ht="12.75" customHeight="1" x14ac:dyDescent="0.25">
      <c r="A22697" s="318">
        <v>97764426151</v>
      </c>
      <c r="B22697" s="318" t="s">
        <v>23</v>
      </c>
    </row>
    <row r="22698" spans="1:2" ht="12.75" customHeight="1" x14ac:dyDescent="0.25">
      <c r="A22698" s="318">
        <v>97764426152</v>
      </c>
      <c r="B22698" s="318" t="s">
        <v>23</v>
      </c>
    </row>
    <row r="22699" spans="1:2" ht="12.75" customHeight="1" x14ac:dyDescent="0.25">
      <c r="A22699" s="318">
        <v>97764426153</v>
      </c>
      <c r="B22699" s="318" t="s">
        <v>23</v>
      </c>
    </row>
    <row r="22700" spans="1:2" ht="12.75" customHeight="1" x14ac:dyDescent="0.25">
      <c r="A22700" s="318">
        <v>97764426154</v>
      </c>
      <c r="B22700" s="318" t="s">
        <v>237</v>
      </c>
    </row>
    <row r="22701" spans="1:2" ht="12.75" customHeight="1" x14ac:dyDescent="0.25">
      <c r="A22701" s="318">
        <v>97764426155</v>
      </c>
      <c r="B22701" s="318" t="s">
        <v>237</v>
      </c>
    </row>
    <row r="22702" spans="1:2" ht="12.75" customHeight="1" x14ac:dyDescent="0.25">
      <c r="A22702" s="318">
        <v>97764426157</v>
      </c>
      <c r="B22702" s="318" t="s">
        <v>237</v>
      </c>
    </row>
    <row r="22703" spans="1:2" ht="12.75" customHeight="1" x14ac:dyDescent="0.25">
      <c r="A22703" s="318">
        <v>97764426158</v>
      </c>
      <c r="B22703" s="318" t="s">
        <v>237</v>
      </c>
    </row>
    <row r="22704" spans="1:2" ht="12.75" customHeight="1" x14ac:dyDescent="0.25">
      <c r="A22704" s="318">
        <v>97764426159</v>
      </c>
      <c r="B22704" s="318" t="s">
        <v>237</v>
      </c>
    </row>
    <row r="22705" spans="1:2" ht="12.75" customHeight="1" x14ac:dyDescent="0.25">
      <c r="A22705" s="318">
        <v>97764426160</v>
      </c>
      <c r="B22705" s="318" t="s">
        <v>237</v>
      </c>
    </row>
    <row r="22706" spans="1:2" ht="12.75" customHeight="1" x14ac:dyDescent="0.25">
      <c r="A22706" s="318">
        <v>97764426161</v>
      </c>
      <c r="B22706" s="318" t="s">
        <v>237</v>
      </c>
    </row>
    <row r="22707" spans="1:2" ht="12.75" customHeight="1" x14ac:dyDescent="0.25">
      <c r="A22707" s="318">
        <v>97764426162</v>
      </c>
      <c r="B22707" s="318" t="s">
        <v>237</v>
      </c>
    </row>
    <row r="22708" spans="1:2" ht="12.75" customHeight="1" x14ac:dyDescent="0.25">
      <c r="A22708" s="318">
        <v>97764426163</v>
      </c>
      <c r="B22708" s="318" t="s">
        <v>237</v>
      </c>
    </row>
    <row r="22709" spans="1:2" ht="12.75" customHeight="1" x14ac:dyDescent="0.25">
      <c r="A22709" s="318">
        <v>97764426164</v>
      </c>
      <c r="B22709" s="318" t="s">
        <v>237</v>
      </c>
    </row>
    <row r="22710" spans="1:2" ht="12.75" customHeight="1" x14ac:dyDescent="0.25">
      <c r="A22710" s="318">
        <v>97764426248</v>
      </c>
      <c r="B22710" s="318" t="s">
        <v>23</v>
      </c>
    </row>
    <row r="22711" spans="1:2" ht="12.75" customHeight="1" x14ac:dyDescent="0.25">
      <c r="A22711" s="318">
        <v>97764426249</v>
      </c>
      <c r="B22711" s="318" t="s">
        <v>23</v>
      </c>
    </row>
    <row r="22712" spans="1:2" ht="12.75" customHeight="1" x14ac:dyDescent="0.25">
      <c r="A22712" s="318">
        <v>97764426250</v>
      </c>
      <c r="B22712" s="318" t="s">
        <v>23</v>
      </c>
    </row>
    <row r="22713" spans="1:2" ht="12.75" customHeight="1" x14ac:dyDescent="0.25">
      <c r="A22713" s="318">
        <v>97764426251</v>
      </c>
      <c r="B22713" s="318" t="s">
        <v>23</v>
      </c>
    </row>
    <row r="22714" spans="1:2" ht="12.75" customHeight="1" x14ac:dyDescent="0.25">
      <c r="A22714" s="318">
        <v>97764426252</v>
      </c>
      <c r="B22714" s="318" t="s">
        <v>23</v>
      </c>
    </row>
    <row r="22715" spans="1:2" ht="12.75" customHeight="1" x14ac:dyDescent="0.25">
      <c r="A22715" s="318">
        <v>97764426253</v>
      </c>
      <c r="B22715" s="318" t="s">
        <v>23</v>
      </c>
    </row>
    <row r="22716" spans="1:2" ht="12.75" customHeight="1" x14ac:dyDescent="0.25">
      <c r="A22716" s="318">
        <v>97764426254</v>
      </c>
      <c r="B22716" s="318" t="s">
        <v>237</v>
      </c>
    </row>
    <row r="22717" spans="1:2" ht="12.75" customHeight="1" x14ac:dyDescent="0.25">
      <c r="A22717" s="318">
        <v>97764426255</v>
      </c>
      <c r="B22717" s="318" t="s">
        <v>237</v>
      </c>
    </row>
    <row r="22718" spans="1:2" ht="12.75" customHeight="1" x14ac:dyDescent="0.25">
      <c r="A22718" s="318">
        <v>97764426257</v>
      </c>
      <c r="B22718" s="318" t="s">
        <v>237</v>
      </c>
    </row>
    <row r="22719" spans="1:2" ht="12.75" customHeight="1" x14ac:dyDescent="0.25">
      <c r="A22719" s="318">
        <v>97764426258</v>
      </c>
      <c r="B22719" s="318" t="s">
        <v>237</v>
      </c>
    </row>
    <row r="22720" spans="1:2" ht="12.75" customHeight="1" x14ac:dyDescent="0.25">
      <c r="A22720" s="318">
        <v>97764426259</v>
      </c>
      <c r="B22720" s="318" t="s">
        <v>237</v>
      </c>
    </row>
    <row r="22721" spans="1:2" ht="12.75" customHeight="1" x14ac:dyDescent="0.25">
      <c r="A22721" s="318">
        <v>97764426260</v>
      </c>
      <c r="B22721" s="318" t="s">
        <v>237</v>
      </c>
    </row>
    <row r="22722" spans="1:2" ht="12.75" customHeight="1" x14ac:dyDescent="0.25">
      <c r="A22722" s="318">
        <v>97764426261</v>
      </c>
      <c r="B22722" s="318" t="s">
        <v>237</v>
      </c>
    </row>
    <row r="22723" spans="1:2" ht="12.75" customHeight="1" x14ac:dyDescent="0.25">
      <c r="A22723" s="318">
        <v>97764426262</v>
      </c>
      <c r="B22723" s="318" t="s">
        <v>237</v>
      </c>
    </row>
    <row r="22724" spans="1:2" ht="12.75" customHeight="1" x14ac:dyDescent="0.25">
      <c r="A22724" s="318">
        <v>97764426263</v>
      </c>
      <c r="B22724" s="318" t="s">
        <v>237</v>
      </c>
    </row>
    <row r="22725" spans="1:2" ht="12.75" customHeight="1" x14ac:dyDescent="0.25">
      <c r="A22725" s="318">
        <v>97764426264</v>
      </c>
      <c r="B22725" s="318" t="s">
        <v>237</v>
      </c>
    </row>
    <row r="22726" spans="1:2" ht="12.75" customHeight="1" x14ac:dyDescent="0.25">
      <c r="A22726" s="318">
        <v>97765106339</v>
      </c>
      <c r="B22726" s="318" t="s">
        <v>23</v>
      </c>
    </row>
    <row r="22727" spans="1:2" ht="12.75" customHeight="1" x14ac:dyDescent="0.25">
      <c r="A22727" s="318">
        <v>97765106340</v>
      </c>
      <c r="B22727" s="318" t="s">
        <v>23</v>
      </c>
    </row>
    <row r="22728" spans="1:2" ht="12.75" customHeight="1" x14ac:dyDescent="0.25">
      <c r="A22728" s="318">
        <v>97765106341</v>
      </c>
      <c r="B22728" s="318" t="s">
        <v>23</v>
      </c>
    </row>
    <row r="22729" spans="1:2" ht="12.75" customHeight="1" x14ac:dyDescent="0.25">
      <c r="A22729" s="318">
        <v>97765106342</v>
      </c>
      <c r="B22729" s="318" t="s">
        <v>23</v>
      </c>
    </row>
    <row r="22730" spans="1:2" ht="12.75" customHeight="1" x14ac:dyDescent="0.25">
      <c r="A22730" s="318">
        <v>97765106343</v>
      </c>
      <c r="B22730" s="318" t="s">
        <v>23</v>
      </c>
    </row>
    <row r="22731" spans="1:2" ht="12.75" customHeight="1" x14ac:dyDescent="0.25">
      <c r="A22731" s="318">
        <v>97765106344</v>
      </c>
      <c r="B22731" s="318" t="s">
        <v>23</v>
      </c>
    </row>
    <row r="22732" spans="1:2" ht="12.75" customHeight="1" x14ac:dyDescent="0.25">
      <c r="A22732" s="318">
        <v>97765106345</v>
      </c>
      <c r="B22732" s="318" t="s">
        <v>237</v>
      </c>
    </row>
    <row r="22733" spans="1:2" ht="12.75" customHeight="1" x14ac:dyDescent="0.25">
      <c r="A22733" s="318">
        <v>97765106346</v>
      </c>
      <c r="B22733" s="318" t="s">
        <v>237</v>
      </c>
    </row>
    <row r="22734" spans="1:2" ht="12.75" customHeight="1" x14ac:dyDescent="0.25">
      <c r="A22734" s="318">
        <v>97765106348</v>
      </c>
      <c r="B22734" s="318" t="s">
        <v>237</v>
      </c>
    </row>
    <row r="22735" spans="1:2" ht="12.75" customHeight="1" x14ac:dyDescent="0.25">
      <c r="A22735" s="318">
        <v>97765106349</v>
      </c>
      <c r="B22735" s="318" t="s">
        <v>237</v>
      </c>
    </row>
    <row r="22736" spans="1:2" ht="12.75" customHeight="1" x14ac:dyDescent="0.25">
      <c r="A22736" s="318">
        <v>97765106350</v>
      </c>
      <c r="B22736" s="318" t="s">
        <v>237</v>
      </c>
    </row>
    <row r="22737" spans="1:2" ht="12.75" customHeight="1" x14ac:dyDescent="0.25">
      <c r="A22737" s="318">
        <v>97765106351</v>
      </c>
      <c r="B22737" s="318" t="s">
        <v>237</v>
      </c>
    </row>
    <row r="22738" spans="1:2" ht="12.75" customHeight="1" x14ac:dyDescent="0.25">
      <c r="A22738" s="318">
        <v>97765106352</v>
      </c>
      <c r="B22738" s="318" t="s">
        <v>237</v>
      </c>
    </row>
    <row r="22739" spans="1:2" ht="12.75" customHeight="1" x14ac:dyDescent="0.25">
      <c r="A22739" s="318">
        <v>97765106353</v>
      </c>
      <c r="B22739" s="318" t="s">
        <v>237</v>
      </c>
    </row>
    <row r="22740" spans="1:2" ht="12.75" customHeight="1" x14ac:dyDescent="0.25">
      <c r="A22740" s="318">
        <v>97765106354</v>
      </c>
      <c r="B22740" s="318" t="s">
        <v>237</v>
      </c>
    </row>
    <row r="22741" spans="1:2" ht="12.75" customHeight="1" x14ac:dyDescent="0.25">
      <c r="A22741" s="318">
        <v>97765106355</v>
      </c>
      <c r="B22741" s="318" t="s">
        <v>237</v>
      </c>
    </row>
    <row r="22742" spans="1:2" ht="12.75" customHeight="1" x14ac:dyDescent="0.25">
      <c r="A22742" s="318">
        <v>97765106439</v>
      </c>
      <c r="B22742" s="318" t="s">
        <v>23</v>
      </c>
    </row>
    <row r="22743" spans="1:2" ht="12.75" customHeight="1" x14ac:dyDescent="0.25">
      <c r="A22743" s="318">
        <v>97765106440</v>
      </c>
      <c r="B22743" s="318" t="s">
        <v>23</v>
      </c>
    </row>
    <row r="22744" spans="1:2" ht="12.75" customHeight="1" x14ac:dyDescent="0.25">
      <c r="A22744" s="318">
        <v>97765106441</v>
      </c>
      <c r="B22744" s="318" t="s">
        <v>23</v>
      </c>
    </row>
    <row r="22745" spans="1:2" ht="12.75" customHeight="1" x14ac:dyDescent="0.25">
      <c r="A22745" s="318">
        <v>97765106442</v>
      </c>
      <c r="B22745" s="318" t="s">
        <v>23</v>
      </c>
    </row>
    <row r="22746" spans="1:2" ht="12.75" customHeight="1" x14ac:dyDescent="0.25">
      <c r="A22746" s="318">
        <v>97765106443</v>
      </c>
      <c r="B22746" s="318" t="s">
        <v>23</v>
      </c>
    </row>
    <row r="22747" spans="1:2" ht="12.75" customHeight="1" x14ac:dyDescent="0.25">
      <c r="A22747" s="318">
        <v>97765106444</v>
      </c>
      <c r="B22747" s="318" t="s">
        <v>23</v>
      </c>
    </row>
    <row r="22748" spans="1:2" ht="12.75" customHeight="1" x14ac:dyDescent="0.25">
      <c r="A22748" s="318">
        <v>97765106445</v>
      </c>
      <c r="B22748" s="318" t="s">
        <v>237</v>
      </c>
    </row>
    <row r="22749" spans="1:2" ht="12.75" customHeight="1" x14ac:dyDescent="0.25">
      <c r="A22749" s="318">
        <v>97765106446</v>
      </c>
      <c r="B22749" s="318" t="s">
        <v>237</v>
      </c>
    </row>
    <row r="22750" spans="1:2" ht="12.75" customHeight="1" x14ac:dyDescent="0.25">
      <c r="A22750" s="318">
        <v>97765106448</v>
      </c>
      <c r="B22750" s="318" t="s">
        <v>237</v>
      </c>
    </row>
    <row r="22751" spans="1:2" ht="12.75" customHeight="1" x14ac:dyDescent="0.25">
      <c r="A22751" s="318">
        <v>97765106449</v>
      </c>
      <c r="B22751" s="318" t="s">
        <v>237</v>
      </c>
    </row>
    <row r="22752" spans="1:2" ht="12.75" customHeight="1" x14ac:dyDescent="0.25">
      <c r="A22752" s="318">
        <v>97765106450</v>
      </c>
      <c r="B22752" s="318" t="s">
        <v>237</v>
      </c>
    </row>
    <row r="22753" spans="1:2" ht="12.75" customHeight="1" x14ac:dyDescent="0.25">
      <c r="A22753" s="318">
        <v>97765106451</v>
      </c>
      <c r="B22753" s="318" t="s">
        <v>237</v>
      </c>
    </row>
    <row r="22754" spans="1:2" ht="12.75" customHeight="1" x14ac:dyDescent="0.25">
      <c r="A22754" s="318">
        <v>97765106452</v>
      </c>
      <c r="B22754" s="318" t="s">
        <v>237</v>
      </c>
    </row>
    <row r="22755" spans="1:2" ht="12.75" customHeight="1" x14ac:dyDescent="0.25">
      <c r="A22755" s="318">
        <v>97765106453</v>
      </c>
      <c r="B22755" s="318" t="s">
        <v>237</v>
      </c>
    </row>
    <row r="22756" spans="1:2" ht="12.75" customHeight="1" x14ac:dyDescent="0.25">
      <c r="A22756" s="318">
        <v>97765106454</v>
      </c>
      <c r="B22756" s="318" t="s">
        <v>237</v>
      </c>
    </row>
    <row r="22757" spans="1:2" ht="12.75" customHeight="1" x14ac:dyDescent="0.25">
      <c r="A22757" s="318">
        <v>97765106455</v>
      </c>
      <c r="B22757" s="318" t="s">
        <v>237</v>
      </c>
    </row>
    <row r="22758" spans="1:2" ht="12.75" customHeight="1" x14ac:dyDescent="0.25">
      <c r="A22758" s="318">
        <v>97765587312</v>
      </c>
      <c r="B22758" s="318" t="s">
        <v>23</v>
      </c>
    </row>
    <row r="22759" spans="1:2" ht="12.75" customHeight="1" x14ac:dyDescent="0.25">
      <c r="A22759" s="318">
        <v>97765587313</v>
      </c>
      <c r="B22759" s="318" t="s">
        <v>23</v>
      </c>
    </row>
    <row r="22760" spans="1:2" ht="12.75" customHeight="1" x14ac:dyDescent="0.25">
      <c r="A22760" s="318">
        <v>97765587314</v>
      </c>
      <c r="B22760" s="318" t="s">
        <v>23</v>
      </c>
    </row>
    <row r="22761" spans="1:2" ht="12.75" customHeight="1" x14ac:dyDescent="0.25">
      <c r="A22761" s="318">
        <v>97765587315</v>
      </c>
      <c r="B22761" s="318" t="s">
        <v>23</v>
      </c>
    </row>
    <row r="22762" spans="1:2" ht="12.75" customHeight="1" x14ac:dyDescent="0.25">
      <c r="A22762" s="318">
        <v>97765587316</v>
      </c>
      <c r="B22762" s="318" t="s">
        <v>23</v>
      </c>
    </row>
    <row r="22763" spans="1:2" ht="12.75" customHeight="1" x14ac:dyDescent="0.25">
      <c r="A22763" s="318">
        <v>97765587317</v>
      </c>
      <c r="B22763" s="318" t="s">
        <v>23</v>
      </c>
    </row>
    <row r="22764" spans="1:2" ht="12.75" customHeight="1" x14ac:dyDescent="0.25">
      <c r="A22764" s="318">
        <v>97765587318</v>
      </c>
      <c r="B22764" s="318" t="s">
        <v>237</v>
      </c>
    </row>
    <row r="22765" spans="1:2" ht="12.75" customHeight="1" x14ac:dyDescent="0.25">
      <c r="A22765" s="318">
        <v>97765587319</v>
      </c>
      <c r="B22765" s="318" t="s">
        <v>237</v>
      </c>
    </row>
    <row r="22766" spans="1:2" ht="12.75" customHeight="1" x14ac:dyDescent="0.25">
      <c r="A22766" s="318">
        <v>97765587321</v>
      </c>
      <c r="B22766" s="318" t="s">
        <v>237</v>
      </c>
    </row>
    <row r="22767" spans="1:2" ht="12.75" customHeight="1" x14ac:dyDescent="0.25">
      <c r="A22767" s="318">
        <v>97765587322</v>
      </c>
      <c r="B22767" s="318" t="s">
        <v>237</v>
      </c>
    </row>
    <row r="22768" spans="1:2" ht="12.75" customHeight="1" x14ac:dyDescent="0.25">
      <c r="A22768" s="318">
        <v>97765587323</v>
      </c>
      <c r="B22768" s="318" t="s">
        <v>237</v>
      </c>
    </row>
    <row r="22769" spans="1:2" ht="12.75" customHeight="1" x14ac:dyDescent="0.25">
      <c r="A22769" s="318">
        <v>97765587324</v>
      </c>
      <c r="B22769" s="318" t="s">
        <v>237</v>
      </c>
    </row>
    <row r="22770" spans="1:2" ht="12.75" customHeight="1" x14ac:dyDescent="0.25">
      <c r="A22770" s="318">
        <v>97765587325</v>
      </c>
      <c r="B22770" s="318" t="s">
        <v>237</v>
      </c>
    </row>
    <row r="22771" spans="1:2" ht="12.75" customHeight="1" x14ac:dyDescent="0.25">
      <c r="A22771" s="318">
        <v>97765587326</v>
      </c>
      <c r="B22771" s="318" t="s">
        <v>237</v>
      </c>
    </row>
    <row r="22772" spans="1:2" ht="12.75" customHeight="1" x14ac:dyDescent="0.25">
      <c r="A22772" s="318">
        <v>97765587327</v>
      </c>
      <c r="B22772" s="318" t="s">
        <v>237</v>
      </c>
    </row>
    <row r="22773" spans="1:2" ht="12.75" customHeight="1" x14ac:dyDescent="0.25">
      <c r="A22773" s="318">
        <v>97765587328</v>
      </c>
      <c r="B22773" s="318" t="s">
        <v>237</v>
      </c>
    </row>
    <row r="22774" spans="1:2" ht="12.75" customHeight="1" x14ac:dyDescent="0.25">
      <c r="A22774" s="318">
        <v>97765587412</v>
      </c>
      <c r="B22774" s="318" t="s">
        <v>23</v>
      </c>
    </row>
    <row r="22775" spans="1:2" ht="12.75" customHeight="1" x14ac:dyDescent="0.25">
      <c r="A22775" s="318">
        <v>97765587413</v>
      </c>
      <c r="B22775" s="318" t="s">
        <v>23</v>
      </c>
    </row>
    <row r="22776" spans="1:2" ht="12.75" customHeight="1" x14ac:dyDescent="0.25">
      <c r="A22776" s="318">
        <v>97765587414</v>
      </c>
      <c r="B22776" s="318" t="s">
        <v>23</v>
      </c>
    </row>
    <row r="22777" spans="1:2" ht="12.75" customHeight="1" x14ac:dyDescent="0.25">
      <c r="A22777" s="318">
        <v>97765587415</v>
      </c>
      <c r="B22777" s="318" t="s">
        <v>23</v>
      </c>
    </row>
    <row r="22778" spans="1:2" ht="12.75" customHeight="1" x14ac:dyDescent="0.25">
      <c r="A22778" s="318">
        <v>97765587416</v>
      </c>
      <c r="B22778" s="318" t="s">
        <v>23</v>
      </c>
    </row>
    <row r="22779" spans="1:2" ht="12.75" customHeight="1" x14ac:dyDescent="0.25">
      <c r="A22779" s="318">
        <v>97765587417</v>
      </c>
      <c r="B22779" s="318" t="s">
        <v>23</v>
      </c>
    </row>
    <row r="22780" spans="1:2" ht="12.75" customHeight="1" x14ac:dyDescent="0.25">
      <c r="A22780" s="318">
        <v>97765587418</v>
      </c>
      <c r="B22780" s="318" t="s">
        <v>237</v>
      </c>
    </row>
    <row r="22781" spans="1:2" ht="12.75" customHeight="1" x14ac:dyDescent="0.25">
      <c r="A22781" s="318">
        <v>97765587419</v>
      </c>
      <c r="B22781" s="318" t="s">
        <v>237</v>
      </c>
    </row>
    <row r="22782" spans="1:2" ht="12.75" customHeight="1" x14ac:dyDescent="0.25">
      <c r="A22782" s="318">
        <v>97765587421</v>
      </c>
      <c r="B22782" s="318" t="s">
        <v>237</v>
      </c>
    </row>
    <row r="22783" spans="1:2" ht="12.75" customHeight="1" x14ac:dyDescent="0.25">
      <c r="A22783" s="318">
        <v>97765587422</v>
      </c>
      <c r="B22783" s="318" t="s">
        <v>237</v>
      </c>
    </row>
    <row r="22784" spans="1:2" ht="12.75" customHeight="1" x14ac:dyDescent="0.25">
      <c r="A22784" s="318">
        <v>97765587423</v>
      </c>
      <c r="B22784" s="318" t="s">
        <v>237</v>
      </c>
    </row>
    <row r="22785" spans="1:2" ht="12.75" customHeight="1" x14ac:dyDescent="0.25">
      <c r="A22785" s="318">
        <v>97765587424</v>
      </c>
      <c r="B22785" s="318" t="s">
        <v>237</v>
      </c>
    </row>
    <row r="22786" spans="1:2" ht="12.75" customHeight="1" x14ac:dyDescent="0.25">
      <c r="A22786" s="318">
        <v>97765587425</v>
      </c>
      <c r="B22786" s="318" t="s">
        <v>237</v>
      </c>
    </row>
    <row r="22787" spans="1:2" ht="12.75" customHeight="1" x14ac:dyDescent="0.25">
      <c r="A22787" s="318">
        <v>97765587426</v>
      </c>
      <c r="B22787" s="318" t="s">
        <v>237</v>
      </c>
    </row>
    <row r="22788" spans="1:2" ht="12.75" customHeight="1" x14ac:dyDescent="0.25">
      <c r="A22788" s="318">
        <v>97765587427</v>
      </c>
      <c r="B22788" s="318" t="s">
        <v>237</v>
      </c>
    </row>
    <row r="22789" spans="1:2" ht="12.75" customHeight="1" x14ac:dyDescent="0.25">
      <c r="A22789" s="318">
        <v>97765587428</v>
      </c>
      <c r="B22789" s="318" t="s">
        <v>237</v>
      </c>
    </row>
    <row r="22790" spans="1:2" ht="12.75" customHeight="1" x14ac:dyDescent="0.25">
      <c r="A22790" s="318">
        <v>97766068285</v>
      </c>
      <c r="B22790" s="318" t="s">
        <v>23</v>
      </c>
    </row>
    <row r="22791" spans="1:2" ht="12.75" customHeight="1" x14ac:dyDescent="0.25">
      <c r="A22791" s="318">
        <v>97766068286</v>
      </c>
      <c r="B22791" s="318" t="s">
        <v>23</v>
      </c>
    </row>
    <row r="22792" spans="1:2" ht="12.75" customHeight="1" x14ac:dyDescent="0.25">
      <c r="A22792" s="318">
        <v>97766068287</v>
      </c>
      <c r="B22792" s="318" t="s">
        <v>23</v>
      </c>
    </row>
    <row r="22793" spans="1:2" ht="12.75" customHeight="1" x14ac:dyDescent="0.25">
      <c r="A22793" s="318">
        <v>97766068288</v>
      </c>
      <c r="B22793" s="318" t="s">
        <v>23</v>
      </c>
    </row>
    <row r="22794" spans="1:2" ht="12.75" customHeight="1" x14ac:dyDescent="0.25">
      <c r="A22794" s="318">
        <v>97766068289</v>
      </c>
      <c r="B22794" s="318" t="s">
        <v>23</v>
      </c>
    </row>
    <row r="22795" spans="1:2" ht="12.75" customHeight="1" x14ac:dyDescent="0.25">
      <c r="A22795" s="318">
        <v>97766068290</v>
      </c>
      <c r="B22795" s="318" t="s">
        <v>23</v>
      </c>
    </row>
    <row r="22796" spans="1:2" ht="12.75" customHeight="1" x14ac:dyDescent="0.25">
      <c r="A22796" s="318">
        <v>97766068291</v>
      </c>
      <c r="B22796" s="318" t="s">
        <v>237</v>
      </c>
    </row>
    <row r="22797" spans="1:2" ht="12.75" customHeight="1" x14ac:dyDescent="0.25">
      <c r="A22797" s="318">
        <v>97766068292</v>
      </c>
      <c r="B22797" s="318" t="s">
        <v>237</v>
      </c>
    </row>
    <row r="22798" spans="1:2" ht="12.75" customHeight="1" x14ac:dyDescent="0.25">
      <c r="A22798" s="318">
        <v>97766068294</v>
      </c>
      <c r="B22798" s="318" t="s">
        <v>237</v>
      </c>
    </row>
    <row r="22799" spans="1:2" ht="12.75" customHeight="1" x14ac:dyDescent="0.25">
      <c r="A22799" s="318">
        <v>97766068295</v>
      </c>
      <c r="B22799" s="318" t="s">
        <v>237</v>
      </c>
    </row>
    <row r="22800" spans="1:2" ht="12.75" customHeight="1" x14ac:dyDescent="0.25">
      <c r="A22800" s="318">
        <v>97766068296</v>
      </c>
      <c r="B22800" s="318" t="s">
        <v>237</v>
      </c>
    </row>
    <row r="22801" spans="1:2" ht="12.75" customHeight="1" x14ac:dyDescent="0.25">
      <c r="A22801" s="318">
        <v>97766068297</v>
      </c>
      <c r="B22801" s="318" t="s">
        <v>237</v>
      </c>
    </row>
    <row r="22802" spans="1:2" ht="12.75" customHeight="1" x14ac:dyDescent="0.25">
      <c r="A22802" s="318">
        <v>97766068298</v>
      </c>
      <c r="B22802" s="318" t="s">
        <v>237</v>
      </c>
    </row>
    <row r="22803" spans="1:2" ht="12.75" customHeight="1" x14ac:dyDescent="0.25">
      <c r="A22803" s="318">
        <v>97766068299</v>
      </c>
      <c r="B22803" s="318" t="s">
        <v>237</v>
      </c>
    </row>
    <row r="22804" spans="1:2" ht="12.75" customHeight="1" x14ac:dyDescent="0.25">
      <c r="A22804" s="318">
        <v>97766068300</v>
      </c>
      <c r="B22804" s="318" t="s">
        <v>237</v>
      </c>
    </row>
    <row r="22805" spans="1:2" ht="12.75" customHeight="1" x14ac:dyDescent="0.25">
      <c r="A22805" s="318">
        <v>97766068301</v>
      </c>
      <c r="B22805" s="318" t="s">
        <v>237</v>
      </c>
    </row>
    <row r="22806" spans="1:2" ht="12.75" customHeight="1" x14ac:dyDescent="0.25">
      <c r="A22806" s="318">
        <v>97766068385</v>
      </c>
      <c r="B22806" s="318" t="s">
        <v>23</v>
      </c>
    </row>
    <row r="22807" spans="1:2" ht="12.75" customHeight="1" x14ac:dyDescent="0.25">
      <c r="A22807" s="318">
        <v>97766068386</v>
      </c>
      <c r="B22807" s="318" t="s">
        <v>23</v>
      </c>
    </row>
    <row r="22808" spans="1:2" ht="12.75" customHeight="1" x14ac:dyDescent="0.25">
      <c r="A22808" s="318">
        <v>97766068387</v>
      </c>
      <c r="B22808" s="318" t="s">
        <v>23</v>
      </c>
    </row>
    <row r="22809" spans="1:2" ht="12.75" customHeight="1" x14ac:dyDescent="0.25">
      <c r="A22809" s="318">
        <v>97766068388</v>
      </c>
      <c r="B22809" s="318" t="s">
        <v>23</v>
      </c>
    </row>
    <row r="22810" spans="1:2" ht="12.75" customHeight="1" x14ac:dyDescent="0.25">
      <c r="A22810" s="318">
        <v>97766068389</v>
      </c>
      <c r="B22810" s="318" t="s">
        <v>23</v>
      </c>
    </row>
    <row r="22811" spans="1:2" ht="12.75" customHeight="1" x14ac:dyDescent="0.25">
      <c r="A22811" s="318">
        <v>97766068390</v>
      </c>
      <c r="B22811" s="318" t="s">
        <v>23</v>
      </c>
    </row>
    <row r="22812" spans="1:2" ht="12.75" customHeight="1" x14ac:dyDescent="0.25">
      <c r="A22812" s="318">
        <v>97766068391</v>
      </c>
      <c r="B22812" s="318" t="s">
        <v>237</v>
      </c>
    </row>
    <row r="22813" spans="1:2" ht="12.75" customHeight="1" x14ac:dyDescent="0.25">
      <c r="A22813" s="318">
        <v>97766068392</v>
      </c>
      <c r="B22813" s="318" t="s">
        <v>237</v>
      </c>
    </row>
    <row r="22814" spans="1:2" ht="12.75" customHeight="1" x14ac:dyDescent="0.25">
      <c r="A22814" s="318">
        <v>97766068394</v>
      </c>
      <c r="B22814" s="318" t="s">
        <v>237</v>
      </c>
    </row>
    <row r="22815" spans="1:2" ht="12.75" customHeight="1" x14ac:dyDescent="0.25">
      <c r="A22815" s="318">
        <v>97766068395</v>
      </c>
      <c r="B22815" s="318" t="s">
        <v>237</v>
      </c>
    </row>
    <row r="22816" spans="1:2" ht="12.75" customHeight="1" x14ac:dyDescent="0.25">
      <c r="A22816" s="318">
        <v>97766068396</v>
      </c>
      <c r="B22816" s="318" t="s">
        <v>237</v>
      </c>
    </row>
    <row r="22817" spans="1:2" ht="12.75" customHeight="1" x14ac:dyDescent="0.25">
      <c r="A22817" s="318">
        <v>97766068397</v>
      </c>
      <c r="B22817" s="318" t="s">
        <v>237</v>
      </c>
    </row>
    <row r="22818" spans="1:2" ht="12.75" customHeight="1" x14ac:dyDescent="0.25">
      <c r="A22818" s="318">
        <v>97766068398</v>
      </c>
      <c r="B22818" s="318" t="s">
        <v>237</v>
      </c>
    </row>
    <row r="22819" spans="1:2" ht="12.75" customHeight="1" x14ac:dyDescent="0.25">
      <c r="A22819" s="318">
        <v>97766068399</v>
      </c>
      <c r="B22819" s="318" t="s">
        <v>237</v>
      </c>
    </row>
    <row r="22820" spans="1:2" ht="12.75" customHeight="1" x14ac:dyDescent="0.25">
      <c r="A22820" s="318">
        <v>97766068400</v>
      </c>
      <c r="B22820" s="318" t="s">
        <v>237</v>
      </c>
    </row>
    <row r="22821" spans="1:2" ht="12.75" customHeight="1" x14ac:dyDescent="0.25">
      <c r="A22821" s="318">
        <v>97766068401</v>
      </c>
      <c r="B22821" s="318" t="s">
        <v>237</v>
      </c>
    </row>
    <row r="22822" spans="1:2" ht="12.75" customHeight="1" x14ac:dyDescent="0.25">
      <c r="A22822" s="318">
        <v>97766748476</v>
      </c>
      <c r="B22822" s="318" t="s">
        <v>23</v>
      </c>
    </row>
    <row r="22823" spans="1:2" ht="12.75" customHeight="1" x14ac:dyDescent="0.25">
      <c r="A22823" s="318">
        <v>97766748477</v>
      </c>
      <c r="B22823" s="318" t="s">
        <v>23</v>
      </c>
    </row>
    <row r="22824" spans="1:2" ht="12.75" customHeight="1" x14ac:dyDescent="0.25">
      <c r="A22824" s="318">
        <v>97766748478</v>
      </c>
      <c r="B22824" s="318" t="s">
        <v>23</v>
      </c>
    </row>
    <row r="22825" spans="1:2" ht="12.75" customHeight="1" x14ac:dyDescent="0.25">
      <c r="A22825" s="318">
        <v>97766748479</v>
      </c>
      <c r="B22825" s="318" t="s">
        <v>23</v>
      </c>
    </row>
    <row r="22826" spans="1:2" ht="12.75" customHeight="1" x14ac:dyDescent="0.25">
      <c r="A22826" s="318">
        <v>97766748480</v>
      </c>
      <c r="B22826" s="318" t="s">
        <v>23</v>
      </c>
    </row>
    <row r="22827" spans="1:2" ht="12.75" customHeight="1" x14ac:dyDescent="0.25">
      <c r="A22827" s="318">
        <v>97766748481</v>
      </c>
      <c r="B22827" s="318" t="s">
        <v>23</v>
      </c>
    </row>
    <row r="22828" spans="1:2" ht="12.75" customHeight="1" x14ac:dyDescent="0.25">
      <c r="A22828" s="318">
        <v>97766748482</v>
      </c>
      <c r="B22828" s="318" t="s">
        <v>237</v>
      </c>
    </row>
    <row r="22829" spans="1:2" ht="12.75" customHeight="1" x14ac:dyDescent="0.25">
      <c r="A22829" s="318">
        <v>97766748483</v>
      </c>
      <c r="B22829" s="318" t="s">
        <v>237</v>
      </c>
    </row>
    <row r="22830" spans="1:2" ht="12.75" customHeight="1" x14ac:dyDescent="0.25">
      <c r="A22830" s="318">
        <v>97766748485</v>
      </c>
      <c r="B22830" s="318" t="s">
        <v>237</v>
      </c>
    </row>
    <row r="22831" spans="1:2" ht="12.75" customHeight="1" x14ac:dyDescent="0.25">
      <c r="A22831" s="318">
        <v>97766748486</v>
      </c>
      <c r="B22831" s="318" t="s">
        <v>237</v>
      </c>
    </row>
    <row r="22832" spans="1:2" ht="12.75" customHeight="1" x14ac:dyDescent="0.25">
      <c r="A22832" s="318">
        <v>97766748487</v>
      </c>
      <c r="B22832" s="318" t="s">
        <v>237</v>
      </c>
    </row>
    <row r="22833" spans="1:2" ht="12.75" customHeight="1" x14ac:dyDescent="0.25">
      <c r="A22833" s="318">
        <v>97766748488</v>
      </c>
      <c r="B22833" s="318" t="s">
        <v>237</v>
      </c>
    </row>
    <row r="22834" spans="1:2" ht="12.75" customHeight="1" x14ac:dyDescent="0.25">
      <c r="A22834" s="318">
        <v>97766748489</v>
      </c>
      <c r="B22834" s="318" t="s">
        <v>237</v>
      </c>
    </row>
    <row r="22835" spans="1:2" ht="12.75" customHeight="1" x14ac:dyDescent="0.25">
      <c r="A22835" s="318">
        <v>97766748490</v>
      </c>
      <c r="B22835" s="318" t="s">
        <v>237</v>
      </c>
    </row>
    <row r="22836" spans="1:2" ht="12.75" customHeight="1" x14ac:dyDescent="0.25">
      <c r="A22836" s="318">
        <v>97766748491</v>
      </c>
      <c r="B22836" s="318" t="s">
        <v>237</v>
      </c>
    </row>
    <row r="22837" spans="1:2" ht="12.75" customHeight="1" x14ac:dyDescent="0.25">
      <c r="A22837" s="318">
        <v>97766748492</v>
      </c>
      <c r="B22837" s="318" t="s">
        <v>237</v>
      </c>
    </row>
    <row r="22838" spans="1:2" ht="12.75" customHeight="1" x14ac:dyDescent="0.25">
      <c r="A22838" s="318">
        <v>97766748576</v>
      </c>
      <c r="B22838" s="318" t="s">
        <v>23</v>
      </c>
    </row>
    <row r="22839" spans="1:2" ht="12.75" customHeight="1" x14ac:dyDescent="0.25">
      <c r="A22839" s="318">
        <v>97766748577</v>
      </c>
      <c r="B22839" s="318" t="s">
        <v>23</v>
      </c>
    </row>
    <row r="22840" spans="1:2" ht="12.75" customHeight="1" x14ac:dyDescent="0.25">
      <c r="A22840" s="318">
        <v>97766748578</v>
      </c>
      <c r="B22840" s="318" t="s">
        <v>23</v>
      </c>
    </row>
    <row r="22841" spans="1:2" ht="12.75" customHeight="1" x14ac:dyDescent="0.25">
      <c r="A22841" s="318">
        <v>97766748579</v>
      </c>
      <c r="B22841" s="318" t="s">
        <v>23</v>
      </c>
    </row>
    <row r="22842" spans="1:2" ht="12.75" customHeight="1" x14ac:dyDescent="0.25">
      <c r="A22842" s="318">
        <v>97766748580</v>
      </c>
      <c r="B22842" s="318" t="s">
        <v>23</v>
      </c>
    </row>
    <row r="22843" spans="1:2" ht="12.75" customHeight="1" x14ac:dyDescent="0.25">
      <c r="A22843" s="318">
        <v>97766748581</v>
      </c>
      <c r="B22843" s="318" t="s">
        <v>23</v>
      </c>
    </row>
    <row r="22844" spans="1:2" ht="12.75" customHeight="1" x14ac:dyDescent="0.25">
      <c r="A22844" s="318">
        <v>97766748582</v>
      </c>
      <c r="B22844" s="318" t="s">
        <v>237</v>
      </c>
    </row>
    <row r="22845" spans="1:2" ht="12.75" customHeight="1" x14ac:dyDescent="0.25">
      <c r="A22845" s="318">
        <v>97766748583</v>
      </c>
      <c r="B22845" s="318" t="s">
        <v>237</v>
      </c>
    </row>
    <row r="22846" spans="1:2" ht="12.75" customHeight="1" x14ac:dyDescent="0.25">
      <c r="A22846" s="318">
        <v>97766748585</v>
      </c>
      <c r="B22846" s="318" t="s">
        <v>237</v>
      </c>
    </row>
    <row r="22847" spans="1:2" ht="12.75" customHeight="1" x14ac:dyDescent="0.25">
      <c r="A22847" s="318">
        <v>97766748586</v>
      </c>
      <c r="B22847" s="318" t="s">
        <v>237</v>
      </c>
    </row>
    <row r="22848" spans="1:2" ht="12.75" customHeight="1" x14ac:dyDescent="0.25">
      <c r="A22848" s="318">
        <v>97766748587</v>
      </c>
      <c r="B22848" s="318" t="s">
        <v>237</v>
      </c>
    </row>
    <row r="22849" spans="1:2" ht="12.75" customHeight="1" x14ac:dyDescent="0.25">
      <c r="A22849" s="318">
        <v>97766748588</v>
      </c>
      <c r="B22849" s="318" t="s">
        <v>237</v>
      </c>
    </row>
    <row r="22850" spans="1:2" ht="12.75" customHeight="1" x14ac:dyDescent="0.25">
      <c r="A22850" s="318">
        <v>97766748589</v>
      </c>
      <c r="B22850" s="318" t="s">
        <v>237</v>
      </c>
    </row>
    <row r="22851" spans="1:2" ht="12.75" customHeight="1" x14ac:dyDescent="0.25">
      <c r="A22851" s="318">
        <v>97766748590</v>
      </c>
      <c r="B22851" s="318" t="s">
        <v>237</v>
      </c>
    </row>
    <row r="22852" spans="1:2" ht="12.75" customHeight="1" x14ac:dyDescent="0.25">
      <c r="A22852" s="318">
        <v>97766748591</v>
      </c>
      <c r="B22852" s="318" t="s">
        <v>237</v>
      </c>
    </row>
    <row r="22853" spans="1:2" ht="12.75" customHeight="1" x14ac:dyDescent="0.25">
      <c r="A22853" s="318">
        <v>97766748592</v>
      </c>
      <c r="B22853" s="318" t="s">
        <v>237</v>
      </c>
    </row>
    <row r="22854" spans="1:2" ht="12.75" customHeight="1" x14ac:dyDescent="0.25">
      <c r="A22854" s="318">
        <v>97767229449</v>
      </c>
      <c r="B22854" s="318" t="s">
        <v>23</v>
      </c>
    </row>
    <row r="22855" spans="1:2" ht="12.75" customHeight="1" x14ac:dyDescent="0.25">
      <c r="A22855" s="318">
        <v>97767229450</v>
      </c>
      <c r="B22855" s="318" t="s">
        <v>23</v>
      </c>
    </row>
    <row r="22856" spans="1:2" ht="12.75" customHeight="1" x14ac:dyDescent="0.25">
      <c r="A22856" s="318">
        <v>97767229451</v>
      </c>
      <c r="B22856" s="318" t="s">
        <v>23</v>
      </c>
    </row>
    <row r="22857" spans="1:2" ht="12.75" customHeight="1" x14ac:dyDescent="0.25">
      <c r="A22857" s="318">
        <v>97767229452</v>
      </c>
      <c r="B22857" s="318" t="s">
        <v>23</v>
      </c>
    </row>
    <row r="22858" spans="1:2" ht="12.75" customHeight="1" x14ac:dyDescent="0.25">
      <c r="A22858" s="318">
        <v>97767229453</v>
      </c>
      <c r="B22858" s="318" t="s">
        <v>23</v>
      </c>
    </row>
    <row r="22859" spans="1:2" ht="12.75" customHeight="1" x14ac:dyDescent="0.25">
      <c r="A22859" s="318">
        <v>97767229454</v>
      </c>
      <c r="B22859" s="318" t="s">
        <v>23</v>
      </c>
    </row>
    <row r="22860" spans="1:2" ht="12.75" customHeight="1" x14ac:dyDescent="0.25">
      <c r="A22860" s="318">
        <v>97767229455</v>
      </c>
      <c r="B22860" s="318" t="s">
        <v>237</v>
      </c>
    </row>
    <row r="22861" spans="1:2" ht="12.75" customHeight="1" x14ac:dyDescent="0.25">
      <c r="A22861" s="318">
        <v>97767229456</v>
      </c>
      <c r="B22861" s="318" t="s">
        <v>237</v>
      </c>
    </row>
    <row r="22862" spans="1:2" ht="12.75" customHeight="1" x14ac:dyDescent="0.25">
      <c r="A22862" s="318">
        <v>97767229458</v>
      </c>
      <c r="B22862" s="318" t="s">
        <v>237</v>
      </c>
    </row>
    <row r="22863" spans="1:2" ht="12.75" customHeight="1" x14ac:dyDescent="0.25">
      <c r="A22863" s="318">
        <v>97767229459</v>
      </c>
      <c r="B22863" s="318" t="s">
        <v>237</v>
      </c>
    </row>
    <row r="22864" spans="1:2" ht="12.75" customHeight="1" x14ac:dyDescent="0.25">
      <c r="A22864" s="318">
        <v>97767229460</v>
      </c>
      <c r="B22864" s="318" t="s">
        <v>237</v>
      </c>
    </row>
    <row r="22865" spans="1:2" ht="12.75" customHeight="1" x14ac:dyDescent="0.25">
      <c r="A22865" s="318">
        <v>97767229461</v>
      </c>
      <c r="B22865" s="318" t="s">
        <v>237</v>
      </c>
    </row>
    <row r="22866" spans="1:2" ht="12.75" customHeight="1" x14ac:dyDescent="0.25">
      <c r="A22866" s="318">
        <v>97767229462</v>
      </c>
      <c r="B22866" s="318" t="s">
        <v>237</v>
      </c>
    </row>
    <row r="22867" spans="1:2" ht="12.75" customHeight="1" x14ac:dyDescent="0.25">
      <c r="A22867" s="318">
        <v>97767229463</v>
      </c>
      <c r="B22867" s="318" t="s">
        <v>237</v>
      </c>
    </row>
    <row r="22868" spans="1:2" ht="12.75" customHeight="1" x14ac:dyDescent="0.25">
      <c r="A22868" s="318">
        <v>97767229464</v>
      </c>
      <c r="B22868" s="318" t="s">
        <v>237</v>
      </c>
    </row>
    <row r="22869" spans="1:2" ht="12.75" customHeight="1" x14ac:dyDescent="0.25">
      <c r="A22869" s="318">
        <v>97767229465</v>
      </c>
      <c r="B22869" s="318" t="s">
        <v>237</v>
      </c>
    </row>
    <row r="22870" spans="1:2" ht="12.75" customHeight="1" x14ac:dyDescent="0.25">
      <c r="A22870" s="318">
        <v>97767229549</v>
      </c>
      <c r="B22870" s="318" t="s">
        <v>23</v>
      </c>
    </row>
    <row r="22871" spans="1:2" ht="12.75" customHeight="1" x14ac:dyDescent="0.25">
      <c r="A22871" s="318">
        <v>97767229550</v>
      </c>
      <c r="B22871" s="318" t="s">
        <v>23</v>
      </c>
    </row>
    <row r="22872" spans="1:2" ht="12.75" customHeight="1" x14ac:dyDescent="0.25">
      <c r="A22872" s="318">
        <v>97767229551</v>
      </c>
      <c r="B22872" s="318" t="s">
        <v>23</v>
      </c>
    </row>
    <row r="22873" spans="1:2" ht="12.75" customHeight="1" x14ac:dyDescent="0.25">
      <c r="A22873" s="318">
        <v>97767229552</v>
      </c>
      <c r="B22873" s="318" t="s">
        <v>23</v>
      </c>
    </row>
    <row r="22874" spans="1:2" ht="12.75" customHeight="1" x14ac:dyDescent="0.25">
      <c r="A22874" s="318">
        <v>97767229553</v>
      </c>
      <c r="B22874" s="318" t="s">
        <v>23</v>
      </c>
    </row>
    <row r="22875" spans="1:2" ht="12.75" customHeight="1" x14ac:dyDescent="0.25">
      <c r="A22875" s="318">
        <v>97767229554</v>
      </c>
      <c r="B22875" s="318" t="s">
        <v>23</v>
      </c>
    </row>
    <row r="22876" spans="1:2" ht="12.75" customHeight="1" x14ac:dyDescent="0.25">
      <c r="A22876" s="318">
        <v>97767229555</v>
      </c>
      <c r="B22876" s="318" t="s">
        <v>237</v>
      </c>
    </row>
    <row r="22877" spans="1:2" ht="12.75" customHeight="1" x14ac:dyDescent="0.25">
      <c r="A22877" s="318">
        <v>97767229556</v>
      </c>
      <c r="B22877" s="318" t="s">
        <v>237</v>
      </c>
    </row>
    <row r="22878" spans="1:2" ht="12.75" customHeight="1" x14ac:dyDescent="0.25">
      <c r="A22878" s="318">
        <v>97767229558</v>
      </c>
      <c r="B22878" s="318" t="s">
        <v>237</v>
      </c>
    </row>
    <row r="22879" spans="1:2" ht="12.75" customHeight="1" x14ac:dyDescent="0.25">
      <c r="A22879" s="318">
        <v>97767229559</v>
      </c>
      <c r="B22879" s="318" t="s">
        <v>237</v>
      </c>
    </row>
    <row r="22880" spans="1:2" ht="12.75" customHeight="1" x14ac:dyDescent="0.25">
      <c r="A22880" s="318">
        <v>97767229560</v>
      </c>
      <c r="B22880" s="318" t="s">
        <v>237</v>
      </c>
    </row>
    <row r="22881" spans="1:2" ht="12.75" customHeight="1" x14ac:dyDescent="0.25">
      <c r="A22881" s="318">
        <v>97767229561</v>
      </c>
      <c r="B22881" s="318" t="s">
        <v>237</v>
      </c>
    </row>
    <row r="22882" spans="1:2" ht="12.75" customHeight="1" x14ac:dyDescent="0.25">
      <c r="A22882" s="318">
        <v>97767229562</v>
      </c>
      <c r="B22882" s="318" t="s">
        <v>237</v>
      </c>
    </row>
    <row r="22883" spans="1:2" ht="12.75" customHeight="1" x14ac:dyDescent="0.25">
      <c r="A22883" s="318">
        <v>97767229563</v>
      </c>
      <c r="B22883" s="318" t="s">
        <v>237</v>
      </c>
    </row>
    <row r="22884" spans="1:2" ht="12.75" customHeight="1" x14ac:dyDescent="0.25">
      <c r="A22884" s="318">
        <v>97767229564</v>
      </c>
      <c r="B22884" s="318" t="s">
        <v>237</v>
      </c>
    </row>
    <row r="22885" spans="1:2" ht="12.75" customHeight="1" x14ac:dyDescent="0.25">
      <c r="A22885" s="318">
        <v>97767229565</v>
      </c>
      <c r="B22885" s="318" t="s">
        <v>237</v>
      </c>
    </row>
    <row r="22886" spans="1:2" ht="12.75" customHeight="1" x14ac:dyDescent="0.25">
      <c r="A22886" s="318">
        <v>97767710422</v>
      </c>
      <c r="B22886" s="318" t="s">
        <v>23</v>
      </c>
    </row>
    <row r="22887" spans="1:2" ht="12.75" customHeight="1" x14ac:dyDescent="0.25">
      <c r="A22887" s="318">
        <v>97767710423</v>
      </c>
      <c r="B22887" s="318" t="s">
        <v>23</v>
      </c>
    </row>
    <row r="22888" spans="1:2" ht="12.75" customHeight="1" x14ac:dyDescent="0.25">
      <c r="A22888" s="318">
        <v>97767710424</v>
      </c>
      <c r="B22888" s="318" t="s">
        <v>23</v>
      </c>
    </row>
    <row r="22889" spans="1:2" ht="12.75" customHeight="1" x14ac:dyDescent="0.25">
      <c r="A22889" s="318">
        <v>97767710425</v>
      </c>
      <c r="B22889" s="318" t="s">
        <v>23</v>
      </c>
    </row>
    <row r="22890" spans="1:2" ht="12.75" customHeight="1" x14ac:dyDescent="0.25">
      <c r="A22890" s="318">
        <v>97767710426</v>
      </c>
      <c r="B22890" s="318" t="s">
        <v>23</v>
      </c>
    </row>
    <row r="22891" spans="1:2" ht="12.75" customHeight="1" x14ac:dyDescent="0.25">
      <c r="A22891" s="318">
        <v>97767710427</v>
      </c>
      <c r="B22891" s="318" t="s">
        <v>23</v>
      </c>
    </row>
    <row r="22892" spans="1:2" ht="12.75" customHeight="1" x14ac:dyDescent="0.25">
      <c r="A22892" s="318">
        <v>97767710428</v>
      </c>
      <c r="B22892" s="318" t="s">
        <v>237</v>
      </c>
    </row>
    <row r="22893" spans="1:2" ht="12.75" customHeight="1" x14ac:dyDescent="0.25">
      <c r="A22893" s="318">
        <v>97767710429</v>
      </c>
      <c r="B22893" s="318" t="s">
        <v>237</v>
      </c>
    </row>
    <row r="22894" spans="1:2" ht="12.75" customHeight="1" x14ac:dyDescent="0.25">
      <c r="A22894" s="318">
        <v>97767710431</v>
      </c>
      <c r="B22894" s="318" t="s">
        <v>237</v>
      </c>
    </row>
    <row r="22895" spans="1:2" ht="12.75" customHeight="1" x14ac:dyDescent="0.25">
      <c r="A22895" s="318">
        <v>97767710432</v>
      </c>
      <c r="B22895" s="318" t="s">
        <v>237</v>
      </c>
    </row>
    <row r="22896" spans="1:2" ht="12.75" customHeight="1" x14ac:dyDescent="0.25">
      <c r="A22896" s="318">
        <v>97767710433</v>
      </c>
      <c r="B22896" s="318" t="s">
        <v>237</v>
      </c>
    </row>
    <row r="22897" spans="1:2" ht="12.75" customHeight="1" x14ac:dyDescent="0.25">
      <c r="A22897" s="318">
        <v>97767710434</v>
      </c>
      <c r="B22897" s="318" t="s">
        <v>237</v>
      </c>
    </row>
    <row r="22898" spans="1:2" ht="12.75" customHeight="1" x14ac:dyDescent="0.25">
      <c r="A22898" s="318">
        <v>97767710435</v>
      </c>
      <c r="B22898" s="318" t="s">
        <v>237</v>
      </c>
    </row>
    <row r="22899" spans="1:2" ht="12.75" customHeight="1" x14ac:dyDescent="0.25">
      <c r="A22899" s="318">
        <v>97767710436</v>
      </c>
      <c r="B22899" s="318" t="s">
        <v>237</v>
      </c>
    </row>
    <row r="22900" spans="1:2" ht="12.75" customHeight="1" x14ac:dyDescent="0.25">
      <c r="A22900" s="318">
        <v>97767710437</v>
      </c>
      <c r="B22900" s="318" t="s">
        <v>237</v>
      </c>
    </row>
    <row r="22901" spans="1:2" ht="12.75" customHeight="1" x14ac:dyDescent="0.25">
      <c r="A22901" s="318">
        <v>97767710438</v>
      </c>
      <c r="B22901" s="318" t="s">
        <v>237</v>
      </c>
    </row>
    <row r="22902" spans="1:2" ht="12.75" customHeight="1" x14ac:dyDescent="0.25">
      <c r="A22902" s="318">
        <v>97767710522</v>
      </c>
      <c r="B22902" s="318" t="s">
        <v>23</v>
      </c>
    </row>
    <row r="22903" spans="1:2" ht="12.75" customHeight="1" x14ac:dyDescent="0.25">
      <c r="A22903" s="318">
        <v>97767710523</v>
      </c>
      <c r="B22903" s="318" t="s">
        <v>23</v>
      </c>
    </row>
    <row r="22904" spans="1:2" ht="12.75" customHeight="1" x14ac:dyDescent="0.25">
      <c r="A22904" s="318">
        <v>97767710524</v>
      </c>
      <c r="B22904" s="318" t="s">
        <v>23</v>
      </c>
    </row>
    <row r="22905" spans="1:2" ht="12.75" customHeight="1" x14ac:dyDescent="0.25">
      <c r="A22905" s="318">
        <v>97767710525</v>
      </c>
      <c r="B22905" s="318" t="s">
        <v>23</v>
      </c>
    </row>
    <row r="22906" spans="1:2" ht="12.75" customHeight="1" x14ac:dyDescent="0.25">
      <c r="A22906" s="318">
        <v>97767710526</v>
      </c>
      <c r="B22906" s="318" t="s">
        <v>23</v>
      </c>
    </row>
    <row r="22907" spans="1:2" ht="12.75" customHeight="1" x14ac:dyDescent="0.25">
      <c r="A22907" s="318">
        <v>97767710527</v>
      </c>
      <c r="B22907" s="318" t="s">
        <v>23</v>
      </c>
    </row>
    <row r="22908" spans="1:2" ht="12.75" customHeight="1" x14ac:dyDescent="0.25">
      <c r="A22908" s="318">
        <v>97767710528</v>
      </c>
      <c r="B22908" s="318" t="s">
        <v>237</v>
      </c>
    </row>
    <row r="22909" spans="1:2" ht="12.75" customHeight="1" x14ac:dyDescent="0.25">
      <c r="A22909" s="318">
        <v>97767710529</v>
      </c>
      <c r="B22909" s="318" t="s">
        <v>237</v>
      </c>
    </row>
    <row r="22910" spans="1:2" ht="12.75" customHeight="1" x14ac:dyDescent="0.25">
      <c r="A22910" s="318">
        <v>97767710531</v>
      </c>
      <c r="B22910" s="318" t="s">
        <v>237</v>
      </c>
    </row>
    <row r="22911" spans="1:2" ht="12.75" customHeight="1" x14ac:dyDescent="0.25">
      <c r="A22911" s="318">
        <v>97767710532</v>
      </c>
      <c r="B22911" s="318" t="s">
        <v>237</v>
      </c>
    </row>
    <row r="22912" spans="1:2" ht="12.75" customHeight="1" x14ac:dyDescent="0.25">
      <c r="A22912" s="318">
        <v>97767710533</v>
      </c>
      <c r="B22912" s="318" t="s">
        <v>237</v>
      </c>
    </row>
    <row r="22913" spans="1:2" ht="12.75" customHeight="1" x14ac:dyDescent="0.25">
      <c r="A22913" s="318">
        <v>97767710534</v>
      </c>
      <c r="B22913" s="318" t="s">
        <v>237</v>
      </c>
    </row>
    <row r="22914" spans="1:2" ht="12.75" customHeight="1" x14ac:dyDescent="0.25">
      <c r="A22914" s="318">
        <v>97767710535</v>
      </c>
      <c r="B22914" s="318" t="s">
        <v>237</v>
      </c>
    </row>
    <row r="22915" spans="1:2" ht="12.75" customHeight="1" x14ac:dyDescent="0.25">
      <c r="A22915" s="318">
        <v>97767710536</v>
      </c>
      <c r="B22915" s="318" t="s">
        <v>237</v>
      </c>
    </row>
    <row r="22916" spans="1:2" ht="12.75" customHeight="1" x14ac:dyDescent="0.25">
      <c r="A22916" s="318">
        <v>97767710537</v>
      </c>
      <c r="B22916" s="318" t="s">
        <v>237</v>
      </c>
    </row>
    <row r="22917" spans="1:2" ht="12.75" customHeight="1" x14ac:dyDescent="0.25">
      <c r="A22917" s="318">
        <v>97767710538</v>
      </c>
      <c r="B22917" s="318" t="s">
        <v>237</v>
      </c>
    </row>
    <row r="22918" spans="1:2" ht="12.75" customHeight="1" x14ac:dyDescent="0.25">
      <c r="A22918" s="318">
        <v>97817606313</v>
      </c>
      <c r="B22918" s="318" t="s">
        <v>236</v>
      </c>
    </row>
    <row r="22919" spans="1:2" ht="12.75" customHeight="1" x14ac:dyDescent="0.25">
      <c r="A22919" s="318">
        <v>97817606314</v>
      </c>
      <c r="B22919" s="318" t="s">
        <v>235</v>
      </c>
    </row>
    <row r="22920" spans="1:2" ht="12.75" customHeight="1" x14ac:dyDescent="0.25">
      <c r="A22920" s="318">
        <v>97817606315</v>
      </c>
      <c r="B22920" s="318" t="s">
        <v>236</v>
      </c>
    </row>
    <row r="22921" spans="1:2" ht="12.75" customHeight="1" x14ac:dyDescent="0.25">
      <c r="A22921" s="318">
        <v>97817606316</v>
      </c>
      <c r="B22921" s="318" t="s">
        <v>235</v>
      </c>
    </row>
    <row r="22922" spans="1:2" ht="12.75" customHeight="1" x14ac:dyDescent="0.25">
      <c r="A22922" s="318">
        <v>97817606317</v>
      </c>
      <c r="B22922" s="318" t="s">
        <v>236</v>
      </c>
    </row>
    <row r="22923" spans="1:2" ht="12.75" customHeight="1" x14ac:dyDescent="0.25">
      <c r="A22923" s="318">
        <v>97817606318</v>
      </c>
      <c r="B22923" s="318" t="s">
        <v>235</v>
      </c>
    </row>
    <row r="22924" spans="1:2" ht="12.75" customHeight="1" x14ac:dyDescent="0.25">
      <c r="A22924" s="318">
        <v>97817606319</v>
      </c>
      <c r="B22924" s="318" t="s">
        <v>23</v>
      </c>
    </row>
    <row r="22925" spans="1:2" ht="12.75" customHeight="1" x14ac:dyDescent="0.25">
      <c r="A22925" s="318">
        <v>97817606320</v>
      </c>
      <c r="B22925" s="318" t="s">
        <v>235</v>
      </c>
    </row>
    <row r="22926" spans="1:2" ht="12.75" customHeight="1" x14ac:dyDescent="0.25">
      <c r="A22926" s="318">
        <v>97817606322</v>
      </c>
      <c r="B22926" s="318" t="s">
        <v>237</v>
      </c>
    </row>
    <row r="22927" spans="1:2" ht="12.75" customHeight="1" x14ac:dyDescent="0.25">
      <c r="A22927" s="318">
        <v>97817606323</v>
      </c>
      <c r="B22927" s="318" t="s">
        <v>237</v>
      </c>
    </row>
    <row r="22928" spans="1:2" ht="12.75" customHeight="1" x14ac:dyDescent="0.25">
      <c r="A22928" s="318">
        <v>97817606324</v>
      </c>
      <c r="B22928" s="318" t="s">
        <v>237</v>
      </c>
    </row>
    <row r="22929" spans="1:2" ht="12.75" customHeight="1" x14ac:dyDescent="0.25">
      <c r="A22929" s="318">
        <v>97817606325</v>
      </c>
      <c r="B22929" s="318" t="s">
        <v>237</v>
      </c>
    </row>
    <row r="22930" spans="1:2" ht="12.75" customHeight="1" x14ac:dyDescent="0.25">
      <c r="A22930" s="318">
        <v>97817606326</v>
      </c>
      <c r="B22930" s="318" t="s">
        <v>237</v>
      </c>
    </row>
    <row r="22931" spans="1:2" ht="12.75" customHeight="1" x14ac:dyDescent="0.25">
      <c r="A22931" s="318">
        <v>97817606327</v>
      </c>
      <c r="B22931" s="318" t="s">
        <v>237</v>
      </c>
    </row>
    <row r="22932" spans="1:2" ht="12.75" customHeight="1" x14ac:dyDescent="0.25">
      <c r="A22932" s="318">
        <v>97817606328</v>
      </c>
      <c r="B22932" s="318" t="s">
        <v>237</v>
      </c>
    </row>
    <row r="22933" spans="1:2" ht="12.75" customHeight="1" x14ac:dyDescent="0.25">
      <c r="A22933" s="318">
        <v>97817606329</v>
      </c>
      <c r="B22933" s="318" t="s">
        <v>237</v>
      </c>
    </row>
    <row r="22934" spans="1:2" ht="12.75" customHeight="1" x14ac:dyDescent="0.25">
      <c r="A22934" s="318">
        <v>97817606413</v>
      </c>
      <c r="B22934" s="318" t="s">
        <v>236</v>
      </c>
    </row>
    <row r="22935" spans="1:2" ht="12.75" customHeight="1" x14ac:dyDescent="0.25">
      <c r="A22935" s="318">
        <v>97817606414</v>
      </c>
      <c r="B22935" s="318" t="s">
        <v>235</v>
      </c>
    </row>
    <row r="22936" spans="1:2" ht="12.75" customHeight="1" x14ac:dyDescent="0.25">
      <c r="A22936" s="318">
        <v>97817606415</v>
      </c>
      <c r="B22936" s="318" t="s">
        <v>236</v>
      </c>
    </row>
    <row r="22937" spans="1:2" ht="12.75" customHeight="1" x14ac:dyDescent="0.25">
      <c r="A22937" s="318">
        <v>97817606416</v>
      </c>
      <c r="B22937" s="318" t="s">
        <v>235</v>
      </c>
    </row>
    <row r="22938" spans="1:2" ht="12.75" customHeight="1" x14ac:dyDescent="0.25">
      <c r="A22938" s="318">
        <v>97817606417</v>
      </c>
      <c r="B22938" s="318" t="s">
        <v>236</v>
      </c>
    </row>
    <row r="22939" spans="1:2" ht="12.75" customHeight="1" x14ac:dyDescent="0.25">
      <c r="A22939" s="318">
        <v>97817606418</v>
      </c>
      <c r="B22939" s="318" t="s">
        <v>235</v>
      </c>
    </row>
    <row r="22940" spans="1:2" ht="12.75" customHeight="1" x14ac:dyDescent="0.25">
      <c r="A22940" s="318">
        <v>97817606419</v>
      </c>
      <c r="B22940" s="318" t="s">
        <v>23</v>
      </c>
    </row>
    <row r="22941" spans="1:2" ht="12.75" customHeight="1" x14ac:dyDescent="0.25">
      <c r="A22941" s="318">
        <v>97817606420</v>
      </c>
      <c r="B22941" s="318" t="s">
        <v>235</v>
      </c>
    </row>
    <row r="22942" spans="1:2" ht="12.75" customHeight="1" x14ac:dyDescent="0.25">
      <c r="A22942" s="318">
        <v>97817606422</v>
      </c>
      <c r="B22942" s="318" t="s">
        <v>237</v>
      </c>
    </row>
    <row r="22943" spans="1:2" ht="12.75" customHeight="1" x14ac:dyDescent="0.25">
      <c r="A22943" s="318">
        <v>97817606423</v>
      </c>
      <c r="B22943" s="318" t="s">
        <v>237</v>
      </c>
    </row>
    <row r="22944" spans="1:2" ht="12.75" customHeight="1" x14ac:dyDescent="0.25">
      <c r="A22944" s="318">
        <v>97817606424</v>
      </c>
      <c r="B22944" s="318" t="s">
        <v>237</v>
      </c>
    </row>
    <row r="22945" spans="1:2" ht="12.75" customHeight="1" x14ac:dyDescent="0.25">
      <c r="A22945" s="318">
        <v>97817606425</v>
      </c>
      <c r="B22945" s="318" t="s">
        <v>237</v>
      </c>
    </row>
    <row r="22946" spans="1:2" ht="12.75" customHeight="1" x14ac:dyDescent="0.25">
      <c r="A22946" s="318">
        <v>97817606426</v>
      </c>
      <c r="B22946" s="318" t="s">
        <v>237</v>
      </c>
    </row>
    <row r="22947" spans="1:2" ht="12.75" customHeight="1" x14ac:dyDescent="0.25">
      <c r="A22947" s="318">
        <v>97817606427</v>
      </c>
      <c r="B22947" s="318" t="s">
        <v>237</v>
      </c>
    </row>
    <row r="22948" spans="1:2" ht="12.75" customHeight="1" x14ac:dyDescent="0.25">
      <c r="A22948" s="318">
        <v>97817606428</v>
      </c>
      <c r="B22948" s="318" t="s">
        <v>237</v>
      </c>
    </row>
    <row r="22949" spans="1:2" ht="12.75" customHeight="1" x14ac:dyDescent="0.25">
      <c r="A22949" s="318">
        <v>97817606429</v>
      </c>
      <c r="B22949" s="318" t="s">
        <v>237</v>
      </c>
    </row>
    <row r="22950" spans="1:2" ht="12.75" customHeight="1" x14ac:dyDescent="0.25">
      <c r="A22950" s="318">
        <v>97818087286</v>
      </c>
      <c r="B22950" s="318" t="s">
        <v>236</v>
      </c>
    </row>
    <row r="22951" spans="1:2" ht="12.75" customHeight="1" x14ac:dyDescent="0.25">
      <c r="A22951" s="318">
        <v>97818087287</v>
      </c>
      <c r="B22951" s="318" t="s">
        <v>235</v>
      </c>
    </row>
    <row r="22952" spans="1:2" ht="12.75" customHeight="1" x14ac:dyDescent="0.25">
      <c r="A22952" s="318">
        <v>97818087288</v>
      </c>
      <c r="B22952" s="318" t="s">
        <v>236</v>
      </c>
    </row>
    <row r="22953" spans="1:2" ht="12.75" customHeight="1" x14ac:dyDescent="0.25">
      <c r="A22953" s="318">
        <v>97818087289</v>
      </c>
      <c r="B22953" s="318" t="s">
        <v>235</v>
      </c>
    </row>
    <row r="22954" spans="1:2" ht="12.75" customHeight="1" x14ac:dyDescent="0.25">
      <c r="A22954" s="318">
        <v>97818087290</v>
      </c>
      <c r="B22954" s="318" t="s">
        <v>236</v>
      </c>
    </row>
    <row r="22955" spans="1:2" ht="12.75" customHeight="1" x14ac:dyDescent="0.25">
      <c r="A22955" s="318">
        <v>97818087291</v>
      </c>
      <c r="B22955" s="318" t="s">
        <v>235</v>
      </c>
    </row>
    <row r="22956" spans="1:2" ht="12.75" customHeight="1" x14ac:dyDescent="0.25">
      <c r="A22956" s="318">
        <v>97818087292</v>
      </c>
      <c r="B22956" s="318" t="s">
        <v>23</v>
      </c>
    </row>
    <row r="22957" spans="1:2" ht="12.75" customHeight="1" x14ac:dyDescent="0.25">
      <c r="A22957" s="318">
        <v>97818087293</v>
      </c>
      <c r="B22957" s="318" t="s">
        <v>235</v>
      </c>
    </row>
    <row r="22958" spans="1:2" ht="12.75" customHeight="1" x14ac:dyDescent="0.25">
      <c r="A22958" s="318">
        <v>97818087295</v>
      </c>
      <c r="B22958" s="318" t="s">
        <v>237</v>
      </c>
    </row>
    <row r="22959" spans="1:2" ht="12.75" customHeight="1" x14ac:dyDescent="0.25">
      <c r="A22959" s="318">
        <v>97818087296</v>
      </c>
      <c r="B22959" s="318" t="s">
        <v>237</v>
      </c>
    </row>
    <row r="22960" spans="1:2" ht="12.75" customHeight="1" x14ac:dyDescent="0.25">
      <c r="A22960" s="318">
        <v>97818087297</v>
      </c>
      <c r="B22960" s="318" t="s">
        <v>237</v>
      </c>
    </row>
    <row r="22961" spans="1:2" ht="12.75" customHeight="1" x14ac:dyDescent="0.25">
      <c r="A22961" s="318">
        <v>97818087298</v>
      </c>
      <c r="B22961" s="318" t="s">
        <v>237</v>
      </c>
    </row>
    <row r="22962" spans="1:2" ht="12.75" customHeight="1" x14ac:dyDescent="0.25">
      <c r="A22962" s="318">
        <v>97818087299</v>
      </c>
      <c r="B22962" s="318" t="s">
        <v>237</v>
      </c>
    </row>
    <row r="22963" spans="1:2" ht="12.75" customHeight="1" x14ac:dyDescent="0.25">
      <c r="A22963" s="318">
        <v>97818087300</v>
      </c>
      <c r="B22963" s="318" t="s">
        <v>237</v>
      </c>
    </row>
    <row r="22964" spans="1:2" ht="12.75" customHeight="1" x14ac:dyDescent="0.25">
      <c r="A22964" s="318">
        <v>97818087301</v>
      </c>
      <c r="B22964" s="318" t="s">
        <v>237</v>
      </c>
    </row>
    <row r="22965" spans="1:2" ht="12.75" customHeight="1" x14ac:dyDescent="0.25">
      <c r="A22965" s="318">
        <v>97818087302</v>
      </c>
      <c r="B22965" s="318" t="s">
        <v>237</v>
      </c>
    </row>
    <row r="22966" spans="1:2" ht="12.75" customHeight="1" x14ac:dyDescent="0.25">
      <c r="A22966" s="318">
        <v>97818087386</v>
      </c>
      <c r="B22966" s="318" t="s">
        <v>236</v>
      </c>
    </row>
    <row r="22967" spans="1:2" ht="12.75" customHeight="1" x14ac:dyDescent="0.25">
      <c r="A22967" s="318">
        <v>97818087387</v>
      </c>
      <c r="B22967" s="318" t="s">
        <v>235</v>
      </c>
    </row>
    <row r="22968" spans="1:2" ht="12.75" customHeight="1" x14ac:dyDescent="0.25">
      <c r="A22968" s="318">
        <v>97818087388</v>
      </c>
      <c r="B22968" s="318" t="s">
        <v>236</v>
      </c>
    </row>
    <row r="22969" spans="1:2" ht="12.75" customHeight="1" x14ac:dyDescent="0.25">
      <c r="A22969" s="318">
        <v>97818087389</v>
      </c>
      <c r="B22969" s="318" t="s">
        <v>235</v>
      </c>
    </row>
    <row r="22970" spans="1:2" ht="12.75" customHeight="1" x14ac:dyDescent="0.25">
      <c r="A22970" s="318">
        <v>97818087390</v>
      </c>
      <c r="B22970" s="318" t="s">
        <v>236</v>
      </c>
    </row>
    <row r="22971" spans="1:2" ht="12.75" customHeight="1" x14ac:dyDescent="0.25">
      <c r="A22971" s="318">
        <v>97818087391</v>
      </c>
      <c r="B22971" s="318" t="s">
        <v>235</v>
      </c>
    </row>
    <row r="22972" spans="1:2" ht="12.75" customHeight="1" x14ac:dyDescent="0.25">
      <c r="A22972" s="318">
        <v>97818087392</v>
      </c>
      <c r="B22972" s="318" t="s">
        <v>23</v>
      </c>
    </row>
    <row r="22973" spans="1:2" ht="12.75" customHeight="1" x14ac:dyDescent="0.25">
      <c r="A22973" s="318">
        <v>97818087393</v>
      </c>
      <c r="B22973" s="318" t="s">
        <v>235</v>
      </c>
    </row>
    <row r="22974" spans="1:2" ht="12.75" customHeight="1" x14ac:dyDescent="0.25">
      <c r="A22974" s="318">
        <v>97818087395</v>
      </c>
      <c r="B22974" s="318" t="s">
        <v>237</v>
      </c>
    </row>
    <row r="22975" spans="1:2" ht="12.75" customHeight="1" x14ac:dyDescent="0.25">
      <c r="A22975" s="318">
        <v>97818087396</v>
      </c>
      <c r="B22975" s="318" t="s">
        <v>237</v>
      </c>
    </row>
    <row r="22976" spans="1:2" ht="12.75" customHeight="1" x14ac:dyDescent="0.25">
      <c r="A22976" s="318">
        <v>97818087397</v>
      </c>
      <c r="B22976" s="318" t="s">
        <v>237</v>
      </c>
    </row>
    <row r="22977" spans="1:2" ht="12.75" customHeight="1" x14ac:dyDescent="0.25">
      <c r="A22977" s="318">
        <v>97818087398</v>
      </c>
      <c r="B22977" s="318" t="s">
        <v>237</v>
      </c>
    </row>
    <row r="22978" spans="1:2" ht="12.75" customHeight="1" x14ac:dyDescent="0.25">
      <c r="A22978" s="318">
        <v>97818087399</v>
      </c>
      <c r="B22978" s="318" t="s">
        <v>237</v>
      </c>
    </row>
    <row r="22979" spans="1:2" ht="12.75" customHeight="1" x14ac:dyDescent="0.25">
      <c r="A22979" s="318">
        <v>97818087400</v>
      </c>
      <c r="B22979" s="318" t="s">
        <v>237</v>
      </c>
    </row>
    <row r="22980" spans="1:2" ht="12.75" customHeight="1" x14ac:dyDescent="0.25">
      <c r="A22980" s="318">
        <v>97818087401</v>
      </c>
      <c r="B22980" s="318" t="s">
        <v>237</v>
      </c>
    </row>
    <row r="22981" spans="1:2" ht="12.75" customHeight="1" x14ac:dyDescent="0.25">
      <c r="A22981" s="318">
        <v>97818087402</v>
      </c>
      <c r="B22981" s="318" t="s">
        <v>237</v>
      </c>
    </row>
    <row r="22982" spans="1:2" ht="12.75" customHeight="1" x14ac:dyDescent="0.25">
      <c r="A22982" s="318">
        <v>97818568259</v>
      </c>
      <c r="B22982" s="318" t="s">
        <v>236</v>
      </c>
    </row>
    <row r="22983" spans="1:2" ht="12.75" customHeight="1" x14ac:dyDescent="0.25">
      <c r="A22983" s="318">
        <v>97818568260</v>
      </c>
      <c r="B22983" s="318" t="s">
        <v>235</v>
      </c>
    </row>
    <row r="22984" spans="1:2" ht="12.75" customHeight="1" x14ac:dyDescent="0.25">
      <c r="A22984" s="318">
        <v>97818568261</v>
      </c>
      <c r="B22984" s="318" t="s">
        <v>236</v>
      </c>
    </row>
    <row r="22985" spans="1:2" ht="12.75" customHeight="1" x14ac:dyDescent="0.25">
      <c r="A22985" s="318">
        <v>97818568262</v>
      </c>
      <c r="B22985" s="318" t="s">
        <v>235</v>
      </c>
    </row>
    <row r="22986" spans="1:2" ht="12.75" customHeight="1" x14ac:dyDescent="0.25">
      <c r="A22986" s="318">
        <v>97818568263</v>
      </c>
      <c r="B22986" s="318" t="s">
        <v>236</v>
      </c>
    </row>
    <row r="22987" spans="1:2" ht="12.75" customHeight="1" x14ac:dyDescent="0.25">
      <c r="A22987" s="318">
        <v>97818568264</v>
      </c>
      <c r="B22987" s="318" t="s">
        <v>235</v>
      </c>
    </row>
    <row r="22988" spans="1:2" ht="12.75" customHeight="1" x14ac:dyDescent="0.25">
      <c r="A22988" s="318">
        <v>97818568265</v>
      </c>
      <c r="B22988" s="318" t="s">
        <v>236</v>
      </c>
    </row>
    <row r="22989" spans="1:2" ht="12.75" customHeight="1" x14ac:dyDescent="0.25">
      <c r="A22989" s="318">
        <v>97818568266</v>
      </c>
      <c r="B22989" s="318" t="s">
        <v>235</v>
      </c>
    </row>
    <row r="22990" spans="1:2" ht="12.75" customHeight="1" x14ac:dyDescent="0.25">
      <c r="A22990" s="318">
        <v>97818568268</v>
      </c>
      <c r="B22990" s="318" t="s">
        <v>236</v>
      </c>
    </row>
    <row r="22991" spans="1:2" ht="12.75" customHeight="1" x14ac:dyDescent="0.25">
      <c r="A22991" s="318">
        <v>97818568269</v>
      </c>
      <c r="B22991" s="318" t="s">
        <v>235</v>
      </c>
    </row>
    <row r="22992" spans="1:2" ht="12.75" customHeight="1" x14ac:dyDescent="0.25">
      <c r="A22992" s="318">
        <v>97818568270</v>
      </c>
      <c r="B22992" s="318" t="s">
        <v>236</v>
      </c>
    </row>
    <row r="22993" spans="1:2" ht="12.75" customHeight="1" x14ac:dyDescent="0.25">
      <c r="A22993" s="318">
        <v>97818568271</v>
      </c>
      <c r="B22993" s="318" t="s">
        <v>235</v>
      </c>
    </row>
    <row r="22994" spans="1:2" ht="12.75" customHeight="1" x14ac:dyDescent="0.25">
      <c r="A22994" s="318">
        <v>97818568272</v>
      </c>
      <c r="B22994" s="318" t="s">
        <v>236</v>
      </c>
    </row>
    <row r="22995" spans="1:2" ht="12.75" customHeight="1" x14ac:dyDescent="0.25">
      <c r="A22995" s="318">
        <v>97818568273</v>
      </c>
      <c r="B22995" s="318" t="s">
        <v>235</v>
      </c>
    </row>
    <row r="22996" spans="1:2" ht="12.75" customHeight="1" x14ac:dyDescent="0.25">
      <c r="A22996" s="318">
        <v>97818568274</v>
      </c>
      <c r="B22996" s="318" t="s">
        <v>236</v>
      </c>
    </row>
    <row r="22997" spans="1:2" ht="12.75" customHeight="1" x14ac:dyDescent="0.25">
      <c r="A22997" s="318">
        <v>97818568275</v>
      </c>
      <c r="B22997" s="318" t="s">
        <v>235</v>
      </c>
    </row>
    <row r="22998" spans="1:2" ht="12.75" customHeight="1" x14ac:dyDescent="0.25">
      <c r="A22998" s="318">
        <v>97818568359</v>
      </c>
      <c r="B22998" s="318" t="s">
        <v>236</v>
      </c>
    </row>
    <row r="22999" spans="1:2" ht="12.75" customHeight="1" x14ac:dyDescent="0.25">
      <c r="A22999" s="318">
        <v>97818568360</v>
      </c>
      <c r="B22999" s="318" t="s">
        <v>235</v>
      </c>
    </row>
    <row r="23000" spans="1:2" ht="12.75" customHeight="1" x14ac:dyDescent="0.25">
      <c r="A23000" s="318">
        <v>97818568361</v>
      </c>
      <c r="B23000" s="318" t="s">
        <v>236</v>
      </c>
    </row>
    <row r="23001" spans="1:2" ht="12.75" customHeight="1" x14ac:dyDescent="0.25">
      <c r="A23001" s="318">
        <v>97818568362</v>
      </c>
      <c r="B23001" s="318" t="s">
        <v>235</v>
      </c>
    </row>
    <row r="23002" spans="1:2" ht="12.75" customHeight="1" x14ac:dyDescent="0.25">
      <c r="A23002" s="318">
        <v>97818568363</v>
      </c>
      <c r="B23002" s="318" t="s">
        <v>236</v>
      </c>
    </row>
    <row r="23003" spans="1:2" ht="12.75" customHeight="1" x14ac:dyDescent="0.25">
      <c r="A23003" s="318">
        <v>97818568364</v>
      </c>
      <c r="B23003" s="318" t="s">
        <v>235</v>
      </c>
    </row>
    <row r="23004" spans="1:2" ht="12.75" customHeight="1" x14ac:dyDescent="0.25">
      <c r="A23004" s="318">
        <v>97818568365</v>
      </c>
      <c r="B23004" s="318" t="s">
        <v>236</v>
      </c>
    </row>
    <row r="23005" spans="1:2" ht="12.75" customHeight="1" x14ac:dyDescent="0.25">
      <c r="A23005" s="318">
        <v>97818568366</v>
      </c>
      <c r="B23005" s="318" t="s">
        <v>235</v>
      </c>
    </row>
    <row r="23006" spans="1:2" ht="12.75" customHeight="1" x14ac:dyDescent="0.25">
      <c r="A23006" s="318">
        <v>97818568368</v>
      </c>
      <c r="B23006" s="318" t="s">
        <v>236</v>
      </c>
    </row>
    <row r="23007" spans="1:2" ht="12.75" customHeight="1" x14ac:dyDescent="0.25">
      <c r="A23007" s="318">
        <v>97818568369</v>
      </c>
      <c r="B23007" s="318" t="s">
        <v>235</v>
      </c>
    </row>
    <row r="23008" spans="1:2" ht="12.75" customHeight="1" x14ac:dyDescent="0.25">
      <c r="A23008" s="318">
        <v>97818568370</v>
      </c>
      <c r="B23008" s="318" t="s">
        <v>236</v>
      </c>
    </row>
    <row r="23009" spans="1:2" ht="12.75" customHeight="1" x14ac:dyDescent="0.25">
      <c r="A23009" s="318">
        <v>97818568371</v>
      </c>
      <c r="B23009" s="318" t="s">
        <v>235</v>
      </c>
    </row>
    <row r="23010" spans="1:2" ht="12.75" customHeight="1" x14ac:dyDescent="0.25">
      <c r="A23010" s="318">
        <v>97818568372</v>
      </c>
      <c r="B23010" s="318" t="s">
        <v>236</v>
      </c>
    </row>
    <row r="23011" spans="1:2" ht="12.75" customHeight="1" x14ac:dyDescent="0.25">
      <c r="A23011" s="318">
        <v>97818568373</v>
      </c>
      <c r="B23011" s="318" t="s">
        <v>235</v>
      </c>
    </row>
    <row r="23012" spans="1:2" ht="12.75" customHeight="1" x14ac:dyDescent="0.25">
      <c r="A23012" s="318">
        <v>97818568374</v>
      </c>
      <c r="B23012" s="318" t="s">
        <v>236</v>
      </c>
    </row>
    <row r="23013" spans="1:2" ht="12.75" customHeight="1" x14ac:dyDescent="0.25">
      <c r="A23013" s="318">
        <v>97818568375</v>
      </c>
      <c r="B23013" s="318" t="s">
        <v>235</v>
      </c>
    </row>
    <row r="23014" spans="1:2" ht="12.75" customHeight="1" x14ac:dyDescent="0.25">
      <c r="A23014" s="318">
        <v>97819248450</v>
      </c>
      <c r="B23014" s="318" t="s">
        <v>236</v>
      </c>
    </row>
    <row r="23015" spans="1:2" ht="12.75" customHeight="1" x14ac:dyDescent="0.25">
      <c r="A23015" s="318">
        <v>97819248451</v>
      </c>
      <c r="B23015" s="318" t="s">
        <v>235</v>
      </c>
    </row>
    <row r="23016" spans="1:2" ht="12.75" customHeight="1" x14ac:dyDescent="0.25">
      <c r="A23016" s="318">
        <v>97819248452</v>
      </c>
      <c r="B23016" s="318" t="s">
        <v>236</v>
      </c>
    </row>
    <row r="23017" spans="1:2" ht="12.75" customHeight="1" x14ac:dyDescent="0.25">
      <c r="A23017" s="318">
        <v>97819248453</v>
      </c>
      <c r="B23017" s="318" t="s">
        <v>235</v>
      </c>
    </row>
    <row r="23018" spans="1:2" ht="12.75" customHeight="1" x14ac:dyDescent="0.25">
      <c r="A23018" s="318">
        <v>97819248454</v>
      </c>
      <c r="B23018" s="318" t="s">
        <v>236</v>
      </c>
    </row>
    <row r="23019" spans="1:2" ht="12.75" customHeight="1" x14ac:dyDescent="0.25">
      <c r="A23019" s="318">
        <v>97819248455</v>
      </c>
      <c r="B23019" s="318" t="s">
        <v>235</v>
      </c>
    </row>
    <row r="23020" spans="1:2" ht="12.75" customHeight="1" x14ac:dyDescent="0.25">
      <c r="A23020" s="318">
        <v>97819248456</v>
      </c>
      <c r="B23020" s="318" t="s">
        <v>23</v>
      </c>
    </row>
    <row r="23021" spans="1:2" ht="12.75" customHeight="1" x14ac:dyDescent="0.25">
      <c r="A23021" s="318">
        <v>97819248457</v>
      </c>
      <c r="B23021" s="318" t="s">
        <v>235</v>
      </c>
    </row>
    <row r="23022" spans="1:2" ht="12.75" customHeight="1" x14ac:dyDescent="0.25">
      <c r="A23022" s="318">
        <v>97819248459</v>
      </c>
      <c r="B23022" s="318" t="s">
        <v>237</v>
      </c>
    </row>
    <row r="23023" spans="1:2" ht="12.75" customHeight="1" x14ac:dyDescent="0.25">
      <c r="A23023" s="318">
        <v>97819248460</v>
      </c>
      <c r="B23023" s="318" t="s">
        <v>237</v>
      </c>
    </row>
    <row r="23024" spans="1:2" ht="12.75" customHeight="1" x14ac:dyDescent="0.25">
      <c r="A23024" s="318">
        <v>97819248461</v>
      </c>
      <c r="B23024" s="318" t="s">
        <v>237</v>
      </c>
    </row>
    <row r="23025" spans="1:2" ht="12.75" customHeight="1" x14ac:dyDescent="0.25">
      <c r="A23025" s="318">
        <v>97819248462</v>
      </c>
      <c r="B23025" s="318" t="s">
        <v>237</v>
      </c>
    </row>
    <row r="23026" spans="1:2" ht="12.75" customHeight="1" x14ac:dyDescent="0.25">
      <c r="A23026" s="318">
        <v>97819248463</v>
      </c>
      <c r="B23026" s="318" t="s">
        <v>237</v>
      </c>
    </row>
    <row r="23027" spans="1:2" ht="12.75" customHeight="1" x14ac:dyDescent="0.25">
      <c r="A23027" s="318">
        <v>97819248464</v>
      </c>
      <c r="B23027" s="318" t="s">
        <v>237</v>
      </c>
    </row>
    <row r="23028" spans="1:2" ht="12.75" customHeight="1" x14ac:dyDescent="0.25">
      <c r="A23028" s="318">
        <v>97819248465</v>
      </c>
      <c r="B23028" s="318" t="s">
        <v>237</v>
      </c>
    </row>
    <row r="23029" spans="1:2" ht="12.75" customHeight="1" x14ac:dyDescent="0.25">
      <c r="A23029" s="318">
        <v>97819248466</v>
      </c>
      <c r="B23029" s="318" t="s">
        <v>237</v>
      </c>
    </row>
    <row r="23030" spans="1:2" ht="12.75" customHeight="1" x14ac:dyDescent="0.25">
      <c r="A23030" s="318">
        <v>97819248550</v>
      </c>
      <c r="B23030" s="318" t="s">
        <v>236</v>
      </c>
    </row>
    <row r="23031" spans="1:2" ht="12.75" customHeight="1" x14ac:dyDescent="0.25">
      <c r="A23031" s="318">
        <v>97819248551</v>
      </c>
      <c r="B23031" s="318" t="s">
        <v>235</v>
      </c>
    </row>
    <row r="23032" spans="1:2" ht="12.75" customHeight="1" x14ac:dyDescent="0.25">
      <c r="A23032" s="318">
        <v>97819248552</v>
      </c>
      <c r="B23032" s="318" t="s">
        <v>236</v>
      </c>
    </row>
    <row r="23033" spans="1:2" ht="12.75" customHeight="1" x14ac:dyDescent="0.25">
      <c r="A23033" s="318">
        <v>97819248553</v>
      </c>
      <c r="B23033" s="318" t="s">
        <v>235</v>
      </c>
    </row>
    <row r="23034" spans="1:2" ht="12.75" customHeight="1" x14ac:dyDescent="0.25">
      <c r="A23034" s="318">
        <v>97819248554</v>
      </c>
      <c r="B23034" s="318" t="s">
        <v>236</v>
      </c>
    </row>
    <row r="23035" spans="1:2" ht="12.75" customHeight="1" x14ac:dyDescent="0.25">
      <c r="A23035" s="318">
        <v>97819248555</v>
      </c>
      <c r="B23035" s="318" t="s">
        <v>235</v>
      </c>
    </row>
    <row r="23036" spans="1:2" ht="12.75" customHeight="1" x14ac:dyDescent="0.25">
      <c r="A23036" s="318">
        <v>97819248556</v>
      </c>
      <c r="B23036" s="318" t="s">
        <v>23</v>
      </c>
    </row>
    <row r="23037" spans="1:2" ht="12.75" customHeight="1" x14ac:dyDescent="0.25">
      <c r="A23037" s="318">
        <v>97819248557</v>
      </c>
      <c r="B23037" s="318" t="s">
        <v>235</v>
      </c>
    </row>
    <row r="23038" spans="1:2" ht="12.75" customHeight="1" x14ac:dyDescent="0.25">
      <c r="A23038" s="318">
        <v>97819248559</v>
      </c>
      <c r="B23038" s="318" t="s">
        <v>237</v>
      </c>
    </row>
    <row r="23039" spans="1:2" ht="12.75" customHeight="1" x14ac:dyDescent="0.25">
      <c r="A23039" s="318">
        <v>97819248560</v>
      </c>
      <c r="B23039" s="318" t="s">
        <v>237</v>
      </c>
    </row>
    <row r="23040" spans="1:2" ht="12.75" customHeight="1" x14ac:dyDescent="0.25">
      <c r="A23040" s="318">
        <v>97819248561</v>
      </c>
      <c r="B23040" s="318" t="s">
        <v>237</v>
      </c>
    </row>
    <row r="23041" spans="1:2" ht="12.75" customHeight="1" x14ac:dyDescent="0.25">
      <c r="A23041" s="318">
        <v>97819248562</v>
      </c>
      <c r="B23041" s="318" t="s">
        <v>237</v>
      </c>
    </row>
    <row r="23042" spans="1:2" ht="12.75" customHeight="1" x14ac:dyDescent="0.25">
      <c r="A23042" s="318">
        <v>97819248563</v>
      </c>
      <c r="B23042" s="318" t="s">
        <v>237</v>
      </c>
    </row>
    <row r="23043" spans="1:2" ht="12.75" customHeight="1" x14ac:dyDescent="0.25">
      <c r="A23043" s="318">
        <v>97819248564</v>
      </c>
      <c r="B23043" s="318" t="s">
        <v>237</v>
      </c>
    </row>
    <row r="23044" spans="1:2" ht="12.75" customHeight="1" x14ac:dyDescent="0.25">
      <c r="A23044" s="318">
        <v>97819248565</v>
      </c>
      <c r="B23044" s="318" t="s">
        <v>237</v>
      </c>
    </row>
    <row r="23045" spans="1:2" ht="12.75" customHeight="1" x14ac:dyDescent="0.25">
      <c r="A23045" s="318">
        <v>97819248566</v>
      </c>
      <c r="B23045" s="318" t="s">
        <v>237</v>
      </c>
    </row>
    <row r="23046" spans="1:2" ht="12.75" customHeight="1" x14ac:dyDescent="0.25">
      <c r="A23046" s="318">
        <v>97819729423</v>
      </c>
      <c r="B23046" s="318" t="s">
        <v>236</v>
      </c>
    </row>
    <row r="23047" spans="1:2" ht="12.75" customHeight="1" x14ac:dyDescent="0.25">
      <c r="A23047" s="318">
        <v>97819729424</v>
      </c>
      <c r="B23047" s="318" t="s">
        <v>235</v>
      </c>
    </row>
    <row r="23048" spans="1:2" ht="12.75" customHeight="1" x14ac:dyDescent="0.25">
      <c r="A23048" s="318">
        <v>97819729425</v>
      </c>
      <c r="B23048" s="318" t="s">
        <v>236</v>
      </c>
    </row>
    <row r="23049" spans="1:2" ht="12.75" customHeight="1" x14ac:dyDescent="0.25">
      <c r="A23049" s="318">
        <v>97819729426</v>
      </c>
      <c r="B23049" s="318" t="s">
        <v>235</v>
      </c>
    </row>
    <row r="23050" spans="1:2" ht="12.75" customHeight="1" x14ac:dyDescent="0.25">
      <c r="A23050" s="318">
        <v>97819729427</v>
      </c>
      <c r="B23050" s="318" t="s">
        <v>236</v>
      </c>
    </row>
    <row r="23051" spans="1:2" ht="12.75" customHeight="1" x14ac:dyDescent="0.25">
      <c r="A23051" s="318">
        <v>97819729428</v>
      </c>
      <c r="B23051" s="318" t="s">
        <v>235</v>
      </c>
    </row>
    <row r="23052" spans="1:2" ht="12.75" customHeight="1" x14ac:dyDescent="0.25">
      <c r="A23052" s="318">
        <v>97819729429</v>
      </c>
      <c r="B23052" s="318" t="s">
        <v>23</v>
      </c>
    </row>
    <row r="23053" spans="1:2" ht="12.75" customHeight="1" x14ac:dyDescent="0.25">
      <c r="A23053" s="318">
        <v>97819729430</v>
      </c>
      <c r="B23053" s="318" t="s">
        <v>235</v>
      </c>
    </row>
    <row r="23054" spans="1:2" ht="12.75" customHeight="1" x14ac:dyDescent="0.25">
      <c r="A23054" s="318">
        <v>97819729432</v>
      </c>
      <c r="B23054" s="318" t="s">
        <v>237</v>
      </c>
    </row>
    <row r="23055" spans="1:2" ht="12.75" customHeight="1" x14ac:dyDescent="0.25">
      <c r="A23055" s="318">
        <v>97819729433</v>
      </c>
      <c r="B23055" s="318" t="s">
        <v>237</v>
      </c>
    </row>
    <row r="23056" spans="1:2" ht="12.75" customHeight="1" x14ac:dyDescent="0.25">
      <c r="A23056" s="318">
        <v>97819729434</v>
      </c>
      <c r="B23056" s="318" t="s">
        <v>237</v>
      </c>
    </row>
    <row r="23057" spans="1:2" ht="12.75" customHeight="1" x14ac:dyDescent="0.25">
      <c r="A23057" s="318">
        <v>97819729435</v>
      </c>
      <c r="B23057" s="318" t="s">
        <v>237</v>
      </c>
    </row>
    <row r="23058" spans="1:2" ht="12.75" customHeight="1" x14ac:dyDescent="0.25">
      <c r="A23058" s="318">
        <v>97819729436</v>
      </c>
      <c r="B23058" s="318" t="s">
        <v>237</v>
      </c>
    </row>
    <row r="23059" spans="1:2" ht="12.75" customHeight="1" x14ac:dyDescent="0.25">
      <c r="A23059" s="318">
        <v>97819729437</v>
      </c>
      <c r="B23059" s="318" t="s">
        <v>237</v>
      </c>
    </row>
    <row r="23060" spans="1:2" ht="12.75" customHeight="1" x14ac:dyDescent="0.25">
      <c r="A23060" s="318">
        <v>97819729438</v>
      </c>
      <c r="B23060" s="318" t="s">
        <v>237</v>
      </c>
    </row>
    <row r="23061" spans="1:2" ht="12.75" customHeight="1" x14ac:dyDescent="0.25">
      <c r="A23061" s="318">
        <v>97819729439</v>
      </c>
      <c r="B23061" s="318" t="s">
        <v>237</v>
      </c>
    </row>
    <row r="23062" spans="1:2" ht="12.75" customHeight="1" x14ac:dyDescent="0.25">
      <c r="A23062" s="318">
        <v>97819729523</v>
      </c>
      <c r="B23062" s="318" t="s">
        <v>236</v>
      </c>
    </row>
    <row r="23063" spans="1:2" ht="12.75" customHeight="1" x14ac:dyDescent="0.25">
      <c r="A23063" s="318">
        <v>97819729524</v>
      </c>
      <c r="B23063" s="318" t="s">
        <v>235</v>
      </c>
    </row>
    <row r="23064" spans="1:2" ht="12.75" customHeight="1" x14ac:dyDescent="0.25">
      <c r="A23064" s="318">
        <v>97819729525</v>
      </c>
      <c r="B23064" s="318" t="s">
        <v>236</v>
      </c>
    </row>
    <row r="23065" spans="1:2" ht="12.75" customHeight="1" x14ac:dyDescent="0.25">
      <c r="A23065" s="318">
        <v>97819729526</v>
      </c>
      <c r="B23065" s="318" t="s">
        <v>235</v>
      </c>
    </row>
    <row r="23066" spans="1:2" ht="12.75" customHeight="1" x14ac:dyDescent="0.25">
      <c r="A23066" s="318">
        <v>97819729527</v>
      </c>
      <c r="B23066" s="318" t="s">
        <v>236</v>
      </c>
    </row>
    <row r="23067" spans="1:2" ht="12.75" customHeight="1" x14ac:dyDescent="0.25">
      <c r="A23067" s="318">
        <v>97819729528</v>
      </c>
      <c r="B23067" s="318" t="s">
        <v>235</v>
      </c>
    </row>
    <row r="23068" spans="1:2" ht="12.75" customHeight="1" x14ac:dyDescent="0.25">
      <c r="A23068" s="318">
        <v>97819729529</v>
      </c>
      <c r="B23068" s="318" t="s">
        <v>23</v>
      </c>
    </row>
    <row r="23069" spans="1:2" ht="12.75" customHeight="1" x14ac:dyDescent="0.25">
      <c r="A23069" s="318">
        <v>97819729530</v>
      </c>
      <c r="B23069" s="318" t="s">
        <v>235</v>
      </c>
    </row>
    <row r="23070" spans="1:2" ht="12.75" customHeight="1" x14ac:dyDescent="0.25">
      <c r="A23070" s="318">
        <v>97819729532</v>
      </c>
      <c r="B23070" s="318" t="s">
        <v>237</v>
      </c>
    </row>
    <row r="23071" spans="1:2" ht="12.75" customHeight="1" x14ac:dyDescent="0.25">
      <c r="A23071" s="318">
        <v>97819729533</v>
      </c>
      <c r="B23071" s="318" t="s">
        <v>237</v>
      </c>
    </row>
    <row r="23072" spans="1:2" ht="12.75" customHeight="1" x14ac:dyDescent="0.25">
      <c r="A23072" s="318">
        <v>97819729534</v>
      </c>
      <c r="B23072" s="318" t="s">
        <v>237</v>
      </c>
    </row>
    <row r="23073" spans="1:2" ht="12.75" customHeight="1" x14ac:dyDescent="0.25">
      <c r="A23073" s="318">
        <v>97819729535</v>
      </c>
      <c r="B23073" s="318" t="s">
        <v>237</v>
      </c>
    </row>
    <row r="23074" spans="1:2" ht="12.75" customHeight="1" x14ac:dyDescent="0.25">
      <c r="A23074" s="318">
        <v>97819729536</v>
      </c>
      <c r="B23074" s="318" t="s">
        <v>237</v>
      </c>
    </row>
    <row r="23075" spans="1:2" ht="12.75" customHeight="1" x14ac:dyDescent="0.25">
      <c r="A23075" s="318">
        <v>97819729537</v>
      </c>
      <c r="B23075" s="318" t="s">
        <v>237</v>
      </c>
    </row>
    <row r="23076" spans="1:2" ht="12.75" customHeight="1" x14ac:dyDescent="0.25">
      <c r="A23076" s="318">
        <v>97819729538</v>
      </c>
      <c r="B23076" s="318" t="s">
        <v>237</v>
      </c>
    </row>
    <row r="23077" spans="1:2" ht="12.75" customHeight="1" x14ac:dyDescent="0.25">
      <c r="A23077" s="318">
        <v>97819729539</v>
      </c>
      <c r="B23077" s="318" t="s">
        <v>237</v>
      </c>
    </row>
    <row r="23078" spans="1:2" ht="12.75" customHeight="1" x14ac:dyDescent="0.25">
      <c r="A23078" s="318">
        <v>97820210396</v>
      </c>
      <c r="B23078" s="318" t="s">
        <v>236</v>
      </c>
    </row>
    <row r="23079" spans="1:2" ht="12.75" customHeight="1" x14ac:dyDescent="0.25">
      <c r="A23079" s="318">
        <v>97820210397</v>
      </c>
      <c r="B23079" s="318" t="s">
        <v>235</v>
      </c>
    </row>
    <row r="23080" spans="1:2" ht="12.75" customHeight="1" x14ac:dyDescent="0.25">
      <c r="A23080" s="318">
        <v>97820210398</v>
      </c>
      <c r="B23080" s="318" t="s">
        <v>236</v>
      </c>
    </row>
    <row r="23081" spans="1:2" ht="12.75" customHeight="1" x14ac:dyDescent="0.25">
      <c r="A23081" s="318">
        <v>97820210399</v>
      </c>
      <c r="B23081" s="318" t="s">
        <v>235</v>
      </c>
    </row>
    <row r="23082" spans="1:2" ht="12.75" customHeight="1" x14ac:dyDescent="0.25">
      <c r="A23082" s="318">
        <v>97820210400</v>
      </c>
      <c r="B23082" s="318" t="s">
        <v>236</v>
      </c>
    </row>
    <row r="23083" spans="1:2" ht="12.75" customHeight="1" x14ac:dyDescent="0.25">
      <c r="A23083" s="318">
        <v>97820210401</v>
      </c>
      <c r="B23083" s="318" t="s">
        <v>235</v>
      </c>
    </row>
    <row r="23084" spans="1:2" ht="12.75" customHeight="1" x14ac:dyDescent="0.25">
      <c r="A23084" s="318">
        <v>97820210402</v>
      </c>
      <c r="B23084" s="318" t="s">
        <v>236</v>
      </c>
    </row>
    <row r="23085" spans="1:2" ht="12.75" customHeight="1" x14ac:dyDescent="0.25">
      <c r="A23085" s="318">
        <v>97820210403</v>
      </c>
      <c r="B23085" s="318" t="s">
        <v>235</v>
      </c>
    </row>
    <row r="23086" spans="1:2" ht="12.75" customHeight="1" x14ac:dyDescent="0.25">
      <c r="A23086" s="318">
        <v>97820210405</v>
      </c>
      <c r="B23086" s="318" t="s">
        <v>236</v>
      </c>
    </row>
    <row r="23087" spans="1:2" ht="12.75" customHeight="1" x14ac:dyDescent="0.25">
      <c r="A23087" s="318">
        <v>97820210406</v>
      </c>
      <c r="B23087" s="318" t="s">
        <v>235</v>
      </c>
    </row>
    <row r="23088" spans="1:2" ht="12.75" customHeight="1" x14ac:dyDescent="0.25">
      <c r="A23088" s="318">
        <v>97820210407</v>
      </c>
      <c r="B23088" s="318" t="s">
        <v>236</v>
      </c>
    </row>
    <row r="23089" spans="1:2" ht="12.75" customHeight="1" x14ac:dyDescent="0.25">
      <c r="A23089" s="318">
        <v>97820210408</v>
      </c>
      <c r="B23089" s="318" t="s">
        <v>235</v>
      </c>
    </row>
    <row r="23090" spans="1:2" ht="12.75" customHeight="1" x14ac:dyDescent="0.25">
      <c r="A23090" s="318">
        <v>97820210409</v>
      </c>
      <c r="B23090" s="318" t="s">
        <v>236</v>
      </c>
    </row>
    <row r="23091" spans="1:2" ht="12.75" customHeight="1" x14ac:dyDescent="0.25">
      <c r="A23091" s="318">
        <v>97820210410</v>
      </c>
      <c r="B23091" s="318" t="s">
        <v>235</v>
      </c>
    </row>
    <row r="23092" spans="1:2" ht="12.75" customHeight="1" x14ac:dyDescent="0.25">
      <c r="A23092" s="318">
        <v>97820210411</v>
      </c>
      <c r="B23092" s="318" t="s">
        <v>236</v>
      </c>
    </row>
    <row r="23093" spans="1:2" ht="12.75" customHeight="1" x14ac:dyDescent="0.25">
      <c r="A23093" s="318">
        <v>97820210412</v>
      </c>
      <c r="B23093" s="318" t="s">
        <v>235</v>
      </c>
    </row>
    <row r="23094" spans="1:2" ht="12.75" customHeight="1" x14ac:dyDescent="0.25">
      <c r="A23094" s="318">
        <v>97820210496</v>
      </c>
      <c r="B23094" s="318" t="s">
        <v>236</v>
      </c>
    </row>
    <row r="23095" spans="1:2" ht="12.75" customHeight="1" x14ac:dyDescent="0.25">
      <c r="A23095" s="318">
        <v>97820210497</v>
      </c>
      <c r="B23095" s="318" t="s">
        <v>235</v>
      </c>
    </row>
    <row r="23096" spans="1:2" ht="12.75" customHeight="1" x14ac:dyDescent="0.25">
      <c r="A23096" s="318">
        <v>97820210498</v>
      </c>
      <c r="B23096" s="318" t="s">
        <v>236</v>
      </c>
    </row>
    <row r="23097" spans="1:2" ht="12.75" customHeight="1" x14ac:dyDescent="0.25">
      <c r="A23097" s="318">
        <v>97820210499</v>
      </c>
      <c r="B23097" s="318" t="s">
        <v>235</v>
      </c>
    </row>
    <row r="23098" spans="1:2" ht="12.75" customHeight="1" x14ac:dyDescent="0.25">
      <c r="A23098" s="318">
        <v>97820210500</v>
      </c>
      <c r="B23098" s="318" t="s">
        <v>236</v>
      </c>
    </row>
    <row r="23099" spans="1:2" ht="12.75" customHeight="1" x14ac:dyDescent="0.25">
      <c r="A23099" s="318">
        <v>97820210501</v>
      </c>
      <c r="B23099" s="318" t="s">
        <v>235</v>
      </c>
    </row>
    <row r="23100" spans="1:2" ht="12.75" customHeight="1" x14ac:dyDescent="0.25">
      <c r="A23100" s="318">
        <v>97820210502</v>
      </c>
      <c r="B23100" s="318" t="s">
        <v>236</v>
      </c>
    </row>
    <row r="23101" spans="1:2" ht="12.75" customHeight="1" x14ac:dyDescent="0.25">
      <c r="A23101" s="318">
        <v>97820210503</v>
      </c>
      <c r="B23101" s="318" t="s">
        <v>235</v>
      </c>
    </row>
    <row r="23102" spans="1:2" ht="12.75" customHeight="1" x14ac:dyDescent="0.25">
      <c r="A23102" s="318">
        <v>97820210505</v>
      </c>
      <c r="B23102" s="318" t="s">
        <v>236</v>
      </c>
    </row>
    <row r="23103" spans="1:2" ht="12.75" customHeight="1" x14ac:dyDescent="0.25">
      <c r="A23103" s="318">
        <v>97820210506</v>
      </c>
      <c r="B23103" s="318" t="s">
        <v>235</v>
      </c>
    </row>
    <row r="23104" spans="1:2" ht="12.75" customHeight="1" x14ac:dyDescent="0.25">
      <c r="A23104" s="318">
        <v>97820210507</v>
      </c>
      <c r="B23104" s="318" t="s">
        <v>236</v>
      </c>
    </row>
    <row r="23105" spans="1:2" ht="12.75" customHeight="1" x14ac:dyDescent="0.25">
      <c r="A23105" s="318">
        <v>97820210508</v>
      </c>
      <c r="B23105" s="318" t="s">
        <v>235</v>
      </c>
    </row>
    <row r="23106" spans="1:2" ht="12.75" customHeight="1" x14ac:dyDescent="0.25">
      <c r="A23106" s="318">
        <v>97820210509</v>
      </c>
      <c r="B23106" s="318" t="s">
        <v>236</v>
      </c>
    </row>
    <row r="23107" spans="1:2" ht="12.75" customHeight="1" x14ac:dyDescent="0.25">
      <c r="A23107" s="318">
        <v>97820210510</v>
      </c>
      <c r="B23107" s="318" t="s">
        <v>235</v>
      </c>
    </row>
    <row r="23108" spans="1:2" ht="12.75" customHeight="1" x14ac:dyDescent="0.25">
      <c r="A23108" s="318">
        <v>97820210511</v>
      </c>
      <c r="B23108" s="318" t="s">
        <v>236</v>
      </c>
    </row>
    <row r="23109" spans="1:2" ht="12.75" customHeight="1" x14ac:dyDescent="0.25">
      <c r="A23109" s="318">
        <v>97820210512</v>
      </c>
      <c r="B23109" s="318" t="s">
        <v>235</v>
      </c>
    </row>
    <row r="23110" spans="1:2" ht="12.75" customHeight="1" x14ac:dyDescent="0.25">
      <c r="A23110" s="318">
        <v>97820890587</v>
      </c>
      <c r="B23110" s="318" t="s">
        <v>236</v>
      </c>
    </row>
    <row r="23111" spans="1:2" ht="12.75" customHeight="1" x14ac:dyDescent="0.25">
      <c r="A23111" s="318">
        <v>97820890588</v>
      </c>
      <c r="B23111" s="318" t="s">
        <v>235</v>
      </c>
    </row>
    <row r="23112" spans="1:2" ht="12.75" customHeight="1" x14ac:dyDescent="0.25">
      <c r="A23112" s="318">
        <v>97820890589</v>
      </c>
      <c r="B23112" s="318" t="s">
        <v>236</v>
      </c>
    </row>
    <row r="23113" spans="1:2" ht="12.75" customHeight="1" x14ac:dyDescent="0.25">
      <c r="A23113" s="318">
        <v>97820890590</v>
      </c>
      <c r="B23113" s="318" t="s">
        <v>235</v>
      </c>
    </row>
    <row r="23114" spans="1:2" ht="12.75" customHeight="1" x14ac:dyDescent="0.25">
      <c r="A23114" s="318">
        <v>97820890591</v>
      </c>
      <c r="B23114" s="318" t="s">
        <v>236</v>
      </c>
    </row>
    <row r="23115" spans="1:2" ht="12.75" customHeight="1" x14ac:dyDescent="0.25">
      <c r="A23115" s="318">
        <v>97820890592</v>
      </c>
      <c r="B23115" s="318" t="s">
        <v>235</v>
      </c>
    </row>
    <row r="23116" spans="1:2" ht="12.75" customHeight="1" x14ac:dyDescent="0.25">
      <c r="A23116" s="318">
        <v>97820890593</v>
      </c>
      <c r="B23116" s="318" t="s">
        <v>236</v>
      </c>
    </row>
    <row r="23117" spans="1:2" ht="12.75" customHeight="1" x14ac:dyDescent="0.25">
      <c r="A23117" s="318">
        <v>97820890594</v>
      </c>
      <c r="B23117" s="318" t="s">
        <v>235</v>
      </c>
    </row>
    <row r="23118" spans="1:2" ht="12.75" customHeight="1" x14ac:dyDescent="0.25">
      <c r="A23118" s="318">
        <v>97820890596</v>
      </c>
      <c r="B23118" s="318" t="s">
        <v>236</v>
      </c>
    </row>
    <row r="23119" spans="1:2" ht="12.75" customHeight="1" x14ac:dyDescent="0.25">
      <c r="A23119" s="318">
        <v>97820890597</v>
      </c>
      <c r="B23119" s="318" t="s">
        <v>235</v>
      </c>
    </row>
    <row r="23120" spans="1:2" ht="12.75" customHeight="1" x14ac:dyDescent="0.25">
      <c r="A23120" s="318">
        <v>97820890598</v>
      </c>
      <c r="B23120" s="318" t="s">
        <v>236</v>
      </c>
    </row>
    <row r="23121" spans="1:2" ht="12.75" customHeight="1" x14ac:dyDescent="0.25">
      <c r="A23121" s="318">
        <v>97820890599</v>
      </c>
      <c r="B23121" s="318" t="s">
        <v>235</v>
      </c>
    </row>
    <row r="23122" spans="1:2" ht="12.75" customHeight="1" x14ac:dyDescent="0.25">
      <c r="A23122" s="318">
        <v>97820890600</v>
      </c>
      <c r="B23122" s="318" t="s">
        <v>236</v>
      </c>
    </row>
    <row r="23123" spans="1:2" ht="12.75" customHeight="1" x14ac:dyDescent="0.25">
      <c r="A23123" s="318">
        <v>97820890601</v>
      </c>
      <c r="B23123" s="318" t="s">
        <v>235</v>
      </c>
    </row>
    <row r="23124" spans="1:2" ht="12.75" customHeight="1" x14ac:dyDescent="0.25">
      <c r="A23124" s="318">
        <v>97820890602</v>
      </c>
      <c r="B23124" s="318" t="s">
        <v>236</v>
      </c>
    </row>
    <row r="23125" spans="1:2" ht="12.75" customHeight="1" x14ac:dyDescent="0.25">
      <c r="A23125" s="318">
        <v>97820890603</v>
      </c>
      <c r="B23125" s="318" t="s">
        <v>235</v>
      </c>
    </row>
    <row r="23126" spans="1:2" ht="12.75" customHeight="1" x14ac:dyDescent="0.25">
      <c r="A23126" s="318">
        <v>97820890687</v>
      </c>
      <c r="B23126" s="318" t="s">
        <v>236</v>
      </c>
    </row>
    <row r="23127" spans="1:2" ht="12.75" customHeight="1" x14ac:dyDescent="0.25">
      <c r="A23127" s="318">
        <v>97820890688</v>
      </c>
      <c r="B23127" s="318" t="s">
        <v>235</v>
      </c>
    </row>
    <row r="23128" spans="1:2" ht="12.75" customHeight="1" x14ac:dyDescent="0.25">
      <c r="A23128" s="318">
        <v>97820890689</v>
      </c>
      <c r="B23128" s="318" t="s">
        <v>236</v>
      </c>
    </row>
    <row r="23129" spans="1:2" ht="12.75" customHeight="1" x14ac:dyDescent="0.25">
      <c r="A23129" s="318">
        <v>97820890690</v>
      </c>
      <c r="B23129" s="318" t="s">
        <v>235</v>
      </c>
    </row>
    <row r="23130" spans="1:2" ht="12.75" customHeight="1" x14ac:dyDescent="0.25">
      <c r="A23130" s="318">
        <v>97820890691</v>
      </c>
      <c r="B23130" s="318" t="s">
        <v>236</v>
      </c>
    </row>
    <row r="23131" spans="1:2" ht="12.75" customHeight="1" x14ac:dyDescent="0.25">
      <c r="A23131" s="318">
        <v>97820890692</v>
      </c>
      <c r="B23131" s="318" t="s">
        <v>235</v>
      </c>
    </row>
    <row r="23132" spans="1:2" ht="12.75" customHeight="1" x14ac:dyDescent="0.25">
      <c r="A23132" s="318">
        <v>97820890693</v>
      </c>
      <c r="B23132" s="318" t="s">
        <v>236</v>
      </c>
    </row>
    <row r="23133" spans="1:2" ht="12.75" customHeight="1" x14ac:dyDescent="0.25">
      <c r="A23133" s="318">
        <v>97820890694</v>
      </c>
      <c r="B23133" s="318" t="s">
        <v>235</v>
      </c>
    </row>
    <row r="23134" spans="1:2" ht="12.75" customHeight="1" x14ac:dyDescent="0.25">
      <c r="A23134" s="318">
        <v>97820890696</v>
      </c>
      <c r="B23134" s="318" t="s">
        <v>236</v>
      </c>
    </row>
    <row r="23135" spans="1:2" ht="12.75" customHeight="1" x14ac:dyDescent="0.25">
      <c r="A23135" s="318">
        <v>97820890697</v>
      </c>
      <c r="B23135" s="318" t="s">
        <v>235</v>
      </c>
    </row>
    <row r="23136" spans="1:2" ht="12.75" customHeight="1" x14ac:dyDescent="0.25">
      <c r="A23136" s="318">
        <v>97820890698</v>
      </c>
      <c r="B23136" s="318" t="s">
        <v>236</v>
      </c>
    </row>
    <row r="23137" spans="1:2" ht="12.75" customHeight="1" x14ac:dyDescent="0.25">
      <c r="A23137" s="318">
        <v>97820890699</v>
      </c>
      <c r="B23137" s="318" t="s">
        <v>235</v>
      </c>
    </row>
    <row r="23138" spans="1:2" ht="12.75" customHeight="1" x14ac:dyDescent="0.25">
      <c r="A23138" s="318">
        <v>97820890700</v>
      </c>
      <c r="B23138" s="318" t="s">
        <v>236</v>
      </c>
    </row>
    <row r="23139" spans="1:2" ht="12.75" customHeight="1" x14ac:dyDescent="0.25">
      <c r="A23139" s="318">
        <v>97820890701</v>
      </c>
      <c r="B23139" s="318" t="s">
        <v>235</v>
      </c>
    </row>
    <row r="23140" spans="1:2" ht="12.75" customHeight="1" x14ac:dyDescent="0.25">
      <c r="A23140" s="318">
        <v>97820890702</v>
      </c>
      <c r="B23140" s="318" t="s">
        <v>236</v>
      </c>
    </row>
    <row r="23141" spans="1:2" ht="12.75" customHeight="1" x14ac:dyDescent="0.25">
      <c r="A23141" s="318">
        <v>97820890703</v>
      </c>
      <c r="B23141" s="318" t="s">
        <v>235</v>
      </c>
    </row>
    <row r="23142" spans="1:2" ht="12.75" customHeight="1" x14ac:dyDescent="0.25">
      <c r="A23142" s="318">
        <v>97821371560</v>
      </c>
      <c r="B23142" s="318" t="s">
        <v>236</v>
      </c>
    </row>
    <row r="23143" spans="1:2" ht="12.75" customHeight="1" x14ac:dyDescent="0.25">
      <c r="A23143" s="318">
        <v>97821371561</v>
      </c>
      <c r="B23143" s="318" t="s">
        <v>235</v>
      </c>
    </row>
    <row r="23144" spans="1:2" ht="12.75" customHeight="1" x14ac:dyDescent="0.25">
      <c r="A23144" s="318">
        <v>97821371562</v>
      </c>
      <c r="B23144" s="318" t="s">
        <v>236</v>
      </c>
    </row>
    <row r="23145" spans="1:2" ht="12.75" customHeight="1" x14ac:dyDescent="0.25">
      <c r="A23145" s="318">
        <v>97821371563</v>
      </c>
      <c r="B23145" s="318" t="s">
        <v>235</v>
      </c>
    </row>
    <row r="23146" spans="1:2" ht="12.75" customHeight="1" x14ac:dyDescent="0.25">
      <c r="A23146" s="318">
        <v>97821371564</v>
      </c>
      <c r="B23146" s="318" t="s">
        <v>236</v>
      </c>
    </row>
    <row r="23147" spans="1:2" ht="12.75" customHeight="1" x14ac:dyDescent="0.25">
      <c r="A23147" s="318">
        <v>97821371565</v>
      </c>
      <c r="B23147" s="318" t="s">
        <v>235</v>
      </c>
    </row>
    <row r="23148" spans="1:2" ht="12.75" customHeight="1" x14ac:dyDescent="0.25">
      <c r="A23148" s="318">
        <v>97821371566</v>
      </c>
      <c r="B23148" s="318" t="s">
        <v>236</v>
      </c>
    </row>
    <row r="23149" spans="1:2" ht="12.75" customHeight="1" x14ac:dyDescent="0.25">
      <c r="A23149" s="318">
        <v>97821371567</v>
      </c>
      <c r="B23149" s="318" t="s">
        <v>235</v>
      </c>
    </row>
    <row r="23150" spans="1:2" ht="12.75" customHeight="1" x14ac:dyDescent="0.25">
      <c r="A23150" s="318">
        <v>97821371569</v>
      </c>
      <c r="B23150" s="318" t="s">
        <v>236</v>
      </c>
    </row>
    <row r="23151" spans="1:2" ht="12.75" customHeight="1" x14ac:dyDescent="0.25">
      <c r="A23151" s="318">
        <v>97821371570</v>
      </c>
      <c r="B23151" s="318" t="s">
        <v>235</v>
      </c>
    </row>
    <row r="23152" spans="1:2" ht="12.75" customHeight="1" x14ac:dyDescent="0.25">
      <c r="A23152" s="318">
        <v>97821371571</v>
      </c>
      <c r="B23152" s="318" t="s">
        <v>236</v>
      </c>
    </row>
    <row r="23153" spans="1:2" ht="12.75" customHeight="1" x14ac:dyDescent="0.25">
      <c r="A23153" s="318">
        <v>97821371572</v>
      </c>
      <c r="B23153" s="318" t="s">
        <v>235</v>
      </c>
    </row>
    <row r="23154" spans="1:2" ht="12.75" customHeight="1" x14ac:dyDescent="0.25">
      <c r="A23154" s="318">
        <v>97821371573</v>
      </c>
      <c r="B23154" s="318" t="s">
        <v>236</v>
      </c>
    </row>
    <row r="23155" spans="1:2" ht="12.75" customHeight="1" x14ac:dyDescent="0.25">
      <c r="A23155" s="318">
        <v>97821371574</v>
      </c>
      <c r="B23155" s="318" t="s">
        <v>235</v>
      </c>
    </row>
    <row r="23156" spans="1:2" ht="12.75" customHeight="1" x14ac:dyDescent="0.25">
      <c r="A23156" s="318">
        <v>97821371575</v>
      </c>
      <c r="B23156" s="318" t="s">
        <v>236</v>
      </c>
    </row>
    <row r="23157" spans="1:2" ht="12.75" customHeight="1" x14ac:dyDescent="0.25">
      <c r="A23157" s="318">
        <v>97821371576</v>
      </c>
      <c r="B23157" s="318" t="s">
        <v>235</v>
      </c>
    </row>
    <row r="23158" spans="1:2" ht="12.75" customHeight="1" x14ac:dyDescent="0.25">
      <c r="A23158" s="318">
        <v>97821371660</v>
      </c>
      <c r="B23158" s="318" t="s">
        <v>236</v>
      </c>
    </row>
    <row r="23159" spans="1:2" ht="12.75" customHeight="1" x14ac:dyDescent="0.25">
      <c r="A23159" s="318">
        <v>97821371661</v>
      </c>
      <c r="B23159" s="318" t="s">
        <v>235</v>
      </c>
    </row>
    <row r="23160" spans="1:2" ht="12.75" customHeight="1" x14ac:dyDescent="0.25">
      <c r="A23160" s="318">
        <v>97821371662</v>
      </c>
      <c r="B23160" s="318" t="s">
        <v>236</v>
      </c>
    </row>
    <row r="23161" spans="1:2" ht="12.75" customHeight="1" x14ac:dyDescent="0.25">
      <c r="A23161" s="318">
        <v>97821371663</v>
      </c>
      <c r="B23161" s="318" t="s">
        <v>235</v>
      </c>
    </row>
    <row r="23162" spans="1:2" ht="12.75" customHeight="1" x14ac:dyDescent="0.25">
      <c r="A23162" s="318">
        <v>97821371664</v>
      </c>
      <c r="B23162" s="318" t="s">
        <v>236</v>
      </c>
    </row>
    <row r="23163" spans="1:2" ht="12.75" customHeight="1" x14ac:dyDescent="0.25">
      <c r="A23163" s="318">
        <v>97821371665</v>
      </c>
      <c r="B23163" s="318" t="s">
        <v>235</v>
      </c>
    </row>
    <row r="23164" spans="1:2" ht="12.75" customHeight="1" x14ac:dyDescent="0.25">
      <c r="A23164" s="318">
        <v>97821371666</v>
      </c>
      <c r="B23164" s="318" t="s">
        <v>236</v>
      </c>
    </row>
    <row r="23165" spans="1:2" ht="12.75" customHeight="1" x14ac:dyDescent="0.25">
      <c r="A23165" s="318">
        <v>97821371667</v>
      </c>
      <c r="B23165" s="318" t="s">
        <v>235</v>
      </c>
    </row>
    <row r="23166" spans="1:2" ht="12.75" customHeight="1" x14ac:dyDescent="0.25">
      <c r="A23166" s="318">
        <v>97821371669</v>
      </c>
      <c r="B23166" s="318" t="s">
        <v>236</v>
      </c>
    </row>
    <row r="23167" spans="1:2" ht="12.75" customHeight="1" x14ac:dyDescent="0.25">
      <c r="A23167" s="318">
        <v>97821371670</v>
      </c>
      <c r="B23167" s="318" t="s">
        <v>235</v>
      </c>
    </row>
    <row r="23168" spans="1:2" ht="12.75" customHeight="1" x14ac:dyDescent="0.25">
      <c r="A23168" s="318">
        <v>97821371671</v>
      </c>
      <c r="B23168" s="318" t="s">
        <v>236</v>
      </c>
    </row>
    <row r="23169" spans="1:2" ht="12.75" customHeight="1" x14ac:dyDescent="0.25">
      <c r="A23169" s="318">
        <v>97821371672</v>
      </c>
      <c r="B23169" s="318" t="s">
        <v>235</v>
      </c>
    </row>
    <row r="23170" spans="1:2" ht="12.75" customHeight="1" x14ac:dyDescent="0.25">
      <c r="A23170" s="318">
        <v>97821371673</v>
      </c>
      <c r="B23170" s="318" t="s">
        <v>236</v>
      </c>
    </row>
    <row r="23171" spans="1:2" ht="12.75" customHeight="1" x14ac:dyDescent="0.25">
      <c r="A23171" s="318">
        <v>97821371674</v>
      </c>
      <c r="B23171" s="318" t="s">
        <v>235</v>
      </c>
    </row>
    <row r="23172" spans="1:2" ht="12.75" customHeight="1" x14ac:dyDescent="0.25">
      <c r="A23172" s="318">
        <v>97821371675</v>
      </c>
      <c r="B23172" s="318" t="s">
        <v>236</v>
      </c>
    </row>
    <row r="23173" spans="1:2" ht="12.75" customHeight="1" x14ac:dyDescent="0.25">
      <c r="A23173" s="318">
        <v>97821371676</v>
      </c>
      <c r="B23173" s="318" t="s">
        <v>235</v>
      </c>
    </row>
    <row r="23174" spans="1:2" ht="12.75" customHeight="1" x14ac:dyDescent="0.25">
      <c r="A23174" s="318">
        <v>97821852533</v>
      </c>
      <c r="B23174" s="318" t="s">
        <v>236</v>
      </c>
    </row>
    <row r="23175" spans="1:2" ht="12.75" customHeight="1" x14ac:dyDescent="0.25">
      <c r="A23175" s="318">
        <v>97821852534</v>
      </c>
      <c r="B23175" s="318" t="s">
        <v>235</v>
      </c>
    </row>
    <row r="23176" spans="1:2" ht="12.75" customHeight="1" x14ac:dyDescent="0.25">
      <c r="A23176" s="318">
        <v>97821852535</v>
      </c>
      <c r="B23176" s="318" t="s">
        <v>236</v>
      </c>
    </row>
    <row r="23177" spans="1:2" ht="12.75" customHeight="1" x14ac:dyDescent="0.25">
      <c r="A23177" s="318">
        <v>97821852536</v>
      </c>
      <c r="B23177" s="318" t="s">
        <v>235</v>
      </c>
    </row>
    <row r="23178" spans="1:2" ht="12.75" customHeight="1" x14ac:dyDescent="0.25">
      <c r="A23178" s="318">
        <v>97821852537</v>
      </c>
      <c r="B23178" s="318" t="s">
        <v>236</v>
      </c>
    </row>
    <row r="23179" spans="1:2" ht="12.75" customHeight="1" x14ac:dyDescent="0.25">
      <c r="A23179" s="318">
        <v>97821852538</v>
      </c>
      <c r="B23179" s="318" t="s">
        <v>235</v>
      </c>
    </row>
    <row r="23180" spans="1:2" ht="12.75" customHeight="1" x14ac:dyDescent="0.25">
      <c r="A23180" s="318">
        <v>97821852539</v>
      </c>
      <c r="B23180" s="318" t="s">
        <v>236</v>
      </c>
    </row>
    <row r="23181" spans="1:2" ht="12.75" customHeight="1" x14ac:dyDescent="0.25">
      <c r="A23181" s="318">
        <v>97821852540</v>
      </c>
      <c r="B23181" s="318" t="s">
        <v>235</v>
      </c>
    </row>
    <row r="23182" spans="1:2" ht="12.75" customHeight="1" x14ac:dyDescent="0.25">
      <c r="A23182" s="318">
        <v>97821852542</v>
      </c>
      <c r="B23182" s="318" t="s">
        <v>236</v>
      </c>
    </row>
    <row r="23183" spans="1:2" ht="12.75" customHeight="1" x14ac:dyDescent="0.25">
      <c r="A23183" s="318">
        <v>97821852543</v>
      </c>
      <c r="B23183" s="318" t="s">
        <v>235</v>
      </c>
    </row>
    <row r="23184" spans="1:2" ht="12.75" customHeight="1" x14ac:dyDescent="0.25">
      <c r="A23184" s="318">
        <v>97821852544</v>
      </c>
      <c r="B23184" s="318" t="s">
        <v>236</v>
      </c>
    </row>
    <row r="23185" spans="1:2" ht="12.75" customHeight="1" x14ac:dyDescent="0.25">
      <c r="A23185" s="318">
        <v>97821852545</v>
      </c>
      <c r="B23185" s="318" t="s">
        <v>235</v>
      </c>
    </row>
    <row r="23186" spans="1:2" ht="12.75" customHeight="1" x14ac:dyDescent="0.25">
      <c r="A23186" s="318">
        <v>97821852546</v>
      </c>
      <c r="B23186" s="318" t="s">
        <v>236</v>
      </c>
    </row>
    <row r="23187" spans="1:2" ht="12.75" customHeight="1" x14ac:dyDescent="0.25">
      <c r="A23187" s="318">
        <v>97821852547</v>
      </c>
      <c r="B23187" s="318" t="s">
        <v>235</v>
      </c>
    </row>
    <row r="23188" spans="1:2" ht="12.75" customHeight="1" x14ac:dyDescent="0.25">
      <c r="A23188" s="318">
        <v>97821852548</v>
      </c>
      <c r="B23188" s="318" t="s">
        <v>236</v>
      </c>
    </row>
    <row r="23189" spans="1:2" ht="12.75" customHeight="1" x14ac:dyDescent="0.25">
      <c r="A23189" s="318">
        <v>97821852549</v>
      </c>
      <c r="B23189" s="318" t="s">
        <v>235</v>
      </c>
    </row>
    <row r="23190" spans="1:2" ht="12.75" customHeight="1" x14ac:dyDescent="0.25">
      <c r="A23190" s="318">
        <v>97821852633</v>
      </c>
      <c r="B23190" s="318" t="s">
        <v>236</v>
      </c>
    </row>
    <row r="23191" spans="1:2" ht="12.75" customHeight="1" x14ac:dyDescent="0.25">
      <c r="A23191" s="318">
        <v>97821852634</v>
      </c>
      <c r="B23191" s="318" t="s">
        <v>235</v>
      </c>
    </row>
    <row r="23192" spans="1:2" ht="12.75" customHeight="1" x14ac:dyDescent="0.25">
      <c r="A23192" s="318">
        <v>97821852635</v>
      </c>
      <c r="B23192" s="318" t="s">
        <v>236</v>
      </c>
    </row>
    <row r="23193" spans="1:2" ht="12.75" customHeight="1" x14ac:dyDescent="0.25">
      <c r="A23193" s="318">
        <v>97821852636</v>
      </c>
      <c r="B23193" s="318" t="s">
        <v>235</v>
      </c>
    </row>
    <row r="23194" spans="1:2" ht="12.75" customHeight="1" x14ac:dyDescent="0.25">
      <c r="A23194" s="318">
        <v>97821852637</v>
      </c>
      <c r="B23194" s="318" t="s">
        <v>236</v>
      </c>
    </row>
    <row r="23195" spans="1:2" ht="12.75" customHeight="1" x14ac:dyDescent="0.25">
      <c r="A23195" s="318">
        <v>97821852638</v>
      </c>
      <c r="B23195" s="318" t="s">
        <v>235</v>
      </c>
    </row>
    <row r="23196" spans="1:2" ht="12.75" customHeight="1" x14ac:dyDescent="0.25">
      <c r="A23196" s="318">
        <v>97821852639</v>
      </c>
      <c r="B23196" s="318" t="s">
        <v>236</v>
      </c>
    </row>
    <row r="23197" spans="1:2" ht="12.75" customHeight="1" x14ac:dyDescent="0.25">
      <c r="A23197" s="318">
        <v>97821852640</v>
      </c>
      <c r="B23197" s="318" t="s">
        <v>235</v>
      </c>
    </row>
    <row r="23198" spans="1:2" ht="12.75" customHeight="1" x14ac:dyDescent="0.25">
      <c r="A23198" s="318">
        <v>97821852642</v>
      </c>
      <c r="B23198" s="318" t="s">
        <v>236</v>
      </c>
    </row>
    <row r="23199" spans="1:2" ht="12.75" customHeight="1" x14ac:dyDescent="0.25">
      <c r="A23199" s="318">
        <v>97821852643</v>
      </c>
      <c r="B23199" s="318" t="s">
        <v>235</v>
      </c>
    </row>
    <row r="23200" spans="1:2" ht="12.75" customHeight="1" x14ac:dyDescent="0.25">
      <c r="A23200" s="318">
        <v>97821852644</v>
      </c>
      <c r="B23200" s="318" t="s">
        <v>236</v>
      </c>
    </row>
    <row r="23201" spans="1:2" ht="12.75" customHeight="1" x14ac:dyDescent="0.25">
      <c r="A23201" s="318">
        <v>97821852645</v>
      </c>
      <c r="B23201" s="318" t="s">
        <v>235</v>
      </c>
    </row>
    <row r="23202" spans="1:2" ht="12.75" customHeight="1" x14ac:dyDescent="0.25">
      <c r="A23202" s="318">
        <v>97821852646</v>
      </c>
      <c r="B23202" s="318" t="s">
        <v>236</v>
      </c>
    </row>
    <row r="23203" spans="1:2" ht="12.75" customHeight="1" x14ac:dyDescent="0.25">
      <c r="A23203" s="318">
        <v>97821852647</v>
      </c>
      <c r="B23203" s="318" t="s">
        <v>235</v>
      </c>
    </row>
    <row r="23204" spans="1:2" ht="12.75" customHeight="1" x14ac:dyDescent="0.25">
      <c r="A23204" s="318">
        <v>97821852648</v>
      </c>
      <c r="B23204" s="318" t="s">
        <v>236</v>
      </c>
    </row>
    <row r="23205" spans="1:2" ht="12.75" customHeight="1" x14ac:dyDescent="0.25">
      <c r="A23205" s="318">
        <v>97821852649</v>
      </c>
      <c r="B23205" s="318" t="s">
        <v>235</v>
      </c>
    </row>
    <row r="23206" spans="1:2" ht="12.75" customHeight="1" x14ac:dyDescent="0.25">
      <c r="A23206" s="318">
        <v>97823212914</v>
      </c>
      <c r="B23206" s="318" t="s">
        <v>236</v>
      </c>
    </row>
    <row r="23207" spans="1:2" ht="12.75" customHeight="1" x14ac:dyDescent="0.25">
      <c r="A23207" s="318">
        <v>97823212915</v>
      </c>
      <c r="B23207" s="318" t="s">
        <v>235</v>
      </c>
    </row>
    <row r="23208" spans="1:2" ht="12.75" customHeight="1" x14ac:dyDescent="0.25">
      <c r="A23208" s="318">
        <v>97823212916</v>
      </c>
      <c r="B23208" s="318" t="s">
        <v>236</v>
      </c>
    </row>
    <row r="23209" spans="1:2" ht="12.75" customHeight="1" x14ac:dyDescent="0.25">
      <c r="A23209" s="318">
        <v>97823212917</v>
      </c>
      <c r="B23209" s="318" t="s">
        <v>235</v>
      </c>
    </row>
    <row r="23210" spans="1:2" ht="12.75" customHeight="1" x14ac:dyDescent="0.25">
      <c r="A23210" s="318">
        <v>97823212918</v>
      </c>
      <c r="B23210" s="318" t="s">
        <v>236</v>
      </c>
    </row>
    <row r="23211" spans="1:2" ht="12.75" customHeight="1" x14ac:dyDescent="0.25">
      <c r="A23211" s="318">
        <v>97823212919</v>
      </c>
      <c r="B23211" s="318" t="s">
        <v>235</v>
      </c>
    </row>
    <row r="23212" spans="1:2" ht="12.75" customHeight="1" x14ac:dyDescent="0.25">
      <c r="A23212" s="318">
        <v>97823212920</v>
      </c>
      <c r="B23212" s="318" t="s">
        <v>23</v>
      </c>
    </row>
    <row r="23213" spans="1:2" ht="12.75" customHeight="1" x14ac:dyDescent="0.25">
      <c r="A23213" s="318">
        <v>97823212921</v>
      </c>
      <c r="B23213" s="318" t="s">
        <v>235</v>
      </c>
    </row>
    <row r="23214" spans="1:2" ht="12.75" customHeight="1" x14ac:dyDescent="0.25">
      <c r="A23214" s="318">
        <v>97823212923</v>
      </c>
      <c r="B23214" s="318" t="s">
        <v>237</v>
      </c>
    </row>
    <row r="23215" spans="1:2" ht="12.75" customHeight="1" x14ac:dyDescent="0.25">
      <c r="A23215" s="318">
        <v>97823212924</v>
      </c>
      <c r="B23215" s="318" t="s">
        <v>237</v>
      </c>
    </row>
    <row r="23216" spans="1:2" ht="12.75" customHeight="1" x14ac:dyDescent="0.25">
      <c r="A23216" s="318">
        <v>97823212925</v>
      </c>
      <c r="B23216" s="318" t="s">
        <v>237</v>
      </c>
    </row>
    <row r="23217" spans="1:2" ht="12.75" customHeight="1" x14ac:dyDescent="0.25">
      <c r="A23217" s="318">
        <v>97823212926</v>
      </c>
      <c r="B23217" s="318" t="s">
        <v>237</v>
      </c>
    </row>
    <row r="23218" spans="1:2" ht="12.75" customHeight="1" x14ac:dyDescent="0.25">
      <c r="A23218" s="318">
        <v>97823212927</v>
      </c>
      <c r="B23218" s="318" t="s">
        <v>237</v>
      </c>
    </row>
    <row r="23219" spans="1:2" ht="12.75" customHeight="1" x14ac:dyDescent="0.25">
      <c r="A23219" s="318">
        <v>97823212928</v>
      </c>
      <c r="B23219" s="318" t="s">
        <v>237</v>
      </c>
    </row>
    <row r="23220" spans="1:2" ht="12.75" customHeight="1" x14ac:dyDescent="0.25">
      <c r="A23220" s="318">
        <v>97823212929</v>
      </c>
      <c r="B23220" s="318" t="s">
        <v>237</v>
      </c>
    </row>
    <row r="23221" spans="1:2" ht="12.75" customHeight="1" x14ac:dyDescent="0.25">
      <c r="A23221" s="318">
        <v>97823212930</v>
      </c>
      <c r="B23221" s="318" t="s">
        <v>237</v>
      </c>
    </row>
    <row r="23222" spans="1:2" ht="12.75" customHeight="1" x14ac:dyDescent="0.25">
      <c r="A23222" s="318">
        <v>97823213014</v>
      </c>
      <c r="B23222" s="318" t="s">
        <v>236</v>
      </c>
    </row>
    <row r="23223" spans="1:2" ht="12.75" customHeight="1" x14ac:dyDescent="0.25">
      <c r="A23223" s="318">
        <v>97823213015</v>
      </c>
      <c r="B23223" s="318" t="s">
        <v>235</v>
      </c>
    </row>
    <row r="23224" spans="1:2" ht="12.75" customHeight="1" x14ac:dyDescent="0.25">
      <c r="A23224" s="318">
        <v>97823213016</v>
      </c>
      <c r="B23224" s="318" t="s">
        <v>236</v>
      </c>
    </row>
    <row r="23225" spans="1:2" ht="12.75" customHeight="1" x14ac:dyDescent="0.25">
      <c r="A23225" s="318">
        <v>97823213017</v>
      </c>
      <c r="B23225" s="318" t="s">
        <v>235</v>
      </c>
    </row>
    <row r="23226" spans="1:2" ht="12.75" customHeight="1" x14ac:dyDescent="0.25">
      <c r="A23226" s="318">
        <v>97823213018</v>
      </c>
      <c r="B23226" s="318" t="s">
        <v>236</v>
      </c>
    </row>
    <row r="23227" spans="1:2" ht="12.75" customHeight="1" x14ac:dyDescent="0.25">
      <c r="A23227" s="318">
        <v>97823213019</v>
      </c>
      <c r="B23227" s="318" t="s">
        <v>235</v>
      </c>
    </row>
    <row r="23228" spans="1:2" ht="12.75" customHeight="1" x14ac:dyDescent="0.25">
      <c r="A23228" s="318">
        <v>97823213020</v>
      </c>
      <c r="B23228" s="318" t="s">
        <v>23</v>
      </c>
    </row>
    <row r="23229" spans="1:2" ht="12.75" customHeight="1" x14ac:dyDescent="0.25">
      <c r="A23229" s="318">
        <v>97823213021</v>
      </c>
      <c r="B23229" s="318" t="s">
        <v>235</v>
      </c>
    </row>
    <row r="23230" spans="1:2" ht="12.75" customHeight="1" x14ac:dyDescent="0.25">
      <c r="A23230" s="318">
        <v>97823213023</v>
      </c>
      <c r="B23230" s="318" t="s">
        <v>237</v>
      </c>
    </row>
    <row r="23231" spans="1:2" ht="12.75" customHeight="1" x14ac:dyDescent="0.25">
      <c r="A23231" s="318">
        <v>97823213024</v>
      </c>
      <c r="B23231" s="318" t="s">
        <v>237</v>
      </c>
    </row>
    <row r="23232" spans="1:2" ht="12.75" customHeight="1" x14ac:dyDescent="0.25">
      <c r="A23232" s="318">
        <v>97823213025</v>
      </c>
      <c r="B23232" s="318" t="s">
        <v>237</v>
      </c>
    </row>
    <row r="23233" spans="1:2" ht="12.75" customHeight="1" x14ac:dyDescent="0.25">
      <c r="A23233" s="318">
        <v>97823213026</v>
      </c>
      <c r="B23233" s="318" t="s">
        <v>237</v>
      </c>
    </row>
    <row r="23234" spans="1:2" ht="12.75" customHeight="1" x14ac:dyDescent="0.25">
      <c r="A23234" s="318">
        <v>97823213027</v>
      </c>
      <c r="B23234" s="318" t="s">
        <v>237</v>
      </c>
    </row>
    <row r="23235" spans="1:2" ht="12.75" customHeight="1" x14ac:dyDescent="0.25">
      <c r="A23235" s="318">
        <v>97823213028</v>
      </c>
      <c r="B23235" s="318" t="s">
        <v>237</v>
      </c>
    </row>
    <row r="23236" spans="1:2" ht="12.75" customHeight="1" x14ac:dyDescent="0.25">
      <c r="A23236" s="318">
        <v>97823213029</v>
      </c>
      <c r="B23236" s="318" t="s">
        <v>237</v>
      </c>
    </row>
    <row r="23237" spans="1:2" ht="12.75" customHeight="1" x14ac:dyDescent="0.25">
      <c r="A23237" s="318">
        <v>97823213030</v>
      </c>
      <c r="B23237" s="318" t="s">
        <v>237</v>
      </c>
    </row>
    <row r="23238" spans="1:2" ht="12.75" customHeight="1" x14ac:dyDescent="0.25">
      <c r="A23238" s="318">
        <v>97823693887</v>
      </c>
      <c r="B23238" s="318" t="s">
        <v>236</v>
      </c>
    </row>
    <row r="23239" spans="1:2" ht="12.75" customHeight="1" x14ac:dyDescent="0.25">
      <c r="A23239" s="318">
        <v>97823693888</v>
      </c>
      <c r="B23239" s="318" t="s">
        <v>235</v>
      </c>
    </row>
    <row r="23240" spans="1:2" ht="12.75" customHeight="1" x14ac:dyDescent="0.25">
      <c r="A23240" s="318">
        <v>97823693889</v>
      </c>
      <c r="B23240" s="318" t="s">
        <v>236</v>
      </c>
    </row>
    <row r="23241" spans="1:2" ht="12.75" customHeight="1" x14ac:dyDescent="0.25">
      <c r="A23241" s="318">
        <v>97823693890</v>
      </c>
      <c r="B23241" s="318" t="s">
        <v>235</v>
      </c>
    </row>
    <row r="23242" spans="1:2" ht="12.75" customHeight="1" x14ac:dyDescent="0.25">
      <c r="A23242" s="318">
        <v>97823693891</v>
      </c>
      <c r="B23242" s="318" t="s">
        <v>236</v>
      </c>
    </row>
    <row r="23243" spans="1:2" ht="12.75" customHeight="1" x14ac:dyDescent="0.25">
      <c r="A23243" s="318">
        <v>97823693892</v>
      </c>
      <c r="B23243" s="318" t="s">
        <v>235</v>
      </c>
    </row>
    <row r="23244" spans="1:2" ht="12.75" customHeight="1" x14ac:dyDescent="0.25">
      <c r="A23244" s="318">
        <v>97823693893</v>
      </c>
      <c r="B23244" s="318" t="s">
        <v>23</v>
      </c>
    </row>
    <row r="23245" spans="1:2" ht="12.75" customHeight="1" x14ac:dyDescent="0.25">
      <c r="A23245" s="318">
        <v>97823693894</v>
      </c>
      <c r="B23245" s="318" t="s">
        <v>235</v>
      </c>
    </row>
    <row r="23246" spans="1:2" ht="12.75" customHeight="1" x14ac:dyDescent="0.25">
      <c r="A23246" s="318">
        <v>97823693896</v>
      </c>
      <c r="B23246" s="318" t="s">
        <v>237</v>
      </c>
    </row>
    <row r="23247" spans="1:2" ht="12.75" customHeight="1" x14ac:dyDescent="0.25">
      <c r="A23247" s="318">
        <v>97823693897</v>
      </c>
      <c r="B23247" s="318" t="s">
        <v>237</v>
      </c>
    </row>
    <row r="23248" spans="1:2" ht="12.75" customHeight="1" x14ac:dyDescent="0.25">
      <c r="A23248" s="318">
        <v>97823693898</v>
      </c>
      <c r="B23248" s="318" t="s">
        <v>237</v>
      </c>
    </row>
    <row r="23249" spans="1:2" ht="12.75" customHeight="1" x14ac:dyDescent="0.25">
      <c r="A23249" s="318">
        <v>97823693899</v>
      </c>
      <c r="B23249" s="318" t="s">
        <v>237</v>
      </c>
    </row>
    <row r="23250" spans="1:2" ht="12.75" customHeight="1" x14ac:dyDescent="0.25">
      <c r="A23250" s="318">
        <v>97823693900</v>
      </c>
      <c r="B23250" s="318" t="s">
        <v>237</v>
      </c>
    </row>
    <row r="23251" spans="1:2" ht="12.75" customHeight="1" x14ac:dyDescent="0.25">
      <c r="A23251" s="318">
        <v>97823693901</v>
      </c>
      <c r="B23251" s="318" t="s">
        <v>237</v>
      </c>
    </row>
    <row r="23252" spans="1:2" ht="12.75" customHeight="1" x14ac:dyDescent="0.25">
      <c r="A23252" s="318">
        <v>97823693902</v>
      </c>
      <c r="B23252" s="318" t="s">
        <v>237</v>
      </c>
    </row>
    <row r="23253" spans="1:2" ht="12.75" customHeight="1" x14ac:dyDescent="0.25">
      <c r="A23253" s="318">
        <v>97823693903</v>
      </c>
      <c r="B23253" s="318" t="s">
        <v>237</v>
      </c>
    </row>
    <row r="23254" spans="1:2" ht="12.75" customHeight="1" x14ac:dyDescent="0.25">
      <c r="A23254" s="318">
        <v>97823693987</v>
      </c>
      <c r="B23254" s="318" t="s">
        <v>236</v>
      </c>
    </row>
    <row r="23255" spans="1:2" ht="12.75" customHeight="1" x14ac:dyDescent="0.25">
      <c r="A23255" s="318">
        <v>97823693988</v>
      </c>
      <c r="B23255" s="318" t="s">
        <v>235</v>
      </c>
    </row>
    <row r="23256" spans="1:2" ht="12.75" customHeight="1" x14ac:dyDescent="0.25">
      <c r="A23256" s="318">
        <v>97823693989</v>
      </c>
      <c r="B23256" s="318" t="s">
        <v>236</v>
      </c>
    </row>
    <row r="23257" spans="1:2" ht="12.75" customHeight="1" x14ac:dyDescent="0.25">
      <c r="A23257" s="318">
        <v>97823693990</v>
      </c>
      <c r="B23257" s="318" t="s">
        <v>235</v>
      </c>
    </row>
    <row r="23258" spans="1:2" ht="12.75" customHeight="1" x14ac:dyDescent="0.25">
      <c r="A23258" s="318">
        <v>97823693991</v>
      </c>
      <c r="B23258" s="318" t="s">
        <v>236</v>
      </c>
    </row>
    <row r="23259" spans="1:2" ht="12.75" customHeight="1" x14ac:dyDescent="0.25">
      <c r="A23259" s="318">
        <v>97823693992</v>
      </c>
      <c r="B23259" s="318" t="s">
        <v>235</v>
      </c>
    </row>
    <row r="23260" spans="1:2" ht="12.75" customHeight="1" x14ac:dyDescent="0.25">
      <c r="A23260" s="318">
        <v>97823693993</v>
      </c>
      <c r="B23260" s="318" t="s">
        <v>23</v>
      </c>
    </row>
    <row r="23261" spans="1:2" ht="12.75" customHeight="1" x14ac:dyDescent="0.25">
      <c r="A23261" s="318">
        <v>97823693994</v>
      </c>
      <c r="B23261" s="318" t="s">
        <v>235</v>
      </c>
    </row>
    <row r="23262" spans="1:2" ht="12.75" customHeight="1" x14ac:dyDescent="0.25">
      <c r="A23262" s="318">
        <v>97823693996</v>
      </c>
      <c r="B23262" s="318" t="s">
        <v>237</v>
      </c>
    </row>
    <row r="23263" spans="1:2" ht="12.75" customHeight="1" x14ac:dyDescent="0.25">
      <c r="A23263" s="318">
        <v>97823693997</v>
      </c>
      <c r="B23263" s="318" t="s">
        <v>237</v>
      </c>
    </row>
    <row r="23264" spans="1:2" ht="12.75" customHeight="1" x14ac:dyDescent="0.25">
      <c r="A23264" s="318">
        <v>97823693998</v>
      </c>
      <c r="B23264" s="318" t="s">
        <v>237</v>
      </c>
    </row>
    <row r="23265" spans="1:2" ht="12.75" customHeight="1" x14ac:dyDescent="0.25">
      <c r="A23265" s="318">
        <v>97823693999</v>
      </c>
      <c r="B23265" s="318" t="s">
        <v>237</v>
      </c>
    </row>
    <row r="23266" spans="1:2" ht="12.75" customHeight="1" x14ac:dyDescent="0.25">
      <c r="A23266" s="318">
        <v>97823694000</v>
      </c>
      <c r="B23266" s="318" t="s">
        <v>237</v>
      </c>
    </row>
    <row r="23267" spans="1:2" ht="12.75" customHeight="1" x14ac:dyDescent="0.25">
      <c r="A23267" s="318">
        <v>97823694001</v>
      </c>
      <c r="B23267" s="318" t="s">
        <v>237</v>
      </c>
    </row>
    <row r="23268" spans="1:2" ht="12.75" customHeight="1" x14ac:dyDescent="0.25">
      <c r="A23268" s="318">
        <v>97823694002</v>
      </c>
      <c r="B23268" s="318" t="s">
        <v>237</v>
      </c>
    </row>
    <row r="23269" spans="1:2" ht="12.75" customHeight="1" x14ac:dyDescent="0.25">
      <c r="A23269" s="318">
        <v>97823694003</v>
      </c>
      <c r="B23269" s="318" t="s">
        <v>237</v>
      </c>
    </row>
    <row r="23270" spans="1:2" ht="12.75" customHeight="1" x14ac:dyDescent="0.25">
      <c r="A23270" s="318">
        <v>97824174860</v>
      </c>
      <c r="B23270" s="318" t="s">
        <v>236</v>
      </c>
    </row>
    <row r="23271" spans="1:2" ht="12.75" customHeight="1" x14ac:dyDescent="0.25">
      <c r="A23271" s="318">
        <v>97824174861</v>
      </c>
      <c r="B23271" s="318" t="s">
        <v>235</v>
      </c>
    </row>
    <row r="23272" spans="1:2" ht="12.75" customHeight="1" x14ac:dyDescent="0.25">
      <c r="A23272" s="318">
        <v>97824174862</v>
      </c>
      <c r="B23272" s="318" t="s">
        <v>236</v>
      </c>
    </row>
    <row r="23273" spans="1:2" ht="12.75" customHeight="1" x14ac:dyDescent="0.25">
      <c r="A23273" s="318">
        <v>97824174863</v>
      </c>
      <c r="B23273" s="318" t="s">
        <v>235</v>
      </c>
    </row>
    <row r="23274" spans="1:2" ht="12.75" customHeight="1" x14ac:dyDescent="0.25">
      <c r="A23274" s="318">
        <v>97824174864</v>
      </c>
      <c r="B23274" s="318" t="s">
        <v>236</v>
      </c>
    </row>
    <row r="23275" spans="1:2" ht="12.75" customHeight="1" x14ac:dyDescent="0.25">
      <c r="A23275" s="318">
        <v>97824174865</v>
      </c>
      <c r="B23275" s="318" t="s">
        <v>235</v>
      </c>
    </row>
    <row r="23276" spans="1:2" ht="12.75" customHeight="1" x14ac:dyDescent="0.25">
      <c r="A23276" s="318">
        <v>97824174866</v>
      </c>
      <c r="B23276" s="318" t="s">
        <v>236</v>
      </c>
    </row>
    <row r="23277" spans="1:2" ht="12.75" customHeight="1" x14ac:dyDescent="0.25">
      <c r="A23277" s="318">
        <v>97824174867</v>
      </c>
      <c r="B23277" s="318" t="s">
        <v>235</v>
      </c>
    </row>
    <row r="23278" spans="1:2" ht="12.75" customHeight="1" x14ac:dyDescent="0.25">
      <c r="A23278" s="318">
        <v>97824174869</v>
      </c>
      <c r="B23278" s="318" t="s">
        <v>236</v>
      </c>
    </row>
    <row r="23279" spans="1:2" ht="12.75" customHeight="1" x14ac:dyDescent="0.25">
      <c r="A23279" s="318">
        <v>97824174870</v>
      </c>
      <c r="B23279" s="318" t="s">
        <v>235</v>
      </c>
    </row>
    <row r="23280" spans="1:2" ht="12.75" customHeight="1" x14ac:dyDescent="0.25">
      <c r="A23280" s="318">
        <v>97824174871</v>
      </c>
      <c r="B23280" s="318" t="s">
        <v>236</v>
      </c>
    </row>
    <row r="23281" spans="1:2" ht="12.75" customHeight="1" x14ac:dyDescent="0.25">
      <c r="A23281" s="318">
        <v>97824174872</v>
      </c>
      <c r="B23281" s="318" t="s">
        <v>235</v>
      </c>
    </row>
    <row r="23282" spans="1:2" ht="12.75" customHeight="1" x14ac:dyDescent="0.25">
      <c r="A23282" s="318">
        <v>97824174873</v>
      </c>
      <c r="B23282" s="318" t="s">
        <v>236</v>
      </c>
    </row>
    <row r="23283" spans="1:2" ht="12.75" customHeight="1" x14ac:dyDescent="0.25">
      <c r="A23283" s="318">
        <v>97824174874</v>
      </c>
      <c r="B23283" s="318" t="s">
        <v>235</v>
      </c>
    </row>
    <row r="23284" spans="1:2" ht="12.75" customHeight="1" x14ac:dyDescent="0.25">
      <c r="A23284" s="318">
        <v>97824174875</v>
      </c>
      <c r="B23284" s="318" t="s">
        <v>236</v>
      </c>
    </row>
    <row r="23285" spans="1:2" ht="12.75" customHeight="1" x14ac:dyDescent="0.25">
      <c r="A23285" s="318">
        <v>97824174876</v>
      </c>
      <c r="B23285" s="318" t="s">
        <v>235</v>
      </c>
    </row>
    <row r="23286" spans="1:2" ht="12.75" customHeight="1" x14ac:dyDescent="0.25">
      <c r="A23286" s="318">
        <v>97824174960</v>
      </c>
      <c r="B23286" s="318" t="s">
        <v>236</v>
      </c>
    </row>
    <row r="23287" spans="1:2" ht="12.75" customHeight="1" x14ac:dyDescent="0.25">
      <c r="A23287" s="318">
        <v>97824174961</v>
      </c>
      <c r="B23287" s="318" t="s">
        <v>235</v>
      </c>
    </row>
    <row r="23288" spans="1:2" ht="12.75" customHeight="1" x14ac:dyDescent="0.25">
      <c r="A23288" s="318">
        <v>97824174962</v>
      </c>
      <c r="B23288" s="318" t="s">
        <v>236</v>
      </c>
    </row>
    <row r="23289" spans="1:2" ht="12.75" customHeight="1" x14ac:dyDescent="0.25">
      <c r="A23289" s="318">
        <v>97824174963</v>
      </c>
      <c r="B23289" s="318" t="s">
        <v>235</v>
      </c>
    </row>
    <row r="23290" spans="1:2" ht="12.75" customHeight="1" x14ac:dyDescent="0.25">
      <c r="A23290" s="318">
        <v>97824174964</v>
      </c>
      <c r="B23290" s="318" t="s">
        <v>236</v>
      </c>
    </row>
    <row r="23291" spans="1:2" ht="12.75" customHeight="1" x14ac:dyDescent="0.25">
      <c r="A23291" s="318">
        <v>97824174965</v>
      </c>
      <c r="B23291" s="318" t="s">
        <v>235</v>
      </c>
    </row>
    <row r="23292" spans="1:2" ht="12.75" customHeight="1" x14ac:dyDescent="0.25">
      <c r="A23292" s="318">
        <v>97824174966</v>
      </c>
      <c r="B23292" s="318" t="s">
        <v>236</v>
      </c>
    </row>
    <row r="23293" spans="1:2" ht="12.75" customHeight="1" x14ac:dyDescent="0.25">
      <c r="A23293" s="318">
        <v>97824174967</v>
      </c>
      <c r="B23293" s="318" t="s">
        <v>235</v>
      </c>
    </row>
    <row r="23294" spans="1:2" ht="12.75" customHeight="1" x14ac:dyDescent="0.25">
      <c r="A23294" s="318">
        <v>97824174969</v>
      </c>
      <c r="B23294" s="318" t="s">
        <v>236</v>
      </c>
    </row>
    <row r="23295" spans="1:2" ht="12.75" customHeight="1" x14ac:dyDescent="0.25">
      <c r="A23295" s="318">
        <v>97824174970</v>
      </c>
      <c r="B23295" s="318" t="s">
        <v>235</v>
      </c>
    </row>
    <row r="23296" spans="1:2" ht="12.75" customHeight="1" x14ac:dyDescent="0.25">
      <c r="A23296" s="318">
        <v>97824174971</v>
      </c>
      <c r="B23296" s="318" t="s">
        <v>236</v>
      </c>
    </row>
    <row r="23297" spans="1:2" ht="12.75" customHeight="1" x14ac:dyDescent="0.25">
      <c r="A23297" s="318">
        <v>97824174972</v>
      </c>
      <c r="B23297" s="318" t="s">
        <v>235</v>
      </c>
    </row>
    <row r="23298" spans="1:2" ht="12.75" customHeight="1" x14ac:dyDescent="0.25">
      <c r="A23298" s="318">
        <v>97824174973</v>
      </c>
      <c r="B23298" s="318" t="s">
        <v>236</v>
      </c>
    </row>
    <row r="23299" spans="1:2" ht="12.75" customHeight="1" x14ac:dyDescent="0.25">
      <c r="A23299" s="318">
        <v>97824174974</v>
      </c>
      <c r="B23299" s="318" t="s">
        <v>235</v>
      </c>
    </row>
    <row r="23300" spans="1:2" ht="12.75" customHeight="1" x14ac:dyDescent="0.25">
      <c r="A23300" s="318">
        <v>97824174975</v>
      </c>
      <c r="B23300" s="318" t="s">
        <v>236</v>
      </c>
    </row>
    <row r="23301" spans="1:2" ht="12.75" customHeight="1" x14ac:dyDescent="0.25">
      <c r="A23301" s="318">
        <v>97824174976</v>
      </c>
      <c r="B23301" s="318" t="s">
        <v>235</v>
      </c>
    </row>
    <row r="23302" spans="1:2" ht="12.75" customHeight="1" x14ac:dyDescent="0.25">
      <c r="A23302" s="318">
        <v>97824855051</v>
      </c>
      <c r="B23302" s="318" t="s">
        <v>236</v>
      </c>
    </row>
    <row r="23303" spans="1:2" ht="12.75" customHeight="1" x14ac:dyDescent="0.25">
      <c r="A23303" s="318">
        <v>97824855052</v>
      </c>
      <c r="B23303" s="318" t="s">
        <v>235</v>
      </c>
    </row>
    <row r="23304" spans="1:2" ht="12.75" customHeight="1" x14ac:dyDescent="0.25">
      <c r="A23304" s="318">
        <v>97824855053</v>
      </c>
      <c r="B23304" s="318" t="s">
        <v>236</v>
      </c>
    </row>
    <row r="23305" spans="1:2" ht="12.75" customHeight="1" x14ac:dyDescent="0.25">
      <c r="A23305" s="318">
        <v>97824855054</v>
      </c>
      <c r="B23305" s="318" t="s">
        <v>235</v>
      </c>
    </row>
    <row r="23306" spans="1:2" ht="12.75" customHeight="1" x14ac:dyDescent="0.25">
      <c r="A23306" s="318">
        <v>97824855055</v>
      </c>
      <c r="B23306" s="318" t="s">
        <v>236</v>
      </c>
    </row>
    <row r="23307" spans="1:2" ht="12.75" customHeight="1" x14ac:dyDescent="0.25">
      <c r="A23307" s="318">
        <v>97824855056</v>
      </c>
      <c r="B23307" s="318" t="s">
        <v>235</v>
      </c>
    </row>
    <row r="23308" spans="1:2" ht="12.75" customHeight="1" x14ac:dyDescent="0.25">
      <c r="A23308" s="318">
        <v>97824855057</v>
      </c>
      <c r="B23308" s="318" t="s">
        <v>23</v>
      </c>
    </row>
    <row r="23309" spans="1:2" ht="12.75" customHeight="1" x14ac:dyDescent="0.25">
      <c r="A23309" s="318">
        <v>97824855058</v>
      </c>
      <c r="B23309" s="318" t="s">
        <v>235</v>
      </c>
    </row>
    <row r="23310" spans="1:2" ht="12.75" customHeight="1" x14ac:dyDescent="0.25">
      <c r="A23310" s="318">
        <v>97824855060</v>
      </c>
      <c r="B23310" s="318" t="s">
        <v>237</v>
      </c>
    </row>
    <row r="23311" spans="1:2" ht="12.75" customHeight="1" x14ac:dyDescent="0.25">
      <c r="A23311" s="318">
        <v>97824855061</v>
      </c>
      <c r="B23311" s="318" t="s">
        <v>237</v>
      </c>
    </row>
    <row r="23312" spans="1:2" ht="12.75" customHeight="1" x14ac:dyDescent="0.25">
      <c r="A23312" s="318">
        <v>97824855062</v>
      </c>
      <c r="B23312" s="318" t="s">
        <v>237</v>
      </c>
    </row>
    <row r="23313" spans="1:2" ht="12.75" customHeight="1" x14ac:dyDescent="0.25">
      <c r="A23313" s="318">
        <v>97824855063</v>
      </c>
      <c r="B23313" s="318" t="s">
        <v>237</v>
      </c>
    </row>
    <row r="23314" spans="1:2" ht="12.75" customHeight="1" x14ac:dyDescent="0.25">
      <c r="A23314" s="318">
        <v>97824855064</v>
      </c>
      <c r="B23314" s="318" t="s">
        <v>237</v>
      </c>
    </row>
    <row r="23315" spans="1:2" ht="12.75" customHeight="1" x14ac:dyDescent="0.25">
      <c r="A23315" s="318">
        <v>97824855065</v>
      </c>
      <c r="B23315" s="318" t="s">
        <v>237</v>
      </c>
    </row>
    <row r="23316" spans="1:2" ht="12.75" customHeight="1" x14ac:dyDescent="0.25">
      <c r="A23316" s="318">
        <v>97824855066</v>
      </c>
      <c r="B23316" s="318" t="s">
        <v>237</v>
      </c>
    </row>
    <row r="23317" spans="1:2" ht="12.75" customHeight="1" x14ac:dyDescent="0.25">
      <c r="A23317" s="318">
        <v>97824855067</v>
      </c>
      <c r="B23317" s="318" t="s">
        <v>237</v>
      </c>
    </row>
    <row r="23318" spans="1:2" ht="12.75" customHeight="1" x14ac:dyDescent="0.25">
      <c r="A23318" s="318">
        <v>97824855151</v>
      </c>
      <c r="B23318" s="318" t="s">
        <v>236</v>
      </c>
    </row>
    <row r="23319" spans="1:2" ht="12.75" customHeight="1" x14ac:dyDescent="0.25">
      <c r="A23319" s="318">
        <v>97824855152</v>
      </c>
      <c r="B23319" s="318" t="s">
        <v>235</v>
      </c>
    </row>
    <row r="23320" spans="1:2" ht="12.75" customHeight="1" x14ac:dyDescent="0.25">
      <c r="A23320" s="318">
        <v>97824855153</v>
      </c>
      <c r="B23320" s="318" t="s">
        <v>236</v>
      </c>
    </row>
    <row r="23321" spans="1:2" ht="12.75" customHeight="1" x14ac:dyDescent="0.25">
      <c r="A23321" s="318">
        <v>97824855154</v>
      </c>
      <c r="B23321" s="318" t="s">
        <v>235</v>
      </c>
    </row>
    <row r="23322" spans="1:2" ht="12.75" customHeight="1" x14ac:dyDescent="0.25">
      <c r="A23322" s="318">
        <v>97824855155</v>
      </c>
      <c r="B23322" s="318" t="s">
        <v>236</v>
      </c>
    </row>
    <row r="23323" spans="1:2" ht="12.75" customHeight="1" x14ac:dyDescent="0.25">
      <c r="A23323" s="318">
        <v>97824855156</v>
      </c>
      <c r="B23323" s="318" t="s">
        <v>235</v>
      </c>
    </row>
    <row r="23324" spans="1:2" ht="12.75" customHeight="1" x14ac:dyDescent="0.25">
      <c r="A23324" s="318">
        <v>97824855157</v>
      </c>
      <c r="B23324" s="318" t="s">
        <v>23</v>
      </c>
    </row>
    <row r="23325" spans="1:2" ht="12.75" customHeight="1" x14ac:dyDescent="0.25">
      <c r="A23325" s="318">
        <v>97824855158</v>
      </c>
      <c r="B23325" s="318" t="s">
        <v>235</v>
      </c>
    </row>
    <row r="23326" spans="1:2" ht="12.75" customHeight="1" x14ac:dyDescent="0.25">
      <c r="A23326" s="318">
        <v>97824855160</v>
      </c>
      <c r="B23326" s="318" t="s">
        <v>237</v>
      </c>
    </row>
    <row r="23327" spans="1:2" ht="12.75" customHeight="1" x14ac:dyDescent="0.25">
      <c r="A23327" s="318">
        <v>97824855161</v>
      </c>
      <c r="B23327" s="318" t="s">
        <v>237</v>
      </c>
    </row>
    <row r="23328" spans="1:2" ht="12.75" customHeight="1" x14ac:dyDescent="0.25">
      <c r="A23328" s="318">
        <v>97824855162</v>
      </c>
      <c r="B23328" s="318" t="s">
        <v>237</v>
      </c>
    </row>
    <row r="23329" spans="1:2" ht="12.75" customHeight="1" x14ac:dyDescent="0.25">
      <c r="A23329" s="318">
        <v>97824855163</v>
      </c>
      <c r="B23329" s="318" t="s">
        <v>237</v>
      </c>
    </row>
    <row r="23330" spans="1:2" ht="12.75" customHeight="1" x14ac:dyDescent="0.25">
      <c r="A23330" s="318">
        <v>97824855164</v>
      </c>
      <c r="B23330" s="318" t="s">
        <v>237</v>
      </c>
    </row>
    <row r="23331" spans="1:2" ht="12.75" customHeight="1" x14ac:dyDescent="0.25">
      <c r="A23331" s="318">
        <v>97824855165</v>
      </c>
      <c r="B23331" s="318" t="s">
        <v>237</v>
      </c>
    </row>
    <row r="23332" spans="1:2" ht="12.75" customHeight="1" x14ac:dyDescent="0.25">
      <c r="A23332" s="318">
        <v>97824855166</v>
      </c>
      <c r="B23332" s="318" t="s">
        <v>237</v>
      </c>
    </row>
    <row r="23333" spans="1:2" ht="12.75" customHeight="1" x14ac:dyDescent="0.25">
      <c r="A23333" s="318">
        <v>97824855167</v>
      </c>
      <c r="B23333" s="318" t="s">
        <v>237</v>
      </c>
    </row>
    <row r="23334" spans="1:2" ht="12.75" customHeight="1" x14ac:dyDescent="0.25">
      <c r="A23334" s="318">
        <v>97825336024</v>
      </c>
      <c r="B23334" s="318" t="s">
        <v>236</v>
      </c>
    </row>
    <row r="23335" spans="1:2" ht="12.75" customHeight="1" x14ac:dyDescent="0.25">
      <c r="A23335" s="318">
        <v>97825336025</v>
      </c>
      <c r="B23335" s="318" t="s">
        <v>235</v>
      </c>
    </row>
    <row r="23336" spans="1:2" ht="12.75" customHeight="1" x14ac:dyDescent="0.25">
      <c r="A23336" s="318">
        <v>97825336026</v>
      </c>
      <c r="B23336" s="318" t="s">
        <v>236</v>
      </c>
    </row>
    <row r="23337" spans="1:2" ht="12.75" customHeight="1" x14ac:dyDescent="0.25">
      <c r="A23337" s="318">
        <v>97825336027</v>
      </c>
      <c r="B23337" s="318" t="s">
        <v>235</v>
      </c>
    </row>
    <row r="23338" spans="1:2" ht="12.75" customHeight="1" x14ac:dyDescent="0.25">
      <c r="A23338" s="318">
        <v>97825336028</v>
      </c>
      <c r="B23338" s="318" t="s">
        <v>236</v>
      </c>
    </row>
    <row r="23339" spans="1:2" ht="12.75" customHeight="1" x14ac:dyDescent="0.25">
      <c r="A23339" s="318">
        <v>97825336029</v>
      </c>
      <c r="B23339" s="318" t="s">
        <v>235</v>
      </c>
    </row>
    <row r="23340" spans="1:2" ht="12.75" customHeight="1" x14ac:dyDescent="0.25">
      <c r="A23340" s="318">
        <v>97825336030</v>
      </c>
      <c r="B23340" s="318" t="s">
        <v>23</v>
      </c>
    </row>
    <row r="23341" spans="1:2" ht="12.75" customHeight="1" x14ac:dyDescent="0.25">
      <c r="A23341" s="318">
        <v>97825336031</v>
      </c>
      <c r="B23341" s="318" t="s">
        <v>235</v>
      </c>
    </row>
    <row r="23342" spans="1:2" ht="12.75" customHeight="1" x14ac:dyDescent="0.25">
      <c r="A23342" s="318">
        <v>97825336033</v>
      </c>
      <c r="B23342" s="318" t="s">
        <v>237</v>
      </c>
    </row>
    <row r="23343" spans="1:2" ht="12.75" customHeight="1" x14ac:dyDescent="0.25">
      <c r="A23343" s="318">
        <v>97825336034</v>
      </c>
      <c r="B23343" s="318" t="s">
        <v>237</v>
      </c>
    </row>
    <row r="23344" spans="1:2" ht="12.75" customHeight="1" x14ac:dyDescent="0.25">
      <c r="A23344" s="318">
        <v>97825336035</v>
      </c>
      <c r="B23344" s="318" t="s">
        <v>237</v>
      </c>
    </row>
    <row r="23345" spans="1:2" ht="12.75" customHeight="1" x14ac:dyDescent="0.25">
      <c r="A23345" s="318">
        <v>97825336036</v>
      </c>
      <c r="B23345" s="318" t="s">
        <v>237</v>
      </c>
    </row>
    <row r="23346" spans="1:2" ht="12.75" customHeight="1" x14ac:dyDescent="0.25">
      <c r="A23346" s="318">
        <v>97825336037</v>
      </c>
      <c r="B23346" s="318" t="s">
        <v>237</v>
      </c>
    </row>
    <row r="23347" spans="1:2" ht="12.75" customHeight="1" x14ac:dyDescent="0.25">
      <c r="A23347" s="318">
        <v>97825336038</v>
      </c>
      <c r="B23347" s="318" t="s">
        <v>237</v>
      </c>
    </row>
    <row r="23348" spans="1:2" ht="12.75" customHeight="1" x14ac:dyDescent="0.25">
      <c r="A23348" s="318">
        <v>97825336039</v>
      </c>
      <c r="B23348" s="318" t="s">
        <v>237</v>
      </c>
    </row>
    <row r="23349" spans="1:2" ht="12.75" customHeight="1" x14ac:dyDescent="0.25">
      <c r="A23349" s="318">
        <v>97825336040</v>
      </c>
      <c r="B23349" s="318" t="s">
        <v>237</v>
      </c>
    </row>
    <row r="23350" spans="1:2" ht="12.75" customHeight="1" x14ac:dyDescent="0.25">
      <c r="A23350" s="318">
        <v>97825336124</v>
      </c>
      <c r="B23350" s="318" t="s">
        <v>236</v>
      </c>
    </row>
    <row r="23351" spans="1:2" ht="12.75" customHeight="1" x14ac:dyDescent="0.25">
      <c r="A23351" s="318">
        <v>97825336125</v>
      </c>
      <c r="B23351" s="318" t="s">
        <v>235</v>
      </c>
    </row>
    <row r="23352" spans="1:2" ht="12.75" customHeight="1" x14ac:dyDescent="0.25">
      <c r="A23352" s="318">
        <v>97825336126</v>
      </c>
      <c r="B23352" s="318" t="s">
        <v>236</v>
      </c>
    </row>
    <row r="23353" spans="1:2" ht="12.75" customHeight="1" x14ac:dyDescent="0.25">
      <c r="A23353" s="318">
        <v>97825336127</v>
      </c>
      <c r="B23353" s="318" t="s">
        <v>235</v>
      </c>
    </row>
    <row r="23354" spans="1:2" ht="12.75" customHeight="1" x14ac:dyDescent="0.25">
      <c r="A23354" s="318">
        <v>97825336128</v>
      </c>
      <c r="B23354" s="318" t="s">
        <v>236</v>
      </c>
    </row>
    <row r="23355" spans="1:2" ht="12.75" customHeight="1" x14ac:dyDescent="0.25">
      <c r="A23355" s="318">
        <v>97825336129</v>
      </c>
      <c r="B23355" s="318" t="s">
        <v>235</v>
      </c>
    </row>
    <row r="23356" spans="1:2" ht="12.75" customHeight="1" x14ac:dyDescent="0.25">
      <c r="A23356" s="318">
        <v>97825336130</v>
      </c>
      <c r="B23356" s="318" t="s">
        <v>23</v>
      </c>
    </row>
    <row r="23357" spans="1:2" ht="12.75" customHeight="1" x14ac:dyDescent="0.25">
      <c r="A23357" s="318">
        <v>97825336131</v>
      </c>
      <c r="B23357" s="318" t="s">
        <v>235</v>
      </c>
    </row>
    <row r="23358" spans="1:2" ht="12.75" customHeight="1" x14ac:dyDescent="0.25">
      <c r="A23358" s="318">
        <v>97825336133</v>
      </c>
      <c r="B23358" s="318" t="s">
        <v>237</v>
      </c>
    </row>
    <row r="23359" spans="1:2" ht="12.75" customHeight="1" x14ac:dyDescent="0.25">
      <c r="A23359" s="318">
        <v>97825336134</v>
      </c>
      <c r="B23359" s="318" t="s">
        <v>237</v>
      </c>
    </row>
    <row r="23360" spans="1:2" ht="12.75" customHeight="1" x14ac:dyDescent="0.25">
      <c r="A23360" s="318">
        <v>97825336135</v>
      </c>
      <c r="B23360" s="318" t="s">
        <v>237</v>
      </c>
    </row>
    <row r="23361" spans="1:2" ht="12.75" customHeight="1" x14ac:dyDescent="0.25">
      <c r="A23361" s="318">
        <v>97825336136</v>
      </c>
      <c r="B23361" s="318" t="s">
        <v>237</v>
      </c>
    </row>
    <row r="23362" spans="1:2" ht="12.75" customHeight="1" x14ac:dyDescent="0.25">
      <c r="A23362" s="318">
        <v>97825336137</v>
      </c>
      <c r="B23362" s="318" t="s">
        <v>237</v>
      </c>
    </row>
    <row r="23363" spans="1:2" ht="12.75" customHeight="1" x14ac:dyDescent="0.25">
      <c r="A23363" s="318">
        <v>97825336138</v>
      </c>
      <c r="B23363" s="318" t="s">
        <v>237</v>
      </c>
    </row>
    <row r="23364" spans="1:2" ht="12.75" customHeight="1" x14ac:dyDescent="0.25">
      <c r="A23364" s="318">
        <v>97825336139</v>
      </c>
      <c r="B23364" s="318" t="s">
        <v>237</v>
      </c>
    </row>
    <row r="23365" spans="1:2" ht="12.75" customHeight="1" x14ac:dyDescent="0.25">
      <c r="A23365" s="318">
        <v>97825336140</v>
      </c>
      <c r="B23365" s="318" t="s">
        <v>237</v>
      </c>
    </row>
    <row r="23366" spans="1:2" ht="12.75" customHeight="1" x14ac:dyDescent="0.25">
      <c r="A23366" s="318">
        <v>97825816997</v>
      </c>
      <c r="B23366" s="318" t="s">
        <v>236</v>
      </c>
    </row>
    <row r="23367" spans="1:2" ht="12.75" customHeight="1" x14ac:dyDescent="0.25">
      <c r="A23367" s="318">
        <v>97825816998</v>
      </c>
      <c r="B23367" s="318" t="s">
        <v>235</v>
      </c>
    </row>
    <row r="23368" spans="1:2" ht="12.75" customHeight="1" x14ac:dyDescent="0.25">
      <c r="A23368" s="318">
        <v>97825816999</v>
      </c>
      <c r="B23368" s="318" t="s">
        <v>236</v>
      </c>
    </row>
    <row r="23369" spans="1:2" ht="12.75" customHeight="1" x14ac:dyDescent="0.25">
      <c r="A23369" s="318">
        <v>97825817000</v>
      </c>
      <c r="B23369" s="318" t="s">
        <v>235</v>
      </c>
    </row>
    <row r="23370" spans="1:2" ht="12.75" customHeight="1" x14ac:dyDescent="0.25">
      <c r="A23370" s="318">
        <v>97825817001</v>
      </c>
      <c r="B23370" s="318" t="s">
        <v>236</v>
      </c>
    </row>
    <row r="23371" spans="1:2" ht="12.75" customHeight="1" x14ac:dyDescent="0.25">
      <c r="A23371" s="318">
        <v>97825817002</v>
      </c>
      <c r="B23371" s="318" t="s">
        <v>235</v>
      </c>
    </row>
    <row r="23372" spans="1:2" ht="12.75" customHeight="1" x14ac:dyDescent="0.25">
      <c r="A23372" s="318">
        <v>97825817003</v>
      </c>
      <c r="B23372" s="318" t="s">
        <v>236</v>
      </c>
    </row>
    <row r="23373" spans="1:2" ht="12.75" customHeight="1" x14ac:dyDescent="0.25">
      <c r="A23373" s="318">
        <v>97825817004</v>
      </c>
      <c r="B23373" s="318" t="s">
        <v>235</v>
      </c>
    </row>
    <row r="23374" spans="1:2" ht="12.75" customHeight="1" x14ac:dyDescent="0.25">
      <c r="A23374" s="318">
        <v>97825817006</v>
      </c>
      <c r="B23374" s="318" t="s">
        <v>236</v>
      </c>
    </row>
    <row r="23375" spans="1:2" ht="12.75" customHeight="1" x14ac:dyDescent="0.25">
      <c r="A23375" s="318">
        <v>97825817007</v>
      </c>
      <c r="B23375" s="318" t="s">
        <v>235</v>
      </c>
    </row>
    <row r="23376" spans="1:2" ht="12.75" customHeight="1" x14ac:dyDescent="0.25">
      <c r="A23376" s="318">
        <v>97825817008</v>
      </c>
      <c r="B23376" s="318" t="s">
        <v>236</v>
      </c>
    </row>
    <row r="23377" spans="1:2" ht="12.75" customHeight="1" x14ac:dyDescent="0.25">
      <c r="A23377" s="318">
        <v>97825817009</v>
      </c>
      <c r="B23377" s="318" t="s">
        <v>235</v>
      </c>
    </row>
    <row r="23378" spans="1:2" ht="12.75" customHeight="1" x14ac:dyDescent="0.25">
      <c r="A23378" s="318">
        <v>97825817010</v>
      </c>
      <c r="B23378" s="318" t="s">
        <v>236</v>
      </c>
    </row>
    <row r="23379" spans="1:2" ht="12.75" customHeight="1" x14ac:dyDescent="0.25">
      <c r="A23379" s="318">
        <v>97825817011</v>
      </c>
      <c r="B23379" s="318" t="s">
        <v>235</v>
      </c>
    </row>
    <row r="23380" spans="1:2" ht="12.75" customHeight="1" x14ac:dyDescent="0.25">
      <c r="A23380" s="318">
        <v>97825817012</v>
      </c>
      <c r="B23380" s="318" t="s">
        <v>236</v>
      </c>
    </row>
    <row r="23381" spans="1:2" ht="12.75" customHeight="1" x14ac:dyDescent="0.25">
      <c r="A23381" s="318">
        <v>97825817013</v>
      </c>
      <c r="B23381" s="318" t="s">
        <v>235</v>
      </c>
    </row>
    <row r="23382" spans="1:2" ht="12.75" customHeight="1" x14ac:dyDescent="0.25">
      <c r="A23382" s="318">
        <v>97825817097</v>
      </c>
      <c r="B23382" s="318" t="s">
        <v>236</v>
      </c>
    </row>
    <row r="23383" spans="1:2" ht="12.75" customHeight="1" x14ac:dyDescent="0.25">
      <c r="A23383" s="318">
        <v>97825817098</v>
      </c>
      <c r="B23383" s="318" t="s">
        <v>235</v>
      </c>
    </row>
    <row r="23384" spans="1:2" ht="12.75" customHeight="1" x14ac:dyDescent="0.25">
      <c r="A23384" s="318">
        <v>97825817099</v>
      </c>
      <c r="B23384" s="318" t="s">
        <v>236</v>
      </c>
    </row>
    <row r="23385" spans="1:2" ht="12.75" customHeight="1" x14ac:dyDescent="0.25">
      <c r="A23385" s="318">
        <v>97825817100</v>
      </c>
      <c r="B23385" s="318" t="s">
        <v>235</v>
      </c>
    </row>
    <row r="23386" spans="1:2" ht="12.75" customHeight="1" x14ac:dyDescent="0.25">
      <c r="A23386" s="318">
        <v>97825817101</v>
      </c>
      <c r="B23386" s="318" t="s">
        <v>236</v>
      </c>
    </row>
    <row r="23387" spans="1:2" ht="12.75" customHeight="1" x14ac:dyDescent="0.25">
      <c r="A23387" s="318">
        <v>97825817102</v>
      </c>
      <c r="B23387" s="318" t="s">
        <v>235</v>
      </c>
    </row>
    <row r="23388" spans="1:2" ht="12.75" customHeight="1" x14ac:dyDescent="0.25">
      <c r="A23388" s="318">
        <v>97825817103</v>
      </c>
      <c r="B23388" s="318" t="s">
        <v>236</v>
      </c>
    </row>
    <row r="23389" spans="1:2" ht="12.75" customHeight="1" x14ac:dyDescent="0.25">
      <c r="A23389" s="318">
        <v>97825817104</v>
      </c>
      <c r="B23389" s="318" t="s">
        <v>235</v>
      </c>
    </row>
    <row r="23390" spans="1:2" ht="12.75" customHeight="1" x14ac:dyDescent="0.25">
      <c r="A23390" s="318">
        <v>97825817106</v>
      </c>
      <c r="B23390" s="318" t="s">
        <v>236</v>
      </c>
    </row>
    <row r="23391" spans="1:2" ht="12.75" customHeight="1" x14ac:dyDescent="0.25">
      <c r="A23391" s="318">
        <v>97825817107</v>
      </c>
      <c r="B23391" s="318" t="s">
        <v>235</v>
      </c>
    </row>
    <row r="23392" spans="1:2" ht="12.75" customHeight="1" x14ac:dyDescent="0.25">
      <c r="A23392" s="318">
        <v>97825817108</v>
      </c>
      <c r="B23392" s="318" t="s">
        <v>236</v>
      </c>
    </row>
    <row r="23393" spans="1:2" ht="12.75" customHeight="1" x14ac:dyDescent="0.25">
      <c r="A23393" s="318">
        <v>97825817109</v>
      </c>
      <c r="B23393" s="318" t="s">
        <v>235</v>
      </c>
    </row>
    <row r="23394" spans="1:2" ht="12.75" customHeight="1" x14ac:dyDescent="0.25">
      <c r="A23394" s="318">
        <v>97825817110</v>
      </c>
      <c r="B23394" s="318" t="s">
        <v>236</v>
      </c>
    </row>
    <row r="23395" spans="1:2" ht="12.75" customHeight="1" x14ac:dyDescent="0.25">
      <c r="A23395" s="318">
        <v>97825817111</v>
      </c>
      <c r="B23395" s="318" t="s">
        <v>235</v>
      </c>
    </row>
    <row r="23396" spans="1:2" ht="12.75" customHeight="1" x14ac:dyDescent="0.25">
      <c r="A23396" s="318">
        <v>97825817112</v>
      </c>
      <c r="B23396" s="318" t="s">
        <v>236</v>
      </c>
    </row>
    <row r="23397" spans="1:2" ht="12.75" customHeight="1" x14ac:dyDescent="0.25">
      <c r="A23397" s="318">
        <v>97825817113</v>
      </c>
      <c r="B23397" s="318" t="s">
        <v>235</v>
      </c>
    </row>
    <row r="23398" spans="1:2" ht="12.75" customHeight="1" x14ac:dyDescent="0.25">
      <c r="A23398" s="318">
        <v>97826497188</v>
      </c>
      <c r="B23398" s="318" t="s">
        <v>236</v>
      </c>
    </row>
    <row r="23399" spans="1:2" ht="12.75" customHeight="1" x14ac:dyDescent="0.25">
      <c r="A23399" s="318">
        <v>97826497189</v>
      </c>
      <c r="B23399" s="318" t="s">
        <v>235</v>
      </c>
    </row>
    <row r="23400" spans="1:2" ht="12.75" customHeight="1" x14ac:dyDescent="0.25">
      <c r="A23400" s="318">
        <v>97826497190</v>
      </c>
      <c r="B23400" s="318" t="s">
        <v>236</v>
      </c>
    </row>
    <row r="23401" spans="1:2" ht="12.75" customHeight="1" x14ac:dyDescent="0.25">
      <c r="A23401" s="318">
        <v>97826497191</v>
      </c>
      <c r="B23401" s="318" t="s">
        <v>235</v>
      </c>
    </row>
    <row r="23402" spans="1:2" ht="12.75" customHeight="1" x14ac:dyDescent="0.25">
      <c r="A23402" s="318">
        <v>97826497192</v>
      </c>
      <c r="B23402" s="318" t="s">
        <v>236</v>
      </c>
    </row>
    <row r="23403" spans="1:2" ht="12.75" customHeight="1" x14ac:dyDescent="0.25">
      <c r="A23403" s="318">
        <v>97826497193</v>
      </c>
      <c r="B23403" s="318" t="s">
        <v>235</v>
      </c>
    </row>
    <row r="23404" spans="1:2" ht="12.75" customHeight="1" x14ac:dyDescent="0.25">
      <c r="A23404" s="318">
        <v>97826497194</v>
      </c>
      <c r="B23404" s="318" t="s">
        <v>236</v>
      </c>
    </row>
    <row r="23405" spans="1:2" ht="12.75" customHeight="1" x14ac:dyDescent="0.25">
      <c r="A23405" s="318">
        <v>97826497195</v>
      </c>
      <c r="B23405" s="318" t="s">
        <v>235</v>
      </c>
    </row>
    <row r="23406" spans="1:2" ht="12.75" customHeight="1" x14ac:dyDescent="0.25">
      <c r="A23406" s="318">
        <v>97826497197</v>
      </c>
      <c r="B23406" s="318" t="s">
        <v>236</v>
      </c>
    </row>
    <row r="23407" spans="1:2" ht="12.75" customHeight="1" x14ac:dyDescent="0.25">
      <c r="A23407" s="318">
        <v>97826497198</v>
      </c>
      <c r="B23407" s="318" t="s">
        <v>235</v>
      </c>
    </row>
    <row r="23408" spans="1:2" ht="12.75" customHeight="1" x14ac:dyDescent="0.25">
      <c r="A23408" s="318">
        <v>97826497199</v>
      </c>
      <c r="B23408" s="318" t="s">
        <v>236</v>
      </c>
    </row>
    <row r="23409" spans="1:2" ht="12.75" customHeight="1" x14ac:dyDescent="0.25">
      <c r="A23409" s="318">
        <v>97826497200</v>
      </c>
      <c r="B23409" s="318" t="s">
        <v>235</v>
      </c>
    </row>
    <row r="23410" spans="1:2" ht="12.75" customHeight="1" x14ac:dyDescent="0.25">
      <c r="A23410" s="318">
        <v>97826497201</v>
      </c>
      <c r="B23410" s="318" t="s">
        <v>236</v>
      </c>
    </row>
    <row r="23411" spans="1:2" ht="12.75" customHeight="1" x14ac:dyDescent="0.25">
      <c r="A23411" s="318">
        <v>97826497202</v>
      </c>
      <c r="B23411" s="318" t="s">
        <v>235</v>
      </c>
    </row>
    <row r="23412" spans="1:2" ht="12.75" customHeight="1" x14ac:dyDescent="0.25">
      <c r="A23412" s="318">
        <v>97826497203</v>
      </c>
      <c r="B23412" s="318" t="s">
        <v>236</v>
      </c>
    </row>
    <row r="23413" spans="1:2" ht="12.75" customHeight="1" x14ac:dyDescent="0.25">
      <c r="A23413" s="318">
        <v>97826497204</v>
      </c>
      <c r="B23413" s="318" t="s">
        <v>235</v>
      </c>
    </row>
    <row r="23414" spans="1:2" ht="12.75" customHeight="1" x14ac:dyDescent="0.25">
      <c r="A23414" s="318">
        <v>97826497288</v>
      </c>
      <c r="B23414" s="318" t="s">
        <v>236</v>
      </c>
    </row>
    <row r="23415" spans="1:2" ht="12.75" customHeight="1" x14ac:dyDescent="0.25">
      <c r="A23415" s="318">
        <v>97826497289</v>
      </c>
      <c r="B23415" s="318" t="s">
        <v>235</v>
      </c>
    </row>
    <row r="23416" spans="1:2" ht="12.75" customHeight="1" x14ac:dyDescent="0.25">
      <c r="A23416" s="318">
        <v>97826497290</v>
      </c>
      <c r="B23416" s="318" t="s">
        <v>236</v>
      </c>
    </row>
    <row r="23417" spans="1:2" ht="12.75" customHeight="1" x14ac:dyDescent="0.25">
      <c r="A23417" s="318">
        <v>97826497291</v>
      </c>
      <c r="B23417" s="318" t="s">
        <v>235</v>
      </c>
    </row>
    <row r="23418" spans="1:2" ht="12.75" customHeight="1" x14ac:dyDescent="0.25">
      <c r="A23418" s="318">
        <v>97826497292</v>
      </c>
      <c r="B23418" s="318" t="s">
        <v>236</v>
      </c>
    </row>
    <row r="23419" spans="1:2" ht="12.75" customHeight="1" x14ac:dyDescent="0.25">
      <c r="A23419" s="318">
        <v>97826497293</v>
      </c>
      <c r="B23419" s="318" t="s">
        <v>235</v>
      </c>
    </row>
    <row r="23420" spans="1:2" ht="12.75" customHeight="1" x14ac:dyDescent="0.25">
      <c r="A23420" s="318">
        <v>97826497294</v>
      </c>
      <c r="B23420" s="318" t="s">
        <v>236</v>
      </c>
    </row>
    <row r="23421" spans="1:2" ht="12.75" customHeight="1" x14ac:dyDescent="0.25">
      <c r="A23421" s="318">
        <v>97826497295</v>
      </c>
      <c r="B23421" s="318" t="s">
        <v>235</v>
      </c>
    </row>
    <row r="23422" spans="1:2" ht="12.75" customHeight="1" x14ac:dyDescent="0.25">
      <c r="A23422" s="318">
        <v>97826497297</v>
      </c>
      <c r="B23422" s="318" t="s">
        <v>236</v>
      </c>
    </row>
    <row r="23423" spans="1:2" ht="12.75" customHeight="1" x14ac:dyDescent="0.25">
      <c r="A23423" s="318">
        <v>97826497298</v>
      </c>
      <c r="B23423" s="318" t="s">
        <v>235</v>
      </c>
    </row>
    <row r="23424" spans="1:2" ht="12.75" customHeight="1" x14ac:dyDescent="0.25">
      <c r="A23424" s="318">
        <v>97826497299</v>
      </c>
      <c r="B23424" s="318" t="s">
        <v>236</v>
      </c>
    </row>
    <row r="23425" spans="1:2" ht="12.75" customHeight="1" x14ac:dyDescent="0.25">
      <c r="A23425" s="318">
        <v>97826497300</v>
      </c>
      <c r="B23425" s="318" t="s">
        <v>235</v>
      </c>
    </row>
    <row r="23426" spans="1:2" ht="12.75" customHeight="1" x14ac:dyDescent="0.25">
      <c r="A23426" s="318">
        <v>97826497301</v>
      </c>
      <c r="B23426" s="318" t="s">
        <v>236</v>
      </c>
    </row>
    <row r="23427" spans="1:2" ht="12.75" customHeight="1" x14ac:dyDescent="0.25">
      <c r="A23427" s="318">
        <v>97826497302</v>
      </c>
      <c r="B23427" s="318" t="s">
        <v>235</v>
      </c>
    </row>
    <row r="23428" spans="1:2" ht="12.75" customHeight="1" x14ac:dyDescent="0.25">
      <c r="A23428" s="318">
        <v>97826497303</v>
      </c>
      <c r="B23428" s="318" t="s">
        <v>236</v>
      </c>
    </row>
    <row r="23429" spans="1:2" ht="12.75" customHeight="1" x14ac:dyDescent="0.25">
      <c r="A23429" s="318">
        <v>97826497304</v>
      </c>
      <c r="B23429" s="318" t="s">
        <v>235</v>
      </c>
    </row>
    <row r="23430" spans="1:2" ht="12.75" customHeight="1" x14ac:dyDescent="0.25">
      <c r="A23430" s="318">
        <v>97826978161</v>
      </c>
      <c r="B23430" s="318" t="s">
        <v>236</v>
      </c>
    </row>
    <row r="23431" spans="1:2" ht="12.75" customHeight="1" x14ac:dyDescent="0.25">
      <c r="A23431" s="318">
        <v>97826978162</v>
      </c>
      <c r="B23431" s="318" t="s">
        <v>235</v>
      </c>
    </row>
    <row r="23432" spans="1:2" ht="12.75" customHeight="1" x14ac:dyDescent="0.25">
      <c r="A23432" s="318">
        <v>97826978163</v>
      </c>
      <c r="B23432" s="318" t="s">
        <v>236</v>
      </c>
    </row>
    <row r="23433" spans="1:2" ht="12.75" customHeight="1" x14ac:dyDescent="0.25">
      <c r="A23433" s="318">
        <v>97826978164</v>
      </c>
      <c r="B23433" s="318" t="s">
        <v>235</v>
      </c>
    </row>
    <row r="23434" spans="1:2" ht="12.75" customHeight="1" x14ac:dyDescent="0.25">
      <c r="A23434" s="318">
        <v>97826978165</v>
      </c>
      <c r="B23434" s="318" t="s">
        <v>236</v>
      </c>
    </row>
    <row r="23435" spans="1:2" ht="12.75" customHeight="1" x14ac:dyDescent="0.25">
      <c r="A23435" s="318">
        <v>97826978166</v>
      </c>
      <c r="B23435" s="318" t="s">
        <v>235</v>
      </c>
    </row>
    <row r="23436" spans="1:2" ht="12.75" customHeight="1" x14ac:dyDescent="0.25">
      <c r="A23436" s="318">
        <v>97826978167</v>
      </c>
      <c r="B23436" s="318" t="s">
        <v>236</v>
      </c>
    </row>
    <row r="23437" spans="1:2" ht="12.75" customHeight="1" x14ac:dyDescent="0.25">
      <c r="A23437" s="318">
        <v>97826978168</v>
      </c>
      <c r="B23437" s="318" t="s">
        <v>235</v>
      </c>
    </row>
    <row r="23438" spans="1:2" ht="12.75" customHeight="1" x14ac:dyDescent="0.25">
      <c r="A23438" s="318">
        <v>97826978170</v>
      </c>
      <c r="B23438" s="318" t="s">
        <v>236</v>
      </c>
    </row>
    <row r="23439" spans="1:2" ht="12.75" customHeight="1" x14ac:dyDescent="0.25">
      <c r="A23439" s="318">
        <v>97826978171</v>
      </c>
      <c r="B23439" s="318" t="s">
        <v>235</v>
      </c>
    </row>
    <row r="23440" spans="1:2" ht="12.75" customHeight="1" x14ac:dyDescent="0.25">
      <c r="A23440" s="318">
        <v>97826978172</v>
      </c>
      <c r="B23440" s="318" t="s">
        <v>236</v>
      </c>
    </row>
    <row r="23441" spans="1:2" ht="12.75" customHeight="1" x14ac:dyDescent="0.25">
      <c r="A23441" s="318">
        <v>97826978173</v>
      </c>
      <c r="B23441" s="318" t="s">
        <v>235</v>
      </c>
    </row>
    <row r="23442" spans="1:2" ht="12.75" customHeight="1" x14ac:dyDescent="0.25">
      <c r="A23442" s="318">
        <v>97826978174</v>
      </c>
      <c r="B23442" s="318" t="s">
        <v>236</v>
      </c>
    </row>
    <row r="23443" spans="1:2" ht="12.75" customHeight="1" x14ac:dyDescent="0.25">
      <c r="A23443" s="318">
        <v>97826978175</v>
      </c>
      <c r="B23443" s="318" t="s">
        <v>235</v>
      </c>
    </row>
    <row r="23444" spans="1:2" ht="12.75" customHeight="1" x14ac:dyDescent="0.25">
      <c r="A23444" s="318">
        <v>97826978176</v>
      </c>
      <c r="B23444" s="318" t="s">
        <v>236</v>
      </c>
    </row>
    <row r="23445" spans="1:2" ht="12.75" customHeight="1" x14ac:dyDescent="0.25">
      <c r="A23445" s="318">
        <v>97826978177</v>
      </c>
      <c r="B23445" s="318" t="s">
        <v>235</v>
      </c>
    </row>
    <row r="23446" spans="1:2" ht="12.75" customHeight="1" x14ac:dyDescent="0.25">
      <c r="A23446" s="318">
        <v>97826978261</v>
      </c>
      <c r="B23446" s="318" t="s">
        <v>236</v>
      </c>
    </row>
    <row r="23447" spans="1:2" ht="12.75" customHeight="1" x14ac:dyDescent="0.25">
      <c r="A23447" s="318">
        <v>97826978262</v>
      </c>
      <c r="B23447" s="318" t="s">
        <v>235</v>
      </c>
    </row>
    <row r="23448" spans="1:2" ht="12.75" customHeight="1" x14ac:dyDescent="0.25">
      <c r="A23448" s="318">
        <v>97826978263</v>
      </c>
      <c r="B23448" s="318" t="s">
        <v>236</v>
      </c>
    </row>
    <row r="23449" spans="1:2" ht="12.75" customHeight="1" x14ac:dyDescent="0.25">
      <c r="A23449" s="318">
        <v>97826978264</v>
      </c>
      <c r="B23449" s="318" t="s">
        <v>235</v>
      </c>
    </row>
    <row r="23450" spans="1:2" ht="12.75" customHeight="1" x14ac:dyDescent="0.25">
      <c r="A23450" s="318">
        <v>97826978265</v>
      </c>
      <c r="B23450" s="318" t="s">
        <v>236</v>
      </c>
    </row>
    <row r="23451" spans="1:2" ht="12.75" customHeight="1" x14ac:dyDescent="0.25">
      <c r="A23451" s="318">
        <v>97826978266</v>
      </c>
      <c r="B23451" s="318" t="s">
        <v>235</v>
      </c>
    </row>
    <row r="23452" spans="1:2" ht="12.75" customHeight="1" x14ac:dyDescent="0.25">
      <c r="A23452" s="318">
        <v>97826978267</v>
      </c>
      <c r="B23452" s="318" t="s">
        <v>236</v>
      </c>
    </row>
    <row r="23453" spans="1:2" ht="12.75" customHeight="1" x14ac:dyDescent="0.25">
      <c r="A23453" s="318">
        <v>97826978268</v>
      </c>
      <c r="B23453" s="318" t="s">
        <v>235</v>
      </c>
    </row>
    <row r="23454" spans="1:2" ht="12.75" customHeight="1" x14ac:dyDescent="0.25">
      <c r="A23454" s="318">
        <v>97826978270</v>
      </c>
      <c r="B23454" s="318" t="s">
        <v>236</v>
      </c>
    </row>
    <row r="23455" spans="1:2" ht="12.75" customHeight="1" x14ac:dyDescent="0.25">
      <c r="A23455" s="318">
        <v>97826978271</v>
      </c>
      <c r="B23455" s="318" t="s">
        <v>235</v>
      </c>
    </row>
    <row r="23456" spans="1:2" ht="12.75" customHeight="1" x14ac:dyDescent="0.25">
      <c r="A23456" s="318">
        <v>97826978272</v>
      </c>
      <c r="B23456" s="318" t="s">
        <v>236</v>
      </c>
    </row>
    <row r="23457" spans="1:2" ht="12.75" customHeight="1" x14ac:dyDescent="0.25">
      <c r="A23457" s="318">
        <v>97826978273</v>
      </c>
      <c r="B23457" s="318" t="s">
        <v>235</v>
      </c>
    </row>
    <row r="23458" spans="1:2" ht="12.75" customHeight="1" x14ac:dyDescent="0.25">
      <c r="A23458" s="318">
        <v>97826978274</v>
      </c>
      <c r="B23458" s="318" t="s">
        <v>236</v>
      </c>
    </row>
    <row r="23459" spans="1:2" ht="12.75" customHeight="1" x14ac:dyDescent="0.25">
      <c r="A23459" s="318">
        <v>97826978275</v>
      </c>
      <c r="B23459" s="318" t="s">
        <v>235</v>
      </c>
    </row>
    <row r="23460" spans="1:2" ht="12.75" customHeight="1" x14ac:dyDescent="0.25">
      <c r="A23460" s="318">
        <v>97826978276</v>
      </c>
      <c r="B23460" s="318" t="s">
        <v>236</v>
      </c>
    </row>
    <row r="23461" spans="1:2" ht="12.75" customHeight="1" x14ac:dyDescent="0.25">
      <c r="A23461" s="318">
        <v>97826978277</v>
      </c>
      <c r="B23461" s="318" t="s">
        <v>235</v>
      </c>
    </row>
    <row r="23462" spans="1:2" ht="12.75" customHeight="1" x14ac:dyDescent="0.25">
      <c r="A23462" s="318">
        <v>97827459134</v>
      </c>
      <c r="B23462" s="318" t="s">
        <v>236</v>
      </c>
    </row>
    <row r="23463" spans="1:2" ht="12.75" customHeight="1" x14ac:dyDescent="0.25">
      <c r="A23463" s="318">
        <v>97827459135</v>
      </c>
      <c r="B23463" s="318" t="s">
        <v>235</v>
      </c>
    </row>
    <row r="23464" spans="1:2" ht="12.75" customHeight="1" x14ac:dyDescent="0.25">
      <c r="A23464" s="318">
        <v>97827459136</v>
      </c>
      <c r="B23464" s="318" t="s">
        <v>236</v>
      </c>
    </row>
    <row r="23465" spans="1:2" ht="12.75" customHeight="1" x14ac:dyDescent="0.25">
      <c r="A23465" s="318">
        <v>97827459137</v>
      </c>
      <c r="B23465" s="318" t="s">
        <v>235</v>
      </c>
    </row>
    <row r="23466" spans="1:2" ht="12.75" customHeight="1" x14ac:dyDescent="0.25">
      <c r="A23466" s="318">
        <v>97827459138</v>
      </c>
      <c r="B23466" s="318" t="s">
        <v>236</v>
      </c>
    </row>
    <row r="23467" spans="1:2" ht="12.75" customHeight="1" x14ac:dyDescent="0.25">
      <c r="A23467" s="318">
        <v>97827459139</v>
      </c>
      <c r="B23467" s="318" t="s">
        <v>235</v>
      </c>
    </row>
    <row r="23468" spans="1:2" ht="12.75" customHeight="1" x14ac:dyDescent="0.25">
      <c r="A23468" s="318">
        <v>97827459140</v>
      </c>
      <c r="B23468" s="318" t="s">
        <v>236</v>
      </c>
    </row>
    <row r="23469" spans="1:2" ht="12.75" customHeight="1" x14ac:dyDescent="0.25">
      <c r="A23469" s="318">
        <v>97827459141</v>
      </c>
      <c r="B23469" s="318" t="s">
        <v>235</v>
      </c>
    </row>
    <row r="23470" spans="1:2" ht="12.75" customHeight="1" x14ac:dyDescent="0.25">
      <c r="A23470" s="318">
        <v>97827459143</v>
      </c>
      <c r="B23470" s="318" t="s">
        <v>236</v>
      </c>
    </row>
    <row r="23471" spans="1:2" ht="12.75" customHeight="1" x14ac:dyDescent="0.25">
      <c r="A23471" s="318">
        <v>97827459144</v>
      </c>
      <c r="B23471" s="318" t="s">
        <v>235</v>
      </c>
    </row>
    <row r="23472" spans="1:2" ht="12.75" customHeight="1" x14ac:dyDescent="0.25">
      <c r="A23472" s="318">
        <v>97827459145</v>
      </c>
      <c r="B23472" s="318" t="s">
        <v>236</v>
      </c>
    </row>
    <row r="23473" spans="1:2" ht="12.75" customHeight="1" x14ac:dyDescent="0.25">
      <c r="A23473" s="318">
        <v>97827459146</v>
      </c>
      <c r="B23473" s="318" t="s">
        <v>235</v>
      </c>
    </row>
    <row r="23474" spans="1:2" ht="12.75" customHeight="1" x14ac:dyDescent="0.25">
      <c r="A23474" s="318">
        <v>97827459147</v>
      </c>
      <c r="B23474" s="318" t="s">
        <v>236</v>
      </c>
    </row>
    <row r="23475" spans="1:2" ht="12.75" customHeight="1" x14ac:dyDescent="0.25">
      <c r="A23475" s="318">
        <v>97827459148</v>
      </c>
      <c r="B23475" s="318" t="s">
        <v>235</v>
      </c>
    </row>
    <row r="23476" spans="1:2" ht="12.75" customHeight="1" x14ac:dyDescent="0.25">
      <c r="A23476" s="318">
        <v>97827459149</v>
      </c>
      <c r="B23476" s="318" t="s">
        <v>236</v>
      </c>
    </row>
    <row r="23477" spans="1:2" ht="12.75" customHeight="1" x14ac:dyDescent="0.25">
      <c r="A23477" s="318">
        <v>97827459150</v>
      </c>
      <c r="B23477" s="318" t="s">
        <v>235</v>
      </c>
    </row>
    <row r="23478" spans="1:2" ht="12.75" customHeight="1" x14ac:dyDescent="0.25">
      <c r="A23478" s="318">
        <v>97827459234</v>
      </c>
      <c r="B23478" s="318" t="s">
        <v>236</v>
      </c>
    </row>
    <row r="23479" spans="1:2" ht="12.75" customHeight="1" x14ac:dyDescent="0.25">
      <c r="A23479" s="318">
        <v>97827459235</v>
      </c>
      <c r="B23479" s="318" t="s">
        <v>235</v>
      </c>
    </row>
    <row r="23480" spans="1:2" ht="12.75" customHeight="1" x14ac:dyDescent="0.25">
      <c r="A23480" s="318">
        <v>97827459236</v>
      </c>
      <c r="B23480" s="318" t="s">
        <v>236</v>
      </c>
    </row>
    <row r="23481" spans="1:2" ht="12.75" customHeight="1" x14ac:dyDescent="0.25">
      <c r="A23481" s="318">
        <v>97827459237</v>
      </c>
      <c r="B23481" s="318" t="s">
        <v>235</v>
      </c>
    </row>
    <row r="23482" spans="1:2" ht="12.75" customHeight="1" x14ac:dyDescent="0.25">
      <c r="A23482" s="318">
        <v>97827459238</v>
      </c>
      <c r="B23482" s="318" t="s">
        <v>236</v>
      </c>
    </row>
    <row r="23483" spans="1:2" ht="12.75" customHeight="1" x14ac:dyDescent="0.25">
      <c r="A23483" s="318">
        <v>97827459239</v>
      </c>
      <c r="B23483" s="318" t="s">
        <v>235</v>
      </c>
    </row>
    <row r="23484" spans="1:2" ht="12.75" customHeight="1" x14ac:dyDescent="0.25">
      <c r="A23484" s="318">
        <v>97827459240</v>
      </c>
      <c r="B23484" s="318" t="s">
        <v>236</v>
      </c>
    </row>
    <row r="23485" spans="1:2" ht="12.75" customHeight="1" x14ac:dyDescent="0.25">
      <c r="A23485" s="318">
        <v>97827459241</v>
      </c>
      <c r="B23485" s="318" t="s">
        <v>235</v>
      </c>
    </row>
    <row r="23486" spans="1:2" ht="12.75" customHeight="1" x14ac:dyDescent="0.25">
      <c r="A23486" s="318">
        <v>97827459243</v>
      </c>
      <c r="B23486" s="318" t="s">
        <v>236</v>
      </c>
    </row>
    <row r="23487" spans="1:2" ht="12.75" customHeight="1" x14ac:dyDescent="0.25">
      <c r="A23487" s="318">
        <v>97827459244</v>
      </c>
      <c r="B23487" s="318" t="s">
        <v>235</v>
      </c>
    </row>
    <row r="23488" spans="1:2" ht="12.75" customHeight="1" x14ac:dyDescent="0.25">
      <c r="A23488" s="318">
        <v>97827459245</v>
      </c>
      <c r="B23488" s="318" t="s">
        <v>236</v>
      </c>
    </row>
    <row r="23489" spans="1:2" ht="12.75" customHeight="1" x14ac:dyDescent="0.25">
      <c r="A23489" s="318">
        <v>97827459246</v>
      </c>
      <c r="B23489" s="318" t="s">
        <v>235</v>
      </c>
    </row>
    <row r="23490" spans="1:2" ht="12.75" customHeight="1" x14ac:dyDescent="0.25">
      <c r="A23490" s="318">
        <v>97827459247</v>
      </c>
      <c r="B23490" s="318" t="s">
        <v>236</v>
      </c>
    </row>
    <row r="23491" spans="1:2" ht="12.75" customHeight="1" x14ac:dyDescent="0.25">
      <c r="A23491" s="318">
        <v>97827459248</v>
      </c>
      <c r="B23491" s="318" t="s">
        <v>235</v>
      </c>
    </row>
    <row r="23492" spans="1:2" ht="12.75" customHeight="1" x14ac:dyDescent="0.25">
      <c r="A23492" s="318">
        <v>97827459249</v>
      </c>
      <c r="B23492" s="318" t="s">
        <v>236</v>
      </c>
    </row>
    <row r="23493" spans="1:2" ht="12.75" customHeight="1" x14ac:dyDescent="0.25">
      <c r="A23493" s="318">
        <v>97827459250</v>
      </c>
      <c r="B23493" s="318" t="s">
        <v>235</v>
      </c>
    </row>
    <row r="23494" spans="1:2" ht="12.75" customHeight="1" x14ac:dyDescent="0.25">
      <c r="A23494" s="318">
        <v>97828819515</v>
      </c>
      <c r="B23494" s="318" t="s">
        <v>236</v>
      </c>
    </row>
    <row r="23495" spans="1:2" ht="12.75" customHeight="1" x14ac:dyDescent="0.25">
      <c r="A23495" s="318">
        <v>97828819516</v>
      </c>
      <c r="B23495" s="318" t="s">
        <v>235</v>
      </c>
    </row>
    <row r="23496" spans="1:2" ht="12.75" customHeight="1" x14ac:dyDescent="0.25">
      <c r="A23496" s="318">
        <v>97828819517</v>
      </c>
      <c r="B23496" s="318" t="s">
        <v>236</v>
      </c>
    </row>
    <row r="23497" spans="1:2" ht="12.75" customHeight="1" x14ac:dyDescent="0.25">
      <c r="A23497" s="318">
        <v>97828819518</v>
      </c>
      <c r="B23497" s="318" t="s">
        <v>235</v>
      </c>
    </row>
    <row r="23498" spans="1:2" ht="12.75" customHeight="1" x14ac:dyDescent="0.25">
      <c r="A23498" s="318">
        <v>97828819519</v>
      </c>
      <c r="B23498" s="318" t="s">
        <v>236</v>
      </c>
    </row>
    <row r="23499" spans="1:2" ht="12.75" customHeight="1" x14ac:dyDescent="0.25">
      <c r="A23499" s="318">
        <v>97828819520</v>
      </c>
      <c r="B23499" s="318" t="s">
        <v>235</v>
      </c>
    </row>
    <row r="23500" spans="1:2" ht="12.75" customHeight="1" x14ac:dyDescent="0.25">
      <c r="A23500" s="318">
        <v>97828819521</v>
      </c>
      <c r="B23500" s="318" t="s">
        <v>236</v>
      </c>
    </row>
    <row r="23501" spans="1:2" ht="12.75" customHeight="1" x14ac:dyDescent="0.25">
      <c r="A23501" s="318">
        <v>97828819522</v>
      </c>
      <c r="B23501" s="318" t="s">
        <v>235</v>
      </c>
    </row>
    <row r="23502" spans="1:2" ht="12.75" customHeight="1" x14ac:dyDescent="0.25">
      <c r="A23502" s="318">
        <v>97828819524</v>
      </c>
      <c r="B23502" s="318" t="s">
        <v>236</v>
      </c>
    </row>
    <row r="23503" spans="1:2" ht="12.75" customHeight="1" x14ac:dyDescent="0.25">
      <c r="A23503" s="318">
        <v>97828819525</v>
      </c>
      <c r="B23503" s="318" t="s">
        <v>235</v>
      </c>
    </row>
    <row r="23504" spans="1:2" ht="12.75" customHeight="1" x14ac:dyDescent="0.25">
      <c r="A23504" s="318">
        <v>97828819526</v>
      </c>
      <c r="B23504" s="318" t="s">
        <v>236</v>
      </c>
    </row>
    <row r="23505" spans="1:2" ht="12.75" customHeight="1" x14ac:dyDescent="0.25">
      <c r="A23505" s="318">
        <v>97828819527</v>
      </c>
      <c r="B23505" s="318" t="s">
        <v>235</v>
      </c>
    </row>
    <row r="23506" spans="1:2" ht="12.75" customHeight="1" x14ac:dyDescent="0.25">
      <c r="A23506" s="318">
        <v>97828819528</v>
      </c>
      <c r="B23506" s="318" t="s">
        <v>236</v>
      </c>
    </row>
    <row r="23507" spans="1:2" ht="12.75" customHeight="1" x14ac:dyDescent="0.25">
      <c r="A23507" s="318">
        <v>97828819529</v>
      </c>
      <c r="B23507" s="318" t="s">
        <v>235</v>
      </c>
    </row>
    <row r="23508" spans="1:2" ht="12.75" customHeight="1" x14ac:dyDescent="0.25">
      <c r="A23508" s="318">
        <v>97828819530</v>
      </c>
      <c r="B23508" s="318" t="s">
        <v>236</v>
      </c>
    </row>
    <row r="23509" spans="1:2" ht="12.75" customHeight="1" x14ac:dyDescent="0.25">
      <c r="A23509" s="318">
        <v>97828819531</v>
      </c>
      <c r="B23509" s="318" t="s">
        <v>235</v>
      </c>
    </row>
    <row r="23510" spans="1:2" ht="12.75" customHeight="1" x14ac:dyDescent="0.25">
      <c r="A23510" s="318">
        <v>97828819615</v>
      </c>
      <c r="B23510" s="318" t="s">
        <v>236</v>
      </c>
    </row>
    <row r="23511" spans="1:2" ht="12.75" customHeight="1" x14ac:dyDescent="0.25">
      <c r="A23511" s="318">
        <v>97828819616</v>
      </c>
      <c r="B23511" s="318" t="s">
        <v>235</v>
      </c>
    </row>
    <row r="23512" spans="1:2" ht="12.75" customHeight="1" x14ac:dyDescent="0.25">
      <c r="A23512" s="318">
        <v>97828819617</v>
      </c>
      <c r="B23512" s="318" t="s">
        <v>236</v>
      </c>
    </row>
    <row r="23513" spans="1:2" ht="12.75" customHeight="1" x14ac:dyDescent="0.25">
      <c r="A23513" s="318">
        <v>97828819618</v>
      </c>
      <c r="B23513" s="318" t="s">
        <v>235</v>
      </c>
    </row>
    <row r="23514" spans="1:2" ht="12.75" customHeight="1" x14ac:dyDescent="0.25">
      <c r="A23514" s="318">
        <v>97828819619</v>
      </c>
      <c r="B23514" s="318" t="s">
        <v>236</v>
      </c>
    </row>
    <row r="23515" spans="1:2" ht="12.75" customHeight="1" x14ac:dyDescent="0.25">
      <c r="A23515" s="318">
        <v>97828819620</v>
      </c>
      <c r="B23515" s="318" t="s">
        <v>235</v>
      </c>
    </row>
    <row r="23516" spans="1:2" ht="12.75" customHeight="1" x14ac:dyDescent="0.25">
      <c r="A23516" s="318">
        <v>97828819621</v>
      </c>
      <c r="B23516" s="318" t="s">
        <v>236</v>
      </c>
    </row>
    <row r="23517" spans="1:2" ht="12.75" customHeight="1" x14ac:dyDescent="0.25">
      <c r="A23517" s="318">
        <v>97828819622</v>
      </c>
      <c r="B23517" s="318" t="s">
        <v>235</v>
      </c>
    </row>
    <row r="23518" spans="1:2" ht="12.75" customHeight="1" x14ac:dyDescent="0.25">
      <c r="A23518" s="318">
        <v>97828819624</v>
      </c>
      <c r="B23518" s="318" t="s">
        <v>236</v>
      </c>
    </row>
    <row r="23519" spans="1:2" ht="12.75" customHeight="1" x14ac:dyDescent="0.25">
      <c r="A23519" s="318">
        <v>97828819625</v>
      </c>
      <c r="B23519" s="318" t="s">
        <v>235</v>
      </c>
    </row>
    <row r="23520" spans="1:2" ht="12.75" customHeight="1" x14ac:dyDescent="0.25">
      <c r="A23520" s="318">
        <v>97828819626</v>
      </c>
      <c r="B23520" s="318" t="s">
        <v>236</v>
      </c>
    </row>
    <row r="23521" spans="1:2" ht="12.75" customHeight="1" x14ac:dyDescent="0.25">
      <c r="A23521" s="318">
        <v>97828819627</v>
      </c>
      <c r="B23521" s="318" t="s">
        <v>235</v>
      </c>
    </row>
    <row r="23522" spans="1:2" ht="12.75" customHeight="1" x14ac:dyDescent="0.25">
      <c r="A23522" s="318">
        <v>97828819628</v>
      </c>
      <c r="B23522" s="318" t="s">
        <v>236</v>
      </c>
    </row>
    <row r="23523" spans="1:2" ht="12.75" customHeight="1" x14ac:dyDescent="0.25">
      <c r="A23523" s="318">
        <v>97828819629</v>
      </c>
      <c r="B23523" s="318" t="s">
        <v>235</v>
      </c>
    </row>
    <row r="23524" spans="1:2" ht="12.75" customHeight="1" x14ac:dyDescent="0.25">
      <c r="A23524" s="318">
        <v>97828819630</v>
      </c>
      <c r="B23524" s="318" t="s">
        <v>236</v>
      </c>
    </row>
    <row r="23525" spans="1:2" ht="12.75" customHeight="1" x14ac:dyDescent="0.25">
      <c r="A23525" s="318">
        <v>97828819631</v>
      </c>
      <c r="B23525" s="318" t="s">
        <v>235</v>
      </c>
    </row>
    <row r="23526" spans="1:2" ht="12.75" customHeight="1" x14ac:dyDescent="0.25">
      <c r="A23526" s="318">
        <v>97829300488</v>
      </c>
      <c r="B23526" s="318" t="s">
        <v>236</v>
      </c>
    </row>
    <row r="23527" spans="1:2" ht="12.75" customHeight="1" x14ac:dyDescent="0.25">
      <c r="A23527" s="318">
        <v>97829300489</v>
      </c>
      <c r="B23527" s="318" t="s">
        <v>235</v>
      </c>
    </row>
    <row r="23528" spans="1:2" ht="12.75" customHeight="1" x14ac:dyDescent="0.25">
      <c r="A23528" s="318">
        <v>97829300490</v>
      </c>
      <c r="B23528" s="318" t="s">
        <v>236</v>
      </c>
    </row>
    <row r="23529" spans="1:2" ht="12.75" customHeight="1" x14ac:dyDescent="0.25">
      <c r="A23529" s="318">
        <v>97829300491</v>
      </c>
      <c r="B23529" s="318" t="s">
        <v>235</v>
      </c>
    </row>
    <row r="23530" spans="1:2" ht="12.75" customHeight="1" x14ac:dyDescent="0.25">
      <c r="A23530" s="318">
        <v>97829300492</v>
      </c>
      <c r="B23530" s="318" t="s">
        <v>236</v>
      </c>
    </row>
    <row r="23531" spans="1:2" ht="12.75" customHeight="1" x14ac:dyDescent="0.25">
      <c r="A23531" s="318">
        <v>97829300493</v>
      </c>
      <c r="B23531" s="318" t="s">
        <v>235</v>
      </c>
    </row>
    <row r="23532" spans="1:2" ht="12.75" customHeight="1" x14ac:dyDescent="0.25">
      <c r="A23532" s="318">
        <v>97829300494</v>
      </c>
      <c r="B23532" s="318" t="s">
        <v>236</v>
      </c>
    </row>
    <row r="23533" spans="1:2" ht="12.75" customHeight="1" x14ac:dyDescent="0.25">
      <c r="A23533" s="318">
        <v>97829300495</v>
      </c>
      <c r="B23533" s="318" t="s">
        <v>235</v>
      </c>
    </row>
    <row r="23534" spans="1:2" ht="12.75" customHeight="1" x14ac:dyDescent="0.25">
      <c r="A23534" s="318">
        <v>97829300497</v>
      </c>
      <c r="B23534" s="318" t="s">
        <v>236</v>
      </c>
    </row>
    <row r="23535" spans="1:2" ht="12.75" customHeight="1" x14ac:dyDescent="0.25">
      <c r="A23535" s="318">
        <v>97829300498</v>
      </c>
      <c r="B23535" s="318" t="s">
        <v>235</v>
      </c>
    </row>
    <row r="23536" spans="1:2" ht="12.75" customHeight="1" x14ac:dyDescent="0.25">
      <c r="A23536" s="318">
        <v>97829300499</v>
      </c>
      <c r="B23536" s="318" t="s">
        <v>236</v>
      </c>
    </row>
    <row r="23537" spans="1:2" ht="12.75" customHeight="1" x14ac:dyDescent="0.25">
      <c r="A23537" s="318">
        <v>97829300500</v>
      </c>
      <c r="B23537" s="318" t="s">
        <v>235</v>
      </c>
    </row>
    <row r="23538" spans="1:2" ht="12.75" customHeight="1" x14ac:dyDescent="0.25">
      <c r="A23538" s="318">
        <v>97829300501</v>
      </c>
      <c r="B23538" s="318" t="s">
        <v>236</v>
      </c>
    </row>
    <row r="23539" spans="1:2" ht="12.75" customHeight="1" x14ac:dyDescent="0.25">
      <c r="A23539" s="318">
        <v>97829300502</v>
      </c>
      <c r="B23539" s="318" t="s">
        <v>235</v>
      </c>
    </row>
    <row r="23540" spans="1:2" ht="12.75" customHeight="1" x14ac:dyDescent="0.25">
      <c r="A23540" s="318">
        <v>97829300503</v>
      </c>
      <c r="B23540" s="318" t="s">
        <v>236</v>
      </c>
    </row>
    <row r="23541" spans="1:2" ht="12.75" customHeight="1" x14ac:dyDescent="0.25">
      <c r="A23541" s="318">
        <v>97829300504</v>
      </c>
      <c r="B23541" s="318" t="s">
        <v>235</v>
      </c>
    </row>
    <row r="23542" spans="1:2" ht="12.75" customHeight="1" x14ac:dyDescent="0.25">
      <c r="A23542" s="318">
        <v>97829300588</v>
      </c>
      <c r="B23542" s="318" t="s">
        <v>236</v>
      </c>
    </row>
    <row r="23543" spans="1:2" ht="12.75" customHeight="1" x14ac:dyDescent="0.25">
      <c r="A23543" s="318">
        <v>97829300589</v>
      </c>
      <c r="B23543" s="318" t="s">
        <v>235</v>
      </c>
    </row>
    <row r="23544" spans="1:2" ht="12.75" customHeight="1" x14ac:dyDescent="0.25">
      <c r="A23544" s="318">
        <v>97829300590</v>
      </c>
      <c r="B23544" s="318" t="s">
        <v>236</v>
      </c>
    </row>
    <row r="23545" spans="1:2" ht="12.75" customHeight="1" x14ac:dyDescent="0.25">
      <c r="A23545" s="318">
        <v>97829300591</v>
      </c>
      <c r="B23545" s="318" t="s">
        <v>235</v>
      </c>
    </row>
    <row r="23546" spans="1:2" ht="12.75" customHeight="1" x14ac:dyDescent="0.25">
      <c r="A23546" s="318">
        <v>97829300592</v>
      </c>
      <c r="B23546" s="318" t="s">
        <v>236</v>
      </c>
    </row>
    <row r="23547" spans="1:2" ht="12.75" customHeight="1" x14ac:dyDescent="0.25">
      <c r="A23547" s="318">
        <v>97829300593</v>
      </c>
      <c r="B23547" s="318" t="s">
        <v>235</v>
      </c>
    </row>
    <row r="23548" spans="1:2" ht="12.75" customHeight="1" x14ac:dyDescent="0.25">
      <c r="A23548" s="318">
        <v>97829300594</v>
      </c>
      <c r="B23548" s="318" t="s">
        <v>236</v>
      </c>
    </row>
    <row r="23549" spans="1:2" ht="12.75" customHeight="1" x14ac:dyDescent="0.25">
      <c r="A23549" s="318">
        <v>97829300595</v>
      </c>
      <c r="B23549" s="318" t="s">
        <v>235</v>
      </c>
    </row>
    <row r="23550" spans="1:2" ht="12.75" customHeight="1" x14ac:dyDescent="0.25">
      <c r="A23550" s="318">
        <v>97829300597</v>
      </c>
      <c r="B23550" s="318" t="s">
        <v>236</v>
      </c>
    </row>
    <row r="23551" spans="1:2" ht="12.75" customHeight="1" x14ac:dyDescent="0.25">
      <c r="A23551" s="318">
        <v>97829300598</v>
      </c>
      <c r="B23551" s="318" t="s">
        <v>235</v>
      </c>
    </row>
    <row r="23552" spans="1:2" ht="12.75" customHeight="1" x14ac:dyDescent="0.25">
      <c r="A23552" s="318">
        <v>97829300599</v>
      </c>
      <c r="B23552" s="318" t="s">
        <v>236</v>
      </c>
    </row>
    <row r="23553" spans="1:2" ht="12.75" customHeight="1" x14ac:dyDescent="0.25">
      <c r="A23553" s="318">
        <v>97829300600</v>
      </c>
      <c r="B23553" s="318" t="s">
        <v>235</v>
      </c>
    </row>
    <row r="23554" spans="1:2" ht="12.75" customHeight="1" x14ac:dyDescent="0.25">
      <c r="A23554" s="318">
        <v>97829300601</v>
      </c>
      <c r="B23554" s="318" t="s">
        <v>236</v>
      </c>
    </row>
    <row r="23555" spans="1:2" ht="12.75" customHeight="1" x14ac:dyDescent="0.25">
      <c r="A23555" s="318">
        <v>97829300602</v>
      </c>
      <c r="B23555" s="318" t="s">
        <v>235</v>
      </c>
    </row>
    <row r="23556" spans="1:2" ht="12.75" customHeight="1" x14ac:dyDescent="0.25">
      <c r="A23556" s="318">
        <v>97829300603</v>
      </c>
      <c r="B23556" s="318" t="s">
        <v>236</v>
      </c>
    </row>
    <row r="23557" spans="1:2" ht="12.75" customHeight="1" x14ac:dyDescent="0.25">
      <c r="A23557" s="318">
        <v>97829300604</v>
      </c>
      <c r="B23557" s="318" t="s">
        <v>235</v>
      </c>
    </row>
    <row r="23558" spans="1:2" ht="12.75" customHeight="1" x14ac:dyDescent="0.25">
      <c r="A23558" s="318">
        <v>97829781461</v>
      </c>
      <c r="B23558" s="318" t="s">
        <v>236</v>
      </c>
    </row>
    <row r="23559" spans="1:2" ht="12.75" customHeight="1" x14ac:dyDescent="0.25">
      <c r="A23559" s="318">
        <v>97829781462</v>
      </c>
      <c r="B23559" s="318" t="s">
        <v>235</v>
      </c>
    </row>
    <row r="23560" spans="1:2" ht="12.75" customHeight="1" x14ac:dyDescent="0.25">
      <c r="A23560" s="318">
        <v>97829781463</v>
      </c>
      <c r="B23560" s="318" t="s">
        <v>236</v>
      </c>
    </row>
    <row r="23561" spans="1:2" ht="12.75" customHeight="1" x14ac:dyDescent="0.25">
      <c r="A23561" s="318">
        <v>97829781464</v>
      </c>
      <c r="B23561" s="318" t="s">
        <v>235</v>
      </c>
    </row>
    <row r="23562" spans="1:2" ht="12.75" customHeight="1" x14ac:dyDescent="0.25">
      <c r="A23562" s="318">
        <v>97829781465</v>
      </c>
      <c r="B23562" s="318" t="s">
        <v>236</v>
      </c>
    </row>
    <row r="23563" spans="1:2" ht="12.75" customHeight="1" x14ac:dyDescent="0.25">
      <c r="A23563" s="318">
        <v>97829781466</v>
      </c>
      <c r="B23563" s="318" t="s">
        <v>235</v>
      </c>
    </row>
    <row r="23564" spans="1:2" ht="12.75" customHeight="1" x14ac:dyDescent="0.25">
      <c r="A23564" s="318">
        <v>97829781467</v>
      </c>
      <c r="B23564" s="318" t="s">
        <v>236</v>
      </c>
    </row>
    <row r="23565" spans="1:2" ht="12.75" customHeight="1" x14ac:dyDescent="0.25">
      <c r="A23565" s="318">
        <v>97829781468</v>
      </c>
      <c r="B23565" s="318" t="s">
        <v>235</v>
      </c>
    </row>
    <row r="23566" spans="1:2" ht="12.75" customHeight="1" x14ac:dyDescent="0.25">
      <c r="A23566" s="318">
        <v>97829781470</v>
      </c>
      <c r="B23566" s="318" t="s">
        <v>236</v>
      </c>
    </row>
    <row r="23567" spans="1:2" ht="12.75" customHeight="1" x14ac:dyDescent="0.25">
      <c r="A23567" s="318">
        <v>97829781471</v>
      </c>
      <c r="B23567" s="318" t="s">
        <v>235</v>
      </c>
    </row>
    <row r="23568" spans="1:2" ht="12.75" customHeight="1" x14ac:dyDescent="0.25">
      <c r="A23568" s="318">
        <v>97829781472</v>
      </c>
      <c r="B23568" s="318" t="s">
        <v>236</v>
      </c>
    </row>
    <row r="23569" spans="1:2" ht="12.75" customHeight="1" x14ac:dyDescent="0.25">
      <c r="A23569" s="318">
        <v>97829781473</v>
      </c>
      <c r="B23569" s="318" t="s">
        <v>235</v>
      </c>
    </row>
    <row r="23570" spans="1:2" ht="12.75" customHeight="1" x14ac:dyDescent="0.25">
      <c r="A23570" s="318">
        <v>97829781474</v>
      </c>
      <c r="B23570" s="318" t="s">
        <v>236</v>
      </c>
    </row>
    <row r="23571" spans="1:2" ht="12.75" customHeight="1" x14ac:dyDescent="0.25">
      <c r="A23571" s="318">
        <v>97829781475</v>
      </c>
      <c r="B23571" s="318" t="s">
        <v>235</v>
      </c>
    </row>
    <row r="23572" spans="1:2" ht="12.75" customHeight="1" x14ac:dyDescent="0.25">
      <c r="A23572" s="318">
        <v>97829781476</v>
      </c>
      <c r="B23572" s="318" t="s">
        <v>236</v>
      </c>
    </row>
    <row r="23573" spans="1:2" ht="12.75" customHeight="1" x14ac:dyDescent="0.25">
      <c r="A23573" s="318">
        <v>97829781477</v>
      </c>
      <c r="B23573" s="318" t="s">
        <v>235</v>
      </c>
    </row>
    <row r="23574" spans="1:2" ht="12.75" customHeight="1" x14ac:dyDescent="0.25">
      <c r="A23574" s="318">
        <v>97829781561</v>
      </c>
      <c r="B23574" s="318" t="s">
        <v>236</v>
      </c>
    </row>
    <row r="23575" spans="1:2" ht="12.75" customHeight="1" x14ac:dyDescent="0.25">
      <c r="A23575" s="318">
        <v>97829781562</v>
      </c>
      <c r="B23575" s="318" t="s">
        <v>235</v>
      </c>
    </row>
    <row r="23576" spans="1:2" ht="12.75" customHeight="1" x14ac:dyDescent="0.25">
      <c r="A23576" s="318">
        <v>97829781563</v>
      </c>
      <c r="B23576" s="318" t="s">
        <v>236</v>
      </c>
    </row>
    <row r="23577" spans="1:2" ht="12.75" customHeight="1" x14ac:dyDescent="0.25">
      <c r="A23577" s="318">
        <v>97829781564</v>
      </c>
      <c r="B23577" s="318" t="s">
        <v>235</v>
      </c>
    </row>
    <row r="23578" spans="1:2" ht="12.75" customHeight="1" x14ac:dyDescent="0.25">
      <c r="A23578" s="318">
        <v>97829781565</v>
      </c>
      <c r="B23578" s="318" t="s">
        <v>236</v>
      </c>
    </row>
    <row r="23579" spans="1:2" ht="12.75" customHeight="1" x14ac:dyDescent="0.25">
      <c r="A23579" s="318">
        <v>97829781566</v>
      </c>
      <c r="B23579" s="318" t="s">
        <v>235</v>
      </c>
    </row>
    <row r="23580" spans="1:2" ht="12.75" customHeight="1" x14ac:dyDescent="0.25">
      <c r="A23580" s="318">
        <v>97829781567</v>
      </c>
      <c r="B23580" s="318" t="s">
        <v>236</v>
      </c>
    </row>
    <row r="23581" spans="1:2" ht="12.75" customHeight="1" x14ac:dyDescent="0.25">
      <c r="A23581" s="318">
        <v>97829781568</v>
      </c>
      <c r="B23581" s="318" t="s">
        <v>235</v>
      </c>
    </row>
    <row r="23582" spans="1:2" ht="12.75" customHeight="1" x14ac:dyDescent="0.25">
      <c r="A23582" s="318">
        <v>97829781570</v>
      </c>
      <c r="B23582" s="318" t="s">
        <v>236</v>
      </c>
    </row>
    <row r="23583" spans="1:2" ht="12.75" customHeight="1" x14ac:dyDescent="0.25">
      <c r="A23583" s="318">
        <v>97829781571</v>
      </c>
      <c r="B23583" s="318" t="s">
        <v>235</v>
      </c>
    </row>
    <row r="23584" spans="1:2" ht="12.75" customHeight="1" x14ac:dyDescent="0.25">
      <c r="A23584" s="318">
        <v>97829781572</v>
      </c>
      <c r="B23584" s="318" t="s">
        <v>236</v>
      </c>
    </row>
    <row r="23585" spans="1:2" ht="12.75" customHeight="1" x14ac:dyDescent="0.25">
      <c r="A23585" s="318">
        <v>97829781573</v>
      </c>
      <c r="B23585" s="318" t="s">
        <v>235</v>
      </c>
    </row>
    <row r="23586" spans="1:2" ht="12.75" customHeight="1" x14ac:dyDescent="0.25">
      <c r="A23586" s="318">
        <v>97829781574</v>
      </c>
      <c r="B23586" s="318" t="s">
        <v>236</v>
      </c>
    </row>
    <row r="23587" spans="1:2" ht="12.75" customHeight="1" x14ac:dyDescent="0.25">
      <c r="A23587" s="318">
        <v>97829781575</v>
      </c>
      <c r="B23587" s="318" t="s">
        <v>235</v>
      </c>
    </row>
    <row r="23588" spans="1:2" ht="12.75" customHeight="1" x14ac:dyDescent="0.25">
      <c r="A23588" s="318">
        <v>97829781576</v>
      </c>
      <c r="B23588" s="318" t="s">
        <v>236</v>
      </c>
    </row>
    <row r="23589" spans="1:2" ht="12.75" customHeight="1" x14ac:dyDescent="0.25">
      <c r="A23589" s="318">
        <v>97829781577</v>
      </c>
      <c r="B23589" s="318" t="s">
        <v>235</v>
      </c>
    </row>
    <row r="23590" spans="1:2" ht="12.75" customHeight="1" x14ac:dyDescent="0.25">
      <c r="A23590" s="318">
        <v>97830461652</v>
      </c>
      <c r="B23590" s="318" t="s">
        <v>236</v>
      </c>
    </row>
    <row r="23591" spans="1:2" ht="12.75" customHeight="1" x14ac:dyDescent="0.25">
      <c r="A23591" s="318">
        <v>97830461653</v>
      </c>
      <c r="B23591" s="318" t="s">
        <v>235</v>
      </c>
    </row>
    <row r="23592" spans="1:2" ht="12.75" customHeight="1" x14ac:dyDescent="0.25">
      <c r="A23592" s="318">
        <v>97830461654</v>
      </c>
      <c r="B23592" s="318" t="s">
        <v>236</v>
      </c>
    </row>
    <row r="23593" spans="1:2" ht="12.75" customHeight="1" x14ac:dyDescent="0.25">
      <c r="A23593" s="318">
        <v>97830461655</v>
      </c>
      <c r="B23593" s="318" t="s">
        <v>235</v>
      </c>
    </row>
    <row r="23594" spans="1:2" ht="12.75" customHeight="1" x14ac:dyDescent="0.25">
      <c r="A23594" s="318">
        <v>97830461656</v>
      </c>
      <c r="B23594" s="318" t="s">
        <v>236</v>
      </c>
    </row>
    <row r="23595" spans="1:2" ht="12.75" customHeight="1" x14ac:dyDescent="0.25">
      <c r="A23595" s="318">
        <v>97830461657</v>
      </c>
      <c r="B23595" s="318" t="s">
        <v>235</v>
      </c>
    </row>
    <row r="23596" spans="1:2" ht="12.75" customHeight="1" x14ac:dyDescent="0.25">
      <c r="A23596" s="318">
        <v>97830461658</v>
      </c>
      <c r="B23596" s="318" t="s">
        <v>236</v>
      </c>
    </row>
    <row r="23597" spans="1:2" ht="12.75" customHeight="1" x14ac:dyDescent="0.25">
      <c r="A23597" s="318">
        <v>97830461659</v>
      </c>
      <c r="B23597" s="318" t="s">
        <v>235</v>
      </c>
    </row>
    <row r="23598" spans="1:2" ht="12.75" customHeight="1" x14ac:dyDescent="0.25">
      <c r="A23598" s="318">
        <v>97830461661</v>
      </c>
      <c r="B23598" s="318" t="s">
        <v>236</v>
      </c>
    </row>
    <row r="23599" spans="1:2" ht="12.75" customHeight="1" x14ac:dyDescent="0.25">
      <c r="A23599" s="318">
        <v>97830461662</v>
      </c>
      <c r="B23599" s="318" t="s">
        <v>235</v>
      </c>
    </row>
    <row r="23600" spans="1:2" ht="12.75" customHeight="1" x14ac:dyDescent="0.25">
      <c r="A23600" s="318">
        <v>97830461663</v>
      </c>
      <c r="B23600" s="318" t="s">
        <v>236</v>
      </c>
    </row>
    <row r="23601" spans="1:2" ht="12.75" customHeight="1" x14ac:dyDescent="0.25">
      <c r="A23601" s="318">
        <v>97830461664</v>
      </c>
      <c r="B23601" s="318" t="s">
        <v>235</v>
      </c>
    </row>
    <row r="23602" spans="1:2" ht="12.75" customHeight="1" x14ac:dyDescent="0.25">
      <c r="A23602" s="318">
        <v>97830461665</v>
      </c>
      <c r="B23602" s="318" t="s">
        <v>236</v>
      </c>
    </row>
    <row r="23603" spans="1:2" ht="12.75" customHeight="1" x14ac:dyDescent="0.25">
      <c r="A23603" s="318">
        <v>97830461666</v>
      </c>
      <c r="B23603" s="318" t="s">
        <v>235</v>
      </c>
    </row>
    <row r="23604" spans="1:2" ht="12.75" customHeight="1" x14ac:dyDescent="0.25">
      <c r="A23604" s="318">
        <v>97830461667</v>
      </c>
      <c r="B23604" s="318" t="s">
        <v>236</v>
      </c>
    </row>
    <row r="23605" spans="1:2" ht="12.75" customHeight="1" x14ac:dyDescent="0.25">
      <c r="A23605" s="318">
        <v>97830461668</v>
      </c>
      <c r="B23605" s="318" t="s">
        <v>235</v>
      </c>
    </row>
    <row r="23606" spans="1:2" ht="12.75" customHeight="1" x14ac:dyDescent="0.25">
      <c r="A23606" s="318">
        <v>97830461752</v>
      </c>
      <c r="B23606" s="318" t="s">
        <v>236</v>
      </c>
    </row>
    <row r="23607" spans="1:2" ht="12.75" customHeight="1" x14ac:dyDescent="0.25">
      <c r="A23607" s="318">
        <v>97830461753</v>
      </c>
      <c r="B23607" s="318" t="s">
        <v>235</v>
      </c>
    </row>
    <row r="23608" spans="1:2" ht="12.75" customHeight="1" x14ac:dyDescent="0.25">
      <c r="A23608" s="318">
        <v>97830461754</v>
      </c>
      <c r="B23608" s="318" t="s">
        <v>236</v>
      </c>
    </row>
    <row r="23609" spans="1:2" ht="12.75" customHeight="1" x14ac:dyDescent="0.25">
      <c r="A23609" s="318">
        <v>97830461755</v>
      </c>
      <c r="B23609" s="318" t="s">
        <v>235</v>
      </c>
    </row>
    <row r="23610" spans="1:2" ht="12.75" customHeight="1" x14ac:dyDescent="0.25">
      <c r="A23610" s="318">
        <v>97830461756</v>
      </c>
      <c r="B23610" s="318" t="s">
        <v>236</v>
      </c>
    </row>
    <row r="23611" spans="1:2" ht="12.75" customHeight="1" x14ac:dyDescent="0.25">
      <c r="A23611" s="318">
        <v>97830461757</v>
      </c>
      <c r="B23611" s="318" t="s">
        <v>235</v>
      </c>
    </row>
    <row r="23612" spans="1:2" ht="12.75" customHeight="1" x14ac:dyDescent="0.25">
      <c r="A23612" s="318">
        <v>97830461758</v>
      </c>
      <c r="B23612" s="318" t="s">
        <v>236</v>
      </c>
    </row>
    <row r="23613" spans="1:2" ht="12.75" customHeight="1" x14ac:dyDescent="0.25">
      <c r="A23613" s="318">
        <v>97830461759</v>
      </c>
      <c r="B23613" s="318" t="s">
        <v>235</v>
      </c>
    </row>
    <row r="23614" spans="1:2" ht="12.75" customHeight="1" x14ac:dyDescent="0.25">
      <c r="A23614" s="318">
        <v>97830461761</v>
      </c>
      <c r="B23614" s="318" t="s">
        <v>236</v>
      </c>
    </row>
    <row r="23615" spans="1:2" ht="12.75" customHeight="1" x14ac:dyDescent="0.25">
      <c r="A23615" s="318">
        <v>97830461762</v>
      </c>
      <c r="B23615" s="318" t="s">
        <v>235</v>
      </c>
    </row>
    <row r="23616" spans="1:2" ht="12.75" customHeight="1" x14ac:dyDescent="0.25">
      <c r="A23616" s="318">
        <v>97830461763</v>
      </c>
      <c r="B23616" s="318" t="s">
        <v>236</v>
      </c>
    </row>
    <row r="23617" spans="1:2" ht="12.75" customHeight="1" x14ac:dyDescent="0.25">
      <c r="A23617" s="318">
        <v>97830461764</v>
      </c>
      <c r="B23617" s="318" t="s">
        <v>235</v>
      </c>
    </row>
    <row r="23618" spans="1:2" ht="12.75" customHeight="1" x14ac:dyDescent="0.25">
      <c r="A23618" s="318">
        <v>97830461765</v>
      </c>
      <c r="B23618" s="318" t="s">
        <v>236</v>
      </c>
    </row>
    <row r="23619" spans="1:2" ht="12.75" customHeight="1" x14ac:dyDescent="0.25">
      <c r="A23619" s="318">
        <v>97830461766</v>
      </c>
      <c r="B23619" s="318" t="s">
        <v>235</v>
      </c>
    </row>
    <row r="23620" spans="1:2" ht="12.75" customHeight="1" x14ac:dyDescent="0.25">
      <c r="A23620" s="318">
        <v>97830461767</v>
      </c>
      <c r="B23620" s="318" t="s">
        <v>236</v>
      </c>
    </row>
    <row r="23621" spans="1:2" ht="12.75" customHeight="1" x14ac:dyDescent="0.25">
      <c r="A23621" s="318">
        <v>97830461768</v>
      </c>
      <c r="B23621" s="318" t="s">
        <v>235</v>
      </c>
    </row>
    <row r="23622" spans="1:2" ht="12.75" customHeight="1" x14ac:dyDescent="0.25">
      <c r="A23622" s="318">
        <v>97830942625</v>
      </c>
      <c r="B23622" s="318" t="s">
        <v>236</v>
      </c>
    </row>
    <row r="23623" spans="1:2" ht="12.75" customHeight="1" x14ac:dyDescent="0.25">
      <c r="A23623" s="318">
        <v>97830942626</v>
      </c>
      <c r="B23623" s="318" t="s">
        <v>235</v>
      </c>
    </row>
    <row r="23624" spans="1:2" ht="12.75" customHeight="1" x14ac:dyDescent="0.25">
      <c r="A23624" s="318">
        <v>97830942627</v>
      </c>
      <c r="B23624" s="318" t="s">
        <v>236</v>
      </c>
    </row>
    <row r="23625" spans="1:2" ht="12.75" customHeight="1" x14ac:dyDescent="0.25">
      <c r="A23625" s="318">
        <v>97830942628</v>
      </c>
      <c r="B23625" s="318" t="s">
        <v>235</v>
      </c>
    </row>
    <row r="23626" spans="1:2" ht="12.75" customHeight="1" x14ac:dyDescent="0.25">
      <c r="A23626" s="318">
        <v>97830942629</v>
      </c>
      <c r="B23626" s="318" t="s">
        <v>236</v>
      </c>
    </row>
    <row r="23627" spans="1:2" ht="12.75" customHeight="1" x14ac:dyDescent="0.25">
      <c r="A23627" s="318">
        <v>97830942630</v>
      </c>
      <c r="B23627" s="318" t="s">
        <v>235</v>
      </c>
    </row>
    <row r="23628" spans="1:2" ht="12.75" customHeight="1" x14ac:dyDescent="0.25">
      <c r="A23628" s="318">
        <v>97830942631</v>
      </c>
      <c r="B23628" s="318" t="s">
        <v>236</v>
      </c>
    </row>
    <row r="23629" spans="1:2" ht="12.75" customHeight="1" x14ac:dyDescent="0.25">
      <c r="A23629" s="318">
        <v>97830942632</v>
      </c>
      <c r="B23629" s="318" t="s">
        <v>235</v>
      </c>
    </row>
    <row r="23630" spans="1:2" ht="12.75" customHeight="1" x14ac:dyDescent="0.25">
      <c r="A23630" s="318">
        <v>97830942634</v>
      </c>
      <c r="B23630" s="318" t="s">
        <v>236</v>
      </c>
    </row>
    <row r="23631" spans="1:2" ht="12.75" customHeight="1" x14ac:dyDescent="0.25">
      <c r="A23631" s="318">
        <v>97830942635</v>
      </c>
      <c r="B23631" s="318" t="s">
        <v>235</v>
      </c>
    </row>
    <row r="23632" spans="1:2" ht="12.75" customHeight="1" x14ac:dyDescent="0.25">
      <c r="A23632" s="318">
        <v>97830942636</v>
      </c>
      <c r="B23632" s="318" t="s">
        <v>236</v>
      </c>
    </row>
    <row r="23633" spans="1:2" ht="12.75" customHeight="1" x14ac:dyDescent="0.25">
      <c r="A23633" s="318">
        <v>97830942637</v>
      </c>
      <c r="B23633" s="318" t="s">
        <v>235</v>
      </c>
    </row>
    <row r="23634" spans="1:2" ht="12.75" customHeight="1" x14ac:dyDescent="0.25">
      <c r="A23634" s="318">
        <v>97830942638</v>
      </c>
      <c r="B23634" s="318" t="s">
        <v>236</v>
      </c>
    </row>
    <row r="23635" spans="1:2" ht="12.75" customHeight="1" x14ac:dyDescent="0.25">
      <c r="A23635" s="318">
        <v>97830942639</v>
      </c>
      <c r="B23635" s="318" t="s">
        <v>235</v>
      </c>
    </row>
    <row r="23636" spans="1:2" ht="12.75" customHeight="1" x14ac:dyDescent="0.25">
      <c r="A23636" s="318">
        <v>97830942640</v>
      </c>
      <c r="B23636" s="318" t="s">
        <v>236</v>
      </c>
    </row>
    <row r="23637" spans="1:2" ht="12.75" customHeight="1" x14ac:dyDescent="0.25">
      <c r="A23637" s="318">
        <v>97830942641</v>
      </c>
      <c r="B23637" s="318" t="s">
        <v>235</v>
      </c>
    </row>
    <row r="23638" spans="1:2" ht="12.75" customHeight="1" x14ac:dyDescent="0.25">
      <c r="A23638" s="318">
        <v>97830942725</v>
      </c>
      <c r="B23638" s="318" t="s">
        <v>236</v>
      </c>
    </row>
    <row r="23639" spans="1:2" ht="12.75" customHeight="1" x14ac:dyDescent="0.25">
      <c r="A23639" s="318">
        <v>97830942726</v>
      </c>
      <c r="B23639" s="318" t="s">
        <v>235</v>
      </c>
    </row>
    <row r="23640" spans="1:2" ht="12.75" customHeight="1" x14ac:dyDescent="0.25">
      <c r="A23640" s="318">
        <v>97830942727</v>
      </c>
      <c r="B23640" s="318" t="s">
        <v>236</v>
      </c>
    </row>
    <row r="23641" spans="1:2" ht="12.75" customHeight="1" x14ac:dyDescent="0.25">
      <c r="A23641" s="318">
        <v>97830942728</v>
      </c>
      <c r="B23641" s="318" t="s">
        <v>235</v>
      </c>
    </row>
    <row r="23642" spans="1:2" ht="12.75" customHeight="1" x14ac:dyDescent="0.25">
      <c r="A23642" s="318">
        <v>97830942729</v>
      </c>
      <c r="B23642" s="318" t="s">
        <v>236</v>
      </c>
    </row>
    <row r="23643" spans="1:2" ht="12.75" customHeight="1" x14ac:dyDescent="0.25">
      <c r="A23643" s="318">
        <v>97830942730</v>
      </c>
      <c r="B23643" s="318" t="s">
        <v>235</v>
      </c>
    </row>
    <row r="23644" spans="1:2" ht="12.75" customHeight="1" x14ac:dyDescent="0.25">
      <c r="A23644" s="318">
        <v>97830942731</v>
      </c>
      <c r="B23644" s="318" t="s">
        <v>236</v>
      </c>
    </row>
    <row r="23645" spans="1:2" ht="12.75" customHeight="1" x14ac:dyDescent="0.25">
      <c r="A23645" s="318">
        <v>97830942732</v>
      </c>
      <c r="B23645" s="318" t="s">
        <v>235</v>
      </c>
    </row>
    <row r="23646" spans="1:2" ht="12.75" customHeight="1" x14ac:dyDescent="0.25">
      <c r="A23646" s="318">
        <v>97830942734</v>
      </c>
      <c r="B23646" s="318" t="s">
        <v>236</v>
      </c>
    </row>
    <row r="23647" spans="1:2" ht="12.75" customHeight="1" x14ac:dyDescent="0.25">
      <c r="A23647" s="318">
        <v>97830942735</v>
      </c>
      <c r="B23647" s="318" t="s">
        <v>235</v>
      </c>
    </row>
    <row r="23648" spans="1:2" ht="12.75" customHeight="1" x14ac:dyDescent="0.25">
      <c r="A23648" s="318">
        <v>97830942736</v>
      </c>
      <c r="B23648" s="318" t="s">
        <v>236</v>
      </c>
    </row>
    <row r="23649" spans="1:2" ht="12.75" customHeight="1" x14ac:dyDescent="0.25">
      <c r="A23649" s="318">
        <v>97830942737</v>
      </c>
      <c r="B23649" s="318" t="s">
        <v>235</v>
      </c>
    </row>
    <row r="23650" spans="1:2" ht="12.75" customHeight="1" x14ac:dyDescent="0.25">
      <c r="A23650" s="318">
        <v>97830942738</v>
      </c>
      <c r="B23650" s="318" t="s">
        <v>236</v>
      </c>
    </row>
    <row r="23651" spans="1:2" ht="12.75" customHeight="1" x14ac:dyDescent="0.25">
      <c r="A23651" s="318">
        <v>97830942739</v>
      </c>
      <c r="B23651" s="318" t="s">
        <v>235</v>
      </c>
    </row>
    <row r="23652" spans="1:2" ht="12.75" customHeight="1" x14ac:dyDescent="0.25">
      <c r="A23652" s="318">
        <v>97830942740</v>
      </c>
      <c r="B23652" s="318" t="s">
        <v>236</v>
      </c>
    </row>
    <row r="23653" spans="1:2" ht="12.75" customHeight="1" x14ac:dyDescent="0.25">
      <c r="A23653" s="318">
        <v>97830942741</v>
      </c>
      <c r="B23653" s="318" t="s">
        <v>235</v>
      </c>
    </row>
    <row r="23654" spans="1:2" ht="12.75" customHeight="1" x14ac:dyDescent="0.25">
      <c r="A23654" s="318">
        <v>97831423598</v>
      </c>
      <c r="B23654" s="318" t="s">
        <v>236</v>
      </c>
    </row>
    <row r="23655" spans="1:2" ht="12.75" customHeight="1" x14ac:dyDescent="0.25">
      <c r="A23655" s="318">
        <v>97831423599</v>
      </c>
      <c r="B23655" s="318" t="s">
        <v>235</v>
      </c>
    </row>
    <row r="23656" spans="1:2" ht="12.75" customHeight="1" x14ac:dyDescent="0.25">
      <c r="A23656" s="318">
        <v>97831423600</v>
      </c>
      <c r="B23656" s="318" t="s">
        <v>236</v>
      </c>
    </row>
    <row r="23657" spans="1:2" ht="12.75" customHeight="1" x14ac:dyDescent="0.25">
      <c r="A23657" s="318">
        <v>97831423601</v>
      </c>
      <c r="B23657" s="318" t="s">
        <v>235</v>
      </c>
    </row>
    <row r="23658" spans="1:2" ht="12.75" customHeight="1" x14ac:dyDescent="0.25">
      <c r="A23658" s="318">
        <v>97831423602</v>
      </c>
      <c r="B23658" s="318" t="s">
        <v>236</v>
      </c>
    </row>
    <row r="23659" spans="1:2" ht="12.75" customHeight="1" x14ac:dyDescent="0.25">
      <c r="A23659" s="318">
        <v>97831423603</v>
      </c>
      <c r="B23659" s="318" t="s">
        <v>235</v>
      </c>
    </row>
    <row r="23660" spans="1:2" ht="12.75" customHeight="1" x14ac:dyDescent="0.25">
      <c r="A23660" s="318">
        <v>97831423604</v>
      </c>
      <c r="B23660" s="318" t="s">
        <v>236</v>
      </c>
    </row>
    <row r="23661" spans="1:2" ht="12.75" customHeight="1" x14ac:dyDescent="0.25">
      <c r="A23661" s="318">
        <v>97831423605</v>
      </c>
      <c r="B23661" s="318" t="s">
        <v>235</v>
      </c>
    </row>
    <row r="23662" spans="1:2" ht="12.75" customHeight="1" x14ac:dyDescent="0.25">
      <c r="A23662" s="318">
        <v>97831423607</v>
      </c>
      <c r="B23662" s="318" t="s">
        <v>236</v>
      </c>
    </row>
    <row r="23663" spans="1:2" ht="12.75" customHeight="1" x14ac:dyDescent="0.25">
      <c r="A23663" s="318">
        <v>97831423608</v>
      </c>
      <c r="B23663" s="318" t="s">
        <v>235</v>
      </c>
    </row>
    <row r="23664" spans="1:2" ht="12.75" customHeight="1" x14ac:dyDescent="0.25">
      <c r="A23664" s="318">
        <v>97831423609</v>
      </c>
      <c r="B23664" s="318" t="s">
        <v>236</v>
      </c>
    </row>
    <row r="23665" spans="1:2" ht="12.75" customHeight="1" x14ac:dyDescent="0.25">
      <c r="A23665" s="318">
        <v>97831423610</v>
      </c>
      <c r="B23665" s="318" t="s">
        <v>235</v>
      </c>
    </row>
    <row r="23666" spans="1:2" ht="12.75" customHeight="1" x14ac:dyDescent="0.25">
      <c r="A23666" s="318">
        <v>97831423611</v>
      </c>
      <c r="B23666" s="318" t="s">
        <v>236</v>
      </c>
    </row>
    <row r="23667" spans="1:2" ht="12.75" customHeight="1" x14ac:dyDescent="0.25">
      <c r="A23667" s="318">
        <v>97831423612</v>
      </c>
      <c r="B23667" s="318" t="s">
        <v>235</v>
      </c>
    </row>
    <row r="23668" spans="1:2" ht="12.75" customHeight="1" x14ac:dyDescent="0.25">
      <c r="A23668" s="318">
        <v>97831423613</v>
      </c>
      <c r="B23668" s="318" t="s">
        <v>236</v>
      </c>
    </row>
    <row r="23669" spans="1:2" ht="12.75" customHeight="1" x14ac:dyDescent="0.25">
      <c r="A23669" s="318">
        <v>97831423614</v>
      </c>
      <c r="B23669" s="318" t="s">
        <v>235</v>
      </c>
    </row>
    <row r="23670" spans="1:2" ht="12.75" customHeight="1" x14ac:dyDescent="0.25">
      <c r="A23670" s="318">
        <v>97831423698</v>
      </c>
      <c r="B23670" s="318" t="s">
        <v>236</v>
      </c>
    </row>
    <row r="23671" spans="1:2" ht="12.75" customHeight="1" x14ac:dyDescent="0.25">
      <c r="A23671" s="318">
        <v>97831423699</v>
      </c>
      <c r="B23671" s="318" t="s">
        <v>235</v>
      </c>
    </row>
    <row r="23672" spans="1:2" ht="12.75" customHeight="1" x14ac:dyDescent="0.25">
      <c r="A23672" s="318">
        <v>97831423700</v>
      </c>
      <c r="B23672" s="318" t="s">
        <v>236</v>
      </c>
    </row>
    <row r="23673" spans="1:2" ht="12.75" customHeight="1" x14ac:dyDescent="0.25">
      <c r="A23673" s="318">
        <v>97831423701</v>
      </c>
      <c r="B23673" s="318" t="s">
        <v>235</v>
      </c>
    </row>
    <row r="23674" spans="1:2" ht="12.75" customHeight="1" x14ac:dyDescent="0.25">
      <c r="A23674" s="318">
        <v>97831423702</v>
      </c>
      <c r="B23674" s="318" t="s">
        <v>236</v>
      </c>
    </row>
    <row r="23675" spans="1:2" ht="12.75" customHeight="1" x14ac:dyDescent="0.25">
      <c r="A23675" s="318">
        <v>97831423703</v>
      </c>
      <c r="B23675" s="318" t="s">
        <v>235</v>
      </c>
    </row>
    <row r="23676" spans="1:2" ht="12.75" customHeight="1" x14ac:dyDescent="0.25">
      <c r="A23676" s="318">
        <v>97831423704</v>
      </c>
      <c r="B23676" s="318" t="s">
        <v>236</v>
      </c>
    </row>
    <row r="23677" spans="1:2" ht="12.75" customHeight="1" x14ac:dyDescent="0.25">
      <c r="A23677" s="318">
        <v>97831423705</v>
      </c>
      <c r="B23677" s="318" t="s">
        <v>235</v>
      </c>
    </row>
    <row r="23678" spans="1:2" ht="12.75" customHeight="1" x14ac:dyDescent="0.25">
      <c r="A23678" s="318">
        <v>97831423707</v>
      </c>
      <c r="B23678" s="318" t="s">
        <v>236</v>
      </c>
    </row>
    <row r="23679" spans="1:2" ht="12.75" customHeight="1" x14ac:dyDescent="0.25">
      <c r="A23679" s="318">
        <v>97831423708</v>
      </c>
      <c r="B23679" s="318" t="s">
        <v>235</v>
      </c>
    </row>
    <row r="23680" spans="1:2" ht="12.75" customHeight="1" x14ac:dyDescent="0.25">
      <c r="A23680" s="318">
        <v>97831423709</v>
      </c>
      <c r="B23680" s="318" t="s">
        <v>236</v>
      </c>
    </row>
    <row r="23681" spans="1:2" ht="12.75" customHeight="1" x14ac:dyDescent="0.25">
      <c r="A23681" s="318">
        <v>97831423710</v>
      </c>
      <c r="B23681" s="318" t="s">
        <v>235</v>
      </c>
    </row>
    <row r="23682" spans="1:2" ht="12.75" customHeight="1" x14ac:dyDescent="0.25">
      <c r="A23682" s="318">
        <v>97831423711</v>
      </c>
      <c r="B23682" s="318" t="s">
        <v>236</v>
      </c>
    </row>
    <row r="23683" spans="1:2" ht="12.75" customHeight="1" x14ac:dyDescent="0.25">
      <c r="A23683" s="318">
        <v>97831423712</v>
      </c>
      <c r="B23683" s="318" t="s">
        <v>235</v>
      </c>
    </row>
    <row r="23684" spans="1:2" ht="12.75" customHeight="1" x14ac:dyDescent="0.25">
      <c r="A23684" s="318">
        <v>97831423713</v>
      </c>
      <c r="B23684" s="318" t="s">
        <v>236</v>
      </c>
    </row>
    <row r="23685" spans="1:2" ht="12.75" customHeight="1" x14ac:dyDescent="0.25">
      <c r="A23685" s="318">
        <v>97831423714</v>
      </c>
      <c r="B23685" s="318" t="s">
        <v>235</v>
      </c>
    </row>
    <row r="23686" spans="1:2" ht="12.75" customHeight="1" x14ac:dyDescent="0.25">
      <c r="A23686" s="318">
        <v>97832103789</v>
      </c>
      <c r="B23686" s="318" t="s">
        <v>236</v>
      </c>
    </row>
    <row r="23687" spans="1:2" ht="12.75" customHeight="1" x14ac:dyDescent="0.25">
      <c r="A23687" s="318">
        <v>97832103790</v>
      </c>
      <c r="B23687" s="318" t="s">
        <v>235</v>
      </c>
    </row>
    <row r="23688" spans="1:2" ht="12.75" customHeight="1" x14ac:dyDescent="0.25">
      <c r="A23688" s="318">
        <v>97832103791</v>
      </c>
      <c r="B23688" s="318" t="s">
        <v>236</v>
      </c>
    </row>
    <row r="23689" spans="1:2" ht="12.75" customHeight="1" x14ac:dyDescent="0.25">
      <c r="A23689" s="318">
        <v>97832103792</v>
      </c>
      <c r="B23689" s="318" t="s">
        <v>235</v>
      </c>
    </row>
    <row r="23690" spans="1:2" ht="12.75" customHeight="1" x14ac:dyDescent="0.25">
      <c r="A23690" s="318">
        <v>97832103793</v>
      </c>
      <c r="B23690" s="318" t="s">
        <v>236</v>
      </c>
    </row>
    <row r="23691" spans="1:2" ht="12.75" customHeight="1" x14ac:dyDescent="0.25">
      <c r="A23691" s="318">
        <v>97832103794</v>
      </c>
      <c r="B23691" s="318" t="s">
        <v>235</v>
      </c>
    </row>
    <row r="23692" spans="1:2" ht="12.75" customHeight="1" x14ac:dyDescent="0.25">
      <c r="A23692" s="318">
        <v>97832103795</v>
      </c>
      <c r="B23692" s="318" t="s">
        <v>236</v>
      </c>
    </row>
    <row r="23693" spans="1:2" ht="12.75" customHeight="1" x14ac:dyDescent="0.25">
      <c r="A23693" s="318">
        <v>97832103796</v>
      </c>
      <c r="B23693" s="318" t="s">
        <v>235</v>
      </c>
    </row>
    <row r="23694" spans="1:2" ht="12.75" customHeight="1" x14ac:dyDescent="0.25">
      <c r="A23694" s="318">
        <v>97832103798</v>
      </c>
      <c r="B23694" s="318" t="s">
        <v>236</v>
      </c>
    </row>
    <row r="23695" spans="1:2" ht="12.75" customHeight="1" x14ac:dyDescent="0.25">
      <c r="A23695" s="318">
        <v>97832103799</v>
      </c>
      <c r="B23695" s="318" t="s">
        <v>235</v>
      </c>
    </row>
    <row r="23696" spans="1:2" ht="12.75" customHeight="1" x14ac:dyDescent="0.25">
      <c r="A23696" s="318">
        <v>97832103800</v>
      </c>
      <c r="B23696" s="318" t="s">
        <v>236</v>
      </c>
    </row>
    <row r="23697" spans="1:2" ht="12.75" customHeight="1" x14ac:dyDescent="0.25">
      <c r="A23697" s="318">
        <v>97832103801</v>
      </c>
      <c r="B23697" s="318" t="s">
        <v>235</v>
      </c>
    </row>
    <row r="23698" spans="1:2" ht="12.75" customHeight="1" x14ac:dyDescent="0.25">
      <c r="A23698" s="318">
        <v>97832103802</v>
      </c>
      <c r="B23698" s="318" t="s">
        <v>236</v>
      </c>
    </row>
    <row r="23699" spans="1:2" ht="12.75" customHeight="1" x14ac:dyDescent="0.25">
      <c r="A23699" s="318">
        <v>97832103803</v>
      </c>
      <c r="B23699" s="318" t="s">
        <v>235</v>
      </c>
    </row>
    <row r="23700" spans="1:2" ht="12.75" customHeight="1" x14ac:dyDescent="0.25">
      <c r="A23700" s="318">
        <v>97832103804</v>
      </c>
      <c r="B23700" s="318" t="s">
        <v>236</v>
      </c>
    </row>
    <row r="23701" spans="1:2" ht="12.75" customHeight="1" x14ac:dyDescent="0.25">
      <c r="A23701" s="318">
        <v>97832103805</v>
      </c>
      <c r="B23701" s="318" t="s">
        <v>235</v>
      </c>
    </row>
    <row r="23702" spans="1:2" ht="12.75" customHeight="1" x14ac:dyDescent="0.25">
      <c r="A23702" s="318">
        <v>97832103889</v>
      </c>
      <c r="B23702" s="318" t="s">
        <v>236</v>
      </c>
    </row>
    <row r="23703" spans="1:2" ht="12.75" customHeight="1" x14ac:dyDescent="0.25">
      <c r="A23703" s="318">
        <v>97832103890</v>
      </c>
      <c r="B23703" s="318" t="s">
        <v>235</v>
      </c>
    </row>
    <row r="23704" spans="1:2" ht="12.75" customHeight="1" x14ac:dyDescent="0.25">
      <c r="A23704" s="318">
        <v>97832103891</v>
      </c>
      <c r="B23704" s="318" t="s">
        <v>236</v>
      </c>
    </row>
    <row r="23705" spans="1:2" ht="12.75" customHeight="1" x14ac:dyDescent="0.25">
      <c r="A23705" s="318">
        <v>97832103892</v>
      </c>
      <c r="B23705" s="318" t="s">
        <v>235</v>
      </c>
    </row>
    <row r="23706" spans="1:2" ht="12.75" customHeight="1" x14ac:dyDescent="0.25">
      <c r="A23706" s="318">
        <v>97832103893</v>
      </c>
      <c r="B23706" s="318" t="s">
        <v>236</v>
      </c>
    </row>
    <row r="23707" spans="1:2" ht="12.75" customHeight="1" x14ac:dyDescent="0.25">
      <c r="A23707" s="318">
        <v>97832103894</v>
      </c>
      <c r="B23707" s="318" t="s">
        <v>235</v>
      </c>
    </row>
    <row r="23708" spans="1:2" ht="12.75" customHeight="1" x14ac:dyDescent="0.25">
      <c r="A23708" s="318">
        <v>97832103895</v>
      </c>
      <c r="B23708" s="318" t="s">
        <v>236</v>
      </c>
    </row>
    <row r="23709" spans="1:2" ht="12.75" customHeight="1" x14ac:dyDescent="0.25">
      <c r="A23709" s="318">
        <v>97832103896</v>
      </c>
      <c r="B23709" s="318" t="s">
        <v>235</v>
      </c>
    </row>
    <row r="23710" spans="1:2" ht="12.75" customHeight="1" x14ac:dyDescent="0.25">
      <c r="A23710" s="318">
        <v>97832103898</v>
      </c>
      <c r="B23710" s="318" t="s">
        <v>236</v>
      </c>
    </row>
    <row r="23711" spans="1:2" ht="12.75" customHeight="1" x14ac:dyDescent="0.25">
      <c r="A23711" s="318">
        <v>97832103899</v>
      </c>
      <c r="B23711" s="318" t="s">
        <v>235</v>
      </c>
    </row>
    <row r="23712" spans="1:2" ht="12.75" customHeight="1" x14ac:dyDescent="0.25">
      <c r="A23712" s="318">
        <v>97832103900</v>
      </c>
      <c r="B23712" s="318" t="s">
        <v>236</v>
      </c>
    </row>
    <row r="23713" spans="1:2" ht="12.75" customHeight="1" x14ac:dyDescent="0.25">
      <c r="A23713" s="318">
        <v>97832103901</v>
      </c>
      <c r="B23713" s="318" t="s">
        <v>235</v>
      </c>
    </row>
    <row r="23714" spans="1:2" ht="12.75" customHeight="1" x14ac:dyDescent="0.25">
      <c r="A23714" s="318">
        <v>97832103902</v>
      </c>
      <c r="B23714" s="318" t="s">
        <v>236</v>
      </c>
    </row>
    <row r="23715" spans="1:2" ht="12.75" customHeight="1" x14ac:dyDescent="0.25">
      <c r="A23715" s="318">
        <v>97832103903</v>
      </c>
      <c r="B23715" s="318" t="s">
        <v>235</v>
      </c>
    </row>
    <row r="23716" spans="1:2" ht="12.75" customHeight="1" x14ac:dyDescent="0.25">
      <c r="A23716" s="318">
        <v>97832103904</v>
      </c>
      <c r="B23716" s="318" t="s">
        <v>236</v>
      </c>
    </row>
    <row r="23717" spans="1:2" ht="12.75" customHeight="1" x14ac:dyDescent="0.25">
      <c r="A23717" s="318">
        <v>97832103905</v>
      </c>
      <c r="B23717" s="318" t="s">
        <v>235</v>
      </c>
    </row>
    <row r="23718" spans="1:2" ht="12.75" customHeight="1" x14ac:dyDescent="0.25">
      <c r="A23718" s="318">
        <v>97832584762</v>
      </c>
      <c r="B23718" s="318" t="s">
        <v>236</v>
      </c>
    </row>
    <row r="23719" spans="1:2" ht="12.75" customHeight="1" x14ac:dyDescent="0.25">
      <c r="A23719" s="318">
        <v>97832584763</v>
      </c>
      <c r="B23719" s="318" t="s">
        <v>235</v>
      </c>
    </row>
    <row r="23720" spans="1:2" ht="12.75" customHeight="1" x14ac:dyDescent="0.25">
      <c r="A23720" s="318">
        <v>97832584764</v>
      </c>
      <c r="B23720" s="318" t="s">
        <v>236</v>
      </c>
    </row>
    <row r="23721" spans="1:2" ht="12.75" customHeight="1" x14ac:dyDescent="0.25">
      <c r="A23721" s="318">
        <v>97832584765</v>
      </c>
      <c r="B23721" s="318" t="s">
        <v>235</v>
      </c>
    </row>
    <row r="23722" spans="1:2" ht="12.75" customHeight="1" x14ac:dyDescent="0.25">
      <c r="A23722" s="318">
        <v>97832584766</v>
      </c>
      <c r="B23722" s="318" t="s">
        <v>236</v>
      </c>
    </row>
    <row r="23723" spans="1:2" ht="12.75" customHeight="1" x14ac:dyDescent="0.25">
      <c r="A23723" s="318">
        <v>97832584767</v>
      </c>
      <c r="B23723" s="318" t="s">
        <v>235</v>
      </c>
    </row>
    <row r="23724" spans="1:2" ht="12.75" customHeight="1" x14ac:dyDescent="0.25">
      <c r="A23724" s="318">
        <v>97832584768</v>
      </c>
      <c r="B23724" s="318" t="s">
        <v>236</v>
      </c>
    </row>
    <row r="23725" spans="1:2" ht="12.75" customHeight="1" x14ac:dyDescent="0.25">
      <c r="A23725" s="318">
        <v>97832584769</v>
      </c>
      <c r="B23725" s="318" t="s">
        <v>235</v>
      </c>
    </row>
    <row r="23726" spans="1:2" ht="12.75" customHeight="1" x14ac:dyDescent="0.25">
      <c r="A23726" s="318">
        <v>97832584771</v>
      </c>
      <c r="B23726" s="318" t="s">
        <v>236</v>
      </c>
    </row>
    <row r="23727" spans="1:2" ht="12.75" customHeight="1" x14ac:dyDescent="0.25">
      <c r="A23727" s="318">
        <v>97832584772</v>
      </c>
      <c r="B23727" s="318" t="s">
        <v>235</v>
      </c>
    </row>
    <row r="23728" spans="1:2" ht="12.75" customHeight="1" x14ac:dyDescent="0.25">
      <c r="A23728" s="318">
        <v>97832584773</v>
      </c>
      <c r="B23728" s="318" t="s">
        <v>236</v>
      </c>
    </row>
    <row r="23729" spans="1:2" ht="12.75" customHeight="1" x14ac:dyDescent="0.25">
      <c r="A23729" s="318">
        <v>97832584774</v>
      </c>
      <c r="B23729" s="318" t="s">
        <v>235</v>
      </c>
    </row>
    <row r="23730" spans="1:2" ht="12.75" customHeight="1" x14ac:dyDescent="0.25">
      <c r="A23730" s="318">
        <v>97832584775</v>
      </c>
      <c r="B23730" s="318" t="s">
        <v>236</v>
      </c>
    </row>
    <row r="23731" spans="1:2" ht="12.75" customHeight="1" x14ac:dyDescent="0.25">
      <c r="A23731" s="318">
        <v>97832584776</v>
      </c>
      <c r="B23731" s="318" t="s">
        <v>235</v>
      </c>
    </row>
    <row r="23732" spans="1:2" ht="12.75" customHeight="1" x14ac:dyDescent="0.25">
      <c r="A23732" s="318">
        <v>97832584777</v>
      </c>
      <c r="B23732" s="318" t="s">
        <v>236</v>
      </c>
    </row>
    <row r="23733" spans="1:2" ht="12.75" customHeight="1" x14ac:dyDescent="0.25">
      <c r="A23733" s="318">
        <v>97832584778</v>
      </c>
      <c r="B23733" s="318" t="s">
        <v>235</v>
      </c>
    </row>
    <row r="23734" spans="1:2" ht="12.75" customHeight="1" x14ac:dyDescent="0.25">
      <c r="A23734" s="318">
        <v>97832584862</v>
      </c>
      <c r="B23734" s="318" t="s">
        <v>236</v>
      </c>
    </row>
    <row r="23735" spans="1:2" ht="12.75" customHeight="1" x14ac:dyDescent="0.25">
      <c r="A23735" s="318">
        <v>97832584863</v>
      </c>
      <c r="B23735" s="318" t="s">
        <v>235</v>
      </c>
    </row>
    <row r="23736" spans="1:2" ht="12.75" customHeight="1" x14ac:dyDescent="0.25">
      <c r="A23736" s="318">
        <v>97832584864</v>
      </c>
      <c r="B23736" s="318" t="s">
        <v>236</v>
      </c>
    </row>
    <row r="23737" spans="1:2" ht="12.75" customHeight="1" x14ac:dyDescent="0.25">
      <c r="A23737" s="318">
        <v>97832584865</v>
      </c>
      <c r="B23737" s="318" t="s">
        <v>235</v>
      </c>
    </row>
    <row r="23738" spans="1:2" ht="12.75" customHeight="1" x14ac:dyDescent="0.25">
      <c r="A23738" s="318">
        <v>97832584866</v>
      </c>
      <c r="B23738" s="318" t="s">
        <v>236</v>
      </c>
    </row>
    <row r="23739" spans="1:2" ht="12.75" customHeight="1" x14ac:dyDescent="0.25">
      <c r="A23739" s="318">
        <v>97832584867</v>
      </c>
      <c r="B23739" s="318" t="s">
        <v>235</v>
      </c>
    </row>
    <row r="23740" spans="1:2" ht="12.75" customHeight="1" x14ac:dyDescent="0.25">
      <c r="A23740" s="318">
        <v>97832584868</v>
      </c>
      <c r="B23740" s="318" t="s">
        <v>236</v>
      </c>
    </row>
    <row r="23741" spans="1:2" ht="12.75" customHeight="1" x14ac:dyDescent="0.25">
      <c r="A23741" s="318">
        <v>97832584869</v>
      </c>
      <c r="B23741" s="318" t="s">
        <v>235</v>
      </c>
    </row>
    <row r="23742" spans="1:2" ht="12.75" customHeight="1" x14ac:dyDescent="0.25">
      <c r="A23742" s="318">
        <v>97832584871</v>
      </c>
      <c r="B23742" s="318" t="s">
        <v>236</v>
      </c>
    </row>
    <row r="23743" spans="1:2" ht="12.75" customHeight="1" x14ac:dyDescent="0.25">
      <c r="A23743" s="318">
        <v>97832584872</v>
      </c>
      <c r="B23743" s="318" t="s">
        <v>235</v>
      </c>
    </row>
    <row r="23744" spans="1:2" ht="12.75" customHeight="1" x14ac:dyDescent="0.25">
      <c r="A23744" s="318">
        <v>97832584873</v>
      </c>
      <c r="B23744" s="318" t="s">
        <v>236</v>
      </c>
    </row>
    <row r="23745" spans="1:2" ht="12.75" customHeight="1" x14ac:dyDescent="0.25">
      <c r="A23745" s="318">
        <v>97832584874</v>
      </c>
      <c r="B23745" s="318" t="s">
        <v>235</v>
      </c>
    </row>
    <row r="23746" spans="1:2" ht="12.75" customHeight="1" x14ac:dyDescent="0.25">
      <c r="A23746" s="318">
        <v>97832584875</v>
      </c>
      <c r="B23746" s="318" t="s">
        <v>236</v>
      </c>
    </row>
    <row r="23747" spans="1:2" ht="12.75" customHeight="1" x14ac:dyDescent="0.25">
      <c r="A23747" s="318">
        <v>97832584876</v>
      </c>
      <c r="B23747" s="318" t="s">
        <v>235</v>
      </c>
    </row>
    <row r="23748" spans="1:2" ht="12.75" customHeight="1" x14ac:dyDescent="0.25">
      <c r="A23748" s="318">
        <v>97832584877</v>
      </c>
      <c r="B23748" s="318" t="s">
        <v>236</v>
      </c>
    </row>
    <row r="23749" spans="1:2" ht="12.75" customHeight="1" x14ac:dyDescent="0.25">
      <c r="A23749" s="318">
        <v>97832584878</v>
      </c>
      <c r="B23749" s="318" t="s">
        <v>235</v>
      </c>
    </row>
    <row r="23750" spans="1:2" ht="12.75" customHeight="1" x14ac:dyDescent="0.25">
      <c r="A23750" s="318">
        <v>97833065735</v>
      </c>
      <c r="B23750" s="318" t="s">
        <v>236</v>
      </c>
    </row>
    <row r="23751" spans="1:2" ht="12.75" customHeight="1" x14ac:dyDescent="0.25">
      <c r="A23751" s="318">
        <v>97833065736</v>
      </c>
      <c r="B23751" s="318" t="s">
        <v>235</v>
      </c>
    </row>
    <row r="23752" spans="1:2" ht="12.75" customHeight="1" x14ac:dyDescent="0.25">
      <c r="A23752" s="318">
        <v>97833065737</v>
      </c>
      <c r="B23752" s="318" t="s">
        <v>236</v>
      </c>
    </row>
    <row r="23753" spans="1:2" ht="12.75" customHeight="1" x14ac:dyDescent="0.25">
      <c r="A23753" s="318">
        <v>97833065738</v>
      </c>
      <c r="B23753" s="318" t="s">
        <v>235</v>
      </c>
    </row>
    <row r="23754" spans="1:2" ht="12.75" customHeight="1" x14ac:dyDescent="0.25">
      <c r="A23754" s="318">
        <v>97833065739</v>
      </c>
      <c r="B23754" s="318" t="s">
        <v>236</v>
      </c>
    </row>
    <row r="23755" spans="1:2" ht="12.75" customHeight="1" x14ac:dyDescent="0.25">
      <c r="A23755" s="318">
        <v>97833065740</v>
      </c>
      <c r="B23755" s="318" t="s">
        <v>235</v>
      </c>
    </row>
    <row r="23756" spans="1:2" ht="12.75" customHeight="1" x14ac:dyDescent="0.25">
      <c r="A23756" s="318">
        <v>97833065741</v>
      </c>
      <c r="B23756" s="318" t="s">
        <v>236</v>
      </c>
    </row>
    <row r="23757" spans="1:2" ht="12.75" customHeight="1" x14ac:dyDescent="0.25">
      <c r="A23757" s="318">
        <v>97833065742</v>
      </c>
      <c r="B23757" s="318" t="s">
        <v>235</v>
      </c>
    </row>
    <row r="23758" spans="1:2" ht="12.75" customHeight="1" x14ac:dyDescent="0.25">
      <c r="A23758" s="318">
        <v>97833065744</v>
      </c>
      <c r="B23758" s="318" t="s">
        <v>236</v>
      </c>
    </row>
    <row r="23759" spans="1:2" ht="12.75" customHeight="1" x14ac:dyDescent="0.25">
      <c r="A23759" s="318">
        <v>97833065745</v>
      </c>
      <c r="B23759" s="318" t="s">
        <v>235</v>
      </c>
    </row>
    <row r="23760" spans="1:2" ht="12.75" customHeight="1" x14ac:dyDescent="0.25">
      <c r="A23760" s="318">
        <v>97833065746</v>
      </c>
      <c r="B23760" s="318" t="s">
        <v>236</v>
      </c>
    </row>
    <row r="23761" spans="1:2" ht="12.75" customHeight="1" x14ac:dyDescent="0.25">
      <c r="A23761" s="318">
        <v>97833065747</v>
      </c>
      <c r="B23761" s="318" t="s">
        <v>235</v>
      </c>
    </row>
    <row r="23762" spans="1:2" ht="12.75" customHeight="1" x14ac:dyDescent="0.25">
      <c r="A23762" s="318">
        <v>97833065748</v>
      </c>
      <c r="B23762" s="318" t="s">
        <v>236</v>
      </c>
    </row>
    <row r="23763" spans="1:2" ht="12.75" customHeight="1" x14ac:dyDescent="0.25">
      <c r="A23763" s="318">
        <v>97833065749</v>
      </c>
      <c r="B23763" s="318" t="s">
        <v>235</v>
      </c>
    </row>
    <row r="23764" spans="1:2" ht="12.75" customHeight="1" x14ac:dyDescent="0.25">
      <c r="A23764" s="318">
        <v>97833065750</v>
      </c>
      <c r="B23764" s="318" t="s">
        <v>236</v>
      </c>
    </row>
    <row r="23765" spans="1:2" ht="12.75" customHeight="1" x14ac:dyDescent="0.25">
      <c r="A23765" s="318">
        <v>97833065751</v>
      </c>
      <c r="B23765" s="318" t="s">
        <v>235</v>
      </c>
    </row>
    <row r="23766" spans="1:2" ht="12.75" customHeight="1" x14ac:dyDescent="0.25">
      <c r="A23766" s="318">
        <v>97833065835</v>
      </c>
      <c r="B23766" s="318" t="s">
        <v>236</v>
      </c>
    </row>
    <row r="23767" spans="1:2" ht="12.75" customHeight="1" x14ac:dyDescent="0.25">
      <c r="A23767" s="318">
        <v>97833065836</v>
      </c>
      <c r="B23767" s="318" t="s">
        <v>235</v>
      </c>
    </row>
    <row r="23768" spans="1:2" ht="12.75" customHeight="1" x14ac:dyDescent="0.25">
      <c r="A23768" s="318">
        <v>97833065837</v>
      </c>
      <c r="B23768" s="318" t="s">
        <v>236</v>
      </c>
    </row>
    <row r="23769" spans="1:2" ht="12.75" customHeight="1" x14ac:dyDescent="0.25">
      <c r="A23769" s="318">
        <v>97833065838</v>
      </c>
      <c r="B23769" s="318" t="s">
        <v>235</v>
      </c>
    </row>
    <row r="23770" spans="1:2" ht="12.75" customHeight="1" x14ac:dyDescent="0.25">
      <c r="A23770" s="318">
        <v>97833065839</v>
      </c>
      <c r="B23770" s="318" t="s">
        <v>236</v>
      </c>
    </row>
    <row r="23771" spans="1:2" ht="12.75" customHeight="1" x14ac:dyDescent="0.25">
      <c r="A23771" s="318">
        <v>97833065840</v>
      </c>
      <c r="B23771" s="318" t="s">
        <v>235</v>
      </c>
    </row>
    <row r="23772" spans="1:2" ht="12.75" customHeight="1" x14ac:dyDescent="0.25">
      <c r="A23772" s="318">
        <v>97833065841</v>
      </c>
      <c r="B23772" s="318" t="s">
        <v>236</v>
      </c>
    </row>
    <row r="23773" spans="1:2" ht="12.75" customHeight="1" x14ac:dyDescent="0.25">
      <c r="A23773" s="318">
        <v>97833065842</v>
      </c>
      <c r="B23773" s="318" t="s">
        <v>235</v>
      </c>
    </row>
    <row r="23774" spans="1:2" ht="12.75" customHeight="1" x14ac:dyDescent="0.25">
      <c r="A23774" s="318">
        <v>97833065844</v>
      </c>
      <c r="B23774" s="318" t="s">
        <v>236</v>
      </c>
    </row>
    <row r="23775" spans="1:2" ht="12.75" customHeight="1" x14ac:dyDescent="0.25">
      <c r="A23775" s="318">
        <v>97833065845</v>
      </c>
      <c r="B23775" s="318" t="s">
        <v>235</v>
      </c>
    </row>
    <row r="23776" spans="1:2" ht="12.75" customHeight="1" x14ac:dyDescent="0.25">
      <c r="A23776" s="318">
        <v>97833065846</v>
      </c>
      <c r="B23776" s="318" t="s">
        <v>236</v>
      </c>
    </row>
    <row r="23777" spans="1:2" ht="12.75" customHeight="1" x14ac:dyDescent="0.25">
      <c r="A23777" s="318">
        <v>97833065847</v>
      </c>
      <c r="B23777" s="318" t="s">
        <v>235</v>
      </c>
    </row>
    <row r="23778" spans="1:2" ht="12.75" customHeight="1" x14ac:dyDescent="0.25">
      <c r="A23778" s="318">
        <v>97833065848</v>
      </c>
      <c r="B23778" s="318" t="s">
        <v>236</v>
      </c>
    </row>
    <row r="23779" spans="1:2" ht="12.75" customHeight="1" x14ac:dyDescent="0.25">
      <c r="A23779" s="318">
        <v>97833065849</v>
      </c>
      <c r="B23779" s="318" t="s">
        <v>235</v>
      </c>
    </row>
    <row r="23780" spans="1:2" ht="12.75" customHeight="1" x14ac:dyDescent="0.25">
      <c r="A23780" s="318">
        <v>97833065850</v>
      </c>
      <c r="B23780" s="318" t="s">
        <v>236</v>
      </c>
    </row>
    <row r="23781" spans="1:2" ht="12.75" customHeight="1" x14ac:dyDescent="0.25">
      <c r="A23781" s="318">
        <v>97833065851</v>
      </c>
      <c r="B23781" s="318" t="s">
        <v>235</v>
      </c>
    </row>
    <row r="23782" spans="1:2" ht="12.75" customHeight="1" x14ac:dyDescent="0.25">
      <c r="A23782" s="318">
        <v>121281426948</v>
      </c>
      <c r="B23782" s="318" t="s">
        <v>236</v>
      </c>
    </row>
    <row r="23783" spans="1:2" ht="12.75" customHeight="1" x14ac:dyDescent="0.25">
      <c r="A23783" s="318">
        <v>121281427048</v>
      </c>
      <c r="B23783" s="318" t="s">
        <v>236</v>
      </c>
    </row>
    <row r="23784" spans="1:2" ht="12.75" customHeight="1" x14ac:dyDescent="0.25">
      <c r="A23784" s="318">
        <v>122043264293</v>
      </c>
      <c r="B23784" s="318" t="s">
        <v>23</v>
      </c>
    </row>
    <row r="23785" spans="1:2" ht="12.75" customHeight="1" x14ac:dyDescent="0.25">
      <c r="A23785" s="318">
        <v>122043264393</v>
      </c>
      <c r="B23785" s="318" t="s">
        <v>237</v>
      </c>
    </row>
    <row r="23786" spans="1:2" ht="12.75" customHeight="1" x14ac:dyDescent="0.25">
      <c r="A23786" s="318">
        <v>122805101638</v>
      </c>
      <c r="B23786" s="318" t="s">
        <v>23</v>
      </c>
    </row>
    <row r="23787" spans="1:2" ht="12.75" customHeight="1" x14ac:dyDescent="0.25">
      <c r="A23787" s="318">
        <v>122805101738</v>
      </c>
      <c r="B23787" s="318" t="s">
        <v>237</v>
      </c>
    </row>
    <row r="23788" spans="1:2" ht="12.75" customHeight="1" x14ac:dyDescent="0.25">
      <c r="A23788" s="318">
        <v>151601783685</v>
      </c>
      <c r="B23788" s="318" t="s">
        <v>236</v>
      </c>
    </row>
    <row r="23789" spans="1:2" ht="12.75" customHeight="1" x14ac:dyDescent="0.25">
      <c r="A23789" s="318">
        <v>151601783694</v>
      </c>
      <c r="B23789" s="318" t="s">
        <v>237</v>
      </c>
    </row>
    <row r="23790" spans="1:2" ht="12.75" customHeight="1" x14ac:dyDescent="0.25">
      <c r="A23790" s="318">
        <v>151601783785</v>
      </c>
      <c r="B23790" s="318" t="s">
        <v>23</v>
      </c>
    </row>
    <row r="23791" spans="1:2" ht="12.75" customHeight="1" x14ac:dyDescent="0.25">
      <c r="A23791" s="318">
        <v>151601783794</v>
      </c>
      <c r="B23791" s="318" t="s">
        <v>237</v>
      </c>
    </row>
    <row r="23792" spans="1:2" ht="12.75" customHeight="1" x14ac:dyDescent="0.25">
      <c r="A23792" s="318">
        <v>181922140422</v>
      </c>
      <c r="B23792" s="318" t="s">
        <v>45</v>
      </c>
    </row>
    <row r="23793" spans="1:2" ht="12.75" customHeight="1" x14ac:dyDescent="0.25">
      <c r="A23793" s="318">
        <v>212242497181</v>
      </c>
      <c r="B23793" s="318" t="s">
        <v>236</v>
      </c>
    </row>
    <row r="23794" spans="1:2" ht="12.75" customHeight="1" x14ac:dyDescent="0.25">
      <c r="A23794" s="318">
        <v>212242497203</v>
      </c>
      <c r="B23794" s="318" t="s">
        <v>23</v>
      </c>
    </row>
    <row r="23795" spans="1:2" ht="12.75" customHeight="1" x14ac:dyDescent="0.25">
      <c r="A23795" s="318">
        <v>212242497225</v>
      </c>
      <c r="B23795" s="318" t="s">
        <v>237</v>
      </c>
    </row>
    <row r="23796" spans="1:2" ht="12.75" customHeight="1" x14ac:dyDescent="0.25">
      <c r="A23796" s="318">
        <v>242562853896</v>
      </c>
      <c r="B23796" s="318" t="s">
        <v>236</v>
      </c>
    </row>
    <row r="23797" spans="1:2" ht="12.75" customHeight="1" x14ac:dyDescent="0.25">
      <c r="A23797" s="318">
        <v>242562853897</v>
      </c>
      <c r="B23797" s="318" t="s">
        <v>23</v>
      </c>
    </row>
    <row r="23798" spans="1:2" ht="12.75" customHeight="1" x14ac:dyDescent="0.25">
      <c r="A23798" s="318">
        <v>242562853898</v>
      </c>
      <c r="B23798" s="318" t="s">
        <v>236</v>
      </c>
    </row>
    <row r="23799" spans="1:2" ht="12.75" customHeight="1" x14ac:dyDescent="0.25">
      <c r="A23799" s="318">
        <v>242562853899</v>
      </c>
      <c r="B23799" s="318" t="s">
        <v>23</v>
      </c>
    </row>
    <row r="23800" spans="1:2" ht="12.75" customHeight="1" x14ac:dyDescent="0.25">
      <c r="A23800" s="318">
        <v>242562853900</v>
      </c>
      <c r="B23800" s="318" t="s">
        <v>236</v>
      </c>
    </row>
    <row r="23801" spans="1:2" ht="12.75" customHeight="1" x14ac:dyDescent="0.25">
      <c r="A23801" s="318">
        <v>242562853901</v>
      </c>
      <c r="B23801" s="318" t="s">
        <v>23</v>
      </c>
    </row>
    <row r="23802" spans="1:2" ht="12.75" customHeight="1" x14ac:dyDescent="0.25">
      <c r="A23802" s="318">
        <v>242562853902</v>
      </c>
      <c r="B23802" s="318" t="s">
        <v>236</v>
      </c>
    </row>
    <row r="23803" spans="1:2" ht="12.75" customHeight="1" x14ac:dyDescent="0.25">
      <c r="A23803" s="318">
        <v>242562853903</v>
      </c>
      <c r="B23803" s="318" t="s">
        <v>237</v>
      </c>
    </row>
    <row r="23804" spans="1:2" ht="12.75" customHeight="1" x14ac:dyDescent="0.25">
      <c r="A23804" s="318">
        <v>242562853996</v>
      </c>
      <c r="B23804" s="318" t="s">
        <v>236</v>
      </c>
    </row>
    <row r="23805" spans="1:2" ht="12.75" customHeight="1" x14ac:dyDescent="0.25">
      <c r="A23805" s="318">
        <v>242562853997</v>
      </c>
      <c r="B23805" s="318" t="s">
        <v>237</v>
      </c>
    </row>
    <row r="23806" spans="1:2" ht="12.75" customHeight="1" x14ac:dyDescent="0.25">
      <c r="A23806" s="318">
        <v>242562853998</v>
      </c>
      <c r="B23806" s="318" t="s">
        <v>236</v>
      </c>
    </row>
    <row r="23807" spans="1:2" ht="12.75" customHeight="1" x14ac:dyDescent="0.25">
      <c r="A23807" s="318">
        <v>242562853999</v>
      </c>
      <c r="B23807" s="318" t="s">
        <v>237</v>
      </c>
    </row>
    <row r="23808" spans="1:2" ht="12.75" customHeight="1" x14ac:dyDescent="0.25">
      <c r="A23808" s="318">
        <v>242562854000</v>
      </c>
      <c r="B23808" s="318" t="s">
        <v>236</v>
      </c>
    </row>
    <row r="23809" spans="1:2" ht="12.75" customHeight="1" x14ac:dyDescent="0.25">
      <c r="A23809" s="318">
        <v>242562854001</v>
      </c>
      <c r="B23809" s="318" t="s">
        <v>237</v>
      </c>
    </row>
    <row r="23810" spans="1:2" ht="12.75" customHeight="1" x14ac:dyDescent="0.25">
      <c r="A23810" s="318">
        <v>242562854002</v>
      </c>
      <c r="B23810" s="318" t="s">
        <v>236</v>
      </c>
    </row>
    <row r="23811" spans="1:2" ht="12.75" customHeight="1" x14ac:dyDescent="0.25">
      <c r="A23811" s="318">
        <v>242562854003</v>
      </c>
      <c r="B23811" s="318" t="s">
        <v>237</v>
      </c>
    </row>
    <row r="23812" spans="1:2" ht="12.75" customHeight="1" x14ac:dyDescent="0.25">
      <c r="A23812" s="318">
        <v>242785990889</v>
      </c>
      <c r="B23812" s="318" t="s">
        <v>23</v>
      </c>
    </row>
    <row r="23813" spans="1:2" ht="12.75" customHeight="1" x14ac:dyDescent="0.25">
      <c r="A23813" s="318">
        <v>242785990890</v>
      </c>
      <c r="B23813" s="318" t="s">
        <v>23</v>
      </c>
    </row>
    <row r="23814" spans="1:2" ht="12.75" customHeight="1" x14ac:dyDescent="0.25">
      <c r="A23814" s="318">
        <v>242785990891</v>
      </c>
      <c r="B23814" s="318" t="s">
        <v>23</v>
      </c>
    </row>
    <row r="23815" spans="1:2" ht="12.75" customHeight="1" x14ac:dyDescent="0.25">
      <c r="A23815" s="318">
        <v>242785990892</v>
      </c>
      <c r="B23815" s="318" t="s">
        <v>23</v>
      </c>
    </row>
    <row r="23816" spans="1:2" ht="12.75" customHeight="1" x14ac:dyDescent="0.25">
      <c r="A23816" s="318">
        <v>242785990893</v>
      </c>
      <c r="B23816" s="318" t="s">
        <v>23</v>
      </c>
    </row>
    <row r="23817" spans="1:2" ht="12.75" customHeight="1" x14ac:dyDescent="0.25">
      <c r="A23817" s="318">
        <v>242785990894</v>
      </c>
      <c r="B23817" s="318" t="s">
        <v>23</v>
      </c>
    </row>
    <row r="23818" spans="1:2" ht="12.75" customHeight="1" x14ac:dyDescent="0.25">
      <c r="A23818" s="318">
        <v>242785990895</v>
      </c>
      <c r="B23818" s="318" t="s">
        <v>237</v>
      </c>
    </row>
    <row r="23819" spans="1:2" ht="12.75" customHeight="1" x14ac:dyDescent="0.25">
      <c r="A23819" s="318">
        <v>242785990896</v>
      </c>
      <c r="B23819" s="318" t="s">
        <v>237</v>
      </c>
    </row>
    <row r="23820" spans="1:2" ht="12.75" customHeight="1" x14ac:dyDescent="0.25">
      <c r="A23820" s="318">
        <v>242785990989</v>
      </c>
      <c r="B23820" s="318" t="s">
        <v>237</v>
      </c>
    </row>
    <row r="23821" spans="1:2" ht="12.75" customHeight="1" x14ac:dyDescent="0.25">
      <c r="A23821" s="318">
        <v>242785990990</v>
      </c>
      <c r="B23821" s="318" t="s">
        <v>237</v>
      </c>
    </row>
    <row r="23822" spans="1:2" ht="12.75" customHeight="1" x14ac:dyDescent="0.25">
      <c r="A23822" s="318">
        <v>242785990991</v>
      </c>
      <c r="B23822" s="318" t="s">
        <v>237</v>
      </c>
    </row>
    <row r="23823" spans="1:2" ht="12.75" customHeight="1" x14ac:dyDescent="0.25">
      <c r="A23823" s="318">
        <v>242785990992</v>
      </c>
      <c r="B23823" s="318" t="s">
        <v>237</v>
      </c>
    </row>
    <row r="23824" spans="1:2" ht="12.75" customHeight="1" x14ac:dyDescent="0.25">
      <c r="A23824" s="318">
        <v>242785990993</v>
      </c>
      <c r="B23824" s="318" t="s">
        <v>237</v>
      </c>
    </row>
    <row r="23825" spans="1:2" ht="12.75" customHeight="1" x14ac:dyDescent="0.25">
      <c r="A23825" s="318">
        <v>242785990994</v>
      </c>
      <c r="B23825" s="318" t="s">
        <v>237</v>
      </c>
    </row>
    <row r="23826" spans="1:2" ht="12.75" customHeight="1" x14ac:dyDescent="0.25">
      <c r="A23826" s="318">
        <v>242785990995</v>
      </c>
      <c r="B23826" s="318" t="s">
        <v>237</v>
      </c>
    </row>
    <row r="23827" spans="1:2" ht="12.75" customHeight="1" x14ac:dyDescent="0.25">
      <c r="A23827" s="318">
        <v>242785990996</v>
      </c>
      <c r="B23827" s="318" t="s">
        <v>237</v>
      </c>
    </row>
    <row r="23828" spans="1:2" ht="12.75" customHeight="1" x14ac:dyDescent="0.25">
      <c r="A23828" s="318">
        <v>243009127882</v>
      </c>
      <c r="B23828" s="318" t="s">
        <v>236</v>
      </c>
    </row>
    <row r="23829" spans="1:2" ht="12.75" customHeight="1" x14ac:dyDescent="0.25">
      <c r="A23829" s="318">
        <v>243009127883</v>
      </c>
      <c r="B23829" s="318" t="s">
        <v>235</v>
      </c>
    </row>
    <row r="23830" spans="1:2" ht="12.75" customHeight="1" x14ac:dyDescent="0.25">
      <c r="A23830" s="318">
        <v>243009127884</v>
      </c>
      <c r="B23830" s="318" t="s">
        <v>236</v>
      </c>
    </row>
    <row r="23831" spans="1:2" ht="12.75" customHeight="1" x14ac:dyDescent="0.25">
      <c r="A23831" s="318">
        <v>243009127885</v>
      </c>
      <c r="B23831" s="318" t="s">
        <v>235</v>
      </c>
    </row>
    <row r="23832" spans="1:2" ht="12.75" customHeight="1" x14ac:dyDescent="0.25">
      <c r="A23832" s="318">
        <v>243009127886</v>
      </c>
      <c r="B23832" s="318" t="s">
        <v>236</v>
      </c>
    </row>
    <row r="23833" spans="1:2" ht="12.75" customHeight="1" x14ac:dyDescent="0.25">
      <c r="A23833" s="318">
        <v>243009127887</v>
      </c>
      <c r="B23833" s="318" t="s">
        <v>235</v>
      </c>
    </row>
    <row r="23834" spans="1:2" ht="12.75" customHeight="1" x14ac:dyDescent="0.25">
      <c r="A23834" s="318">
        <v>243009127888</v>
      </c>
      <c r="B23834" s="318" t="s">
        <v>236</v>
      </c>
    </row>
    <row r="23835" spans="1:2" ht="12.75" customHeight="1" x14ac:dyDescent="0.25">
      <c r="A23835" s="318">
        <v>243009127889</v>
      </c>
      <c r="B23835" s="318" t="s">
        <v>235</v>
      </c>
    </row>
    <row r="23836" spans="1:2" ht="12.75" customHeight="1" x14ac:dyDescent="0.25">
      <c r="A23836" s="318">
        <v>243009127982</v>
      </c>
      <c r="B23836" s="318" t="s">
        <v>236</v>
      </c>
    </row>
    <row r="23837" spans="1:2" ht="12.75" customHeight="1" x14ac:dyDescent="0.25">
      <c r="A23837" s="318">
        <v>243009127983</v>
      </c>
      <c r="B23837" s="318" t="s">
        <v>235</v>
      </c>
    </row>
    <row r="23838" spans="1:2" ht="12.75" customHeight="1" x14ac:dyDescent="0.25">
      <c r="A23838" s="318">
        <v>243009127984</v>
      </c>
      <c r="B23838" s="318" t="s">
        <v>236</v>
      </c>
    </row>
    <row r="23839" spans="1:2" ht="12.75" customHeight="1" x14ac:dyDescent="0.25">
      <c r="A23839" s="318">
        <v>243009127985</v>
      </c>
      <c r="B23839" s="318" t="s">
        <v>235</v>
      </c>
    </row>
    <row r="23840" spans="1:2" ht="12.75" customHeight="1" x14ac:dyDescent="0.25">
      <c r="A23840" s="318">
        <v>243009127986</v>
      </c>
      <c r="B23840" s="318" t="s">
        <v>236</v>
      </c>
    </row>
    <row r="23841" spans="1:2" ht="12.75" customHeight="1" x14ac:dyDescent="0.25">
      <c r="A23841" s="318">
        <v>243009127987</v>
      </c>
      <c r="B23841" s="318" t="s">
        <v>235</v>
      </c>
    </row>
    <row r="23842" spans="1:2" ht="12.75" customHeight="1" x14ac:dyDescent="0.25">
      <c r="A23842" s="318">
        <v>243009127988</v>
      </c>
      <c r="B23842" s="318" t="s">
        <v>236</v>
      </c>
    </row>
    <row r="23843" spans="1:2" ht="12.75" customHeight="1" x14ac:dyDescent="0.25">
      <c r="A23843" s="318">
        <v>243009127989</v>
      </c>
      <c r="B23843" s="318" t="s">
        <v>235</v>
      </c>
    </row>
    <row r="23844" spans="1:2" ht="12.75" customHeight="1" x14ac:dyDescent="0.25">
      <c r="A23844" s="318">
        <v>272883210633</v>
      </c>
      <c r="B23844" s="318" t="s">
        <v>236</v>
      </c>
    </row>
    <row r="23845" spans="1:2" ht="12.75" customHeight="1" x14ac:dyDescent="0.25">
      <c r="A23845" s="318">
        <v>272883210634</v>
      </c>
      <c r="B23845" s="318" t="s">
        <v>23</v>
      </c>
    </row>
    <row r="23846" spans="1:2" ht="12.75" customHeight="1" x14ac:dyDescent="0.25">
      <c r="A23846" s="318">
        <v>272883210733</v>
      </c>
      <c r="B23846" s="318" t="s">
        <v>236</v>
      </c>
    </row>
    <row r="23847" spans="1:2" ht="12.75" customHeight="1" x14ac:dyDescent="0.25">
      <c r="A23847" s="318">
        <v>272883210734</v>
      </c>
      <c r="B23847" s="318" t="s">
        <v>237</v>
      </c>
    </row>
    <row r="23848" spans="1:2" ht="12.75" customHeight="1" x14ac:dyDescent="0.25">
      <c r="A23848" s="318">
        <v>272902352762</v>
      </c>
      <c r="B23848" s="318" t="s">
        <v>23</v>
      </c>
    </row>
    <row r="23849" spans="1:2" ht="12.75" customHeight="1" x14ac:dyDescent="0.25">
      <c r="A23849" s="318">
        <v>272902352763</v>
      </c>
      <c r="B23849" s="318" t="s">
        <v>23</v>
      </c>
    </row>
    <row r="23850" spans="1:2" ht="12.75" customHeight="1" x14ac:dyDescent="0.25">
      <c r="A23850" s="318">
        <v>272902352862</v>
      </c>
      <c r="B23850" s="318" t="s">
        <v>237</v>
      </c>
    </row>
    <row r="23851" spans="1:2" ht="12.75" customHeight="1" x14ac:dyDescent="0.25">
      <c r="A23851" s="318">
        <v>272902352863</v>
      </c>
      <c r="B23851" s="318" t="s">
        <v>237</v>
      </c>
    </row>
    <row r="23852" spans="1:2" ht="12.75" customHeight="1" x14ac:dyDescent="0.25">
      <c r="A23852" s="318">
        <v>272921494891</v>
      </c>
      <c r="B23852" s="318" t="s">
        <v>236</v>
      </c>
    </row>
    <row r="23853" spans="1:2" ht="12.75" customHeight="1" x14ac:dyDescent="0.25">
      <c r="A23853" s="318">
        <v>272921494892</v>
      </c>
      <c r="B23853" s="318" t="s">
        <v>235</v>
      </c>
    </row>
    <row r="23854" spans="1:2" ht="12.75" customHeight="1" x14ac:dyDescent="0.25">
      <c r="A23854" s="318">
        <v>272921494991</v>
      </c>
      <c r="B23854" s="318" t="s">
        <v>236</v>
      </c>
    </row>
    <row r="23855" spans="1:2" ht="12.75" customHeight="1" x14ac:dyDescent="0.25">
      <c r="A23855" s="318">
        <v>272921494992</v>
      </c>
      <c r="B23855" s="318" t="s">
        <v>235</v>
      </c>
    </row>
    <row r="23856" spans="1:2" ht="12.75" customHeight="1" x14ac:dyDescent="0.25">
      <c r="A23856" s="318">
        <v>303203567370</v>
      </c>
      <c r="B23856" s="318" t="s">
        <v>236</v>
      </c>
    </row>
    <row r="23857" spans="1:2" ht="12.75" customHeight="1" x14ac:dyDescent="0.25">
      <c r="A23857" s="318">
        <v>303203567379</v>
      </c>
      <c r="B23857" s="318" t="s">
        <v>237</v>
      </c>
    </row>
    <row r="23858" spans="1:2" ht="12.75" customHeight="1" x14ac:dyDescent="0.25">
      <c r="A23858" s="318">
        <v>333523924107</v>
      </c>
      <c r="B23858" s="318" t="s">
        <v>236</v>
      </c>
    </row>
    <row r="23859" spans="1:2" ht="12.75" customHeight="1" x14ac:dyDescent="0.25">
      <c r="A23859" s="318">
        <v>333523924109</v>
      </c>
      <c r="B23859" s="318" t="s">
        <v>236</v>
      </c>
    </row>
    <row r="23860" spans="1:2" ht="12.75" customHeight="1" x14ac:dyDescent="0.25">
      <c r="A23860" s="318">
        <v>333523924111</v>
      </c>
      <c r="B23860" s="318" t="s">
        <v>236</v>
      </c>
    </row>
    <row r="23861" spans="1:2" ht="12.75" customHeight="1" x14ac:dyDescent="0.25">
      <c r="A23861" s="318">
        <v>333523924113</v>
      </c>
      <c r="B23861" s="318" t="s">
        <v>23</v>
      </c>
    </row>
    <row r="23862" spans="1:2" ht="12.75" customHeight="1" x14ac:dyDescent="0.25">
      <c r="A23862" s="318">
        <v>333523924116</v>
      </c>
      <c r="B23862" s="318" t="s">
        <v>237</v>
      </c>
    </row>
    <row r="23863" spans="1:2" ht="12.75" customHeight="1" x14ac:dyDescent="0.25">
      <c r="A23863" s="318">
        <v>333523924118</v>
      </c>
      <c r="B23863" s="318" t="s">
        <v>237</v>
      </c>
    </row>
    <row r="23864" spans="1:2" ht="12.75" customHeight="1" x14ac:dyDescent="0.25">
      <c r="A23864" s="318">
        <v>333523924120</v>
      </c>
      <c r="B23864" s="318" t="s">
        <v>237</v>
      </c>
    </row>
    <row r="23865" spans="1:2" ht="12.75" customHeight="1" x14ac:dyDescent="0.25">
      <c r="A23865" s="318">
        <v>333523924122</v>
      </c>
      <c r="B23865" s="318" t="s">
        <v>237</v>
      </c>
    </row>
    <row r="23866" spans="1:2" ht="12.75" customHeight="1" x14ac:dyDescent="0.25">
      <c r="A23866" s="318">
        <v>363844280844</v>
      </c>
      <c r="B23866" s="318" t="s">
        <v>23</v>
      </c>
    </row>
    <row r="23867" spans="1:2" ht="12.75" customHeight="1" x14ac:dyDescent="0.25">
      <c r="A23867" s="318">
        <v>363844280845</v>
      </c>
      <c r="B23867" s="318" t="s">
        <v>23</v>
      </c>
    </row>
    <row r="23868" spans="1:2" ht="12.75" customHeight="1" x14ac:dyDescent="0.25">
      <c r="A23868" s="318">
        <v>363844280846</v>
      </c>
      <c r="B23868" s="318" t="s">
        <v>23</v>
      </c>
    </row>
    <row r="23869" spans="1:2" ht="12.75" customHeight="1" x14ac:dyDescent="0.25">
      <c r="A23869" s="318">
        <v>363844280847</v>
      </c>
      <c r="B23869" s="318" t="s">
        <v>23</v>
      </c>
    </row>
    <row r="23870" spans="1:2" ht="12.75" customHeight="1" x14ac:dyDescent="0.25">
      <c r="A23870" s="318">
        <v>363844280848</v>
      </c>
      <c r="B23870" s="318" t="s">
        <v>23</v>
      </c>
    </row>
    <row r="23871" spans="1:2" ht="12.75" customHeight="1" x14ac:dyDescent="0.25">
      <c r="A23871" s="318">
        <v>363844280849</v>
      </c>
      <c r="B23871" s="318" t="s">
        <v>23</v>
      </c>
    </row>
    <row r="23872" spans="1:2" ht="12.75" customHeight="1" x14ac:dyDescent="0.25">
      <c r="A23872" s="318">
        <v>363844280850</v>
      </c>
      <c r="B23872" s="318" t="s">
        <v>23</v>
      </c>
    </row>
    <row r="23873" spans="1:2" ht="12.75" customHeight="1" x14ac:dyDescent="0.25">
      <c r="A23873" s="318">
        <v>363844280851</v>
      </c>
      <c r="B23873" s="318" t="s">
        <v>237</v>
      </c>
    </row>
    <row r="23874" spans="1:2" ht="12.75" customHeight="1" x14ac:dyDescent="0.25">
      <c r="A23874" s="318">
        <v>363844280853</v>
      </c>
      <c r="B23874" s="318" t="s">
        <v>237</v>
      </c>
    </row>
    <row r="23875" spans="1:2" ht="12.75" customHeight="1" x14ac:dyDescent="0.25">
      <c r="A23875" s="318">
        <v>363844280854</v>
      </c>
      <c r="B23875" s="318" t="s">
        <v>237</v>
      </c>
    </row>
    <row r="23876" spans="1:2" ht="12.75" customHeight="1" x14ac:dyDescent="0.25">
      <c r="A23876" s="318">
        <v>363844280855</v>
      </c>
      <c r="B23876" s="318" t="s">
        <v>237</v>
      </c>
    </row>
    <row r="23877" spans="1:2" ht="12.75" customHeight="1" x14ac:dyDescent="0.25">
      <c r="A23877" s="318">
        <v>363844280856</v>
      </c>
      <c r="B23877" s="318" t="s">
        <v>237</v>
      </c>
    </row>
    <row r="23878" spans="1:2" ht="12.75" customHeight="1" x14ac:dyDescent="0.25">
      <c r="A23878" s="318">
        <v>363844280857</v>
      </c>
      <c r="B23878" s="318" t="s">
        <v>237</v>
      </c>
    </row>
    <row r="23879" spans="1:2" ht="12.75" customHeight="1" x14ac:dyDescent="0.25">
      <c r="A23879" s="318">
        <v>363844280858</v>
      </c>
      <c r="B23879" s="318" t="s">
        <v>237</v>
      </c>
    </row>
    <row r="23880" spans="1:2" ht="12.75" customHeight="1" x14ac:dyDescent="0.25">
      <c r="A23880" s="318">
        <v>363844280859</v>
      </c>
      <c r="B23880" s="318" t="s">
        <v>237</v>
      </c>
    </row>
    <row r="23881" spans="1:2" ht="12.75" customHeight="1" x14ac:dyDescent="0.25">
      <c r="A23881" s="318">
        <v>363844280860</v>
      </c>
      <c r="B23881" s="318" t="s">
        <v>237</v>
      </c>
    </row>
    <row r="23882" spans="1:2" ht="12.75" customHeight="1" x14ac:dyDescent="0.25">
      <c r="A23882" s="318">
        <v>363844761817</v>
      </c>
      <c r="B23882" s="318" t="s">
        <v>23</v>
      </c>
    </row>
    <row r="23883" spans="1:2" ht="12.75" customHeight="1" x14ac:dyDescent="0.25">
      <c r="A23883" s="318">
        <v>363844761818</v>
      </c>
      <c r="B23883" s="318" t="s">
        <v>23</v>
      </c>
    </row>
    <row r="23884" spans="1:2" ht="12.75" customHeight="1" x14ac:dyDescent="0.25">
      <c r="A23884" s="318">
        <v>363844761819</v>
      </c>
      <c r="B23884" s="318" t="s">
        <v>23</v>
      </c>
    </row>
    <row r="23885" spans="1:2" ht="12.75" customHeight="1" x14ac:dyDescent="0.25">
      <c r="A23885" s="318">
        <v>363844761820</v>
      </c>
      <c r="B23885" s="318" t="s">
        <v>23</v>
      </c>
    </row>
    <row r="23886" spans="1:2" ht="12.75" customHeight="1" x14ac:dyDescent="0.25">
      <c r="A23886" s="318">
        <v>363844761821</v>
      </c>
      <c r="B23886" s="318" t="s">
        <v>23</v>
      </c>
    </row>
    <row r="23887" spans="1:2" ht="12.75" customHeight="1" x14ac:dyDescent="0.25">
      <c r="A23887" s="318">
        <v>363844761822</v>
      </c>
      <c r="B23887" s="318" t="s">
        <v>23</v>
      </c>
    </row>
    <row r="23888" spans="1:2" ht="12.75" customHeight="1" x14ac:dyDescent="0.25">
      <c r="A23888" s="318">
        <v>363844761823</v>
      </c>
      <c r="B23888" s="318" t="s">
        <v>23</v>
      </c>
    </row>
    <row r="23889" spans="1:2" ht="12.75" customHeight="1" x14ac:dyDescent="0.25">
      <c r="A23889" s="318">
        <v>363844761824</v>
      </c>
      <c r="B23889" s="318" t="s">
        <v>237</v>
      </c>
    </row>
    <row r="23890" spans="1:2" ht="12.75" customHeight="1" x14ac:dyDescent="0.25">
      <c r="A23890" s="318">
        <v>363844761826</v>
      </c>
      <c r="B23890" s="318" t="s">
        <v>237</v>
      </c>
    </row>
    <row r="23891" spans="1:2" ht="12.75" customHeight="1" x14ac:dyDescent="0.25">
      <c r="A23891" s="318">
        <v>363844761827</v>
      </c>
      <c r="B23891" s="318" t="s">
        <v>237</v>
      </c>
    </row>
    <row r="23892" spans="1:2" ht="12.75" customHeight="1" x14ac:dyDescent="0.25">
      <c r="A23892" s="318">
        <v>363844761828</v>
      </c>
      <c r="B23892" s="318" t="s">
        <v>237</v>
      </c>
    </row>
    <row r="23893" spans="1:2" ht="12.75" customHeight="1" x14ac:dyDescent="0.25">
      <c r="A23893" s="318">
        <v>363844761829</v>
      </c>
      <c r="B23893" s="318" t="s">
        <v>237</v>
      </c>
    </row>
    <row r="23894" spans="1:2" ht="12.75" customHeight="1" x14ac:dyDescent="0.25">
      <c r="A23894" s="318">
        <v>363844761830</v>
      </c>
      <c r="B23894" s="318" t="s">
        <v>237</v>
      </c>
    </row>
    <row r="23895" spans="1:2" ht="12.75" customHeight="1" x14ac:dyDescent="0.25">
      <c r="A23895" s="318">
        <v>363844761831</v>
      </c>
      <c r="B23895" s="318" t="s">
        <v>237</v>
      </c>
    </row>
    <row r="23896" spans="1:2" ht="12.75" customHeight="1" x14ac:dyDescent="0.25">
      <c r="A23896" s="318">
        <v>363844761832</v>
      </c>
      <c r="B23896" s="318" t="s">
        <v>237</v>
      </c>
    </row>
    <row r="23897" spans="1:2" ht="12.75" customHeight="1" x14ac:dyDescent="0.25">
      <c r="A23897" s="318">
        <v>363844761833</v>
      </c>
      <c r="B23897" s="318" t="s">
        <v>237</v>
      </c>
    </row>
    <row r="23898" spans="1:2" ht="12.75" customHeight="1" x14ac:dyDescent="0.25">
      <c r="A23898" s="318">
        <v>363845242790</v>
      </c>
      <c r="B23898" s="318" t="s">
        <v>23</v>
      </c>
    </row>
    <row r="23899" spans="1:2" ht="12.75" customHeight="1" x14ac:dyDescent="0.25">
      <c r="A23899" s="318">
        <v>363845242791</v>
      </c>
      <c r="B23899" s="318" t="s">
        <v>23</v>
      </c>
    </row>
    <row r="23900" spans="1:2" ht="12.75" customHeight="1" x14ac:dyDescent="0.25">
      <c r="A23900" s="318">
        <v>363845242792</v>
      </c>
      <c r="B23900" s="318" t="s">
        <v>23</v>
      </c>
    </row>
    <row r="23901" spans="1:2" ht="12.75" customHeight="1" x14ac:dyDescent="0.25">
      <c r="A23901" s="318">
        <v>363845242793</v>
      </c>
      <c r="B23901" s="318" t="s">
        <v>23</v>
      </c>
    </row>
    <row r="23902" spans="1:2" ht="12.75" customHeight="1" x14ac:dyDescent="0.25">
      <c r="A23902" s="318">
        <v>363845242794</v>
      </c>
      <c r="B23902" s="318" t="s">
        <v>23</v>
      </c>
    </row>
    <row r="23903" spans="1:2" ht="12.75" customHeight="1" x14ac:dyDescent="0.25">
      <c r="A23903" s="318">
        <v>363845242795</v>
      </c>
      <c r="B23903" s="318" t="s">
        <v>23</v>
      </c>
    </row>
    <row r="23904" spans="1:2" ht="12.75" customHeight="1" x14ac:dyDescent="0.25">
      <c r="A23904" s="318">
        <v>363845242796</v>
      </c>
      <c r="B23904" s="318" t="s">
        <v>23</v>
      </c>
    </row>
    <row r="23905" spans="1:2" ht="12.75" customHeight="1" x14ac:dyDescent="0.25">
      <c r="A23905" s="318">
        <v>363845242797</v>
      </c>
      <c r="B23905" s="318" t="s">
        <v>237</v>
      </c>
    </row>
    <row r="23906" spans="1:2" ht="12.75" customHeight="1" x14ac:dyDescent="0.25">
      <c r="A23906" s="318">
        <v>363845242799</v>
      </c>
      <c r="B23906" s="318" t="s">
        <v>23</v>
      </c>
    </row>
    <row r="23907" spans="1:2" ht="12.75" customHeight="1" x14ac:dyDescent="0.25">
      <c r="A23907" s="318">
        <v>363845242800</v>
      </c>
      <c r="B23907" s="318" t="s">
        <v>23</v>
      </c>
    </row>
    <row r="23908" spans="1:2" ht="12.75" customHeight="1" x14ac:dyDescent="0.25">
      <c r="A23908" s="318">
        <v>363845242801</v>
      </c>
      <c r="B23908" s="318" t="s">
        <v>23</v>
      </c>
    </row>
    <row r="23909" spans="1:2" ht="12.75" customHeight="1" x14ac:dyDescent="0.25">
      <c r="A23909" s="318">
        <v>363845242802</v>
      </c>
      <c r="B23909" s="318" t="s">
        <v>23</v>
      </c>
    </row>
    <row r="23910" spans="1:2" ht="12.75" customHeight="1" x14ac:dyDescent="0.25">
      <c r="A23910" s="318">
        <v>363845242803</v>
      </c>
      <c r="B23910" s="318" t="s">
        <v>23</v>
      </c>
    </row>
    <row r="23911" spans="1:2" ht="12.75" customHeight="1" x14ac:dyDescent="0.25">
      <c r="A23911" s="318">
        <v>363845242804</v>
      </c>
      <c r="B23911" s="318" t="s">
        <v>23</v>
      </c>
    </row>
    <row r="23912" spans="1:2" ht="12.75" customHeight="1" x14ac:dyDescent="0.25">
      <c r="A23912" s="318">
        <v>363845242805</v>
      </c>
      <c r="B23912" s="318" t="s">
        <v>23</v>
      </c>
    </row>
    <row r="23913" spans="1:2" ht="12.75" customHeight="1" x14ac:dyDescent="0.25">
      <c r="A23913" s="318">
        <v>363845242806</v>
      </c>
      <c r="B23913" s="318" t="s">
        <v>237</v>
      </c>
    </row>
    <row r="23914" spans="1:2" ht="12.75" customHeight="1" x14ac:dyDescent="0.25">
      <c r="A23914" s="318">
        <v>363845922981</v>
      </c>
      <c r="B23914" s="318" t="s">
        <v>23</v>
      </c>
    </row>
    <row r="23915" spans="1:2" ht="12.75" customHeight="1" x14ac:dyDescent="0.25">
      <c r="A23915" s="318">
        <v>363845922982</v>
      </c>
      <c r="B23915" s="318" t="s">
        <v>23</v>
      </c>
    </row>
    <row r="23916" spans="1:2" ht="12.75" customHeight="1" x14ac:dyDescent="0.25">
      <c r="A23916" s="318">
        <v>363845922983</v>
      </c>
      <c r="B23916" s="318" t="s">
        <v>23</v>
      </c>
    </row>
    <row r="23917" spans="1:2" ht="12.75" customHeight="1" x14ac:dyDescent="0.25">
      <c r="A23917" s="318">
        <v>363845922984</v>
      </c>
      <c r="B23917" s="318" t="s">
        <v>23</v>
      </c>
    </row>
    <row r="23918" spans="1:2" ht="12.75" customHeight="1" x14ac:dyDescent="0.25">
      <c r="A23918" s="318">
        <v>363845922985</v>
      </c>
      <c r="B23918" s="318" t="s">
        <v>23</v>
      </c>
    </row>
    <row r="23919" spans="1:2" ht="12.75" customHeight="1" x14ac:dyDescent="0.25">
      <c r="A23919" s="318">
        <v>363845922986</v>
      </c>
      <c r="B23919" s="318" t="s">
        <v>23</v>
      </c>
    </row>
    <row r="23920" spans="1:2" ht="12.75" customHeight="1" x14ac:dyDescent="0.25">
      <c r="A23920" s="318">
        <v>363845922987</v>
      </c>
      <c r="B23920" s="318" t="s">
        <v>23</v>
      </c>
    </row>
    <row r="23921" spans="1:2" ht="12.75" customHeight="1" x14ac:dyDescent="0.25">
      <c r="A23921" s="318">
        <v>363845922988</v>
      </c>
      <c r="B23921" s="318" t="s">
        <v>237</v>
      </c>
    </row>
    <row r="23922" spans="1:2" ht="12.75" customHeight="1" x14ac:dyDescent="0.25">
      <c r="A23922" s="318">
        <v>363845922990</v>
      </c>
      <c r="B23922" s="318" t="s">
        <v>237</v>
      </c>
    </row>
    <row r="23923" spans="1:2" ht="12.75" customHeight="1" x14ac:dyDescent="0.25">
      <c r="A23923" s="318">
        <v>363845922991</v>
      </c>
      <c r="B23923" s="318" t="s">
        <v>237</v>
      </c>
    </row>
    <row r="23924" spans="1:2" ht="12.75" customHeight="1" x14ac:dyDescent="0.25">
      <c r="A23924" s="318">
        <v>363845922992</v>
      </c>
      <c r="B23924" s="318" t="s">
        <v>237</v>
      </c>
    </row>
    <row r="23925" spans="1:2" ht="12.75" customHeight="1" x14ac:dyDescent="0.25">
      <c r="A23925" s="318">
        <v>363845922993</v>
      </c>
      <c r="B23925" s="318" t="s">
        <v>237</v>
      </c>
    </row>
    <row r="23926" spans="1:2" ht="12.75" customHeight="1" x14ac:dyDescent="0.25">
      <c r="A23926" s="318">
        <v>363845922994</v>
      </c>
      <c r="B23926" s="318" t="s">
        <v>237</v>
      </c>
    </row>
    <row r="23927" spans="1:2" ht="12.75" customHeight="1" x14ac:dyDescent="0.25">
      <c r="A23927" s="318">
        <v>363845922995</v>
      </c>
      <c r="B23927" s="318" t="s">
        <v>237</v>
      </c>
    </row>
    <row r="23928" spans="1:2" ht="12.75" customHeight="1" x14ac:dyDescent="0.25">
      <c r="A23928" s="318">
        <v>363845922996</v>
      </c>
      <c r="B23928" s="318" t="s">
        <v>237</v>
      </c>
    </row>
    <row r="23929" spans="1:2" ht="12.75" customHeight="1" x14ac:dyDescent="0.25">
      <c r="A23929" s="318">
        <v>363845922997</v>
      </c>
      <c r="B23929" s="318" t="s">
        <v>237</v>
      </c>
    </row>
    <row r="23930" spans="1:2" ht="12.75" customHeight="1" x14ac:dyDescent="0.25">
      <c r="A23930" s="318">
        <v>363846403954</v>
      </c>
      <c r="B23930" s="318" t="s">
        <v>23</v>
      </c>
    </row>
    <row r="23931" spans="1:2" ht="12.75" customHeight="1" x14ac:dyDescent="0.25">
      <c r="A23931" s="318">
        <v>363846403955</v>
      </c>
      <c r="B23931" s="318" t="s">
        <v>23</v>
      </c>
    </row>
    <row r="23932" spans="1:2" ht="12.75" customHeight="1" x14ac:dyDescent="0.25">
      <c r="A23932" s="318">
        <v>363846403956</v>
      </c>
      <c r="B23932" s="318" t="s">
        <v>23</v>
      </c>
    </row>
    <row r="23933" spans="1:2" ht="12.75" customHeight="1" x14ac:dyDescent="0.25">
      <c r="A23933" s="318">
        <v>363846403957</v>
      </c>
      <c r="B23933" s="318" t="s">
        <v>23</v>
      </c>
    </row>
    <row r="23934" spans="1:2" ht="12.75" customHeight="1" x14ac:dyDescent="0.25">
      <c r="A23934" s="318">
        <v>363846403958</v>
      </c>
      <c r="B23934" s="318" t="s">
        <v>23</v>
      </c>
    </row>
    <row r="23935" spans="1:2" ht="12.75" customHeight="1" x14ac:dyDescent="0.25">
      <c r="A23935" s="318">
        <v>363846403959</v>
      </c>
      <c r="B23935" s="318" t="s">
        <v>23</v>
      </c>
    </row>
    <row r="23936" spans="1:2" ht="12.75" customHeight="1" x14ac:dyDescent="0.25">
      <c r="A23936" s="318">
        <v>363846403960</v>
      </c>
      <c r="B23936" s="318" t="s">
        <v>23</v>
      </c>
    </row>
    <row r="23937" spans="1:2" ht="12.75" customHeight="1" x14ac:dyDescent="0.25">
      <c r="A23937" s="318">
        <v>363846403961</v>
      </c>
      <c r="B23937" s="318" t="s">
        <v>237</v>
      </c>
    </row>
    <row r="23938" spans="1:2" ht="12.75" customHeight="1" x14ac:dyDescent="0.25">
      <c r="A23938" s="318">
        <v>363846403963</v>
      </c>
      <c r="B23938" s="318" t="s">
        <v>237</v>
      </c>
    </row>
    <row r="23939" spans="1:2" ht="12.75" customHeight="1" x14ac:dyDescent="0.25">
      <c r="A23939" s="318">
        <v>363846403964</v>
      </c>
      <c r="B23939" s="318" t="s">
        <v>237</v>
      </c>
    </row>
    <row r="23940" spans="1:2" ht="12.75" customHeight="1" x14ac:dyDescent="0.25">
      <c r="A23940" s="318">
        <v>363846403965</v>
      </c>
      <c r="B23940" s="318" t="s">
        <v>237</v>
      </c>
    </row>
    <row r="23941" spans="1:2" ht="12.75" customHeight="1" x14ac:dyDescent="0.25">
      <c r="A23941" s="318">
        <v>363846403966</v>
      </c>
      <c r="B23941" s="318" t="s">
        <v>237</v>
      </c>
    </row>
    <row r="23942" spans="1:2" ht="12.75" customHeight="1" x14ac:dyDescent="0.25">
      <c r="A23942" s="318">
        <v>363846403967</v>
      </c>
      <c r="B23942" s="318" t="s">
        <v>237</v>
      </c>
    </row>
    <row r="23943" spans="1:2" ht="12.75" customHeight="1" x14ac:dyDescent="0.25">
      <c r="A23943" s="318">
        <v>363846403968</v>
      </c>
      <c r="B23943" s="318" t="s">
        <v>237</v>
      </c>
    </row>
    <row r="23944" spans="1:2" ht="12.75" customHeight="1" x14ac:dyDescent="0.25">
      <c r="A23944" s="318">
        <v>363846403969</v>
      </c>
      <c r="B23944" s="318" t="s">
        <v>237</v>
      </c>
    </row>
    <row r="23945" spans="1:2" ht="12.75" customHeight="1" x14ac:dyDescent="0.25">
      <c r="A23945" s="318">
        <v>363846403970</v>
      </c>
      <c r="B23945" s="318" t="s">
        <v>237</v>
      </c>
    </row>
    <row r="23946" spans="1:2" ht="12.75" customHeight="1" x14ac:dyDescent="0.25">
      <c r="A23946" s="318">
        <v>363846884927</v>
      </c>
      <c r="B23946" s="318" t="s">
        <v>23</v>
      </c>
    </row>
    <row r="23947" spans="1:2" ht="12.75" customHeight="1" x14ac:dyDescent="0.25">
      <c r="A23947" s="318">
        <v>363846884928</v>
      </c>
      <c r="B23947" s="318" t="s">
        <v>23</v>
      </c>
    </row>
    <row r="23948" spans="1:2" ht="12.75" customHeight="1" x14ac:dyDescent="0.25">
      <c r="A23948" s="318">
        <v>363846884929</v>
      </c>
      <c r="B23948" s="318" t="s">
        <v>23</v>
      </c>
    </row>
    <row r="23949" spans="1:2" ht="12.75" customHeight="1" x14ac:dyDescent="0.25">
      <c r="A23949" s="318">
        <v>363846884930</v>
      </c>
      <c r="B23949" s="318" t="s">
        <v>23</v>
      </c>
    </row>
    <row r="23950" spans="1:2" ht="12.75" customHeight="1" x14ac:dyDescent="0.25">
      <c r="A23950" s="318">
        <v>363846884931</v>
      </c>
      <c r="B23950" s="318" t="s">
        <v>23</v>
      </c>
    </row>
    <row r="23951" spans="1:2" ht="12.75" customHeight="1" x14ac:dyDescent="0.25">
      <c r="A23951" s="318">
        <v>363846884932</v>
      </c>
      <c r="B23951" s="318" t="s">
        <v>23</v>
      </c>
    </row>
    <row r="23952" spans="1:2" ht="12.75" customHeight="1" x14ac:dyDescent="0.25">
      <c r="A23952" s="318">
        <v>363846884933</v>
      </c>
      <c r="B23952" s="318" t="s">
        <v>23</v>
      </c>
    </row>
    <row r="23953" spans="1:2" ht="12.75" customHeight="1" x14ac:dyDescent="0.25">
      <c r="A23953" s="318">
        <v>363846884934</v>
      </c>
      <c r="B23953" s="318" t="s">
        <v>237</v>
      </c>
    </row>
    <row r="23954" spans="1:2" ht="12.75" customHeight="1" x14ac:dyDescent="0.25">
      <c r="A23954" s="318">
        <v>363846884936</v>
      </c>
      <c r="B23954" s="318" t="s">
        <v>23</v>
      </c>
    </row>
    <row r="23955" spans="1:2" ht="12.75" customHeight="1" x14ac:dyDescent="0.25">
      <c r="A23955" s="318">
        <v>363846884937</v>
      </c>
      <c r="B23955" s="318" t="s">
        <v>23</v>
      </c>
    </row>
    <row r="23956" spans="1:2" ht="12.75" customHeight="1" x14ac:dyDescent="0.25">
      <c r="A23956" s="318">
        <v>363846884938</v>
      </c>
      <c r="B23956" s="318" t="s">
        <v>23</v>
      </c>
    </row>
    <row r="23957" spans="1:2" ht="12.75" customHeight="1" x14ac:dyDescent="0.25">
      <c r="A23957" s="318">
        <v>363846884939</v>
      </c>
      <c r="B23957" s="318" t="s">
        <v>23</v>
      </c>
    </row>
    <row r="23958" spans="1:2" ht="12.75" customHeight="1" x14ac:dyDescent="0.25">
      <c r="A23958" s="318">
        <v>363846884940</v>
      </c>
      <c r="B23958" s="318" t="s">
        <v>23</v>
      </c>
    </row>
    <row r="23959" spans="1:2" ht="12.75" customHeight="1" x14ac:dyDescent="0.25">
      <c r="A23959" s="318">
        <v>363846884941</v>
      </c>
      <c r="B23959" s="318" t="s">
        <v>23</v>
      </c>
    </row>
    <row r="23960" spans="1:2" ht="12.75" customHeight="1" x14ac:dyDescent="0.25">
      <c r="A23960" s="318">
        <v>363846884942</v>
      </c>
      <c r="B23960" s="318" t="s">
        <v>23</v>
      </c>
    </row>
    <row r="23961" spans="1:2" ht="12.75" customHeight="1" x14ac:dyDescent="0.25">
      <c r="A23961" s="318">
        <v>363846884943</v>
      </c>
      <c r="B23961" s="318" t="s">
        <v>237</v>
      </c>
    </row>
    <row r="23962" spans="1:2" ht="12.75" customHeight="1" x14ac:dyDescent="0.25">
      <c r="A23962" s="318">
        <v>363847565118</v>
      </c>
      <c r="B23962" s="318" t="s">
        <v>23</v>
      </c>
    </row>
    <row r="23963" spans="1:2" ht="12.75" customHeight="1" x14ac:dyDescent="0.25">
      <c r="A23963" s="318">
        <v>363847565119</v>
      </c>
      <c r="B23963" s="318" t="s">
        <v>23</v>
      </c>
    </row>
    <row r="23964" spans="1:2" ht="12.75" customHeight="1" x14ac:dyDescent="0.25">
      <c r="A23964" s="318">
        <v>363847565120</v>
      </c>
      <c r="B23964" s="318" t="s">
        <v>23</v>
      </c>
    </row>
    <row r="23965" spans="1:2" ht="12.75" customHeight="1" x14ac:dyDescent="0.25">
      <c r="A23965" s="318">
        <v>363847565121</v>
      </c>
      <c r="B23965" s="318" t="s">
        <v>23</v>
      </c>
    </row>
    <row r="23966" spans="1:2" ht="12.75" customHeight="1" x14ac:dyDescent="0.25">
      <c r="A23966" s="318">
        <v>363847565122</v>
      </c>
      <c r="B23966" s="318" t="s">
        <v>23</v>
      </c>
    </row>
    <row r="23967" spans="1:2" ht="12.75" customHeight="1" x14ac:dyDescent="0.25">
      <c r="A23967" s="318">
        <v>363847565123</v>
      </c>
      <c r="B23967" s="318" t="s">
        <v>23</v>
      </c>
    </row>
    <row r="23968" spans="1:2" ht="12.75" customHeight="1" x14ac:dyDescent="0.25">
      <c r="A23968" s="318">
        <v>363847565124</v>
      </c>
      <c r="B23968" s="318" t="s">
        <v>23</v>
      </c>
    </row>
    <row r="23969" spans="1:2" ht="12.75" customHeight="1" x14ac:dyDescent="0.25">
      <c r="A23969" s="318">
        <v>363847565125</v>
      </c>
      <c r="B23969" s="318" t="s">
        <v>237</v>
      </c>
    </row>
    <row r="23970" spans="1:2" ht="12.75" customHeight="1" x14ac:dyDescent="0.25">
      <c r="A23970" s="318">
        <v>363847565127</v>
      </c>
      <c r="B23970" s="318" t="s">
        <v>23</v>
      </c>
    </row>
    <row r="23971" spans="1:2" ht="12.75" customHeight="1" x14ac:dyDescent="0.25">
      <c r="A23971" s="318">
        <v>363847565128</v>
      </c>
      <c r="B23971" s="318" t="s">
        <v>23</v>
      </c>
    </row>
    <row r="23972" spans="1:2" ht="12.75" customHeight="1" x14ac:dyDescent="0.25">
      <c r="A23972" s="318">
        <v>363847565129</v>
      </c>
      <c r="B23972" s="318" t="s">
        <v>23</v>
      </c>
    </row>
    <row r="23973" spans="1:2" ht="12.75" customHeight="1" x14ac:dyDescent="0.25">
      <c r="A23973" s="318">
        <v>363847565130</v>
      </c>
      <c r="B23973" s="318" t="s">
        <v>23</v>
      </c>
    </row>
    <row r="23974" spans="1:2" ht="12.75" customHeight="1" x14ac:dyDescent="0.25">
      <c r="A23974" s="318">
        <v>363847565131</v>
      </c>
      <c r="B23974" s="318" t="s">
        <v>23</v>
      </c>
    </row>
    <row r="23975" spans="1:2" ht="12.75" customHeight="1" x14ac:dyDescent="0.25">
      <c r="A23975" s="318">
        <v>363847565132</v>
      </c>
      <c r="B23975" s="318" t="s">
        <v>23</v>
      </c>
    </row>
    <row r="23976" spans="1:2" ht="12.75" customHeight="1" x14ac:dyDescent="0.25">
      <c r="A23976" s="318">
        <v>363847565133</v>
      </c>
      <c r="B23976" s="318" t="s">
        <v>23</v>
      </c>
    </row>
    <row r="23977" spans="1:2" ht="12.75" customHeight="1" x14ac:dyDescent="0.25">
      <c r="A23977" s="318">
        <v>363847565134</v>
      </c>
      <c r="B23977" s="318" t="s">
        <v>237</v>
      </c>
    </row>
    <row r="23978" spans="1:2" ht="12.75" customHeight="1" x14ac:dyDescent="0.25">
      <c r="A23978" s="318">
        <v>363848046091</v>
      </c>
      <c r="B23978" s="318" t="s">
        <v>23</v>
      </c>
    </row>
    <row r="23979" spans="1:2" ht="12.75" customHeight="1" x14ac:dyDescent="0.25">
      <c r="A23979" s="318">
        <v>363848046092</v>
      </c>
      <c r="B23979" s="318" t="s">
        <v>23</v>
      </c>
    </row>
    <row r="23980" spans="1:2" ht="12.75" customHeight="1" x14ac:dyDescent="0.25">
      <c r="A23980" s="318">
        <v>363848046093</v>
      </c>
      <c r="B23980" s="318" t="s">
        <v>23</v>
      </c>
    </row>
    <row r="23981" spans="1:2" ht="12.75" customHeight="1" x14ac:dyDescent="0.25">
      <c r="A23981" s="318">
        <v>363848046094</v>
      </c>
      <c r="B23981" s="318" t="s">
        <v>23</v>
      </c>
    </row>
    <row r="23982" spans="1:2" ht="12.75" customHeight="1" x14ac:dyDescent="0.25">
      <c r="A23982" s="318">
        <v>363848046095</v>
      </c>
      <c r="B23982" s="318" t="s">
        <v>23</v>
      </c>
    </row>
    <row r="23983" spans="1:2" ht="12.75" customHeight="1" x14ac:dyDescent="0.25">
      <c r="A23983" s="318">
        <v>363848046096</v>
      </c>
      <c r="B23983" s="318" t="s">
        <v>23</v>
      </c>
    </row>
    <row r="23984" spans="1:2" ht="12.75" customHeight="1" x14ac:dyDescent="0.25">
      <c r="A23984" s="318">
        <v>363848046097</v>
      </c>
      <c r="B23984" s="318" t="s">
        <v>23</v>
      </c>
    </row>
    <row r="23985" spans="1:2" ht="12.75" customHeight="1" x14ac:dyDescent="0.25">
      <c r="A23985" s="318">
        <v>363848046098</v>
      </c>
      <c r="B23985" s="318" t="s">
        <v>237</v>
      </c>
    </row>
    <row r="23986" spans="1:2" ht="12.75" customHeight="1" x14ac:dyDescent="0.25">
      <c r="A23986" s="318">
        <v>363848046100</v>
      </c>
      <c r="B23986" s="318" t="s">
        <v>23</v>
      </c>
    </row>
    <row r="23987" spans="1:2" ht="12.75" customHeight="1" x14ac:dyDescent="0.25">
      <c r="A23987" s="318">
        <v>363848046101</v>
      </c>
      <c r="B23987" s="318" t="s">
        <v>23</v>
      </c>
    </row>
    <row r="23988" spans="1:2" ht="12.75" customHeight="1" x14ac:dyDescent="0.25">
      <c r="A23988" s="318">
        <v>363848046102</v>
      </c>
      <c r="B23988" s="318" t="s">
        <v>23</v>
      </c>
    </row>
    <row r="23989" spans="1:2" ht="12.75" customHeight="1" x14ac:dyDescent="0.25">
      <c r="A23989" s="318">
        <v>363848046103</v>
      </c>
      <c r="B23989" s="318" t="s">
        <v>23</v>
      </c>
    </row>
    <row r="23990" spans="1:2" ht="12.75" customHeight="1" x14ac:dyDescent="0.25">
      <c r="A23990" s="318">
        <v>363848046104</v>
      </c>
      <c r="B23990" s="318" t="s">
        <v>23</v>
      </c>
    </row>
    <row r="23991" spans="1:2" ht="12.75" customHeight="1" x14ac:dyDescent="0.25">
      <c r="A23991" s="318">
        <v>363848046105</v>
      </c>
      <c r="B23991" s="318" t="s">
        <v>23</v>
      </c>
    </row>
    <row r="23992" spans="1:2" ht="12.75" customHeight="1" x14ac:dyDescent="0.25">
      <c r="A23992" s="318">
        <v>363848046106</v>
      </c>
      <c r="B23992" s="318" t="s">
        <v>23</v>
      </c>
    </row>
    <row r="23993" spans="1:2" ht="12.75" customHeight="1" x14ac:dyDescent="0.25">
      <c r="A23993" s="318">
        <v>363848046107</v>
      </c>
      <c r="B23993" s="318" t="s">
        <v>237</v>
      </c>
    </row>
    <row r="23994" spans="1:2" ht="12.75" customHeight="1" x14ac:dyDescent="0.25">
      <c r="A23994" s="318">
        <v>363848527064</v>
      </c>
      <c r="B23994" s="318" t="s">
        <v>23</v>
      </c>
    </row>
    <row r="23995" spans="1:2" ht="12.75" customHeight="1" x14ac:dyDescent="0.25">
      <c r="A23995" s="318">
        <v>363848527065</v>
      </c>
      <c r="B23995" s="318" t="s">
        <v>23</v>
      </c>
    </row>
    <row r="23996" spans="1:2" ht="12.75" customHeight="1" x14ac:dyDescent="0.25">
      <c r="A23996" s="318">
        <v>363848527066</v>
      </c>
      <c r="B23996" s="318" t="s">
        <v>23</v>
      </c>
    </row>
    <row r="23997" spans="1:2" ht="12.75" customHeight="1" x14ac:dyDescent="0.25">
      <c r="A23997" s="318">
        <v>363848527067</v>
      </c>
      <c r="B23997" s="318" t="s">
        <v>23</v>
      </c>
    </row>
    <row r="23998" spans="1:2" ht="12.75" customHeight="1" x14ac:dyDescent="0.25">
      <c r="A23998" s="318">
        <v>363848527068</v>
      </c>
      <c r="B23998" s="318" t="s">
        <v>23</v>
      </c>
    </row>
    <row r="23999" spans="1:2" ht="12.75" customHeight="1" x14ac:dyDescent="0.25">
      <c r="A23999" s="318">
        <v>363848527069</v>
      </c>
      <c r="B23999" s="318" t="s">
        <v>23</v>
      </c>
    </row>
    <row r="24000" spans="1:2" ht="12.75" customHeight="1" x14ac:dyDescent="0.25">
      <c r="A24000" s="318">
        <v>363848527070</v>
      </c>
      <c r="B24000" s="318" t="s">
        <v>23</v>
      </c>
    </row>
    <row r="24001" spans="1:2" ht="12.75" customHeight="1" x14ac:dyDescent="0.25">
      <c r="A24001" s="318">
        <v>363848527071</v>
      </c>
      <c r="B24001" s="318" t="s">
        <v>237</v>
      </c>
    </row>
    <row r="24002" spans="1:2" ht="12.75" customHeight="1" x14ac:dyDescent="0.25">
      <c r="A24002" s="318">
        <v>363848527073</v>
      </c>
      <c r="B24002" s="318" t="s">
        <v>23</v>
      </c>
    </row>
    <row r="24003" spans="1:2" ht="12.75" customHeight="1" x14ac:dyDescent="0.25">
      <c r="A24003" s="318">
        <v>363848527074</v>
      </c>
      <c r="B24003" s="318" t="s">
        <v>23</v>
      </c>
    </row>
    <row r="24004" spans="1:2" ht="12.75" customHeight="1" x14ac:dyDescent="0.25">
      <c r="A24004" s="318">
        <v>363848527075</v>
      </c>
      <c r="B24004" s="318" t="s">
        <v>23</v>
      </c>
    </row>
    <row r="24005" spans="1:2" ht="12.75" customHeight="1" x14ac:dyDescent="0.25">
      <c r="A24005" s="318">
        <v>363848527076</v>
      </c>
      <c r="B24005" s="318" t="s">
        <v>23</v>
      </c>
    </row>
    <row r="24006" spans="1:2" ht="12.75" customHeight="1" x14ac:dyDescent="0.25">
      <c r="A24006" s="318">
        <v>363848527077</v>
      </c>
      <c r="B24006" s="318" t="s">
        <v>23</v>
      </c>
    </row>
    <row r="24007" spans="1:2" ht="12.75" customHeight="1" x14ac:dyDescent="0.25">
      <c r="A24007" s="318">
        <v>363848527078</v>
      </c>
      <c r="B24007" s="318" t="s">
        <v>23</v>
      </c>
    </row>
    <row r="24008" spans="1:2" ht="12.75" customHeight="1" x14ac:dyDescent="0.25">
      <c r="A24008" s="318">
        <v>363848527079</v>
      </c>
      <c r="B24008" s="318" t="s">
        <v>23</v>
      </c>
    </row>
    <row r="24009" spans="1:2" ht="12.75" customHeight="1" x14ac:dyDescent="0.25">
      <c r="A24009" s="318">
        <v>363848527080</v>
      </c>
      <c r="B24009" s="318" t="s">
        <v>237</v>
      </c>
    </row>
    <row r="24010" spans="1:2" ht="12.75" customHeight="1" x14ac:dyDescent="0.25">
      <c r="A24010" s="318">
        <v>363849887445</v>
      </c>
      <c r="B24010" s="318" t="s">
        <v>23</v>
      </c>
    </row>
    <row r="24011" spans="1:2" ht="12.75" customHeight="1" x14ac:dyDescent="0.25">
      <c r="A24011" s="318">
        <v>363849887446</v>
      </c>
      <c r="B24011" s="318" t="s">
        <v>23</v>
      </c>
    </row>
    <row r="24012" spans="1:2" ht="12.75" customHeight="1" x14ac:dyDescent="0.25">
      <c r="A24012" s="318">
        <v>363849887447</v>
      </c>
      <c r="B24012" s="318" t="s">
        <v>23</v>
      </c>
    </row>
    <row r="24013" spans="1:2" ht="12.75" customHeight="1" x14ac:dyDescent="0.25">
      <c r="A24013" s="318">
        <v>363849887448</v>
      </c>
      <c r="B24013" s="318" t="s">
        <v>23</v>
      </c>
    </row>
    <row r="24014" spans="1:2" ht="12.75" customHeight="1" x14ac:dyDescent="0.25">
      <c r="A24014" s="318">
        <v>363849887449</v>
      </c>
      <c r="B24014" s="318" t="s">
        <v>23</v>
      </c>
    </row>
    <row r="24015" spans="1:2" ht="12.75" customHeight="1" x14ac:dyDescent="0.25">
      <c r="A24015" s="318">
        <v>363849887450</v>
      </c>
      <c r="B24015" s="318" t="s">
        <v>23</v>
      </c>
    </row>
    <row r="24016" spans="1:2" ht="12.75" customHeight="1" x14ac:dyDescent="0.25">
      <c r="A24016" s="318">
        <v>363849887451</v>
      </c>
      <c r="B24016" s="318" t="s">
        <v>23</v>
      </c>
    </row>
    <row r="24017" spans="1:2" ht="12.75" customHeight="1" x14ac:dyDescent="0.25">
      <c r="A24017" s="318">
        <v>363849887452</v>
      </c>
      <c r="B24017" s="318" t="s">
        <v>237</v>
      </c>
    </row>
    <row r="24018" spans="1:2" ht="12.75" customHeight="1" x14ac:dyDescent="0.25">
      <c r="A24018" s="318">
        <v>363849887454</v>
      </c>
      <c r="B24018" s="318" t="s">
        <v>237</v>
      </c>
    </row>
    <row r="24019" spans="1:2" ht="12.75" customHeight="1" x14ac:dyDescent="0.25">
      <c r="A24019" s="318">
        <v>363849887455</v>
      </c>
      <c r="B24019" s="318" t="s">
        <v>237</v>
      </c>
    </row>
    <row r="24020" spans="1:2" ht="12.75" customHeight="1" x14ac:dyDescent="0.25">
      <c r="A24020" s="318">
        <v>363849887456</v>
      </c>
      <c r="B24020" s="318" t="s">
        <v>237</v>
      </c>
    </row>
    <row r="24021" spans="1:2" ht="12.75" customHeight="1" x14ac:dyDescent="0.25">
      <c r="A24021" s="318">
        <v>363849887457</v>
      </c>
      <c r="B24021" s="318" t="s">
        <v>237</v>
      </c>
    </row>
    <row r="24022" spans="1:2" ht="12.75" customHeight="1" x14ac:dyDescent="0.25">
      <c r="A24022" s="318">
        <v>363849887458</v>
      </c>
      <c r="B24022" s="318" t="s">
        <v>237</v>
      </c>
    </row>
    <row r="24023" spans="1:2" ht="12.75" customHeight="1" x14ac:dyDescent="0.25">
      <c r="A24023" s="318">
        <v>363849887459</v>
      </c>
      <c r="B24023" s="318" t="s">
        <v>237</v>
      </c>
    </row>
    <row r="24024" spans="1:2" ht="12.75" customHeight="1" x14ac:dyDescent="0.25">
      <c r="A24024" s="318">
        <v>363849887460</v>
      </c>
      <c r="B24024" s="318" t="s">
        <v>237</v>
      </c>
    </row>
    <row r="24025" spans="1:2" ht="12.75" customHeight="1" x14ac:dyDescent="0.25">
      <c r="A24025" s="318">
        <v>363849887461</v>
      </c>
      <c r="B24025" s="318" t="s">
        <v>237</v>
      </c>
    </row>
    <row r="24026" spans="1:2" ht="12.75" customHeight="1" x14ac:dyDescent="0.25">
      <c r="A24026" s="318">
        <v>363850368418</v>
      </c>
      <c r="B24026" s="318" t="s">
        <v>23</v>
      </c>
    </row>
    <row r="24027" spans="1:2" ht="12.75" customHeight="1" x14ac:dyDescent="0.25">
      <c r="A24027" s="318">
        <v>363850368419</v>
      </c>
      <c r="B24027" s="318" t="s">
        <v>23</v>
      </c>
    </row>
    <row r="24028" spans="1:2" ht="12.75" customHeight="1" x14ac:dyDescent="0.25">
      <c r="A24028" s="318">
        <v>363850368420</v>
      </c>
      <c r="B24028" s="318" t="s">
        <v>23</v>
      </c>
    </row>
    <row r="24029" spans="1:2" ht="12.75" customHeight="1" x14ac:dyDescent="0.25">
      <c r="A24029" s="318">
        <v>363850368421</v>
      </c>
      <c r="B24029" s="318" t="s">
        <v>23</v>
      </c>
    </row>
    <row r="24030" spans="1:2" ht="12.75" customHeight="1" x14ac:dyDescent="0.25">
      <c r="A24030" s="318">
        <v>363850368422</v>
      </c>
      <c r="B24030" s="318" t="s">
        <v>23</v>
      </c>
    </row>
    <row r="24031" spans="1:2" ht="12.75" customHeight="1" x14ac:dyDescent="0.25">
      <c r="A24031" s="318">
        <v>363850368423</v>
      </c>
      <c r="B24031" s="318" t="s">
        <v>23</v>
      </c>
    </row>
    <row r="24032" spans="1:2" ht="12.75" customHeight="1" x14ac:dyDescent="0.25">
      <c r="A24032" s="318">
        <v>363850368424</v>
      </c>
      <c r="B24032" s="318" t="s">
        <v>23</v>
      </c>
    </row>
    <row r="24033" spans="1:2" ht="12.75" customHeight="1" x14ac:dyDescent="0.25">
      <c r="A24033" s="318">
        <v>363850368425</v>
      </c>
      <c r="B24033" s="318" t="s">
        <v>237</v>
      </c>
    </row>
    <row r="24034" spans="1:2" ht="12.75" customHeight="1" x14ac:dyDescent="0.25">
      <c r="A24034" s="318">
        <v>363850368427</v>
      </c>
      <c r="B24034" s="318" t="s">
        <v>237</v>
      </c>
    </row>
    <row r="24035" spans="1:2" ht="12.75" customHeight="1" x14ac:dyDescent="0.25">
      <c r="A24035" s="318">
        <v>363850368428</v>
      </c>
      <c r="B24035" s="318" t="s">
        <v>237</v>
      </c>
    </row>
    <row r="24036" spans="1:2" ht="12.75" customHeight="1" x14ac:dyDescent="0.25">
      <c r="A24036" s="318">
        <v>363850368429</v>
      </c>
      <c r="B24036" s="318" t="s">
        <v>237</v>
      </c>
    </row>
    <row r="24037" spans="1:2" ht="12.75" customHeight="1" x14ac:dyDescent="0.25">
      <c r="A24037" s="318">
        <v>363850368430</v>
      </c>
      <c r="B24037" s="318" t="s">
        <v>237</v>
      </c>
    </row>
    <row r="24038" spans="1:2" ht="12.75" customHeight="1" x14ac:dyDescent="0.25">
      <c r="A24038" s="318">
        <v>363850368431</v>
      </c>
      <c r="B24038" s="318" t="s">
        <v>237</v>
      </c>
    </row>
    <row r="24039" spans="1:2" ht="12.75" customHeight="1" x14ac:dyDescent="0.25">
      <c r="A24039" s="318">
        <v>363850368432</v>
      </c>
      <c r="B24039" s="318" t="s">
        <v>237</v>
      </c>
    </row>
    <row r="24040" spans="1:2" ht="12.75" customHeight="1" x14ac:dyDescent="0.25">
      <c r="A24040" s="318">
        <v>363850368433</v>
      </c>
      <c r="B24040" s="318" t="s">
        <v>237</v>
      </c>
    </row>
    <row r="24041" spans="1:2" ht="12.75" customHeight="1" x14ac:dyDescent="0.25">
      <c r="A24041" s="318">
        <v>363850368434</v>
      </c>
      <c r="B24041" s="318" t="s">
        <v>237</v>
      </c>
    </row>
    <row r="24042" spans="1:2" ht="12.75" customHeight="1" x14ac:dyDescent="0.25">
      <c r="A24042" s="318">
        <v>363850849391</v>
      </c>
      <c r="B24042" s="318" t="s">
        <v>23</v>
      </c>
    </row>
    <row r="24043" spans="1:2" ht="12.75" customHeight="1" x14ac:dyDescent="0.25">
      <c r="A24043" s="318">
        <v>363850849392</v>
      </c>
      <c r="B24043" s="318" t="s">
        <v>23</v>
      </c>
    </row>
    <row r="24044" spans="1:2" ht="12.75" customHeight="1" x14ac:dyDescent="0.25">
      <c r="A24044" s="318">
        <v>363850849393</v>
      </c>
      <c r="B24044" s="318" t="s">
        <v>23</v>
      </c>
    </row>
    <row r="24045" spans="1:2" ht="12.75" customHeight="1" x14ac:dyDescent="0.25">
      <c r="A24045" s="318">
        <v>363850849394</v>
      </c>
      <c r="B24045" s="318" t="s">
        <v>23</v>
      </c>
    </row>
    <row r="24046" spans="1:2" ht="12.75" customHeight="1" x14ac:dyDescent="0.25">
      <c r="A24046" s="318">
        <v>363850849395</v>
      </c>
      <c r="B24046" s="318" t="s">
        <v>23</v>
      </c>
    </row>
    <row r="24047" spans="1:2" ht="12.75" customHeight="1" x14ac:dyDescent="0.25">
      <c r="A24047" s="318">
        <v>363850849396</v>
      </c>
      <c r="B24047" s="318" t="s">
        <v>23</v>
      </c>
    </row>
    <row r="24048" spans="1:2" ht="12.75" customHeight="1" x14ac:dyDescent="0.25">
      <c r="A24048" s="318">
        <v>363850849397</v>
      </c>
      <c r="B24048" s="318" t="s">
        <v>23</v>
      </c>
    </row>
    <row r="24049" spans="1:2" ht="12.75" customHeight="1" x14ac:dyDescent="0.25">
      <c r="A24049" s="318">
        <v>363850849398</v>
      </c>
      <c r="B24049" s="318" t="s">
        <v>237</v>
      </c>
    </row>
    <row r="24050" spans="1:2" ht="12.75" customHeight="1" x14ac:dyDescent="0.25">
      <c r="A24050" s="318">
        <v>363850849400</v>
      </c>
      <c r="B24050" s="318" t="s">
        <v>23</v>
      </c>
    </row>
    <row r="24051" spans="1:2" ht="12.75" customHeight="1" x14ac:dyDescent="0.25">
      <c r="A24051" s="318">
        <v>363850849401</v>
      </c>
      <c r="B24051" s="318" t="s">
        <v>23</v>
      </c>
    </row>
    <row r="24052" spans="1:2" ht="12.75" customHeight="1" x14ac:dyDescent="0.25">
      <c r="A24052" s="318">
        <v>363850849402</v>
      </c>
      <c r="B24052" s="318" t="s">
        <v>23</v>
      </c>
    </row>
    <row r="24053" spans="1:2" ht="12.75" customHeight="1" x14ac:dyDescent="0.25">
      <c r="A24053" s="318">
        <v>363850849403</v>
      </c>
      <c r="B24053" s="318" t="s">
        <v>23</v>
      </c>
    </row>
    <row r="24054" spans="1:2" ht="12.75" customHeight="1" x14ac:dyDescent="0.25">
      <c r="A24054" s="318">
        <v>363850849404</v>
      </c>
      <c r="B24054" s="318" t="s">
        <v>23</v>
      </c>
    </row>
    <row r="24055" spans="1:2" ht="12.75" customHeight="1" x14ac:dyDescent="0.25">
      <c r="A24055" s="318">
        <v>363850849405</v>
      </c>
      <c r="B24055" s="318" t="s">
        <v>23</v>
      </c>
    </row>
    <row r="24056" spans="1:2" ht="12.75" customHeight="1" x14ac:dyDescent="0.25">
      <c r="A24056" s="318">
        <v>363850849406</v>
      </c>
      <c r="B24056" s="318" t="s">
        <v>23</v>
      </c>
    </row>
    <row r="24057" spans="1:2" ht="12.75" customHeight="1" x14ac:dyDescent="0.25">
      <c r="A24057" s="318">
        <v>363850849407</v>
      </c>
      <c r="B24057" s="318" t="s">
        <v>237</v>
      </c>
    </row>
    <row r="24058" spans="1:2" ht="12.75" customHeight="1" x14ac:dyDescent="0.25">
      <c r="A24058" s="318">
        <v>363851529582</v>
      </c>
      <c r="B24058" s="318" t="s">
        <v>23</v>
      </c>
    </row>
    <row r="24059" spans="1:2" ht="12.75" customHeight="1" x14ac:dyDescent="0.25">
      <c r="A24059" s="318">
        <v>363851529583</v>
      </c>
      <c r="B24059" s="318" t="s">
        <v>23</v>
      </c>
    </row>
    <row r="24060" spans="1:2" ht="12.75" customHeight="1" x14ac:dyDescent="0.25">
      <c r="A24060" s="318">
        <v>363851529584</v>
      </c>
      <c r="B24060" s="318" t="s">
        <v>23</v>
      </c>
    </row>
    <row r="24061" spans="1:2" ht="12.75" customHeight="1" x14ac:dyDescent="0.25">
      <c r="A24061" s="318">
        <v>363851529585</v>
      </c>
      <c r="B24061" s="318" t="s">
        <v>23</v>
      </c>
    </row>
    <row r="24062" spans="1:2" ht="12.75" customHeight="1" x14ac:dyDescent="0.25">
      <c r="A24062" s="318">
        <v>363851529586</v>
      </c>
      <c r="B24062" s="318" t="s">
        <v>23</v>
      </c>
    </row>
    <row r="24063" spans="1:2" ht="12.75" customHeight="1" x14ac:dyDescent="0.25">
      <c r="A24063" s="318">
        <v>363851529587</v>
      </c>
      <c r="B24063" s="318" t="s">
        <v>23</v>
      </c>
    </row>
    <row r="24064" spans="1:2" ht="12.75" customHeight="1" x14ac:dyDescent="0.25">
      <c r="A24064" s="318">
        <v>363851529588</v>
      </c>
      <c r="B24064" s="318" t="s">
        <v>23</v>
      </c>
    </row>
    <row r="24065" spans="1:2" ht="12.75" customHeight="1" x14ac:dyDescent="0.25">
      <c r="A24065" s="318">
        <v>363851529589</v>
      </c>
      <c r="B24065" s="318" t="s">
        <v>237</v>
      </c>
    </row>
    <row r="24066" spans="1:2" ht="12.75" customHeight="1" x14ac:dyDescent="0.25">
      <c r="A24066" s="318">
        <v>363851529591</v>
      </c>
      <c r="B24066" s="318" t="s">
        <v>237</v>
      </c>
    </row>
    <row r="24067" spans="1:2" ht="12.75" customHeight="1" x14ac:dyDescent="0.25">
      <c r="A24067" s="318">
        <v>363851529592</v>
      </c>
      <c r="B24067" s="318" t="s">
        <v>237</v>
      </c>
    </row>
    <row r="24068" spans="1:2" ht="12.75" customHeight="1" x14ac:dyDescent="0.25">
      <c r="A24068" s="318">
        <v>363851529593</v>
      </c>
      <c r="B24068" s="318" t="s">
        <v>237</v>
      </c>
    </row>
    <row r="24069" spans="1:2" ht="12.75" customHeight="1" x14ac:dyDescent="0.25">
      <c r="A24069" s="318">
        <v>363851529594</v>
      </c>
      <c r="B24069" s="318" t="s">
        <v>237</v>
      </c>
    </row>
    <row r="24070" spans="1:2" ht="12.75" customHeight="1" x14ac:dyDescent="0.25">
      <c r="A24070" s="318">
        <v>363851529595</v>
      </c>
      <c r="B24070" s="318" t="s">
        <v>237</v>
      </c>
    </row>
    <row r="24071" spans="1:2" ht="12.75" customHeight="1" x14ac:dyDescent="0.25">
      <c r="A24071" s="318">
        <v>363851529596</v>
      </c>
      <c r="B24071" s="318" t="s">
        <v>237</v>
      </c>
    </row>
    <row r="24072" spans="1:2" ht="12.75" customHeight="1" x14ac:dyDescent="0.25">
      <c r="A24072" s="318">
        <v>363851529597</v>
      </c>
      <c r="B24072" s="318" t="s">
        <v>237</v>
      </c>
    </row>
    <row r="24073" spans="1:2" ht="12.75" customHeight="1" x14ac:dyDescent="0.25">
      <c r="A24073" s="318">
        <v>363851529598</v>
      </c>
      <c r="B24073" s="318" t="s">
        <v>237</v>
      </c>
    </row>
    <row r="24074" spans="1:2" ht="12.75" customHeight="1" x14ac:dyDescent="0.25">
      <c r="A24074" s="318">
        <v>363852010555</v>
      </c>
      <c r="B24074" s="318" t="s">
        <v>23</v>
      </c>
    </row>
    <row r="24075" spans="1:2" ht="12.75" customHeight="1" x14ac:dyDescent="0.25">
      <c r="A24075" s="318">
        <v>363852010556</v>
      </c>
      <c r="B24075" s="318" t="s">
        <v>23</v>
      </c>
    </row>
    <row r="24076" spans="1:2" ht="12.75" customHeight="1" x14ac:dyDescent="0.25">
      <c r="A24076" s="318">
        <v>363852010557</v>
      </c>
      <c r="B24076" s="318" t="s">
        <v>23</v>
      </c>
    </row>
    <row r="24077" spans="1:2" ht="12.75" customHeight="1" x14ac:dyDescent="0.25">
      <c r="A24077" s="318">
        <v>363852010558</v>
      </c>
      <c r="B24077" s="318" t="s">
        <v>23</v>
      </c>
    </row>
    <row r="24078" spans="1:2" ht="12.75" customHeight="1" x14ac:dyDescent="0.25">
      <c r="A24078" s="318">
        <v>363852010559</v>
      </c>
      <c r="B24078" s="318" t="s">
        <v>23</v>
      </c>
    </row>
    <row r="24079" spans="1:2" ht="12.75" customHeight="1" x14ac:dyDescent="0.25">
      <c r="A24079" s="318">
        <v>363852010560</v>
      </c>
      <c r="B24079" s="318" t="s">
        <v>23</v>
      </c>
    </row>
    <row r="24080" spans="1:2" ht="12.75" customHeight="1" x14ac:dyDescent="0.25">
      <c r="A24080" s="318">
        <v>363852010561</v>
      </c>
      <c r="B24080" s="318" t="s">
        <v>23</v>
      </c>
    </row>
    <row r="24081" spans="1:2" ht="12.75" customHeight="1" x14ac:dyDescent="0.25">
      <c r="A24081" s="318">
        <v>363852010562</v>
      </c>
      <c r="B24081" s="318" t="s">
        <v>237</v>
      </c>
    </row>
    <row r="24082" spans="1:2" ht="12.75" customHeight="1" x14ac:dyDescent="0.25">
      <c r="A24082" s="318">
        <v>363852010564</v>
      </c>
      <c r="B24082" s="318" t="s">
        <v>237</v>
      </c>
    </row>
    <row r="24083" spans="1:2" ht="12.75" customHeight="1" x14ac:dyDescent="0.25">
      <c r="A24083" s="318">
        <v>363852010565</v>
      </c>
      <c r="B24083" s="318" t="s">
        <v>237</v>
      </c>
    </row>
    <row r="24084" spans="1:2" ht="12.75" customHeight="1" x14ac:dyDescent="0.25">
      <c r="A24084" s="318">
        <v>363852010566</v>
      </c>
      <c r="B24084" s="318" t="s">
        <v>237</v>
      </c>
    </row>
    <row r="24085" spans="1:2" ht="12.75" customHeight="1" x14ac:dyDescent="0.25">
      <c r="A24085" s="318">
        <v>363852010567</v>
      </c>
      <c r="B24085" s="318" t="s">
        <v>237</v>
      </c>
    </row>
    <row r="24086" spans="1:2" ht="12.75" customHeight="1" x14ac:dyDescent="0.25">
      <c r="A24086" s="318">
        <v>363852010568</v>
      </c>
      <c r="B24086" s="318" t="s">
        <v>237</v>
      </c>
    </row>
    <row r="24087" spans="1:2" ht="12.75" customHeight="1" x14ac:dyDescent="0.25">
      <c r="A24087" s="318">
        <v>363852010569</v>
      </c>
      <c r="B24087" s="318" t="s">
        <v>237</v>
      </c>
    </row>
    <row r="24088" spans="1:2" ht="12.75" customHeight="1" x14ac:dyDescent="0.25">
      <c r="A24088" s="318">
        <v>363852010570</v>
      </c>
      <c r="B24088" s="318" t="s">
        <v>237</v>
      </c>
    </row>
    <row r="24089" spans="1:2" ht="12.75" customHeight="1" x14ac:dyDescent="0.25">
      <c r="A24089" s="318">
        <v>363852010571</v>
      </c>
      <c r="B24089" s="318" t="s">
        <v>237</v>
      </c>
    </row>
    <row r="24090" spans="1:2" ht="12.75" customHeight="1" x14ac:dyDescent="0.25">
      <c r="A24090" s="318">
        <v>363852491528</v>
      </c>
      <c r="B24090" s="318" t="s">
        <v>23</v>
      </c>
    </row>
    <row r="24091" spans="1:2" ht="12.75" customHeight="1" x14ac:dyDescent="0.25">
      <c r="A24091" s="318">
        <v>363852491529</v>
      </c>
      <c r="B24091" s="318" t="s">
        <v>23</v>
      </c>
    </row>
    <row r="24092" spans="1:2" ht="12.75" customHeight="1" x14ac:dyDescent="0.25">
      <c r="A24092" s="318">
        <v>363852491530</v>
      </c>
      <c r="B24092" s="318" t="s">
        <v>23</v>
      </c>
    </row>
    <row r="24093" spans="1:2" ht="12.75" customHeight="1" x14ac:dyDescent="0.25">
      <c r="A24093" s="318">
        <v>363852491531</v>
      </c>
      <c r="B24093" s="318" t="s">
        <v>23</v>
      </c>
    </row>
    <row r="24094" spans="1:2" ht="12.75" customHeight="1" x14ac:dyDescent="0.25">
      <c r="A24094" s="318">
        <v>363852491532</v>
      </c>
      <c r="B24094" s="318" t="s">
        <v>23</v>
      </c>
    </row>
    <row r="24095" spans="1:2" ht="12.75" customHeight="1" x14ac:dyDescent="0.25">
      <c r="A24095" s="318">
        <v>363852491533</v>
      </c>
      <c r="B24095" s="318" t="s">
        <v>23</v>
      </c>
    </row>
    <row r="24096" spans="1:2" ht="12.75" customHeight="1" x14ac:dyDescent="0.25">
      <c r="A24096" s="318">
        <v>363852491534</v>
      </c>
      <c r="B24096" s="318" t="s">
        <v>23</v>
      </c>
    </row>
    <row r="24097" spans="1:2" ht="12.75" customHeight="1" x14ac:dyDescent="0.25">
      <c r="A24097" s="318">
        <v>363852491535</v>
      </c>
      <c r="B24097" s="318" t="s">
        <v>237</v>
      </c>
    </row>
    <row r="24098" spans="1:2" ht="12.75" customHeight="1" x14ac:dyDescent="0.25">
      <c r="A24098" s="318">
        <v>363852491537</v>
      </c>
      <c r="B24098" s="318" t="s">
        <v>23</v>
      </c>
    </row>
    <row r="24099" spans="1:2" ht="12.75" customHeight="1" x14ac:dyDescent="0.25">
      <c r="A24099" s="318">
        <v>363852491538</v>
      </c>
      <c r="B24099" s="318" t="s">
        <v>23</v>
      </c>
    </row>
    <row r="24100" spans="1:2" ht="12.75" customHeight="1" x14ac:dyDescent="0.25">
      <c r="A24100" s="318">
        <v>363852491539</v>
      </c>
      <c r="B24100" s="318" t="s">
        <v>23</v>
      </c>
    </row>
    <row r="24101" spans="1:2" ht="12.75" customHeight="1" x14ac:dyDescent="0.25">
      <c r="A24101" s="318">
        <v>363852491540</v>
      </c>
      <c r="B24101" s="318" t="s">
        <v>23</v>
      </c>
    </row>
    <row r="24102" spans="1:2" ht="12.75" customHeight="1" x14ac:dyDescent="0.25">
      <c r="A24102" s="318">
        <v>363852491541</v>
      </c>
      <c r="B24102" s="318" t="s">
        <v>23</v>
      </c>
    </row>
    <row r="24103" spans="1:2" ht="12.75" customHeight="1" x14ac:dyDescent="0.25">
      <c r="A24103" s="318">
        <v>363852491542</v>
      </c>
      <c r="B24103" s="318" t="s">
        <v>23</v>
      </c>
    </row>
    <row r="24104" spans="1:2" ht="12.75" customHeight="1" x14ac:dyDescent="0.25">
      <c r="A24104" s="318">
        <v>363852491543</v>
      </c>
      <c r="B24104" s="318" t="s">
        <v>23</v>
      </c>
    </row>
    <row r="24105" spans="1:2" ht="12.75" customHeight="1" x14ac:dyDescent="0.25">
      <c r="A24105" s="318">
        <v>363852491544</v>
      </c>
      <c r="B24105" s="318" t="s">
        <v>237</v>
      </c>
    </row>
    <row r="24106" spans="1:2" ht="12.75" customHeight="1" x14ac:dyDescent="0.25">
      <c r="A24106" s="318">
        <v>363853171719</v>
      </c>
      <c r="B24106" s="318" t="s">
        <v>23</v>
      </c>
    </row>
    <row r="24107" spans="1:2" ht="12.75" customHeight="1" x14ac:dyDescent="0.25">
      <c r="A24107" s="318">
        <v>363853171720</v>
      </c>
      <c r="B24107" s="318" t="s">
        <v>23</v>
      </c>
    </row>
    <row r="24108" spans="1:2" ht="12.75" customHeight="1" x14ac:dyDescent="0.25">
      <c r="A24108" s="318">
        <v>363853171721</v>
      </c>
      <c r="B24108" s="318" t="s">
        <v>23</v>
      </c>
    </row>
    <row r="24109" spans="1:2" ht="12.75" customHeight="1" x14ac:dyDescent="0.25">
      <c r="A24109" s="318">
        <v>363853171722</v>
      </c>
      <c r="B24109" s="318" t="s">
        <v>23</v>
      </c>
    </row>
    <row r="24110" spans="1:2" ht="12.75" customHeight="1" x14ac:dyDescent="0.25">
      <c r="A24110" s="318">
        <v>363853171723</v>
      </c>
      <c r="B24110" s="318" t="s">
        <v>23</v>
      </c>
    </row>
    <row r="24111" spans="1:2" ht="12.75" customHeight="1" x14ac:dyDescent="0.25">
      <c r="A24111" s="318">
        <v>363853171724</v>
      </c>
      <c r="B24111" s="318" t="s">
        <v>23</v>
      </c>
    </row>
    <row r="24112" spans="1:2" ht="12.75" customHeight="1" x14ac:dyDescent="0.25">
      <c r="A24112" s="318">
        <v>363853171725</v>
      </c>
      <c r="B24112" s="318" t="s">
        <v>23</v>
      </c>
    </row>
    <row r="24113" spans="1:2" ht="12.75" customHeight="1" x14ac:dyDescent="0.25">
      <c r="A24113" s="318">
        <v>363853171726</v>
      </c>
      <c r="B24113" s="318" t="s">
        <v>237</v>
      </c>
    </row>
    <row r="24114" spans="1:2" ht="12.75" customHeight="1" x14ac:dyDescent="0.25">
      <c r="A24114" s="318">
        <v>363853171728</v>
      </c>
      <c r="B24114" s="318" t="s">
        <v>23</v>
      </c>
    </row>
    <row r="24115" spans="1:2" ht="12.75" customHeight="1" x14ac:dyDescent="0.25">
      <c r="A24115" s="318">
        <v>363853171729</v>
      </c>
      <c r="B24115" s="318" t="s">
        <v>23</v>
      </c>
    </row>
    <row r="24116" spans="1:2" ht="12.75" customHeight="1" x14ac:dyDescent="0.25">
      <c r="A24116" s="318">
        <v>363853171730</v>
      </c>
      <c r="B24116" s="318" t="s">
        <v>23</v>
      </c>
    </row>
    <row r="24117" spans="1:2" ht="12.75" customHeight="1" x14ac:dyDescent="0.25">
      <c r="A24117" s="318">
        <v>363853171731</v>
      </c>
      <c r="B24117" s="318" t="s">
        <v>23</v>
      </c>
    </row>
    <row r="24118" spans="1:2" ht="12.75" customHeight="1" x14ac:dyDescent="0.25">
      <c r="A24118" s="318">
        <v>363853171732</v>
      </c>
      <c r="B24118" s="318" t="s">
        <v>23</v>
      </c>
    </row>
    <row r="24119" spans="1:2" ht="12.75" customHeight="1" x14ac:dyDescent="0.25">
      <c r="A24119" s="318">
        <v>363853171733</v>
      </c>
      <c r="B24119" s="318" t="s">
        <v>23</v>
      </c>
    </row>
    <row r="24120" spans="1:2" ht="12.75" customHeight="1" x14ac:dyDescent="0.25">
      <c r="A24120" s="318">
        <v>363853171734</v>
      </c>
      <c r="B24120" s="318" t="s">
        <v>23</v>
      </c>
    </row>
    <row r="24121" spans="1:2" ht="12.75" customHeight="1" x14ac:dyDescent="0.25">
      <c r="A24121" s="318">
        <v>363853171735</v>
      </c>
      <c r="B24121" s="318" t="s">
        <v>237</v>
      </c>
    </row>
    <row r="24122" spans="1:2" ht="12.75" customHeight="1" x14ac:dyDescent="0.25">
      <c r="A24122" s="318">
        <v>363853652692</v>
      </c>
      <c r="B24122" s="318" t="s">
        <v>23</v>
      </c>
    </row>
    <row r="24123" spans="1:2" ht="12.75" customHeight="1" x14ac:dyDescent="0.25">
      <c r="A24123" s="318">
        <v>363853652693</v>
      </c>
      <c r="B24123" s="318" t="s">
        <v>23</v>
      </c>
    </row>
    <row r="24124" spans="1:2" ht="12.75" customHeight="1" x14ac:dyDescent="0.25">
      <c r="A24124" s="318">
        <v>363853652694</v>
      </c>
      <c r="B24124" s="318" t="s">
        <v>23</v>
      </c>
    </row>
    <row r="24125" spans="1:2" ht="12.75" customHeight="1" x14ac:dyDescent="0.25">
      <c r="A24125" s="318">
        <v>363853652695</v>
      </c>
      <c r="B24125" s="318" t="s">
        <v>23</v>
      </c>
    </row>
    <row r="24126" spans="1:2" ht="12.75" customHeight="1" x14ac:dyDescent="0.25">
      <c r="A24126" s="318">
        <v>363853652696</v>
      </c>
      <c r="B24126" s="318" t="s">
        <v>23</v>
      </c>
    </row>
    <row r="24127" spans="1:2" ht="12.75" customHeight="1" x14ac:dyDescent="0.25">
      <c r="A24127" s="318">
        <v>363853652697</v>
      </c>
      <c r="B24127" s="318" t="s">
        <v>23</v>
      </c>
    </row>
    <row r="24128" spans="1:2" ht="12.75" customHeight="1" x14ac:dyDescent="0.25">
      <c r="A24128" s="318">
        <v>363853652698</v>
      </c>
      <c r="B24128" s="318" t="s">
        <v>23</v>
      </c>
    </row>
    <row r="24129" spans="1:2" ht="12.75" customHeight="1" x14ac:dyDescent="0.25">
      <c r="A24129" s="318">
        <v>363853652699</v>
      </c>
      <c r="B24129" s="318" t="s">
        <v>237</v>
      </c>
    </row>
    <row r="24130" spans="1:2" ht="12.75" customHeight="1" x14ac:dyDescent="0.25">
      <c r="A24130" s="318">
        <v>363853652701</v>
      </c>
      <c r="B24130" s="318" t="s">
        <v>23</v>
      </c>
    </row>
    <row r="24131" spans="1:2" ht="12.75" customHeight="1" x14ac:dyDescent="0.25">
      <c r="A24131" s="318">
        <v>363853652702</v>
      </c>
      <c r="B24131" s="318" t="s">
        <v>23</v>
      </c>
    </row>
    <row r="24132" spans="1:2" ht="12.75" customHeight="1" x14ac:dyDescent="0.25">
      <c r="A24132" s="318">
        <v>363853652703</v>
      </c>
      <c r="B24132" s="318" t="s">
        <v>23</v>
      </c>
    </row>
    <row r="24133" spans="1:2" ht="12.75" customHeight="1" x14ac:dyDescent="0.25">
      <c r="A24133" s="318">
        <v>363853652704</v>
      </c>
      <c r="B24133" s="318" t="s">
        <v>23</v>
      </c>
    </row>
    <row r="24134" spans="1:2" ht="12.75" customHeight="1" x14ac:dyDescent="0.25">
      <c r="A24134" s="318">
        <v>363853652705</v>
      </c>
      <c r="B24134" s="318" t="s">
        <v>23</v>
      </c>
    </row>
    <row r="24135" spans="1:2" ht="12.75" customHeight="1" x14ac:dyDescent="0.25">
      <c r="A24135" s="318">
        <v>363853652706</v>
      </c>
      <c r="B24135" s="318" t="s">
        <v>23</v>
      </c>
    </row>
    <row r="24136" spans="1:2" ht="12.75" customHeight="1" x14ac:dyDescent="0.25">
      <c r="A24136" s="318">
        <v>363853652707</v>
      </c>
      <c r="B24136" s="318" t="s">
        <v>23</v>
      </c>
    </row>
    <row r="24137" spans="1:2" ht="12.75" customHeight="1" x14ac:dyDescent="0.25">
      <c r="A24137" s="318">
        <v>363853652708</v>
      </c>
      <c r="B24137" s="318" t="s">
        <v>237</v>
      </c>
    </row>
    <row r="24138" spans="1:2" ht="12.75" customHeight="1" x14ac:dyDescent="0.25">
      <c r="A24138" s="318">
        <v>363854133665</v>
      </c>
      <c r="B24138" s="318" t="s">
        <v>23</v>
      </c>
    </row>
    <row r="24139" spans="1:2" ht="12.75" customHeight="1" x14ac:dyDescent="0.25">
      <c r="A24139" s="318">
        <v>363854133666</v>
      </c>
      <c r="B24139" s="318" t="s">
        <v>23</v>
      </c>
    </row>
    <row r="24140" spans="1:2" ht="12.75" customHeight="1" x14ac:dyDescent="0.25">
      <c r="A24140" s="318">
        <v>363854133667</v>
      </c>
      <c r="B24140" s="318" t="s">
        <v>23</v>
      </c>
    </row>
    <row r="24141" spans="1:2" ht="12.75" customHeight="1" x14ac:dyDescent="0.25">
      <c r="A24141" s="318">
        <v>363854133668</v>
      </c>
      <c r="B24141" s="318" t="s">
        <v>23</v>
      </c>
    </row>
    <row r="24142" spans="1:2" ht="12.75" customHeight="1" x14ac:dyDescent="0.25">
      <c r="A24142" s="318">
        <v>363854133669</v>
      </c>
      <c r="B24142" s="318" t="s">
        <v>23</v>
      </c>
    </row>
    <row r="24143" spans="1:2" ht="12.75" customHeight="1" x14ac:dyDescent="0.25">
      <c r="A24143" s="318">
        <v>363854133670</v>
      </c>
      <c r="B24143" s="318" t="s">
        <v>23</v>
      </c>
    </row>
    <row r="24144" spans="1:2" ht="12.75" customHeight="1" x14ac:dyDescent="0.25">
      <c r="A24144" s="318">
        <v>363854133671</v>
      </c>
      <c r="B24144" s="318" t="s">
        <v>23</v>
      </c>
    </row>
    <row r="24145" spans="1:2" ht="12.75" customHeight="1" x14ac:dyDescent="0.25">
      <c r="A24145" s="318">
        <v>363854133672</v>
      </c>
      <c r="B24145" s="318" t="s">
        <v>237</v>
      </c>
    </row>
    <row r="24146" spans="1:2" ht="12.75" customHeight="1" x14ac:dyDescent="0.25">
      <c r="A24146" s="318">
        <v>363854133674</v>
      </c>
      <c r="B24146" s="318" t="s">
        <v>23</v>
      </c>
    </row>
    <row r="24147" spans="1:2" ht="12.75" customHeight="1" x14ac:dyDescent="0.25">
      <c r="A24147" s="318">
        <v>363854133675</v>
      </c>
      <c r="B24147" s="318" t="s">
        <v>23</v>
      </c>
    </row>
    <row r="24148" spans="1:2" ht="12.75" customHeight="1" x14ac:dyDescent="0.25">
      <c r="A24148" s="318">
        <v>363854133676</v>
      </c>
      <c r="B24148" s="318" t="s">
        <v>23</v>
      </c>
    </row>
    <row r="24149" spans="1:2" ht="12.75" customHeight="1" x14ac:dyDescent="0.25">
      <c r="A24149" s="318">
        <v>363854133677</v>
      </c>
      <c r="B24149" s="318" t="s">
        <v>23</v>
      </c>
    </row>
    <row r="24150" spans="1:2" ht="12.75" customHeight="1" x14ac:dyDescent="0.25">
      <c r="A24150" s="318">
        <v>363854133678</v>
      </c>
      <c r="B24150" s="318" t="s">
        <v>23</v>
      </c>
    </row>
    <row r="24151" spans="1:2" ht="12.75" customHeight="1" x14ac:dyDescent="0.25">
      <c r="A24151" s="318">
        <v>363854133679</v>
      </c>
      <c r="B24151" s="318" t="s">
        <v>23</v>
      </c>
    </row>
    <row r="24152" spans="1:2" ht="12.75" customHeight="1" x14ac:dyDescent="0.25">
      <c r="A24152" s="318">
        <v>363854133680</v>
      </c>
      <c r="B24152" s="318" t="s">
        <v>23</v>
      </c>
    </row>
    <row r="24153" spans="1:2" ht="12.75" customHeight="1" x14ac:dyDescent="0.25">
      <c r="A24153" s="318">
        <v>363854133681</v>
      </c>
      <c r="B24153" s="318" t="s">
        <v>237</v>
      </c>
    </row>
    <row r="24154" spans="1:2" ht="12.75" customHeight="1" x14ac:dyDescent="0.25">
      <c r="A24154" s="318">
        <v>363855494046</v>
      </c>
      <c r="B24154" s="318" t="s">
        <v>23</v>
      </c>
    </row>
    <row r="24155" spans="1:2" ht="12.75" customHeight="1" x14ac:dyDescent="0.25">
      <c r="A24155" s="318">
        <v>363855494047</v>
      </c>
      <c r="B24155" s="318" t="s">
        <v>23</v>
      </c>
    </row>
    <row r="24156" spans="1:2" ht="12.75" customHeight="1" x14ac:dyDescent="0.25">
      <c r="A24156" s="318">
        <v>363855494048</v>
      </c>
      <c r="B24156" s="318" t="s">
        <v>23</v>
      </c>
    </row>
    <row r="24157" spans="1:2" ht="12.75" customHeight="1" x14ac:dyDescent="0.25">
      <c r="A24157" s="318">
        <v>363855494049</v>
      </c>
      <c r="B24157" s="318" t="s">
        <v>23</v>
      </c>
    </row>
    <row r="24158" spans="1:2" ht="12.75" customHeight="1" x14ac:dyDescent="0.25">
      <c r="A24158" s="318">
        <v>363855494050</v>
      </c>
      <c r="B24158" s="318" t="s">
        <v>23</v>
      </c>
    </row>
    <row r="24159" spans="1:2" ht="12.75" customHeight="1" x14ac:dyDescent="0.25">
      <c r="A24159" s="318">
        <v>363855494051</v>
      </c>
      <c r="B24159" s="318" t="s">
        <v>23</v>
      </c>
    </row>
    <row r="24160" spans="1:2" ht="12.75" customHeight="1" x14ac:dyDescent="0.25">
      <c r="A24160" s="318">
        <v>363855494052</v>
      </c>
      <c r="B24160" s="318" t="s">
        <v>23</v>
      </c>
    </row>
    <row r="24161" spans="1:2" ht="12.75" customHeight="1" x14ac:dyDescent="0.25">
      <c r="A24161" s="318">
        <v>363855494053</v>
      </c>
      <c r="B24161" s="318" t="s">
        <v>237</v>
      </c>
    </row>
    <row r="24162" spans="1:2" ht="12.75" customHeight="1" x14ac:dyDescent="0.25">
      <c r="A24162" s="318">
        <v>363855494055</v>
      </c>
      <c r="B24162" s="318" t="s">
        <v>23</v>
      </c>
    </row>
    <row r="24163" spans="1:2" ht="12.75" customHeight="1" x14ac:dyDescent="0.25">
      <c r="A24163" s="318">
        <v>363855494056</v>
      </c>
      <c r="B24163" s="318" t="s">
        <v>23</v>
      </c>
    </row>
    <row r="24164" spans="1:2" ht="12.75" customHeight="1" x14ac:dyDescent="0.25">
      <c r="A24164" s="318">
        <v>363855494057</v>
      </c>
      <c r="B24164" s="318" t="s">
        <v>23</v>
      </c>
    </row>
    <row r="24165" spans="1:2" ht="12.75" customHeight="1" x14ac:dyDescent="0.25">
      <c r="A24165" s="318">
        <v>363855494058</v>
      </c>
      <c r="B24165" s="318" t="s">
        <v>23</v>
      </c>
    </row>
    <row r="24166" spans="1:2" ht="12.75" customHeight="1" x14ac:dyDescent="0.25">
      <c r="A24166" s="318">
        <v>363855494059</v>
      </c>
      <c r="B24166" s="318" t="s">
        <v>23</v>
      </c>
    </row>
    <row r="24167" spans="1:2" ht="12.75" customHeight="1" x14ac:dyDescent="0.25">
      <c r="A24167" s="318">
        <v>363855494060</v>
      </c>
      <c r="B24167" s="318" t="s">
        <v>23</v>
      </c>
    </row>
    <row r="24168" spans="1:2" ht="12.75" customHeight="1" x14ac:dyDescent="0.25">
      <c r="A24168" s="318">
        <v>363855494061</v>
      </c>
      <c r="B24168" s="318" t="s">
        <v>23</v>
      </c>
    </row>
    <row r="24169" spans="1:2" ht="12.75" customHeight="1" x14ac:dyDescent="0.25">
      <c r="A24169" s="318">
        <v>363855494062</v>
      </c>
      <c r="B24169" s="318" t="s">
        <v>237</v>
      </c>
    </row>
    <row r="24170" spans="1:2" ht="12.75" customHeight="1" x14ac:dyDescent="0.25">
      <c r="A24170" s="318">
        <v>363855975019</v>
      </c>
      <c r="B24170" s="318" t="s">
        <v>23</v>
      </c>
    </row>
    <row r="24171" spans="1:2" ht="12.75" customHeight="1" x14ac:dyDescent="0.25">
      <c r="A24171" s="318">
        <v>363855975020</v>
      </c>
      <c r="B24171" s="318" t="s">
        <v>23</v>
      </c>
    </row>
    <row r="24172" spans="1:2" ht="12.75" customHeight="1" x14ac:dyDescent="0.25">
      <c r="A24172" s="318">
        <v>363855975021</v>
      </c>
      <c r="B24172" s="318" t="s">
        <v>23</v>
      </c>
    </row>
    <row r="24173" spans="1:2" ht="12.75" customHeight="1" x14ac:dyDescent="0.25">
      <c r="A24173" s="318">
        <v>363855975022</v>
      </c>
      <c r="B24173" s="318" t="s">
        <v>23</v>
      </c>
    </row>
    <row r="24174" spans="1:2" ht="12.75" customHeight="1" x14ac:dyDescent="0.25">
      <c r="A24174" s="318">
        <v>363855975023</v>
      </c>
      <c r="B24174" s="318" t="s">
        <v>23</v>
      </c>
    </row>
    <row r="24175" spans="1:2" ht="12.75" customHeight="1" x14ac:dyDescent="0.25">
      <c r="A24175" s="318">
        <v>363855975024</v>
      </c>
      <c r="B24175" s="318" t="s">
        <v>23</v>
      </c>
    </row>
    <row r="24176" spans="1:2" ht="12.75" customHeight="1" x14ac:dyDescent="0.25">
      <c r="A24176" s="318">
        <v>363855975025</v>
      </c>
      <c r="B24176" s="318" t="s">
        <v>23</v>
      </c>
    </row>
    <row r="24177" spans="1:2" ht="12.75" customHeight="1" x14ac:dyDescent="0.25">
      <c r="A24177" s="318">
        <v>363855975026</v>
      </c>
      <c r="B24177" s="318" t="s">
        <v>237</v>
      </c>
    </row>
    <row r="24178" spans="1:2" ht="12.75" customHeight="1" x14ac:dyDescent="0.25">
      <c r="A24178" s="318">
        <v>363855975028</v>
      </c>
      <c r="B24178" s="318" t="s">
        <v>23</v>
      </c>
    </row>
    <row r="24179" spans="1:2" ht="12.75" customHeight="1" x14ac:dyDescent="0.25">
      <c r="A24179" s="318">
        <v>363855975029</v>
      </c>
      <c r="B24179" s="318" t="s">
        <v>23</v>
      </c>
    </row>
    <row r="24180" spans="1:2" ht="12.75" customHeight="1" x14ac:dyDescent="0.25">
      <c r="A24180" s="318">
        <v>363855975030</v>
      </c>
      <c r="B24180" s="318" t="s">
        <v>23</v>
      </c>
    </row>
    <row r="24181" spans="1:2" ht="12.75" customHeight="1" x14ac:dyDescent="0.25">
      <c r="A24181" s="318">
        <v>363855975031</v>
      </c>
      <c r="B24181" s="318" t="s">
        <v>23</v>
      </c>
    </row>
    <row r="24182" spans="1:2" ht="12.75" customHeight="1" x14ac:dyDescent="0.25">
      <c r="A24182" s="318">
        <v>363855975032</v>
      </c>
      <c r="B24182" s="318" t="s">
        <v>23</v>
      </c>
    </row>
    <row r="24183" spans="1:2" ht="12.75" customHeight="1" x14ac:dyDescent="0.25">
      <c r="A24183" s="318">
        <v>363855975033</v>
      </c>
      <c r="B24183" s="318" t="s">
        <v>23</v>
      </c>
    </row>
    <row r="24184" spans="1:2" ht="12.75" customHeight="1" x14ac:dyDescent="0.25">
      <c r="A24184" s="318">
        <v>363855975034</v>
      </c>
      <c r="B24184" s="318" t="s">
        <v>23</v>
      </c>
    </row>
    <row r="24185" spans="1:2" ht="12.75" customHeight="1" x14ac:dyDescent="0.25">
      <c r="A24185" s="318">
        <v>363855975035</v>
      </c>
      <c r="B24185" s="318" t="s">
        <v>237</v>
      </c>
    </row>
    <row r="24186" spans="1:2" ht="12.75" customHeight="1" x14ac:dyDescent="0.25">
      <c r="A24186" s="318">
        <v>363856455992</v>
      </c>
      <c r="B24186" s="318" t="s">
        <v>23</v>
      </c>
    </row>
    <row r="24187" spans="1:2" ht="12.75" customHeight="1" x14ac:dyDescent="0.25">
      <c r="A24187" s="318">
        <v>363856455993</v>
      </c>
      <c r="B24187" s="318" t="s">
        <v>23</v>
      </c>
    </row>
    <row r="24188" spans="1:2" ht="12.75" customHeight="1" x14ac:dyDescent="0.25">
      <c r="A24188" s="318">
        <v>363856455994</v>
      </c>
      <c r="B24188" s="318" t="s">
        <v>23</v>
      </c>
    </row>
    <row r="24189" spans="1:2" ht="12.75" customHeight="1" x14ac:dyDescent="0.25">
      <c r="A24189" s="318">
        <v>363856455995</v>
      </c>
      <c r="B24189" s="318" t="s">
        <v>23</v>
      </c>
    </row>
    <row r="24190" spans="1:2" ht="12.75" customHeight="1" x14ac:dyDescent="0.25">
      <c r="A24190" s="318">
        <v>363856455996</v>
      </c>
      <c r="B24190" s="318" t="s">
        <v>23</v>
      </c>
    </row>
    <row r="24191" spans="1:2" ht="12.75" customHeight="1" x14ac:dyDescent="0.25">
      <c r="A24191" s="318">
        <v>363856455997</v>
      </c>
      <c r="B24191" s="318" t="s">
        <v>23</v>
      </c>
    </row>
    <row r="24192" spans="1:2" ht="12.75" customHeight="1" x14ac:dyDescent="0.25">
      <c r="A24192" s="318">
        <v>363856455998</v>
      </c>
      <c r="B24192" s="318" t="s">
        <v>23</v>
      </c>
    </row>
    <row r="24193" spans="1:2" ht="12.75" customHeight="1" x14ac:dyDescent="0.25">
      <c r="A24193" s="318">
        <v>363856455999</v>
      </c>
      <c r="B24193" s="318" t="s">
        <v>237</v>
      </c>
    </row>
    <row r="24194" spans="1:2" ht="12.75" customHeight="1" x14ac:dyDescent="0.25">
      <c r="A24194" s="318">
        <v>363856456001</v>
      </c>
      <c r="B24194" s="318" t="s">
        <v>23</v>
      </c>
    </row>
    <row r="24195" spans="1:2" ht="12.75" customHeight="1" x14ac:dyDescent="0.25">
      <c r="A24195" s="318">
        <v>363856456002</v>
      </c>
      <c r="B24195" s="318" t="s">
        <v>23</v>
      </c>
    </row>
    <row r="24196" spans="1:2" ht="12.75" customHeight="1" x14ac:dyDescent="0.25">
      <c r="A24196" s="318">
        <v>363856456003</v>
      </c>
      <c r="B24196" s="318" t="s">
        <v>23</v>
      </c>
    </row>
    <row r="24197" spans="1:2" ht="12.75" customHeight="1" x14ac:dyDescent="0.25">
      <c r="A24197" s="318">
        <v>363856456004</v>
      </c>
      <c r="B24197" s="318" t="s">
        <v>23</v>
      </c>
    </row>
    <row r="24198" spans="1:2" ht="12.75" customHeight="1" x14ac:dyDescent="0.25">
      <c r="A24198" s="318">
        <v>363856456005</v>
      </c>
      <c r="B24198" s="318" t="s">
        <v>23</v>
      </c>
    </row>
    <row r="24199" spans="1:2" ht="12.75" customHeight="1" x14ac:dyDescent="0.25">
      <c r="A24199" s="318">
        <v>363856456006</v>
      </c>
      <c r="B24199" s="318" t="s">
        <v>23</v>
      </c>
    </row>
    <row r="24200" spans="1:2" ht="12.75" customHeight="1" x14ac:dyDescent="0.25">
      <c r="A24200" s="318">
        <v>363856456007</v>
      </c>
      <c r="B24200" s="318" t="s">
        <v>23</v>
      </c>
    </row>
    <row r="24201" spans="1:2" ht="12.75" customHeight="1" x14ac:dyDescent="0.25">
      <c r="A24201" s="318">
        <v>363856456008</v>
      </c>
      <c r="B24201" s="318" t="s">
        <v>237</v>
      </c>
    </row>
    <row r="24202" spans="1:2" ht="12.75" customHeight="1" x14ac:dyDescent="0.25">
      <c r="A24202" s="318">
        <v>363857136183</v>
      </c>
      <c r="B24202" s="318" t="s">
        <v>23</v>
      </c>
    </row>
    <row r="24203" spans="1:2" ht="12.75" customHeight="1" x14ac:dyDescent="0.25">
      <c r="A24203" s="318">
        <v>363857136184</v>
      </c>
      <c r="B24203" s="318" t="s">
        <v>23</v>
      </c>
    </row>
    <row r="24204" spans="1:2" ht="12.75" customHeight="1" x14ac:dyDescent="0.25">
      <c r="A24204" s="318">
        <v>363857136185</v>
      </c>
      <c r="B24204" s="318" t="s">
        <v>23</v>
      </c>
    </row>
    <row r="24205" spans="1:2" ht="12.75" customHeight="1" x14ac:dyDescent="0.25">
      <c r="A24205" s="318">
        <v>363857136186</v>
      </c>
      <c r="B24205" s="318" t="s">
        <v>23</v>
      </c>
    </row>
    <row r="24206" spans="1:2" ht="12.75" customHeight="1" x14ac:dyDescent="0.25">
      <c r="A24206" s="318">
        <v>363857136187</v>
      </c>
      <c r="B24206" s="318" t="s">
        <v>23</v>
      </c>
    </row>
    <row r="24207" spans="1:2" ht="12.75" customHeight="1" x14ac:dyDescent="0.25">
      <c r="A24207" s="318">
        <v>363857136188</v>
      </c>
      <c r="B24207" s="318" t="s">
        <v>23</v>
      </c>
    </row>
    <row r="24208" spans="1:2" ht="12.75" customHeight="1" x14ac:dyDescent="0.25">
      <c r="A24208" s="318">
        <v>363857136189</v>
      </c>
      <c r="B24208" s="318" t="s">
        <v>23</v>
      </c>
    </row>
    <row r="24209" spans="1:2" ht="12.75" customHeight="1" x14ac:dyDescent="0.25">
      <c r="A24209" s="318">
        <v>363857136190</v>
      </c>
      <c r="B24209" s="318" t="s">
        <v>237</v>
      </c>
    </row>
    <row r="24210" spans="1:2" ht="12.75" customHeight="1" x14ac:dyDescent="0.25">
      <c r="A24210" s="318">
        <v>363857136192</v>
      </c>
      <c r="B24210" s="318" t="s">
        <v>23</v>
      </c>
    </row>
    <row r="24211" spans="1:2" ht="12.75" customHeight="1" x14ac:dyDescent="0.25">
      <c r="A24211" s="318">
        <v>363857136193</v>
      </c>
      <c r="B24211" s="318" t="s">
        <v>23</v>
      </c>
    </row>
    <row r="24212" spans="1:2" ht="12.75" customHeight="1" x14ac:dyDescent="0.25">
      <c r="A24212" s="318">
        <v>363857136194</v>
      </c>
      <c r="B24212" s="318" t="s">
        <v>23</v>
      </c>
    </row>
    <row r="24213" spans="1:2" ht="12.75" customHeight="1" x14ac:dyDescent="0.25">
      <c r="A24213" s="318">
        <v>363857136195</v>
      </c>
      <c r="B24213" s="318" t="s">
        <v>23</v>
      </c>
    </row>
    <row r="24214" spans="1:2" ht="12.75" customHeight="1" x14ac:dyDescent="0.25">
      <c r="A24214" s="318">
        <v>363857136196</v>
      </c>
      <c r="B24214" s="318" t="s">
        <v>23</v>
      </c>
    </row>
    <row r="24215" spans="1:2" ht="12.75" customHeight="1" x14ac:dyDescent="0.25">
      <c r="A24215" s="318">
        <v>363857136197</v>
      </c>
      <c r="B24215" s="318" t="s">
        <v>23</v>
      </c>
    </row>
    <row r="24216" spans="1:2" ht="12.75" customHeight="1" x14ac:dyDescent="0.25">
      <c r="A24216" s="318">
        <v>363857136198</v>
      </c>
      <c r="B24216" s="318" t="s">
        <v>23</v>
      </c>
    </row>
    <row r="24217" spans="1:2" ht="12.75" customHeight="1" x14ac:dyDescent="0.25">
      <c r="A24217" s="318">
        <v>363857136199</v>
      </c>
      <c r="B24217" s="318" t="s">
        <v>237</v>
      </c>
    </row>
    <row r="24218" spans="1:2" ht="12.75" customHeight="1" x14ac:dyDescent="0.25">
      <c r="A24218" s="318">
        <v>363857617156</v>
      </c>
      <c r="B24218" s="318" t="s">
        <v>23</v>
      </c>
    </row>
    <row r="24219" spans="1:2" ht="12.75" customHeight="1" x14ac:dyDescent="0.25">
      <c r="A24219" s="318">
        <v>363857617157</v>
      </c>
      <c r="B24219" s="318" t="s">
        <v>23</v>
      </c>
    </row>
    <row r="24220" spans="1:2" ht="12.75" customHeight="1" x14ac:dyDescent="0.25">
      <c r="A24220" s="318">
        <v>363857617158</v>
      </c>
      <c r="B24220" s="318" t="s">
        <v>23</v>
      </c>
    </row>
    <row r="24221" spans="1:2" ht="12.75" customHeight="1" x14ac:dyDescent="0.25">
      <c r="A24221" s="318">
        <v>363857617159</v>
      </c>
      <c r="B24221" s="318" t="s">
        <v>23</v>
      </c>
    </row>
    <row r="24222" spans="1:2" ht="12.75" customHeight="1" x14ac:dyDescent="0.25">
      <c r="A24222" s="318">
        <v>363857617160</v>
      </c>
      <c r="B24222" s="318" t="s">
        <v>23</v>
      </c>
    </row>
    <row r="24223" spans="1:2" ht="12.75" customHeight="1" x14ac:dyDescent="0.25">
      <c r="A24223" s="318">
        <v>363857617161</v>
      </c>
      <c r="B24223" s="318" t="s">
        <v>23</v>
      </c>
    </row>
    <row r="24224" spans="1:2" ht="12.75" customHeight="1" x14ac:dyDescent="0.25">
      <c r="A24224" s="318">
        <v>363857617162</v>
      </c>
      <c r="B24224" s="318" t="s">
        <v>23</v>
      </c>
    </row>
    <row r="24225" spans="1:2" ht="12.75" customHeight="1" x14ac:dyDescent="0.25">
      <c r="A24225" s="318">
        <v>363857617163</v>
      </c>
      <c r="B24225" s="318" t="s">
        <v>237</v>
      </c>
    </row>
    <row r="24226" spans="1:2" ht="12.75" customHeight="1" x14ac:dyDescent="0.25">
      <c r="A24226" s="318">
        <v>363857617165</v>
      </c>
      <c r="B24226" s="318" t="s">
        <v>23</v>
      </c>
    </row>
    <row r="24227" spans="1:2" ht="12.75" customHeight="1" x14ac:dyDescent="0.25">
      <c r="A24227" s="318">
        <v>363857617166</v>
      </c>
      <c r="B24227" s="318" t="s">
        <v>23</v>
      </c>
    </row>
    <row r="24228" spans="1:2" ht="12.75" customHeight="1" x14ac:dyDescent="0.25">
      <c r="A24228" s="318">
        <v>363857617167</v>
      </c>
      <c r="B24228" s="318" t="s">
        <v>23</v>
      </c>
    </row>
    <row r="24229" spans="1:2" ht="12.75" customHeight="1" x14ac:dyDescent="0.25">
      <c r="A24229" s="318">
        <v>363857617168</v>
      </c>
      <c r="B24229" s="318" t="s">
        <v>23</v>
      </c>
    </row>
    <row r="24230" spans="1:2" ht="12.75" customHeight="1" x14ac:dyDescent="0.25">
      <c r="A24230" s="318">
        <v>363857617169</v>
      </c>
      <c r="B24230" s="318" t="s">
        <v>23</v>
      </c>
    </row>
    <row r="24231" spans="1:2" ht="12.75" customHeight="1" x14ac:dyDescent="0.25">
      <c r="A24231" s="318">
        <v>363857617170</v>
      </c>
      <c r="B24231" s="318" t="s">
        <v>23</v>
      </c>
    </row>
    <row r="24232" spans="1:2" ht="12.75" customHeight="1" x14ac:dyDescent="0.25">
      <c r="A24232" s="318">
        <v>363857617171</v>
      </c>
      <c r="B24232" s="318" t="s">
        <v>23</v>
      </c>
    </row>
    <row r="24233" spans="1:2" ht="12.75" customHeight="1" x14ac:dyDescent="0.25">
      <c r="A24233" s="318">
        <v>363857617172</v>
      </c>
      <c r="B24233" s="318" t="s">
        <v>237</v>
      </c>
    </row>
    <row r="24234" spans="1:2" ht="12.75" customHeight="1" x14ac:dyDescent="0.25">
      <c r="A24234" s="318">
        <v>363858098129</v>
      </c>
      <c r="B24234" s="318" t="s">
        <v>23</v>
      </c>
    </row>
    <row r="24235" spans="1:2" ht="12.75" customHeight="1" x14ac:dyDescent="0.25">
      <c r="A24235" s="318">
        <v>363858098130</v>
      </c>
      <c r="B24235" s="318" t="s">
        <v>23</v>
      </c>
    </row>
    <row r="24236" spans="1:2" ht="12.75" customHeight="1" x14ac:dyDescent="0.25">
      <c r="A24236" s="318">
        <v>363858098131</v>
      </c>
      <c r="B24236" s="318" t="s">
        <v>23</v>
      </c>
    </row>
    <row r="24237" spans="1:2" ht="12.75" customHeight="1" x14ac:dyDescent="0.25">
      <c r="A24237" s="318">
        <v>363858098132</v>
      </c>
      <c r="B24237" s="318" t="s">
        <v>23</v>
      </c>
    </row>
    <row r="24238" spans="1:2" ht="12.75" customHeight="1" x14ac:dyDescent="0.25">
      <c r="A24238" s="318">
        <v>363858098133</v>
      </c>
      <c r="B24238" s="318" t="s">
        <v>23</v>
      </c>
    </row>
    <row r="24239" spans="1:2" ht="12.75" customHeight="1" x14ac:dyDescent="0.25">
      <c r="A24239" s="318">
        <v>363858098134</v>
      </c>
      <c r="B24239" s="318" t="s">
        <v>23</v>
      </c>
    </row>
    <row r="24240" spans="1:2" ht="12.75" customHeight="1" x14ac:dyDescent="0.25">
      <c r="A24240" s="318">
        <v>363858098135</v>
      </c>
      <c r="B24240" s="318" t="s">
        <v>23</v>
      </c>
    </row>
    <row r="24241" spans="1:2" ht="12.75" customHeight="1" x14ac:dyDescent="0.25">
      <c r="A24241" s="318">
        <v>363858098136</v>
      </c>
      <c r="B24241" s="318" t="s">
        <v>237</v>
      </c>
    </row>
    <row r="24242" spans="1:2" ht="12.75" customHeight="1" x14ac:dyDescent="0.25">
      <c r="A24242" s="318">
        <v>363858098138</v>
      </c>
      <c r="B24242" s="318" t="s">
        <v>23</v>
      </c>
    </row>
    <row r="24243" spans="1:2" ht="12.75" customHeight="1" x14ac:dyDescent="0.25">
      <c r="A24243" s="318">
        <v>363858098139</v>
      </c>
      <c r="B24243" s="318" t="s">
        <v>23</v>
      </c>
    </row>
    <row r="24244" spans="1:2" ht="12.75" customHeight="1" x14ac:dyDescent="0.25">
      <c r="A24244" s="318">
        <v>363858098140</v>
      </c>
      <c r="B24244" s="318" t="s">
        <v>23</v>
      </c>
    </row>
    <row r="24245" spans="1:2" ht="12.75" customHeight="1" x14ac:dyDescent="0.25">
      <c r="A24245" s="318">
        <v>363858098141</v>
      </c>
      <c r="B24245" s="318" t="s">
        <v>23</v>
      </c>
    </row>
    <row r="24246" spans="1:2" ht="12.75" customHeight="1" x14ac:dyDescent="0.25">
      <c r="A24246" s="318">
        <v>363858098142</v>
      </c>
      <c r="B24246" s="318" t="s">
        <v>23</v>
      </c>
    </row>
    <row r="24247" spans="1:2" ht="12.75" customHeight="1" x14ac:dyDescent="0.25">
      <c r="A24247" s="318">
        <v>363858098143</v>
      </c>
      <c r="B24247" s="318" t="s">
        <v>23</v>
      </c>
    </row>
    <row r="24248" spans="1:2" ht="12.75" customHeight="1" x14ac:dyDescent="0.25">
      <c r="A24248" s="318">
        <v>363858098144</v>
      </c>
      <c r="B24248" s="318" t="s">
        <v>23</v>
      </c>
    </row>
    <row r="24249" spans="1:2" ht="12.75" customHeight="1" x14ac:dyDescent="0.25">
      <c r="A24249" s="318">
        <v>363858098145</v>
      </c>
      <c r="B24249" s="318" t="s">
        <v>237</v>
      </c>
    </row>
    <row r="24250" spans="1:2" ht="12.75" customHeight="1" x14ac:dyDescent="0.25">
      <c r="A24250" s="318">
        <v>363858778320</v>
      </c>
      <c r="B24250" s="318" t="s">
        <v>23</v>
      </c>
    </row>
    <row r="24251" spans="1:2" ht="12.75" customHeight="1" x14ac:dyDescent="0.25">
      <c r="A24251" s="318">
        <v>363858778321</v>
      </c>
      <c r="B24251" s="318" t="s">
        <v>23</v>
      </c>
    </row>
    <row r="24252" spans="1:2" ht="12.75" customHeight="1" x14ac:dyDescent="0.25">
      <c r="A24252" s="318">
        <v>363858778322</v>
      </c>
      <c r="B24252" s="318" t="s">
        <v>23</v>
      </c>
    </row>
    <row r="24253" spans="1:2" ht="12.75" customHeight="1" x14ac:dyDescent="0.25">
      <c r="A24253" s="318">
        <v>363858778323</v>
      </c>
      <c r="B24253" s="318" t="s">
        <v>23</v>
      </c>
    </row>
    <row r="24254" spans="1:2" ht="12.75" customHeight="1" x14ac:dyDescent="0.25">
      <c r="A24254" s="318">
        <v>363858778324</v>
      </c>
      <c r="B24254" s="318" t="s">
        <v>23</v>
      </c>
    </row>
    <row r="24255" spans="1:2" ht="12.75" customHeight="1" x14ac:dyDescent="0.25">
      <c r="A24255" s="318">
        <v>363858778325</v>
      </c>
      <c r="B24255" s="318" t="s">
        <v>23</v>
      </c>
    </row>
    <row r="24256" spans="1:2" ht="12.75" customHeight="1" x14ac:dyDescent="0.25">
      <c r="A24256" s="318">
        <v>363858778326</v>
      </c>
      <c r="B24256" s="318" t="s">
        <v>23</v>
      </c>
    </row>
    <row r="24257" spans="1:2" ht="12.75" customHeight="1" x14ac:dyDescent="0.25">
      <c r="A24257" s="318">
        <v>363858778327</v>
      </c>
      <c r="B24257" s="318" t="s">
        <v>237</v>
      </c>
    </row>
    <row r="24258" spans="1:2" ht="12.75" customHeight="1" x14ac:dyDescent="0.25">
      <c r="A24258" s="318">
        <v>363858778329</v>
      </c>
      <c r="B24258" s="318" t="s">
        <v>23</v>
      </c>
    </row>
    <row r="24259" spans="1:2" ht="12.75" customHeight="1" x14ac:dyDescent="0.25">
      <c r="A24259" s="318">
        <v>363858778330</v>
      </c>
      <c r="B24259" s="318" t="s">
        <v>23</v>
      </c>
    </row>
    <row r="24260" spans="1:2" ht="12.75" customHeight="1" x14ac:dyDescent="0.25">
      <c r="A24260" s="318">
        <v>363858778331</v>
      </c>
      <c r="B24260" s="318" t="s">
        <v>23</v>
      </c>
    </row>
    <row r="24261" spans="1:2" ht="12.75" customHeight="1" x14ac:dyDescent="0.25">
      <c r="A24261" s="318">
        <v>363858778332</v>
      </c>
      <c r="B24261" s="318" t="s">
        <v>23</v>
      </c>
    </row>
    <row r="24262" spans="1:2" ht="12.75" customHeight="1" x14ac:dyDescent="0.25">
      <c r="A24262" s="318">
        <v>363858778333</v>
      </c>
      <c r="B24262" s="318" t="s">
        <v>23</v>
      </c>
    </row>
    <row r="24263" spans="1:2" ht="12.75" customHeight="1" x14ac:dyDescent="0.25">
      <c r="A24263" s="318">
        <v>363858778334</v>
      </c>
      <c r="B24263" s="318" t="s">
        <v>23</v>
      </c>
    </row>
    <row r="24264" spans="1:2" ht="12.75" customHeight="1" x14ac:dyDescent="0.25">
      <c r="A24264" s="318">
        <v>363858778335</v>
      </c>
      <c r="B24264" s="318" t="s">
        <v>23</v>
      </c>
    </row>
    <row r="24265" spans="1:2" ht="12.75" customHeight="1" x14ac:dyDescent="0.25">
      <c r="A24265" s="318">
        <v>363858778336</v>
      </c>
      <c r="B24265" s="318" t="s">
        <v>237</v>
      </c>
    </row>
    <row r="24266" spans="1:2" ht="12.75" customHeight="1" x14ac:dyDescent="0.25">
      <c r="A24266" s="318">
        <v>363859259293</v>
      </c>
      <c r="B24266" s="318" t="s">
        <v>23</v>
      </c>
    </row>
    <row r="24267" spans="1:2" ht="12.75" customHeight="1" x14ac:dyDescent="0.25">
      <c r="A24267" s="318">
        <v>363859259294</v>
      </c>
      <c r="B24267" s="318" t="s">
        <v>23</v>
      </c>
    </row>
    <row r="24268" spans="1:2" ht="12.75" customHeight="1" x14ac:dyDescent="0.25">
      <c r="A24268" s="318">
        <v>363859259295</v>
      </c>
      <c r="B24268" s="318" t="s">
        <v>23</v>
      </c>
    </row>
    <row r="24269" spans="1:2" ht="12.75" customHeight="1" x14ac:dyDescent="0.25">
      <c r="A24269" s="318">
        <v>363859259296</v>
      </c>
      <c r="B24269" s="318" t="s">
        <v>23</v>
      </c>
    </row>
    <row r="24270" spans="1:2" ht="12.75" customHeight="1" x14ac:dyDescent="0.25">
      <c r="A24270" s="318">
        <v>363859259297</v>
      </c>
      <c r="B24270" s="318" t="s">
        <v>23</v>
      </c>
    </row>
    <row r="24271" spans="1:2" ht="12.75" customHeight="1" x14ac:dyDescent="0.25">
      <c r="A24271" s="318">
        <v>363859259298</v>
      </c>
      <c r="B24271" s="318" t="s">
        <v>23</v>
      </c>
    </row>
    <row r="24272" spans="1:2" ht="12.75" customHeight="1" x14ac:dyDescent="0.25">
      <c r="A24272" s="318">
        <v>363859259299</v>
      </c>
      <c r="B24272" s="318" t="s">
        <v>23</v>
      </c>
    </row>
    <row r="24273" spans="1:2" ht="12.75" customHeight="1" x14ac:dyDescent="0.25">
      <c r="A24273" s="318">
        <v>363859259300</v>
      </c>
      <c r="B24273" s="318" t="s">
        <v>237</v>
      </c>
    </row>
    <row r="24274" spans="1:2" ht="12.75" customHeight="1" x14ac:dyDescent="0.25">
      <c r="A24274" s="318">
        <v>363859259302</v>
      </c>
      <c r="B24274" s="318" t="s">
        <v>23</v>
      </c>
    </row>
    <row r="24275" spans="1:2" ht="12.75" customHeight="1" x14ac:dyDescent="0.25">
      <c r="A24275" s="318">
        <v>363859259303</v>
      </c>
      <c r="B24275" s="318" t="s">
        <v>23</v>
      </c>
    </row>
    <row r="24276" spans="1:2" ht="12.75" customHeight="1" x14ac:dyDescent="0.25">
      <c r="A24276" s="318">
        <v>363859259304</v>
      </c>
      <c r="B24276" s="318" t="s">
        <v>23</v>
      </c>
    </row>
    <row r="24277" spans="1:2" ht="12.75" customHeight="1" x14ac:dyDescent="0.25">
      <c r="A24277" s="318">
        <v>363859259305</v>
      </c>
      <c r="B24277" s="318" t="s">
        <v>23</v>
      </c>
    </row>
    <row r="24278" spans="1:2" ht="12.75" customHeight="1" x14ac:dyDescent="0.25">
      <c r="A24278" s="318">
        <v>363859259306</v>
      </c>
      <c r="B24278" s="318" t="s">
        <v>23</v>
      </c>
    </row>
    <row r="24279" spans="1:2" ht="12.75" customHeight="1" x14ac:dyDescent="0.25">
      <c r="A24279" s="318">
        <v>363859259307</v>
      </c>
      <c r="B24279" s="318" t="s">
        <v>23</v>
      </c>
    </row>
    <row r="24280" spans="1:2" ht="12.75" customHeight="1" x14ac:dyDescent="0.25">
      <c r="A24280" s="318">
        <v>363859259308</v>
      </c>
      <c r="B24280" s="318" t="s">
        <v>23</v>
      </c>
    </row>
    <row r="24281" spans="1:2" ht="12.75" customHeight="1" x14ac:dyDescent="0.25">
      <c r="A24281" s="318">
        <v>363859259309</v>
      </c>
      <c r="B24281" s="318" t="s">
        <v>237</v>
      </c>
    </row>
    <row r="24282" spans="1:2" ht="12.75" customHeight="1" x14ac:dyDescent="0.25">
      <c r="A24282" s="318">
        <v>363859740266</v>
      </c>
      <c r="B24282" s="318" t="s">
        <v>23</v>
      </c>
    </row>
    <row r="24283" spans="1:2" ht="12.75" customHeight="1" x14ac:dyDescent="0.25">
      <c r="A24283" s="318">
        <v>363859740267</v>
      </c>
      <c r="B24283" s="318" t="s">
        <v>23</v>
      </c>
    </row>
    <row r="24284" spans="1:2" ht="12.75" customHeight="1" x14ac:dyDescent="0.25">
      <c r="A24284" s="318">
        <v>363859740268</v>
      </c>
      <c r="B24284" s="318" t="s">
        <v>23</v>
      </c>
    </row>
    <row r="24285" spans="1:2" ht="12.75" customHeight="1" x14ac:dyDescent="0.25">
      <c r="A24285" s="318">
        <v>363859740269</v>
      </c>
      <c r="B24285" s="318" t="s">
        <v>23</v>
      </c>
    </row>
    <row r="24286" spans="1:2" ht="12.75" customHeight="1" x14ac:dyDescent="0.25">
      <c r="A24286" s="318">
        <v>363859740270</v>
      </c>
      <c r="B24286" s="318" t="s">
        <v>23</v>
      </c>
    </row>
    <row r="24287" spans="1:2" ht="12.75" customHeight="1" x14ac:dyDescent="0.25">
      <c r="A24287" s="318">
        <v>363859740271</v>
      </c>
      <c r="B24287" s="318" t="s">
        <v>23</v>
      </c>
    </row>
    <row r="24288" spans="1:2" ht="12.75" customHeight="1" x14ac:dyDescent="0.25">
      <c r="A24288" s="318">
        <v>363859740272</v>
      </c>
      <c r="B24288" s="318" t="s">
        <v>23</v>
      </c>
    </row>
    <row r="24289" spans="1:2" ht="12.75" customHeight="1" x14ac:dyDescent="0.25">
      <c r="A24289" s="318">
        <v>363859740273</v>
      </c>
      <c r="B24289" s="318" t="s">
        <v>237</v>
      </c>
    </row>
    <row r="24290" spans="1:2" ht="12.75" customHeight="1" x14ac:dyDescent="0.25">
      <c r="A24290" s="318">
        <v>363859740275</v>
      </c>
      <c r="B24290" s="318" t="s">
        <v>23</v>
      </c>
    </row>
    <row r="24291" spans="1:2" ht="12.75" customHeight="1" x14ac:dyDescent="0.25">
      <c r="A24291" s="318">
        <v>363859740276</v>
      </c>
      <c r="B24291" s="318" t="s">
        <v>23</v>
      </c>
    </row>
    <row r="24292" spans="1:2" ht="12.75" customHeight="1" x14ac:dyDescent="0.25">
      <c r="A24292" s="318">
        <v>363859740277</v>
      </c>
      <c r="B24292" s="318" t="s">
        <v>23</v>
      </c>
    </row>
    <row r="24293" spans="1:2" ht="12.75" customHeight="1" x14ac:dyDescent="0.25">
      <c r="A24293" s="318">
        <v>363859740278</v>
      </c>
      <c r="B24293" s="318" t="s">
        <v>23</v>
      </c>
    </row>
    <row r="24294" spans="1:2" ht="12.75" customHeight="1" x14ac:dyDescent="0.25">
      <c r="A24294" s="318">
        <v>363859740279</v>
      </c>
      <c r="B24294" s="318" t="s">
        <v>23</v>
      </c>
    </row>
    <row r="24295" spans="1:2" ht="12.75" customHeight="1" x14ac:dyDescent="0.25">
      <c r="A24295" s="318">
        <v>363859740280</v>
      </c>
      <c r="B24295" s="318" t="s">
        <v>23</v>
      </c>
    </row>
    <row r="24296" spans="1:2" ht="12.75" customHeight="1" x14ac:dyDescent="0.25">
      <c r="A24296" s="318">
        <v>363859740281</v>
      </c>
      <c r="B24296" s="318" t="s">
        <v>23</v>
      </c>
    </row>
    <row r="24297" spans="1:2" ht="12.75" customHeight="1" x14ac:dyDescent="0.25">
      <c r="A24297" s="318">
        <v>363859740282</v>
      </c>
      <c r="B24297" s="318" t="s">
        <v>237</v>
      </c>
    </row>
    <row r="24298" spans="1:2" ht="12.75" customHeight="1" x14ac:dyDescent="0.25">
      <c r="A24298" s="318">
        <v>363909636157</v>
      </c>
      <c r="B24298" s="318" t="s">
        <v>23</v>
      </c>
    </row>
    <row r="24299" spans="1:2" ht="12.75" customHeight="1" x14ac:dyDescent="0.25">
      <c r="A24299" s="318">
        <v>363909636158</v>
      </c>
      <c r="B24299" s="318" t="s">
        <v>23</v>
      </c>
    </row>
    <row r="24300" spans="1:2" ht="12.75" customHeight="1" x14ac:dyDescent="0.25">
      <c r="A24300" s="318">
        <v>363909636159</v>
      </c>
      <c r="B24300" s="318" t="s">
        <v>23</v>
      </c>
    </row>
    <row r="24301" spans="1:2" ht="12.75" customHeight="1" x14ac:dyDescent="0.25">
      <c r="A24301" s="318">
        <v>363909636160</v>
      </c>
      <c r="B24301" s="318" t="s">
        <v>23</v>
      </c>
    </row>
    <row r="24302" spans="1:2" ht="12.75" customHeight="1" x14ac:dyDescent="0.25">
      <c r="A24302" s="318">
        <v>363909636161</v>
      </c>
      <c r="B24302" s="318" t="s">
        <v>23</v>
      </c>
    </row>
    <row r="24303" spans="1:2" ht="12.75" customHeight="1" x14ac:dyDescent="0.25">
      <c r="A24303" s="318">
        <v>363909636162</v>
      </c>
      <c r="B24303" s="318" t="s">
        <v>23</v>
      </c>
    </row>
    <row r="24304" spans="1:2" ht="12.75" customHeight="1" x14ac:dyDescent="0.25">
      <c r="A24304" s="318">
        <v>363909636163</v>
      </c>
      <c r="B24304" s="318" t="s">
        <v>237</v>
      </c>
    </row>
    <row r="24305" spans="1:2" ht="12.75" customHeight="1" x14ac:dyDescent="0.25">
      <c r="A24305" s="318">
        <v>363909636164</v>
      </c>
      <c r="B24305" s="318" t="s">
        <v>237</v>
      </c>
    </row>
    <row r="24306" spans="1:2" ht="12.75" customHeight="1" x14ac:dyDescent="0.25">
      <c r="A24306" s="318">
        <v>363909636166</v>
      </c>
      <c r="B24306" s="318" t="s">
        <v>237</v>
      </c>
    </row>
    <row r="24307" spans="1:2" ht="12.75" customHeight="1" x14ac:dyDescent="0.25">
      <c r="A24307" s="318">
        <v>363909636167</v>
      </c>
      <c r="B24307" s="318" t="s">
        <v>237</v>
      </c>
    </row>
    <row r="24308" spans="1:2" ht="12.75" customHeight="1" x14ac:dyDescent="0.25">
      <c r="A24308" s="318">
        <v>363909636168</v>
      </c>
      <c r="B24308" s="318" t="s">
        <v>237</v>
      </c>
    </row>
    <row r="24309" spans="1:2" ht="12.75" customHeight="1" x14ac:dyDescent="0.25">
      <c r="A24309" s="318">
        <v>363909636169</v>
      </c>
      <c r="B24309" s="318" t="s">
        <v>237</v>
      </c>
    </row>
    <row r="24310" spans="1:2" ht="12.75" customHeight="1" x14ac:dyDescent="0.25">
      <c r="A24310" s="318">
        <v>363909636170</v>
      </c>
      <c r="B24310" s="318" t="s">
        <v>237</v>
      </c>
    </row>
    <row r="24311" spans="1:2" ht="12.75" customHeight="1" x14ac:dyDescent="0.25">
      <c r="A24311" s="318">
        <v>363909636171</v>
      </c>
      <c r="B24311" s="318" t="s">
        <v>237</v>
      </c>
    </row>
    <row r="24312" spans="1:2" ht="12.75" customHeight="1" x14ac:dyDescent="0.25">
      <c r="A24312" s="318">
        <v>363909636172</v>
      </c>
      <c r="B24312" s="318" t="s">
        <v>237</v>
      </c>
    </row>
    <row r="24313" spans="1:2" ht="12.75" customHeight="1" x14ac:dyDescent="0.25">
      <c r="A24313" s="318">
        <v>363909636173</v>
      </c>
      <c r="B24313" s="318" t="s">
        <v>237</v>
      </c>
    </row>
    <row r="24314" spans="1:2" ht="12.75" customHeight="1" x14ac:dyDescent="0.25">
      <c r="A24314" s="318">
        <v>363910117130</v>
      </c>
      <c r="B24314" s="318" t="s">
        <v>23</v>
      </c>
    </row>
    <row r="24315" spans="1:2" ht="12.75" customHeight="1" x14ac:dyDescent="0.25">
      <c r="A24315" s="318">
        <v>363910117131</v>
      </c>
      <c r="B24315" s="318" t="s">
        <v>23</v>
      </c>
    </row>
    <row r="24316" spans="1:2" ht="12.75" customHeight="1" x14ac:dyDescent="0.25">
      <c r="A24316" s="318">
        <v>363910117132</v>
      </c>
      <c r="B24316" s="318" t="s">
        <v>23</v>
      </c>
    </row>
    <row r="24317" spans="1:2" ht="12.75" customHeight="1" x14ac:dyDescent="0.25">
      <c r="A24317" s="318">
        <v>363910117133</v>
      </c>
      <c r="B24317" s="318" t="s">
        <v>23</v>
      </c>
    </row>
    <row r="24318" spans="1:2" ht="12.75" customHeight="1" x14ac:dyDescent="0.25">
      <c r="A24318" s="318">
        <v>363910117134</v>
      </c>
      <c r="B24318" s="318" t="s">
        <v>23</v>
      </c>
    </row>
    <row r="24319" spans="1:2" ht="12.75" customHeight="1" x14ac:dyDescent="0.25">
      <c r="A24319" s="318">
        <v>363910117135</v>
      </c>
      <c r="B24319" s="318" t="s">
        <v>23</v>
      </c>
    </row>
    <row r="24320" spans="1:2" ht="12.75" customHeight="1" x14ac:dyDescent="0.25">
      <c r="A24320" s="318">
        <v>363910117136</v>
      </c>
      <c r="B24320" s="318" t="s">
        <v>237</v>
      </c>
    </row>
    <row r="24321" spans="1:2" ht="12.75" customHeight="1" x14ac:dyDescent="0.25">
      <c r="A24321" s="318">
        <v>363910117137</v>
      </c>
      <c r="B24321" s="318" t="s">
        <v>237</v>
      </c>
    </row>
    <row r="24322" spans="1:2" ht="12.75" customHeight="1" x14ac:dyDescent="0.25">
      <c r="A24322" s="318">
        <v>363910117139</v>
      </c>
      <c r="B24322" s="318" t="s">
        <v>237</v>
      </c>
    </row>
    <row r="24323" spans="1:2" ht="12.75" customHeight="1" x14ac:dyDescent="0.25">
      <c r="A24323" s="318">
        <v>363910117140</v>
      </c>
      <c r="B24323" s="318" t="s">
        <v>237</v>
      </c>
    </row>
    <row r="24324" spans="1:2" ht="12.75" customHeight="1" x14ac:dyDescent="0.25">
      <c r="A24324" s="318">
        <v>363910117141</v>
      </c>
      <c r="B24324" s="318" t="s">
        <v>237</v>
      </c>
    </row>
    <row r="24325" spans="1:2" ht="12.75" customHeight="1" x14ac:dyDescent="0.25">
      <c r="A24325" s="318">
        <v>363910117142</v>
      </c>
      <c r="B24325" s="318" t="s">
        <v>237</v>
      </c>
    </row>
    <row r="24326" spans="1:2" ht="12.75" customHeight="1" x14ac:dyDescent="0.25">
      <c r="A24326" s="318">
        <v>363910117143</v>
      </c>
      <c r="B24326" s="318" t="s">
        <v>237</v>
      </c>
    </row>
    <row r="24327" spans="1:2" ht="12.75" customHeight="1" x14ac:dyDescent="0.25">
      <c r="A24327" s="318">
        <v>363910117144</v>
      </c>
      <c r="B24327" s="318" t="s">
        <v>237</v>
      </c>
    </row>
    <row r="24328" spans="1:2" ht="12.75" customHeight="1" x14ac:dyDescent="0.25">
      <c r="A24328" s="318">
        <v>363910117145</v>
      </c>
      <c r="B24328" s="318" t="s">
        <v>237</v>
      </c>
    </row>
    <row r="24329" spans="1:2" ht="12.75" customHeight="1" x14ac:dyDescent="0.25">
      <c r="A24329" s="318">
        <v>363910117146</v>
      </c>
      <c r="B24329" s="318" t="s">
        <v>237</v>
      </c>
    </row>
    <row r="24330" spans="1:2" ht="12.75" customHeight="1" x14ac:dyDescent="0.25">
      <c r="A24330" s="318">
        <v>363910598103</v>
      </c>
      <c r="B24330" s="318" t="s">
        <v>23</v>
      </c>
    </row>
    <row r="24331" spans="1:2" ht="12.75" customHeight="1" x14ac:dyDescent="0.25">
      <c r="A24331" s="318">
        <v>363910598104</v>
      </c>
      <c r="B24331" s="318" t="s">
        <v>23</v>
      </c>
    </row>
    <row r="24332" spans="1:2" ht="12.75" customHeight="1" x14ac:dyDescent="0.25">
      <c r="A24332" s="318">
        <v>363910598105</v>
      </c>
      <c r="B24332" s="318" t="s">
        <v>23</v>
      </c>
    </row>
    <row r="24333" spans="1:2" ht="12.75" customHeight="1" x14ac:dyDescent="0.25">
      <c r="A24333" s="318">
        <v>363910598106</v>
      </c>
      <c r="B24333" s="318" t="s">
        <v>23</v>
      </c>
    </row>
    <row r="24334" spans="1:2" ht="12.75" customHeight="1" x14ac:dyDescent="0.25">
      <c r="A24334" s="318">
        <v>363910598107</v>
      </c>
      <c r="B24334" s="318" t="s">
        <v>23</v>
      </c>
    </row>
    <row r="24335" spans="1:2" ht="12.75" customHeight="1" x14ac:dyDescent="0.25">
      <c r="A24335" s="318">
        <v>363910598108</v>
      </c>
      <c r="B24335" s="318" t="s">
        <v>23</v>
      </c>
    </row>
    <row r="24336" spans="1:2" ht="12.75" customHeight="1" x14ac:dyDescent="0.25">
      <c r="A24336" s="318">
        <v>363910598109</v>
      </c>
      <c r="B24336" s="318" t="s">
        <v>237</v>
      </c>
    </row>
    <row r="24337" spans="1:2" ht="12.75" customHeight="1" x14ac:dyDescent="0.25">
      <c r="A24337" s="318">
        <v>363910598110</v>
      </c>
      <c r="B24337" s="318" t="s">
        <v>237</v>
      </c>
    </row>
    <row r="24338" spans="1:2" ht="12.75" customHeight="1" x14ac:dyDescent="0.25">
      <c r="A24338" s="318">
        <v>363910598112</v>
      </c>
      <c r="B24338" s="318" t="s">
        <v>23</v>
      </c>
    </row>
    <row r="24339" spans="1:2" ht="12.75" customHeight="1" x14ac:dyDescent="0.25">
      <c r="A24339" s="318">
        <v>363910598113</v>
      </c>
      <c r="B24339" s="318" t="s">
        <v>23</v>
      </c>
    </row>
    <row r="24340" spans="1:2" ht="12.75" customHeight="1" x14ac:dyDescent="0.25">
      <c r="A24340" s="318">
        <v>363910598114</v>
      </c>
      <c r="B24340" s="318" t="s">
        <v>23</v>
      </c>
    </row>
    <row r="24341" spans="1:2" ht="12.75" customHeight="1" x14ac:dyDescent="0.25">
      <c r="A24341" s="318">
        <v>363910598115</v>
      </c>
      <c r="B24341" s="318" t="s">
        <v>23</v>
      </c>
    </row>
    <row r="24342" spans="1:2" ht="12.75" customHeight="1" x14ac:dyDescent="0.25">
      <c r="A24342" s="318">
        <v>363910598116</v>
      </c>
      <c r="B24342" s="318" t="s">
        <v>23</v>
      </c>
    </row>
    <row r="24343" spans="1:2" ht="12.75" customHeight="1" x14ac:dyDescent="0.25">
      <c r="A24343" s="318">
        <v>363910598117</v>
      </c>
      <c r="B24343" s="318" t="s">
        <v>23</v>
      </c>
    </row>
    <row r="24344" spans="1:2" ht="12.75" customHeight="1" x14ac:dyDescent="0.25">
      <c r="A24344" s="318">
        <v>363910598118</v>
      </c>
      <c r="B24344" s="318" t="s">
        <v>237</v>
      </c>
    </row>
    <row r="24345" spans="1:2" ht="12.75" customHeight="1" x14ac:dyDescent="0.25">
      <c r="A24345" s="318">
        <v>363910598119</v>
      </c>
      <c r="B24345" s="318" t="s">
        <v>237</v>
      </c>
    </row>
    <row r="24346" spans="1:2" ht="12.75" customHeight="1" x14ac:dyDescent="0.25">
      <c r="A24346" s="318">
        <v>363911278294</v>
      </c>
      <c r="B24346" s="318" t="s">
        <v>23</v>
      </c>
    </row>
    <row r="24347" spans="1:2" ht="12.75" customHeight="1" x14ac:dyDescent="0.25">
      <c r="A24347" s="318">
        <v>363911278295</v>
      </c>
      <c r="B24347" s="318" t="s">
        <v>23</v>
      </c>
    </row>
    <row r="24348" spans="1:2" ht="12.75" customHeight="1" x14ac:dyDescent="0.25">
      <c r="A24348" s="318">
        <v>363911278296</v>
      </c>
      <c r="B24348" s="318" t="s">
        <v>23</v>
      </c>
    </row>
    <row r="24349" spans="1:2" ht="12.75" customHeight="1" x14ac:dyDescent="0.25">
      <c r="A24349" s="318">
        <v>363911278297</v>
      </c>
      <c r="B24349" s="318" t="s">
        <v>23</v>
      </c>
    </row>
    <row r="24350" spans="1:2" ht="12.75" customHeight="1" x14ac:dyDescent="0.25">
      <c r="A24350" s="318">
        <v>363911278298</v>
      </c>
      <c r="B24350" s="318" t="s">
        <v>23</v>
      </c>
    </row>
    <row r="24351" spans="1:2" ht="12.75" customHeight="1" x14ac:dyDescent="0.25">
      <c r="A24351" s="318">
        <v>363911278299</v>
      </c>
      <c r="B24351" s="318" t="s">
        <v>23</v>
      </c>
    </row>
    <row r="24352" spans="1:2" ht="12.75" customHeight="1" x14ac:dyDescent="0.25">
      <c r="A24352" s="318">
        <v>363911278300</v>
      </c>
      <c r="B24352" s="318" t="s">
        <v>237</v>
      </c>
    </row>
    <row r="24353" spans="1:2" ht="12.75" customHeight="1" x14ac:dyDescent="0.25">
      <c r="A24353" s="318">
        <v>363911278301</v>
      </c>
      <c r="B24353" s="318" t="s">
        <v>237</v>
      </c>
    </row>
    <row r="24354" spans="1:2" ht="12.75" customHeight="1" x14ac:dyDescent="0.25">
      <c r="A24354" s="318">
        <v>363911278303</v>
      </c>
      <c r="B24354" s="318" t="s">
        <v>237</v>
      </c>
    </row>
    <row r="24355" spans="1:2" ht="12.75" customHeight="1" x14ac:dyDescent="0.25">
      <c r="A24355" s="318">
        <v>363911278304</v>
      </c>
      <c r="B24355" s="318" t="s">
        <v>237</v>
      </c>
    </row>
    <row r="24356" spans="1:2" ht="12.75" customHeight="1" x14ac:dyDescent="0.25">
      <c r="A24356" s="318">
        <v>363911278305</v>
      </c>
      <c r="B24356" s="318" t="s">
        <v>237</v>
      </c>
    </row>
    <row r="24357" spans="1:2" ht="12.75" customHeight="1" x14ac:dyDescent="0.25">
      <c r="A24357" s="318">
        <v>363911278306</v>
      </c>
      <c r="B24357" s="318" t="s">
        <v>237</v>
      </c>
    </row>
    <row r="24358" spans="1:2" ht="12.75" customHeight="1" x14ac:dyDescent="0.25">
      <c r="A24358" s="318">
        <v>363911278307</v>
      </c>
      <c r="B24358" s="318" t="s">
        <v>237</v>
      </c>
    </row>
    <row r="24359" spans="1:2" ht="12.75" customHeight="1" x14ac:dyDescent="0.25">
      <c r="A24359" s="318">
        <v>363911278308</v>
      </c>
      <c r="B24359" s="318" t="s">
        <v>237</v>
      </c>
    </row>
    <row r="24360" spans="1:2" ht="12.75" customHeight="1" x14ac:dyDescent="0.25">
      <c r="A24360" s="318">
        <v>363911278309</v>
      </c>
      <c r="B24360" s="318" t="s">
        <v>237</v>
      </c>
    </row>
    <row r="24361" spans="1:2" ht="12.75" customHeight="1" x14ac:dyDescent="0.25">
      <c r="A24361" s="318">
        <v>363911278310</v>
      </c>
      <c r="B24361" s="318" t="s">
        <v>237</v>
      </c>
    </row>
    <row r="24362" spans="1:2" ht="12.75" customHeight="1" x14ac:dyDescent="0.25">
      <c r="A24362" s="318">
        <v>363911759267</v>
      </c>
      <c r="B24362" s="318" t="s">
        <v>23</v>
      </c>
    </row>
    <row r="24363" spans="1:2" ht="12.75" customHeight="1" x14ac:dyDescent="0.25">
      <c r="A24363" s="318">
        <v>363911759268</v>
      </c>
      <c r="B24363" s="318" t="s">
        <v>23</v>
      </c>
    </row>
    <row r="24364" spans="1:2" ht="12.75" customHeight="1" x14ac:dyDescent="0.25">
      <c r="A24364" s="318">
        <v>363911759269</v>
      </c>
      <c r="B24364" s="318" t="s">
        <v>23</v>
      </c>
    </row>
    <row r="24365" spans="1:2" ht="12.75" customHeight="1" x14ac:dyDescent="0.25">
      <c r="A24365" s="318">
        <v>363911759270</v>
      </c>
      <c r="B24365" s="318" t="s">
        <v>23</v>
      </c>
    </row>
    <row r="24366" spans="1:2" ht="12.75" customHeight="1" x14ac:dyDescent="0.25">
      <c r="A24366" s="318">
        <v>363911759271</v>
      </c>
      <c r="B24366" s="318" t="s">
        <v>23</v>
      </c>
    </row>
    <row r="24367" spans="1:2" ht="12.75" customHeight="1" x14ac:dyDescent="0.25">
      <c r="A24367" s="318">
        <v>363911759272</v>
      </c>
      <c r="B24367" s="318" t="s">
        <v>23</v>
      </c>
    </row>
    <row r="24368" spans="1:2" ht="12.75" customHeight="1" x14ac:dyDescent="0.25">
      <c r="A24368" s="318">
        <v>363911759273</v>
      </c>
      <c r="B24368" s="318" t="s">
        <v>237</v>
      </c>
    </row>
    <row r="24369" spans="1:2" ht="12.75" customHeight="1" x14ac:dyDescent="0.25">
      <c r="A24369" s="318">
        <v>363911759274</v>
      </c>
      <c r="B24369" s="318" t="s">
        <v>237</v>
      </c>
    </row>
    <row r="24370" spans="1:2" ht="12.75" customHeight="1" x14ac:dyDescent="0.25">
      <c r="A24370" s="318">
        <v>363911759276</v>
      </c>
      <c r="B24370" s="318" t="s">
        <v>237</v>
      </c>
    </row>
    <row r="24371" spans="1:2" ht="12.75" customHeight="1" x14ac:dyDescent="0.25">
      <c r="A24371" s="318">
        <v>363911759277</v>
      </c>
      <c r="B24371" s="318" t="s">
        <v>237</v>
      </c>
    </row>
    <row r="24372" spans="1:2" ht="12.75" customHeight="1" x14ac:dyDescent="0.25">
      <c r="A24372" s="318">
        <v>363911759278</v>
      </c>
      <c r="B24372" s="318" t="s">
        <v>237</v>
      </c>
    </row>
    <row r="24373" spans="1:2" ht="12.75" customHeight="1" x14ac:dyDescent="0.25">
      <c r="A24373" s="318">
        <v>363911759279</v>
      </c>
      <c r="B24373" s="318" t="s">
        <v>237</v>
      </c>
    </row>
    <row r="24374" spans="1:2" ht="12.75" customHeight="1" x14ac:dyDescent="0.25">
      <c r="A24374" s="318">
        <v>363911759280</v>
      </c>
      <c r="B24374" s="318" t="s">
        <v>237</v>
      </c>
    </row>
    <row r="24375" spans="1:2" ht="12.75" customHeight="1" x14ac:dyDescent="0.25">
      <c r="A24375" s="318">
        <v>363911759281</v>
      </c>
      <c r="B24375" s="318" t="s">
        <v>237</v>
      </c>
    </row>
    <row r="24376" spans="1:2" ht="12.75" customHeight="1" x14ac:dyDescent="0.25">
      <c r="A24376" s="318">
        <v>363911759282</v>
      </c>
      <c r="B24376" s="318" t="s">
        <v>237</v>
      </c>
    </row>
    <row r="24377" spans="1:2" ht="12.75" customHeight="1" x14ac:dyDescent="0.25">
      <c r="A24377" s="318">
        <v>363911759283</v>
      </c>
      <c r="B24377" s="318" t="s">
        <v>237</v>
      </c>
    </row>
    <row r="24378" spans="1:2" ht="12.75" customHeight="1" x14ac:dyDescent="0.25">
      <c r="A24378" s="318">
        <v>363912240240</v>
      </c>
      <c r="B24378" s="318" t="s">
        <v>23</v>
      </c>
    </row>
    <row r="24379" spans="1:2" ht="12.75" customHeight="1" x14ac:dyDescent="0.25">
      <c r="A24379" s="318">
        <v>363912240241</v>
      </c>
      <c r="B24379" s="318" t="s">
        <v>23</v>
      </c>
    </row>
    <row r="24380" spans="1:2" ht="12.75" customHeight="1" x14ac:dyDescent="0.25">
      <c r="A24380" s="318">
        <v>363912240242</v>
      </c>
      <c r="B24380" s="318" t="s">
        <v>23</v>
      </c>
    </row>
    <row r="24381" spans="1:2" ht="12.75" customHeight="1" x14ac:dyDescent="0.25">
      <c r="A24381" s="318">
        <v>363912240243</v>
      </c>
      <c r="B24381" s="318" t="s">
        <v>23</v>
      </c>
    </row>
    <row r="24382" spans="1:2" ht="12.75" customHeight="1" x14ac:dyDescent="0.25">
      <c r="A24382" s="318">
        <v>363912240244</v>
      </c>
      <c r="B24382" s="318" t="s">
        <v>23</v>
      </c>
    </row>
    <row r="24383" spans="1:2" ht="12.75" customHeight="1" x14ac:dyDescent="0.25">
      <c r="A24383" s="318">
        <v>363912240245</v>
      </c>
      <c r="B24383" s="318" t="s">
        <v>23</v>
      </c>
    </row>
    <row r="24384" spans="1:2" ht="12.75" customHeight="1" x14ac:dyDescent="0.25">
      <c r="A24384" s="318">
        <v>363912240246</v>
      </c>
      <c r="B24384" s="318" t="s">
        <v>237</v>
      </c>
    </row>
    <row r="24385" spans="1:2" ht="12.75" customHeight="1" x14ac:dyDescent="0.25">
      <c r="A24385" s="318">
        <v>363912240247</v>
      </c>
      <c r="B24385" s="318" t="s">
        <v>237</v>
      </c>
    </row>
    <row r="24386" spans="1:2" ht="12.75" customHeight="1" x14ac:dyDescent="0.25">
      <c r="A24386" s="318">
        <v>363912240249</v>
      </c>
      <c r="B24386" s="318" t="s">
        <v>23</v>
      </c>
    </row>
    <row r="24387" spans="1:2" ht="12.75" customHeight="1" x14ac:dyDescent="0.25">
      <c r="A24387" s="318">
        <v>363912240250</v>
      </c>
      <c r="B24387" s="318" t="s">
        <v>23</v>
      </c>
    </row>
    <row r="24388" spans="1:2" ht="12.75" customHeight="1" x14ac:dyDescent="0.25">
      <c r="A24388" s="318">
        <v>363912240251</v>
      </c>
      <c r="B24388" s="318" t="s">
        <v>23</v>
      </c>
    </row>
    <row r="24389" spans="1:2" ht="12.75" customHeight="1" x14ac:dyDescent="0.25">
      <c r="A24389" s="318">
        <v>363912240252</v>
      </c>
      <c r="B24389" s="318" t="s">
        <v>23</v>
      </c>
    </row>
    <row r="24390" spans="1:2" ht="12.75" customHeight="1" x14ac:dyDescent="0.25">
      <c r="A24390" s="318">
        <v>363912240253</v>
      </c>
      <c r="B24390" s="318" t="s">
        <v>23</v>
      </c>
    </row>
    <row r="24391" spans="1:2" ht="12.75" customHeight="1" x14ac:dyDescent="0.25">
      <c r="A24391" s="318">
        <v>363912240254</v>
      </c>
      <c r="B24391" s="318" t="s">
        <v>23</v>
      </c>
    </row>
    <row r="24392" spans="1:2" ht="12.75" customHeight="1" x14ac:dyDescent="0.25">
      <c r="A24392" s="318">
        <v>363912240255</v>
      </c>
      <c r="B24392" s="318" t="s">
        <v>237</v>
      </c>
    </row>
    <row r="24393" spans="1:2" ht="12.75" customHeight="1" x14ac:dyDescent="0.25">
      <c r="A24393" s="318">
        <v>363912240256</v>
      </c>
      <c r="B24393" s="318" t="s">
        <v>237</v>
      </c>
    </row>
    <row r="24394" spans="1:2" ht="12.75" customHeight="1" x14ac:dyDescent="0.25">
      <c r="A24394" s="318">
        <v>363912920431</v>
      </c>
      <c r="B24394" s="318" t="s">
        <v>23</v>
      </c>
    </row>
    <row r="24395" spans="1:2" ht="12.75" customHeight="1" x14ac:dyDescent="0.25">
      <c r="A24395" s="318">
        <v>363912920432</v>
      </c>
      <c r="B24395" s="318" t="s">
        <v>23</v>
      </c>
    </row>
    <row r="24396" spans="1:2" ht="12.75" customHeight="1" x14ac:dyDescent="0.25">
      <c r="A24396" s="318">
        <v>363912920433</v>
      </c>
      <c r="B24396" s="318" t="s">
        <v>23</v>
      </c>
    </row>
    <row r="24397" spans="1:2" ht="12.75" customHeight="1" x14ac:dyDescent="0.25">
      <c r="A24397" s="318">
        <v>363912920434</v>
      </c>
      <c r="B24397" s="318" t="s">
        <v>23</v>
      </c>
    </row>
    <row r="24398" spans="1:2" ht="12.75" customHeight="1" x14ac:dyDescent="0.25">
      <c r="A24398" s="318">
        <v>363912920435</v>
      </c>
      <c r="B24398" s="318" t="s">
        <v>23</v>
      </c>
    </row>
    <row r="24399" spans="1:2" ht="12.75" customHeight="1" x14ac:dyDescent="0.25">
      <c r="A24399" s="318">
        <v>363912920436</v>
      </c>
      <c r="B24399" s="318" t="s">
        <v>23</v>
      </c>
    </row>
    <row r="24400" spans="1:2" ht="12.75" customHeight="1" x14ac:dyDescent="0.25">
      <c r="A24400" s="318">
        <v>363912920437</v>
      </c>
      <c r="B24400" s="318" t="s">
        <v>237</v>
      </c>
    </row>
    <row r="24401" spans="1:2" ht="12.75" customHeight="1" x14ac:dyDescent="0.25">
      <c r="A24401" s="318">
        <v>363912920438</v>
      </c>
      <c r="B24401" s="318" t="s">
        <v>237</v>
      </c>
    </row>
    <row r="24402" spans="1:2" ht="12.75" customHeight="1" x14ac:dyDescent="0.25">
      <c r="A24402" s="318">
        <v>363912920440</v>
      </c>
      <c r="B24402" s="318" t="s">
        <v>23</v>
      </c>
    </row>
    <row r="24403" spans="1:2" ht="12.75" customHeight="1" x14ac:dyDescent="0.25">
      <c r="A24403" s="318">
        <v>363912920441</v>
      </c>
      <c r="B24403" s="318" t="s">
        <v>23</v>
      </c>
    </row>
    <row r="24404" spans="1:2" ht="12.75" customHeight="1" x14ac:dyDescent="0.25">
      <c r="A24404" s="318">
        <v>363912920442</v>
      </c>
      <c r="B24404" s="318" t="s">
        <v>23</v>
      </c>
    </row>
    <row r="24405" spans="1:2" ht="12.75" customHeight="1" x14ac:dyDescent="0.25">
      <c r="A24405" s="318">
        <v>363912920443</v>
      </c>
      <c r="B24405" s="318" t="s">
        <v>23</v>
      </c>
    </row>
    <row r="24406" spans="1:2" ht="12.75" customHeight="1" x14ac:dyDescent="0.25">
      <c r="A24406" s="318">
        <v>363912920444</v>
      </c>
      <c r="B24406" s="318" t="s">
        <v>23</v>
      </c>
    </row>
    <row r="24407" spans="1:2" ht="12.75" customHeight="1" x14ac:dyDescent="0.25">
      <c r="A24407" s="318">
        <v>363912920445</v>
      </c>
      <c r="B24407" s="318" t="s">
        <v>23</v>
      </c>
    </row>
    <row r="24408" spans="1:2" ht="12.75" customHeight="1" x14ac:dyDescent="0.25">
      <c r="A24408" s="318">
        <v>363912920446</v>
      </c>
      <c r="B24408" s="318" t="s">
        <v>237</v>
      </c>
    </row>
    <row r="24409" spans="1:2" ht="12.75" customHeight="1" x14ac:dyDescent="0.25">
      <c r="A24409" s="318">
        <v>363912920447</v>
      </c>
      <c r="B24409" s="318" t="s">
        <v>237</v>
      </c>
    </row>
    <row r="24410" spans="1:2" ht="12.75" customHeight="1" x14ac:dyDescent="0.25">
      <c r="A24410" s="318">
        <v>363913401404</v>
      </c>
      <c r="B24410" s="318" t="s">
        <v>23</v>
      </c>
    </row>
    <row r="24411" spans="1:2" ht="12.75" customHeight="1" x14ac:dyDescent="0.25">
      <c r="A24411" s="318">
        <v>363913401405</v>
      </c>
      <c r="B24411" s="318" t="s">
        <v>23</v>
      </c>
    </row>
    <row r="24412" spans="1:2" ht="12.75" customHeight="1" x14ac:dyDescent="0.25">
      <c r="A24412" s="318">
        <v>363913401406</v>
      </c>
      <c r="B24412" s="318" t="s">
        <v>23</v>
      </c>
    </row>
    <row r="24413" spans="1:2" ht="12.75" customHeight="1" x14ac:dyDescent="0.25">
      <c r="A24413" s="318">
        <v>363913401407</v>
      </c>
      <c r="B24413" s="318" t="s">
        <v>23</v>
      </c>
    </row>
    <row r="24414" spans="1:2" ht="12.75" customHeight="1" x14ac:dyDescent="0.25">
      <c r="A24414" s="318">
        <v>363913401408</v>
      </c>
      <c r="B24414" s="318" t="s">
        <v>23</v>
      </c>
    </row>
    <row r="24415" spans="1:2" ht="12.75" customHeight="1" x14ac:dyDescent="0.25">
      <c r="A24415" s="318">
        <v>363913401409</v>
      </c>
      <c r="B24415" s="318" t="s">
        <v>23</v>
      </c>
    </row>
    <row r="24416" spans="1:2" ht="12.75" customHeight="1" x14ac:dyDescent="0.25">
      <c r="A24416" s="318">
        <v>363913401410</v>
      </c>
      <c r="B24416" s="318" t="s">
        <v>237</v>
      </c>
    </row>
    <row r="24417" spans="1:2" ht="12.75" customHeight="1" x14ac:dyDescent="0.25">
      <c r="A24417" s="318">
        <v>363913401411</v>
      </c>
      <c r="B24417" s="318" t="s">
        <v>237</v>
      </c>
    </row>
    <row r="24418" spans="1:2" ht="12.75" customHeight="1" x14ac:dyDescent="0.25">
      <c r="A24418" s="318">
        <v>363913401413</v>
      </c>
      <c r="B24418" s="318" t="s">
        <v>23</v>
      </c>
    </row>
    <row r="24419" spans="1:2" ht="12.75" customHeight="1" x14ac:dyDescent="0.25">
      <c r="A24419" s="318">
        <v>363913401414</v>
      </c>
      <c r="B24419" s="318" t="s">
        <v>23</v>
      </c>
    </row>
    <row r="24420" spans="1:2" ht="12.75" customHeight="1" x14ac:dyDescent="0.25">
      <c r="A24420" s="318">
        <v>363913401415</v>
      </c>
      <c r="B24420" s="318" t="s">
        <v>23</v>
      </c>
    </row>
    <row r="24421" spans="1:2" ht="12.75" customHeight="1" x14ac:dyDescent="0.25">
      <c r="A24421" s="318">
        <v>363913401416</v>
      </c>
      <c r="B24421" s="318" t="s">
        <v>23</v>
      </c>
    </row>
    <row r="24422" spans="1:2" ht="12.75" customHeight="1" x14ac:dyDescent="0.25">
      <c r="A24422" s="318">
        <v>363913401417</v>
      </c>
      <c r="B24422" s="318" t="s">
        <v>23</v>
      </c>
    </row>
    <row r="24423" spans="1:2" ht="12.75" customHeight="1" x14ac:dyDescent="0.25">
      <c r="A24423" s="318">
        <v>363913401418</v>
      </c>
      <c r="B24423" s="318" t="s">
        <v>23</v>
      </c>
    </row>
    <row r="24424" spans="1:2" ht="12.75" customHeight="1" x14ac:dyDescent="0.25">
      <c r="A24424" s="318">
        <v>363913401419</v>
      </c>
      <c r="B24424" s="318" t="s">
        <v>237</v>
      </c>
    </row>
    <row r="24425" spans="1:2" ht="12.75" customHeight="1" x14ac:dyDescent="0.25">
      <c r="A24425" s="318">
        <v>363913401420</v>
      </c>
      <c r="B24425" s="318" t="s">
        <v>237</v>
      </c>
    </row>
    <row r="24426" spans="1:2" ht="12.75" customHeight="1" x14ac:dyDescent="0.25">
      <c r="A24426" s="318">
        <v>363913882377</v>
      </c>
      <c r="B24426" s="318" t="s">
        <v>23</v>
      </c>
    </row>
    <row r="24427" spans="1:2" ht="12.75" customHeight="1" x14ac:dyDescent="0.25">
      <c r="A24427" s="318">
        <v>363913882378</v>
      </c>
      <c r="B24427" s="318" t="s">
        <v>23</v>
      </c>
    </row>
    <row r="24428" spans="1:2" ht="12.75" customHeight="1" x14ac:dyDescent="0.25">
      <c r="A24428" s="318">
        <v>363913882379</v>
      </c>
      <c r="B24428" s="318" t="s">
        <v>23</v>
      </c>
    </row>
    <row r="24429" spans="1:2" ht="12.75" customHeight="1" x14ac:dyDescent="0.25">
      <c r="A24429" s="318">
        <v>363913882380</v>
      </c>
      <c r="B24429" s="318" t="s">
        <v>23</v>
      </c>
    </row>
    <row r="24430" spans="1:2" ht="12.75" customHeight="1" x14ac:dyDescent="0.25">
      <c r="A24430" s="318">
        <v>363913882381</v>
      </c>
      <c r="B24430" s="318" t="s">
        <v>23</v>
      </c>
    </row>
    <row r="24431" spans="1:2" ht="12.75" customHeight="1" x14ac:dyDescent="0.25">
      <c r="A24431" s="318">
        <v>363913882382</v>
      </c>
      <c r="B24431" s="318" t="s">
        <v>23</v>
      </c>
    </row>
    <row r="24432" spans="1:2" ht="12.75" customHeight="1" x14ac:dyDescent="0.25">
      <c r="A24432" s="318">
        <v>363913882383</v>
      </c>
      <c r="B24432" s="318" t="s">
        <v>237</v>
      </c>
    </row>
    <row r="24433" spans="1:2" ht="12.75" customHeight="1" x14ac:dyDescent="0.25">
      <c r="A24433" s="318">
        <v>363913882384</v>
      </c>
      <c r="B24433" s="318" t="s">
        <v>237</v>
      </c>
    </row>
    <row r="24434" spans="1:2" ht="12.75" customHeight="1" x14ac:dyDescent="0.25">
      <c r="A24434" s="318">
        <v>363913882386</v>
      </c>
      <c r="B24434" s="318" t="s">
        <v>23</v>
      </c>
    </row>
    <row r="24435" spans="1:2" ht="12.75" customHeight="1" x14ac:dyDescent="0.25">
      <c r="A24435" s="318">
        <v>363913882387</v>
      </c>
      <c r="B24435" s="318" t="s">
        <v>23</v>
      </c>
    </row>
    <row r="24436" spans="1:2" ht="12.75" customHeight="1" x14ac:dyDescent="0.25">
      <c r="A24436" s="318">
        <v>363913882388</v>
      </c>
      <c r="B24436" s="318" t="s">
        <v>23</v>
      </c>
    </row>
    <row r="24437" spans="1:2" ht="12.75" customHeight="1" x14ac:dyDescent="0.25">
      <c r="A24437" s="318">
        <v>363913882389</v>
      </c>
      <c r="B24437" s="318" t="s">
        <v>23</v>
      </c>
    </row>
    <row r="24438" spans="1:2" ht="12.75" customHeight="1" x14ac:dyDescent="0.25">
      <c r="A24438" s="318">
        <v>363913882390</v>
      </c>
      <c r="B24438" s="318" t="s">
        <v>23</v>
      </c>
    </row>
    <row r="24439" spans="1:2" ht="12.75" customHeight="1" x14ac:dyDescent="0.25">
      <c r="A24439" s="318">
        <v>363913882391</v>
      </c>
      <c r="B24439" s="318" t="s">
        <v>23</v>
      </c>
    </row>
    <row r="24440" spans="1:2" ht="12.75" customHeight="1" x14ac:dyDescent="0.25">
      <c r="A24440" s="318">
        <v>363913882392</v>
      </c>
      <c r="B24440" s="318" t="s">
        <v>237</v>
      </c>
    </row>
    <row r="24441" spans="1:2" ht="12.75" customHeight="1" x14ac:dyDescent="0.25">
      <c r="A24441" s="318">
        <v>363913882393</v>
      </c>
      <c r="B24441" s="318" t="s">
        <v>237</v>
      </c>
    </row>
    <row r="24442" spans="1:2" ht="12.75" customHeight="1" x14ac:dyDescent="0.25">
      <c r="A24442" s="318">
        <v>363915242758</v>
      </c>
      <c r="B24442" s="318" t="s">
        <v>23</v>
      </c>
    </row>
    <row r="24443" spans="1:2" ht="12.75" customHeight="1" x14ac:dyDescent="0.25">
      <c r="A24443" s="318">
        <v>363915242759</v>
      </c>
      <c r="B24443" s="318" t="s">
        <v>23</v>
      </c>
    </row>
    <row r="24444" spans="1:2" ht="12.75" customHeight="1" x14ac:dyDescent="0.25">
      <c r="A24444" s="318">
        <v>363915242760</v>
      </c>
      <c r="B24444" s="318" t="s">
        <v>23</v>
      </c>
    </row>
    <row r="24445" spans="1:2" ht="12.75" customHeight="1" x14ac:dyDescent="0.25">
      <c r="A24445" s="318">
        <v>363915242761</v>
      </c>
      <c r="B24445" s="318" t="s">
        <v>23</v>
      </c>
    </row>
    <row r="24446" spans="1:2" ht="12.75" customHeight="1" x14ac:dyDescent="0.25">
      <c r="A24446" s="318">
        <v>363915242762</v>
      </c>
      <c r="B24446" s="318" t="s">
        <v>23</v>
      </c>
    </row>
    <row r="24447" spans="1:2" ht="12.75" customHeight="1" x14ac:dyDescent="0.25">
      <c r="A24447" s="318">
        <v>363915242763</v>
      </c>
      <c r="B24447" s="318" t="s">
        <v>23</v>
      </c>
    </row>
    <row r="24448" spans="1:2" ht="12.75" customHeight="1" x14ac:dyDescent="0.25">
      <c r="A24448" s="318">
        <v>363915242764</v>
      </c>
      <c r="B24448" s="318" t="s">
        <v>237</v>
      </c>
    </row>
    <row r="24449" spans="1:2" ht="12.75" customHeight="1" x14ac:dyDescent="0.25">
      <c r="A24449" s="318">
        <v>363915242765</v>
      </c>
      <c r="B24449" s="318" t="s">
        <v>237</v>
      </c>
    </row>
    <row r="24450" spans="1:2" ht="12.75" customHeight="1" x14ac:dyDescent="0.25">
      <c r="A24450" s="318">
        <v>363915242767</v>
      </c>
      <c r="B24450" s="318" t="s">
        <v>237</v>
      </c>
    </row>
    <row r="24451" spans="1:2" ht="12.75" customHeight="1" x14ac:dyDescent="0.25">
      <c r="A24451" s="318">
        <v>363915242768</v>
      </c>
      <c r="B24451" s="318" t="s">
        <v>237</v>
      </c>
    </row>
    <row r="24452" spans="1:2" ht="12.75" customHeight="1" x14ac:dyDescent="0.25">
      <c r="A24452" s="318">
        <v>363915242769</v>
      </c>
      <c r="B24452" s="318" t="s">
        <v>237</v>
      </c>
    </row>
    <row r="24453" spans="1:2" ht="12.75" customHeight="1" x14ac:dyDescent="0.25">
      <c r="A24453" s="318">
        <v>363915242770</v>
      </c>
      <c r="B24453" s="318" t="s">
        <v>237</v>
      </c>
    </row>
    <row r="24454" spans="1:2" ht="12.75" customHeight="1" x14ac:dyDescent="0.25">
      <c r="A24454" s="318">
        <v>363915242771</v>
      </c>
      <c r="B24454" s="318" t="s">
        <v>237</v>
      </c>
    </row>
    <row r="24455" spans="1:2" ht="12.75" customHeight="1" x14ac:dyDescent="0.25">
      <c r="A24455" s="318">
        <v>363915242772</v>
      </c>
      <c r="B24455" s="318" t="s">
        <v>237</v>
      </c>
    </row>
    <row r="24456" spans="1:2" ht="12.75" customHeight="1" x14ac:dyDescent="0.25">
      <c r="A24456" s="318">
        <v>363915242773</v>
      </c>
      <c r="B24456" s="318" t="s">
        <v>237</v>
      </c>
    </row>
    <row r="24457" spans="1:2" ht="12.75" customHeight="1" x14ac:dyDescent="0.25">
      <c r="A24457" s="318">
        <v>363915242774</v>
      </c>
      <c r="B24457" s="318" t="s">
        <v>237</v>
      </c>
    </row>
    <row r="24458" spans="1:2" ht="12.75" customHeight="1" x14ac:dyDescent="0.25">
      <c r="A24458" s="318">
        <v>363915723731</v>
      </c>
      <c r="B24458" s="318" t="s">
        <v>23</v>
      </c>
    </row>
    <row r="24459" spans="1:2" ht="12.75" customHeight="1" x14ac:dyDescent="0.25">
      <c r="A24459" s="318">
        <v>363915723732</v>
      </c>
      <c r="B24459" s="318" t="s">
        <v>23</v>
      </c>
    </row>
    <row r="24460" spans="1:2" ht="12.75" customHeight="1" x14ac:dyDescent="0.25">
      <c r="A24460" s="318">
        <v>363915723733</v>
      </c>
      <c r="B24460" s="318" t="s">
        <v>23</v>
      </c>
    </row>
    <row r="24461" spans="1:2" ht="12.75" customHeight="1" x14ac:dyDescent="0.25">
      <c r="A24461" s="318">
        <v>363915723734</v>
      </c>
      <c r="B24461" s="318" t="s">
        <v>23</v>
      </c>
    </row>
    <row r="24462" spans="1:2" ht="12.75" customHeight="1" x14ac:dyDescent="0.25">
      <c r="A24462" s="318">
        <v>363915723735</v>
      </c>
      <c r="B24462" s="318" t="s">
        <v>23</v>
      </c>
    </row>
    <row r="24463" spans="1:2" ht="12.75" customHeight="1" x14ac:dyDescent="0.25">
      <c r="A24463" s="318">
        <v>363915723736</v>
      </c>
      <c r="B24463" s="318" t="s">
        <v>23</v>
      </c>
    </row>
    <row r="24464" spans="1:2" ht="12.75" customHeight="1" x14ac:dyDescent="0.25">
      <c r="A24464" s="318">
        <v>363915723737</v>
      </c>
      <c r="B24464" s="318" t="s">
        <v>237</v>
      </c>
    </row>
    <row r="24465" spans="1:2" ht="12.75" customHeight="1" x14ac:dyDescent="0.25">
      <c r="A24465" s="318">
        <v>363915723738</v>
      </c>
      <c r="B24465" s="318" t="s">
        <v>237</v>
      </c>
    </row>
    <row r="24466" spans="1:2" ht="12.75" customHeight="1" x14ac:dyDescent="0.25">
      <c r="A24466" s="318">
        <v>363915723740</v>
      </c>
      <c r="B24466" s="318" t="s">
        <v>237</v>
      </c>
    </row>
    <row r="24467" spans="1:2" ht="12.75" customHeight="1" x14ac:dyDescent="0.25">
      <c r="A24467" s="318">
        <v>363915723741</v>
      </c>
      <c r="B24467" s="318" t="s">
        <v>237</v>
      </c>
    </row>
    <row r="24468" spans="1:2" ht="12.75" customHeight="1" x14ac:dyDescent="0.25">
      <c r="A24468" s="318">
        <v>363915723742</v>
      </c>
      <c r="B24468" s="318" t="s">
        <v>237</v>
      </c>
    </row>
    <row r="24469" spans="1:2" ht="12.75" customHeight="1" x14ac:dyDescent="0.25">
      <c r="A24469" s="318">
        <v>363915723743</v>
      </c>
      <c r="B24469" s="318" t="s">
        <v>237</v>
      </c>
    </row>
    <row r="24470" spans="1:2" ht="12.75" customHeight="1" x14ac:dyDescent="0.25">
      <c r="A24470" s="318">
        <v>363915723744</v>
      </c>
      <c r="B24470" s="318" t="s">
        <v>237</v>
      </c>
    </row>
    <row r="24471" spans="1:2" ht="12.75" customHeight="1" x14ac:dyDescent="0.25">
      <c r="A24471" s="318">
        <v>363915723745</v>
      </c>
      <c r="B24471" s="318" t="s">
        <v>237</v>
      </c>
    </row>
    <row r="24472" spans="1:2" ht="12.75" customHeight="1" x14ac:dyDescent="0.25">
      <c r="A24472" s="318">
        <v>363915723746</v>
      </c>
      <c r="B24472" s="318" t="s">
        <v>237</v>
      </c>
    </row>
    <row r="24473" spans="1:2" ht="12.75" customHeight="1" x14ac:dyDescent="0.25">
      <c r="A24473" s="318">
        <v>363915723747</v>
      </c>
      <c r="B24473" s="318" t="s">
        <v>237</v>
      </c>
    </row>
    <row r="24474" spans="1:2" ht="12.75" customHeight="1" x14ac:dyDescent="0.25">
      <c r="A24474" s="318">
        <v>363916204704</v>
      </c>
      <c r="B24474" s="318" t="s">
        <v>23</v>
      </c>
    </row>
    <row r="24475" spans="1:2" ht="12.75" customHeight="1" x14ac:dyDescent="0.25">
      <c r="A24475" s="318">
        <v>363916204705</v>
      </c>
      <c r="B24475" s="318" t="s">
        <v>23</v>
      </c>
    </row>
    <row r="24476" spans="1:2" ht="12.75" customHeight="1" x14ac:dyDescent="0.25">
      <c r="A24476" s="318">
        <v>363916204706</v>
      </c>
      <c r="B24476" s="318" t="s">
        <v>23</v>
      </c>
    </row>
    <row r="24477" spans="1:2" ht="12.75" customHeight="1" x14ac:dyDescent="0.25">
      <c r="A24477" s="318">
        <v>363916204707</v>
      </c>
      <c r="B24477" s="318" t="s">
        <v>23</v>
      </c>
    </row>
    <row r="24478" spans="1:2" ht="12.75" customHeight="1" x14ac:dyDescent="0.25">
      <c r="A24478" s="318">
        <v>363916204708</v>
      </c>
      <c r="B24478" s="318" t="s">
        <v>23</v>
      </c>
    </row>
    <row r="24479" spans="1:2" ht="12.75" customHeight="1" x14ac:dyDescent="0.25">
      <c r="A24479" s="318">
        <v>363916204709</v>
      </c>
      <c r="B24479" s="318" t="s">
        <v>23</v>
      </c>
    </row>
    <row r="24480" spans="1:2" ht="12.75" customHeight="1" x14ac:dyDescent="0.25">
      <c r="A24480" s="318">
        <v>363916204710</v>
      </c>
      <c r="B24480" s="318" t="s">
        <v>237</v>
      </c>
    </row>
    <row r="24481" spans="1:2" ht="12.75" customHeight="1" x14ac:dyDescent="0.25">
      <c r="A24481" s="318">
        <v>363916204711</v>
      </c>
      <c r="B24481" s="318" t="s">
        <v>237</v>
      </c>
    </row>
    <row r="24482" spans="1:2" ht="12.75" customHeight="1" x14ac:dyDescent="0.25">
      <c r="A24482" s="318">
        <v>363916204713</v>
      </c>
      <c r="B24482" s="318" t="s">
        <v>23</v>
      </c>
    </row>
    <row r="24483" spans="1:2" ht="12.75" customHeight="1" x14ac:dyDescent="0.25">
      <c r="A24483" s="318">
        <v>363916204714</v>
      </c>
      <c r="B24483" s="318" t="s">
        <v>23</v>
      </c>
    </row>
    <row r="24484" spans="1:2" ht="12.75" customHeight="1" x14ac:dyDescent="0.25">
      <c r="A24484" s="318">
        <v>363916204715</v>
      </c>
      <c r="B24484" s="318" t="s">
        <v>23</v>
      </c>
    </row>
    <row r="24485" spans="1:2" ht="12.75" customHeight="1" x14ac:dyDescent="0.25">
      <c r="A24485" s="318">
        <v>363916204716</v>
      </c>
      <c r="B24485" s="318" t="s">
        <v>23</v>
      </c>
    </row>
    <row r="24486" spans="1:2" ht="12.75" customHeight="1" x14ac:dyDescent="0.25">
      <c r="A24486" s="318">
        <v>363916204717</v>
      </c>
      <c r="B24486" s="318" t="s">
        <v>23</v>
      </c>
    </row>
    <row r="24487" spans="1:2" ht="12.75" customHeight="1" x14ac:dyDescent="0.25">
      <c r="A24487" s="318">
        <v>363916204718</v>
      </c>
      <c r="B24487" s="318" t="s">
        <v>23</v>
      </c>
    </row>
    <row r="24488" spans="1:2" ht="12.75" customHeight="1" x14ac:dyDescent="0.25">
      <c r="A24488" s="318">
        <v>363916204719</v>
      </c>
      <c r="B24488" s="318" t="s">
        <v>237</v>
      </c>
    </row>
    <row r="24489" spans="1:2" ht="12.75" customHeight="1" x14ac:dyDescent="0.25">
      <c r="A24489" s="318">
        <v>363916204720</v>
      </c>
      <c r="B24489" s="318" t="s">
        <v>237</v>
      </c>
    </row>
    <row r="24490" spans="1:2" ht="12.75" customHeight="1" x14ac:dyDescent="0.25">
      <c r="A24490" s="318">
        <v>363916884895</v>
      </c>
      <c r="B24490" s="318" t="s">
        <v>23</v>
      </c>
    </row>
    <row r="24491" spans="1:2" ht="12.75" customHeight="1" x14ac:dyDescent="0.25">
      <c r="A24491" s="318">
        <v>363916884896</v>
      </c>
      <c r="B24491" s="318" t="s">
        <v>23</v>
      </c>
    </row>
    <row r="24492" spans="1:2" ht="12.75" customHeight="1" x14ac:dyDescent="0.25">
      <c r="A24492" s="318">
        <v>363916884897</v>
      </c>
      <c r="B24492" s="318" t="s">
        <v>23</v>
      </c>
    </row>
    <row r="24493" spans="1:2" ht="12.75" customHeight="1" x14ac:dyDescent="0.25">
      <c r="A24493" s="318">
        <v>363916884898</v>
      </c>
      <c r="B24493" s="318" t="s">
        <v>23</v>
      </c>
    </row>
    <row r="24494" spans="1:2" ht="12.75" customHeight="1" x14ac:dyDescent="0.25">
      <c r="A24494" s="318">
        <v>363916884899</v>
      </c>
      <c r="B24494" s="318" t="s">
        <v>23</v>
      </c>
    </row>
    <row r="24495" spans="1:2" ht="12.75" customHeight="1" x14ac:dyDescent="0.25">
      <c r="A24495" s="318">
        <v>363916884900</v>
      </c>
      <c r="B24495" s="318" t="s">
        <v>23</v>
      </c>
    </row>
    <row r="24496" spans="1:2" ht="12.75" customHeight="1" x14ac:dyDescent="0.25">
      <c r="A24496" s="318">
        <v>363916884901</v>
      </c>
      <c r="B24496" s="318" t="s">
        <v>237</v>
      </c>
    </row>
    <row r="24497" spans="1:2" ht="12.75" customHeight="1" x14ac:dyDescent="0.25">
      <c r="A24497" s="318">
        <v>363916884902</v>
      </c>
      <c r="B24497" s="318" t="s">
        <v>237</v>
      </c>
    </row>
    <row r="24498" spans="1:2" ht="12.75" customHeight="1" x14ac:dyDescent="0.25">
      <c r="A24498" s="318">
        <v>363916884904</v>
      </c>
      <c r="B24498" s="318" t="s">
        <v>237</v>
      </c>
    </row>
    <row r="24499" spans="1:2" ht="12.75" customHeight="1" x14ac:dyDescent="0.25">
      <c r="A24499" s="318">
        <v>363916884905</v>
      </c>
      <c r="B24499" s="318" t="s">
        <v>237</v>
      </c>
    </row>
    <row r="24500" spans="1:2" ht="12.75" customHeight="1" x14ac:dyDescent="0.25">
      <c r="A24500" s="318">
        <v>363916884906</v>
      </c>
      <c r="B24500" s="318" t="s">
        <v>237</v>
      </c>
    </row>
    <row r="24501" spans="1:2" ht="12.75" customHeight="1" x14ac:dyDescent="0.25">
      <c r="A24501" s="318">
        <v>363916884907</v>
      </c>
      <c r="B24501" s="318" t="s">
        <v>237</v>
      </c>
    </row>
    <row r="24502" spans="1:2" ht="12.75" customHeight="1" x14ac:dyDescent="0.25">
      <c r="A24502" s="318">
        <v>363916884908</v>
      </c>
      <c r="B24502" s="318" t="s">
        <v>237</v>
      </c>
    </row>
    <row r="24503" spans="1:2" ht="12.75" customHeight="1" x14ac:dyDescent="0.25">
      <c r="A24503" s="318">
        <v>363916884909</v>
      </c>
      <c r="B24503" s="318" t="s">
        <v>237</v>
      </c>
    </row>
    <row r="24504" spans="1:2" ht="12.75" customHeight="1" x14ac:dyDescent="0.25">
      <c r="A24504" s="318">
        <v>363916884910</v>
      </c>
      <c r="B24504" s="318" t="s">
        <v>237</v>
      </c>
    </row>
    <row r="24505" spans="1:2" ht="12.75" customHeight="1" x14ac:dyDescent="0.25">
      <c r="A24505" s="318">
        <v>363916884911</v>
      </c>
      <c r="B24505" s="318" t="s">
        <v>237</v>
      </c>
    </row>
    <row r="24506" spans="1:2" ht="12.75" customHeight="1" x14ac:dyDescent="0.25">
      <c r="A24506" s="318">
        <v>363917365868</v>
      </c>
      <c r="B24506" s="318" t="s">
        <v>23</v>
      </c>
    </row>
    <row r="24507" spans="1:2" ht="12.75" customHeight="1" x14ac:dyDescent="0.25">
      <c r="A24507" s="318">
        <v>363917365869</v>
      </c>
      <c r="B24507" s="318" t="s">
        <v>23</v>
      </c>
    </row>
    <row r="24508" spans="1:2" ht="12.75" customHeight="1" x14ac:dyDescent="0.25">
      <c r="A24508" s="318">
        <v>363917365870</v>
      </c>
      <c r="B24508" s="318" t="s">
        <v>23</v>
      </c>
    </row>
    <row r="24509" spans="1:2" ht="12.75" customHeight="1" x14ac:dyDescent="0.25">
      <c r="A24509" s="318">
        <v>363917365871</v>
      </c>
      <c r="B24509" s="318" t="s">
        <v>23</v>
      </c>
    </row>
    <row r="24510" spans="1:2" ht="12.75" customHeight="1" x14ac:dyDescent="0.25">
      <c r="A24510" s="318">
        <v>363917365872</v>
      </c>
      <c r="B24510" s="318" t="s">
        <v>23</v>
      </c>
    </row>
    <row r="24511" spans="1:2" ht="12.75" customHeight="1" x14ac:dyDescent="0.25">
      <c r="A24511" s="318">
        <v>363917365873</v>
      </c>
      <c r="B24511" s="318" t="s">
        <v>23</v>
      </c>
    </row>
    <row r="24512" spans="1:2" ht="12.75" customHeight="1" x14ac:dyDescent="0.25">
      <c r="A24512" s="318">
        <v>363917365874</v>
      </c>
      <c r="B24512" s="318" t="s">
        <v>237</v>
      </c>
    </row>
    <row r="24513" spans="1:2" ht="12.75" customHeight="1" x14ac:dyDescent="0.25">
      <c r="A24513" s="318">
        <v>363917365875</v>
      </c>
      <c r="B24513" s="318" t="s">
        <v>237</v>
      </c>
    </row>
    <row r="24514" spans="1:2" ht="12.75" customHeight="1" x14ac:dyDescent="0.25">
      <c r="A24514" s="318">
        <v>363917365877</v>
      </c>
      <c r="B24514" s="318" t="s">
        <v>237</v>
      </c>
    </row>
    <row r="24515" spans="1:2" ht="12.75" customHeight="1" x14ac:dyDescent="0.25">
      <c r="A24515" s="318">
        <v>363917365878</v>
      </c>
      <c r="B24515" s="318" t="s">
        <v>237</v>
      </c>
    </row>
    <row r="24516" spans="1:2" ht="12.75" customHeight="1" x14ac:dyDescent="0.25">
      <c r="A24516" s="318">
        <v>363917365879</v>
      </c>
      <c r="B24516" s="318" t="s">
        <v>237</v>
      </c>
    </row>
    <row r="24517" spans="1:2" ht="12.75" customHeight="1" x14ac:dyDescent="0.25">
      <c r="A24517" s="318">
        <v>363917365880</v>
      </c>
      <c r="B24517" s="318" t="s">
        <v>237</v>
      </c>
    </row>
    <row r="24518" spans="1:2" ht="12.75" customHeight="1" x14ac:dyDescent="0.25">
      <c r="A24518" s="318">
        <v>363917365881</v>
      </c>
      <c r="B24518" s="318" t="s">
        <v>237</v>
      </c>
    </row>
    <row r="24519" spans="1:2" ht="12.75" customHeight="1" x14ac:dyDescent="0.25">
      <c r="A24519" s="318">
        <v>363917365882</v>
      </c>
      <c r="B24519" s="318" t="s">
        <v>237</v>
      </c>
    </row>
    <row r="24520" spans="1:2" ht="12.75" customHeight="1" x14ac:dyDescent="0.25">
      <c r="A24520" s="318">
        <v>363917365883</v>
      </c>
      <c r="B24520" s="318" t="s">
        <v>237</v>
      </c>
    </row>
    <row r="24521" spans="1:2" ht="12.75" customHeight="1" x14ac:dyDescent="0.25">
      <c r="A24521" s="318">
        <v>363917365884</v>
      </c>
      <c r="B24521" s="318" t="s">
        <v>237</v>
      </c>
    </row>
    <row r="24522" spans="1:2" ht="12.75" customHeight="1" x14ac:dyDescent="0.25">
      <c r="A24522" s="318">
        <v>363917846841</v>
      </c>
      <c r="B24522" s="318" t="s">
        <v>23</v>
      </c>
    </row>
    <row r="24523" spans="1:2" ht="12.75" customHeight="1" x14ac:dyDescent="0.25">
      <c r="A24523" s="318">
        <v>363917846842</v>
      </c>
      <c r="B24523" s="318" t="s">
        <v>23</v>
      </c>
    </row>
    <row r="24524" spans="1:2" ht="12.75" customHeight="1" x14ac:dyDescent="0.25">
      <c r="A24524" s="318">
        <v>363917846843</v>
      </c>
      <c r="B24524" s="318" t="s">
        <v>23</v>
      </c>
    </row>
    <row r="24525" spans="1:2" ht="12.75" customHeight="1" x14ac:dyDescent="0.25">
      <c r="A24525" s="318">
        <v>363917846844</v>
      </c>
      <c r="B24525" s="318" t="s">
        <v>23</v>
      </c>
    </row>
    <row r="24526" spans="1:2" ht="12.75" customHeight="1" x14ac:dyDescent="0.25">
      <c r="A24526" s="318">
        <v>363917846845</v>
      </c>
      <c r="B24526" s="318" t="s">
        <v>23</v>
      </c>
    </row>
    <row r="24527" spans="1:2" ht="12.75" customHeight="1" x14ac:dyDescent="0.25">
      <c r="A24527" s="318">
        <v>363917846846</v>
      </c>
      <c r="B24527" s="318" t="s">
        <v>23</v>
      </c>
    </row>
    <row r="24528" spans="1:2" ht="12.75" customHeight="1" x14ac:dyDescent="0.25">
      <c r="A24528" s="318">
        <v>363917846847</v>
      </c>
      <c r="B24528" s="318" t="s">
        <v>237</v>
      </c>
    </row>
    <row r="24529" spans="1:2" ht="12.75" customHeight="1" x14ac:dyDescent="0.25">
      <c r="A24529" s="318">
        <v>363917846848</v>
      </c>
      <c r="B24529" s="318" t="s">
        <v>237</v>
      </c>
    </row>
    <row r="24530" spans="1:2" ht="12.75" customHeight="1" x14ac:dyDescent="0.25">
      <c r="A24530" s="318">
        <v>363917846850</v>
      </c>
      <c r="B24530" s="318" t="s">
        <v>23</v>
      </c>
    </row>
    <row r="24531" spans="1:2" ht="12.75" customHeight="1" x14ac:dyDescent="0.25">
      <c r="A24531" s="318">
        <v>363917846851</v>
      </c>
      <c r="B24531" s="318" t="s">
        <v>23</v>
      </c>
    </row>
    <row r="24532" spans="1:2" ht="12.75" customHeight="1" x14ac:dyDescent="0.25">
      <c r="A24532" s="318">
        <v>363917846852</v>
      </c>
      <c r="B24532" s="318" t="s">
        <v>23</v>
      </c>
    </row>
    <row r="24533" spans="1:2" ht="12.75" customHeight="1" x14ac:dyDescent="0.25">
      <c r="A24533" s="318">
        <v>363917846853</v>
      </c>
      <c r="B24533" s="318" t="s">
        <v>23</v>
      </c>
    </row>
    <row r="24534" spans="1:2" ht="12.75" customHeight="1" x14ac:dyDescent="0.25">
      <c r="A24534" s="318">
        <v>363917846854</v>
      </c>
      <c r="B24534" s="318" t="s">
        <v>23</v>
      </c>
    </row>
    <row r="24535" spans="1:2" ht="12.75" customHeight="1" x14ac:dyDescent="0.25">
      <c r="A24535" s="318">
        <v>363917846855</v>
      </c>
      <c r="B24535" s="318" t="s">
        <v>23</v>
      </c>
    </row>
    <row r="24536" spans="1:2" ht="12.75" customHeight="1" x14ac:dyDescent="0.25">
      <c r="A24536" s="318">
        <v>363917846856</v>
      </c>
      <c r="B24536" s="318" t="s">
        <v>237</v>
      </c>
    </row>
    <row r="24537" spans="1:2" ht="12.75" customHeight="1" x14ac:dyDescent="0.25">
      <c r="A24537" s="318">
        <v>363917846857</v>
      </c>
      <c r="B24537" s="318" t="s">
        <v>237</v>
      </c>
    </row>
    <row r="24538" spans="1:2" ht="12.75" customHeight="1" x14ac:dyDescent="0.25">
      <c r="A24538" s="318">
        <v>363918527032</v>
      </c>
      <c r="B24538" s="318" t="s">
        <v>23</v>
      </c>
    </row>
    <row r="24539" spans="1:2" ht="12.75" customHeight="1" x14ac:dyDescent="0.25">
      <c r="A24539" s="318">
        <v>363918527033</v>
      </c>
      <c r="B24539" s="318" t="s">
        <v>23</v>
      </c>
    </row>
    <row r="24540" spans="1:2" ht="12.75" customHeight="1" x14ac:dyDescent="0.25">
      <c r="A24540" s="318">
        <v>363918527034</v>
      </c>
      <c r="B24540" s="318" t="s">
        <v>23</v>
      </c>
    </row>
    <row r="24541" spans="1:2" ht="12.75" customHeight="1" x14ac:dyDescent="0.25">
      <c r="A24541" s="318">
        <v>363918527035</v>
      </c>
      <c r="B24541" s="318" t="s">
        <v>23</v>
      </c>
    </row>
    <row r="24542" spans="1:2" ht="12.75" customHeight="1" x14ac:dyDescent="0.25">
      <c r="A24542" s="318">
        <v>363918527036</v>
      </c>
      <c r="B24542" s="318" t="s">
        <v>23</v>
      </c>
    </row>
    <row r="24543" spans="1:2" ht="12.75" customHeight="1" x14ac:dyDescent="0.25">
      <c r="A24543" s="318">
        <v>363918527037</v>
      </c>
      <c r="B24543" s="318" t="s">
        <v>23</v>
      </c>
    </row>
    <row r="24544" spans="1:2" ht="12.75" customHeight="1" x14ac:dyDescent="0.25">
      <c r="A24544" s="318">
        <v>363918527038</v>
      </c>
      <c r="B24544" s="318" t="s">
        <v>237</v>
      </c>
    </row>
    <row r="24545" spans="1:2" ht="12.75" customHeight="1" x14ac:dyDescent="0.25">
      <c r="A24545" s="318">
        <v>363918527039</v>
      </c>
      <c r="B24545" s="318" t="s">
        <v>237</v>
      </c>
    </row>
    <row r="24546" spans="1:2" ht="12.75" customHeight="1" x14ac:dyDescent="0.25">
      <c r="A24546" s="318">
        <v>363918527041</v>
      </c>
      <c r="B24546" s="318" t="s">
        <v>23</v>
      </c>
    </row>
    <row r="24547" spans="1:2" ht="12.75" customHeight="1" x14ac:dyDescent="0.25">
      <c r="A24547" s="318">
        <v>363918527042</v>
      </c>
      <c r="B24547" s="318" t="s">
        <v>23</v>
      </c>
    </row>
    <row r="24548" spans="1:2" ht="12.75" customHeight="1" x14ac:dyDescent="0.25">
      <c r="A24548" s="318">
        <v>363918527043</v>
      </c>
      <c r="B24548" s="318" t="s">
        <v>23</v>
      </c>
    </row>
    <row r="24549" spans="1:2" ht="12.75" customHeight="1" x14ac:dyDescent="0.25">
      <c r="A24549" s="318">
        <v>363918527044</v>
      </c>
      <c r="B24549" s="318" t="s">
        <v>23</v>
      </c>
    </row>
    <row r="24550" spans="1:2" ht="12.75" customHeight="1" x14ac:dyDescent="0.25">
      <c r="A24550" s="318">
        <v>363918527045</v>
      </c>
      <c r="B24550" s="318" t="s">
        <v>23</v>
      </c>
    </row>
    <row r="24551" spans="1:2" ht="12.75" customHeight="1" x14ac:dyDescent="0.25">
      <c r="A24551" s="318">
        <v>363918527046</v>
      </c>
      <c r="B24551" s="318" t="s">
        <v>23</v>
      </c>
    </row>
    <row r="24552" spans="1:2" ht="12.75" customHeight="1" x14ac:dyDescent="0.25">
      <c r="A24552" s="318">
        <v>363918527047</v>
      </c>
      <c r="B24552" s="318" t="s">
        <v>237</v>
      </c>
    </row>
    <row r="24553" spans="1:2" ht="12.75" customHeight="1" x14ac:dyDescent="0.25">
      <c r="A24553" s="318">
        <v>363918527048</v>
      </c>
      <c r="B24553" s="318" t="s">
        <v>237</v>
      </c>
    </row>
    <row r="24554" spans="1:2" ht="12.75" customHeight="1" x14ac:dyDescent="0.25">
      <c r="A24554" s="318">
        <v>363919008005</v>
      </c>
      <c r="B24554" s="318" t="s">
        <v>23</v>
      </c>
    </row>
    <row r="24555" spans="1:2" ht="12.75" customHeight="1" x14ac:dyDescent="0.25">
      <c r="A24555" s="318">
        <v>363919008006</v>
      </c>
      <c r="B24555" s="318" t="s">
        <v>23</v>
      </c>
    </row>
    <row r="24556" spans="1:2" ht="12.75" customHeight="1" x14ac:dyDescent="0.25">
      <c r="A24556" s="318">
        <v>363919008007</v>
      </c>
      <c r="B24556" s="318" t="s">
        <v>23</v>
      </c>
    </row>
    <row r="24557" spans="1:2" ht="12.75" customHeight="1" x14ac:dyDescent="0.25">
      <c r="A24557" s="318">
        <v>363919008008</v>
      </c>
      <c r="B24557" s="318" t="s">
        <v>23</v>
      </c>
    </row>
    <row r="24558" spans="1:2" ht="12.75" customHeight="1" x14ac:dyDescent="0.25">
      <c r="A24558" s="318">
        <v>363919008009</v>
      </c>
      <c r="B24558" s="318" t="s">
        <v>23</v>
      </c>
    </row>
    <row r="24559" spans="1:2" ht="12.75" customHeight="1" x14ac:dyDescent="0.25">
      <c r="A24559" s="318">
        <v>363919008010</v>
      </c>
      <c r="B24559" s="318" t="s">
        <v>23</v>
      </c>
    </row>
    <row r="24560" spans="1:2" ht="12.75" customHeight="1" x14ac:dyDescent="0.25">
      <c r="A24560" s="318">
        <v>363919008011</v>
      </c>
      <c r="B24560" s="318" t="s">
        <v>237</v>
      </c>
    </row>
    <row r="24561" spans="1:2" ht="12.75" customHeight="1" x14ac:dyDescent="0.25">
      <c r="A24561" s="318">
        <v>363919008012</v>
      </c>
      <c r="B24561" s="318" t="s">
        <v>237</v>
      </c>
    </row>
    <row r="24562" spans="1:2" ht="12.75" customHeight="1" x14ac:dyDescent="0.25">
      <c r="A24562" s="318">
        <v>363919008014</v>
      </c>
      <c r="B24562" s="318" t="s">
        <v>23</v>
      </c>
    </row>
    <row r="24563" spans="1:2" ht="12.75" customHeight="1" x14ac:dyDescent="0.25">
      <c r="A24563" s="318">
        <v>363919008015</v>
      </c>
      <c r="B24563" s="318" t="s">
        <v>23</v>
      </c>
    </row>
    <row r="24564" spans="1:2" ht="12.75" customHeight="1" x14ac:dyDescent="0.25">
      <c r="A24564" s="318">
        <v>363919008016</v>
      </c>
      <c r="B24564" s="318" t="s">
        <v>23</v>
      </c>
    </row>
    <row r="24565" spans="1:2" ht="12.75" customHeight="1" x14ac:dyDescent="0.25">
      <c r="A24565" s="318">
        <v>363919008017</v>
      </c>
      <c r="B24565" s="318" t="s">
        <v>23</v>
      </c>
    </row>
    <row r="24566" spans="1:2" ht="12.75" customHeight="1" x14ac:dyDescent="0.25">
      <c r="A24566" s="318">
        <v>363919008018</v>
      </c>
      <c r="B24566" s="318" t="s">
        <v>23</v>
      </c>
    </row>
    <row r="24567" spans="1:2" ht="12.75" customHeight="1" x14ac:dyDescent="0.25">
      <c r="A24567" s="318">
        <v>363919008019</v>
      </c>
      <c r="B24567" s="318" t="s">
        <v>23</v>
      </c>
    </row>
    <row r="24568" spans="1:2" ht="12.75" customHeight="1" x14ac:dyDescent="0.25">
      <c r="A24568" s="318">
        <v>363919008020</v>
      </c>
      <c r="B24568" s="318" t="s">
        <v>237</v>
      </c>
    </row>
    <row r="24569" spans="1:2" ht="12.75" customHeight="1" x14ac:dyDescent="0.25">
      <c r="A24569" s="318">
        <v>363919008021</v>
      </c>
      <c r="B24569" s="318" t="s">
        <v>237</v>
      </c>
    </row>
    <row r="24570" spans="1:2" ht="12.75" customHeight="1" x14ac:dyDescent="0.25">
      <c r="A24570" s="318">
        <v>363919488978</v>
      </c>
      <c r="B24570" s="318" t="s">
        <v>23</v>
      </c>
    </row>
    <row r="24571" spans="1:2" ht="12.75" customHeight="1" x14ac:dyDescent="0.25">
      <c r="A24571" s="318">
        <v>363919488979</v>
      </c>
      <c r="B24571" s="318" t="s">
        <v>23</v>
      </c>
    </row>
    <row r="24572" spans="1:2" ht="12.75" customHeight="1" x14ac:dyDescent="0.25">
      <c r="A24572" s="318">
        <v>363919488980</v>
      </c>
      <c r="B24572" s="318" t="s">
        <v>23</v>
      </c>
    </row>
    <row r="24573" spans="1:2" ht="12.75" customHeight="1" x14ac:dyDescent="0.25">
      <c r="A24573" s="318">
        <v>363919488981</v>
      </c>
      <c r="B24573" s="318" t="s">
        <v>23</v>
      </c>
    </row>
    <row r="24574" spans="1:2" ht="12.75" customHeight="1" x14ac:dyDescent="0.25">
      <c r="A24574" s="318">
        <v>363919488982</v>
      </c>
      <c r="B24574" s="318" t="s">
        <v>23</v>
      </c>
    </row>
    <row r="24575" spans="1:2" ht="12.75" customHeight="1" x14ac:dyDescent="0.25">
      <c r="A24575" s="318">
        <v>363919488983</v>
      </c>
      <c r="B24575" s="318" t="s">
        <v>23</v>
      </c>
    </row>
    <row r="24576" spans="1:2" ht="12.75" customHeight="1" x14ac:dyDescent="0.25">
      <c r="A24576" s="318">
        <v>363919488984</v>
      </c>
      <c r="B24576" s="318" t="s">
        <v>237</v>
      </c>
    </row>
    <row r="24577" spans="1:2" ht="12.75" customHeight="1" x14ac:dyDescent="0.25">
      <c r="A24577" s="318">
        <v>363919488985</v>
      </c>
      <c r="B24577" s="318" t="s">
        <v>237</v>
      </c>
    </row>
    <row r="24578" spans="1:2" ht="12.75" customHeight="1" x14ac:dyDescent="0.25">
      <c r="A24578" s="318">
        <v>363919488987</v>
      </c>
      <c r="B24578" s="318" t="s">
        <v>23</v>
      </c>
    </row>
    <row r="24579" spans="1:2" ht="12.75" customHeight="1" x14ac:dyDescent="0.25">
      <c r="A24579" s="318">
        <v>363919488988</v>
      </c>
      <c r="B24579" s="318" t="s">
        <v>23</v>
      </c>
    </row>
    <row r="24580" spans="1:2" ht="12.75" customHeight="1" x14ac:dyDescent="0.25">
      <c r="A24580" s="318">
        <v>363919488989</v>
      </c>
      <c r="B24580" s="318" t="s">
        <v>23</v>
      </c>
    </row>
    <row r="24581" spans="1:2" ht="12.75" customHeight="1" x14ac:dyDescent="0.25">
      <c r="A24581" s="318">
        <v>363919488990</v>
      </c>
      <c r="B24581" s="318" t="s">
        <v>23</v>
      </c>
    </row>
    <row r="24582" spans="1:2" ht="12.75" customHeight="1" x14ac:dyDescent="0.25">
      <c r="A24582" s="318">
        <v>363919488991</v>
      </c>
      <c r="B24582" s="318" t="s">
        <v>23</v>
      </c>
    </row>
    <row r="24583" spans="1:2" ht="12.75" customHeight="1" x14ac:dyDescent="0.25">
      <c r="A24583" s="318">
        <v>363919488992</v>
      </c>
      <c r="B24583" s="318" t="s">
        <v>23</v>
      </c>
    </row>
    <row r="24584" spans="1:2" ht="12.75" customHeight="1" x14ac:dyDescent="0.25">
      <c r="A24584" s="318">
        <v>363919488993</v>
      </c>
      <c r="B24584" s="318" t="s">
        <v>237</v>
      </c>
    </row>
    <row r="24585" spans="1:2" ht="12.75" customHeight="1" x14ac:dyDescent="0.25">
      <c r="A24585" s="318">
        <v>363919488994</v>
      </c>
      <c r="B24585" s="318" t="s">
        <v>237</v>
      </c>
    </row>
    <row r="24586" spans="1:2" ht="12.75" customHeight="1" x14ac:dyDescent="0.25">
      <c r="A24586" s="318">
        <v>363920849359</v>
      </c>
      <c r="B24586" s="318" t="s">
        <v>23</v>
      </c>
    </row>
    <row r="24587" spans="1:2" ht="12.75" customHeight="1" x14ac:dyDescent="0.25">
      <c r="A24587" s="318">
        <v>363920849360</v>
      </c>
      <c r="B24587" s="318" t="s">
        <v>23</v>
      </c>
    </row>
    <row r="24588" spans="1:2" ht="12.75" customHeight="1" x14ac:dyDescent="0.25">
      <c r="A24588" s="318">
        <v>363920849361</v>
      </c>
      <c r="B24588" s="318" t="s">
        <v>23</v>
      </c>
    </row>
    <row r="24589" spans="1:2" ht="12.75" customHeight="1" x14ac:dyDescent="0.25">
      <c r="A24589" s="318">
        <v>363920849362</v>
      </c>
      <c r="B24589" s="318" t="s">
        <v>23</v>
      </c>
    </row>
    <row r="24590" spans="1:2" ht="12.75" customHeight="1" x14ac:dyDescent="0.25">
      <c r="A24590" s="318">
        <v>363920849363</v>
      </c>
      <c r="B24590" s="318" t="s">
        <v>23</v>
      </c>
    </row>
    <row r="24591" spans="1:2" ht="12.75" customHeight="1" x14ac:dyDescent="0.25">
      <c r="A24591" s="318">
        <v>363920849364</v>
      </c>
      <c r="B24591" s="318" t="s">
        <v>23</v>
      </c>
    </row>
    <row r="24592" spans="1:2" ht="12.75" customHeight="1" x14ac:dyDescent="0.25">
      <c r="A24592" s="318">
        <v>363920849365</v>
      </c>
      <c r="B24592" s="318" t="s">
        <v>237</v>
      </c>
    </row>
    <row r="24593" spans="1:2" ht="12.75" customHeight="1" x14ac:dyDescent="0.25">
      <c r="A24593" s="318">
        <v>363920849366</v>
      </c>
      <c r="B24593" s="318" t="s">
        <v>237</v>
      </c>
    </row>
    <row r="24594" spans="1:2" ht="12.75" customHeight="1" x14ac:dyDescent="0.25">
      <c r="A24594" s="318">
        <v>363920849368</v>
      </c>
      <c r="B24594" s="318" t="s">
        <v>23</v>
      </c>
    </row>
    <row r="24595" spans="1:2" ht="12.75" customHeight="1" x14ac:dyDescent="0.25">
      <c r="A24595" s="318">
        <v>363920849369</v>
      </c>
      <c r="B24595" s="318" t="s">
        <v>23</v>
      </c>
    </row>
    <row r="24596" spans="1:2" ht="12.75" customHeight="1" x14ac:dyDescent="0.25">
      <c r="A24596" s="318">
        <v>363920849370</v>
      </c>
      <c r="B24596" s="318" t="s">
        <v>23</v>
      </c>
    </row>
    <row r="24597" spans="1:2" ht="12.75" customHeight="1" x14ac:dyDescent="0.25">
      <c r="A24597" s="318">
        <v>363920849371</v>
      </c>
      <c r="B24597" s="318" t="s">
        <v>23</v>
      </c>
    </row>
    <row r="24598" spans="1:2" ht="12.75" customHeight="1" x14ac:dyDescent="0.25">
      <c r="A24598" s="318">
        <v>363920849372</v>
      </c>
      <c r="B24598" s="318" t="s">
        <v>23</v>
      </c>
    </row>
    <row r="24599" spans="1:2" ht="12.75" customHeight="1" x14ac:dyDescent="0.25">
      <c r="A24599" s="318">
        <v>363920849373</v>
      </c>
      <c r="B24599" s="318" t="s">
        <v>23</v>
      </c>
    </row>
    <row r="24600" spans="1:2" ht="12.75" customHeight="1" x14ac:dyDescent="0.25">
      <c r="A24600" s="318">
        <v>363920849374</v>
      </c>
      <c r="B24600" s="318" t="s">
        <v>237</v>
      </c>
    </row>
    <row r="24601" spans="1:2" ht="12.75" customHeight="1" x14ac:dyDescent="0.25">
      <c r="A24601" s="318">
        <v>363920849375</v>
      </c>
      <c r="B24601" s="318" t="s">
        <v>237</v>
      </c>
    </row>
    <row r="24602" spans="1:2" ht="12.75" customHeight="1" x14ac:dyDescent="0.25">
      <c r="A24602" s="318">
        <v>363921330332</v>
      </c>
      <c r="B24602" s="318" t="s">
        <v>23</v>
      </c>
    </row>
    <row r="24603" spans="1:2" ht="12.75" customHeight="1" x14ac:dyDescent="0.25">
      <c r="A24603" s="318">
        <v>363921330333</v>
      </c>
      <c r="B24603" s="318" t="s">
        <v>23</v>
      </c>
    </row>
    <row r="24604" spans="1:2" ht="12.75" customHeight="1" x14ac:dyDescent="0.25">
      <c r="A24604" s="318">
        <v>363921330334</v>
      </c>
      <c r="B24604" s="318" t="s">
        <v>23</v>
      </c>
    </row>
    <row r="24605" spans="1:2" ht="12.75" customHeight="1" x14ac:dyDescent="0.25">
      <c r="A24605" s="318">
        <v>363921330335</v>
      </c>
      <c r="B24605" s="318" t="s">
        <v>23</v>
      </c>
    </row>
    <row r="24606" spans="1:2" ht="12.75" customHeight="1" x14ac:dyDescent="0.25">
      <c r="A24606" s="318">
        <v>363921330336</v>
      </c>
      <c r="B24606" s="318" t="s">
        <v>23</v>
      </c>
    </row>
    <row r="24607" spans="1:2" ht="12.75" customHeight="1" x14ac:dyDescent="0.25">
      <c r="A24607" s="318">
        <v>363921330337</v>
      </c>
      <c r="B24607" s="318" t="s">
        <v>23</v>
      </c>
    </row>
    <row r="24608" spans="1:2" ht="12.75" customHeight="1" x14ac:dyDescent="0.25">
      <c r="A24608" s="318">
        <v>363921330338</v>
      </c>
      <c r="B24608" s="318" t="s">
        <v>237</v>
      </c>
    </row>
    <row r="24609" spans="1:2" ht="12.75" customHeight="1" x14ac:dyDescent="0.25">
      <c r="A24609" s="318">
        <v>363921330339</v>
      </c>
      <c r="B24609" s="318" t="s">
        <v>237</v>
      </c>
    </row>
    <row r="24610" spans="1:2" ht="12.75" customHeight="1" x14ac:dyDescent="0.25">
      <c r="A24610" s="318">
        <v>363921330341</v>
      </c>
      <c r="B24610" s="318" t="s">
        <v>23</v>
      </c>
    </row>
    <row r="24611" spans="1:2" ht="12.75" customHeight="1" x14ac:dyDescent="0.25">
      <c r="A24611" s="318">
        <v>363921330342</v>
      </c>
      <c r="B24611" s="318" t="s">
        <v>23</v>
      </c>
    </row>
    <row r="24612" spans="1:2" ht="12.75" customHeight="1" x14ac:dyDescent="0.25">
      <c r="A24612" s="318">
        <v>363921330343</v>
      </c>
      <c r="B24612" s="318" t="s">
        <v>23</v>
      </c>
    </row>
    <row r="24613" spans="1:2" ht="12.75" customHeight="1" x14ac:dyDescent="0.25">
      <c r="A24613" s="318">
        <v>363921330344</v>
      </c>
      <c r="B24613" s="318" t="s">
        <v>23</v>
      </c>
    </row>
    <row r="24614" spans="1:2" ht="12.75" customHeight="1" x14ac:dyDescent="0.25">
      <c r="A24614" s="318">
        <v>363921330345</v>
      </c>
      <c r="B24614" s="318" t="s">
        <v>23</v>
      </c>
    </row>
    <row r="24615" spans="1:2" ht="12.75" customHeight="1" x14ac:dyDescent="0.25">
      <c r="A24615" s="318">
        <v>363921330346</v>
      </c>
      <c r="B24615" s="318" t="s">
        <v>23</v>
      </c>
    </row>
    <row r="24616" spans="1:2" ht="12.75" customHeight="1" x14ac:dyDescent="0.25">
      <c r="A24616" s="318">
        <v>363921330347</v>
      </c>
      <c r="B24616" s="318" t="s">
        <v>237</v>
      </c>
    </row>
    <row r="24617" spans="1:2" ht="12.75" customHeight="1" x14ac:dyDescent="0.25">
      <c r="A24617" s="318">
        <v>363921330348</v>
      </c>
      <c r="B24617" s="318" t="s">
        <v>237</v>
      </c>
    </row>
    <row r="24618" spans="1:2" ht="12.75" customHeight="1" x14ac:dyDescent="0.25">
      <c r="A24618" s="318">
        <v>363921811305</v>
      </c>
      <c r="B24618" s="318" t="s">
        <v>23</v>
      </c>
    </row>
    <row r="24619" spans="1:2" ht="12.75" customHeight="1" x14ac:dyDescent="0.25">
      <c r="A24619" s="318">
        <v>363921811306</v>
      </c>
      <c r="B24619" s="318" t="s">
        <v>23</v>
      </c>
    </row>
    <row r="24620" spans="1:2" ht="12.75" customHeight="1" x14ac:dyDescent="0.25">
      <c r="A24620" s="318">
        <v>363921811307</v>
      </c>
      <c r="B24620" s="318" t="s">
        <v>23</v>
      </c>
    </row>
    <row r="24621" spans="1:2" ht="12.75" customHeight="1" x14ac:dyDescent="0.25">
      <c r="A24621" s="318">
        <v>363921811308</v>
      </c>
      <c r="B24621" s="318" t="s">
        <v>23</v>
      </c>
    </row>
    <row r="24622" spans="1:2" ht="12.75" customHeight="1" x14ac:dyDescent="0.25">
      <c r="A24622" s="318">
        <v>363921811309</v>
      </c>
      <c r="B24622" s="318" t="s">
        <v>23</v>
      </c>
    </row>
    <row r="24623" spans="1:2" ht="12.75" customHeight="1" x14ac:dyDescent="0.25">
      <c r="A24623" s="318">
        <v>363921811310</v>
      </c>
      <c r="B24623" s="318" t="s">
        <v>23</v>
      </c>
    </row>
    <row r="24624" spans="1:2" ht="12.75" customHeight="1" x14ac:dyDescent="0.25">
      <c r="A24624" s="318">
        <v>363921811311</v>
      </c>
      <c r="B24624" s="318" t="s">
        <v>237</v>
      </c>
    </row>
    <row r="24625" spans="1:2" ht="12.75" customHeight="1" x14ac:dyDescent="0.25">
      <c r="A24625" s="318">
        <v>363921811312</v>
      </c>
      <c r="B24625" s="318" t="s">
        <v>237</v>
      </c>
    </row>
    <row r="24626" spans="1:2" ht="12.75" customHeight="1" x14ac:dyDescent="0.25">
      <c r="A24626" s="318">
        <v>363921811314</v>
      </c>
      <c r="B24626" s="318" t="s">
        <v>23</v>
      </c>
    </row>
    <row r="24627" spans="1:2" ht="12.75" customHeight="1" x14ac:dyDescent="0.25">
      <c r="A24627" s="318">
        <v>363921811315</v>
      </c>
      <c r="B24627" s="318" t="s">
        <v>23</v>
      </c>
    </row>
    <row r="24628" spans="1:2" ht="12.75" customHeight="1" x14ac:dyDescent="0.25">
      <c r="A24628" s="318">
        <v>363921811316</v>
      </c>
      <c r="B24628" s="318" t="s">
        <v>23</v>
      </c>
    </row>
    <row r="24629" spans="1:2" ht="12.75" customHeight="1" x14ac:dyDescent="0.25">
      <c r="A24629" s="318">
        <v>363921811317</v>
      </c>
      <c r="B24629" s="318" t="s">
        <v>23</v>
      </c>
    </row>
    <row r="24630" spans="1:2" ht="12.75" customHeight="1" x14ac:dyDescent="0.25">
      <c r="A24630" s="318">
        <v>363921811318</v>
      </c>
      <c r="B24630" s="318" t="s">
        <v>23</v>
      </c>
    </row>
    <row r="24631" spans="1:2" ht="12.75" customHeight="1" x14ac:dyDescent="0.25">
      <c r="A24631" s="318">
        <v>363921811319</v>
      </c>
      <c r="B24631" s="318" t="s">
        <v>23</v>
      </c>
    </row>
    <row r="24632" spans="1:2" ht="12.75" customHeight="1" x14ac:dyDescent="0.25">
      <c r="A24632" s="318">
        <v>363921811320</v>
      </c>
      <c r="B24632" s="318" t="s">
        <v>237</v>
      </c>
    </row>
    <row r="24633" spans="1:2" ht="12.75" customHeight="1" x14ac:dyDescent="0.25">
      <c r="A24633" s="318">
        <v>363921811321</v>
      </c>
      <c r="B24633" s="318" t="s">
        <v>237</v>
      </c>
    </row>
    <row r="24634" spans="1:2" ht="12.75" customHeight="1" x14ac:dyDescent="0.25">
      <c r="A24634" s="318">
        <v>363922491496</v>
      </c>
      <c r="B24634" s="318" t="s">
        <v>23</v>
      </c>
    </row>
    <row r="24635" spans="1:2" ht="12.75" customHeight="1" x14ac:dyDescent="0.25">
      <c r="A24635" s="318">
        <v>363922491497</v>
      </c>
      <c r="B24635" s="318" t="s">
        <v>23</v>
      </c>
    </row>
    <row r="24636" spans="1:2" ht="12.75" customHeight="1" x14ac:dyDescent="0.25">
      <c r="A24636" s="318">
        <v>363922491498</v>
      </c>
      <c r="B24636" s="318" t="s">
        <v>23</v>
      </c>
    </row>
    <row r="24637" spans="1:2" ht="12.75" customHeight="1" x14ac:dyDescent="0.25">
      <c r="A24637" s="318">
        <v>363922491499</v>
      </c>
      <c r="B24637" s="318" t="s">
        <v>23</v>
      </c>
    </row>
    <row r="24638" spans="1:2" ht="12.75" customHeight="1" x14ac:dyDescent="0.25">
      <c r="A24638" s="318">
        <v>363922491500</v>
      </c>
      <c r="B24638" s="318" t="s">
        <v>23</v>
      </c>
    </row>
    <row r="24639" spans="1:2" ht="12.75" customHeight="1" x14ac:dyDescent="0.25">
      <c r="A24639" s="318">
        <v>363922491501</v>
      </c>
      <c r="B24639" s="318" t="s">
        <v>23</v>
      </c>
    </row>
    <row r="24640" spans="1:2" ht="12.75" customHeight="1" x14ac:dyDescent="0.25">
      <c r="A24640" s="318">
        <v>363922491502</v>
      </c>
      <c r="B24640" s="318" t="s">
        <v>237</v>
      </c>
    </row>
    <row r="24641" spans="1:2" ht="12.75" customHeight="1" x14ac:dyDescent="0.25">
      <c r="A24641" s="318">
        <v>363922491503</v>
      </c>
      <c r="B24641" s="318" t="s">
        <v>237</v>
      </c>
    </row>
    <row r="24642" spans="1:2" ht="12.75" customHeight="1" x14ac:dyDescent="0.25">
      <c r="A24642" s="318">
        <v>363922491505</v>
      </c>
      <c r="B24642" s="318" t="s">
        <v>23</v>
      </c>
    </row>
    <row r="24643" spans="1:2" ht="12.75" customHeight="1" x14ac:dyDescent="0.25">
      <c r="A24643" s="318">
        <v>363922491506</v>
      </c>
      <c r="B24643" s="318" t="s">
        <v>23</v>
      </c>
    </row>
    <row r="24644" spans="1:2" ht="12.75" customHeight="1" x14ac:dyDescent="0.25">
      <c r="A24644" s="318">
        <v>363922491507</v>
      </c>
      <c r="B24644" s="318" t="s">
        <v>23</v>
      </c>
    </row>
    <row r="24645" spans="1:2" ht="12.75" customHeight="1" x14ac:dyDescent="0.25">
      <c r="A24645" s="318">
        <v>363922491508</v>
      </c>
      <c r="B24645" s="318" t="s">
        <v>23</v>
      </c>
    </row>
    <row r="24646" spans="1:2" ht="12.75" customHeight="1" x14ac:dyDescent="0.25">
      <c r="A24646" s="318">
        <v>363922491509</v>
      </c>
      <c r="B24646" s="318" t="s">
        <v>23</v>
      </c>
    </row>
    <row r="24647" spans="1:2" ht="12.75" customHeight="1" x14ac:dyDescent="0.25">
      <c r="A24647" s="318">
        <v>363922491510</v>
      </c>
      <c r="B24647" s="318" t="s">
        <v>23</v>
      </c>
    </row>
    <row r="24648" spans="1:2" ht="12.75" customHeight="1" x14ac:dyDescent="0.25">
      <c r="A24648" s="318">
        <v>363922491511</v>
      </c>
      <c r="B24648" s="318" t="s">
        <v>237</v>
      </c>
    </row>
    <row r="24649" spans="1:2" ht="12.75" customHeight="1" x14ac:dyDescent="0.25">
      <c r="A24649" s="318">
        <v>363922491512</v>
      </c>
      <c r="B24649" s="318" t="s">
        <v>237</v>
      </c>
    </row>
    <row r="24650" spans="1:2" ht="12.75" customHeight="1" x14ac:dyDescent="0.25">
      <c r="A24650" s="318">
        <v>363922972469</v>
      </c>
      <c r="B24650" s="318" t="s">
        <v>23</v>
      </c>
    </row>
    <row r="24651" spans="1:2" ht="12.75" customHeight="1" x14ac:dyDescent="0.25">
      <c r="A24651" s="318">
        <v>363922972470</v>
      </c>
      <c r="B24651" s="318" t="s">
        <v>23</v>
      </c>
    </row>
    <row r="24652" spans="1:2" ht="12.75" customHeight="1" x14ac:dyDescent="0.25">
      <c r="A24652" s="318">
        <v>363922972471</v>
      </c>
      <c r="B24652" s="318" t="s">
        <v>23</v>
      </c>
    </row>
    <row r="24653" spans="1:2" ht="12.75" customHeight="1" x14ac:dyDescent="0.25">
      <c r="A24653" s="318">
        <v>363922972472</v>
      </c>
      <c r="B24653" s="318" t="s">
        <v>23</v>
      </c>
    </row>
    <row r="24654" spans="1:2" ht="12.75" customHeight="1" x14ac:dyDescent="0.25">
      <c r="A24654" s="318">
        <v>363922972473</v>
      </c>
      <c r="B24654" s="318" t="s">
        <v>23</v>
      </c>
    </row>
    <row r="24655" spans="1:2" ht="12.75" customHeight="1" x14ac:dyDescent="0.25">
      <c r="A24655" s="318">
        <v>363922972474</v>
      </c>
      <c r="B24655" s="318" t="s">
        <v>23</v>
      </c>
    </row>
    <row r="24656" spans="1:2" ht="12.75" customHeight="1" x14ac:dyDescent="0.25">
      <c r="A24656" s="318">
        <v>363922972475</v>
      </c>
      <c r="B24656" s="318" t="s">
        <v>237</v>
      </c>
    </row>
    <row r="24657" spans="1:2" ht="12.75" customHeight="1" x14ac:dyDescent="0.25">
      <c r="A24657" s="318">
        <v>363922972476</v>
      </c>
      <c r="B24657" s="318" t="s">
        <v>237</v>
      </c>
    </row>
    <row r="24658" spans="1:2" ht="12.75" customHeight="1" x14ac:dyDescent="0.25">
      <c r="A24658" s="318">
        <v>363922972478</v>
      </c>
      <c r="B24658" s="318" t="s">
        <v>23</v>
      </c>
    </row>
    <row r="24659" spans="1:2" ht="12.75" customHeight="1" x14ac:dyDescent="0.25">
      <c r="A24659" s="318">
        <v>363922972479</v>
      </c>
      <c r="B24659" s="318" t="s">
        <v>23</v>
      </c>
    </row>
    <row r="24660" spans="1:2" ht="12.75" customHeight="1" x14ac:dyDescent="0.25">
      <c r="A24660" s="318">
        <v>363922972480</v>
      </c>
      <c r="B24660" s="318" t="s">
        <v>23</v>
      </c>
    </row>
    <row r="24661" spans="1:2" ht="12.75" customHeight="1" x14ac:dyDescent="0.25">
      <c r="A24661" s="318">
        <v>363922972481</v>
      </c>
      <c r="B24661" s="318" t="s">
        <v>23</v>
      </c>
    </row>
    <row r="24662" spans="1:2" ht="12.75" customHeight="1" x14ac:dyDescent="0.25">
      <c r="A24662" s="318">
        <v>363922972482</v>
      </c>
      <c r="B24662" s="318" t="s">
        <v>23</v>
      </c>
    </row>
    <row r="24663" spans="1:2" ht="12.75" customHeight="1" x14ac:dyDescent="0.25">
      <c r="A24663" s="318">
        <v>363922972483</v>
      </c>
      <c r="B24663" s="318" t="s">
        <v>23</v>
      </c>
    </row>
    <row r="24664" spans="1:2" ht="12.75" customHeight="1" x14ac:dyDescent="0.25">
      <c r="A24664" s="318">
        <v>363922972484</v>
      </c>
      <c r="B24664" s="318" t="s">
        <v>237</v>
      </c>
    </row>
    <row r="24665" spans="1:2" ht="12.75" customHeight="1" x14ac:dyDescent="0.25">
      <c r="A24665" s="318">
        <v>363922972485</v>
      </c>
      <c r="B24665" s="318" t="s">
        <v>237</v>
      </c>
    </row>
    <row r="24666" spans="1:2" ht="12.75" customHeight="1" x14ac:dyDescent="0.25">
      <c r="A24666" s="318">
        <v>363923453442</v>
      </c>
      <c r="B24666" s="318" t="s">
        <v>23</v>
      </c>
    </row>
    <row r="24667" spans="1:2" ht="12.75" customHeight="1" x14ac:dyDescent="0.25">
      <c r="A24667" s="318">
        <v>363923453443</v>
      </c>
      <c r="B24667" s="318" t="s">
        <v>23</v>
      </c>
    </row>
    <row r="24668" spans="1:2" ht="12.75" customHeight="1" x14ac:dyDescent="0.25">
      <c r="A24668" s="318">
        <v>363923453444</v>
      </c>
      <c r="B24668" s="318" t="s">
        <v>23</v>
      </c>
    </row>
    <row r="24669" spans="1:2" ht="12.75" customHeight="1" x14ac:dyDescent="0.25">
      <c r="A24669" s="318">
        <v>363923453445</v>
      </c>
      <c r="B24669" s="318" t="s">
        <v>23</v>
      </c>
    </row>
    <row r="24670" spans="1:2" ht="12.75" customHeight="1" x14ac:dyDescent="0.25">
      <c r="A24670" s="318">
        <v>363923453446</v>
      </c>
      <c r="B24670" s="318" t="s">
        <v>23</v>
      </c>
    </row>
    <row r="24671" spans="1:2" ht="12.75" customHeight="1" x14ac:dyDescent="0.25">
      <c r="A24671" s="318">
        <v>363923453447</v>
      </c>
      <c r="B24671" s="318" t="s">
        <v>23</v>
      </c>
    </row>
    <row r="24672" spans="1:2" ht="12.75" customHeight="1" x14ac:dyDescent="0.25">
      <c r="A24672" s="318">
        <v>363923453448</v>
      </c>
      <c r="B24672" s="318" t="s">
        <v>237</v>
      </c>
    </row>
    <row r="24673" spans="1:2" ht="12.75" customHeight="1" x14ac:dyDescent="0.25">
      <c r="A24673" s="318">
        <v>363923453449</v>
      </c>
      <c r="B24673" s="318" t="s">
        <v>237</v>
      </c>
    </row>
    <row r="24674" spans="1:2" ht="12.75" customHeight="1" x14ac:dyDescent="0.25">
      <c r="A24674" s="318">
        <v>363923453451</v>
      </c>
      <c r="B24674" s="318" t="s">
        <v>23</v>
      </c>
    </row>
    <row r="24675" spans="1:2" ht="12.75" customHeight="1" x14ac:dyDescent="0.25">
      <c r="A24675" s="318">
        <v>363923453452</v>
      </c>
      <c r="B24675" s="318" t="s">
        <v>23</v>
      </c>
    </row>
    <row r="24676" spans="1:2" ht="12.75" customHeight="1" x14ac:dyDescent="0.25">
      <c r="A24676" s="318">
        <v>363923453453</v>
      </c>
      <c r="B24676" s="318" t="s">
        <v>23</v>
      </c>
    </row>
    <row r="24677" spans="1:2" ht="12.75" customHeight="1" x14ac:dyDescent="0.25">
      <c r="A24677" s="318">
        <v>363923453454</v>
      </c>
      <c r="B24677" s="318" t="s">
        <v>23</v>
      </c>
    </row>
    <row r="24678" spans="1:2" ht="12.75" customHeight="1" x14ac:dyDescent="0.25">
      <c r="A24678" s="318">
        <v>363923453455</v>
      </c>
      <c r="B24678" s="318" t="s">
        <v>23</v>
      </c>
    </row>
    <row r="24679" spans="1:2" ht="12.75" customHeight="1" x14ac:dyDescent="0.25">
      <c r="A24679" s="318">
        <v>363923453456</v>
      </c>
      <c r="B24679" s="318" t="s">
        <v>23</v>
      </c>
    </row>
    <row r="24680" spans="1:2" ht="12.75" customHeight="1" x14ac:dyDescent="0.25">
      <c r="A24680" s="318">
        <v>363923453457</v>
      </c>
      <c r="B24680" s="318" t="s">
        <v>237</v>
      </c>
    </row>
    <row r="24681" spans="1:2" ht="12.75" customHeight="1" x14ac:dyDescent="0.25">
      <c r="A24681" s="318">
        <v>363923453458</v>
      </c>
      <c r="B24681" s="318" t="s">
        <v>237</v>
      </c>
    </row>
    <row r="24682" spans="1:2" ht="12.75" customHeight="1" x14ac:dyDescent="0.25">
      <c r="A24682" s="318">
        <v>363924133633</v>
      </c>
      <c r="B24682" s="318" t="s">
        <v>23</v>
      </c>
    </row>
    <row r="24683" spans="1:2" ht="12.75" customHeight="1" x14ac:dyDescent="0.25">
      <c r="A24683" s="318">
        <v>363924133634</v>
      </c>
      <c r="B24683" s="318" t="s">
        <v>23</v>
      </c>
    </row>
    <row r="24684" spans="1:2" ht="12.75" customHeight="1" x14ac:dyDescent="0.25">
      <c r="A24684" s="318">
        <v>363924133635</v>
      </c>
      <c r="B24684" s="318" t="s">
        <v>23</v>
      </c>
    </row>
    <row r="24685" spans="1:2" ht="12.75" customHeight="1" x14ac:dyDescent="0.25">
      <c r="A24685" s="318">
        <v>363924133636</v>
      </c>
      <c r="B24685" s="318" t="s">
        <v>23</v>
      </c>
    </row>
    <row r="24686" spans="1:2" ht="12.75" customHeight="1" x14ac:dyDescent="0.25">
      <c r="A24686" s="318">
        <v>363924133637</v>
      </c>
      <c r="B24686" s="318" t="s">
        <v>23</v>
      </c>
    </row>
    <row r="24687" spans="1:2" ht="12.75" customHeight="1" x14ac:dyDescent="0.25">
      <c r="A24687" s="318">
        <v>363924133638</v>
      </c>
      <c r="B24687" s="318" t="s">
        <v>23</v>
      </c>
    </row>
    <row r="24688" spans="1:2" ht="12.75" customHeight="1" x14ac:dyDescent="0.25">
      <c r="A24688" s="318">
        <v>363924133639</v>
      </c>
      <c r="B24688" s="318" t="s">
        <v>237</v>
      </c>
    </row>
    <row r="24689" spans="1:2" ht="12.75" customHeight="1" x14ac:dyDescent="0.25">
      <c r="A24689" s="318">
        <v>363924133640</v>
      </c>
      <c r="B24689" s="318" t="s">
        <v>237</v>
      </c>
    </row>
    <row r="24690" spans="1:2" ht="12.75" customHeight="1" x14ac:dyDescent="0.25">
      <c r="A24690" s="318">
        <v>363924133642</v>
      </c>
      <c r="B24690" s="318" t="s">
        <v>23</v>
      </c>
    </row>
    <row r="24691" spans="1:2" ht="12.75" customHeight="1" x14ac:dyDescent="0.25">
      <c r="A24691" s="318">
        <v>363924133643</v>
      </c>
      <c r="B24691" s="318" t="s">
        <v>23</v>
      </c>
    </row>
    <row r="24692" spans="1:2" ht="12.75" customHeight="1" x14ac:dyDescent="0.25">
      <c r="A24692" s="318">
        <v>363924133644</v>
      </c>
      <c r="B24692" s="318" t="s">
        <v>23</v>
      </c>
    </row>
    <row r="24693" spans="1:2" ht="12.75" customHeight="1" x14ac:dyDescent="0.25">
      <c r="A24693" s="318">
        <v>363924133645</v>
      </c>
      <c r="B24693" s="318" t="s">
        <v>23</v>
      </c>
    </row>
    <row r="24694" spans="1:2" ht="12.75" customHeight="1" x14ac:dyDescent="0.25">
      <c r="A24694" s="318">
        <v>363924133646</v>
      </c>
      <c r="B24694" s="318" t="s">
        <v>23</v>
      </c>
    </row>
    <row r="24695" spans="1:2" ht="12.75" customHeight="1" x14ac:dyDescent="0.25">
      <c r="A24695" s="318">
        <v>363924133647</v>
      </c>
      <c r="B24695" s="318" t="s">
        <v>23</v>
      </c>
    </row>
    <row r="24696" spans="1:2" ht="12.75" customHeight="1" x14ac:dyDescent="0.25">
      <c r="A24696" s="318">
        <v>363924133648</v>
      </c>
      <c r="B24696" s="318" t="s">
        <v>237</v>
      </c>
    </row>
    <row r="24697" spans="1:2" ht="12.75" customHeight="1" x14ac:dyDescent="0.25">
      <c r="A24697" s="318">
        <v>363924133649</v>
      </c>
      <c r="B24697" s="318" t="s">
        <v>237</v>
      </c>
    </row>
    <row r="24698" spans="1:2" ht="12.75" customHeight="1" x14ac:dyDescent="0.25">
      <c r="A24698" s="318">
        <v>363924614606</v>
      </c>
      <c r="B24698" s="318" t="s">
        <v>23</v>
      </c>
    </row>
    <row r="24699" spans="1:2" ht="12.75" customHeight="1" x14ac:dyDescent="0.25">
      <c r="A24699" s="318">
        <v>363924614607</v>
      </c>
      <c r="B24699" s="318" t="s">
        <v>23</v>
      </c>
    </row>
    <row r="24700" spans="1:2" ht="12.75" customHeight="1" x14ac:dyDescent="0.25">
      <c r="A24700" s="318">
        <v>363924614608</v>
      </c>
      <c r="B24700" s="318" t="s">
        <v>23</v>
      </c>
    </row>
    <row r="24701" spans="1:2" ht="12.75" customHeight="1" x14ac:dyDescent="0.25">
      <c r="A24701" s="318">
        <v>363924614609</v>
      </c>
      <c r="B24701" s="318" t="s">
        <v>23</v>
      </c>
    </row>
    <row r="24702" spans="1:2" ht="12.75" customHeight="1" x14ac:dyDescent="0.25">
      <c r="A24702" s="318">
        <v>363924614610</v>
      </c>
      <c r="B24702" s="318" t="s">
        <v>23</v>
      </c>
    </row>
    <row r="24703" spans="1:2" ht="12.75" customHeight="1" x14ac:dyDescent="0.25">
      <c r="A24703" s="318">
        <v>363924614611</v>
      </c>
      <c r="B24703" s="318" t="s">
        <v>23</v>
      </c>
    </row>
    <row r="24704" spans="1:2" ht="12.75" customHeight="1" x14ac:dyDescent="0.25">
      <c r="A24704" s="318">
        <v>363924614612</v>
      </c>
      <c r="B24704" s="318" t="s">
        <v>237</v>
      </c>
    </row>
    <row r="24705" spans="1:2" ht="12.75" customHeight="1" x14ac:dyDescent="0.25">
      <c r="A24705" s="318">
        <v>363924614613</v>
      </c>
      <c r="B24705" s="318" t="s">
        <v>237</v>
      </c>
    </row>
    <row r="24706" spans="1:2" ht="12.75" customHeight="1" x14ac:dyDescent="0.25">
      <c r="A24706" s="318">
        <v>363924614615</v>
      </c>
      <c r="B24706" s="318" t="s">
        <v>23</v>
      </c>
    </row>
    <row r="24707" spans="1:2" ht="12.75" customHeight="1" x14ac:dyDescent="0.25">
      <c r="A24707" s="318">
        <v>363924614616</v>
      </c>
      <c r="B24707" s="318" t="s">
        <v>23</v>
      </c>
    </row>
    <row r="24708" spans="1:2" ht="12.75" customHeight="1" x14ac:dyDescent="0.25">
      <c r="A24708" s="318">
        <v>363924614617</v>
      </c>
      <c r="B24708" s="318" t="s">
        <v>23</v>
      </c>
    </row>
    <row r="24709" spans="1:2" ht="12.75" customHeight="1" x14ac:dyDescent="0.25">
      <c r="A24709" s="318">
        <v>363924614618</v>
      </c>
      <c r="B24709" s="318" t="s">
        <v>23</v>
      </c>
    </row>
    <row r="24710" spans="1:2" ht="12.75" customHeight="1" x14ac:dyDescent="0.25">
      <c r="A24710" s="318">
        <v>363924614619</v>
      </c>
      <c r="B24710" s="318" t="s">
        <v>23</v>
      </c>
    </row>
    <row r="24711" spans="1:2" ht="12.75" customHeight="1" x14ac:dyDescent="0.25">
      <c r="A24711" s="318">
        <v>363924614620</v>
      </c>
      <c r="B24711" s="318" t="s">
        <v>23</v>
      </c>
    </row>
    <row r="24712" spans="1:2" ht="12.75" customHeight="1" x14ac:dyDescent="0.25">
      <c r="A24712" s="318">
        <v>363924614621</v>
      </c>
      <c r="B24712" s="318" t="s">
        <v>237</v>
      </c>
    </row>
    <row r="24713" spans="1:2" ht="12.75" customHeight="1" x14ac:dyDescent="0.25">
      <c r="A24713" s="318">
        <v>363924614622</v>
      </c>
      <c r="B24713" s="318" t="s">
        <v>237</v>
      </c>
    </row>
    <row r="24714" spans="1:2" ht="12.75" customHeight="1" x14ac:dyDescent="0.25">
      <c r="A24714" s="318">
        <v>363925095579</v>
      </c>
      <c r="B24714" s="318" t="s">
        <v>23</v>
      </c>
    </row>
    <row r="24715" spans="1:2" ht="12.75" customHeight="1" x14ac:dyDescent="0.25">
      <c r="A24715" s="318">
        <v>363925095580</v>
      </c>
      <c r="B24715" s="318" t="s">
        <v>23</v>
      </c>
    </row>
    <row r="24716" spans="1:2" ht="12.75" customHeight="1" x14ac:dyDescent="0.25">
      <c r="A24716" s="318">
        <v>363925095581</v>
      </c>
      <c r="B24716" s="318" t="s">
        <v>23</v>
      </c>
    </row>
    <row r="24717" spans="1:2" ht="12.75" customHeight="1" x14ac:dyDescent="0.25">
      <c r="A24717" s="318">
        <v>363925095582</v>
      </c>
      <c r="B24717" s="318" t="s">
        <v>23</v>
      </c>
    </row>
    <row r="24718" spans="1:2" ht="12.75" customHeight="1" x14ac:dyDescent="0.25">
      <c r="A24718" s="318">
        <v>363925095583</v>
      </c>
      <c r="B24718" s="318" t="s">
        <v>23</v>
      </c>
    </row>
    <row r="24719" spans="1:2" ht="12.75" customHeight="1" x14ac:dyDescent="0.25">
      <c r="A24719" s="318">
        <v>363925095584</v>
      </c>
      <c r="B24719" s="318" t="s">
        <v>23</v>
      </c>
    </row>
    <row r="24720" spans="1:2" ht="12.75" customHeight="1" x14ac:dyDescent="0.25">
      <c r="A24720" s="318">
        <v>363925095585</v>
      </c>
      <c r="B24720" s="318" t="s">
        <v>237</v>
      </c>
    </row>
    <row r="24721" spans="1:2" ht="12.75" customHeight="1" x14ac:dyDescent="0.25">
      <c r="A24721" s="318">
        <v>363925095586</v>
      </c>
      <c r="B24721" s="318" t="s">
        <v>237</v>
      </c>
    </row>
    <row r="24722" spans="1:2" ht="12.75" customHeight="1" x14ac:dyDescent="0.25">
      <c r="A24722" s="318">
        <v>363925095588</v>
      </c>
      <c r="B24722" s="318" t="s">
        <v>23</v>
      </c>
    </row>
    <row r="24723" spans="1:2" ht="12.75" customHeight="1" x14ac:dyDescent="0.25">
      <c r="A24723" s="318">
        <v>363925095589</v>
      </c>
      <c r="B24723" s="318" t="s">
        <v>23</v>
      </c>
    </row>
    <row r="24724" spans="1:2" ht="12.75" customHeight="1" x14ac:dyDescent="0.25">
      <c r="A24724" s="318">
        <v>363925095590</v>
      </c>
      <c r="B24724" s="318" t="s">
        <v>23</v>
      </c>
    </row>
    <row r="24725" spans="1:2" ht="12.75" customHeight="1" x14ac:dyDescent="0.25">
      <c r="A24725" s="318">
        <v>363925095591</v>
      </c>
      <c r="B24725" s="318" t="s">
        <v>23</v>
      </c>
    </row>
    <row r="24726" spans="1:2" ht="12.75" customHeight="1" x14ac:dyDescent="0.25">
      <c r="A24726" s="318">
        <v>363925095592</v>
      </c>
      <c r="B24726" s="318" t="s">
        <v>23</v>
      </c>
    </row>
    <row r="24727" spans="1:2" ht="12.75" customHeight="1" x14ac:dyDescent="0.25">
      <c r="A24727" s="318">
        <v>363925095593</v>
      </c>
      <c r="B24727" s="318" t="s">
        <v>23</v>
      </c>
    </row>
    <row r="24728" spans="1:2" ht="12.75" customHeight="1" x14ac:dyDescent="0.25">
      <c r="A24728" s="318">
        <v>363925095594</v>
      </c>
      <c r="B24728" s="318" t="s">
        <v>237</v>
      </c>
    </row>
    <row r="24729" spans="1:2" ht="12.75" customHeight="1" x14ac:dyDescent="0.25">
      <c r="A24729" s="318">
        <v>363925095595</v>
      </c>
      <c r="B24729" s="318" t="s">
        <v>237</v>
      </c>
    </row>
    <row r="24730" spans="1:2" ht="12.75" customHeight="1" x14ac:dyDescent="0.25">
      <c r="A24730" s="318">
        <v>363974991470</v>
      </c>
      <c r="B24730" s="318" t="s">
        <v>23</v>
      </c>
    </row>
    <row r="24731" spans="1:2" ht="12.75" customHeight="1" x14ac:dyDescent="0.25">
      <c r="A24731" s="318">
        <v>363974991471</v>
      </c>
      <c r="B24731" s="318" t="s">
        <v>23</v>
      </c>
    </row>
    <row r="24732" spans="1:2" ht="12.75" customHeight="1" x14ac:dyDescent="0.25">
      <c r="A24732" s="318">
        <v>363974991472</v>
      </c>
      <c r="B24732" s="318" t="s">
        <v>23</v>
      </c>
    </row>
    <row r="24733" spans="1:2" ht="12.75" customHeight="1" x14ac:dyDescent="0.25">
      <c r="A24733" s="318">
        <v>363974991473</v>
      </c>
      <c r="B24733" s="318" t="s">
        <v>23</v>
      </c>
    </row>
    <row r="24734" spans="1:2" ht="12.75" customHeight="1" x14ac:dyDescent="0.25">
      <c r="A24734" s="318">
        <v>363974991474</v>
      </c>
      <c r="B24734" s="318" t="s">
        <v>23</v>
      </c>
    </row>
    <row r="24735" spans="1:2" ht="12.75" customHeight="1" x14ac:dyDescent="0.25">
      <c r="A24735" s="318">
        <v>363974991475</v>
      </c>
      <c r="B24735" s="318" t="s">
        <v>23</v>
      </c>
    </row>
    <row r="24736" spans="1:2" ht="12.75" customHeight="1" x14ac:dyDescent="0.25">
      <c r="A24736" s="318">
        <v>363974991476</v>
      </c>
      <c r="B24736" s="318" t="s">
        <v>23</v>
      </c>
    </row>
    <row r="24737" spans="1:2" ht="12.75" customHeight="1" x14ac:dyDescent="0.25">
      <c r="A24737" s="318">
        <v>363974991477</v>
      </c>
      <c r="B24737" s="318" t="s">
        <v>23</v>
      </c>
    </row>
    <row r="24738" spans="1:2" ht="12.75" customHeight="1" x14ac:dyDescent="0.25">
      <c r="A24738" s="318">
        <v>363974991479</v>
      </c>
      <c r="B24738" s="318" t="s">
        <v>237</v>
      </c>
    </row>
    <row r="24739" spans="1:2" ht="12.75" customHeight="1" x14ac:dyDescent="0.25">
      <c r="A24739" s="318">
        <v>363974991480</v>
      </c>
      <c r="B24739" s="318" t="s">
        <v>237</v>
      </c>
    </row>
    <row r="24740" spans="1:2" ht="12.75" customHeight="1" x14ac:dyDescent="0.25">
      <c r="A24740" s="318">
        <v>363974991481</v>
      </c>
      <c r="B24740" s="318" t="s">
        <v>237</v>
      </c>
    </row>
    <row r="24741" spans="1:2" ht="12.75" customHeight="1" x14ac:dyDescent="0.25">
      <c r="A24741" s="318">
        <v>363974991482</v>
      </c>
      <c r="B24741" s="318" t="s">
        <v>237</v>
      </c>
    </row>
    <row r="24742" spans="1:2" ht="12.75" customHeight="1" x14ac:dyDescent="0.25">
      <c r="A24742" s="318">
        <v>363974991483</v>
      </c>
      <c r="B24742" s="318" t="s">
        <v>237</v>
      </c>
    </row>
    <row r="24743" spans="1:2" ht="12.75" customHeight="1" x14ac:dyDescent="0.25">
      <c r="A24743" s="318">
        <v>363974991484</v>
      </c>
      <c r="B24743" s="318" t="s">
        <v>237</v>
      </c>
    </row>
    <row r="24744" spans="1:2" ht="12.75" customHeight="1" x14ac:dyDescent="0.25">
      <c r="A24744" s="318">
        <v>363974991485</v>
      </c>
      <c r="B24744" s="318" t="s">
        <v>237</v>
      </c>
    </row>
    <row r="24745" spans="1:2" ht="12.75" customHeight="1" x14ac:dyDescent="0.25">
      <c r="A24745" s="318">
        <v>363974991486</v>
      </c>
      <c r="B24745" s="318" t="s">
        <v>237</v>
      </c>
    </row>
    <row r="24746" spans="1:2" ht="12.75" customHeight="1" x14ac:dyDescent="0.25">
      <c r="A24746" s="318">
        <v>363975472443</v>
      </c>
      <c r="B24746" s="318" t="s">
        <v>23</v>
      </c>
    </row>
    <row r="24747" spans="1:2" ht="12.75" customHeight="1" x14ac:dyDescent="0.25">
      <c r="A24747" s="318">
        <v>363975472444</v>
      </c>
      <c r="B24747" s="318" t="s">
        <v>23</v>
      </c>
    </row>
    <row r="24748" spans="1:2" ht="12.75" customHeight="1" x14ac:dyDescent="0.25">
      <c r="A24748" s="318">
        <v>363975472445</v>
      </c>
      <c r="B24748" s="318" t="s">
        <v>23</v>
      </c>
    </row>
    <row r="24749" spans="1:2" ht="12.75" customHeight="1" x14ac:dyDescent="0.25">
      <c r="A24749" s="318">
        <v>363975472446</v>
      </c>
      <c r="B24749" s="318" t="s">
        <v>23</v>
      </c>
    </row>
    <row r="24750" spans="1:2" ht="12.75" customHeight="1" x14ac:dyDescent="0.25">
      <c r="A24750" s="318">
        <v>363975472447</v>
      </c>
      <c r="B24750" s="318" t="s">
        <v>23</v>
      </c>
    </row>
    <row r="24751" spans="1:2" ht="12.75" customHeight="1" x14ac:dyDescent="0.25">
      <c r="A24751" s="318">
        <v>363975472448</v>
      </c>
      <c r="B24751" s="318" t="s">
        <v>23</v>
      </c>
    </row>
    <row r="24752" spans="1:2" ht="12.75" customHeight="1" x14ac:dyDescent="0.25">
      <c r="A24752" s="318">
        <v>363975472449</v>
      </c>
      <c r="B24752" s="318" t="s">
        <v>23</v>
      </c>
    </row>
    <row r="24753" spans="1:2" ht="12.75" customHeight="1" x14ac:dyDescent="0.25">
      <c r="A24753" s="318">
        <v>363975472450</v>
      </c>
      <c r="B24753" s="318" t="s">
        <v>23</v>
      </c>
    </row>
    <row r="24754" spans="1:2" ht="12.75" customHeight="1" x14ac:dyDescent="0.25">
      <c r="A24754" s="318">
        <v>363975472452</v>
      </c>
      <c r="B24754" s="318" t="s">
        <v>237</v>
      </c>
    </row>
    <row r="24755" spans="1:2" ht="12.75" customHeight="1" x14ac:dyDescent="0.25">
      <c r="A24755" s="318">
        <v>363975472453</v>
      </c>
      <c r="B24755" s="318" t="s">
        <v>237</v>
      </c>
    </row>
    <row r="24756" spans="1:2" ht="12.75" customHeight="1" x14ac:dyDescent="0.25">
      <c r="A24756" s="318">
        <v>363975472454</v>
      </c>
      <c r="B24756" s="318" t="s">
        <v>237</v>
      </c>
    </row>
    <row r="24757" spans="1:2" ht="12.75" customHeight="1" x14ac:dyDescent="0.25">
      <c r="A24757" s="318">
        <v>363975472455</v>
      </c>
      <c r="B24757" s="318" t="s">
        <v>237</v>
      </c>
    </row>
    <row r="24758" spans="1:2" ht="12.75" customHeight="1" x14ac:dyDescent="0.25">
      <c r="A24758" s="318">
        <v>363975472456</v>
      </c>
      <c r="B24758" s="318" t="s">
        <v>237</v>
      </c>
    </row>
    <row r="24759" spans="1:2" ht="12.75" customHeight="1" x14ac:dyDescent="0.25">
      <c r="A24759" s="318">
        <v>363975472457</v>
      </c>
      <c r="B24759" s="318" t="s">
        <v>237</v>
      </c>
    </row>
    <row r="24760" spans="1:2" ht="12.75" customHeight="1" x14ac:dyDescent="0.25">
      <c r="A24760" s="318">
        <v>363975472458</v>
      </c>
      <c r="B24760" s="318" t="s">
        <v>237</v>
      </c>
    </row>
    <row r="24761" spans="1:2" ht="12.75" customHeight="1" x14ac:dyDescent="0.25">
      <c r="A24761" s="318">
        <v>363975472459</v>
      </c>
      <c r="B24761" s="318" t="s">
        <v>237</v>
      </c>
    </row>
    <row r="24762" spans="1:2" ht="12.75" customHeight="1" x14ac:dyDescent="0.25">
      <c r="A24762" s="318">
        <v>363975953416</v>
      </c>
      <c r="B24762" s="318" t="s">
        <v>23</v>
      </c>
    </row>
    <row r="24763" spans="1:2" ht="12.75" customHeight="1" x14ac:dyDescent="0.25">
      <c r="A24763" s="318">
        <v>363975953417</v>
      </c>
      <c r="B24763" s="318" t="s">
        <v>23</v>
      </c>
    </row>
    <row r="24764" spans="1:2" ht="12.75" customHeight="1" x14ac:dyDescent="0.25">
      <c r="A24764" s="318">
        <v>363975953418</v>
      </c>
      <c r="B24764" s="318" t="s">
        <v>23</v>
      </c>
    </row>
    <row r="24765" spans="1:2" ht="12.75" customHeight="1" x14ac:dyDescent="0.25">
      <c r="A24765" s="318">
        <v>363975953419</v>
      </c>
      <c r="B24765" s="318" t="s">
        <v>23</v>
      </c>
    </row>
    <row r="24766" spans="1:2" ht="12.75" customHeight="1" x14ac:dyDescent="0.25">
      <c r="A24766" s="318">
        <v>363975953420</v>
      </c>
      <c r="B24766" s="318" t="s">
        <v>23</v>
      </c>
    </row>
    <row r="24767" spans="1:2" ht="12.75" customHeight="1" x14ac:dyDescent="0.25">
      <c r="A24767" s="318">
        <v>363975953421</v>
      </c>
      <c r="B24767" s="318" t="s">
        <v>23</v>
      </c>
    </row>
    <row r="24768" spans="1:2" ht="12.75" customHeight="1" x14ac:dyDescent="0.25">
      <c r="A24768" s="318">
        <v>363975953422</v>
      </c>
      <c r="B24768" s="318" t="s">
        <v>23</v>
      </c>
    </row>
    <row r="24769" spans="1:2" ht="12.75" customHeight="1" x14ac:dyDescent="0.25">
      <c r="A24769" s="318">
        <v>363975953423</v>
      </c>
      <c r="B24769" s="318" t="s">
        <v>23</v>
      </c>
    </row>
    <row r="24770" spans="1:2" ht="12.75" customHeight="1" x14ac:dyDescent="0.25">
      <c r="A24770" s="318">
        <v>363975953425</v>
      </c>
      <c r="B24770" s="318" t="s">
        <v>23</v>
      </c>
    </row>
    <row r="24771" spans="1:2" ht="12.75" customHeight="1" x14ac:dyDescent="0.25">
      <c r="A24771" s="318">
        <v>363975953426</v>
      </c>
      <c r="B24771" s="318" t="s">
        <v>23</v>
      </c>
    </row>
    <row r="24772" spans="1:2" ht="12.75" customHeight="1" x14ac:dyDescent="0.25">
      <c r="A24772" s="318">
        <v>363975953427</v>
      </c>
      <c r="B24772" s="318" t="s">
        <v>23</v>
      </c>
    </row>
    <row r="24773" spans="1:2" ht="12.75" customHeight="1" x14ac:dyDescent="0.25">
      <c r="A24773" s="318">
        <v>363975953428</v>
      </c>
      <c r="B24773" s="318" t="s">
        <v>23</v>
      </c>
    </row>
    <row r="24774" spans="1:2" ht="12.75" customHeight="1" x14ac:dyDescent="0.25">
      <c r="A24774" s="318">
        <v>363975953429</v>
      </c>
      <c r="B24774" s="318" t="s">
        <v>23</v>
      </c>
    </row>
    <row r="24775" spans="1:2" ht="12.75" customHeight="1" x14ac:dyDescent="0.25">
      <c r="A24775" s="318">
        <v>363975953430</v>
      </c>
      <c r="B24775" s="318" t="s">
        <v>23</v>
      </c>
    </row>
    <row r="24776" spans="1:2" ht="12.75" customHeight="1" x14ac:dyDescent="0.25">
      <c r="A24776" s="318">
        <v>363975953431</v>
      </c>
      <c r="B24776" s="318" t="s">
        <v>23</v>
      </c>
    </row>
    <row r="24777" spans="1:2" ht="12.75" customHeight="1" x14ac:dyDescent="0.25">
      <c r="A24777" s="318">
        <v>363975953432</v>
      </c>
      <c r="B24777" s="318" t="s">
        <v>23</v>
      </c>
    </row>
    <row r="24778" spans="1:2" ht="12.75" customHeight="1" x14ac:dyDescent="0.25">
      <c r="A24778" s="318">
        <v>363976633607</v>
      </c>
      <c r="B24778" s="318" t="s">
        <v>23</v>
      </c>
    </row>
    <row r="24779" spans="1:2" ht="12.75" customHeight="1" x14ac:dyDescent="0.25">
      <c r="A24779" s="318">
        <v>363976633608</v>
      </c>
      <c r="B24779" s="318" t="s">
        <v>23</v>
      </c>
    </row>
    <row r="24780" spans="1:2" ht="12.75" customHeight="1" x14ac:dyDescent="0.25">
      <c r="A24780" s="318">
        <v>363976633609</v>
      </c>
      <c r="B24780" s="318" t="s">
        <v>23</v>
      </c>
    </row>
    <row r="24781" spans="1:2" ht="12.75" customHeight="1" x14ac:dyDescent="0.25">
      <c r="A24781" s="318">
        <v>363976633610</v>
      </c>
      <c r="B24781" s="318" t="s">
        <v>23</v>
      </c>
    </row>
    <row r="24782" spans="1:2" ht="12.75" customHeight="1" x14ac:dyDescent="0.25">
      <c r="A24782" s="318">
        <v>363976633611</v>
      </c>
      <c r="B24782" s="318" t="s">
        <v>23</v>
      </c>
    </row>
    <row r="24783" spans="1:2" ht="12.75" customHeight="1" x14ac:dyDescent="0.25">
      <c r="A24783" s="318">
        <v>363976633612</v>
      </c>
      <c r="B24783" s="318" t="s">
        <v>23</v>
      </c>
    </row>
    <row r="24784" spans="1:2" ht="12.75" customHeight="1" x14ac:dyDescent="0.25">
      <c r="A24784" s="318">
        <v>363976633613</v>
      </c>
      <c r="B24784" s="318" t="s">
        <v>23</v>
      </c>
    </row>
    <row r="24785" spans="1:2" ht="12.75" customHeight="1" x14ac:dyDescent="0.25">
      <c r="A24785" s="318">
        <v>363976633614</v>
      </c>
      <c r="B24785" s="318" t="s">
        <v>23</v>
      </c>
    </row>
    <row r="24786" spans="1:2" ht="12.75" customHeight="1" x14ac:dyDescent="0.25">
      <c r="A24786" s="318">
        <v>363976633616</v>
      </c>
      <c r="B24786" s="318" t="s">
        <v>237</v>
      </c>
    </row>
    <row r="24787" spans="1:2" ht="12.75" customHeight="1" x14ac:dyDescent="0.25">
      <c r="A24787" s="318">
        <v>363976633617</v>
      </c>
      <c r="B24787" s="318" t="s">
        <v>237</v>
      </c>
    </row>
    <row r="24788" spans="1:2" ht="12.75" customHeight="1" x14ac:dyDescent="0.25">
      <c r="A24788" s="318">
        <v>363976633618</v>
      </c>
      <c r="B24788" s="318" t="s">
        <v>237</v>
      </c>
    </row>
    <row r="24789" spans="1:2" ht="12.75" customHeight="1" x14ac:dyDescent="0.25">
      <c r="A24789" s="318">
        <v>363976633619</v>
      </c>
      <c r="B24789" s="318" t="s">
        <v>237</v>
      </c>
    </row>
    <row r="24790" spans="1:2" ht="12.75" customHeight="1" x14ac:dyDescent="0.25">
      <c r="A24790" s="318">
        <v>363976633620</v>
      </c>
      <c r="B24790" s="318" t="s">
        <v>237</v>
      </c>
    </row>
    <row r="24791" spans="1:2" ht="12.75" customHeight="1" x14ac:dyDescent="0.25">
      <c r="A24791" s="318">
        <v>363976633621</v>
      </c>
      <c r="B24791" s="318" t="s">
        <v>237</v>
      </c>
    </row>
    <row r="24792" spans="1:2" ht="12.75" customHeight="1" x14ac:dyDescent="0.25">
      <c r="A24792" s="318">
        <v>363976633622</v>
      </c>
      <c r="B24792" s="318" t="s">
        <v>237</v>
      </c>
    </row>
    <row r="24793" spans="1:2" ht="12.75" customHeight="1" x14ac:dyDescent="0.25">
      <c r="A24793" s="318">
        <v>363976633623</v>
      </c>
      <c r="B24793" s="318" t="s">
        <v>237</v>
      </c>
    </row>
    <row r="24794" spans="1:2" ht="12.75" customHeight="1" x14ac:dyDescent="0.25">
      <c r="A24794" s="318">
        <v>363977114580</v>
      </c>
      <c r="B24794" s="318" t="s">
        <v>23</v>
      </c>
    </row>
    <row r="24795" spans="1:2" ht="12.75" customHeight="1" x14ac:dyDescent="0.25">
      <c r="A24795" s="318">
        <v>363977114581</v>
      </c>
      <c r="B24795" s="318" t="s">
        <v>23</v>
      </c>
    </row>
    <row r="24796" spans="1:2" ht="12.75" customHeight="1" x14ac:dyDescent="0.25">
      <c r="A24796" s="318">
        <v>363977114582</v>
      </c>
      <c r="B24796" s="318" t="s">
        <v>23</v>
      </c>
    </row>
    <row r="24797" spans="1:2" ht="12.75" customHeight="1" x14ac:dyDescent="0.25">
      <c r="A24797" s="318">
        <v>363977114583</v>
      </c>
      <c r="B24797" s="318" t="s">
        <v>23</v>
      </c>
    </row>
    <row r="24798" spans="1:2" ht="12.75" customHeight="1" x14ac:dyDescent="0.25">
      <c r="A24798" s="318">
        <v>363977114584</v>
      </c>
      <c r="B24798" s="318" t="s">
        <v>23</v>
      </c>
    </row>
    <row r="24799" spans="1:2" ht="12.75" customHeight="1" x14ac:dyDescent="0.25">
      <c r="A24799" s="318">
        <v>363977114585</v>
      </c>
      <c r="B24799" s="318" t="s">
        <v>23</v>
      </c>
    </row>
    <row r="24800" spans="1:2" ht="12.75" customHeight="1" x14ac:dyDescent="0.25">
      <c r="A24800" s="318">
        <v>363977114586</v>
      </c>
      <c r="B24800" s="318" t="s">
        <v>23</v>
      </c>
    </row>
    <row r="24801" spans="1:2" ht="12.75" customHeight="1" x14ac:dyDescent="0.25">
      <c r="A24801" s="318">
        <v>363977114587</v>
      </c>
      <c r="B24801" s="318" t="s">
        <v>23</v>
      </c>
    </row>
    <row r="24802" spans="1:2" ht="12.75" customHeight="1" x14ac:dyDescent="0.25">
      <c r="A24802" s="318">
        <v>363977114589</v>
      </c>
      <c r="B24802" s="318" t="s">
        <v>237</v>
      </c>
    </row>
    <row r="24803" spans="1:2" ht="12.75" customHeight="1" x14ac:dyDescent="0.25">
      <c r="A24803" s="318">
        <v>363977114590</v>
      </c>
      <c r="B24803" s="318" t="s">
        <v>237</v>
      </c>
    </row>
    <row r="24804" spans="1:2" ht="12.75" customHeight="1" x14ac:dyDescent="0.25">
      <c r="A24804" s="318">
        <v>363977114591</v>
      </c>
      <c r="B24804" s="318" t="s">
        <v>237</v>
      </c>
    </row>
    <row r="24805" spans="1:2" ht="12.75" customHeight="1" x14ac:dyDescent="0.25">
      <c r="A24805" s="318">
        <v>363977114592</v>
      </c>
      <c r="B24805" s="318" t="s">
        <v>237</v>
      </c>
    </row>
    <row r="24806" spans="1:2" ht="12.75" customHeight="1" x14ac:dyDescent="0.25">
      <c r="A24806" s="318">
        <v>363977114593</v>
      </c>
      <c r="B24806" s="318" t="s">
        <v>237</v>
      </c>
    </row>
    <row r="24807" spans="1:2" ht="12.75" customHeight="1" x14ac:dyDescent="0.25">
      <c r="A24807" s="318">
        <v>363977114594</v>
      </c>
      <c r="B24807" s="318" t="s">
        <v>237</v>
      </c>
    </row>
    <row r="24808" spans="1:2" ht="12.75" customHeight="1" x14ac:dyDescent="0.25">
      <c r="A24808" s="318">
        <v>363977114595</v>
      </c>
      <c r="B24808" s="318" t="s">
        <v>237</v>
      </c>
    </row>
    <row r="24809" spans="1:2" ht="12.75" customHeight="1" x14ac:dyDescent="0.25">
      <c r="A24809" s="318">
        <v>363977114596</v>
      </c>
      <c r="B24809" s="318" t="s">
        <v>237</v>
      </c>
    </row>
    <row r="24810" spans="1:2" ht="12.75" customHeight="1" x14ac:dyDescent="0.25">
      <c r="A24810" s="318">
        <v>363977595553</v>
      </c>
      <c r="B24810" s="318" t="s">
        <v>23</v>
      </c>
    </row>
    <row r="24811" spans="1:2" ht="12.75" customHeight="1" x14ac:dyDescent="0.25">
      <c r="A24811" s="318">
        <v>363977595554</v>
      </c>
      <c r="B24811" s="318" t="s">
        <v>23</v>
      </c>
    </row>
    <row r="24812" spans="1:2" ht="12.75" customHeight="1" x14ac:dyDescent="0.25">
      <c r="A24812" s="318">
        <v>363977595555</v>
      </c>
      <c r="B24812" s="318" t="s">
        <v>23</v>
      </c>
    </row>
    <row r="24813" spans="1:2" ht="12.75" customHeight="1" x14ac:dyDescent="0.25">
      <c r="A24813" s="318">
        <v>363977595556</v>
      </c>
      <c r="B24813" s="318" t="s">
        <v>23</v>
      </c>
    </row>
    <row r="24814" spans="1:2" ht="12.75" customHeight="1" x14ac:dyDescent="0.25">
      <c r="A24814" s="318">
        <v>363977595557</v>
      </c>
      <c r="B24814" s="318" t="s">
        <v>23</v>
      </c>
    </row>
    <row r="24815" spans="1:2" ht="12.75" customHeight="1" x14ac:dyDescent="0.25">
      <c r="A24815" s="318">
        <v>363977595558</v>
      </c>
      <c r="B24815" s="318" t="s">
        <v>23</v>
      </c>
    </row>
    <row r="24816" spans="1:2" ht="12.75" customHeight="1" x14ac:dyDescent="0.25">
      <c r="A24816" s="318">
        <v>363977595559</v>
      </c>
      <c r="B24816" s="318" t="s">
        <v>23</v>
      </c>
    </row>
    <row r="24817" spans="1:2" ht="12.75" customHeight="1" x14ac:dyDescent="0.25">
      <c r="A24817" s="318">
        <v>363977595560</v>
      </c>
      <c r="B24817" s="318" t="s">
        <v>23</v>
      </c>
    </row>
    <row r="24818" spans="1:2" ht="12.75" customHeight="1" x14ac:dyDescent="0.25">
      <c r="A24818" s="318">
        <v>363977595562</v>
      </c>
      <c r="B24818" s="318" t="s">
        <v>23</v>
      </c>
    </row>
    <row r="24819" spans="1:2" ht="12.75" customHeight="1" x14ac:dyDescent="0.25">
      <c r="A24819" s="318">
        <v>363977595563</v>
      </c>
      <c r="B24819" s="318" t="s">
        <v>23</v>
      </c>
    </row>
    <row r="24820" spans="1:2" ht="12.75" customHeight="1" x14ac:dyDescent="0.25">
      <c r="A24820" s="318">
        <v>363977595564</v>
      </c>
      <c r="B24820" s="318" t="s">
        <v>23</v>
      </c>
    </row>
    <row r="24821" spans="1:2" ht="12.75" customHeight="1" x14ac:dyDescent="0.25">
      <c r="A24821" s="318">
        <v>363977595565</v>
      </c>
      <c r="B24821" s="318" t="s">
        <v>23</v>
      </c>
    </row>
    <row r="24822" spans="1:2" ht="12.75" customHeight="1" x14ac:dyDescent="0.25">
      <c r="A24822" s="318">
        <v>363977595566</v>
      </c>
      <c r="B24822" s="318" t="s">
        <v>23</v>
      </c>
    </row>
    <row r="24823" spans="1:2" ht="12.75" customHeight="1" x14ac:dyDescent="0.25">
      <c r="A24823" s="318">
        <v>363977595567</v>
      </c>
      <c r="B24823" s="318" t="s">
        <v>23</v>
      </c>
    </row>
    <row r="24824" spans="1:2" ht="12.75" customHeight="1" x14ac:dyDescent="0.25">
      <c r="A24824" s="318">
        <v>363977595568</v>
      </c>
      <c r="B24824" s="318" t="s">
        <v>23</v>
      </c>
    </row>
    <row r="24825" spans="1:2" ht="12.75" customHeight="1" x14ac:dyDescent="0.25">
      <c r="A24825" s="318">
        <v>363977595569</v>
      </c>
      <c r="B24825" s="318" t="s">
        <v>23</v>
      </c>
    </row>
    <row r="24826" spans="1:2" ht="12.75" customHeight="1" x14ac:dyDescent="0.25">
      <c r="A24826" s="318">
        <v>363978275744</v>
      </c>
      <c r="B24826" s="318" t="s">
        <v>23</v>
      </c>
    </row>
    <row r="24827" spans="1:2" ht="12.75" customHeight="1" x14ac:dyDescent="0.25">
      <c r="A24827" s="318">
        <v>363978275745</v>
      </c>
      <c r="B24827" s="318" t="s">
        <v>23</v>
      </c>
    </row>
    <row r="24828" spans="1:2" ht="12.75" customHeight="1" x14ac:dyDescent="0.25">
      <c r="A24828" s="318">
        <v>363978275746</v>
      </c>
      <c r="B24828" s="318" t="s">
        <v>23</v>
      </c>
    </row>
    <row r="24829" spans="1:2" ht="12.75" customHeight="1" x14ac:dyDescent="0.25">
      <c r="A24829" s="318">
        <v>363978275747</v>
      </c>
      <c r="B24829" s="318" t="s">
        <v>23</v>
      </c>
    </row>
    <row r="24830" spans="1:2" ht="12.75" customHeight="1" x14ac:dyDescent="0.25">
      <c r="A24830" s="318">
        <v>363978275748</v>
      </c>
      <c r="B24830" s="318" t="s">
        <v>23</v>
      </c>
    </row>
    <row r="24831" spans="1:2" ht="12.75" customHeight="1" x14ac:dyDescent="0.25">
      <c r="A24831" s="318">
        <v>363978275749</v>
      </c>
      <c r="B24831" s="318" t="s">
        <v>23</v>
      </c>
    </row>
    <row r="24832" spans="1:2" ht="12.75" customHeight="1" x14ac:dyDescent="0.25">
      <c r="A24832" s="318">
        <v>363978275750</v>
      </c>
      <c r="B24832" s="318" t="s">
        <v>23</v>
      </c>
    </row>
    <row r="24833" spans="1:2" ht="12.75" customHeight="1" x14ac:dyDescent="0.25">
      <c r="A24833" s="318">
        <v>363978275751</v>
      </c>
      <c r="B24833" s="318" t="s">
        <v>23</v>
      </c>
    </row>
    <row r="24834" spans="1:2" ht="12.75" customHeight="1" x14ac:dyDescent="0.25">
      <c r="A24834" s="318">
        <v>363978275753</v>
      </c>
      <c r="B24834" s="318" t="s">
        <v>23</v>
      </c>
    </row>
    <row r="24835" spans="1:2" ht="12.75" customHeight="1" x14ac:dyDescent="0.25">
      <c r="A24835" s="318">
        <v>363978275754</v>
      </c>
      <c r="B24835" s="318" t="s">
        <v>23</v>
      </c>
    </row>
    <row r="24836" spans="1:2" ht="12.75" customHeight="1" x14ac:dyDescent="0.25">
      <c r="A24836" s="318">
        <v>363978275755</v>
      </c>
      <c r="B24836" s="318" t="s">
        <v>23</v>
      </c>
    </row>
    <row r="24837" spans="1:2" ht="12.75" customHeight="1" x14ac:dyDescent="0.25">
      <c r="A24837" s="318">
        <v>363978275756</v>
      </c>
      <c r="B24837" s="318" t="s">
        <v>23</v>
      </c>
    </row>
    <row r="24838" spans="1:2" ht="12.75" customHeight="1" x14ac:dyDescent="0.25">
      <c r="A24838" s="318">
        <v>363978275757</v>
      </c>
      <c r="B24838" s="318" t="s">
        <v>23</v>
      </c>
    </row>
    <row r="24839" spans="1:2" ht="12.75" customHeight="1" x14ac:dyDescent="0.25">
      <c r="A24839" s="318">
        <v>363978275758</v>
      </c>
      <c r="B24839" s="318" t="s">
        <v>23</v>
      </c>
    </row>
    <row r="24840" spans="1:2" ht="12.75" customHeight="1" x14ac:dyDescent="0.25">
      <c r="A24840" s="318">
        <v>363978275759</v>
      </c>
      <c r="B24840" s="318" t="s">
        <v>23</v>
      </c>
    </row>
    <row r="24841" spans="1:2" ht="12.75" customHeight="1" x14ac:dyDescent="0.25">
      <c r="A24841" s="318">
        <v>363978275760</v>
      </c>
      <c r="B24841" s="318" t="s">
        <v>23</v>
      </c>
    </row>
    <row r="24842" spans="1:2" ht="12.75" customHeight="1" x14ac:dyDescent="0.25">
      <c r="A24842" s="318">
        <v>363978756717</v>
      </c>
      <c r="B24842" s="318" t="s">
        <v>23</v>
      </c>
    </row>
    <row r="24843" spans="1:2" ht="12.75" customHeight="1" x14ac:dyDescent="0.25">
      <c r="A24843" s="318">
        <v>363978756718</v>
      </c>
      <c r="B24843" s="318" t="s">
        <v>23</v>
      </c>
    </row>
    <row r="24844" spans="1:2" ht="12.75" customHeight="1" x14ac:dyDescent="0.25">
      <c r="A24844" s="318">
        <v>363978756719</v>
      </c>
      <c r="B24844" s="318" t="s">
        <v>23</v>
      </c>
    </row>
    <row r="24845" spans="1:2" ht="12.75" customHeight="1" x14ac:dyDescent="0.25">
      <c r="A24845" s="318">
        <v>363978756720</v>
      </c>
      <c r="B24845" s="318" t="s">
        <v>23</v>
      </c>
    </row>
    <row r="24846" spans="1:2" ht="12.75" customHeight="1" x14ac:dyDescent="0.25">
      <c r="A24846" s="318">
        <v>363978756721</v>
      </c>
      <c r="B24846" s="318" t="s">
        <v>23</v>
      </c>
    </row>
    <row r="24847" spans="1:2" ht="12.75" customHeight="1" x14ac:dyDescent="0.25">
      <c r="A24847" s="318">
        <v>363978756722</v>
      </c>
      <c r="B24847" s="318" t="s">
        <v>23</v>
      </c>
    </row>
    <row r="24848" spans="1:2" ht="12.75" customHeight="1" x14ac:dyDescent="0.25">
      <c r="A24848" s="318">
        <v>363978756723</v>
      </c>
      <c r="B24848" s="318" t="s">
        <v>23</v>
      </c>
    </row>
    <row r="24849" spans="1:2" ht="12.75" customHeight="1" x14ac:dyDescent="0.25">
      <c r="A24849" s="318">
        <v>363978756724</v>
      </c>
      <c r="B24849" s="318" t="s">
        <v>23</v>
      </c>
    </row>
    <row r="24850" spans="1:2" ht="12.75" customHeight="1" x14ac:dyDescent="0.25">
      <c r="A24850" s="318">
        <v>363978756726</v>
      </c>
      <c r="B24850" s="318" t="s">
        <v>23</v>
      </c>
    </row>
    <row r="24851" spans="1:2" ht="12.75" customHeight="1" x14ac:dyDescent="0.25">
      <c r="A24851" s="318">
        <v>363978756727</v>
      </c>
      <c r="B24851" s="318" t="s">
        <v>23</v>
      </c>
    </row>
    <row r="24852" spans="1:2" ht="12.75" customHeight="1" x14ac:dyDescent="0.25">
      <c r="A24852" s="318">
        <v>363978756728</v>
      </c>
      <c r="B24852" s="318" t="s">
        <v>23</v>
      </c>
    </row>
    <row r="24853" spans="1:2" ht="12.75" customHeight="1" x14ac:dyDescent="0.25">
      <c r="A24853" s="318">
        <v>363978756729</v>
      </c>
      <c r="B24853" s="318" t="s">
        <v>23</v>
      </c>
    </row>
    <row r="24854" spans="1:2" ht="12.75" customHeight="1" x14ac:dyDescent="0.25">
      <c r="A24854" s="318">
        <v>363978756730</v>
      </c>
      <c r="B24854" s="318" t="s">
        <v>23</v>
      </c>
    </row>
    <row r="24855" spans="1:2" ht="12.75" customHeight="1" x14ac:dyDescent="0.25">
      <c r="A24855" s="318">
        <v>363978756731</v>
      </c>
      <c r="B24855" s="318" t="s">
        <v>23</v>
      </c>
    </row>
    <row r="24856" spans="1:2" ht="12.75" customHeight="1" x14ac:dyDescent="0.25">
      <c r="A24856" s="318">
        <v>363978756732</v>
      </c>
      <c r="B24856" s="318" t="s">
        <v>23</v>
      </c>
    </row>
    <row r="24857" spans="1:2" ht="12.75" customHeight="1" x14ac:dyDescent="0.25">
      <c r="A24857" s="318">
        <v>363978756733</v>
      </c>
      <c r="B24857" s="318" t="s">
        <v>23</v>
      </c>
    </row>
    <row r="24858" spans="1:2" ht="12.75" customHeight="1" x14ac:dyDescent="0.25">
      <c r="A24858" s="318">
        <v>363979237690</v>
      </c>
      <c r="B24858" s="318" t="s">
        <v>23</v>
      </c>
    </row>
    <row r="24859" spans="1:2" ht="12.75" customHeight="1" x14ac:dyDescent="0.25">
      <c r="A24859" s="318">
        <v>363979237691</v>
      </c>
      <c r="B24859" s="318" t="s">
        <v>23</v>
      </c>
    </row>
    <row r="24860" spans="1:2" ht="12.75" customHeight="1" x14ac:dyDescent="0.25">
      <c r="A24860" s="318">
        <v>363979237692</v>
      </c>
      <c r="B24860" s="318" t="s">
        <v>23</v>
      </c>
    </row>
    <row r="24861" spans="1:2" ht="12.75" customHeight="1" x14ac:dyDescent="0.25">
      <c r="A24861" s="318">
        <v>363979237693</v>
      </c>
      <c r="B24861" s="318" t="s">
        <v>23</v>
      </c>
    </row>
    <row r="24862" spans="1:2" ht="12.75" customHeight="1" x14ac:dyDescent="0.25">
      <c r="A24862" s="318">
        <v>363979237694</v>
      </c>
      <c r="B24862" s="318" t="s">
        <v>23</v>
      </c>
    </row>
    <row r="24863" spans="1:2" ht="12.75" customHeight="1" x14ac:dyDescent="0.25">
      <c r="A24863" s="318">
        <v>363979237695</v>
      </c>
      <c r="B24863" s="318" t="s">
        <v>23</v>
      </c>
    </row>
    <row r="24864" spans="1:2" ht="12.75" customHeight="1" x14ac:dyDescent="0.25">
      <c r="A24864" s="318">
        <v>363979237696</v>
      </c>
      <c r="B24864" s="318" t="s">
        <v>23</v>
      </c>
    </row>
    <row r="24865" spans="1:2" ht="12.75" customHeight="1" x14ac:dyDescent="0.25">
      <c r="A24865" s="318">
        <v>363979237697</v>
      </c>
      <c r="B24865" s="318" t="s">
        <v>23</v>
      </c>
    </row>
    <row r="24866" spans="1:2" ht="12.75" customHeight="1" x14ac:dyDescent="0.25">
      <c r="A24866" s="318">
        <v>363979237699</v>
      </c>
      <c r="B24866" s="318" t="s">
        <v>23</v>
      </c>
    </row>
    <row r="24867" spans="1:2" ht="12.75" customHeight="1" x14ac:dyDescent="0.25">
      <c r="A24867" s="318">
        <v>363979237700</v>
      </c>
      <c r="B24867" s="318" t="s">
        <v>23</v>
      </c>
    </row>
    <row r="24868" spans="1:2" ht="12.75" customHeight="1" x14ac:dyDescent="0.25">
      <c r="A24868" s="318">
        <v>363979237701</v>
      </c>
      <c r="B24868" s="318" t="s">
        <v>23</v>
      </c>
    </row>
    <row r="24869" spans="1:2" ht="12.75" customHeight="1" x14ac:dyDescent="0.25">
      <c r="A24869" s="318">
        <v>363979237702</v>
      </c>
      <c r="B24869" s="318" t="s">
        <v>23</v>
      </c>
    </row>
    <row r="24870" spans="1:2" ht="12.75" customHeight="1" x14ac:dyDescent="0.25">
      <c r="A24870" s="318">
        <v>363979237703</v>
      </c>
      <c r="B24870" s="318" t="s">
        <v>23</v>
      </c>
    </row>
    <row r="24871" spans="1:2" ht="12.75" customHeight="1" x14ac:dyDescent="0.25">
      <c r="A24871" s="318">
        <v>363979237704</v>
      </c>
      <c r="B24871" s="318" t="s">
        <v>23</v>
      </c>
    </row>
    <row r="24872" spans="1:2" ht="12.75" customHeight="1" x14ac:dyDescent="0.25">
      <c r="A24872" s="318">
        <v>363979237705</v>
      </c>
      <c r="B24872" s="318" t="s">
        <v>23</v>
      </c>
    </row>
    <row r="24873" spans="1:2" ht="12.75" customHeight="1" x14ac:dyDescent="0.25">
      <c r="A24873" s="318">
        <v>363979237706</v>
      </c>
      <c r="B24873" s="318" t="s">
        <v>23</v>
      </c>
    </row>
    <row r="24874" spans="1:2" ht="12.75" customHeight="1" x14ac:dyDescent="0.25">
      <c r="A24874" s="318">
        <v>363980598071</v>
      </c>
      <c r="B24874" s="318" t="s">
        <v>23</v>
      </c>
    </row>
    <row r="24875" spans="1:2" ht="12.75" customHeight="1" x14ac:dyDescent="0.25">
      <c r="A24875" s="318">
        <v>363980598072</v>
      </c>
      <c r="B24875" s="318" t="s">
        <v>23</v>
      </c>
    </row>
    <row r="24876" spans="1:2" ht="12.75" customHeight="1" x14ac:dyDescent="0.25">
      <c r="A24876" s="318">
        <v>363980598073</v>
      </c>
      <c r="B24876" s="318" t="s">
        <v>23</v>
      </c>
    </row>
    <row r="24877" spans="1:2" ht="12.75" customHeight="1" x14ac:dyDescent="0.25">
      <c r="A24877" s="318">
        <v>363980598074</v>
      </c>
      <c r="B24877" s="318" t="s">
        <v>23</v>
      </c>
    </row>
    <row r="24878" spans="1:2" ht="12.75" customHeight="1" x14ac:dyDescent="0.25">
      <c r="A24878" s="318">
        <v>363980598075</v>
      </c>
      <c r="B24878" s="318" t="s">
        <v>23</v>
      </c>
    </row>
    <row r="24879" spans="1:2" ht="12.75" customHeight="1" x14ac:dyDescent="0.25">
      <c r="A24879" s="318">
        <v>363980598076</v>
      </c>
      <c r="B24879" s="318" t="s">
        <v>23</v>
      </c>
    </row>
    <row r="24880" spans="1:2" ht="12.75" customHeight="1" x14ac:dyDescent="0.25">
      <c r="A24880" s="318">
        <v>363980598077</v>
      </c>
      <c r="B24880" s="318" t="s">
        <v>23</v>
      </c>
    </row>
    <row r="24881" spans="1:2" ht="12.75" customHeight="1" x14ac:dyDescent="0.25">
      <c r="A24881" s="318">
        <v>363980598078</v>
      </c>
      <c r="B24881" s="318" t="s">
        <v>23</v>
      </c>
    </row>
    <row r="24882" spans="1:2" ht="12.75" customHeight="1" x14ac:dyDescent="0.25">
      <c r="A24882" s="318">
        <v>363980598080</v>
      </c>
      <c r="B24882" s="318" t="s">
        <v>237</v>
      </c>
    </row>
    <row r="24883" spans="1:2" ht="12.75" customHeight="1" x14ac:dyDescent="0.25">
      <c r="A24883" s="318">
        <v>363980598081</v>
      </c>
      <c r="B24883" s="318" t="s">
        <v>237</v>
      </c>
    </row>
    <row r="24884" spans="1:2" ht="12.75" customHeight="1" x14ac:dyDescent="0.25">
      <c r="A24884" s="318">
        <v>363980598082</v>
      </c>
      <c r="B24884" s="318" t="s">
        <v>237</v>
      </c>
    </row>
    <row r="24885" spans="1:2" ht="12.75" customHeight="1" x14ac:dyDescent="0.25">
      <c r="A24885" s="318">
        <v>363980598083</v>
      </c>
      <c r="B24885" s="318" t="s">
        <v>237</v>
      </c>
    </row>
    <row r="24886" spans="1:2" ht="12.75" customHeight="1" x14ac:dyDescent="0.25">
      <c r="A24886" s="318">
        <v>363980598084</v>
      </c>
      <c r="B24886" s="318" t="s">
        <v>237</v>
      </c>
    </row>
    <row r="24887" spans="1:2" ht="12.75" customHeight="1" x14ac:dyDescent="0.25">
      <c r="A24887" s="318">
        <v>363980598085</v>
      </c>
      <c r="B24887" s="318" t="s">
        <v>237</v>
      </c>
    </row>
    <row r="24888" spans="1:2" ht="12.75" customHeight="1" x14ac:dyDescent="0.25">
      <c r="A24888" s="318">
        <v>363980598086</v>
      </c>
      <c r="B24888" s="318" t="s">
        <v>237</v>
      </c>
    </row>
    <row r="24889" spans="1:2" ht="12.75" customHeight="1" x14ac:dyDescent="0.25">
      <c r="A24889" s="318">
        <v>363980598087</v>
      </c>
      <c r="B24889" s="318" t="s">
        <v>237</v>
      </c>
    </row>
    <row r="24890" spans="1:2" ht="12.75" customHeight="1" x14ac:dyDescent="0.25">
      <c r="A24890" s="318">
        <v>363981079044</v>
      </c>
      <c r="B24890" s="318" t="s">
        <v>23</v>
      </c>
    </row>
    <row r="24891" spans="1:2" ht="12.75" customHeight="1" x14ac:dyDescent="0.25">
      <c r="A24891" s="318">
        <v>363981079045</v>
      </c>
      <c r="B24891" s="318" t="s">
        <v>23</v>
      </c>
    </row>
    <row r="24892" spans="1:2" ht="12.75" customHeight="1" x14ac:dyDescent="0.25">
      <c r="A24892" s="318">
        <v>363981079046</v>
      </c>
      <c r="B24892" s="318" t="s">
        <v>23</v>
      </c>
    </row>
    <row r="24893" spans="1:2" ht="12.75" customHeight="1" x14ac:dyDescent="0.25">
      <c r="A24893" s="318">
        <v>363981079047</v>
      </c>
      <c r="B24893" s="318" t="s">
        <v>23</v>
      </c>
    </row>
    <row r="24894" spans="1:2" ht="12.75" customHeight="1" x14ac:dyDescent="0.25">
      <c r="A24894" s="318">
        <v>363981079048</v>
      </c>
      <c r="B24894" s="318" t="s">
        <v>23</v>
      </c>
    </row>
    <row r="24895" spans="1:2" ht="12.75" customHeight="1" x14ac:dyDescent="0.25">
      <c r="A24895" s="318">
        <v>363981079049</v>
      </c>
      <c r="B24895" s="318" t="s">
        <v>23</v>
      </c>
    </row>
    <row r="24896" spans="1:2" ht="12.75" customHeight="1" x14ac:dyDescent="0.25">
      <c r="A24896" s="318">
        <v>363981079050</v>
      </c>
      <c r="B24896" s="318" t="s">
        <v>23</v>
      </c>
    </row>
    <row r="24897" spans="1:2" ht="12.75" customHeight="1" x14ac:dyDescent="0.25">
      <c r="A24897" s="318">
        <v>363981079051</v>
      </c>
      <c r="B24897" s="318" t="s">
        <v>23</v>
      </c>
    </row>
    <row r="24898" spans="1:2" ht="12.75" customHeight="1" x14ac:dyDescent="0.25">
      <c r="A24898" s="318">
        <v>363981079053</v>
      </c>
      <c r="B24898" s="318" t="s">
        <v>237</v>
      </c>
    </row>
    <row r="24899" spans="1:2" ht="12.75" customHeight="1" x14ac:dyDescent="0.25">
      <c r="A24899" s="318">
        <v>363981079054</v>
      </c>
      <c r="B24899" s="318" t="s">
        <v>237</v>
      </c>
    </row>
    <row r="24900" spans="1:2" ht="12.75" customHeight="1" x14ac:dyDescent="0.25">
      <c r="A24900" s="318">
        <v>363981079055</v>
      </c>
      <c r="B24900" s="318" t="s">
        <v>237</v>
      </c>
    </row>
    <row r="24901" spans="1:2" ht="12.75" customHeight="1" x14ac:dyDescent="0.25">
      <c r="A24901" s="318">
        <v>363981079056</v>
      </c>
      <c r="B24901" s="318" t="s">
        <v>237</v>
      </c>
    </row>
    <row r="24902" spans="1:2" ht="12.75" customHeight="1" x14ac:dyDescent="0.25">
      <c r="A24902" s="318">
        <v>363981079057</v>
      </c>
      <c r="B24902" s="318" t="s">
        <v>237</v>
      </c>
    </row>
    <row r="24903" spans="1:2" ht="12.75" customHeight="1" x14ac:dyDescent="0.25">
      <c r="A24903" s="318">
        <v>363981079058</v>
      </c>
      <c r="B24903" s="318" t="s">
        <v>237</v>
      </c>
    </row>
    <row r="24904" spans="1:2" ht="12.75" customHeight="1" x14ac:dyDescent="0.25">
      <c r="A24904" s="318">
        <v>363981079059</v>
      </c>
      <c r="B24904" s="318" t="s">
        <v>237</v>
      </c>
    </row>
    <row r="24905" spans="1:2" ht="12.75" customHeight="1" x14ac:dyDescent="0.25">
      <c r="A24905" s="318">
        <v>363981079060</v>
      </c>
      <c r="B24905" s="318" t="s">
        <v>237</v>
      </c>
    </row>
    <row r="24906" spans="1:2" ht="12.75" customHeight="1" x14ac:dyDescent="0.25">
      <c r="A24906" s="318">
        <v>363981560017</v>
      </c>
      <c r="B24906" s="318" t="s">
        <v>23</v>
      </c>
    </row>
    <row r="24907" spans="1:2" ht="12.75" customHeight="1" x14ac:dyDescent="0.25">
      <c r="A24907" s="318">
        <v>363981560018</v>
      </c>
      <c r="B24907" s="318" t="s">
        <v>23</v>
      </c>
    </row>
    <row r="24908" spans="1:2" ht="12.75" customHeight="1" x14ac:dyDescent="0.25">
      <c r="A24908" s="318">
        <v>363981560019</v>
      </c>
      <c r="B24908" s="318" t="s">
        <v>23</v>
      </c>
    </row>
    <row r="24909" spans="1:2" ht="12.75" customHeight="1" x14ac:dyDescent="0.25">
      <c r="A24909" s="318">
        <v>363981560020</v>
      </c>
      <c r="B24909" s="318" t="s">
        <v>23</v>
      </c>
    </row>
    <row r="24910" spans="1:2" ht="12.75" customHeight="1" x14ac:dyDescent="0.25">
      <c r="A24910" s="318">
        <v>363981560021</v>
      </c>
      <c r="B24910" s="318" t="s">
        <v>23</v>
      </c>
    </row>
    <row r="24911" spans="1:2" ht="12.75" customHeight="1" x14ac:dyDescent="0.25">
      <c r="A24911" s="318">
        <v>363981560022</v>
      </c>
      <c r="B24911" s="318" t="s">
        <v>23</v>
      </c>
    </row>
    <row r="24912" spans="1:2" ht="12.75" customHeight="1" x14ac:dyDescent="0.25">
      <c r="A24912" s="318">
        <v>363981560023</v>
      </c>
      <c r="B24912" s="318" t="s">
        <v>23</v>
      </c>
    </row>
    <row r="24913" spans="1:2" ht="12.75" customHeight="1" x14ac:dyDescent="0.25">
      <c r="A24913" s="318">
        <v>363981560024</v>
      </c>
      <c r="B24913" s="318" t="s">
        <v>23</v>
      </c>
    </row>
    <row r="24914" spans="1:2" ht="12.75" customHeight="1" x14ac:dyDescent="0.25">
      <c r="A24914" s="318">
        <v>363981560026</v>
      </c>
      <c r="B24914" s="318" t="s">
        <v>23</v>
      </c>
    </row>
    <row r="24915" spans="1:2" ht="12.75" customHeight="1" x14ac:dyDescent="0.25">
      <c r="A24915" s="318">
        <v>363981560027</v>
      </c>
      <c r="B24915" s="318" t="s">
        <v>23</v>
      </c>
    </row>
    <row r="24916" spans="1:2" ht="12.75" customHeight="1" x14ac:dyDescent="0.25">
      <c r="A24916" s="318">
        <v>363981560028</v>
      </c>
      <c r="B24916" s="318" t="s">
        <v>23</v>
      </c>
    </row>
    <row r="24917" spans="1:2" ht="12.75" customHeight="1" x14ac:dyDescent="0.25">
      <c r="A24917" s="318">
        <v>363981560029</v>
      </c>
      <c r="B24917" s="318" t="s">
        <v>23</v>
      </c>
    </row>
    <row r="24918" spans="1:2" ht="12.75" customHeight="1" x14ac:dyDescent="0.25">
      <c r="A24918" s="318">
        <v>363981560030</v>
      </c>
      <c r="B24918" s="318" t="s">
        <v>23</v>
      </c>
    </row>
    <row r="24919" spans="1:2" ht="12.75" customHeight="1" x14ac:dyDescent="0.25">
      <c r="A24919" s="318">
        <v>363981560031</v>
      </c>
      <c r="B24919" s="318" t="s">
        <v>23</v>
      </c>
    </row>
    <row r="24920" spans="1:2" ht="12.75" customHeight="1" x14ac:dyDescent="0.25">
      <c r="A24920" s="318">
        <v>363981560032</v>
      </c>
      <c r="B24920" s="318" t="s">
        <v>23</v>
      </c>
    </row>
    <row r="24921" spans="1:2" ht="12.75" customHeight="1" x14ac:dyDescent="0.25">
      <c r="A24921" s="318">
        <v>363981560033</v>
      </c>
      <c r="B24921" s="318" t="s">
        <v>23</v>
      </c>
    </row>
    <row r="24922" spans="1:2" ht="12.75" customHeight="1" x14ac:dyDescent="0.25">
      <c r="A24922" s="318">
        <v>363982240208</v>
      </c>
      <c r="B24922" s="318" t="s">
        <v>23</v>
      </c>
    </row>
    <row r="24923" spans="1:2" ht="12.75" customHeight="1" x14ac:dyDescent="0.25">
      <c r="A24923" s="318">
        <v>363982240209</v>
      </c>
      <c r="B24923" s="318" t="s">
        <v>23</v>
      </c>
    </row>
    <row r="24924" spans="1:2" ht="12.75" customHeight="1" x14ac:dyDescent="0.25">
      <c r="A24924" s="318">
        <v>363982240210</v>
      </c>
      <c r="B24924" s="318" t="s">
        <v>23</v>
      </c>
    </row>
    <row r="24925" spans="1:2" ht="12.75" customHeight="1" x14ac:dyDescent="0.25">
      <c r="A24925" s="318">
        <v>363982240211</v>
      </c>
      <c r="B24925" s="318" t="s">
        <v>23</v>
      </c>
    </row>
    <row r="24926" spans="1:2" ht="12.75" customHeight="1" x14ac:dyDescent="0.25">
      <c r="A24926" s="318">
        <v>363982240212</v>
      </c>
      <c r="B24926" s="318" t="s">
        <v>23</v>
      </c>
    </row>
    <row r="24927" spans="1:2" ht="12.75" customHeight="1" x14ac:dyDescent="0.25">
      <c r="A24927" s="318">
        <v>363982240213</v>
      </c>
      <c r="B24927" s="318" t="s">
        <v>23</v>
      </c>
    </row>
    <row r="24928" spans="1:2" ht="12.75" customHeight="1" x14ac:dyDescent="0.25">
      <c r="A24928" s="318">
        <v>363982240214</v>
      </c>
      <c r="B24928" s="318" t="s">
        <v>23</v>
      </c>
    </row>
    <row r="24929" spans="1:2" ht="12.75" customHeight="1" x14ac:dyDescent="0.25">
      <c r="A24929" s="318">
        <v>363982240215</v>
      </c>
      <c r="B24929" s="318" t="s">
        <v>23</v>
      </c>
    </row>
    <row r="24930" spans="1:2" ht="12.75" customHeight="1" x14ac:dyDescent="0.25">
      <c r="A24930" s="318">
        <v>363982240217</v>
      </c>
      <c r="B24930" s="318" t="s">
        <v>237</v>
      </c>
    </row>
    <row r="24931" spans="1:2" ht="12.75" customHeight="1" x14ac:dyDescent="0.25">
      <c r="A24931" s="318">
        <v>363982240218</v>
      </c>
      <c r="B24931" s="318" t="s">
        <v>237</v>
      </c>
    </row>
    <row r="24932" spans="1:2" ht="12.75" customHeight="1" x14ac:dyDescent="0.25">
      <c r="A24932" s="318">
        <v>363982240219</v>
      </c>
      <c r="B24932" s="318" t="s">
        <v>237</v>
      </c>
    </row>
    <row r="24933" spans="1:2" ht="12.75" customHeight="1" x14ac:dyDescent="0.25">
      <c r="A24933" s="318">
        <v>363982240220</v>
      </c>
      <c r="B24933" s="318" t="s">
        <v>237</v>
      </c>
    </row>
    <row r="24934" spans="1:2" ht="12.75" customHeight="1" x14ac:dyDescent="0.25">
      <c r="A24934" s="318">
        <v>363982240221</v>
      </c>
      <c r="B24934" s="318" t="s">
        <v>237</v>
      </c>
    </row>
    <row r="24935" spans="1:2" ht="12.75" customHeight="1" x14ac:dyDescent="0.25">
      <c r="A24935" s="318">
        <v>363982240222</v>
      </c>
      <c r="B24935" s="318" t="s">
        <v>237</v>
      </c>
    </row>
    <row r="24936" spans="1:2" ht="12.75" customHeight="1" x14ac:dyDescent="0.25">
      <c r="A24936" s="318">
        <v>363982240223</v>
      </c>
      <c r="B24936" s="318" t="s">
        <v>237</v>
      </c>
    </row>
    <row r="24937" spans="1:2" ht="12.75" customHeight="1" x14ac:dyDescent="0.25">
      <c r="A24937" s="318">
        <v>363982240224</v>
      </c>
      <c r="B24937" s="318" t="s">
        <v>237</v>
      </c>
    </row>
    <row r="24938" spans="1:2" ht="12.75" customHeight="1" x14ac:dyDescent="0.25">
      <c r="A24938" s="318">
        <v>363982721181</v>
      </c>
      <c r="B24938" s="318" t="s">
        <v>23</v>
      </c>
    </row>
    <row r="24939" spans="1:2" ht="12.75" customHeight="1" x14ac:dyDescent="0.25">
      <c r="A24939" s="318">
        <v>363982721182</v>
      </c>
      <c r="B24939" s="318" t="s">
        <v>23</v>
      </c>
    </row>
    <row r="24940" spans="1:2" ht="12.75" customHeight="1" x14ac:dyDescent="0.25">
      <c r="A24940" s="318">
        <v>363982721183</v>
      </c>
      <c r="B24940" s="318" t="s">
        <v>23</v>
      </c>
    </row>
    <row r="24941" spans="1:2" ht="12.75" customHeight="1" x14ac:dyDescent="0.25">
      <c r="A24941" s="318">
        <v>363982721184</v>
      </c>
      <c r="B24941" s="318" t="s">
        <v>23</v>
      </c>
    </row>
    <row r="24942" spans="1:2" ht="12.75" customHeight="1" x14ac:dyDescent="0.25">
      <c r="A24942" s="318">
        <v>363982721185</v>
      </c>
      <c r="B24942" s="318" t="s">
        <v>23</v>
      </c>
    </row>
    <row r="24943" spans="1:2" ht="12.75" customHeight="1" x14ac:dyDescent="0.25">
      <c r="A24943" s="318">
        <v>363982721186</v>
      </c>
      <c r="B24943" s="318" t="s">
        <v>23</v>
      </c>
    </row>
    <row r="24944" spans="1:2" ht="12.75" customHeight="1" x14ac:dyDescent="0.25">
      <c r="A24944" s="318">
        <v>363982721187</v>
      </c>
      <c r="B24944" s="318" t="s">
        <v>23</v>
      </c>
    </row>
    <row r="24945" spans="1:2" ht="12.75" customHeight="1" x14ac:dyDescent="0.25">
      <c r="A24945" s="318">
        <v>363982721188</v>
      </c>
      <c r="B24945" s="318" t="s">
        <v>23</v>
      </c>
    </row>
    <row r="24946" spans="1:2" ht="12.75" customHeight="1" x14ac:dyDescent="0.25">
      <c r="A24946" s="318">
        <v>363982721190</v>
      </c>
      <c r="B24946" s="318" t="s">
        <v>237</v>
      </c>
    </row>
    <row r="24947" spans="1:2" ht="12.75" customHeight="1" x14ac:dyDescent="0.25">
      <c r="A24947" s="318">
        <v>363982721191</v>
      </c>
      <c r="B24947" s="318" t="s">
        <v>237</v>
      </c>
    </row>
    <row r="24948" spans="1:2" ht="12.75" customHeight="1" x14ac:dyDescent="0.25">
      <c r="A24948" s="318">
        <v>363982721192</v>
      </c>
      <c r="B24948" s="318" t="s">
        <v>237</v>
      </c>
    </row>
    <row r="24949" spans="1:2" ht="12.75" customHeight="1" x14ac:dyDescent="0.25">
      <c r="A24949" s="318">
        <v>363982721193</v>
      </c>
      <c r="B24949" s="318" t="s">
        <v>237</v>
      </c>
    </row>
    <row r="24950" spans="1:2" ht="12.75" customHeight="1" x14ac:dyDescent="0.25">
      <c r="A24950" s="318">
        <v>363982721194</v>
      </c>
      <c r="B24950" s="318" t="s">
        <v>237</v>
      </c>
    </row>
    <row r="24951" spans="1:2" ht="12.75" customHeight="1" x14ac:dyDescent="0.25">
      <c r="A24951" s="318">
        <v>363982721195</v>
      </c>
      <c r="B24951" s="318" t="s">
        <v>237</v>
      </c>
    </row>
    <row r="24952" spans="1:2" ht="12.75" customHeight="1" x14ac:dyDescent="0.25">
      <c r="A24952" s="318">
        <v>363982721196</v>
      </c>
      <c r="B24952" s="318" t="s">
        <v>237</v>
      </c>
    </row>
    <row r="24953" spans="1:2" ht="12.75" customHeight="1" x14ac:dyDescent="0.25">
      <c r="A24953" s="318">
        <v>363982721197</v>
      </c>
      <c r="B24953" s="318" t="s">
        <v>237</v>
      </c>
    </row>
    <row r="24954" spans="1:2" ht="12.75" customHeight="1" x14ac:dyDescent="0.25">
      <c r="A24954" s="318">
        <v>363983202154</v>
      </c>
      <c r="B24954" s="318" t="s">
        <v>23</v>
      </c>
    </row>
    <row r="24955" spans="1:2" ht="12.75" customHeight="1" x14ac:dyDescent="0.25">
      <c r="A24955" s="318">
        <v>363983202155</v>
      </c>
      <c r="B24955" s="318" t="s">
        <v>23</v>
      </c>
    </row>
    <row r="24956" spans="1:2" ht="12.75" customHeight="1" x14ac:dyDescent="0.25">
      <c r="A24956" s="318">
        <v>363983202156</v>
      </c>
      <c r="B24956" s="318" t="s">
        <v>23</v>
      </c>
    </row>
    <row r="24957" spans="1:2" ht="12.75" customHeight="1" x14ac:dyDescent="0.25">
      <c r="A24957" s="318">
        <v>363983202157</v>
      </c>
      <c r="B24957" s="318" t="s">
        <v>23</v>
      </c>
    </row>
    <row r="24958" spans="1:2" ht="12.75" customHeight="1" x14ac:dyDescent="0.25">
      <c r="A24958" s="318">
        <v>363983202158</v>
      </c>
      <c r="B24958" s="318" t="s">
        <v>23</v>
      </c>
    </row>
    <row r="24959" spans="1:2" ht="12.75" customHeight="1" x14ac:dyDescent="0.25">
      <c r="A24959" s="318">
        <v>363983202159</v>
      </c>
      <c r="B24959" s="318" t="s">
        <v>23</v>
      </c>
    </row>
    <row r="24960" spans="1:2" ht="12.75" customHeight="1" x14ac:dyDescent="0.25">
      <c r="A24960" s="318">
        <v>363983202160</v>
      </c>
      <c r="B24960" s="318" t="s">
        <v>23</v>
      </c>
    </row>
    <row r="24961" spans="1:2" ht="12.75" customHeight="1" x14ac:dyDescent="0.25">
      <c r="A24961" s="318">
        <v>363983202161</v>
      </c>
      <c r="B24961" s="318" t="s">
        <v>23</v>
      </c>
    </row>
    <row r="24962" spans="1:2" ht="12.75" customHeight="1" x14ac:dyDescent="0.25">
      <c r="A24962" s="318">
        <v>363983202163</v>
      </c>
      <c r="B24962" s="318" t="s">
        <v>23</v>
      </c>
    </row>
    <row r="24963" spans="1:2" ht="12.75" customHeight="1" x14ac:dyDescent="0.25">
      <c r="A24963" s="318">
        <v>363983202164</v>
      </c>
      <c r="B24963" s="318" t="s">
        <v>23</v>
      </c>
    </row>
    <row r="24964" spans="1:2" ht="12.75" customHeight="1" x14ac:dyDescent="0.25">
      <c r="A24964" s="318">
        <v>363983202165</v>
      </c>
      <c r="B24964" s="318" t="s">
        <v>23</v>
      </c>
    </row>
    <row r="24965" spans="1:2" ht="12.75" customHeight="1" x14ac:dyDescent="0.25">
      <c r="A24965" s="318">
        <v>363983202166</v>
      </c>
      <c r="B24965" s="318" t="s">
        <v>23</v>
      </c>
    </row>
    <row r="24966" spans="1:2" ht="12.75" customHeight="1" x14ac:dyDescent="0.25">
      <c r="A24966" s="318">
        <v>363983202167</v>
      </c>
      <c r="B24966" s="318" t="s">
        <v>23</v>
      </c>
    </row>
    <row r="24967" spans="1:2" ht="12.75" customHeight="1" x14ac:dyDescent="0.25">
      <c r="A24967" s="318">
        <v>363983202168</v>
      </c>
      <c r="B24967" s="318" t="s">
        <v>23</v>
      </c>
    </row>
    <row r="24968" spans="1:2" ht="12.75" customHeight="1" x14ac:dyDescent="0.25">
      <c r="A24968" s="318">
        <v>363983202169</v>
      </c>
      <c r="B24968" s="318" t="s">
        <v>23</v>
      </c>
    </row>
    <row r="24969" spans="1:2" ht="12.75" customHeight="1" x14ac:dyDescent="0.25">
      <c r="A24969" s="318">
        <v>363983202170</v>
      </c>
      <c r="B24969" s="318" t="s">
        <v>23</v>
      </c>
    </row>
    <row r="24970" spans="1:2" ht="12.75" customHeight="1" x14ac:dyDescent="0.25">
      <c r="A24970" s="318">
        <v>363983882345</v>
      </c>
      <c r="B24970" s="318" t="s">
        <v>23</v>
      </c>
    </row>
    <row r="24971" spans="1:2" ht="12.75" customHeight="1" x14ac:dyDescent="0.25">
      <c r="A24971" s="318">
        <v>363983882346</v>
      </c>
      <c r="B24971" s="318" t="s">
        <v>23</v>
      </c>
    </row>
    <row r="24972" spans="1:2" ht="12.75" customHeight="1" x14ac:dyDescent="0.25">
      <c r="A24972" s="318">
        <v>363983882347</v>
      </c>
      <c r="B24972" s="318" t="s">
        <v>23</v>
      </c>
    </row>
    <row r="24973" spans="1:2" ht="12.75" customHeight="1" x14ac:dyDescent="0.25">
      <c r="A24973" s="318">
        <v>363983882348</v>
      </c>
      <c r="B24973" s="318" t="s">
        <v>23</v>
      </c>
    </row>
    <row r="24974" spans="1:2" ht="12.75" customHeight="1" x14ac:dyDescent="0.25">
      <c r="A24974" s="318">
        <v>363983882349</v>
      </c>
      <c r="B24974" s="318" t="s">
        <v>23</v>
      </c>
    </row>
    <row r="24975" spans="1:2" ht="12.75" customHeight="1" x14ac:dyDescent="0.25">
      <c r="A24975" s="318">
        <v>363983882350</v>
      </c>
      <c r="B24975" s="318" t="s">
        <v>23</v>
      </c>
    </row>
    <row r="24976" spans="1:2" ht="12.75" customHeight="1" x14ac:dyDescent="0.25">
      <c r="A24976" s="318">
        <v>363983882351</v>
      </c>
      <c r="B24976" s="318" t="s">
        <v>23</v>
      </c>
    </row>
    <row r="24977" spans="1:2" ht="12.75" customHeight="1" x14ac:dyDescent="0.25">
      <c r="A24977" s="318">
        <v>363983882352</v>
      </c>
      <c r="B24977" s="318" t="s">
        <v>23</v>
      </c>
    </row>
    <row r="24978" spans="1:2" ht="12.75" customHeight="1" x14ac:dyDescent="0.25">
      <c r="A24978" s="318">
        <v>363983882354</v>
      </c>
      <c r="B24978" s="318" t="s">
        <v>23</v>
      </c>
    </row>
    <row r="24979" spans="1:2" ht="12.75" customHeight="1" x14ac:dyDescent="0.25">
      <c r="A24979" s="318">
        <v>363983882355</v>
      </c>
      <c r="B24979" s="318" t="s">
        <v>23</v>
      </c>
    </row>
    <row r="24980" spans="1:2" ht="12.75" customHeight="1" x14ac:dyDescent="0.25">
      <c r="A24980" s="318">
        <v>363983882356</v>
      </c>
      <c r="B24980" s="318" t="s">
        <v>23</v>
      </c>
    </row>
    <row r="24981" spans="1:2" ht="12.75" customHeight="1" x14ac:dyDescent="0.25">
      <c r="A24981" s="318">
        <v>363983882357</v>
      </c>
      <c r="B24981" s="318" t="s">
        <v>23</v>
      </c>
    </row>
    <row r="24982" spans="1:2" ht="12.75" customHeight="1" x14ac:dyDescent="0.25">
      <c r="A24982" s="318">
        <v>363983882358</v>
      </c>
      <c r="B24982" s="318" t="s">
        <v>23</v>
      </c>
    </row>
    <row r="24983" spans="1:2" ht="12.75" customHeight="1" x14ac:dyDescent="0.25">
      <c r="A24983" s="318">
        <v>363983882359</v>
      </c>
      <c r="B24983" s="318" t="s">
        <v>23</v>
      </c>
    </row>
    <row r="24984" spans="1:2" ht="12.75" customHeight="1" x14ac:dyDescent="0.25">
      <c r="A24984" s="318">
        <v>363983882360</v>
      </c>
      <c r="B24984" s="318" t="s">
        <v>23</v>
      </c>
    </row>
    <row r="24985" spans="1:2" ht="12.75" customHeight="1" x14ac:dyDescent="0.25">
      <c r="A24985" s="318">
        <v>363983882361</v>
      </c>
      <c r="B24985" s="318" t="s">
        <v>23</v>
      </c>
    </row>
    <row r="24986" spans="1:2" ht="12.75" customHeight="1" x14ac:dyDescent="0.25">
      <c r="A24986" s="318">
        <v>363984363318</v>
      </c>
      <c r="B24986" s="318" t="s">
        <v>23</v>
      </c>
    </row>
    <row r="24987" spans="1:2" ht="12.75" customHeight="1" x14ac:dyDescent="0.25">
      <c r="A24987" s="318">
        <v>363984363319</v>
      </c>
      <c r="B24987" s="318" t="s">
        <v>23</v>
      </c>
    </row>
    <row r="24988" spans="1:2" ht="12.75" customHeight="1" x14ac:dyDescent="0.25">
      <c r="A24988" s="318">
        <v>363984363320</v>
      </c>
      <c r="B24988" s="318" t="s">
        <v>23</v>
      </c>
    </row>
    <row r="24989" spans="1:2" ht="12.75" customHeight="1" x14ac:dyDescent="0.25">
      <c r="A24989" s="318">
        <v>363984363321</v>
      </c>
      <c r="B24989" s="318" t="s">
        <v>23</v>
      </c>
    </row>
    <row r="24990" spans="1:2" ht="12.75" customHeight="1" x14ac:dyDescent="0.25">
      <c r="A24990" s="318">
        <v>363984363322</v>
      </c>
      <c r="B24990" s="318" t="s">
        <v>23</v>
      </c>
    </row>
    <row r="24991" spans="1:2" ht="12.75" customHeight="1" x14ac:dyDescent="0.25">
      <c r="A24991" s="318">
        <v>363984363323</v>
      </c>
      <c r="B24991" s="318" t="s">
        <v>23</v>
      </c>
    </row>
    <row r="24992" spans="1:2" ht="12.75" customHeight="1" x14ac:dyDescent="0.25">
      <c r="A24992" s="318">
        <v>363984363324</v>
      </c>
      <c r="B24992" s="318" t="s">
        <v>23</v>
      </c>
    </row>
    <row r="24993" spans="1:2" ht="12.75" customHeight="1" x14ac:dyDescent="0.25">
      <c r="A24993" s="318">
        <v>363984363325</v>
      </c>
      <c r="B24993" s="318" t="s">
        <v>23</v>
      </c>
    </row>
    <row r="24994" spans="1:2" ht="12.75" customHeight="1" x14ac:dyDescent="0.25">
      <c r="A24994" s="318">
        <v>363984363327</v>
      </c>
      <c r="B24994" s="318" t="s">
        <v>23</v>
      </c>
    </row>
    <row r="24995" spans="1:2" ht="12.75" customHeight="1" x14ac:dyDescent="0.25">
      <c r="A24995" s="318">
        <v>363984363328</v>
      </c>
      <c r="B24995" s="318" t="s">
        <v>23</v>
      </c>
    </row>
    <row r="24996" spans="1:2" ht="12.75" customHeight="1" x14ac:dyDescent="0.25">
      <c r="A24996" s="318">
        <v>363984363329</v>
      </c>
      <c r="B24996" s="318" t="s">
        <v>23</v>
      </c>
    </row>
    <row r="24997" spans="1:2" ht="12.75" customHeight="1" x14ac:dyDescent="0.25">
      <c r="A24997" s="318">
        <v>363984363330</v>
      </c>
      <c r="B24997" s="318" t="s">
        <v>23</v>
      </c>
    </row>
    <row r="24998" spans="1:2" ht="12.75" customHeight="1" x14ac:dyDescent="0.25">
      <c r="A24998" s="318">
        <v>363984363331</v>
      </c>
      <c r="B24998" s="318" t="s">
        <v>23</v>
      </c>
    </row>
    <row r="24999" spans="1:2" ht="12.75" customHeight="1" x14ac:dyDescent="0.25">
      <c r="A24999" s="318">
        <v>363984363332</v>
      </c>
      <c r="B24999" s="318" t="s">
        <v>23</v>
      </c>
    </row>
    <row r="25000" spans="1:2" ht="12.75" customHeight="1" x14ac:dyDescent="0.25">
      <c r="A25000" s="318">
        <v>363984363333</v>
      </c>
      <c r="B25000" s="318" t="s">
        <v>23</v>
      </c>
    </row>
    <row r="25001" spans="1:2" ht="12.75" customHeight="1" x14ac:dyDescent="0.25">
      <c r="A25001" s="318">
        <v>363984363334</v>
      </c>
      <c r="B25001" s="318" t="s">
        <v>23</v>
      </c>
    </row>
    <row r="25002" spans="1:2" ht="12.75" customHeight="1" x14ac:dyDescent="0.25">
      <c r="A25002" s="318">
        <v>363984844291</v>
      </c>
      <c r="B25002" s="318" t="s">
        <v>23</v>
      </c>
    </row>
    <row r="25003" spans="1:2" ht="12.75" customHeight="1" x14ac:dyDescent="0.25">
      <c r="A25003" s="318">
        <v>363984844292</v>
      </c>
      <c r="B25003" s="318" t="s">
        <v>23</v>
      </c>
    </row>
    <row r="25004" spans="1:2" ht="12.75" customHeight="1" x14ac:dyDescent="0.25">
      <c r="A25004" s="318">
        <v>363984844293</v>
      </c>
      <c r="B25004" s="318" t="s">
        <v>23</v>
      </c>
    </row>
    <row r="25005" spans="1:2" ht="12.75" customHeight="1" x14ac:dyDescent="0.25">
      <c r="A25005" s="318">
        <v>363984844294</v>
      </c>
      <c r="B25005" s="318" t="s">
        <v>23</v>
      </c>
    </row>
    <row r="25006" spans="1:2" ht="12.75" customHeight="1" x14ac:dyDescent="0.25">
      <c r="A25006" s="318">
        <v>363984844295</v>
      </c>
      <c r="B25006" s="318" t="s">
        <v>23</v>
      </c>
    </row>
    <row r="25007" spans="1:2" ht="12.75" customHeight="1" x14ac:dyDescent="0.25">
      <c r="A25007" s="318">
        <v>363984844296</v>
      </c>
      <c r="B25007" s="318" t="s">
        <v>23</v>
      </c>
    </row>
    <row r="25008" spans="1:2" ht="12.75" customHeight="1" x14ac:dyDescent="0.25">
      <c r="A25008" s="318">
        <v>363984844297</v>
      </c>
      <c r="B25008" s="318" t="s">
        <v>23</v>
      </c>
    </row>
    <row r="25009" spans="1:2" ht="12.75" customHeight="1" x14ac:dyDescent="0.25">
      <c r="A25009" s="318">
        <v>363984844298</v>
      </c>
      <c r="B25009" s="318" t="s">
        <v>23</v>
      </c>
    </row>
    <row r="25010" spans="1:2" ht="12.75" customHeight="1" x14ac:dyDescent="0.25">
      <c r="A25010" s="318">
        <v>363984844300</v>
      </c>
      <c r="B25010" s="318" t="s">
        <v>23</v>
      </c>
    </row>
    <row r="25011" spans="1:2" ht="12.75" customHeight="1" x14ac:dyDescent="0.25">
      <c r="A25011" s="318">
        <v>363984844301</v>
      </c>
      <c r="B25011" s="318" t="s">
        <v>23</v>
      </c>
    </row>
    <row r="25012" spans="1:2" ht="12.75" customHeight="1" x14ac:dyDescent="0.25">
      <c r="A25012" s="318">
        <v>363984844302</v>
      </c>
      <c r="B25012" s="318" t="s">
        <v>23</v>
      </c>
    </row>
    <row r="25013" spans="1:2" ht="12.75" customHeight="1" x14ac:dyDescent="0.25">
      <c r="A25013" s="318">
        <v>363984844303</v>
      </c>
      <c r="B25013" s="318" t="s">
        <v>23</v>
      </c>
    </row>
    <row r="25014" spans="1:2" ht="12.75" customHeight="1" x14ac:dyDescent="0.25">
      <c r="A25014" s="318">
        <v>363984844304</v>
      </c>
      <c r="B25014" s="318" t="s">
        <v>23</v>
      </c>
    </row>
    <row r="25015" spans="1:2" ht="12.75" customHeight="1" x14ac:dyDescent="0.25">
      <c r="A25015" s="318">
        <v>363984844305</v>
      </c>
      <c r="B25015" s="318" t="s">
        <v>23</v>
      </c>
    </row>
    <row r="25016" spans="1:2" ht="12.75" customHeight="1" x14ac:dyDescent="0.25">
      <c r="A25016" s="318">
        <v>363984844306</v>
      </c>
      <c r="B25016" s="318" t="s">
        <v>23</v>
      </c>
    </row>
    <row r="25017" spans="1:2" ht="12.75" customHeight="1" x14ac:dyDescent="0.25">
      <c r="A25017" s="318">
        <v>363984844307</v>
      </c>
      <c r="B25017" s="318" t="s">
        <v>23</v>
      </c>
    </row>
    <row r="25018" spans="1:2" ht="12.75" customHeight="1" x14ac:dyDescent="0.25">
      <c r="A25018" s="318">
        <v>363986204672</v>
      </c>
      <c r="B25018" s="318" t="s">
        <v>23</v>
      </c>
    </row>
    <row r="25019" spans="1:2" ht="12.75" customHeight="1" x14ac:dyDescent="0.25">
      <c r="A25019" s="318">
        <v>363986204673</v>
      </c>
      <c r="B25019" s="318" t="s">
        <v>23</v>
      </c>
    </row>
    <row r="25020" spans="1:2" ht="12.75" customHeight="1" x14ac:dyDescent="0.25">
      <c r="A25020" s="318">
        <v>363986204674</v>
      </c>
      <c r="B25020" s="318" t="s">
        <v>23</v>
      </c>
    </row>
    <row r="25021" spans="1:2" ht="12.75" customHeight="1" x14ac:dyDescent="0.25">
      <c r="A25021" s="318">
        <v>363986204675</v>
      </c>
      <c r="B25021" s="318" t="s">
        <v>23</v>
      </c>
    </row>
    <row r="25022" spans="1:2" ht="12.75" customHeight="1" x14ac:dyDescent="0.25">
      <c r="A25022" s="318">
        <v>363986204676</v>
      </c>
      <c r="B25022" s="318" t="s">
        <v>23</v>
      </c>
    </row>
    <row r="25023" spans="1:2" ht="12.75" customHeight="1" x14ac:dyDescent="0.25">
      <c r="A25023" s="318">
        <v>363986204677</v>
      </c>
      <c r="B25023" s="318" t="s">
        <v>23</v>
      </c>
    </row>
    <row r="25024" spans="1:2" ht="12.75" customHeight="1" x14ac:dyDescent="0.25">
      <c r="A25024" s="318">
        <v>363986204678</v>
      </c>
      <c r="B25024" s="318" t="s">
        <v>23</v>
      </c>
    </row>
    <row r="25025" spans="1:2" ht="12.75" customHeight="1" x14ac:dyDescent="0.25">
      <c r="A25025" s="318">
        <v>363986204679</v>
      </c>
      <c r="B25025" s="318" t="s">
        <v>23</v>
      </c>
    </row>
    <row r="25026" spans="1:2" ht="12.75" customHeight="1" x14ac:dyDescent="0.25">
      <c r="A25026" s="318">
        <v>363986204681</v>
      </c>
      <c r="B25026" s="318" t="s">
        <v>23</v>
      </c>
    </row>
    <row r="25027" spans="1:2" ht="12.75" customHeight="1" x14ac:dyDescent="0.25">
      <c r="A25027" s="318">
        <v>363986204682</v>
      </c>
      <c r="B25027" s="318" t="s">
        <v>23</v>
      </c>
    </row>
    <row r="25028" spans="1:2" ht="12.75" customHeight="1" x14ac:dyDescent="0.25">
      <c r="A25028" s="318">
        <v>363986204683</v>
      </c>
      <c r="B25028" s="318" t="s">
        <v>23</v>
      </c>
    </row>
    <row r="25029" spans="1:2" ht="12.75" customHeight="1" x14ac:dyDescent="0.25">
      <c r="A25029" s="318">
        <v>363986204684</v>
      </c>
      <c r="B25029" s="318" t="s">
        <v>23</v>
      </c>
    </row>
    <row r="25030" spans="1:2" ht="12.75" customHeight="1" x14ac:dyDescent="0.25">
      <c r="A25030" s="318">
        <v>363986204685</v>
      </c>
      <c r="B25030" s="318" t="s">
        <v>23</v>
      </c>
    </row>
    <row r="25031" spans="1:2" ht="12.75" customHeight="1" x14ac:dyDescent="0.25">
      <c r="A25031" s="318">
        <v>363986204686</v>
      </c>
      <c r="B25031" s="318" t="s">
        <v>23</v>
      </c>
    </row>
    <row r="25032" spans="1:2" ht="12.75" customHeight="1" x14ac:dyDescent="0.25">
      <c r="A25032" s="318">
        <v>363986204687</v>
      </c>
      <c r="B25032" s="318" t="s">
        <v>23</v>
      </c>
    </row>
    <row r="25033" spans="1:2" ht="12.75" customHeight="1" x14ac:dyDescent="0.25">
      <c r="A25033" s="318">
        <v>363986204688</v>
      </c>
      <c r="B25033" s="318" t="s">
        <v>23</v>
      </c>
    </row>
    <row r="25034" spans="1:2" ht="12.75" customHeight="1" x14ac:dyDescent="0.25">
      <c r="A25034" s="318">
        <v>363986685645</v>
      </c>
      <c r="B25034" s="318" t="s">
        <v>23</v>
      </c>
    </row>
    <row r="25035" spans="1:2" ht="12.75" customHeight="1" x14ac:dyDescent="0.25">
      <c r="A25035" s="318">
        <v>363986685646</v>
      </c>
      <c r="B25035" s="318" t="s">
        <v>23</v>
      </c>
    </row>
    <row r="25036" spans="1:2" ht="12.75" customHeight="1" x14ac:dyDescent="0.25">
      <c r="A25036" s="318">
        <v>363986685647</v>
      </c>
      <c r="B25036" s="318" t="s">
        <v>23</v>
      </c>
    </row>
    <row r="25037" spans="1:2" ht="12.75" customHeight="1" x14ac:dyDescent="0.25">
      <c r="A25037" s="318">
        <v>363986685648</v>
      </c>
      <c r="B25037" s="318" t="s">
        <v>23</v>
      </c>
    </row>
    <row r="25038" spans="1:2" ht="12.75" customHeight="1" x14ac:dyDescent="0.25">
      <c r="A25038" s="318">
        <v>363986685649</v>
      </c>
      <c r="B25038" s="318" t="s">
        <v>23</v>
      </c>
    </row>
    <row r="25039" spans="1:2" ht="12.75" customHeight="1" x14ac:dyDescent="0.25">
      <c r="A25039" s="318">
        <v>363986685650</v>
      </c>
      <c r="B25039" s="318" t="s">
        <v>23</v>
      </c>
    </row>
    <row r="25040" spans="1:2" ht="12.75" customHeight="1" x14ac:dyDescent="0.25">
      <c r="A25040" s="318">
        <v>363986685651</v>
      </c>
      <c r="B25040" s="318" t="s">
        <v>23</v>
      </c>
    </row>
    <row r="25041" spans="1:2" ht="12.75" customHeight="1" x14ac:dyDescent="0.25">
      <c r="A25041" s="318">
        <v>363986685652</v>
      </c>
      <c r="B25041" s="318" t="s">
        <v>23</v>
      </c>
    </row>
    <row r="25042" spans="1:2" ht="12.75" customHeight="1" x14ac:dyDescent="0.25">
      <c r="A25042" s="318">
        <v>363986685654</v>
      </c>
      <c r="B25042" s="318" t="s">
        <v>23</v>
      </c>
    </row>
    <row r="25043" spans="1:2" ht="12.75" customHeight="1" x14ac:dyDescent="0.25">
      <c r="A25043" s="318">
        <v>363986685655</v>
      </c>
      <c r="B25043" s="318" t="s">
        <v>23</v>
      </c>
    </row>
    <row r="25044" spans="1:2" ht="12.75" customHeight="1" x14ac:dyDescent="0.25">
      <c r="A25044" s="318">
        <v>363986685656</v>
      </c>
      <c r="B25044" s="318" t="s">
        <v>23</v>
      </c>
    </row>
    <row r="25045" spans="1:2" ht="12.75" customHeight="1" x14ac:dyDescent="0.25">
      <c r="A25045" s="318">
        <v>363986685657</v>
      </c>
      <c r="B25045" s="318" t="s">
        <v>23</v>
      </c>
    </row>
    <row r="25046" spans="1:2" ht="12.75" customHeight="1" x14ac:dyDescent="0.25">
      <c r="A25046" s="318">
        <v>363986685658</v>
      </c>
      <c r="B25046" s="318" t="s">
        <v>23</v>
      </c>
    </row>
    <row r="25047" spans="1:2" ht="12.75" customHeight="1" x14ac:dyDescent="0.25">
      <c r="A25047" s="318">
        <v>363986685659</v>
      </c>
      <c r="B25047" s="318" t="s">
        <v>23</v>
      </c>
    </row>
    <row r="25048" spans="1:2" ht="12.75" customHeight="1" x14ac:dyDescent="0.25">
      <c r="A25048" s="318">
        <v>363986685660</v>
      </c>
      <c r="B25048" s="318" t="s">
        <v>23</v>
      </c>
    </row>
    <row r="25049" spans="1:2" ht="12.75" customHeight="1" x14ac:dyDescent="0.25">
      <c r="A25049" s="318">
        <v>363986685661</v>
      </c>
      <c r="B25049" s="318" t="s">
        <v>23</v>
      </c>
    </row>
    <row r="25050" spans="1:2" ht="12.75" customHeight="1" x14ac:dyDescent="0.25">
      <c r="A25050" s="318">
        <v>363987166618</v>
      </c>
      <c r="B25050" s="318" t="s">
        <v>23</v>
      </c>
    </row>
    <row r="25051" spans="1:2" ht="12.75" customHeight="1" x14ac:dyDescent="0.25">
      <c r="A25051" s="318">
        <v>363987166619</v>
      </c>
      <c r="B25051" s="318" t="s">
        <v>23</v>
      </c>
    </row>
    <row r="25052" spans="1:2" ht="12.75" customHeight="1" x14ac:dyDescent="0.25">
      <c r="A25052" s="318">
        <v>363987166620</v>
      </c>
      <c r="B25052" s="318" t="s">
        <v>23</v>
      </c>
    </row>
    <row r="25053" spans="1:2" ht="12.75" customHeight="1" x14ac:dyDescent="0.25">
      <c r="A25053" s="318">
        <v>363987166621</v>
      </c>
      <c r="B25053" s="318" t="s">
        <v>23</v>
      </c>
    </row>
    <row r="25054" spans="1:2" ht="12.75" customHeight="1" x14ac:dyDescent="0.25">
      <c r="A25054" s="318">
        <v>363987166622</v>
      </c>
      <c r="B25054" s="318" t="s">
        <v>23</v>
      </c>
    </row>
    <row r="25055" spans="1:2" ht="12.75" customHeight="1" x14ac:dyDescent="0.25">
      <c r="A25055" s="318">
        <v>363987166623</v>
      </c>
      <c r="B25055" s="318" t="s">
        <v>23</v>
      </c>
    </row>
    <row r="25056" spans="1:2" ht="12.75" customHeight="1" x14ac:dyDescent="0.25">
      <c r="A25056" s="318">
        <v>363987166624</v>
      </c>
      <c r="B25056" s="318" t="s">
        <v>23</v>
      </c>
    </row>
    <row r="25057" spans="1:2" ht="12.75" customHeight="1" x14ac:dyDescent="0.25">
      <c r="A25057" s="318">
        <v>363987166625</v>
      </c>
      <c r="B25057" s="318" t="s">
        <v>23</v>
      </c>
    </row>
    <row r="25058" spans="1:2" ht="12.75" customHeight="1" x14ac:dyDescent="0.25">
      <c r="A25058" s="318">
        <v>363987166627</v>
      </c>
      <c r="B25058" s="318" t="s">
        <v>23</v>
      </c>
    </row>
    <row r="25059" spans="1:2" ht="12.75" customHeight="1" x14ac:dyDescent="0.25">
      <c r="A25059" s="318">
        <v>363987166628</v>
      </c>
      <c r="B25059" s="318" t="s">
        <v>23</v>
      </c>
    </row>
    <row r="25060" spans="1:2" ht="12.75" customHeight="1" x14ac:dyDescent="0.25">
      <c r="A25060" s="318">
        <v>363987166629</v>
      </c>
      <c r="B25060" s="318" t="s">
        <v>23</v>
      </c>
    </row>
    <row r="25061" spans="1:2" ht="12.75" customHeight="1" x14ac:dyDescent="0.25">
      <c r="A25061" s="318">
        <v>363987166630</v>
      </c>
      <c r="B25061" s="318" t="s">
        <v>23</v>
      </c>
    </row>
    <row r="25062" spans="1:2" ht="12.75" customHeight="1" x14ac:dyDescent="0.25">
      <c r="A25062" s="318">
        <v>363987166631</v>
      </c>
      <c r="B25062" s="318" t="s">
        <v>23</v>
      </c>
    </row>
    <row r="25063" spans="1:2" ht="12.75" customHeight="1" x14ac:dyDescent="0.25">
      <c r="A25063" s="318">
        <v>363987166632</v>
      </c>
      <c r="B25063" s="318" t="s">
        <v>23</v>
      </c>
    </row>
    <row r="25064" spans="1:2" ht="12.75" customHeight="1" x14ac:dyDescent="0.25">
      <c r="A25064" s="318">
        <v>363987166633</v>
      </c>
      <c r="B25064" s="318" t="s">
        <v>23</v>
      </c>
    </row>
    <row r="25065" spans="1:2" ht="12.75" customHeight="1" x14ac:dyDescent="0.25">
      <c r="A25065" s="318">
        <v>363987166634</v>
      </c>
      <c r="B25065" s="318" t="s">
        <v>23</v>
      </c>
    </row>
    <row r="25066" spans="1:2" ht="12.75" customHeight="1" x14ac:dyDescent="0.25">
      <c r="A25066" s="318">
        <v>363987846809</v>
      </c>
      <c r="B25066" s="318" t="s">
        <v>23</v>
      </c>
    </row>
    <row r="25067" spans="1:2" ht="12.75" customHeight="1" x14ac:dyDescent="0.25">
      <c r="A25067" s="318">
        <v>363987846810</v>
      </c>
      <c r="B25067" s="318" t="s">
        <v>23</v>
      </c>
    </row>
    <row r="25068" spans="1:2" ht="12.75" customHeight="1" x14ac:dyDescent="0.25">
      <c r="A25068" s="318">
        <v>363987846811</v>
      </c>
      <c r="B25068" s="318" t="s">
        <v>23</v>
      </c>
    </row>
    <row r="25069" spans="1:2" ht="12.75" customHeight="1" x14ac:dyDescent="0.25">
      <c r="A25069" s="318">
        <v>363987846812</v>
      </c>
      <c r="B25069" s="318" t="s">
        <v>23</v>
      </c>
    </row>
    <row r="25070" spans="1:2" ht="12.75" customHeight="1" x14ac:dyDescent="0.25">
      <c r="A25070" s="318">
        <v>363987846813</v>
      </c>
      <c r="B25070" s="318" t="s">
        <v>23</v>
      </c>
    </row>
    <row r="25071" spans="1:2" ht="12.75" customHeight="1" x14ac:dyDescent="0.25">
      <c r="A25071" s="318">
        <v>363987846814</v>
      </c>
      <c r="B25071" s="318" t="s">
        <v>23</v>
      </c>
    </row>
    <row r="25072" spans="1:2" ht="12.75" customHeight="1" x14ac:dyDescent="0.25">
      <c r="A25072" s="318">
        <v>363987846815</v>
      </c>
      <c r="B25072" s="318" t="s">
        <v>23</v>
      </c>
    </row>
    <row r="25073" spans="1:2" ht="12.75" customHeight="1" x14ac:dyDescent="0.25">
      <c r="A25073" s="318">
        <v>363987846816</v>
      </c>
      <c r="B25073" s="318" t="s">
        <v>23</v>
      </c>
    </row>
    <row r="25074" spans="1:2" ht="12.75" customHeight="1" x14ac:dyDescent="0.25">
      <c r="A25074" s="318">
        <v>363987846818</v>
      </c>
      <c r="B25074" s="318" t="s">
        <v>23</v>
      </c>
    </row>
    <row r="25075" spans="1:2" ht="12.75" customHeight="1" x14ac:dyDescent="0.25">
      <c r="A25075" s="318">
        <v>363987846819</v>
      </c>
      <c r="B25075" s="318" t="s">
        <v>23</v>
      </c>
    </row>
    <row r="25076" spans="1:2" ht="12.75" customHeight="1" x14ac:dyDescent="0.25">
      <c r="A25076" s="318">
        <v>363987846820</v>
      </c>
      <c r="B25076" s="318" t="s">
        <v>23</v>
      </c>
    </row>
    <row r="25077" spans="1:2" ht="12.75" customHeight="1" x14ac:dyDescent="0.25">
      <c r="A25077" s="318">
        <v>363987846821</v>
      </c>
      <c r="B25077" s="318" t="s">
        <v>23</v>
      </c>
    </row>
    <row r="25078" spans="1:2" ht="12.75" customHeight="1" x14ac:dyDescent="0.25">
      <c r="A25078" s="318">
        <v>363987846822</v>
      </c>
      <c r="B25078" s="318" t="s">
        <v>23</v>
      </c>
    </row>
    <row r="25079" spans="1:2" ht="12.75" customHeight="1" x14ac:dyDescent="0.25">
      <c r="A25079" s="318">
        <v>363987846823</v>
      </c>
      <c r="B25079" s="318" t="s">
        <v>23</v>
      </c>
    </row>
    <row r="25080" spans="1:2" ht="12.75" customHeight="1" x14ac:dyDescent="0.25">
      <c r="A25080" s="318">
        <v>363987846824</v>
      </c>
      <c r="B25080" s="318" t="s">
        <v>23</v>
      </c>
    </row>
    <row r="25081" spans="1:2" ht="12.75" customHeight="1" x14ac:dyDescent="0.25">
      <c r="A25081" s="318">
        <v>363987846825</v>
      </c>
      <c r="B25081" s="318" t="s">
        <v>23</v>
      </c>
    </row>
    <row r="25082" spans="1:2" ht="12.75" customHeight="1" x14ac:dyDescent="0.25">
      <c r="A25082" s="318">
        <v>363988327782</v>
      </c>
      <c r="B25082" s="318" t="s">
        <v>23</v>
      </c>
    </row>
    <row r="25083" spans="1:2" ht="12.75" customHeight="1" x14ac:dyDescent="0.25">
      <c r="A25083" s="318">
        <v>363988327783</v>
      </c>
      <c r="B25083" s="318" t="s">
        <v>23</v>
      </c>
    </row>
    <row r="25084" spans="1:2" ht="12.75" customHeight="1" x14ac:dyDescent="0.25">
      <c r="A25084" s="318">
        <v>363988327784</v>
      </c>
      <c r="B25084" s="318" t="s">
        <v>23</v>
      </c>
    </row>
    <row r="25085" spans="1:2" ht="12.75" customHeight="1" x14ac:dyDescent="0.25">
      <c r="A25085" s="318">
        <v>363988327785</v>
      </c>
      <c r="B25085" s="318" t="s">
        <v>23</v>
      </c>
    </row>
    <row r="25086" spans="1:2" ht="12.75" customHeight="1" x14ac:dyDescent="0.25">
      <c r="A25086" s="318">
        <v>363988327786</v>
      </c>
      <c r="B25086" s="318" t="s">
        <v>23</v>
      </c>
    </row>
    <row r="25087" spans="1:2" ht="12.75" customHeight="1" x14ac:dyDescent="0.25">
      <c r="A25087" s="318">
        <v>363988327787</v>
      </c>
      <c r="B25087" s="318" t="s">
        <v>23</v>
      </c>
    </row>
    <row r="25088" spans="1:2" ht="12.75" customHeight="1" x14ac:dyDescent="0.25">
      <c r="A25088" s="318">
        <v>363988327788</v>
      </c>
      <c r="B25088" s="318" t="s">
        <v>23</v>
      </c>
    </row>
    <row r="25089" spans="1:2" ht="12.75" customHeight="1" x14ac:dyDescent="0.25">
      <c r="A25089" s="318">
        <v>363988327789</v>
      </c>
      <c r="B25089" s="318" t="s">
        <v>23</v>
      </c>
    </row>
    <row r="25090" spans="1:2" ht="12.75" customHeight="1" x14ac:dyDescent="0.25">
      <c r="A25090" s="318">
        <v>363988327791</v>
      </c>
      <c r="B25090" s="318" t="s">
        <v>23</v>
      </c>
    </row>
    <row r="25091" spans="1:2" ht="12.75" customHeight="1" x14ac:dyDescent="0.25">
      <c r="A25091" s="318">
        <v>363988327792</v>
      </c>
      <c r="B25091" s="318" t="s">
        <v>23</v>
      </c>
    </row>
    <row r="25092" spans="1:2" ht="12.75" customHeight="1" x14ac:dyDescent="0.25">
      <c r="A25092" s="318">
        <v>363988327793</v>
      </c>
      <c r="B25092" s="318" t="s">
        <v>23</v>
      </c>
    </row>
    <row r="25093" spans="1:2" ht="12.75" customHeight="1" x14ac:dyDescent="0.25">
      <c r="A25093" s="318">
        <v>363988327794</v>
      </c>
      <c r="B25093" s="318" t="s">
        <v>23</v>
      </c>
    </row>
    <row r="25094" spans="1:2" ht="12.75" customHeight="1" x14ac:dyDescent="0.25">
      <c r="A25094" s="318">
        <v>363988327795</v>
      </c>
      <c r="B25094" s="318" t="s">
        <v>23</v>
      </c>
    </row>
    <row r="25095" spans="1:2" ht="12.75" customHeight="1" x14ac:dyDescent="0.25">
      <c r="A25095" s="318">
        <v>363988327796</v>
      </c>
      <c r="B25095" s="318" t="s">
        <v>23</v>
      </c>
    </row>
    <row r="25096" spans="1:2" ht="12.75" customHeight="1" x14ac:dyDescent="0.25">
      <c r="A25096" s="318">
        <v>363988327797</v>
      </c>
      <c r="B25096" s="318" t="s">
        <v>23</v>
      </c>
    </row>
    <row r="25097" spans="1:2" ht="12.75" customHeight="1" x14ac:dyDescent="0.25">
      <c r="A25097" s="318">
        <v>363988327798</v>
      </c>
      <c r="B25097" s="318" t="s">
        <v>23</v>
      </c>
    </row>
    <row r="25098" spans="1:2" ht="12.75" customHeight="1" x14ac:dyDescent="0.25">
      <c r="A25098" s="318">
        <v>363988808755</v>
      </c>
      <c r="B25098" s="318" t="s">
        <v>23</v>
      </c>
    </row>
    <row r="25099" spans="1:2" ht="12.75" customHeight="1" x14ac:dyDescent="0.25">
      <c r="A25099" s="318">
        <v>363988808756</v>
      </c>
      <c r="B25099" s="318" t="s">
        <v>23</v>
      </c>
    </row>
    <row r="25100" spans="1:2" ht="12.75" customHeight="1" x14ac:dyDescent="0.25">
      <c r="A25100" s="318">
        <v>363988808757</v>
      </c>
      <c r="B25100" s="318" t="s">
        <v>23</v>
      </c>
    </row>
    <row r="25101" spans="1:2" ht="12.75" customHeight="1" x14ac:dyDescent="0.25">
      <c r="A25101" s="318">
        <v>363988808758</v>
      </c>
      <c r="B25101" s="318" t="s">
        <v>23</v>
      </c>
    </row>
    <row r="25102" spans="1:2" ht="12.75" customHeight="1" x14ac:dyDescent="0.25">
      <c r="A25102" s="318">
        <v>363988808759</v>
      </c>
      <c r="B25102" s="318" t="s">
        <v>23</v>
      </c>
    </row>
    <row r="25103" spans="1:2" ht="12.75" customHeight="1" x14ac:dyDescent="0.25">
      <c r="A25103" s="318">
        <v>363988808760</v>
      </c>
      <c r="B25103" s="318" t="s">
        <v>23</v>
      </c>
    </row>
    <row r="25104" spans="1:2" ht="12.75" customHeight="1" x14ac:dyDescent="0.25">
      <c r="A25104" s="318">
        <v>363988808761</v>
      </c>
      <c r="B25104" s="318" t="s">
        <v>23</v>
      </c>
    </row>
    <row r="25105" spans="1:2" ht="12.75" customHeight="1" x14ac:dyDescent="0.25">
      <c r="A25105" s="318">
        <v>363988808762</v>
      </c>
      <c r="B25105" s="318" t="s">
        <v>23</v>
      </c>
    </row>
    <row r="25106" spans="1:2" ht="12.75" customHeight="1" x14ac:dyDescent="0.25">
      <c r="A25106" s="318">
        <v>363988808764</v>
      </c>
      <c r="B25106" s="318" t="s">
        <v>23</v>
      </c>
    </row>
    <row r="25107" spans="1:2" ht="12.75" customHeight="1" x14ac:dyDescent="0.25">
      <c r="A25107" s="318">
        <v>363988808765</v>
      </c>
      <c r="B25107" s="318" t="s">
        <v>23</v>
      </c>
    </row>
    <row r="25108" spans="1:2" ht="12.75" customHeight="1" x14ac:dyDescent="0.25">
      <c r="A25108" s="318">
        <v>363988808766</v>
      </c>
      <c r="B25108" s="318" t="s">
        <v>23</v>
      </c>
    </row>
    <row r="25109" spans="1:2" ht="12.75" customHeight="1" x14ac:dyDescent="0.25">
      <c r="A25109" s="318">
        <v>363988808767</v>
      </c>
      <c r="B25109" s="318" t="s">
        <v>23</v>
      </c>
    </row>
    <row r="25110" spans="1:2" ht="12.75" customHeight="1" x14ac:dyDescent="0.25">
      <c r="A25110" s="318">
        <v>363988808768</v>
      </c>
      <c r="B25110" s="318" t="s">
        <v>23</v>
      </c>
    </row>
    <row r="25111" spans="1:2" ht="12.75" customHeight="1" x14ac:dyDescent="0.25">
      <c r="A25111" s="318">
        <v>363988808769</v>
      </c>
      <c r="B25111" s="318" t="s">
        <v>23</v>
      </c>
    </row>
    <row r="25112" spans="1:2" ht="12.75" customHeight="1" x14ac:dyDescent="0.25">
      <c r="A25112" s="318">
        <v>363988808770</v>
      </c>
      <c r="B25112" s="318" t="s">
        <v>23</v>
      </c>
    </row>
    <row r="25113" spans="1:2" ht="12.75" customHeight="1" x14ac:dyDescent="0.25">
      <c r="A25113" s="318">
        <v>363988808771</v>
      </c>
      <c r="B25113" s="318" t="s">
        <v>23</v>
      </c>
    </row>
    <row r="25114" spans="1:2" ht="12.75" customHeight="1" x14ac:dyDescent="0.25">
      <c r="A25114" s="318">
        <v>363989488946</v>
      </c>
      <c r="B25114" s="318" t="s">
        <v>23</v>
      </c>
    </row>
    <row r="25115" spans="1:2" ht="12.75" customHeight="1" x14ac:dyDescent="0.25">
      <c r="A25115" s="318">
        <v>363989488947</v>
      </c>
      <c r="B25115" s="318" t="s">
        <v>23</v>
      </c>
    </row>
    <row r="25116" spans="1:2" ht="12.75" customHeight="1" x14ac:dyDescent="0.25">
      <c r="A25116" s="318">
        <v>363989488948</v>
      </c>
      <c r="B25116" s="318" t="s">
        <v>23</v>
      </c>
    </row>
    <row r="25117" spans="1:2" ht="12.75" customHeight="1" x14ac:dyDescent="0.25">
      <c r="A25117" s="318">
        <v>363989488949</v>
      </c>
      <c r="B25117" s="318" t="s">
        <v>23</v>
      </c>
    </row>
    <row r="25118" spans="1:2" ht="12.75" customHeight="1" x14ac:dyDescent="0.25">
      <c r="A25118" s="318">
        <v>363989488950</v>
      </c>
      <c r="B25118" s="318" t="s">
        <v>23</v>
      </c>
    </row>
    <row r="25119" spans="1:2" ht="12.75" customHeight="1" x14ac:dyDescent="0.25">
      <c r="A25119" s="318">
        <v>363989488951</v>
      </c>
      <c r="B25119" s="318" t="s">
        <v>23</v>
      </c>
    </row>
    <row r="25120" spans="1:2" ht="12.75" customHeight="1" x14ac:dyDescent="0.25">
      <c r="A25120" s="318">
        <v>363989488952</v>
      </c>
      <c r="B25120" s="318" t="s">
        <v>23</v>
      </c>
    </row>
    <row r="25121" spans="1:2" ht="12.75" customHeight="1" x14ac:dyDescent="0.25">
      <c r="A25121" s="318">
        <v>363989488953</v>
      </c>
      <c r="B25121" s="318" t="s">
        <v>23</v>
      </c>
    </row>
    <row r="25122" spans="1:2" ht="12.75" customHeight="1" x14ac:dyDescent="0.25">
      <c r="A25122" s="318">
        <v>363989488955</v>
      </c>
      <c r="B25122" s="318" t="s">
        <v>23</v>
      </c>
    </row>
    <row r="25123" spans="1:2" ht="12.75" customHeight="1" x14ac:dyDescent="0.25">
      <c r="A25123" s="318">
        <v>363989488956</v>
      </c>
      <c r="B25123" s="318" t="s">
        <v>23</v>
      </c>
    </row>
    <row r="25124" spans="1:2" ht="12.75" customHeight="1" x14ac:dyDescent="0.25">
      <c r="A25124" s="318">
        <v>363989488957</v>
      </c>
      <c r="B25124" s="318" t="s">
        <v>23</v>
      </c>
    </row>
    <row r="25125" spans="1:2" ht="12.75" customHeight="1" x14ac:dyDescent="0.25">
      <c r="A25125" s="318">
        <v>363989488958</v>
      </c>
      <c r="B25125" s="318" t="s">
        <v>23</v>
      </c>
    </row>
    <row r="25126" spans="1:2" ht="12.75" customHeight="1" x14ac:dyDescent="0.25">
      <c r="A25126" s="318">
        <v>363989488959</v>
      </c>
      <c r="B25126" s="318" t="s">
        <v>23</v>
      </c>
    </row>
    <row r="25127" spans="1:2" ht="12.75" customHeight="1" x14ac:dyDescent="0.25">
      <c r="A25127" s="318">
        <v>363989488960</v>
      </c>
      <c r="B25127" s="318" t="s">
        <v>23</v>
      </c>
    </row>
    <row r="25128" spans="1:2" ht="12.75" customHeight="1" x14ac:dyDescent="0.25">
      <c r="A25128" s="318">
        <v>363989488961</v>
      </c>
      <c r="B25128" s="318" t="s">
        <v>23</v>
      </c>
    </row>
    <row r="25129" spans="1:2" ht="12.75" customHeight="1" x14ac:dyDescent="0.25">
      <c r="A25129" s="318">
        <v>363989488962</v>
      </c>
      <c r="B25129" s="318" t="s">
        <v>23</v>
      </c>
    </row>
    <row r="25130" spans="1:2" ht="12.75" customHeight="1" x14ac:dyDescent="0.25">
      <c r="A25130" s="318">
        <v>363989969919</v>
      </c>
      <c r="B25130" s="318" t="s">
        <v>23</v>
      </c>
    </row>
    <row r="25131" spans="1:2" ht="12.75" customHeight="1" x14ac:dyDescent="0.25">
      <c r="A25131" s="318">
        <v>363989969920</v>
      </c>
      <c r="B25131" s="318" t="s">
        <v>23</v>
      </c>
    </row>
    <row r="25132" spans="1:2" ht="12.75" customHeight="1" x14ac:dyDescent="0.25">
      <c r="A25132" s="318">
        <v>363989969921</v>
      </c>
      <c r="B25132" s="318" t="s">
        <v>23</v>
      </c>
    </row>
    <row r="25133" spans="1:2" ht="12.75" customHeight="1" x14ac:dyDescent="0.25">
      <c r="A25133" s="318">
        <v>363989969922</v>
      </c>
      <c r="B25133" s="318" t="s">
        <v>23</v>
      </c>
    </row>
    <row r="25134" spans="1:2" ht="12.75" customHeight="1" x14ac:dyDescent="0.25">
      <c r="A25134" s="318">
        <v>363989969923</v>
      </c>
      <c r="B25134" s="318" t="s">
        <v>23</v>
      </c>
    </row>
    <row r="25135" spans="1:2" ht="12.75" customHeight="1" x14ac:dyDescent="0.25">
      <c r="A25135" s="318">
        <v>363989969924</v>
      </c>
      <c r="B25135" s="318" t="s">
        <v>23</v>
      </c>
    </row>
    <row r="25136" spans="1:2" ht="12.75" customHeight="1" x14ac:dyDescent="0.25">
      <c r="A25136" s="318">
        <v>363989969925</v>
      </c>
      <c r="B25136" s="318" t="s">
        <v>23</v>
      </c>
    </row>
    <row r="25137" spans="1:2" ht="12.75" customHeight="1" x14ac:dyDescent="0.25">
      <c r="A25137" s="318">
        <v>363989969926</v>
      </c>
      <c r="B25137" s="318" t="s">
        <v>23</v>
      </c>
    </row>
    <row r="25138" spans="1:2" ht="12.75" customHeight="1" x14ac:dyDescent="0.25">
      <c r="A25138" s="318">
        <v>363989969928</v>
      </c>
      <c r="B25138" s="318" t="s">
        <v>23</v>
      </c>
    </row>
    <row r="25139" spans="1:2" ht="12.75" customHeight="1" x14ac:dyDescent="0.25">
      <c r="A25139" s="318">
        <v>363989969929</v>
      </c>
      <c r="B25139" s="318" t="s">
        <v>23</v>
      </c>
    </row>
    <row r="25140" spans="1:2" ht="12.75" customHeight="1" x14ac:dyDescent="0.25">
      <c r="A25140" s="318">
        <v>363989969930</v>
      </c>
      <c r="B25140" s="318" t="s">
        <v>23</v>
      </c>
    </row>
    <row r="25141" spans="1:2" ht="12.75" customHeight="1" x14ac:dyDescent="0.25">
      <c r="A25141" s="318">
        <v>363989969931</v>
      </c>
      <c r="B25141" s="318" t="s">
        <v>23</v>
      </c>
    </row>
    <row r="25142" spans="1:2" ht="12.75" customHeight="1" x14ac:dyDescent="0.25">
      <c r="A25142" s="318">
        <v>363989969932</v>
      </c>
      <c r="B25142" s="318" t="s">
        <v>23</v>
      </c>
    </row>
    <row r="25143" spans="1:2" ht="12.75" customHeight="1" x14ac:dyDescent="0.25">
      <c r="A25143" s="318">
        <v>363989969933</v>
      </c>
      <c r="B25143" s="318" t="s">
        <v>23</v>
      </c>
    </row>
    <row r="25144" spans="1:2" ht="12.75" customHeight="1" x14ac:dyDescent="0.25">
      <c r="A25144" s="318">
        <v>363989969934</v>
      </c>
      <c r="B25144" s="318" t="s">
        <v>23</v>
      </c>
    </row>
    <row r="25145" spans="1:2" ht="12.75" customHeight="1" x14ac:dyDescent="0.25">
      <c r="A25145" s="318">
        <v>363989969935</v>
      </c>
      <c r="B25145" s="318" t="s">
        <v>23</v>
      </c>
    </row>
    <row r="25146" spans="1:2" ht="12.75" customHeight="1" x14ac:dyDescent="0.25">
      <c r="A25146" s="318">
        <v>363990450892</v>
      </c>
      <c r="B25146" s="318" t="s">
        <v>23</v>
      </c>
    </row>
    <row r="25147" spans="1:2" ht="12.75" customHeight="1" x14ac:dyDescent="0.25">
      <c r="A25147" s="318">
        <v>363990450893</v>
      </c>
      <c r="B25147" s="318" t="s">
        <v>23</v>
      </c>
    </row>
    <row r="25148" spans="1:2" ht="12.75" customHeight="1" x14ac:dyDescent="0.25">
      <c r="A25148" s="318">
        <v>363990450894</v>
      </c>
      <c r="B25148" s="318" t="s">
        <v>23</v>
      </c>
    </row>
    <row r="25149" spans="1:2" ht="12.75" customHeight="1" x14ac:dyDescent="0.25">
      <c r="A25149" s="318">
        <v>363990450895</v>
      </c>
      <c r="B25149" s="318" t="s">
        <v>23</v>
      </c>
    </row>
    <row r="25150" spans="1:2" ht="12.75" customHeight="1" x14ac:dyDescent="0.25">
      <c r="A25150" s="318">
        <v>363990450896</v>
      </c>
      <c r="B25150" s="318" t="s">
        <v>23</v>
      </c>
    </row>
    <row r="25151" spans="1:2" ht="12.75" customHeight="1" x14ac:dyDescent="0.25">
      <c r="A25151" s="318">
        <v>363990450897</v>
      </c>
      <c r="B25151" s="318" t="s">
        <v>23</v>
      </c>
    </row>
    <row r="25152" spans="1:2" ht="12.75" customHeight="1" x14ac:dyDescent="0.25">
      <c r="A25152" s="318">
        <v>363990450898</v>
      </c>
      <c r="B25152" s="318" t="s">
        <v>23</v>
      </c>
    </row>
    <row r="25153" spans="1:2" ht="12.75" customHeight="1" x14ac:dyDescent="0.25">
      <c r="A25153" s="318">
        <v>363990450899</v>
      </c>
      <c r="B25153" s="318" t="s">
        <v>23</v>
      </c>
    </row>
    <row r="25154" spans="1:2" ht="12.75" customHeight="1" x14ac:dyDescent="0.25">
      <c r="A25154" s="318">
        <v>363990450901</v>
      </c>
      <c r="B25154" s="318" t="s">
        <v>23</v>
      </c>
    </row>
    <row r="25155" spans="1:2" ht="12.75" customHeight="1" x14ac:dyDescent="0.25">
      <c r="A25155" s="318">
        <v>363990450902</v>
      </c>
      <c r="B25155" s="318" t="s">
        <v>23</v>
      </c>
    </row>
    <row r="25156" spans="1:2" ht="12.75" customHeight="1" x14ac:dyDescent="0.25">
      <c r="A25156" s="318">
        <v>363990450903</v>
      </c>
      <c r="B25156" s="318" t="s">
        <v>23</v>
      </c>
    </row>
    <row r="25157" spans="1:2" ht="12.75" customHeight="1" x14ac:dyDescent="0.25">
      <c r="A25157" s="318">
        <v>363990450904</v>
      </c>
      <c r="B25157" s="318" t="s">
        <v>23</v>
      </c>
    </row>
    <row r="25158" spans="1:2" ht="12.75" customHeight="1" x14ac:dyDescent="0.25">
      <c r="A25158" s="318">
        <v>363990450905</v>
      </c>
      <c r="B25158" s="318" t="s">
        <v>23</v>
      </c>
    </row>
    <row r="25159" spans="1:2" ht="12.75" customHeight="1" x14ac:dyDescent="0.25">
      <c r="A25159" s="318">
        <v>363990450906</v>
      </c>
      <c r="B25159" s="318" t="s">
        <v>23</v>
      </c>
    </row>
    <row r="25160" spans="1:2" ht="12.75" customHeight="1" x14ac:dyDescent="0.25">
      <c r="A25160" s="318">
        <v>363990450907</v>
      </c>
      <c r="B25160" s="318" t="s">
        <v>23</v>
      </c>
    </row>
    <row r="25161" spans="1:2" ht="12.75" customHeight="1" x14ac:dyDescent="0.25">
      <c r="A25161" s="318">
        <v>363990450908</v>
      </c>
      <c r="B25161" s="318" t="s">
        <v>23</v>
      </c>
    </row>
    <row r="25162" spans="1:2" ht="12.75" customHeight="1" x14ac:dyDescent="0.25">
      <c r="A25162" s="318">
        <v>372724907725</v>
      </c>
      <c r="B25162" s="318" t="s">
        <v>23</v>
      </c>
    </row>
    <row r="25163" spans="1:2" ht="12.75" customHeight="1" x14ac:dyDescent="0.25">
      <c r="A25163" s="318">
        <v>372724907726</v>
      </c>
      <c r="B25163" s="318" t="s">
        <v>23</v>
      </c>
    </row>
    <row r="25164" spans="1:2" ht="12.75" customHeight="1" x14ac:dyDescent="0.25">
      <c r="A25164" s="318">
        <v>372724907727</v>
      </c>
      <c r="B25164" s="318" t="s">
        <v>23</v>
      </c>
    </row>
    <row r="25165" spans="1:2" ht="12.75" customHeight="1" x14ac:dyDescent="0.25">
      <c r="A25165" s="318">
        <v>372724907728</v>
      </c>
      <c r="B25165" s="318" t="s">
        <v>23</v>
      </c>
    </row>
    <row r="25166" spans="1:2" ht="12.75" customHeight="1" x14ac:dyDescent="0.25">
      <c r="A25166" s="318">
        <v>372724907729</v>
      </c>
      <c r="B25166" s="318" t="s">
        <v>23</v>
      </c>
    </row>
    <row r="25167" spans="1:2" ht="12.75" customHeight="1" x14ac:dyDescent="0.25">
      <c r="A25167" s="318">
        <v>372724907730</v>
      </c>
      <c r="B25167" s="318" t="s">
        <v>23</v>
      </c>
    </row>
    <row r="25168" spans="1:2" ht="12.75" customHeight="1" x14ac:dyDescent="0.25">
      <c r="A25168" s="318">
        <v>372724907731</v>
      </c>
      <c r="B25168" s="318" t="s">
        <v>23</v>
      </c>
    </row>
    <row r="25169" spans="1:2" ht="12.75" customHeight="1" x14ac:dyDescent="0.25">
      <c r="A25169" s="318">
        <v>372724907732</v>
      </c>
      <c r="B25169" s="318" t="s">
        <v>237</v>
      </c>
    </row>
    <row r="25170" spans="1:2" ht="12.75" customHeight="1" x14ac:dyDescent="0.25">
      <c r="A25170" s="318">
        <v>372724907734</v>
      </c>
      <c r="B25170" s="318" t="s">
        <v>237</v>
      </c>
    </row>
    <row r="25171" spans="1:2" ht="12.75" customHeight="1" x14ac:dyDescent="0.25">
      <c r="A25171" s="318">
        <v>372724907735</v>
      </c>
      <c r="B25171" s="318" t="s">
        <v>237</v>
      </c>
    </row>
    <row r="25172" spans="1:2" ht="12.75" customHeight="1" x14ac:dyDescent="0.25">
      <c r="A25172" s="318">
        <v>372724907736</v>
      </c>
      <c r="B25172" s="318" t="s">
        <v>237</v>
      </c>
    </row>
    <row r="25173" spans="1:2" ht="12.75" customHeight="1" x14ac:dyDescent="0.25">
      <c r="A25173" s="318">
        <v>372724907737</v>
      </c>
      <c r="B25173" s="318" t="s">
        <v>237</v>
      </c>
    </row>
    <row r="25174" spans="1:2" ht="12.75" customHeight="1" x14ac:dyDescent="0.25">
      <c r="A25174" s="318">
        <v>372724907738</v>
      </c>
      <c r="B25174" s="318" t="s">
        <v>237</v>
      </c>
    </row>
    <row r="25175" spans="1:2" ht="12.75" customHeight="1" x14ac:dyDescent="0.25">
      <c r="A25175" s="318">
        <v>372724907739</v>
      </c>
      <c r="B25175" s="318" t="s">
        <v>237</v>
      </c>
    </row>
    <row r="25176" spans="1:2" ht="12.75" customHeight="1" x14ac:dyDescent="0.25">
      <c r="A25176" s="318">
        <v>372724907740</v>
      </c>
      <c r="B25176" s="318" t="s">
        <v>237</v>
      </c>
    </row>
    <row r="25177" spans="1:2" ht="12.75" customHeight="1" x14ac:dyDescent="0.25">
      <c r="A25177" s="318">
        <v>372724907741</v>
      </c>
      <c r="B25177" s="318" t="s">
        <v>237</v>
      </c>
    </row>
    <row r="25178" spans="1:2" ht="12.75" customHeight="1" x14ac:dyDescent="0.25">
      <c r="A25178" s="318">
        <v>372725388698</v>
      </c>
      <c r="B25178" s="318" t="s">
        <v>23</v>
      </c>
    </row>
    <row r="25179" spans="1:2" ht="12.75" customHeight="1" x14ac:dyDescent="0.25">
      <c r="A25179" s="318">
        <v>372725388699</v>
      </c>
      <c r="B25179" s="318" t="s">
        <v>23</v>
      </c>
    </row>
    <row r="25180" spans="1:2" ht="12.75" customHeight="1" x14ac:dyDescent="0.25">
      <c r="A25180" s="318">
        <v>372725388700</v>
      </c>
      <c r="B25180" s="318" t="s">
        <v>23</v>
      </c>
    </row>
    <row r="25181" spans="1:2" ht="12.75" customHeight="1" x14ac:dyDescent="0.25">
      <c r="A25181" s="318">
        <v>372725388701</v>
      </c>
      <c r="B25181" s="318" t="s">
        <v>23</v>
      </c>
    </row>
    <row r="25182" spans="1:2" ht="12.75" customHeight="1" x14ac:dyDescent="0.25">
      <c r="A25182" s="318">
        <v>372725388702</v>
      </c>
      <c r="B25182" s="318" t="s">
        <v>23</v>
      </c>
    </row>
    <row r="25183" spans="1:2" ht="12.75" customHeight="1" x14ac:dyDescent="0.25">
      <c r="A25183" s="318">
        <v>372725388703</v>
      </c>
      <c r="B25183" s="318" t="s">
        <v>23</v>
      </c>
    </row>
    <row r="25184" spans="1:2" ht="12.75" customHeight="1" x14ac:dyDescent="0.25">
      <c r="A25184" s="318">
        <v>372725388704</v>
      </c>
      <c r="B25184" s="318" t="s">
        <v>23</v>
      </c>
    </row>
    <row r="25185" spans="1:2" ht="12.75" customHeight="1" x14ac:dyDescent="0.25">
      <c r="A25185" s="318">
        <v>372725388705</v>
      </c>
      <c r="B25185" s="318" t="s">
        <v>237</v>
      </c>
    </row>
    <row r="25186" spans="1:2" ht="12.75" customHeight="1" x14ac:dyDescent="0.25">
      <c r="A25186" s="318">
        <v>372725388707</v>
      </c>
      <c r="B25186" s="318" t="s">
        <v>237</v>
      </c>
    </row>
    <row r="25187" spans="1:2" ht="12.75" customHeight="1" x14ac:dyDescent="0.25">
      <c r="A25187" s="318">
        <v>372725388708</v>
      </c>
      <c r="B25187" s="318" t="s">
        <v>237</v>
      </c>
    </row>
    <row r="25188" spans="1:2" ht="12.75" customHeight="1" x14ac:dyDescent="0.25">
      <c r="A25188" s="318">
        <v>372725388709</v>
      </c>
      <c r="B25188" s="318" t="s">
        <v>237</v>
      </c>
    </row>
    <row r="25189" spans="1:2" ht="12.75" customHeight="1" x14ac:dyDescent="0.25">
      <c r="A25189" s="318">
        <v>372725388710</v>
      </c>
      <c r="B25189" s="318" t="s">
        <v>237</v>
      </c>
    </row>
    <row r="25190" spans="1:2" ht="12.75" customHeight="1" x14ac:dyDescent="0.25">
      <c r="A25190" s="318">
        <v>372725388711</v>
      </c>
      <c r="B25190" s="318" t="s">
        <v>237</v>
      </c>
    </row>
    <row r="25191" spans="1:2" ht="12.75" customHeight="1" x14ac:dyDescent="0.25">
      <c r="A25191" s="318">
        <v>372725388712</v>
      </c>
      <c r="B25191" s="318" t="s">
        <v>237</v>
      </c>
    </row>
    <row r="25192" spans="1:2" ht="12.75" customHeight="1" x14ac:dyDescent="0.25">
      <c r="A25192" s="318">
        <v>372725388713</v>
      </c>
      <c r="B25192" s="318" t="s">
        <v>237</v>
      </c>
    </row>
    <row r="25193" spans="1:2" ht="12.75" customHeight="1" x14ac:dyDescent="0.25">
      <c r="A25193" s="318">
        <v>372725388714</v>
      </c>
      <c r="B25193" s="318" t="s">
        <v>237</v>
      </c>
    </row>
    <row r="25194" spans="1:2" ht="12.75" customHeight="1" x14ac:dyDescent="0.25">
      <c r="A25194" s="318">
        <v>372725869671</v>
      </c>
      <c r="B25194" s="318" t="s">
        <v>23</v>
      </c>
    </row>
    <row r="25195" spans="1:2" ht="12.75" customHeight="1" x14ac:dyDescent="0.25">
      <c r="A25195" s="318">
        <v>372725869672</v>
      </c>
      <c r="B25195" s="318" t="s">
        <v>23</v>
      </c>
    </row>
    <row r="25196" spans="1:2" ht="12.75" customHeight="1" x14ac:dyDescent="0.25">
      <c r="A25196" s="318">
        <v>372725869673</v>
      </c>
      <c r="B25196" s="318" t="s">
        <v>23</v>
      </c>
    </row>
    <row r="25197" spans="1:2" ht="12.75" customHeight="1" x14ac:dyDescent="0.25">
      <c r="A25197" s="318">
        <v>372725869674</v>
      </c>
      <c r="B25197" s="318" t="s">
        <v>23</v>
      </c>
    </row>
    <row r="25198" spans="1:2" ht="12.75" customHeight="1" x14ac:dyDescent="0.25">
      <c r="A25198" s="318">
        <v>372725869675</v>
      </c>
      <c r="B25198" s="318" t="s">
        <v>23</v>
      </c>
    </row>
    <row r="25199" spans="1:2" ht="12.75" customHeight="1" x14ac:dyDescent="0.25">
      <c r="A25199" s="318">
        <v>372725869676</v>
      </c>
      <c r="B25199" s="318" t="s">
        <v>23</v>
      </c>
    </row>
    <row r="25200" spans="1:2" ht="12.75" customHeight="1" x14ac:dyDescent="0.25">
      <c r="A25200" s="318">
        <v>372725869677</v>
      </c>
      <c r="B25200" s="318" t="s">
        <v>23</v>
      </c>
    </row>
    <row r="25201" spans="1:2" ht="12.75" customHeight="1" x14ac:dyDescent="0.25">
      <c r="A25201" s="318">
        <v>372725869678</v>
      </c>
      <c r="B25201" s="318" t="s">
        <v>237</v>
      </c>
    </row>
    <row r="25202" spans="1:2" ht="12.75" customHeight="1" x14ac:dyDescent="0.25">
      <c r="A25202" s="318">
        <v>372725869680</v>
      </c>
      <c r="B25202" s="318" t="s">
        <v>23</v>
      </c>
    </row>
    <row r="25203" spans="1:2" ht="12.75" customHeight="1" x14ac:dyDescent="0.25">
      <c r="A25203" s="318">
        <v>372725869681</v>
      </c>
      <c r="B25203" s="318" t="s">
        <v>23</v>
      </c>
    </row>
    <row r="25204" spans="1:2" ht="12.75" customHeight="1" x14ac:dyDescent="0.25">
      <c r="A25204" s="318">
        <v>372725869682</v>
      </c>
      <c r="B25204" s="318" t="s">
        <v>23</v>
      </c>
    </row>
    <row r="25205" spans="1:2" ht="12.75" customHeight="1" x14ac:dyDescent="0.25">
      <c r="A25205" s="318">
        <v>372725869683</v>
      </c>
      <c r="B25205" s="318" t="s">
        <v>23</v>
      </c>
    </row>
    <row r="25206" spans="1:2" ht="12.75" customHeight="1" x14ac:dyDescent="0.25">
      <c r="A25206" s="318">
        <v>372725869684</v>
      </c>
      <c r="B25206" s="318" t="s">
        <v>23</v>
      </c>
    </row>
    <row r="25207" spans="1:2" ht="12.75" customHeight="1" x14ac:dyDescent="0.25">
      <c r="A25207" s="318">
        <v>372725869685</v>
      </c>
      <c r="B25207" s="318" t="s">
        <v>23</v>
      </c>
    </row>
    <row r="25208" spans="1:2" ht="12.75" customHeight="1" x14ac:dyDescent="0.25">
      <c r="A25208" s="318">
        <v>372725869686</v>
      </c>
      <c r="B25208" s="318" t="s">
        <v>23</v>
      </c>
    </row>
    <row r="25209" spans="1:2" ht="12.75" customHeight="1" x14ac:dyDescent="0.25">
      <c r="A25209" s="318">
        <v>372725869687</v>
      </c>
      <c r="B25209" s="318" t="s">
        <v>237</v>
      </c>
    </row>
    <row r="25210" spans="1:2" ht="12.75" customHeight="1" x14ac:dyDescent="0.25">
      <c r="A25210" s="318">
        <v>372726549862</v>
      </c>
      <c r="B25210" s="318" t="s">
        <v>23</v>
      </c>
    </row>
    <row r="25211" spans="1:2" ht="12.75" customHeight="1" x14ac:dyDescent="0.25">
      <c r="A25211" s="318">
        <v>372726549863</v>
      </c>
      <c r="B25211" s="318" t="s">
        <v>23</v>
      </c>
    </row>
    <row r="25212" spans="1:2" ht="12.75" customHeight="1" x14ac:dyDescent="0.25">
      <c r="A25212" s="318">
        <v>372726549864</v>
      </c>
      <c r="B25212" s="318" t="s">
        <v>23</v>
      </c>
    </row>
    <row r="25213" spans="1:2" ht="12.75" customHeight="1" x14ac:dyDescent="0.25">
      <c r="A25213" s="318">
        <v>372726549865</v>
      </c>
      <c r="B25213" s="318" t="s">
        <v>23</v>
      </c>
    </row>
    <row r="25214" spans="1:2" ht="12.75" customHeight="1" x14ac:dyDescent="0.25">
      <c r="A25214" s="318">
        <v>372726549866</v>
      </c>
      <c r="B25214" s="318" t="s">
        <v>23</v>
      </c>
    </row>
    <row r="25215" spans="1:2" ht="12.75" customHeight="1" x14ac:dyDescent="0.25">
      <c r="A25215" s="318">
        <v>372726549867</v>
      </c>
      <c r="B25215" s="318" t="s">
        <v>23</v>
      </c>
    </row>
    <row r="25216" spans="1:2" ht="12.75" customHeight="1" x14ac:dyDescent="0.25">
      <c r="A25216" s="318">
        <v>372726549868</v>
      </c>
      <c r="B25216" s="318" t="s">
        <v>23</v>
      </c>
    </row>
    <row r="25217" spans="1:2" ht="12.75" customHeight="1" x14ac:dyDescent="0.25">
      <c r="A25217" s="318">
        <v>372726549869</v>
      </c>
      <c r="B25217" s="318" t="s">
        <v>237</v>
      </c>
    </row>
    <row r="25218" spans="1:2" ht="12.75" customHeight="1" x14ac:dyDescent="0.25">
      <c r="A25218" s="318">
        <v>372726549871</v>
      </c>
      <c r="B25218" s="318" t="s">
        <v>237</v>
      </c>
    </row>
    <row r="25219" spans="1:2" ht="12.75" customHeight="1" x14ac:dyDescent="0.25">
      <c r="A25219" s="318">
        <v>372726549872</v>
      </c>
      <c r="B25219" s="318" t="s">
        <v>237</v>
      </c>
    </row>
    <row r="25220" spans="1:2" ht="12.75" customHeight="1" x14ac:dyDescent="0.25">
      <c r="A25220" s="318">
        <v>372726549873</v>
      </c>
      <c r="B25220" s="318" t="s">
        <v>237</v>
      </c>
    </row>
    <row r="25221" spans="1:2" ht="12.75" customHeight="1" x14ac:dyDescent="0.25">
      <c r="A25221" s="318">
        <v>372726549874</v>
      </c>
      <c r="B25221" s="318" t="s">
        <v>237</v>
      </c>
    </row>
    <row r="25222" spans="1:2" ht="12.75" customHeight="1" x14ac:dyDescent="0.25">
      <c r="A25222" s="318">
        <v>372726549875</v>
      </c>
      <c r="B25222" s="318" t="s">
        <v>237</v>
      </c>
    </row>
    <row r="25223" spans="1:2" ht="12.75" customHeight="1" x14ac:dyDescent="0.25">
      <c r="A25223" s="318">
        <v>372726549876</v>
      </c>
      <c r="B25223" s="318" t="s">
        <v>237</v>
      </c>
    </row>
    <row r="25224" spans="1:2" ht="12.75" customHeight="1" x14ac:dyDescent="0.25">
      <c r="A25224" s="318">
        <v>372726549877</v>
      </c>
      <c r="B25224" s="318" t="s">
        <v>237</v>
      </c>
    </row>
    <row r="25225" spans="1:2" ht="12.75" customHeight="1" x14ac:dyDescent="0.25">
      <c r="A25225" s="318">
        <v>372726549878</v>
      </c>
      <c r="B25225" s="318" t="s">
        <v>237</v>
      </c>
    </row>
    <row r="25226" spans="1:2" ht="12.75" customHeight="1" x14ac:dyDescent="0.25">
      <c r="A25226" s="318">
        <v>372727030835</v>
      </c>
      <c r="B25226" s="318" t="s">
        <v>23</v>
      </c>
    </row>
    <row r="25227" spans="1:2" ht="12.75" customHeight="1" x14ac:dyDescent="0.25">
      <c r="A25227" s="318">
        <v>372727030836</v>
      </c>
      <c r="B25227" s="318" t="s">
        <v>23</v>
      </c>
    </row>
    <row r="25228" spans="1:2" ht="12.75" customHeight="1" x14ac:dyDescent="0.25">
      <c r="A25228" s="318">
        <v>372727030837</v>
      </c>
      <c r="B25228" s="318" t="s">
        <v>23</v>
      </c>
    </row>
    <row r="25229" spans="1:2" ht="12.75" customHeight="1" x14ac:dyDescent="0.25">
      <c r="A25229" s="318">
        <v>372727030838</v>
      </c>
      <c r="B25229" s="318" t="s">
        <v>23</v>
      </c>
    </row>
    <row r="25230" spans="1:2" ht="12.75" customHeight="1" x14ac:dyDescent="0.25">
      <c r="A25230" s="318">
        <v>372727030839</v>
      </c>
      <c r="B25230" s="318" t="s">
        <v>23</v>
      </c>
    </row>
    <row r="25231" spans="1:2" ht="12.75" customHeight="1" x14ac:dyDescent="0.25">
      <c r="A25231" s="318">
        <v>372727030840</v>
      </c>
      <c r="B25231" s="318" t="s">
        <v>23</v>
      </c>
    </row>
    <row r="25232" spans="1:2" ht="12.75" customHeight="1" x14ac:dyDescent="0.25">
      <c r="A25232" s="318">
        <v>372727030841</v>
      </c>
      <c r="B25232" s="318" t="s">
        <v>23</v>
      </c>
    </row>
    <row r="25233" spans="1:2" ht="12.75" customHeight="1" x14ac:dyDescent="0.25">
      <c r="A25233" s="318">
        <v>372727030842</v>
      </c>
      <c r="B25233" s="318" t="s">
        <v>237</v>
      </c>
    </row>
    <row r="25234" spans="1:2" ht="12.75" customHeight="1" x14ac:dyDescent="0.25">
      <c r="A25234" s="318">
        <v>372727030844</v>
      </c>
      <c r="B25234" s="318" t="s">
        <v>237</v>
      </c>
    </row>
    <row r="25235" spans="1:2" ht="12.75" customHeight="1" x14ac:dyDescent="0.25">
      <c r="A25235" s="318">
        <v>372727030845</v>
      </c>
      <c r="B25235" s="318" t="s">
        <v>237</v>
      </c>
    </row>
    <row r="25236" spans="1:2" ht="12.75" customHeight="1" x14ac:dyDescent="0.25">
      <c r="A25236" s="318">
        <v>372727030846</v>
      </c>
      <c r="B25236" s="318" t="s">
        <v>237</v>
      </c>
    </row>
    <row r="25237" spans="1:2" ht="12.75" customHeight="1" x14ac:dyDescent="0.25">
      <c r="A25237" s="318">
        <v>372727030847</v>
      </c>
      <c r="B25237" s="318" t="s">
        <v>237</v>
      </c>
    </row>
    <row r="25238" spans="1:2" ht="12.75" customHeight="1" x14ac:dyDescent="0.25">
      <c r="A25238" s="318">
        <v>372727030848</v>
      </c>
      <c r="B25238" s="318" t="s">
        <v>237</v>
      </c>
    </row>
    <row r="25239" spans="1:2" ht="12.75" customHeight="1" x14ac:dyDescent="0.25">
      <c r="A25239" s="318">
        <v>372727030849</v>
      </c>
      <c r="B25239" s="318" t="s">
        <v>237</v>
      </c>
    </row>
    <row r="25240" spans="1:2" ht="12.75" customHeight="1" x14ac:dyDescent="0.25">
      <c r="A25240" s="318">
        <v>372727030850</v>
      </c>
      <c r="B25240" s="318" t="s">
        <v>237</v>
      </c>
    </row>
    <row r="25241" spans="1:2" ht="12.75" customHeight="1" x14ac:dyDescent="0.25">
      <c r="A25241" s="318">
        <v>372727030851</v>
      </c>
      <c r="B25241" s="318" t="s">
        <v>237</v>
      </c>
    </row>
    <row r="25242" spans="1:2" ht="12.75" customHeight="1" x14ac:dyDescent="0.25">
      <c r="A25242" s="318">
        <v>372727511808</v>
      </c>
      <c r="B25242" s="318" t="s">
        <v>23</v>
      </c>
    </row>
    <row r="25243" spans="1:2" ht="12.75" customHeight="1" x14ac:dyDescent="0.25">
      <c r="A25243" s="318">
        <v>372727511809</v>
      </c>
      <c r="B25243" s="318" t="s">
        <v>23</v>
      </c>
    </row>
    <row r="25244" spans="1:2" ht="12.75" customHeight="1" x14ac:dyDescent="0.25">
      <c r="A25244" s="318">
        <v>372727511810</v>
      </c>
      <c r="B25244" s="318" t="s">
        <v>23</v>
      </c>
    </row>
    <row r="25245" spans="1:2" ht="12.75" customHeight="1" x14ac:dyDescent="0.25">
      <c r="A25245" s="318">
        <v>372727511811</v>
      </c>
      <c r="B25245" s="318" t="s">
        <v>23</v>
      </c>
    </row>
    <row r="25246" spans="1:2" ht="12.75" customHeight="1" x14ac:dyDescent="0.25">
      <c r="A25246" s="318">
        <v>372727511812</v>
      </c>
      <c r="B25246" s="318" t="s">
        <v>23</v>
      </c>
    </row>
    <row r="25247" spans="1:2" ht="12.75" customHeight="1" x14ac:dyDescent="0.25">
      <c r="A25247" s="318">
        <v>372727511813</v>
      </c>
      <c r="B25247" s="318" t="s">
        <v>23</v>
      </c>
    </row>
    <row r="25248" spans="1:2" ht="12.75" customHeight="1" x14ac:dyDescent="0.25">
      <c r="A25248" s="318">
        <v>372727511814</v>
      </c>
      <c r="B25248" s="318" t="s">
        <v>23</v>
      </c>
    </row>
    <row r="25249" spans="1:2" ht="12.75" customHeight="1" x14ac:dyDescent="0.25">
      <c r="A25249" s="318">
        <v>372727511815</v>
      </c>
      <c r="B25249" s="318" t="s">
        <v>237</v>
      </c>
    </row>
    <row r="25250" spans="1:2" ht="12.75" customHeight="1" x14ac:dyDescent="0.25">
      <c r="A25250" s="318">
        <v>372727511817</v>
      </c>
      <c r="B25250" s="318" t="s">
        <v>23</v>
      </c>
    </row>
    <row r="25251" spans="1:2" ht="12.75" customHeight="1" x14ac:dyDescent="0.25">
      <c r="A25251" s="318">
        <v>372727511818</v>
      </c>
      <c r="B25251" s="318" t="s">
        <v>23</v>
      </c>
    </row>
    <row r="25252" spans="1:2" ht="12.75" customHeight="1" x14ac:dyDescent="0.25">
      <c r="A25252" s="318">
        <v>372727511819</v>
      </c>
      <c r="B25252" s="318" t="s">
        <v>23</v>
      </c>
    </row>
    <row r="25253" spans="1:2" ht="12.75" customHeight="1" x14ac:dyDescent="0.25">
      <c r="A25253" s="318">
        <v>372727511820</v>
      </c>
      <c r="B25253" s="318" t="s">
        <v>23</v>
      </c>
    </row>
    <row r="25254" spans="1:2" ht="12.75" customHeight="1" x14ac:dyDescent="0.25">
      <c r="A25254" s="318">
        <v>372727511821</v>
      </c>
      <c r="B25254" s="318" t="s">
        <v>23</v>
      </c>
    </row>
    <row r="25255" spans="1:2" ht="12.75" customHeight="1" x14ac:dyDescent="0.25">
      <c r="A25255" s="318">
        <v>372727511822</v>
      </c>
      <c r="B25255" s="318" t="s">
        <v>23</v>
      </c>
    </row>
    <row r="25256" spans="1:2" ht="12.75" customHeight="1" x14ac:dyDescent="0.25">
      <c r="A25256" s="318">
        <v>372727511823</v>
      </c>
      <c r="B25256" s="318" t="s">
        <v>23</v>
      </c>
    </row>
    <row r="25257" spans="1:2" ht="12.75" customHeight="1" x14ac:dyDescent="0.25">
      <c r="A25257" s="318">
        <v>372727511824</v>
      </c>
      <c r="B25257" s="318" t="s">
        <v>237</v>
      </c>
    </row>
    <row r="25258" spans="1:2" ht="12.75" customHeight="1" x14ac:dyDescent="0.25">
      <c r="A25258" s="318">
        <v>372728191999</v>
      </c>
      <c r="B25258" s="318" t="s">
        <v>23</v>
      </c>
    </row>
    <row r="25259" spans="1:2" ht="12.75" customHeight="1" x14ac:dyDescent="0.25">
      <c r="A25259" s="318">
        <v>372728192000</v>
      </c>
      <c r="B25259" s="318" t="s">
        <v>23</v>
      </c>
    </row>
    <row r="25260" spans="1:2" ht="12.75" customHeight="1" x14ac:dyDescent="0.25">
      <c r="A25260" s="318">
        <v>372728192001</v>
      </c>
      <c r="B25260" s="318" t="s">
        <v>23</v>
      </c>
    </row>
    <row r="25261" spans="1:2" ht="12.75" customHeight="1" x14ac:dyDescent="0.25">
      <c r="A25261" s="318">
        <v>372728192002</v>
      </c>
      <c r="B25261" s="318" t="s">
        <v>23</v>
      </c>
    </row>
    <row r="25262" spans="1:2" ht="12.75" customHeight="1" x14ac:dyDescent="0.25">
      <c r="A25262" s="318">
        <v>372728192003</v>
      </c>
      <c r="B25262" s="318" t="s">
        <v>23</v>
      </c>
    </row>
    <row r="25263" spans="1:2" ht="12.75" customHeight="1" x14ac:dyDescent="0.25">
      <c r="A25263" s="318">
        <v>372728192004</v>
      </c>
      <c r="B25263" s="318" t="s">
        <v>23</v>
      </c>
    </row>
    <row r="25264" spans="1:2" ht="12.75" customHeight="1" x14ac:dyDescent="0.25">
      <c r="A25264" s="318">
        <v>372728192005</v>
      </c>
      <c r="B25264" s="318" t="s">
        <v>23</v>
      </c>
    </row>
    <row r="25265" spans="1:2" ht="12.75" customHeight="1" x14ac:dyDescent="0.25">
      <c r="A25265" s="318">
        <v>372728192006</v>
      </c>
      <c r="B25265" s="318" t="s">
        <v>237</v>
      </c>
    </row>
    <row r="25266" spans="1:2" ht="12.75" customHeight="1" x14ac:dyDescent="0.25">
      <c r="A25266" s="318">
        <v>372728192008</v>
      </c>
      <c r="B25266" s="318" t="s">
        <v>23</v>
      </c>
    </row>
    <row r="25267" spans="1:2" ht="12.75" customHeight="1" x14ac:dyDescent="0.25">
      <c r="A25267" s="318">
        <v>372728192009</v>
      </c>
      <c r="B25267" s="318" t="s">
        <v>23</v>
      </c>
    </row>
    <row r="25268" spans="1:2" ht="12.75" customHeight="1" x14ac:dyDescent="0.25">
      <c r="A25268" s="318">
        <v>372728192010</v>
      </c>
      <c r="B25268" s="318" t="s">
        <v>23</v>
      </c>
    </row>
    <row r="25269" spans="1:2" ht="12.75" customHeight="1" x14ac:dyDescent="0.25">
      <c r="A25269" s="318">
        <v>372728192011</v>
      </c>
      <c r="B25269" s="318" t="s">
        <v>23</v>
      </c>
    </row>
    <row r="25270" spans="1:2" ht="12.75" customHeight="1" x14ac:dyDescent="0.25">
      <c r="A25270" s="318">
        <v>372728192012</v>
      </c>
      <c r="B25270" s="318" t="s">
        <v>23</v>
      </c>
    </row>
    <row r="25271" spans="1:2" ht="12.75" customHeight="1" x14ac:dyDescent="0.25">
      <c r="A25271" s="318">
        <v>372728192013</v>
      </c>
      <c r="B25271" s="318" t="s">
        <v>23</v>
      </c>
    </row>
    <row r="25272" spans="1:2" ht="12.75" customHeight="1" x14ac:dyDescent="0.25">
      <c r="A25272" s="318">
        <v>372728192014</v>
      </c>
      <c r="B25272" s="318" t="s">
        <v>23</v>
      </c>
    </row>
    <row r="25273" spans="1:2" ht="12.75" customHeight="1" x14ac:dyDescent="0.25">
      <c r="A25273" s="318">
        <v>372728192015</v>
      </c>
      <c r="B25273" s="318" t="s">
        <v>237</v>
      </c>
    </row>
    <row r="25274" spans="1:2" ht="12.75" customHeight="1" x14ac:dyDescent="0.25">
      <c r="A25274" s="318">
        <v>372728672972</v>
      </c>
      <c r="B25274" s="318" t="s">
        <v>23</v>
      </c>
    </row>
    <row r="25275" spans="1:2" ht="12.75" customHeight="1" x14ac:dyDescent="0.25">
      <c r="A25275" s="318">
        <v>372728672973</v>
      </c>
      <c r="B25275" s="318" t="s">
        <v>23</v>
      </c>
    </row>
    <row r="25276" spans="1:2" ht="12.75" customHeight="1" x14ac:dyDescent="0.25">
      <c r="A25276" s="318">
        <v>372728672974</v>
      </c>
      <c r="B25276" s="318" t="s">
        <v>23</v>
      </c>
    </row>
    <row r="25277" spans="1:2" ht="12.75" customHeight="1" x14ac:dyDescent="0.25">
      <c r="A25277" s="318">
        <v>372728672975</v>
      </c>
      <c r="B25277" s="318" t="s">
        <v>23</v>
      </c>
    </row>
    <row r="25278" spans="1:2" ht="12.75" customHeight="1" x14ac:dyDescent="0.25">
      <c r="A25278" s="318">
        <v>372728672976</v>
      </c>
      <c r="B25278" s="318" t="s">
        <v>23</v>
      </c>
    </row>
    <row r="25279" spans="1:2" ht="12.75" customHeight="1" x14ac:dyDescent="0.25">
      <c r="A25279" s="318">
        <v>372728672977</v>
      </c>
      <c r="B25279" s="318" t="s">
        <v>23</v>
      </c>
    </row>
    <row r="25280" spans="1:2" ht="12.75" customHeight="1" x14ac:dyDescent="0.25">
      <c r="A25280" s="318">
        <v>372728672978</v>
      </c>
      <c r="B25280" s="318" t="s">
        <v>23</v>
      </c>
    </row>
    <row r="25281" spans="1:2" ht="12.75" customHeight="1" x14ac:dyDescent="0.25">
      <c r="A25281" s="318">
        <v>372728672979</v>
      </c>
      <c r="B25281" s="318" t="s">
        <v>237</v>
      </c>
    </row>
    <row r="25282" spans="1:2" ht="12.75" customHeight="1" x14ac:dyDescent="0.25">
      <c r="A25282" s="318">
        <v>372728672981</v>
      </c>
      <c r="B25282" s="318" t="s">
        <v>23</v>
      </c>
    </row>
    <row r="25283" spans="1:2" ht="12.75" customHeight="1" x14ac:dyDescent="0.25">
      <c r="A25283" s="318">
        <v>372728672982</v>
      </c>
      <c r="B25283" s="318" t="s">
        <v>23</v>
      </c>
    </row>
    <row r="25284" spans="1:2" ht="12.75" customHeight="1" x14ac:dyDescent="0.25">
      <c r="A25284" s="318">
        <v>372728672983</v>
      </c>
      <c r="B25284" s="318" t="s">
        <v>23</v>
      </c>
    </row>
    <row r="25285" spans="1:2" ht="12.75" customHeight="1" x14ac:dyDescent="0.25">
      <c r="A25285" s="318">
        <v>372728672984</v>
      </c>
      <c r="B25285" s="318" t="s">
        <v>23</v>
      </c>
    </row>
    <row r="25286" spans="1:2" ht="12.75" customHeight="1" x14ac:dyDescent="0.25">
      <c r="A25286" s="318">
        <v>372728672985</v>
      </c>
      <c r="B25286" s="318" t="s">
        <v>23</v>
      </c>
    </row>
    <row r="25287" spans="1:2" ht="12.75" customHeight="1" x14ac:dyDescent="0.25">
      <c r="A25287" s="318">
        <v>372728672986</v>
      </c>
      <c r="B25287" s="318" t="s">
        <v>23</v>
      </c>
    </row>
    <row r="25288" spans="1:2" ht="12.75" customHeight="1" x14ac:dyDescent="0.25">
      <c r="A25288" s="318">
        <v>372728672987</v>
      </c>
      <c r="B25288" s="318" t="s">
        <v>23</v>
      </c>
    </row>
    <row r="25289" spans="1:2" ht="12.75" customHeight="1" x14ac:dyDescent="0.25">
      <c r="A25289" s="318">
        <v>372728672988</v>
      </c>
      <c r="B25289" s="318" t="s">
        <v>237</v>
      </c>
    </row>
    <row r="25290" spans="1:2" ht="12.75" customHeight="1" x14ac:dyDescent="0.25">
      <c r="A25290" s="318">
        <v>372729153945</v>
      </c>
      <c r="B25290" s="318" t="s">
        <v>23</v>
      </c>
    </row>
    <row r="25291" spans="1:2" ht="12.75" customHeight="1" x14ac:dyDescent="0.25">
      <c r="A25291" s="318">
        <v>372729153946</v>
      </c>
      <c r="B25291" s="318" t="s">
        <v>23</v>
      </c>
    </row>
    <row r="25292" spans="1:2" ht="12.75" customHeight="1" x14ac:dyDescent="0.25">
      <c r="A25292" s="318">
        <v>372729153947</v>
      </c>
      <c r="B25292" s="318" t="s">
        <v>23</v>
      </c>
    </row>
    <row r="25293" spans="1:2" ht="12.75" customHeight="1" x14ac:dyDescent="0.25">
      <c r="A25293" s="318">
        <v>372729153948</v>
      </c>
      <c r="B25293" s="318" t="s">
        <v>23</v>
      </c>
    </row>
    <row r="25294" spans="1:2" ht="12.75" customHeight="1" x14ac:dyDescent="0.25">
      <c r="A25294" s="318">
        <v>372729153949</v>
      </c>
      <c r="B25294" s="318" t="s">
        <v>23</v>
      </c>
    </row>
    <row r="25295" spans="1:2" ht="12.75" customHeight="1" x14ac:dyDescent="0.25">
      <c r="A25295" s="318">
        <v>372729153950</v>
      </c>
      <c r="B25295" s="318" t="s">
        <v>23</v>
      </c>
    </row>
    <row r="25296" spans="1:2" ht="12.75" customHeight="1" x14ac:dyDescent="0.25">
      <c r="A25296" s="318">
        <v>372729153951</v>
      </c>
      <c r="B25296" s="318" t="s">
        <v>23</v>
      </c>
    </row>
    <row r="25297" spans="1:2" ht="12.75" customHeight="1" x14ac:dyDescent="0.25">
      <c r="A25297" s="318">
        <v>372729153952</v>
      </c>
      <c r="B25297" s="318" t="s">
        <v>237</v>
      </c>
    </row>
    <row r="25298" spans="1:2" ht="12.75" customHeight="1" x14ac:dyDescent="0.25">
      <c r="A25298" s="318">
        <v>372729153954</v>
      </c>
      <c r="B25298" s="318" t="s">
        <v>23</v>
      </c>
    </row>
    <row r="25299" spans="1:2" ht="12.75" customHeight="1" x14ac:dyDescent="0.25">
      <c r="A25299" s="318">
        <v>372729153955</v>
      </c>
      <c r="B25299" s="318" t="s">
        <v>23</v>
      </c>
    </row>
    <row r="25300" spans="1:2" ht="12.75" customHeight="1" x14ac:dyDescent="0.25">
      <c r="A25300" s="318">
        <v>372729153956</v>
      </c>
      <c r="B25300" s="318" t="s">
        <v>23</v>
      </c>
    </row>
    <row r="25301" spans="1:2" ht="12.75" customHeight="1" x14ac:dyDescent="0.25">
      <c r="A25301" s="318">
        <v>372729153957</v>
      </c>
      <c r="B25301" s="318" t="s">
        <v>23</v>
      </c>
    </row>
    <row r="25302" spans="1:2" ht="12.75" customHeight="1" x14ac:dyDescent="0.25">
      <c r="A25302" s="318">
        <v>372729153958</v>
      </c>
      <c r="B25302" s="318" t="s">
        <v>23</v>
      </c>
    </row>
    <row r="25303" spans="1:2" ht="12.75" customHeight="1" x14ac:dyDescent="0.25">
      <c r="A25303" s="318">
        <v>372729153959</v>
      </c>
      <c r="B25303" s="318" t="s">
        <v>23</v>
      </c>
    </row>
    <row r="25304" spans="1:2" ht="12.75" customHeight="1" x14ac:dyDescent="0.25">
      <c r="A25304" s="318">
        <v>372729153960</v>
      </c>
      <c r="B25304" s="318" t="s">
        <v>23</v>
      </c>
    </row>
    <row r="25305" spans="1:2" ht="12.75" customHeight="1" x14ac:dyDescent="0.25">
      <c r="A25305" s="318">
        <v>372729153961</v>
      </c>
      <c r="B25305" s="318" t="s">
        <v>237</v>
      </c>
    </row>
    <row r="25306" spans="1:2" ht="12.75" customHeight="1" x14ac:dyDescent="0.25">
      <c r="A25306" s="318">
        <v>372730514326</v>
      </c>
      <c r="B25306" s="318" t="s">
        <v>23</v>
      </c>
    </row>
    <row r="25307" spans="1:2" ht="12.75" customHeight="1" x14ac:dyDescent="0.25">
      <c r="A25307" s="318">
        <v>372730514327</v>
      </c>
      <c r="B25307" s="318" t="s">
        <v>23</v>
      </c>
    </row>
    <row r="25308" spans="1:2" ht="12.75" customHeight="1" x14ac:dyDescent="0.25">
      <c r="A25308" s="318">
        <v>372730514328</v>
      </c>
      <c r="B25308" s="318" t="s">
        <v>23</v>
      </c>
    </row>
    <row r="25309" spans="1:2" ht="12.75" customHeight="1" x14ac:dyDescent="0.25">
      <c r="A25309" s="318">
        <v>372730514329</v>
      </c>
      <c r="B25309" s="318" t="s">
        <v>23</v>
      </c>
    </row>
    <row r="25310" spans="1:2" ht="12.75" customHeight="1" x14ac:dyDescent="0.25">
      <c r="A25310" s="318">
        <v>372730514330</v>
      </c>
      <c r="B25310" s="318" t="s">
        <v>23</v>
      </c>
    </row>
    <row r="25311" spans="1:2" ht="12.75" customHeight="1" x14ac:dyDescent="0.25">
      <c r="A25311" s="318">
        <v>372730514331</v>
      </c>
      <c r="B25311" s="318" t="s">
        <v>23</v>
      </c>
    </row>
    <row r="25312" spans="1:2" ht="12.75" customHeight="1" x14ac:dyDescent="0.25">
      <c r="A25312" s="318">
        <v>372730514332</v>
      </c>
      <c r="B25312" s="318" t="s">
        <v>23</v>
      </c>
    </row>
    <row r="25313" spans="1:2" ht="12.75" customHeight="1" x14ac:dyDescent="0.25">
      <c r="A25313" s="318">
        <v>372730514333</v>
      </c>
      <c r="B25313" s="318" t="s">
        <v>237</v>
      </c>
    </row>
    <row r="25314" spans="1:2" ht="12.75" customHeight="1" x14ac:dyDescent="0.25">
      <c r="A25314" s="318">
        <v>372730514335</v>
      </c>
      <c r="B25314" s="318" t="s">
        <v>237</v>
      </c>
    </row>
    <row r="25315" spans="1:2" ht="12.75" customHeight="1" x14ac:dyDescent="0.25">
      <c r="A25315" s="318">
        <v>372730514336</v>
      </c>
      <c r="B25315" s="318" t="s">
        <v>237</v>
      </c>
    </row>
    <row r="25316" spans="1:2" ht="12.75" customHeight="1" x14ac:dyDescent="0.25">
      <c r="A25316" s="318">
        <v>372730514337</v>
      </c>
      <c r="B25316" s="318" t="s">
        <v>237</v>
      </c>
    </row>
    <row r="25317" spans="1:2" ht="12.75" customHeight="1" x14ac:dyDescent="0.25">
      <c r="A25317" s="318">
        <v>372730514338</v>
      </c>
      <c r="B25317" s="318" t="s">
        <v>237</v>
      </c>
    </row>
    <row r="25318" spans="1:2" ht="12.75" customHeight="1" x14ac:dyDescent="0.25">
      <c r="A25318" s="318">
        <v>372730514339</v>
      </c>
      <c r="B25318" s="318" t="s">
        <v>237</v>
      </c>
    </row>
    <row r="25319" spans="1:2" ht="12.75" customHeight="1" x14ac:dyDescent="0.25">
      <c r="A25319" s="318">
        <v>372730514340</v>
      </c>
      <c r="B25319" s="318" t="s">
        <v>237</v>
      </c>
    </row>
    <row r="25320" spans="1:2" ht="12.75" customHeight="1" x14ac:dyDescent="0.25">
      <c r="A25320" s="318">
        <v>372730514341</v>
      </c>
      <c r="B25320" s="318" t="s">
        <v>237</v>
      </c>
    </row>
    <row r="25321" spans="1:2" ht="12.75" customHeight="1" x14ac:dyDescent="0.25">
      <c r="A25321" s="318">
        <v>372730514342</v>
      </c>
      <c r="B25321" s="318" t="s">
        <v>237</v>
      </c>
    </row>
    <row r="25322" spans="1:2" ht="12.75" customHeight="1" x14ac:dyDescent="0.25">
      <c r="A25322" s="318">
        <v>372730995299</v>
      </c>
      <c r="B25322" s="318" t="s">
        <v>23</v>
      </c>
    </row>
    <row r="25323" spans="1:2" ht="12.75" customHeight="1" x14ac:dyDescent="0.25">
      <c r="A25323" s="318">
        <v>372730995300</v>
      </c>
      <c r="B25323" s="318" t="s">
        <v>23</v>
      </c>
    </row>
    <row r="25324" spans="1:2" ht="12.75" customHeight="1" x14ac:dyDescent="0.25">
      <c r="A25324" s="318">
        <v>372730995301</v>
      </c>
      <c r="B25324" s="318" t="s">
        <v>23</v>
      </c>
    </row>
    <row r="25325" spans="1:2" ht="12.75" customHeight="1" x14ac:dyDescent="0.25">
      <c r="A25325" s="318">
        <v>372730995302</v>
      </c>
      <c r="B25325" s="318" t="s">
        <v>23</v>
      </c>
    </row>
    <row r="25326" spans="1:2" ht="12.75" customHeight="1" x14ac:dyDescent="0.25">
      <c r="A25326" s="318">
        <v>372730995303</v>
      </c>
      <c r="B25326" s="318" t="s">
        <v>23</v>
      </c>
    </row>
    <row r="25327" spans="1:2" ht="12.75" customHeight="1" x14ac:dyDescent="0.25">
      <c r="A25327" s="318">
        <v>372730995304</v>
      </c>
      <c r="B25327" s="318" t="s">
        <v>23</v>
      </c>
    </row>
    <row r="25328" spans="1:2" ht="12.75" customHeight="1" x14ac:dyDescent="0.25">
      <c r="A25328" s="318">
        <v>372730995305</v>
      </c>
      <c r="B25328" s="318" t="s">
        <v>23</v>
      </c>
    </row>
    <row r="25329" spans="1:2" ht="12.75" customHeight="1" x14ac:dyDescent="0.25">
      <c r="A25329" s="318">
        <v>372730995306</v>
      </c>
      <c r="B25329" s="318" t="s">
        <v>237</v>
      </c>
    </row>
    <row r="25330" spans="1:2" ht="12.75" customHeight="1" x14ac:dyDescent="0.25">
      <c r="A25330" s="318">
        <v>372730995308</v>
      </c>
      <c r="B25330" s="318" t="s">
        <v>237</v>
      </c>
    </row>
    <row r="25331" spans="1:2" ht="12.75" customHeight="1" x14ac:dyDescent="0.25">
      <c r="A25331" s="318">
        <v>372730995309</v>
      </c>
      <c r="B25331" s="318" t="s">
        <v>237</v>
      </c>
    </row>
    <row r="25332" spans="1:2" ht="12.75" customHeight="1" x14ac:dyDescent="0.25">
      <c r="A25332" s="318">
        <v>372730995310</v>
      </c>
      <c r="B25332" s="318" t="s">
        <v>237</v>
      </c>
    </row>
    <row r="25333" spans="1:2" ht="12.75" customHeight="1" x14ac:dyDescent="0.25">
      <c r="A25333" s="318">
        <v>372730995311</v>
      </c>
      <c r="B25333" s="318" t="s">
        <v>237</v>
      </c>
    </row>
    <row r="25334" spans="1:2" ht="12.75" customHeight="1" x14ac:dyDescent="0.25">
      <c r="A25334" s="318">
        <v>372730995312</v>
      </c>
      <c r="B25334" s="318" t="s">
        <v>237</v>
      </c>
    </row>
    <row r="25335" spans="1:2" ht="12.75" customHeight="1" x14ac:dyDescent="0.25">
      <c r="A25335" s="318">
        <v>372730995313</v>
      </c>
      <c r="B25335" s="318" t="s">
        <v>237</v>
      </c>
    </row>
    <row r="25336" spans="1:2" ht="12.75" customHeight="1" x14ac:dyDescent="0.25">
      <c r="A25336" s="318">
        <v>372730995314</v>
      </c>
      <c r="B25336" s="318" t="s">
        <v>237</v>
      </c>
    </row>
    <row r="25337" spans="1:2" ht="12.75" customHeight="1" x14ac:dyDescent="0.25">
      <c r="A25337" s="318">
        <v>372730995315</v>
      </c>
      <c r="B25337" s="318" t="s">
        <v>237</v>
      </c>
    </row>
    <row r="25338" spans="1:2" ht="12.75" customHeight="1" x14ac:dyDescent="0.25">
      <c r="A25338" s="318">
        <v>372731476272</v>
      </c>
      <c r="B25338" s="318" t="s">
        <v>23</v>
      </c>
    </row>
    <row r="25339" spans="1:2" ht="12.75" customHeight="1" x14ac:dyDescent="0.25">
      <c r="A25339" s="318">
        <v>372731476273</v>
      </c>
      <c r="B25339" s="318" t="s">
        <v>23</v>
      </c>
    </row>
    <row r="25340" spans="1:2" ht="12.75" customHeight="1" x14ac:dyDescent="0.25">
      <c r="A25340" s="318">
        <v>372731476274</v>
      </c>
      <c r="B25340" s="318" t="s">
        <v>23</v>
      </c>
    </row>
    <row r="25341" spans="1:2" ht="12.75" customHeight="1" x14ac:dyDescent="0.25">
      <c r="A25341" s="318">
        <v>372731476275</v>
      </c>
      <c r="B25341" s="318" t="s">
        <v>23</v>
      </c>
    </row>
    <row r="25342" spans="1:2" ht="12.75" customHeight="1" x14ac:dyDescent="0.25">
      <c r="A25342" s="318">
        <v>372731476276</v>
      </c>
      <c r="B25342" s="318" t="s">
        <v>23</v>
      </c>
    </row>
    <row r="25343" spans="1:2" ht="12.75" customHeight="1" x14ac:dyDescent="0.25">
      <c r="A25343" s="318">
        <v>372731476277</v>
      </c>
      <c r="B25343" s="318" t="s">
        <v>23</v>
      </c>
    </row>
    <row r="25344" spans="1:2" ht="12.75" customHeight="1" x14ac:dyDescent="0.25">
      <c r="A25344" s="318">
        <v>372731476278</v>
      </c>
      <c r="B25344" s="318" t="s">
        <v>23</v>
      </c>
    </row>
    <row r="25345" spans="1:2" ht="12.75" customHeight="1" x14ac:dyDescent="0.25">
      <c r="A25345" s="318">
        <v>372731476279</v>
      </c>
      <c r="B25345" s="318" t="s">
        <v>237</v>
      </c>
    </row>
    <row r="25346" spans="1:2" ht="12.75" customHeight="1" x14ac:dyDescent="0.25">
      <c r="A25346" s="318">
        <v>372731476281</v>
      </c>
      <c r="B25346" s="318" t="s">
        <v>23</v>
      </c>
    </row>
    <row r="25347" spans="1:2" ht="12.75" customHeight="1" x14ac:dyDescent="0.25">
      <c r="A25347" s="318">
        <v>372731476282</v>
      </c>
      <c r="B25347" s="318" t="s">
        <v>23</v>
      </c>
    </row>
    <row r="25348" spans="1:2" ht="12.75" customHeight="1" x14ac:dyDescent="0.25">
      <c r="A25348" s="318">
        <v>372731476283</v>
      </c>
      <c r="B25348" s="318" t="s">
        <v>23</v>
      </c>
    </row>
    <row r="25349" spans="1:2" ht="12.75" customHeight="1" x14ac:dyDescent="0.25">
      <c r="A25349" s="318">
        <v>372731476284</v>
      </c>
      <c r="B25349" s="318" t="s">
        <v>23</v>
      </c>
    </row>
    <row r="25350" spans="1:2" ht="12.75" customHeight="1" x14ac:dyDescent="0.25">
      <c r="A25350" s="318">
        <v>372731476285</v>
      </c>
      <c r="B25350" s="318" t="s">
        <v>23</v>
      </c>
    </row>
    <row r="25351" spans="1:2" ht="12.75" customHeight="1" x14ac:dyDescent="0.25">
      <c r="A25351" s="318">
        <v>372731476286</v>
      </c>
      <c r="B25351" s="318" t="s">
        <v>23</v>
      </c>
    </row>
    <row r="25352" spans="1:2" ht="12.75" customHeight="1" x14ac:dyDescent="0.25">
      <c r="A25352" s="318">
        <v>372731476287</v>
      </c>
      <c r="B25352" s="318" t="s">
        <v>23</v>
      </c>
    </row>
    <row r="25353" spans="1:2" ht="12.75" customHeight="1" x14ac:dyDescent="0.25">
      <c r="A25353" s="318">
        <v>372731476288</v>
      </c>
      <c r="B25353" s="318" t="s">
        <v>237</v>
      </c>
    </row>
    <row r="25354" spans="1:2" ht="12.75" customHeight="1" x14ac:dyDescent="0.25">
      <c r="A25354" s="318">
        <v>372732156463</v>
      </c>
      <c r="B25354" s="318" t="s">
        <v>23</v>
      </c>
    </row>
    <row r="25355" spans="1:2" ht="12.75" customHeight="1" x14ac:dyDescent="0.25">
      <c r="A25355" s="318">
        <v>372732156464</v>
      </c>
      <c r="B25355" s="318" t="s">
        <v>23</v>
      </c>
    </row>
    <row r="25356" spans="1:2" ht="12.75" customHeight="1" x14ac:dyDescent="0.25">
      <c r="A25356" s="318">
        <v>372732156465</v>
      </c>
      <c r="B25356" s="318" t="s">
        <v>23</v>
      </c>
    </row>
    <row r="25357" spans="1:2" ht="12.75" customHeight="1" x14ac:dyDescent="0.25">
      <c r="A25357" s="318">
        <v>372732156466</v>
      </c>
      <c r="B25357" s="318" t="s">
        <v>23</v>
      </c>
    </row>
    <row r="25358" spans="1:2" ht="12.75" customHeight="1" x14ac:dyDescent="0.25">
      <c r="A25358" s="318">
        <v>372732156467</v>
      </c>
      <c r="B25358" s="318" t="s">
        <v>23</v>
      </c>
    </row>
    <row r="25359" spans="1:2" ht="12.75" customHeight="1" x14ac:dyDescent="0.25">
      <c r="A25359" s="318">
        <v>372732156468</v>
      </c>
      <c r="B25359" s="318" t="s">
        <v>23</v>
      </c>
    </row>
    <row r="25360" spans="1:2" ht="12.75" customHeight="1" x14ac:dyDescent="0.25">
      <c r="A25360" s="318">
        <v>372732156469</v>
      </c>
      <c r="B25360" s="318" t="s">
        <v>23</v>
      </c>
    </row>
    <row r="25361" spans="1:2" ht="12.75" customHeight="1" x14ac:dyDescent="0.25">
      <c r="A25361" s="318">
        <v>372732156470</v>
      </c>
      <c r="B25361" s="318" t="s">
        <v>237</v>
      </c>
    </row>
    <row r="25362" spans="1:2" ht="12.75" customHeight="1" x14ac:dyDescent="0.25">
      <c r="A25362" s="318">
        <v>372732156472</v>
      </c>
      <c r="B25362" s="318" t="s">
        <v>237</v>
      </c>
    </row>
    <row r="25363" spans="1:2" ht="12.75" customHeight="1" x14ac:dyDescent="0.25">
      <c r="A25363" s="318">
        <v>372732156473</v>
      </c>
      <c r="B25363" s="318" t="s">
        <v>237</v>
      </c>
    </row>
    <row r="25364" spans="1:2" ht="12.75" customHeight="1" x14ac:dyDescent="0.25">
      <c r="A25364" s="318">
        <v>372732156474</v>
      </c>
      <c r="B25364" s="318" t="s">
        <v>237</v>
      </c>
    </row>
    <row r="25365" spans="1:2" ht="12.75" customHeight="1" x14ac:dyDescent="0.25">
      <c r="A25365" s="318">
        <v>372732156475</v>
      </c>
      <c r="B25365" s="318" t="s">
        <v>237</v>
      </c>
    </row>
    <row r="25366" spans="1:2" ht="12.75" customHeight="1" x14ac:dyDescent="0.25">
      <c r="A25366" s="318">
        <v>372732156476</v>
      </c>
      <c r="B25366" s="318" t="s">
        <v>237</v>
      </c>
    </row>
    <row r="25367" spans="1:2" ht="12.75" customHeight="1" x14ac:dyDescent="0.25">
      <c r="A25367" s="318">
        <v>372732156477</v>
      </c>
      <c r="B25367" s="318" t="s">
        <v>237</v>
      </c>
    </row>
    <row r="25368" spans="1:2" ht="12.75" customHeight="1" x14ac:dyDescent="0.25">
      <c r="A25368" s="318">
        <v>372732156478</v>
      </c>
      <c r="B25368" s="318" t="s">
        <v>237</v>
      </c>
    </row>
    <row r="25369" spans="1:2" ht="12.75" customHeight="1" x14ac:dyDescent="0.25">
      <c r="A25369" s="318">
        <v>372732156479</v>
      </c>
      <c r="B25369" s="318" t="s">
        <v>237</v>
      </c>
    </row>
    <row r="25370" spans="1:2" ht="12.75" customHeight="1" x14ac:dyDescent="0.25">
      <c r="A25370" s="318">
        <v>372732637436</v>
      </c>
      <c r="B25370" s="318" t="s">
        <v>23</v>
      </c>
    </row>
    <row r="25371" spans="1:2" ht="12.75" customHeight="1" x14ac:dyDescent="0.25">
      <c r="A25371" s="318">
        <v>372732637437</v>
      </c>
      <c r="B25371" s="318" t="s">
        <v>23</v>
      </c>
    </row>
    <row r="25372" spans="1:2" ht="12.75" customHeight="1" x14ac:dyDescent="0.25">
      <c r="A25372" s="318">
        <v>372732637438</v>
      </c>
      <c r="B25372" s="318" t="s">
        <v>23</v>
      </c>
    </row>
    <row r="25373" spans="1:2" ht="12.75" customHeight="1" x14ac:dyDescent="0.25">
      <c r="A25373" s="318">
        <v>372732637439</v>
      </c>
      <c r="B25373" s="318" t="s">
        <v>23</v>
      </c>
    </row>
    <row r="25374" spans="1:2" ht="12.75" customHeight="1" x14ac:dyDescent="0.25">
      <c r="A25374" s="318">
        <v>372732637440</v>
      </c>
      <c r="B25374" s="318" t="s">
        <v>23</v>
      </c>
    </row>
    <row r="25375" spans="1:2" ht="12.75" customHeight="1" x14ac:dyDescent="0.25">
      <c r="A25375" s="318">
        <v>372732637441</v>
      </c>
      <c r="B25375" s="318" t="s">
        <v>23</v>
      </c>
    </row>
    <row r="25376" spans="1:2" ht="12.75" customHeight="1" x14ac:dyDescent="0.25">
      <c r="A25376" s="318">
        <v>372732637442</v>
      </c>
      <c r="B25376" s="318" t="s">
        <v>23</v>
      </c>
    </row>
    <row r="25377" spans="1:2" ht="12.75" customHeight="1" x14ac:dyDescent="0.25">
      <c r="A25377" s="318">
        <v>372732637443</v>
      </c>
      <c r="B25377" s="318" t="s">
        <v>237</v>
      </c>
    </row>
    <row r="25378" spans="1:2" ht="12.75" customHeight="1" x14ac:dyDescent="0.25">
      <c r="A25378" s="318">
        <v>372732637445</v>
      </c>
      <c r="B25378" s="318" t="s">
        <v>237</v>
      </c>
    </row>
    <row r="25379" spans="1:2" ht="12.75" customHeight="1" x14ac:dyDescent="0.25">
      <c r="A25379" s="318">
        <v>372732637446</v>
      </c>
      <c r="B25379" s="318" t="s">
        <v>237</v>
      </c>
    </row>
    <row r="25380" spans="1:2" ht="12.75" customHeight="1" x14ac:dyDescent="0.25">
      <c r="A25380" s="318">
        <v>372732637447</v>
      </c>
      <c r="B25380" s="318" t="s">
        <v>237</v>
      </c>
    </row>
    <row r="25381" spans="1:2" ht="12.75" customHeight="1" x14ac:dyDescent="0.25">
      <c r="A25381" s="318">
        <v>372732637448</v>
      </c>
      <c r="B25381" s="318" t="s">
        <v>237</v>
      </c>
    </row>
    <row r="25382" spans="1:2" ht="12.75" customHeight="1" x14ac:dyDescent="0.25">
      <c r="A25382" s="318">
        <v>372732637449</v>
      </c>
      <c r="B25382" s="318" t="s">
        <v>237</v>
      </c>
    </row>
    <row r="25383" spans="1:2" ht="12.75" customHeight="1" x14ac:dyDescent="0.25">
      <c r="A25383" s="318">
        <v>372732637450</v>
      </c>
      <c r="B25383" s="318" t="s">
        <v>237</v>
      </c>
    </row>
    <row r="25384" spans="1:2" ht="12.75" customHeight="1" x14ac:dyDescent="0.25">
      <c r="A25384" s="318">
        <v>372732637451</v>
      </c>
      <c r="B25384" s="318" t="s">
        <v>237</v>
      </c>
    </row>
    <row r="25385" spans="1:2" ht="12.75" customHeight="1" x14ac:dyDescent="0.25">
      <c r="A25385" s="318">
        <v>372732637452</v>
      </c>
      <c r="B25385" s="318" t="s">
        <v>237</v>
      </c>
    </row>
    <row r="25386" spans="1:2" ht="12.75" customHeight="1" x14ac:dyDescent="0.25">
      <c r="A25386" s="318">
        <v>372733118409</v>
      </c>
      <c r="B25386" s="318" t="s">
        <v>23</v>
      </c>
    </row>
    <row r="25387" spans="1:2" ht="12.75" customHeight="1" x14ac:dyDescent="0.25">
      <c r="A25387" s="318">
        <v>372733118410</v>
      </c>
      <c r="B25387" s="318" t="s">
        <v>23</v>
      </c>
    </row>
    <row r="25388" spans="1:2" ht="12.75" customHeight="1" x14ac:dyDescent="0.25">
      <c r="A25388" s="318">
        <v>372733118411</v>
      </c>
      <c r="B25388" s="318" t="s">
        <v>23</v>
      </c>
    </row>
    <row r="25389" spans="1:2" ht="12.75" customHeight="1" x14ac:dyDescent="0.25">
      <c r="A25389" s="318">
        <v>372733118412</v>
      </c>
      <c r="B25389" s="318" t="s">
        <v>23</v>
      </c>
    </row>
    <row r="25390" spans="1:2" ht="12.75" customHeight="1" x14ac:dyDescent="0.25">
      <c r="A25390" s="318">
        <v>372733118413</v>
      </c>
      <c r="B25390" s="318" t="s">
        <v>23</v>
      </c>
    </row>
    <row r="25391" spans="1:2" ht="12.75" customHeight="1" x14ac:dyDescent="0.25">
      <c r="A25391" s="318">
        <v>372733118414</v>
      </c>
      <c r="B25391" s="318" t="s">
        <v>23</v>
      </c>
    </row>
    <row r="25392" spans="1:2" ht="12.75" customHeight="1" x14ac:dyDescent="0.25">
      <c r="A25392" s="318">
        <v>372733118415</v>
      </c>
      <c r="B25392" s="318" t="s">
        <v>23</v>
      </c>
    </row>
    <row r="25393" spans="1:2" ht="12.75" customHeight="1" x14ac:dyDescent="0.25">
      <c r="A25393" s="318">
        <v>372733118416</v>
      </c>
      <c r="B25393" s="318" t="s">
        <v>237</v>
      </c>
    </row>
    <row r="25394" spans="1:2" ht="12.75" customHeight="1" x14ac:dyDescent="0.25">
      <c r="A25394" s="318">
        <v>372733118418</v>
      </c>
      <c r="B25394" s="318" t="s">
        <v>23</v>
      </c>
    </row>
    <row r="25395" spans="1:2" ht="12.75" customHeight="1" x14ac:dyDescent="0.25">
      <c r="A25395" s="318">
        <v>372733118419</v>
      </c>
      <c r="B25395" s="318" t="s">
        <v>23</v>
      </c>
    </row>
    <row r="25396" spans="1:2" ht="12.75" customHeight="1" x14ac:dyDescent="0.25">
      <c r="A25396" s="318">
        <v>372733118420</v>
      </c>
      <c r="B25396" s="318" t="s">
        <v>23</v>
      </c>
    </row>
    <row r="25397" spans="1:2" ht="12.75" customHeight="1" x14ac:dyDescent="0.25">
      <c r="A25397" s="318">
        <v>372733118421</v>
      </c>
      <c r="B25397" s="318" t="s">
        <v>23</v>
      </c>
    </row>
    <row r="25398" spans="1:2" ht="12.75" customHeight="1" x14ac:dyDescent="0.25">
      <c r="A25398" s="318">
        <v>372733118422</v>
      </c>
      <c r="B25398" s="318" t="s">
        <v>23</v>
      </c>
    </row>
    <row r="25399" spans="1:2" ht="12.75" customHeight="1" x14ac:dyDescent="0.25">
      <c r="A25399" s="318">
        <v>372733118423</v>
      </c>
      <c r="B25399" s="318" t="s">
        <v>23</v>
      </c>
    </row>
    <row r="25400" spans="1:2" ht="12.75" customHeight="1" x14ac:dyDescent="0.25">
      <c r="A25400" s="318">
        <v>372733118424</v>
      </c>
      <c r="B25400" s="318" t="s">
        <v>23</v>
      </c>
    </row>
    <row r="25401" spans="1:2" ht="12.75" customHeight="1" x14ac:dyDescent="0.25">
      <c r="A25401" s="318">
        <v>372733118425</v>
      </c>
      <c r="B25401" s="318" t="s">
        <v>237</v>
      </c>
    </row>
    <row r="25402" spans="1:2" ht="12.75" customHeight="1" x14ac:dyDescent="0.25">
      <c r="A25402" s="318">
        <v>372733798600</v>
      </c>
      <c r="B25402" s="318" t="s">
        <v>23</v>
      </c>
    </row>
    <row r="25403" spans="1:2" ht="12.75" customHeight="1" x14ac:dyDescent="0.25">
      <c r="A25403" s="318">
        <v>372733798601</v>
      </c>
      <c r="B25403" s="318" t="s">
        <v>23</v>
      </c>
    </row>
    <row r="25404" spans="1:2" ht="12.75" customHeight="1" x14ac:dyDescent="0.25">
      <c r="A25404" s="318">
        <v>372733798602</v>
      </c>
      <c r="B25404" s="318" t="s">
        <v>23</v>
      </c>
    </row>
    <row r="25405" spans="1:2" ht="12.75" customHeight="1" x14ac:dyDescent="0.25">
      <c r="A25405" s="318">
        <v>372733798603</v>
      </c>
      <c r="B25405" s="318" t="s">
        <v>23</v>
      </c>
    </row>
    <row r="25406" spans="1:2" ht="12.75" customHeight="1" x14ac:dyDescent="0.25">
      <c r="A25406" s="318">
        <v>372733798604</v>
      </c>
      <c r="B25406" s="318" t="s">
        <v>23</v>
      </c>
    </row>
    <row r="25407" spans="1:2" ht="12.75" customHeight="1" x14ac:dyDescent="0.25">
      <c r="A25407" s="318">
        <v>372733798605</v>
      </c>
      <c r="B25407" s="318" t="s">
        <v>23</v>
      </c>
    </row>
    <row r="25408" spans="1:2" ht="12.75" customHeight="1" x14ac:dyDescent="0.25">
      <c r="A25408" s="318">
        <v>372733798606</v>
      </c>
      <c r="B25408" s="318" t="s">
        <v>23</v>
      </c>
    </row>
    <row r="25409" spans="1:2" ht="12.75" customHeight="1" x14ac:dyDescent="0.25">
      <c r="A25409" s="318">
        <v>372733798607</v>
      </c>
      <c r="B25409" s="318" t="s">
        <v>237</v>
      </c>
    </row>
    <row r="25410" spans="1:2" ht="12.75" customHeight="1" x14ac:dyDescent="0.25">
      <c r="A25410" s="318">
        <v>372733798609</v>
      </c>
      <c r="B25410" s="318" t="s">
        <v>23</v>
      </c>
    </row>
    <row r="25411" spans="1:2" ht="12.75" customHeight="1" x14ac:dyDescent="0.25">
      <c r="A25411" s="318">
        <v>372733798610</v>
      </c>
      <c r="B25411" s="318" t="s">
        <v>23</v>
      </c>
    </row>
    <row r="25412" spans="1:2" ht="12.75" customHeight="1" x14ac:dyDescent="0.25">
      <c r="A25412" s="318">
        <v>372733798611</v>
      </c>
      <c r="B25412" s="318" t="s">
        <v>23</v>
      </c>
    </row>
    <row r="25413" spans="1:2" ht="12.75" customHeight="1" x14ac:dyDescent="0.25">
      <c r="A25413" s="318">
        <v>372733798612</v>
      </c>
      <c r="B25413" s="318" t="s">
        <v>23</v>
      </c>
    </row>
    <row r="25414" spans="1:2" ht="12.75" customHeight="1" x14ac:dyDescent="0.25">
      <c r="A25414" s="318">
        <v>372733798613</v>
      </c>
      <c r="B25414" s="318" t="s">
        <v>23</v>
      </c>
    </row>
    <row r="25415" spans="1:2" ht="12.75" customHeight="1" x14ac:dyDescent="0.25">
      <c r="A25415" s="318">
        <v>372733798614</v>
      </c>
      <c r="B25415" s="318" t="s">
        <v>23</v>
      </c>
    </row>
    <row r="25416" spans="1:2" ht="12.75" customHeight="1" x14ac:dyDescent="0.25">
      <c r="A25416" s="318">
        <v>372733798615</v>
      </c>
      <c r="B25416" s="318" t="s">
        <v>23</v>
      </c>
    </row>
    <row r="25417" spans="1:2" ht="12.75" customHeight="1" x14ac:dyDescent="0.25">
      <c r="A25417" s="318">
        <v>372733798616</v>
      </c>
      <c r="B25417" s="318" t="s">
        <v>237</v>
      </c>
    </row>
    <row r="25418" spans="1:2" ht="12.75" customHeight="1" x14ac:dyDescent="0.25">
      <c r="A25418" s="318">
        <v>372734279573</v>
      </c>
      <c r="B25418" s="318" t="s">
        <v>23</v>
      </c>
    </row>
    <row r="25419" spans="1:2" ht="12.75" customHeight="1" x14ac:dyDescent="0.25">
      <c r="A25419" s="318">
        <v>372734279574</v>
      </c>
      <c r="B25419" s="318" t="s">
        <v>23</v>
      </c>
    </row>
    <row r="25420" spans="1:2" ht="12.75" customHeight="1" x14ac:dyDescent="0.25">
      <c r="A25420" s="318">
        <v>372734279575</v>
      </c>
      <c r="B25420" s="318" t="s">
        <v>23</v>
      </c>
    </row>
    <row r="25421" spans="1:2" ht="12.75" customHeight="1" x14ac:dyDescent="0.25">
      <c r="A25421" s="318">
        <v>372734279576</v>
      </c>
      <c r="B25421" s="318" t="s">
        <v>23</v>
      </c>
    </row>
    <row r="25422" spans="1:2" ht="12.75" customHeight="1" x14ac:dyDescent="0.25">
      <c r="A25422" s="318">
        <v>372734279577</v>
      </c>
      <c r="B25422" s="318" t="s">
        <v>23</v>
      </c>
    </row>
    <row r="25423" spans="1:2" ht="12.75" customHeight="1" x14ac:dyDescent="0.25">
      <c r="A25423" s="318">
        <v>372734279578</v>
      </c>
      <c r="B25423" s="318" t="s">
        <v>23</v>
      </c>
    </row>
    <row r="25424" spans="1:2" ht="12.75" customHeight="1" x14ac:dyDescent="0.25">
      <c r="A25424" s="318">
        <v>372734279579</v>
      </c>
      <c r="B25424" s="318" t="s">
        <v>23</v>
      </c>
    </row>
    <row r="25425" spans="1:2" ht="12.75" customHeight="1" x14ac:dyDescent="0.25">
      <c r="A25425" s="318">
        <v>372734279580</v>
      </c>
      <c r="B25425" s="318" t="s">
        <v>237</v>
      </c>
    </row>
    <row r="25426" spans="1:2" ht="12.75" customHeight="1" x14ac:dyDescent="0.25">
      <c r="A25426" s="318">
        <v>372734279582</v>
      </c>
      <c r="B25426" s="318" t="s">
        <v>23</v>
      </c>
    </row>
    <row r="25427" spans="1:2" ht="12.75" customHeight="1" x14ac:dyDescent="0.25">
      <c r="A25427" s="318">
        <v>372734279583</v>
      </c>
      <c r="B25427" s="318" t="s">
        <v>23</v>
      </c>
    </row>
    <row r="25428" spans="1:2" ht="12.75" customHeight="1" x14ac:dyDescent="0.25">
      <c r="A25428" s="318">
        <v>372734279584</v>
      </c>
      <c r="B25428" s="318" t="s">
        <v>23</v>
      </c>
    </row>
    <row r="25429" spans="1:2" ht="12.75" customHeight="1" x14ac:dyDescent="0.25">
      <c r="A25429" s="318">
        <v>372734279585</v>
      </c>
      <c r="B25429" s="318" t="s">
        <v>23</v>
      </c>
    </row>
    <row r="25430" spans="1:2" ht="12.75" customHeight="1" x14ac:dyDescent="0.25">
      <c r="A25430" s="318">
        <v>372734279586</v>
      </c>
      <c r="B25430" s="318" t="s">
        <v>23</v>
      </c>
    </row>
    <row r="25431" spans="1:2" ht="12.75" customHeight="1" x14ac:dyDescent="0.25">
      <c r="A25431" s="318">
        <v>372734279587</v>
      </c>
      <c r="B25431" s="318" t="s">
        <v>23</v>
      </c>
    </row>
    <row r="25432" spans="1:2" ht="12.75" customHeight="1" x14ac:dyDescent="0.25">
      <c r="A25432" s="318">
        <v>372734279588</v>
      </c>
      <c r="B25432" s="318" t="s">
        <v>23</v>
      </c>
    </row>
    <row r="25433" spans="1:2" ht="12.75" customHeight="1" x14ac:dyDescent="0.25">
      <c r="A25433" s="318">
        <v>372734279589</v>
      </c>
      <c r="B25433" s="318" t="s">
        <v>237</v>
      </c>
    </row>
    <row r="25434" spans="1:2" ht="12.75" customHeight="1" x14ac:dyDescent="0.25">
      <c r="A25434" s="318">
        <v>372734760546</v>
      </c>
      <c r="B25434" s="318" t="s">
        <v>23</v>
      </c>
    </row>
    <row r="25435" spans="1:2" ht="12.75" customHeight="1" x14ac:dyDescent="0.25">
      <c r="A25435" s="318">
        <v>372734760547</v>
      </c>
      <c r="B25435" s="318" t="s">
        <v>23</v>
      </c>
    </row>
    <row r="25436" spans="1:2" ht="12.75" customHeight="1" x14ac:dyDescent="0.25">
      <c r="A25436" s="318">
        <v>372734760548</v>
      </c>
      <c r="B25436" s="318" t="s">
        <v>23</v>
      </c>
    </row>
    <row r="25437" spans="1:2" ht="12.75" customHeight="1" x14ac:dyDescent="0.25">
      <c r="A25437" s="318">
        <v>372734760549</v>
      </c>
      <c r="B25437" s="318" t="s">
        <v>23</v>
      </c>
    </row>
    <row r="25438" spans="1:2" ht="12.75" customHeight="1" x14ac:dyDescent="0.25">
      <c r="A25438" s="318">
        <v>372734760550</v>
      </c>
      <c r="B25438" s="318" t="s">
        <v>23</v>
      </c>
    </row>
    <row r="25439" spans="1:2" ht="12.75" customHeight="1" x14ac:dyDescent="0.25">
      <c r="A25439" s="318">
        <v>372734760551</v>
      </c>
      <c r="B25439" s="318" t="s">
        <v>23</v>
      </c>
    </row>
    <row r="25440" spans="1:2" ht="12.75" customHeight="1" x14ac:dyDescent="0.25">
      <c r="A25440" s="318">
        <v>372734760552</v>
      </c>
      <c r="B25440" s="318" t="s">
        <v>23</v>
      </c>
    </row>
    <row r="25441" spans="1:2" ht="12.75" customHeight="1" x14ac:dyDescent="0.25">
      <c r="A25441" s="318">
        <v>372734760553</v>
      </c>
      <c r="B25441" s="318" t="s">
        <v>237</v>
      </c>
    </row>
    <row r="25442" spans="1:2" ht="12.75" customHeight="1" x14ac:dyDescent="0.25">
      <c r="A25442" s="318">
        <v>372734760555</v>
      </c>
      <c r="B25442" s="318" t="s">
        <v>23</v>
      </c>
    </row>
    <row r="25443" spans="1:2" ht="12.75" customHeight="1" x14ac:dyDescent="0.25">
      <c r="A25443" s="318">
        <v>372734760556</v>
      </c>
      <c r="B25443" s="318" t="s">
        <v>23</v>
      </c>
    </row>
    <row r="25444" spans="1:2" ht="12.75" customHeight="1" x14ac:dyDescent="0.25">
      <c r="A25444" s="318">
        <v>372734760557</v>
      </c>
      <c r="B25444" s="318" t="s">
        <v>23</v>
      </c>
    </row>
    <row r="25445" spans="1:2" ht="12.75" customHeight="1" x14ac:dyDescent="0.25">
      <c r="A25445" s="318">
        <v>372734760558</v>
      </c>
      <c r="B25445" s="318" t="s">
        <v>23</v>
      </c>
    </row>
    <row r="25446" spans="1:2" ht="12.75" customHeight="1" x14ac:dyDescent="0.25">
      <c r="A25446" s="318">
        <v>372734760559</v>
      </c>
      <c r="B25446" s="318" t="s">
        <v>23</v>
      </c>
    </row>
    <row r="25447" spans="1:2" ht="12.75" customHeight="1" x14ac:dyDescent="0.25">
      <c r="A25447" s="318">
        <v>372734760560</v>
      </c>
      <c r="B25447" s="318" t="s">
        <v>23</v>
      </c>
    </row>
    <row r="25448" spans="1:2" ht="12.75" customHeight="1" x14ac:dyDescent="0.25">
      <c r="A25448" s="318">
        <v>372734760561</v>
      </c>
      <c r="B25448" s="318" t="s">
        <v>23</v>
      </c>
    </row>
    <row r="25449" spans="1:2" ht="12.75" customHeight="1" x14ac:dyDescent="0.25">
      <c r="A25449" s="318">
        <v>372734760562</v>
      </c>
      <c r="B25449" s="318" t="s">
        <v>237</v>
      </c>
    </row>
    <row r="25450" spans="1:2" ht="12.75" customHeight="1" x14ac:dyDescent="0.25">
      <c r="A25450" s="318">
        <v>372736120927</v>
      </c>
      <c r="B25450" s="318" t="s">
        <v>23</v>
      </c>
    </row>
    <row r="25451" spans="1:2" ht="12.75" customHeight="1" x14ac:dyDescent="0.25">
      <c r="A25451" s="318">
        <v>372736120928</v>
      </c>
      <c r="B25451" s="318" t="s">
        <v>23</v>
      </c>
    </row>
    <row r="25452" spans="1:2" ht="12.75" customHeight="1" x14ac:dyDescent="0.25">
      <c r="A25452" s="318">
        <v>372736120929</v>
      </c>
      <c r="B25452" s="318" t="s">
        <v>23</v>
      </c>
    </row>
    <row r="25453" spans="1:2" ht="12.75" customHeight="1" x14ac:dyDescent="0.25">
      <c r="A25453" s="318">
        <v>372736120930</v>
      </c>
      <c r="B25453" s="318" t="s">
        <v>23</v>
      </c>
    </row>
    <row r="25454" spans="1:2" ht="12.75" customHeight="1" x14ac:dyDescent="0.25">
      <c r="A25454" s="318">
        <v>372736120931</v>
      </c>
      <c r="B25454" s="318" t="s">
        <v>23</v>
      </c>
    </row>
    <row r="25455" spans="1:2" ht="12.75" customHeight="1" x14ac:dyDescent="0.25">
      <c r="A25455" s="318">
        <v>372736120932</v>
      </c>
      <c r="B25455" s="318" t="s">
        <v>23</v>
      </c>
    </row>
    <row r="25456" spans="1:2" ht="12.75" customHeight="1" x14ac:dyDescent="0.25">
      <c r="A25456" s="318">
        <v>372736120933</v>
      </c>
      <c r="B25456" s="318" t="s">
        <v>23</v>
      </c>
    </row>
    <row r="25457" spans="1:2" ht="12.75" customHeight="1" x14ac:dyDescent="0.25">
      <c r="A25457" s="318">
        <v>372736120934</v>
      </c>
      <c r="B25457" s="318" t="s">
        <v>237</v>
      </c>
    </row>
    <row r="25458" spans="1:2" ht="12.75" customHeight="1" x14ac:dyDescent="0.25">
      <c r="A25458" s="318">
        <v>372736120936</v>
      </c>
      <c r="B25458" s="318" t="s">
        <v>23</v>
      </c>
    </row>
    <row r="25459" spans="1:2" ht="12.75" customHeight="1" x14ac:dyDescent="0.25">
      <c r="A25459" s="318">
        <v>372736120937</v>
      </c>
      <c r="B25459" s="318" t="s">
        <v>23</v>
      </c>
    </row>
    <row r="25460" spans="1:2" ht="12.75" customHeight="1" x14ac:dyDescent="0.25">
      <c r="A25460" s="318">
        <v>372736120938</v>
      </c>
      <c r="B25460" s="318" t="s">
        <v>23</v>
      </c>
    </row>
    <row r="25461" spans="1:2" ht="12.75" customHeight="1" x14ac:dyDescent="0.25">
      <c r="A25461" s="318">
        <v>372736120939</v>
      </c>
      <c r="B25461" s="318" t="s">
        <v>23</v>
      </c>
    </row>
    <row r="25462" spans="1:2" ht="12.75" customHeight="1" x14ac:dyDescent="0.25">
      <c r="A25462" s="318">
        <v>372736120940</v>
      </c>
      <c r="B25462" s="318" t="s">
        <v>23</v>
      </c>
    </row>
    <row r="25463" spans="1:2" ht="12.75" customHeight="1" x14ac:dyDescent="0.25">
      <c r="A25463" s="318">
        <v>372736120941</v>
      </c>
      <c r="B25463" s="318" t="s">
        <v>23</v>
      </c>
    </row>
    <row r="25464" spans="1:2" ht="12.75" customHeight="1" x14ac:dyDescent="0.25">
      <c r="A25464" s="318">
        <v>372736120942</v>
      </c>
      <c r="B25464" s="318" t="s">
        <v>23</v>
      </c>
    </row>
    <row r="25465" spans="1:2" ht="12.75" customHeight="1" x14ac:dyDescent="0.25">
      <c r="A25465" s="318">
        <v>372736120943</v>
      </c>
      <c r="B25465" s="318" t="s">
        <v>237</v>
      </c>
    </row>
    <row r="25466" spans="1:2" ht="12.75" customHeight="1" x14ac:dyDescent="0.25">
      <c r="A25466" s="318">
        <v>372736601900</v>
      </c>
      <c r="B25466" s="318" t="s">
        <v>23</v>
      </c>
    </row>
    <row r="25467" spans="1:2" ht="12.75" customHeight="1" x14ac:dyDescent="0.25">
      <c r="A25467" s="318">
        <v>372736601901</v>
      </c>
      <c r="B25467" s="318" t="s">
        <v>23</v>
      </c>
    </row>
    <row r="25468" spans="1:2" ht="12.75" customHeight="1" x14ac:dyDescent="0.25">
      <c r="A25468" s="318">
        <v>372736601902</v>
      </c>
      <c r="B25468" s="318" t="s">
        <v>23</v>
      </c>
    </row>
    <row r="25469" spans="1:2" ht="12.75" customHeight="1" x14ac:dyDescent="0.25">
      <c r="A25469" s="318">
        <v>372736601903</v>
      </c>
      <c r="B25469" s="318" t="s">
        <v>23</v>
      </c>
    </row>
    <row r="25470" spans="1:2" ht="12.75" customHeight="1" x14ac:dyDescent="0.25">
      <c r="A25470" s="318">
        <v>372736601904</v>
      </c>
      <c r="B25470" s="318" t="s">
        <v>23</v>
      </c>
    </row>
    <row r="25471" spans="1:2" ht="12.75" customHeight="1" x14ac:dyDescent="0.25">
      <c r="A25471" s="318">
        <v>372736601905</v>
      </c>
      <c r="B25471" s="318" t="s">
        <v>23</v>
      </c>
    </row>
    <row r="25472" spans="1:2" ht="12.75" customHeight="1" x14ac:dyDescent="0.25">
      <c r="A25472" s="318">
        <v>372736601906</v>
      </c>
      <c r="B25472" s="318" t="s">
        <v>23</v>
      </c>
    </row>
    <row r="25473" spans="1:2" ht="12.75" customHeight="1" x14ac:dyDescent="0.25">
      <c r="A25473" s="318">
        <v>372736601907</v>
      </c>
      <c r="B25473" s="318" t="s">
        <v>237</v>
      </c>
    </row>
    <row r="25474" spans="1:2" ht="12.75" customHeight="1" x14ac:dyDescent="0.25">
      <c r="A25474" s="318">
        <v>372736601909</v>
      </c>
      <c r="B25474" s="318" t="s">
        <v>23</v>
      </c>
    </row>
    <row r="25475" spans="1:2" ht="12.75" customHeight="1" x14ac:dyDescent="0.25">
      <c r="A25475" s="318">
        <v>372736601910</v>
      </c>
      <c r="B25475" s="318" t="s">
        <v>23</v>
      </c>
    </row>
    <row r="25476" spans="1:2" ht="12.75" customHeight="1" x14ac:dyDescent="0.25">
      <c r="A25476" s="318">
        <v>372736601911</v>
      </c>
      <c r="B25476" s="318" t="s">
        <v>23</v>
      </c>
    </row>
    <row r="25477" spans="1:2" ht="12.75" customHeight="1" x14ac:dyDescent="0.25">
      <c r="A25477" s="318">
        <v>372736601912</v>
      </c>
      <c r="B25477" s="318" t="s">
        <v>23</v>
      </c>
    </row>
    <row r="25478" spans="1:2" ht="12.75" customHeight="1" x14ac:dyDescent="0.25">
      <c r="A25478" s="318">
        <v>372736601913</v>
      </c>
      <c r="B25478" s="318" t="s">
        <v>23</v>
      </c>
    </row>
    <row r="25479" spans="1:2" ht="12.75" customHeight="1" x14ac:dyDescent="0.25">
      <c r="A25479" s="318">
        <v>372736601914</v>
      </c>
      <c r="B25479" s="318" t="s">
        <v>23</v>
      </c>
    </row>
    <row r="25480" spans="1:2" ht="12.75" customHeight="1" x14ac:dyDescent="0.25">
      <c r="A25480" s="318">
        <v>372736601915</v>
      </c>
      <c r="B25480" s="318" t="s">
        <v>23</v>
      </c>
    </row>
    <row r="25481" spans="1:2" ht="12.75" customHeight="1" x14ac:dyDescent="0.25">
      <c r="A25481" s="318">
        <v>372736601916</v>
      </c>
      <c r="B25481" s="318" t="s">
        <v>237</v>
      </c>
    </row>
    <row r="25482" spans="1:2" ht="12.75" customHeight="1" x14ac:dyDescent="0.25">
      <c r="A25482" s="318">
        <v>372737082873</v>
      </c>
      <c r="B25482" s="318" t="s">
        <v>23</v>
      </c>
    </row>
    <row r="25483" spans="1:2" ht="12.75" customHeight="1" x14ac:dyDescent="0.25">
      <c r="A25483" s="318">
        <v>372737082874</v>
      </c>
      <c r="B25483" s="318" t="s">
        <v>23</v>
      </c>
    </row>
    <row r="25484" spans="1:2" ht="12.75" customHeight="1" x14ac:dyDescent="0.25">
      <c r="A25484" s="318">
        <v>372737082875</v>
      </c>
      <c r="B25484" s="318" t="s">
        <v>23</v>
      </c>
    </row>
    <row r="25485" spans="1:2" ht="12.75" customHeight="1" x14ac:dyDescent="0.25">
      <c r="A25485" s="318">
        <v>372737082876</v>
      </c>
      <c r="B25485" s="318" t="s">
        <v>23</v>
      </c>
    </row>
    <row r="25486" spans="1:2" ht="12.75" customHeight="1" x14ac:dyDescent="0.25">
      <c r="A25486" s="318">
        <v>372737082877</v>
      </c>
      <c r="B25486" s="318" t="s">
        <v>23</v>
      </c>
    </row>
    <row r="25487" spans="1:2" ht="12.75" customHeight="1" x14ac:dyDescent="0.25">
      <c r="A25487" s="318">
        <v>372737082878</v>
      </c>
      <c r="B25487" s="318" t="s">
        <v>23</v>
      </c>
    </row>
    <row r="25488" spans="1:2" ht="12.75" customHeight="1" x14ac:dyDescent="0.25">
      <c r="A25488" s="318">
        <v>372737082879</v>
      </c>
      <c r="B25488" s="318" t="s">
        <v>23</v>
      </c>
    </row>
    <row r="25489" spans="1:2" ht="12.75" customHeight="1" x14ac:dyDescent="0.25">
      <c r="A25489" s="318">
        <v>372737082880</v>
      </c>
      <c r="B25489" s="318" t="s">
        <v>237</v>
      </c>
    </row>
    <row r="25490" spans="1:2" ht="12.75" customHeight="1" x14ac:dyDescent="0.25">
      <c r="A25490" s="318">
        <v>372737082882</v>
      </c>
      <c r="B25490" s="318" t="s">
        <v>23</v>
      </c>
    </row>
    <row r="25491" spans="1:2" ht="12.75" customHeight="1" x14ac:dyDescent="0.25">
      <c r="A25491" s="318">
        <v>372737082883</v>
      </c>
      <c r="B25491" s="318" t="s">
        <v>23</v>
      </c>
    </row>
    <row r="25492" spans="1:2" ht="12.75" customHeight="1" x14ac:dyDescent="0.25">
      <c r="A25492" s="318">
        <v>372737082884</v>
      </c>
      <c r="B25492" s="318" t="s">
        <v>23</v>
      </c>
    </row>
    <row r="25493" spans="1:2" ht="12.75" customHeight="1" x14ac:dyDescent="0.25">
      <c r="A25493" s="318">
        <v>372737082885</v>
      </c>
      <c r="B25493" s="318" t="s">
        <v>23</v>
      </c>
    </row>
    <row r="25494" spans="1:2" ht="12.75" customHeight="1" x14ac:dyDescent="0.25">
      <c r="A25494" s="318">
        <v>372737082886</v>
      </c>
      <c r="B25494" s="318" t="s">
        <v>23</v>
      </c>
    </row>
    <row r="25495" spans="1:2" ht="12.75" customHeight="1" x14ac:dyDescent="0.25">
      <c r="A25495" s="318">
        <v>372737082887</v>
      </c>
      <c r="B25495" s="318" t="s">
        <v>23</v>
      </c>
    </row>
    <row r="25496" spans="1:2" ht="12.75" customHeight="1" x14ac:dyDescent="0.25">
      <c r="A25496" s="318">
        <v>372737082888</v>
      </c>
      <c r="B25496" s="318" t="s">
        <v>23</v>
      </c>
    </row>
    <row r="25497" spans="1:2" ht="12.75" customHeight="1" x14ac:dyDescent="0.25">
      <c r="A25497" s="318">
        <v>372737082889</v>
      </c>
      <c r="B25497" s="318" t="s">
        <v>237</v>
      </c>
    </row>
    <row r="25498" spans="1:2" ht="12.75" customHeight="1" x14ac:dyDescent="0.25">
      <c r="A25498" s="318">
        <v>372737763064</v>
      </c>
      <c r="B25498" s="318" t="s">
        <v>23</v>
      </c>
    </row>
    <row r="25499" spans="1:2" ht="12.75" customHeight="1" x14ac:dyDescent="0.25">
      <c r="A25499" s="318">
        <v>372737763065</v>
      </c>
      <c r="B25499" s="318" t="s">
        <v>23</v>
      </c>
    </row>
    <row r="25500" spans="1:2" ht="12.75" customHeight="1" x14ac:dyDescent="0.25">
      <c r="A25500" s="318">
        <v>372737763066</v>
      </c>
      <c r="B25500" s="318" t="s">
        <v>23</v>
      </c>
    </row>
    <row r="25501" spans="1:2" ht="12.75" customHeight="1" x14ac:dyDescent="0.25">
      <c r="A25501" s="318">
        <v>372737763067</v>
      </c>
      <c r="B25501" s="318" t="s">
        <v>23</v>
      </c>
    </row>
    <row r="25502" spans="1:2" ht="12.75" customHeight="1" x14ac:dyDescent="0.25">
      <c r="A25502" s="318">
        <v>372737763068</v>
      </c>
      <c r="B25502" s="318" t="s">
        <v>23</v>
      </c>
    </row>
    <row r="25503" spans="1:2" ht="12.75" customHeight="1" x14ac:dyDescent="0.25">
      <c r="A25503" s="318">
        <v>372737763069</v>
      </c>
      <c r="B25503" s="318" t="s">
        <v>23</v>
      </c>
    </row>
    <row r="25504" spans="1:2" ht="12.75" customHeight="1" x14ac:dyDescent="0.25">
      <c r="A25504" s="318">
        <v>372737763070</v>
      </c>
      <c r="B25504" s="318" t="s">
        <v>23</v>
      </c>
    </row>
    <row r="25505" spans="1:2" ht="12.75" customHeight="1" x14ac:dyDescent="0.25">
      <c r="A25505" s="318">
        <v>372737763071</v>
      </c>
      <c r="B25505" s="318" t="s">
        <v>237</v>
      </c>
    </row>
    <row r="25506" spans="1:2" ht="12.75" customHeight="1" x14ac:dyDescent="0.25">
      <c r="A25506" s="318">
        <v>372737763073</v>
      </c>
      <c r="B25506" s="318" t="s">
        <v>23</v>
      </c>
    </row>
    <row r="25507" spans="1:2" ht="12.75" customHeight="1" x14ac:dyDescent="0.25">
      <c r="A25507" s="318">
        <v>372737763074</v>
      </c>
      <c r="B25507" s="318" t="s">
        <v>23</v>
      </c>
    </row>
    <row r="25508" spans="1:2" ht="12.75" customHeight="1" x14ac:dyDescent="0.25">
      <c r="A25508" s="318">
        <v>372737763075</v>
      </c>
      <c r="B25508" s="318" t="s">
        <v>23</v>
      </c>
    </row>
    <row r="25509" spans="1:2" ht="12.75" customHeight="1" x14ac:dyDescent="0.25">
      <c r="A25509" s="318">
        <v>372737763076</v>
      </c>
      <c r="B25509" s="318" t="s">
        <v>23</v>
      </c>
    </row>
    <row r="25510" spans="1:2" ht="12.75" customHeight="1" x14ac:dyDescent="0.25">
      <c r="A25510" s="318">
        <v>372737763077</v>
      </c>
      <c r="B25510" s="318" t="s">
        <v>23</v>
      </c>
    </row>
    <row r="25511" spans="1:2" ht="12.75" customHeight="1" x14ac:dyDescent="0.25">
      <c r="A25511" s="318">
        <v>372737763078</v>
      </c>
      <c r="B25511" s="318" t="s">
        <v>23</v>
      </c>
    </row>
    <row r="25512" spans="1:2" ht="12.75" customHeight="1" x14ac:dyDescent="0.25">
      <c r="A25512" s="318">
        <v>372737763079</v>
      </c>
      <c r="B25512" s="318" t="s">
        <v>23</v>
      </c>
    </row>
    <row r="25513" spans="1:2" ht="12.75" customHeight="1" x14ac:dyDescent="0.25">
      <c r="A25513" s="318">
        <v>372737763080</v>
      </c>
      <c r="B25513" s="318" t="s">
        <v>237</v>
      </c>
    </row>
    <row r="25514" spans="1:2" ht="12.75" customHeight="1" x14ac:dyDescent="0.25">
      <c r="A25514" s="318">
        <v>372738244037</v>
      </c>
      <c r="B25514" s="318" t="s">
        <v>23</v>
      </c>
    </row>
    <row r="25515" spans="1:2" ht="12.75" customHeight="1" x14ac:dyDescent="0.25">
      <c r="A25515" s="318">
        <v>372738244038</v>
      </c>
      <c r="B25515" s="318" t="s">
        <v>23</v>
      </c>
    </row>
    <row r="25516" spans="1:2" ht="12.75" customHeight="1" x14ac:dyDescent="0.25">
      <c r="A25516" s="318">
        <v>372738244039</v>
      </c>
      <c r="B25516" s="318" t="s">
        <v>23</v>
      </c>
    </row>
    <row r="25517" spans="1:2" ht="12.75" customHeight="1" x14ac:dyDescent="0.25">
      <c r="A25517" s="318">
        <v>372738244040</v>
      </c>
      <c r="B25517" s="318" t="s">
        <v>23</v>
      </c>
    </row>
    <row r="25518" spans="1:2" ht="12.75" customHeight="1" x14ac:dyDescent="0.25">
      <c r="A25518" s="318">
        <v>372738244041</v>
      </c>
      <c r="B25518" s="318" t="s">
        <v>23</v>
      </c>
    </row>
    <row r="25519" spans="1:2" ht="12.75" customHeight="1" x14ac:dyDescent="0.25">
      <c r="A25519" s="318">
        <v>372738244042</v>
      </c>
      <c r="B25519" s="318" t="s">
        <v>23</v>
      </c>
    </row>
    <row r="25520" spans="1:2" ht="12.75" customHeight="1" x14ac:dyDescent="0.25">
      <c r="A25520" s="318">
        <v>372738244043</v>
      </c>
      <c r="B25520" s="318" t="s">
        <v>23</v>
      </c>
    </row>
    <row r="25521" spans="1:2" ht="12.75" customHeight="1" x14ac:dyDescent="0.25">
      <c r="A25521" s="318">
        <v>372738244044</v>
      </c>
      <c r="B25521" s="318" t="s">
        <v>237</v>
      </c>
    </row>
    <row r="25522" spans="1:2" ht="12.75" customHeight="1" x14ac:dyDescent="0.25">
      <c r="A25522" s="318">
        <v>372738244046</v>
      </c>
      <c r="B25522" s="318" t="s">
        <v>23</v>
      </c>
    </row>
    <row r="25523" spans="1:2" ht="12.75" customHeight="1" x14ac:dyDescent="0.25">
      <c r="A25523" s="318">
        <v>372738244047</v>
      </c>
      <c r="B25523" s="318" t="s">
        <v>23</v>
      </c>
    </row>
    <row r="25524" spans="1:2" ht="12.75" customHeight="1" x14ac:dyDescent="0.25">
      <c r="A25524" s="318">
        <v>372738244048</v>
      </c>
      <c r="B25524" s="318" t="s">
        <v>23</v>
      </c>
    </row>
    <row r="25525" spans="1:2" ht="12.75" customHeight="1" x14ac:dyDescent="0.25">
      <c r="A25525" s="318">
        <v>372738244049</v>
      </c>
      <c r="B25525" s="318" t="s">
        <v>23</v>
      </c>
    </row>
    <row r="25526" spans="1:2" ht="12.75" customHeight="1" x14ac:dyDescent="0.25">
      <c r="A25526" s="318">
        <v>372738244050</v>
      </c>
      <c r="B25526" s="318" t="s">
        <v>23</v>
      </c>
    </row>
    <row r="25527" spans="1:2" ht="12.75" customHeight="1" x14ac:dyDescent="0.25">
      <c r="A25527" s="318">
        <v>372738244051</v>
      </c>
      <c r="B25527" s="318" t="s">
        <v>23</v>
      </c>
    </row>
    <row r="25528" spans="1:2" ht="12.75" customHeight="1" x14ac:dyDescent="0.25">
      <c r="A25528" s="318">
        <v>372738244052</v>
      </c>
      <c r="B25528" s="318" t="s">
        <v>23</v>
      </c>
    </row>
    <row r="25529" spans="1:2" ht="12.75" customHeight="1" x14ac:dyDescent="0.25">
      <c r="A25529" s="318">
        <v>372738244053</v>
      </c>
      <c r="B25529" s="318" t="s">
        <v>237</v>
      </c>
    </row>
    <row r="25530" spans="1:2" ht="12.75" customHeight="1" x14ac:dyDescent="0.25">
      <c r="A25530" s="318">
        <v>372738725010</v>
      </c>
      <c r="B25530" s="318" t="s">
        <v>23</v>
      </c>
    </row>
    <row r="25531" spans="1:2" ht="12.75" customHeight="1" x14ac:dyDescent="0.25">
      <c r="A25531" s="318">
        <v>372738725011</v>
      </c>
      <c r="B25531" s="318" t="s">
        <v>23</v>
      </c>
    </row>
    <row r="25532" spans="1:2" ht="12.75" customHeight="1" x14ac:dyDescent="0.25">
      <c r="A25532" s="318">
        <v>372738725012</v>
      </c>
      <c r="B25532" s="318" t="s">
        <v>23</v>
      </c>
    </row>
    <row r="25533" spans="1:2" ht="12.75" customHeight="1" x14ac:dyDescent="0.25">
      <c r="A25533" s="318">
        <v>372738725013</v>
      </c>
      <c r="B25533" s="318" t="s">
        <v>23</v>
      </c>
    </row>
    <row r="25534" spans="1:2" ht="12.75" customHeight="1" x14ac:dyDescent="0.25">
      <c r="A25534" s="318">
        <v>372738725014</v>
      </c>
      <c r="B25534" s="318" t="s">
        <v>23</v>
      </c>
    </row>
    <row r="25535" spans="1:2" ht="12.75" customHeight="1" x14ac:dyDescent="0.25">
      <c r="A25535" s="318">
        <v>372738725015</v>
      </c>
      <c r="B25535" s="318" t="s">
        <v>23</v>
      </c>
    </row>
    <row r="25536" spans="1:2" ht="12.75" customHeight="1" x14ac:dyDescent="0.25">
      <c r="A25536" s="318">
        <v>372738725016</v>
      </c>
      <c r="B25536" s="318" t="s">
        <v>23</v>
      </c>
    </row>
    <row r="25537" spans="1:2" ht="12.75" customHeight="1" x14ac:dyDescent="0.25">
      <c r="A25537" s="318">
        <v>372738725017</v>
      </c>
      <c r="B25537" s="318" t="s">
        <v>237</v>
      </c>
    </row>
    <row r="25538" spans="1:2" ht="12.75" customHeight="1" x14ac:dyDescent="0.25">
      <c r="A25538" s="318">
        <v>372738725019</v>
      </c>
      <c r="B25538" s="318" t="s">
        <v>23</v>
      </c>
    </row>
    <row r="25539" spans="1:2" ht="12.75" customHeight="1" x14ac:dyDescent="0.25">
      <c r="A25539" s="318">
        <v>372738725020</v>
      </c>
      <c r="B25539" s="318" t="s">
        <v>23</v>
      </c>
    </row>
    <row r="25540" spans="1:2" ht="12.75" customHeight="1" x14ac:dyDescent="0.25">
      <c r="A25540" s="318">
        <v>372738725021</v>
      </c>
      <c r="B25540" s="318" t="s">
        <v>23</v>
      </c>
    </row>
    <row r="25541" spans="1:2" ht="12.75" customHeight="1" x14ac:dyDescent="0.25">
      <c r="A25541" s="318">
        <v>372738725022</v>
      </c>
      <c r="B25541" s="318" t="s">
        <v>23</v>
      </c>
    </row>
    <row r="25542" spans="1:2" ht="12.75" customHeight="1" x14ac:dyDescent="0.25">
      <c r="A25542" s="318">
        <v>372738725023</v>
      </c>
      <c r="B25542" s="318" t="s">
        <v>23</v>
      </c>
    </row>
    <row r="25543" spans="1:2" ht="12.75" customHeight="1" x14ac:dyDescent="0.25">
      <c r="A25543" s="318">
        <v>372738725024</v>
      </c>
      <c r="B25543" s="318" t="s">
        <v>23</v>
      </c>
    </row>
    <row r="25544" spans="1:2" ht="12.75" customHeight="1" x14ac:dyDescent="0.25">
      <c r="A25544" s="318">
        <v>372738725025</v>
      </c>
      <c r="B25544" s="318" t="s">
        <v>23</v>
      </c>
    </row>
    <row r="25545" spans="1:2" ht="12.75" customHeight="1" x14ac:dyDescent="0.25">
      <c r="A25545" s="318">
        <v>372738725026</v>
      </c>
      <c r="B25545" s="318" t="s">
        <v>237</v>
      </c>
    </row>
    <row r="25546" spans="1:2" ht="12.75" customHeight="1" x14ac:dyDescent="0.25">
      <c r="A25546" s="318">
        <v>372739405201</v>
      </c>
      <c r="B25546" s="318" t="s">
        <v>23</v>
      </c>
    </row>
    <row r="25547" spans="1:2" ht="12.75" customHeight="1" x14ac:dyDescent="0.25">
      <c r="A25547" s="318">
        <v>372739405202</v>
      </c>
      <c r="B25547" s="318" t="s">
        <v>23</v>
      </c>
    </row>
    <row r="25548" spans="1:2" ht="12.75" customHeight="1" x14ac:dyDescent="0.25">
      <c r="A25548" s="318">
        <v>372739405203</v>
      </c>
      <c r="B25548" s="318" t="s">
        <v>23</v>
      </c>
    </row>
    <row r="25549" spans="1:2" ht="12.75" customHeight="1" x14ac:dyDescent="0.25">
      <c r="A25549" s="318">
        <v>372739405204</v>
      </c>
      <c r="B25549" s="318" t="s">
        <v>23</v>
      </c>
    </row>
    <row r="25550" spans="1:2" ht="12.75" customHeight="1" x14ac:dyDescent="0.25">
      <c r="A25550" s="318">
        <v>372739405205</v>
      </c>
      <c r="B25550" s="318" t="s">
        <v>23</v>
      </c>
    </row>
    <row r="25551" spans="1:2" ht="12.75" customHeight="1" x14ac:dyDescent="0.25">
      <c r="A25551" s="318">
        <v>372739405206</v>
      </c>
      <c r="B25551" s="318" t="s">
        <v>23</v>
      </c>
    </row>
    <row r="25552" spans="1:2" ht="12.75" customHeight="1" x14ac:dyDescent="0.25">
      <c r="A25552" s="318">
        <v>372739405207</v>
      </c>
      <c r="B25552" s="318" t="s">
        <v>23</v>
      </c>
    </row>
    <row r="25553" spans="1:2" ht="12.75" customHeight="1" x14ac:dyDescent="0.25">
      <c r="A25553" s="318">
        <v>372739405208</v>
      </c>
      <c r="B25553" s="318" t="s">
        <v>237</v>
      </c>
    </row>
    <row r="25554" spans="1:2" ht="12.75" customHeight="1" x14ac:dyDescent="0.25">
      <c r="A25554" s="318">
        <v>372739405210</v>
      </c>
      <c r="B25554" s="318" t="s">
        <v>23</v>
      </c>
    </row>
    <row r="25555" spans="1:2" ht="12.75" customHeight="1" x14ac:dyDescent="0.25">
      <c r="A25555" s="318">
        <v>372739405211</v>
      </c>
      <c r="B25555" s="318" t="s">
        <v>23</v>
      </c>
    </row>
    <row r="25556" spans="1:2" ht="12.75" customHeight="1" x14ac:dyDescent="0.25">
      <c r="A25556" s="318">
        <v>372739405212</v>
      </c>
      <c r="B25556" s="318" t="s">
        <v>23</v>
      </c>
    </row>
    <row r="25557" spans="1:2" ht="12.75" customHeight="1" x14ac:dyDescent="0.25">
      <c r="A25557" s="318">
        <v>372739405213</v>
      </c>
      <c r="B25557" s="318" t="s">
        <v>23</v>
      </c>
    </row>
    <row r="25558" spans="1:2" ht="12.75" customHeight="1" x14ac:dyDescent="0.25">
      <c r="A25558" s="318">
        <v>372739405214</v>
      </c>
      <c r="B25558" s="318" t="s">
        <v>23</v>
      </c>
    </row>
    <row r="25559" spans="1:2" ht="12.75" customHeight="1" x14ac:dyDescent="0.25">
      <c r="A25559" s="318">
        <v>372739405215</v>
      </c>
      <c r="B25559" s="318" t="s">
        <v>23</v>
      </c>
    </row>
    <row r="25560" spans="1:2" ht="12.75" customHeight="1" x14ac:dyDescent="0.25">
      <c r="A25560" s="318">
        <v>372739405216</v>
      </c>
      <c r="B25560" s="318" t="s">
        <v>23</v>
      </c>
    </row>
    <row r="25561" spans="1:2" ht="12.75" customHeight="1" x14ac:dyDescent="0.25">
      <c r="A25561" s="318">
        <v>372739405217</v>
      </c>
      <c r="B25561" s="318" t="s">
        <v>237</v>
      </c>
    </row>
    <row r="25562" spans="1:2" ht="12.75" customHeight="1" x14ac:dyDescent="0.25">
      <c r="A25562" s="318">
        <v>372739886174</v>
      </c>
      <c r="B25562" s="318" t="s">
        <v>23</v>
      </c>
    </row>
    <row r="25563" spans="1:2" ht="12.75" customHeight="1" x14ac:dyDescent="0.25">
      <c r="A25563" s="318">
        <v>372739886175</v>
      </c>
      <c r="B25563" s="318" t="s">
        <v>23</v>
      </c>
    </row>
    <row r="25564" spans="1:2" ht="12.75" customHeight="1" x14ac:dyDescent="0.25">
      <c r="A25564" s="318">
        <v>372739886176</v>
      </c>
      <c r="B25564" s="318" t="s">
        <v>23</v>
      </c>
    </row>
    <row r="25565" spans="1:2" ht="12.75" customHeight="1" x14ac:dyDescent="0.25">
      <c r="A25565" s="318">
        <v>372739886177</v>
      </c>
      <c r="B25565" s="318" t="s">
        <v>23</v>
      </c>
    </row>
    <row r="25566" spans="1:2" ht="12.75" customHeight="1" x14ac:dyDescent="0.25">
      <c r="A25566" s="318">
        <v>372739886178</v>
      </c>
      <c r="B25566" s="318" t="s">
        <v>23</v>
      </c>
    </row>
    <row r="25567" spans="1:2" ht="12.75" customHeight="1" x14ac:dyDescent="0.25">
      <c r="A25567" s="318">
        <v>372739886179</v>
      </c>
      <c r="B25567" s="318" t="s">
        <v>23</v>
      </c>
    </row>
    <row r="25568" spans="1:2" ht="12.75" customHeight="1" x14ac:dyDescent="0.25">
      <c r="A25568" s="318">
        <v>372739886180</v>
      </c>
      <c r="B25568" s="318" t="s">
        <v>23</v>
      </c>
    </row>
    <row r="25569" spans="1:2" ht="12.75" customHeight="1" x14ac:dyDescent="0.25">
      <c r="A25569" s="318">
        <v>372739886181</v>
      </c>
      <c r="B25569" s="318" t="s">
        <v>237</v>
      </c>
    </row>
    <row r="25570" spans="1:2" ht="12.75" customHeight="1" x14ac:dyDescent="0.25">
      <c r="A25570" s="318">
        <v>372739886183</v>
      </c>
      <c r="B25570" s="318" t="s">
        <v>23</v>
      </c>
    </row>
    <row r="25571" spans="1:2" ht="12.75" customHeight="1" x14ac:dyDescent="0.25">
      <c r="A25571" s="318">
        <v>372739886184</v>
      </c>
      <c r="B25571" s="318" t="s">
        <v>23</v>
      </c>
    </row>
    <row r="25572" spans="1:2" ht="12.75" customHeight="1" x14ac:dyDescent="0.25">
      <c r="A25572" s="318">
        <v>372739886185</v>
      </c>
      <c r="B25572" s="318" t="s">
        <v>23</v>
      </c>
    </row>
    <row r="25573" spans="1:2" ht="12.75" customHeight="1" x14ac:dyDescent="0.25">
      <c r="A25573" s="318">
        <v>372739886186</v>
      </c>
      <c r="B25573" s="318" t="s">
        <v>23</v>
      </c>
    </row>
    <row r="25574" spans="1:2" ht="12.75" customHeight="1" x14ac:dyDescent="0.25">
      <c r="A25574" s="318">
        <v>372739886187</v>
      </c>
      <c r="B25574" s="318" t="s">
        <v>23</v>
      </c>
    </row>
    <row r="25575" spans="1:2" ht="12.75" customHeight="1" x14ac:dyDescent="0.25">
      <c r="A25575" s="318">
        <v>372739886188</v>
      </c>
      <c r="B25575" s="318" t="s">
        <v>23</v>
      </c>
    </row>
    <row r="25576" spans="1:2" ht="12.75" customHeight="1" x14ac:dyDescent="0.25">
      <c r="A25576" s="318">
        <v>372739886189</v>
      </c>
      <c r="B25576" s="318" t="s">
        <v>23</v>
      </c>
    </row>
    <row r="25577" spans="1:2" ht="12.75" customHeight="1" x14ac:dyDescent="0.25">
      <c r="A25577" s="318">
        <v>372739886190</v>
      </c>
      <c r="B25577" s="318" t="s">
        <v>237</v>
      </c>
    </row>
    <row r="25578" spans="1:2" ht="12.75" customHeight="1" x14ac:dyDescent="0.25">
      <c r="A25578" s="318">
        <v>372740367147</v>
      </c>
      <c r="B25578" s="318" t="s">
        <v>23</v>
      </c>
    </row>
    <row r="25579" spans="1:2" ht="12.75" customHeight="1" x14ac:dyDescent="0.25">
      <c r="A25579" s="318">
        <v>372740367148</v>
      </c>
      <c r="B25579" s="318" t="s">
        <v>23</v>
      </c>
    </row>
    <row r="25580" spans="1:2" ht="12.75" customHeight="1" x14ac:dyDescent="0.25">
      <c r="A25580" s="318">
        <v>372740367149</v>
      </c>
      <c r="B25580" s="318" t="s">
        <v>23</v>
      </c>
    </row>
    <row r="25581" spans="1:2" ht="12.75" customHeight="1" x14ac:dyDescent="0.25">
      <c r="A25581" s="318">
        <v>372740367150</v>
      </c>
      <c r="B25581" s="318" t="s">
        <v>23</v>
      </c>
    </row>
    <row r="25582" spans="1:2" ht="12.75" customHeight="1" x14ac:dyDescent="0.25">
      <c r="A25582" s="318">
        <v>372740367151</v>
      </c>
      <c r="B25582" s="318" t="s">
        <v>23</v>
      </c>
    </row>
    <row r="25583" spans="1:2" ht="12.75" customHeight="1" x14ac:dyDescent="0.25">
      <c r="A25583" s="318">
        <v>372740367152</v>
      </c>
      <c r="B25583" s="318" t="s">
        <v>23</v>
      </c>
    </row>
    <row r="25584" spans="1:2" ht="12.75" customHeight="1" x14ac:dyDescent="0.25">
      <c r="A25584" s="318">
        <v>372740367153</v>
      </c>
      <c r="B25584" s="318" t="s">
        <v>23</v>
      </c>
    </row>
    <row r="25585" spans="1:2" ht="12.75" customHeight="1" x14ac:dyDescent="0.25">
      <c r="A25585" s="318">
        <v>372740367154</v>
      </c>
      <c r="B25585" s="318" t="s">
        <v>237</v>
      </c>
    </row>
    <row r="25586" spans="1:2" ht="12.75" customHeight="1" x14ac:dyDescent="0.25">
      <c r="A25586" s="318">
        <v>372740367156</v>
      </c>
      <c r="B25586" s="318" t="s">
        <v>23</v>
      </c>
    </row>
    <row r="25587" spans="1:2" ht="12.75" customHeight="1" x14ac:dyDescent="0.25">
      <c r="A25587" s="318">
        <v>372740367157</v>
      </c>
      <c r="B25587" s="318" t="s">
        <v>23</v>
      </c>
    </row>
    <row r="25588" spans="1:2" ht="12.75" customHeight="1" x14ac:dyDescent="0.25">
      <c r="A25588" s="318">
        <v>372740367158</v>
      </c>
      <c r="B25588" s="318" t="s">
        <v>23</v>
      </c>
    </row>
    <row r="25589" spans="1:2" ht="12.75" customHeight="1" x14ac:dyDescent="0.25">
      <c r="A25589" s="318">
        <v>372740367159</v>
      </c>
      <c r="B25589" s="318" t="s">
        <v>23</v>
      </c>
    </row>
    <row r="25590" spans="1:2" ht="12.75" customHeight="1" x14ac:dyDescent="0.25">
      <c r="A25590" s="318">
        <v>372740367160</v>
      </c>
      <c r="B25590" s="318" t="s">
        <v>23</v>
      </c>
    </row>
    <row r="25591" spans="1:2" ht="12.75" customHeight="1" x14ac:dyDescent="0.25">
      <c r="A25591" s="318">
        <v>372740367161</v>
      </c>
      <c r="B25591" s="318" t="s">
        <v>23</v>
      </c>
    </row>
    <row r="25592" spans="1:2" ht="12.75" customHeight="1" x14ac:dyDescent="0.25">
      <c r="A25592" s="318">
        <v>372740367162</v>
      </c>
      <c r="B25592" s="318" t="s">
        <v>23</v>
      </c>
    </row>
    <row r="25593" spans="1:2" ht="12.75" customHeight="1" x14ac:dyDescent="0.25">
      <c r="A25593" s="318">
        <v>372740367163</v>
      </c>
      <c r="B25593" s="318" t="s">
        <v>237</v>
      </c>
    </row>
    <row r="25594" spans="1:2" ht="12.75" customHeight="1" x14ac:dyDescent="0.25">
      <c r="A25594" s="318">
        <v>372790263038</v>
      </c>
      <c r="B25594" s="318" t="s">
        <v>23</v>
      </c>
    </row>
    <row r="25595" spans="1:2" ht="12.75" customHeight="1" x14ac:dyDescent="0.25">
      <c r="A25595" s="318">
        <v>372790263039</v>
      </c>
      <c r="B25595" s="318" t="s">
        <v>23</v>
      </c>
    </row>
    <row r="25596" spans="1:2" ht="12.75" customHeight="1" x14ac:dyDescent="0.25">
      <c r="A25596" s="318">
        <v>372790263040</v>
      </c>
      <c r="B25596" s="318" t="s">
        <v>23</v>
      </c>
    </row>
    <row r="25597" spans="1:2" ht="12.75" customHeight="1" x14ac:dyDescent="0.25">
      <c r="A25597" s="318">
        <v>372790263041</v>
      </c>
      <c r="B25597" s="318" t="s">
        <v>23</v>
      </c>
    </row>
    <row r="25598" spans="1:2" ht="12.75" customHeight="1" x14ac:dyDescent="0.25">
      <c r="A25598" s="318">
        <v>372790263042</v>
      </c>
      <c r="B25598" s="318" t="s">
        <v>23</v>
      </c>
    </row>
    <row r="25599" spans="1:2" ht="12.75" customHeight="1" x14ac:dyDescent="0.25">
      <c r="A25599" s="318">
        <v>372790263043</v>
      </c>
      <c r="B25599" s="318" t="s">
        <v>23</v>
      </c>
    </row>
    <row r="25600" spans="1:2" ht="12.75" customHeight="1" x14ac:dyDescent="0.25">
      <c r="A25600" s="318">
        <v>372790263044</v>
      </c>
      <c r="B25600" s="318" t="s">
        <v>237</v>
      </c>
    </row>
    <row r="25601" spans="1:2" ht="12.75" customHeight="1" x14ac:dyDescent="0.25">
      <c r="A25601" s="318">
        <v>372790263045</v>
      </c>
      <c r="B25601" s="318" t="s">
        <v>237</v>
      </c>
    </row>
    <row r="25602" spans="1:2" ht="12.75" customHeight="1" x14ac:dyDescent="0.25">
      <c r="A25602" s="318">
        <v>372790263047</v>
      </c>
      <c r="B25602" s="318" t="s">
        <v>237</v>
      </c>
    </row>
    <row r="25603" spans="1:2" ht="12.75" customHeight="1" x14ac:dyDescent="0.25">
      <c r="A25603" s="318">
        <v>372790263048</v>
      </c>
      <c r="B25603" s="318" t="s">
        <v>237</v>
      </c>
    </row>
    <row r="25604" spans="1:2" ht="12.75" customHeight="1" x14ac:dyDescent="0.25">
      <c r="A25604" s="318">
        <v>372790263049</v>
      </c>
      <c r="B25604" s="318" t="s">
        <v>237</v>
      </c>
    </row>
    <row r="25605" spans="1:2" ht="12.75" customHeight="1" x14ac:dyDescent="0.25">
      <c r="A25605" s="318">
        <v>372790263050</v>
      </c>
      <c r="B25605" s="318" t="s">
        <v>237</v>
      </c>
    </row>
    <row r="25606" spans="1:2" ht="12.75" customHeight="1" x14ac:dyDescent="0.25">
      <c r="A25606" s="318">
        <v>372790263051</v>
      </c>
      <c r="B25606" s="318" t="s">
        <v>237</v>
      </c>
    </row>
    <row r="25607" spans="1:2" ht="12.75" customHeight="1" x14ac:dyDescent="0.25">
      <c r="A25607" s="318">
        <v>372790263052</v>
      </c>
      <c r="B25607" s="318" t="s">
        <v>237</v>
      </c>
    </row>
    <row r="25608" spans="1:2" ht="12.75" customHeight="1" x14ac:dyDescent="0.25">
      <c r="A25608" s="318">
        <v>372790263053</v>
      </c>
      <c r="B25608" s="318" t="s">
        <v>237</v>
      </c>
    </row>
    <row r="25609" spans="1:2" ht="12.75" customHeight="1" x14ac:dyDescent="0.25">
      <c r="A25609" s="318">
        <v>372790263054</v>
      </c>
      <c r="B25609" s="318" t="s">
        <v>237</v>
      </c>
    </row>
    <row r="25610" spans="1:2" ht="12.75" customHeight="1" x14ac:dyDescent="0.25">
      <c r="A25610" s="318">
        <v>372790744011</v>
      </c>
      <c r="B25610" s="318" t="s">
        <v>23</v>
      </c>
    </row>
    <row r="25611" spans="1:2" ht="12.75" customHeight="1" x14ac:dyDescent="0.25">
      <c r="A25611" s="318">
        <v>372790744012</v>
      </c>
      <c r="B25611" s="318" t="s">
        <v>23</v>
      </c>
    </row>
    <row r="25612" spans="1:2" ht="12.75" customHeight="1" x14ac:dyDescent="0.25">
      <c r="A25612" s="318">
        <v>372790744013</v>
      </c>
      <c r="B25612" s="318" t="s">
        <v>23</v>
      </c>
    </row>
    <row r="25613" spans="1:2" ht="12.75" customHeight="1" x14ac:dyDescent="0.25">
      <c r="A25613" s="318">
        <v>372790744014</v>
      </c>
      <c r="B25613" s="318" t="s">
        <v>23</v>
      </c>
    </row>
    <row r="25614" spans="1:2" ht="12.75" customHeight="1" x14ac:dyDescent="0.25">
      <c r="A25614" s="318">
        <v>372790744015</v>
      </c>
      <c r="B25614" s="318" t="s">
        <v>23</v>
      </c>
    </row>
    <row r="25615" spans="1:2" ht="12.75" customHeight="1" x14ac:dyDescent="0.25">
      <c r="A25615" s="318">
        <v>372790744016</v>
      </c>
      <c r="B25615" s="318" t="s">
        <v>23</v>
      </c>
    </row>
    <row r="25616" spans="1:2" ht="12.75" customHeight="1" x14ac:dyDescent="0.25">
      <c r="A25616" s="318">
        <v>372790744017</v>
      </c>
      <c r="B25616" s="318" t="s">
        <v>237</v>
      </c>
    </row>
    <row r="25617" spans="1:2" ht="12.75" customHeight="1" x14ac:dyDescent="0.25">
      <c r="A25617" s="318">
        <v>372790744018</v>
      </c>
      <c r="B25617" s="318" t="s">
        <v>237</v>
      </c>
    </row>
    <row r="25618" spans="1:2" ht="12.75" customHeight="1" x14ac:dyDescent="0.25">
      <c r="A25618" s="318">
        <v>372790744020</v>
      </c>
      <c r="B25618" s="318" t="s">
        <v>237</v>
      </c>
    </row>
    <row r="25619" spans="1:2" ht="12.75" customHeight="1" x14ac:dyDescent="0.25">
      <c r="A25619" s="318">
        <v>372790744021</v>
      </c>
      <c r="B25619" s="318" t="s">
        <v>237</v>
      </c>
    </row>
    <row r="25620" spans="1:2" ht="12.75" customHeight="1" x14ac:dyDescent="0.25">
      <c r="A25620" s="318">
        <v>372790744022</v>
      </c>
      <c r="B25620" s="318" t="s">
        <v>237</v>
      </c>
    </row>
    <row r="25621" spans="1:2" ht="12.75" customHeight="1" x14ac:dyDescent="0.25">
      <c r="A25621" s="318">
        <v>372790744023</v>
      </c>
      <c r="B25621" s="318" t="s">
        <v>237</v>
      </c>
    </row>
    <row r="25622" spans="1:2" ht="12.75" customHeight="1" x14ac:dyDescent="0.25">
      <c r="A25622" s="318">
        <v>372790744024</v>
      </c>
      <c r="B25622" s="318" t="s">
        <v>237</v>
      </c>
    </row>
    <row r="25623" spans="1:2" ht="12.75" customHeight="1" x14ac:dyDescent="0.25">
      <c r="A25623" s="318">
        <v>372790744025</v>
      </c>
      <c r="B25623" s="318" t="s">
        <v>237</v>
      </c>
    </row>
    <row r="25624" spans="1:2" ht="12.75" customHeight="1" x14ac:dyDescent="0.25">
      <c r="A25624" s="318">
        <v>372790744026</v>
      </c>
      <c r="B25624" s="318" t="s">
        <v>237</v>
      </c>
    </row>
    <row r="25625" spans="1:2" ht="12.75" customHeight="1" x14ac:dyDescent="0.25">
      <c r="A25625" s="318">
        <v>372790744027</v>
      </c>
      <c r="B25625" s="318" t="s">
        <v>237</v>
      </c>
    </row>
    <row r="25626" spans="1:2" ht="12.75" customHeight="1" x14ac:dyDescent="0.25">
      <c r="A25626" s="318">
        <v>372791224984</v>
      </c>
      <c r="B25626" s="318" t="s">
        <v>23</v>
      </c>
    </row>
    <row r="25627" spans="1:2" ht="12.75" customHeight="1" x14ac:dyDescent="0.25">
      <c r="A25627" s="318">
        <v>372791224985</v>
      </c>
      <c r="B25627" s="318" t="s">
        <v>23</v>
      </c>
    </row>
    <row r="25628" spans="1:2" ht="12.75" customHeight="1" x14ac:dyDescent="0.25">
      <c r="A25628" s="318">
        <v>372791224986</v>
      </c>
      <c r="B25628" s="318" t="s">
        <v>23</v>
      </c>
    </row>
    <row r="25629" spans="1:2" ht="12.75" customHeight="1" x14ac:dyDescent="0.25">
      <c r="A25629" s="318">
        <v>372791224987</v>
      </c>
      <c r="B25629" s="318" t="s">
        <v>23</v>
      </c>
    </row>
    <row r="25630" spans="1:2" ht="12.75" customHeight="1" x14ac:dyDescent="0.25">
      <c r="A25630" s="318">
        <v>372791224988</v>
      </c>
      <c r="B25630" s="318" t="s">
        <v>23</v>
      </c>
    </row>
    <row r="25631" spans="1:2" ht="12.75" customHeight="1" x14ac:dyDescent="0.25">
      <c r="A25631" s="318">
        <v>372791224989</v>
      </c>
      <c r="B25631" s="318" t="s">
        <v>23</v>
      </c>
    </row>
    <row r="25632" spans="1:2" ht="12.75" customHeight="1" x14ac:dyDescent="0.25">
      <c r="A25632" s="318">
        <v>372791224990</v>
      </c>
      <c r="B25632" s="318" t="s">
        <v>237</v>
      </c>
    </row>
    <row r="25633" spans="1:2" ht="12.75" customHeight="1" x14ac:dyDescent="0.25">
      <c r="A25633" s="318">
        <v>372791224991</v>
      </c>
      <c r="B25633" s="318" t="s">
        <v>237</v>
      </c>
    </row>
    <row r="25634" spans="1:2" ht="12.75" customHeight="1" x14ac:dyDescent="0.25">
      <c r="A25634" s="318">
        <v>372791224993</v>
      </c>
      <c r="B25634" s="318" t="s">
        <v>23</v>
      </c>
    </row>
    <row r="25635" spans="1:2" ht="12.75" customHeight="1" x14ac:dyDescent="0.25">
      <c r="A25635" s="318">
        <v>372791224994</v>
      </c>
      <c r="B25635" s="318" t="s">
        <v>23</v>
      </c>
    </row>
    <row r="25636" spans="1:2" ht="12.75" customHeight="1" x14ac:dyDescent="0.25">
      <c r="A25636" s="318">
        <v>372791224995</v>
      </c>
      <c r="B25636" s="318" t="s">
        <v>23</v>
      </c>
    </row>
    <row r="25637" spans="1:2" ht="12.75" customHeight="1" x14ac:dyDescent="0.25">
      <c r="A25637" s="318">
        <v>372791224996</v>
      </c>
      <c r="B25637" s="318" t="s">
        <v>23</v>
      </c>
    </row>
    <row r="25638" spans="1:2" ht="12.75" customHeight="1" x14ac:dyDescent="0.25">
      <c r="A25638" s="318">
        <v>372791224997</v>
      </c>
      <c r="B25638" s="318" t="s">
        <v>23</v>
      </c>
    </row>
    <row r="25639" spans="1:2" ht="12.75" customHeight="1" x14ac:dyDescent="0.25">
      <c r="A25639" s="318">
        <v>372791224998</v>
      </c>
      <c r="B25639" s="318" t="s">
        <v>23</v>
      </c>
    </row>
    <row r="25640" spans="1:2" ht="12.75" customHeight="1" x14ac:dyDescent="0.25">
      <c r="A25640" s="318">
        <v>372791224999</v>
      </c>
      <c r="B25640" s="318" t="s">
        <v>237</v>
      </c>
    </row>
    <row r="25641" spans="1:2" ht="12.75" customHeight="1" x14ac:dyDescent="0.25">
      <c r="A25641" s="318">
        <v>372791225000</v>
      </c>
      <c r="B25641" s="318" t="s">
        <v>237</v>
      </c>
    </row>
    <row r="25642" spans="1:2" ht="12.75" customHeight="1" x14ac:dyDescent="0.25">
      <c r="A25642" s="318">
        <v>372791905175</v>
      </c>
      <c r="B25642" s="318" t="s">
        <v>23</v>
      </c>
    </row>
    <row r="25643" spans="1:2" ht="12.75" customHeight="1" x14ac:dyDescent="0.25">
      <c r="A25643" s="318">
        <v>372791905176</v>
      </c>
      <c r="B25643" s="318" t="s">
        <v>23</v>
      </c>
    </row>
    <row r="25644" spans="1:2" ht="12.75" customHeight="1" x14ac:dyDescent="0.25">
      <c r="A25644" s="318">
        <v>372791905177</v>
      </c>
      <c r="B25644" s="318" t="s">
        <v>23</v>
      </c>
    </row>
    <row r="25645" spans="1:2" ht="12.75" customHeight="1" x14ac:dyDescent="0.25">
      <c r="A25645" s="318">
        <v>372791905178</v>
      </c>
      <c r="B25645" s="318" t="s">
        <v>23</v>
      </c>
    </row>
    <row r="25646" spans="1:2" ht="12.75" customHeight="1" x14ac:dyDescent="0.25">
      <c r="A25646" s="318">
        <v>372791905179</v>
      </c>
      <c r="B25646" s="318" t="s">
        <v>23</v>
      </c>
    </row>
    <row r="25647" spans="1:2" ht="12.75" customHeight="1" x14ac:dyDescent="0.25">
      <c r="A25647" s="318">
        <v>372791905180</v>
      </c>
      <c r="B25647" s="318" t="s">
        <v>23</v>
      </c>
    </row>
    <row r="25648" spans="1:2" ht="12.75" customHeight="1" x14ac:dyDescent="0.25">
      <c r="A25648" s="318">
        <v>372791905181</v>
      </c>
      <c r="B25648" s="318" t="s">
        <v>237</v>
      </c>
    </row>
    <row r="25649" spans="1:2" ht="12.75" customHeight="1" x14ac:dyDescent="0.25">
      <c r="A25649" s="318">
        <v>372791905182</v>
      </c>
      <c r="B25649" s="318" t="s">
        <v>237</v>
      </c>
    </row>
    <row r="25650" spans="1:2" ht="12.75" customHeight="1" x14ac:dyDescent="0.25">
      <c r="A25650" s="318">
        <v>372791905184</v>
      </c>
      <c r="B25650" s="318" t="s">
        <v>237</v>
      </c>
    </row>
    <row r="25651" spans="1:2" ht="12.75" customHeight="1" x14ac:dyDescent="0.25">
      <c r="A25651" s="318">
        <v>372791905185</v>
      </c>
      <c r="B25651" s="318" t="s">
        <v>237</v>
      </c>
    </row>
    <row r="25652" spans="1:2" ht="12.75" customHeight="1" x14ac:dyDescent="0.25">
      <c r="A25652" s="318">
        <v>372791905186</v>
      </c>
      <c r="B25652" s="318" t="s">
        <v>237</v>
      </c>
    </row>
    <row r="25653" spans="1:2" ht="12.75" customHeight="1" x14ac:dyDescent="0.25">
      <c r="A25653" s="318">
        <v>372791905187</v>
      </c>
      <c r="B25653" s="318" t="s">
        <v>237</v>
      </c>
    </row>
    <row r="25654" spans="1:2" ht="12.75" customHeight="1" x14ac:dyDescent="0.25">
      <c r="A25654" s="318">
        <v>372791905188</v>
      </c>
      <c r="B25654" s="318" t="s">
        <v>237</v>
      </c>
    </row>
    <row r="25655" spans="1:2" ht="12.75" customHeight="1" x14ac:dyDescent="0.25">
      <c r="A25655" s="318">
        <v>372791905189</v>
      </c>
      <c r="B25655" s="318" t="s">
        <v>237</v>
      </c>
    </row>
    <row r="25656" spans="1:2" ht="12.75" customHeight="1" x14ac:dyDescent="0.25">
      <c r="A25656" s="318">
        <v>372791905190</v>
      </c>
      <c r="B25656" s="318" t="s">
        <v>237</v>
      </c>
    </row>
    <row r="25657" spans="1:2" ht="12.75" customHeight="1" x14ac:dyDescent="0.25">
      <c r="A25657" s="318">
        <v>372791905191</v>
      </c>
      <c r="B25657" s="318" t="s">
        <v>237</v>
      </c>
    </row>
    <row r="25658" spans="1:2" ht="12.75" customHeight="1" x14ac:dyDescent="0.25">
      <c r="A25658" s="318">
        <v>372792386148</v>
      </c>
      <c r="B25658" s="318" t="s">
        <v>23</v>
      </c>
    </row>
    <row r="25659" spans="1:2" ht="12.75" customHeight="1" x14ac:dyDescent="0.25">
      <c r="A25659" s="318">
        <v>372792386149</v>
      </c>
      <c r="B25659" s="318" t="s">
        <v>23</v>
      </c>
    </row>
    <row r="25660" spans="1:2" ht="12.75" customHeight="1" x14ac:dyDescent="0.25">
      <c r="A25660" s="318">
        <v>372792386150</v>
      </c>
      <c r="B25660" s="318" t="s">
        <v>23</v>
      </c>
    </row>
    <row r="25661" spans="1:2" ht="12.75" customHeight="1" x14ac:dyDescent="0.25">
      <c r="A25661" s="318">
        <v>372792386151</v>
      </c>
      <c r="B25661" s="318" t="s">
        <v>23</v>
      </c>
    </row>
    <row r="25662" spans="1:2" ht="12.75" customHeight="1" x14ac:dyDescent="0.25">
      <c r="A25662" s="318">
        <v>372792386152</v>
      </c>
      <c r="B25662" s="318" t="s">
        <v>23</v>
      </c>
    </row>
    <row r="25663" spans="1:2" ht="12.75" customHeight="1" x14ac:dyDescent="0.25">
      <c r="A25663" s="318">
        <v>372792386153</v>
      </c>
      <c r="B25663" s="318" t="s">
        <v>23</v>
      </c>
    </row>
    <row r="25664" spans="1:2" ht="12.75" customHeight="1" x14ac:dyDescent="0.25">
      <c r="A25664" s="318">
        <v>372792386154</v>
      </c>
      <c r="B25664" s="318" t="s">
        <v>237</v>
      </c>
    </row>
    <row r="25665" spans="1:2" ht="12.75" customHeight="1" x14ac:dyDescent="0.25">
      <c r="A25665" s="318">
        <v>372792386155</v>
      </c>
      <c r="B25665" s="318" t="s">
        <v>237</v>
      </c>
    </row>
    <row r="25666" spans="1:2" ht="12.75" customHeight="1" x14ac:dyDescent="0.25">
      <c r="A25666" s="318">
        <v>372792386157</v>
      </c>
      <c r="B25666" s="318" t="s">
        <v>237</v>
      </c>
    </row>
    <row r="25667" spans="1:2" ht="12.75" customHeight="1" x14ac:dyDescent="0.25">
      <c r="A25667" s="318">
        <v>372792386158</v>
      </c>
      <c r="B25667" s="318" t="s">
        <v>237</v>
      </c>
    </row>
    <row r="25668" spans="1:2" ht="12.75" customHeight="1" x14ac:dyDescent="0.25">
      <c r="A25668" s="318">
        <v>372792386159</v>
      </c>
      <c r="B25668" s="318" t="s">
        <v>237</v>
      </c>
    </row>
    <row r="25669" spans="1:2" ht="12.75" customHeight="1" x14ac:dyDescent="0.25">
      <c r="A25669" s="318">
        <v>372792386160</v>
      </c>
      <c r="B25669" s="318" t="s">
        <v>237</v>
      </c>
    </row>
    <row r="25670" spans="1:2" ht="12.75" customHeight="1" x14ac:dyDescent="0.25">
      <c r="A25670" s="318">
        <v>372792386161</v>
      </c>
      <c r="B25670" s="318" t="s">
        <v>237</v>
      </c>
    </row>
    <row r="25671" spans="1:2" ht="12.75" customHeight="1" x14ac:dyDescent="0.25">
      <c r="A25671" s="318">
        <v>372792386162</v>
      </c>
      <c r="B25671" s="318" t="s">
        <v>237</v>
      </c>
    </row>
    <row r="25672" spans="1:2" ht="12.75" customHeight="1" x14ac:dyDescent="0.25">
      <c r="A25672" s="318">
        <v>372792386163</v>
      </c>
      <c r="B25672" s="318" t="s">
        <v>237</v>
      </c>
    </row>
    <row r="25673" spans="1:2" ht="12.75" customHeight="1" x14ac:dyDescent="0.25">
      <c r="A25673" s="318">
        <v>372792386164</v>
      </c>
      <c r="B25673" s="318" t="s">
        <v>237</v>
      </c>
    </row>
    <row r="25674" spans="1:2" ht="12.75" customHeight="1" x14ac:dyDescent="0.25">
      <c r="A25674" s="318">
        <v>372792867121</v>
      </c>
      <c r="B25674" s="318" t="s">
        <v>23</v>
      </c>
    </row>
    <row r="25675" spans="1:2" ht="12.75" customHeight="1" x14ac:dyDescent="0.25">
      <c r="A25675" s="318">
        <v>372792867122</v>
      </c>
      <c r="B25675" s="318" t="s">
        <v>23</v>
      </c>
    </row>
    <row r="25676" spans="1:2" ht="12.75" customHeight="1" x14ac:dyDescent="0.25">
      <c r="A25676" s="318">
        <v>372792867123</v>
      </c>
      <c r="B25676" s="318" t="s">
        <v>23</v>
      </c>
    </row>
    <row r="25677" spans="1:2" ht="12.75" customHeight="1" x14ac:dyDescent="0.25">
      <c r="A25677" s="318">
        <v>372792867124</v>
      </c>
      <c r="B25677" s="318" t="s">
        <v>23</v>
      </c>
    </row>
    <row r="25678" spans="1:2" ht="12.75" customHeight="1" x14ac:dyDescent="0.25">
      <c r="A25678" s="318">
        <v>372792867125</v>
      </c>
      <c r="B25678" s="318" t="s">
        <v>23</v>
      </c>
    </row>
    <row r="25679" spans="1:2" ht="12.75" customHeight="1" x14ac:dyDescent="0.25">
      <c r="A25679" s="318">
        <v>372792867126</v>
      </c>
      <c r="B25679" s="318" t="s">
        <v>23</v>
      </c>
    </row>
    <row r="25680" spans="1:2" ht="12.75" customHeight="1" x14ac:dyDescent="0.25">
      <c r="A25680" s="318">
        <v>372792867127</v>
      </c>
      <c r="B25680" s="318" t="s">
        <v>237</v>
      </c>
    </row>
    <row r="25681" spans="1:2" ht="12.75" customHeight="1" x14ac:dyDescent="0.25">
      <c r="A25681" s="318">
        <v>372792867128</v>
      </c>
      <c r="B25681" s="318" t="s">
        <v>237</v>
      </c>
    </row>
    <row r="25682" spans="1:2" ht="12.75" customHeight="1" x14ac:dyDescent="0.25">
      <c r="A25682" s="318">
        <v>372792867130</v>
      </c>
      <c r="B25682" s="318" t="s">
        <v>23</v>
      </c>
    </row>
    <row r="25683" spans="1:2" ht="12.75" customHeight="1" x14ac:dyDescent="0.25">
      <c r="A25683" s="318">
        <v>372792867131</v>
      </c>
      <c r="B25683" s="318" t="s">
        <v>23</v>
      </c>
    </row>
    <row r="25684" spans="1:2" ht="12.75" customHeight="1" x14ac:dyDescent="0.25">
      <c r="A25684" s="318">
        <v>372792867132</v>
      </c>
      <c r="B25684" s="318" t="s">
        <v>23</v>
      </c>
    </row>
    <row r="25685" spans="1:2" ht="12.75" customHeight="1" x14ac:dyDescent="0.25">
      <c r="A25685" s="318">
        <v>372792867133</v>
      </c>
      <c r="B25685" s="318" t="s">
        <v>23</v>
      </c>
    </row>
    <row r="25686" spans="1:2" ht="12.75" customHeight="1" x14ac:dyDescent="0.25">
      <c r="A25686" s="318">
        <v>372792867134</v>
      </c>
      <c r="B25686" s="318" t="s">
        <v>23</v>
      </c>
    </row>
    <row r="25687" spans="1:2" ht="12.75" customHeight="1" x14ac:dyDescent="0.25">
      <c r="A25687" s="318">
        <v>372792867135</v>
      </c>
      <c r="B25687" s="318" t="s">
        <v>23</v>
      </c>
    </row>
    <row r="25688" spans="1:2" ht="12.75" customHeight="1" x14ac:dyDescent="0.25">
      <c r="A25688" s="318">
        <v>372792867136</v>
      </c>
      <c r="B25688" s="318" t="s">
        <v>237</v>
      </c>
    </row>
    <row r="25689" spans="1:2" ht="12.75" customHeight="1" x14ac:dyDescent="0.25">
      <c r="A25689" s="318">
        <v>372792867137</v>
      </c>
      <c r="B25689" s="318" t="s">
        <v>237</v>
      </c>
    </row>
    <row r="25690" spans="1:2" ht="12.75" customHeight="1" x14ac:dyDescent="0.25">
      <c r="A25690" s="318">
        <v>372793547312</v>
      </c>
      <c r="B25690" s="318" t="s">
        <v>23</v>
      </c>
    </row>
    <row r="25691" spans="1:2" ht="12.75" customHeight="1" x14ac:dyDescent="0.25">
      <c r="A25691" s="318">
        <v>372793547313</v>
      </c>
      <c r="B25691" s="318" t="s">
        <v>23</v>
      </c>
    </row>
    <row r="25692" spans="1:2" ht="12.75" customHeight="1" x14ac:dyDescent="0.25">
      <c r="A25692" s="318">
        <v>372793547314</v>
      </c>
      <c r="B25692" s="318" t="s">
        <v>23</v>
      </c>
    </row>
    <row r="25693" spans="1:2" ht="12.75" customHeight="1" x14ac:dyDescent="0.25">
      <c r="A25693" s="318">
        <v>372793547315</v>
      </c>
      <c r="B25693" s="318" t="s">
        <v>23</v>
      </c>
    </row>
    <row r="25694" spans="1:2" ht="12.75" customHeight="1" x14ac:dyDescent="0.25">
      <c r="A25694" s="318">
        <v>372793547316</v>
      </c>
      <c r="B25694" s="318" t="s">
        <v>23</v>
      </c>
    </row>
    <row r="25695" spans="1:2" ht="12.75" customHeight="1" x14ac:dyDescent="0.25">
      <c r="A25695" s="318">
        <v>372793547317</v>
      </c>
      <c r="B25695" s="318" t="s">
        <v>23</v>
      </c>
    </row>
    <row r="25696" spans="1:2" ht="12.75" customHeight="1" x14ac:dyDescent="0.25">
      <c r="A25696" s="318">
        <v>372793547318</v>
      </c>
      <c r="B25696" s="318" t="s">
        <v>237</v>
      </c>
    </row>
    <row r="25697" spans="1:2" ht="12.75" customHeight="1" x14ac:dyDescent="0.25">
      <c r="A25697" s="318">
        <v>372793547319</v>
      </c>
      <c r="B25697" s="318" t="s">
        <v>237</v>
      </c>
    </row>
    <row r="25698" spans="1:2" ht="12.75" customHeight="1" x14ac:dyDescent="0.25">
      <c r="A25698" s="318">
        <v>372793547321</v>
      </c>
      <c r="B25698" s="318" t="s">
        <v>23</v>
      </c>
    </row>
    <row r="25699" spans="1:2" ht="12.75" customHeight="1" x14ac:dyDescent="0.25">
      <c r="A25699" s="318">
        <v>372793547322</v>
      </c>
      <c r="B25699" s="318" t="s">
        <v>23</v>
      </c>
    </row>
    <row r="25700" spans="1:2" ht="12.75" customHeight="1" x14ac:dyDescent="0.25">
      <c r="A25700" s="318">
        <v>372793547323</v>
      </c>
      <c r="B25700" s="318" t="s">
        <v>23</v>
      </c>
    </row>
    <row r="25701" spans="1:2" ht="12.75" customHeight="1" x14ac:dyDescent="0.25">
      <c r="A25701" s="318">
        <v>372793547324</v>
      </c>
      <c r="B25701" s="318" t="s">
        <v>23</v>
      </c>
    </row>
    <row r="25702" spans="1:2" ht="12.75" customHeight="1" x14ac:dyDescent="0.25">
      <c r="A25702" s="318">
        <v>372793547325</v>
      </c>
      <c r="B25702" s="318" t="s">
        <v>23</v>
      </c>
    </row>
    <row r="25703" spans="1:2" ht="12.75" customHeight="1" x14ac:dyDescent="0.25">
      <c r="A25703" s="318">
        <v>372793547326</v>
      </c>
      <c r="B25703" s="318" t="s">
        <v>23</v>
      </c>
    </row>
    <row r="25704" spans="1:2" ht="12.75" customHeight="1" x14ac:dyDescent="0.25">
      <c r="A25704" s="318">
        <v>372793547327</v>
      </c>
      <c r="B25704" s="318" t="s">
        <v>237</v>
      </c>
    </row>
    <row r="25705" spans="1:2" ht="12.75" customHeight="1" x14ac:dyDescent="0.25">
      <c r="A25705" s="318">
        <v>372793547328</v>
      </c>
      <c r="B25705" s="318" t="s">
        <v>237</v>
      </c>
    </row>
    <row r="25706" spans="1:2" ht="12.75" customHeight="1" x14ac:dyDescent="0.25">
      <c r="A25706" s="318">
        <v>372794028285</v>
      </c>
      <c r="B25706" s="318" t="s">
        <v>23</v>
      </c>
    </row>
    <row r="25707" spans="1:2" ht="12.75" customHeight="1" x14ac:dyDescent="0.25">
      <c r="A25707" s="318">
        <v>372794028286</v>
      </c>
      <c r="B25707" s="318" t="s">
        <v>23</v>
      </c>
    </row>
    <row r="25708" spans="1:2" ht="12.75" customHeight="1" x14ac:dyDescent="0.25">
      <c r="A25708" s="318">
        <v>372794028287</v>
      </c>
      <c r="B25708" s="318" t="s">
        <v>23</v>
      </c>
    </row>
    <row r="25709" spans="1:2" ht="12.75" customHeight="1" x14ac:dyDescent="0.25">
      <c r="A25709" s="318">
        <v>372794028288</v>
      </c>
      <c r="B25709" s="318" t="s">
        <v>23</v>
      </c>
    </row>
    <row r="25710" spans="1:2" ht="12.75" customHeight="1" x14ac:dyDescent="0.25">
      <c r="A25710" s="318">
        <v>372794028289</v>
      </c>
      <c r="B25710" s="318" t="s">
        <v>23</v>
      </c>
    </row>
    <row r="25711" spans="1:2" ht="12.75" customHeight="1" x14ac:dyDescent="0.25">
      <c r="A25711" s="318">
        <v>372794028290</v>
      </c>
      <c r="B25711" s="318" t="s">
        <v>23</v>
      </c>
    </row>
    <row r="25712" spans="1:2" ht="12.75" customHeight="1" x14ac:dyDescent="0.25">
      <c r="A25712" s="318">
        <v>372794028291</v>
      </c>
      <c r="B25712" s="318" t="s">
        <v>237</v>
      </c>
    </row>
    <row r="25713" spans="1:2" ht="12.75" customHeight="1" x14ac:dyDescent="0.25">
      <c r="A25713" s="318">
        <v>372794028292</v>
      </c>
      <c r="B25713" s="318" t="s">
        <v>237</v>
      </c>
    </row>
    <row r="25714" spans="1:2" ht="12.75" customHeight="1" x14ac:dyDescent="0.25">
      <c r="A25714" s="318">
        <v>372794028294</v>
      </c>
      <c r="B25714" s="318" t="s">
        <v>23</v>
      </c>
    </row>
    <row r="25715" spans="1:2" ht="12.75" customHeight="1" x14ac:dyDescent="0.25">
      <c r="A25715" s="318">
        <v>372794028295</v>
      </c>
      <c r="B25715" s="318" t="s">
        <v>23</v>
      </c>
    </row>
    <row r="25716" spans="1:2" ht="12.75" customHeight="1" x14ac:dyDescent="0.25">
      <c r="A25716" s="318">
        <v>372794028296</v>
      </c>
      <c r="B25716" s="318" t="s">
        <v>23</v>
      </c>
    </row>
    <row r="25717" spans="1:2" ht="12.75" customHeight="1" x14ac:dyDescent="0.25">
      <c r="A25717" s="318">
        <v>372794028297</v>
      </c>
      <c r="B25717" s="318" t="s">
        <v>23</v>
      </c>
    </row>
    <row r="25718" spans="1:2" ht="12.75" customHeight="1" x14ac:dyDescent="0.25">
      <c r="A25718" s="318">
        <v>372794028298</v>
      </c>
      <c r="B25718" s="318" t="s">
        <v>23</v>
      </c>
    </row>
    <row r="25719" spans="1:2" ht="12.75" customHeight="1" x14ac:dyDescent="0.25">
      <c r="A25719" s="318">
        <v>372794028299</v>
      </c>
      <c r="B25719" s="318" t="s">
        <v>23</v>
      </c>
    </row>
    <row r="25720" spans="1:2" ht="12.75" customHeight="1" x14ac:dyDescent="0.25">
      <c r="A25720" s="318">
        <v>372794028300</v>
      </c>
      <c r="B25720" s="318" t="s">
        <v>237</v>
      </c>
    </row>
    <row r="25721" spans="1:2" ht="12.75" customHeight="1" x14ac:dyDescent="0.25">
      <c r="A25721" s="318">
        <v>372794028301</v>
      </c>
      <c r="B25721" s="318" t="s">
        <v>237</v>
      </c>
    </row>
    <row r="25722" spans="1:2" ht="12.75" customHeight="1" x14ac:dyDescent="0.25">
      <c r="A25722" s="318">
        <v>372794509258</v>
      </c>
      <c r="B25722" s="318" t="s">
        <v>23</v>
      </c>
    </row>
    <row r="25723" spans="1:2" ht="12.75" customHeight="1" x14ac:dyDescent="0.25">
      <c r="A25723" s="318">
        <v>372794509259</v>
      </c>
      <c r="B25723" s="318" t="s">
        <v>23</v>
      </c>
    </row>
    <row r="25724" spans="1:2" ht="12.75" customHeight="1" x14ac:dyDescent="0.25">
      <c r="A25724" s="318">
        <v>372794509260</v>
      </c>
      <c r="B25724" s="318" t="s">
        <v>23</v>
      </c>
    </row>
    <row r="25725" spans="1:2" ht="12.75" customHeight="1" x14ac:dyDescent="0.25">
      <c r="A25725" s="318">
        <v>372794509261</v>
      </c>
      <c r="B25725" s="318" t="s">
        <v>23</v>
      </c>
    </row>
    <row r="25726" spans="1:2" ht="12.75" customHeight="1" x14ac:dyDescent="0.25">
      <c r="A25726" s="318">
        <v>372794509262</v>
      </c>
      <c r="B25726" s="318" t="s">
        <v>23</v>
      </c>
    </row>
    <row r="25727" spans="1:2" ht="12.75" customHeight="1" x14ac:dyDescent="0.25">
      <c r="A25727" s="318">
        <v>372794509263</v>
      </c>
      <c r="B25727" s="318" t="s">
        <v>23</v>
      </c>
    </row>
    <row r="25728" spans="1:2" ht="12.75" customHeight="1" x14ac:dyDescent="0.25">
      <c r="A25728" s="318">
        <v>372794509264</v>
      </c>
      <c r="B25728" s="318" t="s">
        <v>237</v>
      </c>
    </row>
    <row r="25729" spans="1:2" ht="12.75" customHeight="1" x14ac:dyDescent="0.25">
      <c r="A25729" s="318">
        <v>372794509265</v>
      </c>
      <c r="B25729" s="318" t="s">
        <v>237</v>
      </c>
    </row>
    <row r="25730" spans="1:2" ht="12.75" customHeight="1" x14ac:dyDescent="0.25">
      <c r="A25730" s="318">
        <v>372794509267</v>
      </c>
      <c r="B25730" s="318" t="s">
        <v>23</v>
      </c>
    </row>
    <row r="25731" spans="1:2" ht="12.75" customHeight="1" x14ac:dyDescent="0.25">
      <c r="A25731" s="318">
        <v>372794509268</v>
      </c>
      <c r="B25731" s="318" t="s">
        <v>23</v>
      </c>
    </row>
    <row r="25732" spans="1:2" ht="12.75" customHeight="1" x14ac:dyDescent="0.25">
      <c r="A25732" s="318">
        <v>372794509269</v>
      </c>
      <c r="B25732" s="318" t="s">
        <v>23</v>
      </c>
    </row>
    <row r="25733" spans="1:2" ht="12.75" customHeight="1" x14ac:dyDescent="0.25">
      <c r="A25733" s="318">
        <v>372794509270</v>
      </c>
      <c r="B25733" s="318" t="s">
        <v>23</v>
      </c>
    </row>
    <row r="25734" spans="1:2" ht="12.75" customHeight="1" x14ac:dyDescent="0.25">
      <c r="A25734" s="318">
        <v>372794509271</v>
      </c>
      <c r="B25734" s="318" t="s">
        <v>23</v>
      </c>
    </row>
    <row r="25735" spans="1:2" ht="12.75" customHeight="1" x14ac:dyDescent="0.25">
      <c r="A25735" s="318">
        <v>372794509272</v>
      </c>
      <c r="B25735" s="318" t="s">
        <v>23</v>
      </c>
    </row>
    <row r="25736" spans="1:2" ht="12.75" customHeight="1" x14ac:dyDescent="0.25">
      <c r="A25736" s="318">
        <v>372794509273</v>
      </c>
      <c r="B25736" s="318" t="s">
        <v>237</v>
      </c>
    </row>
    <row r="25737" spans="1:2" ht="12.75" customHeight="1" x14ac:dyDescent="0.25">
      <c r="A25737" s="318">
        <v>372794509274</v>
      </c>
      <c r="B25737" s="318" t="s">
        <v>237</v>
      </c>
    </row>
    <row r="25738" spans="1:2" ht="12.75" customHeight="1" x14ac:dyDescent="0.25">
      <c r="A25738" s="318">
        <v>372795869639</v>
      </c>
      <c r="B25738" s="318" t="s">
        <v>23</v>
      </c>
    </row>
    <row r="25739" spans="1:2" ht="12.75" customHeight="1" x14ac:dyDescent="0.25">
      <c r="A25739" s="318">
        <v>372795869640</v>
      </c>
      <c r="B25739" s="318" t="s">
        <v>23</v>
      </c>
    </row>
    <row r="25740" spans="1:2" ht="12.75" customHeight="1" x14ac:dyDescent="0.25">
      <c r="A25740" s="318">
        <v>372795869641</v>
      </c>
      <c r="B25740" s="318" t="s">
        <v>23</v>
      </c>
    </row>
    <row r="25741" spans="1:2" ht="12.75" customHeight="1" x14ac:dyDescent="0.25">
      <c r="A25741" s="318">
        <v>372795869642</v>
      </c>
      <c r="B25741" s="318" t="s">
        <v>23</v>
      </c>
    </row>
    <row r="25742" spans="1:2" ht="12.75" customHeight="1" x14ac:dyDescent="0.25">
      <c r="A25742" s="318">
        <v>372795869643</v>
      </c>
      <c r="B25742" s="318" t="s">
        <v>23</v>
      </c>
    </row>
    <row r="25743" spans="1:2" ht="12.75" customHeight="1" x14ac:dyDescent="0.25">
      <c r="A25743" s="318">
        <v>372795869644</v>
      </c>
      <c r="B25743" s="318" t="s">
        <v>23</v>
      </c>
    </row>
    <row r="25744" spans="1:2" ht="12.75" customHeight="1" x14ac:dyDescent="0.25">
      <c r="A25744" s="318">
        <v>372795869645</v>
      </c>
      <c r="B25744" s="318" t="s">
        <v>237</v>
      </c>
    </row>
    <row r="25745" spans="1:2" ht="12.75" customHeight="1" x14ac:dyDescent="0.25">
      <c r="A25745" s="318">
        <v>372795869646</v>
      </c>
      <c r="B25745" s="318" t="s">
        <v>237</v>
      </c>
    </row>
    <row r="25746" spans="1:2" ht="12.75" customHeight="1" x14ac:dyDescent="0.25">
      <c r="A25746" s="318">
        <v>372795869648</v>
      </c>
      <c r="B25746" s="318" t="s">
        <v>237</v>
      </c>
    </row>
    <row r="25747" spans="1:2" ht="12.75" customHeight="1" x14ac:dyDescent="0.25">
      <c r="A25747" s="318">
        <v>372795869649</v>
      </c>
      <c r="B25747" s="318" t="s">
        <v>237</v>
      </c>
    </row>
    <row r="25748" spans="1:2" ht="12.75" customHeight="1" x14ac:dyDescent="0.25">
      <c r="A25748" s="318">
        <v>372795869650</v>
      </c>
      <c r="B25748" s="318" t="s">
        <v>237</v>
      </c>
    </row>
    <row r="25749" spans="1:2" ht="12.75" customHeight="1" x14ac:dyDescent="0.25">
      <c r="A25749" s="318">
        <v>372795869651</v>
      </c>
      <c r="B25749" s="318" t="s">
        <v>237</v>
      </c>
    </row>
    <row r="25750" spans="1:2" ht="12.75" customHeight="1" x14ac:dyDescent="0.25">
      <c r="A25750" s="318">
        <v>372795869652</v>
      </c>
      <c r="B25750" s="318" t="s">
        <v>237</v>
      </c>
    </row>
    <row r="25751" spans="1:2" ht="12.75" customHeight="1" x14ac:dyDescent="0.25">
      <c r="A25751" s="318">
        <v>372795869653</v>
      </c>
      <c r="B25751" s="318" t="s">
        <v>237</v>
      </c>
    </row>
    <row r="25752" spans="1:2" ht="12.75" customHeight="1" x14ac:dyDescent="0.25">
      <c r="A25752" s="318">
        <v>372795869654</v>
      </c>
      <c r="B25752" s="318" t="s">
        <v>237</v>
      </c>
    </row>
    <row r="25753" spans="1:2" ht="12.75" customHeight="1" x14ac:dyDescent="0.25">
      <c r="A25753" s="318">
        <v>372795869655</v>
      </c>
      <c r="B25753" s="318" t="s">
        <v>237</v>
      </c>
    </row>
    <row r="25754" spans="1:2" ht="12.75" customHeight="1" x14ac:dyDescent="0.25">
      <c r="A25754" s="318">
        <v>372796350612</v>
      </c>
      <c r="B25754" s="318" t="s">
        <v>23</v>
      </c>
    </row>
    <row r="25755" spans="1:2" ht="12.75" customHeight="1" x14ac:dyDescent="0.25">
      <c r="A25755" s="318">
        <v>372796350613</v>
      </c>
      <c r="B25755" s="318" t="s">
        <v>23</v>
      </c>
    </row>
    <row r="25756" spans="1:2" ht="12.75" customHeight="1" x14ac:dyDescent="0.25">
      <c r="A25756" s="318">
        <v>372796350614</v>
      </c>
      <c r="B25756" s="318" t="s">
        <v>23</v>
      </c>
    </row>
    <row r="25757" spans="1:2" ht="12.75" customHeight="1" x14ac:dyDescent="0.25">
      <c r="A25757" s="318">
        <v>372796350615</v>
      </c>
      <c r="B25757" s="318" t="s">
        <v>23</v>
      </c>
    </row>
    <row r="25758" spans="1:2" ht="12.75" customHeight="1" x14ac:dyDescent="0.25">
      <c r="A25758" s="318">
        <v>372796350616</v>
      </c>
      <c r="B25758" s="318" t="s">
        <v>23</v>
      </c>
    </row>
    <row r="25759" spans="1:2" ht="12.75" customHeight="1" x14ac:dyDescent="0.25">
      <c r="A25759" s="318">
        <v>372796350617</v>
      </c>
      <c r="B25759" s="318" t="s">
        <v>23</v>
      </c>
    </row>
    <row r="25760" spans="1:2" ht="12.75" customHeight="1" x14ac:dyDescent="0.25">
      <c r="A25760" s="318">
        <v>372796350618</v>
      </c>
      <c r="B25760" s="318" t="s">
        <v>237</v>
      </c>
    </row>
    <row r="25761" spans="1:2" ht="12.75" customHeight="1" x14ac:dyDescent="0.25">
      <c r="A25761" s="318">
        <v>372796350619</v>
      </c>
      <c r="B25761" s="318" t="s">
        <v>237</v>
      </c>
    </row>
    <row r="25762" spans="1:2" ht="12.75" customHeight="1" x14ac:dyDescent="0.25">
      <c r="A25762" s="318">
        <v>372796350621</v>
      </c>
      <c r="B25762" s="318" t="s">
        <v>237</v>
      </c>
    </row>
    <row r="25763" spans="1:2" ht="12.75" customHeight="1" x14ac:dyDescent="0.25">
      <c r="A25763" s="318">
        <v>372796350622</v>
      </c>
      <c r="B25763" s="318" t="s">
        <v>237</v>
      </c>
    </row>
    <row r="25764" spans="1:2" ht="12.75" customHeight="1" x14ac:dyDescent="0.25">
      <c r="A25764" s="318">
        <v>372796350623</v>
      </c>
      <c r="B25764" s="318" t="s">
        <v>237</v>
      </c>
    </row>
    <row r="25765" spans="1:2" ht="12.75" customHeight="1" x14ac:dyDescent="0.25">
      <c r="A25765" s="318">
        <v>372796350624</v>
      </c>
      <c r="B25765" s="318" t="s">
        <v>237</v>
      </c>
    </row>
    <row r="25766" spans="1:2" ht="12.75" customHeight="1" x14ac:dyDescent="0.25">
      <c r="A25766" s="318">
        <v>372796350625</v>
      </c>
      <c r="B25766" s="318" t="s">
        <v>237</v>
      </c>
    </row>
    <row r="25767" spans="1:2" ht="12.75" customHeight="1" x14ac:dyDescent="0.25">
      <c r="A25767" s="318">
        <v>372796350626</v>
      </c>
      <c r="B25767" s="318" t="s">
        <v>237</v>
      </c>
    </row>
    <row r="25768" spans="1:2" ht="12.75" customHeight="1" x14ac:dyDescent="0.25">
      <c r="A25768" s="318">
        <v>372796350627</v>
      </c>
      <c r="B25768" s="318" t="s">
        <v>237</v>
      </c>
    </row>
    <row r="25769" spans="1:2" ht="12.75" customHeight="1" x14ac:dyDescent="0.25">
      <c r="A25769" s="318">
        <v>372796350628</v>
      </c>
      <c r="B25769" s="318" t="s">
        <v>237</v>
      </c>
    </row>
    <row r="25770" spans="1:2" ht="12.75" customHeight="1" x14ac:dyDescent="0.25">
      <c r="A25770" s="318">
        <v>372796831585</v>
      </c>
      <c r="B25770" s="318" t="s">
        <v>23</v>
      </c>
    </row>
    <row r="25771" spans="1:2" ht="12.75" customHeight="1" x14ac:dyDescent="0.25">
      <c r="A25771" s="318">
        <v>372796831586</v>
      </c>
      <c r="B25771" s="318" t="s">
        <v>23</v>
      </c>
    </row>
    <row r="25772" spans="1:2" ht="12.75" customHeight="1" x14ac:dyDescent="0.25">
      <c r="A25772" s="318">
        <v>372796831587</v>
      </c>
      <c r="B25772" s="318" t="s">
        <v>23</v>
      </c>
    </row>
    <row r="25773" spans="1:2" ht="12.75" customHeight="1" x14ac:dyDescent="0.25">
      <c r="A25773" s="318">
        <v>372796831588</v>
      </c>
      <c r="B25773" s="318" t="s">
        <v>23</v>
      </c>
    </row>
    <row r="25774" spans="1:2" ht="12.75" customHeight="1" x14ac:dyDescent="0.25">
      <c r="A25774" s="318">
        <v>372796831589</v>
      </c>
      <c r="B25774" s="318" t="s">
        <v>23</v>
      </c>
    </row>
    <row r="25775" spans="1:2" ht="12.75" customHeight="1" x14ac:dyDescent="0.25">
      <c r="A25775" s="318">
        <v>372796831590</v>
      </c>
      <c r="B25775" s="318" t="s">
        <v>23</v>
      </c>
    </row>
    <row r="25776" spans="1:2" ht="12.75" customHeight="1" x14ac:dyDescent="0.25">
      <c r="A25776" s="318">
        <v>372796831591</v>
      </c>
      <c r="B25776" s="318" t="s">
        <v>237</v>
      </c>
    </row>
    <row r="25777" spans="1:2" ht="12.75" customHeight="1" x14ac:dyDescent="0.25">
      <c r="A25777" s="318">
        <v>372796831592</v>
      </c>
      <c r="B25777" s="318" t="s">
        <v>237</v>
      </c>
    </row>
    <row r="25778" spans="1:2" ht="12.75" customHeight="1" x14ac:dyDescent="0.25">
      <c r="A25778" s="318">
        <v>372796831594</v>
      </c>
      <c r="B25778" s="318" t="s">
        <v>23</v>
      </c>
    </row>
    <row r="25779" spans="1:2" ht="12.75" customHeight="1" x14ac:dyDescent="0.25">
      <c r="A25779" s="318">
        <v>372796831595</v>
      </c>
      <c r="B25779" s="318" t="s">
        <v>23</v>
      </c>
    </row>
    <row r="25780" spans="1:2" ht="12.75" customHeight="1" x14ac:dyDescent="0.25">
      <c r="A25780" s="318">
        <v>372796831596</v>
      </c>
      <c r="B25780" s="318" t="s">
        <v>23</v>
      </c>
    </row>
    <row r="25781" spans="1:2" ht="12.75" customHeight="1" x14ac:dyDescent="0.25">
      <c r="A25781" s="318">
        <v>372796831597</v>
      </c>
      <c r="B25781" s="318" t="s">
        <v>23</v>
      </c>
    </row>
    <row r="25782" spans="1:2" ht="12.75" customHeight="1" x14ac:dyDescent="0.25">
      <c r="A25782" s="318">
        <v>372796831598</v>
      </c>
      <c r="B25782" s="318" t="s">
        <v>23</v>
      </c>
    </row>
    <row r="25783" spans="1:2" ht="12.75" customHeight="1" x14ac:dyDescent="0.25">
      <c r="A25783" s="318">
        <v>372796831599</v>
      </c>
      <c r="B25783" s="318" t="s">
        <v>23</v>
      </c>
    </row>
    <row r="25784" spans="1:2" ht="12.75" customHeight="1" x14ac:dyDescent="0.25">
      <c r="A25784" s="318">
        <v>372796831600</v>
      </c>
      <c r="B25784" s="318" t="s">
        <v>237</v>
      </c>
    </row>
    <row r="25785" spans="1:2" ht="12.75" customHeight="1" x14ac:dyDescent="0.25">
      <c r="A25785" s="318">
        <v>372796831601</v>
      </c>
      <c r="B25785" s="318" t="s">
        <v>237</v>
      </c>
    </row>
    <row r="25786" spans="1:2" ht="12.75" customHeight="1" x14ac:dyDescent="0.25">
      <c r="A25786" s="318">
        <v>372797511776</v>
      </c>
      <c r="B25786" s="318" t="s">
        <v>23</v>
      </c>
    </row>
    <row r="25787" spans="1:2" ht="12.75" customHeight="1" x14ac:dyDescent="0.25">
      <c r="A25787" s="318">
        <v>372797511777</v>
      </c>
      <c r="B25787" s="318" t="s">
        <v>23</v>
      </c>
    </row>
    <row r="25788" spans="1:2" ht="12.75" customHeight="1" x14ac:dyDescent="0.25">
      <c r="A25788" s="318">
        <v>372797511778</v>
      </c>
      <c r="B25788" s="318" t="s">
        <v>23</v>
      </c>
    </row>
    <row r="25789" spans="1:2" ht="12.75" customHeight="1" x14ac:dyDescent="0.25">
      <c r="A25789" s="318">
        <v>372797511779</v>
      </c>
      <c r="B25789" s="318" t="s">
        <v>23</v>
      </c>
    </row>
    <row r="25790" spans="1:2" ht="12.75" customHeight="1" x14ac:dyDescent="0.25">
      <c r="A25790" s="318">
        <v>372797511780</v>
      </c>
      <c r="B25790" s="318" t="s">
        <v>23</v>
      </c>
    </row>
    <row r="25791" spans="1:2" ht="12.75" customHeight="1" x14ac:dyDescent="0.25">
      <c r="A25791" s="318">
        <v>372797511781</v>
      </c>
      <c r="B25791" s="318" t="s">
        <v>23</v>
      </c>
    </row>
    <row r="25792" spans="1:2" ht="12.75" customHeight="1" x14ac:dyDescent="0.25">
      <c r="A25792" s="318">
        <v>372797511782</v>
      </c>
      <c r="B25792" s="318" t="s">
        <v>237</v>
      </c>
    </row>
    <row r="25793" spans="1:2" ht="12.75" customHeight="1" x14ac:dyDescent="0.25">
      <c r="A25793" s="318">
        <v>372797511783</v>
      </c>
      <c r="B25793" s="318" t="s">
        <v>237</v>
      </c>
    </row>
    <row r="25794" spans="1:2" ht="12.75" customHeight="1" x14ac:dyDescent="0.25">
      <c r="A25794" s="318">
        <v>372797511785</v>
      </c>
      <c r="B25794" s="318" t="s">
        <v>237</v>
      </c>
    </row>
    <row r="25795" spans="1:2" ht="12.75" customHeight="1" x14ac:dyDescent="0.25">
      <c r="A25795" s="318">
        <v>372797511786</v>
      </c>
      <c r="B25795" s="318" t="s">
        <v>237</v>
      </c>
    </row>
    <row r="25796" spans="1:2" ht="12.75" customHeight="1" x14ac:dyDescent="0.25">
      <c r="A25796" s="318">
        <v>372797511787</v>
      </c>
      <c r="B25796" s="318" t="s">
        <v>237</v>
      </c>
    </row>
    <row r="25797" spans="1:2" ht="12.75" customHeight="1" x14ac:dyDescent="0.25">
      <c r="A25797" s="318">
        <v>372797511788</v>
      </c>
      <c r="B25797" s="318" t="s">
        <v>237</v>
      </c>
    </row>
    <row r="25798" spans="1:2" ht="12.75" customHeight="1" x14ac:dyDescent="0.25">
      <c r="A25798" s="318">
        <v>372797511789</v>
      </c>
      <c r="B25798" s="318" t="s">
        <v>237</v>
      </c>
    </row>
    <row r="25799" spans="1:2" ht="12.75" customHeight="1" x14ac:dyDescent="0.25">
      <c r="A25799" s="318">
        <v>372797511790</v>
      </c>
      <c r="B25799" s="318" t="s">
        <v>237</v>
      </c>
    </row>
    <row r="25800" spans="1:2" ht="12.75" customHeight="1" x14ac:dyDescent="0.25">
      <c r="A25800" s="318">
        <v>372797511791</v>
      </c>
      <c r="B25800" s="318" t="s">
        <v>237</v>
      </c>
    </row>
    <row r="25801" spans="1:2" ht="12.75" customHeight="1" x14ac:dyDescent="0.25">
      <c r="A25801" s="318">
        <v>372797511792</v>
      </c>
      <c r="B25801" s="318" t="s">
        <v>237</v>
      </c>
    </row>
    <row r="25802" spans="1:2" ht="12.75" customHeight="1" x14ac:dyDescent="0.25">
      <c r="A25802" s="318">
        <v>372797992749</v>
      </c>
      <c r="B25802" s="318" t="s">
        <v>23</v>
      </c>
    </row>
    <row r="25803" spans="1:2" ht="12.75" customHeight="1" x14ac:dyDescent="0.25">
      <c r="A25803" s="318">
        <v>372797992750</v>
      </c>
      <c r="B25803" s="318" t="s">
        <v>23</v>
      </c>
    </row>
    <row r="25804" spans="1:2" ht="12.75" customHeight="1" x14ac:dyDescent="0.25">
      <c r="A25804" s="318">
        <v>372797992751</v>
      </c>
      <c r="B25804" s="318" t="s">
        <v>23</v>
      </c>
    </row>
    <row r="25805" spans="1:2" ht="12.75" customHeight="1" x14ac:dyDescent="0.25">
      <c r="A25805" s="318">
        <v>372797992752</v>
      </c>
      <c r="B25805" s="318" t="s">
        <v>23</v>
      </c>
    </row>
    <row r="25806" spans="1:2" ht="12.75" customHeight="1" x14ac:dyDescent="0.25">
      <c r="A25806" s="318">
        <v>372797992753</v>
      </c>
      <c r="B25806" s="318" t="s">
        <v>23</v>
      </c>
    </row>
    <row r="25807" spans="1:2" ht="12.75" customHeight="1" x14ac:dyDescent="0.25">
      <c r="A25807" s="318">
        <v>372797992754</v>
      </c>
      <c r="B25807" s="318" t="s">
        <v>23</v>
      </c>
    </row>
    <row r="25808" spans="1:2" ht="12.75" customHeight="1" x14ac:dyDescent="0.25">
      <c r="A25808" s="318">
        <v>372797992755</v>
      </c>
      <c r="B25808" s="318" t="s">
        <v>237</v>
      </c>
    </row>
    <row r="25809" spans="1:2" ht="12.75" customHeight="1" x14ac:dyDescent="0.25">
      <c r="A25809" s="318">
        <v>372797992756</v>
      </c>
      <c r="B25809" s="318" t="s">
        <v>237</v>
      </c>
    </row>
    <row r="25810" spans="1:2" ht="12.75" customHeight="1" x14ac:dyDescent="0.25">
      <c r="A25810" s="318">
        <v>372797992758</v>
      </c>
      <c r="B25810" s="318" t="s">
        <v>237</v>
      </c>
    </row>
    <row r="25811" spans="1:2" ht="12.75" customHeight="1" x14ac:dyDescent="0.25">
      <c r="A25811" s="318">
        <v>372797992759</v>
      </c>
      <c r="B25811" s="318" t="s">
        <v>237</v>
      </c>
    </row>
    <row r="25812" spans="1:2" ht="12.75" customHeight="1" x14ac:dyDescent="0.25">
      <c r="A25812" s="318">
        <v>372797992760</v>
      </c>
      <c r="B25812" s="318" t="s">
        <v>237</v>
      </c>
    </row>
    <row r="25813" spans="1:2" ht="12.75" customHeight="1" x14ac:dyDescent="0.25">
      <c r="A25813" s="318">
        <v>372797992761</v>
      </c>
      <c r="B25813" s="318" t="s">
        <v>237</v>
      </c>
    </row>
    <row r="25814" spans="1:2" ht="12.75" customHeight="1" x14ac:dyDescent="0.25">
      <c r="A25814" s="318">
        <v>372797992762</v>
      </c>
      <c r="B25814" s="318" t="s">
        <v>237</v>
      </c>
    </row>
    <row r="25815" spans="1:2" ht="12.75" customHeight="1" x14ac:dyDescent="0.25">
      <c r="A25815" s="318">
        <v>372797992763</v>
      </c>
      <c r="B25815" s="318" t="s">
        <v>237</v>
      </c>
    </row>
    <row r="25816" spans="1:2" ht="12.75" customHeight="1" x14ac:dyDescent="0.25">
      <c r="A25816" s="318">
        <v>372797992764</v>
      </c>
      <c r="B25816" s="318" t="s">
        <v>237</v>
      </c>
    </row>
    <row r="25817" spans="1:2" ht="12.75" customHeight="1" x14ac:dyDescent="0.25">
      <c r="A25817" s="318">
        <v>372797992765</v>
      </c>
      <c r="B25817" s="318" t="s">
        <v>237</v>
      </c>
    </row>
    <row r="25818" spans="1:2" ht="12.75" customHeight="1" x14ac:dyDescent="0.25">
      <c r="A25818" s="318">
        <v>372798473722</v>
      </c>
      <c r="B25818" s="318" t="s">
        <v>23</v>
      </c>
    </row>
    <row r="25819" spans="1:2" ht="12.75" customHeight="1" x14ac:dyDescent="0.25">
      <c r="A25819" s="318">
        <v>372798473723</v>
      </c>
      <c r="B25819" s="318" t="s">
        <v>23</v>
      </c>
    </row>
    <row r="25820" spans="1:2" ht="12.75" customHeight="1" x14ac:dyDescent="0.25">
      <c r="A25820" s="318">
        <v>372798473724</v>
      </c>
      <c r="B25820" s="318" t="s">
        <v>23</v>
      </c>
    </row>
    <row r="25821" spans="1:2" ht="12.75" customHeight="1" x14ac:dyDescent="0.25">
      <c r="A25821" s="318">
        <v>372798473725</v>
      </c>
      <c r="B25821" s="318" t="s">
        <v>23</v>
      </c>
    </row>
    <row r="25822" spans="1:2" ht="12.75" customHeight="1" x14ac:dyDescent="0.25">
      <c r="A25822" s="318">
        <v>372798473726</v>
      </c>
      <c r="B25822" s="318" t="s">
        <v>23</v>
      </c>
    </row>
    <row r="25823" spans="1:2" ht="12.75" customHeight="1" x14ac:dyDescent="0.25">
      <c r="A25823" s="318">
        <v>372798473727</v>
      </c>
      <c r="B25823" s="318" t="s">
        <v>23</v>
      </c>
    </row>
    <row r="25824" spans="1:2" ht="12.75" customHeight="1" x14ac:dyDescent="0.25">
      <c r="A25824" s="318">
        <v>372798473728</v>
      </c>
      <c r="B25824" s="318" t="s">
        <v>237</v>
      </c>
    </row>
    <row r="25825" spans="1:2" ht="12.75" customHeight="1" x14ac:dyDescent="0.25">
      <c r="A25825" s="318">
        <v>372798473729</v>
      </c>
      <c r="B25825" s="318" t="s">
        <v>237</v>
      </c>
    </row>
    <row r="25826" spans="1:2" ht="12.75" customHeight="1" x14ac:dyDescent="0.25">
      <c r="A25826" s="318">
        <v>372798473731</v>
      </c>
      <c r="B25826" s="318" t="s">
        <v>23</v>
      </c>
    </row>
    <row r="25827" spans="1:2" ht="12.75" customHeight="1" x14ac:dyDescent="0.25">
      <c r="A25827" s="318">
        <v>372798473732</v>
      </c>
      <c r="B25827" s="318" t="s">
        <v>23</v>
      </c>
    </row>
    <row r="25828" spans="1:2" ht="12.75" customHeight="1" x14ac:dyDescent="0.25">
      <c r="A25828" s="318">
        <v>372798473733</v>
      </c>
      <c r="B25828" s="318" t="s">
        <v>23</v>
      </c>
    </row>
    <row r="25829" spans="1:2" ht="12.75" customHeight="1" x14ac:dyDescent="0.25">
      <c r="A25829" s="318">
        <v>372798473734</v>
      </c>
      <c r="B25829" s="318" t="s">
        <v>23</v>
      </c>
    </row>
    <row r="25830" spans="1:2" ht="12.75" customHeight="1" x14ac:dyDescent="0.25">
      <c r="A25830" s="318">
        <v>372798473735</v>
      </c>
      <c r="B25830" s="318" t="s">
        <v>23</v>
      </c>
    </row>
    <row r="25831" spans="1:2" ht="12.75" customHeight="1" x14ac:dyDescent="0.25">
      <c r="A25831" s="318">
        <v>372798473736</v>
      </c>
      <c r="B25831" s="318" t="s">
        <v>23</v>
      </c>
    </row>
    <row r="25832" spans="1:2" ht="12.75" customHeight="1" x14ac:dyDescent="0.25">
      <c r="A25832" s="318">
        <v>372798473737</v>
      </c>
      <c r="B25832" s="318" t="s">
        <v>237</v>
      </c>
    </row>
    <row r="25833" spans="1:2" ht="12.75" customHeight="1" x14ac:dyDescent="0.25">
      <c r="A25833" s="318">
        <v>372798473738</v>
      </c>
      <c r="B25833" s="318" t="s">
        <v>237</v>
      </c>
    </row>
    <row r="25834" spans="1:2" ht="12.75" customHeight="1" x14ac:dyDescent="0.25">
      <c r="A25834" s="318">
        <v>372799153913</v>
      </c>
      <c r="B25834" s="318" t="s">
        <v>23</v>
      </c>
    </row>
    <row r="25835" spans="1:2" ht="12.75" customHeight="1" x14ac:dyDescent="0.25">
      <c r="A25835" s="318">
        <v>372799153914</v>
      </c>
      <c r="B25835" s="318" t="s">
        <v>23</v>
      </c>
    </row>
    <row r="25836" spans="1:2" ht="12.75" customHeight="1" x14ac:dyDescent="0.25">
      <c r="A25836" s="318">
        <v>372799153915</v>
      </c>
      <c r="B25836" s="318" t="s">
        <v>23</v>
      </c>
    </row>
    <row r="25837" spans="1:2" ht="12.75" customHeight="1" x14ac:dyDescent="0.25">
      <c r="A25837" s="318">
        <v>372799153916</v>
      </c>
      <c r="B25837" s="318" t="s">
        <v>23</v>
      </c>
    </row>
    <row r="25838" spans="1:2" ht="12.75" customHeight="1" x14ac:dyDescent="0.25">
      <c r="A25838" s="318">
        <v>372799153917</v>
      </c>
      <c r="B25838" s="318" t="s">
        <v>23</v>
      </c>
    </row>
    <row r="25839" spans="1:2" ht="12.75" customHeight="1" x14ac:dyDescent="0.25">
      <c r="A25839" s="318">
        <v>372799153918</v>
      </c>
      <c r="B25839" s="318" t="s">
        <v>23</v>
      </c>
    </row>
    <row r="25840" spans="1:2" ht="12.75" customHeight="1" x14ac:dyDescent="0.25">
      <c r="A25840" s="318">
        <v>372799153919</v>
      </c>
      <c r="B25840" s="318" t="s">
        <v>237</v>
      </c>
    </row>
    <row r="25841" spans="1:2" ht="12.75" customHeight="1" x14ac:dyDescent="0.25">
      <c r="A25841" s="318">
        <v>372799153920</v>
      </c>
      <c r="B25841" s="318" t="s">
        <v>237</v>
      </c>
    </row>
    <row r="25842" spans="1:2" ht="12.75" customHeight="1" x14ac:dyDescent="0.25">
      <c r="A25842" s="318">
        <v>372799153922</v>
      </c>
      <c r="B25842" s="318" t="s">
        <v>23</v>
      </c>
    </row>
    <row r="25843" spans="1:2" ht="12.75" customHeight="1" x14ac:dyDescent="0.25">
      <c r="A25843" s="318">
        <v>372799153923</v>
      </c>
      <c r="B25843" s="318" t="s">
        <v>23</v>
      </c>
    </row>
    <row r="25844" spans="1:2" ht="12.75" customHeight="1" x14ac:dyDescent="0.25">
      <c r="A25844" s="318">
        <v>372799153924</v>
      </c>
      <c r="B25844" s="318" t="s">
        <v>23</v>
      </c>
    </row>
    <row r="25845" spans="1:2" ht="12.75" customHeight="1" x14ac:dyDescent="0.25">
      <c r="A25845" s="318">
        <v>372799153925</v>
      </c>
      <c r="B25845" s="318" t="s">
        <v>23</v>
      </c>
    </row>
    <row r="25846" spans="1:2" ht="12.75" customHeight="1" x14ac:dyDescent="0.25">
      <c r="A25846" s="318">
        <v>372799153926</v>
      </c>
      <c r="B25846" s="318" t="s">
        <v>23</v>
      </c>
    </row>
    <row r="25847" spans="1:2" ht="12.75" customHeight="1" x14ac:dyDescent="0.25">
      <c r="A25847" s="318">
        <v>372799153927</v>
      </c>
      <c r="B25847" s="318" t="s">
        <v>23</v>
      </c>
    </row>
    <row r="25848" spans="1:2" ht="12.75" customHeight="1" x14ac:dyDescent="0.25">
      <c r="A25848" s="318">
        <v>372799153928</v>
      </c>
      <c r="B25848" s="318" t="s">
        <v>237</v>
      </c>
    </row>
    <row r="25849" spans="1:2" ht="12.75" customHeight="1" x14ac:dyDescent="0.25">
      <c r="A25849" s="318">
        <v>372799153929</v>
      </c>
      <c r="B25849" s="318" t="s">
        <v>237</v>
      </c>
    </row>
    <row r="25850" spans="1:2" ht="12.75" customHeight="1" x14ac:dyDescent="0.25">
      <c r="A25850" s="318">
        <v>372799634886</v>
      </c>
      <c r="B25850" s="318" t="s">
        <v>23</v>
      </c>
    </row>
    <row r="25851" spans="1:2" ht="12.75" customHeight="1" x14ac:dyDescent="0.25">
      <c r="A25851" s="318">
        <v>372799634887</v>
      </c>
      <c r="B25851" s="318" t="s">
        <v>23</v>
      </c>
    </row>
    <row r="25852" spans="1:2" ht="12.75" customHeight="1" x14ac:dyDescent="0.25">
      <c r="A25852" s="318">
        <v>372799634888</v>
      </c>
      <c r="B25852" s="318" t="s">
        <v>23</v>
      </c>
    </row>
    <row r="25853" spans="1:2" ht="12.75" customHeight="1" x14ac:dyDescent="0.25">
      <c r="A25853" s="318">
        <v>372799634889</v>
      </c>
      <c r="B25853" s="318" t="s">
        <v>23</v>
      </c>
    </row>
    <row r="25854" spans="1:2" ht="12.75" customHeight="1" x14ac:dyDescent="0.25">
      <c r="A25854" s="318">
        <v>372799634890</v>
      </c>
      <c r="B25854" s="318" t="s">
        <v>23</v>
      </c>
    </row>
    <row r="25855" spans="1:2" ht="12.75" customHeight="1" x14ac:dyDescent="0.25">
      <c r="A25855" s="318">
        <v>372799634891</v>
      </c>
      <c r="B25855" s="318" t="s">
        <v>23</v>
      </c>
    </row>
    <row r="25856" spans="1:2" ht="12.75" customHeight="1" x14ac:dyDescent="0.25">
      <c r="A25856" s="318">
        <v>372799634892</v>
      </c>
      <c r="B25856" s="318" t="s">
        <v>237</v>
      </c>
    </row>
    <row r="25857" spans="1:2" ht="12.75" customHeight="1" x14ac:dyDescent="0.25">
      <c r="A25857" s="318">
        <v>372799634893</v>
      </c>
      <c r="B25857" s="318" t="s">
        <v>237</v>
      </c>
    </row>
    <row r="25858" spans="1:2" ht="12.75" customHeight="1" x14ac:dyDescent="0.25">
      <c r="A25858" s="318">
        <v>372799634895</v>
      </c>
      <c r="B25858" s="318" t="s">
        <v>23</v>
      </c>
    </row>
    <row r="25859" spans="1:2" ht="12.75" customHeight="1" x14ac:dyDescent="0.25">
      <c r="A25859" s="318">
        <v>372799634896</v>
      </c>
      <c r="B25859" s="318" t="s">
        <v>23</v>
      </c>
    </row>
    <row r="25860" spans="1:2" ht="12.75" customHeight="1" x14ac:dyDescent="0.25">
      <c r="A25860" s="318">
        <v>372799634897</v>
      </c>
      <c r="B25860" s="318" t="s">
        <v>23</v>
      </c>
    </row>
    <row r="25861" spans="1:2" ht="12.75" customHeight="1" x14ac:dyDescent="0.25">
      <c r="A25861" s="318">
        <v>372799634898</v>
      </c>
      <c r="B25861" s="318" t="s">
        <v>23</v>
      </c>
    </row>
    <row r="25862" spans="1:2" ht="12.75" customHeight="1" x14ac:dyDescent="0.25">
      <c r="A25862" s="318">
        <v>372799634899</v>
      </c>
      <c r="B25862" s="318" t="s">
        <v>23</v>
      </c>
    </row>
    <row r="25863" spans="1:2" ht="12.75" customHeight="1" x14ac:dyDescent="0.25">
      <c r="A25863" s="318">
        <v>372799634900</v>
      </c>
      <c r="B25863" s="318" t="s">
        <v>23</v>
      </c>
    </row>
    <row r="25864" spans="1:2" ht="12.75" customHeight="1" x14ac:dyDescent="0.25">
      <c r="A25864" s="318">
        <v>372799634901</v>
      </c>
      <c r="B25864" s="318" t="s">
        <v>237</v>
      </c>
    </row>
    <row r="25865" spans="1:2" ht="12.75" customHeight="1" x14ac:dyDescent="0.25">
      <c r="A25865" s="318">
        <v>372799634902</v>
      </c>
      <c r="B25865" s="318" t="s">
        <v>237</v>
      </c>
    </row>
    <row r="25866" spans="1:2" ht="12.75" customHeight="1" x14ac:dyDescent="0.25">
      <c r="A25866" s="318">
        <v>372800115859</v>
      </c>
      <c r="B25866" s="318" t="s">
        <v>23</v>
      </c>
    </row>
    <row r="25867" spans="1:2" ht="12.75" customHeight="1" x14ac:dyDescent="0.25">
      <c r="A25867" s="318">
        <v>372800115860</v>
      </c>
      <c r="B25867" s="318" t="s">
        <v>23</v>
      </c>
    </row>
    <row r="25868" spans="1:2" ht="12.75" customHeight="1" x14ac:dyDescent="0.25">
      <c r="A25868" s="318">
        <v>372800115861</v>
      </c>
      <c r="B25868" s="318" t="s">
        <v>23</v>
      </c>
    </row>
    <row r="25869" spans="1:2" ht="12.75" customHeight="1" x14ac:dyDescent="0.25">
      <c r="A25869" s="318">
        <v>372800115862</v>
      </c>
      <c r="B25869" s="318" t="s">
        <v>23</v>
      </c>
    </row>
    <row r="25870" spans="1:2" ht="12.75" customHeight="1" x14ac:dyDescent="0.25">
      <c r="A25870" s="318">
        <v>372800115863</v>
      </c>
      <c r="B25870" s="318" t="s">
        <v>23</v>
      </c>
    </row>
    <row r="25871" spans="1:2" ht="12.75" customHeight="1" x14ac:dyDescent="0.25">
      <c r="A25871" s="318">
        <v>372800115864</v>
      </c>
      <c r="B25871" s="318" t="s">
        <v>23</v>
      </c>
    </row>
    <row r="25872" spans="1:2" ht="12.75" customHeight="1" x14ac:dyDescent="0.25">
      <c r="A25872" s="318">
        <v>372800115865</v>
      </c>
      <c r="B25872" s="318" t="s">
        <v>237</v>
      </c>
    </row>
    <row r="25873" spans="1:2" ht="12.75" customHeight="1" x14ac:dyDescent="0.25">
      <c r="A25873" s="318">
        <v>372800115866</v>
      </c>
      <c r="B25873" s="318" t="s">
        <v>237</v>
      </c>
    </row>
    <row r="25874" spans="1:2" ht="12.75" customHeight="1" x14ac:dyDescent="0.25">
      <c r="A25874" s="318">
        <v>372800115868</v>
      </c>
      <c r="B25874" s="318" t="s">
        <v>23</v>
      </c>
    </row>
    <row r="25875" spans="1:2" ht="12.75" customHeight="1" x14ac:dyDescent="0.25">
      <c r="A25875" s="318">
        <v>372800115869</v>
      </c>
      <c r="B25875" s="318" t="s">
        <v>23</v>
      </c>
    </row>
    <row r="25876" spans="1:2" ht="12.75" customHeight="1" x14ac:dyDescent="0.25">
      <c r="A25876" s="318">
        <v>372800115870</v>
      </c>
      <c r="B25876" s="318" t="s">
        <v>23</v>
      </c>
    </row>
    <row r="25877" spans="1:2" ht="12.75" customHeight="1" x14ac:dyDescent="0.25">
      <c r="A25877" s="318">
        <v>372800115871</v>
      </c>
      <c r="B25877" s="318" t="s">
        <v>23</v>
      </c>
    </row>
    <row r="25878" spans="1:2" ht="12.75" customHeight="1" x14ac:dyDescent="0.25">
      <c r="A25878" s="318">
        <v>372800115872</v>
      </c>
      <c r="B25878" s="318" t="s">
        <v>23</v>
      </c>
    </row>
    <row r="25879" spans="1:2" ht="12.75" customHeight="1" x14ac:dyDescent="0.25">
      <c r="A25879" s="318">
        <v>372800115873</v>
      </c>
      <c r="B25879" s="318" t="s">
        <v>23</v>
      </c>
    </row>
    <row r="25880" spans="1:2" ht="12.75" customHeight="1" x14ac:dyDescent="0.25">
      <c r="A25880" s="318">
        <v>372800115874</v>
      </c>
      <c r="B25880" s="318" t="s">
        <v>237</v>
      </c>
    </row>
    <row r="25881" spans="1:2" ht="12.75" customHeight="1" x14ac:dyDescent="0.25">
      <c r="A25881" s="318">
        <v>372800115875</v>
      </c>
      <c r="B25881" s="318" t="s">
        <v>237</v>
      </c>
    </row>
    <row r="25882" spans="1:2" ht="12.75" customHeight="1" x14ac:dyDescent="0.25">
      <c r="A25882" s="318">
        <v>372801476240</v>
      </c>
      <c r="B25882" s="318" t="s">
        <v>23</v>
      </c>
    </row>
    <row r="25883" spans="1:2" ht="12.75" customHeight="1" x14ac:dyDescent="0.25">
      <c r="A25883" s="318">
        <v>372801476241</v>
      </c>
      <c r="B25883" s="318" t="s">
        <v>23</v>
      </c>
    </row>
    <row r="25884" spans="1:2" ht="12.75" customHeight="1" x14ac:dyDescent="0.25">
      <c r="A25884" s="318">
        <v>372801476242</v>
      </c>
      <c r="B25884" s="318" t="s">
        <v>23</v>
      </c>
    </row>
    <row r="25885" spans="1:2" ht="12.75" customHeight="1" x14ac:dyDescent="0.25">
      <c r="A25885" s="318">
        <v>372801476243</v>
      </c>
      <c r="B25885" s="318" t="s">
        <v>23</v>
      </c>
    </row>
    <row r="25886" spans="1:2" ht="12.75" customHeight="1" x14ac:dyDescent="0.25">
      <c r="A25886" s="318">
        <v>372801476244</v>
      </c>
      <c r="B25886" s="318" t="s">
        <v>23</v>
      </c>
    </row>
    <row r="25887" spans="1:2" ht="12.75" customHeight="1" x14ac:dyDescent="0.25">
      <c r="A25887" s="318">
        <v>372801476245</v>
      </c>
      <c r="B25887" s="318" t="s">
        <v>23</v>
      </c>
    </row>
    <row r="25888" spans="1:2" ht="12.75" customHeight="1" x14ac:dyDescent="0.25">
      <c r="A25888" s="318">
        <v>372801476246</v>
      </c>
      <c r="B25888" s="318" t="s">
        <v>237</v>
      </c>
    </row>
    <row r="25889" spans="1:2" ht="12.75" customHeight="1" x14ac:dyDescent="0.25">
      <c r="A25889" s="318">
        <v>372801476247</v>
      </c>
      <c r="B25889" s="318" t="s">
        <v>237</v>
      </c>
    </row>
    <row r="25890" spans="1:2" ht="12.75" customHeight="1" x14ac:dyDescent="0.25">
      <c r="A25890" s="318">
        <v>372801476249</v>
      </c>
      <c r="B25890" s="318" t="s">
        <v>23</v>
      </c>
    </row>
    <row r="25891" spans="1:2" ht="12.75" customHeight="1" x14ac:dyDescent="0.25">
      <c r="A25891" s="318">
        <v>372801476250</v>
      </c>
      <c r="B25891" s="318" t="s">
        <v>23</v>
      </c>
    </row>
    <row r="25892" spans="1:2" ht="12.75" customHeight="1" x14ac:dyDescent="0.25">
      <c r="A25892" s="318">
        <v>372801476251</v>
      </c>
      <c r="B25892" s="318" t="s">
        <v>23</v>
      </c>
    </row>
    <row r="25893" spans="1:2" ht="12.75" customHeight="1" x14ac:dyDescent="0.25">
      <c r="A25893" s="318">
        <v>372801476252</v>
      </c>
      <c r="B25893" s="318" t="s">
        <v>23</v>
      </c>
    </row>
    <row r="25894" spans="1:2" ht="12.75" customHeight="1" x14ac:dyDescent="0.25">
      <c r="A25894" s="318">
        <v>372801476253</v>
      </c>
      <c r="B25894" s="318" t="s">
        <v>23</v>
      </c>
    </row>
    <row r="25895" spans="1:2" ht="12.75" customHeight="1" x14ac:dyDescent="0.25">
      <c r="A25895" s="318">
        <v>372801476254</v>
      </c>
      <c r="B25895" s="318" t="s">
        <v>23</v>
      </c>
    </row>
    <row r="25896" spans="1:2" ht="12.75" customHeight="1" x14ac:dyDescent="0.25">
      <c r="A25896" s="318">
        <v>372801476255</v>
      </c>
      <c r="B25896" s="318" t="s">
        <v>237</v>
      </c>
    </row>
    <row r="25897" spans="1:2" ht="12.75" customHeight="1" x14ac:dyDescent="0.25">
      <c r="A25897" s="318">
        <v>372801476256</v>
      </c>
      <c r="B25897" s="318" t="s">
        <v>237</v>
      </c>
    </row>
    <row r="25898" spans="1:2" ht="12.75" customHeight="1" x14ac:dyDescent="0.25">
      <c r="A25898" s="318">
        <v>372801957213</v>
      </c>
      <c r="B25898" s="318" t="s">
        <v>23</v>
      </c>
    </row>
    <row r="25899" spans="1:2" ht="12.75" customHeight="1" x14ac:dyDescent="0.25">
      <c r="A25899" s="318">
        <v>372801957214</v>
      </c>
      <c r="B25899" s="318" t="s">
        <v>23</v>
      </c>
    </row>
    <row r="25900" spans="1:2" ht="12.75" customHeight="1" x14ac:dyDescent="0.25">
      <c r="A25900" s="318">
        <v>372801957215</v>
      </c>
      <c r="B25900" s="318" t="s">
        <v>23</v>
      </c>
    </row>
    <row r="25901" spans="1:2" ht="12.75" customHeight="1" x14ac:dyDescent="0.25">
      <c r="A25901" s="318">
        <v>372801957216</v>
      </c>
      <c r="B25901" s="318" t="s">
        <v>23</v>
      </c>
    </row>
    <row r="25902" spans="1:2" ht="12.75" customHeight="1" x14ac:dyDescent="0.25">
      <c r="A25902" s="318">
        <v>372801957217</v>
      </c>
      <c r="B25902" s="318" t="s">
        <v>23</v>
      </c>
    </row>
    <row r="25903" spans="1:2" ht="12.75" customHeight="1" x14ac:dyDescent="0.25">
      <c r="A25903" s="318">
        <v>372801957218</v>
      </c>
      <c r="B25903" s="318" t="s">
        <v>23</v>
      </c>
    </row>
    <row r="25904" spans="1:2" ht="12.75" customHeight="1" x14ac:dyDescent="0.25">
      <c r="A25904" s="318">
        <v>372801957219</v>
      </c>
      <c r="B25904" s="318" t="s">
        <v>237</v>
      </c>
    </row>
    <row r="25905" spans="1:2" ht="12.75" customHeight="1" x14ac:dyDescent="0.25">
      <c r="A25905" s="318">
        <v>372801957220</v>
      </c>
      <c r="B25905" s="318" t="s">
        <v>237</v>
      </c>
    </row>
    <row r="25906" spans="1:2" ht="12.75" customHeight="1" x14ac:dyDescent="0.25">
      <c r="A25906" s="318">
        <v>372801957222</v>
      </c>
      <c r="B25906" s="318" t="s">
        <v>23</v>
      </c>
    </row>
    <row r="25907" spans="1:2" ht="12.75" customHeight="1" x14ac:dyDescent="0.25">
      <c r="A25907" s="318">
        <v>372801957223</v>
      </c>
      <c r="B25907" s="318" t="s">
        <v>23</v>
      </c>
    </row>
    <row r="25908" spans="1:2" ht="12.75" customHeight="1" x14ac:dyDescent="0.25">
      <c r="A25908" s="318">
        <v>372801957224</v>
      </c>
      <c r="B25908" s="318" t="s">
        <v>23</v>
      </c>
    </row>
    <row r="25909" spans="1:2" ht="12.75" customHeight="1" x14ac:dyDescent="0.25">
      <c r="A25909" s="318">
        <v>372801957225</v>
      </c>
      <c r="B25909" s="318" t="s">
        <v>23</v>
      </c>
    </row>
    <row r="25910" spans="1:2" ht="12.75" customHeight="1" x14ac:dyDescent="0.25">
      <c r="A25910" s="318">
        <v>372801957226</v>
      </c>
      <c r="B25910" s="318" t="s">
        <v>23</v>
      </c>
    </row>
    <row r="25911" spans="1:2" ht="12.75" customHeight="1" x14ac:dyDescent="0.25">
      <c r="A25911" s="318">
        <v>372801957227</v>
      </c>
      <c r="B25911" s="318" t="s">
        <v>23</v>
      </c>
    </row>
    <row r="25912" spans="1:2" ht="12.75" customHeight="1" x14ac:dyDescent="0.25">
      <c r="A25912" s="318">
        <v>372801957228</v>
      </c>
      <c r="B25912" s="318" t="s">
        <v>237</v>
      </c>
    </row>
    <row r="25913" spans="1:2" ht="12.75" customHeight="1" x14ac:dyDescent="0.25">
      <c r="A25913" s="318">
        <v>372801957229</v>
      </c>
      <c r="B25913" s="318" t="s">
        <v>237</v>
      </c>
    </row>
    <row r="25914" spans="1:2" ht="12.75" customHeight="1" x14ac:dyDescent="0.25">
      <c r="A25914" s="318">
        <v>372802438186</v>
      </c>
      <c r="B25914" s="318" t="s">
        <v>23</v>
      </c>
    </row>
    <row r="25915" spans="1:2" ht="12.75" customHeight="1" x14ac:dyDescent="0.25">
      <c r="A25915" s="318">
        <v>372802438187</v>
      </c>
      <c r="B25915" s="318" t="s">
        <v>23</v>
      </c>
    </row>
    <row r="25916" spans="1:2" ht="12.75" customHeight="1" x14ac:dyDescent="0.25">
      <c r="A25916" s="318">
        <v>372802438188</v>
      </c>
      <c r="B25916" s="318" t="s">
        <v>23</v>
      </c>
    </row>
    <row r="25917" spans="1:2" ht="12.75" customHeight="1" x14ac:dyDescent="0.25">
      <c r="A25917" s="318">
        <v>372802438189</v>
      </c>
      <c r="B25917" s="318" t="s">
        <v>23</v>
      </c>
    </row>
    <row r="25918" spans="1:2" ht="12.75" customHeight="1" x14ac:dyDescent="0.25">
      <c r="A25918" s="318">
        <v>372802438190</v>
      </c>
      <c r="B25918" s="318" t="s">
        <v>23</v>
      </c>
    </row>
    <row r="25919" spans="1:2" ht="12.75" customHeight="1" x14ac:dyDescent="0.25">
      <c r="A25919" s="318">
        <v>372802438191</v>
      </c>
      <c r="B25919" s="318" t="s">
        <v>23</v>
      </c>
    </row>
    <row r="25920" spans="1:2" ht="12.75" customHeight="1" x14ac:dyDescent="0.25">
      <c r="A25920" s="318">
        <v>372802438192</v>
      </c>
      <c r="B25920" s="318" t="s">
        <v>237</v>
      </c>
    </row>
    <row r="25921" spans="1:2" ht="12.75" customHeight="1" x14ac:dyDescent="0.25">
      <c r="A25921" s="318">
        <v>372802438193</v>
      </c>
      <c r="B25921" s="318" t="s">
        <v>237</v>
      </c>
    </row>
    <row r="25922" spans="1:2" ht="12.75" customHeight="1" x14ac:dyDescent="0.25">
      <c r="A25922" s="318">
        <v>372802438195</v>
      </c>
      <c r="B25922" s="318" t="s">
        <v>23</v>
      </c>
    </row>
    <row r="25923" spans="1:2" ht="12.75" customHeight="1" x14ac:dyDescent="0.25">
      <c r="A25923" s="318">
        <v>372802438196</v>
      </c>
      <c r="B25923" s="318" t="s">
        <v>23</v>
      </c>
    </row>
    <row r="25924" spans="1:2" ht="12.75" customHeight="1" x14ac:dyDescent="0.25">
      <c r="A25924" s="318">
        <v>372802438197</v>
      </c>
      <c r="B25924" s="318" t="s">
        <v>23</v>
      </c>
    </row>
    <row r="25925" spans="1:2" ht="12.75" customHeight="1" x14ac:dyDescent="0.25">
      <c r="A25925" s="318">
        <v>372802438198</v>
      </c>
      <c r="B25925" s="318" t="s">
        <v>23</v>
      </c>
    </row>
    <row r="25926" spans="1:2" ht="12.75" customHeight="1" x14ac:dyDescent="0.25">
      <c r="A25926" s="318">
        <v>372802438199</v>
      </c>
      <c r="B25926" s="318" t="s">
        <v>23</v>
      </c>
    </row>
    <row r="25927" spans="1:2" ht="12.75" customHeight="1" x14ac:dyDescent="0.25">
      <c r="A25927" s="318">
        <v>372802438200</v>
      </c>
      <c r="B25927" s="318" t="s">
        <v>23</v>
      </c>
    </row>
    <row r="25928" spans="1:2" ht="12.75" customHeight="1" x14ac:dyDescent="0.25">
      <c r="A25928" s="318">
        <v>372802438201</v>
      </c>
      <c r="B25928" s="318" t="s">
        <v>237</v>
      </c>
    </row>
    <row r="25929" spans="1:2" ht="12.75" customHeight="1" x14ac:dyDescent="0.25">
      <c r="A25929" s="318">
        <v>372802438202</v>
      </c>
      <c r="B25929" s="318" t="s">
        <v>237</v>
      </c>
    </row>
    <row r="25930" spans="1:2" ht="12.75" customHeight="1" x14ac:dyDescent="0.25">
      <c r="A25930" s="318">
        <v>372803118377</v>
      </c>
      <c r="B25930" s="318" t="s">
        <v>23</v>
      </c>
    </row>
    <row r="25931" spans="1:2" ht="12.75" customHeight="1" x14ac:dyDescent="0.25">
      <c r="A25931" s="318">
        <v>372803118378</v>
      </c>
      <c r="B25931" s="318" t="s">
        <v>23</v>
      </c>
    </row>
    <row r="25932" spans="1:2" ht="12.75" customHeight="1" x14ac:dyDescent="0.25">
      <c r="A25932" s="318">
        <v>372803118379</v>
      </c>
      <c r="B25932" s="318" t="s">
        <v>23</v>
      </c>
    </row>
    <row r="25933" spans="1:2" ht="12.75" customHeight="1" x14ac:dyDescent="0.25">
      <c r="A25933" s="318">
        <v>372803118380</v>
      </c>
      <c r="B25933" s="318" t="s">
        <v>23</v>
      </c>
    </row>
    <row r="25934" spans="1:2" ht="12.75" customHeight="1" x14ac:dyDescent="0.25">
      <c r="A25934" s="318">
        <v>372803118381</v>
      </c>
      <c r="B25934" s="318" t="s">
        <v>23</v>
      </c>
    </row>
    <row r="25935" spans="1:2" ht="12.75" customHeight="1" x14ac:dyDescent="0.25">
      <c r="A25935" s="318">
        <v>372803118382</v>
      </c>
      <c r="B25935" s="318" t="s">
        <v>23</v>
      </c>
    </row>
    <row r="25936" spans="1:2" ht="12.75" customHeight="1" x14ac:dyDescent="0.25">
      <c r="A25936" s="318">
        <v>372803118383</v>
      </c>
      <c r="B25936" s="318" t="s">
        <v>237</v>
      </c>
    </row>
    <row r="25937" spans="1:2" ht="12.75" customHeight="1" x14ac:dyDescent="0.25">
      <c r="A25937" s="318">
        <v>372803118384</v>
      </c>
      <c r="B25937" s="318" t="s">
        <v>237</v>
      </c>
    </row>
    <row r="25938" spans="1:2" ht="12.75" customHeight="1" x14ac:dyDescent="0.25">
      <c r="A25938" s="318">
        <v>372803118386</v>
      </c>
      <c r="B25938" s="318" t="s">
        <v>23</v>
      </c>
    </row>
    <row r="25939" spans="1:2" ht="12.75" customHeight="1" x14ac:dyDescent="0.25">
      <c r="A25939" s="318">
        <v>372803118387</v>
      </c>
      <c r="B25939" s="318" t="s">
        <v>23</v>
      </c>
    </row>
    <row r="25940" spans="1:2" ht="12.75" customHeight="1" x14ac:dyDescent="0.25">
      <c r="A25940" s="318">
        <v>372803118388</v>
      </c>
      <c r="B25940" s="318" t="s">
        <v>23</v>
      </c>
    </row>
    <row r="25941" spans="1:2" ht="12.75" customHeight="1" x14ac:dyDescent="0.25">
      <c r="A25941" s="318">
        <v>372803118389</v>
      </c>
      <c r="B25941" s="318" t="s">
        <v>23</v>
      </c>
    </row>
    <row r="25942" spans="1:2" ht="12.75" customHeight="1" x14ac:dyDescent="0.25">
      <c r="A25942" s="318">
        <v>372803118390</v>
      </c>
      <c r="B25942" s="318" t="s">
        <v>23</v>
      </c>
    </row>
    <row r="25943" spans="1:2" ht="12.75" customHeight="1" x14ac:dyDescent="0.25">
      <c r="A25943" s="318">
        <v>372803118391</v>
      </c>
      <c r="B25943" s="318" t="s">
        <v>23</v>
      </c>
    </row>
    <row r="25944" spans="1:2" ht="12.75" customHeight="1" x14ac:dyDescent="0.25">
      <c r="A25944" s="318">
        <v>372803118392</v>
      </c>
      <c r="B25944" s="318" t="s">
        <v>237</v>
      </c>
    </row>
    <row r="25945" spans="1:2" ht="12.75" customHeight="1" x14ac:dyDescent="0.25">
      <c r="A25945" s="318">
        <v>372803118393</v>
      </c>
      <c r="B25945" s="318" t="s">
        <v>237</v>
      </c>
    </row>
    <row r="25946" spans="1:2" ht="12.75" customHeight="1" x14ac:dyDescent="0.25">
      <c r="A25946" s="318">
        <v>372803599350</v>
      </c>
      <c r="B25946" s="318" t="s">
        <v>23</v>
      </c>
    </row>
    <row r="25947" spans="1:2" ht="12.75" customHeight="1" x14ac:dyDescent="0.25">
      <c r="A25947" s="318">
        <v>372803599351</v>
      </c>
      <c r="B25947" s="318" t="s">
        <v>23</v>
      </c>
    </row>
    <row r="25948" spans="1:2" ht="12.75" customHeight="1" x14ac:dyDescent="0.25">
      <c r="A25948" s="318">
        <v>372803599352</v>
      </c>
      <c r="B25948" s="318" t="s">
        <v>23</v>
      </c>
    </row>
    <row r="25949" spans="1:2" ht="12.75" customHeight="1" x14ac:dyDescent="0.25">
      <c r="A25949" s="318">
        <v>372803599353</v>
      </c>
      <c r="B25949" s="318" t="s">
        <v>23</v>
      </c>
    </row>
    <row r="25950" spans="1:2" ht="12.75" customHeight="1" x14ac:dyDescent="0.25">
      <c r="A25950" s="318">
        <v>372803599354</v>
      </c>
      <c r="B25950" s="318" t="s">
        <v>23</v>
      </c>
    </row>
    <row r="25951" spans="1:2" ht="12.75" customHeight="1" x14ac:dyDescent="0.25">
      <c r="A25951" s="318">
        <v>372803599355</v>
      </c>
      <c r="B25951" s="318" t="s">
        <v>23</v>
      </c>
    </row>
    <row r="25952" spans="1:2" ht="12.75" customHeight="1" x14ac:dyDescent="0.25">
      <c r="A25952" s="318">
        <v>372803599356</v>
      </c>
      <c r="B25952" s="318" t="s">
        <v>237</v>
      </c>
    </row>
    <row r="25953" spans="1:2" ht="12.75" customHeight="1" x14ac:dyDescent="0.25">
      <c r="A25953" s="318">
        <v>372803599357</v>
      </c>
      <c r="B25953" s="318" t="s">
        <v>237</v>
      </c>
    </row>
    <row r="25954" spans="1:2" ht="12.75" customHeight="1" x14ac:dyDescent="0.25">
      <c r="A25954" s="318">
        <v>372803599359</v>
      </c>
      <c r="B25954" s="318" t="s">
        <v>23</v>
      </c>
    </row>
    <row r="25955" spans="1:2" ht="12.75" customHeight="1" x14ac:dyDescent="0.25">
      <c r="A25955" s="318">
        <v>372803599360</v>
      </c>
      <c r="B25955" s="318" t="s">
        <v>23</v>
      </c>
    </row>
    <row r="25956" spans="1:2" ht="12.75" customHeight="1" x14ac:dyDescent="0.25">
      <c r="A25956" s="318">
        <v>372803599361</v>
      </c>
      <c r="B25956" s="318" t="s">
        <v>23</v>
      </c>
    </row>
    <row r="25957" spans="1:2" ht="12.75" customHeight="1" x14ac:dyDescent="0.25">
      <c r="A25957" s="318">
        <v>372803599362</v>
      </c>
      <c r="B25957" s="318" t="s">
        <v>23</v>
      </c>
    </row>
    <row r="25958" spans="1:2" ht="12.75" customHeight="1" x14ac:dyDescent="0.25">
      <c r="A25958" s="318">
        <v>372803599363</v>
      </c>
      <c r="B25958" s="318" t="s">
        <v>23</v>
      </c>
    </row>
    <row r="25959" spans="1:2" ht="12.75" customHeight="1" x14ac:dyDescent="0.25">
      <c r="A25959" s="318">
        <v>372803599364</v>
      </c>
      <c r="B25959" s="318" t="s">
        <v>23</v>
      </c>
    </row>
    <row r="25960" spans="1:2" ht="12.75" customHeight="1" x14ac:dyDescent="0.25">
      <c r="A25960" s="318">
        <v>372803599365</v>
      </c>
      <c r="B25960" s="318" t="s">
        <v>237</v>
      </c>
    </row>
    <row r="25961" spans="1:2" ht="12.75" customHeight="1" x14ac:dyDescent="0.25">
      <c r="A25961" s="318">
        <v>372803599366</v>
      </c>
      <c r="B25961" s="318" t="s">
        <v>237</v>
      </c>
    </row>
    <row r="25962" spans="1:2" ht="12.75" customHeight="1" x14ac:dyDescent="0.25">
      <c r="A25962" s="318">
        <v>372804080323</v>
      </c>
      <c r="B25962" s="318" t="s">
        <v>23</v>
      </c>
    </row>
    <row r="25963" spans="1:2" ht="12.75" customHeight="1" x14ac:dyDescent="0.25">
      <c r="A25963" s="318">
        <v>372804080324</v>
      </c>
      <c r="B25963" s="318" t="s">
        <v>23</v>
      </c>
    </row>
    <row r="25964" spans="1:2" ht="12.75" customHeight="1" x14ac:dyDescent="0.25">
      <c r="A25964" s="318">
        <v>372804080325</v>
      </c>
      <c r="B25964" s="318" t="s">
        <v>23</v>
      </c>
    </row>
    <row r="25965" spans="1:2" ht="12.75" customHeight="1" x14ac:dyDescent="0.25">
      <c r="A25965" s="318">
        <v>372804080326</v>
      </c>
      <c r="B25965" s="318" t="s">
        <v>23</v>
      </c>
    </row>
    <row r="25966" spans="1:2" ht="12.75" customHeight="1" x14ac:dyDescent="0.25">
      <c r="A25966" s="318">
        <v>372804080327</v>
      </c>
      <c r="B25966" s="318" t="s">
        <v>23</v>
      </c>
    </row>
    <row r="25967" spans="1:2" ht="12.75" customHeight="1" x14ac:dyDescent="0.25">
      <c r="A25967" s="318">
        <v>372804080328</v>
      </c>
      <c r="B25967" s="318" t="s">
        <v>23</v>
      </c>
    </row>
    <row r="25968" spans="1:2" ht="12.75" customHeight="1" x14ac:dyDescent="0.25">
      <c r="A25968" s="318">
        <v>372804080329</v>
      </c>
      <c r="B25968" s="318" t="s">
        <v>237</v>
      </c>
    </row>
    <row r="25969" spans="1:2" ht="12.75" customHeight="1" x14ac:dyDescent="0.25">
      <c r="A25969" s="318">
        <v>372804080330</v>
      </c>
      <c r="B25969" s="318" t="s">
        <v>237</v>
      </c>
    </row>
    <row r="25970" spans="1:2" ht="12.75" customHeight="1" x14ac:dyDescent="0.25">
      <c r="A25970" s="318">
        <v>372804080332</v>
      </c>
      <c r="B25970" s="318" t="s">
        <v>23</v>
      </c>
    </row>
    <row r="25971" spans="1:2" ht="12.75" customHeight="1" x14ac:dyDescent="0.25">
      <c r="A25971" s="318">
        <v>372804080333</v>
      </c>
      <c r="B25971" s="318" t="s">
        <v>23</v>
      </c>
    </row>
    <row r="25972" spans="1:2" ht="12.75" customHeight="1" x14ac:dyDescent="0.25">
      <c r="A25972" s="318">
        <v>372804080334</v>
      </c>
      <c r="B25972" s="318" t="s">
        <v>23</v>
      </c>
    </row>
    <row r="25973" spans="1:2" ht="12.75" customHeight="1" x14ac:dyDescent="0.25">
      <c r="A25973" s="318">
        <v>372804080335</v>
      </c>
      <c r="B25973" s="318" t="s">
        <v>23</v>
      </c>
    </row>
    <row r="25974" spans="1:2" ht="12.75" customHeight="1" x14ac:dyDescent="0.25">
      <c r="A25974" s="318">
        <v>372804080336</v>
      </c>
      <c r="B25974" s="318" t="s">
        <v>23</v>
      </c>
    </row>
    <row r="25975" spans="1:2" ht="12.75" customHeight="1" x14ac:dyDescent="0.25">
      <c r="A25975" s="318">
        <v>372804080337</v>
      </c>
      <c r="B25975" s="318" t="s">
        <v>23</v>
      </c>
    </row>
    <row r="25976" spans="1:2" ht="12.75" customHeight="1" x14ac:dyDescent="0.25">
      <c r="A25976" s="318">
        <v>372804080338</v>
      </c>
      <c r="B25976" s="318" t="s">
        <v>237</v>
      </c>
    </row>
    <row r="25977" spans="1:2" ht="12.75" customHeight="1" x14ac:dyDescent="0.25">
      <c r="A25977" s="318">
        <v>372804080339</v>
      </c>
      <c r="B25977" s="318" t="s">
        <v>237</v>
      </c>
    </row>
    <row r="25978" spans="1:2" ht="12.75" customHeight="1" x14ac:dyDescent="0.25">
      <c r="A25978" s="318">
        <v>372804760514</v>
      </c>
      <c r="B25978" s="318" t="s">
        <v>23</v>
      </c>
    </row>
    <row r="25979" spans="1:2" ht="12.75" customHeight="1" x14ac:dyDescent="0.25">
      <c r="A25979" s="318">
        <v>372804760515</v>
      </c>
      <c r="B25979" s="318" t="s">
        <v>23</v>
      </c>
    </row>
    <row r="25980" spans="1:2" ht="12.75" customHeight="1" x14ac:dyDescent="0.25">
      <c r="A25980" s="318">
        <v>372804760516</v>
      </c>
      <c r="B25980" s="318" t="s">
        <v>23</v>
      </c>
    </row>
    <row r="25981" spans="1:2" ht="12.75" customHeight="1" x14ac:dyDescent="0.25">
      <c r="A25981" s="318">
        <v>372804760517</v>
      </c>
      <c r="B25981" s="318" t="s">
        <v>23</v>
      </c>
    </row>
    <row r="25982" spans="1:2" ht="12.75" customHeight="1" x14ac:dyDescent="0.25">
      <c r="A25982" s="318">
        <v>372804760518</v>
      </c>
      <c r="B25982" s="318" t="s">
        <v>23</v>
      </c>
    </row>
    <row r="25983" spans="1:2" ht="12.75" customHeight="1" x14ac:dyDescent="0.25">
      <c r="A25983" s="318">
        <v>372804760519</v>
      </c>
      <c r="B25983" s="318" t="s">
        <v>23</v>
      </c>
    </row>
    <row r="25984" spans="1:2" ht="12.75" customHeight="1" x14ac:dyDescent="0.25">
      <c r="A25984" s="318">
        <v>372804760520</v>
      </c>
      <c r="B25984" s="318" t="s">
        <v>237</v>
      </c>
    </row>
    <row r="25985" spans="1:2" ht="12.75" customHeight="1" x14ac:dyDescent="0.25">
      <c r="A25985" s="318">
        <v>372804760521</v>
      </c>
      <c r="B25985" s="318" t="s">
        <v>237</v>
      </c>
    </row>
    <row r="25986" spans="1:2" ht="12.75" customHeight="1" x14ac:dyDescent="0.25">
      <c r="A25986" s="318">
        <v>372804760523</v>
      </c>
      <c r="B25986" s="318" t="s">
        <v>23</v>
      </c>
    </row>
    <row r="25987" spans="1:2" ht="12.75" customHeight="1" x14ac:dyDescent="0.25">
      <c r="A25987" s="318">
        <v>372804760524</v>
      </c>
      <c r="B25987" s="318" t="s">
        <v>23</v>
      </c>
    </row>
    <row r="25988" spans="1:2" ht="12.75" customHeight="1" x14ac:dyDescent="0.25">
      <c r="A25988" s="318">
        <v>372804760525</v>
      </c>
      <c r="B25988" s="318" t="s">
        <v>23</v>
      </c>
    </row>
    <row r="25989" spans="1:2" ht="12.75" customHeight="1" x14ac:dyDescent="0.25">
      <c r="A25989" s="318">
        <v>372804760526</v>
      </c>
      <c r="B25989" s="318" t="s">
        <v>23</v>
      </c>
    </row>
    <row r="25990" spans="1:2" ht="12.75" customHeight="1" x14ac:dyDescent="0.25">
      <c r="A25990" s="318">
        <v>372804760527</v>
      </c>
      <c r="B25990" s="318" t="s">
        <v>23</v>
      </c>
    </row>
    <row r="25991" spans="1:2" ht="12.75" customHeight="1" x14ac:dyDescent="0.25">
      <c r="A25991" s="318">
        <v>372804760528</v>
      </c>
      <c r="B25991" s="318" t="s">
        <v>23</v>
      </c>
    </row>
    <row r="25992" spans="1:2" ht="12.75" customHeight="1" x14ac:dyDescent="0.25">
      <c r="A25992" s="318">
        <v>372804760529</v>
      </c>
      <c r="B25992" s="318" t="s">
        <v>237</v>
      </c>
    </row>
    <row r="25993" spans="1:2" ht="12.75" customHeight="1" x14ac:dyDescent="0.25">
      <c r="A25993" s="318">
        <v>372804760530</v>
      </c>
      <c r="B25993" s="318" t="s">
        <v>237</v>
      </c>
    </row>
    <row r="25994" spans="1:2" ht="12.75" customHeight="1" x14ac:dyDescent="0.25">
      <c r="A25994" s="318">
        <v>372805241487</v>
      </c>
      <c r="B25994" s="318" t="s">
        <v>23</v>
      </c>
    </row>
    <row r="25995" spans="1:2" ht="12.75" customHeight="1" x14ac:dyDescent="0.25">
      <c r="A25995" s="318">
        <v>372805241488</v>
      </c>
      <c r="B25995" s="318" t="s">
        <v>23</v>
      </c>
    </row>
    <row r="25996" spans="1:2" ht="12.75" customHeight="1" x14ac:dyDescent="0.25">
      <c r="A25996" s="318">
        <v>372805241489</v>
      </c>
      <c r="B25996" s="318" t="s">
        <v>23</v>
      </c>
    </row>
    <row r="25997" spans="1:2" ht="12.75" customHeight="1" x14ac:dyDescent="0.25">
      <c r="A25997" s="318">
        <v>372805241490</v>
      </c>
      <c r="B25997" s="318" t="s">
        <v>23</v>
      </c>
    </row>
    <row r="25998" spans="1:2" ht="12.75" customHeight="1" x14ac:dyDescent="0.25">
      <c r="A25998" s="318">
        <v>372805241491</v>
      </c>
      <c r="B25998" s="318" t="s">
        <v>23</v>
      </c>
    </row>
    <row r="25999" spans="1:2" ht="12.75" customHeight="1" x14ac:dyDescent="0.25">
      <c r="A25999" s="318">
        <v>372805241492</v>
      </c>
      <c r="B25999" s="318" t="s">
        <v>23</v>
      </c>
    </row>
    <row r="26000" spans="1:2" ht="12.75" customHeight="1" x14ac:dyDescent="0.25">
      <c r="A26000" s="318">
        <v>372805241493</v>
      </c>
      <c r="B26000" s="318" t="s">
        <v>237</v>
      </c>
    </row>
    <row r="26001" spans="1:2" ht="12.75" customHeight="1" x14ac:dyDescent="0.25">
      <c r="A26001" s="318">
        <v>372805241494</v>
      </c>
      <c r="B26001" s="318" t="s">
        <v>237</v>
      </c>
    </row>
    <row r="26002" spans="1:2" ht="12.75" customHeight="1" x14ac:dyDescent="0.25">
      <c r="A26002" s="318">
        <v>372805241496</v>
      </c>
      <c r="B26002" s="318" t="s">
        <v>23</v>
      </c>
    </row>
    <row r="26003" spans="1:2" ht="12.75" customHeight="1" x14ac:dyDescent="0.25">
      <c r="A26003" s="318">
        <v>372805241497</v>
      </c>
      <c r="B26003" s="318" t="s">
        <v>23</v>
      </c>
    </row>
    <row r="26004" spans="1:2" ht="12.75" customHeight="1" x14ac:dyDescent="0.25">
      <c r="A26004" s="318">
        <v>372805241498</v>
      </c>
      <c r="B26004" s="318" t="s">
        <v>23</v>
      </c>
    </row>
    <row r="26005" spans="1:2" ht="12.75" customHeight="1" x14ac:dyDescent="0.25">
      <c r="A26005" s="318">
        <v>372805241499</v>
      </c>
      <c r="B26005" s="318" t="s">
        <v>23</v>
      </c>
    </row>
    <row r="26006" spans="1:2" ht="12.75" customHeight="1" x14ac:dyDescent="0.25">
      <c r="A26006" s="318">
        <v>372805241500</v>
      </c>
      <c r="B26006" s="318" t="s">
        <v>23</v>
      </c>
    </row>
    <row r="26007" spans="1:2" ht="12.75" customHeight="1" x14ac:dyDescent="0.25">
      <c r="A26007" s="318">
        <v>372805241501</v>
      </c>
      <c r="B26007" s="318" t="s">
        <v>23</v>
      </c>
    </row>
    <row r="26008" spans="1:2" ht="12.75" customHeight="1" x14ac:dyDescent="0.25">
      <c r="A26008" s="318">
        <v>372805241502</v>
      </c>
      <c r="B26008" s="318" t="s">
        <v>237</v>
      </c>
    </row>
    <row r="26009" spans="1:2" ht="12.75" customHeight="1" x14ac:dyDescent="0.25">
      <c r="A26009" s="318">
        <v>372805241503</v>
      </c>
      <c r="B26009" s="318" t="s">
        <v>237</v>
      </c>
    </row>
    <row r="26010" spans="1:2" ht="12.75" customHeight="1" x14ac:dyDescent="0.25">
      <c r="A26010" s="318">
        <v>372805722460</v>
      </c>
      <c r="B26010" s="318" t="s">
        <v>23</v>
      </c>
    </row>
    <row r="26011" spans="1:2" ht="12.75" customHeight="1" x14ac:dyDescent="0.25">
      <c r="A26011" s="318">
        <v>372805722461</v>
      </c>
      <c r="B26011" s="318" t="s">
        <v>23</v>
      </c>
    </row>
    <row r="26012" spans="1:2" ht="12.75" customHeight="1" x14ac:dyDescent="0.25">
      <c r="A26012" s="318">
        <v>372805722462</v>
      </c>
      <c r="B26012" s="318" t="s">
        <v>23</v>
      </c>
    </row>
    <row r="26013" spans="1:2" ht="12.75" customHeight="1" x14ac:dyDescent="0.25">
      <c r="A26013" s="318">
        <v>372805722463</v>
      </c>
      <c r="B26013" s="318" t="s">
        <v>23</v>
      </c>
    </row>
    <row r="26014" spans="1:2" ht="12.75" customHeight="1" x14ac:dyDescent="0.25">
      <c r="A26014" s="318">
        <v>372805722464</v>
      </c>
      <c r="B26014" s="318" t="s">
        <v>23</v>
      </c>
    </row>
    <row r="26015" spans="1:2" ht="12.75" customHeight="1" x14ac:dyDescent="0.25">
      <c r="A26015" s="318">
        <v>372805722465</v>
      </c>
      <c r="B26015" s="318" t="s">
        <v>23</v>
      </c>
    </row>
    <row r="26016" spans="1:2" ht="12.75" customHeight="1" x14ac:dyDescent="0.25">
      <c r="A26016" s="318">
        <v>372805722466</v>
      </c>
      <c r="B26016" s="318" t="s">
        <v>237</v>
      </c>
    </row>
    <row r="26017" spans="1:2" ht="12.75" customHeight="1" x14ac:dyDescent="0.25">
      <c r="A26017" s="318">
        <v>372805722467</v>
      </c>
      <c r="B26017" s="318" t="s">
        <v>237</v>
      </c>
    </row>
    <row r="26018" spans="1:2" ht="12.75" customHeight="1" x14ac:dyDescent="0.25">
      <c r="A26018" s="318">
        <v>372805722469</v>
      </c>
      <c r="B26018" s="318" t="s">
        <v>23</v>
      </c>
    </row>
    <row r="26019" spans="1:2" ht="12.75" customHeight="1" x14ac:dyDescent="0.25">
      <c r="A26019" s="318">
        <v>372805722470</v>
      </c>
      <c r="B26019" s="318" t="s">
        <v>23</v>
      </c>
    </row>
    <row r="26020" spans="1:2" ht="12.75" customHeight="1" x14ac:dyDescent="0.25">
      <c r="A26020" s="318">
        <v>372805722471</v>
      </c>
      <c r="B26020" s="318" t="s">
        <v>23</v>
      </c>
    </row>
    <row r="26021" spans="1:2" ht="12.75" customHeight="1" x14ac:dyDescent="0.25">
      <c r="A26021" s="318">
        <v>372805722472</v>
      </c>
      <c r="B26021" s="318" t="s">
        <v>23</v>
      </c>
    </row>
    <row r="26022" spans="1:2" ht="12.75" customHeight="1" x14ac:dyDescent="0.25">
      <c r="A26022" s="318">
        <v>372805722473</v>
      </c>
      <c r="B26022" s="318" t="s">
        <v>23</v>
      </c>
    </row>
    <row r="26023" spans="1:2" ht="12.75" customHeight="1" x14ac:dyDescent="0.25">
      <c r="A26023" s="318">
        <v>372805722474</v>
      </c>
      <c r="B26023" s="318" t="s">
        <v>23</v>
      </c>
    </row>
    <row r="26024" spans="1:2" ht="12.75" customHeight="1" x14ac:dyDescent="0.25">
      <c r="A26024" s="318">
        <v>372805722475</v>
      </c>
      <c r="B26024" s="318" t="s">
        <v>237</v>
      </c>
    </row>
    <row r="26025" spans="1:2" ht="12.75" customHeight="1" x14ac:dyDescent="0.25">
      <c r="A26025" s="318">
        <v>372805722476</v>
      </c>
      <c r="B26025" s="318" t="s">
        <v>237</v>
      </c>
    </row>
    <row r="26026" spans="1:2" ht="12.75" customHeight="1" x14ac:dyDescent="0.25">
      <c r="A26026" s="318">
        <v>372855618351</v>
      </c>
      <c r="B26026" s="318" t="s">
        <v>23</v>
      </c>
    </row>
    <row r="26027" spans="1:2" ht="12.75" customHeight="1" x14ac:dyDescent="0.25">
      <c r="A26027" s="318">
        <v>372855618352</v>
      </c>
      <c r="B26027" s="318" t="s">
        <v>23</v>
      </c>
    </row>
    <row r="26028" spans="1:2" ht="12.75" customHeight="1" x14ac:dyDescent="0.25">
      <c r="A26028" s="318">
        <v>372855618353</v>
      </c>
      <c r="B26028" s="318" t="s">
        <v>23</v>
      </c>
    </row>
    <row r="26029" spans="1:2" ht="12.75" customHeight="1" x14ac:dyDescent="0.25">
      <c r="A26029" s="318">
        <v>372855618354</v>
      </c>
      <c r="B26029" s="318" t="s">
        <v>23</v>
      </c>
    </row>
    <row r="26030" spans="1:2" ht="12.75" customHeight="1" x14ac:dyDescent="0.25">
      <c r="A26030" s="318">
        <v>372855618355</v>
      </c>
      <c r="B26030" s="318" t="s">
        <v>23</v>
      </c>
    </row>
    <row r="26031" spans="1:2" ht="12.75" customHeight="1" x14ac:dyDescent="0.25">
      <c r="A26031" s="318">
        <v>372855618356</v>
      </c>
      <c r="B26031" s="318" t="s">
        <v>23</v>
      </c>
    </row>
    <row r="26032" spans="1:2" ht="12.75" customHeight="1" x14ac:dyDescent="0.25">
      <c r="A26032" s="318">
        <v>372855618357</v>
      </c>
      <c r="B26032" s="318" t="s">
        <v>23</v>
      </c>
    </row>
    <row r="26033" spans="1:2" ht="12.75" customHeight="1" x14ac:dyDescent="0.25">
      <c r="A26033" s="318">
        <v>372855618358</v>
      </c>
      <c r="B26033" s="318" t="s">
        <v>23</v>
      </c>
    </row>
    <row r="26034" spans="1:2" ht="12.75" customHeight="1" x14ac:dyDescent="0.25">
      <c r="A26034" s="318">
        <v>372855618360</v>
      </c>
      <c r="B26034" s="318" t="s">
        <v>237</v>
      </c>
    </row>
    <row r="26035" spans="1:2" ht="12.75" customHeight="1" x14ac:dyDescent="0.25">
      <c r="A26035" s="318">
        <v>372855618361</v>
      </c>
      <c r="B26035" s="318" t="s">
        <v>237</v>
      </c>
    </row>
    <row r="26036" spans="1:2" ht="12.75" customHeight="1" x14ac:dyDescent="0.25">
      <c r="A26036" s="318">
        <v>372855618362</v>
      </c>
      <c r="B26036" s="318" t="s">
        <v>237</v>
      </c>
    </row>
    <row r="26037" spans="1:2" ht="12.75" customHeight="1" x14ac:dyDescent="0.25">
      <c r="A26037" s="318">
        <v>372855618363</v>
      </c>
      <c r="B26037" s="318" t="s">
        <v>237</v>
      </c>
    </row>
    <row r="26038" spans="1:2" ht="12.75" customHeight="1" x14ac:dyDescent="0.25">
      <c r="A26038" s="318">
        <v>372855618364</v>
      </c>
      <c r="B26038" s="318" t="s">
        <v>237</v>
      </c>
    </row>
    <row r="26039" spans="1:2" ht="12.75" customHeight="1" x14ac:dyDescent="0.25">
      <c r="A26039" s="318">
        <v>372855618365</v>
      </c>
      <c r="B26039" s="318" t="s">
        <v>237</v>
      </c>
    </row>
    <row r="26040" spans="1:2" ht="12.75" customHeight="1" x14ac:dyDescent="0.25">
      <c r="A26040" s="318">
        <v>372855618366</v>
      </c>
      <c r="B26040" s="318" t="s">
        <v>237</v>
      </c>
    </row>
    <row r="26041" spans="1:2" ht="12.75" customHeight="1" x14ac:dyDescent="0.25">
      <c r="A26041" s="318">
        <v>372855618367</v>
      </c>
      <c r="B26041" s="318" t="s">
        <v>237</v>
      </c>
    </row>
    <row r="26042" spans="1:2" ht="12.75" customHeight="1" x14ac:dyDescent="0.25">
      <c r="A26042" s="318">
        <v>372856099324</v>
      </c>
      <c r="B26042" s="318" t="s">
        <v>23</v>
      </c>
    </row>
    <row r="26043" spans="1:2" ht="12.75" customHeight="1" x14ac:dyDescent="0.25">
      <c r="A26043" s="318">
        <v>372856099325</v>
      </c>
      <c r="B26043" s="318" t="s">
        <v>23</v>
      </c>
    </row>
    <row r="26044" spans="1:2" ht="12.75" customHeight="1" x14ac:dyDescent="0.25">
      <c r="A26044" s="318">
        <v>372856099326</v>
      </c>
      <c r="B26044" s="318" t="s">
        <v>23</v>
      </c>
    </row>
    <row r="26045" spans="1:2" ht="12.75" customHeight="1" x14ac:dyDescent="0.25">
      <c r="A26045" s="318">
        <v>372856099327</v>
      </c>
      <c r="B26045" s="318" t="s">
        <v>23</v>
      </c>
    </row>
    <row r="26046" spans="1:2" ht="12.75" customHeight="1" x14ac:dyDescent="0.25">
      <c r="A26046" s="318">
        <v>372856099328</v>
      </c>
      <c r="B26046" s="318" t="s">
        <v>23</v>
      </c>
    </row>
    <row r="26047" spans="1:2" ht="12.75" customHeight="1" x14ac:dyDescent="0.25">
      <c r="A26047" s="318">
        <v>372856099329</v>
      </c>
      <c r="B26047" s="318" t="s">
        <v>23</v>
      </c>
    </row>
    <row r="26048" spans="1:2" ht="12.75" customHeight="1" x14ac:dyDescent="0.25">
      <c r="A26048" s="318">
        <v>372856099330</v>
      </c>
      <c r="B26048" s="318" t="s">
        <v>23</v>
      </c>
    </row>
    <row r="26049" spans="1:2" ht="12.75" customHeight="1" x14ac:dyDescent="0.25">
      <c r="A26049" s="318">
        <v>372856099331</v>
      </c>
      <c r="B26049" s="318" t="s">
        <v>23</v>
      </c>
    </row>
    <row r="26050" spans="1:2" ht="12.75" customHeight="1" x14ac:dyDescent="0.25">
      <c r="A26050" s="318">
        <v>372856099333</v>
      </c>
      <c r="B26050" s="318" t="s">
        <v>237</v>
      </c>
    </row>
    <row r="26051" spans="1:2" ht="12.75" customHeight="1" x14ac:dyDescent="0.25">
      <c r="A26051" s="318">
        <v>372856099334</v>
      </c>
      <c r="B26051" s="318" t="s">
        <v>237</v>
      </c>
    </row>
    <row r="26052" spans="1:2" ht="12.75" customHeight="1" x14ac:dyDescent="0.25">
      <c r="A26052" s="318">
        <v>372856099335</v>
      </c>
      <c r="B26052" s="318" t="s">
        <v>237</v>
      </c>
    </row>
    <row r="26053" spans="1:2" ht="12.75" customHeight="1" x14ac:dyDescent="0.25">
      <c r="A26053" s="318">
        <v>372856099336</v>
      </c>
      <c r="B26053" s="318" t="s">
        <v>237</v>
      </c>
    </row>
    <row r="26054" spans="1:2" ht="12.75" customHeight="1" x14ac:dyDescent="0.25">
      <c r="A26054" s="318">
        <v>372856099337</v>
      </c>
      <c r="B26054" s="318" t="s">
        <v>237</v>
      </c>
    </row>
    <row r="26055" spans="1:2" ht="12.75" customHeight="1" x14ac:dyDescent="0.25">
      <c r="A26055" s="318">
        <v>372856099338</v>
      </c>
      <c r="B26055" s="318" t="s">
        <v>237</v>
      </c>
    </row>
    <row r="26056" spans="1:2" ht="12.75" customHeight="1" x14ac:dyDescent="0.25">
      <c r="A26056" s="318">
        <v>372856099339</v>
      </c>
      <c r="B26056" s="318" t="s">
        <v>237</v>
      </c>
    </row>
    <row r="26057" spans="1:2" ht="12.75" customHeight="1" x14ac:dyDescent="0.25">
      <c r="A26057" s="318">
        <v>372856099340</v>
      </c>
      <c r="B26057" s="318" t="s">
        <v>237</v>
      </c>
    </row>
    <row r="26058" spans="1:2" ht="12.75" customHeight="1" x14ac:dyDescent="0.25">
      <c r="A26058" s="318">
        <v>372856580297</v>
      </c>
      <c r="B26058" s="318" t="s">
        <v>23</v>
      </c>
    </row>
    <row r="26059" spans="1:2" ht="12.75" customHeight="1" x14ac:dyDescent="0.25">
      <c r="A26059" s="318">
        <v>372856580298</v>
      </c>
      <c r="B26059" s="318" t="s">
        <v>23</v>
      </c>
    </row>
    <row r="26060" spans="1:2" ht="12.75" customHeight="1" x14ac:dyDescent="0.25">
      <c r="A26060" s="318">
        <v>372856580299</v>
      </c>
      <c r="B26060" s="318" t="s">
        <v>23</v>
      </c>
    </row>
    <row r="26061" spans="1:2" ht="12.75" customHeight="1" x14ac:dyDescent="0.25">
      <c r="A26061" s="318">
        <v>372856580300</v>
      </c>
      <c r="B26061" s="318" t="s">
        <v>23</v>
      </c>
    </row>
    <row r="26062" spans="1:2" ht="12.75" customHeight="1" x14ac:dyDescent="0.25">
      <c r="A26062" s="318">
        <v>372856580301</v>
      </c>
      <c r="B26062" s="318" t="s">
        <v>23</v>
      </c>
    </row>
    <row r="26063" spans="1:2" ht="12.75" customHeight="1" x14ac:dyDescent="0.25">
      <c r="A26063" s="318">
        <v>372856580302</v>
      </c>
      <c r="B26063" s="318" t="s">
        <v>23</v>
      </c>
    </row>
    <row r="26064" spans="1:2" ht="12.75" customHeight="1" x14ac:dyDescent="0.25">
      <c r="A26064" s="318">
        <v>372856580303</v>
      </c>
      <c r="B26064" s="318" t="s">
        <v>23</v>
      </c>
    </row>
    <row r="26065" spans="1:2" ht="12.75" customHeight="1" x14ac:dyDescent="0.25">
      <c r="A26065" s="318">
        <v>372856580304</v>
      </c>
      <c r="B26065" s="318" t="s">
        <v>23</v>
      </c>
    </row>
    <row r="26066" spans="1:2" ht="12.75" customHeight="1" x14ac:dyDescent="0.25">
      <c r="A26066" s="318">
        <v>372856580306</v>
      </c>
      <c r="B26066" s="318" t="s">
        <v>23</v>
      </c>
    </row>
    <row r="26067" spans="1:2" ht="12.75" customHeight="1" x14ac:dyDescent="0.25">
      <c r="A26067" s="318">
        <v>372856580307</v>
      </c>
      <c r="B26067" s="318" t="s">
        <v>23</v>
      </c>
    </row>
    <row r="26068" spans="1:2" ht="12.75" customHeight="1" x14ac:dyDescent="0.25">
      <c r="A26068" s="318">
        <v>372856580308</v>
      </c>
      <c r="B26068" s="318" t="s">
        <v>23</v>
      </c>
    </row>
    <row r="26069" spans="1:2" ht="12.75" customHeight="1" x14ac:dyDescent="0.25">
      <c r="A26069" s="318">
        <v>372856580309</v>
      </c>
      <c r="B26069" s="318" t="s">
        <v>23</v>
      </c>
    </row>
    <row r="26070" spans="1:2" ht="12.75" customHeight="1" x14ac:dyDescent="0.25">
      <c r="A26070" s="318">
        <v>372856580310</v>
      </c>
      <c r="B26070" s="318" t="s">
        <v>23</v>
      </c>
    </row>
    <row r="26071" spans="1:2" ht="12.75" customHeight="1" x14ac:dyDescent="0.25">
      <c r="A26071" s="318">
        <v>372856580311</v>
      </c>
      <c r="B26071" s="318" t="s">
        <v>23</v>
      </c>
    </row>
    <row r="26072" spans="1:2" ht="12.75" customHeight="1" x14ac:dyDescent="0.25">
      <c r="A26072" s="318">
        <v>372856580312</v>
      </c>
      <c r="B26072" s="318" t="s">
        <v>23</v>
      </c>
    </row>
    <row r="26073" spans="1:2" ht="12.75" customHeight="1" x14ac:dyDescent="0.25">
      <c r="A26073" s="318">
        <v>372856580313</v>
      </c>
      <c r="B26073" s="318" t="s">
        <v>23</v>
      </c>
    </row>
    <row r="26074" spans="1:2" ht="12.75" customHeight="1" x14ac:dyDescent="0.25">
      <c r="A26074" s="318">
        <v>372857260488</v>
      </c>
      <c r="B26074" s="318" t="s">
        <v>23</v>
      </c>
    </row>
    <row r="26075" spans="1:2" ht="12.75" customHeight="1" x14ac:dyDescent="0.25">
      <c r="A26075" s="318">
        <v>372857260489</v>
      </c>
      <c r="B26075" s="318" t="s">
        <v>23</v>
      </c>
    </row>
    <row r="26076" spans="1:2" ht="12.75" customHeight="1" x14ac:dyDescent="0.25">
      <c r="A26076" s="318">
        <v>372857260490</v>
      </c>
      <c r="B26076" s="318" t="s">
        <v>23</v>
      </c>
    </row>
    <row r="26077" spans="1:2" ht="12.75" customHeight="1" x14ac:dyDescent="0.25">
      <c r="A26077" s="318">
        <v>372857260491</v>
      </c>
      <c r="B26077" s="318" t="s">
        <v>23</v>
      </c>
    </row>
    <row r="26078" spans="1:2" ht="12.75" customHeight="1" x14ac:dyDescent="0.25">
      <c r="A26078" s="318">
        <v>372857260492</v>
      </c>
      <c r="B26078" s="318" t="s">
        <v>23</v>
      </c>
    </row>
    <row r="26079" spans="1:2" ht="12.75" customHeight="1" x14ac:dyDescent="0.25">
      <c r="A26079" s="318">
        <v>372857260493</v>
      </c>
      <c r="B26079" s="318" t="s">
        <v>23</v>
      </c>
    </row>
    <row r="26080" spans="1:2" ht="12.75" customHeight="1" x14ac:dyDescent="0.25">
      <c r="A26080" s="318">
        <v>372857260494</v>
      </c>
      <c r="B26080" s="318" t="s">
        <v>23</v>
      </c>
    </row>
    <row r="26081" spans="1:2" ht="12.75" customHeight="1" x14ac:dyDescent="0.25">
      <c r="A26081" s="318">
        <v>372857260495</v>
      </c>
      <c r="B26081" s="318" t="s">
        <v>23</v>
      </c>
    </row>
    <row r="26082" spans="1:2" ht="12.75" customHeight="1" x14ac:dyDescent="0.25">
      <c r="A26082" s="318">
        <v>372857260497</v>
      </c>
      <c r="B26082" s="318" t="s">
        <v>237</v>
      </c>
    </row>
    <row r="26083" spans="1:2" ht="12.75" customHeight="1" x14ac:dyDescent="0.25">
      <c r="A26083" s="318">
        <v>372857260498</v>
      </c>
      <c r="B26083" s="318" t="s">
        <v>237</v>
      </c>
    </row>
    <row r="26084" spans="1:2" ht="12.75" customHeight="1" x14ac:dyDescent="0.25">
      <c r="A26084" s="318">
        <v>372857260499</v>
      </c>
      <c r="B26084" s="318" t="s">
        <v>237</v>
      </c>
    </row>
    <row r="26085" spans="1:2" ht="12.75" customHeight="1" x14ac:dyDescent="0.25">
      <c r="A26085" s="318">
        <v>372857260500</v>
      </c>
      <c r="B26085" s="318" t="s">
        <v>237</v>
      </c>
    </row>
    <row r="26086" spans="1:2" ht="12.75" customHeight="1" x14ac:dyDescent="0.25">
      <c r="A26086" s="318">
        <v>372857260501</v>
      </c>
      <c r="B26086" s="318" t="s">
        <v>237</v>
      </c>
    </row>
    <row r="26087" spans="1:2" ht="12.75" customHeight="1" x14ac:dyDescent="0.25">
      <c r="A26087" s="318">
        <v>372857260502</v>
      </c>
      <c r="B26087" s="318" t="s">
        <v>237</v>
      </c>
    </row>
    <row r="26088" spans="1:2" ht="12.75" customHeight="1" x14ac:dyDescent="0.25">
      <c r="A26088" s="318">
        <v>372857260503</v>
      </c>
      <c r="B26088" s="318" t="s">
        <v>237</v>
      </c>
    </row>
    <row r="26089" spans="1:2" ht="12.75" customHeight="1" x14ac:dyDescent="0.25">
      <c r="A26089" s="318">
        <v>372857260504</v>
      </c>
      <c r="B26089" s="318" t="s">
        <v>237</v>
      </c>
    </row>
    <row r="26090" spans="1:2" ht="12.75" customHeight="1" x14ac:dyDescent="0.25">
      <c r="A26090" s="318">
        <v>372857741461</v>
      </c>
      <c r="B26090" s="318" t="s">
        <v>23</v>
      </c>
    </row>
    <row r="26091" spans="1:2" ht="12.75" customHeight="1" x14ac:dyDescent="0.25">
      <c r="A26091" s="318">
        <v>372857741462</v>
      </c>
      <c r="B26091" s="318" t="s">
        <v>23</v>
      </c>
    </row>
    <row r="26092" spans="1:2" ht="12.75" customHeight="1" x14ac:dyDescent="0.25">
      <c r="A26092" s="318">
        <v>372857741463</v>
      </c>
      <c r="B26092" s="318" t="s">
        <v>23</v>
      </c>
    </row>
    <row r="26093" spans="1:2" ht="12.75" customHeight="1" x14ac:dyDescent="0.25">
      <c r="A26093" s="318">
        <v>372857741464</v>
      </c>
      <c r="B26093" s="318" t="s">
        <v>23</v>
      </c>
    </row>
    <row r="26094" spans="1:2" ht="12.75" customHeight="1" x14ac:dyDescent="0.25">
      <c r="A26094" s="318">
        <v>372857741465</v>
      </c>
      <c r="B26094" s="318" t="s">
        <v>23</v>
      </c>
    </row>
    <row r="26095" spans="1:2" ht="12.75" customHeight="1" x14ac:dyDescent="0.25">
      <c r="A26095" s="318">
        <v>372857741466</v>
      </c>
      <c r="B26095" s="318" t="s">
        <v>23</v>
      </c>
    </row>
    <row r="26096" spans="1:2" ht="12.75" customHeight="1" x14ac:dyDescent="0.25">
      <c r="A26096" s="318">
        <v>372857741467</v>
      </c>
      <c r="B26096" s="318" t="s">
        <v>23</v>
      </c>
    </row>
    <row r="26097" spans="1:2" ht="12.75" customHeight="1" x14ac:dyDescent="0.25">
      <c r="A26097" s="318">
        <v>372857741468</v>
      </c>
      <c r="B26097" s="318" t="s">
        <v>23</v>
      </c>
    </row>
    <row r="26098" spans="1:2" ht="12.75" customHeight="1" x14ac:dyDescent="0.25">
      <c r="A26098" s="318">
        <v>372857741470</v>
      </c>
      <c r="B26098" s="318" t="s">
        <v>237</v>
      </c>
    </row>
    <row r="26099" spans="1:2" ht="12.75" customHeight="1" x14ac:dyDescent="0.25">
      <c r="A26099" s="318">
        <v>372857741471</v>
      </c>
      <c r="B26099" s="318" t="s">
        <v>237</v>
      </c>
    </row>
    <row r="26100" spans="1:2" ht="12.75" customHeight="1" x14ac:dyDescent="0.25">
      <c r="A26100" s="318">
        <v>372857741472</v>
      </c>
      <c r="B26100" s="318" t="s">
        <v>237</v>
      </c>
    </row>
    <row r="26101" spans="1:2" ht="12.75" customHeight="1" x14ac:dyDescent="0.25">
      <c r="A26101" s="318">
        <v>372857741473</v>
      </c>
      <c r="B26101" s="318" t="s">
        <v>237</v>
      </c>
    </row>
    <row r="26102" spans="1:2" ht="12.75" customHeight="1" x14ac:dyDescent="0.25">
      <c r="A26102" s="318">
        <v>372857741474</v>
      </c>
      <c r="B26102" s="318" t="s">
        <v>237</v>
      </c>
    </row>
    <row r="26103" spans="1:2" ht="12.75" customHeight="1" x14ac:dyDescent="0.25">
      <c r="A26103" s="318">
        <v>372857741475</v>
      </c>
      <c r="B26103" s="318" t="s">
        <v>237</v>
      </c>
    </row>
    <row r="26104" spans="1:2" ht="12.75" customHeight="1" x14ac:dyDescent="0.25">
      <c r="A26104" s="318">
        <v>372857741476</v>
      </c>
      <c r="B26104" s="318" t="s">
        <v>237</v>
      </c>
    </row>
    <row r="26105" spans="1:2" ht="12.75" customHeight="1" x14ac:dyDescent="0.25">
      <c r="A26105" s="318">
        <v>372857741477</v>
      </c>
      <c r="B26105" s="318" t="s">
        <v>237</v>
      </c>
    </row>
    <row r="26106" spans="1:2" ht="12.75" customHeight="1" x14ac:dyDescent="0.25">
      <c r="A26106" s="318">
        <v>372858222434</v>
      </c>
      <c r="B26106" s="318" t="s">
        <v>23</v>
      </c>
    </row>
    <row r="26107" spans="1:2" ht="12.75" customHeight="1" x14ac:dyDescent="0.25">
      <c r="A26107" s="318">
        <v>372858222435</v>
      </c>
      <c r="B26107" s="318" t="s">
        <v>23</v>
      </c>
    </row>
    <row r="26108" spans="1:2" ht="12.75" customHeight="1" x14ac:dyDescent="0.25">
      <c r="A26108" s="318">
        <v>372858222436</v>
      </c>
      <c r="B26108" s="318" t="s">
        <v>23</v>
      </c>
    </row>
    <row r="26109" spans="1:2" ht="12.75" customHeight="1" x14ac:dyDescent="0.25">
      <c r="A26109" s="318">
        <v>372858222437</v>
      </c>
      <c r="B26109" s="318" t="s">
        <v>23</v>
      </c>
    </row>
    <row r="26110" spans="1:2" ht="12.75" customHeight="1" x14ac:dyDescent="0.25">
      <c r="A26110" s="318">
        <v>372858222438</v>
      </c>
      <c r="B26110" s="318" t="s">
        <v>23</v>
      </c>
    </row>
    <row r="26111" spans="1:2" ht="12.75" customHeight="1" x14ac:dyDescent="0.25">
      <c r="A26111" s="318">
        <v>372858222439</v>
      </c>
      <c r="B26111" s="318" t="s">
        <v>23</v>
      </c>
    </row>
    <row r="26112" spans="1:2" ht="12.75" customHeight="1" x14ac:dyDescent="0.25">
      <c r="A26112" s="318">
        <v>372858222440</v>
      </c>
      <c r="B26112" s="318" t="s">
        <v>23</v>
      </c>
    </row>
    <row r="26113" spans="1:2" ht="12.75" customHeight="1" x14ac:dyDescent="0.25">
      <c r="A26113" s="318">
        <v>372858222441</v>
      </c>
      <c r="B26113" s="318" t="s">
        <v>23</v>
      </c>
    </row>
    <row r="26114" spans="1:2" ht="12.75" customHeight="1" x14ac:dyDescent="0.25">
      <c r="A26114" s="318">
        <v>372858222443</v>
      </c>
      <c r="B26114" s="318" t="s">
        <v>23</v>
      </c>
    </row>
    <row r="26115" spans="1:2" ht="12.75" customHeight="1" x14ac:dyDescent="0.25">
      <c r="A26115" s="318">
        <v>372858222444</v>
      </c>
      <c r="B26115" s="318" t="s">
        <v>23</v>
      </c>
    </row>
    <row r="26116" spans="1:2" ht="12.75" customHeight="1" x14ac:dyDescent="0.25">
      <c r="A26116" s="318">
        <v>372858222445</v>
      </c>
      <c r="B26116" s="318" t="s">
        <v>23</v>
      </c>
    </row>
    <row r="26117" spans="1:2" ht="12.75" customHeight="1" x14ac:dyDescent="0.25">
      <c r="A26117" s="318">
        <v>372858222446</v>
      </c>
      <c r="B26117" s="318" t="s">
        <v>23</v>
      </c>
    </row>
    <row r="26118" spans="1:2" ht="12.75" customHeight="1" x14ac:dyDescent="0.25">
      <c r="A26118" s="318">
        <v>372858222447</v>
      </c>
      <c r="B26118" s="318" t="s">
        <v>23</v>
      </c>
    </row>
    <row r="26119" spans="1:2" ht="12.75" customHeight="1" x14ac:dyDescent="0.25">
      <c r="A26119" s="318">
        <v>372858222448</v>
      </c>
      <c r="B26119" s="318" t="s">
        <v>23</v>
      </c>
    </row>
    <row r="26120" spans="1:2" ht="12.75" customHeight="1" x14ac:dyDescent="0.25">
      <c r="A26120" s="318">
        <v>372858222449</v>
      </c>
      <c r="B26120" s="318" t="s">
        <v>23</v>
      </c>
    </row>
    <row r="26121" spans="1:2" ht="12.75" customHeight="1" x14ac:dyDescent="0.25">
      <c r="A26121" s="318">
        <v>372858222450</v>
      </c>
      <c r="B26121" s="318" t="s">
        <v>23</v>
      </c>
    </row>
    <row r="26122" spans="1:2" ht="12.75" customHeight="1" x14ac:dyDescent="0.25">
      <c r="A26122" s="318">
        <v>372858902625</v>
      </c>
      <c r="B26122" s="318" t="s">
        <v>23</v>
      </c>
    </row>
    <row r="26123" spans="1:2" ht="12.75" customHeight="1" x14ac:dyDescent="0.25">
      <c r="A26123" s="318">
        <v>372858902626</v>
      </c>
      <c r="B26123" s="318" t="s">
        <v>23</v>
      </c>
    </row>
    <row r="26124" spans="1:2" ht="12.75" customHeight="1" x14ac:dyDescent="0.25">
      <c r="A26124" s="318">
        <v>372858902627</v>
      </c>
      <c r="B26124" s="318" t="s">
        <v>23</v>
      </c>
    </row>
    <row r="26125" spans="1:2" ht="12.75" customHeight="1" x14ac:dyDescent="0.25">
      <c r="A26125" s="318">
        <v>372858902628</v>
      </c>
      <c r="B26125" s="318" t="s">
        <v>23</v>
      </c>
    </row>
    <row r="26126" spans="1:2" ht="12.75" customHeight="1" x14ac:dyDescent="0.25">
      <c r="A26126" s="318">
        <v>372858902629</v>
      </c>
      <c r="B26126" s="318" t="s">
        <v>23</v>
      </c>
    </row>
    <row r="26127" spans="1:2" ht="12.75" customHeight="1" x14ac:dyDescent="0.25">
      <c r="A26127" s="318">
        <v>372858902630</v>
      </c>
      <c r="B26127" s="318" t="s">
        <v>23</v>
      </c>
    </row>
    <row r="26128" spans="1:2" ht="12.75" customHeight="1" x14ac:dyDescent="0.25">
      <c r="A26128" s="318">
        <v>372858902631</v>
      </c>
      <c r="B26128" s="318" t="s">
        <v>23</v>
      </c>
    </row>
    <row r="26129" spans="1:2" ht="12.75" customHeight="1" x14ac:dyDescent="0.25">
      <c r="A26129" s="318">
        <v>372858902632</v>
      </c>
      <c r="B26129" s="318" t="s">
        <v>23</v>
      </c>
    </row>
    <row r="26130" spans="1:2" ht="12.75" customHeight="1" x14ac:dyDescent="0.25">
      <c r="A26130" s="318">
        <v>372858902634</v>
      </c>
      <c r="B26130" s="318" t="s">
        <v>23</v>
      </c>
    </row>
    <row r="26131" spans="1:2" ht="12.75" customHeight="1" x14ac:dyDescent="0.25">
      <c r="A26131" s="318">
        <v>372858902635</v>
      </c>
      <c r="B26131" s="318" t="s">
        <v>23</v>
      </c>
    </row>
    <row r="26132" spans="1:2" ht="12.75" customHeight="1" x14ac:dyDescent="0.25">
      <c r="A26132" s="318">
        <v>372858902636</v>
      </c>
      <c r="B26132" s="318" t="s">
        <v>23</v>
      </c>
    </row>
    <row r="26133" spans="1:2" ht="12.75" customHeight="1" x14ac:dyDescent="0.25">
      <c r="A26133" s="318">
        <v>372858902637</v>
      </c>
      <c r="B26133" s="318" t="s">
        <v>23</v>
      </c>
    </row>
    <row r="26134" spans="1:2" ht="12.75" customHeight="1" x14ac:dyDescent="0.25">
      <c r="A26134" s="318">
        <v>372858902638</v>
      </c>
      <c r="B26134" s="318" t="s">
        <v>23</v>
      </c>
    </row>
    <row r="26135" spans="1:2" ht="12.75" customHeight="1" x14ac:dyDescent="0.25">
      <c r="A26135" s="318">
        <v>372858902639</v>
      </c>
      <c r="B26135" s="318" t="s">
        <v>23</v>
      </c>
    </row>
    <row r="26136" spans="1:2" ht="12.75" customHeight="1" x14ac:dyDescent="0.25">
      <c r="A26136" s="318">
        <v>372858902640</v>
      </c>
      <c r="B26136" s="318" t="s">
        <v>23</v>
      </c>
    </row>
    <row r="26137" spans="1:2" ht="12.75" customHeight="1" x14ac:dyDescent="0.25">
      <c r="A26137" s="318">
        <v>372858902641</v>
      </c>
      <c r="B26137" s="318" t="s">
        <v>23</v>
      </c>
    </row>
    <row r="26138" spans="1:2" ht="12.75" customHeight="1" x14ac:dyDescent="0.25">
      <c r="A26138" s="318">
        <v>372859383598</v>
      </c>
      <c r="B26138" s="318" t="s">
        <v>23</v>
      </c>
    </row>
    <row r="26139" spans="1:2" ht="12.75" customHeight="1" x14ac:dyDescent="0.25">
      <c r="A26139" s="318">
        <v>372859383599</v>
      </c>
      <c r="B26139" s="318" t="s">
        <v>23</v>
      </c>
    </row>
    <row r="26140" spans="1:2" ht="12.75" customHeight="1" x14ac:dyDescent="0.25">
      <c r="A26140" s="318">
        <v>372859383600</v>
      </c>
      <c r="B26140" s="318" t="s">
        <v>23</v>
      </c>
    </row>
    <row r="26141" spans="1:2" ht="12.75" customHeight="1" x14ac:dyDescent="0.25">
      <c r="A26141" s="318">
        <v>372859383601</v>
      </c>
      <c r="B26141" s="318" t="s">
        <v>23</v>
      </c>
    </row>
    <row r="26142" spans="1:2" ht="12.75" customHeight="1" x14ac:dyDescent="0.25">
      <c r="A26142" s="318">
        <v>372859383602</v>
      </c>
      <c r="B26142" s="318" t="s">
        <v>23</v>
      </c>
    </row>
    <row r="26143" spans="1:2" ht="12.75" customHeight="1" x14ac:dyDescent="0.25">
      <c r="A26143" s="318">
        <v>372859383603</v>
      </c>
      <c r="B26143" s="318" t="s">
        <v>23</v>
      </c>
    </row>
    <row r="26144" spans="1:2" ht="12.75" customHeight="1" x14ac:dyDescent="0.25">
      <c r="A26144" s="318">
        <v>372859383604</v>
      </c>
      <c r="B26144" s="318" t="s">
        <v>23</v>
      </c>
    </row>
    <row r="26145" spans="1:2" ht="12.75" customHeight="1" x14ac:dyDescent="0.25">
      <c r="A26145" s="318">
        <v>372859383605</v>
      </c>
      <c r="B26145" s="318" t="s">
        <v>23</v>
      </c>
    </row>
    <row r="26146" spans="1:2" ht="12.75" customHeight="1" x14ac:dyDescent="0.25">
      <c r="A26146" s="318">
        <v>372859383607</v>
      </c>
      <c r="B26146" s="318" t="s">
        <v>23</v>
      </c>
    </row>
    <row r="26147" spans="1:2" ht="12.75" customHeight="1" x14ac:dyDescent="0.25">
      <c r="A26147" s="318">
        <v>372859383608</v>
      </c>
      <c r="B26147" s="318" t="s">
        <v>23</v>
      </c>
    </row>
    <row r="26148" spans="1:2" ht="12.75" customHeight="1" x14ac:dyDescent="0.25">
      <c r="A26148" s="318">
        <v>372859383609</v>
      </c>
      <c r="B26148" s="318" t="s">
        <v>23</v>
      </c>
    </row>
    <row r="26149" spans="1:2" ht="12.75" customHeight="1" x14ac:dyDescent="0.25">
      <c r="A26149" s="318">
        <v>372859383610</v>
      </c>
      <c r="B26149" s="318" t="s">
        <v>23</v>
      </c>
    </row>
    <row r="26150" spans="1:2" ht="12.75" customHeight="1" x14ac:dyDescent="0.25">
      <c r="A26150" s="318">
        <v>372859383611</v>
      </c>
      <c r="B26150" s="318" t="s">
        <v>23</v>
      </c>
    </row>
    <row r="26151" spans="1:2" ht="12.75" customHeight="1" x14ac:dyDescent="0.25">
      <c r="A26151" s="318">
        <v>372859383612</v>
      </c>
      <c r="B26151" s="318" t="s">
        <v>23</v>
      </c>
    </row>
    <row r="26152" spans="1:2" ht="12.75" customHeight="1" x14ac:dyDescent="0.25">
      <c r="A26152" s="318">
        <v>372859383613</v>
      </c>
      <c r="B26152" s="318" t="s">
        <v>23</v>
      </c>
    </row>
    <row r="26153" spans="1:2" ht="12.75" customHeight="1" x14ac:dyDescent="0.25">
      <c r="A26153" s="318">
        <v>372859383614</v>
      </c>
      <c r="B26153" s="318" t="s">
        <v>23</v>
      </c>
    </row>
    <row r="26154" spans="1:2" ht="12.75" customHeight="1" x14ac:dyDescent="0.25">
      <c r="A26154" s="318">
        <v>372859864571</v>
      </c>
      <c r="B26154" s="318" t="s">
        <v>23</v>
      </c>
    </row>
    <row r="26155" spans="1:2" ht="12.75" customHeight="1" x14ac:dyDescent="0.25">
      <c r="A26155" s="318">
        <v>372859864572</v>
      </c>
      <c r="B26155" s="318" t="s">
        <v>23</v>
      </c>
    </row>
    <row r="26156" spans="1:2" ht="12.75" customHeight="1" x14ac:dyDescent="0.25">
      <c r="A26156" s="318">
        <v>372859864573</v>
      </c>
      <c r="B26156" s="318" t="s">
        <v>23</v>
      </c>
    </row>
    <row r="26157" spans="1:2" ht="12.75" customHeight="1" x14ac:dyDescent="0.25">
      <c r="A26157" s="318">
        <v>372859864574</v>
      </c>
      <c r="B26157" s="318" t="s">
        <v>23</v>
      </c>
    </row>
    <row r="26158" spans="1:2" ht="12.75" customHeight="1" x14ac:dyDescent="0.25">
      <c r="A26158" s="318">
        <v>372859864575</v>
      </c>
      <c r="B26158" s="318" t="s">
        <v>23</v>
      </c>
    </row>
    <row r="26159" spans="1:2" ht="12.75" customHeight="1" x14ac:dyDescent="0.25">
      <c r="A26159" s="318">
        <v>372859864576</v>
      </c>
      <c r="B26159" s="318" t="s">
        <v>23</v>
      </c>
    </row>
    <row r="26160" spans="1:2" ht="12.75" customHeight="1" x14ac:dyDescent="0.25">
      <c r="A26160" s="318">
        <v>372859864577</v>
      </c>
      <c r="B26160" s="318" t="s">
        <v>23</v>
      </c>
    </row>
    <row r="26161" spans="1:2" ht="12.75" customHeight="1" x14ac:dyDescent="0.25">
      <c r="A26161" s="318">
        <v>372859864578</v>
      </c>
      <c r="B26161" s="318" t="s">
        <v>23</v>
      </c>
    </row>
    <row r="26162" spans="1:2" ht="12.75" customHeight="1" x14ac:dyDescent="0.25">
      <c r="A26162" s="318">
        <v>372859864580</v>
      </c>
      <c r="B26162" s="318" t="s">
        <v>23</v>
      </c>
    </row>
    <row r="26163" spans="1:2" ht="12.75" customHeight="1" x14ac:dyDescent="0.25">
      <c r="A26163" s="318">
        <v>372859864581</v>
      </c>
      <c r="B26163" s="318" t="s">
        <v>23</v>
      </c>
    </row>
    <row r="26164" spans="1:2" ht="12.75" customHeight="1" x14ac:dyDescent="0.25">
      <c r="A26164" s="318">
        <v>372859864582</v>
      </c>
      <c r="B26164" s="318" t="s">
        <v>23</v>
      </c>
    </row>
    <row r="26165" spans="1:2" ht="12.75" customHeight="1" x14ac:dyDescent="0.25">
      <c r="A26165" s="318">
        <v>372859864583</v>
      </c>
      <c r="B26165" s="318" t="s">
        <v>23</v>
      </c>
    </row>
    <row r="26166" spans="1:2" ht="12.75" customHeight="1" x14ac:dyDescent="0.25">
      <c r="A26166" s="318">
        <v>372859864584</v>
      </c>
      <c r="B26166" s="318" t="s">
        <v>23</v>
      </c>
    </row>
    <row r="26167" spans="1:2" ht="12.75" customHeight="1" x14ac:dyDescent="0.25">
      <c r="A26167" s="318">
        <v>372859864585</v>
      </c>
      <c r="B26167" s="318" t="s">
        <v>23</v>
      </c>
    </row>
    <row r="26168" spans="1:2" ht="12.75" customHeight="1" x14ac:dyDescent="0.25">
      <c r="A26168" s="318">
        <v>372859864586</v>
      </c>
      <c r="B26168" s="318" t="s">
        <v>23</v>
      </c>
    </row>
    <row r="26169" spans="1:2" ht="12.75" customHeight="1" x14ac:dyDescent="0.25">
      <c r="A26169" s="318">
        <v>372859864587</v>
      </c>
      <c r="B26169" s="318" t="s">
        <v>23</v>
      </c>
    </row>
    <row r="26170" spans="1:2" ht="12.75" customHeight="1" x14ac:dyDescent="0.25">
      <c r="A26170" s="318">
        <v>372861224952</v>
      </c>
      <c r="B26170" s="318" t="s">
        <v>23</v>
      </c>
    </row>
    <row r="26171" spans="1:2" ht="12.75" customHeight="1" x14ac:dyDescent="0.25">
      <c r="A26171" s="318">
        <v>372861224953</v>
      </c>
      <c r="B26171" s="318" t="s">
        <v>23</v>
      </c>
    </row>
    <row r="26172" spans="1:2" ht="12.75" customHeight="1" x14ac:dyDescent="0.25">
      <c r="A26172" s="318">
        <v>372861224954</v>
      </c>
      <c r="B26172" s="318" t="s">
        <v>23</v>
      </c>
    </row>
    <row r="26173" spans="1:2" ht="12.75" customHeight="1" x14ac:dyDescent="0.25">
      <c r="A26173" s="318">
        <v>372861224955</v>
      </c>
      <c r="B26173" s="318" t="s">
        <v>23</v>
      </c>
    </row>
    <row r="26174" spans="1:2" ht="12.75" customHeight="1" x14ac:dyDescent="0.25">
      <c r="A26174" s="318">
        <v>372861224956</v>
      </c>
      <c r="B26174" s="318" t="s">
        <v>23</v>
      </c>
    </row>
    <row r="26175" spans="1:2" ht="12.75" customHeight="1" x14ac:dyDescent="0.25">
      <c r="A26175" s="318">
        <v>372861224957</v>
      </c>
      <c r="B26175" s="318" t="s">
        <v>23</v>
      </c>
    </row>
    <row r="26176" spans="1:2" ht="12.75" customHeight="1" x14ac:dyDescent="0.25">
      <c r="A26176" s="318">
        <v>372861224958</v>
      </c>
      <c r="B26176" s="318" t="s">
        <v>23</v>
      </c>
    </row>
    <row r="26177" spans="1:2" ht="12.75" customHeight="1" x14ac:dyDescent="0.25">
      <c r="A26177" s="318">
        <v>372861224959</v>
      </c>
      <c r="B26177" s="318" t="s">
        <v>23</v>
      </c>
    </row>
    <row r="26178" spans="1:2" ht="12.75" customHeight="1" x14ac:dyDescent="0.25">
      <c r="A26178" s="318">
        <v>372861224961</v>
      </c>
      <c r="B26178" s="318" t="s">
        <v>237</v>
      </c>
    </row>
    <row r="26179" spans="1:2" ht="12.75" customHeight="1" x14ac:dyDescent="0.25">
      <c r="A26179" s="318">
        <v>372861224962</v>
      </c>
      <c r="B26179" s="318" t="s">
        <v>237</v>
      </c>
    </row>
    <row r="26180" spans="1:2" ht="12.75" customHeight="1" x14ac:dyDescent="0.25">
      <c r="A26180" s="318">
        <v>372861224963</v>
      </c>
      <c r="B26180" s="318" t="s">
        <v>237</v>
      </c>
    </row>
    <row r="26181" spans="1:2" ht="12.75" customHeight="1" x14ac:dyDescent="0.25">
      <c r="A26181" s="318">
        <v>372861224964</v>
      </c>
      <c r="B26181" s="318" t="s">
        <v>237</v>
      </c>
    </row>
    <row r="26182" spans="1:2" ht="12.75" customHeight="1" x14ac:dyDescent="0.25">
      <c r="A26182" s="318">
        <v>372861224965</v>
      </c>
      <c r="B26182" s="318" t="s">
        <v>237</v>
      </c>
    </row>
    <row r="26183" spans="1:2" ht="12.75" customHeight="1" x14ac:dyDescent="0.25">
      <c r="A26183" s="318">
        <v>372861224966</v>
      </c>
      <c r="B26183" s="318" t="s">
        <v>237</v>
      </c>
    </row>
    <row r="26184" spans="1:2" ht="12.75" customHeight="1" x14ac:dyDescent="0.25">
      <c r="A26184" s="318">
        <v>372861224967</v>
      </c>
      <c r="B26184" s="318" t="s">
        <v>237</v>
      </c>
    </row>
    <row r="26185" spans="1:2" ht="12.75" customHeight="1" x14ac:dyDescent="0.25">
      <c r="A26185" s="318">
        <v>372861224968</v>
      </c>
      <c r="B26185" s="318" t="s">
        <v>237</v>
      </c>
    </row>
    <row r="26186" spans="1:2" ht="12.75" customHeight="1" x14ac:dyDescent="0.25">
      <c r="A26186" s="318">
        <v>372861705925</v>
      </c>
      <c r="B26186" s="318" t="s">
        <v>23</v>
      </c>
    </row>
    <row r="26187" spans="1:2" ht="12.75" customHeight="1" x14ac:dyDescent="0.25">
      <c r="A26187" s="318">
        <v>372861705926</v>
      </c>
      <c r="B26187" s="318" t="s">
        <v>23</v>
      </c>
    </row>
    <row r="26188" spans="1:2" ht="12.75" customHeight="1" x14ac:dyDescent="0.25">
      <c r="A26188" s="318">
        <v>372861705927</v>
      </c>
      <c r="B26188" s="318" t="s">
        <v>23</v>
      </c>
    </row>
    <row r="26189" spans="1:2" ht="12.75" customHeight="1" x14ac:dyDescent="0.25">
      <c r="A26189" s="318">
        <v>372861705928</v>
      </c>
      <c r="B26189" s="318" t="s">
        <v>23</v>
      </c>
    </row>
    <row r="26190" spans="1:2" ht="12.75" customHeight="1" x14ac:dyDescent="0.25">
      <c r="A26190" s="318">
        <v>372861705929</v>
      </c>
      <c r="B26190" s="318" t="s">
        <v>23</v>
      </c>
    </row>
    <row r="26191" spans="1:2" ht="12.75" customHeight="1" x14ac:dyDescent="0.25">
      <c r="A26191" s="318">
        <v>372861705930</v>
      </c>
      <c r="B26191" s="318" t="s">
        <v>23</v>
      </c>
    </row>
    <row r="26192" spans="1:2" ht="12.75" customHeight="1" x14ac:dyDescent="0.25">
      <c r="A26192" s="318">
        <v>372861705931</v>
      </c>
      <c r="B26192" s="318" t="s">
        <v>23</v>
      </c>
    </row>
    <row r="26193" spans="1:2" ht="12.75" customHeight="1" x14ac:dyDescent="0.25">
      <c r="A26193" s="318">
        <v>372861705932</v>
      </c>
      <c r="B26193" s="318" t="s">
        <v>23</v>
      </c>
    </row>
    <row r="26194" spans="1:2" ht="12.75" customHeight="1" x14ac:dyDescent="0.25">
      <c r="A26194" s="318">
        <v>372861705934</v>
      </c>
      <c r="B26194" s="318" t="s">
        <v>237</v>
      </c>
    </row>
    <row r="26195" spans="1:2" ht="12.75" customHeight="1" x14ac:dyDescent="0.25">
      <c r="A26195" s="318">
        <v>372861705935</v>
      </c>
      <c r="B26195" s="318" t="s">
        <v>237</v>
      </c>
    </row>
    <row r="26196" spans="1:2" ht="12.75" customHeight="1" x14ac:dyDescent="0.25">
      <c r="A26196" s="318">
        <v>372861705936</v>
      </c>
      <c r="B26196" s="318" t="s">
        <v>237</v>
      </c>
    </row>
    <row r="26197" spans="1:2" ht="12.75" customHeight="1" x14ac:dyDescent="0.25">
      <c r="A26197" s="318">
        <v>372861705937</v>
      </c>
      <c r="B26197" s="318" t="s">
        <v>237</v>
      </c>
    </row>
    <row r="26198" spans="1:2" ht="12.75" customHeight="1" x14ac:dyDescent="0.25">
      <c r="A26198" s="318">
        <v>372861705938</v>
      </c>
      <c r="B26198" s="318" t="s">
        <v>237</v>
      </c>
    </row>
    <row r="26199" spans="1:2" ht="12.75" customHeight="1" x14ac:dyDescent="0.25">
      <c r="A26199" s="318">
        <v>372861705939</v>
      </c>
      <c r="B26199" s="318" t="s">
        <v>237</v>
      </c>
    </row>
    <row r="26200" spans="1:2" ht="12.75" customHeight="1" x14ac:dyDescent="0.25">
      <c r="A26200" s="318">
        <v>372861705940</v>
      </c>
      <c r="B26200" s="318" t="s">
        <v>237</v>
      </c>
    </row>
    <row r="26201" spans="1:2" ht="12.75" customHeight="1" x14ac:dyDescent="0.25">
      <c r="A26201" s="318">
        <v>372861705941</v>
      </c>
      <c r="B26201" s="318" t="s">
        <v>237</v>
      </c>
    </row>
    <row r="26202" spans="1:2" ht="12.75" customHeight="1" x14ac:dyDescent="0.25">
      <c r="A26202" s="318">
        <v>372862186898</v>
      </c>
      <c r="B26202" s="318" t="s">
        <v>23</v>
      </c>
    </row>
    <row r="26203" spans="1:2" ht="12.75" customHeight="1" x14ac:dyDescent="0.25">
      <c r="A26203" s="318">
        <v>372862186899</v>
      </c>
      <c r="B26203" s="318" t="s">
        <v>23</v>
      </c>
    </row>
    <row r="26204" spans="1:2" ht="12.75" customHeight="1" x14ac:dyDescent="0.25">
      <c r="A26204" s="318">
        <v>372862186900</v>
      </c>
      <c r="B26204" s="318" t="s">
        <v>23</v>
      </c>
    </row>
    <row r="26205" spans="1:2" ht="12.75" customHeight="1" x14ac:dyDescent="0.25">
      <c r="A26205" s="318">
        <v>372862186901</v>
      </c>
      <c r="B26205" s="318" t="s">
        <v>23</v>
      </c>
    </row>
    <row r="26206" spans="1:2" ht="12.75" customHeight="1" x14ac:dyDescent="0.25">
      <c r="A26206" s="318">
        <v>372862186902</v>
      </c>
      <c r="B26206" s="318" t="s">
        <v>23</v>
      </c>
    </row>
    <row r="26207" spans="1:2" ht="12.75" customHeight="1" x14ac:dyDescent="0.25">
      <c r="A26207" s="318">
        <v>372862186903</v>
      </c>
      <c r="B26207" s="318" t="s">
        <v>23</v>
      </c>
    </row>
    <row r="26208" spans="1:2" ht="12.75" customHeight="1" x14ac:dyDescent="0.25">
      <c r="A26208" s="318">
        <v>372862186904</v>
      </c>
      <c r="B26208" s="318" t="s">
        <v>23</v>
      </c>
    </row>
    <row r="26209" spans="1:2" ht="12.75" customHeight="1" x14ac:dyDescent="0.25">
      <c r="A26209" s="318">
        <v>372862186905</v>
      </c>
      <c r="B26209" s="318" t="s">
        <v>23</v>
      </c>
    </row>
    <row r="26210" spans="1:2" ht="12.75" customHeight="1" x14ac:dyDescent="0.25">
      <c r="A26210" s="318">
        <v>372862186907</v>
      </c>
      <c r="B26210" s="318" t="s">
        <v>23</v>
      </c>
    </row>
    <row r="26211" spans="1:2" ht="12.75" customHeight="1" x14ac:dyDescent="0.25">
      <c r="A26211" s="318">
        <v>372862186908</v>
      </c>
      <c r="B26211" s="318" t="s">
        <v>23</v>
      </c>
    </row>
    <row r="26212" spans="1:2" ht="12.75" customHeight="1" x14ac:dyDescent="0.25">
      <c r="A26212" s="318">
        <v>372862186909</v>
      </c>
      <c r="B26212" s="318" t="s">
        <v>23</v>
      </c>
    </row>
    <row r="26213" spans="1:2" ht="12.75" customHeight="1" x14ac:dyDescent="0.25">
      <c r="A26213" s="318">
        <v>372862186910</v>
      </c>
      <c r="B26213" s="318" t="s">
        <v>23</v>
      </c>
    </row>
    <row r="26214" spans="1:2" ht="12.75" customHeight="1" x14ac:dyDescent="0.25">
      <c r="A26214" s="318">
        <v>372862186911</v>
      </c>
      <c r="B26214" s="318" t="s">
        <v>23</v>
      </c>
    </row>
    <row r="26215" spans="1:2" ht="12.75" customHeight="1" x14ac:dyDescent="0.25">
      <c r="A26215" s="318">
        <v>372862186912</v>
      </c>
      <c r="B26215" s="318" t="s">
        <v>23</v>
      </c>
    </row>
    <row r="26216" spans="1:2" ht="12.75" customHeight="1" x14ac:dyDescent="0.25">
      <c r="A26216" s="318">
        <v>372862186913</v>
      </c>
      <c r="B26216" s="318" t="s">
        <v>23</v>
      </c>
    </row>
    <row r="26217" spans="1:2" ht="12.75" customHeight="1" x14ac:dyDescent="0.25">
      <c r="A26217" s="318">
        <v>372862186914</v>
      </c>
      <c r="B26217" s="318" t="s">
        <v>23</v>
      </c>
    </row>
    <row r="26218" spans="1:2" ht="12.75" customHeight="1" x14ac:dyDescent="0.25">
      <c r="A26218" s="318">
        <v>372862867089</v>
      </c>
      <c r="B26218" s="318" t="s">
        <v>23</v>
      </c>
    </row>
    <row r="26219" spans="1:2" ht="12.75" customHeight="1" x14ac:dyDescent="0.25">
      <c r="A26219" s="318">
        <v>372862867090</v>
      </c>
      <c r="B26219" s="318" t="s">
        <v>23</v>
      </c>
    </row>
    <row r="26220" spans="1:2" ht="12.75" customHeight="1" x14ac:dyDescent="0.25">
      <c r="A26220" s="318">
        <v>372862867091</v>
      </c>
      <c r="B26220" s="318" t="s">
        <v>23</v>
      </c>
    </row>
    <row r="26221" spans="1:2" ht="12.75" customHeight="1" x14ac:dyDescent="0.25">
      <c r="A26221" s="318">
        <v>372862867092</v>
      </c>
      <c r="B26221" s="318" t="s">
        <v>23</v>
      </c>
    </row>
    <row r="26222" spans="1:2" ht="12.75" customHeight="1" x14ac:dyDescent="0.25">
      <c r="A26222" s="318">
        <v>372862867093</v>
      </c>
      <c r="B26222" s="318" t="s">
        <v>23</v>
      </c>
    </row>
    <row r="26223" spans="1:2" ht="12.75" customHeight="1" x14ac:dyDescent="0.25">
      <c r="A26223" s="318">
        <v>372862867094</v>
      </c>
      <c r="B26223" s="318" t="s">
        <v>23</v>
      </c>
    </row>
    <row r="26224" spans="1:2" ht="12.75" customHeight="1" x14ac:dyDescent="0.25">
      <c r="A26224" s="318">
        <v>372862867095</v>
      </c>
      <c r="B26224" s="318" t="s">
        <v>23</v>
      </c>
    </row>
    <row r="26225" spans="1:2" ht="12.75" customHeight="1" x14ac:dyDescent="0.25">
      <c r="A26225" s="318">
        <v>372862867096</v>
      </c>
      <c r="B26225" s="318" t="s">
        <v>23</v>
      </c>
    </row>
    <row r="26226" spans="1:2" ht="12.75" customHeight="1" x14ac:dyDescent="0.25">
      <c r="A26226" s="318">
        <v>372862867098</v>
      </c>
      <c r="B26226" s="318" t="s">
        <v>237</v>
      </c>
    </row>
    <row r="26227" spans="1:2" ht="12.75" customHeight="1" x14ac:dyDescent="0.25">
      <c r="A26227" s="318">
        <v>372862867099</v>
      </c>
      <c r="B26227" s="318" t="s">
        <v>237</v>
      </c>
    </row>
    <row r="26228" spans="1:2" ht="12.75" customHeight="1" x14ac:dyDescent="0.25">
      <c r="A26228" s="318">
        <v>372862867100</v>
      </c>
      <c r="B26228" s="318" t="s">
        <v>237</v>
      </c>
    </row>
    <row r="26229" spans="1:2" ht="12.75" customHeight="1" x14ac:dyDescent="0.25">
      <c r="A26229" s="318">
        <v>372862867101</v>
      </c>
      <c r="B26229" s="318" t="s">
        <v>237</v>
      </c>
    </row>
    <row r="26230" spans="1:2" ht="12.75" customHeight="1" x14ac:dyDescent="0.25">
      <c r="A26230" s="318">
        <v>372862867102</v>
      </c>
      <c r="B26230" s="318" t="s">
        <v>237</v>
      </c>
    </row>
    <row r="26231" spans="1:2" ht="12.75" customHeight="1" x14ac:dyDescent="0.25">
      <c r="A26231" s="318">
        <v>372862867103</v>
      </c>
      <c r="B26231" s="318" t="s">
        <v>237</v>
      </c>
    </row>
    <row r="26232" spans="1:2" ht="12.75" customHeight="1" x14ac:dyDescent="0.25">
      <c r="A26232" s="318">
        <v>372862867104</v>
      </c>
      <c r="B26232" s="318" t="s">
        <v>237</v>
      </c>
    </row>
    <row r="26233" spans="1:2" ht="12.75" customHeight="1" x14ac:dyDescent="0.25">
      <c r="A26233" s="318">
        <v>372862867105</v>
      </c>
      <c r="B26233" s="318" t="s">
        <v>237</v>
      </c>
    </row>
    <row r="26234" spans="1:2" ht="12.75" customHeight="1" x14ac:dyDescent="0.25">
      <c r="A26234" s="318">
        <v>372863348062</v>
      </c>
      <c r="B26234" s="318" t="s">
        <v>23</v>
      </c>
    </row>
    <row r="26235" spans="1:2" ht="12.75" customHeight="1" x14ac:dyDescent="0.25">
      <c r="A26235" s="318">
        <v>372863348063</v>
      </c>
      <c r="B26235" s="318" t="s">
        <v>23</v>
      </c>
    </row>
    <row r="26236" spans="1:2" ht="12.75" customHeight="1" x14ac:dyDescent="0.25">
      <c r="A26236" s="318">
        <v>372863348064</v>
      </c>
      <c r="B26236" s="318" t="s">
        <v>23</v>
      </c>
    </row>
    <row r="26237" spans="1:2" ht="12.75" customHeight="1" x14ac:dyDescent="0.25">
      <c r="A26237" s="318">
        <v>372863348065</v>
      </c>
      <c r="B26237" s="318" t="s">
        <v>23</v>
      </c>
    </row>
    <row r="26238" spans="1:2" ht="12.75" customHeight="1" x14ac:dyDescent="0.25">
      <c r="A26238" s="318">
        <v>372863348066</v>
      </c>
      <c r="B26238" s="318" t="s">
        <v>23</v>
      </c>
    </row>
    <row r="26239" spans="1:2" ht="12.75" customHeight="1" x14ac:dyDescent="0.25">
      <c r="A26239" s="318">
        <v>372863348067</v>
      </c>
      <c r="B26239" s="318" t="s">
        <v>23</v>
      </c>
    </row>
    <row r="26240" spans="1:2" ht="12.75" customHeight="1" x14ac:dyDescent="0.25">
      <c r="A26240" s="318">
        <v>372863348068</v>
      </c>
      <c r="B26240" s="318" t="s">
        <v>23</v>
      </c>
    </row>
    <row r="26241" spans="1:2" ht="12.75" customHeight="1" x14ac:dyDescent="0.25">
      <c r="A26241" s="318">
        <v>372863348069</v>
      </c>
      <c r="B26241" s="318" t="s">
        <v>23</v>
      </c>
    </row>
    <row r="26242" spans="1:2" ht="12.75" customHeight="1" x14ac:dyDescent="0.25">
      <c r="A26242" s="318">
        <v>372863348071</v>
      </c>
      <c r="B26242" s="318" t="s">
        <v>237</v>
      </c>
    </row>
    <row r="26243" spans="1:2" ht="12.75" customHeight="1" x14ac:dyDescent="0.25">
      <c r="A26243" s="318">
        <v>372863348072</v>
      </c>
      <c r="B26243" s="318" t="s">
        <v>237</v>
      </c>
    </row>
    <row r="26244" spans="1:2" ht="12.75" customHeight="1" x14ac:dyDescent="0.25">
      <c r="A26244" s="318">
        <v>372863348073</v>
      </c>
      <c r="B26244" s="318" t="s">
        <v>237</v>
      </c>
    </row>
    <row r="26245" spans="1:2" ht="12.75" customHeight="1" x14ac:dyDescent="0.25">
      <c r="A26245" s="318">
        <v>372863348074</v>
      </c>
      <c r="B26245" s="318" t="s">
        <v>237</v>
      </c>
    </row>
    <row r="26246" spans="1:2" ht="12.75" customHeight="1" x14ac:dyDescent="0.25">
      <c r="A26246" s="318">
        <v>372863348075</v>
      </c>
      <c r="B26246" s="318" t="s">
        <v>237</v>
      </c>
    </row>
    <row r="26247" spans="1:2" ht="12.75" customHeight="1" x14ac:dyDescent="0.25">
      <c r="A26247" s="318">
        <v>372863348076</v>
      </c>
      <c r="B26247" s="318" t="s">
        <v>237</v>
      </c>
    </row>
    <row r="26248" spans="1:2" ht="12.75" customHeight="1" x14ac:dyDescent="0.25">
      <c r="A26248" s="318">
        <v>372863348077</v>
      </c>
      <c r="B26248" s="318" t="s">
        <v>237</v>
      </c>
    </row>
    <row r="26249" spans="1:2" ht="12.75" customHeight="1" x14ac:dyDescent="0.25">
      <c r="A26249" s="318">
        <v>372863348078</v>
      </c>
      <c r="B26249" s="318" t="s">
        <v>237</v>
      </c>
    </row>
    <row r="26250" spans="1:2" ht="12.75" customHeight="1" x14ac:dyDescent="0.25">
      <c r="A26250" s="318">
        <v>372863829035</v>
      </c>
      <c r="B26250" s="318" t="s">
        <v>23</v>
      </c>
    </row>
    <row r="26251" spans="1:2" ht="12.75" customHeight="1" x14ac:dyDescent="0.25">
      <c r="A26251" s="318">
        <v>372863829036</v>
      </c>
      <c r="B26251" s="318" t="s">
        <v>23</v>
      </c>
    </row>
    <row r="26252" spans="1:2" ht="12.75" customHeight="1" x14ac:dyDescent="0.25">
      <c r="A26252" s="318">
        <v>372863829037</v>
      </c>
      <c r="B26252" s="318" t="s">
        <v>23</v>
      </c>
    </row>
    <row r="26253" spans="1:2" ht="12.75" customHeight="1" x14ac:dyDescent="0.25">
      <c r="A26253" s="318">
        <v>372863829038</v>
      </c>
      <c r="B26253" s="318" t="s">
        <v>23</v>
      </c>
    </row>
    <row r="26254" spans="1:2" ht="12.75" customHeight="1" x14ac:dyDescent="0.25">
      <c r="A26254" s="318">
        <v>372863829039</v>
      </c>
      <c r="B26254" s="318" t="s">
        <v>23</v>
      </c>
    </row>
    <row r="26255" spans="1:2" ht="12.75" customHeight="1" x14ac:dyDescent="0.25">
      <c r="A26255" s="318">
        <v>372863829040</v>
      </c>
      <c r="B26255" s="318" t="s">
        <v>23</v>
      </c>
    </row>
    <row r="26256" spans="1:2" ht="12.75" customHeight="1" x14ac:dyDescent="0.25">
      <c r="A26256" s="318">
        <v>372863829041</v>
      </c>
      <c r="B26256" s="318" t="s">
        <v>23</v>
      </c>
    </row>
    <row r="26257" spans="1:2" ht="12.75" customHeight="1" x14ac:dyDescent="0.25">
      <c r="A26257" s="318">
        <v>372863829042</v>
      </c>
      <c r="B26257" s="318" t="s">
        <v>23</v>
      </c>
    </row>
    <row r="26258" spans="1:2" ht="12.75" customHeight="1" x14ac:dyDescent="0.25">
      <c r="A26258" s="318">
        <v>372863829044</v>
      </c>
      <c r="B26258" s="318" t="s">
        <v>23</v>
      </c>
    </row>
    <row r="26259" spans="1:2" ht="12.75" customHeight="1" x14ac:dyDescent="0.25">
      <c r="A26259" s="318">
        <v>372863829045</v>
      </c>
      <c r="B26259" s="318" t="s">
        <v>23</v>
      </c>
    </row>
    <row r="26260" spans="1:2" ht="12.75" customHeight="1" x14ac:dyDescent="0.25">
      <c r="A26260" s="318">
        <v>372863829046</v>
      </c>
      <c r="B26260" s="318" t="s">
        <v>23</v>
      </c>
    </row>
    <row r="26261" spans="1:2" ht="12.75" customHeight="1" x14ac:dyDescent="0.25">
      <c r="A26261" s="318">
        <v>372863829047</v>
      </c>
      <c r="B26261" s="318" t="s">
        <v>23</v>
      </c>
    </row>
    <row r="26262" spans="1:2" ht="12.75" customHeight="1" x14ac:dyDescent="0.25">
      <c r="A26262" s="318">
        <v>372863829048</v>
      </c>
      <c r="B26262" s="318" t="s">
        <v>23</v>
      </c>
    </row>
    <row r="26263" spans="1:2" ht="12.75" customHeight="1" x14ac:dyDescent="0.25">
      <c r="A26263" s="318">
        <v>372863829049</v>
      </c>
      <c r="B26263" s="318" t="s">
        <v>23</v>
      </c>
    </row>
    <row r="26264" spans="1:2" ht="12.75" customHeight="1" x14ac:dyDescent="0.25">
      <c r="A26264" s="318">
        <v>372863829050</v>
      </c>
      <c r="B26264" s="318" t="s">
        <v>23</v>
      </c>
    </row>
    <row r="26265" spans="1:2" ht="12.75" customHeight="1" x14ac:dyDescent="0.25">
      <c r="A26265" s="318">
        <v>372863829051</v>
      </c>
      <c r="B26265" s="318" t="s">
        <v>23</v>
      </c>
    </row>
    <row r="26266" spans="1:2" ht="12.75" customHeight="1" x14ac:dyDescent="0.25">
      <c r="A26266" s="318">
        <v>372864509226</v>
      </c>
      <c r="B26266" s="318" t="s">
        <v>23</v>
      </c>
    </row>
    <row r="26267" spans="1:2" ht="12.75" customHeight="1" x14ac:dyDescent="0.25">
      <c r="A26267" s="318">
        <v>372864509227</v>
      </c>
      <c r="B26267" s="318" t="s">
        <v>23</v>
      </c>
    </row>
    <row r="26268" spans="1:2" ht="12.75" customHeight="1" x14ac:dyDescent="0.25">
      <c r="A26268" s="318">
        <v>372864509228</v>
      </c>
      <c r="B26268" s="318" t="s">
        <v>23</v>
      </c>
    </row>
    <row r="26269" spans="1:2" ht="12.75" customHeight="1" x14ac:dyDescent="0.25">
      <c r="A26269" s="318">
        <v>372864509229</v>
      </c>
      <c r="B26269" s="318" t="s">
        <v>23</v>
      </c>
    </row>
    <row r="26270" spans="1:2" ht="12.75" customHeight="1" x14ac:dyDescent="0.25">
      <c r="A26270" s="318">
        <v>372864509230</v>
      </c>
      <c r="B26270" s="318" t="s">
        <v>23</v>
      </c>
    </row>
    <row r="26271" spans="1:2" ht="12.75" customHeight="1" x14ac:dyDescent="0.25">
      <c r="A26271" s="318">
        <v>372864509231</v>
      </c>
      <c r="B26271" s="318" t="s">
        <v>23</v>
      </c>
    </row>
    <row r="26272" spans="1:2" ht="12.75" customHeight="1" x14ac:dyDescent="0.25">
      <c r="A26272" s="318">
        <v>372864509232</v>
      </c>
      <c r="B26272" s="318" t="s">
        <v>23</v>
      </c>
    </row>
    <row r="26273" spans="1:2" ht="12.75" customHeight="1" x14ac:dyDescent="0.25">
      <c r="A26273" s="318">
        <v>372864509233</v>
      </c>
      <c r="B26273" s="318" t="s">
        <v>23</v>
      </c>
    </row>
    <row r="26274" spans="1:2" ht="12.75" customHeight="1" x14ac:dyDescent="0.25">
      <c r="A26274" s="318">
        <v>372864509235</v>
      </c>
      <c r="B26274" s="318" t="s">
        <v>23</v>
      </c>
    </row>
    <row r="26275" spans="1:2" ht="12.75" customHeight="1" x14ac:dyDescent="0.25">
      <c r="A26275" s="318">
        <v>372864509236</v>
      </c>
      <c r="B26275" s="318" t="s">
        <v>23</v>
      </c>
    </row>
    <row r="26276" spans="1:2" ht="12.75" customHeight="1" x14ac:dyDescent="0.25">
      <c r="A26276" s="318">
        <v>372864509237</v>
      </c>
      <c r="B26276" s="318" t="s">
        <v>23</v>
      </c>
    </row>
    <row r="26277" spans="1:2" ht="12.75" customHeight="1" x14ac:dyDescent="0.25">
      <c r="A26277" s="318">
        <v>372864509238</v>
      </c>
      <c r="B26277" s="318" t="s">
        <v>23</v>
      </c>
    </row>
    <row r="26278" spans="1:2" ht="12.75" customHeight="1" x14ac:dyDescent="0.25">
      <c r="A26278" s="318">
        <v>372864509239</v>
      </c>
      <c r="B26278" s="318" t="s">
        <v>23</v>
      </c>
    </row>
    <row r="26279" spans="1:2" ht="12.75" customHeight="1" x14ac:dyDescent="0.25">
      <c r="A26279" s="318">
        <v>372864509240</v>
      </c>
      <c r="B26279" s="318" t="s">
        <v>23</v>
      </c>
    </row>
    <row r="26280" spans="1:2" ht="12.75" customHeight="1" x14ac:dyDescent="0.25">
      <c r="A26280" s="318">
        <v>372864509241</v>
      </c>
      <c r="B26280" s="318" t="s">
        <v>23</v>
      </c>
    </row>
    <row r="26281" spans="1:2" ht="12.75" customHeight="1" x14ac:dyDescent="0.25">
      <c r="A26281" s="318">
        <v>372864509242</v>
      </c>
      <c r="B26281" s="318" t="s">
        <v>23</v>
      </c>
    </row>
    <row r="26282" spans="1:2" ht="12.75" customHeight="1" x14ac:dyDescent="0.25">
      <c r="A26282" s="318">
        <v>372864990199</v>
      </c>
      <c r="B26282" s="318" t="s">
        <v>23</v>
      </c>
    </row>
    <row r="26283" spans="1:2" ht="12.75" customHeight="1" x14ac:dyDescent="0.25">
      <c r="A26283" s="318">
        <v>372864990200</v>
      </c>
      <c r="B26283" s="318" t="s">
        <v>23</v>
      </c>
    </row>
    <row r="26284" spans="1:2" ht="12.75" customHeight="1" x14ac:dyDescent="0.25">
      <c r="A26284" s="318">
        <v>372864990201</v>
      </c>
      <c r="B26284" s="318" t="s">
        <v>23</v>
      </c>
    </row>
    <row r="26285" spans="1:2" ht="12.75" customHeight="1" x14ac:dyDescent="0.25">
      <c r="A26285" s="318">
        <v>372864990202</v>
      </c>
      <c r="B26285" s="318" t="s">
        <v>23</v>
      </c>
    </row>
    <row r="26286" spans="1:2" ht="12.75" customHeight="1" x14ac:dyDescent="0.25">
      <c r="A26286" s="318">
        <v>372864990203</v>
      </c>
      <c r="B26286" s="318" t="s">
        <v>23</v>
      </c>
    </row>
    <row r="26287" spans="1:2" ht="12.75" customHeight="1" x14ac:dyDescent="0.25">
      <c r="A26287" s="318">
        <v>372864990204</v>
      </c>
      <c r="B26287" s="318" t="s">
        <v>23</v>
      </c>
    </row>
    <row r="26288" spans="1:2" ht="12.75" customHeight="1" x14ac:dyDescent="0.25">
      <c r="A26288" s="318">
        <v>372864990205</v>
      </c>
      <c r="B26288" s="318" t="s">
        <v>23</v>
      </c>
    </row>
    <row r="26289" spans="1:2" ht="12.75" customHeight="1" x14ac:dyDescent="0.25">
      <c r="A26289" s="318">
        <v>372864990206</v>
      </c>
      <c r="B26289" s="318" t="s">
        <v>23</v>
      </c>
    </row>
    <row r="26290" spans="1:2" ht="12.75" customHeight="1" x14ac:dyDescent="0.25">
      <c r="A26290" s="318">
        <v>372864990208</v>
      </c>
      <c r="B26290" s="318" t="s">
        <v>23</v>
      </c>
    </row>
    <row r="26291" spans="1:2" ht="12.75" customHeight="1" x14ac:dyDescent="0.25">
      <c r="A26291" s="318">
        <v>372864990209</v>
      </c>
      <c r="B26291" s="318" t="s">
        <v>23</v>
      </c>
    </row>
    <row r="26292" spans="1:2" ht="12.75" customHeight="1" x14ac:dyDescent="0.25">
      <c r="A26292" s="318">
        <v>372864990210</v>
      </c>
      <c r="B26292" s="318" t="s">
        <v>23</v>
      </c>
    </row>
    <row r="26293" spans="1:2" ht="12.75" customHeight="1" x14ac:dyDescent="0.25">
      <c r="A26293" s="318">
        <v>372864990211</v>
      </c>
      <c r="B26293" s="318" t="s">
        <v>23</v>
      </c>
    </row>
    <row r="26294" spans="1:2" ht="12.75" customHeight="1" x14ac:dyDescent="0.25">
      <c r="A26294" s="318">
        <v>372864990212</v>
      </c>
      <c r="B26294" s="318" t="s">
        <v>23</v>
      </c>
    </row>
    <row r="26295" spans="1:2" ht="12.75" customHeight="1" x14ac:dyDescent="0.25">
      <c r="A26295" s="318">
        <v>372864990213</v>
      </c>
      <c r="B26295" s="318" t="s">
        <v>23</v>
      </c>
    </row>
    <row r="26296" spans="1:2" ht="12.75" customHeight="1" x14ac:dyDescent="0.25">
      <c r="A26296" s="318">
        <v>372864990214</v>
      </c>
      <c r="B26296" s="318" t="s">
        <v>23</v>
      </c>
    </row>
    <row r="26297" spans="1:2" ht="12.75" customHeight="1" x14ac:dyDescent="0.25">
      <c r="A26297" s="318">
        <v>372864990215</v>
      </c>
      <c r="B26297" s="318" t="s">
        <v>23</v>
      </c>
    </row>
    <row r="26298" spans="1:2" ht="12.75" customHeight="1" x14ac:dyDescent="0.25">
      <c r="A26298" s="318">
        <v>372865471172</v>
      </c>
      <c r="B26298" s="318" t="s">
        <v>23</v>
      </c>
    </row>
    <row r="26299" spans="1:2" ht="12.75" customHeight="1" x14ac:dyDescent="0.25">
      <c r="A26299" s="318">
        <v>372865471173</v>
      </c>
      <c r="B26299" s="318" t="s">
        <v>23</v>
      </c>
    </row>
    <row r="26300" spans="1:2" ht="12.75" customHeight="1" x14ac:dyDescent="0.25">
      <c r="A26300" s="318">
        <v>372865471174</v>
      </c>
      <c r="B26300" s="318" t="s">
        <v>23</v>
      </c>
    </row>
    <row r="26301" spans="1:2" ht="12.75" customHeight="1" x14ac:dyDescent="0.25">
      <c r="A26301" s="318">
        <v>372865471175</v>
      </c>
      <c r="B26301" s="318" t="s">
        <v>23</v>
      </c>
    </row>
    <row r="26302" spans="1:2" ht="12.75" customHeight="1" x14ac:dyDescent="0.25">
      <c r="A26302" s="318">
        <v>372865471176</v>
      </c>
      <c r="B26302" s="318" t="s">
        <v>23</v>
      </c>
    </row>
    <row r="26303" spans="1:2" ht="12.75" customHeight="1" x14ac:dyDescent="0.25">
      <c r="A26303" s="318">
        <v>372865471177</v>
      </c>
      <c r="B26303" s="318" t="s">
        <v>23</v>
      </c>
    </row>
    <row r="26304" spans="1:2" ht="12.75" customHeight="1" x14ac:dyDescent="0.25">
      <c r="A26304" s="318">
        <v>372865471178</v>
      </c>
      <c r="B26304" s="318" t="s">
        <v>23</v>
      </c>
    </row>
    <row r="26305" spans="1:2" ht="12.75" customHeight="1" x14ac:dyDescent="0.25">
      <c r="A26305" s="318">
        <v>372865471179</v>
      </c>
      <c r="B26305" s="318" t="s">
        <v>23</v>
      </c>
    </row>
    <row r="26306" spans="1:2" ht="12.75" customHeight="1" x14ac:dyDescent="0.25">
      <c r="A26306" s="318">
        <v>372865471181</v>
      </c>
      <c r="B26306" s="318" t="s">
        <v>23</v>
      </c>
    </row>
    <row r="26307" spans="1:2" ht="12.75" customHeight="1" x14ac:dyDescent="0.25">
      <c r="A26307" s="318">
        <v>372865471182</v>
      </c>
      <c r="B26307" s="318" t="s">
        <v>23</v>
      </c>
    </row>
    <row r="26308" spans="1:2" ht="12.75" customHeight="1" x14ac:dyDescent="0.25">
      <c r="A26308" s="318">
        <v>372865471183</v>
      </c>
      <c r="B26308" s="318" t="s">
        <v>23</v>
      </c>
    </row>
    <row r="26309" spans="1:2" ht="12.75" customHeight="1" x14ac:dyDescent="0.25">
      <c r="A26309" s="318">
        <v>372865471184</v>
      </c>
      <c r="B26309" s="318" t="s">
        <v>23</v>
      </c>
    </row>
    <row r="26310" spans="1:2" ht="12.75" customHeight="1" x14ac:dyDescent="0.25">
      <c r="A26310" s="318">
        <v>372865471185</v>
      </c>
      <c r="B26310" s="318" t="s">
        <v>23</v>
      </c>
    </row>
    <row r="26311" spans="1:2" ht="12.75" customHeight="1" x14ac:dyDescent="0.25">
      <c r="A26311" s="318">
        <v>372865471186</v>
      </c>
      <c r="B26311" s="318" t="s">
        <v>23</v>
      </c>
    </row>
    <row r="26312" spans="1:2" ht="12.75" customHeight="1" x14ac:dyDescent="0.25">
      <c r="A26312" s="318">
        <v>372865471187</v>
      </c>
      <c r="B26312" s="318" t="s">
        <v>23</v>
      </c>
    </row>
    <row r="26313" spans="1:2" ht="12.75" customHeight="1" x14ac:dyDescent="0.25">
      <c r="A26313" s="318">
        <v>372865471188</v>
      </c>
      <c r="B26313" s="318" t="s">
        <v>23</v>
      </c>
    </row>
    <row r="26314" spans="1:2" ht="12.75" customHeight="1" x14ac:dyDescent="0.25">
      <c r="A26314" s="318">
        <v>372866831553</v>
      </c>
      <c r="B26314" s="318" t="s">
        <v>23</v>
      </c>
    </row>
    <row r="26315" spans="1:2" ht="12.75" customHeight="1" x14ac:dyDescent="0.25">
      <c r="A26315" s="318">
        <v>372866831554</v>
      </c>
      <c r="B26315" s="318" t="s">
        <v>23</v>
      </c>
    </row>
    <row r="26316" spans="1:2" ht="12.75" customHeight="1" x14ac:dyDescent="0.25">
      <c r="A26316" s="318">
        <v>372866831555</v>
      </c>
      <c r="B26316" s="318" t="s">
        <v>23</v>
      </c>
    </row>
    <row r="26317" spans="1:2" ht="12.75" customHeight="1" x14ac:dyDescent="0.25">
      <c r="A26317" s="318">
        <v>372866831556</v>
      </c>
      <c r="B26317" s="318" t="s">
        <v>23</v>
      </c>
    </row>
    <row r="26318" spans="1:2" ht="12.75" customHeight="1" x14ac:dyDescent="0.25">
      <c r="A26318" s="318">
        <v>372866831557</v>
      </c>
      <c r="B26318" s="318" t="s">
        <v>23</v>
      </c>
    </row>
    <row r="26319" spans="1:2" ht="12.75" customHeight="1" x14ac:dyDescent="0.25">
      <c r="A26319" s="318">
        <v>372866831558</v>
      </c>
      <c r="B26319" s="318" t="s">
        <v>23</v>
      </c>
    </row>
    <row r="26320" spans="1:2" ht="12.75" customHeight="1" x14ac:dyDescent="0.25">
      <c r="A26320" s="318">
        <v>372866831559</v>
      </c>
      <c r="B26320" s="318" t="s">
        <v>23</v>
      </c>
    </row>
    <row r="26321" spans="1:2" ht="12.75" customHeight="1" x14ac:dyDescent="0.25">
      <c r="A26321" s="318">
        <v>372866831560</v>
      </c>
      <c r="B26321" s="318" t="s">
        <v>23</v>
      </c>
    </row>
    <row r="26322" spans="1:2" ht="12.75" customHeight="1" x14ac:dyDescent="0.25">
      <c r="A26322" s="318">
        <v>372866831562</v>
      </c>
      <c r="B26322" s="318" t="s">
        <v>23</v>
      </c>
    </row>
    <row r="26323" spans="1:2" ht="12.75" customHeight="1" x14ac:dyDescent="0.25">
      <c r="A26323" s="318">
        <v>372866831563</v>
      </c>
      <c r="B26323" s="318" t="s">
        <v>23</v>
      </c>
    </row>
    <row r="26324" spans="1:2" ht="12.75" customHeight="1" x14ac:dyDescent="0.25">
      <c r="A26324" s="318">
        <v>372866831564</v>
      </c>
      <c r="B26324" s="318" t="s">
        <v>23</v>
      </c>
    </row>
    <row r="26325" spans="1:2" ht="12.75" customHeight="1" x14ac:dyDescent="0.25">
      <c r="A26325" s="318">
        <v>372866831565</v>
      </c>
      <c r="B26325" s="318" t="s">
        <v>23</v>
      </c>
    </row>
    <row r="26326" spans="1:2" ht="12.75" customHeight="1" x14ac:dyDescent="0.25">
      <c r="A26326" s="318">
        <v>372866831566</v>
      </c>
      <c r="B26326" s="318" t="s">
        <v>23</v>
      </c>
    </row>
    <row r="26327" spans="1:2" ht="12.75" customHeight="1" x14ac:dyDescent="0.25">
      <c r="A26327" s="318">
        <v>372866831567</v>
      </c>
      <c r="B26327" s="318" t="s">
        <v>23</v>
      </c>
    </row>
    <row r="26328" spans="1:2" ht="12.75" customHeight="1" x14ac:dyDescent="0.25">
      <c r="A26328" s="318">
        <v>372866831568</v>
      </c>
      <c r="B26328" s="318" t="s">
        <v>23</v>
      </c>
    </row>
    <row r="26329" spans="1:2" ht="12.75" customHeight="1" x14ac:dyDescent="0.25">
      <c r="A26329" s="318">
        <v>372866831569</v>
      </c>
      <c r="B26329" s="318" t="s">
        <v>23</v>
      </c>
    </row>
    <row r="26330" spans="1:2" ht="12.75" customHeight="1" x14ac:dyDescent="0.25">
      <c r="A26330" s="318">
        <v>372867312526</v>
      </c>
      <c r="B26330" s="318" t="s">
        <v>23</v>
      </c>
    </row>
    <row r="26331" spans="1:2" ht="12.75" customHeight="1" x14ac:dyDescent="0.25">
      <c r="A26331" s="318">
        <v>372867312527</v>
      </c>
      <c r="B26331" s="318" t="s">
        <v>23</v>
      </c>
    </row>
    <row r="26332" spans="1:2" ht="12.75" customHeight="1" x14ac:dyDescent="0.25">
      <c r="A26332" s="318">
        <v>372867312528</v>
      </c>
      <c r="B26332" s="318" t="s">
        <v>23</v>
      </c>
    </row>
    <row r="26333" spans="1:2" ht="12.75" customHeight="1" x14ac:dyDescent="0.25">
      <c r="A26333" s="318">
        <v>372867312529</v>
      </c>
      <c r="B26333" s="318" t="s">
        <v>23</v>
      </c>
    </row>
    <row r="26334" spans="1:2" ht="12.75" customHeight="1" x14ac:dyDescent="0.25">
      <c r="A26334" s="318">
        <v>372867312530</v>
      </c>
      <c r="B26334" s="318" t="s">
        <v>23</v>
      </c>
    </row>
    <row r="26335" spans="1:2" ht="12.75" customHeight="1" x14ac:dyDescent="0.25">
      <c r="A26335" s="318">
        <v>372867312531</v>
      </c>
      <c r="B26335" s="318" t="s">
        <v>23</v>
      </c>
    </row>
    <row r="26336" spans="1:2" ht="12.75" customHeight="1" x14ac:dyDescent="0.25">
      <c r="A26336" s="318">
        <v>372867312532</v>
      </c>
      <c r="B26336" s="318" t="s">
        <v>23</v>
      </c>
    </row>
    <row r="26337" spans="1:2" ht="12.75" customHeight="1" x14ac:dyDescent="0.25">
      <c r="A26337" s="318">
        <v>372867312533</v>
      </c>
      <c r="B26337" s="318" t="s">
        <v>23</v>
      </c>
    </row>
    <row r="26338" spans="1:2" ht="12.75" customHeight="1" x14ac:dyDescent="0.25">
      <c r="A26338" s="318">
        <v>372867312535</v>
      </c>
      <c r="B26338" s="318" t="s">
        <v>23</v>
      </c>
    </row>
    <row r="26339" spans="1:2" ht="12.75" customHeight="1" x14ac:dyDescent="0.25">
      <c r="A26339" s="318">
        <v>372867312536</v>
      </c>
      <c r="B26339" s="318" t="s">
        <v>23</v>
      </c>
    </row>
    <row r="26340" spans="1:2" ht="12.75" customHeight="1" x14ac:dyDescent="0.25">
      <c r="A26340" s="318">
        <v>372867312537</v>
      </c>
      <c r="B26340" s="318" t="s">
        <v>23</v>
      </c>
    </row>
    <row r="26341" spans="1:2" ht="12.75" customHeight="1" x14ac:dyDescent="0.25">
      <c r="A26341" s="318">
        <v>372867312538</v>
      </c>
      <c r="B26341" s="318" t="s">
        <v>23</v>
      </c>
    </row>
    <row r="26342" spans="1:2" ht="12.75" customHeight="1" x14ac:dyDescent="0.25">
      <c r="A26342" s="318">
        <v>372867312539</v>
      </c>
      <c r="B26342" s="318" t="s">
        <v>23</v>
      </c>
    </row>
    <row r="26343" spans="1:2" ht="12.75" customHeight="1" x14ac:dyDescent="0.25">
      <c r="A26343" s="318">
        <v>372867312540</v>
      </c>
      <c r="B26343" s="318" t="s">
        <v>23</v>
      </c>
    </row>
    <row r="26344" spans="1:2" ht="12.75" customHeight="1" x14ac:dyDescent="0.25">
      <c r="A26344" s="318">
        <v>372867312541</v>
      </c>
      <c r="B26344" s="318" t="s">
        <v>23</v>
      </c>
    </row>
    <row r="26345" spans="1:2" ht="12.75" customHeight="1" x14ac:dyDescent="0.25">
      <c r="A26345" s="318">
        <v>372867312542</v>
      </c>
      <c r="B26345" s="318" t="s">
        <v>23</v>
      </c>
    </row>
    <row r="26346" spans="1:2" ht="12.75" customHeight="1" x14ac:dyDescent="0.25">
      <c r="A26346" s="318">
        <v>372867793499</v>
      </c>
      <c r="B26346" s="318" t="s">
        <v>23</v>
      </c>
    </row>
    <row r="26347" spans="1:2" ht="12.75" customHeight="1" x14ac:dyDescent="0.25">
      <c r="A26347" s="318">
        <v>372867793500</v>
      </c>
      <c r="B26347" s="318" t="s">
        <v>23</v>
      </c>
    </row>
    <row r="26348" spans="1:2" ht="12.75" customHeight="1" x14ac:dyDescent="0.25">
      <c r="A26348" s="318">
        <v>372867793501</v>
      </c>
      <c r="B26348" s="318" t="s">
        <v>23</v>
      </c>
    </row>
    <row r="26349" spans="1:2" ht="12.75" customHeight="1" x14ac:dyDescent="0.25">
      <c r="A26349" s="318">
        <v>372867793502</v>
      </c>
      <c r="B26349" s="318" t="s">
        <v>23</v>
      </c>
    </row>
    <row r="26350" spans="1:2" ht="12.75" customHeight="1" x14ac:dyDescent="0.25">
      <c r="A26350" s="318">
        <v>372867793503</v>
      </c>
      <c r="B26350" s="318" t="s">
        <v>23</v>
      </c>
    </row>
    <row r="26351" spans="1:2" ht="12.75" customHeight="1" x14ac:dyDescent="0.25">
      <c r="A26351" s="318">
        <v>372867793504</v>
      </c>
      <c r="B26351" s="318" t="s">
        <v>23</v>
      </c>
    </row>
    <row r="26352" spans="1:2" ht="12.75" customHeight="1" x14ac:dyDescent="0.25">
      <c r="A26352" s="318">
        <v>372867793505</v>
      </c>
      <c r="B26352" s="318" t="s">
        <v>23</v>
      </c>
    </row>
    <row r="26353" spans="1:2" ht="12.75" customHeight="1" x14ac:dyDescent="0.25">
      <c r="A26353" s="318">
        <v>372867793506</v>
      </c>
      <c r="B26353" s="318" t="s">
        <v>23</v>
      </c>
    </row>
    <row r="26354" spans="1:2" ht="12.75" customHeight="1" x14ac:dyDescent="0.25">
      <c r="A26354" s="318">
        <v>372867793508</v>
      </c>
      <c r="B26354" s="318" t="s">
        <v>23</v>
      </c>
    </row>
    <row r="26355" spans="1:2" ht="12.75" customHeight="1" x14ac:dyDescent="0.25">
      <c r="A26355" s="318">
        <v>372867793509</v>
      </c>
      <c r="B26355" s="318" t="s">
        <v>23</v>
      </c>
    </row>
    <row r="26356" spans="1:2" ht="12.75" customHeight="1" x14ac:dyDescent="0.25">
      <c r="A26356" s="318">
        <v>372867793510</v>
      </c>
      <c r="B26356" s="318" t="s">
        <v>23</v>
      </c>
    </row>
    <row r="26357" spans="1:2" ht="12.75" customHeight="1" x14ac:dyDescent="0.25">
      <c r="A26357" s="318">
        <v>372867793511</v>
      </c>
      <c r="B26357" s="318" t="s">
        <v>23</v>
      </c>
    </row>
    <row r="26358" spans="1:2" ht="12.75" customHeight="1" x14ac:dyDescent="0.25">
      <c r="A26358" s="318">
        <v>372867793512</v>
      </c>
      <c r="B26358" s="318" t="s">
        <v>23</v>
      </c>
    </row>
    <row r="26359" spans="1:2" ht="12.75" customHeight="1" x14ac:dyDescent="0.25">
      <c r="A26359" s="318">
        <v>372867793513</v>
      </c>
      <c r="B26359" s="318" t="s">
        <v>23</v>
      </c>
    </row>
    <row r="26360" spans="1:2" ht="12.75" customHeight="1" x14ac:dyDescent="0.25">
      <c r="A26360" s="318">
        <v>372867793514</v>
      </c>
      <c r="B26360" s="318" t="s">
        <v>23</v>
      </c>
    </row>
    <row r="26361" spans="1:2" ht="12.75" customHeight="1" x14ac:dyDescent="0.25">
      <c r="A26361" s="318">
        <v>372867793515</v>
      </c>
      <c r="B26361" s="318" t="s">
        <v>23</v>
      </c>
    </row>
    <row r="26362" spans="1:2" ht="12.75" customHeight="1" x14ac:dyDescent="0.25">
      <c r="A26362" s="318">
        <v>372868473690</v>
      </c>
      <c r="B26362" s="318" t="s">
        <v>23</v>
      </c>
    </row>
    <row r="26363" spans="1:2" ht="12.75" customHeight="1" x14ac:dyDescent="0.25">
      <c r="A26363" s="318">
        <v>372868473691</v>
      </c>
      <c r="B26363" s="318" t="s">
        <v>23</v>
      </c>
    </row>
    <row r="26364" spans="1:2" ht="12.75" customHeight="1" x14ac:dyDescent="0.25">
      <c r="A26364" s="318">
        <v>372868473692</v>
      </c>
      <c r="B26364" s="318" t="s">
        <v>23</v>
      </c>
    </row>
    <row r="26365" spans="1:2" ht="12.75" customHeight="1" x14ac:dyDescent="0.25">
      <c r="A26365" s="318">
        <v>372868473693</v>
      </c>
      <c r="B26365" s="318" t="s">
        <v>23</v>
      </c>
    </row>
    <row r="26366" spans="1:2" ht="12.75" customHeight="1" x14ac:dyDescent="0.25">
      <c r="A26366" s="318">
        <v>372868473694</v>
      </c>
      <c r="B26366" s="318" t="s">
        <v>23</v>
      </c>
    </row>
    <row r="26367" spans="1:2" ht="12.75" customHeight="1" x14ac:dyDescent="0.25">
      <c r="A26367" s="318">
        <v>372868473695</v>
      </c>
      <c r="B26367" s="318" t="s">
        <v>23</v>
      </c>
    </row>
    <row r="26368" spans="1:2" ht="12.75" customHeight="1" x14ac:dyDescent="0.25">
      <c r="A26368" s="318">
        <v>372868473696</v>
      </c>
      <c r="B26368" s="318" t="s">
        <v>23</v>
      </c>
    </row>
    <row r="26369" spans="1:2" ht="12.75" customHeight="1" x14ac:dyDescent="0.25">
      <c r="A26369" s="318">
        <v>372868473697</v>
      </c>
      <c r="B26369" s="318" t="s">
        <v>23</v>
      </c>
    </row>
    <row r="26370" spans="1:2" ht="12.75" customHeight="1" x14ac:dyDescent="0.25">
      <c r="A26370" s="318">
        <v>372868473699</v>
      </c>
      <c r="B26370" s="318" t="s">
        <v>23</v>
      </c>
    </row>
    <row r="26371" spans="1:2" ht="12.75" customHeight="1" x14ac:dyDescent="0.25">
      <c r="A26371" s="318">
        <v>372868473700</v>
      </c>
      <c r="B26371" s="318" t="s">
        <v>23</v>
      </c>
    </row>
    <row r="26372" spans="1:2" ht="12.75" customHeight="1" x14ac:dyDescent="0.25">
      <c r="A26372" s="318">
        <v>372868473701</v>
      </c>
      <c r="B26372" s="318" t="s">
        <v>23</v>
      </c>
    </row>
    <row r="26373" spans="1:2" ht="12.75" customHeight="1" x14ac:dyDescent="0.25">
      <c r="A26373" s="318">
        <v>372868473702</v>
      </c>
      <c r="B26373" s="318" t="s">
        <v>23</v>
      </c>
    </row>
    <row r="26374" spans="1:2" ht="12.75" customHeight="1" x14ac:dyDescent="0.25">
      <c r="A26374" s="318">
        <v>372868473703</v>
      </c>
      <c r="B26374" s="318" t="s">
        <v>23</v>
      </c>
    </row>
    <row r="26375" spans="1:2" ht="12.75" customHeight="1" x14ac:dyDescent="0.25">
      <c r="A26375" s="318">
        <v>372868473704</v>
      </c>
      <c r="B26375" s="318" t="s">
        <v>23</v>
      </c>
    </row>
    <row r="26376" spans="1:2" ht="12.75" customHeight="1" x14ac:dyDescent="0.25">
      <c r="A26376" s="318">
        <v>372868473705</v>
      </c>
      <c r="B26376" s="318" t="s">
        <v>23</v>
      </c>
    </row>
    <row r="26377" spans="1:2" ht="12.75" customHeight="1" x14ac:dyDescent="0.25">
      <c r="A26377" s="318">
        <v>372868473706</v>
      </c>
      <c r="B26377" s="318" t="s">
        <v>23</v>
      </c>
    </row>
    <row r="26378" spans="1:2" ht="12.75" customHeight="1" x14ac:dyDescent="0.25">
      <c r="A26378" s="318">
        <v>372868954663</v>
      </c>
      <c r="B26378" s="318" t="s">
        <v>23</v>
      </c>
    </row>
    <row r="26379" spans="1:2" ht="12.75" customHeight="1" x14ac:dyDescent="0.25">
      <c r="A26379" s="318">
        <v>372868954664</v>
      </c>
      <c r="B26379" s="318" t="s">
        <v>23</v>
      </c>
    </row>
    <row r="26380" spans="1:2" ht="12.75" customHeight="1" x14ac:dyDescent="0.25">
      <c r="A26380" s="318">
        <v>372868954665</v>
      </c>
      <c r="B26380" s="318" t="s">
        <v>23</v>
      </c>
    </row>
    <row r="26381" spans="1:2" ht="12.75" customHeight="1" x14ac:dyDescent="0.25">
      <c r="A26381" s="318">
        <v>372868954666</v>
      </c>
      <c r="B26381" s="318" t="s">
        <v>23</v>
      </c>
    </row>
    <row r="26382" spans="1:2" ht="12.75" customHeight="1" x14ac:dyDescent="0.25">
      <c r="A26382" s="318">
        <v>372868954667</v>
      </c>
      <c r="B26382" s="318" t="s">
        <v>23</v>
      </c>
    </row>
    <row r="26383" spans="1:2" ht="12.75" customHeight="1" x14ac:dyDescent="0.25">
      <c r="A26383" s="318">
        <v>372868954668</v>
      </c>
      <c r="B26383" s="318" t="s">
        <v>23</v>
      </c>
    </row>
    <row r="26384" spans="1:2" ht="12.75" customHeight="1" x14ac:dyDescent="0.25">
      <c r="A26384" s="318">
        <v>372868954669</v>
      </c>
      <c r="B26384" s="318" t="s">
        <v>23</v>
      </c>
    </row>
    <row r="26385" spans="1:2" ht="12.75" customHeight="1" x14ac:dyDescent="0.25">
      <c r="A26385" s="318">
        <v>372868954670</v>
      </c>
      <c r="B26385" s="318" t="s">
        <v>23</v>
      </c>
    </row>
    <row r="26386" spans="1:2" ht="12.75" customHeight="1" x14ac:dyDescent="0.25">
      <c r="A26386" s="318">
        <v>372868954672</v>
      </c>
      <c r="B26386" s="318" t="s">
        <v>23</v>
      </c>
    </row>
    <row r="26387" spans="1:2" ht="12.75" customHeight="1" x14ac:dyDescent="0.25">
      <c r="A26387" s="318">
        <v>372868954673</v>
      </c>
      <c r="B26387" s="318" t="s">
        <v>23</v>
      </c>
    </row>
    <row r="26388" spans="1:2" ht="12.75" customHeight="1" x14ac:dyDescent="0.25">
      <c r="A26388" s="318">
        <v>372868954674</v>
      </c>
      <c r="B26388" s="318" t="s">
        <v>23</v>
      </c>
    </row>
    <row r="26389" spans="1:2" ht="12.75" customHeight="1" x14ac:dyDescent="0.25">
      <c r="A26389" s="318">
        <v>372868954675</v>
      </c>
      <c r="B26389" s="318" t="s">
        <v>23</v>
      </c>
    </row>
    <row r="26390" spans="1:2" ht="12.75" customHeight="1" x14ac:dyDescent="0.25">
      <c r="A26390" s="318">
        <v>372868954676</v>
      </c>
      <c r="B26390" s="318" t="s">
        <v>23</v>
      </c>
    </row>
    <row r="26391" spans="1:2" ht="12.75" customHeight="1" x14ac:dyDescent="0.25">
      <c r="A26391" s="318">
        <v>372868954677</v>
      </c>
      <c r="B26391" s="318" t="s">
        <v>23</v>
      </c>
    </row>
    <row r="26392" spans="1:2" ht="12.75" customHeight="1" x14ac:dyDescent="0.25">
      <c r="A26392" s="318">
        <v>372868954678</v>
      </c>
      <c r="B26392" s="318" t="s">
        <v>23</v>
      </c>
    </row>
    <row r="26393" spans="1:2" ht="12.75" customHeight="1" x14ac:dyDescent="0.25">
      <c r="A26393" s="318">
        <v>372868954679</v>
      </c>
      <c r="B26393" s="318" t="s">
        <v>23</v>
      </c>
    </row>
    <row r="26394" spans="1:2" ht="12.75" customHeight="1" x14ac:dyDescent="0.25">
      <c r="A26394" s="318">
        <v>372869435636</v>
      </c>
      <c r="B26394" s="318" t="s">
        <v>23</v>
      </c>
    </row>
    <row r="26395" spans="1:2" ht="12.75" customHeight="1" x14ac:dyDescent="0.25">
      <c r="A26395" s="318">
        <v>372869435637</v>
      </c>
      <c r="B26395" s="318" t="s">
        <v>23</v>
      </c>
    </row>
    <row r="26396" spans="1:2" ht="12.75" customHeight="1" x14ac:dyDescent="0.25">
      <c r="A26396" s="318">
        <v>372869435638</v>
      </c>
      <c r="B26396" s="318" t="s">
        <v>23</v>
      </c>
    </row>
    <row r="26397" spans="1:2" ht="12.75" customHeight="1" x14ac:dyDescent="0.25">
      <c r="A26397" s="318">
        <v>372869435639</v>
      </c>
      <c r="B26397" s="318" t="s">
        <v>23</v>
      </c>
    </row>
    <row r="26398" spans="1:2" ht="12.75" customHeight="1" x14ac:dyDescent="0.25">
      <c r="A26398" s="318">
        <v>372869435640</v>
      </c>
      <c r="B26398" s="318" t="s">
        <v>23</v>
      </c>
    </row>
    <row r="26399" spans="1:2" ht="12.75" customHeight="1" x14ac:dyDescent="0.25">
      <c r="A26399" s="318">
        <v>372869435641</v>
      </c>
      <c r="B26399" s="318" t="s">
        <v>23</v>
      </c>
    </row>
    <row r="26400" spans="1:2" ht="12.75" customHeight="1" x14ac:dyDescent="0.25">
      <c r="A26400" s="318">
        <v>372869435642</v>
      </c>
      <c r="B26400" s="318" t="s">
        <v>23</v>
      </c>
    </row>
    <row r="26401" spans="1:2" ht="12.75" customHeight="1" x14ac:dyDescent="0.25">
      <c r="A26401" s="318">
        <v>372869435643</v>
      </c>
      <c r="B26401" s="318" t="s">
        <v>23</v>
      </c>
    </row>
    <row r="26402" spans="1:2" ht="12.75" customHeight="1" x14ac:dyDescent="0.25">
      <c r="A26402" s="318">
        <v>372869435645</v>
      </c>
      <c r="B26402" s="318" t="s">
        <v>23</v>
      </c>
    </row>
    <row r="26403" spans="1:2" ht="12.75" customHeight="1" x14ac:dyDescent="0.25">
      <c r="A26403" s="318">
        <v>372869435646</v>
      </c>
      <c r="B26403" s="318" t="s">
        <v>23</v>
      </c>
    </row>
    <row r="26404" spans="1:2" ht="12.75" customHeight="1" x14ac:dyDescent="0.25">
      <c r="A26404" s="318">
        <v>372869435647</v>
      </c>
      <c r="B26404" s="318" t="s">
        <v>23</v>
      </c>
    </row>
    <row r="26405" spans="1:2" ht="12.75" customHeight="1" x14ac:dyDescent="0.25">
      <c r="A26405" s="318">
        <v>372869435648</v>
      </c>
      <c r="B26405" s="318" t="s">
        <v>23</v>
      </c>
    </row>
    <row r="26406" spans="1:2" ht="12.75" customHeight="1" x14ac:dyDescent="0.25">
      <c r="A26406" s="318">
        <v>372869435649</v>
      </c>
      <c r="B26406" s="318" t="s">
        <v>23</v>
      </c>
    </row>
    <row r="26407" spans="1:2" ht="12.75" customHeight="1" x14ac:dyDescent="0.25">
      <c r="A26407" s="318">
        <v>372869435650</v>
      </c>
      <c r="B26407" s="318" t="s">
        <v>23</v>
      </c>
    </row>
    <row r="26408" spans="1:2" ht="12.75" customHeight="1" x14ac:dyDescent="0.25">
      <c r="A26408" s="318">
        <v>372869435651</v>
      </c>
      <c r="B26408" s="318" t="s">
        <v>23</v>
      </c>
    </row>
    <row r="26409" spans="1:2" ht="12.75" customHeight="1" x14ac:dyDescent="0.25">
      <c r="A26409" s="318">
        <v>372869435652</v>
      </c>
      <c r="B26409" s="318" t="s">
        <v>23</v>
      </c>
    </row>
    <row r="26410" spans="1:2" ht="12.75" customHeight="1" x14ac:dyDescent="0.25">
      <c r="A26410" s="318">
        <v>372870115827</v>
      </c>
      <c r="B26410" s="318" t="s">
        <v>23</v>
      </c>
    </row>
    <row r="26411" spans="1:2" ht="12.75" customHeight="1" x14ac:dyDescent="0.25">
      <c r="A26411" s="318">
        <v>372870115828</v>
      </c>
      <c r="B26411" s="318" t="s">
        <v>23</v>
      </c>
    </row>
    <row r="26412" spans="1:2" ht="12.75" customHeight="1" x14ac:dyDescent="0.25">
      <c r="A26412" s="318">
        <v>372870115829</v>
      </c>
      <c r="B26412" s="318" t="s">
        <v>23</v>
      </c>
    </row>
    <row r="26413" spans="1:2" ht="12.75" customHeight="1" x14ac:dyDescent="0.25">
      <c r="A26413" s="318">
        <v>372870115830</v>
      </c>
      <c r="B26413" s="318" t="s">
        <v>23</v>
      </c>
    </row>
    <row r="26414" spans="1:2" ht="12.75" customHeight="1" x14ac:dyDescent="0.25">
      <c r="A26414" s="318">
        <v>372870115831</v>
      </c>
      <c r="B26414" s="318" t="s">
        <v>23</v>
      </c>
    </row>
    <row r="26415" spans="1:2" ht="12.75" customHeight="1" x14ac:dyDescent="0.25">
      <c r="A26415" s="318">
        <v>372870115832</v>
      </c>
      <c r="B26415" s="318" t="s">
        <v>23</v>
      </c>
    </row>
    <row r="26416" spans="1:2" ht="12.75" customHeight="1" x14ac:dyDescent="0.25">
      <c r="A26416" s="318">
        <v>372870115833</v>
      </c>
      <c r="B26416" s="318" t="s">
        <v>23</v>
      </c>
    </row>
    <row r="26417" spans="1:2" ht="12.75" customHeight="1" x14ac:dyDescent="0.25">
      <c r="A26417" s="318">
        <v>372870115834</v>
      </c>
      <c r="B26417" s="318" t="s">
        <v>23</v>
      </c>
    </row>
    <row r="26418" spans="1:2" ht="12.75" customHeight="1" x14ac:dyDescent="0.25">
      <c r="A26418" s="318">
        <v>372870115836</v>
      </c>
      <c r="B26418" s="318" t="s">
        <v>23</v>
      </c>
    </row>
    <row r="26419" spans="1:2" ht="12.75" customHeight="1" x14ac:dyDescent="0.25">
      <c r="A26419" s="318">
        <v>372870115837</v>
      </c>
      <c r="B26419" s="318" t="s">
        <v>23</v>
      </c>
    </row>
    <row r="26420" spans="1:2" ht="12.75" customHeight="1" x14ac:dyDescent="0.25">
      <c r="A26420" s="318">
        <v>372870115838</v>
      </c>
      <c r="B26420" s="318" t="s">
        <v>23</v>
      </c>
    </row>
    <row r="26421" spans="1:2" ht="12.75" customHeight="1" x14ac:dyDescent="0.25">
      <c r="A26421" s="318">
        <v>372870115839</v>
      </c>
      <c r="B26421" s="318" t="s">
        <v>23</v>
      </c>
    </row>
    <row r="26422" spans="1:2" ht="12.75" customHeight="1" x14ac:dyDescent="0.25">
      <c r="A26422" s="318">
        <v>372870115840</v>
      </c>
      <c r="B26422" s="318" t="s">
        <v>23</v>
      </c>
    </row>
    <row r="26423" spans="1:2" ht="12.75" customHeight="1" x14ac:dyDescent="0.25">
      <c r="A26423" s="318">
        <v>372870115841</v>
      </c>
      <c r="B26423" s="318" t="s">
        <v>23</v>
      </c>
    </row>
    <row r="26424" spans="1:2" ht="12.75" customHeight="1" x14ac:dyDescent="0.25">
      <c r="A26424" s="318">
        <v>372870115842</v>
      </c>
      <c r="B26424" s="318" t="s">
        <v>23</v>
      </c>
    </row>
    <row r="26425" spans="1:2" ht="12.75" customHeight="1" x14ac:dyDescent="0.25">
      <c r="A26425" s="318">
        <v>372870115843</v>
      </c>
      <c r="B26425" s="318" t="s">
        <v>23</v>
      </c>
    </row>
    <row r="26426" spans="1:2" ht="12.75" customHeight="1" x14ac:dyDescent="0.25">
      <c r="A26426" s="318">
        <v>372870596800</v>
      </c>
      <c r="B26426" s="318" t="s">
        <v>23</v>
      </c>
    </row>
    <row r="26427" spans="1:2" ht="12.75" customHeight="1" x14ac:dyDescent="0.25">
      <c r="A26427" s="318">
        <v>372870596801</v>
      </c>
      <c r="B26427" s="318" t="s">
        <v>23</v>
      </c>
    </row>
    <row r="26428" spans="1:2" ht="12.75" customHeight="1" x14ac:dyDescent="0.25">
      <c r="A26428" s="318">
        <v>372870596802</v>
      </c>
      <c r="B26428" s="318" t="s">
        <v>23</v>
      </c>
    </row>
    <row r="26429" spans="1:2" ht="12.75" customHeight="1" x14ac:dyDescent="0.25">
      <c r="A26429" s="318">
        <v>372870596803</v>
      </c>
      <c r="B26429" s="318" t="s">
        <v>23</v>
      </c>
    </row>
    <row r="26430" spans="1:2" ht="12.75" customHeight="1" x14ac:dyDescent="0.25">
      <c r="A26430" s="318">
        <v>372870596804</v>
      </c>
      <c r="B26430" s="318" t="s">
        <v>23</v>
      </c>
    </row>
    <row r="26431" spans="1:2" ht="12.75" customHeight="1" x14ac:dyDescent="0.25">
      <c r="A26431" s="318">
        <v>372870596805</v>
      </c>
      <c r="B26431" s="318" t="s">
        <v>23</v>
      </c>
    </row>
    <row r="26432" spans="1:2" ht="12.75" customHeight="1" x14ac:dyDescent="0.25">
      <c r="A26432" s="318">
        <v>372870596806</v>
      </c>
      <c r="B26432" s="318" t="s">
        <v>23</v>
      </c>
    </row>
    <row r="26433" spans="1:2" ht="12.75" customHeight="1" x14ac:dyDescent="0.25">
      <c r="A26433" s="318">
        <v>372870596807</v>
      </c>
      <c r="B26433" s="318" t="s">
        <v>23</v>
      </c>
    </row>
    <row r="26434" spans="1:2" ht="12.75" customHeight="1" x14ac:dyDescent="0.25">
      <c r="A26434" s="318">
        <v>372870596809</v>
      </c>
      <c r="B26434" s="318" t="s">
        <v>23</v>
      </c>
    </row>
    <row r="26435" spans="1:2" ht="12.75" customHeight="1" x14ac:dyDescent="0.25">
      <c r="A26435" s="318">
        <v>372870596810</v>
      </c>
      <c r="B26435" s="318" t="s">
        <v>23</v>
      </c>
    </row>
    <row r="26436" spans="1:2" ht="12.75" customHeight="1" x14ac:dyDescent="0.25">
      <c r="A26436" s="318">
        <v>372870596811</v>
      </c>
      <c r="B26436" s="318" t="s">
        <v>23</v>
      </c>
    </row>
    <row r="26437" spans="1:2" ht="12.75" customHeight="1" x14ac:dyDescent="0.25">
      <c r="A26437" s="318">
        <v>372870596812</v>
      </c>
      <c r="B26437" s="318" t="s">
        <v>23</v>
      </c>
    </row>
    <row r="26438" spans="1:2" ht="12.75" customHeight="1" x14ac:dyDescent="0.25">
      <c r="A26438" s="318">
        <v>372870596813</v>
      </c>
      <c r="B26438" s="318" t="s">
        <v>23</v>
      </c>
    </row>
    <row r="26439" spans="1:2" ht="12.75" customHeight="1" x14ac:dyDescent="0.25">
      <c r="A26439" s="318">
        <v>372870596814</v>
      </c>
      <c r="B26439" s="318" t="s">
        <v>23</v>
      </c>
    </row>
    <row r="26440" spans="1:2" ht="12.75" customHeight="1" x14ac:dyDescent="0.25">
      <c r="A26440" s="318">
        <v>372870596815</v>
      </c>
      <c r="B26440" s="318" t="s">
        <v>23</v>
      </c>
    </row>
    <row r="26441" spans="1:2" ht="12.75" customHeight="1" x14ac:dyDescent="0.25">
      <c r="A26441" s="318">
        <v>372870596816</v>
      </c>
      <c r="B26441" s="318" t="s">
        <v>23</v>
      </c>
    </row>
    <row r="26442" spans="1:2" ht="12.75" customHeight="1" x14ac:dyDescent="0.25">
      <c r="A26442" s="318">
        <v>372871077773</v>
      </c>
      <c r="B26442" s="318" t="s">
        <v>23</v>
      </c>
    </row>
    <row r="26443" spans="1:2" ht="12.75" customHeight="1" x14ac:dyDescent="0.25">
      <c r="A26443" s="318">
        <v>372871077774</v>
      </c>
      <c r="B26443" s="318" t="s">
        <v>23</v>
      </c>
    </row>
    <row r="26444" spans="1:2" ht="12.75" customHeight="1" x14ac:dyDescent="0.25">
      <c r="A26444" s="318">
        <v>372871077775</v>
      </c>
      <c r="B26444" s="318" t="s">
        <v>23</v>
      </c>
    </row>
    <row r="26445" spans="1:2" ht="12.75" customHeight="1" x14ac:dyDescent="0.25">
      <c r="A26445" s="318">
        <v>372871077776</v>
      </c>
      <c r="B26445" s="318" t="s">
        <v>23</v>
      </c>
    </row>
    <row r="26446" spans="1:2" ht="12.75" customHeight="1" x14ac:dyDescent="0.25">
      <c r="A26446" s="318">
        <v>372871077777</v>
      </c>
      <c r="B26446" s="318" t="s">
        <v>23</v>
      </c>
    </row>
    <row r="26447" spans="1:2" ht="12.75" customHeight="1" x14ac:dyDescent="0.25">
      <c r="A26447" s="318">
        <v>372871077778</v>
      </c>
      <c r="B26447" s="318" t="s">
        <v>23</v>
      </c>
    </row>
    <row r="26448" spans="1:2" ht="12.75" customHeight="1" x14ac:dyDescent="0.25">
      <c r="A26448" s="318">
        <v>372871077779</v>
      </c>
      <c r="B26448" s="318" t="s">
        <v>23</v>
      </c>
    </row>
    <row r="26449" spans="1:2" ht="12.75" customHeight="1" x14ac:dyDescent="0.25">
      <c r="A26449" s="318">
        <v>372871077780</v>
      </c>
      <c r="B26449" s="318" t="s">
        <v>23</v>
      </c>
    </row>
    <row r="26450" spans="1:2" ht="12.75" customHeight="1" x14ac:dyDescent="0.25">
      <c r="A26450" s="318">
        <v>372871077782</v>
      </c>
      <c r="B26450" s="318" t="s">
        <v>23</v>
      </c>
    </row>
    <row r="26451" spans="1:2" ht="12.75" customHeight="1" x14ac:dyDescent="0.25">
      <c r="A26451" s="318">
        <v>372871077783</v>
      </c>
      <c r="B26451" s="318" t="s">
        <v>23</v>
      </c>
    </row>
    <row r="26452" spans="1:2" ht="12.75" customHeight="1" x14ac:dyDescent="0.25">
      <c r="A26452" s="318">
        <v>372871077784</v>
      </c>
      <c r="B26452" s="318" t="s">
        <v>23</v>
      </c>
    </row>
    <row r="26453" spans="1:2" ht="12.75" customHeight="1" x14ac:dyDescent="0.25">
      <c r="A26453" s="318">
        <v>372871077785</v>
      </c>
      <c r="B26453" s="318" t="s">
        <v>23</v>
      </c>
    </row>
    <row r="26454" spans="1:2" ht="12.75" customHeight="1" x14ac:dyDescent="0.25">
      <c r="A26454" s="318">
        <v>372871077786</v>
      </c>
      <c r="B26454" s="318" t="s">
        <v>23</v>
      </c>
    </row>
    <row r="26455" spans="1:2" ht="12.75" customHeight="1" x14ac:dyDescent="0.25">
      <c r="A26455" s="318">
        <v>372871077787</v>
      </c>
      <c r="B26455" s="318" t="s">
        <v>23</v>
      </c>
    </row>
    <row r="26456" spans="1:2" ht="12.75" customHeight="1" x14ac:dyDescent="0.25">
      <c r="A26456" s="318">
        <v>372871077788</v>
      </c>
      <c r="B26456" s="318" t="s">
        <v>23</v>
      </c>
    </row>
    <row r="26457" spans="1:2" ht="12.75" customHeight="1" x14ac:dyDescent="0.25">
      <c r="A26457" s="318">
        <v>372871077789</v>
      </c>
      <c r="B26457" s="318" t="s">
        <v>23</v>
      </c>
    </row>
    <row r="26458" spans="1:2" ht="12.75" customHeight="1" x14ac:dyDescent="0.25">
      <c r="A26458" s="318">
        <v>381605534606</v>
      </c>
      <c r="B26458" s="318" t="s">
        <v>236</v>
      </c>
    </row>
    <row r="26459" spans="1:2" ht="12.75" customHeight="1" x14ac:dyDescent="0.25">
      <c r="A26459" s="318">
        <v>381605534607</v>
      </c>
      <c r="B26459" s="318" t="s">
        <v>23</v>
      </c>
    </row>
    <row r="26460" spans="1:2" ht="12.75" customHeight="1" x14ac:dyDescent="0.25">
      <c r="A26460" s="318">
        <v>381605534608</v>
      </c>
      <c r="B26460" s="318" t="s">
        <v>236</v>
      </c>
    </row>
    <row r="26461" spans="1:2" ht="12.75" customHeight="1" x14ac:dyDescent="0.25">
      <c r="A26461" s="318">
        <v>381605534609</v>
      </c>
      <c r="B26461" s="318" t="s">
        <v>23</v>
      </c>
    </row>
    <row r="26462" spans="1:2" ht="12.75" customHeight="1" x14ac:dyDescent="0.25">
      <c r="A26462" s="318">
        <v>381605534610</v>
      </c>
      <c r="B26462" s="318" t="s">
        <v>236</v>
      </c>
    </row>
    <row r="26463" spans="1:2" ht="12.75" customHeight="1" x14ac:dyDescent="0.25">
      <c r="A26463" s="318">
        <v>381605534611</v>
      </c>
      <c r="B26463" s="318" t="s">
        <v>23</v>
      </c>
    </row>
    <row r="26464" spans="1:2" ht="12.75" customHeight="1" x14ac:dyDescent="0.25">
      <c r="A26464" s="318">
        <v>381605534612</v>
      </c>
      <c r="B26464" s="318" t="s">
        <v>23</v>
      </c>
    </row>
    <row r="26465" spans="1:2" ht="12.75" customHeight="1" x14ac:dyDescent="0.25">
      <c r="A26465" s="318">
        <v>381605534613</v>
      </c>
      <c r="B26465" s="318" t="s">
        <v>237</v>
      </c>
    </row>
    <row r="26466" spans="1:2" ht="12.75" customHeight="1" x14ac:dyDescent="0.25">
      <c r="A26466" s="318">
        <v>381605534615</v>
      </c>
      <c r="B26466" s="318" t="s">
        <v>237</v>
      </c>
    </row>
    <row r="26467" spans="1:2" ht="12.75" customHeight="1" x14ac:dyDescent="0.25">
      <c r="A26467" s="318">
        <v>381605534616</v>
      </c>
      <c r="B26467" s="318" t="s">
        <v>237</v>
      </c>
    </row>
    <row r="26468" spans="1:2" ht="12.75" customHeight="1" x14ac:dyDescent="0.25">
      <c r="A26468" s="318">
        <v>381605534617</v>
      </c>
      <c r="B26468" s="318" t="s">
        <v>237</v>
      </c>
    </row>
    <row r="26469" spans="1:2" ht="12.75" customHeight="1" x14ac:dyDescent="0.25">
      <c r="A26469" s="318">
        <v>381605534618</v>
      </c>
      <c r="B26469" s="318" t="s">
        <v>237</v>
      </c>
    </row>
    <row r="26470" spans="1:2" ht="12.75" customHeight="1" x14ac:dyDescent="0.25">
      <c r="A26470" s="318">
        <v>381605534619</v>
      </c>
      <c r="B26470" s="318" t="s">
        <v>237</v>
      </c>
    </row>
    <row r="26471" spans="1:2" ht="12.75" customHeight="1" x14ac:dyDescent="0.25">
      <c r="A26471" s="318">
        <v>381605534620</v>
      </c>
      <c r="B26471" s="318" t="s">
        <v>237</v>
      </c>
    </row>
    <row r="26472" spans="1:2" ht="12.75" customHeight="1" x14ac:dyDescent="0.25">
      <c r="A26472" s="318">
        <v>381605534621</v>
      </c>
      <c r="B26472" s="318" t="s">
        <v>237</v>
      </c>
    </row>
    <row r="26473" spans="1:2" ht="12.75" customHeight="1" x14ac:dyDescent="0.25">
      <c r="A26473" s="318">
        <v>381605534622</v>
      </c>
      <c r="B26473" s="318" t="s">
        <v>237</v>
      </c>
    </row>
    <row r="26474" spans="1:2" ht="12.75" customHeight="1" x14ac:dyDescent="0.25">
      <c r="A26474" s="318">
        <v>381606015579</v>
      </c>
      <c r="B26474" s="318" t="s">
        <v>236</v>
      </c>
    </row>
    <row r="26475" spans="1:2" ht="12.75" customHeight="1" x14ac:dyDescent="0.25">
      <c r="A26475" s="318">
        <v>381606015580</v>
      </c>
      <c r="B26475" s="318" t="s">
        <v>23</v>
      </c>
    </row>
    <row r="26476" spans="1:2" ht="12.75" customHeight="1" x14ac:dyDescent="0.25">
      <c r="A26476" s="318">
        <v>381606015581</v>
      </c>
      <c r="B26476" s="318" t="s">
        <v>236</v>
      </c>
    </row>
    <row r="26477" spans="1:2" ht="12.75" customHeight="1" x14ac:dyDescent="0.25">
      <c r="A26477" s="318">
        <v>381606015582</v>
      </c>
      <c r="B26477" s="318" t="s">
        <v>23</v>
      </c>
    </row>
    <row r="26478" spans="1:2" ht="12.75" customHeight="1" x14ac:dyDescent="0.25">
      <c r="A26478" s="318">
        <v>381606015583</v>
      </c>
      <c r="B26478" s="318" t="s">
        <v>236</v>
      </c>
    </row>
    <row r="26479" spans="1:2" ht="12.75" customHeight="1" x14ac:dyDescent="0.25">
      <c r="A26479" s="318">
        <v>381606015584</v>
      </c>
      <c r="B26479" s="318" t="s">
        <v>23</v>
      </c>
    </row>
    <row r="26480" spans="1:2" ht="12.75" customHeight="1" x14ac:dyDescent="0.25">
      <c r="A26480" s="318">
        <v>381606015585</v>
      </c>
      <c r="B26480" s="318" t="s">
        <v>23</v>
      </c>
    </row>
    <row r="26481" spans="1:2" ht="12.75" customHeight="1" x14ac:dyDescent="0.25">
      <c r="A26481" s="318">
        <v>381606015586</v>
      </c>
      <c r="B26481" s="318" t="s">
        <v>237</v>
      </c>
    </row>
    <row r="26482" spans="1:2" ht="12.75" customHeight="1" x14ac:dyDescent="0.25">
      <c r="A26482" s="318">
        <v>381606015588</v>
      </c>
      <c r="B26482" s="318" t="s">
        <v>237</v>
      </c>
    </row>
    <row r="26483" spans="1:2" ht="12.75" customHeight="1" x14ac:dyDescent="0.25">
      <c r="A26483" s="318">
        <v>381606015589</v>
      </c>
      <c r="B26483" s="318" t="s">
        <v>237</v>
      </c>
    </row>
    <row r="26484" spans="1:2" ht="12.75" customHeight="1" x14ac:dyDescent="0.25">
      <c r="A26484" s="318">
        <v>381606015590</v>
      </c>
      <c r="B26484" s="318" t="s">
        <v>237</v>
      </c>
    </row>
    <row r="26485" spans="1:2" ht="12.75" customHeight="1" x14ac:dyDescent="0.25">
      <c r="A26485" s="318">
        <v>381606015591</v>
      </c>
      <c r="B26485" s="318" t="s">
        <v>237</v>
      </c>
    </row>
    <row r="26486" spans="1:2" ht="12.75" customHeight="1" x14ac:dyDescent="0.25">
      <c r="A26486" s="318">
        <v>381606015592</v>
      </c>
      <c r="B26486" s="318" t="s">
        <v>237</v>
      </c>
    </row>
    <row r="26487" spans="1:2" ht="12.75" customHeight="1" x14ac:dyDescent="0.25">
      <c r="A26487" s="318">
        <v>381606015593</v>
      </c>
      <c r="B26487" s="318" t="s">
        <v>237</v>
      </c>
    </row>
    <row r="26488" spans="1:2" ht="12.75" customHeight="1" x14ac:dyDescent="0.25">
      <c r="A26488" s="318">
        <v>381606015594</v>
      </c>
      <c r="B26488" s="318" t="s">
        <v>237</v>
      </c>
    </row>
    <row r="26489" spans="1:2" ht="12.75" customHeight="1" x14ac:dyDescent="0.25">
      <c r="A26489" s="318">
        <v>381606015595</v>
      </c>
      <c r="B26489" s="318" t="s">
        <v>237</v>
      </c>
    </row>
    <row r="26490" spans="1:2" ht="12.75" customHeight="1" x14ac:dyDescent="0.25">
      <c r="A26490" s="318">
        <v>381606496552</v>
      </c>
      <c r="B26490" s="318" t="s">
        <v>236</v>
      </c>
    </row>
    <row r="26491" spans="1:2" ht="12.75" customHeight="1" x14ac:dyDescent="0.25">
      <c r="A26491" s="318">
        <v>381606496553</v>
      </c>
      <c r="B26491" s="318" t="s">
        <v>23</v>
      </c>
    </row>
    <row r="26492" spans="1:2" ht="12.75" customHeight="1" x14ac:dyDescent="0.25">
      <c r="A26492" s="318">
        <v>381606496554</v>
      </c>
      <c r="B26492" s="318" t="s">
        <v>236</v>
      </c>
    </row>
    <row r="26493" spans="1:2" ht="12.75" customHeight="1" x14ac:dyDescent="0.25">
      <c r="A26493" s="318">
        <v>381606496555</v>
      </c>
      <c r="B26493" s="318" t="s">
        <v>23</v>
      </c>
    </row>
    <row r="26494" spans="1:2" ht="12.75" customHeight="1" x14ac:dyDescent="0.25">
      <c r="A26494" s="318">
        <v>381606496556</v>
      </c>
      <c r="B26494" s="318" t="s">
        <v>236</v>
      </c>
    </row>
    <row r="26495" spans="1:2" ht="12.75" customHeight="1" x14ac:dyDescent="0.25">
      <c r="A26495" s="318">
        <v>381606496557</v>
      </c>
      <c r="B26495" s="318" t="s">
        <v>23</v>
      </c>
    </row>
    <row r="26496" spans="1:2" ht="12.75" customHeight="1" x14ac:dyDescent="0.25">
      <c r="A26496" s="318">
        <v>381606496558</v>
      </c>
      <c r="B26496" s="318" t="s">
        <v>236</v>
      </c>
    </row>
    <row r="26497" spans="1:2" ht="12.75" customHeight="1" x14ac:dyDescent="0.25">
      <c r="A26497" s="318">
        <v>381606496559</v>
      </c>
      <c r="B26497" s="318" t="s">
        <v>237</v>
      </c>
    </row>
    <row r="26498" spans="1:2" ht="12.75" customHeight="1" x14ac:dyDescent="0.25">
      <c r="A26498" s="318">
        <v>381606496561</v>
      </c>
      <c r="B26498" s="318" t="s">
        <v>236</v>
      </c>
    </row>
    <row r="26499" spans="1:2" ht="12.75" customHeight="1" x14ac:dyDescent="0.25">
      <c r="A26499" s="318">
        <v>381606496562</v>
      </c>
      <c r="B26499" s="318" t="s">
        <v>23</v>
      </c>
    </row>
    <row r="26500" spans="1:2" ht="12.75" customHeight="1" x14ac:dyDescent="0.25">
      <c r="A26500" s="318">
        <v>381606496563</v>
      </c>
      <c r="B26500" s="318" t="s">
        <v>236</v>
      </c>
    </row>
    <row r="26501" spans="1:2" ht="12.75" customHeight="1" x14ac:dyDescent="0.25">
      <c r="A26501" s="318">
        <v>381606496564</v>
      </c>
      <c r="B26501" s="318" t="s">
        <v>23</v>
      </c>
    </row>
    <row r="26502" spans="1:2" ht="12.75" customHeight="1" x14ac:dyDescent="0.25">
      <c r="A26502" s="318">
        <v>381606496565</v>
      </c>
      <c r="B26502" s="318" t="s">
        <v>236</v>
      </c>
    </row>
    <row r="26503" spans="1:2" ht="12.75" customHeight="1" x14ac:dyDescent="0.25">
      <c r="A26503" s="318">
        <v>381606496566</v>
      </c>
      <c r="B26503" s="318" t="s">
        <v>23</v>
      </c>
    </row>
    <row r="26504" spans="1:2" ht="12.75" customHeight="1" x14ac:dyDescent="0.25">
      <c r="A26504" s="318">
        <v>381606496567</v>
      </c>
      <c r="B26504" s="318" t="s">
        <v>236</v>
      </c>
    </row>
    <row r="26505" spans="1:2" ht="12.75" customHeight="1" x14ac:dyDescent="0.25">
      <c r="A26505" s="318">
        <v>381606496568</v>
      </c>
      <c r="B26505" s="318" t="s">
        <v>237</v>
      </c>
    </row>
    <row r="26506" spans="1:2" ht="12.75" customHeight="1" x14ac:dyDescent="0.25">
      <c r="A26506" s="318">
        <v>381607176743</v>
      </c>
      <c r="B26506" s="318" t="s">
        <v>236</v>
      </c>
    </row>
    <row r="26507" spans="1:2" ht="12.75" customHeight="1" x14ac:dyDescent="0.25">
      <c r="A26507" s="318">
        <v>381607176744</v>
      </c>
      <c r="B26507" s="318" t="s">
        <v>23</v>
      </c>
    </row>
    <row r="26508" spans="1:2" ht="12.75" customHeight="1" x14ac:dyDescent="0.25">
      <c r="A26508" s="318">
        <v>381607176745</v>
      </c>
      <c r="B26508" s="318" t="s">
        <v>236</v>
      </c>
    </row>
    <row r="26509" spans="1:2" ht="12.75" customHeight="1" x14ac:dyDescent="0.25">
      <c r="A26509" s="318">
        <v>381607176746</v>
      </c>
      <c r="B26509" s="318" t="s">
        <v>23</v>
      </c>
    </row>
    <row r="26510" spans="1:2" ht="12.75" customHeight="1" x14ac:dyDescent="0.25">
      <c r="A26510" s="318">
        <v>381607176747</v>
      </c>
      <c r="B26510" s="318" t="s">
        <v>236</v>
      </c>
    </row>
    <row r="26511" spans="1:2" ht="12.75" customHeight="1" x14ac:dyDescent="0.25">
      <c r="A26511" s="318">
        <v>381607176748</v>
      </c>
      <c r="B26511" s="318" t="s">
        <v>23</v>
      </c>
    </row>
    <row r="26512" spans="1:2" ht="12.75" customHeight="1" x14ac:dyDescent="0.25">
      <c r="A26512" s="318">
        <v>381607176749</v>
      </c>
      <c r="B26512" s="318" t="s">
        <v>23</v>
      </c>
    </row>
    <row r="26513" spans="1:2" ht="12.75" customHeight="1" x14ac:dyDescent="0.25">
      <c r="A26513" s="318">
        <v>381607176750</v>
      </c>
      <c r="B26513" s="318" t="s">
        <v>237</v>
      </c>
    </row>
    <row r="26514" spans="1:2" ht="12.75" customHeight="1" x14ac:dyDescent="0.25">
      <c r="A26514" s="318">
        <v>381607176752</v>
      </c>
      <c r="B26514" s="318" t="s">
        <v>237</v>
      </c>
    </row>
    <row r="26515" spans="1:2" ht="12.75" customHeight="1" x14ac:dyDescent="0.25">
      <c r="A26515" s="318">
        <v>381607176753</v>
      </c>
      <c r="B26515" s="318" t="s">
        <v>237</v>
      </c>
    </row>
    <row r="26516" spans="1:2" ht="12.75" customHeight="1" x14ac:dyDescent="0.25">
      <c r="A26516" s="318">
        <v>381607176754</v>
      </c>
      <c r="B26516" s="318" t="s">
        <v>237</v>
      </c>
    </row>
    <row r="26517" spans="1:2" ht="12.75" customHeight="1" x14ac:dyDescent="0.25">
      <c r="A26517" s="318">
        <v>381607176755</v>
      </c>
      <c r="B26517" s="318" t="s">
        <v>237</v>
      </c>
    </row>
    <row r="26518" spans="1:2" ht="12.75" customHeight="1" x14ac:dyDescent="0.25">
      <c r="A26518" s="318">
        <v>381607176756</v>
      </c>
      <c r="B26518" s="318" t="s">
        <v>237</v>
      </c>
    </row>
    <row r="26519" spans="1:2" ht="12.75" customHeight="1" x14ac:dyDescent="0.25">
      <c r="A26519" s="318">
        <v>381607176757</v>
      </c>
      <c r="B26519" s="318" t="s">
        <v>237</v>
      </c>
    </row>
    <row r="26520" spans="1:2" ht="12.75" customHeight="1" x14ac:dyDescent="0.25">
      <c r="A26520" s="318">
        <v>381607176758</v>
      </c>
      <c r="B26520" s="318" t="s">
        <v>237</v>
      </c>
    </row>
    <row r="26521" spans="1:2" ht="12.75" customHeight="1" x14ac:dyDescent="0.25">
      <c r="A26521" s="318">
        <v>381607176759</v>
      </c>
      <c r="B26521" s="318" t="s">
        <v>237</v>
      </c>
    </row>
    <row r="26522" spans="1:2" ht="12.75" customHeight="1" x14ac:dyDescent="0.25">
      <c r="A26522" s="318">
        <v>381607657716</v>
      </c>
      <c r="B26522" s="318" t="s">
        <v>236</v>
      </c>
    </row>
    <row r="26523" spans="1:2" ht="12.75" customHeight="1" x14ac:dyDescent="0.25">
      <c r="A26523" s="318">
        <v>381607657717</v>
      </c>
      <c r="B26523" s="318" t="s">
        <v>23</v>
      </c>
    </row>
    <row r="26524" spans="1:2" ht="12.75" customHeight="1" x14ac:dyDescent="0.25">
      <c r="A26524" s="318">
        <v>381607657718</v>
      </c>
      <c r="B26524" s="318" t="s">
        <v>236</v>
      </c>
    </row>
    <row r="26525" spans="1:2" ht="12.75" customHeight="1" x14ac:dyDescent="0.25">
      <c r="A26525" s="318">
        <v>381607657719</v>
      </c>
      <c r="B26525" s="318" t="s">
        <v>23</v>
      </c>
    </row>
    <row r="26526" spans="1:2" ht="12.75" customHeight="1" x14ac:dyDescent="0.25">
      <c r="A26526" s="318">
        <v>381607657720</v>
      </c>
      <c r="B26526" s="318" t="s">
        <v>236</v>
      </c>
    </row>
    <row r="26527" spans="1:2" ht="12.75" customHeight="1" x14ac:dyDescent="0.25">
      <c r="A26527" s="318">
        <v>381607657721</v>
      </c>
      <c r="B26527" s="318" t="s">
        <v>23</v>
      </c>
    </row>
    <row r="26528" spans="1:2" ht="12.75" customHeight="1" x14ac:dyDescent="0.25">
      <c r="A26528" s="318">
        <v>381607657722</v>
      </c>
      <c r="B26528" s="318" t="s">
        <v>23</v>
      </c>
    </row>
    <row r="26529" spans="1:2" ht="12.75" customHeight="1" x14ac:dyDescent="0.25">
      <c r="A26529" s="318">
        <v>381607657723</v>
      </c>
      <c r="B26529" s="318" t="s">
        <v>237</v>
      </c>
    </row>
    <row r="26530" spans="1:2" ht="12.75" customHeight="1" x14ac:dyDescent="0.25">
      <c r="A26530" s="318">
        <v>381607657725</v>
      </c>
      <c r="B26530" s="318" t="s">
        <v>237</v>
      </c>
    </row>
    <row r="26531" spans="1:2" ht="12.75" customHeight="1" x14ac:dyDescent="0.25">
      <c r="A26531" s="318">
        <v>381607657726</v>
      </c>
      <c r="B26531" s="318" t="s">
        <v>237</v>
      </c>
    </row>
    <row r="26532" spans="1:2" ht="12.75" customHeight="1" x14ac:dyDescent="0.25">
      <c r="A26532" s="318">
        <v>381607657727</v>
      </c>
      <c r="B26532" s="318" t="s">
        <v>237</v>
      </c>
    </row>
    <row r="26533" spans="1:2" ht="12.75" customHeight="1" x14ac:dyDescent="0.25">
      <c r="A26533" s="318">
        <v>381607657728</v>
      </c>
      <c r="B26533" s="318" t="s">
        <v>237</v>
      </c>
    </row>
    <row r="26534" spans="1:2" ht="12.75" customHeight="1" x14ac:dyDescent="0.25">
      <c r="A26534" s="318">
        <v>381607657729</v>
      </c>
      <c r="B26534" s="318" t="s">
        <v>237</v>
      </c>
    </row>
    <row r="26535" spans="1:2" ht="12.75" customHeight="1" x14ac:dyDescent="0.25">
      <c r="A26535" s="318">
        <v>381607657730</v>
      </c>
      <c r="B26535" s="318" t="s">
        <v>237</v>
      </c>
    </row>
    <row r="26536" spans="1:2" ht="12.75" customHeight="1" x14ac:dyDescent="0.25">
      <c r="A26536" s="318">
        <v>381607657731</v>
      </c>
      <c r="B26536" s="318" t="s">
        <v>237</v>
      </c>
    </row>
    <row r="26537" spans="1:2" ht="12.75" customHeight="1" x14ac:dyDescent="0.25">
      <c r="A26537" s="318">
        <v>381607657732</v>
      </c>
      <c r="B26537" s="318" t="s">
        <v>237</v>
      </c>
    </row>
    <row r="26538" spans="1:2" ht="12.75" customHeight="1" x14ac:dyDescent="0.25">
      <c r="A26538" s="318">
        <v>381608138689</v>
      </c>
      <c r="B26538" s="318" t="s">
        <v>236</v>
      </c>
    </row>
    <row r="26539" spans="1:2" ht="12.75" customHeight="1" x14ac:dyDescent="0.25">
      <c r="A26539" s="318">
        <v>381608138690</v>
      </c>
      <c r="B26539" s="318" t="s">
        <v>23</v>
      </c>
    </row>
    <row r="26540" spans="1:2" ht="12.75" customHeight="1" x14ac:dyDescent="0.25">
      <c r="A26540" s="318">
        <v>381608138691</v>
      </c>
      <c r="B26540" s="318" t="s">
        <v>236</v>
      </c>
    </row>
    <row r="26541" spans="1:2" ht="12.75" customHeight="1" x14ac:dyDescent="0.25">
      <c r="A26541" s="318">
        <v>381608138692</v>
      </c>
      <c r="B26541" s="318" t="s">
        <v>23</v>
      </c>
    </row>
    <row r="26542" spans="1:2" ht="12.75" customHeight="1" x14ac:dyDescent="0.25">
      <c r="A26542" s="318">
        <v>381608138693</v>
      </c>
      <c r="B26542" s="318" t="s">
        <v>236</v>
      </c>
    </row>
    <row r="26543" spans="1:2" ht="12.75" customHeight="1" x14ac:dyDescent="0.25">
      <c r="A26543" s="318">
        <v>381608138694</v>
      </c>
      <c r="B26543" s="318" t="s">
        <v>23</v>
      </c>
    </row>
    <row r="26544" spans="1:2" ht="12.75" customHeight="1" x14ac:dyDescent="0.25">
      <c r="A26544" s="318">
        <v>381608138695</v>
      </c>
      <c r="B26544" s="318" t="s">
        <v>236</v>
      </c>
    </row>
    <row r="26545" spans="1:2" ht="12.75" customHeight="1" x14ac:dyDescent="0.25">
      <c r="A26545" s="318">
        <v>381608138696</v>
      </c>
      <c r="B26545" s="318" t="s">
        <v>237</v>
      </c>
    </row>
    <row r="26546" spans="1:2" ht="12.75" customHeight="1" x14ac:dyDescent="0.25">
      <c r="A26546" s="318">
        <v>381608138698</v>
      </c>
      <c r="B26546" s="318" t="s">
        <v>236</v>
      </c>
    </row>
    <row r="26547" spans="1:2" ht="12.75" customHeight="1" x14ac:dyDescent="0.25">
      <c r="A26547" s="318">
        <v>381608138699</v>
      </c>
      <c r="B26547" s="318" t="s">
        <v>23</v>
      </c>
    </row>
    <row r="26548" spans="1:2" ht="12.75" customHeight="1" x14ac:dyDescent="0.25">
      <c r="A26548" s="318">
        <v>381608138700</v>
      </c>
      <c r="B26548" s="318" t="s">
        <v>236</v>
      </c>
    </row>
    <row r="26549" spans="1:2" ht="12.75" customHeight="1" x14ac:dyDescent="0.25">
      <c r="A26549" s="318">
        <v>381608138701</v>
      </c>
      <c r="B26549" s="318" t="s">
        <v>23</v>
      </c>
    </row>
    <row r="26550" spans="1:2" ht="12.75" customHeight="1" x14ac:dyDescent="0.25">
      <c r="A26550" s="318">
        <v>381608138702</v>
      </c>
      <c r="B26550" s="318" t="s">
        <v>236</v>
      </c>
    </row>
    <row r="26551" spans="1:2" ht="12.75" customHeight="1" x14ac:dyDescent="0.25">
      <c r="A26551" s="318">
        <v>381608138703</v>
      </c>
      <c r="B26551" s="318" t="s">
        <v>23</v>
      </c>
    </row>
    <row r="26552" spans="1:2" ht="12.75" customHeight="1" x14ac:dyDescent="0.25">
      <c r="A26552" s="318">
        <v>381608138704</v>
      </c>
      <c r="B26552" s="318" t="s">
        <v>236</v>
      </c>
    </row>
    <row r="26553" spans="1:2" ht="12.75" customHeight="1" x14ac:dyDescent="0.25">
      <c r="A26553" s="318">
        <v>381608138705</v>
      </c>
      <c r="B26553" s="318" t="s">
        <v>237</v>
      </c>
    </row>
    <row r="26554" spans="1:2" ht="12.75" customHeight="1" x14ac:dyDescent="0.25">
      <c r="A26554" s="318">
        <v>381608818880</v>
      </c>
      <c r="B26554" s="318" t="s">
        <v>236</v>
      </c>
    </row>
    <row r="26555" spans="1:2" ht="12.75" customHeight="1" x14ac:dyDescent="0.25">
      <c r="A26555" s="318">
        <v>381608818881</v>
      </c>
      <c r="B26555" s="318" t="s">
        <v>23</v>
      </c>
    </row>
    <row r="26556" spans="1:2" ht="12.75" customHeight="1" x14ac:dyDescent="0.25">
      <c r="A26556" s="318">
        <v>381608818882</v>
      </c>
      <c r="B26556" s="318" t="s">
        <v>236</v>
      </c>
    </row>
    <row r="26557" spans="1:2" ht="12.75" customHeight="1" x14ac:dyDescent="0.25">
      <c r="A26557" s="318">
        <v>381608818883</v>
      </c>
      <c r="B26557" s="318" t="s">
        <v>23</v>
      </c>
    </row>
    <row r="26558" spans="1:2" ht="12.75" customHeight="1" x14ac:dyDescent="0.25">
      <c r="A26558" s="318">
        <v>381608818884</v>
      </c>
      <c r="B26558" s="318" t="s">
        <v>236</v>
      </c>
    </row>
    <row r="26559" spans="1:2" ht="12.75" customHeight="1" x14ac:dyDescent="0.25">
      <c r="A26559" s="318">
        <v>381608818885</v>
      </c>
      <c r="B26559" s="318" t="s">
        <v>23</v>
      </c>
    </row>
    <row r="26560" spans="1:2" ht="12.75" customHeight="1" x14ac:dyDescent="0.25">
      <c r="A26560" s="318">
        <v>381608818886</v>
      </c>
      <c r="B26560" s="318" t="s">
        <v>236</v>
      </c>
    </row>
    <row r="26561" spans="1:2" ht="12.75" customHeight="1" x14ac:dyDescent="0.25">
      <c r="A26561" s="318">
        <v>381608818887</v>
      </c>
      <c r="B26561" s="318" t="s">
        <v>237</v>
      </c>
    </row>
    <row r="26562" spans="1:2" ht="12.75" customHeight="1" x14ac:dyDescent="0.25">
      <c r="A26562" s="318">
        <v>381608818889</v>
      </c>
      <c r="B26562" s="318" t="s">
        <v>236</v>
      </c>
    </row>
    <row r="26563" spans="1:2" ht="12.75" customHeight="1" x14ac:dyDescent="0.25">
      <c r="A26563" s="318">
        <v>381608818890</v>
      </c>
      <c r="B26563" s="318" t="s">
        <v>23</v>
      </c>
    </row>
    <row r="26564" spans="1:2" ht="12.75" customHeight="1" x14ac:dyDescent="0.25">
      <c r="A26564" s="318">
        <v>381608818891</v>
      </c>
      <c r="B26564" s="318" t="s">
        <v>236</v>
      </c>
    </row>
    <row r="26565" spans="1:2" ht="12.75" customHeight="1" x14ac:dyDescent="0.25">
      <c r="A26565" s="318">
        <v>381608818892</v>
      </c>
      <c r="B26565" s="318" t="s">
        <v>23</v>
      </c>
    </row>
    <row r="26566" spans="1:2" ht="12.75" customHeight="1" x14ac:dyDescent="0.25">
      <c r="A26566" s="318">
        <v>381608818893</v>
      </c>
      <c r="B26566" s="318" t="s">
        <v>236</v>
      </c>
    </row>
    <row r="26567" spans="1:2" ht="12.75" customHeight="1" x14ac:dyDescent="0.25">
      <c r="A26567" s="318">
        <v>381608818894</v>
      </c>
      <c r="B26567" s="318" t="s">
        <v>23</v>
      </c>
    </row>
    <row r="26568" spans="1:2" ht="12.75" customHeight="1" x14ac:dyDescent="0.25">
      <c r="A26568" s="318">
        <v>381608818895</v>
      </c>
      <c r="B26568" s="318" t="s">
        <v>236</v>
      </c>
    </row>
    <row r="26569" spans="1:2" ht="12.75" customHeight="1" x14ac:dyDescent="0.25">
      <c r="A26569" s="318">
        <v>381608818896</v>
      </c>
      <c r="B26569" s="318" t="s">
        <v>237</v>
      </c>
    </row>
    <row r="26570" spans="1:2" ht="12.75" customHeight="1" x14ac:dyDescent="0.25">
      <c r="A26570" s="318">
        <v>381609299853</v>
      </c>
      <c r="B26570" s="318" t="s">
        <v>236</v>
      </c>
    </row>
    <row r="26571" spans="1:2" ht="12.75" customHeight="1" x14ac:dyDescent="0.25">
      <c r="A26571" s="318">
        <v>381609299854</v>
      </c>
      <c r="B26571" s="318" t="s">
        <v>23</v>
      </c>
    </row>
    <row r="26572" spans="1:2" ht="12.75" customHeight="1" x14ac:dyDescent="0.25">
      <c r="A26572" s="318">
        <v>381609299855</v>
      </c>
      <c r="B26572" s="318" t="s">
        <v>236</v>
      </c>
    </row>
    <row r="26573" spans="1:2" ht="12.75" customHeight="1" x14ac:dyDescent="0.25">
      <c r="A26573" s="318">
        <v>381609299856</v>
      </c>
      <c r="B26573" s="318" t="s">
        <v>23</v>
      </c>
    </row>
    <row r="26574" spans="1:2" ht="12.75" customHeight="1" x14ac:dyDescent="0.25">
      <c r="A26574" s="318">
        <v>381609299857</v>
      </c>
      <c r="B26574" s="318" t="s">
        <v>236</v>
      </c>
    </row>
    <row r="26575" spans="1:2" ht="12.75" customHeight="1" x14ac:dyDescent="0.25">
      <c r="A26575" s="318">
        <v>381609299858</v>
      </c>
      <c r="B26575" s="318" t="s">
        <v>23</v>
      </c>
    </row>
    <row r="26576" spans="1:2" ht="12.75" customHeight="1" x14ac:dyDescent="0.25">
      <c r="A26576" s="318">
        <v>381609299859</v>
      </c>
      <c r="B26576" s="318" t="s">
        <v>236</v>
      </c>
    </row>
    <row r="26577" spans="1:2" ht="12.75" customHeight="1" x14ac:dyDescent="0.25">
      <c r="A26577" s="318">
        <v>381609299860</v>
      </c>
      <c r="B26577" s="318" t="s">
        <v>237</v>
      </c>
    </row>
    <row r="26578" spans="1:2" ht="12.75" customHeight="1" x14ac:dyDescent="0.25">
      <c r="A26578" s="318">
        <v>381609299862</v>
      </c>
      <c r="B26578" s="318" t="s">
        <v>236</v>
      </c>
    </row>
    <row r="26579" spans="1:2" ht="12.75" customHeight="1" x14ac:dyDescent="0.25">
      <c r="A26579" s="318">
        <v>381609299863</v>
      </c>
      <c r="B26579" s="318" t="s">
        <v>23</v>
      </c>
    </row>
    <row r="26580" spans="1:2" ht="12.75" customHeight="1" x14ac:dyDescent="0.25">
      <c r="A26580" s="318">
        <v>381609299864</v>
      </c>
      <c r="B26580" s="318" t="s">
        <v>236</v>
      </c>
    </row>
    <row r="26581" spans="1:2" ht="12.75" customHeight="1" x14ac:dyDescent="0.25">
      <c r="A26581" s="318">
        <v>381609299865</v>
      </c>
      <c r="B26581" s="318" t="s">
        <v>23</v>
      </c>
    </row>
    <row r="26582" spans="1:2" ht="12.75" customHeight="1" x14ac:dyDescent="0.25">
      <c r="A26582" s="318">
        <v>381609299866</v>
      </c>
      <c r="B26582" s="318" t="s">
        <v>236</v>
      </c>
    </row>
    <row r="26583" spans="1:2" ht="12.75" customHeight="1" x14ac:dyDescent="0.25">
      <c r="A26583" s="318">
        <v>381609299867</v>
      </c>
      <c r="B26583" s="318" t="s">
        <v>23</v>
      </c>
    </row>
    <row r="26584" spans="1:2" ht="12.75" customHeight="1" x14ac:dyDescent="0.25">
      <c r="A26584" s="318">
        <v>381609299868</v>
      </c>
      <c r="B26584" s="318" t="s">
        <v>236</v>
      </c>
    </row>
    <row r="26585" spans="1:2" ht="12.75" customHeight="1" x14ac:dyDescent="0.25">
      <c r="A26585" s="318">
        <v>381609299869</v>
      </c>
      <c r="B26585" s="318" t="s">
        <v>237</v>
      </c>
    </row>
    <row r="26586" spans="1:2" ht="12.75" customHeight="1" x14ac:dyDescent="0.25">
      <c r="A26586" s="318">
        <v>381609780826</v>
      </c>
      <c r="B26586" s="318" t="s">
        <v>236</v>
      </c>
    </row>
    <row r="26587" spans="1:2" ht="12.75" customHeight="1" x14ac:dyDescent="0.25">
      <c r="A26587" s="318">
        <v>381609780827</v>
      </c>
      <c r="B26587" s="318" t="s">
        <v>23</v>
      </c>
    </row>
    <row r="26588" spans="1:2" ht="12.75" customHeight="1" x14ac:dyDescent="0.25">
      <c r="A26588" s="318">
        <v>381609780828</v>
      </c>
      <c r="B26588" s="318" t="s">
        <v>236</v>
      </c>
    </row>
    <row r="26589" spans="1:2" ht="12.75" customHeight="1" x14ac:dyDescent="0.25">
      <c r="A26589" s="318">
        <v>381609780829</v>
      </c>
      <c r="B26589" s="318" t="s">
        <v>23</v>
      </c>
    </row>
    <row r="26590" spans="1:2" ht="12.75" customHeight="1" x14ac:dyDescent="0.25">
      <c r="A26590" s="318">
        <v>381609780830</v>
      </c>
      <c r="B26590" s="318" t="s">
        <v>236</v>
      </c>
    </row>
    <row r="26591" spans="1:2" ht="12.75" customHeight="1" x14ac:dyDescent="0.25">
      <c r="A26591" s="318">
        <v>381609780831</v>
      </c>
      <c r="B26591" s="318" t="s">
        <v>23</v>
      </c>
    </row>
    <row r="26592" spans="1:2" ht="12.75" customHeight="1" x14ac:dyDescent="0.25">
      <c r="A26592" s="318">
        <v>381609780832</v>
      </c>
      <c r="B26592" s="318" t="s">
        <v>236</v>
      </c>
    </row>
    <row r="26593" spans="1:2" ht="12.75" customHeight="1" x14ac:dyDescent="0.25">
      <c r="A26593" s="318">
        <v>381609780833</v>
      </c>
      <c r="B26593" s="318" t="s">
        <v>237</v>
      </c>
    </row>
    <row r="26594" spans="1:2" ht="12.75" customHeight="1" x14ac:dyDescent="0.25">
      <c r="A26594" s="318">
        <v>381609780835</v>
      </c>
      <c r="B26594" s="318" t="s">
        <v>236</v>
      </c>
    </row>
    <row r="26595" spans="1:2" ht="12.75" customHeight="1" x14ac:dyDescent="0.25">
      <c r="A26595" s="318">
        <v>381609780836</v>
      </c>
      <c r="B26595" s="318" t="s">
        <v>23</v>
      </c>
    </row>
    <row r="26596" spans="1:2" ht="12.75" customHeight="1" x14ac:dyDescent="0.25">
      <c r="A26596" s="318">
        <v>381609780837</v>
      </c>
      <c r="B26596" s="318" t="s">
        <v>236</v>
      </c>
    </row>
    <row r="26597" spans="1:2" ht="12.75" customHeight="1" x14ac:dyDescent="0.25">
      <c r="A26597" s="318">
        <v>381609780838</v>
      </c>
      <c r="B26597" s="318" t="s">
        <v>23</v>
      </c>
    </row>
    <row r="26598" spans="1:2" ht="12.75" customHeight="1" x14ac:dyDescent="0.25">
      <c r="A26598" s="318">
        <v>381609780839</v>
      </c>
      <c r="B26598" s="318" t="s">
        <v>236</v>
      </c>
    </row>
    <row r="26599" spans="1:2" ht="12.75" customHeight="1" x14ac:dyDescent="0.25">
      <c r="A26599" s="318">
        <v>381609780840</v>
      </c>
      <c r="B26599" s="318" t="s">
        <v>23</v>
      </c>
    </row>
    <row r="26600" spans="1:2" ht="12.75" customHeight="1" x14ac:dyDescent="0.25">
      <c r="A26600" s="318">
        <v>381609780841</v>
      </c>
      <c r="B26600" s="318" t="s">
        <v>236</v>
      </c>
    </row>
    <row r="26601" spans="1:2" ht="12.75" customHeight="1" x14ac:dyDescent="0.25">
      <c r="A26601" s="318">
        <v>381609780842</v>
      </c>
      <c r="B26601" s="318" t="s">
        <v>237</v>
      </c>
    </row>
    <row r="26602" spans="1:2" ht="12.75" customHeight="1" x14ac:dyDescent="0.25">
      <c r="A26602" s="318">
        <v>381611141207</v>
      </c>
      <c r="B26602" s="318" t="s">
        <v>236</v>
      </c>
    </row>
    <row r="26603" spans="1:2" ht="12.75" customHeight="1" x14ac:dyDescent="0.25">
      <c r="A26603" s="318">
        <v>381611141208</v>
      </c>
      <c r="B26603" s="318" t="s">
        <v>23</v>
      </c>
    </row>
    <row r="26604" spans="1:2" ht="12.75" customHeight="1" x14ac:dyDescent="0.25">
      <c r="A26604" s="318">
        <v>381611141209</v>
      </c>
      <c r="B26604" s="318" t="s">
        <v>236</v>
      </c>
    </row>
    <row r="26605" spans="1:2" ht="12.75" customHeight="1" x14ac:dyDescent="0.25">
      <c r="A26605" s="318">
        <v>381611141210</v>
      </c>
      <c r="B26605" s="318" t="s">
        <v>23</v>
      </c>
    </row>
    <row r="26606" spans="1:2" ht="12.75" customHeight="1" x14ac:dyDescent="0.25">
      <c r="A26606" s="318">
        <v>381611141211</v>
      </c>
      <c r="B26606" s="318" t="s">
        <v>236</v>
      </c>
    </row>
    <row r="26607" spans="1:2" ht="12.75" customHeight="1" x14ac:dyDescent="0.25">
      <c r="A26607" s="318">
        <v>381611141212</v>
      </c>
      <c r="B26607" s="318" t="s">
        <v>23</v>
      </c>
    </row>
    <row r="26608" spans="1:2" ht="12.75" customHeight="1" x14ac:dyDescent="0.25">
      <c r="A26608" s="318">
        <v>381611141213</v>
      </c>
      <c r="B26608" s="318" t="s">
        <v>23</v>
      </c>
    </row>
    <row r="26609" spans="1:2" ht="12.75" customHeight="1" x14ac:dyDescent="0.25">
      <c r="A26609" s="318">
        <v>381611141214</v>
      </c>
      <c r="B26609" s="318" t="s">
        <v>237</v>
      </c>
    </row>
    <row r="26610" spans="1:2" ht="12.75" customHeight="1" x14ac:dyDescent="0.25">
      <c r="A26610" s="318">
        <v>381611141216</v>
      </c>
      <c r="B26610" s="318" t="s">
        <v>237</v>
      </c>
    </row>
    <row r="26611" spans="1:2" ht="12.75" customHeight="1" x14ac:dyDescent="0.25">
      <c r="A26611" s="318">
        <v>381611141217</v>
      </c>
      <c r="B26611" s="318" t="s">
        <v>237</v>
      </c>
    </row>
    <row r="26612" spans="1:2" ht="12.75" customHeight="1" x14ac:dyDescent="0.25">
      <c r="A26612" s="318">
        <v>381611141218</v>
      </c>
      <c r="B26612" s="318" t="s">
        <v>237</v>
      </c>
    </row>
    <row r="26613" spans="1:2" ht="12.75" customHeight="1" x14ac:dyDescent="0.25">
      <c r="A26613" s="318">
        <v>381611141219</v>
      </c>
      <c r="B26613" s="318" t="s">
        <v>237</v>
      </c>
    </row>
    <row r="26614" spans="1:2" ht="12.75" customHeight="1" x14ac:dyDescent="0.25">
      <c r="A26614" s="318">
        <v>381611141220</v>
      </c>
      <c r="B26614" s="318" t="s">
        <v>237</v>
      </c>
    </row>
    <row r="26615" spans="1:2" ht="12.75" customHeight="1" x14ac:dyDescent="0.25">
      <c r="A26615" s="318">
        <v>381611141221</v>
      </c>
      <c r="B26615" s="318" t="s">
        <v>237</v>
      </c>
    </row>
    <row r="26616" spans="1:2" ht="12.75" customHeight="1" x14ac:dyDescent="0.25">
      <c r="A26616" s="318">
        <v>381611141222</v>
      </c>
      <c r="B26616" s="318" t="s">
        <v>237</v>
      </c>
    </row>
    <row r="26617" spans="1:2" ht="12.75" customHeight="1" x14ac:dyDescent="0.25">
      <c r="A26617" s="318">
        <v>381611141223</v>
      </c>
      <c r="B26617" s="318" t="s">
        <v>237</v>
      </c>
    </row>
    <row r="26618" spans="1:2" ht="12.75" customHeight="1" x14ac:dyDescent="0.25">
      <c r="A26618" s="318">
        <v>381611622180</v>
      </c>
      <c r="B26618" s="318" t="s">
        <v>236</v>
      </c>
    </row>
    <row r="26619" spans="1:2" ht="12.75" customHeight="1" x14ac:dyDescent="0.25">
      <c r="A26619" s="318">
        <v>381611622181</v>
      </c>
      <c r="B26619" s="318" t="s">
        <v>23</v>
      </c>
    </row>
    <row r="26620" spans="1:2" ht="12.75" customHeight="1" x14ac:dyDescent="0.25">
      <c r="A26620" s="318">
        <v>381611622182</v>
      </c>
      <c r="B26620" s="318" t="s">
        <v>236</v>
      </c>
    </row>
    <row r="26621" spans="1:2" ht="12.75" customHeight="1" x14ac:dyDescent="0.25">
      <c r="A26621" s="318">
        <v>381611622183</v>
      </c>
      <c r="B26621" s="318" t="s">
        <v>23</v>
      </c>
    </row>
    <row r="26622" spans="1:2" ht="12.75" customHeight="1" x14ac:dyDescent="0.25">
      <c r="A26622" s="318">
        <v>381611622184</v>
      </c>
      <c r="B26622" s="318" t="s">
        <v>236</v>
      </c>
    </row>
    <row r="26623" spans="1:2" ht="12.75" customHeight="1" x14ac:dyDescent="0.25">
      <c r="A26623" s="318">
        <v>381611622185</v>
      </c>
      <c r="B26623" s="318" t="s">
        <v>23</v>
      </c>
    </row>
    <row r="26624" spans="1:2" ht="12.75" customHeight="1" x14ac:dyDescent="0.25">
      <c r="A26624" s="318">
        <v>381611622186</v>
      </c>
      <c r="B26624" s="318" t="s">
        <v>23</v>
      </c>
    </row>
    <row r="26625" spans="1:2" ht="12.75" customHeight="1" x14ac:dyDescent="0.25">
      <c r="A26625" s="318">
        <v>381611622187</v>
      </c>
      <c r="B26625" s="318" t="s">
        <v>237</v>
      </c>
    </row>
    <row r="26626" spans="1:2" ht="12.75" customHeight="1" x14ac:dyDescent="0.25">
      <c r="A26626" s="318">
        <v>381611622189</v>
      </c>
      <c r="B26626" s="318" t="s">
        <v>237</v>
      </c>
    </row>
    <row r="26627" spans="1:2" ht="12.75" customHeight="1" x14ac:dyDescent="0.25">
      <c r="A26627" s="318">
        <v>381611622190</v>
      </c>
      <c r="B26627" s="318" t="s">
        <v>237</v>
      </c>
    </row>
    <row r="26628" spans="1:2" ht="12.75" customHeight="1" x14ac:dyDescent="0.25">
      <c r="A26628" s="318">
        <v>381611622191</v>
      </c>
      <c r="B26628" s="318" t="s">
        <v>237</v>
      </c>
    </row>
    <row r="26629" spans="1:2" ht="12.75" customHeight="1" x14ac:dyDescent="0.25">
      <c r="A26629" s="318">
        <v>381611622192</v>
      </c>
      <c r="B26629" s="318" t="s">
        <v>237</v>
      </c>
    </row>
    <row r="26630" spans="1:2" ht="12.75" customHeight="1" x14ac:dyDescent="0.25">
      <c r="A26630" s="318">
        <v>381611622193</v>
      </c>
      <c r="B26630" s="318" t="s">
        <v>237</v>
      </c>
    </row>
    <row r="26631" spans="1:2" ht="12.75" customHeight="1" x14ac:dyDescent="0.25">
      <c r="A26631" s="318">
        <v>381611622194</v>
      </c>
      <c r="B26631" s="318" t="s">
        <v>237</v>
      </c>
    </row>
    <row r="26632" spans="1:2" ht="12.75" customHeight="1" x14ac:dyDescent="0.25">
      <c r="A26632" s="318">
        <v>381611622195</v>
      </c>
      <c r="B26632" s="318" t="s">
        <v>237</v>
      </c>
    </row>
    <row r="26633" spans="1:2" ht="12.75" customHeight="1" x14ac:dyDescent="0.25">
      <c r="A26633" s="318">
        <v>381611622196</v>
      </c>
      <c r="B26633" s="318" t="s">
        <v>237</v>
      </c>
    </row>
    <row r="26634" spans="1:2" ht="12.75" customHeight="1" x14ac:dyDescent="0.25">
      <c r="A26634" s="318">
        <v>381612103153</v>
      </c>
      <c r="B26634" s="318" t="s">
        <v>236</v>
      </c>
    </row>
    <row r="26635" spans="1:2" ht="12.75" customHeight="1" x14ac:dyDescent="0.25">
      <c r="A26635" s="318">
        <v>381612103154</v>
      </c>
      <c r="B26635" s="318" t="s">
        <v>23</v>
      </c>
    </row>
    <row r="26636" spans="1:2" ht="12.75" customHeight="1" x14ac:dyDescent="0.25">
      <c r="A26636" s="318">
        <v>381612103155</v>
      </c>
      <c r="B26636" s="318" t="s">
        <v>236</v>
      </c>
    </row>
    <row r="26637" spans="1:2" ht="12.75" customHeight="1" x14ac:dyDescent="0.25">
      <c r="A26637" s="318">
        <v>381612103156</v>
      </c>
      <c r="B26637" s="318" t="s">
        <v>23</v>
      </c>
    </row>
    <row r="26638" spans="1:2" ht="12.75" customHeight="1" x14ac:dyDescent="0.25">
      <c r="A26638" s="318">
        <v>381612103157</v>
      </c>
      <c r="B26638" s="318" t="s">
        <v>236</v>
      </c>
    </row>
    <row r="26639" spans="1:2" ht="12.75" customHeight="1" x14ac:dyDescent="0.25">
      <c r="A26639" s="318">
        <v>381612103158</v>
      </c>
      <c r="B26639" s="318" t="s">
        <v>23</v>
      </c>
    </row>
    <row r="26640" spans="1:2" ht="12.75" customHeight="1" x14ac:dyDescent="0.25">
      <c r="A26640" s="318">
        <v>381612103159</v>
      </c>
      <c r="B26640" s="318" t="s">
        <v>236</v>
      </c>
    </row>
    <row r="26641" spans="1:2" ht="12.75" customHeight="1" x14ac:dyDescent="0.25">
      <c r="A26641" s="318">
        <v>381612103160</v>
      </c>
      <c r="B26641" s="318" t="s">
        <v>237</v>
      </c>
    </row>
    <row r="26642" spans="1:2" ht="12.75" customHeight="1" x14ac:dyDescent="0.25">
      <c r="A26642" s="318">
        <v>381612103162</v>
      </c>
      <c r="B26642" s="318" t="s">
        <v>236</v>
      </c>
    </row>
    <row r="26643" spans="1:2" ht="12.75" customHeight="1" x14ac:dyDescent="0.25">
      <c r="A26643" s="318">
        <v>381612103163</v>
      </c>
      <c r="B26643" s="318" t="s">
        <v>23</v>
      </c>
    </row>
    <row r="26644" spans="1:2" ht="12.75" customHeight="1" x14ac:dyDescent="0.25">
      <c r="A26644" s="318">
        <v>381612103164</v>
      </c>
      <c r="B26644" s="318" t="s">
        <v>236</v>
      </c>
    </row>
    <row r="26645" spans="1:2" ht="12.75" customHeight="1" x14ac:dyDescent="0.25">
      <c r="A26645" s="318">
        <v>381612103165</v>
      </c>
      <c r="B26645" s="318" t="s">
        <v>23</v>
      </c>
    </row>
    <row r="26646" spans="1:2" ht="12.75" customHeight="1" x14ac:dyDescent="0.25">
      <c r="A26646" s="318">
        <v>381612103166</v>
      </c>
      <c r="B26646" s="318" t="s">
        <v>236</v>
      </c>
    </row>
    <row r="26647" spans="1:2" ht="12.75" customHeight="1" x14ac:dyDescent="0.25">
      <c r="A26647" s="318">
        <v>381612103167</v>
      </c>
      <c r="B26647" s="318" t="s">
        <v>23</v>
      </c>
    </row>
    <row r="26648" spans="1:2" ht="12.75" customHeight="1" x14ac:dyDescent="0.25">
      <c r="A26648" s="318">
        <v>381612103168</v>
      </c>
      <c r="B26648" s="318" t="s">
        <v>236</v>
      </c>
    </row>
    <row r="26649" spans="1:2" ht="12.75" customHeight="1" x14ac:dyDescent="0.25">
      <c r="A26649" s="318">
        <v>381612103169</v>
      </c>
      <c r="B26649" s="318" t="s">
        <v>237</v>
      </c>
    </row>
    <row r="26650" spans="1:2" ht="12.75" customHeight="1" x14ac:dyDescent="0.25">
      <c r="A26650" s="318">
        <v>381612783344</v>
      </c>
      <c r="B26650" s="318" t="s">
        <v>236</v>
      </c>
    </row>
    <row r="26651" spans="1:2" ht="12.75" customHeight="1" x14ac:dyDescent="0.25">
      <c r="A26651" s="318">
        <v>381612783345</v>
      </c>
      <c r="B26651" s="318" t="s">
        <v>23</v>
      </c>
    </row>
    <row r="26652" spans="1:2" ht="12.75" customHeight="1" x14ac:dyDescent="0.25">
      <c r="A26652" s="318">
        <v>381612783346</v>
      </c>
      <c r="B26652" s="318" t="s">
        <v>236</v>
      </c>
    </row>
    <row r="26653" spans="1:2" ht="12.75" customHeight="1" x14ac:dyDescent="0.25">
      <c r="A26653" s="318">
        <v>381612783347</v>
      </c>
      <c r="B26653" s="318" t="s">
        <v>23</v>
      </c>
    </row>
    <row r="26654" spans="1:2" ht="12.75" customHeight="1" x14ac:dyDescent="0.25">
      <c r="A26654" s="318">
        <v>381612783348</v>
      </c>
      <c r="B26654" s="318" t="s">
        <v>236</v>
      </c>
    </row>
    <row r="26655" spans="1:2" ht="12.75" customHeight="1" x14ac:dyDescent="0.25">
      <c r="A26655" s="318">
        <v>381612783349</v>
      </c>
      <c r="B26655" s="318" t="s">
        <v>23</v>
      </c>
    </row>
    <row r="26656" spans="1:2" ht="12.75" customHeight="1" x14ac:dyDescent="0.25">
      <c r="A26656" s="318">
        <v>381612783350</v>
      </c>
      <c r="B26656" s="318" t="s">
        <v>23</v>
      </c>
    </row>
    <row r="26657" spans="1:2" ht="12.75" customHeight="1" x14ac:dyDescent="0.25">
      <c r="A26657" s="318">
        <v>381612783351</v>
      </c>
      <c r="B26657" s="318" t="s">
        <v>237</v>
      </c>
    </row>
    <row r="26658" spans="1:2" ht="12.75" customHeight="1" x14ac:dyDescent="0.25">
      <c r="A26658" s="318">
        <v>381612783353</v>
      </c>
      <c r="B26658" s="318" t="s">
        <v>237</v>
      </c>
    </row>
    <row r="26659" spans="1:2" ht="12.75" customHeight="1" x14ac:dyDescent="0.25">
      <c r="A26659" s="318">
        <v>381612783354</v>
      </c>
      <c r="B26659" s="318" t="s">
        <v>237</v>
      </c>
    </row>
    <row r="26660" spans="1:2" ht="12.75" customHeight="1" x14ac:dyDescent="0.25">
      <c r="A26660" s="318">
        <v>381612783355</v>
      </c>
      <c r="B26660" s="318" t="s">
        <v>237</v>
      </c>
    </row>
    <row r="26661" spans="1:2" ht="12.75" customHeight="1" x14ac:dyDescent="0.25">
      <c r="A26661" s="318">
        <v>381612783356</v>
      </c>
      <c r="B26661" s="318" t="s">
        <v>237</v>
      </c>
    </row>
    <row r="26662" spans="1:2" ht="12.75" customHeight="1" x14ac:dyDescent="0.25">
      <c r="A26662" s="318">
        <v>381612783357</v>
      </c>
      <c r="B26662" s="318" t="s">
        <v>237</v>
      </c>
    </row>
    <row r="26663" spans="1:2" ht="12.75" customHeight="1" x14ac:dyDescent="0.25">
      <c r="A26663" s="318">
        <v>381612783358</v>
      </c>
      <c r="B26663" s="318" t="s">
        <v>237</v>
      </c>
    </row>
    <row r="26664" spans="1:2" ht="12.75" customHeight="1" x14ac:dyDescent="0.25">
      <c r="A26664" s="318">
        <v>381612783359</v>
      </c>
      <c r="B26664" s="318" t="s">
        <v>237</v>
      </c>
    </row>
    <row r="26665" spans="1:2" ht="12.75" customHeight="1" x14ac:dyDescent="0.25">
      <c r="A26665" s="318">
        <v>381612783360</v>
      </c>
      <c r="B26665" s="318" t="s">
        <v>237</v>
      </c>
    </row>
    <row r="26666" spans="1:2" ht="12.75" customHeight="1" x14ac:dyDescent="0.25">
      <c r="A26666" s="318">
        <v>381613264317</v>
      </c>
      <c r="B26666" s="318" t="s">
        <v>236</v>
      </c>
    </row>
    <row r="26667" spans="1:2" ht="12.75" customHeight="1" x14ac:dyDescent="0.25">
      <c r="A26667" s="318">
        <v>381613264318</v>
      </c>
      <c r="B26667" s="318" t="s">
        <v>23</v>
      </c>
    </row>
    <row r="26668" spans="1:2" ht="12.75" customHeight="1" x14ac:dyDescent="0.25">
      <c r="A26668" s="318">
        <v>381613264319</v>
      </c>
      <c r="B26668" s="318" t="s">
        <v>236</v>
      </c>
    </row>
    <row r="26669" spans="1:2" ht="12.75" customHeight="1" x14ac:dyDescent="0.25">
      <c r="A26669" s="318">
        <v>381613264320</v>
      </c>
      <c r="B26669" s="318" t="s">
        <v>23</v>
      </c>
    </row>
    <row r="26670" spans="1:2" ht="12.75" customHeight="1" x14ac:dyDescent="0.25">
      <c r="A26670" s="318">
        <v>381613264321</v>
      </c>
      <c r="B26670" s="318" t="s">
        <v>236</v>
      </c>
    </row>
    <row r="26671" spans="1:2" ht="12.75" customHeight="1" x14ac:dyDescent="0.25">
      <c r="A26671" s="318">
        <v>381613264322</v>
      </c>
      <c r="B26671" s="318" t="s">
        <v>23</v>
      </c>
    </row>
    <row r="26672" spans="1:2" ht="12.75" customHeight="1" x14ac:dyDescent="0.25">
      <c r="A26672" s="318">
        <v>381613264323</v>
      </c>
      <c r="B26672" s="318" t="s">
        <v>23</v>
      </c>
    </row>
    <row r="26673" spans="1:2" ht="12.75" customHeight="1" x14ac:dyDescent="0.25">
      <c r="A26673" s="318">
        <v>381613264324</v>
      </c>
      <c r="B26673" s="318" t="s">
        <v>237</v>
      </c>
    </row>
    <row r="26674" spans="1:2" ht="12.75" customHeight="1" x14ac:dyDescent="0.25">
      <c r="A26674" s="318">
        <v>381613264326</v>
      </c>
      <c r="B26674" s="318" t="s">
        <v>237</v>
      </c>
    </row>
    <row r="26675" spans="1:2" ht="12.75" customHeight="1" x14ac:dyDescent="0.25">
      <c r="A26675" s="318">
        <v>381613264327</v>
      </c>
      <c r="B26675" s="318" t="s">
        <v>237</v>
      </c>
    </row>
    <row r="26676" spans="1:2" ht="12.75" customHeight="1" x14ac:dyDescent="0.25">
      <c r="A26676" s="318">
        <v>381613264328</v>
      </c>
      <c r="B26676" s="318" t="s">
        <v>237</v>
      </c>
    </row>
    <row r="26677" spans="1:2" ht="12.75" customHeight="1" x14ac:dyDescent="0.25">
      <c r="A26677" s="318">
        <v>381613264329</v>
      </c>
      <c r="B26677" s="318" t="s">
        <v>237</v>
      </c>
    </row>
    <row r="26678" spans="1:2" ht="12.75" customHeight="1" x14ac:dyDescent="0.25">
      <c r="A26678" s="318">
        <v>381613264330</v>
      </c>
      <c r="B26678" s="318" t="s">
        <v>237</v>
      </c>
    </row>
    <row r="26679" spans="1:2" ht="12.75" customHeight="1" x14ac:dyDescent="0.25">
      <c r="A26679" s="318">
        <v>381613264331</v>
      </c>
      <c r="B26679" s="318" t="s">
        <v>237</v>
      </c>
    </row>
    <row r="26680" spans="1:2" ht="12.75" customHeight="1" x14ac:dyDescent="0.25">
      <c r="A26680" s="318">
        <v>381613264332</v>
      </c>
      <c r="B26680" s="318" t="s">
        <v>237</v>
      </c>
    </row>
    <row r="26681" spans="1:2" ht="12.75" customHeight="1" x14ac:dyDescent="0.25">
      <c r="A26681" s="318">
        <v>381613264333</v>
      </c>
      <c r="B26681" s="318" t="s">
        <v>237</v>
      </c>
    </row>
    <row r="26682" spans="1:2" ht="12.75" customHeight="1" x14ac:dyDescent="0.25">
      <c r="A26682" s="318">
        <v>381613745290</v>
      </c>
      <c r="B26682" s="318" t="s">
        <v>236</v>
      </c>
    </row>
    <row r="26683" spans="1:2" ht="12.75" customHeight="1" x14ac:dyDescent="0.25">
      <c r="A26683" s="318">
        <v>381613745291</v>
      </c>
      <c r="B26683" s="318" t="s">
        <v>23</v>
      </c>
    </row>
    <row r="26684" spans="1:2" ht="12.75" customHeight="1" x14ac:dyDescent="0.25">
      <c r="A26684" s="318">
        <v>381613745292</v>
      </c>
      <c r="B26684" s="318" t="s">
        <v>236</v>
      </c>
    </row>
    <row r="26685" spans="1:2" ht="12.75" customHeight="1" x14ac:dyDescent="0.25">
      <c r="A26685" s="318">
        <v>381613745293</v>
      </c>
      <c r="B26685" s="318" t="s">
        <v>23</v>
      </c>
    </row>
    <row r="26686" spans="1:2" ht="12.75" customHeight="1" x14ac:dyDescent="0.25">
      <c r="A26686" s="318">
        <v>381613745294</v>
      </c>
      <c r="B26686" s="318" t="s">
        <v>236</v>
      </c>
    </row>
    <row r="26687" spans="1:2" ht="12.75" customHeight="1" x14ac:dyDescent="0.25">
      <c r="A26687" s="318">
        <v>381613745295</v>
      </c>
      <c r="B26687" s="318" t="s">
        <v>23</v>
      </c>
    </row>
    <row r="26688" spans="1:2" ht="12.75" customHeight="1" x14ac:dyDescent="0.25">
      <c r="A26688" s="318">
        <v>381613745296</v>
      </c>
      <c r="B26688" s="318" t="s">
        <v>236</v>
      </c>
    </row>
    <row r="26689" spans="1:2" ht="12.75" customHeight="1" x14ac:dyDescent="0.25">
      <c r="A26689" s="318">
        <v>381613745297</v>
      </c>
      <c r="B26689" s="318" t="s">
        <v>237</v>
      </c>
    </row>
    <row r="26690" spans="1:2" ht="12.75" customHeight="1" x14ac:dyDescent="0.25">
      <c r="A26690" s="318">
        <v>381613745299</v>
      </c>
      <c r="B26690" s="318" t="s">
        <v>236</v>
      </c>
    </row>
    <row r="26691" spans="1:2" ht="12.75" customHeight="1" x14ac:dyDescent="0.25">
      <c r="A26691" s="318">
        <v>381613745300</v>
      </c>
      <c r="B26691" s="318" t="s">
        <v>23</v>
      </c>
    </row>
    <row r="26692" spans="1:2" ht="12.75" customHeight="1" x14ac:dyDescent="0.25">
      <c r="A26692" s="318">
        <v>381613745301</v>
      </c>
      <c r="B26692" s="318" t="s">
        <v>236</v>
      </c>
    </row>
    <row r="26693" spans="1:2" ht="12.75" customHeight="1" x14ac:dyDescent="0.25">
      <c r="A26693" s="318">
        <v>381613745302</v>
      </c>
      <c r="B26693" s="318" t="s">
        <v>23</v>
      </c>
    </row>
    <row r="26694" spans="1:2" ht="12.75" customHeight="1" x14ac:dyDescent="0.25">
      <c r="A26694" s="318">
        <v>381613745303</v>
      </c>
      <c r="B26694" s="318" t="s">
        <v>236</v>
      </c>
    </row>
    <row r="26695" spans="1:2" ht="12.75" customHeight="1" x14ac:dyDescent="0.25">
      <c r="A26695" s="318">
        <v>381613745304</v>
      </c>
      <c r="B26695" s="318" t="s">
        <v>23</v>
      </c>
    </row>
    <row r="26696" spans="1:2" ht="12.75" customHeight="1" x14ac:dyDescent="0.25">
      <c r="A26696" s="318">
        <v>381613745305</v>
      </c>
      <c r="B26696" s="318" t="s">
        <v>236</v>
      </c>
    </row>
    <row r="26697" spans="1:2" ht="12.75" customHeight="1" x14ac:dyDescent="0.25">
      <c r="A26697" s="318">
        <v>381613745306</v>
      </c>
      <c r="B26697" s="318" t="s">
        <v>237</v>
      </c>
    </row>
    <row r="26698" spans="1:2" ht="12.75" customHeight="1" x14ac:dyDescent="0.25">
      <c r="A26698" s="318">
        <v>381614425481</v>
      </c>
      <c r="B26698" s="318" t="s">
        <v>236</v>
      </c>
    </row>
    <row r="26699" spans="1:2" ht="12.75" customHeight="1" x14ac:dyDescent="0.25">
      <c r="A26699" s="318">
        <v>381614425482</v>
      </c>
      <c r="B26699" s="318" t="s">
        <v>23</v>
      </c>
    </row>
    <row r="26700" spans="1:2" ht="12.75" customHeight="1" x14ac:dyDescent="0.25">
      <c r="A26700" s="318">
        <v>381614425483</v>
      </c>
      <c r="B26700" s="318" t="s">
        <v>236</v>
      </c>
    </row>
    <row r="26701" spans="1:2" ht="12.75" customHeight="1" x14ac:dyDescent="0.25">
      <c r="A26701" s="318">
        <v>381614425484</v>
      </c>
      <c r="B26701" s="318" t="s">
        <v>23</v>
      </c>
    </row>
    <row r="26702" spans="1:2" ht="12.75" customHeight="1" x14ac:dyDescent="0.25">
      <c r="A26702" s="318">
        <v>381614425485</v>
      </c>
      <c r="B26702" s="318" t="s">
        <v>236</v>
      </c>
    </row>
    <row r="26703" spans="1:2" ht="12.75" customHeight="1" x14ac:dyDescent="0.25">
      <c r="A26703" s="318">
        <v>381614425486</v>
      </c>
      <c r="B26703" s="318" t="s">
        <v>23</v>
      </c>
    </row>
    <row r="26704" spans="1:2" ht="12.75" customHeight="1" x14ac:dyDescent="0.25">
      <c r="A26704" s="318">
        <v>381614425487</v>
      </c>
      <c r="B26704" s="318" t="s">
        <v>236</v>
      </c>
    </row>
    <row r="26705" spans="1:2" ht="12.75" customHeight="1" x14ac:dyDescent="0.25">
      <c r="A26705" s="318">
        <v>381614425488</v>
      </c>
      <c r="B26705" s="318" t="s">
        <v>237</v>
      </c>
    </row>
    <row r="26706" spans="1:2" ht="12.75" customHeight="1" x14ac:dyDescent="0.25">
      <c r="A26706" s="318">
        <v>381614425490</v>
      </c>
      <c r="B26706" s="318" t="s">
        <v>236</v>
      </c>
    </row>
    <row r="26707" spans="1:2" ht="12.75" customHeight="1" x14ac:dyDescent="0.25">
      <c r="A26707" s="318">
        <v>381614425491</v>
      </c>
      <c r="B26707" s="318" t="s">
        <v>23</v>
      </c>
    </row>
    <row r="26708" spans="1:2" ht="12.75" customHeight="1" x14ac:dyDescent="0.25">
      <c r="A26708" s="318">
        <v>381614425492</v>
      </c>
      <c r="B26708" s="318" t="s">
        <v>236</v>
      </c>
    </row>
    <row r="26709" spans="1:2" ht="12.75" customHeight="1" x14ac:dyDescent="0.25">
      <c r="A26709" s="318">
        <v>381614425493</v>
      </c>
      <c r="B26709" s="318" t="s">
        <v>23</v>
      </c>
    </row>
    <row r="26710" spans="1:2" ht="12.75" customHeight="1" x14ac:dyDescent="0.25">
      <c r="A26710" s="318">
        <v>381614425494</v>
      </c>
      <c r="B26710" s="318" t="s">
        <v>236</v>
      </c>
    </row>
    <row r="26711" spans="1:2" ht="12.75" customHeight="1" x14ac:dyDescent="0.25">
      <c r="A26711" s="318">
        <v>381614425495</v>
      </c>
      <c r="B26711" s="318" t="s">
        <v>23</v>
      </c>
    </row>
    <row r="26712" spans="1:2" ht="12.75" customHeight="1" x14ac:dyDescent="0.25">
      <c r="A26712" s="318">
        <v>381614425496</v>
      </c>
      <c r="B26712" s="318" t="s">
        <v>236</v>
      </c>
    </row>
    <row r="26713" spans="1:2" ht="12.75" customHeight="1" x14ac:dyDescent="0.25">
      <c r="A26713" s="318">
        <v>381614425497</v>
      </c>
      <c r="B26713" s="318" t="s">
        <v>237</v>
      </c>
    </row>
    <row r="26714" spans="1:2" ht="12.75" customHeight="1" x14ac:dyDescent="0.25">
      <c r="A26714" s="318">
        <v>381614906454</v>
      </c>
      <c r="B26714" s="318" t="s">
        <v>236</v>
      </c>
    </row>
    <row r="26715" spans="1:2" ht="12.75" customHeight="1" x14ac:dyDescent="0.25">
      <c r="A26715" s="318">
        <v>381614906455</v>
      </c>
      <c r="B26715" s="318" t="s">
        <v>23</v>
      </c>
    </row>
    <row r="26716" spans="1:2" ht="12.75" customHeight="1" x14ac:dyDescent="0.25">
      <c r="A26716" s="318">
        <v>381614906456</v>
      </c>
      <c r="B26716" s="318" t="s">
        <v>236</v>
      </c>
    </row>
    <row r="26717" spans="1:2" ht="12.75" customHeight="1" x14ac:dyDescent="0.25">
      <c r="A26717" s="318">
        <v>381614906457</v>
      </c>
      <c r="B26717" s="318" t="s">
        <v>23</v>
      </c>
    </row>
    <row r="26718" spans="1:2" ht="12.75" customHeight="1" x14ac:dyDescent="0.25">
      <c r="A26718" s="318">
        <v>381614906458</v>
      </c>
      <c r="B26718" s="318" t="s">
        <v>236</v>
      </c>
    </row>
    <row r="26719" spans="1:2" ht="12.75" customHeight="1" x14ac:dyDescent="0.25">
      <c r="A26719" s="318">
        <v>381614906459</v>
      </c>
      <c r="B26719" s="318" t="s">
        <v>23</v>
      </c>
    </row>
    <row r="26720" spans="1:2" ht="12.75" customHeight="1" x14ac:dyDescent="0.25">
      <c r="A26720" s="318">
        <v>381614906460</v>
      </c>
      <c r="B26720" s="318" t="s">
        <v>236</v>
      </c>
    </row>
    <row r="26721" spans="1:2" ht="12.75" customHeight="1" x14ac:dyDescent="0.25">
      <c r="A26721" s="318">
        <v>381614906461</v>
      </c>
      <c r="B26721" s="318" t="s">
        <v>237</v>
      </c>
    </row>
    <row r="26722" spans="1:2" ht="12.75" customHeight="1" x14ac:dyDescent="0.25">
      <c r="A26722" s="318">
        <v>381614906463</v>
      </c>
      <c r="B26722" s="318" t="s">
        <v>236</v>
      </c>
    </row>
    <row r="26723" spans="1:2" ht="12.75" customHeight="1" x14ac:dyDescent="0.25">
      <c r="A26723" s="318">
        <v>381614906464</v>
      </c>
      <c r="B26723" s="318" t="s">
        <v>23</v>
      </c>
    </row>
    <row r="26724" spans="1:2" ht="12.75" customHeight="1" x14ac:dyDescent="0.25">
      <c r="A26724" s="318">
        <v>381614906465</v>
      </c>
      <c r="B26724" s="318" t="s">
        <v>236</v>
      </c>
    </row>
    <row r="26725" spans="1:2" ht="12.75" customHeight="1" x14ac:dyDescent="0.25">
      <c r="A26725" s="318">
        <v>381614906466</v>
      </c>
      <c r="B26725" s="318" t="s">
        <v>23</v>
      </c>
    </row>
    <row r="26726" spans="1:2" ht="12.75" customHeight="1" x14ac:dyDescent="0.25">
      <c r="A26726" s="318">
        <v>381614906467</v>
      </c>
      <c r="B26726" s="318" t="s">
        <v>236</v>
      </c>
    </row>
    <row r="26727" spans="1:2" ht="12.75" customHeight="1" x14ac:dyDescent="0.25">
      <c r="A26727" s="318">
        <v>381614906468</v>
      </c>
      <c r="B26727" s="318" t="s">
        <v>23</v>
      </c>
    </row>
    <row r="26728" spans="1:2" ht="12.75" customHeight="1" x14ac:dyDescent="0.25">
      <c r="A26728" s="318">
        <v>381614906469</v>
      </c>
      <c r="B26728" s="318" t="s">
        <v>236</v>
      </c>
    </row>
    <row r="26729" spans="1:2" ht="12.75" customHeight="1" x14ac:dyDescent="0.25">
      <c r="A26729" s="318">
        <v>381614906470</v>
      </c>
      <c r="B26729" s="318" t="s">
        <v>237</v>
      </c>
    </row>
    <row r="26730" spans="1:2" ht="12.75" customHeight="1" x14ac:dyDescent="0.25">
      <c r="A26730" s="318">
        <v>381615387427</v>
      </c>
      <c r="B26730" s="318" t="s">
        <v>236</v>
      </c>
    </row>
    <row r="26731" spans="1:2" ht="12.75" customHeight="1" x14ac:dyDescent="0.25">
      <c r="A26731" s="318">
        <v>381615387428</v>
      </c>
      <c r="B26731" s="318" t="s">
        <v>23</v>
      </c>
    </row>
    <row r="26732" spans="1:2" ht="12.75" customHeight="1" x14ac:dyDescent="0.25">
      <c r="A26732" s="318">
        <v>381615387429</v>
      </c>
      <c r="B26732" s="318" t="s">
        <v>236</v>
      </c>
    </row>
    <row r="26733" spans="1:2" ht="12.75" customHeight="1" x14ac:dyDescent="0.25">
      <c r="A26733" s="318">
        <v>381615387430</v>
      </c>
      <c r="B26733" s="318" t="s">
        <v>23</v>
      </c>
    </row>
    <row r="26734" spans="1:2" ht="12.75" customHeight="1" x14ac:dyDescent="0.25">
      <c r="A26734" s="318">
        <v>381615387431</v>
      </c>
      <c r="B26734" s="318" t="s">
        <v>236</v>
      </c>
    </row>
    <row r="26735" spans="1:2" ht="12.75" customHeight="1" x14ac:dyDescent="0.25">
      <c r="A26735" s="318">
        <v>381615387432</v>
      </c>
      <c r="B26735" s="318" t="s">
        <v>23</v>
      </c>
    </row>
    <row r="26736" spans="1:2" ht="12.75" customHeight="1" x14ac:dyDescent="0.25">
      <c r="A26736" s="318">
        <v>381615387433</v>
      </c>
      <c r="B26736" s="318" t="s">
        <v>236</v>
      </c>
    </row>
    <row r="26737" spans="1:2" ht="12.75" customHeight="1" x14ac:dyDescent="0.25">
      <c r="A26737" s="318">
        <v>381615387434</v>
      </c>
      <c r="B26737" s="318" t="s">
        <v>237</v>
      </c>
    </row>
    <row r="26738" spans="1:2" ht="12.75" customHeight="1" x14ac:dyDescent="0.25">
      <c r="A26738" s="318">
        <v>381615387436</v>
      </c>
      <c r="B26738" s="318" t="s">
        <v>236</v>
      </c>
    </row>
    <row r="26739" spans="1:2" ht="12.75" customHeight="1" x14ac:dyDescent="0.25">
      <c r="A26739" s="318">
        <v>381615387437</v>
      </c>
      <c r="B26739" s="318" t="s">
        <v>23</v>
      </c>
    </row>
    <row r="26740" spans="1:2" ht="12.75" customHeight="1" x14ac:dyDescent="0.25">
      <c r="A26740" s="318">
        <v>381615387438</v>
      </c>
      <c r="B26740" s="318" t="s">
        <v>236</v>
      </c>
    </row>
    <row r="26741" spans="1:2" ht="12.75" customHeight="1" x14ac:dyDescent="0.25">
      <c r="A26741" s="318">
        <v>381615387439</v>
      </c>
      <c r="B26741" s="318" t="s">
        <v>23</v>
      </c>
    </row>
    <row r="26742" spans="1:2" ht="12.75" customHeight="1" x14ac:dyDescent="0.25">
      <c r="A26742" s="318">
        <v>381615387440</v>
      </c>
      <c r="B26742" s="318" t="s">
        <v>236</v>
      </c>
    </row>
    <row r="26743" spans="1:2" ht="12.75" customHeight="1" x14ac:dyDescent="0.25">
      <c r="A26743" s="318">
        <v>381615387441</v>
      </c>
      <c r="B26743" s="318" t="s">
        <v>23</v>
      </c>
    </row>
    <row r="26744" spans="1:2" ht="12.75" customHeight="1" x14ac:dyDescent="0.25">
      <c r="A26744" s="318">
        <v>381615387442</v>
      </c>
      <c r="B26744" s="318" t="s">
        <v>236</v>
      </c>
    </row>
    <row r="26745" spans="1:2" ht="12.75" customHeight="1" x14ac:dyDescent="0.25">
      <c r="A26745" s="318">
        <v>381615387443</v>
      </c>
      <c r="B26745" s="318" t="s">
        <v>237</v>
      </c>
    </row>
    <row r="26746" spans="1:2" ht="12.75" customHeight="1" x14ac:dyDescent="0.25">
      <c r="A26746" s="318">
        <v>381616747808</v>
      </c>
      <c r="B26746" s="318" t="s">
        <v>236</v>
      </c>
    </row>
    <row r="26747" spans="1:2" ht="12.75" customHeight="1" x14ac:dyDescent="0.25">
      <c r="A26747" s="318">
        <v>381616747809</v>
      </c>
      <c r="B26747" s="318" t="s">
        <v>23</v>
      </c>
    </row>
    <row r="26748" spans="1:2" ht="12.75" customHeight="1" x14ac:dyDescent="0.25">
      <c r="A26748" s="318">
        <v>381616747810</v>
      </c>
      <c r="B26748" s="318" t="s">
        <v>236</v>
      </c>
    </row>
    <row r="26749" spans="1:2" ht="12.75" customHeight="1" x14ac:dyDescent="0.25">
      <c r="A26749" s="318">
        <v>381616747811</v>
      </c>
      <c r="B26749" s="318" t="s">
        <v>23</v>
      </c>
    </row>
    <row r="26750" spans="1:2" ht="12.75" customHeight="1" x14ac:dyDescent="0.25">
      <c r="A26750" s="318">
        <v>381616747812</v>
      </c>
      <c r="B26750" s="318" t="s">
        <v>236</v>
      </c>
    </row>
    <row r="26751" spans="1:2" ht="12.75" customHeight="1" x14ac:dyDescent="0.25">
      <c r="A26751" s="318">
        <v>381616747813</v>
      </c>
      <c r="B26751" s="318" t="s">
        <v>23</v>
      </c>
    </row>
    <row r="26752" spans="1:2" ht="12.75" customHeight="1" x14ac:dyDescent="0.25">
      <c r="A26752" s="318">
        <v>381616747814</v>
      </c>
      <c r="B26752" s="318" t="s">
        <v>236</v>
      </c>
    </row>
    <row r="26753" spans="1:2" ht="12.75" customHeight="1" x14ac:dyDescent="0.25">
      <c r="A26753" s="318">
        <v>381616747815</v>
      </c>
      <c r="B26753" s="318" t="s">
        <v>237</v>
      </c>
    </row>
    <row r="26754" spans="1:2" ht="12.75" customHeight="1" x14ac:dyDescent="0.25">
      <c r="A26754" s="318">
        <v>381616747817</v>
      </c>
      <c r="B26754" s="318" t="s">
        <v>236</v>
      </c>
    </row>
    <row r="26755" spans="1:2" ht="12.75" customHeight="1" x14ac:dyDescent="0.25">
      <c r="A26755" s="318">
        <v>381616747818</v>
      </c>
      <c r="B26755" s="318" t="s">
        <v>23</v>
      </c>
    </row>
    <row r="26756" spans="1:2" ht="12.75" customHeight="1" x14ac:dyDescent="0.25">
      <c r="A26756" s="318">
        <v>381616747819</v>
      </c>
      <c r="B26756" s="318" t="s">
        <v>236</v>
      </c>
    </row>
    <row r="26757" spans="1:2" ht="12.75" customHeight="1" x14ac:dyDescent="0.25">
      <c r="A26757" s="318">
        <v>381616747820</v>
      </c>
      <c r="B26757" s="318" t="s">
        <v>23</v>
      </c>
    </row>
    <row r="26758" spans="1:2" ht="12.75" customHeight="1" x14ac:dyDescent="0.25">
      <c r="A26758" s="318">
        <v>381616747821</v>
      </c>
      <c r="B26758" s="318" t="s">
        <v>236</v>
      </c>
    </row>
    <row r="26759" spans="1:2" ht="12.75" customHeight="1" x14ac:dyDescent="0.25">
      <c r="A26759" s="318">
        <v>381616747822</v>
      </c>
      <c r="B26759" s="318" t="s">
        <v>23</v>
      </c>
    </row>
    <row r="26760" spans="1:2" ht="12.75" customHeight="1" x14ac:dyDescent="0.25">
      <c r="A26760" s="318">
        <v>381616747823</v>
      </c>
      <c r="B26760" s="318" t="s">
        <v>236</v>
      </c>
    </row>
    <row r="26761" spans="1:2" ht="12.75" customHeight="1" x14ac:dyDescent="0.25">
      <c r="A26761" s="318">
        <v>381616747824</v>
      </c>
      <c r="B26761" s="318" t="s">
        <v>237</v>
      </c>
    </row>
    <row r="26762" spans="1:2" ht="12.75" customHeight="1" x14ac:dyDescent="0.25">
      <c r="A26762" s="318">
        <v>381617228781</v>
      </c>
      <c r="B26762" s="318" t="s">
        <v>236</v>
      </c>
    </row>
    <row r="26763" spans="1:2" ht="12.75" customHeight="1" x14ac:dyDescent="0.25">
      <c r="A26763" s="318">
        <v>381617228782</v>
      </c>
      <c r="B26763" s="318" t="s">
        <v>23</v>
      </c>
    </row>
    <row r="26764" spans="1:2" ht="12.75" customHeight="1" x14ac:dyDescent="0.25">
      <c r="A26764" s="318">
        <v>381617228783</v>
      </c>
      <c r="B26764" s="318" t="s">
        <v>236</v>
      </c>
    </row>
    <row r="26765" spans="1:2" ht="12.75" customHeight="1" x14ac:dyDescent="0.25">
      <c r="A26765" s="318">
        <v>381617228784</v>
      </c>
      <c r="B26765" s="318" t="s">
        <v>23</v>
      </c>
    </row>
    <row r="26766" spans="1:2" ht="12.75" customHeight="1" x14ac:dyDescent="0.25">
      <c r="A26766" s="318">
        <v>381617228785</v>
      </c>
      <c r="B26766" s="318" t="s">
        <v>236</v>
      </c>
    </row>
    <row r="26767" spans="1:2" ht="12.75" customHeight="1" x14ac:dyDescent="0.25">
      <c r="A26767" s="318">
        <v>381617228786</v>
      </c>
      <c r="B26767" s="318" t="s">
        <v>23</v>
      </c>
    </row>
    <row r="26768" spans="1:2" ht="12.75" customHeight="1" x14ac:dyDescent="0.25">
      <c r="A26768" s="318">
        <v>381617228787</v>
      </c>
      <c r="B26768" s="318" t="s">
        <v>236</v>
      </c>
    </row>
    <row r="26769" spans="1:2" ht="12.75" customHeight="1" x14ac:dyDescent="0.25">
      <c r="A26769" s="318">
        <v>381617228788</v>
      </c>
      <c r="B26769" s="318" t="s">
        <v>237</v>
      </c>
    </row>
    <row r="26770" spans="1:2" ht="12.75" customHeight="1" x14ac:dyDescent="0.25">
      <c r="A26770" s="318">
        <v>381617228790</v>
      </c>
      <c r="B26770" s="318" t="s">
        <v>236</v>
      </c>
    </row>
    <row r="26771" spans="1:2" ht="12.75" customHeight="1" x14ac:dyDescent="0.25">
      <c r="A26771" s="318">
        <v>381617228791</v>
      </c>
      <c r="B26771" s="318" t="s">
        <v>23</v>
      </c>
    </row>
    <row r="26772" spans="1:2" ht="12.75" customHeight="1" x14ac:dyDescent="0.25">
      <c r="A26772" s="318">
        <v>381617228792</v>
      </c>
      <c r="B26772" s="318" t="s">
        <v>236</v>
      </c>
    </row>
    <row r="26773" spans="1:2" ht="12.75" customHeight="1" x14ac:dyDescent="0.25">
      <c r="A26773" s="318">
        <v>381617228793</v>
      </c>
      <c r="B26773" s="318" t="s">
        <v>23</v>
      </c>
    </row>
    <row r="26774" spans="1:2" ht="12.75" customHeight="1" x14ac:dyDescent="0.25">
      <c r="A26774" s="318">
        <v>381617228794</v>
      </c>
      <c r="B26774" s="318" t="s">
        <v>236</v>
      </c>
    </row>
    <row r="26775" spans="1:2" ht="12.75" customHeight="1" x14ac:dyDescent="0.25">
      <c r="A26775" s="318">
        <v>381617228795</v>
      </c>
      <c r="B26775" s="318" t="s">
        <v>23</v>
      </c>
    </row>
    <row r="26776" spans="1:2" ht="12.75" customHeight="1" x14ac:dyDescent="0.25">
      <c r="A26776" s="318">
        <v>381617228796</v>
      </c>
      <c r="B26776" s="318" t="s">
        <v>236</v>
      </c>
    </row>
    <row r="26777" spans="1:2" ht="12.75" customHeight="1" x14ac:dyDescent="0.25">
      <c r="A26777" s="318">
        <v>381617228797</v>
      </c>
      <c r="B26777" s="318" t="s">
        <v>237</v>
      </c>
    </row>
    <row r="26778" spans="1:2" ht="12.75" customHeight="1" x14ac:dyDescent="0.25">
      <c r="A26778" s="318">
        <v>381617709754</v>
      </c>
      <c r="B26778" s="318" t="s">
        <v>236</v>
      </c>
    </row>
    <row r="26779" spans="1:2" ht="12.75" customHeight="1" x14ac:dyDescent="0.25">
      <c r="A26779" s="318">
        <v>381617709755</v>
      </c>
      <c r="B26779" s="318" t="s">
        <v>23</v>
      </c>
    </row>
    <row r="26780" spans="1:2" ht="12.75" customHeight="1" x14ac:dyDescent="0.25">
      <c r="A26780" s="318">
        <v>381617709756</v>
      </c>
      <c r="B26780" s="318" t="s">
        <v>236</v>
      </c>
    </row>
    <row r="26781" spans="1:2" ht="12.75" customHeight="1" x14ac:dyDescent="0.25">
      <c r="A26781" s="318">
        <v>381617709757</v>
      </c>
      <c r="B26781" s="318" t="s">
        <v>23</v>
      </c>
    </row>
    <row r="26782" spans="1:2" ht="12.75" customHeight="1" x14ac:dyDescent="0.25">
      <c r="A26782" s="318">
        <v>381617709758</v>
      </c>
      <c r="B26782" s="318" t="s">
        <v>236</v>
      </c>
    </row>
    <row r="26783" spans="1:2" ht="12.75" customHeight="1" x14ac:dyDescent="0.25">
      <c r="A26783" s="318">
        <v>381617709759</v>
      </c>
      <c r="B26783" s="318" t="s">
        <v>23</v>
      </c>
    </row>
    <row r="26784" spans="1:2" ht="12.75" customHeight="1" x14ac:dyDescent="0.25">
      <c r="A26784" s="318">
        <v>381617709760</v>
      </c>
      <c r="B26784" s="318" t="s">
        <v>236</v>
      </c>
    </row>
    <row r="26785" spans="1:2" ht="12.75" customHeight="1" x14ac:dyDescent="0.25">
      <c r="A26785" s="318">
        <v>381617709761</v>
      </c>
      <c r="B26785" s="318" t="s">
        <v>237</v>
      </c>
    </row>
    <row r="26786" spans="1:2" ht="12.75" customHeight="1" x14ac:dyDescent="0.25">
      <c r="A26786" s="318">
        <v>381617709763</v>
      </c>
      <c r="B26786" s="318" t="s">
        <v>236</v>
      </c>
    </row>
    <row r="26787" spans="1:2" ht="12.75" customHeight="1" x14ac:dyDescent="0.25">
      <c r="A26787" s="318">
        <v>381617709764</v>
      </c>
      <c r="B26787" s="318" t="s">
        <v>23</v>
      </c>
    </row>
    <row r="26788" spans="1:2" ht="12.75" customHeight="1" x14ac:dyDescent="0.25">
      <c r="A26788" s="318">
        <v>381617709765</v>
      </c>
      <c r="B26788" s="318" t="s">
        <v>236</v>
      </c>
    </row>
    <row r="26789" spans="1:2" ht="12.75" customHeight="1" x14ac:dyDescent="0.25">
      <c r="A26789" s="318">
        <v>381617709766</v>
      </c>
      <c r="B26789" s="318" t="s">
        <v>23</v>
      </c>
    </row>
    <row r="26790" spans="1:2" ht="12.75" customHeight="1" x14ac:dyDescent="0.25">
      <c r="A26790" s="318">
        <v>381617709767</v>
      </c>
      <c r="B26790" s="318" t="s">
        <v>236</v>
      </c>
    </row>
    <row r="26791" spans="1:2" ht="12.75" customHeight="1" x14ac:dyDescent="0.25">
      <c r="A26791" s="318">
        <v>381617709768</v>
      </c>
      <c r="B26791" s="318" t="s">
        <v>23</v>
      </c>
    </row>
    <row r="26792" spans="1:2" ht="12.75" customHeight="1" x14ac:dyDescent="0.25">
      <c r="A26792" s="318">
        <v>381617709769</v>
      </c>
      <c r="B26792" s="318" t="s">
        <v>236</v>
      </c>
    </row>
    <row r="26793" spans="1:2" ht="12.75" customHeight="1" x14ac:dyDescent="0.25">
      <c r="A26793" s="318">
        <v>381617709770</v>
      </c>
      <c r="B26793" s="318" t="s">
        <v>237</v>
      </c>
    </row>
    <row r="26794" spans="1:2" ht="12.75" customHeight="1" x14ac:dyDescent="0.25">
      <c r="A26794" s="318">
        <v>381618389945</v>
      </c>
      <c r="B26794" s="318" t="s">
        <v>236</v>
      </c>
    </row>
    <row r="26795" spans="1:2" ht="12.75" customHeight="1" x14ac:dyDescent="0.25">
      <c r="A26795" s="318">
        <v>381618389946</v>
      </c>
      <c r="B26795" s="318" t="s">
        <v>23</v>
      </c>
    </row>
    <row r="26796" spans="1:2" ht="12.75" customHeight="1" x14ac:dyDescent="0.25">
      <c r="A26796" s="318">
        <v>381618389947</v>
      </c>
      <c r="B26796" s="318" t="s">
        <v>236</v>
      </c>
    </row>
    <row r="26797" spans="1:2" ht="12.75" customHeight="1" x14ac:dyDescent="0.25">
      <c r="A26797" s="318">
        <v>381618389948</v>
      </c>
      <c r="B26797" s="318" t="s">
        <v>23</v>
      </c>
    </row>
    <row r="26798" spans="1:2" ht="12.75" customHeight="1" x14ac:dyDescent="0.25">
      <c r="A26798" s="318">
        <v>381618389949</v>
      </c>
      <c r="B26798" s="318" t="s">
        <v>236</v>
      </c>
    </row>
    <row r="26799" spans="1:2" ht="12.75" customHeight="1" x14ac:dyDescent="0.25">
      <c r="A26799" s="318">
        <v>381618389950</v>
      </c>
      <c r="B26799" s="318" t="s">
        <v>23</v>
      </c>
    </row>
    <row r="26800" spans="1:2" ht="12.75" customHeight="1" x14ac:dyDescent="0.25">
      <c r="A26800" s="318">
        <v>381618389951</v>
      </c>
      <c r="B26800" s="318" t="s">
        <v>236</v>
      </c>
    </row>
    <row r="26801" spans="1:2" ht="12.75" customHeight="1" x14ac:dyDescent="0.25">
      <c r="A26801" s="318">
        <v>381618389952</v>
      </c>
      <c r="B26801" s="318" t="s">
        <v>237</v>
      </c>
    </row>
    <row r="26802" spans="1:2" ht="12.75" customHeight="1" x14ac:dyDescent="0.25">
      <c r="A26802" s="318">
        <v>381618389954</v>
      </c>
      <c r="B26802" s="318" t="s">
        <v>236</v>
      </c>
    </row>
    <row r="26803" spans="1:2" ht="12.75" customHeight="1" x14ac:dyDescent="0.25">
      <c r="A26803" s="318">
        <v>381618389955</v>
      </c>
      <c r="B26803" s="318" t="s">
        <v>23</v>
      </c>
    </row>
    <row r="26804" spans="1:2" ht="12.75" customHeight="1" x14ac:dyDescent="0.25">
      <c r="A26804" s="318">
        <v>381618389956</v>
      </c>
      <c r="B26804" s="318" t="s">
        <v>236</v>
      </c>
    </row>
    <row r="26805" spans="1:2" ht="12.75" customHeight="1" x14ac:dyDescent="0.25">
      <c r="A26805" s="318">
        <v>381618389957</v>
      </c>
      <c r="B26805" s="318" t="s">
        <v>23</v>
      </c>
    </row>
    <row r="26806" spans="1:2" ht="12.75" customHeight="1" x14ac:dyDescent="0.25">
      <c r="A26806" s="318">
        <v>381618389958</v>
      </c>
      <c r="B26806" s="318" t="s">
        <v>236</v>
      </c>
    </row>
    <row r="26807" spans="1:2" ht="12.75" customHeight="1" x14ac:dyDescent="0.25">
      <c r="A26807" s="318">
        <v>381618389959</v>
      </c>
      <c r="B26807" s="318" t="s">
        <v>23</v>
      </c>
    </row>
    <row r="26808" spans="1:2" ht="12.75" customHeight="1" x14ac:dyDescent="0.25">
      <c r="A26808" s="318">
        <v>381618389960</v>
      </c>
      <c r="B26808" s="318" t="s">
        <v>236</v>
      </c>
    </row>
    <row r="26809" spans="1:2" ht="12.75" customHeight="1" x14ac:dyDescent="0.25">
      <c r="A26809" s="318">
        <v>381618389961</v>
      </c>
      <c r="B26809" s="318" t="s">
        <v>237</v>
      </c>
    </row>
    <row r="26810" spans="1:2" ht="12.75" customHeight="1" x14ac:dyDescent="0.25">
      <c r="A26810" s="318">
        <v>381618870918</v>
      </c>
      <c r="B26810" s="318" t="s">
        <v>236</v>
      </c>
    </row>
    <row r="26811" spans="1:2" ht="12.75" customHeight="1" x14ac:dyDescent="0.25">
      <c r="A26811" s="318">
        <v>381618870919</v>
      </c>
      <c r="B26811" s="318" t="s">
        <v>23</v>
      </c>
    </row>
    <row r="26812" spans="1:2" ht="12.75" customHeight="1" x14ac:dyDescent="0.25">
      <c r="A26812" s="318">
        <v>381618870920</v>
      </c>
      <c r="B26812" s="318" t="s">
        <v>236</v>
      </c>
    </row>
    <row r="26813" spans="1:2" ht="12.75" customHeight="1" x14ac:dyDescent="0.25">
      <c r="A26813" s="318">
        <v>381618870921</v>
      </c>
      <c r="B26813" s="318" t="s">
        <v>23</v>
      </c>
    </row>
    <row r="26814" spans="1:2" ht="12.75" customHeight="1" x14ac:dyDescent="0.25">
      <c r="A26814" s="318">
        <v>381618870922</v>
      </c>
      <c r="B26814" s="318" t="s">
        <v>236</v>
      </c>
    </row>
    <row r="26815" spans="1:2" ht="12.75" customHeight="1" x14ac:dyDescent="0.25">
      <c r="A26815" s="318">
        <v>381618870923</v>
      </c>
      <c r="B26815" s="318" t="s">
        <v>23</v>
      </c>
    </row>
    <row r="26816" spans="1:2" ht="12.75" customHeight="1" x14ac:dyDescent="0.25">
      <c r="A26816" s="318">
        <v>381618870924</v>
      </c>
      <c r="B26816" s="318" t="s">
        <v>236</v>
      </c>
    </row>
    <row r="26817" spans="1:2" ht="12.75" customHeight="1" x14ac:dyDescent="0.25">
      <c r="A26817" s="318">
        <v>381618870925</v>
      </c>
      <c r="B26817" s="318" t="s">
        <v>237</v>
      </c>
    </row>
    <row r="26818" spans="1:2" ht="12.75" customHeight="1" x14ac:dyDescent="0.25">
      <c r="A26818" s="318">
        <v>381618870927</v>
      </c>
      <c r="B26818" s="318" t="s">
        <v>236</v>
      </c>
    </row>
    <row r="26819" spans="1:2" ht="12.75" customHeight="1" x14ac:dyDescent="0.25">
      <c r="A26819" s="318">
        <v>381618870928</v>
      </c>
      <c r="B26819" s="318" t="s">
        <v>23</v>
      </c>
    </row>
    <row r="26820" spans="1:2" ht="12.75" customHeight="1" x14ac:dyDescent="0.25">
      <c r="A26820" s="318">
        <v>381618870929</v>
      </c>
      <c r="B26820" s="318" t="s">
        <v>236</v>
      </c>
    </row>
    <row r="26821" spans="1:2" ht="12.75" customHeight="1" x14ac:dyDescent="0.25">
      <c r="A26821" s="318">
        <v>381618870930</v>
      </c>
      <c r="B26821" s="318" t="s">
        <v>23</v>
      </c>
    </row>
    <row r="26822" spans="1:2" ht="12.75" customHeight="1" x14ac:dyDescent="0.25">
      <c r="A26822" s="318">
        <v>381618870931</v>
      </c>
      <c r="B26822" s="318" t="s">
        <v>236</v>
      </c>
    </row>
    <row r="26823" spans="1:2" ht="12.75" customHeight="1" x14ac:dyDescent="0.25">
      <c r="A26823" s="318">
        <v>381618870932</v>
      </c>
      <c r="B26823" s="318" t="s">
        <v>23</v>
      </c>
    </row>
    <row r="26824" spans="1:2" ht="12.75" customHeight="1" x14ac:dyDescent="0.25">
      <c r="A26824" s="318">
        <v>381618870933</v>
      </c>
      <c r="B26824" s="318" t="s">
        <v>236</v>
      </c>
    </row>
    <row r="26825" spans="1:2" ht="12.75" customHeight="1" x14ac:dyDescent="0.25">
      <c r="A26825" s="318">
        <v>381618870934</v>
      </c>
      <c r="B26825" s="318" t="s">
        <v>237</v>
      </c>
    </row>
    <row r="26826" spans="1:2" ht="12.75" customHeight="1" x14ac:dyDescent="0.25">
      <c r="A26826" s="318">
        <v>381619351891</v>
      </c>
      <c r="B26826" s="318" t="s">
        <v>236</v>
      </c>
    </row>
    <row r="26827" spans="1:2" ht="12.75" customHeight="1" x14ac:dyDescent="0.25">
      <c r="A26827" s="318">
        <v>381619351892</v>
      </c>
      <c r="B26827" s="318" t="s">
        <v>23</v>
      </c>
    </row>
    <row r="26828" spans="1:2" ht="12.75" customHeight="1" x14ac:dyDescent="0.25">
      <c r="A26828" s="318">
        <v>381619351893</v>
      </c>
      <c r="B26828" s="318" t="s">
        <v>236</v>
      </c>
    </row>
    <row r="26829" spans="1:2" ht="12.75" customHeight="1" x14ac:dyDescent="0.25">
      <c r="A26829" s="318">
        <v>381619351894</v>
      </c>
      <c r="B26829" s="318" t="s">
        <v>23</v>
      </c>
    </row>
    <row r="26830" spans="1:2" ht="12.75" customHeight="1" x14ac:dyDescent="0.25">
      <c r="A26830" s="318">
        <v>381619351895</v>
      </c>
      <c r="B26830" s="318" t="s">
        <v>236</v>
      </c>
    </row>
    <row r="26831" spans="1:2" ht="12.75" customHeight="1" x14ac:dyDescent="0.25">
      <c r="A26831" s="318">
        <v>381619351896</v>
      </c>
      <c r="B26831" s="318" t="s">
        <v>23</v>
      </c>
    </row>
    <row r="26832" spans="1:2" ht="12.75" customHeight="1" x14ac:dyDescent="0.25">
      <c r="A26832" s="318">
        <v>381619351897</v>
      </c>
      <c r="B26832" s="318" t="s">
        <v>236</v>
      </c>
    </row>
    <row r="26833" spans="1:2" ht="12.75" customHeight="1" x14ac:dyDescent="0.25">
      <c r="A26833" s="318">
        <v>381619351898</v>
      </c>
      <c r="B26833" s="318" t="s">
        <v>237</v>
      </c>
    </row>
    <row r="26834" spans="1:2" ht="12.75" customHeight="1" x14ac:dyDescent="0.25">
      <c r="A26834" s="318">
        <v>381619351900</v>
      </c>
      <c r="B26834" s="318" t="s">
        <v>236</v>
      </c>
    </row>
    <row r="26835" spans="1:2" ht="12.75" customHeight="1" x14ac:dyDescent="0.25">
      <c r="A26835" s="318">
        <v>381619351901</v>
      </c>
      <c r="B26835" s="318" t="s">
        <v>23</v>
      </c>
    </row>
    <row r="26836" spans="1:2" ht="12.75" customHeight="1" x14ac:dyDescent="0.25">
      <c r="A26836" s="318">
        <v>381619351902</v>
      </c>
      <c r="B26836" s="318" t="s">
        <v>236</v>
      </c>
    </row>
    <row r="26837" spans="1:2" ht="12.75" customHeight="1" x14ac:dyDescent="0.25">
      <c r="A26837" s="318">
        <v>381619351903</v>
      </c>
      <c r="B26837" s="318" t="s">
        <v>23</v>
      </c>
    </row>
    <row r="26838" spans="1:2" ht="12.75" customHeight="1" x14ac:dyDescent="0.25">
      <c r="A26838" s="318">
        <v>381619351904</v>
      </c>
      <c r="B26838" s="318" t="s">
        <v>236</v>
      </c>
    </row>
    <row r="26839" spans="1:2" ht="12.75" customHeight="1" x14ac:dyDescent="0.25">
      <c r="A26839" s="318">
        <v>381619351905</v>
      </c>
      <c r="B26839" s="318" t="s">
        <v>23</v>
      </c>
    </row>
    <row r="26840" spans="1:2" ht="12.75" customHeight="1" x14ac:dyDescent="0.25">
      <c r="A26840" s="318">
        <v>381619351906</v>
      </c>
      <c r="B26840" s="318" t="s">
        <v>236</v>
      </c>
    </row>
    <row r="26841" spans="1:2" ht="12.75" customHeight="1" x14ac:dyDescent="0.25">
      <c r="A26841" s="318">
        <v>381619351907</v>
      </c>
      <c r="B26841" s="318" t="s">
        <v>237</v>
      </c>
    </row>
    <row r="26842" spans="1:2" ht="12.75" customHeight="1" x14ac:dyDescent="0.25">
      <c r="A26842" s="318">
        <v>381620032082</v>
      </c>
      <c r="B26842" s="318" t="s">
        <v>236</v>
      </c>
    </row>
    <row r="26843" spans="1:2" ht="12.75" customHeight="1" x14ac:dyDescent="0.25">
      <c r="A26843" s="318">
        <v>381620032083</v>
      </c>
      <c r="B26843" s="318" t="s">
        <v>23</v>
      </c>
    </row>
    <row r="26844" spans="1:2" ht="12.75" customHeight="1" x14ac:dyDescent="0.25">
      <c r="A26844" s="318">
        <v>381620032084</v>
      </c>
      <c r="B26844" s="318" t="s">
        <v>236</v>
      </c>
    </row>
    <row r="26845" spans="1:2" ht="12.75" customHeight="1" x14ac:dyDescent="0.25">
      <c r="A26845" s="318">
        <v>381620032085</v>
      </c>
      <c r="B26845" s="318" t="s">
        <v>23</v>
      </c>
    </row>
    <row r="26846" spans="1:2" ht="12.75" customHeight="1" x14ac:dyDescent="0.25">
      <c r="A26846" s="318">
        <v>381620032086</v>
      </c>
      <c r="B26846" s="318" t="s">
        <v>236</v>
      </c>
    </row>
    <row r="26847" spans="1:2" ht="12.75" customHeight="1" x14ac:dyDescent="0.25">
      <c r="A26847" s="318">
        <v>381620032087</v>
      </c>
      <c r="B26847" s="318" t="s">
        <v>23</v>
      </c>
    </row>
    <row r="26848" spans="1:2" ht="12.75" customHeight="1" x14ac:dyDescent="0.25">
      <c r="A26848" s="318">
        <v>381620032088</v>
      </c>
      <c r="B26848" s="318" t="s">
        <v>236</v>
      </c>
    </row>
    <row r="26849" spans="1:2" ht="12.75" customHeight="1" x14ac:dyDescent="0.25">
      <c r="A26849" s="318">
        <v>381620032089</v>
      </c>
      <c r="B26849" s="318" t="s">
        <v>237</v>
      </c>
    </row>
    <row r="26850" spans="1:2" ht="12.75" customHeight="1" x14ac:dyDescent="0.25">
      <c r="A26850" s="318">
        <v>381620032091</v>
      </c>
      <c r="B26850" s="318" t="s">
        <v>236</v>
      </c>
    </row>
    <row r="26851" spans="1:2" ht="12.75" customHeight="1" x14ac:dyDescent="0.25">
      <c r="A26851" s="318">
        <v>381620032092</v>
      </c>
      <c r="B26851" s="318" t="s">
        <v>23</v>
      </c>
    </row>
    <row r="26852" spans="1:2" ht="12.75" customHeight="1" x14ac:dyDescent="0.25">
      <c r="A26852" s="318">
        <v>381620032093</v>
      </c>
      <c r="B26852" s="318" t="s">
        <v>236</v>
      </c>
    </row>
    <row r="26853" spans="1:2" ht="12.75" customHeight="1" x14ac:dyDescent="0.25">
      <c r="A26853" s="318">
        <v>381620032094</v>
      </c>
      <c r="B26853" s="318" t="s">
        <v>23</v>
      </c>
    </row>
    <row r="26854" spans="1:2" ht="12.75" customHeight="1" x14ac:dyDescent="0.25">
      <c r="A26854" s="318">
        <v>381620032095</v>
      </c>
      <c r="B26854" s="318" t="s">
        <v>236</v>
      </c>
    </row>
    <row r="26855" spans="1:2" ht="12.75" customHeight="1" x14ac:dyDescent="0.25">
      <c r="A26855" s="318">
        <v>381620032096</v>
      </c>
      <c r="B26855" s="318" t="s">
        <v>23</v>
      </c>
    </row>
    <row r="26856" spans="1:2" ht="12.75" customHeight="1" x14ac:dyDescent="0.25">
      <c r="A26856" s="318">
        <v>381620032097</v>
      </c>
      <c r="B26856" s="318" t="s">
        <v>236</v>
      </c>
    </row>
    <row r="26857" spans="1:2" ht="12.75" customHeight="1" x14ac:dyDescent="0.25">
      <c r="A26857" s="318">
        <v>381620032098</v>
      </c>
      <c r="B26857" s="318" t="s">
        <v>237</v>
      </c>
    </row>
    <row r="26858" spans="1:2" ht="12.75" customHeight="1" x14ac:dyDescent="0.25">
      <c r="A26858" s="318">
        <v>381620513055</v>
      </c>
      <c r="B26858" s="318" t="s">
        <v>236</v>
      </c>
    </row>
    <row r="26859" spans="1:2" ht="12.75" customHeight="1" x14ac:dyDescent="0.25">
      <c r="A26859" s="318">
        <v>381620513056</v>
      </c>
      <c r="B26859" s="318" t="s">
        <v>23</v>
      </c>
    </row>
    <row r="26860" spans="1:2" ht="12.75" customHeight="1" x14ac:dyDescent="0.25">
      <c r="A26860" s="318">
        <v>381620513057</v>
      </c>
      <c r="B26860" s="318" t="s">
        <v>236</v>
      </c>
    </row>
    <row r="26861" spans="1:2" ht="12.75" customHeight="1" x14ac:dyDescent="0.25">
      <c r="A26861" s="318">
        <v>381620513058</v>
      </c>
      <c r="B26861" s="318" t="s">
        <v>23</v>
      </c>
    </row>
    <row r="26862" spans="1:2" ht="12.75" customHeight="1" x14ac:dyDescent="0.25">
      <c r="A26862" s="318">
        <v>381620513059</v>
      </c>
      <c r="B26862" s="318" t="s">
        <v>236</v>
      </c>
    </row>
    <row r="26863" spans="1:2" ht="12.75" customHeight="1" x14ac:dyDescent="0.25">
      <c r="A26863" s="318">
        <v>381620513060</v>
      </c>
      <c r="B26863" s="318" t="s">
        <v>23</v>
      </c>
    </row>
    <row r="26864" spans="1:2" ht="12.75" customHeight="1" x14ac:dyDescent="0.25">
      <c r="A26864" s="318">
        <v>381620513061</v>
      </c>
      <c r="B26864" s="318" t="s">
        <v>236</v>
      </c>
    </row>
    <row r="26865" spans="1:2" ht="12.75" customHeight="1" x14ac:dyDescent="0.25">
      <c r="A26865" s="318">
        <v>381620513062</v>
      </c>
      <c r="B26865" s="318" t="s">
        <v>237</v>
      </c>
    </row>
    <row r="26866" spans="1:2" ht="12.75" customHeight="1" x14ac:dyDescent="0.25">
      <c r="A26866" s="318">
        <v>381620513064</v>
      </c>
      <c r="B26866" s="318" t="s">
        <v>236</v>
      </c>
    </row>
    <row r="26867" spans="1:2" ht="12.75" customHeight="1" x14ac:dyDescent="0.25">
      <c r="A26867" s="318">
        <v>381620513065</v>
      </c>
      <c r="B26867" s="318" t="s">
        <v>23</v>
      </c>
    </row>
    <row r="26868" spans="1:2" ht="12.75" customHeight="1" x14ac:dyDescent="0.25">
      <c r="A26868" s="318">
        <v>381620513066</v>
      </c>
      <c r="B26868" s="318" t="s">
        <v>236</v>
      </c>
    </row>
    <row r="26869" spans="1:2" ht="12.75" customHeight="1" x14ac:dyDescent="0.25">
      <c r="A26869" s="318">
        <v>381620513067</v>
      </c>
      <c r="B26869" s="318" t="s">
        <v>23</v>
      </c>
    </row>
    <row r="26870" spans="1:2" ht="12.75" customHeight="1" x14ac:dyDescent="0.25">
      <c r="A26870" s="318">
        <v>381620513068</v>
      </c>
      <c r="B26870" s="318" t="s">
        <v>236</v>
      </c>
    </row>
    <row r="26871" spans="1:2" ht="12.75" customHeight="1" x14ac:dyDescent="0.25">
      <c r="A26871" s="318">
        <v>381620513069</v>
      </c>
      <c r="B26871" s="318" t="s">
        <v>23</v>
      </c>
    </row>
    <row r="26872" spans="1:2" ht="12.75" customHeight="1" x14ac:dyDescent="0.25">
      <c r="A26872" s="318">
        <v>381620513070</v>
      </c>
      <c r="B26872" s="318" t="s">
        <v>236</v>
      </c>
    </row>
    <row r="26873" spans="1:2" ht="12.75" customHeight="1" x14ac:dyDescent="0.25">
      <c r="A26873" s="318">
        <v>381620513071</v>
      </c>
      <c r="B26873" s="318" t="s">
        <v>237</v>
      </c>
    </row>
    <row r="26874" spans="1:2" ht="12.75" customHeight="1" x14ac:dyDescent="0.25">
      <c r="A26874" s="318">
        <v>381620994028</v>
      </c>
      <c r="B26874" s="318" t="s">
        <v>236</v>
      </c>
    </row>
    <row r="26875" spans="1:2" ht="12.75" customHeight="1" x14ac:dyDescent="0.25">
      <c r="A26875" s="318">
        <v>381620994029</v>
      </c>
      <c r="B26875" s="318" t="s">
        <v>23</v>
      </c>
    </row>
    <row r="26876" spans="1:2" ht="12.75" customHeight="1" x14ac:dyDescent="0.25">
      <c r="A26876" s="318">
        <v>381620994030</v>
      </c>
      <c r="B26876" s="318" t="s">
        <v>236</v>
      </c>
    </row>
    <row r="26877" spans="1:2" ht="12.75" customHeight="1" x14ac:dyDescent="0.25">
      <c r="A26877" s="318">
        <v>381620994031</v>
      </c>
      <c r="B26877" s="318" t="s">
        <v>23</v>
      </c>
    </row>
    <row r="26878" spans="1:2" ht="12.75" customHeight="1" x14ac:dyDescent="0.25">
      <c r="A26878" s="318">
        <v>381620994032</v>
      </c>
      <c r="B26878" s="318" t="s">
        <v>236</v>
      </c>
    </row>
    <row r="26879" spans="1:2" ht="12.75" customHeight="1" x14ac:dyDescent="0.25">
      <c r="A26879" s="318">
        <v>381620994033</v>
      </c>
      <c r="B26879" s="318" t="s">
        <v>23</v>
      </c>
    </row>
    <row r="26880" spans="1:2" ht="12.75" customHeight="1" x14ac:dyDescent="0.25">
      <c r="A26880" s="318">
        <v>381620994034</v>
      </c>
      <c r="B26880" s="318" t="s">
        <v>236</v>
      </c>
    </row>
    <row r="26881" spans="1:2" ht="12.75" customHeight="1" x14ac:dyDescent="0.25">
      <c r="A26881" s="318">
        <v>381620994035</v>
      </c>
      <c r="B26881" s="318" t="s">
        <v>237</v>
      </c>
    </row>
    <row r="26882" spans="1:2" ht="12.75" customHeight="1" x14ac:dyDescent="0.25">
      <c r="A26882" s="318">
        <v>381620994037</v>
      </c>
      <c r="B26882" s="318" t="s">
        <v>236</v>
      </c>
    </row>
    <row r="26883" spans="1:2" ht="12.75" customHeight="1" x14ac:dyDescent="0.25">
      <c r="A26883" s="318">
        <v>381620994038</v>
      </c>
      <c r="B26883" s="318" t="s">
        <v>23</v>
      </c>
    </row>
    <row r="26884" spans="1:2" ht="12.75" customHeight="1" x14ac:dyDescent="0.25">
      <c r="A26884" s="318">
        <v>381620994039</v>
      </c>
      <c r="B26884" s="318" t="s">
        <v>236</v>
      </c>
    </row>
    <row r="26885" spans="1:2" ht="12.75" customHeight="1" x14ac:dyDescent="0.25">
      <c r="A26885" s="318">
        <v>381620994040</v>
      </c>
      <c r="B26885" s="318" t="s">
        <v>23</v>
      </c>
    </row>
    <row r="26886" spans="1:2" ht="12.75" customHeight="1" x14ac:dyDescent="0.25">
      <c r="A26886" s="318">
        <v>381620994041</v>
      </c>
      <c r="B26886" s="318" t="s">
        <v>236</v>
      </c>
    </row>
    <row r="26887" spans="1:2" ht="12.75" customHeight="1" x14ac:dyDescent="0.25">
      <c r="A26887" s="318">
        <v>381620994042</v>
      </c>
      <c r="B26887" s="318" t="s">
        <v>23</v>
      </c>
    </row>
    <row r="26888" spans="1:2" ht="12.75" customHeight="1" x14ac:dyDescent="0.25">
      <c r="A26888" s="318">
        <v>381620994043</v>
      </c>
      <c r="B26888" s="318" t="s">
        <v>236</v>
      </c>
    </row>
    <row r="26889" spans="1:2" ht="12.75" customHeight="1" x14ac:dyDescent="0.25">
      <c r="A26889" s="318">
        <v>381620994044</v>
      </c>
      <c r="B26889" s="318" t="s">
        <v>237</v>
      </c>
    </row>
    <row r="26890" spans="1:2" ht="12.75" customHeight="1" x14ac:dyDescent="0.25">
      <c r="A26890" s="318">
        <v>381670889919</v>
      </c>
      <c r="B26890" s="318" t="s">
        <v>23</v>
      </c>
    </row>
    <row r="26891" spans="1:2" ht="12.75" customHeight="1" x14ac:dyDescent="0.25">
      <c r="A26891" s="318">
        <v>381670889920</v>
      </c>
      <c r="B26891" s="318" t="s">
        <v>23</v>
      </c>
    </row>
    <row r="26892" spans="1:2" ht="12.75" customHeight="1" x14ac:dyDescent="0.25">
      <c r="A26892" s="318">
        <v>381670889921</v>
      </c>
      <c r="B26892" s="318" t="s">
        <v>23</v>
      </c>
    </row>
    <row r="26893" spans="1:2" ht="12.75" customHeight="1" x14ac:dyDescent="0.25">
      <c r="A26893" s="318">
        <v>381670889922</v>
      </c>
      <c r="B26893" s="318" t="s">
        <v>23</v>
      </c>
    </row>
    <row r="26894" spans="1:2" ht="12.75" customHeight="1" x14ac:dyDescent="0.25">
      <c r="A26894" s="318">
        <v>381670889923</v>
      </c>
      <c r="B26894" s="318" t="s">
        <v>23</v>
      </c>
    </row>
    <row r="26895" spans="1:2" ht="12.75" customHeight="1" x14ac:dyDescent="0.25">
      <c r="A26895" s="318">
        <v>381670889924</v>
      </c>
      <c r="B26895" s="318" t="s">
        <v>23</v>
      </c>
    </row>
    <row r="26896" spans="1:2" ht="12.75" customHeight="1" x14ac:dyDescent="0.25">
      <c r="A26896" s="318">
        <v>381670889925</v>
      </c>
      <c r="B26896" s="318" t="s">
        <v>237</v>
      </c>
    </row>
    <row r="26897" spans="1:2" ht="12.75" customHeight="1" x14ac:dyDescent="0.25">
      <c r="A26897" s="318">
        <v>381670889926</v>
      </c>
      <c r="B26897" s="318" t="s">
        <v>237</v>
      </c>
    </row>
    <row r="26898" spans="1:2" ht="12.75" customHeight="1" x14ac:dyDescent="0.25">
      <c r="A26898" s="318">
        <v>381670889928</v>
      </c>
      <c r="B26898" s="318" t="s">
        <v>237</v>
      </c>
    </row>
    <row r="26899" spans="1:2" ht="12.75" customHeight="1" x14ac:dyDescent="0.25">
      <c r="A26899" s="318">
        <v>381670889929</v>
      </c>
      <c r="B26899" s="318" t="s">
        <v>237</v>
      </c>
    </row>
    <row r="26900" spans="1:2" ht="12.75" customHeight="1" x14ac:dyDescent="0.25">
      <c r="A26900" s="318">
        <v>381670889930</v>
      </c>
      <c r="B26900" s="318" t="s">
        <v>237</v>
      </c>
    </row>
    <row r="26901" spans="1:2" ht="12.75" customHeight="1" x14ac:dyDescent="0.25">
      <c r="A26901" s="318">
        <v>381670889931</v>
      </c>
      <c r="B26901" s="318" t="s">
        <v>237</v>
      </c>
    </row>
    <row r="26902" spans="1:2" ht="12.75" customHeight="1" x14ac:dyDescent="0.25">
      <c r="A26902" s="318">
        <v>381670889932</v>
      </c>
      <c r="B26902" s="318" t="s">
        <v>237</v>
      </c>
    </row>
    <row r="26903" spans="1:2" ht="12.75" customHeight="1" x14ac:dyDescent="0.25">
      <c r="A26903" s="318">
        <v>381670889933</v>
      </c>
      <c r="B26903" s="318" t="s">
        <v>237</v>
      </c>
    </row>
    <row r="26904" spans="1:2" ht="12.75" customHeight="1" x14ac:dyDescent="0.25">
      <c r="A26904" s="318">
        <v>381670889934</v>
      </c>
      <c r="B26904" s="318" t="s">
        <v>237</v>
      </c>
    </row>
    <row r="26905" spans="1:2" ht="12.75" customHeight="1" x14ac:dyDescent="0.25">
      <c r="A26905" s="318">
        <v>381670889935</v>
      </c>
      <c r="B26905" s="318" t="s">
        <v>237</v>
      </c>
    </row>
    <row r="26906" spans="1:2" ht="12.75" customHeight="1" x14ac:dyDescent="0.25">
      <c r="A26906" s="318">
        <v>381671370892</v>
      </c>
      <c r="B26906" s="318" t="s">
        <v>23</v>
      </c>
    </row>
    <row r="26907" spans="1:2" ht="12.75" customHeight="1" x14ac:dyDescent="0.25">
      <c r="A26907" s="318">
        <v>381671370893</v>
      </c>
      <c r="B26907" s="318" t="s">
        <v>23</v>
      </c>
    </row>
    <row r="26908" spans="1:2" ht="12.75" customHeight="1" x14ac:dyDescent="0.25">
      <c r="A26908" s="318">
        <v>381671370894</v>
      </c>
      <c r="B26908" s="318" t="s">
        <v>23</v>
      </c>
    </row>
    <row r="26909" spans="1:2" ht="12.75" customHeight="1" x14ac:dyDescent="0.25">
      <c r="A26909" s="318">
        <v>381671370895</v>
      </c>
      <c r="B26909" s="318" t="s">
        <v>23</v>
      </c>
    </row>
    <row r="26910" spans="1:2" ht="12.75" customHeight="1" x14ac:dyDescent="0.25">
      <c r="A26910" s="318">
        <v>381671370896</v>
      </c>
      <c r="B26910" s="318" t="s">
        <v>23</v>
      </c>
    </row>
    <row r="26911" spans="1:2" ht="12.75" customHeight="1" x14ac:dyDescent="0.25">
      <c r="A26911" s="318">
        <v>381671370897</v>
      </c>
      <c r="B26911" s="318" t="s">
        <v>23</v>
      </c>
    </row>
    <row r="26912" spans="1:2" ht="12.75" customHeight="1" x14ac:dyDescent="0.25">
      <c r="A26912" s="318">
        <v>381671370898</v>
      </c>
      <c r="B26912" s="318" t="s">
        <v>237</v>
      </c>
    </row>
    <row r="26913" spans="1:2" ht="12.75" customHeight="1" x14ac:dyDescent="0.25">
      <c r="A26913" s="318">
        <v>381671370899</v>
      </c>
      <c r="B26913" s="318" t="s">
        <v>237</v>
      </c>
    </row>
    <row r="26914" spans="1:2" ht="12.75" customHeight="1" x14ac:dyDescent="0.25">
      <c r="A26914" s="318">
        <v>381671370901</v>
      </c>
      <c r="B26914" s="318" t="s">
        <v>237</v>
      </c>
    </row>
    <row r="26915" spans="1:2" ht="12.75" customHeight="1" x14ac:dyDescent="0.25">
      <c r="A26915" s="318">
        <v>381671370902</v>
      </c>
      <c r="B26915" s="318" t="s">
        <v>237</v>
      </c>
    </row>
    <row r="26916" spans="1:2" ht="12.75" customHeight="1" x14ac:dyDescent="0.25">
      <c r="A26916" s="318">
        <v>381671370903</v>
      </c>
      <c r="B26916" s="318" t="s">
        <v>237</v>
      </c>
    </row>
    <row r="26917" spans="1:2" ht="12.75" customHeight="1" x14ac:dyDescent="0.25">
      <c r="A26917" s="318">
        <v>381671370904</v>
      </c>
      <c r="B26917" s="318" t="s">
        <v>237</v>
      </c>
    </row>
    <row r="26918" spans="1:2" ht="12.75" customHeight="1" x14ac:dyDescent="0.25">
      <c r="A26918" s="318">
        <v>381671370905</v>
      </c>
      <c r="B26918" s="318" t="s">
        <v>237</v>
      </c>
    </row>
    <row r="26919" spans="1:2" ht="12.75" customHeight="1" x14ac:dyDescent="0.25">
      <c r="A26919" s="318">
        <v>381671370906</v>
      </c>
      <c r="B26919" s="318" t="s">
        <v>237</v>
      </c>
    </row>
    <row r="26920" spans="1:2" ht="12.75" customHeight="1" x14ac:dyDescent="0.25">
      <c r="A26920" s="318">
        <v>381671370907</v>
      </c>
      <c r="B26920" s="318" t="s">
        <v>237</v>
      </c>
    </row>
    <row r="26921" spans="1:2" ht="12.75" customHeight="1" x14ac:dyDescent="0.25">
      <c r="A26921" s="318">
        <v>381671370908</v>
      </c>
      <c r="B26921" s="318" t="s">
        <v>237</v>
      </c>
    </row>
    <row r="26922" spans="1:2" ht="12.75" customHeight="1" x14ac:dyDescent="0.25">
      <c r="A26922" s="318">
        <v>381671851865</v>
      </c>
      <c r="B26922" s="318" t="s">
        <v>23</v>
      </c>
    </row>
    <row r="26923" spans="1:2" ht="12.75" customHeight="1" x14ac:dyDescent="0.25">
      <c r="A26923" s="318">
        <v>381671851866</v>
      </c>
      <c r="B26923" s="318" t="s">
        <v>23</v>
      </c>
    </row>
    <row r="26924" spans="1:2" ht="12.75" customHeight="1" x14ac:dyDescent="0.25">
      <c r="A26924" s="318">
        <v>381671851867</v>
      </c>
      <c r="B26924" s="318" t="s">
        <v>23</v>
      </c>
    </row>
    <row r="26925" spans="1:2" ht="12.75" customHeight="1" x14ac:dyDescent="0.25">
      <c r="A26925" s="318">
        <v>381671851868</v>
      </c>
      <c r="B26925" s="318" t="s">
        <v>23</v>
      </c>
    </row>
    <row r="26926" spans="1:2" ht="12.75" customHeight="1" x14ac:dyDescent="0.25">
      <c r="A26926" s="318">
        <v>381671851869</v>
      </c>
      <c r="B26926" s="318" t="s">
        <v>23</v>
      </c>
    </row>
    <row r="26927" spans="1:2" ht="12.75" customHeight="1" x14ac:dyDescent="0.25">
      <c r="A26927" s="318">
        <v>381671851870</v>
      </c>
      <c r="B26927" s="318" t="s">
        <v>23</v>
      </c>
    </row>
    <row r="26928" spans="1:2" ht="12.75" customHeight="1" x14ac:dyDescent="0.25">
      <c r="A26928" s="318">
        <v>381671851871</v>
      </c>
      <c r="B26928" s="318" t="s">
        <v>237</v>
      </c>
    </row>
    <row r="26929" spans="1:2" ht="12.75" customHeight="1" x14ac:dyDescent="0.25">
      <c r="A26929" s="318">
        <v>381671851872</v>
      </c>
      <c r="B26929" s="318" t="s">
        <v>237</v>
      </c>
    </row>
    <row r="26930" spans="1:2" ht="12.75" customHeight="1" x14ac:dyDescent="0.25">
      <c r="A26930" s="318">
        <v>381671851874</v>
      </c>
      <c r="B26930" s="318" t="s">
        <v>23</v>
      </c>
    </row>
    <row r="26931" spans="1:2" ht="12.75" customHeight="1" x14ac:dyDescent="0.25">
      <c r="A26931" s="318">
        <v>381671851875</v>
      </c>
      <c r="B26931" s="318" t="s">
        <v>23</v>
      </c>
    </row>
    <row r="26932" spans="1:2" ht="12.75" customHeight="1" x14ac:dyDescent="0.25">
      <c r="A26932" s="318">
        <v>381671851876</v>
      </c>
      <c r="B26932" s="318" t="s">
        <v>23</v>
      </c>
    </row>
    <row r="26933" spans="1:2" ht="12.75" customHeight="1" x14ac:dyDescent="0.25">
      <c r="A26933" s="318">
        <v>381671851877</v>
      </c>
      <c r="B26933" s="318" t="s">
        <v>23</v>
      </c>
    </row>
    <row r="26934" spans="1:2" ht="12.75" customHeight="1" x14ac:dyDescent="0.25">
      <c r="A26934" s="318">
        <v>381671851878</v>
      </c>
      <c r="B26934" s="318" t="s">
        <v>23</v>
      </c>
    </row>
    <row r="26935" spans="1:2" ht="12.75" customHeight="1" x14ac:dyDescent="0.25">
      <c r="A26935" s="318">
        <v>381671851879</v>
      </c>
      <c r="B26935" s="318" t="s">
        <v>23</v>
      </c>
    </row>
    <row r="26936" spans="1:2" ht="12.75" customHeight="1" x14ac:dyDescent="0.25">
      <c r="A26936" s="318">
        <v>381671851880</v>
      </c>
      <c r="B26936" s="318" t="s">
        <v>237</v>
      </c>
    </row>
    <row r="26937" spans="1:2" ht="12.75" customHeight="1" x14ac:dyDescent="0.25">
      <c r="A26937" s="318">
        <v>381671851881</v>
      </c>
      <c r="B26937" s="318" t="s">
        <v>237</v>
      </c>
    </row>
    <row r="26938" spans="1:2" ht="12.75" customHeight="1" x14ac:dyDescent="0.25">
      <c r="A26938" s="318">
        <v>381672532056</v>
      </c>
      <c r="B26938" s="318" t="s">
        <v>23</v>
      </c>
    </row>
    <row r="26939" spans="1:2" ht="12.75" customHeight="1" x14ac:dyDescent="0.25">
      <c r="A26939" s="318">
        <v>381672532057</v>
      </c>
      <c r="B26939" s="318" t="s">
        <v>23</v>
      </c>
    </row>
    <row r="26940" spans="1:2" ht="12.75" customHeight="1" x14ac:dyDescent="0.25">
      <c r="A26940" s="318">
        <v>381672532058</v>
      </c>
      <c r="B26940" s="318" t="s">
        <v>23</v>
      </c>
    </row>
    <row r="26941" spans="1:2" ht="12.75" customHeight="1" x14ac:dyDescent="0.25">
      <c r="A26941" s="318">
        <v>381672532059</v>
      </c>
      <c r="B26941" s="318" t="s">
        <v>23</v>
      </c>
    </row>
    <row r="26942" spans="1:2" ht="12.75" customHeight="1" x14ac:dyDescent="0.25">
      <c r="A26942" s="318">
        <v>381672532060</v>
      </c>
      <c r="B26942" s="318" t="s">
        <v>23</v>
      </c>
    </row>
    <row r="26943" spans="1:2" ht="12.75" customHeight="1" x14ac:dyDescent="0.25">
      <c r="A26943" s="318">
        <v>381672532061</v>
      </c>
      <c r="B26943" s="318" t="s">
        <v>23</v>
      </c>
    </row>
    <row r="26944" spans="1:2" ht="12.75" customHeight="1" x14ac:dyDescent="0.25">
      <c r="A26944" s="318">
        <v>381672532062</v>
      </c>
      <c r="B26944" s="318" t="s">
        <v>237</v>
      </c>
    </row>
    <row r="26945" spans="1:2" ht="12.75" customHeight="1" x14ac:dyDescent="0.25">
      <c r="A26945" s="318">
        <v>381672532063</v>
      </c>
      <c r="B26945" s="318" t="s">
        <v>237</v>
      </c>
    </row>
    <row r="26946" spans="1:2" ht="12.75" customHeight="1" x14ac:dyDescent="0.25">
      <c r="A26946" s="318">
        <v>381672532065</v>
      </c>
      <c r="B26946" s="318" t="s">
        <v>237</v>
      </c>
    </row>
    <row r="26947" spans="1:2" ht="12.75" customHeight="1" x14ac:dyDescent="0.25">
      <c r="A26947" s="318">
        <v>381672532066</v>
      </c>
      <c r="B26947" s="318" t="s">
        <v>237</v>
      </c>
    </row>
    <row r="26948" spans="1:2" ht="12.75" customHeight="1" x14ac:dyDescent="0.25">
      <c r="A26948" s="318">
        <v>381672532067</v>
      </c>
      <c r="B26948" s="318" t="s">
        <v>237</v>
      </c>
    </row>
    <row r="26949" spans="1:2" ht="12.75" customHeight="1" x14ac:dyDescent="0.25">
      <c r="A26949" s="318">
        <v>381672532068</v>
      </c>
      <c r="B26949" s="318" t="s">
        <v>237</v>
      </c>
    </row>
    <row r="26950" spans="1:2" ht="12.75" customHeight="1" x14ac:dyDescent="0.25">
      <c r="A26950" s="318">
        <v>381672532069</v>
      </c>
      <c r="B26950" s="318" t="s">
        <v>237</v>
      </c>
    </row>
    <row r="26951" spans="1:2" ht="12.75" customHeight="1" x14ac:dyDescent="0.25">
      <c r="A26951" s="318">
        <v>381672532070</v>
      </c>
      <c r="B26951" s="318" t="s">
        <v>237</v>
      </c>
    </row>
    <row r="26952" spans="1:2" ht="12.75" customHeight="1" x14ac:dyDescent="0.25">
      <c r="A26952" s="318">
        <v>381672532071</v>
      </c>
      <c r="B26952" s="318" t="s">
        <v>237</v>
      </c>
    </row>
    <row r="26953" spans="1:2" ht="12.75" customHeight="1" x14ac:dyDescent="0.25">
      <c r="A26953" s="318">
        <v>381672532072</v>
      </c>
      <c r="B26953" s="318" t="s">
        <v>237</v>
      </c>
    </row>
    <row r="26954" spans="1:2" ht="12.75" customHeight="1" x14ac:dyDescent="0.25">
      <c r="A26954" s="318">
        <v>381673013029</v>
      </c>
      <c r="B26954" s="318" t="s">
        <v>23</v>
      </c>
    </row>
    <row r="26955" spans="1:2" ht="12.75" customHeight="1" x14ac:dyDescent="0.25">
      <c r="A26955" s="318">
        <v>381673013030</v>
      </c>
      <c r="B26955" s="318" t="s">
        <v>23</v>
      </c>
    </row>
    <row r="26956" spans="1:2" ht="12.75" customHeight="1" x14ac:dyDescent="0.25">
      <c r="A26956" s="318">
        <v>381673013031</v>
      </c>
      <c r="B26956" s="318" t="s">
        <v>23</v>
      </c>
    </row>
    <row r="26957" spans="1:2" ht="12.75" customHeight="1" x14ac:dyDescent="0.25">
      <c r="A26957" s="318">
        <v>381673013032</v>
      </c>
      <c r="B26957" s="318" t="s">
        <v>23</v>
      </c>
    </row>
    <row r="26958" spans="1:2" ht="12.75" customHeight="1" x14ac:dyDescent="0.25">
      <c r="A26958" s="318">
        <v>381673013033</v>
      </c>
      <c r="B26958" s="318" t="s">
        <v>23</v>
      </c>
    </row>
    <row r="26959" spans="1:2" ht="12.75" customHeight="1" x14ac:dyDescent="0.25">
      <c r="A26959" s="318">
        <v>381673013034</v>
      </c>
      <c r="B26959" s="318" t="s">
        <v>23</v>
      </c>
    </row>
    <row r="26960" spans="1:2" ht="12.75" customHeight="1" x14ac:dyDescent="0.25">
      <c r="A26960" s="318">
        <v>381673013035</v>
      </c>
      <c r="B26960" s="318" t="s">
        <v>237</v>
      </c>
    </row>
    <row r="26961" spans="1:2" ht="12.75" customHeight="1" x14ac:dyDescent="0.25">
      <c r="A26961" s="318">
        <v>381673013036</v>
      </c>
      <c r="B26961" s="318" t="s">
        <v>237</v>
      </c>
    </row>
    <row r="26962" spans="1:2" ht="12.75" customHeight="1" x14ac:dyDescent="0.25">
      <c r="A26962" s="318">
        <v>381673013038</v>
      </c>
      <c r="B26962" s="318" t="s">
        <v>237</v>
      </c>
    </row>
    <row r="26963" spans="1:2" ht="12.75" customHeight="1" x14ac:dyDescent="0.25">
      <c r="A26963" s="318">
        <v>381673013039</v>
      </c>
      <c r="B26963" s="318" t="s">
        <v>237</v>
      </c>
    </row>
    <row r="26964" spans="1:2" ht="12.75" customHeight="1" x14ac:dyDescent="0.25">
      <c r="A26964" s="318">
        <v>381673013040</v>
      </c>
      <c r="B26964" s="318" t="s">
        <v>237</v>
      </c>
    </row>
    <row r="26965" spans="1:2" ht="12.75" customHeight="1" x14ac:dyDescent="0.25">
      <c r="A26965" s="318">
        <v>381673013041</v>
      </c>
      <c r="B26965" s="318" t="s">
        <v>237</v>
      </c>
    </row>
    <row r="26966" spans="1:2" ht="12.75" customHeight="1" x14ac:dyDescent="0.25">
      <c r="A26966" s="318">
        <v>381673013042</v>
      </c>
      <c r="B26966" s="318" t="s">
        <v>237</v>
      </c>
    </row>
    <row r="26967" spans="1:2" ht="12.75" customHeight="1" x14ac:dyDescent="0.25">
      <c r="A26967" s="318">
        <v>381673013043</v>
      </c>
      <c r="B26967" s="318" t="s">
        <v>237</v>
      </c>
    </row>
    <row r="26968" spans="1:2" ht="12.75" customHeight="1" x14ac:dyDescent="0.25">
      <c r="A26968" s="318">
        <v>381673013044</v>
      </c>
      <c r="B26968" s="318" t="s">
        <v>237</v>
      </c>
    </row>
    <row r="26969" spans="1:2" ht="12.75" customHeight="1" x14ac:dyDescent="0.25">
      <c r="A26969" s="318">
        <v>381673013045</v>
      </c>
      <c r="B26969" s="318" t="s">
        <v>237</v>
      </c>
    </row>
    <row r="26970" spans="1:2" ht="12.75" customHeight="1" x14ac:dyDescent="0.25">
      <c r="A26970" s="318">
        <v>381673494002</v>
      </c>
      <c r="B26970" s="318" t="s">
        <v>23</v>
      </c>
    </row>
    <row r="26971" spans="1:2" ht="12.75" customHeight="1" x14ac:dyDescent="0.25">
      <c r="A26971" s="318">
        <v>381673494003</v>
      </c>
      <c r="B26971" s="318" t="s">
        <v>23</v>
      </c>
    </row>
    <row r="26972" spans="1:2" ht="12.75" customHeight="1" x14ac:dyDescent="0.25">
      <c r="A26972" s="318">
        <v>381673494004</v>
      </c>
      <c r="B26972" s="318" t="s">
        <v>23</v>
      </c>
    </row>
    <row r="26973" spans="1:2" ht="12.75" customHeight="1" x14ac:dyDescent="0.25">
      <c r="A26973" s="318">
        <v>381673494005</v>
      </c>
      <c r="B26973" s="318" t="s">
        <v>23</v>
      </c>
    </row>
    <row r="26974" spans="1:2" ht="12.75" customHeight="1" x14ac:dyDescent="0.25">
      <c r="A26974" s="318">
        <v>381673494006</v>
      </c>
      <c r="B26974" s="318" t="s">
        <v>23</v>
      </c>
    </row>
    <row r="26975" spans="1:2" ht="12.75" customHeight="1" x14ac:dyDescent="0.25">
      <c r="A26975" s="318">
        <v>381673494007</v>
      </c>
      <c r="B26975" s="318" t="s">
        <v>23</v>
      </c>
    </row>
    <row r="26976" spans="1:2" ht="12.75" customHeight="1" x14ac:dyDescent="0.25">
      <c r="A26976" s="318">
        <v>381673494008</v>
      </c>
      <c r="B26976" s="318" t="s">
        <v>237</v>
      </c>
    </row>
    <row r="26977" spans="1:2" ht="12.75" customHeight="1" x14ac:dyDescent="0.25">
      <c r="A26977" s="318">
        <v>381673494009</v>
      </c>
      <c r="B26977" s="318" t="s">
        <v>237</v>
      </c>
    </row>
    <row r="26978" spans="1:2" ht="12.75" customHeight="1" x14ac:dyDescent="0.25">
      <c r="A26978" s="318">
        <v>381673494011</v>
      </c>
      <c r="B26978" s="318" t="s">
        <v>23</v>
      </c>
    </row>
    <row r="26979" spans="1:2" ht="12.75" customHeight="1" x14ac:dyDescent="0.25">
      <c r="A26979" s="318">
        <v>381673494012</v>
      </c>
      <c r="B26979" s="318" t="s">
        <v>23</v>
      </c>
    </row>
    <row r="26980" spans="1:2" ht="12.75" customHeight="1" x14ac:dyDescent="0.25">
      <c r="A26980" s="318">
        <v>381673494013</v>
      </c>
      <c r="B26980" s="318" t="s">
        <v>23</v>
      </c>
    </row>
    <row r="26981" spans="1:2" ht="12.75" customHeight="1" x14ac:dyDescent="0.25">
      <c r="A26981" s="318">
        <v>381673494014</v>
      </c>
      <c r="B26981" s="318" t="s">
        <v>23</v>
      </c>
    </row>
    <row r="26982" spans="1:2" ht="12.75" customHeight="1" x14ac:dyDescent="0.25">
      <c r="A26982" s="318">
        <v>381673494015</v>
      </c>
      <c r="B26982" s="318" t="s">
        <v>23</v>
      </c>
    </row>
    <row r="26983" spans="1:2" ht="12.75" customHeight="1" x14ac:dyDescent="0.25">
      <c r="A26983" s="318">
        <v>381673494016</v>
      </c>
      <c r="B26983" s="318" t="s">
        <v>23</v>
      </c>
    </row>
    <row r="26984" spans="1:2" ht="12.75" customHeight="1" x14ac:dyDescent="0.25">
      <c r="A26984" s="318">
        <v>381673494017</v>
      </c>
      <c r="B26984" s="318" t="s">
        <v>237</v>
      </c>
    </row>
    <row r="26985" spans="1:2" ht="12.75" customHeight="1" x14ac:dyDescent="0.25">
      <c r="A26985" s="318">
        <v>381673494018</v>
      </c>
      <c r="B26985" s="318" t="s">
        <v>237</v>
      </c>
    </row>
    <row r="26986" spans="1:2" ht="12.75" customHeight="1" x14ac:dyDescent="0.25">
      <c r="A26986" s="318">
        <v>381674174193</v>
      </c>
      <c r="B26986" s="318" t="s">
        <v>23</v>
      </c>
    </row>
    <row r="26987" spans="1:2" ht="12.75" customHeight="1" x14ac:dyDescent="0.25">
      <c r="A26987" s="318">
        <v>381674174194</v>
      </c>
      <c r="B26987" s="318" t="s">
        <v>23</v>
      </c>
    </row>
    <row r="26988" spans="1:2" ht="12.75" customHeight="1" x14ac:dyDescent="0.25">
      <c r="A26988" s="318">
        <v>381674174195</v>
      </c>
      <c r="B26988" s="318" t="s">
        <v>23</v>
      </c>
    </row>
    <row r="26989" spans="1:2" ht="12.75" customHeight="1" x14ac:dyDescent="0.25">
      <c r="A26989" s="318">
        <v>381674174196</v>
      </c>
      <c r="B26989" s="318" t="s">
        <v>23</v>
      </c>
    </row>
    <row r="26990" spans="1:2" ht="12.75" customHeight="1" x14ac:dyDescent="0.25">
      <c r="A26990" s="318">
        <v>381674174197</v>
      </c>
      <c r="B26990" s="318" t="s">
        <v>23</v>
      </c>
    </row>
    <row r="26991" spans="1:2" ht="12.75" customHeight="1" x14ac:dyDescent="0.25">
      <c r="A26991" s="318">
        <v>381674174198</v>
      </c>
      <c r="B26991" s="318" t="s">
        <v>23</v>
      </c>
    </row>
    <row r="26992" spans="1:2" ht="12.75" customHeight="1" x14ac:dyDescent="0.25">
      <c r="A26992" s="318">
        <v>381674174199</v>
      </c>
      <c r="B26992" s="318" t="s">
        <v>237</v>
      </c>
    </row>
    <row r="26993" spans="1:2" ht="12.75" customHeight="1" x14ac:dyDescent="0.25">
      <c r="A26993" s="318">
        <v>381674174200</v>
      </c>
      <c r="B26993" s="318" t="s">
        <v>237</v>
      </c>
    </row>
    <row r="26994" spans="1:2" ht="12.75" customHeight="1" x14ac:dyDescent="0.25">
      <c r="A26994" s="318">
        <v>381674174202</v>
      </c>
      <c r="B26994" s="318" t="s">
        <v>23</v>
      </c>
    </row>
    <row r="26995" spans="1:2" ht="12.75" customHeight="1" x14ac:dyDescent="0.25">
      <c r="A26995" s="318">
        <v>381674174203</v>
      </c>
      <c r="B26995" s="318" t="s">
        <v>23</v>
      </c>
    </row>
    <row r="26996" spans="1:2" ht="12.75" customHeight="1" x14ac:dyDescent="0.25">
      <c r="A26996" s="318">
        <v>381674174204</v>
      </c>
      <c r="B26996" s="318" t="s">
        <v>23</v>
      </c>
    </row>
    <row r="26997" spans="1:2" ht="12.75" customHeight="1" x14ac:dyDescent="0.25">
      <c r="A26997" s="318">
        <v>381674174205</v>
      </c>
      <c r="B26997" s="318" t="s">
        <v>23</v>
      </c>
    </row>
    <row r="26998" spans="1:2" ht="12.75" customHeight="1" x14ac:dyDescent="0.25">
      <c r="A26998" s="318">
        <v>381674174206</v>
      </c>
      <c r="B26998" s="318" t="s">
        <v>23</v>
      </c>
    </row>
    <row r="26999" spans="1:2" ht="12.75" customHeight="1" x14ac:dyDescent="0.25">
      <c r="A26999" s="318">
        <v>381674174207</v>
      </c>
      <c r="B26999" s="318" t="s">
        <v>23</v>
      </c>
    </row>
    <row r="27000" spans="1:2" ht="12.75" customHeight="1" x14ac:dyDescent="0.25">
      <c r="A27000" s="318">
        <v>381674174208</v>
      </c>
      <c r="B27000" s="318" t="s">
        <v>237</v>
      </c>
    </row>
    <row r="27001" spans="1:2" ht="12.75" customHeight="1" x14ac:dyDescent="0.25">
      <c r="A27001" s="318">
        <v>381674174209</v>
      </c>
      <c r="B27001" s="318" t="s">
        <v>237</v>
      </c>
    </row>
    <row r="27002" spans="1:2" ht="12.75" customHeight="1" x14ac:dyDescent="0.25">
      <c r="A27002" s="318">
        <v>381674655166</v>
      </c>
      <c r="B27002" s="318" t="s">
        <v>23</v>
      </c>
    </row>
    <row r="27003" spans="1:2" ht="12.75" customHeight="1" x14ac:dyDescent="0.25">
      <c r="A27003" s="318">
        <v>381674655167</v>
      </c>
      <c r="B27003" s="318" t="s">
        <v>23</v>
      </c>
    </row>
    <row r="27004" spans="1:2" ht="12.75" customHeight="1" x14ac:dyDescent="0.25">
      <c r="A27004" s="318">
        <v>381674655168</v>
      </c>
      <c r="B27004" s="318" t="s">
        <v>23</v>
      </c>
    </row>
    <row r="27005" spans="1:2" ht="12.75" customHeight="1" x14ac:dyDescent="0.25">
      <c r="A27005" s="318">
        <v>381674655169</v>
      </c>
      <c r="B27005" s="318" t="s">
        <v>23</v>
      </c>
    </row>
    <row r="27006" spans="1:2" ht="12.75" customHeight="1" x14ac:dyDescent="0.25">
      <c r="A27006" s="318">
        <v>381674655170</v>
      </c>
      <c r="B27006" s="318" t="s">
        <v>23</v>
      </c>
    </row>
    <row r="27007" spans="1:2" ht="12.75" customHeight="1" x14ac:dyDescent="0.25">
      <c r="A27007" s="318">
        <v>381674655171</v>
      </c>
      <c r="B27007" s="318" t="s">
        <v>23</v>
      </c>
    </row>
    <row r="27008" spans="1:2" ht="12.75" customHeight="1" x14ac:dyDescent="0.25">
      <c r="A27008" s="318">
        <v>381674655172</v>
      </c>
      <c r="B27008" s="318" t="s">
        <v>237</v>
      </c>
    </row>
    <row r="27009" spans="1:2" ht="12.75" customHeight="1" x14ac:dyDescent="0.25">
      <c r="A27009" s="318">
        <v>381674655173</v>
      </c>
      <c r="B27009" s="318" t="s">
        <v>237</v>
      </c>
    </row>
    <row r="27010" spans="1:2" ht="12.75" customHeight="1" x14ac:dyDescent="0.25">
      <c r="A27010" s="318">
        <v>381674655175</v>
      </c>
      <c r="B27010" s="318" t="s">
        <v>23</v>
      </c>
    </row>
    <row r="27011" spans="1:2" ht="12.75" customHeight="1" x14ac:dyDescent="0.25">
      <c r="A27011" s="318">
        <v>381674655176</v>
      </c>
      <c r="B27011" s="318" t="s">
        <v>23</v>
      </c>
    </row>
    <row r="27012" spans="1:2" ht="12.75" customHeight="1" x14ac:dyDescent="0.25">
      <c r="A27012" s="318">
        <v>381674655177</v>
      </c>
      <c r="B27012" s="318" t="s">
        <v>23</v>
      </c>
    </row>
    <row r="27013" spans="1:2" ht="12.75" customHeight="1" x14ac:dyDescent="0.25">
      <c r="A27013" s="318">
        <v>381674655178</v>
      </c>
      <c r="B27013" s="318" t="s">
        <v>23</v>
      </c>
    </row>
    <row r="27014" spans="1:2" ht="12.75" customHeight="1" x14ac:dyDescent="0.25">
      <c r="A27014" s="318">
        <v>381674655179</v>
      </c>
      <c r="B27014" s="318" t="s">
        <v>23</v>
      </c>
    </row>
    <row r="27015" spans="1:2" ht="12.75" customHeight="1" x14ac:dyDescent="0.25">
      <c r="A27015" s="318">
        <v>381674655180</v>
      </c>
      <c r="B27015" s="318" t="s">
        <v>23</v>
      </c>
    </row>
    <row r="27016" spans="1:2" ht="12.75" customHeight="1" x14ac:dyDescent="0.25">
      <c r="A27016" s="318">
        <v>381674655181</v>
      </c>
      <c r="B27016" s="318" t="s">
        <v>237</v>
      </c>
    </row>
    <row r="27017" spans="1:2" ht="12.75" customHeight="1" x14ac:dyDescent="0.25">
      <c r="A27017" s="318">
        <v>381674655182</v>
      </c>
      <c r="B27017" s="318" t="s">
        <v>237</v>
      </c>
    </row>
    <row r="27018" spans="1:2" ht="12.75" customHeight="1" x14ac:dyDescent="0.25">
      <c r="A27018" s="318">
        <v>381675136139</v>
      </c>
      <c r="B27018" s="318" t="s">
        <v>23</v>
      </c>
    </row>
    <row r="27019" spans="1:2" ht="12.75" customHeight="1" x14ac:dyDescent="0.25">
      <c r="A27019" s="318">
        <v>381675136140</v>
      </c>
      <c r="B27019" s="318" t="s">
        <v>23</v>
      </c>
    </row>
    <row r="27020" spans="1:2" ht="12.75" customHeight="1" x14ac:dyDescent="0.25">
      <c r="A27020" s="318">
        <v>381675136141</v>
      </c>
      <c r="B27020" s="318" t="s">
        <v>23</v>
      </c>
    </row>
    <row r="27021" spans="1:2" ht="12.75" customHeight="1" x14ac:dyDescent="0.25">
      <c r="A27021" s="318">
        <v>381675136142</v>
      </c>
      <c r="B27021" s="318" t="s">
        <v>23</v>
      </c>
    </row>
    <row r="27022" spans="1:2" ht="12.75" customHeight="1" x14ac:dyDescent="0.25">
      <c r="A27022" s="318">
        <v>381675136143</v>
      </c>
      <c r="B27022" s="318" t="s">
        <v>23</v>
      </c>
    </row>
    <row r="27023" spans="1:2" ht="12.75" customHeight="1" x14ac:dyDescent="0.25">
      <c r="A27023" s="318">
        <v>381675136144</v>
      </c>
      <c r="B27023" s="318" t="s">
        <v>23</v>
      </c>
    </row>
    <row r="27024" spans="1:2" ht="12.75" customHeight="1" x14ac:dyDescent="0.25">
      <c r="A27024" s="318">
        <v>381675136145</v>
      </c>
      <c r="B27024" s="318" t="s">
        <v>237</v>
      </c>
    </row>
    <row r="27025" spans="1:2" ht="12.75" customHeight="1" x14ac:dyDescent="0.25">
      <c r="A27025" s="318">
        <v>381675136146</v>
      </c>
      <c r="B27025" s="318" t="s">
        <v>237</v>
      </c>
    </row>
    <row r="27026" spans="1:2" ht="12.75" customHeight="1" x14ac:dyDescent="0.25">
      <c r="A27026" s="318">
        <v>381675136148</v>
      </c>
      <c r="B27026" s="318" t="s">
        <v>23</v>
      </c>
    </row>
    <row r="27027" spans="1:2" ht="12.75" customHeight="1" x14ac:dyDescent="0.25">
      <c r="A27027" s="318">
        <v>381675136149</v>
      </c>
      <c r="B27027" s="318" t="s">
        <v>23</v>
      </c>
    </row>
    <row r="27028" spans="1:2" ht="12.75" customHeight="1" x14ac:dyDescent="0.25">
      <c r="A27028" s="318">
        <v>381675136150</v>
      </c>
      <c r="B27028" s="318" t="s">
        <v>23</v>
      </c>
    </row>
    <row r="27029" spans="1:2" ht="12.75" customHeight="1" x14ac:dyDescent="0.25">
      <c r="A27029" s="318">
        <v>381675136151</v>
      </c>
      <c r="B27029" s="318" t="s">
        <v>23</v>
      </c>
    </row>
    <row r="27030" spans="1:2" ht="12.75" customHeight="1" x14ac:dyDescent="0.25">
      <c r="A27030" s="318">
        <v>381675136152</v>
      </c>
      <c r="B27030" s="318" t="s">
        <v>23</v>
      </c>
    </row>
    <row r="27031" spans="1:2" ht="12.75" customHeight="1" x14ac:dyDescent="0.25">
      <c r="A27031" s="318">
        <v>381675136153</v>
      </c>
      <c r="B27031" s="318" t="s">
        <v>23</v>
      </c>
    </row>
    <row r="27032" spans="1:2" ht="12.75" customHeight="1" x14ac:dyDescent="0.25">
      <c r="A27032" s="318">
        <v>381675136154</v>
      </c>
      <c r="B27032" s="318" t="s">
        <v>237</v>
      </c>
    </row>
    <row r="27033" spans="1:2" ht="12.75" customHeight="1" x14ac:dyDescent="0.25">
      <c r="A27033" s="318">
        <v>381675136155</v>
      </c>
      <c r="B27033" s="318" t="s">
        <v>237</v>
      </c>
    </row>
    <row r="27034" spans="1:2" ht="12.75" customHeight="1" x14ac:dyDescent="0.25">
      <c r="A27034" s="318">
        <v>381676496520</v>
      </c>
      <c r="B27034" s="318" t="s">
        <v>23</v>
      </c>
    </row>
    <row r="27035" spans="1:2" ht="12.75" customHeight="1" x14ac:dyDescent="0.25">
      <c r="A27035" s="318">
        <v>381676496521</v>
      </c>
      <c r="B27035" s="318" t="s">
        <v>23</v>
      </c>
    </row>
    <row r="27036" spans="1:2" ht="12.75" customHeight="1" x14ac:dyDescent="0.25">
      <c r="A27036" s="318">
        <v>381676496522</v>
      </c>
      <c r="B27036" s="318" t="s">
        <v>23</v>
      </c>
    </row>
    <row r="27037" spans="1:2" ht="12.75" customHeight="1" x14ac:dyDescent="0.25">
      <c r="A27037" s="318">
        <v>381676496523</v>
      </c>
      <c r="B27037" s="318" t="s">
        <v>23</v>
      </c>
    </row>
    <row r="27038" spans="1:2" ht="12.75" customHeight="1" x14ac:dyDescent="0.25">
      <c r="A27038" s="318">
        <v>381676496524</v>
      </c>
      <c r="B27038" s="318" t="s">
        <v>23</v>
      </c>
    </row>
    <row r="27039" spans="1:2" ht="12.75" customHeight="1" x14ac:dyDescent="0.25">
      <c r="A27039" s="318">
        <v>381676496525</v>
      </c>
      <c r="B27039" s="318" t="s">
        <v>23</v>
      </c>
    </row>
    <row r="27040" spans="1:2" ht="12.75" customHeight="1" x14ac:dyDescent="0.25">
      <c r="A27040" s="318">
        <v>381676496526</v>
      </c>
      <c r="B27040" s="318" t="s">
        <v>237</v>
      </c>
    </row>
    <row r="27041" spans="1:2" ht="12.75" customHeight="1" x14ac:dyDescent="0.25">
      <c r="A27041" s="318">
        <v>381676496527</v>
      </c>
      <c r="B27041" s="318" t="s">
        <v>237</v>
      </c>
    </row>
    <row r="27042" spans="1:2" ht="12.75" customHeight="1" x14ac:dyDescent="0.25">
      <c r="A27042" s="318">
        <v>381676496529</v>
      </c>
      <c r="B27042" s="318" t="s">
        <v>237</v>
      </c>
    </row>
    <row r="27043" spans="1:2" ht="12.75" customHeight="1" x14ac:dyDescent="0.25">
      <c r="A27043" s="318">
        <v>381676496530</v>
      </c>
      <c r="B27043" s="318" t="s">
        <v>237</v>
      </c>
    </row>
    <row r="27044" spans="1:2" ht="12.75" customHeight="1" x14ac:dyDescent="0.25">
      <c r="A27044" s="318">
        <v>381676496531</v>
      </c>
      <c r="B27044" s="318" t="s">
        <v>237</v>
      </c>
    </row>
    <row r="27045" spans="1:2" ht="12.75" customHeight="1" x14ac:dyDescent="0.25">
      <c r="A27045" s="318">
        <v>381676496532</v>
      </c>
      <c r="B27045" s="318" t="s">
        <v>237</v>
      </c>
    </row>
    <row r="27046" spans="1:2" ht="12.75" customHeight="1" x14ac:dyDescent="0.25">
      <c r="A27046" s="318">
        <v>381676496533</v>
      </c>
      <c r="B27046" s="318" t="s">
        <v>237</v>
      </c>
    </row>
    <row r="27047" spans="1:2" ht="12.75" customHeight="1" x14ac:dyDescent="0.25">
      <c r="A27047" s="318">
        <v>381676496534</v>
      </c>
      <c r="B27047" s="318" t="s">
        <v>237</v>
      </c>
    </row>
    <row r="27048" spans="1:2" ht="12.75" customHeight="1" x14ac:dyDescent="0.25">
      <c r="A27048" s="318">
        <v>381676496535</v>
      </c>
      <c r="B27048" s="318" t="s">
        <v>237</v>
      </c>
    </row>
    <row r="27049" spans="1:2" ht="12.75" customHeight="1" x14ac:dyDescent="0.25">
      <c r="A27049" s="318">
        <v>381676496536</v>
      </c>
      <c r="B27049" s="318" t="s">
        <v>237</v>
      </c>
    </row>
    <row r="27050" spans="1:2" ht="12.75" customHeight="1" x14ac:dyDescent="0.25">
      <c r="A27050" s="318">
        <v>381676977493</v>
      </c>
      <c r="B27050" s="318" t="s">
        <v>23</v>
      </c>
    </row>
    <row r="27051" spans="1:2" ht="12.75" customHeight="1" x14ac:dyDescent="0.25">
      <c r="A27051" s="318">
        <v>381676977494</v>
      </c>
      <c r="B27051" s="318" t="s">
        <v>23</v>
      </c>
    </row>
    <row r="27052" spans="1:2" ht="12.75" customHeight="1" x14ac:dyDescent="0.25">
      <c r="A27052" s="318">
        <v>381676977495</v>
      </c>
      <c r="B27052" s="318" t="s">
        <v>23</v>
      </c>
    </row>
    <row r="27053" spans="1:2" ht="12.75" customHeight="1" x14ac:dyDescent="0.25">
      <c r="A27053" s="318">
        <v>381676977496</v>
      </c>
      <c r="B27053" s="318" t="s">
        <v>23</v>
      </c>
    </row>
    <row r="27054" spans="1:2" ht="12.75" customHeight="1" x14ac:dyDescent="0.25">
      <c r="A27054" s="318">
        <v>381676977497</v>
      </c>
      <c r="B27054" s="318" t="s">
        <v>23</v>
      </c>
    </row>
    <row r="27055" spans="1:2" ht="12.75" customHeight="1" x14ac:dyDescent="0.25">
      <c r="A27055" s="318">
        <v>381676977498</v>
      </c>
      <c r="B27055" s="318" t="s">
        <v>23</v>
      </c>
    </row>
    <row r="27056" spans="1:2" ht="12.75" customHeight="1" x14ac:dyDescent="0.25">
      <c r="A27056" s="318">
        <v>381676977499</v>
      </c>
      <c r="B27056" s="318" t="s">
        <v>237</v>
      </c>
    </row>
    <row r="27057" spans="1:2" ht="12.75" customHeight="1" x14ac:dyDescent="0.25">
      <c r="A27057" s="318">
        <v>381676977500</v>
      </c>
      <c r="B27057" s="318" t="s">
        <v>237</v>
      </c>
    </row>
    <row r="27058" spans="1:2" ht="12.75" customHeight="1" x14ac:dyDescent="0.25">
      <c r="A27058" s="318">
        <v>381676977502</v>
      </c>
      <c r="B27058" s="318" t="s">
        <v>237</v>
      </c>
    </row>
    <row r="27059" spans="1:2" ht="12.75" customHeight="1" x14ac:dyDescent="0.25">
      <c r="A27059" s="318">
        <v>381676977503</v>
      </c>
      <c r="B27059" s="318" t="s">
        <v>237</v>
      </c>
    </row>
    <row r="27060" spans="1:2" ht="12.75" customHeight="1" x14ac:dyDescent="0.25">
      <c r="A27060" s="318">
        <v>381676977504</v>
      </c>
      <c r="B27060" s="318" t="s">
        <v>237</v>
      </c>
    </row>
    <row r="27061" spans="1:2" ht="12.75" customHeight="1" x14ac:dyDescent="0.25">
      <c r="A27061" s="318">
        <v>381676977505</v>
      </c>
      <c r="B27061" s="318" t="s">
        <v>237</v>
      </c>
    </row>
    <row r="27062" spans="1:2" ht="12.75" customHeight="1" x14ac:dyDescent="0.25">
      <c r="A27062" s="318">
        <v>381676977506</v>
      </c>
      <c r="B27062" s="318" t="s">
        <v>237</v>
      </c>
    </row>
    <row r="27063" spans="1:2" ht="12.75" customHeight="1" x14ac:dyDescent="0.25">
      <c r="A27063" s="318">
        <v>381676977507</v>
      </c>
      <c r="B27063" s="318" t="s">
        <v>237</v>
      </c>
    </row>
    <row r="27064" spans="1:2" ht="12.75" customHeight="1" x14ac:dyDescent="0.25">
      <c r="A27064" s="318">
        <v>381676977508</v>
      </c>
      <c r="B27064" s="318" t="s">
        <v>237</v>
      </c>
    </row>
    <row r="27065" spans="1:2" ht="12.75" customHeight="1" x14ac:dyDescent="0.25">
      <c r="A27065" s="318">
        <v>381676977509</v>
      </c>
      <c r="B27065" s="318" t="s">
        <v>237</v>
      </c>
    </row>
    <row r="27066" spans="1:2" ht="12.75" customHeight="1" x14ac:dyDescent="0.25">
      <c r="A27066" s="318">
        <v>381677458466</v>
      </c>
      <c r="B27066" s="318" t="s">
        <v>23</v>
      </c>
    </row>
    <row r="27067" spans="1:2" ht="12.75" customHeight="1" x14ac:dyDescent="0.25">
      <c r="A27067" s="318">
        <v>381677458467</v>
      </c>
      <c r="B27067" s="318" t="s">
        <v>23</v>
      </c>
    </row>
    <row r="27068" spans="1:2" ht="12.75" customHeight="1" x14ac:dyDescent="0.25">
      <c r="A27068" s="318">
        <v>381677458468</v>
      </c>
      <c r="B27068" s="318" t="s">
        <v>23</v>
      </c>
    </row>
    <row r="27069" spans="1:2" ht="12.75" customHeight="1" x14ac:dyDescent="0.25">
      <c r="A27069" s="318">
        <v>381677458469</v>
      </c>
      <c r="B27069" s="318" t="s">
        <v>23</v>
      </c>
    </row>
    <row r="27070" spans="1:2" ht="12.75" customHeight="1" x14ac:dyDescent="0.25">
      <c r="A27070" s="318">
        <v>381677458470</v>
      </c>
      <c r="B27070" s="318" t="s">
        <v>23</v>
      </c>
    </row>
    <row r="27071" spans="1:2" ht="12.75" customHeight="1" x14ac:dyDescent="0.25">
      <c r="A27071" s="318">
        <v>381677458471</v>
      </c>
      <c r="B27071" s="318" t="s">
        <v>23</v>
      </c>
    </row>
    <row r="27072" spans="1:2" ht="12.75" customHeight="1" x14ac:dyDescent="0.25">
      <c r="A27072" s="318">
        <v>381677458472</v>
      </c>
      <c r="B27072" s="318" t="s">
        <v>237</v>
      </c>
    </row>
    <row r="27073" spans="1:2" ht="12.75" customHeight="1" x14ac:dyDescent="0.25">
      <c r="A27073" s="318">
        <v>381677458473</v>
      </c>
      <c r="B27073" s="318" t="s">
        <v>237</v>
      </c>
    </row>
    <row r="27074" spans="1:2" ht="12.75" customHeight="1" x14ac:dyDescent="0.25">
      <c r="A27074" s="318">
        <v>381677458475</v>
      </c>
      <c r="B27074" s="318" t="s">
        <v>23</v>
      </c>
    </row>
    <row r="27075" spans="1:2" ht="12.75" customHeight="1" x14ac:dyDescent="0.25">
      <c r="A27075" s="318">
        <v>381677458476</v>
      </c>
      <c r="B27075" s="318" t="s">
        <v>23</v>
      </c>
    </row>
    <row r="27076" spans="1:2" ht="12.75" customHeight="1" x14ac:dyDescent="0.25">
      <c r="A27076" s="318">
        <v>381677458477</v>
      </c>
      <c r="B27076" s="318" t="s">
        <v>23</v>
      </c>
    </row>
    <row r="27077" spans="1:2" ht="12.75" customHeight="1" x14ac:dyDescent="0.25">
      <c r="A27077" s="318">
        <v>381677458478</v>
      </c>
      <c r="B27077" s="318" t="s">
        <v>23</v>
      </c>
    </row>
    <row r="27078" spans="1:2" ht="12.75" customHeight="1" x14ac:dyDescent="0.25">
      <c r="A27078" s="318">
        <v>381677458479</v>
      </c>
      <c r="B27078" s="318" t="s">
        <v>23</v>
      </c>
    </row>
    <row r="27079" spans="1:2" ht="12.75" customHeight="1" x14ac:dyDescent="0.25">
      <c r="A27079" s="318">
        <v>381677458480</v>
      </c>
      <c r="B27079" s="318" t="s">
        <v>23</v>
      </c>
    </row>
    <row r="27080" spans="1:2" ht="12.75" customHeight="1" x14ac:dyDescent="0.25">
      <c r="A27080" s="318">
        <v>381677458481</v>
      </c>
      <c r="B27080" s="318" t="s">
        <v>237</v>
      </c>
    </row>
    <row r="27081" spans="1:2" ht="12.75" customHeight="1" x14ac:dyDescent="0.25">
      <c r="A27081" s="318">
        <v>381677458482</v>
      </c>
      <c r="B27081" s="318" t="s">
        <v>237</v>
      </c>
    </row>
    <row r="27082" spans="1:2" ht="12.75" customHeight="1" x14ac:dyDescent="0.25">
      <c r="A27082" s="318">
        <v>381678138657</v>
      </c>
      <c r="B27082" s="318" t="s">
        <v>23</v>
      </c>
    </row>
    <row r="27083" spans="1:2" ht="12.75" customHeight="1" x14ac:dyDescent="0.25">
      <c r="A27083" s="318">
        <v>381678138658</v>
      </c>
      <c r="B27083" s="318" t="s">
        <v>23</v>
      </c>
    </row>
    <row r="27084" spans="1:2" ht="12.75" customHeight="1" x14ac:dyDescent="0.25">
      <c r="A27084" s="318">
        <v>381678138659</v>
      </c>
      <c r="B27084" s="318" t="s">
        <v>23</v>
      </c>
    </row>
    <row r="27085" spans="1:2" ht="12.75" customHeight="1" x14ac:dyDescent="0.25">
      <c r="A27085" s="318">
        <v>381678138660</v>
      </c>
      <c r="B27085" s="318" t="s">
        <v>23</v>
      </c>
    </row>
    <row r="27086" spans="1:2" ht="12.75" customHeight="1" x14ac:dyDescent="0.25">
      <c r="A27086" s="318">
        <v>381678138661</v>
      </c>
      <c r="B27086" s="318" t="s">
        <v>23</v>
      </c>
    </row>
    <row r="27087" spans="1:2" ht="12.75" customHeight="1" x14ac:dyDescent="0.25">
      <c r="A27087" s="318">
        <v>381678138662</v>
      </c>
      <c r="B27087" s="318" t="s">
        <v>23</v>
      </c>
    </row>
    <row r="27088" spans="1:2" ht="12.75" customHeight="1" x14ac:dyDescent="0.25">
      <c r="A27088" s="318">
        <v>381678138663</v>
      </c>
      <c r="B27088" s="318" t="s">
        <v>237</v>
      </c>
    </row>
    <row r="27089" spans="1:2" ht="12.75" customHeight="1" x14ac:dyDescent="0.25">
      <c r="A27089" s="318">
        <v>381678138664</v>
      </c>
      <c r="B27089" s="318" t="s">
        <v>237</v>
      </c>
    </row>
    <row r="27090" spans="1:2" ht="12.75" customHeight="1" x14ac:dyDescent="0.25">
      <c r="A27090" s="318">
        <v>381678138666</v>
      </c>
      <c r="B27090" s="318" t="s">
        <v>237</v>
      </c>
    </row>
    <row r="27091" spans="1:2" ht="12.75" customHeight="1" x14ac:dyDescent="0.25">
      <c r="A27091" s="318">
        <v>381678138667</v>
      </c>
      <c r="B27091" s="318" t="s">
        <v>237</v>
      </c>
    </row>
    <row r="27092" spans="1:2" ht="12.75" customHeight="1" x14ac:dyDescent="0.25">
      <c r="A27092" s="318">
        <v>381678138668</v>
      </c>
      <c r="B27092" s="318" t="s">
        <v>237</v>
      </c>
    </row>
    <row r="27093" spans="1:2" ht="12.75" customHeight="1" x14ac:dyDescent="0.25">
      <c r="A27093" s="318">
        <v>381678138669</v>
      </c>
      <c r="B27093" s="318" t="s">
        <v>237</v>
      </c>
    </row>
    <row r="27094" spans="1:2" ht="12.75" customHeight="1" x14ac:dyDescent="0.25">
      <c r="A27094" s="318">
        <v>381678138670</v>
      </c>
      <c r="B27094" s="318" t="s">
        <v>237</v>
      </c>
    </row>
    <row r="27095" spans="1:2" ht="12.75" customHeight="1" x14ac:dyDescent="0.25">
      <c r="A27095" s="318">
        <v>381678138671</v>
      </c>
      <c r="B27095" s="318" t="s">
        <v>237</v>
      </c>
    </row>
    <row r="27096" spans="1:2" ht="12.75" customHeight="1" x14ac:dyDescent="0.25">
      <c r="A27096" s="318">
        <v>381678138672</v>
      </c>
      <c r="B27096" s="318" t="s">
        <v>237</v>
      </c>
    </row>
    <row r="27097" spans="1:2" ht="12.75" customHeight="1" x14ac:dyDescent="0.25">
      <c r="A27097" s="318">
        <v>381678138673</v>
      </c>
      <c r="B27097" s="318" t="s">
        <v>237</v>
      </c>
    </row>
    <row r="27098" spans="1:2" ht="12.75" customHeight="1" x14ac:dyDescent="0.25">
      <c r="A27098" s="318">
        <v>381678619630</v>
      </c>
      <c r="B27098" s="318" t="s">
        <v>23</v>
      </c>
    </row>
    <row r="27099" spans="1:2" ht="12.75" customHeight="1" x14ac:dyDescent="0.25">
      <c r="A27099" s="318">
        <v>381678619631</v>
      </c>
      <c r="B27099" s="318" t="s">
        <v>23</v>
      </c>
    </row>
    <row r="27100" spans="1:2" ht="12.75" customHeight="1" x14ac:dyDescent="0.25">
      <c r="A27100" s="318">
        <v>381678619632</v>
      </c>
      <c r="B27100" s="318" t="s">
        <v>23</v>
      </c>
    </row>
    <row r="27101" spans="1:2" ht="12.75" customHeight="1" x14ac:dyDescent="0.25">
      <c r="A27101" s="318">
        <v>381678619633</v>
      </c>
      <c r="B27101" s="318" t="s">
        <v>23</v>
      </c>
    </row>
    <row r="27102" spans="1:2" ht="12.75" customHeight="1" x14ac:dyDescent="0.25">
      <c r="A27102" s="318">
        <v>381678619634</v>
      </c>
      <c r="B27102" s="318" t="s">
        <v>23</v>
      </c>
    </row>
    <row r="27103" spans="1:2" ht="12.75" customHeight="1" x14ac:dyDescent="0.25">
      <c r="A27103" s="318">
        <v>381678619635</v>
      </c>
      <c r="B27103" s="318" t="s">
        <v>23</v>
      </c>
    </row>
    <row r="27104" spans="1:2" ht="12.75" customHeight="1" x14ac:dyDescent="0.25">
      <c r="A27104" s="318">
        <v>381678619636</v>
      </c>
      <c r="B27104" s="318" t="s">
        <v>237</v>
      </c>
    </row>
    <row r="27105" spans="1:2" ht="12.75" customHeight="1" x14ac:dyDescent="0.25">
      <c r="A27105" s="318">
        <v>381678619637</v>
      </c>
      <c r="B27105" s="318" t="s">
        <v>237</v>
      </c>
    </row>
    <row r="27106" spans="1:2" ht="12.75" customHeight="1" x14ac:dyDescent="0.25">
      <c r="A27106" s="318">
        <v>381678619639</v>
      </c>
      <c r="B27106" s="318" t="s">
        <v>237</v>
      </c>
    </row>
    <row r="27107" spans="1:2" ht="12.75" customHeight="1" x14ac:dyDescent="0.25">
      <c r="A27107" s="318">
        <v>381678619640</v>
      </c>
      <c r="B27107" s="318" t="s">
        <v>237</v>
      </c>
    </row>
    <row r="27108" spans="1:2" ht="12.75" customHeight="1" x14ac:dyDescent="0.25">
      <c r="A27108" s="318">
        <v>381678619641</v>
      </c>
      <c r="B27108" s="318" t="s">
        <v>237</v>
      </c>
    </row>
    <row r="27109" spans="1:2" ht="12.75" customHeight="1" x14ac:dyDescent="0.25">
      <c r="A27109" s="318">
        <v>381678619642</v>
      </c>
      <c r="B27109" s="318" t="s">
        <v>237</v>
      </c>
    </row>
    <row r="27110" spans="1:2" ht="12.75" customHeight="1" x14ac:dyDescent="0.25">
      <c r="A27110" s="318">
        <v>381678619643</v>
      </c>
      <c r="B27110" s="318" t="s">
        <v>237</v>
      </c>
    </row>
    <row r="27111" spans="1:2" ht="12.75" customHeight="1" x14ac:dyDescent="0.25">
      <c r="A27111" s="318">
        <v>381678619644</v>
      </c>
      <c r="B27111" s="318" t="s">
        <v>237</v>
      </c>
    </row>
    <row r="27112" spans="1:2" ht="12.75" customHeight="1" x14ac:dyDescent="0.25">
      <c r="A27112" s="318">
        <v>381678619645</v>
      </c>
      <c r="B27112" s="318" t="s">
        <v>237</v>
      </c>
    </row>
    <row r="27113" spans="1:2" ht="12.75" customHeight="1" x14ac:dyDescent="0.25">
      <c r="A27113" s="318">
        <v>381678619646</v>
      </c>
      <c r="B27113" s="318" t="s">
        <v>237</v>
      </c>
    </row>
    <row r="27114" spans="1:2" ht="12.75" customHeight="1" x14ac:dyDescent="0.25">
      <c r="A27114" s="318">
        <v>381679100603</v>
      </c>
      <c r="B27114" s="318" t="s">
        <v>23</v>
      </c>
    </row>
    <row r="27115" spans="1:2" ht="12.75" customHeight="1" x14ac:dyDescent="0.25">
      <c r="A27115" s="318">
        <v>381679100604</v>
      </c>
      <c r="B27115" s="318" t="s">
        <v>23</v>
      </c>
    </row>
    <row r="27116" spans="1:2" ht="12.75" customHeight="1" x14ac:dyDescent="0.25">
      <c r="A27116" s="318">
        <v>381679100605</v>
      </c>
      <c r="B27116" s="318" t="s">
        <v>23</v>
      </c>
    </row>
    <row r="27117" spans="1:2" ht="12.75" customHeight="1" x14ac:dyDescent="0.25">
      <c r="A27117" s="318">
        <v>381679100606</v>
      </c>
      <c r="B27117" s="318" t="s">
        <v>23</v>
      </c>
    </row>
    <row r="27118" spans="1:2" ht="12.75" customHeight="1" x14ac:dyDescent="0.25">
      <c r="A27118" s="318">
        <v>381679100607</v>
      </c>
      <c r="B27118" s="318" t="s">
        <v>23</v>
      </c>
    </row>
    <row r="27119" spans="1:2" ht="12.75" customHeight="1" x14ac:dyDescent="0.25">
      <c r="A27119" s="318">
        <v>381679100608</v>
      </c>
      <c r="B27119" s="318" t="s">
        <v>23</v>
      </c>
    </row>
    <row r="27120" spans="1:2" ht="12.75" customHeight="1" x14ac:dyDescent="0.25">
      <c r="A27120" s="318">
        <v>381679100609</v>
      </c>
      <c r="B27120" s="318" t="s">
        <v>237</v>
      </c>
    </row>
    <row r="27121" spans="1:2" ht="12.75" customHeight="1" x14ac:dyDescent="0.25">
      <c r="A27121" s="318">
        <v>381679100610</v>
      </c>
      <c r="B27121" s="318" t="s">
        <v>237</v>
      </c>
    </row>
    <row r="27122" spans="1:2" ht="12.75" customHeight="1" x14ac:dyDescent="0.25">
      <c r="A27122" s="318">
        <v>381679100612</v>
      </c>
      <c r="B27122" s="318" t="s">
        <v>23</v>
      </c>
    </row>
    <row r="27123" spans="1:2" ht="12.75" customHeight="1" x14ac:dyDescent="0.25">
      <c r="A27123" s="318">
        <v>381679100613</v>
      </c>
      <c r="B27123" s="318" t="s">
        <v>23</v>
      </c>
    </row>
    <row r="27124" spans="1:2" ht="12.75" customHeight="1" x14ac:dyDescent="0.25">
      <c r="A27124" s="318">
        <v>381679100614</v>
      </c>
      <c r="B27124" s="318" t="s">
        <v>23</v>
      </c>
    </row>
    <row r="27125" spans="1:2" ht="12.75" customHeight="1" x14ac:dyDescent="0.25">
      <c r="A27125" s="318">
        <v>381679100615</v>
      </c>
      <c r="B27125" s="318" t="s">
        <v>23</v>
      </c>
    </row>
    <row r="27126" spans="1:2" ht="12.75" customHeight="1" x14ac:dyDescent="0.25">
      <c r="A27126" s="318">
        <v>381679100616</v>
      </c>
      <c r="B27126" s="318" t="s">
        <v>23</v>
      </c>
    </row>
    <row r="27127" spans="1:2" ht="12.75" customHeight="1" x14ac:dyDescent="0.25">
      <c r="A27127" s="318">
        <v>381679100617</v>
      </c>
      <c r="B27127" s="318" t="s">
        <v>23</v>
      </c>
    </row>
    <row r="27128" spans="1:2" ht="12.75" customHeight="1" x14ac:dyDescent="0.25">
      <c r="A27128" s="318">
        <v>381679100618</v>
      </c>
      <c r="B27128" s="318" t="s">
        <v>237</v>
      </c>
    </row>
    <row r="27129" spans="1:2" ht="12.75" customHeight="1" x14ac:dyDescent="0.25">
      <c r="A27129" s="318">
        <v>381679100619</v>
      </c>
      <c r="B27129" s="318" t="s">
        <v>237</v>
      </c>
    </row>
    <row r="27130" spans="1:2" ht="12.75" customHeight="1" x14ac:dyDescent="0.25">
      <c r="A27130" s="318">
        <v>381679780794</v>
      </c>
      <c r="B27130" s="318" t="s">
        <v>23</v>
      </c>
    </row>
    <row r="27131" spans="1:2" ht="12.75" customHeight="1" x14ac:dyDescent="0.25">
      <c r="A27131" s="318">
        <v>381679780795</v>
      </c>
      <c r="B27131" s="318" t="s">
        <v>23</v>
      </c>
    </row>
    <row r="27132" spans="1:2" ht="12.75" customHeight="1" x14ac:dyDescent="0.25">
      <c r="A27132" s="318">
        <v>381679780796</v>
      </c>
      <c r="B27132" s="318" t="s">
        <v>23</v>
      </c>
    </row>
    <row r="27133" spans="1:2" ht="12.75" customHeight="1" x14ac:dyDescent="0.25">
      <c r="A27133" s="318">
        <v>381679780797</v>
      </c>
      <c r="B27133" s="318" t="s">
        <v>23</v>
      </c>
    </row>
    <row r="27134" spans="1:2" ht="12.75" customHeight="1" x14ac:dyDescent="0.25">
      <c r="A27134" s="318">
        <v>381679780798</v>
      </c>
      <c r="B27134" s="318" t="s">
        <v>23</v>
      </c>
    </row>
    <row r="27135" spans="1:2" ht="12.75" customHeight="1" x14ac:dyDescent="0.25">
      <c r="A27135" s="318">
        <v>381679780799</v>
      </c>
      <c r="B27135" s="318" t="s">
        <v>23</v>
      </c>
    </row>
    <row r="27136" spans="1:2" ht="12.75" customHeight="1" x14ac:dyDescent="0.25">
      <c r="A27136" s="318">
        <v>381679780800</v>
      </c>
      <c r="B27136" s="318" t="s">
        <v>237</v>
      </c>
    </row>
    <row r="27137" spans="1:2" ht="12.75" customHeight="1" x14ac:dyDescent="0.25">
      <c r="A27137" s="318">
        <v>381679780801</v>
      </c>
      <c r="B27137" s="318" t="s">
        <v>237</v>
      </c>
    </row>
    <row r="27138" spans="1:2" ht="12.75" customHeight="1" x14ac:dyDescent="0.25">
      <c r="A27138" s="318">
        <v>381679780803</v>
      </c>
      <c r="B27138" s="318" t="s">
        <v>23</v>
      </c>
    </row>
    <row r="27139" spans="1:2" ht="12.75" customHeight="1" x14ac:dyDescent="0.25">
      <c r="A27139" s="318">
        <v>381679780804</v>
      </c>
      <c r="B27139" s="318" t="s">
        <v>23</v>
      </c>
    </row>
    <row r="27140" spans="1:2" ht="12.75" customHeight="1" x14ac:dyDescent="0.25">
      <c r="A27140" s="318">
        <v>381679780805</v>
      </c>
      <c r="B27140" s="318" t="s">
        <v>23</v>
      </c>
    </row>
    <row r="27141" spans="1:2" ht="12.75" customHeight="1" x14ac:dyDescent="0.25">
      <c r="A27141" s="318">
        <v>381679780806</v>
      </c>
      <c r="B27141" s="318" t="s">
        <v>23</v>
      </c>
    </row>
    <row r="27142" spans="1:2" ht="12.75" customHeight="1" x14ac:dyDescent="0.25">
      <c r="A27142" s="318">
        <v>381679780807</v>
      </c>
      <c r="B27142" s="318" t="s">
        <v>23</v>
      </c>
    </row>
    <row r="27143" spans="1:2" ht="12.75" customHeight="1" x14ac:dyDescent="0.25">
      <c r="A27143" s="318">
        <v>381679780808</v>
      </c>
      <c r="B27143" s="318" t="s">
        <v>23</v>
      </c>
    </row>
    <row r="27144" spans="1:2" ht="12.75" customHeight="1" x14ac:dyDescent="0.25">
      <c r="A27144" s="318">
        <v>381679780809</v>
      </c>
      <c r="B27144" s="318" t="s">
        <v>237</v>
      </c>
    </row>
    <row r="27145" spans="1:2" ht="12.75" customHeight="1" x14ac:dyDescent="0.25">
      <c r="A27145" s="318">
        <v>381679780810</v>
      </c>
      <c r="B27145" s="318" t="s">
        <v>237</v>
      </c>
    </row>
    <row r="27146" spans="1:2" ht="12.75" customHeight="1" x14ac:dyDescent="0.25">
      <c r="A27146" s="318">
        <v>381680261767</v>
      </c>
      <c r="B27146" s="318" t="s">
        <v>23</v>
      </c>
    </row>
    <row r="27147" spans="1:2" ht="12.75" customHeight="1" x14ac:dyDescent="0.25">
      <c r="A27147" s="318">
        <v>381680261768</v>
      </c>
      <c r="B27147" s="318" t="s">
        <v>23</v>
      </c>
    </row>
    <row r="27148" spans="1:2" ht="12.75" customHeight="1" x14ac:dyDescent="0.25">
      <c r="A27148" s="318">
        <v>381680261769</v>
      </c>
      <c r="B27148" s="318" t="s">
        <v>23</v>
      </c>
    </row>
    <row r="27149" spans="1:2" ht="12.75" customHeight="1" x14ac:dyDescent="0.25">
      <c r="A27149" s="318">
        <v>381680261770</v>
      </c>
      <c r="B27149" s="318" t="s">
        <v>23</v>
      </c>
    </row>
    <row r="27150" spans="1:2" ht="12.75" customHeight="1" x14ac:dyDescent="0.25">
      <c r="A27150" s="318">
        <v>381680261771</v>
      </c>
      <c r="B27150" s="318" t="s">
        <v>23</v>
      </c>
    </row>
    <row r="27151" spans="1:2" ht="12.75" customHeight="1" x14ac:dyDescent="0.25">
      <c r="A27151" s="318">
        <v>381680261772</v>
      </c>
      <c r="B27151" s="318" t="s">
        <v>23</v>
      </c>
    </row>
    <row r="27152" spans="1:2" ht="12.75" customHeight="1" x14ac:dyDescent="0.25">
      <c r="A27152" s="318">
        <v>381680261773</v>
      </c>
      <c r="B27152" s="318" t="s">
        <v>237</v>
      </c>
    </row>
    <row r="27153" spans="1:2" ht="12.75" customHeight="1" x14ac:dyDescent="0.25">
      <c r="A27153" s="318">
        <v>381680261774</v>
      </c>
      <c r="B27153" s="318" t="s">
        <v>237</v>
      </c>
    </row>
    <row r="27154" spans="1:2" ht="12.75" customHeight="1" x14ac:dyDescent="0.25">
      <c r="A27154" s="318">
        <v>381680261776</v>
      </c>
      <c r="B27154" s="318" t="s">
        <v>23</v>
      </c>
    </row>
    <row r="27155" spans="1:2" ht="12.75" customHeight="1" x14ac:dyDescent="0.25">
      <c r="A27155" s="318">
        <v>381680261777</v>
      </c>
      <c r="B27155" s="318" t="s">
        <v>23</v>
      </c>
    </row>
    <row r="27156" spans="1:2" ht="12.75" customHeight="1" x14ac:dyDescent="0.25">
      <c r="A27156" s="318">
        <v>381680261778</v>
      </c>
      <c r="B27156" s="318" t="s">
        <v>23</v>
      </c>
    </row>
    <row r="27157" spans="1:2" ht="12.75" customHeight="1" x14ac:dyDescent="0.25">
      <c r="A27157" s="318">
        <v>381680261779</v>
      </c>
      <c r="B27157" s="318" t="s">
        <v>23</v>
      </c>
    </row>
    <row r="27158" spans="1:2" ht="12.75" customHeight="1" x14ac:dyDescent="0.25">
      <c r="A27158" s="318">
        <v>381680261780</v>
      </c>
      <c r="B27158" s="318" t="s">
        <v>23</v>
      </c>
    </row>
    <row r="27159" spans="1:2" ht="12.75" customHeight="1" x14ac:dyDescent="0.25">
      <c r="A27159" s="318">
        <v>381680261781</v>
      </c>
      <c r="B27159" s="318" t="s">
        <v>23</v>
      </c>
    </row>
    <row r="27160" spans="1:2" ht="12.75" customHeight="1" x14ac:dyDescent="0.25">
      <c r="A27160" s="318">
        <v>381680261782</v>
      </c>
      <c r="B27160" s="318" t="s">
        <v>237</v>
      </c>
    </row>
    <row r="27161" spans="1:2" ht="12.75" customHeight="1" x14ac:dyDescent="0.25">
      <c r="A27161" s="318">
        <v>381680261783</v>
      </c>
      <c r="B27161" s="318" t="s">
        <v>237</v>
      </c>
    </row>
    <row r="27162" spans="1:2" ht="12.75" customHeight="1" x14ac:dyDescent="0.25">
      <c r="A27162" s="318">
        <v>381680742740</v>
      </c>
      <c r="B27162" s="318" t="s">
        <v>23</v>
      </c>
    </row>
    <row r="27163" spans="1:2" ht="12.75" customHeight="1" x14ac:dyDescent="0.25">
      <c r="A27163" s="318">
        <v>381680742741</v>
      </c>
      <c r="B27163" s="318" t="s">
        <v>23</v>
      </c>
    </row>
    <row r="27164" spans="1:2" ht="12.75" customHeight="1" x14ac:dyDescent="0.25">
      <c r="A27164" s="318">
        <v>381680742742</v>
      </c>
      <c r="B27164" s="318" t="s">
        <v>23</v>
      </c>
    </row>
    <row r="27165" spans="1:2" ht="12.75" customHeight="1" x14ac:dyDescent="0.25">
      <c r="A27165" s="318">
        <v>381680742743</v>
      </c>
      <c r="B27165" s="318" t="s">
        <v>23</v>
      </c>
    </row>
    <row r="27166" spans="1:2" ht="12.75" customHeight="1" x14ac:dyDescent="0.25">
      <c r="A27166" s="318">
        <v>381680742744</v>
      </c>
      <c r="B27166" s="318" t="s">
        <v>23</v>
      </c>
    </row>
    <row r="27167" spans="1:2" ht="12.75" customHeight="1" x14ac:dyDescent="0.25">
      <c r="A27167" s="318">
        <v>381680742745</v>
      </c>
      <c r="B27167" s="318" t="s">
        <v>23</v>
      </c>
    </row>
    <row r="27168" spans="1:2" ht="12.75" customHeight="1" x14ac:dyDescent="0.25">
      <c r="A27168" s="318">
        <v>381680742746</v>
      </c>
      <c r="B27168" s="318" t="s">
        <v>237</v>
      </c>
    </row>
    <row r="27169" spans="1:2" ht="12.75" customHeight="1" x14ac:dyDescent="0.25">
      <c r="A27169" s="318">
        <v>381680742747</v>
      </c>
      <c r="B27169" s="318" t="s">
        <v>237</v>
      </c>
    </row>
    <row r="27170" spans="1:2" ht="12.75" customHeight="1" x14ac:dyDescent="0.25">
      <c r="A27170" s="318">
        <v>381680742749</v>
      </c>
      <c r="B27170" s="318" t="s">
        <v>23</v>
      </c>
    </row>
    <row r="27171" spans="1:2" ht="12.75" customHeight="1" x14ac:dyDescent="0.25">
      <c r="A27171" s="318">
        <v>381680742750</v>
      </c>
      <c r="B27171" s="318" t="s">
        <v>23</v>
      </c>
    </row>
    <row r="27172" spans="1:2" ht="12.75" customHeight="1" x14ac:dyDescent="0.25">
      <c r="A27172" s="318">
        <v>381680742751</v>
      </c>
      <c r="B27172" s="318" t="s">
        <v>23</v>
      </c>
    </row>
    <row r="27173" spans="1:2" ht="12.75" customHeight="1" x14ac:dyDescent="0.25">
      <c r="A27173" s="318">
        <v>381680742752</v>
      </c>
      <c r="B27173" s="318" t="s">
        <v>23</v>
      </c>
    </row>
    <row r="27174" spans="1:2" ht="12.75" customHeight="1" x14ac:dyDescent="0.25">
      <c r="A27174" s="318">
        <v>381680742753</v>
      </c>
      <c r="B27174" s="318" t="s">
        <v>23</v>
      </c>
    </row>
    <row r="27175" spans="1:2" ht="12.75" customHeight="1" x14ac:dyDescent="0.25">
      <c r="A27175" s="318">
        <v>381680742754</v>
      </c>
      <c r="B27175" s="318" t="s">
        <v>23</v>
      </c>
    </row>
    <row r="27176" spans="1:2" ht="12.75" customHeight="1" x14ac:dyDescent="0.25">
      <c r="A27176" s="318">
        <v>381680742755</v>
      </c>
      <c r="B27176" s="318" t="s">
        <v>237</v>
      </c>
    </row>
    <row r="27177" spans="1:2" ht="12.75" customHeight="1" x14ac:dyDescent="0.25">
      <c r="A27177" s="318">
        <v>381680742756</v>
      </c>
      <c r="B27177" s="318" t="s">
        <v>237</v>
      </c>
    </row>
    <row r="27178" spans="1:2" ht="12.75" customHeight="1" x14ac:dyDescent="0.25">
      <c r="A27178" s="318">
        <v>381682103121</v>
      </c>
      <c r="B27178" s="318" t="s">
        <v>23</v>
      </c>
    </row>
    <row r="27179" spans="1:2" ht="12.75" customHeight="1" x14ac:dyDescent="0.25">
      <c r="A27179" s="318">
        <v>381682103122</v>
      </c>
      <c r="B27179" s="318" t="s">
        <v>23</v>
      </c>
    </row>
    <row r="27180" spans="1:2" ht="12.75" customHeight="1" x14ac:dyDescent="0.25">
      <c r="A27180" s="318">
        <v>381682103123</v>
      </c>
      <c r="B27180" s="318" t="s">
        <v>23</v>
      </c>
    </row>
    <row r="27181" spans="1:2" ht="12.75" customHeight="1" x14ac:dyDescent="0.25">
      <c r="A27181" s="318">
        <v>381682103124</v>
      </c>
      <c r="B27181" s="318" t="s">
        <v>23</v>
      </c>
    </row>
    <row r="27182" spans="1:2" ht="12.75" customHeight="1" x14ac:dyDescent="0.25">
      <c r="A27182" s="318">
        <v>381682103125</v>
      </c>
      <c r="B27182" s="318" t="s">
        <v>23</v>
      </c>
    </row>
    <row r="27183" spans="1:2" ht="12.75" customHeight="1" x14ac:dyDescent="0.25">
      <c r="A27183" s="318">
        <v>381682103126</v>
      </c>
      <c r="B27183" s="318" t="s">
        <v>23</v>
      </c>
    </row>
    <row r="27184" spans="1:2" ht="12.75" customHeight="1" x14ac:dyDescent="0.25">
      <c r="A27184" s="318">
        <v>381682103127</v>
      </c>
      <c r="B27184" s="318" t="s">
        <v>237</v>
      </c>
    </row>
    <row r="27185" spans="1:2" ht="12.75" customHeight="1" x14ac:dyDescent="0.25">
      <c r="A27185" s="318">
        <v>381682103128</v>
      </c>
      <c r="B27185" s="318" t="s">
        <v>237</v>
      </c>
    </row>
    <row r="27186" spans="1:2" ht="12.75" customHeight="1" x14ac:dyDescent="0.25">
      <c r="A27186" s="318">
        <v>381682103130</v>
      </c>
      <c r="B27186" s="318" t="s">
        <v>23</v>
      </c>
    </row>
    <row r="27187" spans="1:2" ht="12.75" customHeight="1" x14ac:dyDescent="0.25">
      <c r="A27187" s="318">
        <v>381682103131</v>
      </c>
      <c r="B27187" s="318" t="s">
        <v>23</v>
      </c>
    </row>
    <row r="27188" spans="1:2" ht="12.75" customHeight="1" x14ac:dyDescent="0.25">
      <c r="A27188" s="318">
        <v>381682103132</v>
      </c>
      <c r="B27188" s="318" t="s">
        <v>23</v>
      </c>
    </row>
    <row r="27189" spans="1:2" ht="12.75" customHeight="1" x14ac:dyDescent="0.25">
      <c r="A27189" s="318">
        <v>381682103133</v>
      </c>
      <c r="B27189" s="318" t="s">
        <v>23</v>
      </c>
    </row>
    <row r="27190" spans="1:2" ht="12.75" customHeight="1" x14ac:dyDescent="0.25">
      <c r="A27190" s="318">
        <v>381682103134</v>
      </c>
      <c r="B27190" s="318" t="s">
        <v>23</v>
      </c>
    </row>
    <row r="27191" spans="1:2" ht="12.75" customHeight="1" x14ac:dyDescent="0.25">
      <c r="A27191" s="318">
        <v>381682103135</v>
      </c>
      <c r="B27191" s="318" t="s">
        <v>23</v>
      </c>
    </row>
    <row r="27192" spans="1:2" ht="12.75" customHeight="1" x14ac:dyDescent="0.25">
      <c r="A27192" s="318">
        <v>381682103136</v>
      </c>
      <c r="B27192" s="318" t="s">
        <v>237</v>
      </c>
    </row>
    <row r="27193" spans="1:2" ht="12.75" customHeight="1" x14ac:dyDescent="0.25">
      <c r="A27193" s="318">
        <v>381682103137</v>
      </c>
      <c r="B27193" s="318" t="s">
        <v>237</v>
      </c>
    </row>
    <row r="27194" spans="1:2" ht="12.75" customHeight="1" x14ac:dyDescent="0.25">
      <c r="A27194" s="318">
        <v>381682584094</v>
      </c>
      <c r="B27194" s="318" t="s">
        <v>23</v>
      </c>
    </row>
    <row r="27195" spans="1:2" ht="12.75" customHeight="1" x14ac:dyDescent="0.25">
      <c r="A27195" s="318">
        <v>381682584095</v>
      </c>
      <c r="B27195" s="318" t="s">
        <v>23</v>
      </c>
    </row>
    <row r="27196" spans="1:2" ht="12.75" customHeight="1" x14ac:dyDescent="0.25">
      <c r="A27196" s="318">
        <v>381682584096</v>
      </c>
      <c r="B27196" s="318" t="s">
        <v>23</v>
      </c>
    </row>
    <row r="27197" spans="1:2" ht="12.75" customHeight="1" x14ac:dyDescent="0.25">
      <c r="A27197" s="318">
        <v>381682584097</v>
      </c>
      <c r="B27197" s="318" t="s">
        <v>23</v>
      </c>
    </row>
    <row r="27198" spans="1:2" ht="12.75" customHeight="1" x14ac:dyDescent="0.25">
      <c r="A27198" s="318">
        <v>381682584098</v>
      </c>
      <c r="B27198" s="318" t="s">
        <v>23</v>
      </c>
    </row>
    <row r="27199" spans="1:2" ht="12.75" customHeight="1" x14ac:dyDescent="0.25">
      <c r="A27199" s="318">
        <v>381682584099</v>
      </c>
      <c r="B27199" s="318" t="s">
        <v>23</v>
      </c>
    </row>
    <row r="27200" spans="1:2" ht="12.75" customHeight="1" x14ac:dyDescent="0.25">
      <c r="A27200" s="318">
        <v>381682584100</v>
      </c>
      <c r="B27200" s="318" t="s">
        <v>237</v>
      </c>
    </row>
    <row r="27201" spans="1:2" ht="12.75" customHeight="1" x14ac:dyDescent="0.25">
      <c r="A27201" s="318">
        <v>381682584101</v>
      </c>
      <c r="B27201" s="318" t="s">
        <v>237</v>
      </c>
    </row>
    <row r="27202" spans="1:2" ht="12.75" customHeight="1" x14ac:dyDescent="0.25">
      <c r="A27202" s="318">
        <v>381682584103</v>
      </c>
      <c r="B27202" s="318" t="s">
        <v>23</v>
      </c>
    </row>
    <row r="27203" spans="1:2" ht="12.75" customHeight="1" x14ac:dyDescent="0.25">
      <c r="A27203" s="318">
        <v>381682584104</v>
      </c>
      <c r="B27203" s="318" t="s">
        <v>23</v>
      </c>
    </row>
    <row r="27204" spans="1:2" ht="12.75" customHeight="1" x14ac:dyDescent="0.25">
      <c r="A27204" s="318">
        <v>381682584105</v>
      </c>
      <c r="B27204" s="318" t="s">
        <v>23</v>
      </c>
    </row>
    <row r="27205" spans="1:2" ht="12.75" customHeight="1" x14ac:dyDescent="0.25">
      <c r="A27205" s="318">
        <v>381682584106</v>
      </c>
      <c r="B27205" s="318" t="s">
        <v>23</v>
      </c>
    </row>
    <row r="27206" spans="1:2" ht="12.75" customHeight="1" x14ac:dyDescent="0.25">
      <c r="A27206" s="318">
        <v>381682584107</v>
      </c>
      <c r="B27206" s="318" t="s">
        <v>23</v>
      </c>
    </row>
    <row r="27207" spans="1:2" ht="12.75" customHeight="1" x14ac:dyDescent="0.25">
      <c r="A27207" s="318">
        <v>381682584108</v>
      </c>
      <c r="B27207" s="318" t="s">
        <v>23</v>
      </c>
    </row>
    <row r="27208" spans="1:2" ht="12.75" customHeight="1" x14ac:dyDescent="0.25">
      <c r="A27208" s="318">
        <v>381682584109</v>
      </c>
      <c r="B27208" s="318" t="s">
        <v>237</v>
      </c>
    </row>
    <row r="27209" spans="1:2" ht="12.75" customHeight="1" x14ac:dyDescent="0.25">
      <c r="A27209" s="318">
        <v>381682584110</v>
      </c>
      <c r="B27209" s="318" t="s">
        <v>237</v>
      </c>
    </row>
    <row r="27210" spans="1:2" ht="12.75" customHeight="1" x14ac:dyDescent="0.25">
      <c r="A27210" s="318">
        <v>381683065067</v>
      </c>
      <c r="B27210" s="318" t="s">
        <v>23</v>
      </c>
    </row>
    <row r="27211" spans="1:2" ht="12.75" customHeight="1" x14ac:dyDescent="0.25">
      <c r="A27211" s="318">
        <v>381683065068</v>
      </c>
      <c r="B27211" s="318" t="s">
        <v>23</v>
      </c>
    </row>
    <row r="27212" spans="1:2" ht="12.75" customHeight="1" x14ac:dyDescent="0.25">
      <c r="A27212" s="318">
        <v>381683065069</v>
      </c>
      <c r="B27212" s="318" t="s">
        <v>23</v>
      </c>
    </row>
    <row r="27213" spans="1:2" ht="12.75" customHeight="1" x14ac:dyDescent="0.25">
      <c r="A27213" s="318">
        <v>381683065070</v>
      </c>
      <c r="B27213" s="318" t="s">
        <v>23</v>
      </c>
    </row>
    <row r="27214" spans="1:2" ht="12.75" customHeight="1" x14ac:dyDescent="0.25">
      <c r="A27214" s="318">
        <v>381683065071</v>
      </c>
      <c r="B27214" s="318" t="s">
        <v>23</v>
      </c>
    </row>
    <row r="27215" spans="1:2" ht="12.75" customHeight="1" x14ac:dyDescent="0.25">
      <c r="A27215" s="318">
        <v>381683065072</v>
      </c>
      <c r="B27215" s="318" t="s">
        <v>23</v>
      </c>
    </row>
    <row r="27216" spans="1:2" ht="12.75" customHeight="1" x14ac:dyDescent="0.25">
      <c r="A27216" s="318">
        <v>381683065073</v>
      </c>
      <c r="B27216" s="318" t="s">
        <v>237</v>
      </c>
    </row>
    <row r="27217" spans="1:2" ht="12.75" customHeight="1" x14ac:dyDescent="0.25">
      <c r="A27217" s="318">
        <v>381683065074</v>
      </c>
      <c r="B27217" s="318" t="s">
        <v>237</v>
      </c>
    </row>
    <row r="27218" spans="1:2" ht="12.75" customHeight="1" x14ac:dyDescent="0.25">
      <c r="A27218" s="318">
        <v>381683065076</v>
      </c>
      <c r="B27218" s="318" t="s">
        <v>23</v>
      </c>
    </row>
    <row r="27219" spans="1:2" ht="12.75" customHeight="1" x14ac:dyDescent="0.25">
      <c r="A27219" s="318">
        <v>381683065077</v>
      </c>
      <c r="B27219" s="318" t="s">
        <v>23</v>
      </c>
    </row>
    <row r="27220" spans="1:2" ht="12.75" customHeight="1" x14ac:dyDescent="0.25">
      <c r="A27220" s="318">
        <v>381683065078</v>
      </c>
      <c r="B27220" s="318" t="s">
        <v>23</v>
      </c>
    </row>
    <row r="27221" spans="1:2" ht="12.75" customHeight="1" x14ac:dyDescent="0.25">
      <c r="A27221" s="318">
        <v>381683065079</v>
      </c>
      <c r="B27221" s="318" t="s">
        <v>23</v>
      </c>
    </row>
    <row r="27222" spans="1:2" ht="12.75" customHeight="1" x14ac:dyDescent="0.25">
      <c r="A27222" s="318">
        <v>381683065080</v>
      </c>
      <c r="B27222" s="318" t="s">
        <v>23</v>
      </c>
    </row>
    <row r="27223" spans="1:2" ht="12.75" customHeight="1" x14ac:dyDescent="0.25">
      <c r="A27223" s="318">
        <v>381683065081</v>
      </c>
      <c r="B27223" s="318" t="s">
        <v>23</v>
      </c>
    </row>
    <row r="27224" spans="1:2" ht="12.75" customHeight="1" x14ac:dyDescent="0.25">
      <c r="A27224" s="318">
        <v>381683065082</v>
      </c>
      <c r="B27224" s="318" t="s">
        <v>237</v>
      </c>
    </row>
    <row r="27225" spans="1:2" ht="12.75" customHeight="1" x14ac:dyDescent="0.25">
      <c r="A27225" s="318">
        <v>381683065083</v>
      </c>
      <c r="B27225" s="318" t="s">
        <v>237</v>
      </c>
    </row>
    <row r="27226" spans="1:2" ht="12.75" customHeight="1" x14ac:dyDescent="0.25">
      <c r="A27226" s="318">
        <v>381683745258</v>
      </c>
      <c r="B27226" s="318" t="s">
        <v>23</v>
      </c>
    </row>
    <row r="27227" spans="1:2" ht="12.75" customHeight="1" x14ac:dyDescent="0.25">
      <c r="A27227" s="318">
        <v>381683745259</v>
      </c>
      <c r="B27227" s="318" t="s">
        <v>23</v>
      </c>
    </row>
    <row r="27228" spans="1:2" ht="12.75" customHeight="1" x14ac:dyDescent="0.25">
      <c r="A27228" s="318">
        <v>381683745260</v>
      </c>
      <c r="B27228" s="318" t="s">
        <v>23</v>
      </c>
    </row>
    <row r="27229" spans="1:2" ht="12.75" customHeight="1" x14ac:dyDescent="0.25">
      <c r="A27229" s="318">
        <v>381683745261</v>
      </c>
      <c r="B27229" s="318" t="s">
        <v>23</v>
      </c>
    </row>
    <row r="27230" spans="1:2" ht="12.75" customHeight="1" x14ac:dyDescent="0.25">
      <c r="A27230" s="318">
        <v>381683745262</v>
      </c>
      <c r="B27230" s="318" t="s">
        <v>23</v>
      </c>
    </row>
    <row r="27231" spans="1:2" ht="12.75" customHeight="1" x14ac:dyDescent="0.25">
      <c r="A27231" s="318">
        <v>381683745263</v>
      </c>
      <c r="B27231" s="318" t="s">
        <v>23</v>
      </c>
    </row>
    <row r="27232" spans="1:2" ht="12.75" customHeight="1" x14ac:dyDescent="0.25">
      <c r="A27232" s="318">
        <v>381683745264</v>
      </c>
      <c r="B27232" s="318" t="s">
        <v>237</v>
      </c>
    </row>
    <row r="27233" spans="1:2" ht="12.75" customHeight="1" x14ac:dyDescent="0.25">
      <c r="A27233" s="318">
        <v>381683745265</v>
      </c>
      <c r="B27233" s="318" t="s">
        <v>237</v>
      </c>
    </row>
    <row r="27234" spans="1:2" ht="12.75" customHeight="1" x14ac:dyDescent="0.25">
      <c r="A27234" s="318">
        <v>381683745267</v>
      </c>
      <c r="B27234" s="318" t="s">
        <v>23</v>
      </c>
    </row>
    <row r="27235" spans="1:2" ht="12.75" customHeight="1" x14ac:dyDescent="0.25">
      <c r="A27235" s="318">
        <v>381683745268</v>
      </c>
      <c r="B27235" s="318" t="s">
        <v>23</v>
      </c>
    </row>
    <row r="27236" spans="1:2" ht="12.75" customHeight="1" x14ac:dyDescent="0.25">
      <c r="A27236" s="318">
        <v>381683745269</v>
      </c>
      <c r="B27236" s="318" t="s">
        <v>23</v>
      </c>
    </row>
    <row r="27237" spans="1:2" ht="12.75" customHeight="1" x14ac:dyDescent="0.25">
      <c r="A27237" s="318">
        <v>381683745270</v>
      </c>
      <c r="B27237" s="318" t="s">
        <v>23</v>
      </c>
    </row>
    <row r="27238" spans="1:2" ht="12.75" customHeight="1" x14ac:dyDescent="0.25">
      <c r="A27238" s="318">
        <v>381683745271</v>
      </c>
      <c r="B27238" s="318" t="s">
        <v>23</v>
      </c>
    </row>
    <row r="27239" spans="1:2" ht="12.75" customHeight="1" x14ac:dyDescent="0.25">
      <c r="A27239" s="318">
        <v>381683745272</v>
      </c>
      <c r="B27239" s="318" t="s">
        <v>23</v>
      </c>
    </row>
    <row r="27240" spans="1:2" ht="12.75" customHeight="1" x14ac:dyDescent="0.25">
      <c r="A27240" s="318">
        <v>381683745273</v>
      </c>
      <c r="B27240" s="318" t="s">
        <v>237</v>
      </c>
    </row>
    <row r="27241" spans="1:2" ht="12.75" customHeight="1" x14ac:dyDescent="0.25">
      <c r="A27241" s="318">
        <v>381683745274</v>
      </c>
      <c r="B27241" s="318" t="s">
        <v>237</v>
      </c>
    </row>
    <row r="27242" spans="1:2" ht="12.75" customHeight="1" x14ac:dyDescent="0.25">
      <c r="A27242" s="318">
        <v>381684226231</v>
      </c>
      <c r="B27242" s="318" t="s">
        <v>23</v>
      </c>
    </row>
    <row r="27243" spans="1:2" ht="12.75" customHeight="1" x14ac:dyDescent="0.25">
      <c r="A27243" s="318">
        <v>381684226232</v>
      </c>
      <c r="B27243" s="318" t="s">
        <v>23</v>
      </c>
    </row>
    <row r="27244" spans="1:2" ht="12.75" customHeight="1" x14ac:dyDescent="0.25">
      <c r="A27244" s="318">
        <v>381684226233</v>
      </c>
      <c r="B27244" s="318" t="s">
        <v>23</v>
      </c>
    </row>
    <row r="27245" spans="1:2" ht="12.75" customHeight="1" x14ac:dyDescent="0.25">
      <c r="A27245" s="318">
        <v>381684226234</v>
      </c>
      <c r="B27245" s="318" t="s">
        <v>23</v>
      </c>
    </row>
    <row r="27246" spans="1:2" ht="12.75" customHeight="1" x14ac:dyDescent="0.25">
      <c r="A27246" s="318">
        <v>381684226235</v>
      </c>
      <c r="B27246" s="318" t="s">
        <v>23</v>
      </c>
    </row>
    <row r="27247" spans="1:2" ht="12.75" customHeight="1" x14ac:dyDescent="0.25">
      <c r="A27247" s="318">
        <v>381684226236</v>
      </c>
      <c r="B27247" s="318" t="s">
        <v>23</v>
      </c>
    </row>
    <row r="27248" spans="1:2" ht="12.75" customHeight="1" x14ac:dyDescent="0.25">
      <c r="A27248" s="318">
        <v>381684226237</v>
      </c>
      <c r="B27248" s="318" t="s">
        <v>237</v>
      </c>
    </row>
    <row r="27249" spans="1:2" ht="12.75" customHeight="1" x14ac:dyDescent="0.25">
      <c r="A27249" s="318">
        <v>381684226238</v>
      </c>
      <c r="B27249" s="318" t="s">
        <v>237</v>
      </c>
    </row>
    <row r="27250" spans="1:2" ht="12.75" customHeight="1" x14ac:dyDescent="0.25">
      <c r="A27250" s="318">
        <v>381684226240</v>
      </c>
      <c r="B27250" s="318" t="s">
        <v>23</v>
      </c>
    </row>
    <row r="27251" spans="1:2" ht="12.75" customHeight="1" x14ac:dyDescent="0.25">
      <c r="A27251" s="318">
        <v>381684226241</v>
      </c>
      <c r="B27251" s="318" t="s">
        <v>23</v>
      </c>
    </row>
    <row r="27252" spans="1:2" ht="12.75" customHeight="1" x14ac:dyDescent="0.25">
      <c r="A27252" s="318">
        <v>381684226242</v>
      </c>
      <c r="B27252" s="318" t="s">
        <v>23</v>
      </c>
    </row>
    <row r="27253" spans="1:2" ht="12.75" customHeight="1" x14ac:dyDescent="0.25">
      <c r="A27253" s="318">
        <v>381684226243</v>
      </c>
      <c r="B27253" s="318" t="s">
        <v>23</v>
      </c>
    </row>
    <row r="27254" spans="1:2" ht="12.75" customHeight="1" x14ac:dyDescent="0.25">
      <c r="A27254" s="318">
        <v>381684226244</v>
      </c>
      <c r="B27254" s="318" t="s">
        <v>23</v>
      </c>
    </row>
    <row r="27255" spans="1:2" ht="12.75" customHeight="1" x14ac:dyDescent="0.25">
      <c r="A27255" s="318">
        <v>381684226245</v>
      </c>
      <c r="B27255" s="318" t="s">
        <v>23</v>
      </c>
    </row>
    <row r="27256" spans="1:2" ht="12.75" customHeight="1" x14ac:dyDescent="0.25">
      <c r="A27256" s="318">
        <v>381684226246</v>
      </c>
      <c r="B27256" s="318" t="s">
        <v>237</v>
      </c>
    </row>
    <row r="27257" spans="1:2" ht="12.75" customHeight="1" x14ac:dyDescent="0.25">
      <c r="A27257" s="318">
        <v>381684226247</v>
      </c>
      <c r="B27257" s="318" t="s">
        <v>237</v>
      </c>
    </row>
    <row r="27258" spans="1:2" ht="12.75" customHeight="1" x14ac:dyDescent="0.25">
      <c r="A27258" s="318">
        <v>381684707204</v>
      </c>
      <c r="B27258" s="318" t="s">
        <v>23</v>
      </c>
    </row>
    <row r="27259" spans="1:2" ht="12.75" customHeight="1" x14ac:dyDescent="0.25">
      <c r="A27259" s="318">
        <v>381684707205</v>
      </c>
      <c r="B27259" s="318" t="s">
        <v>23</v>
      </c>
    </row>
    <row r="27260" spans="1:2" ht="12.75" customHeight="1" x14ac:dyDescent="0.25">
      <c r="A27260" s="318">
        <v>381684707206</v>
      </c>
      <c r="B27260" s="318" t="s">
        <v>23</v>
      </c>
    </row>
    <row r="27261" spans="1:2" ht="12.75" customHeight="1" x14ac:dyDescent="0.25">
      <c r="A27261" s="318">
        <v>381684707207</v>
      </c>
      <c r="B27261" s="318" t="s">
        <v>23</v>
      </c>
    </row>
    <row r="27262" spans="1:2" ht="12.75" customHeight="1" x14ac:dyDescent="0.25">
      <c r="A27262" s="318">
        <v>381684707208</v>
      </c>
      <c r="B27262" s="318" t="s">
        <v>23</v>
      </c>
    </row>
    <row r="27263" spans="1:2" ht="12.75" customHeight="1" x14ac:dyDescent="0.25">
      <c r="A27263" s="318">
        <v>381684707209</v>
      </c>
      <c r="B27263" s="318" t="s">
        <v>23</v>
      </c>
    </row>
    <row r="27264" spans="1:2" ht="12.75" customHeight="1" x14ac:dyDescent="0.25">
      <c r="A27264" s="318">
        <v>381684707210</v>
      </c>
      <c r="B27264" s="318" t="s">
        <v>237</v>
      </c>
    </row>
    <row r="27265" spans="1:2" ht="12.75" customHeight="1" x14ac:dyDescent="0.25">
      <c r="A27265" s="318">
        <v>381684707211</v>
      </c>
      <c r="B27265" s="318" t="s">
        <v>237</v>
      </c>
    </row>
    <row r="27266" spans="1:2" ht="12.75" customHeight="1" x14ac:dyDescent="0.25">
      <c r="A27266" s="318">
        <v>381684707213</v>
      </c>
      <c r="B27266" s="318" t="s">
        <v>23</v>
      </c>
    </row>
    <row r="27267" spans="1:2" ht="12.75" customHeight="1" x14ac:dyDescent="0.25">
      <c r="A27267" s="318">
        <v>381684707214</v>
      </c>
      <c r="B27267" s="318" t="s">
        <v>23</v>
      </c>
    </row>
    <row r="27268" spans="1:2" ht="12.75" customHeight="1" x14ac:dyDescent="0.25">
      <c r="A27268" s="318">
        <v>381684707215</v>
      </c>
      <c r="B27268" s="318" t="s">
        <v>23</v>
      </c>
    </row>
    <row r="27269" spans="1:2" ht="12.75" customHeight="1" x14ac:dyDescent="0.25">
      <c r="A27269" s="318">
        <v>381684707216</v>
      </c>
      <c r="B27269" s="318" t="s">
        <v>23</v>
      </c>
    </row>
    <row r="27270" spans="1:2" ht="12.75" customHeight="1" x14ac:dyDescent="0.25">
      <c r="A27270" s="318">
        <v>381684707217</v>
      </c>
      <c r="B27270" s="318" t="s">
        <v>23</v>
      </c>
    </row>
    <row r="27271" spans="1:2" ht="12.75" customHeight="1" x14ac:dyDescent="0.25">
      <c r="A27271" s="318">
        <v>381684707218</v>
      </c>
      <c r="B27271" s="318" t="s">
        <v>23</v>
      </c>
    </row>
    <row r="27272" spans="1:2" ht="12.75" customHeight="1" x14ac:dyDescent="0.25">
      <c r="A27272" s="318">
        <v>381684707219</v>
      </c>
      <c r="B27272" s="318" t="s">
        <v>237</v>
      </c>
    </row>
    <row r="27273" spans="1:2" ht="12.75" customHeight="1" x14ac:dyDescent="0.25">
      <c r="A27273" s="318">
        <v>381684707220</v>
      </c>
      <c r="B27273" s="318" t="s">
        <v>237</v>
      </c>
    </row>
    <row r="27274" spans="1:2" ht="12.75" customHeight="1" x14ac:dyDescent="0.25">
      <c r="A27274" s="318">
        <v>381685387395</v>
      </c>
      <c r="B27274" s="318" t="s">
        <v>23</v>
      </c>
    </row>
    <row r="27275" spans="1:2" ht="12.75" customHeight="1" x14ac:dyDescent="0.25">
      <c r="A27275" s="318">
        <v>381685387396</v>
      </c>
      <c r="B27275" s="318" t="s">
        <v>23</v>
      </c>
    </row>
    <row r="27276" spans="1:2" ht="12.75" customHeight="1" x14ac:dyDescent="0.25">
      <c r="A27276" s="318">
        <v>381685387397</v>
      </c>
      <c r="B27276" s="318" t="s">
        <v>23</v>
      </c>
    </row>
    <row r="27277" spans="1:2" ht="12.75" customHeight="1" x14ac:dyDescent="0.25">
      <c r="A27277" s="318">
        <v>381685387398</v>
      </c>
      <c r="B27277" s="318" t="s">
        <v>23</v>
      </c>
    </row>
    <row r="27278" spans="1:2" ht="12.75" customHeight="1" x14ac:dyDescent="0.25">
      <c r="A27278" s="318">
        <v>381685387399</v>
      </c>
      <c r="B27278" s="318" t="s">
        <v>23</v>
      </c>
    </row>
    <row r="27279" spans="1:2" ht="12.75" customHeight="1" x14ac:dyDescent="0.25">
      <c r="A27279" s="318">
        <v>381685387400</v>
      </c>
      <c r="B27279" s="318" t="s">
        <v>23</v>
      </c>
    </row>
    <row r="27280" spans="1:2" ht="12.75" customHeight="1" x14ac:dyDescent="0.25">
      <c r="A27280" s="318">
        <v>381685387401</v>
      </c>
      <c r="B27280" s="318" t="s">
        <v>237</v>
      </c>
    </row>
    <row r="27281" spans="1:2" ht="12.75" customHeight="1" x14ac:dyDescent="0.25">
      <c r="A27281" s="318">
        <v>381685387402</v>
      </c>
      <c r="B27281" s="318" t="s">
        <v>237</v>
      </c>
    </row>
    <row r="27282" spans="1:2" ht="12.75" customHeight="1" x14ac:dyDescent="0.25">
      <c r="A27282" s="318">
        <v>381685387404</v>
      </c>
      <c r="B27282" s="318" t="s">
        <v>23</v>
      </c>
    </row>
    <row r="27283" spans="1:2" ht="12.75" customHeight="1" x14ac:dyDescent="0.25">
      <c r="A27283" s="318">
        <v>381685387405</v>
      </c>
      <c r="B27283" s="318" t="s">
        <v>23</v>
      </c>
    </row>
    <row r="27284" spans="1:2" ht="12.75" customHeight="1" x14ac:dyDescent="0.25">
      <c r="A27284" s="318">
        <v>381685387406</v>
      </c>
      <c r="B27284" s="318" t="s">
        <v>23</v>
      </c>
    </row>
    <row r="27285" spans="1:2" ht="12.75" customHeight="1" x14ac:dyDescent="0.25">
      <c r="A27285" s="318">
        <v>381685387407</v>
      </c>
      <c r="B27285" s="318" t="s">
        <v>23</v>
      </c>
    </row>
    <row r="27286" spans="1:2" ht="12.75" customHeight="1" x14ac:dyDescent="0.25">
      <c r="A27286" s="318">
        <v>381685387408</v>
      </c>
      <c r="B27286" s="318" t="s">
        <v>23</v>
      </c>
    </row>
    <row r="27287" spans="1:2" ht="12.75" customHeight="1" x14ac:dyDescent="0.25">
      <c r="A27287" s="318">
        <v>381685387409</v>
      </c>
      <c r="B27287" s="318" t="s">
        <v>23</v>
      </c>
    </row>
    <row r="27288" spans="1:2" ht="12.75" customHeight="1" x14ac:dyDescent="0.25">
      <c r="A27288" s="318">
        <v>381685387410</v>
      </c>
      <c r="B27288" s="318" t="s">
        <v>237</v>
      </c>
    </row>
    <row r="27289" spans="1:2" ht="12.75" customHeight="1" x14ac:dyDescent="0.25">
      <c r="A27289" s="318">
        <v>381685387411</v>
      </c>
      <c r="B27289" s="318" t="s">
        <v>237</v>
      </c>
    </row>
    <row r="27290" spans="1:2" ht="12.75" customHeight="1" x14ac:dyDescent="0.25">
      <c r="A27290" s="318">
        <v>381685868368</v>
      </c>
      <c r="B27290" s="318" t="s">
        <v>23</v>
      </c>
    </row>
    <row r="27291" spans="1:2" ht="12.75" customHeight="1" x14ac:dyDescent="0.25">
      <c r="A27291" s="318">
        <v>381685868369</v>
      </c>
      <c r="B27291" s="318" t="s">
        <v>23</v>
      </c>
    </row>
    <row r="27292" spans="1:2" ht="12.75" customHeight="1" x14ac:dyDescent="0.25">
      <c r="A27292" s="318">
        <v>381685868370</v>
      </c>
      <c r="B27292" s="318" t="s">
        <v>23</v>
      </c>
    </row>
    <row r="27293" spans="1:2" ht="12.75" customHeight="1" x14ac:dyDescent="0.25">
      <c r="A27293" s="318">
        <v>381685868371</v>
      </c>
      <c r="B27293" s="318" t="s">
        <v>23</v>
      </c>
    </row>
    <row r="27294" spans="1:2" ht="12.75" customHeight="1" x14ac:dyDescent="0.25">
      <c r="A27294" s="318">
        <v>381685868372</v>
      </c>
      <c r="B27294" s="318" t="s">
        <v>23</v>
      </c>
    </row>
    <row r="27295" spans="1:2" ht="12.75" customHeight="1" x14ac:dyDescent="0.25">
      <c r="A27295" s="318">
        <v>381685868373</v>
      </c>
      <c r="B27295" s="318" t="s">
        <v>23</v>
      </c>
    </row>
    <row r="27296" spans="1:2" ht="12.75" customHeight="1" x14ac:dyDescent="0.25">
      <c r="A27296" s="318">
        <v>381685868374</v>
      </c>
      <c r="B27296" s="318" t="s">
        <v>237</v>
      </c>
    </row>
    <row r="27297" spans="1:2" ht="12.75" customHeight="1" x14ac:dyDescent="0.25">
      <c r="A27297" s="318">
        <v>381685868375</v>
      </c>
      <c r="B27297" s="318" t="s">
        <v>237</v>
      </c>
    </row>
    <row r="27298" spans="1:2" ht="12.75" customHeight="1" x14ac:dyDescent="0.25">
      <c r="A27298" s="318">
        <v>381685868377</v>
      </c>
      <c r="B27298" s="318" t="s">
        <v>23</v>
      </c>
    </row>
    <row r="27299" spans="1:2" ht="12.75" customHeight="1" x14ac:dyDescent="0.25">
      <c r="A27299" s="318">
        <v>381685868378</v>
      </c>
      <c r="B27299" s="318" t="s">
        <v>23</v>
      </c>
    </row>
    <row r="27300" spans="1:2" ht="12.75" customHeight="1" x14ac:dyDescent="0.25">
      <c r="A27300" s="318">
        <v>381685868379</v>
      </c>
      <c r="B27300" s="318" t="s">
        <v>23</v>
      </c>
    </row>
    <row r="27301" spans="1:2" ht="12.75" customHeight="1" x14ac:dyDescent="0.25">
      <c r="A27301" s="318">
        <v>381685868380</v>
      </c>
      <c r="B27301" s="318" t="s">
        <v>23</v>
      </c>
    </row>
    <row r="27302" spans="1:2" ht="12.75" customHeight="1" x14ac:dyDescent="0.25">
      <c r="A27302" s="318">
        <v>381685868381</v>
      </c>
      <c r="B27302" s="318" t="s">
        <v>23</v>
      </c>
    </row>
    <row r="27303" spans="1:2" ht="12.75" customHeight="1" x14ac:dyDescent="0.25">
      <c r="A27303" s="318">
        <v>381685868382</v>
      </c>
      <c r="B27303" s="318" t="s">
        <v>23</v>
      </c>
    </row>
    <row r="27304" spans="1:2" ht="12.75" customHeight="1" x14ac:dyDescent="0.25">
      <c r="A27304" s="318">
        <v>381685868383</v>
      </c>
      <c r="B27304" s="318" t="s">
        <v>237</v>
      </c>
    </row>
    <row r="27305" spans="1:2" ht="12.75" customHeight="1" x14ac:dyDescent="0.25">
      <c r="A27305" s="318">
        <v>381685868384</v>
      </c>
      <c r="B27305" s="318" t="s">
        <v>237</v>
      </c>
    </row>
    <row r="27306" spans="1:2" ht="12.75" customHeight="1" x14ac:dyDescent="0.25">
      <c r="A27306" s="318">
        <v>381686349341</v>
      </c>
      <c r="B27306" s="318" t="s">
        <v>23</v>
      </c>
    </row>
    <row r="27307" spans="1:2" ht="12.75" customHeight="1" x14ac:dyDescent="0.25">
      <c r="A27307" s="318">
        <v>381686349342</v>
      </c>
      <c r="B27307" s="318" t="s">
        <v>23</v>
      </c>
    </row>
    <row r="27308" spans="1:2" ht="12.75" customHeight="1" x14ac:dyDescent="0.25">
      <c r="A27308" s="318">
        <v>381686349343</v>
      </c>
      <c r="B27308" s="318" t="s">
        <v>23</v>
      </c>
    </row>
    <row r="27309" spans="1:2" ht="12.75" customHeight="1" x14ac:dyDescent="0.25">
      <c r="A27309" s="318">
        <v>381686349344</v>
      </c>
      <c r="B27309" s="318" t="s">
        <v>23</v>
      </c>
    </row>
    <row r="27310" spans="1:2" ht="12.75" customHeight="1" x14ac:dyDescent="0.25">
      <c r="A27310" s="318">
        <v>381686349345</v>
      </c>
      <c r="B27310" s="318" t="s">
        <v>23</v>
      </c>
    </row>
    <row r="27311" spans="1:2" ht="12.75" customHeight="1" x14ac:dyDescent="0.25">
      <c r="A27311" s="318">
        <v>381686349346</v>
      </c>
      <c r="B27311" s="318" t="s">
        <v>23</v>
      </c>
    </row>
    <row r="27312" spans="1:2" ht="12.75" customHeight="1" x14ac:dyDescent="0.25">
      <c r="A27312" s="318">
        <v>381686349347</v>
      </c>
      <c r="B27312" s="318" t="s">
        <v>237</v>
      </c>
    </row>
    <row r="27313" spans="1:2" ht="12.75" customHeight="1" x14ac:dyDescent="0.25">
      <c r="A27313" s="318">
        <v>381686349348</v>
      </c>
      <c r="B27313" s="318" t="s">
        <v>237</v>
      </c>
    </row>
    <row r="27314" spans="1:2" ht="12.75" customHeight="1" x14ac:dyDescent="0.25">
      <c r="A27314" s="318">
        <v>381686349350</v>
      </c>
      <c r="B27314" s="318" t="s">
        <v>23</v>
      </c>
    </row>
    <row r="27315" spans="1:2" ht="12.75" customHeight="1" x14ac:dyDescent="0.25">
      <c r="A27315" s="318">
        <v>381686349351</v>
      </c>
      <c r="B27315" s="318" t="s">
        <v>23</v>
      </c>
    </row>
    <row r="27316" spans="1:2" ht="12.75" customHeight="1" x14ac:dyDescent="0.25">
      <c r="A27316" s="318">
        <v>381686349352</v>
      </c>
      <c r="B27316" s="318" t="s">
        <v>23</v>
      </c>
    </row>
    <row r="27317" spans="1:2" ht="12.75" customHeight="1" x14ac:dyDescent="0.25">
      <c r="A27317" s="318">
        <v>381686349353</v>
      </c>
      <c r="B27317" s="318" t="s">
        <v>23</v>
      </c>
    </row>
    <row r="27318" spans="1:2" ht="12.75" customHeight="1" x14ac:dyDescent="0.25">
      <c r="A27318" s="318">
        <v>381686349354</v>
      </c>
      <c r="B27318" s="318" t="s">
        <v>23</v>
      </c>
    </row>
    <row r="27319" spans="1:2" ht="12.75" customHeight="1" x14ac:dyDescent="0.25">
      <c r="A27319" s="318">
        <v>381686349355</v>
      </c>
      <c r="B27319" s="318" t="s">
        <v>23</v>
      </c>
    </row>
    <row r="27320" spans="1:2" ht="12.75" customHeight="1" x14ac:dyDescent="0.25">
      <c r="A27320" s="318">
        <v>381686349356</v>
      </c>
      <c r="B27320" s="318" t="s">
        <v>237</v>
      </c>
    </row>
    <row r="27321" spans="1:2" ht="12.75" customHeight="1" x14ac:dyDescent="0.25">
      <c r="A27321" s="318">
        <v>381686349357</v>
      </c>
      <c r="B27321" s="318" t="s">
        <v>237</v>
      </c>
    </row>
    <row r="27322" spans="1:2" ht="12.75" customHeight="1" x14ac:dyDescent="0.25">
      <c r="A27322" s="318">
        <v>381736245232</v>
      </c>
      <c r="B27322" s="318" t="s">
        <v>236</v>
      </c>
    </row>
    <row r="27323" spans="1:2" ht="12.75" customHeight="1" x14ac:dyDescent="0.25">
      <c r="A27323" s="318">
        <v>381736245233</v>
      </c>
      <c r="B27323" s="318" t="s">
        <v>235</v>
      </c>
    </row>
    <row r="27324" spans="1:2" ht="12.75" customHeight="1" x14ac:dyDescent="0.25">
      <c r="A27324" s="318">
        <v>381736245234</v>
      </c>
      <c r="B27324" s="318" t="s">
        <v>236</v>
      </c>
    </row>
    <row r="27325" spans="1:2" ht="12.75" customHeight="1" x14ac:dyDescent="0.25">
      <c r="A27325" s="318">
        <v>381736245235</v>
      </c>
      <c r="B27325" s="318" t="s">
        <v>235</v>
      </c>
    </row>
    <row r="27326" spans="1:2" ht="12.75" customHeight="1" x14ac:dyDescent="0.25">
      <c r="A27326" s="318">
        <v>381736245236</v>
      </c>
      <c r="B27326" s="318" t="s">
        <v>236</v>
      </c>
    </row>
    <row r="27327" spans="1:2" ht="12.75" customHeight="1" x14ac:dyDescent="0.25">
      <c r="A27327" s="318">
        <v>381736245237</v>
      </c>
      <c r="B27327" s="318" t="s">
        <v>235</v>
      </c>
    </row>
    <row r="27328" spans="1:2" ht="12.75" customHeight="1" x14ac:dyDescent="0.25">
      <c r="A27328" s="318">
        <v>381736245238</v>
      </c>
      <c r="B27328" s="318" t="s">
        <v>23</v>
      </c>
    </row>
    <row r="27329" spans="1:2" ht="12.75" customHeight="1" x14ac:dyDescent="0.25">
      <c r="A27329" s="318">
        <v>381736245239</v>
      </c>
      <c r="B27329" s="318" t="s">
        <v>235</v>
      </c>
    </row>
    <row r="27330" spans="1:2" ht="12.75" customHeight="1" x14ac:dyDescent="0.25">
      <c r="A27330" s="318">
        <v>381736245241</v>
      </c>
      <c r="B27330" s="318" t="s">
        <v>237</v>
      </c>
    </row>
    <row r="27331" spans="1:2" ht="12.75" customHeight="1" x14ac:dyDescent="0.25">
      <c r="A27331" s="318">
        <v>381736245242</v>
      </c>
      <c r="B27331" s="318" t="s">
        <v>237</v>
      </c>
    </row>
    <row r="27332" spans="1:2" ht="12.75" customHeight="1" x14ac:dyDescent="0.25">
      <c r="A27332" s="318">
        <v>381736245243</v>
      </c>
      <c r="B27332" s="318" t="s">
        <v>237</v>
      </c>
    </row>
    <row r="27333" spans="1:2" ht="12.75" customHeight="1" x14ac:dyDescent="0.25">
      <c r="A27333" s="318">
        <v>381736245244</v>
      </c>
      <c r="B27333" s="318" t="s">
        <v>237</v>
      </c>
    </row>
    <row r="27334" spans="1:2" ht="12.75" customHeight="1" x14ac:dyDescent="0.25">
      <c r="A27334" s="318">
        <v>381736245245</v>
      </c>
      <c r="B27334" s="318" t="s">
        <v>237</v>
      </c>
    </row>
    <row r="27335" spans="1:2" ht="12.75" customHeight="1" x14ac:dyDescent="0.25">
      <c r="A27335" s="318">
        <v>381736245246</v>
      </c>
      <c r="B27335" s="318" t="s">
        <v>237</v>
      </c>
    </row>
    <row r="27336" spans="1:2" ht="12.75" customHeight="1" x14ac:dyDescent="0.25">
      <c r="A27336" s="318">
        <v>381736245247</v>
      </c>
      <c r="B27336" s="318" t="s">
        <v>237</v>
      </c>
    </row>
    <row r="27337" spans="1:2" ht="12.75" customHeight="1" x14ac:dyDescent="0.25">
      <c r="A27337" s="318">
        <v>381736245248</v>
      </c>
      <c r="B27337" s="318" t="s">
        <v>237</v>
      </c>
    </row>
    <row r="27338" spans="1:2" ht="12.75" customHeight="1" x14ac:dyDescent="0.25">
      <c r="A27338" s="318">
        <v>381736726205</v>
      </c>
      <c r="B27338" s="318" t="s">
        <v>236</v>
      </c>
    </row>
    <row r="27339" spans="1:2" ht="12.75" customHeight="1" x14ac:dyDescent="0.25">
      <c r="A27339" s="318">
        <v>381736726206</v>
      </c>
      <c r="B27339" s="318" t="s">
        <v>235</v>
      </c>
    </row>
    <row r="27340" spans="1:2" ht="12.75" customHeight="1" x14ac:dyDescent="0.25">
      <c r="A27340" s="318">
        <v>381736726207</v>
      </c>
      <c r="B27340" s="318" t="s">
        <v>236</v>
      </c>
    </row>
    <row r="27341" spans="1:2" ht="12.75" customHeight="1" x14ac:dyDescent="0.25">
      <c r="A27341" s="318">
        <v>381736726208</v>
      </c>
      <c r="B27341" s="318" t="s">
        <v>235</v>
      </c>
    </row>
    <row r="27342" spans="1:2" ht="12.75" customHeight="1" x14ac:dyDescent="0.25">
      <c r="A27342" s="318">
        <v>381736726209</v>
      </c>
      <c r="B27342" s="318" t="s">
        <v>236</v>
      </c>
    </row>
    <row r="27343" spans="1:2" ht="12.75" customHeight="1" x14ac:dyDescent="0.25">
      <c r="A27343" s="318">
        <v>381736726210</v>
      </c>
      <c r="B27343" s="318" t="s">
        <v>235</v>
      </c>
    </row>
    <row r="27344" spans="1:2" ht="12.75" customHeight="1" x14ac:dyDescent="0.25">
      <c r="A27344" s="318">
        <v>381736726211</v>
      </c>
      <c r="B27344" s="318" t="s">
        <v>23</v>
      </c>
    </row>
    <row r="27345" spans="1:2" ht="12.75" customHeight="1" x14ac:dyDescent="0.25">
      <c r="A27345" s="318">
        <v>381736726212</v>
      </c>
      <c r="B27345" s="318" t="s">
        <v>235</v>
      </c>
    </row>
    <row r="27346" spans="1:2" ht="12.75" customHeight="1" x14ac:dyDescent="0.25">
      <c r="A27346" s="318">
        <v>381736726214</v>
      </c>
      <c r="B27346" s="318" t="s">
        <v>237</v>
      </c>
    </row>
    <row r="27347" spans="1:2" ht="12.75" customHeight="1" x14ac:dyDescent="0.25">
      <c r="A27347" s="318">
        <v>381736726215</v>
      </c>
      <c r="B27347" s="318" t="s">
        <v>237</v>
      </c>
    </row>
    <row r="27348" spans="1:2" ht="12.75" customHeight="1" x14ac:dyDescent="0.25">
      <c r="A27348" s="318">
        <v>381736726216</v>
      </c>
      <c r="B27348" s="318" t="s">
        <v>237</v>
      </c>
    </row>
    <row r="27349" spans="1:2" ht="12.75" customHeight="1" x14ac:dyDescent="0.25">
      <c r="A27349" s="318">
        <v>381736726217</v>
      </c>
      <c r="B27349" s="318" t="s">
        <v>237</v>
      </c>
    </row>
    <row r="27350" spans="1:2" ht="12.75" customHeight="1" x14ac:dyDescent="0.25">
      <c r="A27350" s="318">
        <v>381736726218</v>
      </c>
      <c r="B27350" s="318" t="s">
        <v>237</v>
      </c>
    </row>
    <row r="27351" spans="1:2" ht="12.75" customHeight="1" x14ac:dyDescent="0.25">
      <c r="A27351" s="318">
        <v>381736726219</v>
      </c>
      <c r="B27351" s="318" t="s">
        <v>237</v>
      </c>
    </row>
    <row r="27352" spans="1:2" ht="12.75" customHeight="1" x14ac:dyDescent="0.25">
      <c r="A27352" s="318">
        <v>381736726220</v>
      </c>
      <c r="B27352" s="318" t="s">
        <v>237</v>
      </c>
    </row>
    <row r="27353" spans="1:2" ht="12.75" customHeight="1" x14ac:dyDescent="0.25">
      <c r="A27353" s="318">
        <v>381736726221</v>
      </c>
      <c r="B27353" s="318" t="s">
        <v>237</v>
      </c>
    </row>
    <row r="27354" spans="1:2" ht="12.75" customHeight="1" x14ac:dyDescent="0.25">
      <c r="A27354" s="318">
        <v>381737207178</v>
      </c>
      <c r="B27354" s="318" t="s">
        <v>236</v>
      </c>
    </row>
    <row r="27355" spans="1:2" ht="12.75" customHeight="1" x14ac:dyDescent="0.25">
      <c r="A27355" s="318">
        <v>381737207179</v>
      </c>
      <c r="B27355" s="318" t="s">
        <v>235</v>
      </c>
    </row>
    <row r="27356" spans="1:2" ht="12.75" customHeight="1" x14ac:dyDescent="0.25">
      <c r="A27356" s="318">
        <v>381737207180</v>
      </c>
      <c r="B27356" s="318" t="s">
        <v>236</v>
      </c>
    </row>
    <row r="27357" spans="1:2" ht="12.75" customHeight="1" x14ac:dyDescent="0.25">
      <c r="A27357" s="318">
        <v>381737207181</v>
      </c>
      <c r="B27357" s="318" t="s">
        <v>235</v>
      </c>
    </row>
    <row r="27358" spans="1:2" ht="12.75" customHeight="1" x14ac:dyDescent="0.25">
      <c r="A27358" s="318">
        <v>381737207182</v>
      </c>
      <c r="B27358" s="318" t="s">
        <v>236</v>
      </c>
    </row>
    <row r="27359" spans="1:2" ht="12.75" customHeight="1" x14ac:dyDescent="0.25">
      <c r="A27359" s="318">
        <v>381737207183</v>
      </c>
      <c r="B27359" s="318" t="s">
        <v>235</v>
      </c>
    </row>
    <row r="27360" spans="1:2" ht="12.75" customHeight="1" x14ac:dyDescent="0.25">
      <c r="A27360" s="318">
        <v>381737207184</v>
      </c>
      <c r="B27360" s="318" t="s">
        <v>236</v>
      </c>
    </row>
    <row r="27361" spans="1:2" ht="12.75" customHeight="1" x14ac:dyDescent="0.25">
      <c r="A27361" s="318">
        <v>381737207185</v>
      </c>
      <c r="B27361" s="318" t="s">
        <v>235</v>
      </c>
    </row>
    <row r="27362" spans="1:2" ht="12.75" customHeight="1" x14ac:dyDescent="0.25">
      <c r="A27362" s="318">
        <v>381737207187</v>
      </c>
      <c r="B27362" s="318" t="s">
        <v>236</v>
      </c>
    </row>
    <row r="27363" spans="1:2" ht="12.75" customHeight="1" x14ac:dyDescent="0.25">
      <c r="A27363" s="318">
        <v>381737207188</v>
      </c>
      <c r="B27363" s="318" t="s">
        <v>235</v>
      </c>
    </row>
    <row r="27364" spans="1:2" ht="12.75" customHeight="1" x14ac:dyDescent="0.25">
      <c r="A27364" s="318">
        <v>381737207189</v>
      </c>
      <c r="B27364" s="318" t="s">
        <v>236</v>
      </c>
    </row>
    <row r="27365" spans="1:2" ht="12.75" customHeight="1" x14ac:dyDescent="0.25">
      <c r="A27365" s="318">
        <v>381737207190</v>
      </c>
      <c r="B27365" s="318" t="s">
        <v>235</v>
      </c>
    </row>
    <row r="27366" spans="1:2" ht="12.75" customHeight="1" x14ac:dyDescent="0.25">
      <c r="A27366" s="318">
        <v>381737207191</v>
      </c>
      <c r="B27366" s="318" t="s">
        <v>236</v>
      </c>
    </row>
    <row r="27367" spans="1:2" ht="12.75" customHeight="1" x14ac:dyDescent="0.25">
      <c r="A27367" s="318">
        <v>381737207192</v>
      </c>
      <c r="B27367" s="318" t="s">
        <v>235</v>
      </c>
    </row>
    <row r="27368" spans="1:2" ht="12.75" customHeight="1" x14ac:dyDescent="0.25">
      <c r="A27368" s="318">
        <v>381737207193</v>
      </c>
      <c r="B27368" s="318" t="s">
        <v>236</v>
      </c>
    </row>
    <row r="27369" spans="1:2" ht="12.75" customHeight="1" x14ac:dyDescent="0.25">
      <c r="A27369" s="318">
        <v>381737207194</v>
      </c>
      <c r="B27369" s="318" t="s">
        <v>235</v>
      </c>
    </row>
    <row r="27370" spans="1:2" ht="12.75" customHeight="1" x14ac:dyDescent="0.25">
      <c r="A27370" s="318">
        <v>381737887369</v>
      </c>
      <c r="B27370" s="318" t="s">
        <v>236</v>
      </c>
    </row>
    <row r="27371" spans="1:2" ht="12.75" customHeight="1" x14ac:dyDescent="0.25">
      <c r="A27371" s="318">
        <v>381737887370</v>
      </c>
      <c r="B27371" s="318" t="s">
        <v>235</v>
      </c>
    </row>
    <row r="27372" spans="1:2" ht="12.75" customHeight="1" x14ac:dyDescent="0.25">
      <c r="A27372" s="318">
        <v>381737887371</v>
      </c>
      <c r="B27372" s="318" t="s">
        <v>236</v>
      </c>
    </row>
    <row r="27373" spans="1:2" ht="12.75" customHeight="1" x14ac:dyDescent="0.25">
      <c r="A27373" s="318">
        <v>381737887372</v>
      </c>
      <c r="B27373" s="318" t="s">
        <v>235</v>
      </c>
    </row>
    <row r="27374" spans="1:2" ht="12.75" customHeight="1" x14ac:dyDescent="0.25">
      <c r="A27374" s="318">
        <v>381737887373</v>
      </c>
      <c r="B27374" s="318" t="s">
        <v>236</v>
      </c>
    </row>
    <row r="27375" spans="1:2" ht="12.75" customHeight="1" x14ac:dyDescent="0.25">
      <c r="A27375" s="318">
        <v>381737887374</v>
      </c>
      <c r="B27375" s="318" t="s">
        <v>235</v>
      </c>
    </row>
    <row r="27376" spans="1:2" ht="12.75" customHeight="1" x14ac:dyDescent="0.25">
      <c r="A27376" s="318">
        <v>381737887375</v>
      </c>
      <c r="B27376" s="318" t="s">
        <v>23</v>
      </c>
    </row>
    <row r="27377" spans="1:2" ht="12.75" customHeight="1" x14ac:dyDescent="0.25">
      <c r="A27377" s="318">
        <v>381737887376</v>
      </c>
      <c r="B27377" s="318" t="s">
        <v>235</v>
      </c>
    </row>
    <row r="27378" spans="1:2" ht="12.75" customHeight="1" x14ac:dyDescent="0.25">
      <c r="A27378" s="318">
        <v>381737887378</v>
      </c>
      <c r="B27378" s="318" t="s">
        <v>237</v>
      </c>
    </row>
    <row r="27379" spans="1:2" ht="12.75" customHeight="1" x14ac:dyDescent="0.25">
      <c r="A27379" s="318">
        <v>381737887379</v>
      </c>
      <c r="B27379" s="318" t="s">
        <v>237</v>
      </c>
    </row>
    <row r="27380" spans="1:2" ht="12.75" customHeight="1" x14ac:dyDescent="0.25">
      <c r="A27380" s="318">
        <v>381737887380</v>
      </c>
      <c r="B27380" s="318" t="s">
        <v>237</v>
      </c>
    </row>
    <row r="27381" spans="1:2" ht="12.75" customHeight="1" x14ac:dyDescent="0.25">
      <c r="A27381" s="318">
        <v>381737887381</v>
      </c>
      <c r="B27381" s="318" t="s">
        <v>237</v>
      </c>
    </row>
    <row r="27382" spans="1:2" ht="12.75" customHeight="1" x14ac:dyDescent="0.25">
      <c r="A27382" s="318">
        <v>381737887382</v>
      </c>
      <c r="B27382" s="318" t="s">
        <v>237</v>
      </c>
    </row>
    <row r="27383" spans="1:2" ht="12.75" customHeight="1" x14ac:dyDescent="0.25">
      <c r="A27383" s="318">
        <v>381737887383</v>
      </c>
      <c r="B27383" s="318" t="s">
        <v>237</v>
      </c>
    </row>
    <row r="27384" spans="1:2" ht="12.75" customHeight="1" x14ac:dyDescent="0.25">
      <c r="A27384" s="318">
        <v>381737887384</v>
      </c>
      <c r="B27384" s="318" t="s">
        <v>237</v>
      </c>
    </row>
    <row r="27385" spans="1:2" ht="12.75" customHeight="1" x14ac:dyDescent="0.25">
      <c r="A27385" s="318">
        <v>381737887385</v>
      </c>
      <c r="B27385" s="318" t="s">
        <v>237</v>
      </c>
    </row>
    <row r="27386" spans="1:2" ht="12.75" customHeight="1" x14ac:dyDescent="0.25">
      <c r="A27386" s="318">
        <v>381738368342</v>
      </c>
      <c r="B27386" s="318" t="s">
        <v>236</v>
      </c>
    </row>
    <row r="27387" spans="1:2" ht="12.75" customHeight="1" x14ac:dyDescent="0.25">
      <c r="A27387" s="318">
        <v>381738368343</v>
      </c>
      <c r="B27387" s="318" t="s">
        <v>235</v>
      </c>
    </row>
    <row r="27388" spans="1:2" ht="12.75" customHeight="1" x14ac:dyDescent="0.25">
      <c r="A27388" s="318">
        <v>381738368344</v>
      </c>
      <c r="B27388" s="318" t="s">
        <v>236</v>
      </c>
    </row>
    <row r="27389" spans="1:2" ht="12.75" customHeight="1" x14ac:dyDescent="0.25">
      <c r="A27389" s="318">
        <v>381738368345</v>
      </c>
      <c r="B27389" s="318" t="s">
        <v>235</v>
      </c>
    </row>
    <row r="27390" spans="1:2" ht="12.75" customHeight="1" x14ac:dyDescent="0.25">
      <c r="A27390" s="318">
        <v>381738368346</v>
      </c>
      <c r="B27390" s="318" t="s">
        <v>236</v>
      </c>
    </row>
    <row r="27391" spans="1:2" ht="12.75" customHeight="1" x14ac:dyDescent="0.25">
      <c r="A27391" s="318">
        <v>381738368347</v>
      </c>
      <c r="B27391" s="318" t="s">
        <v>235</v>
      </c>
    </row>
    <row r="27392" spans="1:2" ht="12.75" customHeight="1" x14ac:dyDescent="0.25">
      <c r="A27392" s="318">
        <v>381738368348</v>
      </c>
      <c r="B27392" s="318" t="s">
        <v>23</v>
      </c>
    </row>
    <row r="27393" spans="1:2" ht="12.75" customHeight="1" x14ac:dyDescent="0.25">
      <c r="A27393" s="318">
        <v>381738368349</v>
      </c>
      <c r="B27393" s="318" t="s">
        <v>235</v>
      </c>
    </row>
    <row r="27394" spans="1:2" ht="12.75" customHeight="1" x14ac:dyDescent="0.25">
      <c r="A27394" s="318">
        <v>381738368351</v>
      </c>
      <c r="B27394" s="318" t="s">
        <v>237</v>
      </c>
    </row>
    <row r="27395" spans="1:2" ht="12.75" customHeight="1" x14ac:dyDescent="0.25">
      <c r="A27395" s="318">
        <v>381738368352</v>
      </c>
      <c r="B27395" s="318" t="s">
        <v>237</v>
      </c>
    </row>
    <row r="27396" spans="1:2" ht="12.75" customHeight="1" x14ac:dyDescent="0.25">
      <c r="A27396" s="318">
        <v>381738368353</v>
      </c>
      <c r="B27396" s="318" t="s">
        <v>237</v>
      </c>
    </row>
    <row r="27397" spans="1:2" ht="12.75" customHeight="1" x14ac:dyDescent="0.25">
      <c r="A27397" s="318">
        <v>381738368354</v>
      </c>
      <c r="B27397" s="318" t="s">
        <v>237</v>
      </c>
    </row>
    <row r="27398" spans="1:2" ht="12.75" customHeight="1" x14ac:dyDescent="0.25">
      <c r="A27398" s="318">
        <v>381738368355</v>
      </c>
      <c r="B27398" s="318" t="s">
        <v>237</v>
      </c>
    </row>
    <row r="27399" spans="1:2" ht="12.75" customHeight="1" x14ac:dyDescent="0.25">
      <c r="A27399" s="318">
        <v>381738368356</v>
      </c>
      <c r="B27399" s="318" t="s">
        <v>237</v>
      </c>
    </row>
    <row r="27400" spans="1:2" ht="12.75" customHeight="1" x14ac:dyDescent="0.25">
      <c r="A27400" s="318">
        <v>381738368357</v>
      </c>
      <c r="B27400" s="318" t="s">
        <v>237</v>
      </c>
    </row>
    <row r="27401" spans="1:2" ht="12.75" customHeight="1" x14ac:dyDescent="0.25">
      <c r="A27401" s="318">
        <v>381738368358</v>
      </c>
      <c r="B27401" s="318" t="s">
        <v>237</v>
      </c>
    </row>
    <row r="27402" spans="1:2" ht="12.75" customHeight="1" x14ac:dyDescent="0.25">
      <c r="A27402" s="318">
        <v>381738849315</v>
      </c>
      <c r="B27402" s="318" t="s">
        <v>236</v>
      </c>
    </row>
    <row r="27403" spans="1:2" ht="12.75" customHeight="1" x14ac:dyDescent="0.25">
      <c r="A27403" s="318">
        <v>381738849316</v>
      </c>
      <c r="B27403" s="318" t="s">
        <v>235</v>
      </c>
    </row>
    <row r="27404" spans="1:2" ht="12.75" customHeight="1" x14ac:dyDescent="0.25">
      <c r="A27404" s="318">
        <v>381738849317</v>
      </c>
      <c r="B27404" s="318" t="s">
        <v>236</v>
      </c>
    </row>
    <row r="27405" spans="1:2" ht="12.75" customHeight="1" x14ac:dyDescent="0.25">
      <c r="A27405" s="318">
        <v>381738849318</v>
      </c>
      <c r="B27405" s="318" t="s">
        <v>235</v>
      </c>
    </row>
    <row r="27406" spans="1:2" ht="12.75" customHeight="1" x14ac:dyDescent="0.25">
      <c r="A27406" s="318">
        <v>381738849319</v>
      </c>
      <c r="B27406" s="318" t="s">
        <v>236</v>
      </c>
    </row>
    <row r="27407" spans="1:2" ht="12.75" customHeight="1" x14ac:dyDescent="0.25">
      <c r="A27407" s="318">
        <v>381738849320</v>
      </c>
      <c r="B27407" s="318" t="s">
        <v>235</v>
      </c>
    </row>
    <row r="27408" spans="1:2" ht="12.75" customHeight="1" x14ac:dyDescent="0.25">
      <c r="A27408" s="318">
        <v>381738849321</v>
      </c>
      <c r="B27408" s="318" t="s">
        <v>236</v>
      </c>
    </row>
    <row r="27409" spans="1:2" ht="12.75" customHeight="1" x14ac:dyDescent="0.25">
      <c r="A27409" s="318">
        <v>381738849322</v>
      </c>
      <c r="B27409" s="318" t="s">
        <v>235</v>
      </c>
    </row>
    <row r="27410" spans="1:2" ht="12.75" customHeight="1" x14ac:dyDescent="0.25">
      <c r="A27410" s="318">
        <v>381738849324</v>
      </c>
      <c r="B27410" s="318" t="s">
        <v>236</v>
      </c>
    </row>
    <row r="27411" spans="1:2" ht="12.75" customHeight="1" x14ac:dyDescent="0.25">
      <c r="A27411" s="318">
        <v>381738849325</v>
      </c>
      <c r="B27411" s="318" t="s">
        <v>235</v>
      </c>
    </row>
    <row r="27412" spans="1:2" ht="12.75" customHeight="1" x14ac:dyDescent="0.25">
      <c r="A27412" s="318">
        <v>381738849326</v>
      </c>
      <c r="B27412" s="318" t="s">
        <v>236</v>
      </c>
    </row>
    <row r="27413" spans="1:2" ht="12.75" customHeight="1" x14ac:dyDescent="0.25">
      <c r="A27413" s="318">
        <v>381738849327</v>
      </c>
      <c r="B27413" s="318" t="s">
        <v>235</v>
      </c>
    </row>
    <row r="27414" spans="1:2" ht="12.75" customHeight="1" x14ac:dyDescent="0.25">
      <c r="A27414" s="318">
        <v>381738849328</v>
      </c>
      <c r="B27414" s="318" t="s">
        <v>236</v>
      </c>
    </row>
    <row r="27415" spans="1:2" ht="12.75" customHeight="1" x14ac:dyDescent="0.25">
      <c r="A27415" s="318">
        <v>381738849329</v>
      </c>
      <c r="B27415" s="318" t="s">
        <v>235</v>
      </c>
    </row>
    <row r="27416" spans="1:2" ht="12.75" customHeight="1" x14ac:dyDescent="0.25">
      <c r="A27416" s="318">
        <v>381738849330</v>
      </c>
      <c r="B27416" s="318" t="s">
        <v>236</v>
      </c>
    </row>
    <row r="27417" spans="1:2" ht="12.75" customHeight="1" x14ac:dyDescent="0.25">
      <c r="A27417" s="318">
        <v>381738849331</v>
      </c>
      <c r="B27417" s="318" t="s">
        <v>235</v>
      </c>
    </row>
    <row r="27418" spans="1:2" ht="12.75" customHeight="1" x14ac:dyDescent="0.25">
      <c r="A27418" s="318">
        <v>381739529506</v>
      </c>
      <c r="B27418" s="318" t="s">
        <v>236</v>
      </c>
    </row>
    <row r="27419" spans="1:2" ht="12.75" customHeight="1" x14ac:dyDescent="0.25">
      <c r="A27419" s="318">
        <v>381739529507</v>
      </c>
      <c r="B27419" s="318" t="s">
        <v>235</v>
      </c>
    </row>
    <row r="27420" spans="1:2" ht="12.75" customHeight="1" x14ac:dyDescent="0.25">
      <c r="A27420" s="318">
        <v>381739529508</v>
      </c>
      <c r="B27420" s="318" t="s">
        <v>236</v>
      </c>
    </row>
    <row r="27421" spans="1:2" ht="12.75" customHeight="1" x14ac:dyDescent="0.25">
      <c r="A27421" s="318">
        <v>381739529509</v>
      </c>
      <c r="B27421" s="318" t="s">
        <v>235</v>
      </c>
    </row>
    <row r="27422" spans="1:2" ht="12.75" customHeight="1" x14ac:dyDescent="0.25">
      <c r="A27422" s="318">
        <v>381739529510</v>
      </c>
      <c r="B27422" s="318" t="s">
        <v>236</v>
      </c>
    </row>
    <row r="27423" spans="1:2" ht="12.75" customHeight="1" x14ac:dyDescent="0.25">
      <c r="A27423" s="318">
        <v>381739529511</v>
      </c>
      <c r="B27423" s="318" t="s">
        <v>235</v>
      </c>
    </row>
    <row r="27424" spans="1:2" ht="12.75" customHeight="1" x14ac:dyDescent="0.25">
      <c r="A27424" s="318">
        <v>381739529512</v>
      </c>
      <c r="B27424" s="318" t="s">
        <v>236</v>
      </c>
    </row>
    <row r="27425" spans="1:2" ht="12.75" customHeight="1" x14ac:dyDescent="0.25">
      <c r="A27425" s="318">
        <v>381739529513</v>
      </c>
      <c r="B27425" s="318" t="s">
        <v>235</v>
      </c>
    </row>
    <row r="27426" spans="1:2" ht="12.75" customHeight="1" x14ac:dyDescent="0.25">
      <c r="A27426" s="318">
        <v>381739529515</v>
      </c>
      <c r="B27426" s="318" t="s">
        <v>236</v>
      </c>
    </row>
    <row r="27427" spans="1:2" ht="12.75" customHeight="1" x14ac:dyDescent="0.25">
      <c r="A27427" s="318">
        <v>381739529516</v>
      </c>
      <c r="B27427" s="318" t="s">
        <v>235</v>
      </c>
    </row>
    <row r="27428" spans="1:2" ht="12.75" customHeight="1" x14ac:dyDescent="0.25">
      <c r="A27428" s="318">
        <v>381739529517</v>
      </c>
      <c r="B27428" s="318" t="s">
        <v>236</v>
      </c>
    </row>
    <row r="27429" spans="1:2" ht="12.75" customHeight="1" x14ac:dyDescent="0.25">
      <c r="A27429" s="318">
        <v>381739529518</v>
      </c>
      <c r="B27429" s="318" t="s">
        <v>235</v>
      </c>
    </row>
    <row r="27430" spans="1:2" ht="12.75" customHeight="1" x14ac:dyDescent="0.25">
      <c r="A27430" s="318">
        <v>381739529519</v>
      </c>
      <c r="B27430" s="318" t="s">
        <v>236</v>
      </c>
    </row>
    <row r="27431" spans="1:2" ht="12.75" customHeight="1" x14ac:dyDescent="0.25">
      <c r="A27431" s="318">
        <v>381739529520</v>
      </c>
      <c r="B27431" s="318" t="s">
        <v>235</v>
      </c>
    </row>
    <row r="27432" spans="1:2" ht="12.75" customHeight="1" x14ac:dyDescent="0.25">
      <c r="A27432" s="318">
        <v>381739529521</v>
      </c>
      <c r="B27432" s="318" t="s">
        <v>236</v>
      </c>
    </row>
    <row r="27433" spans="1:2" ht="12.75" customHeight="1" x14ac:dyDescent="0.25">
      <c r="A27433" s="318">
        <v>381739529522</v>
      </c>
      <c r="B27433" s="318" t="s">
        <v>235</v>
      </c>
    </row>
    <row r="27434" spans="1:2" ht="12.75" customHeight="1" x14ac:dyDescent="0.25">
      <c r="A27434" s="318">
        <v>381740010479</v>
      </c>
      <c r="B27434" s="318" t="s">
        <v>236</v>
      </c>
    </row>
    <row r="27435" spans="1:2" ht="12.75" customHeight="1" x14ac:dyDescent="0.25">
      <c r="A27435" s="318">
        <v>381740010480</v>
      </c>
      <c r="B27435" s="318" t="s">
        <v>235</v>
      </c>
    </row>
    <row r="27436" spans="1:2" ht="12.75" customHeight="1" x14ac:dyDescent="0.25">
      <c r="A27436" s="318">
        <v>381740010481</v>
      </c>
      <c r="B27436" s="318" t="s">
        <v>236</v>
      </c>
    </row>
    <row r="27437" spans="1:2" ht="12.75" customHeight="1" x14ac:dyDescent="0.25">
      <c r="A27437" s="318">
        <v>381740010482</v>
      </c>
      <c r="B27437" s="318" t="s">
        <v>235</v>
      </c>
    </row>
    <row r="27438" spans="1:2" ht="12.75" customHeight="1" x14ac:dyDescent="0.25">
      <c r="A27438" s="318">
        <v>381740010483</v>
      </c>
      <c r="B27438" s="318" t="s">
        <v>236</v>
      </c>
    </row>
    <row r="27439" spans="1:2" ht="12.75" customHeight="1" x14ac:dyDescent="0.25">
      <c r="A27439" s="318">
        <v>381740010484</v>
      </c>
      <c r="B27439" s="318" t="s">
        <v>235</v>
      </c>
    </row>
    <row r="27440" spans="1:2" ht="12.75" customHeight="1" x14ac:dyDescent="0.25">
      <c r="A27440" s="318">
        <v>381740010485</v>
      </c>
      <c r="B27440" s="318" t="s">
        <v>236</v>
      </c>
    </row>
    <row r="27441" spans="1:2" ht="12.75" customHeight="1" x14ac:dyDescent="0.25">
      <c r="A27441" s="318">
        <v>381740010486</v>
      </c>
      <c r="B27441" s="318" t="s">
        <v>235</v>
      </c>
    </row>
    <row r="27442" spans="1:2" ht="12.75" customHeight="1" x14ac:dyDescent="0.25">
      <c r="A27442" s="318">
        <v>381740010488</v>
      </c>
      <c r="B27442" s="318" t="s">
        <v>236</v>
      </c>
    </row>
    <row r="27443" spans="1:2" ht="12.75" customHeight="1" x14ac:dyDescent="0.25">
      <c r="A27443" s="318">
        <v>381740010489</v>
      </c>
      <c r="B27443" s="318" t="s">
        <v>235</v>
      </c>
    </row>
    <row r="27444" spans="1:2" ht="12.75" customHeight="1" x14ac:dyDescent="0.25">
      <c r="A27444" s="318">
        <v>381740010490</v>
      </c>
      <c r="B27444" s="318" t="s">
        <v>236</v>
      </c>
    </row>
    <row r="27445" spans="1:2" ht="12.75" customHeight="1" x14ac:dyDescent="0.25">
      <c r="A27445" s="318">
        <v>381740010491</v>
      </c>
      <c r="B27445" s="318" t="s">
        <v>235</v>
      </c>
    </row>
    <row r="27446" spans="1:2" ht="12.75" customHeight="1" x14ac:dyDescent="0.25">
      <c r="A27446" s="318">
        <v>381740010492</v>
      </c>
      <c r="B27446" s="318" t="s">
        <v>236</v>
      </c>
    </row>
    <row r="27447" spans="1:2" ht="12.75" customHeight="1" x14ac:dyDescent="0.25">
      <c r="A27447" s="318">
        <v>381740010493</v>
      </c>
      <c r="B27447" s="318" t="s">
        <v>235</v>
      </c>
    </row>
    <row r="27448" spans="1:2" ht="12.75" customHeight="1" x14ac:dyDescent="0.25">
      <c r="A27448" s="318">
        <v>381740010494</v>
      </c>
      <c r="B27448" s="318" t="s">
        <v>236</v>
      </c>
    </row>
    <row r="27449" spans="1:2" ht="12.75" customHeight="1" x14ac:dyDescent="0.25">
      <c r="A27449" s="318">
        <v>381740010495</v>
      </c>
      <c r="B27449" s="318" t="s">
        <v>235</v>
      </c>
    </row>
    <row r="27450" spans="1:2" ht="12.75" customHeight="1" x14ac:dyDescent="0.25">
      <c r="A27450" s="318">
        <v>381740491452</v>
      </c>
      <c r="B27450" s="318" t="s">
        <v>236</v>
      </c>
    </row>
    <row r="27451" spans="1:2" ht="12.75" customHeight="1" x14ac:dyDescent="0.25">
      <c r="A27451" s="318">
        <v>381740491453</v>
      </c>
      <c r="B27451" s="318" t="s">
        <v>235</v>
      </c>
    </row>
    <row r="27452" spans="1:2" ht="12.75" customHeight="1" x14ac:dyDescent="0.25">
      <c r="A27452" s="318">
        <v>381740491454</v>
      </c>
      <c r="B27452" s="318" t="s">
        <v>236</v>
      </c>
    </row>
    <row r="27453" spans="1:2" ht="12.75" customHeight="1" x14ac:dyDescent="0.25">
      <c r="A27453" s="318">
        <v>381740491455</v>
      </c>
      <c r="B27453" s="318" t="s">
        <v>235</v>
      </c>
    </row>
    <row r="27454" spans="1:2" ht="12.75" customHeight="1" x14ac:dyDescent="0.25">
      <c r="A27454" s="318">
        <v>381740491456</v>
      </c>
      <c r="B27454" s="318" t="s">
        <v>236</v>
      </c>
    </row>
    <row r="27455" spans="1:2" ht="12.75" customHeight="1" x14ac:dyDescent="0.25">
      <c r="A27455" s="318">
        <v>381740491457</v>
      </c>
      <c r="B27455" s="318" t="s">
        <v>235</v>
      </c>
    </row>
    <row r="27456" spans="1:2" ht="12.75" customHeight="1" x14ac:dyDescent="0.25">
      <c r="A27456" s="318">
        <v>381740491458</v>
      </c>
      <c r="B27456" s="318" t="s">
        <v>236</v>
      </c>
    </row>
    <row r="27457" spans="1:2" ht="12.75" customHeight="1" x14ac:dyDescent="0.25">
      <c r="A27457" s="318">
        <v>381740491459</v>
      </c>
      <c r="B27457" s="318" t="s">
        <v>235</v>
      </c>
    </row>
    <row r="27458" spans="1:2" ht="12.75" customHeight="1" x14ac:dyDescent="0.25">
      <c r="A27458" s="318">
        <v>381740491461</v>
      </c>
      <c r="B27458" s="318" t="s">
        <v>236</v>
      </c>
    </row>
    <row r="27459" spans="1:2" ht="12.75" customHeight="1" x14ac:dyDescent="0.25">
      <c r="A27459" s="318">
        <v>381740491462</v>
      </c>
      <c r="B27459" s="318" t="s">
        <v>235</v>
      </c>
    </row>
    <row r="27460" spans="1:2" ht="12.75" customHeight="1" x14ac:dyDescent="0.25">
      <c r="A27460" s="318">
        <v>381740491463</v>
      </c>
      <c r="B27460" s="318" t="s">
        <v>236</v>
      </c>
    </row>
    <row r="27461" spans="1:2" ht="12.75" customHeight="1" x14ac:dyDescent="0.25">
      <c r="A27461" s="318">
        <v>381740491464</v>
      </c>
      <c r="B27461" s="318" t="s">
        <v>235</v>
      </c>
    </row>
    <row r="27462" spans="1:2" ht="12.75" customHeight="1" x14ac:dyDescent="0.25">
      <c r="A27462" s="318">
        <v>381740491465</v>
      </c>
      <c r="B27462" s="318" t="s">
        <v>236</v>
      </c>
    </row>
    <row r="27463" spans="1:2" ht="12.75" customHeight="1" x14ac:dyDescent="0.25">
      <c r="A27463" s="318">
        <v>381740491466</v>
      </c>
      <c r="B27463" s="318" t="s">
        <v>235</v>
      </c>
    </row>
    <row r="27464" spans="1:2" ht="12.75" customHeight="1" x14ac:dyDescent="0.25">
      <c r="A27464" s="318">
        <v>381740491467</v>
      </c>
      <c r="B27464" s="318" t="s">
        <v>236</v>
      </c>
    </row>
    <row r="27465" spans="1:2" ht="12.75" customHeight="1" x14ac:dyDescent="0.25">
      <c r="A27465" s="318">
        <v>381740491468</v>
      </c>
      <c r="B27465" s="318" t="s">
        <v>235</v>
      </c>
    </row>
    <row r="27466" spans="1:2" ht="12.75" customHeight="1" x14ac:dyDescent="0.25">
      <c r="A27466" s="318">
        <v>381741851833</v>
      </c>
      <c r="B27466" s="318" t="s">
        <v>236</v>
      </c>
    </row>
    <row r="27467" spans="1:2" ht="12.75" customHeight="1" x14ac:dyDescent="0.25">
      <c r="A27467" s="318">
        <v>381741851834</v>
      </c>
      <c r="B27467" s="318" t="s">
        <v>235</v>
      </c>
    </row>
    <row r="27468" spans="1:2" ht="12.75" customHeight="1" x14ac:dyDescent="0.25">
      <c r="A27468" s="318">
        <v>381741851835</v>
      </c>
      <c r="B27468" s="318" t="s">
        <v>236</v>
      </c>
    </row>
    <row r="27469" spans="1:2" ht="12.75" customHeight="1" x14ac:dyDescent="0.25">
      <c r="A27469" s="318">
        <v>381741851836</v>
      </c>
      <c r="B27469" s="318" t="s">
        <v>235</v>
      </c>
    </row>
    <row r="27470" spans="1:2" ht="12.75" customHeight="1" x14ac:dyDescent="0.25">
      <c r="A27470" s="318">
        <v>381741851837</v>
      </c>
      <c r="B27470" s="318" t="s">
        <v>236</v>
      </c>
    </row>
    <row r="27471" spans="1:2" ht="12.75" customHeight="1" x14ac:dyDescent="0.25">
      <c r="A27471" s="318">
        <v>381741851838</v>
      </c>
      <c r="B27471" s="318" t="s">
        <v>235</v>
      </c>
    </row>
    <row r="27472" spans="1:2" ht="12.75" customHeight="1" x14ac:dyDescent="0.25">
      <c r="A27472" s="318">
        <v>381741851839</v>
      </c>
      <c r="B27472" s="318" t="s">
        <v>23</v>
      </c>
    </row>
    <row r="27473" spans="1:2" ht="12.75" customHeight="1" x14ac:dyDescent="0.25">
      <c r="A27473" s="318">
        <v>381741851840</v>
      </c>
      <c r="B27473" s="318" t="s">
        <v>235</v>
      </c>
    </row>
    <row r="27474" spans="1:2" ht="12.75" customHeight="1" x14ac:dyDescent="0.25">
      <c r="A27474" s="318">
        <v>381741851842</v>
      </c>
      <c r="B27474" s="318" t="s">
        <v>237</v>
      </c>
    </row>
    <row r="27475" spans="1:2" ht="12.75" customHeight="1" x14ac:dyDescent="0.25">
      <c r="A27475" s="318">
        <v>381741851843</v>
      </c>
      <c r="B27475" s="318" t="s">
        <v>237</v>
      </c>
    </row>
    <row r="27476" spans="1:2" ht="12.75" customHeight="1" x14ac:dyDescent="0.25">
      <c r="A27476" s="318">
        <v>381741851844</v>
      </c>
      <c r="B27476" s="318" t="s">
        <v>237</v>
      </c>
    </row>
    <row r="27477" spans="1:2" ht="12.75" customHeight="1" x14ac:dyDescent="0.25">
      <c r="A27477" s="318">
        <v>381741851845</v>
      </c>
      <c r="B27477" s="318" t="s">
        <v>237</v>
      </c>
    </row>
    <row r="27478" spans="1:2" ht="12.75" customHeight="1" x14ac:dyDescent="0.25">
      <c r="A27478" s="318">
        <v>381741851846</v>
      </c>
      <c r="B27478" s="318" t="s">
        <v>237</v>
      </c>
    </row>
    <row r="27479" spans="1:2" ht="12.75" customHeight="1" x14ac:dyDescent="0.25">
      <c r="A27479" s="318">
        <v>381741851847</v>
      </c>
      <c r="B27479" s="318" t="s">
        <v>237</v>
      </c>
    </row>
    <row r="27480" spans="1:2" ht="12.75" customHeight="1" x14ac:dyDescent="0.25">
      <c r="A27480" s="318">
        <v>381741851848</v>
      </c>
      <c r="B27480" s="318" t="s">
        <v>237</v>
      </c>
    </row>
    <row r="27481" spans="1:2" ht="12.75" customHeight="1" x14ac:dyDescent="0.25">
      <c r="A27481" s="318">
        <v>381741851849</v>
      </c>
      <c r="B27481" s="318" t="s">
        <v>237</v>
      </c>
    </row>
    <row r="27482" spans="1:2" ht="12.75" customHeight="1" x14ac:dyDescent="0.25">
      <c r="A27482" s="318">
        <v>381742332806</v>
      </c>
      <c r="B27482" s="318" t="s">
        <v>236</v>
      </c>
    </row>
    <row r="27483" spans="1:2" ht="12.75" customHeight="1" x14ac:dyDescent="0.25">
      <c r="A27483" s="318">
        <v>381742332807</v>
      </c>
      <c r="B27483" s="318" t="s">
        <v>235</v>
      </c>
    </row>
    <row r="27484" spans="1:2" ht="12.75" customHeight="1" x14ac:dyDescent="0.25">
      <c r="A27484" s="318">
        <v>381742332808</v>
      </c>
      <c r="B27484" s="318" t="s">
        <v>236</v>
      </c>
    </row>
    <row r="27485" spans="1:2" ht="12.75" customHeight="1" x14ac:dyDescent="0.25">
      <c r="A27485" s="318">
        <v>381742332809</v>
      </c>
      <c r="B27485" s="318" t="s">
        <v>235</v>
      </c>
    </row>
    <row r="27486" spans="1:2" ht="12.75" customHeight="1" x14ac:dyDescent="0.25">
      <c r="A27486" s="318">
        <v>381742332810</v>
      </c>
      <c r="B27486" s="318" t="s">
        <v>236</v>
      </c>
    </row>
    <row r="27487" spans="1:2" ht="12.75" customHeight="1" x14ac:dyDescent="0.25">
      <c r="A27487" s="318">
        <v>381742332811</v>
      </c>
      <c r="B27487" s="318" t="s">
        <v>235</v>
      </c>
    </row>
    <row r="27488" spans="1:2" ht="12.75" customHeight="1" x14ac:dyDescent="0.25">
      <c r="A27488" s="318">
        <v>381742332812</v>
      </c>
      <c r="B27488" s="318" t="s">
        <v>23</v>
      </c>
    </row>
    <row r="27489" spans="1:2" ht="12.75" customHeight="1" x14ac:dyDescent="0.25">
      <c r="A27489" s="318">
        <v>381742332813</v>
      </c>
      <c r="B27489" s="318" t="s">
        <v>235</v>
      </c>
    </row>
    <row r="27490" spans="1:2" ht="12.75" customHeight="1" x14ac:dyDescent="0.25">
      <c r="A27490" s="318">
        <v>381742332815</v>
      </c>
      <c r="B27490" s="318" t="s">
        <v>237</v>
      </c>
    </row>
    <row r="27491" spans="1:2" ht="12.75" customHeight="1" x14ac:dyDescent="0.25">
      <c r="A27491" s="318">
        <v>381742332816</v>
      </c>
      <c r="B27491" s="318" t="s">
        <v>237</v>
      </c>
    </row>
    <row r="27492" spans="1:2" ht="12.75" customHeight="1" x14ac:dyDescent="0.25">
      <c r="A27492" s="318">
        <v>381742332817</v>
      </c>
      <c r="B27492" s="318" t="s">
        <v>237</v>
      </c>
    </row>
    <row r="27493" spans="1:2" ht="12.75" customHeight="1" x14ac:dyDescent="0.25">
      <c r="A27493" s="318">
        <v>381742332818</v>
      </c>
      <c r="B27493" s="318" t="s">
        <v>237</v>
      </c>
    </row>
    <row r="27494" spans="1:2" ht="12.75" customHeight="1" x14ac:dyDescent="0.25">
      <c r="A27494" s="318">
        <v>381742332819</v>
      </c>
      <c r="B27494" s="318" t="s">
        <v>237</v>
      </c>
    </row>
    <row r="27495" spans="1:2" ht="12.75" customHeight="1" x14ac:dyDescent="0.25">
      <c r="A27495" s="318">
        <v>381742332820</v>
      </c>
      <c r="B27495" s="318" t="s">
        <v>237</v>
      </c>
    </row>
    <row r="27496" spans="1:2" ht="12.75" customHeight="1" x14ac:dyDescent="0.25">
      <c r="A27496" s="318">
        <v>381742332821</v>
      </c>
      <c r="B27496" s="318" t="s">
        <v>237</v>
      </c>
    </row>
    <row r="27497" spans="1:2" ht="12.75" customHeight="1" x14ac:dyDescent="0.25">
      <c r="A27497" s="318">
        <v>381742332822</v>
      </c>
      <c r="B27497" s="318" t="s">
        <v>237</v>
      </c>
    </row>
    <row r="27498" spans="1:2" ht="12.75" customHeight="1" x14ac:dyDescent="0.25">
      <c r="A27498" s="318">
        <v>381742813779</v>
      </c>
      <c r="B27498" s="318" t="s">
        <v>236</v>
      </c>
    </row>
    <row r="27499" spans="1:2" ht="12.75" customHeight="1" x14ac:dyDescent="0.25">
      <c r="A27499" s="318">
        <v>381742813780</v>
      </c>
      <c r="B27499" s="318" t="s">
        <v>235</v>
      </c>
    </row>
    <row r="27500" spans="1:2" ht="12.75" customHeight="1" x14ac:dyDescent="0.25">
      <c r="A27500" s="318">
        <v>381742813781</v>
      </c>
      <c r="B27500" s="318" t="s">
        <v>236</v>
      </c>
    </row>
    <row r="27501" spans="1:2" ht="12.75" customHeight="1" x14ac:dyDescent="0.25">
      <c r="A27501" s="318">
        <v>381742813782</v>
      </c>
      <c r="B27501" s="318" t="s">
        <v>235</v>
      </c>
    </row>
    <row r="27502" spans="1:2" ht="12.75" customHeight="1" x14ac:dyDescent="0.25">
      <c r="A27502" s="318">
        <v>381742813783</v>
      </c>
      <c r="B27502" s="318" t="s">
        <v>236</v>
      </c>
    </row>
    <row r="27503" spans="1:2" ht="12.75" customHeight="1" x14ac:dyDescent="0.25">
      <c r="A27503" s="318">
        <v>381742813784</v>
      </c>
      <c r="B27503" s="318" t="s">
        <v>235</v>
      </c>
    </row>
    <row r="27504" spans="1:2" ht="12.75" customHeight="1" x14ac:dyDescent="0.25">
      <c r="A27504" s="318">
        <v>381742813785</v>
      </c>
      <c r="B27504" s="318" t="s">
        <v>236</v>
      </c>
    </row>
    <row r="27505" spans="1:2" ht="12.75" customHeight="1" x14ac:dyDescent="0.25">
      <c r="A27505" s="318">
        <v>381742813786</v>
      </c>
      <c r="B27505" s="318" t="s">
        <v>235</v>
      </c>
    </row>
    <row r="27506" spans="1:2" ht="12.75" customHeight="1" x14ac:dyDescent="0.25">
      <c r="A27506" s="318">
        <v>381742813788</v>
      </c>
      <c r="B27506" s="318" t="s">
        <v>236</v>
      </c>
    </row>
    <row r="27507" spans="1:2" ht="12.75" customHeight="1" x14ac:dyDescent="0.25">
      <c r="A27507" s="318">
        <v>381742813789</v>
      </c>
      <c r="B27507" s="318" t="s">
        <v>235</v>
      </c>
    </row>
    <row r="27508" spans="1:2" ht="12.75" customHeight="1" x14ac:dyDescent="0.25">
      <c r="A27508" s="318">
        <v>381742813790</v>
      </c>
      <c r="B27508" s="318" t="s">
        <v>236</v>
      </c>
    </row>
    <row r="27509" spans="1:2" ht="12.75" customHeight="1" x14ac:dyDescent="0.25">
      <c r="A27509" s="318">
        <v>381742813791</v>
      </c>
      <c r="B27509" s="318" t="s">
        <v>235</v>
      </c>
    </row>
    <row r="27510" spans="1:2" ht="12.75" customHeight="1" x14ac:dyDescent="0.25">
      <c r="A27510" s="318">
        <v>381742813792</v>
      </c>
      <c r="B27510" s="318" t="s">
        <v>236</v>
      </c>
    </row>
    <row r="27511" spans="1:2" ht="12.75" customHeight="1" x14ac:dyDescent="0.25">
      <c r="A27511" s="318">
        <v>381742813793</v>
      </c>
      <c r="B27511" s="318" t="s">
        <v>235</v>
      </c>
    </row>
    <row r="27512" spans="1:2" ht="12.75" customHeight="1" x14ac:dyDescent="0.25">
      <c r="A27512" s="318">
        <v>381742813794</v>
      </c>
      <c r="B27512" s="318" t="s">
        <v>236</v>
      </c>
    </row>
    <row r="27513" spans="1:2" ht="12.75" customHeight="1" x14ac:dyDescent="0.25">
      <c r="A27513" s="318">
        <v>381742813795</v>
      </c>
      <c r="B27513" s="318" t="s">
        <v>235</v>
      </c>
    </row>
    <row r="27514" spans="1:2" ht="12.75" customHeight="1" x14ac:dyDescent="0.25">
      <c r="A27514" s="318">
        <v>381743493970</v>
      </c>
      <c r="B27514" s="318" t="s">
        <v>236</v>
      </c>
    </row>
    <row r="27515" spans="1:2" ht="12.75" customHeight="1" x14ac:dyDescent="0.25">
      <c r="A27515" s="318">
        <v>381743493971</v>
      </c>
      <c r="B27515" s="318" t="s">
        <v>235</v>
      </c>
    </row>
    <row r="27516" spans="1:2" ht="12.75" customHeight="1" x14ac:dyDescent="0.25">
      <c r="A27516" s="318">
        <v>381743493972</v>
      </c>
      <c r="B27516" s="318" t="s">
        <v>236</v>
      </c>
    </row>
    <row r="27517" spans="1:2" ht="12.75" customHeight="1" x14ac:dyDescent="0.25">
      <c r="A27517" s="318">
        <v>381743493973</v>
      </c>
      <c r="B27517" s="318" t="s">
        <v>235</v>
      </c>
    </row>
    <row r="27518" spans="1:2" ht="12.75" customHeight="1" x14ac:dyDescent="0.25">
      <c r="A27518" s="318">
        <v>381743493974</v>
      </c>
      <c r="B27518" s="318" t="s">
        <v>236</v>
      </c>
    </row>
    <row r="27519" spans="1:2" ht="12.75" customHeight="1" x14ac:dyDescent="0.25">
      <c r="A27519" s="318">
        <v>381743493975</v>
      </c>
      <c r="B27519" s="318" t="s">
        <v>235</v>
      </c>
    </row>
    <row r="27520" spans="1:2" ht="12.75" customHeight="1" x14ac:dyDescent="0.25">
      <c r="A27520" s="318">
        <v>381743493976</v>
      </c>
      <c r="B27520" s="318" t="s">
        <v>23</v>
      </c>
    </row>
    <row r="27521" spans="1:2" ht="12.75" customHeight="1" x14ac:dyDescent="0.25">
      <c r="A27521" s="318">
        <v>381743493977</v>
      </c>
      <c r="B27521" s="318" t="s">
        <v>235</v>
      </c>
    </row>
    <row r="27522" spans="1:2" ht="12.75" customHeight="1" x14ac:dyDescent="0.25">
      <c r="A27522" s="318">
        <v>381743493979</v>
      </c>
      <c r="B27522" s="318" t="s">
        <v>237</v>
      </c>
    </row>
    <row r="27523" spans="1:2" ht="12.75" customHeight="1" x14ac:dyDescent="0.25">
      <c r="A27523" s="318">
        <v>381743493980</v>
      </c>
      <c r="B27523" s="318" t="s">
        <v>237</v>
      </c>
    </row>
    <row r="27524" spans="1:2" ht="12.75" customHeight="1" x14ac:dyDescent="0.25">
      <c r="A27524" s="318">
        <v>381743493981</v>
      </c>
      <c r="B27524" s="318" t="s">
        <v>237</v>
      </c>
    </row>
    <row r="27525" spans="1:2" ht="12.75" customHeight="1" x14ac:dyDescent="0.25">
      <c r="A27525" s="318">
        <v>381743493982</v>
      </c>
      <c r="B27525" s="318" t="s">
        <v>237</v>
      </c>
    </row>
    <row r="27526" spans="1:2" ht="12.75" customHeight="1" x14ac:dyDescent="0.25">
      <c r="A27526" s="318">
        <v>381743493983</v>
      </c>
      <c r="B27526" s="318" t="s">
        <v>237</v>
      </c>
    </row>
    <row r="27527" spans="1:2" ht="12.75" customHeight="1" x14ac:dyDescent="0.25">
      <c r="A27527" s="318">
        <v>381743493984</v>
      </c>
      <c r="B27527" s="318" t="s">
        <v>237</v>
      </c>
    </row>
    <row r="27528" spans="1:2" ht="12.75" customHeight="1" x14ac:dyDescent="0.25">
      <c r="A27528" s="318">
        <v>381743493985</v>
      </c>
      <c r="B27528" s="318" t="s">
        <v>237</v>
      </c>
    </row>
    <row r="27529" spans="1:2" ht="12.75" customHeight="1" x14ac:dyDescent="0.25">
      <c r="A27529" s="318">
        <v>381743493986</v>
      </c>
      <c r="B27529" s="318" t="s">
        <v>237</v>
      </c>
    </row>
    <row r="27530" spans="1:2" ht="12.75" customHeight="1" x14ac:dyDescent="0.25">
      <c r="A27530" s="318">
        <v>381743974943</v>
      </c>
      <c r="B27530" s="318" t="s">
        <v>236</v>
      </c>
    </row>
    <row r="27531" spans="1:2" ht="12.75" customHeight="1" x14ac:dyDescent="0.25">
      <c r="A27531" s="318">
        <v>381743974944</v>
      </c>
      <c r="B27531" s="318" t="s">
        <v>235</v>
      </c>
    </row>
    <row r="27532" spans="1:2" ht="12.75" customHeight="1" x14ac:dyDescent="0.25">
      <c r="A27532" s="318">
        <v>381743974945</v>
      </c>
      <c r="B27532" s="318" t="s">
        <v>236</v>
      </c>
    </row>
    <row r="27533" spans="1:2" ht="12.75" customHeight="1" x14ac:dyDescent="0.25">
      <c r="A27533" s="318">
        <v>381743974946</v>
      </c>
      <c r="B27533" s="318" t="s">
        <v>235</v>
      </c>
    </row>
    <row r="27534" spans="1:2" ht="12.75" customHeight="1" x14ac:dyDescent="0.25">
      <c r="A27534" s="318">
        <v>381743974947</v>
      </c>
      <c r="B27534" s="318" t="s">
        <v>236</v>
      </c>
    </row>
    <row r="27535" spans="1:2" ht="12.75" customHeight="1" x14ac:dyDescent="0.25">
      <c r="A27535" s="318">
        <v>381743974948</v>
      </c>
      <c r="B27535" s="318" t="s">
        <v>235</v>
      </c>
    </row>
    <row r="27536" spans="1:2" ht="12.75" customHeight="1" x14ac:dyDescent="0.25">
      <c r="A27536" s="318">
        <v>381743974949</v>
      </c>
      <c r="B27536" s="318" t="s">
        <v>23</v>
      </c>
    </row>
    <row r="27537" spans="1:2" ht="12.75" customHeight="1" x14ac:dyDescent="0.25">
      <c r="A27537" s="318">
        <v>381743974950</v>
      </c>
      <c r="B27537" s="318" t="s">
        <v>235</v>
      </c>
    </row>
    <row r="27538" spans="1:2" ht="12.75" customHeight="1" x14ac:dyDescent="0.25">
      <c r="A27538" s="318">
        <v>381743974952</v>
      </c>
      <c r="B27538" s="318" t="s">
        <v>237</v>
      </c>
    </row>
    <row r="27539" spans="1:2" ht="12.75" customHeight="1" x14ac:dyDescent="0.25">
      <c r="A27539" s="318">
        <v>381743974953</v>
      </c>
      <c r="B27539" s="318" t="s">
        <v>237</v>
      </c>
    </row>
    <row r="27540" spans="1:2" ht="12.75" customHeight="1" x14ac:dyDescent="0.25">
      <c r="A27540" s="318">
        <v>381743974954</v>
      </c>
      <c r="B27540" s="318" t="s">
        <v>237</v>
      </c>
    </row>
    <row r="27541" spans="1:2" ht="12.75" customHeight="1" x14ac:dyDescent="0.25">
      <c r="A27541" s="318">
        <v>381743974955</v>
      </c>
      <c r="B27541" s="318" t="s">
        <v>237</v>
      </c>
    </row>
    <row r="27542" spans="1:2" ht="12.75" customHeight="1" x14ac:dyDescent="0.25">
      <c r="A27542" s="318">
        <v>381743974956</v>
      </c>
      <c r="B27542" s="318" t="s">
        <v>237</v>
      </c>
    </row>
    <row r="27543" spans="1:2" ht="12.75" customHeight="1" x14ac:dyDescent="0.25">
      <c r="A27543" s="318">
        <v>381743974957</v>
      </c>
      <c r="B27543" s="318" t="s">
        <v>237</v>
      </c>
    </row>
    <row r="27544" spans="1:2" ht="12.75" customHeight="1" x14ac:dyDescent="0.25">
      <c r="A27544" s="318">
        <v>381743974958</v>
      </c>
      <c r="B27544" s="318" t="s">
        <v>237</v>
      </c>
    </row>
    <row r="27545" spans="1:2" ht="12.75" customHeight="1" x14ac:dyDescent="0.25">
      <c r="A27545" s="318">
        <v>381743974959</v>
      </c>
      <c r="B27545" s="318" t="s">
        <v>237</v>
      </c>
    </row>
    <row r="27546" spans="1:2" ht="12.75" customHeight="1" x14ac:dyDescent="0.25">
      <c r="A27546" s="318">
        <v>381744455916</v>
      </c>
      <c r="B27546" s="318" t="s">
        <v>236</v>
      </c>
    </row>
    <row r="27547" spans="1:2" ht="12.75" customHeight="1" x14ac:dyDescent="0.25">
      <c r="A27547" s="318">
        <v>381744455917</v>
      </c>
      <c r="B27547" s="318" t="s">
        <v>235</v>
      </c>
    </row>
    <row r="27548" spans="1:2" ht="12.75" customHeight="1" x14ac:dyDescent="0.25">
      <c r="A27548" s="318">
        <v>381744455918</v>
      </c>
      <c r="B27548" s="318" t="s">
        <v>236</v>
      </c>
    </row>
    <row r="27549" spans="1:2" ht="12.75" customHeight="1" x14ac:dyDescent="0.25">
      <c r="A27549" s="318">
        <v>381744455919</v>
      </c>
      <c r="B27549" s="318" t="s">
        <v>235</v>
      </c>
    </row>
    <row r="27550" spans="1:2" ht="12.75" customHeight="1" x14ac:dyDescent="0.25">
      <c r="A27550" s="318">
        <v>381744455920</v>
      </c>
      <c r="B27550" s="318" t="s">
        <v>236</v>
      </c>
    </row>
    <row r="27551" spans="1:2" ht="12.75" customHeight="1" x14ac:dyDescent="0.25">
      <c r="A27551" s="318">
        <v>381744455921</v>
      </c>
      <c r="B27551" s="318" t="s">
        <v>235</v>
      </c>
    </row>
    <row r="27552" spans="1:2" ht="12.75" customHeight="1" x14ac:dyDescent="0.25">
      <c r="A27552" s="318">
        <v>381744455922</v>
      </c>
      <c r="B27552" s="318" t="s">
        <v>236</v>
      </c>
    </row>
    <row r="27553" spans="1:2" ht="12.75" customHeight="1" x14ac:dyDescent="0.25">
      <c r="A27553" s="318">
        <v>381744455923</v>
      </c>
      <c r="B27553" s="318" t="s">
        <v>235</v>
      </c>
    </row>
    <row r="27554" spans="1:2" ht="12.75" customHeight="1" x14ac:dyDescent="0.25">
      <c r="A27554" s="318">
        <v>381744455925</v>
      </c>
      <c r="B27554" s="318" t="s">
        <v>236</v>
      </c>
    </row>
    <row r="27555" spans="1:2" ht="12.75" customHeight="1" x14ac:dyDescent="0.25">
      <c r="A27555" s="318">
        <v>381744455926</v>
      </c>
      <c r="B27555" s="318" t="s">
        <v>235</v>
      </c>
    </row>
    <row r="27556" spans="1:2" ht="12.75" customHeight="1" x14ac:dyDescent="0.25">
      <c r="A27556" s="318">
        <v>381744455927</v>
      </c>
      <c r="B27556" s="318" t="s">
        <v>236</v>
      </c>
    </row>
    <row r="27557" spans="1:2" ht="12.75" customHeight="1" x14ac:dyDescent="0.25">
      <c r="A27557" s="318">
        <v>381744455928</v>
      </c>
      <c r="B27557" s="318" t="s">
        <v>235</v>
      </c>
    </row>
    <row r="27558" spans="1:2" ht="12.75" customHeight="1" x14ac:dyDescent="0.25">
      <c r="A27558" s="318">
        <v>381744455929</v>
      </c>
      <c r="B27558" s="318" t="s">
        <v>236</v>
      </c>
    </row>
    <row r="27559" spans="1:2" ht="12.75" customHeight="1" x14ac:dyDescent="0.25">
      <c r="A27559" s="318">
        <v>381744455930</v>
      </c>
      <c r="B27559" s="318" t="s">
        <v>235</v>
      </c>
    </row>
    <row r="27560" spans="1:2" ht="12.75" customHeight="1" x14ac:dyDescent="0.25">
      <c r="A27560" s="318">
        <v>381744455931</v>
      </c>
      <c r="B27560" s="318" t="s">
        <v>236</v>
      </c>
    </row>
    <row r="27561" spans="1:2" ht="12.75" customHeight="1" x14ac:dyDescent="0.25">
      <c r="A27561" s="318">
        <v>381744455932</v>
      </c>
      <c r="B27561" s="318" t="s">
        <v>235</v>
      </c>
    </row>
    <row r="27562" spans="1:2" ht="12.75" customHeight="1" x14ac:dyDescent="0.25">
      <c r="A27562" s="318">
        <v>381745136107</v>
      </c>
      <c r="B27562" s="318" t="s">
        <v>236</v>
      </c>
    </row>
    <row r="27563" spans="1:2" ht="12.75" customHeight="1" x14ac:dyDescent="0.25">
      <c r="A27563" s="318">
        <v>381745136108</v>
      </c>
      <c r="B27563" s="318" t="s">
        <v>235</v>
      </c>
    </row>
    <row r="27564" spans="1:2" ht="12.75" customHeight="1" x14ac:dyDescent="0.25">
      <c r="A27564" s="318">
        <v>381745136109</v>
      </c>
      <c r="B27564" s="318" t="s">
        <v>236</v>
      </c>
    </row>
    <row r="27565" spans="1:2" ht="12.75" customHeight="1" x14ac:dyDescent="0.25">
      <c r="A27565" s="318">
        <v>381745136110</v>
      </c>
      <c r="B27565" s="318" t="s">
        <v>235</v>
      </c>
    </row>
    <row r="27566" spans="1:2" ht="12.75" customHeight="1" x14ac:dyDescent="0.25">
      <c r="A27566" s="318">
        <v>381745136111</v>
      </c>
      <c r="B27566" s="318" t="s">
        <v>236</v>
      </c>
    </row>
    <row r="27567" spans="1:2" ht="12.75" customHeight="1" x14ac:dyDescent="0.25">
      <c r="A27567" s="318">
        <v>381745136112</v>
      </c>
      <c r="B27567" s="318" t="s">
        <v>235</v>
      </c>
    </row>
    <row r="27568" spans="1:2" ht="12.75" customHeight="1" x14ac:dyDescent="0.25">
      <c r="A27568" s="318">
        <v>381745136113</v>
      </c>
      <c r="B27568" s="318" t="s">
        <v>236</v>
      </c>
    </row>
    <row r="27569" spans="1:2" ht="12.75" customHeight="1" x14ac:dyDescent="0.25">
      <c r="A27569" s="318">
        <v>381745136114</v>
      </c>
      <c r="B27569" s="318" t="s">
        <v>235</v>
      </c>
    </row>
    <row r="27570" spans="1:2" ht="12.75" customHeight="1" x14ac:dyDescent="0.25">
      <c r="A27570" s="318">
        <v>381745136116</v>
      </c>
      <c r="B27570" s="318" t="s">
        <v>236</v>
      </c>
    </row>
    <row r="27571" spans="1:2" ht="12.75" customHeight="1" x14ac:dyDescent="0.25">
      <c r="A27571" s="318">
        <v>381745136117</v>
      </c>
      <c r="B27571" s="318" t="s">
        <v>235</v>
      </c>
    </row>
    <row r="27572" spans="1:2" ht="12.75" customHeight="1" x14ac:dyDescent="0.25">
      <c r="A27572" s="318">
        <v>381745136118</v>
      </c>
      <c r="B27572" s="318" t="s">
        <v>236</v>
      </c>
    </row>
    <row r="27573" spans="1:2" ht="12.75" customHeight="1" x14ac:dyDescent="0.25">
      <c r="A27573" s="318">
        <v>381745136119</v>
      </c>
      <c r="B27573" s="318" t="s">
        <v>235</v>
      </c>
    </row>
    <row r="27574" spans="1:2" ht="12.75" customHeight="1" x14ac:dyDescent="0.25">
      <c r="A27574" s="318">
        <v>381745136120</v>
      </c>
      <c r="B27574" s="318" t="s">
        <v>236</v>
      </c>
    </row>
    <row r="27575" spans="1:2" ht="12.75" customHeight="1" x14ac:dyDescent="0.25">
      <c r="A27575" s="318">
        <v>381745136121</v>
      </c>
      <c r="B27575" s="318" t="s">
        <v>235</v>
      </c>
    </row>
    <row r="27576" spans="1:2" ht="12.75" customHeight="1" x14ac:dyDescent="0.25">
      <c r="A27576" s="318">
        <v>381745136122</v>
      </c>
      <c r="B27576" s="318" t="s">
        <v>236</v>
      </c>
    </row>
    <row r="27577" spans="1:2" ht="12.75" customHeight="1" x14ac:dyDescent="0.25">
      <c r="A27577" s="318">
        <v>381745136123</v>
      </c>
      <c r="B27577" s="318" t="s">
        <v>235</v>
      </c>
    </row>
    <row r="27578" spans="1:2" ht="12.75" customHeight="1" x14ac:dyDescent="0.25">
      <c r="A27578" s="318">
        <v>381745617080</v>
      </c>
      <c r="B27578" s="318" t="s">
        <v>236</v>
      </c>
    </row>
    <row r="27579" spans="1:2" ht="12.75" customHeight="1" x14ac:dyDescent="0.25">
      <c r="A27579" s="318">
        <v>381745617081</v>
      </c>
      <c r="B27579" s="318" t="s">
        <v>235</v>
      </c>
    </row>
    <row r="27580" spans="1:2" ht="12.75" customHeight="1" x14ac:dyDescent="0.25">
      <c r="A27580" s="318">
        <v>381745617082</v>
      </c>
      <c r="B27580" s="318" t="s">
        <v>236</v>
      </c>
    </row>
    <row r="27581" spans="1:2" ht="12.75" customHeight="1" x14ac:dyDescent="0.25">
      <c r="A27581" s="318">
        <v>381745617083</v>
      </c>
      <c r="B27581" s="318" t="s">
        <v>235</v>
      </c>
    </row>
    <row r="27582" spans="1:2" ht="12.75" customHeight="1" x14ac:dyDescent="0.25">
      <c r="A27582" s="318">
        <v>381745617084</v>
      </c>
      <c r="B27582" s="318" t="s">
        <v>236</v>
      </c>
    </row>
    <row r="27583" spans="1:2" ht="12.75" customHeight="1" x14ac:dyDescent="0.25">
      <c r="A27583" s="318">
        <v>381745617085</v>
      </c>
      <c r="B27583" s="318" t="s">
        <v>235</v>
      </c>
    </row>
    <row r="27584" spans="1:2" ht="12.75" customHeight="1" x14ac:dyDescent="0.25">
      <c r="A27584" s="318">
        <v>381745617086</v>
      </c>
      <c r="B27584" s="318" t="s">
        <v>236</v>
      </c>
    </row>
    <row r="27585" spans="1:2" ht="12.75" customHeight="1" x14ac:dyDescent="0.25">
      <c r="A27585" s="318">
        <v>381745617087</v>
      </c>
      <c r="B27585" s="318" t="s">
        <v>235</v>
      </c>
    </row>
    <row r="27586" spans="1:2" ht="12.75" customHeight="1" x14ac:dyDescent="0.25">
      <c r="A27586" s="318">
        <v>381745617089</v>
      </c>
      <c r="B27586" s="318" t="s">
        <v>236</v>
      </c>
    </row>
    <row r="27587" spans="1:2" ht="12.75" customHeight="1" x14ac:dyDescent="0.25">
      <c r="A27587" s="318">
        <v>381745617090</v>
      </c>
      <c r="B27587" s="318" t="s">
        <v>235</v>
      </c>
    </row>
    <row r="27588" spans="1:2" ht="12.75" customHeight="1" x14ac:dyDescent="0.25">
      <c r="A27588" s="318">
        <v>381745617091</v>
      </c>
      <c r="B27588" s="318" t="s">
        <v>236</v>
      </c>
    </row>
    <row r="27589" spans="1:2" ht="12.75" customHeight="1" x14ac:dyDescent="0.25">
      <c r="A27589" s="318">
        <v>381745617092</v>
      </c>
      <c r="B27589" s="318" t="s">
        <v>235</v>
      </c>
    </row>
    <row r="27590" spans="1:2" ht="12.75" customHeight="1" x14ac:dyDescent="0.25">
      <c r="A27590" s="318">
        <v>381745617093</v>
      </c>
      <c r="B27590" s="318" t="s">
        <v>236</v>
      </c>
    </row>
    <row r="27591" spans="1:2" ht="12.75" customHeight="1" x14ac:dyDescent="0.25">
      <c r="A27591" s="318">
        <v>381745617094</v>
      </c>
      <c r="B27591" s="318" t="s">
        <v>235</v>
      </c>
    </row>
    <row r="27592" spans="1:2" ht="12.75" customHeight="1" x14ac:dyDescent="0.25">
      <c r="A27592" s="318">
        <v>381745617095</v>
      </c>
      <c r="B27592" s="318" t="s">
        <v>236</v>
      </c>
    </row>
    <row r="27593" spans="1:2" ht="12.75" customHeight="1" x14ac:dyDescent="0.25">
      <c r="A27593" s="318">
        <v>381745617096</v>
      </c>
      <c r="B27593" s="318" t="s">
        <v>235</v>
      </c>
    </row>
    <row r="27594" spans="1:2" ht="12.75" customHeight="1" x14ac:dyDescent="0.25">
      <c r="A27594" s="318">
        <v>381746098053</v>
      </c>
      <c r="B27594" s="318" t="s">
        <v>236</v>
      </c>
    </row>
    <row r="27595" spans="1:2" ht="12.75" customHeight="1" x14ac:dyDescent="0.25">
      <c r="A27595" s="318">
        <v>381746098054</v>
      </c>
      <c r="B27595" s="318" t="s">
        <v>235</v>
      </c>
    </row>
    <row r="27596" spans="1:2" ht="12.75" customHeight="1" x14ac:dyDescent="0.25">
      <c r="A27596" s="318">
        <v>381746098055</v>
      </c>
      <c r="B27596" s="318" t="s">
        <v>236</v>
      </c>
    </row>
    <row r="27597" spans="1:2" ht="12.75" customHeight="1" x14ac:dyDescent="0.25">
      <c r="A27597" s="318">
        <v>381746098056</v>
      </c>
      <c r="B27597" s="318" t="s">
        <v>235</v>
      </c>
    </row>
    <row r="27598" spans="1:2" ht="12.75" customHeight="1" x14ac:dyDescent="0.25">
      <c r="A27598" s="318">
        <v>381746098057</v>
      </c>
      <c r="B27598" s="318" t="s">
        <v>236</v>
      </c>
    </row>
    <row r="27599" spans="1:2" ht="12.75" customHeight="1" x14ac:dyDescent="0.25">
      <c r="A27599" s="318">
        <v>381746098058</v>
      </c>
      <c r="B27599" s="318" t="s">
        <v>235</v>
      </c>
    </row>
    <row r="27600" spans="1:2" ht="12.75" customHeight="1" x14ac:dyDescent="0.25">
      <c r="A27600" s="318">
        <v>381746098059</v>
      </c>
      <c r="B27600" s="318" t="s">
        <v>236</v>
      </c>
    </row>
    <row r="27601" spans="1:2" ht="12.75" customHeight="1" x14ac:dyDescent="0.25">
      <c r="A27601" s="318">
        <v>381746098060</v>
      </c>
      <c r="B27601" s="318" t="s">
        <v>235</v>
      </c>
    </row>
    <row r="27602" spans="1:2" ht="12.75" customHeight="1" x14ac:dyDescent="0.25">
      <c r="A27602" s="318">
        <v>381746098062</v>
      </c>
      <c r="B27602" s="318" t="s">
        <v>236</v>
      </c>
    </row>
    <row r="27603" spans="1:2" ht="12.75" customHeight="1" x14ac:dyDescent="0.25">
      <c r="A27603" s="318">
        <v>381746098063</v>
      </c>
      <c r="B27603" s="318" t="s">
        <v>235</v>
      </c>
    </row>
    <row r="27604" spans="1:2" ht="12.75" customHeight="1" x14ac:dyDescent="0.25">
      <c r="A27604" s="318">
        <v>381746098064</v>
      </c>
      <c r="B27604" s="318" t="s">
        <v>236</v>
      </c>
    </row>
    <row r="27605" spans="1:2" ht="12.75" customHeight="1" x14ac:dyDescent="0.25">
      <c r="A27605" s="318">
        <v>381746098065</v>
      </c>
      <c r="B27605" s="318" t="s">
        <v>235</v>
      </c>
    </row>
    <row r="27606" spans="1:2" ht="12.75" customHeight="1" x14ac:dyDescent="0.25">
      <c r="A27606" s="318">
        <v>381746098066</v>
      </c>
      <c r="B27606" s="318" t="s">
        <v>236</v>
      </c>
    </row>
    <row r="27607" spans="1:2" ht="12.75" customHeight="1" x14ac:dyDescent="0.25">
      <c r="A27607" s="318">
        <v>381746098067</v>
      </c>
      <c r="B27607" s="318" t="s">
        <v>235</v>
      </c>
    </row>
    <row r="27608" spans="1:2" ht="12.75" customHeight="1" x14ac:dyDescent="0.25">
      <c r="A27608" s="318">
        <v>381746098068</v>
      </c>
      <c r="B27608" s="318" t="s">
        <v>236</v>
      </c>
    </row>
    <row r="27609" spans="1:2" ht="12.75" customHeight="1" x14ac:dyDescent="0.25">
      <c r="A27609" s="318">
        <v>381746098069</v>
      </c>
      <c r="B27609" s="318" t="s">
        <v>235</v>
      </c>
    </row>
    <row r="27610" spans="1:2" ht="12.75" customHeight="1" x14ac:dyDescent="0.25">
      <c r="A27610" s="318">
        <v>381747458434</v>
      </c>
      <c r="B27610" s="318" t="s">
        <v>236</v>
      </c>
    </row>
    <row r="27611" spans="1:2" ht="12.75" customHeight="1" x14ac:dyDescent="0.25">
      <c r="A27611" s="318">
        <v>381747458435</v>
      </c>
      <c r="B27611" s="318" t="s">
        <v>235</v>
      </c>
    </row>
    <row r="27612" spans="1:2" ht="12.75" customHeight="1" x14ac:dyDescent="0.25">
      <c r="A27612" s="318">
        <v>381747458436</v>
      </c>
      <c r="B27612" s="318" t="s">
        <v>236</v>
      </c>
    </row>
    <row r="27613" spans="1:2" ht="12.75" customHeight="1" x14ac:dyDescent="0.25">
      <c r="A27613" s="318">
        <v>381747458437</v>
      </c>
      <c r="B27613" s="318" t="s">
        <v>235</v>
      </c>
    </row>
    <row r="27614" spans="1:2" ht="12.75" customHeight="1" x14ac:dyDescent="0.25">
      <c r="A27614" s="318">
        <v>381747458438</v>
      </c>
      <c r="B27614" s="318" t="s">
        <v>236</v>
      </c>
    </row>
    <row r="27615" spans="1:2" ht="12.75" customHeight="1" x14ac:dyDescent="0.25">
      <c r="A27615" s="318">
        <v>381747458439</v>
      </c>
      <c r="B27615" s="318" t="s">
        <v>235</v>
      </c>
    </row>
    <row r="27616" spans="1:2" ht="12.75" customHeight="1" x14ac:dyDescent="0.25">
      <c r="A27616" s="318">
        <v>381747458440</v>
      </c>
      <c r="B27616" s="318" t="s">
        <v>236</v>
      </c>
    </row>
    <row r="27617" spans="1:2" ht="12.75" customHeight="1" x14ac:dyDescent="0.25">
      <c r="A27617" s="318">
        <v>381747458441</v>
      </c>
      <c r="B27617" s="318" t="s">
        <v>235</v>
      </c>
    </row>
    <row r="27618" spans="1:2" ht="12.75" customHeight="1" x14ac:dyDescent="0.25">
      <c r="A27618" s="318">
        <v>381747458443</v>
      </c>
      <c r="B27618" s="318" t="s">
        <v>236</v>
      </c>
    </row>
    <row r="27619" spans="1:2" ht="12.75" customHeight="1" x14ac:dyDescent="0.25">
      <c r="A27619" s="318">
        <v>381747458444</v>
      </c>
      <c r="B27619" s="318" t="s">
        <v>235</v>
      </c>
    </row>
    <row r="27620" spans="1:2" ht="12.75" customHeight="1" x14ac:dyDescent="0.25">
      <c r="A27620" s="318">
        <v>381747458445</v>
      </c>
      <c r="B27620" s="318" t="s">
        <v>236</v>
      </c>
    </row>
    <row r="27621" spans="1:2" ht="12.75" customHeight="1" x14ac:dyDescent="0.25">
      <c r="A27621" s="318">
        <v>381747458446</v>
      </c>
      <c r="B27621" s="318" t="s">
        <v>235</v>
      </c>
    </row>
    <row r="27622" spans="1:2" ht="12.75" customHeight="1" x14ac:dyDescent="0.25">
      <c r="A27622" s="318">
        <v>381747458447</v>
      </c>
      <c r="B27622" s="318" t="s">
        <v>236</v>
      </c>
    </row>
    <row r="27623" spans="1:2" ht="12.75" customHeight="1" x14ac:dyDescent="0.25">
      <c r="A27623" s="318">
        <v>381747458448</v>
      </c>
      <c r="B27623" s="318" t="s">
        <v>235</v>
      </c>
    </row>
    <row r="27624" spans="1:2" ht="12.75" customHeight="1" x14ac:dyDescent="0.25">
      <c r="A27624" s="318">
        <v>381747458449</v>
      </c>
      <c r="B27624" s="318" t="s">
        <v>236</v>
      </c>
    </row>
    <row r="27625" spans="1:2" ht="12.75" customHeight="1" x14ac:dyDescent="0.25">
      <c r="A27625" s="318">
        <v>381747458450</v>
      </c>
      <c r="B27625" s="318" t="s">
        <v>235</v>
      </c>
    </row>
    <row r="27626" spans="1:2" ht="12.75" customHeight="1" x14ac:dyDescent="0.25">
      <c r="A27626" s="318">
        <v>381747939407</v>
      </c>
      <c r="B27626" s="318" t="s">
        <v>236</v>
      </c>
    </row>
    <row r="27627" spans="1:2" ht="12.75" customHeight="1" x14ac:dyDescent="0.25">
      <c r="A27627" s="318">
        <v>381747939408</v>
      </c>
      <c r="B27627" s="318" t="s">
        <v>235</v>
      </c>
    </row>
    <row r="27628" spans="1:2" ht="12.75" customHeight="1" x14ac:dyDescent="0.25">
      <c r="A27628" s="318">
        <v>381747939409</v>
      </c>
      <c r="B27628" s="318" t="s">
        <v>236</v>
      </c>
    </row>
    <row r="27629" spans="1:2" ht="12.75" customHeight="1" x14ac:dyDescent="0.25">
      <c r="A27629" s="318">
        <v>381747939410</v>
      </c>
      <c r="B27629" s="318" t="s">
        <v>235</v>
      </c>
    </row>
    <row r="27630" spans="1:2" ht="12.75" customHeight="1" x14ac:dyDescent="0.25">
      <c r="A27630" s="318">
        <v>381747939411</v>
      </c>
      <c r="B27630" s="318" t="s">
        <v>236</v>
      </c>
    </row>
    <row r="27631" spans="1:2" ht="12.75" customHeight="1" x14ac:dyDescent="0.25">
      <c r="A27631" s="318">
        <v>381747939412</v>
      </c>
      <c r="B27631" s="318" t="s">
        <v>235</v>
      </c>
    </row>
    <row r="27632" spans="1:2" ht="12.75" customHeight="1" x14ac:dyDescent="0.25">
      <c r="A27632" s="318">
        <v>381747939413</v>
      </c>
      <c r="B27632" s="318" t="s">
        <v>236</v>
      </c>
    </row>
    <row r="27633" spans="1:2" ht="12.75" customHeight="1" x14ac:dyDescent="0.25">
      <c r="A27633" s="318">
        <v>381747939414</v>
      </c>
      <c r="B27633" s="318" t="s">
        <v>235</v>
      </c>
    </row>
    <row r="27634" spans="1:2" ht="12.75" customHeight="1" x14ac:dyDescent="0.25">
      <c r="A27634" s="318">
        <v>381747939416</v>
      </c>
      <c r="B27634" s="318" t="s">
        <v>236</v>
      </c>
    </row>
    <row r="27635" spans="1:2" ht="12.75" customHeight="1" x14ac:dyDescent="0.25">
      <c r="A27635" s="318">
        <v>381747939417</v>
      </c>
      <c r="B27635" s="318" t="s">
        <v>235</v>
      </c>
    </row>
    <row r="27636" spans="1:2" ht="12.75" customHeight="1" x14ac:dyDescent="0.25">
      <c r="A27636" s="318">
        <v>381747939418</v>
      </c>
      <c r="B27636" s="318" t="s">
        <v>236</v>
      </c>
    </row>
    <row r="27637" spans="1:2" ht="12.75" customHeight="1" x14ac:dyDescent="0.25">
      <c r="A27637" s="318">
        <v>381747939419</v>
      </c>
      <c r="B27637" s="318" t="s">
        <v>235</v>
      </c>
    </row>
    <row r="27638" spans="1:2" ht="12.75" customHeight="1" x14ac:dyDescent="0.25">
      <c r="A27638" s="318">
        <v>381747939420</v>
      </c>
      <c r="B27638" s="318" t="s">
        <v>236</v>
      </c>
    </row>
    <row r="27639" spans="1:2" ht="12.75" customHeight="1" x14ac:dyDescent="0.25">
      <c r="A27639" s="318">
        <v>381747939421</v>
      </c>
      <c r="B27639" s="318" t="s">
        <v>235</v>
      </c>
    </row>
    <row r="27640" spans="1:2" ht="12.75" customHeight="1" x14ac:dyDescent="0.25">
      <c r="A27640" s="318">
        <v>381747939422</v>
      </c>
      <c r="B27640" s="318" t="s">
        <v>236</v>
      </c>
    </row>
    <row r="27641" spans="1:2" ht="12.75" customHeight="1" x14ac:dyDescent="0.25">
      <c r="A27641" s="318">
        <v>381747939423</v>
      </c>
      <c r="B27641" s="318" t="s">
        <v>235</v>
      </c>
    </row>
    <row r="27642" spans="1:2" ht="12.75" customHeight="1" x14ac:dyDescent="0.25">
      <c r="A27642" s="318">
        <v>381748420380</v>
      </c>
      <c r="B27642" s="318" t="s">
        <v>236</v>
      </c>
    </row>
    <row r="27643" spans="1:2" ht="12.75" customHeight="1" x14ac:dyDescent="0.25">
      <c r="A27643" s="318">
        <v>381748420381</v>
      </c>
      <c r="B27643" s="318" t="s">
        <v>235</v>
      </c>
    </row>
    <row r="27644" spans="1:2" ht="12.75" customHeight="1" x14ac:dyDescent="0.25">
      <c r="A27644" s="318">
        <v>381748420382</v>
      </c>
      <c r="B27644" s="318" t="s">
        <v>236</v>
      </c>
    </row>
    <row r="27645" spans="1:2" ht="12.75" customHeight="1" x14ac:dyDescent="0.25">
      <c r="A27645" s="318">
        <v>381748420383</v>
      </c>
      <c r="B27645" s="318" t="s">
        <v>235</v>
      </c>
    </row>
    <row r="27646" spans="1:2" ht="12.75" customHeight="1" x14ac:dyDescent="0.25">
      <c r="A27646" s="318">
        <v>381748420384</v>
      </c>
      <c r="B27646" s="318" t="s">
        <v>236</v>
      </c>
    </row>
    <row r="27647" spans="1:2" ht="12.75" customHeight="1" x14ac:dyDescent="0.25">
      <c r="A27647" s="318">
        <v>381748420385</v>
      </c>
      <c r="B27647" s="318" t="s">
        <v>235</v>
      </c>
    </row>
    <row r="27648" spans="1:2" ht="12.75" customHeight="1" x14ac:dyDescent="0.25">
      <c r="A27648" s="318">
        <v>381748420386</v>
      </c>
      <c r="B27648" s="318" t="s">
        <v>236</v>
      </c>
    </row>
    <row r="27649" spans="1:2" ht="12.75" customHeight="1" x14ac:dyDescent="0.25">
      <c r="A27649" s="318">
        <v>381748420387</v>
      </c>
      <c r="B27649" s="318" t="s">
        <v>235</v>
      </c>
    </row>
    <row r="27650" spans="1:2" ht="12.75" customHeight="1" x14ac:dyDescent="0.25">
      <c r="A27650" s="318">
        <v>381748420389</v>
      </c>
      <c r="B27650" s="318" t="s">
        <v>236</v>
      </c>
    </row>
    <row r="27651" spans="1:2" ht="12.75" customHeight="1" x14ac:dyDescent="0.25">
      <c r="A27651" s="318">
        <v>381748420390</v>
      </c>
      <c r="B27651" s="318" t="s">
        <v>235</v>
      </c>
    </row>
    <row r="27652" spans="1:2" ht="12.75" customHeight="1" x14ac:dyDescent="0.25">
      <c r="A27652" s="318">
        <v>381748420391</v>
      </c>
      <c r="B27652" s="318" t="s">
        <v>236</v>
      </c>
    </row>
    <row r="27653" spans="1:2" ht="12.75" customHeight="1" x14ac:dyDescent="0.25">
      <c r="A27653" s="318">
        <v>381748420392</v>
      </c>
      <c r="B27653" s="318" t="s">
        <v>235</v>
      </c>
    </row>
    <row r="27654" spans="1:2" ht="12.75" customHeight="1" x14ac:dyDescent="0.25">
      <c r="A27654" s="318">
        <v>381748420393</v>
      </c>
      <c r="B27654" s="318" t="s">
        <v>236</v>
      </c>
    </row>
    <row r="27655" spans="1:2" ht="12.75" customHeight="1" x14ac:dyDescent="0.25">
      <c r="A27655" s="318">
        <v>381748420394</v>
      </c>
      <c r="B27655" s="318" t="s">
        <v>235</v>
      </c>
    </row>
    <row r="27656" spans="1:2" ht="12.75" customHeight="1" x14ac:dyDescent="0.25">
      <c r="A27656" s="318">
        <v>381748420395</v>
      </c>
      <c r="B27656" s="318" t="s">
        <v>236</v>
      </c>
    </row>
    <row r="27657" spans="1:2" ht="12.75" customHeight="1" x14ac:dyDescent="0.25">
      <c r="A27657" s="318">
        <v>381748420396</v>
      </c>
      <c r="B27657" s="318" t="s">
        <v>235</v>
      </c>
    </row>
    <row r="27658" spans="1:2" ht="12.75" customHeight="1" x14ac:dyDescent="0.25">
      <c r="A27658" s="318">
        <v>381749100571</v>
      </c>
      <c r="B27658" s="318" t="s">
        <v>236</v>
      </c>
    </row>
    <row r="27659" spans="1:2" ht="12.75" customHeight="1" x14ac:dyDescent="0.25">
      <c r="A27659" s="318">
        <v>381749100572</v>
      </c>
      <c r="B27659" s="318" t="s">
        <v>235</v>
      </c>
    </row>
    <row r="27660" spans="1:2" ht="12.75" customHeight="1" x14ac:dyDescent="0.25">
      <c r="A27660" s="318">
        <v>381749100573</v>
      </c>
      <c r="B27660" s="318" t="s">
        <v>236</v>
      </c>
    </row>
    <row r="27661" spans="1:2" ht="12.75" customHeight="1" x14ac:dyDescent="0.25">
      <c r="A27661" s="318">
        <v>381749100574</v>
      </c>
      <c r="B27661" s="318" t="s">
        <v>235</v>
      </c>
    </row>
    <row r="27662" spans="1:2" ht="12.75" customHeight="1" x14ac:dyDescent="0.25">
      <c r="A27662" s="318">
        <v>381749100575</v>
      </c>
      <c r="B27662" s="318" t="s">
        <v>236</v>
      </c>
    </row>
    <row r="27663" spans="1:2" ht="12.75" customHeight="1" x14ac:dyDescent="0.25">
      <c r="A27663" s="318">
        <v>381749100576</v>
      </c>
      <c r="B27663" s="318" t="s">
        <v>235</v>
      </c>
    </row>
    <row r="27664" spans="1:2" ht="12.75" customHeight="1" x14ac:dyDescent="0.25">
      <c r="A27664" s="318">
        <v>381749100577</v>
      </c>
      <c r="B27664" s="318" t="s">
        <v>236</v>
      </c>
    </row>
    <row r="27665" spans="1:2" ht="12.75" customHeight="1" x14ac:dyDescent="0.25">
      <c r="A27665" s="318">
        <v>381749100578</v>
      </c>
      <c r="B27665" s="318" t="s">
        <v>235</v>
      </c>
    </row>
    <row r="27666" spans="1:2" ht="12.75" customHeight="1" x14ac:dyDescent="0.25">
      <c r="A27666" s="318">
        <v>381749100580</v>
      </c>
      <c r="B27666" s="318" t="s">
        <v>236</v>
      </c>
    </row>
    <row r="27667" spans="1:2" ht="12.75" customHeight="1" x14ac:dyDescent="0.25">
      <c r="A27667" s="318">
        <v>381749100581</v>
      </c>
      <c r="B27667" s="318" t="s">
        <v>235</v>
      </c>
    </row>
    <row r="27668" spans="1:2" ht="12.75" customHeight="1" x14ac:dyDescent="0.25">
      <c r="A27668" s="318">
        <v>381749100582</v>
      </c>
      <c r="B27668" s="318" t="s">
        <v>236</v>
      </c>
    </row>
    <row r="27669" spans="1:2" ht="12.75" customHeight="1" x14ac:dyDescent="0.25">
      <c r="A27669" s="318">
        <v>381749100583</v>
      </c>
      <c r="B27669" s="318" t="s">
        <v>235</v>
      </c>
    </row>
    <row r="27670" spans="1:2" ht="12.75" customHeight="1" x14ac:dyDescent="0.25">
      <c r="A27670" s="318">
        <v>381749100584</v>
      </c>
      <c r="B27670" s="318" t="s">
        <v>236</v>
      </c>
    </row>
    <row r="27671" spans="1:2" ht="12.75" customHeight="1" x14ac:dyDescent="0.25">
      <c r="A27671" s="318">
        <v>381749100585</v>
      </c>
      <c r="B27671" s="318" t="s">
        <v>235</v>
      </c>
    </row>
    <row r="27672" spans="1:2" ht="12.75" customHeight="1" x14ac:dyDescent="0.25">
      <c r="A27672" s="318">
        <v>381749100586</v>
      </c>
      <c r="B27672" s="318" t="s">
        <v>236</v>
      </c>
    </row>
    <row r="27673" spans="1:2" ht="12.75" customHeight="1" x14ac:dyDescent="0.25">
      <c r="A27673" s="318">
        <v>381749100587</v>
      </c>
      <c r="B27673" s="318" t="s">
        <v>235</v>
      </c>
    </row>
    <row r="27674" spans="1:2" ht="12.75" customHeight="1" x14ac:dyDescent="0.25">
      <c r="A27674" s="318">
        <v>381749581544</v>
      </c>
      <c r="B27674" s="318" t="s">
        <v>236</v>
      </c>
    </row>
    <row r="27675" spans="1:2" ht="12.75" customHeight="1" x14ac:dyDescent="0.25">
      <c r="A27675" s="318">
        <v>381749581545</v>
      </c>
      <c r="B27675" s="318" t="s">
        <v>235</v>
      </c>
    </row>
    <row r="27676" spans="1:2" ht="12.75" customHeight="1" x14ac:dyDescent="0.25">
      <c r="A27676" s="318">
        <v>381749581546</v>
      </c>
      <c r="B27676" s="318" t="s">
        <v>236</v>
      </c>
    </row>
    <row r="27677" spans="1:2" ht="12.75" customHeight="1" x14ac:dyDescent="0.25">
      <c r="A27677" s="318">
        <v>381749581547</v>
      </c>
      <c r="B27677" s="318" t="s">
        <v>235</v>
      </c>
    </row>
    <row r="27678" spans="1:2" ht="12.75" customHeight="1" x14ac:dyDescent="0.25">
      <c r="A27678" s="318">
        <v>381749581548</v>
      </c>
      <c r="B27678" s="318" t="s">
        <v>236</v>
      </c>
    </row>
    <row r="27679" spans="1:2" ht="12.75" customHeight="1" x14ac:dyDescent="0.25">
      <c r="A27679" s="318">
        <v>381749581549</v>
      </c>
      <c r="B27679" s="318" t="s">
        <v>235</v>
      </c>
    </row>
    <row r="27680" spans="1:2" ht="12.75" customHeight="1" x14ac:dyDescent="0.25">
      <c r="A27680" s="318">
        <v>381749581550</v>
      </c>
      <c r="B27680" s="318" t="s">
        <v>236</v>
      </c>
    </row>
    <row r="27681" spans="1:2" ht="12.75" customHeight="1" x14ac:dyDescent="0.25">
      <c r="A27681" s="318">
        <v>381749581551</v>
      </c>
      <c r="B27681" s="318" t="s">
        <v>235</v>
      </c>
    </row>
    <row r="27682" spans="1:2" ht="12.75" customHeight="1" x14ac:dyDescent="0.25">
      <c r="A27682" s="318">
        <v>381749581553</v>
      </c>
      <c r="B27682" s="318" t="s">
        <v>236</v>
      </c>
    </row>
    <row r="27683" spans="1:2" ht="12.75" customHeight="1" x14ac:dyDescent="0.25">
      <c r="A27683" s="318">
        <v>381749581554</v>
      </c>
      <c r="B27683" s="318" t="s">
        <v>235</v>
      </c>
    </row>
    <row r="27684" spans="1:2" ht="12.75" customHeight="1" x14ac:dyDescent="0.25">
      <c r="A27684" s="318">
        <v>381749581555</v>
      </c>
      <c r="B27684" s="318" t="s">
        <v>236</v>
      </c>
    </row>
    <row r="27685" spans="1:2" ht="12.75" customHeight="1" x14ac:dyDescent="0.25">
      <c r="A27685" s="318">
        <v>381749581556</v>
      </c>
      <c r="B27685" s="318" t="s">
        <v>235</v>
      </c>
    </row>
    <row r="27686" spans="1:2" ht="12.75" customHeight="1" x14ac:dyDescent="0.25">
      <c r="A27686" s="318">
        <v>381749581557</v>
      </c>
      <c r="B27686" s="318" t="s">
        <v>236</v>
      </c>
    </row>
    <row r="27687" spans="1:2" ht="12.75" customHeight="1" x14ac:dyDescent="0.25">
      <c r="A27687" s="318">
        <v>381749581558</v>
      </c>
      <c r="B27687" s="318" t="s">
        <v>235</v>
      </c>
    </row>
    <row r="27688" spans="1:2" ht="12.75" customHeight="1" x14ac:dyDescent="0.25">
      <c r="A27688" s="318">
        <v>381749581559</v>
      </c>
      <c r="B27688" s="318" t="s">
        <v>236</v>
      </c>
    </row>
    <row r="27689" spans="1:2" ht="12.75" customHeight="1" x14ac:dyDescent="0.25">
      <c r="A27689" s="318">
        <v>381749581560</v>
      </c>
      <c r="B27689" s="318" t="s">
        <v>235</v>
      </c>
    </row>
    <row r="27690" spans="1:2" ht="12.75" customHeight="1" x14ac:dyDescent="0.25">
      <c r="A27690" s="318">
        <v>381750062517</v>
      </c>
      <c r="B27690" s="318" t="s">
        <v>236</v>
      </c>
    </row>
    <row r="27691" spans="1:2" ht="12.75" customHeight="1" x14ac:dyDescent="0.25">
      <c r="A27691" s="318">
        <v>381750062518</v>
      </c>
      <c r="B27691" s="318" t="s">
        <v>235</v>
      </c>
    </row>
    <row r="27692" spans="1:2" ht="12.75" customHeight="1" x14ac:dyDescent="0.25">
      <c r="A27692" s="318">
        <v>381750062519</v>
      </c>
      <c r="B27692" s="318" t="s">
        <v>236</v>
      </c>
    </row>
    <row r="27693" spans="1:2" ht="12.75" customHeight="1" x14ac:dyDescent="0.25">
      <c r="A27693" s="318">
        <v>381750062520</v>
      </c>
      <c r="B27693" s="318" t="s">
        <v>235</v>
      </c>
    </row>
    <row r="27694" spans="1:2" ht="12.75" customHeight="1" x14ac:dyDescent="0.25">
      <c r="A27694" s="318">
        <v>381750062521</v>
      </c>
      <c r="B27694" s="318" t="s">
        <v>236</v>
      </c>
    </row>
    <row r="27695" spans="1:2" ht="12.75" customHeight="1" x14ac:dyDescent="0.25">
      <c r="A27695" s="318">
        <v>381750062522</v>
      </c>
      <c r="B27695" s="318" t="s">
        <v>235</v>
      </c>
    </row>
    <row r="27696" spans="1:2" ht="12.75" customHeight="1" x14ac:dyDescent="0.25">
      <c r="A27696" s="318">
        <v>381750062523</v>
      </c>
      <c r="B27696" s="318" t="s">
        <v>236</v>
      </c>
    </row>
    <row r="27697" spans="1:2" ht="12.75" customHeight="1" x14ac:dyDescent="0.25">
      <c r="A27697" s="318">
        <v>381750062524</v>
      </c>
      <c r="B27697" s="318" t="s">
        <v>235</v>
      </c>
    </row>
    <row r="27698" spans="1:2" ht="12.75" customHeight="1" x14ac:dyDescent="0.25">
      <c r="A27698" s="318">
        <v>381750062526</v>
      </c>
      <c r="B27698" s="318" t="s">
        <v>236</v>
      </c>
    </row>
    <row r="27699" spans="1:2" ht="12.75" customHeight="1" x14ac:dyDescent="0.25">
      <c r="A27699" s="318">
        <v>381750062527</v>
      </c>
      <c r="B27699" s="318" t="s">
        <v>235</v>
      </c>
    </row>
    <row r="27700" spans="1:2" ht="12.75" customHeight="1" x14ac:dyDescent="0.25">
      <c r="A27700" s="318">
        <v>381750062528</v>
      </c>
      <c r="B27700" s="318" t="s">
        <v>236</v>
      </c>
    </row>
    <row r="27701" spans="1:2" ht="12.75" customHeight="1" x14ac:dyDescent="0.25">
      <c r="A27701" s="318">
        <v>381750062529</v>
      </c>
      <c r="B27701" s="318" t="s">
        <v>235</v>
      </c>
    </row>
    <row r="27702" spans="1:2" ht="12.75" customHeight="1" x14ac:dyDescent="0.25">
      <c r="A27702" s="318">
        <v>381750062530</v>
      </c>
      <c r="B27702" s="318" t="s">
        <v>236</v>
      </c>
    </row>
    <row r="27703" spans="1:2" ht="12.75" customHeight="1" x14ac:dyDescent="0.25">
      <c r="A27703" s="318">
        <v>381750062531</v>
      </c>
      <c r="B27703" s="318" t="s">
        <v>235</v>
      </c>
    </row>
    <row r="27704" spans="1:2" ht="12.75" customHeight="1" x14ac:dyDescent="0.25">
      <c r="A27704" s="318">
        <v>381750062532</v>
      </c>
      <c r="B27704" s="318" t="s">
        <v>236</v>
      </c>
    </row>
    <row r="27705" spans="1:2" ht="12.75" customHeight="1" x14ac:dyDescent="0.25">
      <c r="A27705" s="318">
        <v>381750062533</v>
      </c>
      <c r="B27705" s="318" t="s">
        <v>235</v>
      </c>
    </row>
    <row r="27706" spans="1:2" ht="12.75" customHeight="1" x14ac:dyDescent="0.25">
      <c r="A27706" s="318">
        <v>381750742708</v>
      </c>
      <c r="B27706" s="318" t="s">
        <v>236</v>
      </c>
    </row>
    <row r="27707" spans="1:2" ht="12.75" customHeight="1" x14ac:dyDescent="0.25">
      <c r="A27707" s="318">
        <v>381750742709</v>
      </c>
      <c r="B27707" s="318" t="s">
        <v>235</v>
      </c>
    </row>
    <row r="27708" spans="1:2" ht="12.75" customHeight="1" x14ac:dyDescent="0.25">
      <c r="A27708" s="318">
        <v>381750742710</v>
      </c>
      <c r="B27708" s="318" t="s">
        <v>236</v>
      </c>
    </row>
    <row r="27709" spans="1:2" ht="12.75" customHeight="1" x14ac:dyDescent="0.25">
      <c r="A27709" s="318">
        <v>381750742711</v>
      </c>
      <c r="B27709" s="318" t="s">
        <v>235</v>
      </c>
    </row>
    <row r="27710" spans="1:2" ht="12.75" customHeight="1" x14ac:dyDescent="0.25">
      <c r="A27710" s="318">
        <v>381750742712</v>
      </c>
      <c r="B27710" s="318" t="s">
        <v>236</v>
      </c>
    </row>
    <row r="27711" spans="1:2" ht="12.75" customHeight="1" x14ac:dyDescent="0.25">
      <c r="A27711" s="318">
        <v>381750742713</v>
      </c>
      <c r="B27711" s="318" t="s">
        <v>235</v>
      </c>
    </row>
    <row r="27712" spans="1:2" ht="12.75" customHeight="1" x14ac:dyDescent="0.25">
      <c r="A27712" s="318">
        <v>381750742714</v>
      </c>
      <c r="B27712" s="318" t="s">
        <v>236</v>
      </c>
    </row>
    <row r="27713" spans="1:2" ht="12.75" customHeight="1" x14ac:dyDescent="0.25">
      <c r="A27713" s="318">
        <v>381750742715</v>
      </c>
      <c r="B27713" s="318" t="s">
        <v>235</v>
      </c>
    </row>
    <row r="27714" spans="1:2" ht="12.75" customHeight="1" x14ac:dyDescent="0.25">
      <c r="A27714" s="318">
        <v>381750742717</v>
      </c>
      <c r="B27714" s="318" t="s">
        <v>236</v>
      </c>
    </row>
    <row r="27715" spans="1:2" ht="12.75" customHeight="1" x14ac:dyDescent="0.25">
      <c r="A27715" s="318">
        <v>381750742718</v>
      </c>
      <c r="B27715" s="318" t="s">
        <v>235</v>
      </c>
    </row>
    <row r="27716" spans="1:2" ht="12.75" customHeight="1" x14ac:dyDescent="0.25">
      <c r="A27716" s="318">
        <v>381750742719</v>
      </c>
      <c r="B27716" s="318" t="s">
        <v>236</v>
      </c>
    </row>
    <row r="27717" spans="1:2" ht="12.75" customHeight="1" x14ac:dyDescent="0.25">
      <c r="A27717" s="318">
        <v>381750742720</v>
      </c>
      <c r="B27717" s="318" t="s">
        <v>235</v>
      </c>
    </row>
    <row r="27718" spans="1:2" ht="12.75" customHeight="1" x14ac:dyDescent="0.25">
      <c r="A27718" s="318">
        <v>381750742721</v>
      </c>
      <c r="B27718" s="318" t="s">
        <v>236</v>
      </c>
    </row>
    <row r="27719" spans="1:2" ht="12.75" customHeight="1" x14ac:dyDescent="0.25">
      <c r="A27719" s="318">
        <v>381750742722</v>
      </c>
      <c r="B27719" s="318" t="s">
        <v>235</v>
      </c>
    </row>
    <row r="27720" spans="1:2" ht="12.75" customHeight="1" x14ac:dyDescent="0.25">
      <c r="A27720" s="318">
        <v>381750742723</v>
      </c>
      <c r="B27720" s="318" t="s">
        <v>236</v>
      </c>
    </row>
    <row r="27721" spans="1:2" ht="12.75" customHeight="1" x14ac:dyDescent="0.25">
      <c r="A27721" s="318">
        <v>381750742724</v>
      </c>
      <c r="B27721" s="318" t="s">
        <v>235</v>
      </c>
    </row>
    <row r="27722" spans="1:2" ht="12.75" customHeight="1" x14ac:dyDescent="0.25">
      <c r="A27722" s="318">
        <v>381751223681</v>
      </c>
      <c r="B27722" s="318" t="s">
        <v>236</v>
      </c>
    </row>
    <row r="27723" spans="1:2" ht="12.75" customHeight="1" x14ac:dyDescent="0.25">
      <c r="A27723" s="318">
        <v>381751223682</v>
      </c>
      <c r="B27723" s="318" t="s">
        <v>235</v>
      </c>
    </row>
    <row r="27724" spans="1:2" ht="12.75" customHeight="1" x14ac:dyDescent="0.25">
      <c r="A27724" s="318">
        <v>381751223683</v>
      </c>
      <c r="B27724" s="318" t="s">
        <v>236</v>
      </c>
    </row>
    <row r="27725" spans="1:2" ht="12.75" customHeight="1" x14ac:dyDescent="0.25">
      <c r="A27725" s="318">
        <v>381751223684</v>
      </c>
      <c r="B27725" s="318" t="s">
        <v>235</v>
      </c>
    </row>
    <row r="27726" spans="1:2" ht="12.75" customHeight="1" x14ac:dyDescent="0.25">
      <c r="A27726" s="318">
        <v>381751223685</v>
      </c>
      <c r="B27726" s="318" t="s">
        <v>236</v>
      </c>
    </row>
    <row r="27727" spans="1:2" ht="12.75" customHeight="1" x14ac:dyDescent="0.25">
      <c r="A27727" s="318">
        <v>381751223686</v>
      </c>
      <c r="B27727" s="318" t="s">
        <v>235</v>
      </c>
    </row>
    <row r="27728" spans="1:2" ht="12.75" customHeight="1" x14ac:dyDescent="0.25">
      <c r="A27728" s="318">
        <v>381751223687</v>
      </c>
      <c r="B27728" s="318" t="s">
        <v>236</v>
      </c>
    </row>
    <row r="27729" spans="1:2" ht="12.75" customHeight="1" x14ac:dyDescent="0.25">
      <c r="A27729" s="318">
        <v>381751223688</v>
      </c>
      <c r="B27729" s="318" t="s">
        <v>235</v>
      </c>
    </row>
    <row r="27730" spans="1:2" ht="12.75" customHeight="1" x14ac:dyDescent="0.25">
      <c r="A27730" s="318">
        <v>381751223690</v>
      </c>
      <c r="B27730" s="318" t="s">
        <v>236</v>
      </c>
    </row>
    <row r="27731" spans="1:2" ht="12.75" customHeight="1" x14ac:dyDescent="0.25">
      <c r="A27731" s="318">
        <v>381751223691</v>
      </c>
      <c r="B27731" s="318" t="s">
        <v>235</v>
      </c>
    </row>
    <row r="27732" spans="1:2" ht="12.75" customHeight="1" x14ac:dyDescent="0.25">
      <c r="A27732" s="318">
        <v>381751223692</v>
      </c>
      <c r="B27732" s="318" t="s">
        <v>236</v>
      </c>
    </row>
    <row r="27733" spans="1:2" ht="12.75" customHeight="1" x14ac:dyDescent="0.25">
      <c r="A27733" s="318">
        <v>381751223693</v>
      </c>
      <c r="B27733" s="318" t="s">
        <v>235</v>
      </c>
    </row>
    <row r="27734" spans="1:2" ht="12.75" customHeight="1" x14ac:dyDescent="0.25">
      <c r="A27734" s="318">
        <v>381751223694</v>
      </c>
      <c r="B27734" s="318" t="s">
        <v>236</v>
      </c>
    </row>
    <row r="27735" spans="1:2" ht="12.75" customHeight="1" x14ac:dyDescent="0.25">
      <c r="A27735" s="318">
        <v>381751223695</v>
      </c>
      <c r="B27735" s="318" t="s">
        <v>235</v>
      </c>
    </row>
    <row r="27736" spans="1:2" ht="12.75" customHeight="1" x14ac:dyDescent="0.25">
      <c r="A27736" s="318">
        <v>381751223696</v>
      </c>
      <c r="B27736" s="318" t="s">
        <v>236</v>
      </c>
    </row>
    <row r="27737" spans="1:2" ht="12.75" customHeight="1" x14ac:dyDescent="0.25">
      <c r="A27737" s="318">
        <v>381751223697</v>
      </c>
      <c r="B27737" s="318" t="s">
        <v>235</v>
      </c>
    </row>
    <row r="27738" spans="1:2" ht="12.75" customHeight="1" x14ac:dyDescent="0.25">
      <c r="A27738" s="318">
        <v>381751704654</v>
      </c>
      <c r="B27738" s="318" t="s">
        <v>236</v>
      </c>
    </row>
    <row r="27739" spans="1:2" ht="12.75" customHeight="1" x14ac:dyDescent="0.25">
      <c r="A27739" s="318">
        <v>381751704655</v>
      </c>
      <c r="B27739" s="318" t="s">
        <v>235</v>
      </c>
    </row>
    <row r="27740" spans="1:2" ht="12.75" customHeight="1" x14ac:dyDescent="0.25">
      <c r="A27740" s="318">
        <v>381751704656</v>
      </c>
      <c r="B27740" s="318" t="s">
        <v>236</v>
      </c>
    </row>
    <row r="27741" spans="1:2" ht="12.75" customHeight="1" x14ac:dyDescent="0.25">
      <c r="A27741" s="318">
        <v>381751704657</v>
      </c>
      <c r="B27741" s="318" t="s">
        <v>235</v>
      </c>
    </row>
    <row r="27742" spans="1:2" ht="12.75" customHeight="1" x14ac:dyDescent="0.25">
      <c r="A27742" s="318">
        <v>381751704658</v>
      </c>
      <c r="B27742" s="318" t="s">
        <v>236</v>
      </c>
    </row>
    <row r="27743" spans="1:2" ht="12.75" customHeight="1" x14ac:dyDescent="0.25">
      <c r="A27743" s="318">
        <v>381751704659</v>
      </c>
      <c r="B27743" s="318" t="s">
        <v>235</v>
      </c>
    </row>
    <row r="27744" spans="1:2" ht="12.75" customHeight="1" x14ac:dyDescent="0.25">
      <c r="A27744" s="318">
        <v>381751704660</v>
      </c>
      <c r="B27744" s="318" t="s">
        <v>236</v>
      </c>
    </row>
    <row r="27745" spans="1:2" ht="12.75" customHeight="1" x14ac:dyDescent="0.25">
      <c r="A27745" s="318">
        <v>381751704661</v>
      </c>
      <c r="B27745" s="318" t="s">
        <v>235</v>
      </c>
    </row>
    <row r="27746" spans="1:2" ht="12.75" customHeight="1" x14ac:dyDescent="0.25">
      <c r="A27746" s="318">
        <v>381751704663</v>
      </c>
      <c r="B27746" s="318" t="s">
        <v>236</v>
      </c>
    </row>
    <row r="27747" spans="1:2" ht="12.75" customHeight="1" x14ac:dyDescent="0.25">
      <c r="A27747" s="318">
        <v>381751704664</v>
      </c>
      <c r="B27747" s="318" t="s">
        <v>235</v>
      </c>
    </row>
    <row r="27748" spans="1:2" ht="12.75" customHeight="1" x14ac:dyDescent="0.25">
      <c r="A27748" s="318">
        <v>381751704665</v>
      </c>
      <c r="B27748" s="318" t="s">
        <v>236</v>
      </c>
    </row>
    <row r="27749" spans="1:2" ht="12.75" customHeight="1" x14ac:dyDescent="0.25">
      <c r="A27749" s="318">
        <v>381751704666</v>
      </c>
      <c r="B27749" s="318" t="s">
        <v>235</v>
      </c>
    </row>
    <row r="27750" spans="1:2" ht="12.75" customHeight="1" x14ac:dyDescent="0.25">
      <c r="A27750" s="318">
        <v>381751704667</v>
      </c>
      <c r="B27750" s="318" t="s">
        <v>236</v>
      </c>
    </row>
    <row r="27751" spans="1:2" ht="12.75" customHeight="1" x14ac:dyDescent="0.25">
      <c r="A27751" s="318">
        <v>381751704668</v>
      </c>
      <c r="B27751" s="318" t="s">
        <v>235</v>
      </c>
    </row>
    <row r="27752" spans="1:2" ht="12.75" customHeight="1" x14ac:dyDescent="0.25">
      <c r="A27752" s="318">
        <v>381751704669</v>
      </c>
      <c r="B27752" s="318" t="s">
        <v>236</v>
      </c>
    </row>
    <row r="27753" spans="1:2" ht="12.75" customHeight="1" x14ac:dyDescent="0.25">
      <c r="A27753" s="318">
        <v>381751704670</v>
      </c>
      <c r="B27753" s="318" t="s">
        <v>235</v>
      </c>
    </row>
    <row r="27754" spans="1:2" ht="12.75" customHeight="1" x14ac:dyDescent="0.25">
      <c r="A27754" s="318">
        <v>394164637581</v>
      </c>
      <c r="B27754" s="318" t="s">
        <v>236</v>
      </c>
    </row>
    <row r="27755" spans="1:2" ht="12.75" customHeight="1" x14ac:dyDescent="0.25">
      <c r="A27755" s="318">
        <v>394164637582</v>
      </c>
      <c r="B27755" s="318" t="s">
        <v>23</v>
      </c>
    </row>
    <row r="27756" spans="1:2" ht="12.75" customHeight="1" x14ac:dyDescent="0.25">
      <c r="A27756" s="318">
        <v>394164637583</v>
      </c>
      <c r="B27756" s="318" t="s">
        <v>236</v>
      </c>
    </row>
    <row r="27757" spans="1:2" ht="12.75" customHeight="1" x14ac:dyDescent="0.25">
      <c r="A27757" s="318">
        <v>394164637584</v>
      </c>
      <c r="B27757" s="318" t="s">
        <v>23</v>
      </c>
    </row>
    <row r="27758" spans="1:2" ht="12.75" customHeight="1" x14ac:dyDescent="0.25">
      <c r="A27758" s="318">
        <v>394164637585</v>
      </c>
      <c r="B27758" s="318" t="s">
        <v>236</v>
      </c>
    </row>
    <row r="27759" spans="1:2" ht="12.75" customHeight="1" x14ac:dyDescent="0.25">
      <c r="A27759" s="318">
        <v>394164637586</v>
      </c>
      <c r="B27759" s="318" t="s">
        <v>23</v>
      </c>
    </row>
    <row r="27760" spans="1:2" ht="12.75" customHeight="1" x14ac:dyDescent="0.25">
      <c r="A27760" s="318">
        <v>394164637587</v>
      </c>
      <c r="B27760" s="318" t="s">
        <v>23</v>
      </c>
    </row>
    <row r="27761" spans="1:2" ht="12.75" customHeight="1" x14ac:dyDescent="0.25">
      <c r="A27761" s="318">
        <v>394164637588</v>
      </c>
      <c r="B27761" s="318" t="s">
        <v>237</v>
      </c>
    </row>
    <row r="27762" spans="1:2" ht="12.75" customHeight="1" x14ac:dyDescent="0.25">
      <c r="A27762" s="318">
        <v>394164637590</v>
      </c>
      <c r="B27762" s="318" t="s">
        <v>237</v>
      </c>
    </row>
    <row r="27763" spans="1:2" ht="12.75" customHeight="1" x14ac:dyDescent="0.25">
      <c r="A27763" s="318">
        <v>394164637591</v>
      </c>
      <c r="B27763" s="318" t="s">
        <v>237</v>
      </c>
    </row>
    <row r="27764" spans="1:2" ht="12.75" customHeight="1" x14ac:dyDescent="0.25">
      <c r="A27764" s="318">
        <v>394164637592</v>
      </c>
      <c r="B27764" s="318" t="s">
        <v>237</v>
      </c>
    </row>
    <row r="27765" spans="1:2" ht="12.75" customHeight="1" x14ac:dyDescent="0.25">
      <c r="A27765" s="318">
        <v>394164637593</v>
      </c>
      <c r="B27765" s="318" t="s">
        <v>237</v>
      </c>
    </row>
    <row r="27766" spans="1:2" ht="12.75" customHeight="1" x14ac:dyDescent="0.25">
      <c r="A27766" s="318">
        <v>394164637594</v>
      </c>
      <c r="B27766" s="318" t="s">
        <v>237</v>
      </c>
    </row>
    <row r="27767" spans="1:2" ht="12.75" customHeight="1" x14ac:dyDescent="0.25">
      <c r="A27767" s="318">
        <v>394164637595</v>
      </c>
      <c r="B27767" s="318" t="s">
        <v>237</v>
      </c>
    </row>
    <row r="27768" spans="1:2" ht="12.75" customHeight="1" x14ac:dyDescent="0.25">
      <c r="A27768" s="318">
        <v>394164637596</v>
      </c>
      <c r="B27768" s="318" t="s">
        <v>237</v>
      </c>
    </row>
    <row r="27769" spans="1:2" ht="12.75" customHeight="1" x14ac:dyDescent="0.25">
      <c r="A27769" s="318">
        <v>394164637597</v>
      </c>
      <c r="B27769" s="318" t="s">
        <v>237</v>
      </c>
    </row>
    <row r="27770" spans="1:2" ht="12.75" customHeight="1" x14ac:dyDescent="0.25">
      <c r="A27770" s="318">
        <v>394165118554</v>
      </c>
      <c r="B27770" s="318" t="s">
        <v>236</v>
      </c>
    </row>
    <row r="27771" spans="1:2" ht="12.75" customHeight="1" x14ac:dyDescent="0.25">
      <c r="A27771" s="318">
        <v>394165118555</v>
      </c>
      <c r="B27771" s="318" t="s">
        <v>23</v>
      </c>
    </row>
    <row r="27772" spans="1:2" ht="12.75" customHeight="1" x14ac:dyDescent="0.25">
      <c r="A27772" s="318">
        <v>394165118556</v>
      </c>
      <c r="B27772" s="318" t="s">
        <v>236</v>
      </c>
    </row>
    <row r="27773" spans="1:2" ht="12.75" customHeight="1" x14ac:dyDescent="0.25">
      <c r="A27773" s="318">
        <v>394165118557</v>
      </c>
      <c r="B27773" s="318" t="s">
        <v>23</v>
      </c>
    </row>
    <row r="27774" spans="1:2" ht="12.75" customHeight="1" x14ac:dyDescent="0.25">
      <c r="A27774" s="318">
        <v>394165118558</v>
      </c>
      <c r="B27774" s="318" t="s">
        <v>236</v>
      </c>
    </row>
    <row r="27775" spans="1:2" ht="12.75" customHeight="1" x14ac:dyDescent="0.25">
      <c r="A27775" s="318">
        <v>394165118559</v>
      </c>
      <c r="B27775" s="318" t="s">
        <v>23</v>
      </c>
    </row>
    <row r="27776" spans="1:2" ht="12.75" customHeight="1" x14ac:dyDescent="0.25">
      <c r="A27776" s="318">
        <v>394165118560</v>
      </c>
      <c r="B27776" s="318" t="s">
        <v>23</v>
      </c>
    </row>
    <row r="27777" spans="1:2" ht="12.75" customHeight="1" x14ac:dyDescent="0.25">
      <c r="A27777" s="318">
        <v>394165118561</v>
      </c>
      <c r="B27777" s="318" t="s">
        <v>237</v>
      </c>
    </row>
    <row r="27778" spans="1:2" ht="12.75" customHeight="1" x14ac:dyDescent="0.25">
      <c r="A27778" s="318">
        <v>394165118563</v>
      </c>
      <c r="B27778" s="318" t="s">
        <v>237</v>
      </c>
    </row>
    <row r="27779" spans="1:2" ht="12.75" customHeight="1" x14ac:dyDescent="0.25">
      <c r="A27779" s="318">
        <v>394165118564</v>
      </c>
      <c r="B27779" s="318" t="s">
        <v>237</v>
      </c>
    </row>
    <row r="27780" spans="1:2" ht="12.75" customHeight="1" x14ac:dyDescent="0.25">
      <c r="A27780" s="318">
        <v>394165118565</v>
      </c>
      <c r="B27780" s="318" t="s">
        <v>237</v>
      </c>
    </row>
    <row r="27781" spans="1:2" ht="12.75" customHeight="1" x14ac:dyDescent="0.25">
      <c r="A27781" s="318">
        <v>394165118566</v>
      </c>
      <c r="B27781" s="318" t="s">
        <v>237</v>
      </c>
    </row>
    <row r="27782" spans="1:2" ht="12.75" customHeight="1" x14ac:dyDescent="0.25">
      <c r="A27782" s="318">
        <v>394165118567</v>
      </c>
      <c r="B27782" s="318" t="s">
        <v>237</v>
      </c>
    </row>
    <row r="27783" spans="1:2" ht="12.75" customHeight="1" x14ac:dyDescent="0.25">
      <c r="A27783" s="318">
        <v>394165118568</v>
      </c>
      <c r="B27783" s="318" t="s">
        <v>237</v>
      </c>
    </row>
    <row r="27784" spans="1:2" ht="12.75" customHeight="1" x14ac:dyDescent="0.25">
      <c r="A27784" s="318">
        <v>394165118569</v>
      </c>
      <c r="B27784" s="318" t="s">
        <v>237</v>
      </c>
    </row>
    <row r="27785" spans="1:2" ht="12.75" customHeight="1" x14ac:dyDescent="0.25">
      <c r="A27785" s="318">
        <v>394165118570</v>
      </c>
      <c r="B27785" s="318" t="s">
        <v>237</v>
      </c>
    </row>
    <row r="27786" spans="1:2" ht="12.75" customHeight="1" x14ac:dyDescent="0.25">
      <c r="A27786" s="318">
        <v>394165599527</v>
      </c>
      <c r="B27786" s="318" t="s">
        <v>236</v>
      </c>
    </row>
    <row r="27787" spans="1:2" ht="12.75" customHeight="1" x14ac:dyDescent="0.25">
      <c r="A27787" s="318">
        <v>394165599528</v>
      </c>
      <c r="B27787" s="318" t="s">
        <v>23</v>
      </c>
    </row>
    <row r="27788" spans="1:2" ht="12.75" customHeight="1" x14ac:dyDescent="0.25">
      <c r="A27788" s="318">
        <v>394165599529</v>
      </c>
      <c r="B27788" s="318" t="s">
        <v>236</v>
      </c>
    </row>
    <row r="27789" spans="1:2" ht="12.75" customHeight="1" x14ac:dyDescent="0.25">
      <c r="A27789" s="318">
        <v>394165599530</v>
      </c>
      <c r="B27789" s="318" t="s">
        <v>23</v>
      </c>
    </row>
    <row r="27790" spans="1:2" ht="12.75" customHeight="1" x14ac:dyDescent="0.25">
      <c r="A27790" s="318">
        <v>394165599531</v>
      </c>
      <c r="B27790" s="318" t="s">
        <v>236</v>
      </c>
    </row>
    <row r="27791" spans="1:2" ht="12.75" customHeight="1" x14ac:dyDescent="0.25">
      <c r="A27791" s="318">
        <v>394165599532</v>
      </c>
      <c r="B27791" s="318" t="s">
        <v>23</v>
      </c>
    </row>
    <row r="27792" spans="1:2" ht="12.75" customHeight="1" x14ac:dyDescent="0.25">
      <c r="A27792" s="318">
        <v>394165599533</v>
      </c>
      <c r="B27792" s="318" t="s">
        <v>236</v>
      </c>
    </row>
    <row r="27793" spans="1:2" ht="12.75" customHeight="1" x14ac:dyDescent="0.25">
      <c r="A27793" s="318">
        <v>394165599534</v>
      </c>
      <c r="B27793" s="318" t="s">
        <v>237</v>
      </c>
    </row>
    <row r="27794" spans="1:2" ht="12.75" customHeight="1" x14ac:dyDescent="0.25">
      <c r="A27794" s="318">
        <v>394165599536</v>
      </c>
      <c r="B27794" s="318" t="s">
        <v>236</v>
      </c>
    </row>
    <row r="27795" spans="1:2" ht="12.75" customHeight="1" x14ac:dyDescent="0.25">
      <c r="A27795" s="318">
        <v>394165599537</v>
      </c>
      <c r="B27795" s="318" t="s">
        <v>237</v>
      </c>
    </row>
    <row r="27796" spans="1:2" ht="12.75" customHeight="1" x14ac:dyDescent="0.25">
      <c r="A27796" s="318">
        <v>394165599538</v>
      </c>
      <c r="B27796" s="318" t="s">
        <v>236</v>
      </c>
    </row>
    <row r="27797" spans="1:2" ht="12.75" customHeight="1" x14ac:dyDescent="0.25">
      <c r="A27797" s="318">
        <v>394165599539</v>
      </c>
      <c r="B27797" s="318" t="s">
        <v>237</v>
      </c>
    </row>
    <row r="27798" spans="1:2" ht="12.75" customHeight="1" x14ac:dyDescent="0.25">
      <c r="A27798" s="318">
        <v>394165599540</v>
      </c>
      <c r="B27798" s="318" t="s">
        <v>236</v>
      </c>
    </row>
    <row r="27799" spans="1:2" ht="12.75" customHeight="1" x14ac:dyDescent="0.25">
      <c r="A27799" s="318">
        <v>394165599541</v>
      </c>
      <c r="B27799" s="318" t="s">
        <v>237</v>
      </c>
    </row>
    <row r="27800" spans="1:2" ht="12.75" customHeight="1" x14ac:dyDescent="0.25">
      <c r="A27800" s="318">
        <v>394165599542</v>
      </c>
      <c r="B27800" s="318" t="s">
        <v>236</v>
      </c>
    </row>
    <row r="27801" spans="1:2" ht="12.75" customHeight="1" x14ac:dyDescent="0.25">
      <c r="A27801" s="318">
        <v>394165599543</v>
      </c>
      <c r="B27801" s="318" t="s">
        <v>237</v>
      </c>
    </row>
    <row r="27802" spans="1:2" ht="12.75" customHeight="1" x14ac:dyDescent="0.25">
      <c r="A27802" s="318">
        <v>394166279718</v>
      </c>
      <c r="B27802" s="318" t="s">
        <v>236</v>
      </c>
    </row>
    <row r="27803" spans="1:2" ht="12.75" customHeight="1" x14ac:dyDescent="0.25">
      <c r="A27803" s="318">
        <v>394166279719</v>
      </c>
      <c r="B27803" s="318" t="s">
        <v>23</v>
      </c>
    </row>
    <row r="27804" spans="1:2" ht="12.75" customHeight="1" x14ac:dyDescent="0.25">
      <c r="A27804" s="318">
        <v>394166279720</v>
      </c>
      <c r="B27804" s="318" t="s">
        <v>236</v>
      </c>
    </row>
    <row r="27805" spans="1:2" ht="12.75" customHeight="1" x14ac:dyDescent="0.25">
      <c r="A27805" s="318">
        <v>394166279721</v>
      </c>
      <c r="B27805" s="318" t="s">
        <v>23</v>
      </c>
    </row>
    <row r="27806" spans="1:2" ht="12.75" customHeight="1" x14ac:dyDescent="0.25">
      <c r="A27806" s="318">
        <v>394166279722</v>
      </c>
      <c r="B27806" s="318" t="s">
        <v>236</v>
      </c>
    </row>
    <row r="27807" spans="1:2" ht="12.75" customHeight="1" x14ac:dyDescent="0.25">
      <c r="A27807" s="318">
        <v>394166279723</v>
      </c>
      <c r="B27807" s="318" t="s">
        <v>23</v>
      </c>
    </row>
    <row r="27808" spans="1:2" ht="12.75" customHeight="1" x14ac:dyDescent="0.25">
      <c r="A27808" s="318">
        <v>394166279724</v>
      </c>
      <c r="B27808" s="318" t="s">
        <v>23</v>
      </c>
    </row>
    <row r="27809" spans="1:2" ht="12.75" customHeight="1" x14ac:dyDescent="0.25">
      <c r="A27809" s="318">
        <v>394166279725</v>
      </c>
      <c r="B27809" s="318" t="s">
        <v>237</v>
      </c>
    </row>
    <row r="27810" spans="1:2" ht="12.75" customHeight="1" x14ac:dyDescent="0.25">
      <c r="A27810" s="318">
        <v>394166279727</v>
      </c>
      <c r="B27810" s="318" t="s">
        <v>237</v>
      </c>
    </row>
    <row r="27811" spans="1:2" ht="12.75" customHeight="1" x14ac:dyDescent="0.25">
      <c r="A27811" s="318">
        <v>394166279728</v>
      </c>
      <c r="B27811" s="318" t="s">
        <v>237</v>
      </c>
    </row>
    <row r="27812" spans="1:2" ht="12.75" customHeight="1" x14ac:dyDescent="0.25">
      <c r="A27812" s="318">
        <v>394166279729</v>
      </c>
      <c r="B27812" s="318" t="s">
        <v>237</v>
      </c>
    </row>
    <row r="27813" spans="1:2" ht="12.75" customHeight="1" x14ac:dyDescent="0.25">
      <c r="A27813" s="318">
        <v>394166279730</v>
      </c>
      <c r="B27813" s="318" t="s">
        <v>237</v>
      </c>
    </row>
    <row r="27814" spans="1:2" ht="12.75" customHeight="1" x14ac:dyDescent="0.25">
      <c r="A27814" s="318">
        <v>394166279731</v>
      </c>
      <c r="B27814" s="318" t="s">
        <v>237</v>
      </c>
    </row>
    <row r="27815" spans="1:2" ht="12.75" customHeight="1" x14ac:dyDescent="0.25">
      <c r="A27815" s="318">
        <v>394166279732</v>
      </c>
      <c r="B27815" s="318" t="s">
        <v>237</v>
      </c>
    </row>
    <row r="27816" spans="1:2" ht="12.75" customHeight="1" x14ac:dyDescent="0.25">
      <c r="A27816" s="318">
        <v>394166279733</v>
      </c>
      <c r="B27816" s="318" t="s">
        <v>237</v>
      </c>
    </row>
    <row r="27817" spans="1:2" ht="12.75" customHeight="1" x14ac:dyDescent="0.25">
      <c r="A27817" s="318">
        <v>394166279734</v>
      </c>
      <c r="B27817" s="318" t="s">
        <v>237</v>
      </c>
    </row>
    <row r="27818" spans="1:2" ht="12.75" customHeight="1" x14ac:dyDescent="0.25">
      <c r="A27818" s="318">
        <v>394166760691</v>
      </c>
      <c r="B27818" s="318" t="s">
        <v>236</v>
      </c>
    </row>
    <row r="27819" spans="1:2" ht="12.75" customHeight="1" x14ac:dyDescent="0.25">
      <c r="A27819" s="318">
        <v>394166760692</v>
      </c>
      <c r="B27819" s="318" t="s">
        <v>23</v>
      </c>
    </row>
    <row r="27820" spans="1:2" ht="12.75" customHeight="1" x14ac:dyDescent="0.25">
      <c r="A27820" s="318">
        <v>394166760693</v>
      </c>
      <c r="B27820" s="318" t="s">
        <v>236</v>
      </c>
    </row>
    <row r="27821" spans="1:2" ht="12.75" customHeight="1" x14ac:dyDescent="0.25">
      <c r="A27821" s="318">
        <v>394166760694</v>
      </c>
      <c r="B27821" s="318" t="s">
        <v>23</v>
      </c>
    </row>
    <row r="27822" spans="1:2" ht="12.75" customHeight="1" x14ac:dyDescent="0.25">
      <c r="A27822" s="318">
        <v>394166760695</v>
      </c>
      <c r="B27822" s="318" t="s">
        <v>236</v>
      </c>
    </row>
    <row r="27823" spans="1:2" ht="12.75" customHeight="1" x14ac:dyDescent="0.25">
      <c r="A27823" s="318">
        <v>394166760696</v>
      </c>
      <c r="B27823" s="318" t="s">
        <v>23</v>
      </c>
    </row>
    <row r="27824" spans="1:2" ht="12.75" customHeight="1" x14ac:dyDescent="0.25">
      <c r="A27824" s="318">
        <v>394166760697</v>
      </c>
      <c r="B27824" s="318" t="s">
        <v>23</v>
      </c>
    </row>
    <row r="27825" spans="1:2" ht="12.75" customHeight="1" x14ac:dyDescent="0.25">
      <c r="A27825" s="318">
        <v>394166760698</v>
      </c>
      <c r="B27825" s="318" t="s">
        <v>237</v>
      </c>
    </row>
    <row r="27826" spans="1:2" ht="12.75" customHeight="1" x14ac:dyDescent="0.25">
      <c r="A27826" s="318">
        <v>394166760700</v>
      </c>
      <c r="B27826" s="318" t="s">
        <v>237</v>
      </c>
    </row>
    <row r="27827" spans="1:2" ht="12.75" customHeight="1" x14ac:dyDescent="0.25">
      <c r="A27827" s="318">
        <v>394166760701</v>
      </c>
      <c r="B27827" s="318" t="s">
        <v>237</v>
      </c>
    </row>
    <row r="27828" spans="1:2" ht="12.75" customHeight="1" x14ac:dyDescent="0.25">
      <c r="A27828" s="318">
        <v>394166760702</v>
      </c>
      <c r="B27828" s="318" t="s">
        <v>237</v>
      </c>
    </row>
    <row r="27829" spans="1:2" ht="12.75" customHeight="1" x14ac:dyDescent="0.25">
      <c r="A27829" s="318">
        <v>394166760703</v>
      </c>
      <c r="B27829" s="318" t="s">
        <v>237</v>
      </c>
    </row>
    <row r="27830" spans="1:2" ht="12.75" customHeight="1" x14ac:dyDescent="0.25">
      <c r="A27830" s="318">
        <v>394166760704</v>
      </c>
      <c r="B27830" s="318" t="s">
        <v>237</v>
      </c>
    </row>
    <row r="27831" spans="1:2" ht="12.75" customHeight="1" x14ac:dyDescent="0.25">
      <c r="A27831" s="318">
        <v>394166760705</v>
      </c>
      <c r="B27831" s="318" t="s">
        <v>237</v>
      </c>
    </row>
    <row r="27832" spans="1:2" ht="12.75" customHeight="1" x14ac:dyDescent="0.25">
      <c r="A27832" s="318">
        <v>394166760706</v>
      </c>
      <c r="B27832" s="318" t="s">
        <v>237</v>
      </c>
    </row>
    <row r="27833" spans="1:2" ht="12.75" customHeight="1" x14ac:dyDescent="0.25">
      <c r="A27833" s="318">
        <v>394166760707</v>
      </c>
      <c r="B27833" s="318" t="s">
        <v>237</v>
      </c>
    </row>
    <row r="27834" spans="1:2" ht="12.75" customHeight="1" x14ac:dyDescent="0.25">
      <c r="A27834" s="318">
        <v>394167241664</v>
      </c>
      <c r="B27834" s="318" t="s">
        <v>236</v>
      </c>
    </row>
    <row r="27835" spans="1:2" ht="12.75" customHeight="1" x14ac:dyDescent="0.25">
      <c r="A27835" s="318">
        <v>394167241665</v>
      </c>
      <c r="B27835" s="318" t="s">
        <v>23</v>
      </c>
    </row>
    <row r="27836" spans="1:2" ht="12.75" customHeight="1" x14ac:dyDescent="0.25">
      <c r="A27836" s="318">
        <v>394167241666</v>
      </c>
      <c r="B27836" s="318" t="s">
        <v>236</v>
      </c>
    </row>
    <row r="27837" spans="1:2" ht="12.75" customHeight="1" x14ac:dyDescent="0.25">
      <c r="A27837" s="318">
        <v>394167241667</v>
      </c>
      <c r="B27837" s="318" t="s">
        <v>23</v>
      </c>
    </row>
    <row r="27838" spans="1:2" ht="12.75" customHeight="1" x14ac:dyDescent="0.25">
      <c r="A27838" s="318">
        <v>394167241668</v>
      </c>
      <c r="B27838" s="318" t="s">
        <v>236</v>
      </c>
    </row>
    <row r="27839" spans="1:2" ht="12.75" customHeight="1" x14ac:dyDescent="0.25">
      <c r="A27839" s="318">
        <v>394167241669</v>
      </c>
      <c r="B27839" s="318" t="s">
        <v>23</v>
      </c>
    </row>
    <row r="27840" spans="1:2" ht="12.75" customHeight="1" x14ac:dyDescent="0.25">
      <c r="A27840" s="318">
        <v>394167241670</v>
      </c>
      <c r="B27840" s="318" t="s">
        <v>236</v>
      </c>
    </row>
    <row r="27841" spans="1:2" ht="12.75" customHeight="1" x14ac:dyDescent="0.25">
      <c r="A27841" s="318">
        <v>394167241671</v>
      </c>
      <c r="B27841" s="318" t="s">
        <v>237</v>
      </c>
    </row>
    <row r="27842" spans="1:2" ht="12.75" customHeight="1" x14ac:dyDescent="0.25">
      <c r="A27842" s="318">
        <v>394167241673</v>
      </c>
      <c r="B27842" s="318" t="s">
        <v>236</v>
      </c>
    </row>
    <row r="27843" spans="1:2" ht="12.75" customHeight="1" x14ac:dyDescent="0.25">
      <c r="A27843" s="318">
        <v>394167241674</v>
      </c>
      <c r="B27843" s="318" t="s">
        <v>237</v>
      </c>
    </row>
    <row r="27844" spans="1:2" ht="12.75" customHeight="1" x14ac:dyDescent="0.25">
      <c r="A27844" s="318">
        <v>394167241675</v>
      </c>
      <c r="B27844" s="318" t="s">
        <v>236</v>
      </c>
    </row>
    <row r="27845" spans="1:2" ht="12.75" customHeight="1" x14ac:dyDescent="0.25">
      <c r="A27845" s="318">
        <v>394167241676</v>
      </c>
      <c r="B27845" s="318" t="s">
        <v>237</v>
      </c>
    </row>
    <row r="27846" spans="1:2" ht="12.75" customHeight="1" x14ac:dyDescent="0.25">
      <c r="A27846" s="318">
        <v>394167241677</v>
      </c>
      <c r="B27846" s="318" t="s">
        <v>236</v>
      </c>
    </row>
    <row r="27847" spans="1:2" ht="12.75" customHeight="1" x14ac:dyDescent="0.25">
      <c r="A27847" s="318">
        <v>394167241678</v>
      </c>
      <c r="B27847" s="318" t="s">
        <v>237</v>
      </c>
    </row>
    <row r="27848" spans="1:2" ht="12.75" customHeight="1" x14ac:dyDescent="0.25">
      <c r="A27848" s="318">
        <v>394167241679</v>
      </c>
      <c r="B27848" s="318" t="s">
        <v>236</v>
      </c>
    </row>
    <row r="27849" spans="1:2" ht="12.75" customHeight="1" x14ac:dyDescent="0.25">
      <c r="A27849" s="318">
        <v>394167241680</v>
      </c>
      <c r="B27849" s="318" t="s">
        <v>237</v>
      </c>
    </row>
    <row r="27850" spans="1:2" ht="12.75" customHeight="1" x14ac:dyDescent="0.25">
      <c r="A27850" s="318">
        <v>394167921855</v>
      </c>
      <c r="B27850" s="318" t="s">
        <v>236</v>
      </c>
    </row>
    <row r="27851" spans="1:2" ht="12.75" customHeight="1" x14ac:dyDescent="0.25">
      <c r="A27851" s="318">
        <v>394167921856</v>
      </c>
      <c r="B27851" s="318" t="s">
        <v>23</v>
      </c>
    </row>
    <row r="27852" spans="1:2" ht="12.75" customHeight="1" x14ac:dyDescent="0.25">
      <c r="A27852" s="318">
        <v>394167921857</v>
      </c>
      <c r="B27852" s="318" t="s">
        <v>236</v>
      </c>
    </row>
    <row r="27853" spans="1:2" ht="12.75" customHeight="1" x14ac:dyDescent="0.25">
      <c r="A27853" s="318">
        <v>394167921858</v>
      </c>
      <c r="B27853" s="318" t="s">
        <v>23</v>
      </c>
    </row>
    <row r="27854" spans="1:2" ht="12.75" customHeight="1" x14ac:dyDescent="0.25">
      <c r="A27854" s="318">
        <v>394167921859</v>
      </c>
      <c r="B27854" s="318" t="s">
        <v>236</v>
      </c>
    </row>
    <row r="27855" spans="1:2" ht="12.75" customHeight="1" x14ac:dyDescent="0.25">
      <c r="A27855" s="318">
        <v>394167921860</v>
      </c>
      <c r="B27855" s="318" t="s">
        <v>23</v>
      </c>
    </row>
    <row r="27856" spans="1:2" ht="12.75" customHeight="1" x14ac:dyDescent="0.25">
      <c r="A27856" s="318">
        <v>394167921861</v>
      </c>
      <c r="B27856" s="318" t="s">
        <v>236</v>
      </c>
    </row>
    <row r="27857" spans="1:2" ht="12.75" customHeight="1" x14ac:dyDescent="0.25">
      <c r="A27857" s="318">
        <v>394167921862</v>
      </c>
      <c r="B27857" s="318" t="s">
        <v>237</v>
      </c>
    </row>
    <row r="27858" spans="1:2" ht="12.75" customHeight="1" x14ac:dyDescent="0.25">
      <c r="A27858" s="318">
        <v>394167921864</v>
      </c>
      <c r="B27858" s="318" t="s">
        <v>236</v>
      </c>
    </row>
    <row r="27859" spans="1:2" ht="12.75" customHeight="1" x14ac:dyDescent="0.25">
      <c r="A27859" s="318">
        <v>394167921865</v>
      </c>
      <c r="B27859" s="318" t="s">
        <v>237</v>
      </c>
    </row>
    <row r="27860" spans="1:2" ht="12.75" customHeight="1" x14ac:dyDescent="0.25">
      <c r="A27860" s="318">
        <v>394167921866</v>
      </c>
      <c r="B27860" s="318" t="s">
        <v>236</v>
      </c>
    </row>
    <row r="27861" spans="1:2" ht="12.75" customHeight="1" x14ac:dyDescent="0.25">
      <c r="A27861" s="318">
        <v>394167921867</v>
      </c>
      <c r="B27861" s="318" t="s">
        <v>237</v>
      </c>
    </row>
    <row r="27862" spans="1:2" ht="12.75" customHeight="1" x14ac:dyDescent="0.25">
      <c r="A27862" s="318">
        <v>394167921868</v>
      </c>
      <c r="B27862" s="318" t="s">
        <v>236</v>
      </c>
    </row>
    <row r="27863" spans="1:2" ht="12.75" customHeight="1" x14ac:dyDescent="0.25">
      <c r="A27863" s="318">
        <v>394167921869</v>
      </c>
      <c r="B27863" s="318" t="s">
        <v>237</v>
      </c>
    </row>
    <row r="27864" spans="1:2" ht="12.75" customHeight="1" x14ac:dyDescent="0.25">
      <c r="A27864" s="318">
        <v>394167921870</v>
      </c>
      <c r="B27864" s="318" t="s">
        <v>236</v>
      </c>
    </row>
    <row r="27865" spans="1:2" ht="12.75" customHeight="1" x14ac:dyDescent="0.25">
      <c r="A27865" s="318">
        <v>394167921871</v>
      </c>
      <c r="B27865" s="318" t="s">
        <v>237</v>
      </c>
    </row>
    <row r="27866" spans="1:2" ht="12.75" customHeight="1" x14ac:dyDescent="0.25">
      <c r="A27866" s="318">
        <v>394168402828</v>
      </c>
      <c r="B27866" s="318" t="s">
        <v>236</v>
      </c>
    </row>
    <row r="27867" spans="1:2" ht="12.75" customHeight="1" x14ac:dyDescent="0.25">
      <c r="A27867" s="318">
        <v>394168402829</v>
      </c>
      <c r="B27867" s="318" t="s">
        <v>23</v>
      </c>
    </row>
    <row r="27868" spans="1:2" ht="12.75" customHeight="1" x14ac:dyDescent="0.25">
      <c r="A27868" s="318">
        <v>394168402830</v>
      </c>
      <c r="B27868" s="318" t="s">
        <v>236</v>
      </c>
    </row>
    <row r="27869" spans="1:2" ht="12.75" customHeight="1" x14ac:dyDescent="0.25">
      <c r="A27869" s="318">
        <v>394168402831</v>
      </c>
      <c r="B27869" s="318" t="s">
        <v>23</v>
      </c>
    </row>
    <row r="27870" spans="1:2" ht="12.75" customHeight="1" x14ac:dyDescent="0.25">
      <c r="A27870" s="318">
        <v>394168402832</v>
      </c>
      <c r="B27870" s="318" t="s">
        <v>236</v>
      </c>
    </row>
    <row r="27871" spans="1:2" ht="12.75" customHeight="1" x14ac:dyDescent="0.25">
      <c r="A27871" s="318">
        <v>394168402833</v>
      </c>
      <c r="B27871" s="318" t="s">
        <v>23</v>
      </c>
    </row>
    <row r="27872" spans="1:2" ht="12.75" customHeight="1" x14ac:dyDescent="0.25">
      <c r="A27872" s="318">
        <v>394168402834</v>
      </c>
      <c r="B27872" s="318" t="s">
        <v>236</v>
      </c>
    </row>
    <row r="27873" spans="1:2" ht="12.75" customHeight="1" x14ac:dyDescent="0.25">
      <c r="A27873" s="318">
        <v>394168402835</v>
      </c>
      <c r="B27873" s="318" t="s">
        <v>237</v>
      </c>
    </row>
    <row r="27874" spans="1:2" ht="12.75" customHeight="1" x14ac:dyDescent="0.25">
      <c r="A27874" s="318">
        <v>394168402837</v>
      </c>
      <c r="B27874" s="318" t="s">
        <v>236</v>
      </c>
    </row>
    <row r="27875" spans="1:2" ht="12.75" customHeight="1" x14ac:dyDescent="0.25">
      <c r="A27875" s="318">
        <v>394168402838</v>
      </c>
      <c r="B27875" s="318" t="s">
        <v>237</v>
      </c>
    </row>
    <row r="27876" spans="1:2" ht="12.75" customHeight="1" x14ac:dyDescent="0.25">
      <c r="A27876" s="318">
        <v>394168402839</v>
      </c>
      <c r="B27876" s="318" t="s">
        <v>236</v>
      </c>
    </row>
    <row r="27877" spans="1:2" ht="12.75" customHeight="1" x14ac:dyDescent="0.25">
      <c r="A27877" s="318">
        <v>394168402840</v>
      </c>
      <c r="B27877" s="318" t="s">
        <v>237</v>
      </c>
    </row>
    <row r="27878" spans="1:2" ht="12.75" customHeight="1" x14ac:dyDescent="0.25">
      <c r="A27878" s="318">
        <v>394168402841</v>
      </c>
      <c r="B27878" s="318" t="s">
        <v>236</v>
      </c>
    </row>
    <row r="27879" spans="1:2" ht="12.75" customHeight="1" x14ac:dyDescent="0.25">
      <c r="A27879" s="318">
        <v>394168402842</v>
      </c>
      <c r="B27879" s="318" t="s">
        <v>237</v>
      </c>
    </row>
    <row r="27880" spans="1:2" ht="12.75" customHeight="1" x14ac:dyDescent="0.25">
      <c r="A27880" s="318">
        <v>394168402843</v>
      </c>
      <c r="B27880" s="318" t="s">
        <v>236</v>
      </c>
    </row>
    <row r="27881" spans="1:2" ht="12.75" customHeight="1" x14ac:dyDescent="0.25">
      <c r="A27881" s="318">
        <v>394168402844</v>
      </c>
      <c r="B27881" s="318" t="s">
        <v>237</v>
      </c>
    </row>
    <row r="27882" spans="1:2" ht="12.75" customHeight="1" x14ac:dyDescent="0.25">
      <c r="A27882" s="318">
        <v>394168883801</v>
      </c>
      <c r="B27882" s="318" t="s">
        <v>236</v>
      </c>
    </row>
    <row r="27883" spans="1:2" ht="12.75" customHeight="1" x14ac:dyDescent="0.25">
      <c r="A27883" s="318">
        <v>394168883802</v>
      </c>
      <c r="B27883" s="318" t="s">
        <v>23</v>
      </c>
    </row>
    <row r="27884" spans="1:2" ht="12.75" customHeight="1" x14ac:dyDescent="0.25">
      <c r="A27884" s="318">
        <v>394168883803</v>
      </c>
      <c r="B27884" s="318" t="s">
        <v>236</v>
      </c>
    </row>
    <row r="27885" spans="1:2" ht="12.75" customHeight="1" x14ac:dyDescent="0.25">
      <c r="A27885" s="318">
        <v>394168883804</v>
      </c>
      <c r="B27885" s="318" t="s">
        <v>23</v>
      </c>
    </row>
    <row r="27886" spans="1:2" ht="12.75" customHeight="1" x14ac:dyDescent="0.25">
      <c r="A27886" s="318">
        <v>394168883805</v>
      </c>
      <c r="B27886" s="318" t="s">
        <v>236</v>
      </c>
    </row>
    <row r="27887" spans="1:2" ht="12.75" customHeight="1" x14ac:dyDescent="0.25">
      <c r="A27887" s="318">
        <v>394168883806</v>
      </c>
      <c r="B27887" s="318" t="s">
        <v>23</v>
      </c>
    </row>
    <row r="27888" spans="1:2" ht="12.75" customHeight="1" x14ac:dyDescent="0.25">
      <c r="A27888" s="318">
        <v>394168883807</v>
      </c>
      <c r="B27888" s="318" t="s">
        <v>236</v>
      </c>
    </row>
    <row r="27889" spans="1:2" ht="12.75" customHeight="1" x14ac:dyDescent="0.25">
      <c r="A27889" s="318">
        <v>394168883808</v>
      </c>
      <c r="B27889" s="318" t="s">
        <v>237</v>
      </c>
    </row>
    <row r="27890" spans="1:2" ht="12.75" customHeight="1" x14ac:dyDescent="0.25">
      <c r="A27890" s="318">
        <v>394168883810</v>
      </c>
      <c r="B27890" s="318" t="s">
        <v>236</v>
      </c>
    </row>
    <row r="27891" spans="1:2" ht="12.75" customHeight="1" x14ac:dyDescent="0.25">
      <c r="A27891" s="318">
        <v>394168883811</v>
      </c>
      <c r="B27891" s="318" t="s">
        <v>237</v>
      </c>
    </row>
    <row r="27892" spans="1:2" ht="12.75" customHeight="1" x14ac:dyDescent="0.25">
      <c r="A27892" s="318">
        <v>394168883812</v>
      </c>
      <c r="B27892" s="318" t="s">
        <v>236</v>
      </c>
    </row>
    <row r="27893" spans="1:2" ht="12.75" customHeight="1" x14ac:dyDescent="0.25">
      <c r="A27893" s="318">
        <v>394168883813</v>
      </c>
      <c r="B27893" s="318" t="s">
        <v>237</v>
      </c>
    </row>
    <row r="27894" spans="1:2" ht="12.75" customHeight="1" x14ac:dyDescent="0.25">
      <c r="A27894" s="318">
        <v>394168883814</v>
      </c>
      <c r="B27894" s="318" t="s">
        <v>236</v>
      </c>
    </row>
    <row r="27895" spans="1:2" ht="12.75" customHeight="1" x14ac:dyDescent="0.25">
      <c r="A27895" s="318">
        <v>394168883815</v>
      </c>
      <c r="B27895" s="318" t="s">
        <v>237</v>
      </c>
    </row>
    <row r="27896" spans="1:2" ht="12.75" customHeight="1" x14ac:dyDescent="0.25">
      <c r="A27896" s="318">
        <v>394168883816</v>
      </c>
      <c r="B27896" s="318" t="s">
        <v>236</v>
      </c>
    </row>
    <row r="27897" spans="1:2" ht="12.75" customHeight="1" x14ac:dyDescent="0.25">
      <c r="A27897" s="318">
        <v>394168883817</v>
      </c>
      <c r="B27897" s="318" t="s">
        <v>237</v>
      </c>
    </row>
    <row r="27898" spans="1:2" ht="12.75" customHeight="1" x14ac:dyDescent="0.25">
      <c r="A27898" s="318">
        <v>394170244182</v>
      </c>
      <c r="B27898" s="318" t="s">
        <v>236</v>
      </c>
    </row>
    <row r="27899" spans="1:2" ht="12.75" customHeight="1" x14ac:dyDescent="0.25">
      <c r="A27899" s="318">
        <v>394170244183</v>
      </c>
      <c r="B27899" s="318" t="s">
        <v>23</v>
      </c>
    </row>
    <row r="27900" spans="1:2" ht="12.75" customHeight="1" x14ac:dyDescent="0.25">
      <c r="A27900" s="318">
        <v>394170244184</v>
      </c>
      <c r="B27900" s="318" t="s">
        <v>236</v>
      </c>
    </row>
    <row r="27901" spans="1:2" ht="12.75" customHeight="1" x14ac:dyDescent="0.25">
      <c r="A27901" s="318">
        <v>394170244185</v>
      </c>
      <c r="B27901" s="318" t="s">
        <v>23</v>
      </c>
    </row>
    <row r="27902" spans="1:2" ht="12.75" customHeight="1" x14ac:dyDescent="0.25">
      <c r="A27902" s="318">
        <v>394170244186</v>
      </c>
      <c r="B27902" s="318" t="s">
        <v>236</v>
      </c>
    </row>
    <row r="27903" spans="1:2" ht="12.75" customHeight="1" x14ac:dyDescent="0.25">
      <c r="A27903" s="318">
        <v>394170244187</v>
      </c>
      <c r="B27903" s="318" t="s">
        <v>23</v>
      </c>
    </row>
    <row r="27904" spans="1:2" ht="12.75" customHeight="1" x14ac:dyDescent="0.25">
      <c r="A27904" s="318">
        <v>394170244188</v>
      </c>
      <c r="B27904" s="318" t="s">
        <v>23</v>
      </c>
    </row>
    <row r="27905" spans="1:2" ht="12.75" customHeight="1" x14ac:dyDescent="0.25">
      <c r="A27905" s="318">
        <v>394170244189</v>
      </c>
      <c r="B27905" s="318" t="s">
        <v>237</v>
      </c>
    </row>
    <row r="27906" spans="1:2" ht="12.75" customHeight="1" x14ac:dyDescent="0.25">
      <c r="A27906" s="318">
        <v>394170244191</v>
      </c>
      <c r="B27906" s="318" t="s">
        <v>237</v>
      </c>
    </row>
    <row r="27907" spans="1:2" ht="12.75" customHeight="1" x14ac:dyDescent="0.25">
      <c r="A27907" s="318">
        <v>394170244192</v>
      </c>
      <c r="B27907" s="318" t="s">
        <v>237</v>
      </c>
    </row>
    <row r="27908" spans="1:2" ht="12.75" customHeight="1" x14ac:dyDescent="0.25">
      <c r="A27908" s="318">
        <v>394170244193</v>
      </c>
      <c r="B27908" s="318" t="s">
        <v>237</v>
      </c>
    </row>
    <row r="27909" spans="1:2" ht="12.75" customHeight="1" x14ac:dyDescent="0.25">
      <c r="A27909" s="318">
        <v>394170244194</v>
      </c>
      <c r="B27909" s="318" t="s">
        <v>237</v>
      </c>
    </row>
    <row r="27910" spans="1:2" ht="12.75" customHeight="1" x14ac:dyDescent="0.25">
      <c r="A27910" s="318">
        <v>394170244195</v>
      </c>
      <c r="B27910" s="318" t="s">
        <v>237</v>
      </c>
    </row>
    <row r="27911" spans="1:2" ht="12.75" customHeight="1" x14ac:dyDescent="0.25">
      <c r="A27911" s="318">
        <v>394170244196</v>
      </c>
      <c r="B27911" s="318" t="s">
        <v>237</v>
      </c>
    </row>
    <row r="27912" spans="1:2" ht="12.75" customHeight="1" x14ac:dyDescent="0.25">
      <c r="A27912" s="318">
        <v>394170244197</v>
      </c>
      <c r="B27912" s="318" t="s">
        <v>237</v>
      </c>
    </row>
    <row r="27913" spans="1:2" ht="12.75" customHeight="1" x14ac:dyDescent="0.25">
      <c r="A27913" s="318">
        <v>394170244198</v>
      </c>
      <c r="B27913" s="318" t="s">
        <v>237</v>
      </c>
    </row>
    <row r="27914" spans="1:2" ht="12.75" customHeight="1" x14ac:dyDescent="0.25">
      <c r="A27914" s="318">
        <v>394170725155</v>
      </c>
      <c r="B27914" s="318" t="s">
        <v>236</v>
      </c>
    </row>
    <row r="27915" spans="1:2" ht="12.75" customHeight="1" x14ac:dyDescent="0.25">
      <c r="A27915" s="318">
        <v>394170725156</v>
      </c>
      <c r="B27915" s="318" t="s">
        <v>23</v>
      </c>
    </row>
    <row r="27916" spans="1:2" ht="12.75" customHeight="1" x14ac:dyDescent="0.25">
      <c r="A27916" s="318">
        <v>394170725157</v>
      </c>
      <c r="B27916" s="318" t="s">
        <v>236</v>
      </c>
    </row>
    <row r="27917" spans="1:2" ht="12.75" customHeight="1" x14ac:dyDescent="0.25">
      <c r="A27917" s="318">
        <v>394170725158</v>
      </c>
      <c r="B27917" s="318" t="s">
        <v>23</v>
      </c>
    </row>
    <row r="27918" spans="1:2" ht="12.75" customHeight="1" x14ac:dyDescent="0.25">
      <c r="A27918" s="318">
        <v>394170725159</v>
      </c>
      <c r="B27918" s="318" t="s">
        <v>236</v>
      </c>
    </row>
    <row r="27919" spans="1:2" ht="12.75" customHeight="1" x14ac:dyDescent="0.25">
      <c r="A27919" s="318">
        <v>394170725160</v>
      </c>
      <c r="B27919" s="318" t="s">
        <v>23</v>
      </c>
    </row>
    <row r="27920" spans="1:2" ht="12.75" customHeight="1" x14ac:dyDescent="0.25">
      <c r="A27920" s="318">
        <v>394170725161</v>
      </c>
      <c r="B27920" s="318" t="s">
        <v>23</v>
      </c>
    </row>
    <row r="27921" spans="1:2" ht="12.75" customHeight="1" x14ac:dyDescent="0.25">
      <c r="A27921" s="318">
        <v>394170725162</v>
      </c>
      <c r="B27921" s="318" t="s">
        <v>237</v>
      </c>
    </row>
    <row r="27922" spans="1:2" ht="12.75" customHeight="1" x14ac:dyDescent="0.25">
      <c r="A27922" s="318">
        <v>394170725164</v>
      </c>
      <c r="B27922" s="318" t="s">
        <v>237</v>
      </c>
    </row>
    <row r="27923" spans="1:2" ht="12.75" customHeight="1" x14ac:dyDescent="0.25">
      <c r="A27923" s="318">
        <v>394170725165</v>
      </c>
      <c r="B27923" s="318" t="s">
        <v>237</v>
      </c>
    </row>
    <row r="27924" spans="1:2" ht="12.75" customHeight="1" x14ac:dyDescent="0.25">
      <c r="A27924" s="318">
        <v>394170725166</v>
      </c>
      <c r="B27924" s="318" t="s">
        <v>237</v>
      </c>
    </row>
    <row r="27925" spans="1:2" ht="12.75" customHeight="1" x14ac:dyDescent="0.25">
      <c r="A27925" s="318">
        <v>394170725167</v>
      </c>
      <c r="B27925" s="318" t="s">
        <v>237</v>
      </c>
    </row>
    <row r="27926" spans="1:2" ht="12.75" customHeight="1" x14ac:dyDescent="0.25">
      <c r="A27926" s="318">
        <v>394170725168</v>
      </c>
      <c r="B27926" s="318" t="s">
        <v>237</v>
      </c>
    </row>
    <row r="27927" spans="1:2" ht="12.75" customHeight="1" x14ac:dyDescent="0.25">
      <c r="A27927" s="318">
        <v>394170725169</v>
      </c>
      <c r="B27927" s="318" t="s">
        <v>237</v>
      </c>
    </row>
    <row r="27928" spans="1:2" ht="12.75" customHeight="1" x14ac:dyDescent="0.25">
      <c r="A27928" s="318">
        <v>394170725170</v>
      </c>
      <c r="B27928" s="318" t="s">
        <v>237</v>
      </c>
    </row>
    <row r="27929" spans="1:2" ht="12.75" customHeight="1" x14ac:dyDescent="0.25">
      <c r="A27929" s="318">
        <v>394170725171</v>
      </c>
      <c r="B27929" s="318" t="s">
        <v>237</v>
      </c>
    </row>
    <row r="27930" spans="1:2" ht="12.75" customHeight="1" x14ac:dyDescent="0.25">
      <c r="A27930" s="318">
        <v>394171206128</v>
      </c>
      <c r="B27930" s="318" t="s">
        <v>236</v>
      </c>
    </row>
    <row r="27931" spans="1:2" ht="12.75" customHeight="1" x14ac:dyDescent="0.25">
      <c r="A27931" s="318">
        <v>394171206129</v>
      </c>
      <c r="B27931" s="318" t="s">
        <v>23</v>
      </c>
    </row>
    <row r="27932" spans="1:2" ht="12.75" customHeight="1" x14ac:dyDescent="0.25">
      <c r="A27932" s="318">
        <v>394171206130</v>
      </c>
      <c r="B27932" s="318" t="s">
        <v>236</v>
      </c>
    </row>
    <row r="27933" spans="1:2" ht="12.75" customHeight="1" x14ac:dyDescent="0.25">
      <c r="A27933" s="318">
        <v>394171206131</v>
      </c>
      <c r="B27933" s="318" t="s">
        <v>23</v>
      </c>
    </row>
    <row r="27934" spans="1:2" ht="12.75" customHeight="1" x14ac:dyDescent="0.25">
      <c r="A27934" s="318">
        <v>394171206132</v>
      </c>
      <c r="B27934" s="318" t="s">
        <v>236</v>
      </c>
    </row>
    <row r="27935" spans="1:2" ht="12.75" customHeight="1" x14ac:dyDescent="0.25">
      <c r="A27935" s="318">
        <v>394171206133</v>
      </c>
      <c r="B27935" s="318" t="s">
        <v>23</v>
      </c>
    </row>
    <row r="27936" spans="1:2" ht="12.75" customHeight="1" x14ac:dyDescent="0.25">
      <c r="A27936" s="318">
        <v>394171206134</v>
      </c>
      <c r="B27936" s="318" t="s">
        <v>236</v>
      </c>
    </row>
    <row r="27937" spans="1:2" ht="12.75" customHeight="1" x14ac:dyDescent="0.25">
      <c r="A27937" s="318">
        <v>394171206135</v>
      </c>
      <c r="B27937" s="318" t="s">
        <v>237</v>
      </c>
    </row>
    <row r="27938" spans="1:2" ht="12.75" customHeight="1" x14ac:dyDescent="0.25">
      <c r="A27938" s="318">
        <v>394171206137</v>
      </c>
      <c r="B27938" s="318" t="s">
        <v>236</v>
      </c>
    </row>
    <row r="27939" spans="1:2" ht="12.75" customHeight="1" x14ac:dyDescent="0.25">
      <c r="A27939" s="318">
        <v>394171206138</v>
      </c>
      <c r="B27939" s="318" t="s">
        <v>237</v>
      </c>
    </row>
    <row r="27940" spans="1:2" ht="12.75" customHeight="1" x14ac:dyDescent="0.25">
      <c r="A27940" s="318">
        <v>394171206139</v>
      </c>
      <c r="B27940" s="318" t="s">
        <v>236</v>
      </c>
    </row>
    <row r="27941" spans="1:2" ht="12.75" customHeight="1" x14ac:dyDescent="0.25">
      <c r="A27941" s="318">
        <v>394171206140</v>
      </c>
      <c r="B27941" s="318" t="s">
        <v>237</v>
      </c>
    </row>
    <row r="27942" spans="1:2" ht="12.75" customHeight="1" x14ac:dyDescent="0.25">
      <c r="A27942" s="318">
        <v>394171206141</v>
      </c>
      <c r="B27942" s="318" t="s">
        <v>236</v>
      </c>
    </row>
    <row r="27943" spans="1:2" ht="12.75" customHeight="1" x14ac:dyDescent="0.25">
      <c r="A27943" s="318">
        <v>394171206142</v>
      </c>
      <c r="B27943" s="318" t="s">
        <v>237</v>
      </c>
    </row>
    <row r="27944" spans="1:2" ht="12.75" customHeight="1" x14ac:dyDescent="0.25">
      <c r="A27944" s="318">
        <v>394171206143</v>
      </c>
      <c r="B27944" s="318" t="s">
        <v>236</v>
      </c>
    </row>
    <row r="27945" spans="1:2" ht="12.75" customHeight="1" x14ac:dyDescent="0.25">
      <c r="A27945" s="318">
        <v>394171206144</v>
      </c>
      <c r="B27945" s="318" t="s">
        <v>237</v>
      </c>
    </row>
    <row r="27946" spans="1:2" ht="12.75" customHeight="1" x14ac:dyDescent="0.25">
      <c r="A27946" s="318">
        <v>394171886319</v>
      </c>
      <c r="B27946" s="318" t="s">
        <v>236</v>
      </c>
    </row>
    <row r="27947" spans="1:2" ht="12.75" customHeight="1" x14ac:dyDescent="0.25">
      <c r="A27947" s="318">
        <v>394171886320</v>
      </c>
      <c r="B27947" s="318" t="s">
        <v>23</v>
      </c>
    </row>
    <row r="27948" spans="1:2" ht="12.75" customHeight="1" x14ac:dyDescent="0.25">
      <c r="A27948" s="318">
        <v>394171886321</v>
      </c>
      <c r="B27948" s="318" t="s">
        <v>236</v>
      </c>
    </row>
    <row r="27949" spans="1:2" ht="12.75" customHeight="1" x14ac:dyDescent="0.25">
      <c r="A27949" s="318">
        <v>394171886322</v>
      </c>
      <c r="B27949" s="318" t="s">
        <v>23</v>
      </c>
    </row>
    <row r="27950" spans="1:2" ht="12.75" customHeight="1" x14ac:dyDescent="0.25">
      <c r="A27950" s="318">
        <v>394171886323</v>
      </c>
      <c r="B27950" s="318" t="s">
        <v>236</v>
      </c>
    </row>
    <row r="27951" spans="1:2" ht="12.75" customHeight="1" x14ac:dyDescent="0.25">
      <c r="A27951" s="318">
        <v>394171886324</v>
      </c>
      <c r="B27951" s="318" t="s">
        <v>23</v>
      </c>
    </row>
    <row r="27952" spans="1:2" ht="12.75" customHeight="1" x14ac:dyDescent="0.25">
      <c r="A27952" s="318">
        <v>394171886325</v>
      </c>
      <c r="B27952" s="318" t="s">
        <v>23</v>
      </c>
    </row>
    <row r="27953" spans="1:2" ht="12.75" customHeight="1" x14ac:dyDescent="0.25">
      <c r="A27953" s="318">
        <v>394171886326</v>
      </c>
      <c r="B27953" s="318" t="s">
        <v>237</v>
      </c>
    </row>
    <row r="27954" spans="1:2" ht="12.75" customHeight="1" x14ac:dyDescent="0.25">
      <c r="A27954" s="318">
        <v>394171886328</v>
      </c>
      <c r="B27954" s="318" t="s">
        <v>237</v>
      </c>
    </row>
    <row r="27955" spans="1:2" ht="12.75" customHeight="1" x14ac:dyDescent="0.25">
      <c r="A27955" s="318">
        <v>394171886329</v>
      </c>
      <c r="B27955" s="318" t="s">
        <v>237</v>
      </c>
    </row>
    <row r="27956" spans="1:2" ht="12.75" customHeight="1" x14ac:dyDescent="0.25">
      <c r="A27956" s="318">
        <v>394171886330</v>
      </c>
      <c r="B27956" s="318" t="s">
        <v>237</v>
      </c>
    </row>
    <row r="27957" spans="1:2" ht="12.75" customHeight="1" x14ac:dyDescent="0.25">
      <c r="A27957" s="318">
        <v>394171886331</v>
      </c>
      <c r="B27957" s="318" t="s">
        <v>237</v>
      </c>
    </row>
    <row r="27958" spans="1:2" ht="12.75" customHeight="1" x14ac:dyDescent="0.25">
      <c r="A27958" s="318">
        <v>394171886332</v>
      </c>
      <c r="B27958" s="318" t="s">
        <v>237</v>
      </c>
    </row>
    <row r="27959" spans="1:2" ht="12.75" customHeight="1" x14ac:dyDescent="0.25">
      <c r="A27959" s="318">
        <v>394171886333</v>
      </c>
      <c r="B27959" s="318" t="s">
        <v>237</v>
      </c>
    </row>
    <row r="27960" spans="1:2" ht="12.75" customHeight="1" x14ac:dyDescent="0.25">
      <c r="A27960" s="318">
        <v>394171886334</v>
      </c>
      <c r="B27960" s="318" t="s">
        <v>237</v>
      </c>
    </row>
    <row r="27961" spans="1:2" ht="12.75" customHeight="1" x14ac:dyDescent="0.25">
      <c r="A27961" s="318">
        <v>394171886335</v>
      </c>
      <c r="B27961" s="318" t="s">
        <v>237</v>
      </c>
    </row>
    <row r="27962" spans="1:2" ht="12.75" customHeight="1" x14ac:dyDescent="0.25">
      <c r="A27962" s="318">
        <v>394172367292</v>
      </c>
      <c r="B27962" s="318" t="s">
        <v>236</v>
      </c>
    </row>
    <row r="27963" spans="1:2" ht="12.75" customHeight="1" x14ac:dyDescent="0.25">
      <c r="A27963" s="318">
        <v>394172367293</v>
      </c>
      <c r="B27963" s="318" t="s">
        <v>23</v>
      </c>
    </row>
    <row r="27964" spans="1:2" ht="12.75" customHeight="1" x14ac:dyDescent="0.25">
      <c r="A27964" s="318">
        <v>394172367294</v>
      </c>
      <c r="B27964" s="318" t="s">
        <v>236</v>
      </c>
    </row>
    <row r="27965" spans="1:2" ht="12.75" customHeight="1" x14ac:dyDescent="0.25">
      <c r="A27965" s="318">
        <v>394172367295</v>
      </c>
      <c r="B27965" s="318" t="s">
        <v>23</v>
      </c>
    </row>
    <row r="27966" spans="1:2" ht="12.75" customHeight="1" x14ac:dyDescent="0.25">
      <c r="A27966" s="318">
        <v>394172367296</v>
      </c>
      <c r="B27966" s="318" t="s">
        <v>236</v>
      </c>
    </row>
    <row r="27967" spans="1:2" ht="12.75" customHeight="1" x14ac:dyDescent="0.25">
      <c r="A27967" s="318">
        <v>394172367297</v>
      </c>
      <c r="B27967" s="318" t="s">
        <v>23</v>
      </c>
    </row>
    <row r="27968" spans="1:2" ht="12.75" customHeight="1" x14ac:dyDescent="0.25">
      <c r="A27968" s="318">
        <v>394172367298</v>
      </c>
      <c r="B27968" s="318" t="s">
        <v>23</v>
      </c>
    </row>
    <row r="27969" spans="1:2" ht="12.75" customHeight="1" x14ac:dyDescent="0.25">
      <c r="A27969" s="318">
        <v>394172367299</v>
      </c>
      <c r="B27969" s="318" t="s">
        <v>237</v>
      </c>
    </row>
    <row r="27970" spans="1:2" ht="12.75" customHeight="1" x14ac:dyDescent="0.25">
      <c r="A27970" s="318">
        <v>394172367301</v>
      </c>
      <c r="B27970" s="318" t="s">
        <v>237</v>
      </c>
    </row>
    <row r="27971" spans="1:2" ht="12.75" customHeight="1" x14ac:dyDescent="0.25">
      <c r="A27971" s="318">
        <v>394172367302</v>
      </c>
      <c r="B27971" s="318" t="s">
        <v>237</v>
      </c>
    </row>
    <row r="27972" spans="1:2" ht="12.75" customHeight="1" x14ac:dyDescent="0.25">
      <c r="A27972" s="318">
        <v>394172367303</v>
      </c>
      <c r="B27972" s="318" t="s">
        <v>237</v>
      </c>
    </row>
    <row r="27973" spans="1:2" ht="12.75" customHeight="1" x14ac:dyDescent="0.25">
      <c r="A27973" s="318">
        <v>394172367304</v>
      </c>
      <c r="B27973" s="318" t="s">
        <v>237</v>
      </c>
    </row>
    <row r="27974" spans="1:2" ht="12.75" customHeight="1" x14ac:dyDescent="0.25">
      <c r="A27974" s="318">
        <v>394172367305</v>
      </c>
      <c r="B27974" s="318" t="s">
        <v>237</v>
      </c>
    </row>
    <row r="27975" spans="1:2" ht="12.75" customHeight="1" x14ac:dyDescent="0.25">
      <c r="A27975" s="318">
        <v>394172367306</v>
      </c>
      <c r="B27975" s="318" t="s">
        <v>237</v>
      </c>
    </row>
    <row r="27976" spans="1:2" ht="12.75" customHeight="1" x14ac:dyDescent="0.25">
      <c r="A27976" s="318">
        <v>394172367307</v>
      </c>
      <c r="B27976" s="318" t="s">
        <v>237</v>
      </c>
    </row>
    <row r="27977" spans="1:2" ht="12.75" customHeight="1" x14ac:dyDescent="0.25">
      <c r="A27977" s="318">
        <v>394172367308</v>
      </c>
      <c r="B27977" s="318" t="s">
        <v>237</v>
      </c>
    </row>
    <row r="27978" spans="1:2" ht="12.75" customHeight="1" x14ac:dyDescent="0.25">
      <c r="A27978" s="318">
        <v>394172848265</v>
      </c>
      <c r="B27978" s="318" t="s">
        <v>236</v>
      </c>
    </row>
    <row r="27979" spans="1:2" ht="12.75" customHeight="1" x14ac:dyDescent="0.25">
      <c r="A27979" s="318">
        <v>394172848266</v>
      </c>
      <c r="B27979" s="318" t="s">
        <v>23</v>
      </c>
    </row>
    <row r="27980" spans="1:2" ht="12.75" customHeight="1" x14ac:dyDescent="0.25">
      <c r="A27980" s="318">
        <v>394172848267</v>
      </c>
      <c r="B27980" s="318" t="s">
        <v>236</v>
      </c>
    </row>
    <row r="27981" spans="1:2" ht="12.75" customHeight="1" x14ac:dyDescent="0.25">
      <c r="A27981" s="318">
        <v>394172848268</v>
      </c>
      <c r="B27981" s="318" t="s">
        <v>23</v>
      </c>
    </row>
    <row r="27982" spans="1:2" ht="12.75" customHeight="1" x14ac:dyDescent="0.25">
      <c r="A27982" s="318">
        <v>394172848269</v>
      </c>
      <c r="B27982" s="318" t="s">
        <v>236</v>
      </c>
    </row>
    <row r="27983" spans="1:2" ht="12.75" customHeight="1" x14ac:dyDescent="0.25">
      <c r="A27983" s="318">
        <v>394172848270</v>
      </c>
      <c r="B27983" s="318" t="s">
        <v>23</v>
      </c>
    </row>
    <row r="27984" spans="1:2" ht="12.75" customHeight="1" x14ac:dyDescent="0.25">
      <c r="A27984" s="318">
        <v>394172848271</v>
      </c>
      <c r="B27984" s="318" t="s">
        <v>236</v>
      </c>
    </row>
    <row r="27985" spans="1:2" ht="12.75" customHeight="1" x14ac:dyDescent="0.25">
      <c r="A27985" s="318">
        <v>394172848272</v>
      </c>
      <c r="B27985" s="318" t="s">
        <v>237</v>
      </c>
    </row>
    <row r="27986" spans="1:2" ht="12.75" customHeight="1" x14ac:dyDescent="0.25">
      <c r="A27986" s="318">
        <v>394172848274</v>
      </c>
      <c r="B27986" s="318" t="s">
        <v>236</v>
      </c>
    </row>
    <row r="27987" spans="1:2" ht="12.75" customHeight="1" x14ac:dyDescent="0.25">
      <c r="A27987" s="318">
        <v>394172848275</v>
      </c>
      <c r="B27987" s="318" t="s">
        <v>237</v>
      </c>
    </row>
    <row r="27988" spans="1:2" ht="12.75" customHeight="1" x14ac:dyDescent="0.25">
      <c r="A27988" s="318">
        <v>394172848276</v>
      </c>
      <c r="B27988" s="318" t="s">
        <v>236</v>
      </c>
    </row>
    <row r="27989" spans="1:2" ht="12.75" customHeight="1" x14ac:dyDescent="0.25">
      <c r="A27989" s="318">
        <v>394172848277</v>
      </c>
      <c r="B27989" s="318" t="s">
        <v>237</v>
      </c>
    </row>
    <row r="27990" spans="1:2" ht="12.75" customHeight="1" x14ac:dyDescent="0.25">
      <c r="A27990" s="318">
        <v>394172848278</v>
      </c>
      <c r="B27990" s="318" t="s">
        <v>236</v>
      </c>
    </row>
    <row r="27991" spans="1:2" ht="12.75" customHeight="1" x14ac:dyDescent="0.25">
      <c r="A27991" s="318">
        <v>394172848279</v>
      </c>
      <c r="B27991" s="318" t="s">
        <v>237</v>
      </c>
    </row>
    <row r="27992" spans="1:2" ht="12.75" customHeight="1" x14ac:dyDescent="0.25">
      <c r="A27992" s="318">
        <v>394172848280</v>
      </c>
      <c r="B27992" s="318" t="s">
        <v>236</v>
      </c>
    </row>
    <row r="27993" spans="1:2" ht="12.75" customHeight="1" x14ac:dyDescent="0.25">
      <c r="A27993" s="318">
        <v>394172848281</v>
      </c>
      <c r="B27993" s="318" t="s">
        <v>237</v>
      </c>
    </row>
    <row r="27994" spans="1:2" ht="12.75" customHeight="1" x14ac:dyDescent="0.25">
      <c r="A27994" s="318">
        <v>394173528456</v>
      </c>
      <c r="B27994" s="318" t="s">
        <v>236</v>
      </c>
    </row>
    <row r="27995" spans="1:2" ht="12.75" customHeight="1" x14ac:dyDescent="0.25">
      <c r="A27995" s="318">
        <v>394173528457</v>
      </c>
      <c r="B27995" s="318" t="s">
        <v>23</v>
      </c>
    </row>
    <row r="27996" spans="1:2" ht="12.75" customHeight="1" x14ac:dyDescent="0.25">
      <c r="A27996" s="318">
        <v>394173528458</v>
      </c>
      <c r="B27996" s="318" t="s">
        <v>236</v>
      </c>
    </row>
    <row r="27997" spans="1:2" ht="12.75" customHeight="1" x14ac:dyDescent="0.25">
      <c r="A27997" s="318">
        <v>394173528459</v>
      </c>
      <c r="B27997" s="318" t="s">
        <v>23</v>
      </c>
    </row>
    <row r="27998" spans="1:2" ht="12.75" customHeight="1" x14ac:dyDescent="0.25">
      <c r="A27998" s="318">
        <v>394173528460</v>
      </c>
      <c r="B27998" s="318" t="s">
        <v>236</v>
      </c>
    </row>
    <row r="27999" spans="1:2" ht="12.75" customHeight="1" x14ac:dyDescent="0.25">
      <c r="A27999" s="318">
        <v>394173528461</v>
      </c>
      <c r="B27999" s="318" t="s">
        <v>23</v>
      </c>
    </row>
    <row r="28000" spans="1:2" ht="12.75" customHeight="1" x14ac:dyDescent="0.25">
      <c r="A28000" s="318">
        <v>394173528462</v>
      </c>
      <c r="B28000" s="318" t="s">
        <v>236</v>
      </c>
    </row>
    <row r="28001" spans="1:2" ht="12.75" customHeight="1" x14ac:dyDescent="0.25">
      <c r="A28001" s="318">
        <v>394173528463</v>
      </c>
      <c r="B28001" s="318" t="s">
        <v>237</v>
      </c>
    </row>
    <row r="28002" spans="1:2" ht="12.75" customHeight="1" x14ac:dyDescent="0.25">
      <c r="A28002" s="318">
        <v>394173528465</v>
      </c>
      <c r="B28002" s="318" t="s">
        <v>236</v>
      </c>
    </row>
    <row r="28003" spans="1:2" ht="12.75" customHeight="1" x14ac:dyDescent="0.25">
      <c r="A28003" s="318">
        <v>394173528466</v>
      </c>
      <c r="B28003" s="318" t="s">
        <v>237</v>
      </c>
    </row>
    <row r="28004" spans="1:2" ht="12.75" customHeight="1" x14ac:dyDescent="0.25">
      <c r="A28004" s="318">
        <v>394173528467</v>
      </c>
      <c r="B28004" s="318" t="s">
        <v>236</v>
      </c>
    </row>
    <row r="28005" spans="1:2" ht="12.75" customHeight="1" x14ac:dyDescent="0.25">
      <c r="A28005" s="318">
        <v>394173528468</v>
      </c>
      <c r="B28005" s="318" t="s">
        <v>237</v>
      </c>
    </row>
    <row r="28006" spans="1:2" ht="12.75" customHeight="1" x14ac:dyDescent="0.25">
      <c r="A28006" s="318">
        <v>394173528469</v>
      </c>
      <c r="B28006" s="318" t="s">
        <v>236</v>
      </c>
    </row>
    <row r="28007" spans="1:2" ht="12.75" customHeight="1" x14ac:dyDescent="0.25">
      <c r="A28007" s="318">
        <v>394173528470</v>
      </c>
      <c r="B28007" s="318" t="s">
        <v>237</v>
      </c>
    </row>
    <row r="28008" spans="1:2" ht="12.75" customHeight="1" x14ac:dyDescent="0.25">
      <c r="A28008" s="318">
        <v>394173528471</v>
      </c>
      <c r="B28008" s="318" t="s">
        <v>236</v>
      </c>
    </row>
    <row r="28009" spans="1:2" ht="12.75" customHeight="1" x14ac:dyDescent="0.25">
      <c r="A28009" s="318">
        <v>394173528472</v>
      </c>
      <c r="B28009" s="318" t="s">
        <v>237</v>
      </c>
    </row>
    <row r="28010" spans="1:2" ht="12.75" customHeight="1" x14ac:dyDescent="0.25">
      <c r="A28010" s="318">
        <v>394174009429</v>
      </c>
      <c r="B28010" s="318" t="s">
        <v>236</v>
      </c>
    </row>
    <row r="28011" spans="1:2" ht="12.75" customHeight="1" x14ac:dyDescent="0.25">
      <c r="A28011" s="318">
        <v>394174009430</v>
      </c>
      <c r="B28011" s="318" t="s">
        <v>23</v>
      </c>
    </row>
    <row r="28012" spans="1:2" ht="12.75" customHeight="1" x14ac:dyDescent="0.25">
      <c r="A28012" s="318">
        <v>394174009431</v>
      </c>
      <c r="B28012" s="318" t="s">
        <v>236</v>
      </c>
    </row>
    <row r="28013" spans="1:2" ht="12.75" customHeight="1" x14ac:dyDescent="0.25">
      <c r="A28013" s="318">
        <v>394174009432</v>
      </c>
      <c r="B28013" s="318" t="s">
        <v>23</v>
      </c>
    </row>
    <row r="28014" spans="1:2" ht="12.75" customHeight="1" x14ac:dyDescent="0.25">
      <c r="A28014" s="318">
        <v>394174009433</v>
      </c>
      <c r="B28014" s="318" t="s">
        <v>236</v>
      </c>
    </row>
    <row r="28015" spans="1:2" ht="12.75" customHeight="1" x14ac:dyDescent="0.25">
      <c r="A28015" s="318">
        <v>394174009434</v>
      </c>
      <c r="B28015" s="318" t="s">
        <v>23</v>
      </c>
    </row>
    <row r="28016" spans="1:2" ht="12.75" customHeight="1" x14ac:dyDescent="0.25">
      <c r="A28016" s="318">
        <v>394174009435</v>
      </c>
      <c r="B28016" s="318" t="s">
        <v>236</v>
      </c>
    </row>
    <row r="28017" spans="1:2" ht="12.75" customHeight="1" x14ac:dyDescent="0.25">
      <c r="A28017" s="318">
        <v>394174009436</v>
      </c>
      <c r="B28017" s="318" t="s">
        <v>237</v>
      </c>
    </row>
    <row r="28018" spans="1:2" ht="12.75" customHeight="1" x14ac:dyDescent="0.25">
      <c r="A28018" s="318">
        <v>394174009438</v>
      </c>
      <c r="B28018" s="318" t="s">
        <v>236</v>
      </c>
    </row>
    <row r="28019" spans="1:2" ht="12.75" customHeight="1" x14ac:dyDescent="0.25">
      <c r="A28019" s="318">
        <v>394174009439</v>
      </c>
      <c r="B28019" s="318" t="s">
        <v>237</v>
      </c>
    </row>
    <row r="28020" spans="1:2" ht="12.75" customHeight="1" x14ac:dyDescent="0.25">
      <c r="A28020" s="318">
        <v>394174009440</v>
      </c>
      <c r="B28020" s="318" t="s">
        <v>236</v>
      </c>
    </row>
    <row r="28021" spans="1:2" ht="12.75" customHeight="1" x14ac:dyDescent="0.25">
      <c r="A28021" s="318">
        <v>394174009441</v>
      </c>
      <c r="B28021" s="318" t="s">
        <v>237</v>
      </c>
    </row>
    <row r="28022" spans="1:2" ht="12.75" customHeight="1" x14ac:dyDescent="0.25">
      <c r="A28022" s="318">
        <v>394174009442</v>
      </c>
      <c r="B28022" s="318" t="s">
        <v>236</v>
      </c>
    </row>
    <row r="28023" spans="1:2" ht="12.75" customHeight="1" x14ac:dyDescent="0.25">
      <c r="A28023" s="318">
        <v>394174009443</v>
      </c>
      <c r="B28023" s="318" t="s">
        <v>237</v>
      </c>
    </row>
    <row r="28024" spans="1:2" ht="12.75" customHeight="1" x14ac:dyDescent="0.25">
      <c r="A28024" s="318">
        <v>394174009444</v>
      </c>
      <c r="B28024" s="318" t="s">
        <v>236</v>
      </c>
    </row>
    <row r="28025" spans="1:2" ht="12.75" customHeight="1" x14ac:dyDescent="0.25">
      <c r="A28025" s="318">
        <v>394174009445</v>
      </c>
      <c r="B28025" s="318" t="s">
        <v>237</v>
      </c>
    </row>
    <row r="28026" spans="1:2" ht="12.75" customHeight="1" x14ac:dyDescent="0.25">
      <c r="A28026" s="318">
        <v>394174490402</v>
      </c>
      <c r="B28026" s="318" t="s">
        <v>236</v>
      </c>
    </row>
    <row r="28027" spans="1:2" ht="12.75" customHeight="1" x14ac:dyDescent="0.25">
      <c r="A28027" s="318">
        <v>394174490403</v>
      </c>
      <c r="B28027" s="318" t="s">
        <v>23</v>
      </c>
    </row>
    <row r="28028" spans="1:2" ht="12.75" customHeight="1" x14ac:dyDescent="0.25">
      <c r="A28028" s="318">
        <v>394174490404</v>
      </c>
      <c r="B28028" s="318" t="s">
        <v>236</v>
      </c>
    </row>
    <row r="28029" spans="1:2" ht="12.75" customHeight="1" x14ac:dyDescent="0.25">
      <c r="A28029" s="318">
        <v>394174490405</v>
      </c>
      <c r="B28029" s="318" t="s">
        <v>23</v>
      </c>
    </row>
    <row r="28030" spans="1:2" ht="12.75" customHeight="1" x14ac:dyDescent="0.25">
      <c r="A28030" s="318">
        <v>394174490406</v>
      </c>
      <c r="B28030" s="318" t="s">
        <v>236</v>
      </c>
    </row>
    <row r="28031" spans="1:2" ht="12.75" customHeight="1" x14ac:dyDescent="0.25">
      <c r="A28031" s="318">
        <v>394174490407</v>
      </c>
      <c r="B28031" s="318" t="s">
        <v>23</v>
      </c>
    </row>
    <row r="28032" spans="1:2" ht="12.75" customHeight="1" x14ac:dyDescent="0.25">
      <c r="A28032" s="318">
        <v>394174490408</v>
      </c>
      <c r="B28032" s="318" t="s">
        <v>236</v>
      </c>
    </row>
    <row r="28033" spans="1:2" ht="12.75" customHeight="1" x14ac:dyDescent="0.25">
      <c r="A28033" s="318">
        <v>394174490409</v>
      </c>
      <c r="B28033" s="318" t="s">
        <v>237</v>
      </c>
    </row>
    <row r="28034" spans="1:2" ht="12.75" customHeight="1" x14ac:dyDescent="0.25">
      <c r="A28034" s="318">
        <v>394174490411</v>
      </c>
      <c r="B28034" s="318" t="s">
        <v>236</v>
      </c>
    </row>
    <row r="28035" spans="1:2" ht="12.75" customHeight="1" x14ac:dyDescent="0.25">
      <c r="A28035" s="318">
        <v>394174490412</v>
      </c>
      <c r="B28035" s="318" t="s">
        <v>237</v>
      </c>
    </row>
    <row r="28036" spans="1:2" ht="12.75" customHeight="1" x14ac:dyDescent="0.25">
      <c r="A28036" s="318">
        <v>394174490413</v>
      </c>
      <c r="B28036" s="318" t="s">
        <v>236</v>
      </c>
    </row>
    <row r="28037" spans="1:2" ht="12.75" customHeight="1" x14ac:dyDescent="0.25">
      <c r="A28037" s="318">
        <v>394174490414</v>
      </c>
      <c r="B28037" s="318" t="s">
        <v>237</v>
      </c>
    </row>
    <row r="28038" spans="1:2" ht="12.75" customHeight="1" x14ac:dyDescent="0.25">
      <c r="A28038" s="318">
        <v>394174490415</v>
      </c>
      <c r="B28038" s="318" t="s">
        <v>236</v>
      </c>
    </row>
    <row r="28039" spans="1:2" ht="12.75" customHeight="1" x14ac:dyDescent="0.25">
      <c r="A28039" s="318">
        <v>394174490416</v>
      </c>
      <c r="B28039" s="318" t="s">
        <v>237</v>
      </c>
    </row>
    <row r="28040" spans="1:2" ht="12.75" customHeight="1" x14ac:dyDescent="0.25">
      <c r="A28040" s="318">
        <v>394174490417</v>
      </c>
      <c r="B28040" s="318" t="s">
        <v>236</v>
      </c>
    </row>
    <row r="28041" spans="1:2" ht="12.75" customHeight="1" x14ac:dyDescent="0.25">
      <c r="A28041" s="318">
        <v>394174490418</v>
      </c>
      <c r="B28041" s="318" t="s">
        <v>237</v>
      </c>
    </row>
    <row r="28042" spans="1:2" ht="12.75" customHeight="1" x14ac:dyDescent="0.25">
      <c r="A28042" s="318">
        <v>394175850783</v>
      </c>
      <c r="B28042" s="318" t="s">
        <v>236</v>
      </c>
    </row>
    <row r="28043" spans="1:2" ht="12.75" customHeight="1" x14ac:dyDescent="0.25">
      <c r="A28043" s="318">
        <v>394175850784</v>
      </c>
      <c r="B28043" s="318" t="s">
        <v>23</v>
      </c>
    </row>
    <row r="28044" spans="1:2" ht="12.75" customHeight="1" x14ac:dyDescent="0.25">
      <c r="A28044" s="318">
        <v>394175850785</v>
      </c>
      <c r="B28044" s="318" t="s">
        <v>236</v>
      </c>
    </row>
    <row r="28045" spans="1:2" ht="12.75" customHeight="1" x14ac:dyDescent="0.25">
      <c r="A28045" s="318">
        <v>394175850786</v>
      </c>
      <c r="B28045" s="318" t="s">
        <v>23</v>
      </c>
    </row>
    <row r="28046" spans="1:2" ht="12.75" customHeight="1" x14ac:dyDescent="0.25">
      <c r="A28046" s="318">
        <v>394175850787</v>
      </c>
      <c r="B28046" s="318" t="s">
        <v>236</v>
      </c>
    </row>
    <row r="28047" spans="1:2" ht="12.75" customHeight="1" x14ac:dyDescent="0.25">
      <c r="A28047" s="318">
        <v>394175850788</v>
      </c>
      <c r="B28047" s="318" t="s">
        <v>23</v>
      </c>
    </row>
    <row r="28048" spans="1:2" ht="12.75" customHeight="1" x14ac:dyDescent="0.25">
      <c r="A28048" s="318">
        <v>394175850789</v>
      </c>
      <c r="B28048" s="318" t="s">
        <v>236</v>
      </c>
    </row>
    <row r="28049" spans="1:2" ht="12.75" customHeight="1" x14ac:dyDescent="0.25">
      <c r="A28049" s="318">
        <v>394175850790</v>
      </c>
      <c r="B28049" s="318" t="s">
        <v>237</v>
      </c>
    </row>
    <row r="28050" spans="1:2" ht="12.75" customHeight="1" x14ac:dyDescent="0.25">
      <c r="A28050" s="318">
        <v>394175850792</v>
      </c>
      <c r="B28050" s="318" t="s">
        <v>236</v>
      </c>
    </row>
    <row r="28051" spans="1:2" ht="12.75" customHeight="1" x14ac:dyDescent="0.25">
      <c r="A28051" s="318">
        <v>394175850793</v>
      </c>
      <c r="B28051" s="318" t="s">
        <v>237</v>
      </c>
    </row>
    <row r="28052" spans="1:2" ht="12.75" customHeight="1" x14ac:dyDescent="0.25">
      <c r="A28052" s="318">
        <v>394175850794</v>
      </c>
      <c r="B28052" s="318" t="s">
        <v>236</v>
      </c>
    </row>
    <row r="28053" spans="1:2" ht="12.75" customHeight="1" x14ac:dyDescent="0.25">
      <c r="A28053" s="318">
        <v>394175850795</v>
      </c>
      <c r="B28053" s="318" t="s">
        <v>237</v>
      </c>
    </row>
    <row r="28054" spans="1:2" ht="12.75" customHeight="1" x14ac:dyDescent="0.25">
      <c r="A28054" s="318">
        <v>394175850796</v>
      </c>
      <c r="B28054" s="318" t="s">
        <v>236</v>
      </c>
    </row>
    <row r="28055" spans="1:2" ht="12.75" customHeight="1" x14ac:dyDescent="0.25">
      <c r="A28055" s="318">
        <v>394175850797</v>
      </c>
      <c r="B28055" s="318" t="s">
        <v>237</v>
      </c>
    </row>
    <row r="28056" spans="1:2" ht="12.75" customHeight="1" x14ac:dyDescent="0.25">
      <c r="A28056" s="318">
        <v>394175850798</v>
      </c>
      <c r="B28056" s="318" t="s">
        <v>236</v>
      </c>
    </row>
    <row r="28057" spans="1:2" ht="12.75" customHeight="1" x14ac:dyDescent="0.25">
      <c r="A28057" s="318">
        <v>394175850799</v>
      </c>
      <c r="B28057" s="318" t="s">
        <v>237</v>
      </c>
    </row>
    <row r="28058" spans="1:2" ht="12.75" customHeight="1" x14ac:dyDescent="0.25">
      <c r="A28058" s="318">
        <v>394176331756</v>
      </c>
      <c r="B28058" s="318" t="s">
        <v>236</v>
      </c>
    </row>
    <row r="28059" spans="1:2" ht="12.75" customHeight="1" x14ac:dyDescent="0.25">
      <c r="A28059" s="318">
        <v>394176331757</v>
      </c>
      <c r="B28059" s="318" t="s">
        <v>23</v>
      </c>
    </row>
    <row r="28060" spans="1:2" ht="12.75" customHeight="1" x14ac:dyDescent="0.25">
      <c r="A28060" s="318">
        <v>394176331758</v>
      </c>
      <c r="B28060" s="318" t="s">
        <v>236</v>
      </c>
    </row>
    <row r="28061" spans="1:2" ht="12.75" customHeight="1" x14ac:dyDescent="0.25">
      <c r="A28061" s="318">
        <v>394176331759</v>
      </c>
      <c r="B28061" s="318" t="s">
        <v>23</v>
      </c>
    </row>
    <row r="28062" spans="1:2" ht="12.75" customHeight="1" x14ac:dyDescent="0.25">
      <c r="A28062" s="318">
        <v>394176331760</v>
      </c>
      <c r="B28062" s="318" t="s">
        <v>236</v>
      </c>
    </row>
    <row r="28063" spans="1:2" ht="12.75" customHeight="1" x14ac:dyDescent="0.25">
      <c r="A28063" s="318">
        <v>394176331761</v>
      </c>
      <c r="B28063" s="318" t="s">
        <v>23</v>
      </c>
    </row>
    <row r="28064" spans="1:2" ht="12.75" customHeight="1" x14ac:dyDescent="0.25">
      <c r="A28064" s="318">
        <v>394176331762</v>
      </c>
      <c r="B28064" s="318" t="s">
        <v>236</v>
      </c>
    </row>
    <row r="28065" spans="1:2" ht="12.75" customHeight="1" x14ac:dyDescent="0.25">
      <c r="A28065" s="318">
        <v>394176331763</v>
      </c>
      <c r="B28065" s="318" t="s">
        <v>237</v>
      </c>
    </row>
    <row r="28066" spans="1:2" ht="12.75" customHeight="1" x14ac:dyDescent="0.25">
      <c r="A28066" s="318">
        <v>394176331765</v>
      </c>
      <c r="B28066" s="318" t="s">
        <v>236</v>
      </c>
    </row>
    <row r="28067" spans="1:2" ht="12.75" customHeight="1" x14ac:dyDescent="0.25">
      <c r="A28067" s="318">
        <v>394176331766</v>
      </c>
      <c r="B28067" s="318" t="s">
        <v>237</v>
      </c>
    </row>
    <row r="28068" spans="1:2" ht="12.75" customHeight="1" x14ac:dyDescent="0.25">
      <c r="A28068" s="318">
        <v>394176331767</v>
      </c>
      <c r="B28068" s="318" t="s">
        <v>236</v>
      </c>
    </row>
    <row r="28069" spans="1:2" ht="12.75" customHeight="1" x14ac:dyDescent="0.25">
      <c r="A28069" s="318">
        <v>394176331768</v>
      </c>
      <c r="B28069" s="318" t="s">
        <v>237</v>
      </c>
    </row>
    <row r="28070" spans="1:2" ht="12.75" customHeight="1" x14ac:dyDescent="0.25">
      <c r="A28070" s="318">
        <v>394176331769</v>
      </c>
      <c r="B28070" s="318" t="s">
        <v>236</v>
      </c>
    </row>
    <row r="28071" spans="1:2" ht="12.75" customHeight="1" x14ac:dyDescent="0.25">
      <c r="A28071" s="318">
        <v>394176331770</v>
      </c>
      <c r="B28071" s="318" t="s">
        <v>237</v>
      </c>
    </row>
    <row r="28072" spans="1:2" ht="12.75" customHeight="1" x14ac:dyDescent="0.25">
      <c r="A28072" s="318">
        <v>394176331771</v>
      </c>
      <c r="B28072" s="318" t="s">
        <v>236</v>
      </c>
    </row>
    <row r="28073" spans="1:2" ht="12.75" customHeight="1" x14ac:dyDescent="0.25">
      <c r="A28073" s="318">
        <v>394176331772</v>
      </c>
      <c r="B28073" s="318" t="s">
        <v>237</v>
      </c>
    </row>
    <row r="28074" spans="1:2" ht="12.75" customHeight="1" x14ac:dyDescent="0.25">
      <c r="A28074" s="318">
        <v>394176812729</v>
      </c>
      <c r="B28074" s="318" t="s">
        <v>236</v>
      </c>
    </row>
    <row r="28075" spans="1:2" ht="12.75" customHeight="1" x14ac:dyDescent="0.25">
      <c r="A28075" s="318">
        <v>394176812730</v>
      </c>
      <c r="B28075" s="318" t="s">
        <v>23</v>
      </c>
    </row>
    <row r="28076" spans="1:2" ht="12.75" customHeight="1" x14ac:dyDescent="0.25">
      <c r="A28076" s="318">
        <v>394176812731</v>
      </c>
      <c r="B28076" s="318" t="s">
        <v>236</v>
      </c>
    </row>
    <row r="28077" spans="1:2" ht="12.75" customHeight="1" x14ac:dyDescent="0.25">
      <c r="A28077" s="318">
        <v>394176812732</v>
      </c>
      <c r="B28077" s="318" t="s">
        <v>23</v>
      </c>
    </row>
    <row r="28078" spans="1:2" ht="12.75" customHeight="1" x14ac:dyDescent="0.25">
      <c r="A28078" s="318">
        <v>394176812733</v>
      </c>
      <c r="B28078" s="318" t="s">
        <v>236</v>
      </c>
    </row>
    <row r="28079" spans="1:2" ht="12.75" customHeight="1" x14ac:dyDescent="0.25">
      <c r="A28079" s="318">
        <v>394176812734</v>
      </c>
      <c r="B28079" s="318" t="s">
        <v>23</v>
      </c>
    </row>
    <row r="28080" spans="1:2" ht="12.75" customHeight="1" x14ac:dyDescent="0.25">
      <c r="A28080" s="318">
        <v>394176812735</v>
      </c>
      <c r="B28080" s="318" t="s">
        <v>236</v>
      </c>
    </row>
    <row r="28081" spans="1:2" ht="12.75" customHeight="1" x14ac:dyDescent="0.25">
      <c r="A28081" s="318">
        <v>394176812736</v>
      </c>
      <c r="B28081" s="318" t="s">
        <v>237</v>
      </c>
    </row>
    <row r="28082" spans="1:2" ht="12.75" customHeight="1" x14ac:dyDescent="0.25">
      <c r="A28082" s="318">
        <v>394176812738</v>
      </c>
      <c r="B28082" s="318" t="s">
        <v>236</v>
      </c>
    </row>
    <row r="28083" spans="1:2" ht="12.75" customHeight="1" x14ac:dyDescent="0.25">
      <c r="A28083" s="318">
        <v>394176812739</v>
      </c>
      <c r="B28083" s="318" t="s">
        <v>237</v>
      </c>
    </row>
    <row r="28084" spans="1:2" ht="12.75" customHeight="1" x14ac:dyDescent="0.25">
      <c r="A28084" s="318">
        <v>394176812740</v>
      </c>
      <c r="B28084" s="318" t="s">
        <v>236</v>
      </c>
    </row>
    <row r="28085" spans="1:2" ht="12.75" customHeight="1" x14ac:dyDescent="0.25">
      <c r="A28085" s="318">
        <v>394176812741</v>
      </c>
      <c r="B28085" s="318" t="s">
        <v>237</v>
      </c>
    </row>
    <row r="28086" spans="1:2" ht="12.75" customHeight="1" x14ac:dyDescent="0.25">
      <c r="A28086" s="318">
        <v>394176812742</v>
      </c>
      <c r="B28086" s="318" t="s">
        <v>236</v>
      </c>
    </row>
    <row r="28087" spans="1:2" ht="12.75" customHeight="1" x14ac:dyDescent="0.25">
      <c r="A28087" s="318">
        <v>394176812743</v>
      </c>
      <c r="B28087" s="318" t="s">
        <v>237</v>
      </c>
    </row>
    <row r="28088" spans="1:2" ht="12.75" customHeight="1" x14ac:dyDescent="0.25">
      <c r="A28088" s="318">
        <v>394176812744</v>
      </c>
      <c r="B28088" s="318" t="s">
        <v>236</v>
      </c>
    </row>
    <row r="28089" spans="1:2" ht="12.75" customHeight="1" x14ac:dyDescent="0.25">
      <c r="A28089" s="318">
        <v>394176812745</v>
      </c>
      <c r="B28089" s="318" t="s">
        <v>237</v>
      </c>
    </row>
    <row r="28090" spans="1:2" ht="12.75" customHeight="1" x14ac:dyDescent="0.25">
      <c r="A28090" s="318">
        <v>394177492920</v>
      </c>
      <c r="B28090" s="318" t="s">
        <v>236</v>
      </c>
    </row>
    <row r="28091" spans="1:2" ht="12.75" customHeight="1" x14ac:dyDescent="0.25">
      <c r="A28091" s="318">
        <v>394177492921</v>
      </c>
      <c r="B28091" s="318" t="s">
        <v>23</v>
      </c>
    </row>
    <row r="28092" spans="1:2" ht="12.75" customHeight="1" x14ac:dyDescent="0.25">
      <c r="A28092" s="318">
        <v>394177492922</v>
      </c>
      <c r="B28092" s="318" t="s">
        <v>236</v>
      </c>
    </row>
    <row r="28093" spans="1:2" ht="12.75" customHeight="1" x14ac:dyDescent="0.25">
      <c r="A28093" s="318">
        <v>394177492923</v>
      </c>
      <c r="B28093" s="318" t="s">
        <v>23</v>
      </c>
    </row>
    <row r="28094" spans="1:2" ht="12.75" customHeight="1" x14ac:dyDescent="0.25">
      <c r="A28094" s="318">
        <v>394177492924</v>
      </c>
      <c r="B28094" s="318" t="s">
        <v>236</v>
      </c>
    </row>
    <row r="28095" spans="1:2" ht="12.75" customHeight="1" x14ac:dyDescent="0.25">
      <c r="A28095" s="318">
        <v>394177492925</v>
      </c>
      <c r="B28095" s="318" t="s">
        <v>23</v>
      </c>
    </row>
    <row r="28096" spans="1:2" ht="12.75" customHeight="1" x14ac:dyDescent="0.25">
      <c r="A28096" s="318">
        <v>394177492926</v>
      </c>
      <c r="B28096" s="318" t="s">
        <v>236</v>
      </c>
    </row>
    <row r="28097" spans="1:2" ht="12.75" customHeight="1" x14ac:dyDescent="0.25">
      <c r="A28097" s="318">
        <v>394177492927</v>
      </c>
      <c r="B28097" s="318" t="s">
        <v>237</v>
      </c>
    </row>
    <row r="28098" spans="1:2" ht="12.75" customHeight="1" x14ac:dyDescent="0.25">
      <c r="A28098" s="318">
        <v>394177492929</v>
      </c>
      <c r="B28098" s="318" t="s">
        <v>236</v>
      </c>
    </row>
    <row r="28099" spans="1:2" ht="12.75" customHeight="1" x14ac:dyDescent="0.25">
      <c r="A28099" s="318">
        <v>394177492930</v>
      </c>
      <c r="B28099" s="318" t="s">
        <v>237</v>
      </c>
    </row>
    <row r="28100" spans="1:2" ht="12.75" customHeight="1" x14ac:dyDescent="0.25">
      <c r="A28100" s="318">
        <v>394177492931</v>
      </c>
      <c r="B28100" s="318" t="s">
        <v>236</v>
      </c>
    </row>
    <row r="28101" spans="1:2" ht="12.75" customHeight="1" x14ac:dyDescent="0.25">
      <c r="A28101" s="318">
        <v>394177492932</v>
      </c>
      <c r="B28101" s="318" t="s">
        <v>237</v>
      </c>
    </row>
    <row r="28102" spans="1:2" ht="12.75" customHeight="1" x14ac:dyDescent="0.25">
      <c r="A28102" s="318">
        <v>394177492933</v>
      </c>
      <c r="B28102" s="318" t="s">
        <v>236</v>
      </c>
    </row>
    <row r="28103" spans="1:2" ht="12.75" customHeight="1" x14ac:dyDescent="0.25">
      <c r="A28103" s="318">
        <v>394177492934</v>
      </c>
      <c r="B28103" s="318" t="s">
        <v>237</v>
      </c>
    </row>
    <row r="28104" spans="1:2" ht="12.75" customHeight="1" x14ac:dyDescent="0.25">
      <c r="A28104" s="318">
        <v>394177492935</v>
      </c>
      <c r="B28104" s="318" t="s">
        <v>236</v>
      </c>
    </row>
    <row r="28105" spans="1:2" ht="12.75" customHeight="1" x14ac:dyDescent="0.25">
      <c r="A28105" s="318">
        <v>394177492936</v>
      </c>
      <c r="B28105" s="318" t="s">
        <v>237</v>
      </c>
    </row>
    <row r="28106" spans="1:2" ht="12.75" customHeight="1" x14ac:dyDescent="0.25">
      <c r="A28106" s="318">
        <v>394177973893</v>
      </c>
      <c r="B28106" s="318" t="s">
        <v>236</v>
      </c>
    </row>
    <row r="28107" spans="1:2" ht="12.75" customHeight="1" x14ac:dyDescent="0.25">
      <c r="A28107" s="318">
        <v>394177973894</v>
      </c>
      <c r="B28107" s="318" t="s">
        <v>23</v>
      </c>
    </row>
    <row r="28108" spans="1:2" ht="12.75" customHeight="1" x14ac:dyDescent="0.25">
      <c r="A28108" s="318">
        <v>394177973895</v>
      </c>
      <c r="B28108" s="318" t="s">
        <v>236</v>
      </c>
    </row>
    <row r="28109" spans="1:2" ht="12.75" customHeight="1" x14ac:dyDescent="0.25">
      <c r="A28109" s="318">
        <v>394177973896</v>
      </c>
      <c r="B28109" s="318" t="s">
        <v>23</v>
      </c>
    </row>
    <row r="28110" spans="1:2" ht="12.75" customHeight="1" x14ac:dyDescent="0.25">
      <c r="A28110" s="318">
        <v>394177973897</v>
      </c>
      <c r="B28110" s="318" t="s">
        <v>236</v>
      </c>
    </row>
    <row r="28111" spans="1:2" ht="12.75" customHeight="1" x14ac:dyDescent="0.25">
      <c r="A28111" s="318">
        <v>394177973898</v>
      </c>
      <c r="B28111" s="318" t="s">
        <v>23</v>
      </c>
    </row>
    <row r="28112" spans="1:2" ht="12.75" customHeight="1" x14ac:dyDescent="0.25">
      <c r="A28112" s="318">
        <v>394177973899</v>
      </c>
      <c r="B28112" s="318" t="s">
        <v>236</v>
      </c>
    </row>
    <row r="28113" spans="1:2" ht="12.75" customHeight="1" x14ac:dyDescent="0.25">
      <c r="A28113" s="318">
        <v>394177973900</v>
      </c>
      <c r="B28113" s="318" t="s">
        <v>237</v>
      </c>
    </row>
    <row r="28114" spans="1:2" ht="12.75" customHeight="1" x14ac:dyDescent="0.25">
      <c r="A28114" s="318">
        <v>394177973902</v>
      </c>
      <c r="B28114" s="318" t="s">
        <v>236</v>
      </c>
    </row>
    <row r="28115" spans="1:2" ht="12.75" customHeight="1" x14ac:dyDescent="0.25">
      <c r="A28115" s="318">
        <v>394177973903</v>
      </c>
      <c r="B28115" s="318" t="s">
        <v>237</v>
      </c>
    </row>
    <row r="28116" spans="1:2" ht="12.75" customHeight="1" x14ac:dyDescent="0.25">
      <c r="A28116" s="318">
        <v>394177973904</v>
      </c>
      <c r="B28116" s="318" t="s">
        <v>236</v>
      </c>
    </row>
    <row r="28117" spans="1:2" ht="12.75" customHeight="1" x14ac:dyDescent="0.25">
      <c r="A28117" s="318">
        <v>394177973905</v>
      </c>
      <c r="B28117" s="318" t="s">
        <v>237</v>
      </c>
    </row>
    <row r="28118" spans="1:2" ht="12.75" customHeight="1" x14ac:dyDescent="0.25">
      <c r="A28118" s="318">
        <v>394177973906</v>
      </c>
      <c r="B28118" s="318" t="s">
        <v>236</v>
      </c>
    </row>
    <row r="28119" spans="1:2" ht="12.75" customHeight="1" x14ac:dyDescent="0.25">
      <c r="A28119" s="318">
        <v>394177973907</v>
      </c>
      <c r="B28119" s="318" t="s">
        <v>237</v>
      </c>
    </row>
    <row r="28120" spans="1:2" ht="12.75" customHeight="1" x14ac:dyDescent="0.25">
      <c r="A28120" s="318">
        <v>394177973908</v>
      </c>
      <c r="B28120" s="318" t="s">
        <v>236</v>
      </c>
    </row>
    <row r="28121" spans="1:2" ht="12.75" customHeight="1" x14ac:dyDescent="0.25">
      <c r="A28121" s="318">
        <v>394177973909</v>
      </c>
      <c r="B28121" s="318" t="s">
        <v>237</v>
      </c>
    </row>
    <row r="28122" spans="1:2" ht="12.75" customHeight="1" x14ac:dyDescent="0.25">
      <c r="A28122" s="318">
        <v>394178454866</v>
      </c>
      <c r="B28122" s="318" t="s">
        <v>236</v>
      </c>
    </row>
    <row r="28123" spans="1:2" ht="12.75" customHeight="1" x14ac:dyDescent="0.25">
      <c r="A28123" s="318">
        <v>394178454867</v>
      </c>
      <c r="B28123" s="318" t="s">
        <v>23</v>
      </c>
    </row>
    <row r="28124" spans="1:2" ht="12.75" customHeight="1" x14ac:dyDescent="0.25">
      <c r="A28124" s="318">
        <v>394178454868</v>
      </c>
      <c r="B28124" s="318" t="s">
        <v>236</v>
      </c>
    </row>
    <row r="28125" spans="1:2" ht="12.75" customHeight="1" x14ac:dyDescent="0.25">
      <c r="A28125" s="318">
        <v>394178454869</v>
      </c>
      <c r="B28125" s="318" t="s">
        <v>23</v>
      </c>
    </row>
    <row r="28126" spans="1:2" ht="12.75" customHeight="1" x14ac:dyDescent="0.25">
      <c r="A28126" s="318">
        <v>394178454870</v>
      </c>
      <c r="B28126" s="318" t="s">
        <v>236</v>
      </c>
    </row>
    <row r="28127" spans="1:2" ht="12.75" customHeight="1" x14ac:dyDescent="0.25">
      <c r="A28127" s="318">
        <v>394178454871</v>
      </c>
      <c r="B28127" s="318" t="s">
        <v>23</v>
      </c>
    </row>
    <row r="28128" spans="1:2" ht="12.75" customHeight="1" x14ac:dyDescent="0.25">
      <c r="A28128" s="318">
        <v>394178454872</v>
      </c>
      <c r="B28128" s="318" t="s">
        <v>236</v>
      </c>
    </row>
    <row r="28129" spans="1:2" ht="12.75" customHeight="1" x14ac:dyDescent="0.25">
      <c r="A28129" s="318">
        <v>394178454873</v>
      </c>
      <c r="B28129" s="318" t="s">
        <v>237</v>
      </c>
    </row>
    <row r="28130" spans="1:2" ht="12.75" customHeight="1" x14ac:dyDescent="0.25">
      <c r="A28130" s="318">
        <v>394178454875</v>
      </c>
      <c r="B28130" s="318" t="s">
        <v>236</v>
      </c>
    </row>
    <row r="28131" spans="1:2" ht="12.75" customHeight="1" x14ac:dyDescent="0.25">
      <c r="A28131" s="318">
        <v>394178454876</v>
      </c>
      <c r="B28131" s="318" t="s">
        <v>237</v>
      </c>
    </row>
    <row r="28132" spans="1:2" ht="12.75" customHeight="1" x14ac:dyDescent="0.25">
      <c r="A28132" s="318">
        <v>394178454877</v>
      </c>
      <c r="B28132" s="318" t="s">
        <v>236</v>
      </c>
    </row>
    <row r="28133" spans="1:2" ht="12.75" customHeight="1" x14ac:dyDescent="0.25">
      <c r="A28133" s="318">
        <v>394178454878</v>
      </c>
      <c r="B28133" s="318" t="s">
        <v>237</v>
      </c>
    </row>
    <row r="28134" spans="1:2" ht="12.75" customHeight="1" x14ac:dyDescent="0.25">
      <c r="A28134" s="318">
        <v>394178454879</v>
      </c>
      <c r="B28134" s="318" t="s">
        <v>236</v>
      </c>
    </row>
    <row r="28135" spans="1:2" ht="12.75" customHeight="1" x14ac:dyDescent="0.25">
      <c r="A28135" s="318">
        <v>394178454880</v>
      </c>
      <c r="B28135" s="318" t="s">
        <v>237</v>
      </c>
    </row>
    <row r="28136" spans="1:2" ht="12.75" customHeight="1" x14ac:dyDescent="0.25">
      <c r="A28136" s="318">
        <v>394178454881</v>
      </c>
      <c r="B28136" s="318" t="s">
        <v>236</v>
      </c>
    </row>
    <row r="28137" spans="1:2" ht="12.75" customHeight="1" x14ac:dyDescent="0.25">
      <c r="A28137" s="318">
        <v>394178454882</v>
      </c>
      <c r="B28137" s="318" t="s">
        <v>237</v>
      </c>
    </row>
    <row r="28138" spans="1:2" ht="12.75" customHeight="1" x14ac:dyDescent="0.25">
      <c r="A28138" s="318">
        <v>394179135057</v>
      </c>
      <c r="B28138" s="318" t="s">
        <v>236</v>
      </c>
    </row>
    <row r="28139" spans="1:2" ht="12.75" customHeight="1" x14ac:dyDescent="0.25">
      <c r="A28139" s="318">
        <v>394179135058</v>
      </c>
      <c r="B28139" s="318" t="s">
        <v>23</v>
      </c>
    </row>
    <row r="28140" spans="1:2" ht="12.75" customHeight="1" x14ac:dyDescent="0.25">
      <c r="A28140" s="318">
        <v>394179135059</v>
      </c>
      <c r="B28140" s="318" t="s">
        <v>236</v>
      </c>
    </row>
    <row r="28141" spans="1:2" ht="12.75" customHeight="1" x14ac:dyDescent="0.25">
      <c r="A28141" s="318">
        <v>394179135060</v>
      </c>
      <c r="B28141" s="318" t="s">
        <v>23</v>
      </c>
    </row>
    <row r="28142" spans="1:2" ht="12.75" customHeight="1" x14ac:dyDescent="0.25">
      <c r="A28142" s="318">
        <v>394179135061</v>
      </c>
      <c r="B28142" s="318" t="s">
        <v>236</v>
      </c>
    </row>
    <row r="28143" spans="1:2" ht="12.75" customHeight="1" x14ac:dyDescent="0.25">
      <c r="A28143" s="318">
        <v>394179135062</v>
      </c>
      <c r="B28143" s="318" t="s">
        <v>23</v>
      </c>
    </row>
    <row r="28144" spans="1:2" ht="12.75" customHeight="1" x14ac:dyDescent="0.25">
      <c r="A28144" s="318">
        <v>394179135063</v>
      </c>
      <c r="B28144" s="318" t="s">
        <v>236</v>
      </c>
    </row>
    <row r="28145" spans="1:2" ht="12.75" customHeight="1" x14ac:dyDescent="0.25">
      <c r="A28145" s="318">
        <v>394179135064</v>
      </c>
      <c r="B28145" s="318" t="s">
        <v>237</v>
      </c>
    </row>
    <row r="28146" spans="1:2" ht="12.75" customHeight="1" x14ac:dyDescent="0.25">
      <c r="A28146" s="318">
        <v>394179135066</v>
      </c>
      <c r="B28146" s="318" t="s">
        <v>236</v>
      </c>
    </row>
    <row r="28147" spans="1:2" ht="12.75" customHeight="1" x14ac:dyDescent="0.25">
      <c r="A28147" s="318">
        <v>394179135067</v>
      </c>
      <c r="B28147" s="318" t="s">
        <v>237</v>
      </c>
    </row>
    <row r="28148" spans="1:2" ht="12.75" customHeight="1" x14ac:dyDescent="0.25">
      <c r="A28148" s="318">
        <v>394179135068</v>
      </c>
      <c r="B28148" s="318" t="s">
        <v>236</v>
      </c>
    </row>
    <row r="28149" spans="1:2" ht="12.75" customHeight="1" x14ac:dyDescent="0.25">
      <c r="A28149" s="318">
        <v>394179135069</v>
      </c>
      <c r="B28149" s="318" t="s">
        <v>237</v>
      </c>
    </row>
    <row r="28150" spans="1:2" ht="12.75" customHeight="1" x14ac:dyDescent="0.25">
      <c r="A28150" s="318">
        <v>394179135070</v>
      </c>
      <c r="B28150" s="318" t="s">
        <v>236</v>
      </c>
    </row>
    <row r="28151" spans="1:2" ht="12.75" customHeight="1" x14ac:dyDescent="0.25">
      <c r="A28151" s="318">
        <v>394179135071</v>
      </c>
      <c r="B28151" s="318" t="s">
        <v>237</v>
      </c>
    </row>
    <row r="28152" spans="1:2" ht="12.75" customHeight="1" x14ac:dyDescent="0.25">
      <c r="A28152" s="318">
        <v>394179135072</v>
      </c>
      <c r="B28152" s="318" t="s">
        <v>236</v>
      </c>
    </row>
    <row r="28153" spans="1:2" ht="12.75" customHeight="1" x14ac:dyDescent="0.25">
      <c r="A28153" s="318">
        <v>394179135073</v>
      </c>
      <c r="B28153" s="318" t="s">
        <v>237</v>
      </c>
    </row>
    <row r="28154" spans="1:2" ht="12.75" customHeight="1" x14ac:dyDescent="0.25">
      <c r="A28154" s="318">
        <v>394179616030</v>
      </c>
      <c r="B28154" s="318" t="s">
        <v>236</v>
      </c>
    </row>
    <row r="28155" spans="1:2" ht="12.75" customHeight="1" x14ac:dyDescent="0.25">
      <c r="A28155" s="318">
        <v>394179616031</v>
      </c>
      <c r="B28155" s="318" t="s">
        <v>23</v>
      </c>
    </row>
    <row r="28156" spans="1:2" ht="12.75" customHeight="1" x14ac:dyDescent="0.25">
      <c r="A28156" s="318">
        <v>394179616032</v>
      </c>
      <c r="B28156" s="318" t="s">
        <v>236</v>
      </c>
    </row>
    <row r="28157" spans="1:2" ht="12.75" customHeight="1" x14ac:dyDescent="0.25">
      <c r="A28157" s="318">
        <v>394179616033</v>
      </c>
      <c r="B28157" s="318" t="s">
        <v>23</v>
      </c>
    </row>
    <row r="28158" spans="1:2" ht="12.75" customHeight="1" x14ac:dyDescent="0.25">
      <c r="A28158" s="318">
        <v>394179616034</v>
      </c>
      <c r="B28158" s="318" t="s">
        <v>236</v>
      </c>
    </row>
    <row r="28159" spans="1:2" ht="12.75" customHeight="1" x14ac:dyDescent="0.25">
      <c r="A28159" s="318">
        <v>394179616035</v>
      </c>
      <c r="B28159" s="318" t="s">
        <v>23</v>
      </c>
    </row>
    <row r="28160" spans="1:2" ht="12.75" customHeight="1" x14ac:dyDescent="0.25">
      <c r="A28160" s="318">
        <v>394179616036</v>
      </c>
      <c r="B28160" s="318" t="s">
        <v>236</v>
      </c>
    </row>
    <row r="28161" spans="1:2" ht="12.75" customHeight="1" x14ac:dyDescent="0.25">
      <c r="A28161" s="318">
        <v>394179616037</v>
      </c>
      <c r="B28161" s="318" t="s">
        <v>237</v>
      </c>
    </row>
    <row r="28162" spans="1:2" ht="12.75" customHeight="1" x14ac:dyDescent="0.25">
      <c r="A28162" s="318">
        <v>394179616039</v>
      </c>
      <c r="B28162" s="318" t="s">
        <v>236</v>
      </c>
    </row>
    <row r="28163" spans="1:2" ht="12.75" customHeight="1" x14ac:dyDescent="0.25">
      <c r="A28163" s="318">
        <v>394179616040</v>
      </c>
      <c r="B28163" s="318" t="s">
        <v>237</v>
      </c>
    </row>
    <row r="28164" spans="1:2" ht="12.75" customHeight="1" x14ac:dyDescent="0.25">
      <c r="A28164" s="318">
        <v>394179616041</v>
      </c>
      <c r="B28164" s="318" t="s">
        <v>236</v>
      </c>
    </row>
    <row r="28165" spans="1:2" ht="12.75" customHeight="1" x14ac:dyDescent="0.25">
      <c r="A28165" s="318">
        <v>394179616042</v>
      </c>
      <c r="B28165" s="318" t="s">
        <v>237</v>
      </c>
    </row>
    <row r="28166" spans="1:2" ht="12.75" customHeight="1" x14ac:dyDescent="0.25">
      <c r="A28166" s="318">
        <v>394179616043</v>
      </c>
      <c r="B28166" s="318" t="s">
        <v>236</v>
      </c>
    </row>
    <row r="28167" spans="1:2" ht="12.75" customHeight="1" x14ac:dyDescent="0.25">
      <c r="A28167" s="318">
        <v>394179616044</v>
      </c>
      <c r="B28167" s="318" t="s">
        <v>237</v>
      </c>
    </row>
    <row r="28168" spans="1:2" ht="12.75" customHeight="1" x14ac:dyDescent="0.25">
      <c r="A28168" s="318">
        <v>394179616045</v>
      </c>
      <c r="B28168" s="318" t="s">
        <v>236</v>
      </c>
    </row>
    <row r="28169" spans="1:2" ht="12.75" customHeight="1" x14ac:dyDescent="0.25">
      <c r="A28169" s="318">
        <v>394179616046</v>
      </c>
      <c r="B28169" s="318" t="s">
        <v>237</v>
      </c>
    </row>
    <row r="28170" spans="1:2" ht="12.75" customHeight="1" x14ac:dyDescent="0.25">
      <c r="A28170" s="318">
        <v>394180097003</v>
      </c>
      <c r="B28170" s="318" t="s">
        <v>236</v>
      </c>
    </row>
    <row r="28171" spans="1:2" ht="12.75" customHeight="1" x14ac:dyDescent="0.25">
      <c r="A28171" s="318">
        <v>394180097004</v>
      </c>
      <c r="B28171" s="318" t="s">
        <v>23</v>
      </c>
    </row>
    <row r="28172" spans="1:2" ht="12.75" customHeight="1" x14ac:dyDescent="0.25">
      <c r="A28172" s="318">
        <v>394180097005</v>
      </c>
      <c r="B28172" s="318" t="s">
        <v>236</v>
      </c>
    </row>
    <row r="28173" spans="1:2" ht="12.75" customHeight="1" x14ac:dyDescent="0.25">
      <c r="A28173" s="318">
        <v>394180097006</v>
      </c>
      <c r="B28173" s="318" t="s">
        <v>23</v>
      </c>
    </row>
    <row r="28174" spans="1:2" ht="12.75" customHeight="1" x14ac:dyDescent="0.25">
      <c r="A28174" s="318">
        <v>394180097007</v>
      </c>
      <c r="B28174" s="318" t="s">
        <v>236</v>
      </c>
    </row>
    <row r="28175" spans="1:2" ht="12.75" customHeight="1" x14ac:dyDescent="0.25">
      <c r="A28175" s="318">
        <v>394180097008</v>
      </c>
      <c r="B28175" s="318" t="s">
        <v>23</v>
      </c>
    </row>
    <row r="28176" spans="1:2" ht="12.75" customHeight="1" x14ac:dyDescent="0.25">
      <c r="A28176" s="318">
        <v>394180097009</v>
      </c>
      <c r="B28176" s="318" t="s">
        <v>236</v>
      </c>
    </row>
    <row r="28177" spans="1:2" ht="12.75" customHeight="1" x14ac:dyDescent="0.25">
      <c r="A28177" s="318">
        <v>394180097010</v>
      </c>
      <c r="B28177" s="318" t="s">
        <v>237</v>
      </c>
    </row>
    <row r="28178" spans="1:2" ht="12.75" customHeight="1" x14ac:dyDescent="0.25">
      <c r="A28178" s="318">
        <v>394180097012</v>
      </c>
      <c r="B28178" s="318" t="s">
        <v>236</v>
      </c>
    </row>
    <row r="28179" spans="1:2" ht="12.75" customHeight="1" x14ac:dyDescent="0.25">
      <c r="A28179" s="318">
        <v>394180097013</v>
      </c>
      <c r="B28179" s="318" t="s">
        <v>237</v>
      </c>
    </row>
    <row r="28180" spans="1:2" ht="12.75" customHeight="1" x14ac:dyDescent="0.25">
      <c r="A28180" s="318">
        <v>394180097014</v>
      </c>
      <c r="B28180" s="318" t="s">
        <v>236</v>
      </c>
    </row>
    <row r="28181" spans="1:2" ht="12.75" customHeight="1" x14ac:dyDescent="0.25">
      <c r="A28181" s="318">
        <v>394180097015</v>
      </c>
      <c r="B28181" s="318" t="s">
        <v>237</v>
      </c>
    </row>
    <row r="28182" spans="1:2" ht="12.75" customHeight="1" x14ac:dyDescent="0.25">
      <c r="A28182" s="318">
        <v>394180097016</v>
      </c>
      <c r="B28182" s="318" t="s">
        <v>236</v>
      </c>
    </row>
    <row r="28183" spans="1:2" ht="12.75" customHeight="1" x14ac:dyDescent="0.25">
      <c r="A28183" s="318">
        <v>394180097017</v>
      </c>
      <c r="B28183" s="318" t="s">
        <v>237</v>
      </c>
    </row>
    <row r="28184" spans="1:2" ht="12.75" customHeight="1" x14ac:dyDescent="0.25">
      <c r="A28184" s="318">
        <v>394180097018</v>
      </c>
      <c r="B28184" s="318" t="s">
        <v>236</v>
      </c>
    </row>
    <row r="28185" spans="1:2" ht="12.75" customHeight="1" x14ac:dyDescent="0.25">
      <c r="A28185" s="318">
        <v>394180097019</v>
      </c>
      <c r="B28185" s="318" t="s">
        <v>237</v>
      </c>
    </row>
    <row r="28186" spans="1:2" ht="12.75" customHeight="1" x14ac:dyDescent="0.25">
      <c r="A28186" s="318">
        <v>394229992894</v>
      </c>
      <c r="B28186" s="318" t="s">
        <v>23</v>
      </c>
    </row>
    <row r="28187" spans="1:2" ht="12.75" customHeight="1" x14ac:dyDescent="0.25">
      <c r="A28187" s="318">
        <v>394229992895</v>
      </c>
      <c r="B28187" s="318" t="s">
        <v>23</v>
      </c>
    </row>
    <row r="28188" spans="1:2" ht="12.75" customHeight="1" x14ac:dyDescent="0.25">
      <c r="A28188" s="318">
        <v>394229992896</v>
      </c>
      <c r="B28188" s="318" t="s">
        <v>23</v>
      </c>
    </row>
    <row r="28189" spans="1:2" ht="12.75" customHeight="1" x14ac:dyDescent="0.25">
      <c r="A28189" s="318">
        <v>394229992897</v>
      </c>
      <c r="B28189" s="318" t="s">
        <v>23</v>
      </c>
    </row>
    <row r="28190" spans="1:2" ht="12.75" customHeight="1" x14ac:dyDescent="0.25">
      <c r="A28190" s="318">
        <v>394229992898</v>
      </c>
      <c r="B28190" s="318" t="s">
        <v>23</v>
      </c>
    </row>
    <row r="28191" spans="1:2" ht="12.75" customHeight="1" x14ac:dyDescent="0.25">
      <c r="A28191" s="318">
        <v>394229992899</v>
      </c>
      <c r="B28191" s="318" t="s">
        <v>23</v>
      </c>
    </row>
    <row r="28192" spans="1:2" ht="12.75" customHeight="1" x14ac:dyDescent="0.25">
      <c r="A28192" s="318">
        <v>394229992900</v>
      </c>
      <c r="B28192" s="318" t="s">
        <v>237</v>
      </c>
    </row>
    <row r="28193" spans="1:2" ht="12.75" customHeight="1" x14ac:dyDescent="0.25">
      <c r="A28193" s="318">
        <v>394229992901</v>
      </c>
      <c r="B28193" s="318" t="s">
        <v>237</v>
      </c>
    </row>
    <row r="28194" spans="1:2" ht="12.75" customHeight="1" x14ac:dyDescent="0.25">
      <c r="A28194" s="318">
        <v>394229992903</v>
      </c>
      <c r="B28194" s="318" t="s">
        <v>237</v>
      </c>
    </row>
    <row r="28195" spans="1:2" ht="12.75" customHeight="1" x14ac:dyDescent="0.25">
      <c r="A28195" s="318">
        <v>394229992904</v>
      </c>
      <c r="B28195" s="318" t="s">
        <v>237</v>
      </c>
    </row>
    <row r="28196" spans="1:2" ht="12.75" customHeight="1" x14ac:dyDescent="0.25">
      <c r="A28196" s="318">
        <v>394229992905</v>
      </c>
      <c r="B28196" s="318" t="s">
        <v>237</v>
      </c>
    </row>
    <row r="28197" spans="1:2" ht="12.75" customHeight="1" x14ac:dyDescent="0.25">
      <c r="A28197" s="318">
        <v>394229992906</v>
      </c>
      <c r="B28197" s="318" t="s">
        <v>237</v>
      </c>
    </row>
    <row r="28198" spans="1:2" ht="12.75" customHeight="1" x14ac:dyDescent="0.25">
      <c r="A28198" s="318">
        <v>394229992907</v>
      </c>
      <c r="B28198" s="318" t="s">
        <v>237</v>
      </c>
    </row>
    <row r="28199" spans="1:2" ht="12.75" customHeight="1" x14ac:dyDescent="0.25">
      <c r="A28199" s="318">
        <v>394229992908</v>
      </c>
      <c r="B28199" s="318" t="s">
        <v>237</v>
      </c>
    </row>
    <row r="28200" spans="1:2" ht="12.75" customHeight="1" x14ac:dyDescent="0.25">
      <c r="A28200" s="318">
        <v>394229992909</v>
      </c>
      <c r="B28200" s="318" t="s">
        <v>237</v>
      </c>
    </row>
    <row r="28201" spans="1:2" ht="12.75" customHeight="1" x14ac:dyDescent="0.25">
      <c r="A28201" s="318">
        <v>394229992910</v>
      </c>
      <c r="B28201" s="318" t="s">
        <v>237</v>
      </c>
    </row>
    <row r="28202" spans="1:2" ht="12.75" customHeight="1" x14ac:dyDescent="0.25">
      <c r="A28202" s="318">
        <v>394230473867</v>
      </c>
      <c r="B28202" s="318" t="s">
        <v>23</v>
      </c>
    </row>
    <row r="28203" spans="1:2" ht="12.75" customHeight="1" x14ac:dyDescent="0.25">
      <c r="A28203" s="318">
        <v>394230473868</v>
      </c>
      <c r="B28203" s="318" t="s">
        <v>23</v>
      </c>
    </row>
    <row r="28204" spans="1:2" ht="12.75" customHeight="1" x14ac:dyDescent="0.25">
      <c r="A28204" s="318">
        <v>394230473869</v>
      </c>
      <c r="B28204" s="318" t="s">
        <v>23</v>
      </c>
    </row>
    <row r="28205" spans="1:2" ht="12.75" customHeight="1" x14ac:dyDescent="0.25">
      <c r="A28205" s="318">
        <v>394230473870</v>
      </c>
      <c r="B28205" s="318" t="s">
        <v>23</v>
      </c>
    </row>
    <row r="28206" spans="1:2" ht="12.75" customHeight="1" x14ac:dyDescent="0.25">
      <c r="A28206" s="318">
        <v>394230473871</v>
      </c>
      <c r="B28206" s="318" t="s">
        <v>23</v>
      </c>
    </row>
    <row r="28207" spans="1:2" ht="12.75" customHeight="1" x14ac:dyDescent="0.25">
      <c r="A28207" s="318">
        <v>394230473872</v>
      </c>
      <c r="B28207" s="318" t="s">
        <v>23</v>
      </c>
    </row>
    <row r="28208" spans="1:2" ht="12.75" customHeight="1" x14ac:dyDescent="0.25">
      <c r="A28208" s="318">
        <v>394230473873</v>
      </c>
      <c r="B28208" s="318" t="s">
        <v>237</v>
      </c>
    </row>
    <row r="28209" spans="1:2" ht="12.75" customHeight="1" x14ac:dyDescent="0.25">
      <c r="A28209" s="318">
        <v>394230473874</v>
      </c>
      <c r="B28209" s="318" t="s">
        <v>237</v>
      </c>
    </row>
    <row r="28210" spans="1:2" ht="12.75" customHeight="1" x14ac:dyDescent="0.25">
      <c r="A28210" s="318">
        <v>394230473876</v>
      </c>
      <c r="B28210" s="318" t="s">
        <v>237</v>
      </c>
    </row>
    <row r="28211" spans="1:2" ht="12.75" customHeight="1" x14ac:dyDescent="0.25">
      <c r="A28211" s="318">
        <v>394230473877</v>
      </c>
      <c r="B28211" s="318" t="s">
        <v>237</v>
      </c>
    </row>
    <row r="28212" spans="1:2" ht="12.75" customHeight="1" x14ac:dyDescent="0.25">
      <c r="A28212" s="318">
        <v>394230473878</v>
      </c>
      <c r="B28212" s="318" t="s">
        <v>237</v>
      </c>
    </row>
    <row r="28213" spans="1:2" ht="12.75" customHeight="1" x14ac:dyDescent="0.25">
      <c r="A28213" s="318">
        <v>394230473879</v>
      </c>
      <c r="B28213" s="318" t="s">
        <v>237</v>
      </c>
    </row>
    <row r="28214" spans="1:2" ht="12.75" customHeight="1" x14ac:dyDescent="0.25">
      <c r="A28214" s="318">
        <v>394230473880</v>
      </c>
      <c r="B28214" s="318" t="s">
        <v>237</v>
      </c>
    </row>
    <row r="28215" spans="1:2" ht="12.75" customHeight="1" x14ac:dyDescent="0.25">
      <c r="A28215" s="318">
        <v>394230473881</v>
      </c>
      <c r="B28215" s="318" t="s">
        <v>237</v>
      </c>
    </row>
    <row r="28216" spans="1:2" ht="12.75" customHeight="1" x14ac:dyDescent="0.25">
      <c r="A28216" s="318">
        <v>394230473882</v>
      </c>
      <c r="B28216" s="318" t="s">
        <v>237</v>
      </c>
    </row>
    <row r="28217" spans="1:2" ht="12.75" customHeight="1" x14ac:dyDescent="0.25">
      <c r="A28217" s="318">
        <v>394230473883</v>
      </c>
      <c r="B28217" s="318" t="s">
        <v>237</v>
      </c>
    </row>
    <row r="28218" spans="1:2" ht="12.75" customHeight="1" x14ac:dyDescent="0.25">
      <c r="A28218" s="318">
        <v>394230954840</v>
      </c>
      <c r="B28218" s="318" t="s">
        <v>23</v>
      </c>
    </row>
    <row r="28219" spans="1:2" ht="12.75" customHeight="1" x14ac:dyDescent="0.25">
      <c r="A28219" s="318">
        <v>394230954841</v>
      </c>
      <c r="B28219" s="318" t="s">
        <v>23</v>
      </c>
    </row>
    <row r="28220" spans="1:2" ht="12.75" customHeight="1" x14ac:dyDescent="0.25">
      <c r="A28220" s="318">
        <v>394230954842</v>
      </c>
      <c r="B28220" s="318" t="s">
        <v>23</v>
      </c>
    </row>
    <row r="28221" spans="1:2" ht="12.75" customHeight="1" x14ac:dyDescent="0.25">
      <c r="A28221" s="318">
        <v>394230954843</v>
      </c>
      <c r="B28221" s="318" t="s">
        <v>23</v>
      </c>
    </row>
    <row r="28222" spans="1:2" ht="12.75" customHeight="1" x14ac:dyDescent="0.25">
      <c r="A28222" s="318">
        <v>394230954844</v>
      </c>
      <c r="B28222" s="318" t="s">
        <v>23</v>
      </c>
    </row>
    <row r="28223" spans="1:2" ht="12.75" customHeight="1" x14ac:dyDescent="0.25">
      <c r="A28223" s="318">
        <v>394230954845</v>
      </c>
      <c r="B28223" s="318" t="s">
        <v>23</v>
      </c>
    </row>
    <row r="28224" spans="1:2" ht="12.75" customHeight="1" x14ac:dyDescent="0.25">
      <c r="A28224" s="318">
        <v>394230954846</v>
      </c>
      <c r="B28224" s="318" t="s">
        <v>237</v>
      </c>
    </row>
    <row r="28225" spans="1:2" ht="12.75" customHeight="1" x14ac:dyDescent="0.25">
      <c r="A28225" s="318">
        <v>394230954847</v>
      </c>
      <c r="B28225" s="318" t="s">
        <v>237</v>
      </c>
    </row>
    <row r="28226" spans="1:2" ht="12.75" customHeight="1" x14ac:dyDescent="0.25">
      <c r="A28226" s="318">
        <v>394230954849</v>
      </c>
      <c r="B28226" s="318" t="s">
        <v>237</v>
      </c>
    </row>
    <row r="28227" spans="1:2" ht="12.75" customHeight="1" x14ac:dyDescent="0.25">
      <c r="A28227" s="318">
        <v>394230954850</v>
      </c>
      <c r="B28227" s="318" t="s">
        <v>237</v>
      </c>
    </row>
    <row r="28228" spans="1:2" ht="12.75" customHeight="1" x14ac:dyDescent="0.25">
      <c r="A28228" s="318">
        <v>394230954851</v>
      </c>
      <c r="B28228" s="318" t="s">
        <v>237</v>
      </c>
    </row>
    <row r="28229" spans="1:2" ht="12.75" customHeight="1" x14ac:dyDescent="0.25">
      <c r="A28229" s="318">
        <v>394230954852</v>
      </c>
      <c r="B28229" s="318" t="s">
        <v>237</v>
      </c>
    </row>
    <row r="28230" spans="1:2" ht="12.75" customHeight="1" x14ac:dyDescent="0.25">
      <c r="A28230" s="318">
        <v>394230954853</v>
      </c>
      <c r="B28230" s="318" t="s">
        <v>237</v>
      </c>
    </row>
    <row r="28231" spans="1:2" ht="12.75" customHeight="1" x14ac:dyDescent="0.25">
      <c r="A28231" s="318">
        <v>394230954854</v>
      </c>
      <c r="B28231" s="318" t="s">
        <v>237</v>
      </c>
    </row>
    <row r="28232" spans="1:2" ht="12.75" customHeight="1" x14ac:dyDescent="0.25">
      <c r="A28232" s="318">
        <v>394230954855</v>
      </c>
      <c r="B28232" s="318" t="s">
        <v>237</v>
      </c>
    </row>
    <row r="28233" spans="1:2" ht="12.75" customHeight="1" x14ac:dyDescent="0.25">
      <c r="A28233" s="318">
        <v>394230954856</v>
      </c>
      <c r="B28233" s="318" t="s">
        <v>237</v>
      </c>
    </row>
    <row r="28234" spans="1:2" ht="12.75" customHeight="1" x14ac:dyDescent="0.25">
      <c r="A28234" s="318">
        <v>394231635031</v>
      </c>
      <c r="B28234" s="318" t="s">
        <v>23</v>
      </c>
    </row>
    <row r="28235" spans="1:2" ht="12.75" customHeight="1" x14ac:dyDescent="0.25">
      <c r="A28235" s="318">
        <v>394231635032</v>
      </c>
      <c r="B28235" s="318" t="s">
        <v>23</v>
      </c>
    </row>
    <row r="28236" spans="1:2" ht="12.75" customHeight="1" x14ac:dyDescent="0.25">
      <c r="A28236" s="318">
        <v>394231635033</v>
      </c>
      <c r="B28236" s="318" t="s">
        <v>23</v>
      </c>
    </row>
    <row r="28237" spans="1:2" ht="12.75" customHeight="1" x14ac:dyDescent="0.25">
      <c r="A28237" s="318">
        <v>394231635034</v>
      </c>
      <c r="B28237" s="318" t="s">
        <v>23</v>
      </c>
    </row>
    <row r="28238" spans="1:2" ht="12.75" customHeight="1" x14ac:dyDescent="0.25">
      <c r="A28238" s="318">
        <v>394231635035</v>
      </c>
      <c r="B28238" s="318" t="s">
        <v>23</v>
      </c>
    </row>
    <row r="28239" spans="1:2" ht="12.75" customHeight="1" x14ac:dyDescent="0.25">
      <c r="A28239" s="318">
        <v>394231635036</v>
      </c>
      <c r="B28239" s="318" t="s">
        <v>23</v>
      </c>
    </row>
    <row r="28240" spans="1:2" ht="12.75" customHeight="1" x14ac:dyDescent="0.25">
      <c r="A28240" s="318">
        <v>394231635037</v>
      </c>
      <c r="B28240" s="318" t="s">
        <v>237</v>
      </c>
    </row>
    <row r="28241" spans="1:2" ht="12.75" customHeight="1" x14ac:dyDescent="0.25">
      <c r="A28241" s="318">
        <v>394231635038</v>
      </c>
      <c r="B28241" s="318" t="s">
        <v>237</v>
      </c>
    </row>
    <row r="28242" spans="1:2" ht="12.75" customHeight="1" x14ac:dyDescent="0.25">
      <c r="A28242" s="318">
        <v>394231635040</v>
      </c>
      <c r="B28242" s="318" t="s">
        <v>237</v>
      </c>
    </row>
    <row r="28243" spans="1:2" ht="12.75" customHeight="1" x14ac:dyDescent="0.25">
      <c r="A28243" s="318">
        <v>394231635041</v>
      </c>
      <c r="B28243" s="318" t="s">
        <v>237</v>
      </c>
    </row>
    <row r="28244" spans="1:2" ht="12.75" customHeight="1" x14ac:dyDescent="0.25">
      <c r="A28244" s="318">
        <v>394231635042</v>
      </c>
      <c r="B28244" s="318" t="s">
        <v>237</v>
      </c>
    </row>
    <row r="28245" spans="1:2" ht="12.75" customHeight="1" x14ac:dyDescent="0.25">
      <c r="A28245" s="318">
        <v>394231635043</v>
      </c>
      <c r="B28245" s="318" t="s">
        <v>237</v>
      </c>
    </row>
    <row r="28246" spans="1:2" ht="12.75" customHeight="1" x14ac:dyDescent="0.25">
      <c r="A28246" s="318">
        <v>394231635044</v>
      </c>
      <c r="B28246" s="318" t="s">
        <v>237</v>
      </c>
    </row>
    <row r="28247" spans="1:2" ht="12.75" customHeight="1" x14ac:dyDescent="0.25">
      <c r="A28247" s="318">
        <v>394231635045</v>
      </c>
      <c r="B28247" s="318" t="s">
        <v>237</v>
      </c>
    </row>
    <row r="28248" spans="1:2" ht="12.75" customHeight="1" x14ac:dyDescent="0.25">
      <c r="A28248" s="318">
        <v>394231635046</v>
      </c>
      <c r="B28248" s="318" t="s">
        <v>237</v>
      </c>
    </row>
    <row r="28249" spans="1:2" ht="12.75" customHeight="1" x14ac:dyDescent="0.25">
      <c r="A28249" s="318">
        <v>394231635047</v>
      </c>
      <c r="B28249" s="318" t="s">
        <v>237</v>
      </c>
    </row>
    <row r="28250" spans="1:2" ht="12.75" customHeight="1" x14ac:dyDescent="0.25">
      <c r="A28250" s="318">
        <v>394232116004</v>
      </c>
      <c r="B28250" s="318" t="s">
        <v>23</v>
      </c>
    </row>
    <row r="28251" spans="1:2" ht="12.75" customHeight="1" x14ac:dyDescent="0.25">
      <c r="A28251" s="318">
        <v>394232116005</v>
      </c>
      <c r="B28251" s="318" t="s">
        <v>23</v>
      </c>
    </row>
    <row r="28252" spans="1:2" ht="12.75" customHeight="1" x14ac:dyDescent="0.25">
      <c r="A28252" s="318">
        <v>394232116006</v>
      </c>
      <c r="B28252" s="318" t="s">
        <v>23</v>
      </c>
    </row>
    <row r="28253" spans="1:2" ht="12.75" customHeight="1" x14ac:dyDescent="0.25">
      <c r="A28253" s="318">
        <v>394232116007</v>
      </c>
      <c r="B28253" s="318" t="s">
        <v>23</v>
      </c>
    </row>
    <row r="28254" spans="1:2" ht="12.75" customHeight="1" x14ac:dyDescent="0.25">
      <c r="A28254" s="318">
        <v>394232116008</v>
      </c>
      <c r="B28254" s="318" t="s">
        <v>23</v>
      </c>
    </row>
    <row r="28255" spans="1:2" ht="12.75" customHeight="1" x14ac:dyDescent="0.25">
      <c r="A28255" s="318">
        <v>394232116009</v>
      </c>
      <c r="B28255" s="318" t="s">
        <v>23</v>
      </c>
    </row>
    <row r="28256" spans="1:2" ht="12.75" customHeight="1" x14ac:dyDescent="0.25">
      <c r="A28256" s="318">
        <v>394232116010</v>
      </c>
      <c r="B28256" s="318" t="s">
        <v>237</v>
      </c>
    </row>
    <row r="28257" spans="1:2" ht="12.75" customHeight="1" x14ac:dyDescent="0.25">
      <c r="A28257" s="318">
        <v>394232116011</v>
      </c>
      <c r="B28257" s="318" t="s">
        <v>237</v>
      </c>
    </row>
    <row r="28258" spans="1:2" ht="12.75" customHeight="1" x14ac:dyDescent="0.25">
      <c r="A28258" s="318">
        <v>394232116013</v>
      </c>
      <c r="B28258" s="318" t="s">
        <v>237</v>
      </c>
    </row>
    <row r="28259" spans="1:2" ht="12.75" customHeight="1" x14ac:dyDescent="0.25">
      <c r="A28259" s="318">
        <v>394232116014</v>
      </c>
      <c r="B28259" s="318" t="s">
        <v>237</v>
      </c>
    </row>
    <row r="28260" spans="1:2" ht="12.75" customHeight="1" x14ac:dyDescent="0.25">
      <c r="A28260" s="318">
        <v>394232116015</v>
      </c>
      <c r="B28260" s="318" t="s">
        <v>237</v>
      </c>
    </row>
    <row r="28261" spans="1:2" ht="12.75" customHeight="1" x14ac:dyDescent="0.25">
      <c r="A28261" s="318">
        <v>394232116016</v>
      </c>
      <c r="B28261" s="318" t="s">
        <v>237</v>
      </c>
    </row>
    <row r="28262" spans="1:2" ht="12.75" customHeight="1" x14ac:dyDescent="0.25">
      <c r="A28262" s="318">
        <v>394232116017</v>
      </c>
      <c r="B28262" s="318" t="s">
        <v>237</v>
      </c>
    </row>
    <row r="28263" spans="1:2" ht="12.75" customHeight="1" x14ac:dyDescent="0.25">
      <c r="A28263" s="318">
        <v>394232116018</v>
      </c>
      <c r="B28263" s="318" t="s">
        <v>237</v>
      </c>
    </row>
    <row r="28264" spans="1:2" ht="12.75" customHeight="1" x14ac:dyDescent="0.25">
      <c r="A28264" s="318">
        <v>394232116019</v>
      </c>
      <c r="B28264" s="318" t="s">
        <v>237</v>
      </c>
    </row>
    <row r="28265" spans="1:2" ht="12.75" customHeight="1" x14ac:dyDescent="0.25">
      <c r="A28265" s="318">
        <v>394232116020</v>
      </c>
      <c r="B28265" s="318" t="s">
        <v>237</v>
      </c>
    </row>
    <row r="28266" spans="1:2" ht="12.75" customHeight="1" x14ac:dyDescent="0.25">
      <c r="A28266" s="318">
        <v>394232596977</v>
      </c>
      <c r="B28266" s="318" t="s">
        <v>23</v>
      </c>
    </row>
    <row r="28267" spans="1:2" ht="12.75" customHeight="1" x14ac:dyDescent="0.25">
      <c r="A28267" s="318">
        <v>394232596978</v>
      </c>
      <c r="B28267" s="318" t="s">
        <v>23</v>
      </c>
    </row>
    <row r="28268" spans="1:2" ht="12.75" customHeight="1" x14ac:dyDescent="0.25">
      <c r="A28268" s="318">
        <v>394232596979</v>
      </c>
      <c r="B28268" s="318" t="s">
        <v>23</v>
      </c>
    </row>
    <row r="28269" spans="1:2" ht="12.75" customHeight="1" x14ac:dyDescent="0.25">
      <c r="A28269" s="318">
        <v>394232596980</v>
      </c>
      <c r="B28269" s="318" t="s">
        <v>23</v>
      </c>
    </row>
    <row r="28270" spans="1:2" ht="12.75" customHeight="1" x14ac:dyDescent="0.25">
      <c r="A28270" s="318">
        <v>394232596981</v>
      </c>
      <c r="B28270" s="318" t="s">
        <v>23</v>
      </c>
    </row>
    <row r="28271" spans="1:2" ht="12.75" customHeight="1" x14ac:dyDescent="0.25">
      <c r="A28271" s="318">
        <v>394232596982</v>
      </c>
      <c r="B28271" s="318" t="s">
        <v>23</v>
      </c>
    </row>
    <row r="28272" spans="1:2" ht="12.75" customHeight="1" x14ac:dyDescent="0.25">
      <c r="A28272" s="318">
        <v>394232596983</v>
      </c>
      <c r="B28272" s="318" t="s">
        <v>237</v>
      </c>
    </row>
    <row r="28273" spans="1:2" ht="12.75" customHeight="1" x14ac:dyDescent="0.25">
      <c r="A28273" s="318">
        <v>394232596984</v>
      </c>
      <c r="B28273" s="318" t="s">
        <v>237</v>
      </c>
    </row>
    <row r="28274" spans="1:2" ht="12.75" customHeight="1" x14ac:dyDescent="0.25">
      <c r="A28274" s="318">
        <v>394232596986</v>
      </c>
      <c r="B28274" s="318" t="s">
        <v>237</v>
      </c>
    </row>
    <row r="28275" spans="1:2" ht="12.75" customHeight="1" x14ac:dyDescent="0.25">
      <c r="A28275" s="318">
        <v>394232596987</v>
      </c>
      <c r="B28275" s="318" t="s">
        <v>237</v>
      </c>
    </row>
    <row r="28276" spans="1:2" ht="12.75" customHeight="1" x14ac:dyDescent="0.25">
      <c r="A28276" s="318">
        <v>394232596988</v>
      </c>
      <c r="B28276" s="318" t="s">
        <v>237</v>
      </c>
    </row>
    <row r="28277" spans="1:2" ht="12.75" customHeight="1" x14ac:dyDescent="0.25">
      <c r="A28277" s="318">
        <v>394232596989</v>
      </c>
      <c r="B28277" s="318" t="s">
        <v>237</v>
      </c>
    </row>
    <row r="28278" spans="1:2" ht="12.75" customHeight="1" x14ac:dyDescent="0.25">
      <c r="A28278" s="318">
        <v>394232596990</v>
      </c>
      <c r="B28278" s="318" t="s">
        <v>237</v>
      </c>
    </row>
    <row r="28279" spans="1:2" ht="12.75" customHeight="1" x14ac:dyDescent="0.25">
      <c r="A28279" s="318">
        <v>394232596991</v>
      </c>
      <c r="B28279" s="318" t="s">
        <v>237</v>
      </c>
    </row>
    <row r="28280" spans="1:2" ht="12.75" customHeight="1" x14ac:dyDescent="0.25">
      <c r="A28280" s="318">
        <v>394232596992</v>
      </c>
      <c r="B28280" s="318" t="s">
        <v>237</v>
      </c>
    </row>
    <row r="28281" spans="1:2" ht="12.75" customHeight="1" x14ac:dyDescent="0.25">
      <c r="A28281" s="318">
        <v>394232596993</v>
      </c>
      <c r="B28281" s="318" t="s">
        <v>237</v>
      </c>
    </row>
    <row r="28282" spans="1:2" ht="12.75" customHeight="1" x14ac:dyDescent="0.25">
      <c r="A28282" s="318">
        <v>394233277168</v>
      </c>
      <c r="B28282" s="318" t="s">
        <v>23</v>
      </c>
    </row>
    <row r="28283" spans="1:2" ht="12.75" customHeight="1" x14ac:dyDescent="0.25">
      <c r="A28283" s="318">
        <v>394233277169</v>
      </c>
      <c r="B28283" s="318" t="s">
        <v>23</v>
      </c>
    </row>
    <row r="28284" spans="1:2" ht="12.75" customHeight="1" x14ac:dyDescent="0.25">
      <c r="A28284" s="318">
        <v>394233277170</v>
      </c>
      <c r="B28284" s="318" t="s">
        <v>23</v>
      </c>
    </row>
    <row r="28285" spans="1:2" ht="12.75" customHeight="1" x14ac:dyDescent="0.25">
      <c r="A28285" s="318">
        <v>394233277171</v>
      </c>
      <c r="B28285" s="318" t="s">
        <v>23</v>
      </c>
    </row>
    <row r="28286" spans="1:2" ht="12.75" customHeight="1" x14ac:dyDescent="0.25">
      <c r="A28286" s="318">
        <v>394233277172</v>
      </c>
      <c r="B28286" s="318" t="s">
        <v>23</v>
      </c>
    </row>
    <row r="28287" spans="1:2" ht="12.75" customHeight="1" x14ac:dyDescent="0.25">
      <c r="A28287" s="318">
        <v>394233277173</v>
      </c>
      <c r="B28287" s="318" t="s">
        <v>23</v>
      </c>
    </row>
    <row r="28288" spans="1:2" ht="12.75" customHeight="1" x14ac:dyDescent="0.25">
      <c r="A28288" s="318">
        <v>394233277174</v>
      </c>
      <c r="B28288" s="318" t="s">
        <v>237</v>
      </c>
    </row>
    <row r="28289" spans="1:2" ht="12.75" customHeight="1" x14ac:dyDescent="0.25">
      <c r="A28289" s="318">
        <v>394233277175</v>
      </c>
      <c r="B28289" s="318" t="s">
        <v>237</v>
      </c>
    </row>
    <row r="28290" spans="1:2" ht="12.75" customHeight="1" x14ac:dyDescent="0.25">
      <c r="A28290" s="318">
        <v>394233277177</v>
      </c>
      <c r="B28290" s="318" t="s">
        <v>237</v>
      </c>
    </row>
    <row r="28291" spans="1:2" ht="12.75" customHeight="1" x14ac:dyDescent="0.25">
      <c r="A28291" s="318">
        <v>394233277178</v>
      </c>
      <c r="B28291" s="318" t="s">
        <v>237</v>
      </c>
    </row>
    <row r="28292" spans="1:2" ht="12.75" customHeight="1" x14ac:dyDescent="0.25">
      <c r="A28292" s="318">
        <v>394233277179</v>
      </c>
      <c r="B28292" s="318" t="s">
        <v>237</v>
      </c>
    </row>
    <row r="28293" spans="1:2" ht="12.75" customHeight="1" x14ac:dyDescent="0.25">
      <c r="A28293" s="318">
        <v>394233277180</v>
      </c>
      <c r="B28293" s="318" t="s">
        <v>237</v>
      </c>
    </row>
    <row r="28294" spans="1:2" ht="12.75" customHeight="1" x14ac:dyDescent="0.25">
      <c r="A28294" s="318">
        <v>394233277181</v>
      </c>
      <c r="B28294" s="318" t="s">
        <v>237</v>
      </c>
    </row>
    <row r="28295" spans="1:2" ht="12.75" customHeight="1" x14ac:dyDescent="0.25">
      <c r="A28295" s="318">
        <v>394233277182</v>
      </c>
      <c r="B28295" s="318" t="s">
        <v>237</v>
      </c>
    </row>
    <row r="28296" spans="1:2" ht="12.75" customHeight="1" x14ac:dyDescent="0.25">
      <c r="A28296" s="318">
        <v>394233277183</v>
      </c>
      <c r="B28296" s="318" t="s">
        <v>237</v>
      </c>
    </row>
    <row r="28297" spans="1:2" ht="12.75" customHeight="1" x14ac:dyDescent="0.25">
      <c r="A28297" s="318">
        <v>394233277184</v>
      </c>
      <c r="B28297" s="318" t="s">
        <v>237</v>
      </c>
    </row>
    <row r="28298" spans="1:2" ht="12.75" customHeight="1" x14ac:dyDescent="0.25">
      <c r="A28298" s="318">
        <v>394233758141</v>
      </c>
      <c r="B28298" s="318" t="s">
        <v>23</v>
      </c>
    </row>
    <row r="28299" spans="1:2" ht="12.75" customHeight="1" x14ac:dyDescent="0.25">
      <c r="A28299" s="318">
        <v>394233758142</v>
      </c>
      <c r="B28299" s="318" t="s">
        <v>23</v>
      </c>
    </row>
    <row r="28300" spans="1:2" ht="12.75" customHeight="1" x14ac:dyDescent="0.25">
      <c r="A28300" s="318">
        <v>394233758143</v>
      </c>
      <c r="B28300" s="318" t="s">
        <v>23</v>
      </c>
    </row>
    <row r="28301" spans="1:2" ht="12.75" customHeight="1" x14ac:dyDescent="0.25">
      <c r="A28301" s="318">
        <v>394233758144</v>
      </c>
      <c r="B28301" s="318" t="s">
        <v>23</v>
      </c>
    </row>
    <row r="28302" spans="1:2" ht="12.75" customHeight="1" x14ac:dyDescent="0.25">
      <c r="A28302" s="318">
        <v>394233758145</v>
      </c>
      <c r="B28302" s="318" t="s">
        <v>23</v>
      </c>
    </row>
    <row r="28303" spans="1:2" ht="12.75" customHeight="1" x14ac:dyDescent="0.25">
      <c r="A28303" s="318">
        <v>394233758146</v>
      </c>
      <c r="B28303" s="318" t="s">
        <v>23</v>
      </c>
    </row>
    <row r="28304" spans="1:2" ht="12.75" customHeight="1" x14ac:dyDescent="0.25">
      <c r="A28304" s="318">
        <v>394233758147</v>
      </c>
      <c r="B28304" s="318" t="s">
        <v>237</v>
      </c>
    </row>
    <row r="28305" spans="1:2" ht="12.75" customHeight="1" x14ac:dyDescent="0.25">
      <c r="A28305" s="318">
        <v>394233758148</v>
      </c>
      <c r="B28305" s="318" t="s">
        <v>237</v>
      </c>
    </row>
    <row r="28306" spans="1:2" ht="12.75" customHeight="1" x14ac:dyDescent="0.25">
      <c r="A28306" s="318">
        <v>394233758150</v>
      </c>
      <c r="B28306" s="318" t="s">
        <v>237</v>
      </c>
    </row>
    <row r="28307" spans="1:2" ht="12.75" customHeight="1" x14ac:dyDescent="0.25">
      <c r="A28307" s="318">
        <v>394233758151</v>
      </c>
      <c r="B28307" s="318" t="s">
        <v>237</v>
      </c>
    </row>
    <row r="28308" spans="1:2" ht="12.75" customHeight="1" x14ac:dyDescent="0.25">
      <c r="A28308" s="318">
        <v>394233758152</v>
      </c>
      <c r="B28308" s="318" t="s">
        <v>237</v>
      </c>
    </row>
    <row r="28309" spans="1:2" ht="12.75" customHeight="1" x14ac:dyDescent="0.25">
      <c r="A28309" s="318">
        <v>394233758153</v>
      </c>
      <c r="B28309" s="318" t="s">
        <v>237</v>
      </c>
    </row>
    <row r="28310" spans="1:2" ht="12.75" customHeight="1" x14ac:dyDescent="0.25">
      <c r="A28310" s="318">
        <v>394233758154</v>
      </c>
      <c r="B28310" s="318" t="s">
        <v>237</v>
      </c>
    </row>
    <row r="28311" spans="1:2" ht="12.75" customHeight="1" x14ac:dyDescent="0.25">
      <c r="A28311" s="318">
        <v>394233758155</v>
      </c>
      <c r="B28311" s="318" t="s">
        <v>237</v>
      </c>
    </row>
    <row r="28312" spans="1:2" ht="12.75" customHeight="1" x14ac:dyDescent="0.25">
      <c r="A28312" s="318">
        <v>394233758156</v>
      </c>
      <c r="B28312" s="318" t="s">
        <v>237</v>
      </c>
    </row>
    <row r="28313" spans="1:2" ht="12.75" customHeight="1" x14ac:dyDescent="0.25">
      <c r="A28313" s="318">
        <v>394233758157</v>
      </c>
      <c r="B28313" s="318" t="s">
        <v>237</v>
      </c>
    </row>
    <row r="28314" spans="1:2" ht="12.75" customHeight="1" x14ac:dyDescent="0.25">
      <c r="A28314" s="318">
        <v>394234239114</v>
      </c>
      <c r="B28314" s="318" t="s">
        <v>23</v>
      </c>
    </row>
    <row r="28315" spans="1:2" ht="12.75" customHeight="1" x14ac:dyDescent="0.25">
      <c r="A28315" s="318">
        <v>394234239115</v>
      </c>
      <c r="B28315" s="318" t="s">
        <v>23</v>
      </c>
    </row>
    <row r="28316" spans="1:2" ht="12.75" customHeight="1" x14ac:dyDescent="0.25">
      <c r="A28316" s="318">
        <v>394234239116</v>
      </c>
      <c r="B28316" s="318" t="s">
        <v>23</v>
      </c>
    </row>
    <row r="28317" spans="1:2" ht="12.75" customHeight="1" x14ac:dyDescent="0.25">
      <c r="A28317" s="318">
        <v>394234239117</v>
      </c>
      <c r="B28317" s="318" t="s">
        <v>23</v>
      </c>
    </row>
    <row r="28318" spans="1:2" ht="12.75" customHeight="1" x14ac:dyDescent="0.25">
      <c r="A28318" s="318">
        <v>394234239118</v>
      </c>
      <c r="B28318" s="318" t="s">
        <v>23</v>
      </c>
    </row>
    <row r="28319" spans="1:2" ht="12.75" customHeight="1" x14ac:dyDescent="0.25">
      <c r="A28319" s="318">
        <v>394234239119</v>
      </c>
      <c r="B28319" s="318" t="s">
        <v>23</v>
      </c>
    </row>
    <row r="28320" spans="1:2" ht="12.75" customHeight="1" x14ac:dyDescent="0.25">
      <c r="A28320" s="318">
        <v>394234239120</v>
      </c>
      <c r="B28320" s="318" t="s">
        <v>237</v>
      </c>
    </row>
    <row r="28321" spans="1:2" ht="12.75" customHeight="1" x14ac:dyDescent="0.25">
      <c r="A28321" s="318">
        <v>394234239121</v>
      </c>
      <c r="B28321" s="318" t="s">
        <v>237</v>
      </c>
    </row>
    <row r="28322" spans="1:2" ht="12.75" customHeight="1" x14ac:dyDescent="0.25">
      <c r="A28322" s="318">
        <v>394234239123</v>
      </c>
      <c r="B28322" s="318" t="s">
        <v>237</v>
      </c>
    </row>
    <row r="28323" spans="1:2" ht="12.75" customHeight="1" x14ac:dyDescent="0.25">
      <c r="A28323" s="318">
        <v>394234239124</v>
      </c>
      <c r="B28323" s="318" t="s">
        <v>237</v>
      </c>
    </row>
    <row r="28324" spans="1:2" ht="12.75" customHeight="1" x14ac:dyDescent="0.25">
      <c r="A28324" s="318">
        <v>394234239125</v>
      </c>
      <c r="B28324" s="318" t="s">
        <v>237</v>
      </c>
    </row>
    <row r="28325" spans="1:2" ht="12.75" customHeight="1" x14ac:dyDescent="0.25">
      <c r="A28325" s="318">
        <v>394234239126</v>
      </c>
      <c r="B28325" s="318" t="s">
        <v>237</v>
      </c>
    </row>
    <row r="28326" spans="1:2" ht="12.75" customHeight="1" x14ac:dyDescent="0.25">
      <c r="A28326" s="318">
        <v>394234239127</v>
      </c>
      <c r="B28326" s="318" t="s">
        <v>237</v>
      </c>
    </row>
    <row r="28327" spans="1:2" ht="12.75" customHeight="1" x14ac:dyDescent="0.25">
      <c r="A28327" s="318">
        <v>394234239128</v>
      </c>
      <c r="B28327" s="318" t="s">
        <v>237</v>
      </c>
    </row>
    <row r="28328" spans="1:2" ht="12.75" customHeight="1" x14ac:dyDescent="0.25">
      <c r="A28328" s="318">
        <v>394234239129</v>
      </c>
      <c r="B28328" s="318" t="s">
        <v>237</v>
      </c>
    </row>
    <row r="28329" spans="1:2" ht="12.75" customHeight="1" x14ac:dyDescent="0.25">
      <c r="A28329" s="318">
        <v>394234239130</v>
      </c>
      <c r="B28329" s="318" t="s">
        <v>237</v>
      </c>
    </row>
    <row r="28330" spans="1:2" ht="12.75" customHeight="1" x14ac:dyDescent="0.25">
      <c r="A28330" s="318">
        <v>394235599495</v>
      </c>
      <c r="B28330" s="318" t="s">
        <v>23</v>
      </c>
    </row>
    <row r="28331" spans="1:2" ht="12.75" customHeight="1" x14ac:dyDescent="0.25">
      <c r="A28331" s="318">
        <v>394235599496</v>
      </c>
      <c r="B28331" s="318" t="s">
        <v>23</v>
      </c>
    </row>
    <row r="28332" spans="1:2" ht="12.75" customHeight="1" x14ac:dyDescent="0.25">
      <c r="A28332" s="318">
        <v>394235599497</v>
      </c>
      <c r="B28332" s="318" t="s">
        <v>23</v>
      </c>
    </row>
    <row r="28333" spans="1:2" ht="12.75" customHeight="1" x14ac:dyDescent="0.25">
      <c r="A28333" s="318">
        <v>394235599498</v>
      </c>
      <c r="B28333" s="318" t="s">
        <v>23</v>
      </c>
    </row>
    <row r="28334" spans="1:2" ht="12.75" customHeight="1" x14ac:dyDescent="0.25">
      <c r="A28334" s="318">
        <v>394235599499</v>
      </c>
      <c r="B28334" s="318" t="s">
        <v>23</v>
      </c>
    </row>
    <row r="28335" spans="1:2" ht="12.75" customHeight="1" x14ac:dyDescent="0.25">
      <c r="A28335" s="318">
        <v>394235599500</v>
      </c>
      <c r="B28335" s="318" t="s">
        <v>23</v>
      </c>
    </row>
    <row r="28336" spans="1:2" ht="12.75" customHeight="1" x14ac:dyDescent="0.25">
      <c r="A28336" s="318">
        <v>394235599501</v>
      </c>
      <c r="B28336" s="318" t="s">
        <v>237</v>
      </c>
    </row>
    <row r="28337" spans="1:2" ht="12.75" customHeight="1" x14ac:dyDescent="0.25">
      <c r="A28337" s="318">
        <v>394235599502</v>
      </c>
      <c r="B28337" s="318" t="s">
        <v>237</v>
      </c>
    </row>
    <row r="28338" spans="1:2" ht="12.75" customHeight="1" x14ac:dyDescent="0.25">
      <c r="A28338" s="318">
        <v>394235599504</v>
      </c>
      <c r="B28338" s="318" t="s">
        <v>237</v>
      </c>
    </row>
    <row r="28339" spans="1:2" ht="12.75" customHeight="1" x14ac:dyDescent="0.25">
      <c r="A28339" s="318">
        <v>394235599505</v>
      </c>
      <c r="B28339" s="318" t="s">
        <v>237</v>
      </c>
    </row>
    <row r="28340" spans="1:2" ht="12.75" customHeight="1" x14ac:dyDescent="0.25">
      <c r="A28340" s="318">
        <v>394235599506</v>
      </c>
      <c r="B28340" s="318" t="s">
        <v>237</v>
      </c>
    </row>
    <row r="28341" spans="1:2" ht="12.75" customHeight="1" x14ac:dyDescent="0.25">
      <c r="A28341" s="318">
        <v>394235599507</v>
      </c>
      <c r="B28341" s="318" t="s">
        <v>237</v>
      </c>
    </row>
    <row r="28342" spans="1:2" ht="12.75" customHeight="1" x14ac:dyDescent="0.25">
      <c r="A28342" s="318">
        <v>394235599508</v>
      </c>
      <c r="B28342" s="318" t="s">
        <v>237</v>
      </c>
    </row>
    <row r="28343" spans="1:2" ht="12.75" customHeight="1" x14ac:dyDescent="0.25">
      <c r="A28343" s="318">
        <v>394235599509</v>
      </c>
      <c r="B28343" s="318" t="s">
        <v>237</v>
      </c>
    </row>
    <row r="28344" spans="1:2" ht="12.75" customHeight="1" x14ac:dyDescent="0.25">
      <c r="A28344" s="318">
        <v>394235599510</v>
      </c>
      <c r="B28344" s="318" t="s">
        <v>237</v>
      </c>
    </row>
    <row r="28345" spans="1:2" ht="12.75" customHeight="1" x14ac:dyDescent="0.25">
      <c r="A28345" s="318">
        <v>394235599511</v>
      </c>
      <c r="B28345" s="318" t="s">
        <v>237</v>
      </c>
    </row>
    <row r="28346" spans="1:2" ht="12.75" customHeight="1" x14ac:dyDescent="0.25">
      <c r="A28346" s="318">
        <v>394236080468</v>
      </c>
      <c r="B28346" s="318" t="s">
        <v>23</v>
      </c>
    </row>
    <row r="28347" spans="1:2" ht="12.75" customHeight="1" x14ac:dyDescent="0.25">
      <c r="A28347" s="318">
        <v>394236080469</v>
      </c>
      <c r="B28347" s="318" t="s">
        <v>23</v>
      </c>
    </row>
    <row r="28348" spans="1:2" ht="12.75" customHeight="1" x14ac:dyDescent="0.25">
      <c r="A28348" s="318">
        <v>394236080470</v>
      </c>
      <c r="B28348" s="318" t="s">
        <v>23</v>
      </c>
    </row>
    <row r="28349" spans="1:2" ht="12.75" customHeight="1" x14ac:dyDescent="0.25">
      <c r="A28349" s="318">
        <v>394236080471</v>
      </c>
      <c r="B28349" s="318" t="s">
        <v>23</v>
      </c>
    </row>
    <row r="28350" spans="1:2" ht="12.75" customHeight="1" x14ac:dyDescent="0.25">
      <c r="A28350" s="318">
        <v>394236080472</v>
      </c>
      <c r="B28350" s="318" t="s">
        <v>23</v>
      </c>
    </row>
    <row r="28351" spans="1:2" ht="12.75" customHeight="1" x14ac:dyDescent="0.25">
      <c r="A28351" s="318">
        <v>394236080473</v>
      </c>
      <c r="B28351" s="318" t="s">
        <v>23</v>
      </c>
    </row>
    <row r="28352" spans="1:2" ht="12.75" customHeight="1" x14ac:dyDescent="0.25">
      <c r="A28352" s="318">
        <v>394236080474</v>
      </c>
      <c r="B28352" s="318" t="s">
        <v>237</v>
      </c>
    </row>
    <row r="28353" spans="1:2" ht="12.75" customHeight="1" x14ac:dyDescent="0.25">
      <c r="A28353" s="318">
        <v>394236080475</v>
      </c>
      <c r="B28353" s="318" t="s">
        <v>237</v>
      </c>
    </row>
    <row r="28354" spans="1:2" ht="12.75" customHeight="1" x14ac:dyDescent="0.25">
      <c r="A28354" s="318">
        <v>394236080477</v>
      </c>
      <c r="B28354" s="318" t="s">
        <v>237</v>
      </c>
    </row>
    <row r="28355" spans="1:2" ht="12.75" customHeight="1" x14ac:dyDescent="0.25">
      <c r="A28355" s="318">
        <v>394236080478</v>
      </c>
      <c r="B28355" s="318" t="s">
        <v>237</v>
      </c>
    </row>
    <row r="28356" spans="1:2" ht="12.75" customHeight="1" x14ac:dyDescent="0.25">
      <c r="A28356" s="318">
        <v>394236080479</v>
      </c>
      <c r="B28356" s="318" t="s">
        <v>237</v>
      </c>
    </row>
    <row r="28357" spans="1:2" ht="12.75" customHeight="1" x14ac:dyDescent="0.25">
      <c r="A28357" s="318">
        <v>394236080480</v>
      </c>
      <c r="B28357" s="318" t="s">
        <v>237</v>
      </c>
    </row>
    <row r="28358" spans="1:2" ht="12.75" customHeight="1" x14ac:dyDescent="0.25">
      <c r="A28358" s="318">
        <v>394236080481</v>
      </c>
      <c r="B28358" s="318" t="s">
        <v>237</v>
      </c>
    </row>
    <row r="28359" spans="1:2" ht="12.75" customHeight="1" x14ac:dyDescent="0.25">
      <c r="A28359" s="318">
        <v>394236080482</v>
      </c>
      <c r="B28359" s="318" t="s">
        <v>237</v>
      </c>
    </row>
    <row r="28360" spans="1:2" ht="12.75" customHeight="1" x14ac:dyDescent="0.25">
      <c r="A28360" s="318">
        <v>394236080483</v>
      </c>
      <c r="B28360" s="318" t="s">
        <v>237</v>
      </c>
    </row>
    <row r="28361" spans="1:2" ht="12.75" customHeight="1" x14ac:dyDescent="0.25">
      <c r="A28361" s="318">
        <v>394236080484</v>
      </c>
      <c r="B28361" s="318" t="s">
        <v>237</v>
      </c>
    </row>
    <row r="28362" spans="1:2" ht="12.75" customHeight="1" x14ac:dyDescent="0.25">
      <c r="A28362" s="318">
        <v>394236561441</v>
      </c>
      <c r="B28362" s="318" t="s">
        <v>23</v>
      </c>
    </row>
    <row r="28363" spans="1:2" ht="12.75" customHeight="1" x14ac:dyDescent="0.25">
      <c r="A28363" s="318">
        <v>394236561442</v>
      </c>
      <c r="B28363" s="318" t="s">
        <v>23</v>
      </c>
    </row>
    <row r="28364" spans="1:2" ht="12.75" customHeight="1" x14ac:dyDescent="0.25">
      <c r="A28364" s="318">
        <v>394236561443</v>
      </c>
      <c r="B28364" s="318" t="s">
        <v>23</v>
      </c>
    </row>
    <row r="28365" spans="1:2" ht="12.75" customHeight="1" x14ac:dyDescent="0.25">
      <c r="A28365" s="318">
        <v>394236561444</v>
      </c>
      <c r="B28365" s="318" t="s">
        <v>23</v>
      </c>
    </row>
    <row r="28366" spans="1:2" ht="12.75" customHeight="1" x14ac:dyDescent="0.25">
      <c r="A28366" s="318">
        <v>394236561445</v>
      </c>
      <c r="B28366" s="318" t="s">
        <v>23</v>
      </c>
    </row>
    <row r="28367" spans="1:2" ht="12.75" customHeight="1" x14ac:dyDescent="0.25">
      <c r="A28367" s="318">
        <v>394236561446</v>
      </c>
      <c r="B28367" s="318" t="s">
        <v>23</v>
      </c>
    </row>
    <row r="28368" spans="1:2" ht="12.75" customHeight="1" x14ac:dyDescent="0.25">
      <c r="A28368" s="318">
        <v>394236561447</v>
      </c>
      <c r="B28368" s="318" t="s">
        <v>237</v>
      </c>
    </row>
    <row r="28369" spans="1:2" ht="12.75" customHeight="1" x14ac:dyDescent="0.25">
      <c r="A28369" s="318">
        <v>394236561448</v>
      </c>
      <c r="B28369" s="318" t="s">
        <v>237</v>
      </c>
    </row>
    <row r="28370" spans="1:2" ht="12.75" customHeight="1" x14ac:dyDescent="0.25">
      <c r="A28370" s="318">
        <v>394236561450</v>
      </c>
      <c r="B28370" s="318" t="s">
        <v>237</v>
      </c>
    </row>
    <row r="28371" spans="1:2" ht="12.75" customHeight="1" x14ac:dyDescent="0.25">
      <c r="A28371" s="318">
        <v>394236561451</v>
      </c>
      <c r="B28371" s="318" t="s">
        <v>237</v>
      </c>
    </row>
    <row r="28372" spans="1:2" ht="12.75" customHeight="1" x14ac:dyDescent="0.25">
      <c r="A28372" s="318">
        <v>394236561452</v>
      </c>
      <c r="B28372" s="318" t="s">
        <v>237</v>
      </c>
    </row>
    <row r="28373" spans="1:2" ht="12.75" customHeight="1" x14ac:dyDescent="0.25">
      <c r="A28373" s="318">
        <v>394236561453</v>
      </c>
      <c r="B28373" s="318" t="s">
        <v>237</v>
      </c>
    </row>
    <row r="28374" spans="1:2" ht="12.75" customHeight="1" x14ac:dyDescent="0.25">
      <c r="A28374" s="318">
        <v>394236561454</v>
      </c>
      <c r="B28374" s="318" t="s">
        <v>237</v>
      </c>
    </row>
    <row r="28375" spans="1:2" ht="12.75" customHeight="1" x14ac:dyDescent="0.25">
      <c r="A28375" s="318">
        <v>394236561455</v>
      </c>
      <c r="B28375" s="318" t="s">
        <v>237</v>
      </c>
    </row>
    <row r="28376" spans="1:2" ht="12.75" customHeight="1" x14ac:dyDescent="0.25">
      <c r="A28376" s="318">
        <v>394236561456</v>
      </c>
      <c r="B28376" s="318" t="s">
        <v>237</v>
      </c>
    </row>
    <row r="28377" spans="1:2" ht="12.75" customHeight="1" x14ac:dyDescent="0.25">
      <c r="A28377" s="318">
        <v>394236561457</v>
      </c>
      <c r="B28377" s="318" t="s">
        <v>237</v>
      </c>
    </row>
    <row r="28378" spans="1:2" ht="12.75" customHeight="1" x14ac:dyDescent="0.25">
      <c r="A28378" s="318">
        <v>394237241632</v>
      </c>
      <c r="B28378" s="318" t="s">
        <v>23</v>
      </c>
    </row>
    <row r="28379" spans="1:2" ht="12.75" customHeight="1" x14ac:dyDescent="0.25">
      <c r="A28379" s="318">
        <v>394237241633</v>
      </c>
      <c r="B28379" s="318" t="s">
        <v>23</v>
      </c>
    </row>
    <row r="28380" spans="1:2" ht="12.75" customHeight="1" x14ac:dyDescent="0.25">
      <c r="A28380" s="318">
        <v>394237241634</v>
      </c>
      <c r="B28380" s="318" t="s">
        <v>23</v>
      </c>
    </row>
    <row r="28381" spans="1:2" ht="12.75" customHeight="1" x14ac:dyDescent="0.25">
      <c r="A28381" s="318">
        <v>394237241635</v>
      </c>
      <c r="B28381" s="318" t="s">
        <v>23</v>
      </c>
    </row>
    <row r="28382" spans="1:2" ht="12.75" customHeight="1" x14ac:dyDescent="0.25">
      <c r="A28382" s="318">
        <v>394237241636</v>
      </c>
      <c r="B28382" s="318" t="s">
        <v>23</v>
      </c>
    </row>
    <row r="28383" spans="1:2" ht="12.75" customHeight="1" x14ac:dyDescent="0.25">
      <c r="A28383" s="318">
        <v>394237241637</v>
      </c>
      <c r="B28383" s="318" t="s">
        <v>23</v>
      </c>
    </row>
    <row r="28384" spans="1:2" ht="12.75" customHeight="1" x14ac:dyDescent="0.25">
      <c r="A28384" s="318">
        <v>394237241638</v>
      </c>
      <c r="B28384" s="318" t="s">
        <v>237</v>
      </c>
    </row>
    <row r="28385" spans="1:2" ht="12.75" customHeight="1" x14ac:dyDescent="0.25">
      <c r="A28385" s="318">
        <v>394237241639</v>
      </c>
      <c r="B28385" s="318" t="s">
        <v>237</v>
      </c>
    </row>
    <row r="28386" spans="1:2" ht="12.75" customHeight="1" x14ac:dyDescent="0.25">
      <c r="A28386" s="318">
        <v>394237241641</v>
      </c>
      <c r="B28386" s="318" t="s">
        <v>237</v>
      </c>
    </row>
    <row r="28387" spans="1:2" ht="12.75" customHeight="1" x14ac:dyDescent="0.25">
      <c r="A28387" s="318">
        <v>394237241642</v>
      </c>
      <c r="B28387" s="318" t="s">
        <v>237</v>
      </c>
    </row>
    <row r="28388" spans="1:2" ht="12.75" customHeight="1" x14ac:dyDescent="0.25">
      <c r="A28388" s="318">
        <v>394237241643</v>
      </c>
      <c r="B28388" s="318" t="s">
        <v>237</v>
      </c>
    </row>
    <row r="28389" spans="1:2" ht="12.75" customHeight="1" x14ac:dyDescent="0.25">
      <c r="A28389" s="318">
        <v>394237241644</v>
      </c>
      <c r="B28389" s="318" t="s">
        <v>237</v>
      </c>
    </row>
    <row r="28390" spans="1:2" ht="12.75" customHeight="1" x14ac:dyDescent="0.25">
      <c r="A28390" s="318">
        <v>394237241645</v>
      </c>
      <c r="B28390" s="318" t="s">
        <v>237</v>
      </c>
    </row>
    <row r="28391" spans="1:2" ht="12.75" customHeight="1" x14ac:dyDescent="0.25">
      <c r="A28391" s="318">
        <v>394237241646</v>
      </c>
      <c r="B28391" s="318" t="s">
        <v>237</v>
      </c>
    </row>
    <row r="28392" spans="1:2" ht="12.75" customHeight="1" x14ac:dyDescent="0.25">
      <c r="A28392" s="318">
        <v>394237241647</v>
      </c>
      <c r="B28392" s="318" t="s">
        <v>237</v>
      </c>
    </row>
    <row r="28393" spans="1:2" ht="12.75" customHeight="1" x14ac:dyDescent="0.25">
      <c r="A28393" s="318">
        <v>394237241648</v>
      </c>
      <c r="B28393" s="318" t="s">
        <v>237</v>
      </c>
    </row>
    <row r="28394" spans="1:2" ht="12.75" customHeight="1" x14ac:dyDescent="0.25">
      <c r="A28394" s="318">
        <v>394237722605</v>
      </c>
      <c r="B28394" s="318" t="s">
        <v>23</v>
      </c>
    </row>
    <row r="28395" spans="1:2" ht="12.75" customHeight="1" x14ac:dyDescent="0.25">
      <c r="A28395" s="318">
        <v>394237722606</v>
      </c>
      <c r="B28395" s="318" t="s">
        <v>23</v>
      </c>
    </row>
    <row r="28396" spans="1:2" ht="12.75" customHeight="1" x14ac:dyDescent="0.25">
      <c r="A28396" s="318">
        <v>394237722607</v>
      </c>
      <c r="B28396" s="318" t="s">
        <v>23</v>
      </c>
    </row>
    <row r="28397" spans="1:2" ht="12.75" customHeight="1" x14ac:dyDescent="0.25">
      <c r="A28397" s="318">
        <v>394237722608</v>
      </c>
      <c r="B28397" s="318" t="s">
        <v>23</v>
      </c>
    </row>
    <row r="28398" spans="1:2" ht="12.75" customHeight="1" x14ac:dyDescent="0.25">
      <c r="A28398" s="318">
        <v>394237722609</v>
      </c>
      <c r="B28398" s="318" t="s">
        <v>23</v>
      </c>
    </row>
    <row r="28399" spans="1:2" ht="12.75" customHeight="1" x14ac:dyDescent="0.25">
      <c r="A28399" s="318">
        <v>394237722610</v>
      </c>
      <c r="B28399" s="318" t="s">
        <v>23</v>
      </c>
    </row>
    <row r="28400" spans="1:2" ht="12.75" customHeight="1" x14ac:dyDescent="0.25">
      <c r="A28400" s="318">
        <v>394237722611</v>
      </c>
      <c r="B28400" s="318" t="s">
        <v>237</v>
      </c>
    </row>
    <row r="28401" spans="1:2" ht="12.75" customHeight="1" x14ac:dyDescent="0.25">
      <c r="A28401" s="318">
        <v>394237722612</v>
      </c>
      <c r="B28401" s="318" t="s">
        <v>237</v>
      </c>
    </row>
    <row r="28402" spans="1:2" ht="12.75" customHeight="1" x14ac:dyDescent="0.25">
      <c r="A28402" s="318">
        <v>394237722614</v>
      </c>
      <c r="B28402" s="318" t="s">
        <v>237</v>
      </c>
    </row>
    <row r="28403" spans="1:2" ht="12.75" customHeight="1" x14ac:dyDescent="0.25">
      <c r="A28403" s="318">
        <v>394237722615</v>
      </c>
      <c r="B28403" s="318" t="s">
        <v>237</v>
      </c>
    </row>
    <row r="28404" spans="1:2" ht="12.75" customHeight="1" x14ac:dyDescent="0.25">
      <c r="A28404" s="318">
        <v>394237722616</v>
      </c>
      <c r="B28404" s="318" t="s">
        <v>237</v>
      </c>
    </row>
    <row r="28405" spans="1:2" ht="12.75" customHeight="1" x14ac:dyDescent="0.25">
      <c r="A28405" s="318">
        <v>394237722617</v>
      </c>
      <c r="B28405" s="318" t="s">
        <v>237</v>
      </c>
    </row>
    <row r="28406" spans="1:2" ht="12.75" customHeight="1" x14ac:dyDescent="0.25">
      <c r="A28406" s="318">
        <v>394237722618</v>
      </c>
      <c r="B28406" s="318" t="s">
        <v>237</v>
      </c>
    </row>
    <row r="28407" spans="1:2" ht="12.75" customHeight="1" x14ac:dyDescent="0.25">
      <c r="A28407" s="318">
        <v>394237722619</v>
      </c>
      <c r="B28407" s="318" t="s">
        <v>237</v>
      </c>
    </row>
    <row r="28408" spans="1:2" ht="12.75" customHeight="1" x14ac:dyDescent="0.25">
      <c r="A28408" s="318">
        <v>394237722620</v>
      </c>
      <c r="B28408" s="318" t="s">
        <v>237</v>
      </c>
    </row>
    <row r="28409" spans="1:2" ht="12.75" customHeight="1" x14ac:dyDescent="0.25">
      <c r="A28409" s="318">
        <v>394237722621</v>
      </c>
      <c r="B28409" s="318" t="s">
        <v>237</v>
      </c>
    </row>
    <row r="28410" spans="1:2" ht="12.75" customHeight="1" x14ac:dyDescent="0.25">
      <c r="A28410" s="318">
        <v>394238203578</v>
      </c>
      <c r="B28410" s="318" t="s">
        <v>23</v>
      </c>
    </row>
    <row r="28411" spans="1:2" ht="12.75" customHeight="1" x14ac:dyDescent="0.25">
      <c r="A28411" s="318">
        <v>394238203579</v>
      </c>
      <c r="B28411" s="318" t="s">
        <v>23</v>
      </c>
    </row>
    <row r="28412" spans="1:2" ht="12.75" customHeight="1" x14ac:dyDescent="0.25">
      <c r="A28412" s="318">
        <v>394238203580</v>
      </c>
      <c r="B28412" s="318" t="s">
        <v>23</v>
      </c>
    </row>
    <row r="28413" spans="1:2" ht="12.75" customHeight="1" x14ac:dyDescent="0.25">
      <c r="A28413" s="318">
        <v>394238203581</v>
      </c>
      <c r="B28413" s="318" t="s">
        <v>23</v>
      </c>
    </row>
    <row r="28414" spans="1:2" ht="12.75" customHeight="1" x14ac:dyDescent="0.25">
      <c r="A28414" s="318">
        <v>394238203582</v>
      </c>
      <c r="B28414" s="318" t="s">
        <v>23</v>
      </c>
    </row>
    <row r="28415" spans="1:2" ht="12.75" customHeight="1" x14ac:dyDescent="0.25">
      <c r="A28415" s="318">
        <v>394238203583</v>
      </c>
      <c r="B28415" s="318" t="s">
        <v>23</v>
      </c>
    </row>
    <row r="28416" spans="1:2" ht="12.75" customHeight="1" x14ac:dyDescent="0.25">
      <c r="A28416" s="318">
        <v>394238203584</v>
      </c>
      <c r="B28416" s="318" t="s">
        <v>237</v>
      </c>
    </row>
    <row r="28417" spans="1:2" ht="12.75" customHeight="1" x14ac:dyDescent="0.25">
      <c r="A28417" s="318">
        <v>394238203585</v>
      </c>
      <c r="B28417" s="318" t="s">
        <v>237</v>
      </c>
    </row>
    <row r="28418" spans="1:2" ht="12.75" customHeight="1" x14ac:dyDescent="0.25">
      <c r="A28418" s="318">
        <v>394238203587</v>
      </c>
      <c r="B28418" s="318" t="s">
        <v>237</v>
      </c>
    </row>
    <row r="28419" spans="1:2" ht="12.75" customHeight="1" x14ac:dyDescent="0.25">
      <c r="A28419" s="318">
        <v>394238203588</v>
      </c>
      <c r="B28419" s="318" t="s">
        <v>237</v>
      </c>
    </row>
    <row r="28420" spans="1:2" ht="12.75" customHeight="1" x14ac:dyDescent="0.25">
      <c r="A28420" s="318">
        <v>394238203589</v>
      </c>
      <c r="B28420" s="318" t="s">
        <v>237</v>
      </c>
    </row>
    <row r="28421" spans="1:2" ht="12.75" customHeight="1" x14ac:dyDescent="0.25">
      <c r="A28421" s="318">
        <v>394238203590</v>
      </c>
      <c r="B28421" s="318" t="s">
        <v>237</v>
      </c>
    </row>
    <row r="28422" spans="1:2" ht="12.75" customHeight="1" x14ac:dyDescent="0.25">
      <c r="A28422" s="318">
        <v>394238203591</v>
      </c>
      <c r="B28422" s="318" t="s">
        <v>237</v>
      </c>
    </row>
    <row r="28423" spans="1:2" ht="12.75" customHeight="1" x14ac:dyDescent="0.25">
      <c r="A28423" s="318">
        <v>394238203592</v>
      </c>
      <c r="B28423" s="318" t="s">
        <v>237</v>
      </c>
    </row>
    <row r="28424" spans="1:2" ht="12.75" customHeight="1" x14ac:dyDescent="0.25">
      <c r="A28424" s="318">
        <v>394238203593</v>
      </c>
      <c r="B28424" s="318" t="s">
        <v>237</v>
      </c>
    </row>
    <row r="28425" spans="1:2" ht="12.75" customHeight="1" x14ac:dyDescent="0.25">
      <c r="A28425" s="318">
        <v>394238203594</v>
      </c>
      <c r="B28425" s="318" t="s">
        <v>237</v>
      </c>
    </row>
    <row r="28426" spans="1:2" ht="12.75" customHeight="1" x14ac:dyDescent="0.25">
      <c r="A28426" s="318">
        <v>394238883769</v>
      </c>
      <c r="B28426" s="318" t="s">
        <v>23</v>
      </c>
    </row>
    <row r="28427" spans="1:2" ht="12.75" customHeight="1" x14ac:dyDescent="0.25">
      <c r="A28427" s="318">
        <v>394238883770</v>
      </c>
      <c r="B28427" s="318" t="s">
        <v>23</v>
      </c>
    </row>
    <row r="28428" spans="1:2" ht="12.75" customHeight="1" x14ac:dyDescent="0.25">
      <c r="A28428" s="318">
        <v>394238883771</v>
      </c>
      <c r="B28428" s="318" t="s">
        <v>23</v>
      </c>
    </row>
    <row r="28429" spans="1:2" ht="12.75" customHeight="1" x14ac:dyDescent="0.25">
      <c r="A28429" s="318">
        <v>394238883772</v>
      </c>
      <c r="B28429" s="318" t="s">
        <v>23</v>
      </c>
    </row>
    <row r="28430" spans="1:2" ht="12.75" customHeight="1" x14ac:dyDescent="0.25">
      <c r="A28430" s="318">
        <v>394238883773</v>
      </c>
      <c r="B28430" s="318" t="s">
        <v>23</v>
      </c>
    </row>
    <row r="28431" spans="1:2" ht="12.75" customHeight="1" x14ac:dyDescent="0.25">
      <c r="A28431" s="318">
        <v>394238883774</v>
      </c>
      <c r="B28431" s="318" t="s">
        <v>23</v>
      </c>
    </row>
    <row r="28432" spans="1:2" ht="12.75" customHeight="1" x14ac:dyDescent="0.25">
      <c r="A28432" s="318">
        <v>394238883775</v>
      </c>
      <c r="B28432" s="318" t="s">
        <v>237</v>
      </c>
    </row>
    <row r="28433" spans="1:2" ht="12.75" customHeight="1" x14ac:dyDescent="0.25">
      <c r="A28433" s="318">
        <v>394238883776</v>
      </c>
      <c r="B28433" s="318" t="s">
        <v>237</v>
      </c>
    </row>
    <row r="28434" spans="1:2" ht="12.75" customHeight="1" x14ac:dyDescent="0.25">
      <c r="A28434" s="318">
        <v>394238883778</v>
      </c>
      <c r="B28434" s="318" t="s">
        <v>237</v>
      </c>
    </row>
    <row r="28435" spans="1:2" ht="12.75" customHeight="1" x14ac:dyDescent="0.25">
      <c r="A28435" s="318">
        <v>394238883779</v>
      </c>
      <c r="B28435" s="318" t="s">
        <v>237</v>
      </c>
    </row>
    <row r="28436" spans="1:2" ht="12.75" customHeight="1" x14ac:dyDescent="0.25">
      <c r="A28436" s="318">
        <v>394238883780</v>
      </c>
      <c r="B28436" s="318" t="s">
        <v>237</v>
      </c>
    </row>
    <row r="28437" spans="1:2" ht="12.75" customHeight="1" x14ac:dyDescent="0.25">
      <c r="A28437" s="318">
        <v>394238883781</v>
      </c>
      <c r="B28437" s="318" t="s">
        <v>237</v>
      </c>
    </row>
    <row r="28438" spans="1:2" ht="12.75" customHeight="1" x14ac:dyDescent="0.25">
      <c r="A28438" s="318">
        <v>394238883782</v>
      </c>
      <c r="B28438" s="318" t="s">
        <v>237</v>
      </c>
    </row>
    <row r="28439" spans="1:2" ht="12.75" customHeight="1" x14ac:dyDescent="0.25">
      <c r="A28439" s="318">
        <v>394238883783</v>
      </c>
      <c r="B28439" s="318" t="s">
        <v>237</v>
      </c>
    </row>
    <row r="28440" spans="1:2" ht="12.75" customHeight="1" x14ac:dyDescent="0.25">
      <c r="A28440" s="318">
        <v>394238883784</v>
      </c>
      <c r="B28440" s="318" t="s">
        <v>237</v>
      </c>
    </row>
    <row r="28441" spans="1:2" ht="12.75" customHeight="1" x14ac:dyDescent="0.25">
      <c r="A28441" s="318">
        <v>394238883785</v>
      </c>
      <c r="B28441" s="318" t="s">
        <v>237</v>
      </c>
    </row>
    <row r="28442" spans="1:2" ht="12.75" customHeight="1" x14ac:dyDescent="0.25">
      <c r="A28442" s="318">
        <v>394239364742</v>
      </c>
      <c r="B28442" s="318" t="s">
        <v>23</v>
      </c>
    </row>
    <row r="28443" spans="1:2" ht="12.75" customHeight="1" x14ac:dyDescent="0.25">
      <c r="A28443" s="318">
        <v>394239364743</v>
      </c>
      <c r="B28443" s="318" t="s">
        <v>23</v>
      </c>
    </row>
    <row r="28444" spans="1:2" ht="12.75" customHeight="1" x14ac:dyDescent="0.25">
      <c r="A28444" s="318">
        <v>394239364744</v>
      </c>
      <c r="B28444" s="318" t="s">
        <v>23</v>
      </c>
    </row>
    <row r="28445" spans="1:2" ht="12.75" customHeight="1" x14ac:dyDescent="0.25">
      <c r="A28445" s="318">
        <v>394239364745</v>
      </c>
      <c r="B28445" s="318" t="s">
        <v>23</v>
      </c>
    </row>
    <row r="28446" spans="1:2" ht="12.75" customHeight="1" x14ac:dyDescent="0.25">
      <c r="A28446" s="318">
        <v>394239364746</v>
      </c>
      <c r="B28446" s="318" t="s">
        <v>23</v>
      </c>
    </row>
    <row r="28447" spans="1:2" ht="12.75" customHeight="1" x14ac:dyDescent="0.25">
      <c r="A28447" s="318">
        <v>394239364747</v>
      </c>
      <c r="B28447" s="318" t="s">
        <v>23</v>
      </c>
    </row>
    <row r="28448" spans="1:2" ht="12.75" customHeight="1" x14ac:dyDescent="0.25">
      <c r="A28448" s="318">
        <v>394239364748</v>
      </c>
      <c r="B28448" s="318" t="s">
        <v>237</v>
      </c>
    </row>
    <row r="28449" spans="1:2" ht="12.75" customHeight="1" x14ac:dyDescent="0.25">
      <c r="A28449" s="318">
        <v>394239364749</v>
      </c>
      <c r="B28449" s="318" t="s">
        <v>237</v>
      </c>
    </row>
    <row r="28450" spans="1:2" ht="12.75" customHeight="1" x14ac:dyDescent="0.25">
      <c r="A28450" s="318">
        <v>394239364751</v>
      </c>
      <c r="B28450" s="318" t="s">
        <v>237</v>
      </c>
    </row>
    <row r="28451" spans="1:2" ht="12.75" customHeight="1" x14ac:dyDescent="0.25">
      <c r="A28451" s="318">
        <v>394239364752</v>
      </c>
      <c r="B28451" s="318" t="s">
        <v>237</v>
      </c>
    </row>
    <row r="28452" spans="1:2" ht="12.75" customHeight="1" x14ac:dyDescent="0.25">
      <c r="A28452" s="318">
        <v>394239364753</v>
      </c>
      <c r="B28452" s="318" t="s">
        <v>237</v>
      </c>
    </row>
    <row r="28453" spans="1:2" ht="12.75" customHeight="1" x14ac:dyDescent="0.25">
      <c r="A28453" s="318">
        <v>394239364754</v>
      </c>
      <c r="B28453" s="318" t="s">
        <v>237</v>
      </c>
    </row>
    <row r="28454" spans="1:2" ht="12.75" customHeight="1" x14ac:dyDescent="0.25">
      <c r="A28454" s="318">
        <v>394239364755</v>
      </c>
      <c r="B28454" s="318" t="s">
        <v>237</v>
      </c>
    </row>
    <row r="28455" spans="1:2" ht="12.75" customHeight="1" x14ac:dyDescent="0.25">
      <c r="A28455" s="318">
        <v>394239364756</v>
      </c>
      <c r="B28455" s="318" t="s">
        <v>237</v>
      </c>
    </row>
    <row r="28456" spans="1:2" ht="12.75" customHeight="1" x14ac:dyDescent="0.25">
      <c r="A28456" s="318">
        <v>394239364757</v>
      </c>
      <c r="B28456" s="318" t="s">
        <v>237</v>
      </c>
    </row>
    <row r="28457" spans="1:2" ht="12.75" customHeight="1" x14ac:dyDescent="0.25">
      <c r="A28457" s="318">
        <v>394239364758</v>
      </c>
      <c r="B28457" s="318" t="s">
        <v>237</v>
      </c>
    </row>
    <row r="28458" spans="1:2" ht="12.75" customHeight="1" x14ac:dyDescent="0.25">
      <c r="A28458" s="318">
        <v>394239845715</v>
      </c>
      <c r="B28458" s="318" t="s">
        <v>23</v>
      </c>
    </row>
    <row r="28459" spans="1:2" ht="12.75" customHeight="1" x14ac:dyDescent="0.25">
      <c r="A28459" s="318">
        <v>394239845716</v>
      </c>
      <c r="B28459" s="318" t="s">
        <v>23</v>
      </c>
    </row>
    <row r="28460" spans="1:2" ht="12.75" customHeight="1" x14ac:dyDescent="0.25">
      <c r="A28460" s="318">
        <v>394239845717</v>
      </c>
      <c r="B28460" s="318" t="s">
        <v>23</v>
      </c>
    </row>
    <row r="28461" spans="1:2" ht="12.75" customHeight="1" x14ac:dyDescent="0.25">
      <c r="A28461" s="318">
        <v>394239845718</v>
      </c>
      <c r="B28461" s="318" t="s">
        <v>23</v>
      </c>
    </row>
    <row r="28462" spans="1:2" ht="12.75" customHeight="1" x14ac:dyDescent="0.25">
      <c r="A28462" s="318">
        <v>394239845719</v>
      </c>
      <c r="B28462" s="318" t="s">
        <v>23</v>
      </c>
    </row>
    <row r="28463" spans="1:2" ht="12.75" customHeight="1" x14ac:dyDescent="0.25">
      <c r="A28463" s="318">
        <v>394239845720</v>
      </c>
      <c r="B28463" s="318" t="s">
        <v>23</v>
      </c>
    </row>
    <row r="28464" spans="1:2" ht="12.75" customHeight="1" x14ac:dyDescent="0.25">
      <c r="A28464" s="318">
        <v>394239845721</v>
      </c>
      <c r="B28464" s="318" t="s">
        <v>237</v>
      </c>
    </row>
    <row r="28465" spans="1:2" ht="12.75" customHeight="1" x14ac:dyDescent="0.25">
      <c r="A28465" s="318">
        <v>394239845722</v>
      </c>
      <c r="B28465" s="318" t="s">
        <v>237</v>
      </c>
    </row>
    <row r="28466" spans="1:2" ht="12.75" customHeight="1" x14ac:dyDescent="0.25">
      <c r="A28466" s="318">
        <v>394239845724</v>
      </c>
      <c r="B28466" s="318" t="s">
        <v>237</v>
      </c>
    </row>
    <row r="28467" spans="1:2" ht="12.75" customHeight="1" x14ac:dyDescent="0.25">
      <c r="A28467" s="318">
        <v>394239845725</v>
      </c>
      <c r="B28467" s="318" t="s">
        <v>237</v>
      </c>
    </row>
    <row r="28468" spans="1:2" ht="12.75" customHeight="1" x14ac:dyDescent="0.25">
      <c r="A28468" s="318">
        <v>394239845726</v>
      </c>
      <c r="B28468" s="318" t="s">
        <v>237</v>
      </c>
    </row>
    <row r="28469" spans="1:2" ht="12.75" customHeight="1" x14ac:dyDescent="0.25">
      <c r="A28469" s="318">
        <v>394239845727</v>
      </c>
      <c r="B28469" s="318" t="s">
        <v>237</v>
      </c>
    </row>
    <row r="28470" spans="1:2" ht="12.75" customHeight="1" x14ac:dyDescent="0.25">
      <c r="A28470" s="318">
        <v>394239845728</v>
      </c>
      <c r="B28470" s="318" t="s">
        <v>237</v>
      </c>
    </row>
    <row r="28471" spans="1:2" ht="12.75" customHeight="1" x14ac:dyDescent="0.25">
      <c r="A28471" s="318">
        <v>394239845729</v>
      </c>
      <c r="B28471" s="318" t="s">
        <v>237</v>
      </c>
    </row>
    <row r="28472" spans="1:2" ht="12.75" customHeight="1" x14ac:dyDescent="0.25">
      <c r="A28472" s="318">
        <v>394239845730</v>
      </c>
      <c r="B28472" s="318" t="s">
        <v>237</v>
      </c>
    </row>
    <row r="28473" spans="1:2" ht="12.75" customHeight="1" x14ac:dyDescent="0.25">
      <c r="A28473" s="318">
        <v>394239845731</v>
      </c>
      <c r="B28473" s="318" t="s">
        <v>237</v>
      </c>
    </row>
    <row r="28474" spans="1:2" ht="12.75" customHeight="1" x14ac:dyDescent="0.25">
      <c r="A28474" s="318">
        <v>394241206096</v>
      </c>
      <c r="B28474" s="318" t="s">
        <v>23</v>
      </c>
    </row>
    <row r="28475" spans="1:2" ht="12.75" customHeight="1" x14ac:dyDescent="0.25">
      <c r="A28475" s="318">
        <v>394241206097</v>
      </c>
      <c r="B28475" s="318" t="s">
        <v>23</v>
      </c>
    </row>
    <row r="28476" spans="1:2" ht="12.75" customHeight="1" x14ac:dyDescent="0.25">
      <c r="A28476" s="318">
        <v>394241206098</v>
      </c>
      <c r="B28476" s="318" t="s">
        <v>23</v>
      </c>
    </row>
    <row r="28477" spans="1:2" ht="12.75" customHeight="1" x14ac:dyDescent="0.25">
      <c r="A28477" s="318">
        <v>394241206099</v>
      </c>
      <c r="B28477" s="318" t="s">
        <v>23</v>
      </c>
    </row>
    <row r="28478" spans="1:2" ht="12.75" customHeight="1" x14ac:dyDescent="0.25">
      <c r="A28478" s="318">
        <v>394241206100</v>
      </c>
      <c r="B28478" s="318" t="s">
        <v>23</v>
      </c>
    </row>
    <row r="28479" spans="1:2" ht="12.75" customHeight="1" x14ac:dyDescent="0.25">
      <c r="A28479" s="318">
        <v>394241206101</v>
      </c>
      <c r="B28479" s="318" t="s">
        <v>23</v>
      </c>
    </row>
    <row r="28480" spans="1:2" ht="12.75" customHeight="1" x14ac:dyDescent="0.25">
      <c r="A28480" s="318">
        <v>394241206102</v>
      </c>
      <c r="B28480" s="318" t="s">
        <v>237</v>
      </c>
    </row>
    <row r="28481" spans="1:2" ht="12.75" customHeight="1" x14ac:dyDescent="0.25">
      <c r="A28481" s="318">
        <v>394241206103</v>
      </c>
      <c r="B28481" s="318" t="s">
        <v>237</v>
      </c>
    </row>
    <row r="28482" spans="1:2" ht="12.75" customHeight="1" x14ac:dyDescent="0.25">
      <c r="A28482" s="318">
        <v>394241206105</v>
      </c>
      <c r="B28482" s="318" t="s">
        <v>237</v>
      </c>
    </row>
    <row r="28483" spans="1:2" ht="12.75" customHeight="1" x14ac:dyDescent="0.25">
      <c r="A28483" s="318">
        <v>394241206106</v>
      </c>
      <c r="B28483" s="318" t="s">
        <v>237</v>
      </c>
    </row>
    <row r="28484" spans="1:2" ht="12.75" customHeight="1" x14ac:dyDescent="0.25">
      <c r="A28484" s="318">
        <v>394241206107</v>
      </c>
      <c r="B28484" s="318" t="s">
        <v>237</v>
      </c>
    </row>
    <row r="28485" spans="1:2" ht="12.75" customHeight="1" x14ac:dyDescent="0.25">
      <c r="A28485" s="318">
        <v>394241206108</v>
      </c>
      <c r="B28485" s="318" t="s">
        <v>237</v>
      </c>
    </row>
    <row r="28486" spans="1:2" ht="12.75" customHeight="1" x14ac:dyDescent="0.25">
      <c r="A28486" s="318">
        <v>394241206109</v>
      </c>
      <c r="B28486" s="318" t="s">
        <v>237</v>
      </c>
    </row>
    <row r="28487" spans="1:2" ht="12.75" customHeight="1" x14ac:dyDescent="0.25">
      <c r="A28487" s="318">
        <v>394241206110</v>
      </c>
      <c r="B28487" s="318" t="s">
        <v>237</v>
      </c>
    </row>
    <row r="28488" spans="1:2" ht="12.75" customHeight="1" x14ac:dyDescent="0.25">
      <c r="A28488" s="318">
        <v>394241206111</v>
      </c>
      <c r="B28488" s="318" t="s">
        <v>237</v>
      </c>
    </row>
    <row r="28489" spans="1:2" ht="12.75" customHeight="1" x14ac:dyDescent="0.25">
      <c r="A28489" s="318">
        <v>394241206112</v>
      </c>
      <c r="B28489" s="318" t="s">
        <v>237</v>
      </c>
    </row>
    <row r="28490" spans="1:2" ht="12.75" customHeight="1" x14ac:dyDescent="0.25">
      <c r="A28490" s="318">
        <v>394241687069</v>
      </c>
      <c r="B28490" s="318" t="s">
        <v>23</v>
      </c>
    </row>
    <row r="28491" spans="1:2" ht="12.75" customHeight="1" x14ac:dyDescent="0.25">
      <c r="A28491" s="318">
        <v>394241687070</v>
      </c>
      <c r="B28491" s="318" t="s">
        <v>23</v>
      </c>
    </row>
    <row r="28492" spans="1:2" ht="12.75" customHeight="1" x14ac:dyDescent="0.25">
      <c r="A28492" s="318">
        <v>394241687071</v>
      </c>
      <c r="B28492" s="318" t="s">
        <v>23</v>
      </c>
    </row>
    <row r="28493" spans="1:2" ht="12.75" customHeight="1" x14ac:dyDescent="0.25">
      <c r="A28493" s="318">
        <v>394241687072</v>
      </c>
      <c r="B28493" s="318" t="s">
        <v>23</v>
      </c>
    </row>
    <row r="28494" spans="1:2" ht="12.75" customHeight="1" x14ac:dyDescent="0.25">
      <c r="A28494" s="318">
        <v>394241687073</v>
      </c>
      <c r="B28494" s="318" t="s">
        <v>23</v>
      </c>
    </row>
    <row r="28495" spans="1:2" ht="12.75" customHeight="1" x14ac:dyDescent="0.25">
      <c r="A28495" s="318">
        <v>394241687074</v>
      </c>
      <c r="B28495" s="318" t="s">
        <v>23</v>
      </c>
    </row>
    <row r="28496" spans="1:2" ht="12.75" customHeight="1" x14ac:dyDescent="0.25">
      <c r="A28496" s="318">
        <v>394241687075</v>
      </c>
      <c r="B28496" s="318" t="s">
        <v>237</v>
      </c>
    </row>
    <row r="28497" spans="1:2" ht="12.75" customHeight="1" x14ac:dyDescent="0.25">
      <c r="A28497" s="318">
        <v>394241687076</v>
      </c>
      <c r="B28497" s="318" t="s">
        <v>237</v>
      </c>
    </row>
    <row r="28498" spans="1:2" ht="12.75" customHeight="1" x14ac:dyDescent="0.25">
      <c r="A28498" s="318">
        <v>394241687078</v>
      </c>
      <c r="B28498" s="318" t="s">
        <v>237</v>
      </c>
    </row>
    <row r="28499" spans="1:2" ht="12.75" customHeight="1" x14ac:dyDescent="0.25">
      <c r="A28499" s="318">
        <v>394241687079</v>
      </c>
      <c r="B28499" s="318" t="s">
        <v>237</v>
      </c>
    </row>
    <row r="28500" spans="1:2" ht="12.75" customHeight="1" x14ac:dyDescent="0.25">
      <c r="A28500" s="318">
        <v>394241687080</v>
      </c>
      <c r="B28500" s="318" t="s">
        <v>237</v>
      </c>
    </row>
    <row r="28501" spans="1:2" ht="12.75" customHeight="1" x14ac:dyDescent="0.25">
      <c r="A28501" s="318">
        <v>394241687081</v>
      </c>
      <c r="B28501" s="318" t="s">
        <v>237</v>
      </c>
    </row>
    <row r="28502" spans="1:2" ht="12.75" customHeight="1" x14ac:dyDescent="0.25">
      <c r="A28502" s="318">
        <v>394241687082</v>
      </c>
      <c r="B28502" s="318" t="s">
        <v>237</v>
      </c>
    </row>
    <row r="28503" spans="1:2" ht="12.75" customHeight="1" x14ac:dyDescent="0.25">
      <c r="A28503" s="318">
        <v>394241687083</v>
      </c>
      <c r="B28503" s="318" t="s">
        <v>237</v>
      </c>
    </row>
    <row r="28504" spans="1:2" ht="12.75" customHeight="1" x14ac:dyDescent="0.25">
      <c r="A28504" s="318">
        <v>394241687084</v>
      </c>
      <c r="B28504" s="318" t="s">
        <v>237</v>
      </c>
    </row>
    <row r="28505" spans="1:2" ht="12.75" customHeight="1" x14ac:dyDescent="0.25">
      <c r="A28505" s="318">
        <v>394241687085</v>
      </c>
      <c r="B28505" s="318" t="s">
        <v>237</v>
      </c>
    </row>
    <row r="28506" spans="1:2" ht="12.75" customHeight="1" x14ac:dyDescent="0.25">
      <c r="A28506" s="318">
        <v>394242168042</v>
      </c>
      <c r="B28506" s="318" t="s">
        <v>23</v>
      </c>
    </row>
    <row r="28507" spans="1:2" ht="12.75" customHeight="1" x14ac:dyDescent="0.25">
      <c r="A28507" s="318">
        <v>394242168043</v>
      </c>
      <c r="B28507" s="318" t="s">
        <v>23</v>
      </c>
    </row>
    <row r="28508" spans="1:2" ht="12.75" customHeight="1" x14ac:dyDescent="0.25">
      <c r="A28508" s="318">
        <v>394242168044</v>
      </c>
      <c r="B28508" s="318" t="s">
        <v>23</v>
      </c>
    </row>
    <row r="28509" spans="1:2" ht="12.75" customHeight="1" x14ac:dyDescent="0.25">
      <c r="A28509" s="318">
        <v>394242168045</v>
      </c>
      <c r="B28509" s="318" t="s">
        <v>23</v>
      </c>
    </row>
    <row r="28510" spans="1:2" ht="12.75" customHeight="1" x14ac:dyDescent="0.25">
      <c r="A28510" s="318">
        <v>394242168046</v>
      </c>
      <c r="B28510" s="318" t="s">
        <v>23</v>
      </c>
    </row>
    <row r="28511" spans="1:2" ht="12.75" customHeight="1" x14ac:dyDescent="0.25">
      <c r="A28511" s="318">
        <v>394242168047</v>
      </c>
      <c r="B28511" s="318" t="s">
        <v>23</v>
      </c>
    </row>
    <row r="28512" spans="1:2" ht="12.75" customHeight="1" x14ac:dyDescent="0.25">
      <c r="A28512" s="318">
        <v>394242168048</v>
      </c>
      <c r="B28512" s="318" t="s">
        <v>237</v>
      </c>
    </row>
    <row r="28513" spans="1:2" ht="12.75" customHeight="1" x14ac:dyDescent="0.25">
      <c r="A28513" s="318">
        <v>394242168049</v>
      </c>
      <c r="B28513" s="318" t="s">
        <v>237</v>
      </c>
    </row>
    <row r="28514" spans="1:2" ht="12.75" customHeight="1" x14ac:dyDescent="0.25">
      <c r="A28514" s="318">
        <v>394242168051</v>
      </c>
      <c r="B28514" s="318" t="s">
        <v>237</v>
      </c>
    </row>
    <row r="28515" spans="1:2" ht="12.75" customHeight="1" x14ac:dyDescent="0.25">
      <c r="A28515" s="318">
        <v>394242168052</v>
      </c>
      <c r="B28515" s="318" t="s">
        <v>237</v>
      </c>
    </row>
    <row r="28516" spans="1:2" ht="12.75" customHeight="1" x14ac:dyDescent="0.25">
      <c r="A28516" s="318">
        <v>394242168053</v>
      </c>
      <c r="B28516" s="318" t="s">
        <v>237</v>
      </c>
    </row>
    <row r="28517" spans="1:2" ht="12.75" customHeight="1" x14ac:dyDescent="0.25">
      <c r="A28517" s="318">
        <v>394242168054</v>
      </c>
      <c r="B28517" s="318" t="s">
        <v>237</v>
      </c>
    </row>
    <row r="28518" spans="1:2" ht="12.75" customHeight="1" x14ac:dyDescent="0.25">
      <c r="A28518" s="318">
        <v>394242168055</v>
      </c>
      <c r="B28518" s="318" t="s">
        <v>237</v>
      </c>
    </row>
    <row r="28519" spans="1:2" ht="12.75" customHeight="1" x14ac:dyDescent="0.25">
      <c r="A28519" s="318">
        <v>394242168056</v>
      </c>
      <c r="B28519" s="318" t="s">
        <v>237</v>
      </c>
    </row>
    <row r="28520" spans="1:2" ht="12.75" customHeight="1" x14ac:dyDescent="0.25">
      <c r="A28520" s="318">
        <v>394242168057</v>
      </c>
      <c r="B28520" s="318" t="s">
        <v>237</v>
      </c>
    </row>
    <row r="28521" spans="1:2" ht="12.75" customHeight="1" x14ac:dyDescent="0.25">
      <c r="A28521" s="318">
        <v>394242168058</v>
      </c>
      <c r="B28521" s="318" t="s">
        <v>237</v>
      </c>
    </row>
    <row r="28522" spans="1:2" ht="12.75" customHeight="1" x14ac:dyDescent="0.25">
      <c r="A28522" s="318">
        <v>394242848233</v>
      </c>
      <c r="B28522" s="318" t="s">
        <v>23</v>
      </c>
    </row>
    <row r="28523" spans="1:2" ht="12.75" customHeight="1" x14ac:dyDescent="0.25">
      <c r="A28523" s="318">
        <v>394242848234</v>
      </c>
      <c r="B28523" s="318" t="s">
        <v>23</v>
      </c>
    </row>
    <row r="28524" spans="1:2" ht="12.75" customHeight="1" x14ac:dyDescent="0.25">
      <c r="A28524" s="318">
        <v>394242848235</v>
      </c>
      <c r="B28524" s="318" t="s">
        <v>23</v>
      </c>
    </row>
    <row r="28525" spans="1:2" ht="12.75" customHeight="1" x14ac:dyDescent="0.25">
      <c r="A28525" s="318">
        <v>394242848236</v>
      </c>
      <c r="B28525" s="318" t="s">
        <v>23</v>
      </c>
    </row>
    <row r="28526" spans="1:2" ht="12.75" customHeight="1" x14ac:dyDescent="0.25">
      <c r="A28526" s="318">
        <v>394242848237</v>
      </c>
      <c r="B28526" s="318" t="s">
        <v>23</v>
      </c>
    </row>
    <row r="28527" spans="1:2" ht="12.75" customHeight="1" x14ac:dyDescent="0.25">
      <c r="A28527" s="318">
        <v>394242848238</v>
      </c>
      <c r="B28527" s="318" t="s">
        <v>23</v>
      </c>
    </row>
    <row r="28528" spans="1:2" ht="12.75" customHeight="1" x14ac:dyDescent="0.25">
      <c r="A28528" s="318">
        <v>394242848239</v>
      </c>
      <c r="B28528" s="318" t="s">
        <v>237</v>
      </c>
    </row>
    <row r="28529" spans="1:2" ht="12.75" customHeight="1" x14ac:dyDescent="0.25">
      <c r="A28529" s="318">
        <v>394242848240</v>
      </c>
      <c r="B28529" s="318" t="s">
        <v>237</v>
      </c>
    </row>
    <row r="28530" spans="1:2" ht="12.75" customHeight="1" x14ac:dyDescent="0.25">
      <c r="A28530" s="318">
        <v>394242848242</v>
      </c>
      <c r="B28530" s="318" t="s">
        <v>237</v>
      </c>
    </row>
    <row r="28531" spans="1:2" ht="12.75" customHeight="1" x14ac:dyDescent="0.25">
      <c r="A28531" s="318">
        <v>394242848243</v>
      </c>
      <c r="B28531" s="318" t="s">
        <v>237</v>
      </c>
    </row>
    <row r="28532" spans="1:2" ht="12.75" customHeight="1" x14ac:dyDescent="0.25">
      <c r="A28532" s="318">
        <v>394242848244</v>
      </c>
      <c r="B28532" s="318" t="s">
        <v>237</v>
      </c>
    </row>
    <row r="28533" spans="1:2" ht="12.75" customHeight="1" x14ac:dyDescent="0.25">
      <c r="A28533" s="318">
        <v>394242848245</v>
      </c>
      <c r="B28533" s="318" t="s">
        <v>237</v>
      </c>
    </row>
    <row r="28534" spans="1:2" ht="12.75" customHeight="1" x14ac:dyDescent="0.25">
      <c r="A28534" s="318">
        <v>394242848246</v>
      </c>
      <c r="B28534" s="318" t="s">
        <v>237</v>
      </c>
    </row>
    <row r="28535" spans="1:2" ht="12.75" customHeight="1" x14ac:dyDescent="0.25">
      <c r="A28535" s="318">
        <v>394242848247</v>
      </c>
      <c r="B28535" s="318" t="s">
        <v>237</v>
      </c>
    </row>
    <row r="28536" spans="1:2" ht="12.75" customHeight="1" x14ac:dyDescent="0.25">
      <c r="A28536" s="318">
        <v>394242848248</v>
      </c>
      <c r="B28536" s="318" t="s">
        <v>237</v>
      </c>
    </row>
    <row r="28537" spans="1:2" ht="12.75" customHeight="1" x14ac:dyDescent="0.25">
      <c r="A28537" s="318">
        <v>394242848249</v>
      </c>
      <c r="B28537" s="318" t="s">
        <v>237</v>
      </c>
    </row>
    <row r="28538" spans="1:2" ht="12.75" customHeight="1" x14ac:dyDescent="0.25">
      <c r="A28538" s="318">
        <v>394243329206</v>
      </c>
      <c r="B28538" s="318" t="s">
        <v>23</v>
      </c>
    </row>
    <row r="28539" spans="1:2" ht="12.75" customHeight="1" x14ac:dyDescent="0.25">
      <c r="A28539" s="318">
        <v>394243329207</v>
      </c>
      <c r="B28539" s="318" t="s">
        <v>23</v>
      </c>
    </row>
    <row r="28540" spans="1:2" ht="12.75" customHeight="1" x14ac:dyDescent="0.25">
      <c r="A28540" s="318">
        <v>394243329208</v>
      </c>
      <c r="B28540" s="318" t="s">
        <v>23</v>
      </c>
    </row>
    <row r="28541" spans="1:2" ht="12.75" customHeight="1" x14ac:dyDescent="0.25">
      <c r="A28541" s="318">
        <v>394243329209</v>
      </c>
      <c r="B28541" s="318" t="s">
        <v>23</v>
      </c>
    </row>
    <row r="28542" spans="1:2" ht="12.75" customHeight="1" x14ac:dyDescent="0.25">
      <c r="A28542" s="318">
        <v>394243329210</v>
      </c>
      <c r="B28542" s="318" t="s">
        <v>23</v>
      </c>
    </row>
    <row r="28543" spans="1:2" ht="12.75" customHeight="1" x14ac:dyDescent="0.25">
      <c r="A28543" s="318">
        <v>394243329211</v>
      </c>
      <c r="B28543" s="318" t="s">
        <v>23</v>
      </c>
    </row>
    <row r="28544" spans="1:2" ht="12.75" customHeight="1" x14ac:dyDescent="0.25">
      <c r="A28544" s="318">
        <v>394243329212</v>
      </c>
      <c r="B28544" s="318" t="s">
        <v>237</v>
      </c>
    </row>
    <row r="28545" spans="1:2" ht="12.75" customHeight="1" x14ac:dyDescent="0.25">
      <c r="A28545" s="318">
        <v>394243329213</v>
      </c>
      <c r="B28545" s="318" t="s">
        <v>237</v>
      </c>
    </row>
    <row r="28546" spans="1:2" ht="12.75" customHeight="1" x14ac:dyDescent="0.25">
      <c r="A28546" s="318">
        <v>394243329215</v>
      </c>
      <c r="B28546" s="318" t="s">
        <v>237</v>
      </c>
    </row>
    <row r="28547" spans="1:2" ht="12.75" customHeight="1" x14ac:dyDescent="0.25">
      <c r="A28547" s="318">
        <v>394243329216</v>
      </c>
      <c r="B28547" s="318" t="s">
        <v>237</v>
      </c>
    </row>
    <row r="28548" spans="1:2" ht="12.75" customHeight="1" x14ac:dyDescent="0.25">
      <c r="A28548" s="318">
        <v>394243329217</v>
      </c>
      <c r="B28548" s="318" t="s">
        <v>237</v>
      </c>
    </row>
    <row r="28549" spans="1:2" ht="12.75" customHeight="1" x14ac:dyDescent="0.25">
      <c r="A28549" s="318">
        <v>394243329218</v>
      </c>
      <c r="B28549" s="318" t="s">
        <v>237</v>
      </c>
    </row>
    <row r="28550" spans="1:2" ht="12.75" customHeight="1" x14ac:dyDescent="0.25">
      <c r="A28550" s="318">
        <v>394243329219</v>
      </c>
      <c r="B28550" s="318" t="s">
        <v>237</v>
      </c>
    </row>
    <row r="28551" spans="1:2" ht="12.75" customHeight="1" x14ac:dyDescent="0.25">
      <c r="A28551" s="318">
        <v>394243329220</v>
      </c>
      <c r="B28551" s="318" t="s">
        <v>237</v>
      </c>
    </row>
    <row r="28552" spans="1:2" ht="12.75" customHeight="1" x14ac:dyDescent="0.25">
      <c r="A28552" s="318">
        <v>394243329221</v>
      </c>
      <c r="B28552" s="318" t="s">
        <v>237</v>
      </c>
    </row>
    <row r="28553" spans="1:2" ht="12.75" customHeight="1" x14ac:dyDescent="0.25">
      <c r="A28553" s="318">
        <v>394243329222</v>
      </c>
      <c r="B28553" s="318" t="s">
        <v>237</v>
      </c>
    </row>
    <row r="28554" spans="1:2" ht="12.75" customHeight="1" x14ac:dyDescent="0.25">
      <c r="A28554" s="318">
        <v>394243810179</v>
      </c>
      <c r="B28554" s="318" t="s">
        <v>23</v>
      </c>
    </row>
    <row r="28555" spans="1:2" ht="12.75" customHeight="1" x14ac:dyDescent="0.25">
      <c r="A28555" s="318">
        <v>394243810180</v>
      </c>
      <c r="B28555" s="318" t="s">
        <v>23</v>
      </c>
    </row>
    <row r="28556" spans="1:2" ht="12.75" customHeight="1" x14ac:dyDescent="0.25">
      <c r="A28556" s="318">
        <v>394243810181</v>
      </c>
      <c r="B28556" s="318" t="s">
        <v>23</v>
      </c>
    </row>
    <row r="28557" spans="1:2" ht="12.75" customHeight="1" x14ac:dyDescent="0.25">
      <c r="A28557" s="318">
        <v>394243810182</v>
      </c>
      <c r="B28557" s="318" t="s">
        <v>23</v>
      </c>
    </row>
    <row r="28558" spans="1:2" ht="12.75" customHeight="1" x14ac:dyDescent="0.25">
      <c r="A28558" s="318">
        <v>394243810183</v>
      </c>
      <c r="B28558" s="318" t="s">
        <v>23</v>
      </c>
    </row>
    <row r="28559" spans="1:2" ht="12.75" customHeight="1" x14ac:dyDescent="0.25">
      <c r="A28559" s="318">
        <v>394243810184</v>
      </c>
      <c r="B28559" s="318" t="s">
        <v>23</v>
      </c>
    </row>
    <row r="28560" spans="1:2" ht="12.75" customHeight="1" x14ac:dyDescent="0.25">
      <c r="A28560" s="318">
        <v>394243810185</v>
      </c>
      <c r="B28560" s="318" t="s">
        <v>237</v>
      </c>
    </row>
    <row r="28561" spans="1:2" ht="12.75" customHeight="1" x14ac:dyDescent="0.25">
      <c r="A28561" s="318">
        <v>394243810186</v>
      </c>
      <c r="B28561" s="318" t="s">
        <v>237</v>
      </c>
    </row>
    <row r="28562" spans="1:2" ht="12.75" customHeight="1" x14ac:dyDescent="0.25">
      <c r="A28562" s="318">
        <v>394243810188</v>
      </c>
      <c r="B28562" s="318" t="s">
        <v>237</v>
      </c>
    </row>
    <row r="28563" spans="1:2" ht="12.75" customHeight="1" x14ac:dyDescent="0.25">
      <c r="A28563" s="318">
        <v>394243810189</v>
      </c>
      <c r="B28563" s="318" t="s">
        <v>237</v>
      </c>
    </row>
    <row r="28564" spans="1:2" ht="12.75" customHeight="1" x14ac:dyDescent="0.25">
      <c r="A28564" s="318">
        <v>394243810190</v>
      </c>
      <c r="B28564" s="318" t="s">
        <v>237</v>
      </c>
    </row>
    <row r="28565" spans="1:2" ht="12.75" customHeight="1" x14ac:dyDescent="0.25">
      <c r="A28565" s="318">
        <v>394243810191</v>
      </c>
      <c r="B28565" s="318" t="s">
        <v>237</v>
      </c>
    </row>
    <row r="28566" spans="1:2" ht="12.75" customHeight="1" x14ac:dyDescent="0.25">
      <c r="A28566" s="318">
        <v>394243810192</v>
      </c>
      <c r="B28566" s="318" t="s">
        <v>237</v>
      </c>
    </row>
    <row r="28567" spans="1:2" ht="12.75" customHeight="1" x14ac:dyDescent="0.25">
      <c r="A28567" s="318">
        <v>394243810193</v>
      </c>
      <c r="B28567" s="318" t="s">
        <v>237</v>
      </c>
    </row>
    <row r="28568" spans="1:2" ht="12.75" customHeight="1" x14ac:dyDescent="0.25">
      <c r="A28568" s="318">
        <v>394243810194</v>
      </c>
      <c r="B28568" s="318" t="s">
        <v>237</v>
      </c>
    </row>
    <row r="28569" spans="1:2" ht="12.75" customHeight="1" x14ac:dyDescent="0.25">
      <c r="A28569" s="318">
        <v>394243810195</v>
      </c>
      <c r="B28569" s="318" t="s">
        <v>237</v>
      </c>
    </row>
    <row r="28570" spans="1:2" ht="12.75" customHeight="1" x14ac:dyDescent="0.25">
      <c r="A28570" s="318">
        <v>394244490370</v>
      </c>
      <c r="B28570" s="318" t="s">
        <v>23</v>
      </c>
    </row>
    <row r="28571" spans="1:2" ht="12.75" customHeight="1" x14ac:dyDescent="0.25">
      <c r="A28571" s="318">
        <v>394244490371</v>
      </c>
      <c r="B28571" s="318" t="s">
        <v>23</v>
      </c>
    </row>
    <row r="28572" spans="1:2" ht="12.75" customHeight="1" x14ac:dyDescent="0.25">
      <c r="A28572" s="318">
        <v>394244490372</v>
      </c>
      <c r="B28572" s="318" t="s">
        <v>23</v>
      </c>
    </row>
    <row r="28573" spans="1:2" ht="12.75" customHeight="1" x14ac:dyDescent="0.25">
      <c r="A28573" s="318">
        <v>394244490373</v>
      </c>
      <c r="B28573" s="318" t="s">
        <v>23</v>
      </c>
    </row>
    <row r="28574" spans="1:2" ht="12.75" customHeight="1" x14ac:dyDescent="0.25">
      <c r="A28574" s="318">
        <v>394244490374</v>
      </c>
      <c r="B28574" s="318" t="s">
        <v>23</v>
      </c>
    </row>
    <row r="28575" spans="1:2" ht="12.75" customHeight="1" x14ac:dyDescent="0.25">
      <c r="A28575" s="318">
        <v>394244490375</v>
      </c>
      <c r="B28575" s="318" t="s">
        <v>23</v>
      </c>
    </row>
    <row r="28576" spans="1:2" ht="12.75" customHeight="1" x14ac:dyDescent="0.25">
      <c r="A28576" s="318">
        <v>394244490376</v>
      </c>
      <c r="B28576" s="318" t="s">
        <v>237</v>
      </c>
    </row>
    <row r="28577" spans="1:2" ht="12.75" customHeight="1" x14ac:dyDescent="0.25">
      <c r="A28577" s="318">
        <v>394244490377</v>
      </c>
      <c r="B28577" s="318" t="s">
        <v>237</v>
      </c>
    </row>
    <row r="28578" spans="1:2" ht="12.75" customHeight="1" x14ac:dyDescent="0.25">
      <c r="A28578" s="318">
        <v>394244490379</v>
      </c>
      <c r="B28578" s="318" t="s">
        <v>237</v>
      </c>
    </row>
    <row r="28579" spans="1:2" ht="12.75" customHeight="1" x14ac:dyDescent="0.25">
      <c r="A28579" s="318">
        <v>394244490380</v>
      </c>
      <c r="B28579" s="318" t="s">
        <v>237</v>
      </c>
    </row>
    <row r="28580" spans="1:2" ht="12.75" customHeight="1" x14ac:dyDescent="0.25">
      <c r="A28580" s="318">
        <v>394244490381</v>
      </c>
      <c r="B28580" s="318" t="s">
        <v>237</v>
      </c>
    </row>
    <row r="28581" spans="1:2" ht="12.75" customHeight="1" x14ac:dyDescent="0.25">
      <c r="A28581" s="318">
        <v>394244490382</v>
      </c>
      <c r="B28581" s="318" t="s">
        <v>237</v>
      </c>
    </row>
    <row r="28582" spans="1:2" ht="12.75" customHeight="1" x14ac:dyDescent="0.25">
      <c r="A28582" s="318">
        <v>394244490383</v>
      </c>
      <c r="B28582" s="318" t="s">
        <v>237</v>
      </c>
    </row>
    <row r="28583" spans="1:2" ht="12.75" customHeight="1" x14ac:dyDescent="0.25">
      <c r="A28583" s="318">
        <v>394244490384</v>
      </c>
      <c r="B28583" s="318" t="s">
        <v>237</v>
      </c>
    </row>
    <row r="28584" spans="1:2" ht="12.75" customHeight="1" x14ac:dyDescent="0.25">
      <c r="A28584" s="318">
        <v>394244490385</v>
      </c>
      <c r="B28584" s="318" t="s">
        <v>237</v>
      </c>
    </row>
    <row r="28585" spans="1:2" ht="12.75" customHeight="1" x14ac:dyDescent="0.25">
      <c r="A28585" s="318">
        <v>394244490386</v>
      </c>
      <c r="B28585" s="318" t="s">
        <v>237</v>
      </c>
    </row>
    <row r="28586" spans="1:2" ht="12.75" customHeight="1" x14ac:dyDescent="0.25">
      <c r="A28586" s="318">
        <v>394244971343</v>
      </c>
      <c r="B28586" s="318" t="s">
        <v>23</v>
      </c>
    </row>
    <row r="28587" spans="1:2" ht="12.75" customHeight="1" x14ac:dyDescent="0.25">
      <c r="A28587" s="318">
        <v>394244971344</v>
      </c>
      <c r="B28587" s="318" t="s">
        <v>23</v>
      </c>
    </row>
    <row r="28588" spans="1:2" ht="12.75" customHeight="1" x14ac:dyDescent="0.25">
      <c r="A28588" s="318">
        <v>394244971345</v>
      </c>
      <c r="B28588" s="318" t="s">
        <v>23</v>
      </c>
    </row>
    <row r="28589" spans="1:2" ht="12.75" customHeight="1" x14ac:dyDescent="0.25">
      <c r="A28589" s="318">
        <v>394244971346</v>
      </c>
      <c r="B28589" s="318" t="s">
        <v>23</v>
      </c>
    </row>
    <row r="28590" spans="1:2" ht="12.75" customHeight="1" x14ac:dyDescent="0.25">
      <c r="A28590" s="318">
        <v>394244971347</v>
      </c>
      <c r="B28590" s="318" t="s">
        <v>23</v>
      </c>
    </row>
    <row r="28591" spans="1:2" ht="12.75" customHeight="1" x14ac:dyDescent="0.25">
      <c r="A28591" s="318">
        <v>394244971348</v>
      </c>
      <c r="B28591" s="318" t="s">
        <v>23</v>
      </c>
    </row>
    <row r="28592" spans="1:2" ht="12.75" customHeight="1" x14ac:dyDescent="0.25">
      <c r="A28592" s="318">
        <v>394244971349</v>
      </c>
      <c r="B28592" s="318" t="s">
        <v>237</v>
      </c>
    </row>
    <row r="28593" spans="1:2" ht="12.75" customHeight="1" x14ac:dyDescent="0.25">
      <c r="A28593" s="318">
        <v>394244971350</v>
      </c>
      <c r="B28593" s="318" t="s">
        <v>237</v>
      </c>
    </row>
    <row r="28594" spans="1:2" ht="12.75" customHeight="1" x14ac:dyDescent="0.25">
      <c r="A28594" s="318">
        <v>394244971352</v>
      </c>
      <c r="B28594" s="318" t="s">
        <v>237</v>
      </c>
    </row>
    <row r="28595" spans="1:2" ht="12.75" customHeight="1" x14ac:dyDescent="0.25">
      <c r="A28595" s="318">
        <v>394244971353</v>
      </c>
      <c r="B28595" s="318" t="s">
        <v>237</v>
      </c>
    </row>
    <row r="28596" spans="1:2" ht="12.75" customHeight="1" x14ac:dyDescent="0.25">
      <c r="A28596" s="318">
        <v>394244971354</v>
      </c>
      <c r="B28596" s="318" t="s">
        <v>237</v>
      </c>
    </row>
    <row r="28597" spans="1:2" ht="12.75" customHeight="1" x14ac:dyDescent="0.25">
      <c r="A28597" s="318">
        <v>394244971355</v>
      </c>
      <c r="B28597" s="318" t="s">
        <v>237</v>
      </c>
    </row>
    <row r="28598" spans="1:2" ht="12.75" customHeight="1" x14ac:dyDescent="0.25">
      <c r="A28598" s="318">
        <v>394244971356</v>
      </c>
      <c r="B28598" s="318" t="s">
        <v>237</v>
      </c>
    </row>
    <row r="28599" spans="1:2" ht="12.75" customHeight="1" x14ac:dyDescent="0.25">
      <c r="A28599" s="318">
        <v>394244971357</v>
      </c>
      <c r="B28599" s="318" t="s">
        <v>237</v>
      </c>
    </row>
    <row r="28600" spans="1:2" ht="12.75" customHeight="1" x14ac:dyDescent="0.25">
      <c r="A28600" s="318">
        <v>394244971358</v>
      </c>
      <c r="B28600" s="318" t="s">
        <v>237</v>
      </c>
    </row>
    <row r="28601" spans="1:2" ht="12.75" customHeight="1" x14ac:dyDescent="0.25">
      <c r="A28601" s="318">
        <v>394244971359</v>
      </c>
      <c r="B28601" s="318" t="s">
        <v>237</v>
      </c>
    </row>
    <row r="28602" spans="1:2" ht="12.75" customHeight="1" x14ac:dyDescent="0.25">
      <c r="A28602" s="318">
        <v>394245452316</v>
      </c>
      <c r="B28602" s="318" t="s">
        <v>23</v>
      </c>
    </row>
    <row r="28603" spans="1:2" ht="12.75" customHeight="1" x14ac:dyDescent="0.25">
      <c r="A28603" s="318">
        <v>394245452317</v>
      </c>
      <c r="B28603" s="318" t="s">
        <v>23</v>
      </c>
    </row>
    <row r="28604" spans="1:2" ht="12.75" customHeight="1" x14ac:dyDescent="0.25">
      <c r="A28604" s="318">
        <v>394245452318</v>
      </c>
      <c r="B28604" s="318" t="s">
        <v>23</v>
      </c>
    </row>
    <row r="28605" spans="1:2" ht="12.75" customHeight="1" x14ac:dyDescent="0.25">
      <c r="A28605" s="318">
        <v>394245452319</v>
      </c>
      <c r="B28605" s="318" t="s">
        <v>23</v>
      </c>
    </row>
    <row r="28606" spans="1:2" ht="12.75" customHeight="1" x14ac:dyDescent="0.25">
      <c r="A28606" s="318">
        <v>394245452320</v>
      </c>
      <c r="B28606" s="318" t="s">
        <v>23</v>
      </c>
    </row>
    <row r="28607" spans="1:2" ht="12.75" customHeight="1" x14ac:dyDescent="0.25">
      <c r="A28607" s="318">
        <v>394245452321</v>
      </c>
      <c r="B28607" s="318" t="s">
        <v>23</v>
      </c>
    </row>
    <row r="28608" spans="1:2" ht="12.75" customHeight="1" x14ac:dyDescent="0.25">
      <c r="A28608" s="318">
        <v>394245452322</v>
      </c>
      <c r="B28608" s="318" t="s">
        <v>237</v>
      </c>
    </row>
    <row r="28609" spans="1:2" ht="12.75" customHeight="1" x14ac:dyDescent="0.25">
      <c r="A28609" s="318">
        <v>394245452323</v>
      </c>
      <c r="B28609" s="318" t="s">
        <v>237</v>
      </c>
    </row>
    <row r="28610" spans="1:2" ht="12.75" customHeight="1" x14ac:dyDescent="0.25">
      <c r="A28610" s="318">
        <v>394245452325</v>
      </c>
      <c r="B28610" s="318" t="s">
        <v>237</v>
      </c>
    </row>
    <row r="28611" spans="1:2" ht="12.75" customHeight="1" x14ac:dyDescent="0.25">
      <c r="A28611" s="318">
        <v>394245452326</v>
      </c>
      <c r="B28611" s="318" t="s">
        <v>237</v>
      </c>
    </row>
    <row r="28612" spans="1:2" ht="12.75" customHeight="1" x14ac:dyDescent="0.25">
      <c r="A28612" s="318">
        <v>394245452327</v>
      </c>
      <c r="B28612" s="318" t="s">
        <v>237</v>
      </c>
    </row>
    <row r="28613" spans="1:2" ht="12.75" customHeight="1" x14ac:dyDescent="0.25">
      <c r="A28613" s="318">
        <v>394245452328</v>
      </c>
      <c r="B28613" s="318" t="s">
        <v>237</v>
      </c>
    </row>
    <row r="28614" spans="1:2" ht="12.75" customHeight="1" x14ac:dyDescent="0.25">
      <c r="A28614" s="318">
        <v>394245452329</v>
      </c>
      <c r="B28614" s="318" t="s">
        <v>237</v>
      </c>
    </row>
    <row r="28615" spans="1:2" ht="12.75" customHeight="1" x14ac:dyDescent="0.25">
      <c r="A28615" s="318">
        <v>394245452330</v>
      </c>
      <c r="B28615" s="318" t="s">
        <v>237</v>
      </c>
    </row>
    <row r="28616" spans="1:2" ht="12.75" customHeight="1" x14ac:dyDescent="0.25">
      <c r="A28616" s="318">
        <v>394245452331</v>
      </c>
      <c r="B28616" s="318" t="s">
        <v>237</v>
      </c>
    </row>
    <row r="28617" spans="1:2" ht="12.75" customHeight="1" x14ac:dyDescent="0.25">
      <c r="A28617" s="318">
        <v>394245452332</v>
      </c>
      <c r="B28617" s="318" t="s">
        <v>237</v>
      </c>
    </row>
    <row r="28618" spans="1:2" ht="12.75" customHeight="1" x14ac:dyDescent="0.25">
      <c r="A28618" s="318">
        <v>394295348207</v>
      </c>
      <c r="B28618" s="318" t="s">
        <v>236</v>
      </c>
    </row>
    <row r="28619" spans="1:2" ht="12.75" customHeight="1" x14ac:dyDescent="0.25">
      <c r="A28619" s="318">
        <v>394295348208</v>
      </c>
      <c r="B28619" s="318" t="s">
        <v>235</v>
      </c>
    </row>
    <row r="28620" spans="1:2" ht="12.75" customHeight="1" x14ac:dyDescent="0.25">
      <c r="A28620" s="318">
        <v>394295348209</v>
      </c>
      <c r="B28620" s="318" t="s">
        <v>236</v>
      </c>
    </row>
    <row r="28621" spans="1:2" ht="12.75" customHeight="1" x14ac:dyDescent="0.25">
      <c r="A28621" s="318">
        <v>394295348210</v>
      </c>
      <c r="B28621" s="318" t="s">
        <v>235</v>
      </c>
    </row>
    <row r="28622" spans="1:2" ht="12.75" customHeight="1" x14ac:dyDescent="0.25">
      <c r="A28622" s="318">
        <v>394295348211</v>
      </c>
      <c r="B28622" s="318" t="s">
        <v>236</v>
      </c>
    </row>
    <row r="28623" spans="1:2" ht="12.75" customHeight="1" x14ac:dyDescent="0.25">
      <c r="A28623" s="318">
        <v>394295348212</v>
      </c>
      <c r="B28623" s="318" t="s">
        <v>235</v>
      </c>
    </row>
    <row r="28624" spans="1:2" ht="12.75" customHeight="1" x14ac:dyDescent="0.25">
      <c r="A28624" s="318">
        <v>394295348213</v>
      </c>
      <c r="B28624" s="318" t="s">
        <v>23</v>
      </c>
    </row>
    <row r="28625" spans="1:2" ht="12.75" customHeight="1" x14ac:dyDescent="0.25">
      <c r="A28625" s="318">
        <v>394295348214</v>
      </c>
      <c r="B28625" s="318" t="s">
        <v>235</v>
      </c>
    </row>
    <row r="28626" spans="1:2" ht="12.75" customHeight="1" x14ac:dyDescent="0.25">
      <c r="A28626" s="318">
        <v>394295348216</v>
      </c>
      <c r="B28626" s="318" t="s">
        <v>237</v>
      </c>
    </row>
    <row r="28627" spans="1:2" ht="12.75" customHeight="1" x14ac:dyDescent="0.25">
      <c r="A28627" s="318">
        <v>394295348217</v>
      </c>
      <c r="B28627" s="318" t="s">
        <v>237</v>
      </c>
    </row>
    <row r="28628" spans="1:2" ht="12.75" customHeight="1" x14ac:dyDescent="0.25">
      <c r="A28628" s="318">
        <v>394295348218</v>
      </c>
      <c r="B28628" s="318" t="s">
        <v>237</v>
      </c>
    </row>
    <row r="28629" spans="1:2" ht="12.75" customHeight="1" x14ac:dyDescent="0.25">
      <c r="A28629" s="318">
        <v>394295348219</v>
      </c>
      <c r="B28629" s="318" t="s">
        <v>237</v>
      </c>
    </row>
    <row r="28630" spans="1:2" ht="12.75" customHeight="1" x14ac:dyDescent="0.25">
      <c r="A28630" s="318">
        <v>394295348220</v>
      </c>
      <c r="B28630" s="318" t="s">
        <v>237</v>
      </c>
    </row>
    <row r="28631" spans="1:2" ht="12.75" customHeight="1" x14ac:dyDescent="0.25">
      <c r="A28631" s="318">
        <v>394295348221</v>
      </c>
      <c r="B28631" s="318" t="s">
        <v>237</v>
      </c>
    </row>
    <row r="28632" spans="1:2" ht="12.75" customHeight="1" x14ac:dyDescent="0.25">
      <c r="A28632" s="318">
        <v>394295348222</v>
      </c>
      <c r="B28632" s="318" t="s">
        <v>237</v>
      </c>
    </row>
    <row r="28633" spans="1:2" ht="12.75" customHeight="1" x14ac:dyDescent="0.25">
      <c r="A28633" s="318">
        <v>394295348223</v>
      </c>
      <c r="B28633" s="318" t="s">
        <v>237</v>
      </c>
    </row>
    <row r="28634" spans="1:2" ht="12.75" customHeight="1" x14ac:dyDescent="0.25">
      <c r="A28634" s="318">
        <v>394295829180</v>
      </c>
      <c r="B28634" s="318" t="s">
        <v>236</v>
      </c>
    </row>
    <row r="28635" spans="1:2" ht="12.75" customHeight="1" x14ac:dyDescent="0.25">
      <c r="A28635" s="318">
        <v>394295829181</v>
      </c>
      <c r="B28635" s="318" t="s">
        <v>235</v>
      </c>
    </row>
    <row r="28636" spans="1:2" ht="12.75" customHeight="1" x14ac:dyDescent="0.25">
      <c r="A28636" s="318">
        <v>394295829182</v>
      </c>
      <c r="B28636" s="318" t="s">
        <v>236</v>
      </c>
    </row>
    <row r="28637" spans="1:2" ht="12.75" customHeight="1" x14ac:dyDescent="0.25">
      <c r="A28637" s="318">
        <v>394295829183</v>
      </c>
      <c r="B28637" s="318" t="s">
        <v>235</v>
      </c>
    </row>
    <row r="28638" spans="1:2" ht="12.75" customHeight="1" x14ac:dyDescent="0.25">
      <c r="A28638" s="318">
        <v>394295829184</v>
      </c>
      <c r="B28638" s="318" t="s">
        <v>236</v>
      </c>
    </row>
    <row r="28639" spans="1:2" ht="12.75" customHeight="1" x14ac:dyDescent="0.25">
      <c r="A28639" s="318">
        <v>394295829185</v>
      </c>
      <c r="B28639" s="318" t="s">
        <v>235</v>
      </c>
    </row>
    <row r="28640" spans="1:2" ht="12.75" customHeight="1" x14ac:dyDescent="0.25">
      <c r="A28640" s="318">
        <v>394295829186</v>
      </c>
      <c r="B28640" s="318" t="s">
        <v>23</v>
      </c>
    </row>
    <row r="28641" spans="1:2" ht="12.75" customHeight="1" x14ac:dyDescent="0.25">
      <c r="A28641" s="318">
        <v>394295829187</v>
      </c>
      <c r="B28641" s="318" t="s">
        <v>235</v>
      </c>
    </row>
    <row r="28642" spans="1:2" ht="12.75" customHeight="1" x14ac:dyDescent="0.25">
      <c r="A28642" s="318">
        <v>394295829189</v>
      </c>
      <c r="B28642" s="318" t="s">
        <v>237</v>
      </c>
    </row>
    <row r="28643" spans="1:2" ht="12.75" customHeight="1" x14ac:dyDescent="0.25">
      <c r="A28643" s="318">
        <v>394295829190</v>
      </c>
      <c r="B28643" s="318" t="s">
        <v>237</v>
      </c>
    </row>
    <row r="28644" spans="1:2" ht="12.75" customHeight="1" x14ac:dyDescent="0.25">
      <c r="A28644" s="318">
        <v>394295829191</v>
      </c>
      <c r="B28644" s="318" t="s">
        <v>237</v>
      </c>
    </row>
    <row r="28645" spans="1:2" ht="12.75" customHeight="1" x14ac:dyDescent="0.25">
      <c r="A28645" s="318">
        <v>394295829192</v>
      </c>
      <c r="B28645" s="318" t="s">
        <v>237</v>
      </c>
    </row>
    <row r="28646" spans="1:2" ht="12.75" customHeight="1" x14ac:dyDescent="0.25">
      <c r="A28646" s="318">
        <v>394295829193</v>
      </c>
      <c r="B28646" s="318" t="s">
        <v>237</v>
      </c>
    </row>
    <row r="28647" spans="1:2" ht="12.75" customHeight="1" x14ac:dyDescent="0.25">
      <c r="A28647" s="318">
        <v>394295829194</v>
      </c>
      <c r="B28647" s="318" t="s">
        <v>237</v>
      </c>
    </row>
    <row r="28648" spans="1:2" ht="12.75" customHeight="1" x14ac:dyDescent="0.25">
      <c r="A28648" s="318">
        <v>394295829195</v>
      </c>
      <c r="B28648" s="318" t="s">
        <v>237</v>
      </c>
    </row>
    <row r="28649" spans="1:2" ht="12.75" customHeight="1" x14ac:dyDescent="0.25">
      <c r="A28649" s="318">
        <v>394295829196</v>
      </c>
      <c r="B28649" s="318" t="s">
        <v>237</v>
      </c>
    </row>
    <row r="28650" spans="1:2" ht="12.75" customHeight="1" x14ac:dyDescent="0.25">
      <c r="A28650" s="318">
        <v>394296310153</v>
      </c>
      <c r="B28650" s="318" t="s">
        <v>236</v>
      </c>
    </row>
    <row r="28651" spans="1:2" ht="12.75" customHeight="1" x14ac:dyDescent="0.25">
      <c r="A28651" s="318">
        <v>394296310154</v>
      </c>
      <c r="B28651" s="318" t="s">
        <v>235</v>
      </c>
    </row>
    <row r="28652" spans="1:2" ht="12.75" customHeight="1" x14ac:dyDescent="0.25">
      <c r="A28652" s="318">
        <v>394296310155</v>
      </c>
      <c r="B28652" s="318" t="s">
        <v>236</v>
      </c>
    </row>
    <row r="28653" spans="1:2" ht="12.75" customHeight="1" x14ac:dyDescent="0.25">
      <c r="A28653" s="318">
        <v>394296310156</v>
      </c>
      <c r="B28653" s="318" t="s">
        <v>235</v>
      </c>
    </row>
    <row r="28654" spans="1:2" ht="12.75" customHeight="1" x14ac:dyDescent="0.25">
      <c r="A28654" s="318">
        <v>394296310157</v>
      </c>
      <c r="B28654" s="318" t="s">
        <v>236</v>
      </c>
    </row>
    <row r="28655" spans="1:2" ht="12.75" customHeight="1" x14ac:dyDescent="0.25">
      <c r="A28655" s="318">
        <v>394296310158</v>
      </c>
      <c r="B28655" s="318" t="s">
        <v>235</v>
      </c>
    </row>
    <row r="28656" spans="1:2" ht="12.75" customHeight="1" x14ac:dyDescent="0.25">
      <c r="A28656" s="318">
        <v>394296310159</v>
      </c>
      <c r="B28656" s="318" t="s">
        <v>236</v>
      </c>
    </row>
    <row r="28657" spans="1:2" ht="12.75" customHeight="1" x14ac:dyDescent="0.25">
      <c r="A28657" s="318">
        <v>394296310160</v>
      </c>
      <c r="B28657" s="318" t="s">
        <v>235</v>
      </c>
    </row>
    <row r="28658" spans="1:2" ht="12.75" customHeight="1" x14ac:dyDescent="0.25">
      <c r="A28658" s="318">
        <v>394296310162</v>
      </c>
      <c r="B28658" s="318" t="s">
        <v>236</v>
      </c>
    </row>
    <row r="28659" spans="1:2" ht="12.75" customHeight="1" x14ac:dyDescent="0.25">
      <c r="A28659" s="318">
        <v>394296310163</v>
      </c>
      <c r="B28659" s="318" t="s">
        <v>235</v>
      </c>
    </row>
    <row r="28660" spans="1:2" ht="12.75" customHeight="1" x14ac:dyDescent="0.25">
      <c r="A28660" s="318">
        <v>394296310164</v>
      </c>
      <c r="B28660" s="318" t="s">
        <v>236</v>
      </c>
    </row>
    <row r="28661" spans="1:2" ht="12.75" customHeight="1" x14ac:dyDescent="0.25">
      <c r="A28661" s="318">
        <v>394296310165</v>
      </c>
      <c r="B28661" s="318" t="s">
        <v>235</v>
      </c>
    </row>
    <row r="28662" spans="1:2" ht="12.75" customHeight="1" x14ac:dyDescent="0.25">
      <c r="A28662" s="318">
        <v>394296310166</v>
      </c>
      <c r="B28662" s="318" t="s">
        <v>236</v>
      </c>
    </row>
    <row r="28663" spans="1:2" ht="12.75" customHeight="1" x14ac:dyDescent="0.25">
      <c r="A28663" s="318">
        <v>394296310167</v>
      </c>
      <c r="B28663" s="318" t="s">
        <v>235</v>
      </c>
    </row>
    <row r="28664" spans="1:2" ht="12.75" customHeight="1" x14ac:dyDescent="0.25">
      <c r="A28664" s="318">
        <v>394296310168</v>
      </c>
      <c r="B28664" s="318" t="s">
        <v>236</v>
      </c>
    </row>
    <row r="28665" spans="1:2" ht="12.75" customHeight="1" x14ac:dyDescent="0.25">
      <c r="A28665" s="318">
        <v>394296310169</v>
      </c>
      <c r="B28665" s="318" t="s">
        <v>235</v>
      </c>
    </row>
    <row r="28666" spans="1:2" ht="12.75" customHeight="1" x14ac:dyDescent="0.25">
      <c r="A28666" s="318">
        <v>394296990344</v>
      </c>
      <c r="B28666" s="318" t="s">
        <v>236</v>
      </c>
    </row>
    <row r="28667" spans="1:2" ht="12.75" customHeight="1" x14ac:dyDescent="0.25">
      <c r="A28667" s="318">
        <v>394296990345</v>
      </c>
      <c r="B28667" s="318" t="s">
        <v>235</v>
      </c>
    </row>
    <row r="28668" spans="1:2" ht="12.75" customHeight="1" x14ac:dyDescent="0.25">
      <c r="A28668" s="318">
        <v>394296990346</v>
      </c>
      <c r="B28668" s="318" t="s">
        <v>236</v>
      </c>
    </row>
    <row r="28669" spans="1:2" ht="12.75" customHeight="1" x14ac:dyDescent="0.25">
      <c r="A28669" s="318">
        <v>394296990347</v>
      </c>
      <c r="B28669" s="318" t="s">
        <v>235</v>
      </c>
    </row>
    <row r="28670" spans="1:2" ht="12.75" customHeight="1" x14ac:dyDescent="0.25">
      <c r="A28670" s="318">
        <v>394296990348</v>
      </c>
      <c r="B28670" s="318" t="s">
        <v>236</v>
      </c>
    </row>
    <row r="28671" spans="1:2" ht="12.75" customHeight="1" x14ac:dyDescent="0.25">
      <c r="A28671" s="318">
        <v>394296990349</v>
      </c>
      <c r="B28671" s="318" t="s">
        <v>235</v>
      </c>
    </row>
    <row r="28672" spans="1:2" ht="12.75" customHeight="1" x14ac:dyDescent="0.25">
      <c r="A28672" s="318">
        <v>394296990350</v>
      </c>
      <c r="B28672" s="318" t="s">
        <v>23</v>
      </c>
    </row>
    <row r="28673" spans="1:2" ht="12.75" customHeight="1" x14ac:dyDescent="0.25">
      <c r="A28673" s="318">
        <v>394296990351</v>
      </c>
      <c r="B28673" s="318" t="s">
        <v>235</v>
      </c>
    </row>
    <row r="28674" spans="1:2" ht="12.75" customHeight="1" x14ac:dyDescent="0.25">
      <c r="A28674" s="318">
        <v>394296990353</v>
      </c>
      <c r="B28674" s="318" t="s">
        <v>237</v>
      </c>
    </row>
    <row r="28675" spans="1:2" ht="12.75" customHeight="1" x14ac:dyDescent="0.25">
      <c r="A28675" s="318">
        <v>394296990354</v>
      </c>
      <c r="B28675" s="318" t="s">
        <v>237</v>
      </c>
    </row>
    <row r="28676" spans="1:2" ht="12.75" customHeight="1" x14ac:dyDescent="0.25">
      <c r="A28676" s="318">
        <v>394296990355</v>
      </c>
      <c r="B28676" s="318" t="s">
        <v>237</v>
      </c>
    </row>
    <row r="28677" spans="1:2" ht="12.75" customHeight="1" x14ac:dyDescent="0.25">
      <c r="A28677" s="318">
        <v>394296990356</v>
      </c>
      <c r="B28677" s="318" t="s">
        <v>237</v>
      </c>
    </row>
    <row r="28678" spans="1:2" ht="12.75" customHeight="1" x14ac:dyDescent="0.25">
      <c r="A28678" s="318">
        <v>394296990357</v>
      </c>
      <c r="B28678" s="318" t="s">
        <v>237</v>
      </c>
    </row>
    <row r="28679" spans="1:2" ht="12.75" customHeight="1" x14ac:dyDescent="0.25">
      <c r="A28679" s="318">
        <v>394296990358</v>
      </c>
      <c r="B28679" s="318" t="s">
        <v>237</v>
      </c>
    </row>
    <row r="28680" spans="1:2" ht="12.75" customHeight="1" x14ac:dyDescent="0.25">
      <c r="A28680" s="318">
        <v>394296990359</v>
      </c>
      <c r="B28680" s="318" t="s">
        <v>237</v>
      </c>
    </row>
    <row r="28681" spans="1:2" ht="12.75" customHeight="1" x14ac:dyDescent="0.25">
      <c r="A28681" s="318">
        <v>394296990360</v>
      </c>
      <c r="B28681" s="318" t="s">
        <v>237</v>
      </c>
    </row>
    <row r="28682" spans="1:2" ht="12.75" customHeight="1" x14ac:dyDescent="0.25">
      <c r="A28682" s="318">
        <v>394297471317</v>
      </c>
      <c r="B28682" s="318" t="s">
        <v>236</v>
      </c>
    </row>
    <row r="28683" spans="1:2" ht="12.75" customHeight="1" x14ac:dyDescent="0.25">
      <c r="A28683" s="318">
        <v>394297471318</v>
      </c>
      <c r="B28683" s="318" t="s">
        <v>235</v>
      </c>
    </row>
    <row r="28684" spans="1:2" ht="12.75" customHeight="1" x14ac:dyDescent="0.25">
      <c r="A28684" s="318">
        <v>394297471319</v>
      </c>
      <c r="B28684" s="318" t="s">
        <v>236</v>
      </c>
    </row>
    <row r="28685" spans="1:2" ht="12.75" customHeight="1" x14ac:dyDescent="0.25">
      <c r="A28685" s="318">
        <v>394297471320</v>
      </c>
      <c r="B28685" s="318" t="s">
        <v>235</v>
      </c>
    </row>
    <row r="28686" spans="1:2" ht="12.75" customHeight="1" x14ac:dyDescent="0.25">
      <c r="A28686" s="318">
        <v>394297471321</v>
      </c>
      <c r="B28686" s="318" t="s">
        <v>236</v>
      </c>
    </row>
    <row r="28687" spans="1:2" ht="12.75" customHeight="1" x14ac:dyDescent="0.25">
      <c r="A28687" s="318">
        <v>394297471322</v>
      </c>
      <c r="B28687" s="318" t="s">
        <v>235</v>
      </c>
    </row>
    <row r="28688" spans="1:2" ht="12.75" customHeight="1" x14ac:dyDescent="0.25">
      <c r="A28688" s="318">
        <v>394297471323</v>
      </c>
      <c r="B28688" s="318" t="s">
        <v>23</v>
      </c>
    </row>
    <row r="28689" spans="1:2" ht="12.75" customHeight="1" x14ac:dyDescent="0.25">
      <c r="A28689" s="318">
        <v>394297471324</v>
      </c>
      <c r="B28689" s="318" t="s">
        <v>235</v>
      </c>
    </row>
    <row r="28690" spans="1:2" ht="12.75" customHeight="1" x14ac:dyDescent="0.25">
      <c r="A28690" s="318">
        <v>394297471326</v>
      </c>
      <c r="B28690" s="318" t="s">
        <v>237</v>
      </c>
    </row>
    <row r="28691" spans="1:2" ht="12.75" customHeight="1" x14ac:dyDescent="0.25">
      <c r="A28691" s="318">
        <v>394297471327</v>
      </c>
      <c r="B28691" s="318" t="s">
        <v>237</v>
      </c>
    </row>
    <row r="28692" spans="1:2" ht="12.75" customHeight="1" x14ac:dyDescent="0.25">
      <c r="A28692" s="318">
        <v>394297471328</v>
      </c>
      <c r="B28692" s="318" t="s">
        <v>237</v>
      </c>
    </row>
    <row r="28693" spans="1:2" ht="12.75" customHeight="1" x14ac:dyDescent="0.25">
      <c r="A28693" s="318">
        <v>394297471329</v>
      </c>
      <c r="B28693" s="318" t="s">
        <v>237</v>
      </c>
    </row>
    <row r="28694" spans="1:2" ht="12.75" customHeight="1" x14ac:dyDescent="0.25">
      <c r="A28694" s="318">
        <v>394297471330</v>
      </c>
      <c r="B28694" s="318" t="s">
        <v>237</v>
      </c>
    </row>
    <row r="28695" spans="1:2" ht="12.75" customHeight="1" x14ac:dyDescent="0.25">
      <c r="A28695" s="318">
        <v>394297471331</v>
      </c>
      <c r="B28695" s="318" t="s">
        <v>237</v>
      </c>
    </row>
    <row r="28696" spans="1:2" ht="12.75" customHeight="1" x14ac:dyDescent="0.25">
      <c r="A28696" s="318">
        <v>394297471332</v>
      </c>
      <c r="B28696" s="318" t="s">
        <v>237</v>
      </c>
    </row>
    <row r="28697" spans="1:2" ht="12.75" customHeight="1" x14ac:dyDescent="0.25">
      <c r="A28697" s="318">
        <v>394297471333</v>
      </c>
      <c r="B28697" s="318" t="s">
        <v>237</v>
      </c>
    </row>
    <row r="28698" spans="1:2" ht="12.75" customHeight="1" x14ac:dyDescent="0.25">
      <c r="A28698" s="318">
        <v>394297952290</v>
      </c>
      <c r="B28698" s="318" t="s">
        <v>236</v>
      </c>
    </row>
    <row r="28699" spans="1:2" ht="12.75" customHeight="1" x14ac:dyDescent="0.25">
      <c r="A28699" s="318">
        <v>394297952291</v>
      </c>
      <c r="B28699" s="318" t="s">
        <v>235</v>
      </c>
    </row>
    <row r="28700" spans="1:2" ht="12.75" customHeight="1" x14ac:dyDescent="0.25">
      <c r="A28700" s="318">
        <v>394297952292</v>
      </c>
      <c r="B28700" s="318" t="s">
        <v>236</v>
      </c>
    </row>
    <row r="28701" spans="1:2" ht="12.75" customHeight="1" x14ac:dyDescent="0.25">
      <c r="A28701" s="318">
        <v>394297952293</v>
      </c>
      <c r="B28701" s="318" t="s">
        <v>235</v>
      </c>
    </row>
    <row r="28702" spans="1:2" ht="12.75" customHeight="1" x14ac:dyDescent="0.25">
      <c r="A28702" s="318">
        <v>394297952294</v>
      </c>
      <c r="B28702" s="318" t="s">
        <v>236</v>
      </c>
    </row>
    <row r="28703" spans="1:2" ht="12.75" customHeight="1" x14ac:dyDescent="0.25">
      <c r="A28703" s="318">
        <v>394297952295</v>
      </c>
      <c r="B28703" s="318" t="s">
        <v>235</v>
      </c>
    </row>
    <row r="28704" spans="1:2" ht="12.75" customHeight="1" x14ac:dyDescent="0.25">
      <c r="A28704" s="318">
        <v>394297952296</v>
      </c>
      <c r="B28704" s="318" t="s">
        <v>236</v>
      </c>
    </row>
    <row r="28705" spans="1:2" ht="12.75" customHeight="1" x14ac:dyDescent="0.25">
      <c r="A28705" s="318">
        <v>394297952297</v>
      </c>
      <c r="B28705" s="318" t="s">
        <v>235</v>
      </c>
    </row>
    <row r="28706" spans="1:2" ht="12.75" customHeight="1" x14ac:dyDescent="0.25">
      <c r="A28706" s="318">
        <v>394297952299</v>
      </c>
      <c r="B28706" s="318" t="s">
        <v>236</v>
      </c>
    </row>
    <row r="28707" spans="1:2" ht="12.75" customHeight="1" x14ac:dyDescent="0.25">
      <c r="A28707" s="318">
        <v>394297952300</v>
      </c>
      <c r="B28707" s="318" t="s">
        <v>235</v>
      </c>
    </row>
    <row r="28708" spans="1:2" ht="12.75" customHeight="1" x14ac:dyDescent="0.25">
      <c r="A28708" s="318">
        <v>394297952301</v>
      </c>
      <c r="B28708" s="318" t="s">
        <v>236</v>
      </c>
    </row>
    <row r="28709" spans="1:2" ht="12.75" customHeight="1" x14ac:dyDescent="0.25">
      <c r="A28709" s="318">
        <v>394297952302</v>
      </c>
      <c r="B28709" s="318" t="s">
        <v>235</v>
      </c>
    </row>
    <row r="28710" spans="1:2" ht="12.75" customHeight="1" x14ac:dyDescent="0.25">
      <c r="A28710" s="318">
        <v>394297952303</v>
      </c>
      <c r="B28710" s="318" t="s">
        <v>236</v>
      </c>
    </row>
    <row r="28711" spans="1:2" ht="12.75" customHeight="1" x14ac:dyDescent="0.25">
      <c r="A28711" s="318">
        <v>394297952304</v>
      </c>
      <c r="B28711" s="318" t="s">
        <v>235</v>
      </c>
    </row>
    <row r="28712" spans="1:2" ht="12.75" customHeight="1" x14ac:dyDescent="0.25">
      <c r="A28712" s="318">
        <v>394297952305</v>
      </c>
      <c r="B28712" s="318" t="s">
        <v>236</v>
      </c>
    </row>
    <row r="28713" spans="1:2" ht="12.75" customHeight="1" x14ac:dyDescent="0.25">
      <c r="A28713" s="318">
        <v>394297952306</v>
      </c>
      <c r="B28713" s="318" t="s">
        <v>235</v>
      </c>
    </row>
    <row r="28714" spans="1:2" ht="12.75" customHeight="1" x14ac:dyDescent="0.25">
      <c r="A28714" s="318">
        <v>394298632481</v>
      </c>
      <c r="B28714" s="318" t="s">
        <v>236</v>
      </c>
    </row>
    <row r="28715" spans="1:2" ht="12.75" customHeight="1" x14ac:dyDescent="0.25">
      <c r="A28715" s="318">
        <v>394298632482</v>
      </c>
      <c r="B28715" s="318" t="s">
        <v>235</v>
      </c>
    </row>
    <row r="28716" spans="1:2" ht="12.75" customHeight="1" x14ac:dyDescent="0.25">
      <c r="A28716" s="318">
        <v>394298632483</v>
      </c>
      <c r="B28716" s="318" t="s">
        <v>236</v>
      </c>
    </row>
    <row r="28717" spans="1:2" ht="12.75" customHeight="1" x14ac:dyDescent="0.25">
      <c r="A28717" s="318">
        <v>394298632484</v>
      </c>
      <c r="B28717" s="318" t="s">
        <v>235</v>
      </c>
    </row>
    <row r="28718" spans="1:2" ht="12.75" customHeight="1" x14ac:dyDescent="0.25">
      <c r="A28718" s="318">
        <v>394298632485</v>
      </c>
      <c r="B28718" s="318" t="s">
        <v>236</v>
      </c>
    </row>
    <row r="28719" spans="1:2" ht="12.75" customHeight="1" x14ac:dyDescent="0.25">
      <c r="A28719" s="318">
        <v>394298632486</v>
      </c>
      <c r="B28719" s="318" t="s">
        <v>235</v>
      </c>
    </row>
    <row r="28720" spans="1:2" ht="12.75" customHeight="1" x14ac:dyDescent="0.25">
      <c r="A28720" s="318">
        <v>394298632487</v>
      </c>
      <c r="B28720" s="318" t="s">
        <v>236</v>
      </c>
    </row>
    <row r="28721" spans="1:2" ht="12.75" customHeight="1" x14ac:dyDescent="0.25">
      <c r="A28721" s="318">
        <v>394298632488</v>
      </c>
      <c r="B28721" s="318" t="s">
        <v>235</v>
      </c>
    </row>
    <row r="28722" spans="1:2" ht="12.75" customHeight="1" x14ac:dyDescent="0.25">
      <c r="A28722" s="318">
        <v>394298632490</v>
      </c>
      <c r="B28722" s="318" t="s">
        <v>236</v>
      </c>
    </row>
    <row r="28723" spans="1:2" ht="12.75" customHeight="1" x14ac:dyDescent="0.25">
      <c r="A28723" s="318">
        <v>394298632491</v>
      </c>
      <c r="B28723" s="318" t="s">
        <v>235</v>
      </c>
    </row>
    <row r="28724" spans="1:2" ht="12.75" customHeight="1" x14ac:dyDescent="0.25">
      <c r="A28724" s="318">
        <v>394298632492</v>
      </c>
      <c r="B28724" s="318" t="s">
        <v>236</v>
      </c>
    </row>
    <row r="28725" spans="1:2" ht="12.75" customHeight="1" x14ac:dyDescent="0.25">
      <c r="A28725" s="318">
        <v>394298632493</v>
      </c>
      <c r="B28725" s="318" t="s">
        <v>235</v>
      </c>
    </row>
    <row r="28726" spans="1:2" ht="12.75" customHeight="1" x14ac:dyDescent="0.25">
      <c r="A28726" s="318">
        <v>394298632494</v>
      </c>
      <c r="B28726" s="318" t="s">
        <v>236</v>
      </c>
    </row>
    <row r="28727" spans="1:2" ht="12.75" customHeight="1" x14ac:dyDescent="0.25">
      <c r="A28727" s="318">
        <v>394298632495</v>
      </c>
      <c r="B28727" s="318" t="s">
        <v>235</v>
      </c>
    </row>
    <row r="28728" spans="1:2" ht="12.75" customHeight="1" x14ac:dyDescent="0.25">
      <c r="A28728" s="318">
        <v>394298632496</v>
      </c>
      <c r="B28728" s="318" t="s">
        <v>236</v>
      </c>
    </row>
    <row r="28729" spans="1:2" ht="12.75" customHeight="1" x14ac:dyDescent="0.25">
      <c r="A28729" s="318">
        <v>394298632497</v>
      </c>
      <c r="B28729" s="318" t="s">
        <v>235</v>
      </c>
    </row>
    <row r="28730" spans="1:2" ht="12.75" customHeight="1" x14ac:dyDescent="0.25">
      <c r="A28730" s="318">
        <v>394299113454</v>
      </c>
      <c r="B28730" s="318" t="s">
        <v>236</v>
      </c>
    </row>
    <row r="28731" spans="1:2" ht="12.75" customHeight="1" x14ac:dyDescent="0.25">
      <c r="A28731" s="318">
        <v>394299113455</v>
      </c>
      <c r="B28731" s="318" t="s">
        <v>235</v>
      </c>
    </row>
    <row r="28732" spans="1:2" ht="12.75" customHeight="1" x14ac:dyDescent="0.25">
      <c r="A28732" s="318">
        <v>394299113456</v>
      </c>
      <c r="B28732" s="318" t="s">
        <v>236</v>
      </c>
    </row>
    <row r="28733" spans="1:2" ht="12.75" customHeight="1" x14ac:dyDescent="0.25">
      <c r="A28733" s="318">
        <v>394299113457</v>
      </c>
      <c r="B28733" s="318" t="s">
        <v>235</v>
      </c>
    </row>
    <row r="28734" spans="1:2" ht="12.75" customHeight="1" x14ac:dyDescent="0.25">
      <c r="A28734" s="318">
        <v>394299113458</v>
      </c>
      <c r="B28734" s="318" t="s">
        <v>236</v>
      </c>
    </row>
    <row r="28735" spans="1:2" ht="12.75" customHeight="1" x14ac:dyDescent="0.25">
      <c r="A28735" s="318">
        <v>394299113459</v>
      </c>
      <c r="B28735" s="318" t="s">
        <v>235</v>
      </c>
    </row>
    <row r="28736" spans="1:2" ht="12.75" customHeight="1" x14ac:dyDescent="0.25">
      <c r="A28736" s="318">
        <v>394299113460</v>
      </c>
      <c r="B28736" s="318" t="s">
        <v>236</v>
      </c>
    </row>
    <row r="28737" spans="1:2" ht="12.75" customHeight="1" x14ac:dyDescent="0.25">
      <c r="A28737" s="318">
        <v>394299113461</v>
      </c>
      <c r="B28737" s="318" t="s">
        <v>235</v>
      </c>
    </row>
    <row r="28738" spans="1:2" ht="12.75" customHeight="1" x14ac:dyDescent="0.25">
      <c r="A28738" s="318">
        <v>394299113463</v>
      </c>
      <c r="B28738" s="318" t="s">
        <v>236</v>
      </c>
    </row>
    <row r="28739" spans="1:2" ht="12.75" customHeight="1" x14ac:dyDescent="0.25">
      <c r="A28739" s="318">
        <v>394299113464</v>
      </c>
      <c r="B28739" s="318" t="s">
        <v>235</v>
      </c>
    </row>
    <row r="28740" spans="1:2" ht="12.75" customHeight="1" x14ac:dyDescent="0.25">
      <c r="A28740" s="318">
        <v>394299113465</v>
      </c>
      <c r="B28740" s="318" t="s">
        <v>236</v>
      </c>
    </row>
    <row r="28741" spans="1:2" ht="12.75" customHeight="1" x14ac:dyDescent="0.25">
      <c r="A28741" s="318">
        <v>394299113466</v>
      </c>
      <c r="B28741" s="318" t="s">
        <v>235</v>
      </c>
    </row>
    <row r="28742" spans="1:2" ht="12.75" customHeight="1" x14ac:dyDescent="0.25">
      <c r="A28742" s="318">
        <v>394299113467</v>
      </c>
      <c r="B28742" s="318" t="s">
        <v>236</v>
      </c>
    </row>
    <row r="28743" spans="1:2" ht="12.75" customHeight="1" x14ac:dyDescent="0.25">
      <c r="A28743" s="318">
        <v>394299113468</v>
      </c>
      <c r="B28743" s="318" t="s">
        <v>235</v>
      </c>
    </row>
    <row r="28744" spans="1:2" ht="12.75" customHeight="1" x14ac:dyDescent="0.25">
      <c r="A28744" s="318">
        <v>394299113469</v>
      </c>
      <c r="B28744" s="318" t="s">
        <v>236</v>
      </c>
    </row>
    <row r="28745" spans="1:2" ht="12.75" customHeight="1" x14ac:dyDescent="0.25">
      <c r="A28745" s="318">
        <v>394299113470</v>
      </c>
      <c r="B28745" s="318" t="s">
        <v>235</v>
      </c>
    </row>
    <row r="28746" spans="1:2" ht="12.75" customHeight="1" x14ac:dyDescent="0.25">
      <c r="A28746" s="318">
        <v>394299594427</v>
      </c>
      <c r="B28746" s="318" t="s">
        <v>236</v>
      </c>
    </row>
    <row r="28747" spans="1:2" ht="12.75" customHeight="1" x14ac:dyDescent="0.25">
      <c r="A28747" s="318">
        <v>394299594428</v>
      </c>
      <c r="B28747" s="318" t="s">
        <v>235</v>
      </c>
    </row>
    <row r="28748" spans="1:2" ht="12.75" customHeight="1" x14ac:dyDescent="0.25">
      <c r="A28748" s="318">
        <v>394299594429</v>
      </c>
      <c r="B28748" s="318" t="s">
        <v>236</v>
      </c>
    </row>
    <row r="28749" spans="1:2" ht="12.75" customHeight="1" x14ac:dyDescent="0.25">
      <c r="A28749" s="318">
        <v>394299594430</v>
      </c>
      <c r="B28749" s="318" t="s">
        <v>235</v>
      </c>
    </row>
    <row r="28750" spans="1:2" ht="12.75" customHeight="1" x14ac:dyDescent="0.25">
      <c r="A28750" s="318">
        <v>394299594431</v>
      </c>
      <c r="B28750" s="318" t="s">
        <v>236</v>
      </c>
    </row>
    <row r="28751" spans="1:2" ht="12.75" customHeight="1" x14ac:dyDescent="0.25">
      <c r="A28751" s="318">
        <v>394299594432</v>
      </c>
      <c r="B28751" s="318" t="s">
        <v>235</v>
      </c>
    </row>
    <row r="28752" spans="1:2" ht="12.75" customHeight="1" x14ac:dyDescent="0.25">
      <c r="A28752" s="318">
        <v>394299594433</v>
      </c>
      <c r="B28752" s="318" t="s">
        <v>236</v>
      </c>
    </row>
    <row r="28753" spans="1:2" ht="12.75" customHeight="1" x14ac:dyDescent="0.25">
      <c r="A28753" s="318">
        <v>394299594434</v>
      </c>
      <c r="B28753" s="318" t="s">
        <v>235</v>
      </c>
    </row>
    <row r="28754" spans="1:2" ht="12.75" customHeight="1" x14ac:dyDescent="0.25">
      <c r="A28754" s="318">
        <v>394299594436</v>
      </c>
      <c r="B28754" s="318" t="s">
        <v>236</v>
      </c>
    </row>
    <row r="28755" spans="1:2" ht="12.75" customHeight="1" x14ac:dyDescent="0.25">
      <c r="A28755" s="318">
        <v>394299594437</v>
      </c>
      <c r="B28755" s="318" t="s">
        <v>235</v>
      </c>
    </row>
    <row r="28756" spans="1:2" ht="12.75" customHeight="1" x14ac:dyDescent="0.25">
      <c r="A28756" s="318">
        <v>394299594438</v>
      </c>
      <c r="B28756" s="318" t="s">
        <v>236</v>
      </c>
    </row>
    <row r="28757" spans="1:2" ht="12.75" customHeight="1" x14ac:dyDescent="0.25">
      <c r="A28757" s="318">
        <v>394299594439</v>
      </c>
      <c r="B28757" s="318" t="s">
        <v>235</v>
      </c>
    </row>
    <row r="28758" spans="1:2" ht="12.75" customHeight="1" x14ac:dyDescent="0.25">
      <c r="A28758" s="318">
        <v>394299594440</v>
      </c>
      <c r="B28758" s="318" t="s">
        <v>236</v>
      </c>
    </row>
    <row r="28759" spans="1:2" ht="12.75" customHeight="1" x14ac:dyDescent="0.25">
      <c r="A28759" s="318">
        <v>394299594441</v>
      </c>
      <c r="B28759" s="318" t="s">
        <v>235</v>
      </c>
    </row>
    <row r="28760" spans="1:2" ht="12.75" customHeight="1" x14ac:dyDescent="0.25">
      <c r="A28760" s="318">
        <v>394299594442</v>
      </c>
      <c r="B28760" s="318" t="s">
        <v>236</v>
      </c>
    </row>
    <row r="28761" spans="1:2" ht="12.75" customHeight="1" x14ac:dyDescent="0.25">
      <c r="A28761" s="318">
        <v>394299594443</v>
      </c>
      <c r="B28761" s="318" t="s">
        <v>235</v>
      </c>
    </row>
    <row r="28762" spans="1:2" ht="12.75" customHeight="1" x14ac:dyDescent="0.25">
      <c r="A28762" s="318">
        <v>394300954808</v>
      </c>
      <c r="B28762" s="318" t="s">
        <v>236</v>
      </c>
    </row>
    <row r="28763" spans="1:2" ht="12.75" customHeight="1" x14ac:dyDescent="0.25">
      <c r="A28763" s="318">
        <v>394300954809</v>
      </c>
      <c r="B28763" s="318" t="s">
        <v>235</v>
      </c>
    </row>
    <row r="28764" spans="1:2" ht="12.75" customHeight="1" x14ac:dyDescent="0.25">
      <c r="A28764" s="318">
        <v>394300954810</v>
      </c>
      <c r="B28764" s="318" t="s">
        <v>236</v>
      </c>
    </row>
    <row r="28765" spans="1:2" ht="12.75" customHeight="1" x14ac:dyDescent="0.25">
      <c r="A28765" s="318">
        <v>394300954811</v>
      </c>
      <c r="B28765" s="318" t="s">
        <v>235</v>
      </c>
    </row>
    <row r="28766" spans="1:2" ht="12.75" customHeight="1" x14ac:dyDescent="0.25">
      <c r="A28766" s="318">
        <v>394300954812</v>
      </c>
      <c r="B28766" s="318" t="s">
        <v>236</v>
      </c>
    </row>
    <row r="28767" spans="1:2" ht="12.75" customHeight="1" x14ac:dyDescent="0.25">
      <c r="A28767" s="318">
        <v>394300954813</v>
      </c>
      <c r="B28767" s="318" t="s">
        <v>235</v>
      </c>
    </row>
    <row r="28768" spans="1:2" ht="12.75" customHeight="1" x14ac:dyDescent="0.25">
      <c r="A28768" s="318">
        <v>394300954814</v>
      </c>
      <c r="B28768" s="318" t="s">
        <v>23</v>
      </c>
    </row>
    <row r="28769" spans="1:2" ht="12.75" customHeight="1" x14ac:dyDescent="0.25">
      <c r="A28769" s="318">
        <v>394300954815</v>
      </c>
      <c r="B28769" s="318" t="s">
        <v>235</v>
      </c>
    </row>
    <row r="28770" spans="1:2" ht="12.75" customHeight="1" x14ac:dyDescent="0.25">
      <c r="A28770" s="318">
        <v>394300954817</v>
      </c>
      <c r="B28770" s="318" t="s">
        <v>237</v>
      </c>
    </row>
    <row r="28771" spans="1:2" ht="12.75" customHeight="1" x14ac:dyDescent="0.25">
      <c r="A28771" s="318">
        <v>394300954818</v>
      </c>
      <c r="B28771" s="318" t="s">
        <v>237</v>
      </c>
    </row>
    <row r="28772" spans="1:2" ht="12.75" customHeight="1" x14ac:dyDescent="0.25">
      <c r="A28772" s="318">
        <v>394300954819</v>
      </c>
      <c r="B28772" s="318" t="s">
        <v>237</v>
      </c>
    </row>
    <row r="28773" spans="1:2" ht="12.75" customHeight="1" x14ac:dyDescent="0.25">
      <c r="A28773" s="318">
        <v>394300954820</v>
      </c>
      <c r="B28773" s="318" t="s">
        <v>237</v>
      </c>
    </row>
    <row r="28774" spans="1:2" ht="12.75" customHeight="1" x14ac:dyDescent="0.25">
      <c r="A28774" s="318">
        <v>394300954821</v>
      </c>
      <c r="B28774" s="318" t="s">
        <v>237</v>
      </c>
    </row>
    <row r="28775" spans="1:2" ht="12.75" customHeight="1" x14ac:dyDescent="0.25">
      <c r="A28775" s="318">
        <v>394300954822</v>
      </c>
      <c r="B28775" s="318" t="s">
        <v>237</v>
      </c>
    </row>
    <row r="28776" spans="1:2" ht="12.75" customHeight="1" x14ac:dyDescent="0.25">
      <c r="A28776" s="318">
        <v>394300954823</v>
      </c>
      <c r="B28776" s="318" t="s">
        <v>237</v>
      </c>
    </row>
    <row r="28777" spans="1:2" ht="12.75" customHeight="1" x14ac:dyDescent="0.25">
      <c r="A28777" s="318">
        <v>394300954824</v>
      </c>
      <c r="B28777" s="318" t="s">
        <v>237</v>
      </c>
    </row>
    <row r="28778" spans="1:2" ht="12.75" customHeight="1" x14ac:dyDescent="0.25">
      <c r="A28778" s="318">
        <v>394301435781</v>
      </c>
      <c r="B28778" s="318" t="s">
        <v>236</v>
      </c>
    </row>
    <row r="28779" spans="1:2" ht="12.75" customHeight="1" x14ac:dyDescent="0.25">
      <c r="A28779" s="318">
        <v>394301435782</v>
      </c>
      <c r="B28779" s="318" t="s">
        <v>235</v>
      </c>
    </row>
    <row r="28780" spans="1:2" ht="12.75" customHeight="1" x14ac:dyDescent="0.25">
      <c r="A28780" s="318">
        <v>394301435783</v>
      </c>
      <c r="B28780" s="318" t="s">
        <v>236</v>
      </c>
    </row>
    <row r="28781" spans="1:2" ht="12.75" customHeight="1" x14ac:dyDescent="0.25">
      <c r="A28781" s="318">
        <v>394301435784</v>
      </c>
      <c r="B28781" s="318" t="s">
        <v>235</v>
      </c>
    </row>
    <row r="28782" spans="1:2" ht="12.75" customHeight="1" x14ac:dyDescent="0.25">
      <c r="A28782" s="318">
        <v>394301435785</v>
      </c>
      <c r="B28782" s="318" t="s">
        <v>236</v>
      </c>
    </row>
    <row r="28783" spans="1:2" ht="12.75" customHeight="1" x14ac:dyDescent="0.25">
      <c r="A28783" s="318">
        <v>394301435786</v>
      </c>
      <c r="B28783" s="318" t="s">
        <v>235</v>
      </c>
    </row>
    <row r="28784" spans="1:2" ht="12.75" customHeight="1" x14ac:dyDescent="0.25">
      <c r="A28784" s="318">
        <v>394301435787</v>
      </c>
      <c r="B28784" s="318" t="s">
        <v>23</v>
      </c>
    </row>
    <row r="28785" spans="1:2" ht="12.75" customHeight="1" x14ac:dyDescent="0.25">
      <c r="A28785" s="318">
        <v>394301435788</v>
      </c>
      <c r="B28785" s="318" t="s">
        <v>235</v>
      </c>
    </row>
    <row r="28786" spans="1:2" ht="12.75" customHeight="1" x14ac:dyDescent="0.25">
      <c r="A28786" s="318">
        <v>394301435790</v>
      </c>
      <c r="B28786" s="318" t="s">
        <v>237</v>
      </c>
    </row>
    <row r="28787" spans="1:2" ht="12.75" customHeight="1" x14ac:dyDescent="0.25">
      <c r="A28787" s="318">
        <v>394301435791</v>
      </c>
      <c r="B28787" s="318" t="s">
        <v>237</v>
      </c>
    </row>
    <row r="28788" spans="1:2" ht="12.75" customHeight="1" x14ac:dyDescent="0.25">
      <c r="A28788" s="318">
        <v>394301435792</v>
      </c>
      <c r="B28788" s="318" t="s">
        <v>237</v>
      </c>
    </row>
    <row r="28789" spans="1:2" ht="12.75" customHeight="1" x14ac:dyDescent="0.25">
      <c r="A28789" s="318">
        <v>394301435793</v>
      </c>
      <c r="B28789" s="318" t="s">
        <v>237</v>
      </c>
    </row>
    <row r="28790" spans="1:2" ht="12.75" customHeight="1" x14ac:dyDescent="0.25">
      <c r="A28790" s="318">
        <v>394301435794</v>
      </c>
      <c r="B28790" s="318" t="s">
        <v>237</v>
      </c>
    </row>
    <row r="28791" spans="1:2" ht="12.75" customHeight="1" x14ac:dyDescent="0.25">
      <c r="A28791" s="318">
        <v>394301435795</v>
      </c>
      <c r="B28791" s="318" t="s">
        <v>237</v>
      </c>
    </row>
    <row r="28792" spans="1:2" ht="12.75" customHeight="1" x14ac:dyDescent="0.25">
      <c r="A28792" s="318">
        <v>394301435796</v>
      </c>
      <c r="B28792" s="318" t="s">
        <v>237</v>
      </c>
    </row>
    <row r="28793" spans="1:2" ht="12.75" customHeight="1" x14ac:dyDescent="0.25">
      <c r="A28793" s="318">
        <v>394301435797</v>
      </c>
      <c r="B28793" s="318" t="s">
        <v>237</v>
      </c>
    </row>
    <row r="28794" spans="1:2" ht="12.75" customHeight="1" x14ac:dyDescent="0.25">
      <c r="A28794" s="318">
        <v>394301916754</v>
      </c>
      <c r="B28794" s="318" t="s">
        <v>236</v>
      </c>
    </row>
    <row r="28795" spans="1:2" ht="12.75" customHeight="1" x14ac:dyDescent="0.25">
      <c r="A28795" s="318">
        <v>394301916755</v>
      </c>
      <c r="B28795" s="318" t="s">
        <v>235</v>
      </c>
    </row>
    <row r="28796" spans="1:2" ht="12.75" customHeight="1" x14ac:dyDescent="0.25">
      <c r="A28796" s="318">
        <v>394301916756</v>
      </c>
      <c r="B28796" s="318" t="s">
        <v>236</v>
      </c>
    </row>
    <row r="28797" spans="1:2" ht="12.75" customHeight="1" x14ac:dyDescent="0.25">
      <c r="A28797" s="318">
        <v>394301916757</v>
      </c>
      <c r="B28797" s="318" t="s">
        <v>235</v>
      </c>
    </row>
    <row r="28798" spans="1:2" ht="12.75" customHeight="1" x14ac:dyDescent="0.25">
      <c r="A28798" s="318">
        <v>394301916758</v>
      </c>
      <c r="B28798" s="318" t="s">
        <v>236</v>
      </c>
    </row>
    <row r="28799" spans="1:2" ht="12.75" customHeight="1" x14ac:dyDescent="0.25">
      <c r="A28799" s="318">
        <v>394301916759</v>
      </c>
      <c r="B28799" s="318" t="s">
        <v>235</v>
      </c>
    </row>
    <row r="28800" spans="1:2" ht="12.75" customHeight="1" x14ac:dyDescent="0.25">
      <c r="A28800" s="318">
        <v>394301916760</v>
      </c>
      <c r="B28800" s="318" t="s">
        <v>236</v>
      </c>
    </row>
    <row r="28801" spans="1:2" ht="12.75" customHeight="1" x14ac:dyDescent="0.25">
      <c r="A28801" s="318">
        <v>394301916761</v>
      </c>
      <c r="B28801" s="318" t="s">
        <v>235</v>
      </c>
    </row>
    <row r="28802" spans="1:2" ht="12.75" customHeight="1" x14ac:dyDescent="0.25">
      <c r="A28802" s="318">
        <v>394301916763</v>
      </c>
      <c r="B28802" s="318" t="s">
        <v>236</v>
      </c>
    </row>
    <row r="28803" spans="1:2" ht="12.75" customHeight="1" x14ac:dyDescent="0.25">
      <c r="A28803" s="318">
        <v>394301916764</v>
      </c>
      <c r="B28803" s="318" t="s">
        <v>235</v>
      </c>
    </row>
    <row r="28804" spans="1:2" ht="12.75" customHeight="1" x14ac:dyDescent="0.25">
      <c r="A28804" s="318">
        <v>394301916765</v>
      </c>
      <c r="B28804" s="318" t="s">
        <v>236</v>
      </c>
    </row>
    <row r="28805" spans="1:2" ht="12.75" customHeight="1" x14ac:dyDescent="0.25">
      <c r="A28805" s="318">
        <v>394301916766</v>
      </c>
      <c r="B28805" s="318" t="s">
        <v>235</v>
      </c>
    </row>
    <row r="28806" spans="1:2" ht="12.75" customHeight="1" x14ac:dyDescent="0.25">
      <c r="A28806" s="318">
        <v>394301916767</v>
      </c>
      <c r="B28806" s="318" t="s">
        <v>236</v>
      </c>
    </row>
    <row r="28807" spans="1:2" ht="12.75" customHeight="1" x14ac:dyDescent="0.25">
      <c r="A28807" s="318">
        <v>394301916768</v>
      </c>
      <c r="B28807" s="318" t="s">
        <v>235</v>
      </c>
    </row>
    <row r="28808" spans="1:2" ht="12.75" customHeight="1" x14ac:dyDescent="0.25">
      <c r="A28808" s="318">
        <v>394301916769</v>
      </c>
      <c r="B28808" s="318" t="s">
        <v>236</v>
      </c>
    </row>
    <row r="28809" spans="1:2" ht="12.75" customHeight="1" x14ac:dyDescent="0.25">
      <c r="A28809" s="318">
        <v>394301916770</v>
      </c>
      <c r="B28809" s="318" t="s">
        <v>235</v>
      </c>
    </row>
    <row r="28810" spans="1:2" ht="12.75" customHeight="1" x14ac:dyDescent="0.25">
      <c r="A28810" s="318">
        <v>394302596945</v>
      </c>
      <c r="B28810" s="318" t="s">
        <v>236</v>
      </c>
    </row>
    <row r="28811" spans="1:2" ht="12.75" customHeight="1" x14ac:dyDescent="0.25">
      <c r="A28811" s="318">
        <v>394302596946</v>
      </c>
      <c r="B28811" s="318" t="s">
        <v>235</v>
      </c>
    </row>
    <row r="28812" spans="1:2" ht="12.75" customHeight="1" x14ac:dyDescent="0.25">
      <c r="A28812" s="318">
        <v>394302596947</v>
      </c>
      <c r="B28812" s="318" t="s">
        <v>236</v>
      </c>
    </row>
    <row r="28813" spans="1:2" ht="12.75" customHeight="1" x14ac:dyDescent="0.25">
      <c r="A28813" s="318">
        <v>394302596948</v>
      </c>
      <c r="B28813" s="318" t="s">
        <v>235</v>
      </c>
    </row>
    <row r="28814" spans="1:2" ht="12.75" customHeight="1" x14ac:dyDescent="0.25">
      <c r="A28814" s="318">
        <v>394302596949</v>
      </c>
      <c r="B28814" s="318" t="s">
        <v>236</v>
      </c>
    </row>
    <row r="28815" spans="1:2" ht="12.75" customHeight="1" x14ac:dyDescent="0.25">
      <c r="A28815" s="318">
        <v>394302596950</v>
      </c>
      <c r="B28815" s="318" t="s">
        <v>235</v>
      </c>
    </row>
    <row r="28816" spans="1:2" ht="12.75" customHeight="1" x14ac:dyDescent="0.25">
      <c r="A28816" s="318">
        <v>394302596951</v>
      </c>
      <c r="B28816" s="318" t="s">
        <v>23</v>
      </c>
    </row>
    <row r="28817" spans="1:2" ht="12.75" customHeight="1" x14ac:dyDescent="0.25">
      <c r="A28817" s="318">
        <v>394302596952</v>
      </c>
      <c r="B28817" s="318" t="s">
        <v>235</v>
      </c>
    </row>
    <row r="28818" spans="1:2" ht="12.75" customHeight="1" x14ac:dyDescent="0.25">
      <c r="A28818" s="318">
        <v>394302596954</v>
      </c>
      <c r="B28818" s="318" t="s">
        <v>237</v>
      </c>
    </row>
    <row r="28819" spans="1:2" ht="12.75" customHeight="1" x14ac:dyDescent="0.25">
      <c r="A28819" s="318">
        <v>394302596955</v>
      </c>
      <c r="B28819" s="318" t="s">
        <v>237</v>
      </c>
    </row>
    <row r="28820" spans="1:2" ht="12.75" customHeight="1" x14ac:dyDescent="0.25">
      <c r="A28820" s="318">
        <v>394302596956</v>
      </c>
      <c r="B28820" s="318" t="s">
        <v>237</v>
      </c>
    </row>
    <row r="28821" spans="1:2" ht="12.75" customHeight="1" x14ac:dyDescent="0.25">
      <c r="A28821" s="318">
        <v>394302596957</v>
      </c>
      <c r="B28821" s="318" t="s">
        <v>237</v>
      </c>
    </row>
    <row r="28822" spans="1:2" ht="12.75" customHeight="1" x14ac:dyDescent="0.25">
      <c r="A28822" s="318">
        <v>394302596958</v>
      </c>
      <c r="B28822" s="318" t="s">
        <v>237</v>
      </c>
    </row>
    <row r="28823" spans="1:2" ht="12.75" customHeight="1" x14ac:dyDescent="0.25">
      <c r="A28823" s="318">
        <v>394302596959</v>
      </c>
      <c r="B28823" s="318" t="s">
        <v>237</v>
      </c>
    </row>
    <row r="28824" spans="1:2" ht="12.75" customHeight="1" x14ac:dyDescent="0.25">
      <c r="A28824" s="318">
        <v>394302596960</v>
      </c>
      <c r="B28824" s="318" t="s">
        <v>237</v>
      </c>
    </row>
    <row r="28825" spans="1:2" ht="12.75" customHeight="1" x14ac:dyDescent="0.25">
      <c r="A28825" s="318">
        <v>394302596961</v>
      </c>
      <c r="B28825" s="318" t="s">
        <v>237</v>
      </c>
    </row>
    <row r="28826" spans="1:2" ht="12.75" customHeight="1" x14ac:dyDescent="0.25">
      <c r="A28826" s="318">
        <v>394303077918</v>
      </c>
      <c r="B28826" s="318" t="s">
        <v>236</v>
      </c>
    </row>
    <row r="28827" spans="1:2" ht="12.75" customHeight="1" x14ac:dyDescent="0.25">
      <c r="A28827" s="318">
        <v>394303077919</v>
      </c>
      <c r="B28827" s="318" t="s">
        <v>235</v>
      </c>
    </row>
    <row r="28828" spans="1:2" ht="12.75" customHeight="1" x14ac:dyDescent="0.25">
      <c r="A28828" s="318">
        <v>394303077920</v>
      </c>
      <c r="B28828" s="318" t="s">
        <v>236</v>
      </c>
    </row>
    <row r="28829" spans="1:2" ht="12.75" customHeight="1" x14ac:dyDescent="0.25">
      <c r="A28829" s="318">
        <v>394303077921</v>
      </c>
      <c r="B28829" s="318" t="s">
        <v>235</v>
      </c>
    </row>
    <row r="28830" spans="1:2" ht="12.75" customHeight="1" x14ac:dyDescent="0.25">
      <c r="A28830" s="318">
        <v>394303077922</v>
      </c>
      <c r="B28830" s="318" t="s">
        <v>236</v>
      </c>
    </row>
    <row r="28831" spans="1:2" ht="12.75" customHeight="1" x14ac:dyDescent="0.25">
      <c r="A28831" s="318">
        <v>394303077923</v>
      </c>
      <c r="B28831" s="318" t="s">
        <v>235</v>
      </c>
    </row>
    <row r="28832" spans="1:2" ht="12.75" customHeight="1" x14ac:dyDescent="0.25">
      <c r="A28832" s="318">
        <v>394303077924</v>
      </c>
      <c r="B28832" s="318" t="s">
        <v>23</v>
      </c>
    </row>
    <row r="28833" spans="1:2" ht="12.75" customHeight="1" x14ac:dyDescent="0.25">
      <c r="A28833" s="318">
        <v>394303077925</v>
      </c>
      <c r="B28833" s="318" t="s">
        <v>235</v>
      </c>
    </row>
    <row r="28834" spans="1:2" ht="12.75" customHeight="1" x14ac:dyDescent="0.25">
      <c r="A28834" s="318">
        <v>394303077927</v>
      </c>
      <c r="B28834" s="318" t="s">
        <v>237</v>
      </c>
    </row>
    <row r="28835" spans="1:2" ht="12.75" customHeight="1" x14ac:dyDescent="0.25">
      <c r="A28835" s="318">
        <v>394303077928</v>
      </c>
      <c r="B28835" s="318" t="s">
        <v>237</v>
      </c>
    </row>
    <row r="28836" spans="1:2" ht="12.75" customHeight="1" x14ac:dyDescent="0.25">
      <c r="A28836" s="318">
        <v>394303077929</v>
      </c>
      <c r="B28836" s="318" t="s">
        <v>237</v>
      </c>
    </row>
    <row r="28837" spans="1:2" ht="12.75" customHeight="1" x14ac:dyDescent="0.25">
      <c r="A28837" s="318">
        <v>394303077930</v>
      </c>
      <c r="B28837" s="318" t="s">
        <v>237</v>
      </c>
    </row>
    <row r="28838" spans="1:2" ht="12.75" customHeight="1" x14ac:dyDescent="0.25">
      <c r="A28838" s="318">
        <v>394303077931</v>
      </c>
      <c r="B28838" s="318" t="s">
        <v>237</v>
      </c>
    </row>
    <row r="28839" spans="1:2" ht="12.75" customHeight="1" x14ac:dyDescent="0.25">
      <c r="A28839" s="318">
        <v>394303077932</v>
      </c>
      <c r="B28839" s="318" t="s">
        <v>237</v>
      </c>
    </row>
    <row r="28840" spans="1:2" ht="12.75" customHeight="1" x14ac:dyDescent="0.25">
      <c r="A28840" s="318">
        <v>394303077933</v>
      </c>
      <c r="B28840" s="318" t="s">
        <v>237</v>
      </c>
    </row>
    <row r="28841" spans="1:2" ht="12.75" customHeight="1" x14ac:dyDescent="0.25">
      <c r="A28841" s="318">
        <v>394303077934</v>
      </c>
      <c r="B28841" s="318" t="s">
        <v>237</v>
      </c>
    </row>
    <row r="28842" spans="1:2" ht="12.75" customHeight="1" x14ac:dyDescent="0.25">
      <c r="A28842" s="318">
        <v>394303558891</v>
      </c>
      <c r="B28842" s="318" t="s">
        <v>236</v>
      </c>
    </row>
    <row r="28843" spans="1:2" ht="12.75" customHeight="1" x14ac:dyDescent="0.25">
      <c r="A28843" s="318">
        <v>394303558892</v>
      </c>
      <c r="B28843" s="318" t="s">
        <v>235</v>
      </c>
    </row>
    <row r="28844" spans="1:2" ht="12.75" customHeight="1" x14ac:dyDescent="0.25">
      <c r="A28844" s="318">
        <v>394303558893</v>
      </c>
      <c r="B28844" s="318" t="s">
        <v>236</v>
      </c>
    </row>
    <row r="28845" spans="1:2" ht="12.75" customHeight="1" x14ac:dyDescent="0.25">
      <c r="A28845" s="318">
        <v>394303558894</v>
      </c>
      <c r="B28845" s="318" t="s">
        <v>235</v>
      </c>
    </row>
    <row r="28846" spans="1:2" ht="12.75" customHeight="1" x14ac:dyDescent="0.25">
      <c r="A28846" s="318">
        <v>394303558895</v>
      </c>
      <c r="B28846" s="318" t="s">
        <v>236</v>
      </c>
    </row>
    <row r="28847" spans="1:2" ht="12.75" customHeight="1" x14ac:dyDescent="0.25">
      <c r="A28847" s="318">
        <v>394303558896</v>
      </c>
      <c r="B28847" s="318" t="s">
        <v>235</v>
      </c>
    </row>
    <row r="28848" spans="1:2" ht="12.75" customHeight="1" x14ac:dyDescent="0.25">
      <c r="A28848" s="318">
        <v>394303558897</v>
      </c>
      <c r="B28848" s="318" t="s">
        <v>236</v>
      </c>
    </row>
    <row r="28849" spans="1:2" ht="12.75" customHeight="1" x14ac:dyDescent="0.25">
      <c r="A28849" s="318">
        <v>394303558898</v>
      </c>
      <c r="B28849" s="318" t="s">
        <v>235</v>
      </c>
    </row>
    <row r="28850" spans="1:2" ht="12.75" customHeight="1" x14ac:dyDescent="0.25">
      <c r="A28850" s="318">
        <v>394303558900</v>
      </c>
      <c r="B28850" s="318" t="s">
        <v>236</v>
      </c>
    </row>
    <row r="28851" spans="1:2" ht="12.75" customHeight="1" x14ac:dyDescent="0.25">
      <c r="A28851" s="318">
        <v>394303558901</v>
      </c>
      <c r="B28851" s="318" t="s">
        <v>235</v>
      </c>
    </row>
    <row r="28852" spans="1:2" ht="12.75" customHeight="1" x14ac:dyDescent="0.25">
      <c r="A28852" s="318">
        <v>394303558902</v>
      </c>
      <c r="B28852" s="318" t="s">
        <v>236</v>
      </c>
    </row>
    <row r="28853" spans="1:2" ht="12.75" customHeight="1" x14ac:dyDescent="0.25">
      <c r="A28853" s="318">
        <v>394303558903</v>
      </c>
      <c r="B28853" s="318" t="s">
        <v>235</v>
      </c>
    </row>
    <row r="28854" spans="1:2" ht="12.75" customHeight="1" x14ac:dyDescent="0.25">
      <c r="A28854" s="318">
        <v>394303558904</v>
      </c>
      <c r="B28854" s="318" t="s">
        <v>236</v>
      </c>
    </row>
    <row r="28855" spans="1:2" ht="12.75" customHeight="1" x14ac:dyDescent="0.25">
      <c r="A28855" s="318">
        <v>394303558905</v>
      </c>
      <c r="B28855" s="318" t="s">
        <v>235</v>
      </c>
    </row>
    <row r="28856" spans="1:2" ht="12.75" customHeight="1" x14ac:dyDescent="0.25">
      <c r="A28856" s="318">
        <v>394303558906</v>
      </c>
      <c r="B28856" s="318" t="s">
        <v>236</v>
      </c>
    </row>
    <row r="28857" spans="1:2" ht="12.75" customHeight="1" x14ac:dyDescent="0.25">
      <c r="A28857" s="318">
        <v>394303558907</v>
      </c>
      <c r="B28857" s="318" t="s">
        <v>235</v>
      </c>
    </row>
    <row r="28858" spans="1:2" ht="12.75" customHeight="1" x14ac:dyDescent="0.25">
      <c r="A28858" s="318">
        <v>394304239082</v>
      </c>
      <c r="B28858" s="318" t="s">
        <v>236</v>
      </c>
    </row>
    <row r="28859" spans="1:2" ht="12.75" customHeight="1" x14ac:dyDescent="0.25">
      <c r="A28859" s="318">
        <v>394304239083</v>
      </c>
      <c r="B28859" s="318" t="s">
        <v>235</v>
      </c>
    </row>
    <row r="28860" spans="1:2" ht="12.75" customHeight="1" x14ac:dyDescent="0.25">
      <c r="A28860" s="318">
        <v>394304239084</v>
      </c>
      <c r="B28860" s="318" t="s">
        <v>236</v>
      </c>
    </row>
    <row r="28861" spans="1:2" ht="12.75" customHeight="1" x14ac:dyDescent="0.25">
      <c r="A28861" s="318">
        <v>394304239085</v>
      </c>
      <c r="B28861" s="318" t="s">
        <v>235</v>
      </c>
    </row>
    <row r="28862" spans="1:2" ht="12.75" customHeight="1" x14ac:dyDescent="0.25">
      <c r="A28862" s="318">
        <v>394304239086</v>
      </c>
      <c r="B28862" s="318" t="s">
        <v>236</v>
      </c>
    </row>
    <row r="28863" spans="1:2" ht="12.75" customHeight="1" x14ac:dyDescent="0.25">
      <c r="A28863" s="318">
        <v>394304239087</v>
      </c>
      <c r="B28863" s="318" t="s">
        <v>235</v>
      </c>
    </row>
    <row r="28864" spans="1:2" ht="12.75" customHeight="1" x14ac:dyDescent="0.25">
      <c r="A28864" s="318">
        <v>394304239088</v>
      </c>
      <c r="B28864" s="318" t="s">
        <v>236</v>
      </c>
    </row>
    <row r="28865" spans="1:2" ht="12.75" customHeight="1" x14ac:dyDescent="0.25">
      <c r="A28865" s="318">
        <v>394304239089</v>
      </c>
      <c r="B28865" s="318" t="s">
        <v>235</v>
      </c>
    </row>
    <row r="28866" spans="1:2" ht="12.75" customHeight="1" x14ac:dyDescent="0.25">
      <c r="A28866" s="318">
        <v>394304239091</v>
      </c>
      <c r="B28866" s="318" t="s">
        <v>236</v>
      </c>
    </row>
    <row r="28867" spans="1:2" ht="12.75" customHeight="1" x14ac:dyDescent="0.25">
      <c r="A28867" s="318">
        <v>394304239092</v>
      </c>
      <c r="B28867" s="318" t="s">
        <v>235</v>
      </c>
    </row>
    <row r="28868" spans="1:2" ht="12.75" customHeight="1" x14ac:dyDescent="0.25">
      <c r="A28868" s="318">
        <v>394304239093</v>
      </c>
      <c r="B28868" s="318" t="s">
        <v>236</v>
      </c>
    </row>
    <row r="28869" spans="1:2" ht="12.75" customHeight="1" x14ac:dyDescent="0.25">
      <c r="A28869" s="318">
        <v>394304239094</v>
      </c>
      <c r="B28869" s="318" t="s">
        <v>235</v>
      </c>
    </row>
    <row r="28870" spans="1:2" ht="12.75" customHeight="1" x14ac:dyDescent="0.25">
      <c r="A28870" s="318">
        <v>394304239095</v>
      </c>
      <c r="B28870" s="318" t="s">
        <v>236</v>
      </c>
    </row>
    <row r="28871" spans="1:2" ht="12.75" customHeight="1" x14ac:dyDescent="0.25">
      <c r="A28871" s="318">
        <v>394304239096</v>
      </c>
      <c r="B28871" s="318" t="s">
        <v>235</v>
      </c>
    </row>
    <row r="28872" spans="1:2" ht="12.75" customHeight="1" x14ac:dyDescent="0.25">
      <c r="A28872" s="318">
        <v>394304239097</v>
      </c>
      <c r="B28872" s="318" t="s">
        <v>236</v>
      </c>
    </row>
    <row r="28873" spans="1:2" ht="12.75" customHeight="1" x14ac:dyDescent="0.25">
      <c r="A28873" s="318">
        <v>394304239098</v>
      </c>
      <c r="B28873" s="318" t="s">
        <v>235</v>
      </c>
    </row>
    <row r="28874" spans="1:2" ht="12.75" customHeight="1" x14ac:dyDescent="0.25">
      <c r="A28874" s="318">
        <v>394304720055</v>
      </c>
      <c r="B28874" s="318" t="s">
        <v>236</v>
      </c>
    </row>
    <row r="28875" spans="1:2" ht="12.75" customHeight="1" x14ac:dyDescent="0.25">
      <c r="A28875" s="318">
        <v>394304720056</v>
      </c>
      <c r="B28875" s="318" t="s">
        <v>235</v>
      </c>
    </row>
    <row r="28876" spans="1:2" ht="12.75" customHeight="1" x14ac:dyDescent="0.25">
      <c r="A28876" s="318">
        <v>394304720057</v>
      </c>
      <c r="B28876" s="318" t="s">
        <v>236</v>
      </c>
    </row>
    <row r="28877" spans="1:2" ht="12.75" customHeight="1" x14ac:dyDescent="0.25">
      <c r="A28877" s="318">
        <v>394304720058</v>
      </c>
      <c r="B28877" s="318" t="s">
        <v>235</v>
      </c>
    </row>
    <row r="28878" spans="1:2" ht="12.75" customHeight="1" x14ac:dyDescent="0.25">
      <c r="A28878" s="318">
        <v>394304720059</v>
      </c>
      <c r="B28878" s="318" t="s">
        <v>236</v>
      </c>
    </row>
    <row r="28879" spans="1:2" ht="12.75" customHeight="1" x14ac:dyDescent="0.25">
      <c r="A28879" s="318">
        <v>394304720060</v>
      </c>
      <c r="B28879" s="318" t="s">
        <v>235</v>
      </c>
    </row>
    <row r="28880" spans="1:2" ht="12.75" customHeight="1" x14ac:dyDescent="0.25">
      <c r="A28880" s="318">
        <v>394304720061</v>
      </c>
      <c r="B28880" s="318" t="s">
        <v>236</v>
      </c>
    </row>
    <row r="28881" spans="1:2" ht="12.75" customHeight="1" x14ac:dyDescent="0.25">
      <c r="A28881" s="318">
        <v>394304720062</v>
      </c>
      <c r="B28881" s="318" t="s">
        <v>235</v>
      </c>
    </row>
    <row r="28882" spans="1:2" ht="12.75" customHeight="1" x14ac:dyDescent="0.25">
      <c r="A28882" s="318">
        <v>394304720064</v>
      </c>
      <c r="B28882" s="318" t="s">
        <v>236</v>
      </c>
    </row>
    <row r="28883" spans="1:2" ht="12.75" customHeight="1" x14ac:dyDescent="0.25">
      <c r="A28883" s="318">
        <v>394304720065</v>
      </c>
      <c r="B28883" s="318" t="s">
        <v>235</v>
      </c>
    </row>
    <row r="28884" spans="1:2" ht="12.75" customHeight="1" x14ac:dyDescent="0.25">
      <c r="A28884" s="318">
        <v>394304720066</v>
      </c>
      <c r="B28884" s="318" t="s">
        <v>236</v>
      </c>
    </row>
    <row r="28885" spans="1:2" ht="12.75" customHeight="1" x14ac:dyDescent="0.25">
      <c r="A28885" s="318">
        <v>394304720067</v>
      </c>
      <c r="B28885" s="318" t="s">
        <v>235</v>
      </c>
    </row>
    <row r="28886" spans="1:2" ht="12.75" customHeight="1" x14ac:dyDescent="0.25">
      <c r="A28886" s="318">
        <v>394304720068</v>
      </c>
      <c r="B28886" s="318" t="s">
        <v>236</v>
      </c>
    </row>
    <row r="28887" spans="1:2" ht="12.75" customHeight="1" x14ac:dyDescent="0.25">
      <c r="A28887" s="318">
        <v>394304720069</v>
      </c>
      <c r="B28887" s="318" t="s">
        <v>235</v>
      </c>
    </row>
    <row r="28888" spans="1:2" ht="12.75" customHeight="1" x14ac:dyDescent="0.25">
      <c r="A28888" s="318">
        <v>394304720070</v>
      </c>
      <c r="B28888" s="318" t="s">
        <v>236</v>
      </c>
    </row>
    <row r="28889" spans="1:2" ht="12.75" customHeight="1" x14ac:dyDescent="0.25">
      <c r="A28889" s="318">
        <v>394304720071</v>
      </c>
      <c r="B28889" s="318" t="s">
        <v>235</v>
      </c>
    </row>
    <row r="28890" spans="1:2" ht="12.75" customHeight="1" x14ac:dyDescent="0.25">
      <c r="A28890" s="318">
        <v>394305201028</v>
      </c>
      <c r="B28890" s="318" t="s">
        <v>236</v>
      </c>
    </row>
    <row r="28891" spans="1:2" ht="12.75" customHeight="1" x14ac:dyDescent="0.25">
      <c r="A28891" s="318">
        <v>394305201029</v>
      </c>
      <c r="B28891" s="318" t="s">
        <v>235</v>
      </c>
    </row>
    <row r="28892" spans="1:2" ht="12.75" customHeight="1" x14ac:dyDescent="0.25">
      <c r="A28892" s="318">
        <v>394305201030</v>
      </c>
      <c r="B28892" s="318" t="s">
        <v>236</v>
      </c>
    </row>
    <row r="28893" spans="1:2" ht="12.75" customHeight="1" x14ac:dyDescent="0.25">
      <c r="A28893" s="318">
        <v>394305201031</v>
      </c>
      <c r="B28893" s="318" t="s">
        <v>235</v>
      </c>
    </row>
    <row r="28894" spans="1:2" ht="12.75" customHeight="1" x14ac:dyDescent="0.25">
      <c r="A28894" s="318">
        <v>394305201032</v>
      </c>
      <c r="B28894" s="318" t="s">
        <v>236</v>
      </c>
    </row>
    <row r="28895" spans="1:2" ht="12.75" customHeight="1" x14ac:dyDescent="0.25">
      <c r="A28895" s="318">
        <v>394305201033</v>
      </c>
      <c r="B28895" s="318" t="s">
        <v>235</v>
      </c>
    </row>
    <row r="28896" spans="1:2" ht="12.75" customHeight="1" x14ac:dyDescent="0.25">
      <c r="A28896" s="318">
        <v>394305201034</v>
      </c>
      <c r="B28896" s="318" t="s">
        <v>236</v>
      </c>
    </row>
    <row r="28897" spans="1:2" ht="12.75" customHeight="1" x14ac:dyDescent="0.25">
      <c r="A28897" s="318">
        <v>394305201035</v>
      </c>
      <c r="B28897" s="318" t="s">
        <v>235</v>
      </c>
    </row>
    <row r="28898" spans="1:2" ht="12.75" customHeight="1" x14ac:dyDescent="0.25">
      <c r="A28898" s="318">
        <v>394305201037</v>
      </c>
      <c r="B28898" s="318" t="s">
        <v>236</v>
      </c>
    </row>
    <row r="28899" spans="1:2" ht="12.75" customHeight="1" x14ac:dyDescent="0.25">
      <c r="A28899" s="318">
        <v>394305201038</v>
      </c>
      <c r="B28899" s="318" t="s">
        <v>235</v>
      </c>
    </row>
    <row r="28900" spans="1:2" ht="12.75" customHeight="1" x14ac:dyDescent="0.25">
      <c r="A28900" s="318">
        <v>394305201039</v>
      </c>
      <c r="B28900" s="318" t="s">
        <v>236</v>
      </c>
    </row>
    <row r="28901" spans="1:2" ht="12.75" customHeight="1" x14ac:dyDescent="0.25">
      <c r="A28901" s="318">
        <v>394305201040</v>
      </c>
      <c r="B28901" s="318" t="s">
        <v>235</v>
      </c>
    </row>
    <row r="28902" spans="1:2" ht="12.75" customHeight="1" x14ac:dyDescent="0.25">
      <c r="A28902" s="318">
        <v>394305201041</v>
      </c>
      <c r="B28902" s="318" t="s">
        <v>236</v>
      </c>
    </row>
    <row r="28903" spans="1:2" ht="12.75" customHeight="1" x14ac:dyDescent="0.25">
      <c r="A28903" s="318">
        <v>394305201042</v>
      </c>
      <c r="B28903" s="318" t="s">
        <v>235</v>
      </c>
    </row>
    <row r="28904" spans="1:2" ht="12.75" customHeight="1" x14ac:dyDescent="0.25">
      <c r="A28904" s="318">
        <v>394305201043</v>
      </c>
      <c r="B28904" s="318" t="s">
        <v>236</v>
      </c>
    </row>
    <row r="28905" spans="1:2" ht="12.75" customHeight="1" x14ac:dyDescent="0.25">
      <c r="A28905" s="318">
        <v>394305201044</v>
      </c>
      <c r="B28905" s="318" t="s">
        <v>235</v>
      </c>
    </row>
    <row r="28906" spans="1:2" ht="12.75" customHeight="1" x14ac:dyDescent="0.25">
      <c r="A28906" s="318">
        <v>394306561409</v>
      </c>
      <c r="B28906" s="318" t="s">
        <v>236</v>
      </c>
    </row>
    <row r="28907" spans="1:2" ht="12.75" customHeight="1" x14ac:dyDescent="0.25">
      <c r="A28907" s="318">
        <v>394306561410</v>
      </c>
      <c r="B28907" s="318" t="s">
        <v>235</v>
      </c>
    </row>
    <row r="28908" spans="1:2" ht="12.75" customHeight="1" x14ac:dyDescent="0.25">
      <c r="A28908" s="318">
        <v>394306561411</v>
      </c>
      <c r="B28908" s="318" t="s">
        <v>236</v>
      </c>
    </row>
    <row r="28909" spans="1:2" ht="12.75" customHeight="1" x14ac:dyDescent="0.25">
      <c r="A28909" s="318">
        <v>394306561412</v>
      </c>
      <c r="B28909" s="318" t="s">
        <v>235</v>
      </c>
    </row>
    <row r="28910" spans="1:2" ht="12.75" customHeight="1" x14ac:dyDescent="0.25">
      <c r="A28910" s="318">
        <v>394306561413</v>
      </c>
      <c r="B28910" s="318" t="s">
        <v>236</v>
      </c>
    </row>
    <row r="28911" spans="1:2" ht="12.75" customHeight="1" x14ac:dyDescent="0.25">
      <c r="A28911" s="318">
        <v>394306561414</v>
      </c>
      <c r="B28911" s="318" t="s">
        <v>235</v>
      </c>
    </row>
    <row r="28912" spans="1:2" ht="12.75" customHeight="1" x14ac:dyDescent="0.25">
      <c r="A28912" s="318">
        <v>394306561415</v>
      </c>
      <c r="B28912" s="318" t="s">
        <v>236</v>
      </c>
    </row>
    <row r="28913" spans="1:2" ht="12.75" customHeight="1" x14ac:dyDescent="0.25">
      <c r="A28913" s="318">
        <v>394306561416</v>
      </c>
      <c r="B28913" s="318" t="s">
        <v>235</v>
      </c>
    </row>
    <row r="28914" spans="1:2" ht="12.75" customHeight="1" x14ac:dyDescent="0.25">
      <c r="A28914" s="318">
        <v>394306561418</v>
      </c>
      <c r="B28914" s="318" t="s">
        <v>236</v>
      </c>
    </row>
    <row r="28915" spans="1:2" ht="12.75" customHeight="1" x14ac:dyDescent="0.25">
      <c r="A28915" s="318">
        <v>394306561419</v>
      </c>
      <c r="B28915" s="318" t="s">
        <v>235</v>
      </c>
    </row>
    <row r="28916" spans="1:2" ht="12.75" customHeight="1" x14ac:dyDescent="0.25">
      <c r="A28916" s="318">
        <v>394306561420</v>
      </c>
      <c r="B28916" s="318" t="s">
        <v>236</v>
      </c>
    </row>
    <row r="28917" spans="1:2" ht="12.75" customHeight="1" x14ac:dyDescent="0.25">
      <c r="A28917" s="318">
        <v>394306561421</v>
      </c>
      <c r="B28917" s="318" t="s">
        <v>235</v>
      </c>
    </row>
    <row r="28918" spans="1:2" ht="12.75" customHeight="1" x14ac:dyDescent="0.25">
      <c r="A28918" s="318">
        <v>394306561422</v>
      </c>
      <c r="B28918" s="318" t="s">
        <v>236</v>
      </c>
    </row>
    <row r="28919" spans="1:2" ht="12.75" customHeight="1" x14ac:dyDescent="0.25">
      <c r="A28919" s="318">
        <v>394306561423</v>
      </c>
      <c r="B28919" s="318" t="s">
        <v>235</v>
      </c>
    </row>
    <row r="28920" spans="1:2" ht="12.75" customHeight="1" x14ac:dyDescent="0.25">
      <c r="A28920" s="318">
        <v>394306561424</v>
      </c>
      <c r="B28920" s="318" t="s">
        <v>236</v>
      </c>
    </row>
    <row r="28921" spans="1:2" ht="12.75" customHeight="1" x14ac:dyDescent="0.25">
      <c r="A28921" s="318">
        <v>394306561425</v>
      </c>
      <c r="B28921" s="318" t="s">
        <v>235</v>
      </c>
    </row>
    <row r="28922" spans="1:2" ht="12.75" customHeight="1" x14ac:dyDescent="0.25">
      <c r="A28922" s="318">
        <v>394307042382</v>
      </c>
      <c r="B28922" s="318" t="s">
        <v>236</v>
      </c>
    </row>
    <row r="28923" spans="1:2" ht="12.75" customHeight="1" x14ac:dyDescent="0.25">
      <c r="A28923" s="318">
        <v>394307042383</v>
      </c>
      <c r="B28923" s="318" t="s">
        <v>235</v>
      </c>
    </row>
    <row r="28924" spans="1:2" ht="12.75" customHeight="1" x14ac:dyDescent="0.25">
      <c r="A28924" s="318">
        <v>394307042384</v>
      </c>
      <c r="B28924" s="318" t="s">
        <v>236</v>
      </c>
    </row>
    <row r="28925" spans="1:2" ht="12.75" customHeight="1" x14ac:dyDescent="0.25">
      <c r="A28925" s="318">
        <v>394307042385</v>
      </c>
      <c r="B28925" s="318" t="s">
        <v>235</v>
      </c>
    </row>
    <row r="28926" spans="1:2" ht="12.75" customHeight="1" x14ac:dyDescent="0.25">
      <c r="A28926" s="318">
        <v>394307042386</v>
      </c>
      <c r="B28926" s="318" t="s">
        <v>236</v>
      </c>
    </row>
    <row r="28927" spans="1:2" ht="12.75" customHeight="1" x14ac:dyDescent="0.25">
      <c r="A28927" s="318">
        <v>394307042387</v>
      </c>
      <c r="B28927" s="318" t="s">
        <v>235</v>
      </c>
    </row>
    <row r="28928" spans="1:2" ht="12.75" customHeight="1" x14ac:dyDescent="0.25">
      <c r="A28928" s="318">
        <v>394307042388</v>
      </c>
      <c r="B28928" s="318" t="s">
        <v>236</v>
      </c>
    </row>
    <row r="28929" spans="1:2" ht="12.75" customHeight="1" x14ac:dyDescent="0.25">
      <c r="A28929" s="318">
        <v>394307042389</v>
      </c>
      <c r="B28929" s="318" t="s">
        <v>235</v>
      </c>
    </row>
    <row r="28930" spans="1:2" ht="12.75" customHeight="1" x14ac:dyDescent="0.25">
      <c r="A28930" s="318">
        <v>394307042391</v>
      </c>
      <c r="B28930" s="318" t="s">
        <v>236</v>
      </c>
    </row>
    <row r="28931" spans="1:2" ht="12.75" customHeight="1" x14ac:dyDescent="0.25">
      <c r="A28931" s="318">
        <v>394307042392</v>
      </c>
      <c r="B28931" s="318" t="s">
        <v>235</v>
      </c>
    </row>
    <row r="28932" spans="1:2" ht="12.75" customHeight="1" x14ac:dyDescent="0.25">
      <c r="A28932" s="318">
        <v>394307042393</v>
      </c>
      <c r="B28932" s="318" t="s">
        <v>236</v>
      </c>
    </row>
    <row r="28933" spans="1:2" ht="12.75" customHeight="1" x14ac:dyDescent="0.25">
      <c r="A28933" s="318">
        <v>394307042394</v>
      </c>
      <c r="B28933" s="318" t="s">
        <v>235</v>
      </c>
    </row>
    <row r="28934" spans="1:2" ht="12.75" customHeight="1" x14ac:dyDescent="0.25">
      <c r="A28934" s="318">
        <v>394307042395</v>
      </c>
      <c r="B28934" s="318" t="s">
        <v>236</v>
      </c>
    </row>
    <row r="28935" spans="1:2" ht="12.75" customHeight="1" x14ac:dyDescent="0.25">
      <c r="A28935" s="318">
        <v>394307042396</v>
      </c>
      <c r="B28935" s="318" t="s">
        <v>235</v>
      </c>
    </row>
    <row r="28936" spans="1:2" ht="12.75" customHeight="1" x14ac:dyDescent="0.25">
      <c r="A28936" s="318">
        <v>394307042397</v>
      </c>
      <c r="B28936" s="318" t="s">
        <v>236</v>
      </c>
    </row>
    <row r="28937" spans="1:2" ht="12.75" customHeight="1" x14ac:dyDescent="0.25">
      <c r="A28937" s="318">
        <v>394307042398</v>
      </c>
      <c r="B28937" s="318" t="s">
        <v>235</v>
      </c>
    </row>
    <row r="28938" spans="1:2" ht="12.75" customHeight="1" x14ac:dyDescent="0.25">
      <c r="A28938" s="318">
        <v>394307523355</v>
      </c>
      <c r="B28938" s="318" t="s">
        <v>236</v>
      </c>
    </row>
    <row r="28939" spans="1:2" ht="12.75" customHeight="1" x14ac:dyDescent="0.25">
      <c r="A28939" s="318">
        <v>394307523356</v>
      </c>
      <c r="B28939" s="318" t="s">
        <v>235</v>
      </c>
    </row>
    <row r="28940" spans="1:2" ht="12.75" customHeight="1" x14ac:dyDescent="0.25">
      <c r="A28940" s="318">
        <v>394307523357</v>
      </c>
      <c r="B28940" s="318" t="s">
        <v>236</v>
      </c>
    </row>
    <row r="28941" spans="1:2" ht="12.75" customHeight="1" x14ac:dyDescent="0.25">
      <c r="A28941" s="318">
        <v>394307523358</v>
      </c>
      <c r="B28941" s="318" t="s">
        <v>235</v>
      </c>
    </row>
    <row r="28942" spans="1:2" ht="12.75" customHeight="1" x14ac:dyDescent="0.25">
      <c r="A28942" s="318">
        <v>394307523359</v>
      </c>
      <c r="B28942" s="318" t="s">
        <v>236</v>
      </c>
    </row>
    <row r="28943" spans="1:2" ht="12.75" customHeight="1" x14ac:dyDescent="0.25">
      <c r="A28943" s="318">
        <v>394307523360</v>
      </c>
      <c r="B28943" s="318" t="s">
        <v>235</v>
      </c>
    </row>
    <row r="28944" spans="1:2" ht="12.75" customHeight="1" x14ac:dyDescent="0.25">
      <c r="A28944" s="318">
        <v>394307523361</v>
      </c>
      <c r="B28944" s="318" t="s">
        <v>236</v>
      </c>
    </row>
    <row r="28945" spans="1:2" ht="12.75" customHeight="1" x14ac:dyDescent="0.25">
      <c r="A28945" s="318">
        <v>394307523362</v>
      </c>
      <c r="B28945" s="318" t="s">
        <v>235</v>
      </c>
    </row>
    <row r="28946" spans="1:2" ht="12.75" customHeight="1" x14ac:dyDescent="0.25">
      <c r="A28946" s="318">
        <v>394307523364</v>
      </c>
      <c r="B28946" s="318" t="s">
        <v>236</v>
      </c>
    </row>
    <row r="28947" spans="1:2" ht="12.75" customHeight="1" x14ac:dyDescent="0.25">
      <c r="A28947" s="318">
        <v>394307523365</v>
      </c>
      <c r="B28947" s="318" t="s">
        <v>235</v>
      </c>
    </row>
    <row r="28948" spans="1:2" ht="12.75" customHeight="1" x14ac:dyDescent="0.25">
      <c r="A28948" s="318">
        <v>394307523366</v>
      </c>
      <c r="B28948" s="318" t="s">
        <v>236</v>
      </c>
    </row>
    <row r="28949" spans="1:2" ht="12.75" customHeight="1" x14ac:dyDescent="0.25">
      <c r="A28949" s="318">
        <v>394307523367</v>
      </c>
      <c r="B28949" s="318" t="s">
        <v>235</v>
      </c>
    </row>
    <row r="28950" spans="1:2" ht="12.75" customHeight="1" x14ac:dyDescent="0.25">
      <c r="A28950" s="318">
        <v>394307523368</v>
      </c>
      <c r="B28950" s="318" t="s">
        <v>236</v>
      </c>
    </row>
    <row r="28951" spans="1:2" ht="12.75" customHeight="1" x14ac:dyDescent="0.25">
      <c r="A28951" s="318">
        <v>394307523369</v>
      </c>
      <c r="B28951" s="318" t="s">
        <v>235</v>
      </c>
    </row>
    <row r="28952" spans="1:2" ht="12.75" customHeight="1" x14ac:dyDescent="0.25">
      <c r="A28952" s="318">
        <v>394307523370</v>
      </c>
      <c r="B28952" s="318" t="s">
        <v>236</v>
      </c>
    </row>
    <row r="28953" spans="1:2" ht="12.75" customHeight="1" x14ac:dyDescent="0.25">
      <c r="A28953" s="318">
        <v>394307523371</v>
      </c>
      <c r="B28953" s="318" t="s">
        <v>235</v>
      </c>
    </row>
    <row r="28954" spans="1:2" ht="12.75" customHeight="1" x14ac:dyDescent="0.25">
      <c r="A28954" s="318">
        <v>394308203546</v>
      </c>
      <c r="B28954" s="318" t="s">
        <v>236</v>
      </c>
    </row>
    <row r="28955" spans="1:2" ht="12.75" customHeight="1" x14ac:dyDescent="0.25">
      <c r="A28955" s="318">
        <v>394308203547</v>
      </c>
      <c r="B28955" s="318" t="s">
        <v>235</v>
      </c>
    </row>
    <row r="28956" spans="1:2" ht="12.75" customHeight="1" x14ac:dyDescent="0.25">
      <c r="A28956" s="318">
        <v>394308203548</v>
      </c>
      <c r="B28956" s="318" t="s">
        <v>236</v>
      </c>
    </row>
    <row r="28957" spans="1:2" ht="12.75" customHeight="1" x14ac:dyDescent="0.25">
      <c r="A28957" s="318">
        <v>394308203549</v>
      </c>
      <c r="B28957" s="318" t="s">
        <v>235</v>
      </c>
    </row>
    <row r="28958" spans="1:2" ht="12.75" customHeight="1" x14ac:dyDescent="0.25">
      <c r="A28958" s="318">
        <v>394308203550</v>
      </c>
      <c r="B28958" s="318" t="s">
        <v>236</v>
      </c>
    </row>
    <row r="28959" spans="1:2" ht="12.75" customHeight="1" x14ac:dyDescent="0.25">
      <c r="A28959" s="318">
        <v>394308203551</v>
      </c>
      <c r="B28959" s="318" t="s">
        <v>235</v>
      </c>
    </row>
    <row r="28960" spans="1:2" ht="12.75" customHeight="1" x14ac:dyDescent="0.25">
      <c r="A28960" s="318">
        <v>394308203552</v>
      </c>
      <c r="B28960" s="318" t="s">
        <v>236</v>
      </c>
    </row>
    <row r="28961" spans="1:2" ht="12.75" customHeight="1" x14ac:dyDescent="0.25">
      <c r="A28961" s="318">
        <v>394308203553</v>
      </c>
      <c r="B28961" s="318" t="s">
        <v>235</v>
      </c>
    </row>
    <row r="28962" spans="1:2" ht="12.75" customHeight="1" x14ac:dyDescent="0.25">
      <c r="A28962" s="318">
        <v>394308203555</v>
      </c>
      <c r="B28962" s="318" t="s">
        <v>236</v>
      </c>
    </row>
    <row r="28963" spans="1:2" ht="12.75" customHeight="1" x14ac:dyDescent="0.25">
      <c r="A28963" s="318">
        <v>394308203556</v>
      </c>
      <c r="B28963" s="318" t="s">
        <v>235</v>
      </c>
    </row>
    <row r="28964" spans="1:2" ht="12.75" customHeight="1" x14ac:dyDescent="0.25">
      <c r="A28964" s="318">
        <v>394308203557</v>
      </c>
      <c r="B28964" s="318" t="s">
        <v>236</v>
      </c>
    </row>
    <row r="28965" spans="1:2" ht="12.75" customHeight="1" x14ac:dyDescent="0.25">
      <c r="A28965" s="318">
        <v>394308203558</v>
      </c>
      <c r="B28965" s="318" t="s">
        <v>235</v>
      </c>
    </row>
    <row r="28966" spans="1:2" ht="12.75" customHeight="1" x14ac:dyDescent="0.25">
      <c r="A28966" s="318">
        <v>394308203559</v>
      </c>
      <c r="B28966" s="318" t="s">
        <v>236</v>
      </c>
    </row>
    <row r="28967" spans="1:2" ht="12.75" customHeight="1" x14ac:dyDescent="0.25">
      <c r="A28967" s="318">
        <v>394308203560</v>
      </c>
      <c r="B28967" s="318" t="s">
        <v>235</v>
      </c>
    </row>
    <row r="28968" spans="1:2" ht="12.75" customHeight="1" x14ac:dyDescent="0.25">
      <c r="A28968" s="318">
        <v>394308203561</v>
      </c>
      <c r="B28968" s="318" t="s">
        <v>236</v>
      </c>
    </row>
    <row r="28969" spans="1:2" ht="12.75" customHeight="1" x14ac:dyDescent="0.25">
      <c r="A28969" s="318">
        <v>394308203562</v>
      </c>
      <c r="B28969" s="318" t="s">
        <v>235</v>
      </c>
    </row>
    <row r="28970" spans="1:2" ht="12.75" customHeight="1" x14ac:dyDescent="0.25">
      <c r="A28970" s="318">
        <v>394308684519</v>
      </c>
      <c r="B28970" s="318" t="s">
        <v>236</v>
      </c>
    </row>
    <row r="28971" spans="1:2" ht="12.75" customHeight="1" x14ac:dyDescent="0.25">
      <c r="A28971" s="318">
        <v>394308684520</v>
      </c>
      <c r="B28971" s="318" t="s">
        <v>235</v>
      </c>
    </row>
    <row r="28972" spans="1:2" ht="12.75" customHeight="1" x14ac:dyDescent="0.25">
      <c r="A28972" s="318">
        <v>394308684521</v>
      </c>
      <c r="B28972" s="318" t="s">
        <v>236</v>
      </c>
    </row>
    <row r="28973" spans="1:2" ht="12.75" customHeight="1" x14ac:dyDescent="0.25">
      <c r="A28973" s="318">
        <v>394308684522</v>
      </c>
      <c r="B28973" s="318" t="s">
        <v>235</v>
      </c>
    </row>
    <row r="28974" spans="1:2" ht="12.75" customHeight="1" x14ac:dyDescent="0.25">
      <c r="A28974" s="318">
        <v>394308684523</v>
      </c>
      <c r="B28974" s="318" t="s">
        <v>236</v>
      </c>
    </row>
    <row r="28975" spans="1:2" ht="12.75" customHeight="1" x14ac:dyDescent="0.25">
      <c r="A28975" s="318">
        <v>394308684524</v>
      </c>
      <c r="B28975" s="318" t="s">
        <v>235</v>
      </c>
    </row>
    <row r="28976" spans="1:2" ht="12.75" customHeight="1" x14ac:dyDescent="0.25">
      <c r="A28976" s="318">
        <v>394308684525</v>
      </c>
      <c r="B28976" s="318" t="s">
        <v>236</v>
      </c>
    </row>
    <row r="28977" spans="1:2" ht="12.75" customHeight="1" x14ac:dyDescent="0.25">
      <c r="A28977" s="318">
        <v>394308684526</v>
      </c>
      <c r="B28977" s="318" t="s">
        <v>235</v>
      </c>
    </row>
    <row r="28978" spans="1:2" ht="12.75" customHeight="1" x14ac:dyDescent="0.25">
      <c r="A28978" s="318">
        <v>394308684528</v>
      </c>
      <c r="B28978" s="318" t="s">
        <v>236</v>
      </c>
    </row>
    <row r="28979" spans="1:2" ht="12.75" customHeight="1" x14ac:dyDescent="0.25">
      <c r="A28979" s="318">
        <v>394308684529</v>
      </c>
      <c r="B28979" s="318" t="s">
        <v>235</v>
      </c>
    </row>
    <row r="28980" spans="1:2" ht="12.75" customHeight="1" x14ac:dyDescent="0.25">
      <c r="A28980" s="318">
        <v>394308684530</v>
      </c>
      <c r="B28980" s="318" t="s">
        <v>236</v>
      </c>
    </row>
    <row r="28981" spans="1:2" ht="12.75" customHeight="1" x14ac:dyDescent="0.25">
      <c r="A28981" s="318">
        <v>394308684531</v>
      </c>
      <c r="B28981" s="318" t="s">
        <v>235</v>
      </c>
    </row>
    <row r="28982" spans="1:2" ht="12.75" customHeight="1" x14ac:dyDescent="0.25">
      <c r="A28982" s="318">
        <v>394308684532</v>
      </c>
      <c r="B28982" s="318" t="s">
        <v>236</v>
      </c>
    </row>
    <row r="28983" spans="1:2" ht="12.75" customHeight="1" x14ac:dyDescent="0.25">
      <c r="A28983" s="318">
        <v>394308684533</v>
      </c>
      <c r="B28983" s="318" t="s">
        <v>235</v>
      </c>
    </row>
    <row r="28984" spans="1:2" ht="12.75" customHeight="1" x14ac:dyDescent="0.25">
      <c r="A28984" s="318">
        <v>394308684534</v>
      </c>
      <c r="B28984" s="318" t="s">
        <v>236</v>
      </c>
    </row>
    <row r="28985" spans="1:2" ht="12.75" customHeight="1" x14ac:dyDescent="0.25">
      <c r="A28985" s="318">
        <v>394308684535</v>
      </c>
      <c r="B28985" s="318" t="s">
        <v>235</v>
      </c>
    </row>
    <row r="28986" spans="1:2" ht="12.75" customHeight="1" x14ac:dyDescent="0.25">
      <c r="A28986" s="318">
        <v>394309165492</v>
      </c>
      <c r="B28986" s="318" t="s">
        <v>236</v>
      </c>
    </row>
    <row r="28987" spans="1:2" ht="12.75" customHeight="1" x14ac:dyDescent="0.25">
      <c r="A28987" s="318">
        <v>394309165493</v>
      </c>
      <c r="B28987" s="318" t="s">
        <v>235</v>
      </c>
    </row>
    <row r="28988" spans="1:2" ht="12.75" customHeight="1" x14ac:dyDescent="0.25">
      <c r="A28988" s="318">
        <v>394309165494</v>
      </c>
      <c r="B28988" s="318" t="s">
        <v>236</v>
      </c>
    </row>
    <row r="28989" spans="1:2" ht="12.75" customHeight="1" x14ac:dyDescent="0.25">
      <c r="A28989" s="318">
        <v>394309165495</v>
      </c>
      <c r="B28989" s="318" t="s">
        <v>235</v>
      </c>
    </row>
    <row r="28990" spans="1:2" ht="12.75" customHeight="1" x14ac:dyDescent="0.25">
      <c r="A28990" s="318">
        <v>394309165496</v>
      </c>
      <c r="B28990" s="318" t="s">
        <v>236</v>
      </c>
    </row>
    <row r="28991" spans="1:2" ht="12.75" customHeight="1" x14ac:dyDescent="0.25">
      <c r="A28991" s="318">
        <v>394309165497</v>
      </c>
      <c r="B28991" s="318" t="s">
        <v>235</v>
      </c>
    </row>
    <row r="28992" spans="1:2" ht="12.75" customHeight="1" x14ac:dyDescent="0.25">
      <c r="A28992" s="318">
        <v>394309165498</v>
      </c>
      <c r="B28992" s="318" t="s">
        <v>236</v>
      </c>
    </row>
    <row r="28993" spans="1:2" ht="12.75" customHeight="1" x14ac:dyDescent="0.25">
      <c r="A28993" s="318">
        <v>394309165499</v>
      </c>
      <c r="B28993" s="318" t="s">
        <v>235</v>
      </c>
    </row>
    <row r="28994" spans="1:2" ht="12.75" customHeight="1" x14ac:dyDescent="0.25">
      <c r="A28994" s="318">
        <v>394309165501</v>
      </c>
      <c r="B28994" s="318" t="s">
        <v>236</v>
      </c>
    </row>
    <row r="28995" spans="1:2" ht="12.75" customHeight="1" x14ac:dyDescent="0.25">
      <c r="A28995" s="318">
        <v>394309165502</v>
      </c>
      <c r="B28995" s="318" t="s">
        <v>235</v>
      </c>
    </row>
    <row r="28996" spans="1:2" ht="12.75" customHeight="1" x14ac:dyDescent="0.25">
      <c r="A28996" s="318">
        <v>394309165503</v>
      </c>
      <c r="B28996" s="318" t="s">
        <v>236</v>
      </c>
    </row>
    <row r="28997" spans="1:2" ht="12.75" customHeight="1" x14ac:dyDescent="0.25">
      <c r="A28997" s="318">
        <v>394309165504</v>
      </c>
      <c r="B28997" s="318" t="s">
        <v>235</v>
      </c>
    </row>
    <row r="28998" spans="1:2" ht="12.75" customHeight="1" x14ac:dyDescent="0.25">
      <c r="A28998" s="318">
        <v>394309165505</v>
      </c>
      <c r="B28998" s="318" t="s">
        <v>236</v>
      </c>
    </row>
    <row r="28999" spans="1:2" ht="12.75" customHeight="1" x14ac:dyDescent="0.25">
      <c r="A28999" s="318">
        <v>394309165506</v>
      </c>
      <c r="B28999" s="318" t="s">
        <v>235</v>
      </c>
    </row>
    <row r="29000" spans="1:2" ht="12.75" customHeight="1" x14ac:dyDescent="0.25">
      <c r="A29000" s="318">
        <v>394309165507</v>
      </c>
      <c r="B29000" s="318" t="s">
        <v>236</v>
      </c>
    </row>
    <row r="29001" spans="1:2" ht="12.75" customHeight="1" x14ac:dyDescent="0.25">
      <c r="A29001" s="318">
        <v>394309165508</v>
      </c>
      <c r="B29001" s="318" t="s">
        <v>235</v>
      </c>
    </row>
    <row r="29002" spans="1:2" ht="12.75" customHeight="1" x14ac:dyDescent="0.25">
      <c r="A29002" s="318">
        <v>394309845683</v>
      </c>
      <c r="B29002" s="318" t="s">
        <v>236</v>
      </c>
    </row>
    <row r="29003" spans="1:2" ht="12.75" customHeight="1" x14ac:dyDescent="0.25">
      <c r="A29003" s="318">
        <v>394309845684</v>
      </c>
      <c r="B29003" s="318" t="s">
        <v>235</v>
      </c>
    </row>
    <row r="29004" spans="1:2" ht="12.75" customHeight="1" x14ac:dyDescent="0.25">
      <c r="A29004" s="318">
        <v>394309845685</v>
      </c>
      <c r="B29004" s="318" t="s">
        <v>236</v>
      </c>
    </row>
    <row r="29005" spans="1:2" ht="12.75" customHeight="1" x14ac:dyDescent="0.25">
      <c r="A29005" s="318">
        <v>394309845686</v>
      </c>
      <c r="B29005" s="318" t="s">
        <v>235</v>
      </c>
    </row>
    <row r="29006" spans="1:2" ht="12.75" customHeight="1" x14ac:dyDescent="0.25">
      <c r="A29006" s="318">
        <v>394309845687</v>
      </c>
      <c r="B29006" s="318" t="s">
        <v>236</v>
      </c>
    </row>
    <row r="29007" spans="1:2" ht="12.75" customHeight="1" x14ac:dyDescent="0.25">
      <c r="A29007" s="318">
        <v>394309845688</v>
      </c>
      <c r="B29007" s="318" t="s">
        <v>235</v>
      </c>
    </row>
    <row r="29008" spans="1:2" ht="12.75" customHeight="1" x14ac:dyDescent="0.25">
      <c r="A29008" s="318">
        <v>394309845689</v>
      </c>
      <c r="B29008" s="318" t="s">
        <v>236</v>
      </c>
    </row>
    <row r="29009" spans="1:2" ht="12.75" customHeight="1" x14ac:dyDescent="0.25">
      <c r="A29009" s="318">
        <v>394309845690</v>
      </c>
      <c r="B29009" s="318" t="s">
        <v>235</v>
      </c>
    </row>
    <row r="29010" spans="1:2" ht="12.75" customHeight="1" x14ac:dyDescent="0.25">
      <c r="A29010" s="318">
        <v>394309845692</v>
      </c>
      <c r="B29010" s="318" t="s">
        <v>236</v>
      </c>
    </row>
    <row r="29011" spans="1:2" ht="12.75" customHeight="1" x14ac:dyDescent="0.25">
      <c r="A29011" s="318">
        <v>394309845693</v>
      </c>
      <c r="B29011" s="318" t="s">
        <v>235</v>
      </c>
    </row>
    <row r="29012" spans="1:2" ht="12.75" customHeight="1" x14ac:dyDescent="0.25">
      <c r="A29012" s="318">
        <v>394309845694</v>
      </c>
      <c r="B29012" s="318" t="s">
        <v>236</v>
      </c>
    </row>
    <row r="29013" spans="1:2" ht="12.75" customHeight="1" x14ac:dyDescent="0.25">
      <c r="A29013" s="318">
        <v>394309845695</v>
      </c>
      <c r="B29013" s="318" t="s">
        <v>235</v>
      </c>
    </row>
    <row r="29014" spans="1:2" ht="12.75" customHeight="1" x14ac:dyDescent="0.25">
      <c r="A29014" s="318">
        <v>394309845696</v>
      </c>
      <c r="B29014" s="318" t="s">
        <v>236</v>
      </c>
    </row>
    <row r="29015" spans="1:2" ht="12.75" customHeight="1" x14ac:dyDescent="0.25">
      <c r="A29015" s="318">
        <v>394309845697</v>
      </c>
      <c r="B29015" s="318" t="s">
        <v>235</v>
      </c>
    </row>
    <row r="29016" spans="1:2" ht="12.75" customHeight="1" x14ac:dyDescent="0.25">
      <c r="A29016" s="318">
        <v>394309845698</v>
      </c>
      <c r="B29016" s="318" t="s">
        <v>236</v>
      </c>
    </row>
    <row r="29017" spans="1:2" ht="12.75" customHeight="1" x14ac:dyDescent="0.25">
      <c r="A29017" s="318">
        <v>394309845699</v>
      </c>
      <c r="B29017" s="318" t="s">
        <v>235</v>
      </c>
    </row>
    <row r="29018" spans="1:2" ht="12.75" customHeight="1" x14ac:dyDescent="0.25">
      <c r="A29018" s="318">
        <v>394310326656</v>
      </c>
      <c r="B29018" s="318" t="s">
        <v>236</v>
      </c>
    </row>
    <row r="29019" spans="1:2" ht="12.75" customHeight="1" x14ac:dyDescent="0.25">
      <c r="A29019" s="318">
        <v>394310326657</v>
      </c>
      <c r="B29019" s="318" t="s">
        <v>235</v>
      </c>
    </row>
    <row r="29020" spans="1:2" ht="12.75" customHeight="1" x14ac:dyDescent="0.25">
      <c r="A29020" s="318">
        <v>394310326658</v>
      </c>
      <c r="B29020" s="318" t="s">
        <v>236</v>
      </c>
    </row>
    <row r="29021" spans="1:2" ht="12.75" customHeight="1" x14ac:dyDescent="0.25">
      <c r="A29021" s="318">
        <v>394310326659</v>
      </c>
      <c r="B29021" s="318" t="s">
        <v>235</v>
      </c>
    </row>
    <row r="29022" spans="1:2" ht="12.75" customHeight="1" x14ac:dyDescent="0.25">
      <c r="A29022" s="318">
        <v>394310326660</v>
      </c>
      <c r="B29022" s="318" t="s">
        <v>236</v>
      </c>
    </row>
    <row r="29023" spans="1:2" ht="12.75" customHeight="1" x14ac:dyDescent="0.25">
      <c r="A29023" s="318">
        <v>394310326661</v>
      </c>
      <c r="B29023" s="318" t="s">
        <v>235</v>
      </c>
    </row>
    <row r="29024" spans="1:2" ht="12.75" customHeight="1" x14ac:dyDescent="0.25">
      <c r="A29024" s="318">
        <v>394310326662</v>
      </c>
      <c r="B29024" s="318" t="s">
        <v>236</v>
      </c>
    </row>
    <row r="29025" spans="1:2" ht="12.75" customHeight="1" x14ac:dyDescent="0.25">
      <c r="A29025" s="318">
        <v>394310326663</v>
      </c>
      <c r="B29025" s="318" t="s">
        <v>235</v>
      </c>
    </row>
    <row r="29026" spans="1:2" ht="12.75" customHeight="1" x14ac:dyDescent="0.25">
      <c r="A29026" s="318">
        <v>394310326665</v>
      </c>
      <c r="B29026" s="318" t="s">
        <v>236</v>
      </c>
    </row>
    <row r="29027" spans="1:2" ht="12.75" customHeight="1" x14ac:dyDescent="0.25">
      <c r="A29027" s="318">
        <v>394310326666</v>
      </c>
      <c r="B29027" s="318" t="s">
        <v>235</v>
      </c>
    </row>
    <row r="29028" spans="1:2" ht="12.75" customHeight="1" x14ac:dyDescent="0.25">
      <c r="A29028" s="318">
        <v>394310326667</v>
      </c>
      <c r="B29028" s="318" t="s">
        <v>236</v>
      </c>
    </row>
    <row r="29029" spans="1:2" ht="12.75" customHeight="1" x14ac:dyDescent="0.25">
      <c r="A29029" s="318">
        <v>394310326668</v>
      </c>
      <c r="B29029" s="318" t="s">
        <v>235</v>
      </c>
    </row>
    <row r="29030" spans="1:2" ht="12.75" customHeight="1" x14ac:dyDescent="0.25">
      <c r="A29030" s="318">
        <v>394310326669</v>
      </c>
      <c r="B29030" s="318" t="s">
        <v>236</v>
      </c>
    </row>
    <row r="29031" spans="1:2" ht="12.75" customHeight="1" x14ac:dyDescent="0.25">
      <c r="A29031" s="318">
        <v>394310326670</v>
      </c>
      <c r="B29031" s="318" t="s">
        <v>235</v>
      </c>
    </row>
    <row r="29032" spans="1:2" ht="12.75" customHeight="1" x14ac:dyDescent="0.25">
      <c r="A29032" s="318">
        <v>394310326671</v>
      </c>
      <c r="B29032" s="318" t="s">
        <v>236</v>
      </c>
    </row>
    <row r="29033" spans="1:2" ht="12.75" customHeight="1" x14ac:dyDescent="0.25">
      <c r="A29033" s="318">
        <v>394310326672</v>
      </c>
      <c r="B29033" s="318" t="s">
        <v>235</v>
      </c>
    </row>
    <row r="29034" spans="1:2" ht="12.75" customHeight="1" x14ac:dyDescent="0.25">
      <c r="A29034" s="318">
        <v>394310807629</v>
      </c>
      <c r="B29034" s="318" t="s">
        <v>236</v>
      </c>
    </row>
    <row r="29035" spans="1:2" ht="12.75" customHeight="1" x14ac:dyDescent="0.25">
      <c r="A29035" s="318">
        <v>394310807630</v>
      </c>
      <c r="B29035" s="318" t="s">
        <v>235</v>
      </c>
    </row>
    <row r="29036" spans="1:2" ht="12.75" customHeight="1" x14ac:dyDescent="0.25">
      <c r="A29036" s="318">
        <v>394310807631</v>
      </c>
      <c r="B29036" s="318" t="s">
        <v>236</v>
      </c>
    </row>
    <row r="29037" spans="1:2" ht="12.75" customHeight="1" x14ac:dyDescent="0.25">
      <c r="A29037" s="318">
        <v>394310807632</v>
      </c>
      <c r="B29037" s="318" t="s">
        <v>235</v>
      </c>
    </row>
    <row r="29038" spans="1:2" ht="12.75" customHeight="1" x14ac:dyDescent="0.25">
      <c r="A29038" s="318">
        <v>394310807633</v>
      </c>
      <c r="B29038" s="318" t="s">
        <v>236</v>
      </c>
    </row>
    <row r="29039" spans="1:2" ht="12.75" customHeight="1" x14ac:dyDescent="0.25">
      <c r="A29039" s="318">
        <v>394310807634</v>
      </c>
      <c r="B29039" s="318" t="s">
        <v>235</v>
      </c>
    </row>
    <row r="29040" spans="1:2" ht="12.75" customHeight="1" x14ac:dyDescent="0.25">
      <c r="A29040" s="318">
        <v>394310807635</v>
      </c>
      <c r="B29040" s="318" t="s">
        <v>236</v>
      </c>
    </row>
    <row r="29041" spans="1:2" ht="12.75" customHeight="1" x14ac:dyDescent="0.25">
      <c r="A29041" s="318">
        <v>394310807636</v>
      </c>
      <c r="B29041" s="318" t="s">
        <v>235</v>
      </c>
    </row>
    <row r="29042" spans="1:2" ht="12.75" customHeight="1" x14ac:dyDescent="0.25">
      <c r="A29042" s="318">
        <v>394310807638</v>
      </c>
      <c r="B29042" s="318" t="s">
        <v>236</v>
      </c>
    </row>
    <row r="29043" spans="1:2" ht="12.75" customHeight="1" x14ac:dyDescent="0.25">
      <c r="A29043" s="318">
        <v>394310807639</v>
      </c>
      <c r="B29043" s="318" t="s">
        <v>235</v>
      </c>
    </row>
    <row r="29044" spans="1:2" ht="12.75" customHeight="1" x14ac:dyDescent="0.25">
      <c r="A29044" s="318">
        <v>394310807640</v>
      </c>
      <c r="B29044" s="318" t="s">
        <v>236</v>
      </c>
    </row>
    <row r="29045" spans="1:2" ht="12.75" customHeight="1" x14ac:dyDescent="0.25">
      <c r="A29045" s="318">
        <v>394310807641</v>
      </c>
      <c r="B29045" s="318" t="s">
        <v>235</v>
      </c>
    </row>
    <row r="29046" spans="1:2" ht="12.75" customHeight="1" x14ac:dyDescent="0.25">
      <c r="A29046" s="318">
        <v>394310807642</v>
      </c>
      <c r="B29046" s="318" t="s">
        <v>236</v>
      </c>
    </row>
    <row r="29047" spans="1:2" ht="12.75" customHeight="1" x14ac:dyDescent="0.25">
      <c r="A29047" s="318">
        <v>394310807643</v>
      </c>
      <c r="B29047" s="318" t="s">
        <v>235</v>
      </c>
    </row>
    <row r="29048" spans="1:2" ht="12.75" customHeight="1" x14ac:dyDescent="0.25">
      <c r="A29048" s="318">
        <v>394310807644</v>
      </c>
      <c r="B29048" s="318" t="s">
        <v>236</v>
      </c>
    </row>
    <row r="29049" spans="1:2" ht="12.75" customHeight="1" x14ac:dyDescent="0.25">
      <c r="A29049" s="318">
        <v>394310807645</v>
      </c>
      <c r="B29049" s="318" t="s">
        <v>235</v>
      </c>
    </row>
    <row r="29050" spans="1:2" ht="12.75" customHeight="1" x14ac:dyDescent="0.25">
      <c r="A29050" s="318">
        <v>424484994318</v>
      </c>
      <c r="B29050" s="318" t="s">
        <v>236</v>
      </c>
    </row>
    <row r="29051" spans="1:2" ht="12.75" customHeight="1" x14ac:dyDescent="0.25">
      <c r="A29051" s="318">
        <v>424484994319</v>
      </c>
      <c r="B29051" s="318" t="s">
        <v>23</v>
      </c>
    </row>
    <row r="29052" spans="1:2" ht="12.75" customHeight="1" x14ac:dyDescent="0.25">
      <c r="A29052" s="318">
        <v>424484994320</v>
      </c>
      <c r="B29052" s="318" t="s">
        <v>236</v>
      </c>
    </row>
    <row r="29053" spans="1:2" ht="12.75" customHeight="1" x14ac:dyDescent="0.25">
      <c r="A29053" s="318">
        <v>424484994321</v>
      </c>
      <c r="B29053" s="318" t="s">
        <v>23</v>
      </c>
    </row>
    <row r="29054" spans="1:2" ht="12.75" customHeight="1" x14ac:dyDescent="0.25">
      <c r="A29054" s="318">
        <v>424484994322</v>
      </c>
      <c r="B29054" s="318" t="s">
        <v>236</v>
      </c>
    </row>
    <row r="29055" spans="1:2" ht="12.75" customHeight="1" x14ac:dyDescent="0.25">
      <c r="A29055" s="318">
        <v>424484994323</v>
      </c>
      <c r="B29055" s="318" t="s">
        <v>23</v>
      </c>
    </row>
    <row r="29056" spans="1:2" ht="12.75" customHeight="1" x14ac:dyDescent="0.25">
      <c r="A29056" s="318">
        <v>424484994324</v>
      </c>
      <c r="B29056" s="318" t="s">
        <v>236</v>
      </c>
    </row>
    <row r="29057" spans="1:2" ht="12.75" customHeight="1" x14ac:dyDescent="0.25">
      <c r="A29057" s="318">
        <v>424484994325</v>
      </c>
      <c r="B29057" s="318" t="s">
        <v>237</v>
      </c>
    </row>
    <row r="29058" spans="1:2" ht="12.75" customHeight="1" x14ac:dyDescent="0.25">
      <c r="A29058" s="318">
        <v>424484994418</v>
      </c>
      <c r="B29058" s="318" t="s">
        <v>236</v>
      </c>
    </row>
    <row r="29059" spans="1:2" ht="12.75" customHeight="1" x14ac:dyDescent="0.25">
      <c r="A29059" s="318">
        <v>424484994419</v>
      </c>
      <c r="B29059" s="318" t="s">
        <v>23</v>
      </c>
    </row>
    <row r="29060" spans="1:2" ht="12.75" customHeight="1" x14ac:dyDescent="0.25">
      <c r="A29060" s="318">
        <v>424484994420</v>
      </c>
      <c r="B29060" s="318" t="s">
        <v>236</v>
      </c>
    </row>
    <row r="29061" spans="1:2" ht="12.75" customHeight="1" x14ac:dyDescent="0.25">
      <c r="A29061" s="318">
        <v>424484994421</v>
      </c>
      <c r="B29061" s="318" t="s">
        <v>237</v>
      </c>
    </row>
    <row r="29062" spans="1:2" ht="12.75" customHeight="1" x14ac:dyDescent="0.25">
      <c r="A29062" s="318">
        <v>424484994422</v>
      </c>
      <c r="B29062" s="318" t="s">
        <v>236</v>
      </c>
    </row>
    <row r="29063" spans="1:2" ht="12.75" customHeight="1" x14ac:dyDescent="0.25">
      <c r="A29063" s="318">
        <v>424484994423</v>
      </c>
      <c r="B29063" s="318" t="s">
        <v>23</v>
      </c>
    </row>
    <row r="29064" spans="1:2" ht="12.75" customHeight="1" x14ac:dyDescent="0.25">
      <c r="A29064" s="318">
        <v>424484994424</v>
      </c>
      <c r="B29064" s="318" t="s">
        <v>236</v>
      </c>
    </row>
    <row r="29065" spans="1:2" ht="12.75" customHeight="1" x14ac:dyDescent="0.25">
      <c r="A29065" s="318">
        <v>424484994425</v>
      </c>
      <c r="B29065" s="318" t="s">
        <v>237</v>
      </c>
    </row>
    <row r="29066" spans="1:2" ht="12.75" customHeight="1" x14ac:dyDescent="0.25">
      <c r="A29066" s="318">
        <v>424485135195</v>
      </c>
      <c r="B29066" s="318" t="s">
        <v>23</v>
      </c>
    </row>
    <row r="29067" spans="1:2" ht="12.75" customHeight="1" x14ac:dyDescent="0.25">
      <c r="A29067" s="318">
        <v>424485135196</v>
      </c>
      <c r="B29067" s="318" t="s">
        <v>23</v>
      </c>
    </row>
    <row r="29068" spans="1:2" ht="12.75" customHeight="1" x14ac:dyDescent="0.25">
      <c r="A29068" s="318">
        <v>424485135197</v>
      </c>
      <c r="B29068" s="318" t="s">
        <v>23</v>
      </c>
    </row>
    <row r="29069" spans="1:2" ht="12.75" customHeight="1" x14ac:dyDescent="0.25">
      <c r="A29069" s="318">
        <v>424485135198</v>
      </c>
      <c r="B29069" s="318" t="s">
        <v>23</v>
      </c>
    </row>
    <row r="29070" spans="1:2" ht="12.75" customHeight="1" x14ac:dyDescent="0.25">
      <c r="A29070" s="318">
        <v>424485135199</v>
      </c>
      <c r="B29070" s="318" t="s">
        <v>23</v>
      </c>
    </row>
    <row r="29071" spans="1:2" ht="12.75" customHeight="1" x14ac:dyDescent="0.25">
      <c r="A29071" s="318">
        <v>424485135200</v>
      </c>
      <c r="B29071" s="318" t="s">
        <v>23</v>
      </c>
    </row>
    <row r="29072" spans="1:2" ht="12.75" customHeight="1" x14ac:dyDescent="0.25">
      <c r="A29072" s="318">
        <v>424485135201</v>
      </c>
      <c r="B29072" s="318" t="s">
        <v>237</v>
      </c>
    </row>
    <row r="29073" spans="1:2" ht="12.75" customHeight="1" x14ac:dyDescent="0.25">
      <c r="A29073" s="318">
        <v>424485135202</v>
      </c>
      <c r="B29073" s="318" t="s">
        <v>237</v>
      </c>
    </row>
    <row r="29074" spans="1:2" ht="12.75" customHeight="1" x14ac:dyDescent="0.25">
      <c r="A29074" s="318">
        <v>424485135295</v>
      </c>
      <c r="B29074" s="318" t="s">
        <v>23</v>
      </c>
    </row>
    <row r="29075" spans="1:2" ht="12.75" customHeight="1" x14ac:dyDescent="0.25">
      <c r="A29075" s="318">
        <v>424485135296</v>
      </c>
      <c r="B29075" s="318" t="s">
        <v>23</v>
      </c>
    </row>
    <row r="29076" spans="1:2" ht="12.75" customHeight="1" x14ac:dyDescent="0.25">
      <c r="A29076" s="318">
        <v>424485135297</v>
      </c>
      <c r="B29076" s="318" t="s">
        <v>237</v>
      </c>
    </row>
    <row r="29077" spans="1:2" ht="12.75" customHeight="1" x14ac:dyDescent="0.25">
      <c r="A29077" s="318">
        <v>424485135298</v>
      </c>
      <c r="B29077" s="318" t="s">
        <v>237</v>
      </c>
    </row>
    <row r="29078" spans="1:2" ht="12.75" customHeight="1" x14ac:dyDescent="0.25">
      <c r="A29078" s="318">
        <v>424485135299</v>
      </c>
      <c r="B29078" s="318" t="s">
        <v>23</v>
      </c>
    </row>
    <row r="29079" spans="1:2" ht="12.75" customHeight="1" x14ac:dyDescent="0.25">
      <c r="A29079" s="318">
        <v>424485135300</v>
      </c>
      <c r="B29079" s="318" t="s">
        <v>23</v>
      </c>
    </row>
    <row r="29080" spans="1:2" ht="12.75" customHeight="1" x14ac:dyDescent="0.25">
      <c r="A29080" s="318">
        <v>424485135301</v>
      </c>
      <c r="B29080" s="318" t="s">
        <v>237</v>
      </c>
    </row>
    <row r="29081" spans="1:2" ht="12.75" customHeight="1" x14ac:dyDescent="0.25">
      <c r="A29081" s="318">
        <v>424485135302</v>
      </c>
      <c r="B29081" s="318" t="s">
        <v>237</v>
      </c>
    </row>
    <row r="29082" spans="1:2" ht="12.75" customHeight="1" x14ac:dyDescent="0.25">
      <c r="A29082" s="318">
        <v>424485276072</v>
      </c>
      <c r="B29082" s="318" t="s">
        <v>236</v>
      </c>
    </row>
    <row r="29083" spans="1:2" ht="12.75" customHeight="1" x14ac:dyDescent="0.25">
      <c r="A29083" s="318">
        <v>424485276073</v>
      </c>
      <c r="B29083" s="318" t="s">
        <v>235</v>
      </c>
    </row>
    <row r="29084" spans="1:2" ht="12.75" customHeight="1" x14ac:dyDescent="0.25">
      <c r="A29084" s="318">
        <v>424485276074</v>
      </c>
      <c r="B29084" s="318" t="s">
        <v>236</v>
      </c>
    </row>
    <row r="29085" spans="1:2" ht="12.75" customHeight="1" x14ac:dyDescent="0.25">
      <c r="A29085" s="318">
        <v>424485276075</v>
      </c>
      <c r="B29085" s="318" t="s">
        <v>235</v>
      </c>
    </row>
    <row r="29086" spans="1:2" ht="12.75" customHeight="1" x14ac:dyDescent="0.25">
      <c r="A29086" s="318">
        <v>424485276076</v>
      </c>
      <c r="B29086" s="318" t="s">
        <v>236</v>
      </c>
    </row>
    <row r="29087" spans="1:2" ht="12.75" customHeight="1" x14ac:dyDescent="0.25">
      <c r="A29087" s="318">
        <v>424485276077</v>
      </c>
      <c r="B29087" s="318" t="s">
        <v>235</v>
      </c>
    </row>
    <row r="29088" spans="1:2" ht="12.75" customHeight="1" x14ac:dyDescent="0.25">
      <c r="A29088" s="318">
        <v>424485276078</v>
      </c>
      <c r="B29088" s="318" t="s">
        <v>236</v>
      </c>
    </row>
    <row r="29089" spans="1:2" ht="12.75" customHeight="1" x14ac:dyDescent="0.25">
      <c r="A29089" s="318">
        <v>424485276079</v>
      </c>
      <c r="B29089" s="318" t="s">
        <v>235</v>
      </c>
    </row>
    <row r="29090" spans="1:2" ht="12.75" customHeight="1" x14ac:dyDescent="0.25">
      <c r="A29090" s="318">
        <v>424485276172</v>
      </c>
      <c r="B29090" s="318" t="s">
        <v>236</v>
      </c>
    </row>
    <row r="29091" spans="1:2" ht="12.75" customHeight="1" x14ac:dyDescent="0.25">
      <c r="A29091" s="318">
        <v>424485276173</v>
      </c>
      <c r="B29091" s="318" t="s">
        <v>235</v>
      </c>
    </row>
    <row r="29092" spans="1:2" ht="12.75" customHeight="1" x14ac:dyDescent="0.25">
      <c r="A29092" s="318">
        <v>424485276174</v>
      </c>
      <c r="B29092" s="318" t="s">
        <v>236</v>
      </c>
    </row>
    <row r="29093" spans="1:2" ht="12.75" customHeight="1" x14ac:dyDescent="0.25">
      <c r="A29093" s="318">
        <v>424485276175</v>
      </c>
      <c r="B29093" s="318" t="s">
        <v>235</v>
      </c>
    </row>
    <row r="29094" spans="1:2" ht="12.75" customHeight="1" x14ac:dyDescent="0.25">
      <c r="A29094" s="318">
        <v>424485276176</v>
      </c>
      <c r="B29094" s="318" t="s">
        <v>236</v>
      </c>
    </row>
    <row r="29095" spans="1:2" ht="12.75" customHeight="1" x14ac:dyDescent="0.25">
      <c r="A29095" s="318">
        <v>424485276177</v>
      </c>
      <c r="B29095" s="318" t="s">
        <v>235</v>
      </c>
    </row>
    <row r="29096" spans="1:2" ht="12.75" customHeight="1" x14ac:dyDescent="0.25">
      <c r="A29096" s="318">
        <v>424485276178</v>
      </c>
      <c r="B29096" s="318" t="s">
        <v>236</v>
      </c>
    </row>
    <row r="29097" spans="1:2" ht="12.75" customHeight="1" x14ac:dyDescent="0.25">
      <c r="A29097" s="318">
        <v>424485276179</v>
      </c>
      <c r="B29097" s="318" t="s">
        <v>235</v>
      </c>
    </row>
    <row r="29098" spans="1:2" ht="12.75" customHeight="1" x14ac:dyDescent="0.25">
      <c r="A29098" s="318">
        <v>454805351055</v>
      </c>
      <c r="B29098" s="318" t="s">
        <v>236</v>
      </c>
    </row>
    <row r="29099" spans="1:2" ht="12.75" customHeight="1" x14ac:dyDescent="0.25">
      <c r="A29099" s="318">
        <v>454805351056</v>
      </c>
      <c r="B29099" s="318" t="s">
        <v>23</v>
      </c>
    </row>
    <row r="29100" spans="1:2" ht="12.75" customHeight="1" x14ac:dyDescent="0.25">
      <c r="A29100" s="318">
        <v>454805351057</v>
      </c>
      <c r="B29100" s="318" t="s">
        <v>236</v>
      </c>
    </row>
    <row r="29101" spans="1:2" ht="12.75" customHeight="1" x14ac:dyDescent="0.25">
      <c r="A29101" s="318">
        <v>454805351058</v>
      </c>
      <c r="B29101" s="318" t="s">
        <v>23</v>
      </c>
    </row>
    <row r="29102" spans="1:2" ht="12.75" customHeight="1" x14ac:dyDescent="0.25">
      <c r="A29102" s="318">
        <v>454805351059</v>
      </c>
      <c r="B29102" s="318" t="s">
        <v>236</v>
      </c>
    </row>
    <row r="29103" spans="1:2" ht="12.75" customHeight="1" x14ac:dyDescent="0.25">
      <c r="A29103" s="318">
        <v>454805351060</v>
      </c>
      <c r="B29103" s="318" t="s">
        <v>23</v>
      </c>
    </row>
    <row r="29104" spans="1:2" ht="12.75" customHeight="1" x14ac:dyDescent="0.25">
      <c r="A29104" s="318">
        <v>454805351061</v>
      </c>
      <c r="B29104" s="318" t="s">
        <v>236</v>
      </c>
    </row>
    <row r="29105" spans="1:2" ht="12.75" customHeight="1" x14ac:dyDescent="0.25">
      <c r="A29105" s="318">
        <v>454805351062</v>
      </c>
      <c r="B29105" s="318" t="s">
        <v>237</v>
      </c>
    </row>
    <row r="29106" spans="1:2" ht="12.75" customHeight="1" x14ac:dyDescent="0.25">
      <c r="A29106" s="318">
        <v>454805351155</v>
      </c>
      <c r="B29106" s="318" t="s">
        <v>236</v>
      </c>
    </row>
    <row r="29107" spans="1:2" ht="12.75" customHeight="1" x14ac:dyDescent="0.25">
      <c r="A29107" s="318">
        <v>454805351156</v>
      </c>
      <c r="B29107" s="318" t="s">
        <v>23</v>
      </c>
    </row>
    <row r="29108" spans="1:2" ht="12.75" customHeight="1" x14ac:dyDescent="0.25">
      <c r="A29108" s="318">
        <v>454805351157</v>
      </c>
      <c r="B29108" s="318" t="s">
        <v>236</v>
      </c>
    </row>
    <row r="29109" spans="1:2" ht="12.75" customHeight="1" x14ac:dyDescent="0.25">
      <c r="A29109" s="318">
        <v>454805351158</v>
      </c>
      <c r="B29109" s="318" t="s">
        <v>237</v>
      </c>
    </row>
    <row r="29110" spans="1:2" ht="12.75" customHeight="1" x14ac:dyDescent="0.25">
      <c r="A29110" s="318">
        <v>454805351159</v>
      </c>
      <c r="B29110" s="318" t="s">
        <v>236</v>
      </c>
    </row>
    <row r="29111" spans="1:2" ht="12.75" customHeight="1" x14ac:dyDescent="0.25">
      <c r="A29111" s="318">
        <v>454805351160</v>
      </c>
      <c r="B29111" s="318" t="s">
        <v>23</v>
      </c>
    </row>
    <row r="29112" spans="1:2" ht="12.75" customHeight="1" x14ac:dyDescent="0.25">
      <c r="A29112" s="318">
        <v>454805351161</v>
      </c>
      <c r="B29112" s="318" t="s">
        <v>236</v>
      </c>
    </row>
    <row r="29113" spans="1:2" ht="12.75" customHeight="1" x14ac:dyDescent="0.25">
      <c r="A29113" s="318">
        <v>454805351162</v>
      </c>
      <c r="B29113" s="318" t="s">
        <v>237</v>
      </c>
    </row>
    <row r="29114" spans="1:2" ht="12.75" customHeight="1" x14ac:dyDescent="0.25">
      <c r="A29114" s="318">
        <v>454805392322</v>
      </c>
      <c r="B29114" s="318" t="s">
        <v>23</v>
      </c>
    </row>
    <row r="29115" spans="1:2" ht="12.75" customHeight="1" x14ac:dyDescent="0.25">
      <c r="A29115" s="318">
        <v>454805392323</v>
      </c>
      <c r="B29115" s="318" t="s">
        <v>23</v>
      </c>
    </row>
    <row r="29116" spans="1:2" ht="12.75" customHeight="1" x14ac:dyDescent="0.25">
      <c r="A29116" s="318">
        <v>454805392324</v>
      </c>
      <c r="B29116" s="318" t="s">
        <v>23</v>
      </c>
    </row>
    <row r="29117" spans="1:2" ht="12.75" customHeight="1" x14ac:dyDescent="0.25">
      <c r="A29117" s="318">
        <v>454805392325</v>
      </c>
      <c r="B29117" s="318" t="s">
        <v>23</v>
      </c>
    </row>
    <row r="29118" spans="1:2" ht="12.75" customHeight="1" x14ac:dyDescent="0.25">
      <c r="A29118" s="318">
        <v>454805392326</v>
      </c>
      <c r="B29118" s="318" t="s">
        <v>23</v>
      </c>
    </row>
    <row r="29119" spans="1:2" ht="12.75" customHeight="1" x14ac:dyDescent="0.25">
      <c r="A29119" s="318">
        <v>454805392327</v>
      </c>
      <c r="B29119" s="318" t="s">
        <v>23</v>
      </c>
    </row>
    <row r="29120" spans="1:2" ht="12.75" customHeight="1" x14ac:dyDescent="0.25">
      <c r="A29120" s="318">
        <v>454805392328</v>
      </c>
      <c r="B29120" s="318" t="s">
        <v>237</v>
      </c>
    </row>
    <row r="29121" spans="1:2" ht="12.75" customHeight="1" x14ac:dyDescent="0.25">
      <c r="A29121" s="318">
        <v>454805392329</v>
      </c>
      <c r="B29121" s="318" t="s">
        <v>237</v>
      </c>
    </row>
    <row r="29122" spans="1:2" ht="12.75" customHeight="1" x14ac:dyDescent="0.25">
      <c r="A29122" s="318">
        <v>454805392422</v>
      </c>
      <c r="B29122" s="318" t="s">
        <v>23</v>
      </c>
    </row>
    <row r="29123" spans="1:2" ht="12.75" customHeight="1" x14ac:dyDescent="0.25">
      <c r="A29123" s="318">
        <v>454805392423</v>
      </c>
      <c r="B29123" s="318" t="s">
        <v>23</v>
      </c>
    </row>
    <row r="29124" spans="1:2" ht="12.75" customHeight="1" x14ac:dyDescent="0.25">
      <c r="A29124" s="318">
        <v>454805392424</v>
      </c>
      <c r="B29124" s="318" t="s">
        <v>237</v>
      </c>
    </row>
    <row r="29125" spans="1:2" ht="12.75" customHeight="1" x14ac:dyDescent="0.25">
      <c r="A29125" s="318">
        <v>454805392425</v>
      </c>
      <c r="B29125" s="318" t="s">
        <v>237</v>
      </c>
    </row>
    <row r="29126" spans="1:2" ht="12.75" customHeight="1" x14ac:dyDescent="0.25">
      <c r="A29126" s="318">
        <v>454805392426</v>
      </c>
      <c r="B29126" s="318" t="s">
        <v>23</v>
      </c>
    </row>
    <row r="29127" spans="1:2" ht="12.75" customHeight="1" x14ac:dyDescent="0.25">
      <c r="A29127" s="318">
        <v>454805392427</v>
      </c>
      <c r="B29127" s="318" t="s">
        <v>23</v>
      </c>
    </row>
    <row r="29128" spans="1:2" ht="12.75" customHeight="1" x14ac:dyDescent="0.25">
      <c r="A29128" s="318">
        <v>454805392428</v>
      </c>
      <c r="B29128" s="318" t="s">
        <v>237</v>
      </c>
    </row>
    <row r="29129" spans="1:2" ht="12.75" customHeight="1" x14ac:dyDescent="0.25">
      <c r="A29129" s="318">
        <v>454805392429</v>
      </c>
      <c r="B29129" s="318" t="s">
        <v>237</v>
      </c>
    </row>
    <row r="29130" spans="1:2" ht="12.75" customHeight="1" x14ac:dyDescent="0.25">
      <c r="A29130" s="318">
        <v>454805433589</v>
      </c>
      <c r="B29130" s="318" t="s">
        <v>236</v>
      </c>
    </row>
    <row r="29131" spans="1:2" ht="12.75" customHeight="1" x14ac:dyDescent="0.25">
      <c r="A29131" s="318">
        <v>454805433590</v>
      </c>
      <c r="B29131" s="318" t="s">
        <v>235</v>
      </c>
    </row>
    <row r="29132" spans="1:2" ht="12.75" customHeight="1" x14ac:dyDescent="0.25">
      <c r="A29132" s="318">
        <v>454805433591</v>
      </c>
      <c r="B29132" s="318" t="s">
        <v>236</v>
      </c>
    </row>
    <row r="29133" spans="1:2" ht="12.75" customHeight="1" x14ac:dyDescent="0.25">
      <c r="A29133" s="318">
        <v>454805433592</v>
      </c>
      <c r="B29133" s="318" t="s">
        <v>235</v>
      </c>
    </row>
    <row r="29134" spans="1:2" ht="12.75" customHeight="1" x14ac:dyDescent="0.25">
      <c r="A29134" s="318">
        <v>454805433593</v>
      </c>
      <c r="B29134" s="318" t="s">
        <v>236</v>
      </c>
    </row>
    <row r="29135" spans="1:2" ht="12.75" customHeight="1" x14ac:dyDescent="0.25">
      <c r="A29135" s="318">
        <v>454805433594</v>
      </c>
      <c r="B29135" s="318" t="s">
        <v>235</v>
      </c>
    </row>
    <row r="29136" spans="1:2" ht="12.75" customHeight="1" x14ac:dyDescent="0.25">
      <c r="A29136" s="318">
        <v>454805433595</v>
      </c>
      <c r="B29136" s="318" t="s">
        <v>236</v>
      </c>
    </row>
    <row r="29137" spans="1:2" ht="12.75" customHeight="1" x14ac:dyDescent="0.25">
      <c r="A29137" s="318">
        <v>454805433596</v>
      </c>
      <c r="B29137" s="318" t="s">
        <v>235</v>
      </c>
    </row>
    <row r="29138" spans="1:2" ht="12.75" customHeight="1" x14ac:dyDescent="0.25">
      <c r="A29138" s="318">
        <v>454805433689</v>
      </c>
      <c r="B29138" s="318" t="s">
        <v>236</v>
      </c>
    </row>
    <row r="29139" spans="1:2" ht="12.75" customHeight="1" x14ac:dyDescent="0.25">
      <c r="A29139" s="318">
        <v>454805433690</v>
      </c>
      <c r="B29139" s="318" t="s">
        <v>235</v>
      </c>
    </row>
    <row r="29140" spans="1:2" ht="12.75" customHeight="1" x14ac:dyDescent="0.25">
      <c r="A29140" s="318">
        <v>454805433691</v>
      </c>
      <c r="B29140" s="318" t="s">
        <v>236</v>
      </c>
    </row>
    <row r="29141" spans="1:2" ht="12.75" customHeight="1" x14ac:dyDescent="0.25">
      <c r="A29141" s="318">
        <v>454805433692</v>
      </c>
      <c r="B29141" s="318" t="s">
        <v>235</v>
      </c>
    </row>
    <row r="29142" spans="1:2" ht="12.75" customHeight="1" x14ac:dyDescent="0.25">
      <c r="A29142" s="318">
        <v>454805433693</v>
      </c>
      <c r="B29142" s="318" t="s">
        <v>236</v>
      </c>
    </row>
    <row r="29143" spans="1:2" ht="12.75" customHeight="1" x14ac:dyDescent="0.25">
      <c r="A29143" s="318">
        <v>454805433694</v>
      </c>
      <c r="B29143" s="318" t="s">
        <v>235</v>
      </c>
    </row>
    <row r="29144" spans="1:2" ht="12.75" customHeight="1" x14ac:dyDescent="0.25">
      <c r="A29144" s="318">
        <v>454805433695</v>
      </c>
      <c r="B29144" s="318" t="s">
        <v>236</v>
      </c>
    </row>
    <row r="29145" spans="1:2" ht="12.75" customHeight="1" x14ac:dyDescent="0.25">
      <c r="A29145" s="318">
        <v>454805433696</v>
      </c>
      <c r="B29145" s="318" t="s">
        <v>235</v>
      </c>
    </row>
    <row r="29146" spans="1:2" ht="12.75" customHeight="1" x14ac:dyDescent="0.25">
      <c r="A29146" s="318">
        <v>485125707792</v>
      </c>
      <c r="B29146" s="318" t="s">
        <v>236</v>
      </c>
    </row>
    <row r="29147" spans="1:2" ht="12.75" customHeight="1" x14ac:dyDescent="0.25">
      <c r="A29147" s="318">
        <v>485125707793</v>
      </c>
      <c r="B29147" s="318" t="s">
        <v>23</v>
      </c>
    </row>
    <row r="29148" spans="1:2" ht="12.75" customHeight="1" x14ac:dyDescent="0.25">
      <c r="A29148" s="318">
        <v>485125707794</v>
      </c>
      <c r="B29148" s="318" t="s">
        <v>236</v>
      </c>
    </row>
    <row r="29149" spans="1:2" ht="12.75" customHeight="1" x14ac:dyDescent="0.25">
      <c r="A29149" s="318">
        <v>485125707795</v>
      </c>
      <c r="B29149" s="318" t="s">
        <v>23</v>
      </c>
    </row>
    <row r="29150" spans="1:2" ht="12.75" customHeight="1" x14ac:dyDescent="0.25">
      <c r="A29150" s="318">
        <v>485125707892</v>
      </c>
      <c r="B29150" s="318" t="s">
        <v>236</v>
      </c>
    </row>
    <row r="29151" spans="1:2" ht="12.75" customHeight="1" x14ac:dyDescent="0.25">
      <c r="A29151" s="318">
        <v>485125707893</v>
      </c>
      <c r="B29151" s="318" t="s">
        <v>23</v>
      </c>
    </row>
    <row r="29152" spans="1:2" ht="12.75" customHeight="1" x14ac:dyDescent="0.25">
      <c r="A29152" s="318">
        <v>485125707894</v>
      </c>
      <c r="B29152" s="318" t="s">
        <v>236</v>
      </c>
    </row>
    <row r="29153" spans="1:2" ht="12.75" customHeight="1" x14ac:dyDescent="0.25">
      <c r="A29153" s="318">
        <v>485125707895</v>
      </c>
      <c r="B29153" s="318" t="s">
        <v>237</v>
      </c>
    </row>
    <row r="29154" spans="1:2" ht="12.75" customHeight="1" x14ac:dyDescent="0.25">
      <c r="A29154" s="318">
        <v>485125719887</v>
      </c>
      <c r="B29154" s="318" t="s">
        <v>23</v>
      </c>
    </row>
    <row r="29155" spans="1:2" ht="12.75" customHeight="1" x14ac:dyDescent="0.25">
      <c r="A29155" s="318">
        <v>485125719888</v>
      </c>
      <c r="B29155" s="318" t="s">
        <v>23</v>
      </c>
    </row>
    <row r="29156" spans="1:2" ht="12.75" customHeight="1" x14ac:dyDescent="0.25">
      <c r="A29156" s="318">
        <v>485125719889</v>
      </c>
      <c r="B29156" s="318" t="s">
        <v>23</v>
      </c>
    </row>
    <row r="29157" spans="1:2" ht="12.75" customHeight="1" x14ac:dyDescent="0.25">
      <c r="A29157" s="318">
        <v>485125719890</v>
      </c>
      <c r="B29157" s="318" t="s">
        <v>23</v>
      </c>
    </row>
    <row r="29158" spans="1:2" ht="12.75" customHeight="1" x14ac:dyDescent="0.25">
      <c r="A29158" s="318">
        <v>485125719987</v>
      </c>
      <c r="B29158" s="318" t="s">
        <v>23</v>
      </c>
    </row>
    <row r="29159" spans="1:2" ht="12.75" customHeight="1" x14ac:dyDescent="0.25">
      <c r="A29159" s="318">
        <v>485125719988</v>
      </c>
      <c r="B29159" s="318" t="s">
        <v>23</v>
      </c>
    </row>
    <row r="29160" spans="1:2" ht="12.75" customHeight="1" x14ac:dyDescent="0.25">
      <c r="A29160" s="318">
        <v>485125719989</v>
      </c>
      <c r="B29160" s="318" t="s">
        <v>237</v>
      </c>
    </row>
    <row r="29161" spans="1:2" ht="12.75" customHeight="1" x14ac:dyDescent="0.25">
      <c r="A29161" s="318">
        <v>485125719990</v>
      </c>
      <c r="B29161" s="318" t="s">
        <v>237</v>
      </c>
    </row>
    <row r="29162" spans="1:2" ht="12.75" customHeight="1" x14ac:dyDescent="0.25">
      <c r="A29162" s="318">
        <v>485125731982</v>
      </c>
      <c r="B29162" s="318" t="s">
        <v>236</v>
      </c>
    </row>
    <row r="29163" spans="1:2" ht="12.75" customHeight="1" x14ac:dyDescent="0.25">
      <c r="A29163" s="318">
        <v>485125731983</v>
      </c>
      <c r="B29163" s="318" t="s">
        <v>235</v>
      </c>
    </row>
    <row r="29164" spans="1:2" ht="12.75" customHeight="1" x14ac:dyDescent="0.25">
      <c r="A29164" s="318">
        <v>485125731984</v>
      </c>
      <c r="B29164" s="318" t="s">
        <v>236</v>
      </c>
    </row>
    <row r="29165" spans="1:2" ht="12.75" customHeight="1" x14ac:dyDescent="0.25">
      <c r="A29165" s="318">
        <v>485125731985</v>
      </c>
      <c r="B29165" s="318" t="s">
        <v>235</v>
      </c>
    </row>
    <row r="29166" spans="1:2" ht="12.75" customHeight="1" x14ac:dyDescent="0.25">
      <c r="A29166" s="318">
        <v>485125732082</v>
      </c>
      <c r="B29166" s="318" t="s">
        <v>236</v>
      </c>
    </row>
    <row r="29167" spans="1:2" ht="12.75" customHeight="1" x14ac:dyDescent="0.25">
      <c r="A29167" s="318">
        <v>485125732083</v>
      </c>
      <c r="B29167" s="318" t="s">
        <v>235</v>
      </c>
    </row>
    <row r="29168" spans="1:2" ht="12.75" customHeight="1" x14ac:dyDescent="0.25">
      <c r="A29168" s="318">
        <v>485125732084</v>
      </c>
      <c r="B29168" s="318" t="s">
        <v>236</v>
      </c>
    </row>
    <row r="29169" spans="1:2" ht="12.75" customHeight="1" x14ac:dyDescent="0.25">
      <c r="A29169" s="318">
        <v>485125732085</v>
      </c>
      <c r="B29169" s="318" t="s">
        <v>235</v>
      </c>
    </row>
    <row r="29170" spans="1:2" ht="12.75" customHeight="1" x14ac:dyDescent="0.25">
      <c r="A29170" s="318">
        <v>515446064529</v>
      </c>
      <c r="B29170" s="318" t="s">
        <v>236</v>
      </c>
    </row>
    <row r="29171" spans="1:2" ht="12.75" customHeight="1" x14ac:dyDescent="0.25">
      <c r="A29171" s="318">
        <v>515446064530</v>
      </c>
      <c r="B29171" s="318" t="s">
        <v>23</v>
      </c>
    </row>
    <row r="29172" spans="1:2" ht="12.75" customHeight="1" x14ac:dyDescent="0.25">
      <c r="A29172" s="318">
        <v>515446064531</v>
      </c>
      <c r="B29172" s="318" t="s">
        <v>236</v>
      </c>
    </row>
    <row r="29173" spans="1:2" ht="12.75" customHeight="1" x14ac:dyDescent="0.25">
      <c r="A29173" s="318">
        <v>515446064532</v>
      </c>
      <c r="B29173" s="318" t="s">
        <v>23</v>
      </c>
    </row>
    <row r="29174" spans="1:2" ht="12.75" customHeight="1" x14ac:dyDescent="0.25">
      <c r="A29174" s="318">
        <v>515446064629</v>
      </c>
      <c r="B29174" s="318" t="s">
        <v>236</v>
      </c>
    </row>
    <row r="29175" spans="1:2" ht="12.75" customHeight="1" x14ac:dyDescent="0.25">
      <c r="A29175" s="318">
        <v>515446064630</v>
      </c>
      <c r="B29175" s="318" t="s">
        <v>23</v>
      </c>
    </row>
    <row r="29176" spans="1:2" ht="12.75" customHeight="1" x14ac:dyDescent="0.25">
      <c r="A29176" s="318">
        <v>515446064631</v>
      </c>
      <c r="B29176" s="318" t="s">
        <v>236</v>
      </c>
    </row>
    <row r="29177" spans="1:2" ht="12.75" customHeight="1" x14ac:dyDescent="0.25">
      <c r="A29177" s="318">
        <v>515446064632</v>
      </c>
      <c r="B29177" s="318" t="s">
        <v>237</v>
      </c>
    </row>
    <row r="29178" spans="1:2" ht="12.75" customHeight="1" x14ac:dyDescent="0.25">
      <c r="A29178" s="318">
        <v>515446068085</v>
      </c>
      <c r="B29178" s="318" t="s">
        <v>23</v>
      </c>
    </row>
    <row r="29179" spans="1:2" ht="12.75" customHeight="1" x14ac:dyDescent="0.25">
      <c r="A29179" s="318">
        <v>515446068086</v>
      </c>
      <c r="B29179" s="318" t="s">
        <v>23</v>
      </c>
    </row>
    <row r="29180" spans="1:2" ht="12.75" customHeight="1" x14ac:dyDescent="0.25">
      <c r="A29180" s="318">
        <v>515446068087</v>
      </c>
      <c r="B29180" s="318" t="s">
        <v>23</v>
      </c>
    </row>
    <row r="29181" spans="1:2" ht="12.75" customHeight="1" x14ac:dyDescent="0.25">
      <c r="A29181" s="318">
        <v>515446068088</v>
      </c>
      <c r="B29181" s="318" t="s">
        <v>23</v>
      </c>
    </row>
    <row r="29182" spans="1:2" ht="12.75" customHeight="1" x14ac:dyDescent="0.25">
      <c r="A29182" s="318">
        <v>515446068185</v>
      </c>
      <c r="B29182" s="318" t="s">
        <v>23</v>
      </c>
    </row>
    <row r="29183" spans="1:2" ht="12.75" customHeight="1" x14ac:dyDescent="0.25">
      <c r="A29183" s="318">
        <v>515446068186</v>
      </c>
      <c r="B29183" s="318" t="s">
        <v>23</v>
      </c>
    </row>
    <row r="29184" spans="1:2" ht="12.75" customHeight="1" x14ac:dyDescent="0.25">
      <c r="A29184" s="318">
        <v>515446068187</v>
      </c>
      <c r="B29184" s="318" t="s">
        <v>237</v>
      </c>
    </row>
    <row r="29185" spans="1:2" ht="12.75" customHeight="1" x14ac:dyDescent="0.25">
      <c r="A29185" s="318">
        <v>515446068188</v>
      </c>
      <c r="B29185" s="318" t="s">
        <v>237</v>
      </c>
    </row>
    <row r="29186" spans="1:2" ht="12.75" customHeight="1" x14ac:dyDescent="0.25">
      <c r="A29186" s="318">
        <v>515446071641</v>
      </c>
      <c r="B29186" s="318" t="s">
        <v>236</v>
      </c>
    </row>
    <row r="29187" spans="1:2" ht="12.75" customHeight="1" x14ac:dyDescent="0.25">
      <c r="A29187" s="318">
        <v>515446071642</v>
      </c>
      <c r="B29187" s="318" t="s">
        <v>235</v>
      </c>
    </row>
    <row r="29188" spans="1:2" ht="12.75" customHeight="1" x14ac:dyDescent="0.25">
      <c r="A29188" s="318">
        <v>515446071643</v>
      </c>
      <c r="B29188" s="318" t="s">
        <v>236</v>
      </c>
    </row>
    <row r="29189" spans="1:2" ht="12.75" customHeight="1" x14ac:dyDescent="0.25">
      <c r="A29189" s="318">
        <v>515446071644</v>
      </c>
      <c r="B29189" s="318" t="s">
        <v>235</v>
      </c>
    </row>
    <row r="29190" spans="1:2" ht="12.75" customHeight="1" x14ac:dyDescent="0.25">
      <c r="A29190" s="318">
        <v>515446071741</v>
      </c>
      <c r="B29190" s="318" t="s">
        <v>236</v>
      </c>
    </row>
    <row r="29191" spans="1:2" ht="12.75" customHeight="1" x14ac:dyDescent="0.25">
      <c r="A29191" s="318">
        <v>515446071742</v>
      </c>
      <c r="B29191" s="318" t="s">
        <v>235</v>
      </c>
    </row>
    <row r="29192" spans="1:2" ht="12.75" customHeight="1" x14ac:dyDescent="0.25">
      <c r="A29192" s="318">
        <v>515446071743</v>
      </c>
      <c r="B29192" s="318" t="s">
        <v>236</v>
      </c>
    </row>
    <row r="29193" spans="1:2" ht="12.75" customHeight="1" x14ac:dyDescent="0.25">
      <c r="A29193" s="318">
        <v>515446071744</v>
      </c>
      <c r="B29193" s="318" t="s">
        <v>235</v>
      </c>
    </row>
    <row r="29194" spans="1:2" ht="12.75" customHeight="1" x14ac:dyDescent="0.25">
      <c r="A29194" s="318">
        <v>545766421266</v>
      </c>
      <c r="B29194" s="318" t="s">
        <v>23</v>
      </c>
    </row>
    <row r="29195" spans="1:2" ht="12.75" customHeight="1" x14ac:dyDescent="0.25">
      <c r="A29195" s="318">
        <v>545766421268</v>
      </c>
      <c r="B29195" s="318" t="s">
        <v>23</v>
      </c>
    </row>
    <row r="29196" spans="1:2" ht="12.75" customHeight="1" x14ac:dyDescent="0.25">
      <c r="A29196" s="318">
        <v>545766421366</v>
      </c>
      <c r="B29196" s="318" t="s">
        <v>23</v>
      </c>
    </row>
    <row r="29197" spans="1:2" ht="12.75" customHeight="1" x14ac:dyDescent="0.25">
      <c r="A29197" s="318">
        <v>545766421368</v>
      </c>
      <c r="B29197" s="318" t="s">
        <v>237</v>
      </c>
    </row>
    <row r="29198" spans="1:2" ht="12.75" customHeight="1" x14ac:dyDescent="0.25">
      <c r="A29198" s="318">
        <v>576086778003</v>
      </c>
      <c r="B29198" s="318" t="s">
        <v>236</v>
      </c>
    </row>
    <row r="29199" spans="1:2" ht="12.75" customHeight="1" x14ac:dyDescent="0.25">
      <c r="A29199" s="318">
        <v>576086778004</v>
      </c>
      <c r="B29199" s="318" t="s">
        <v>23</v>
      </c>
    </row>
    <row r="29200" spans="1:2" ht="12.75" customHeight="1" x14ac:dyDescent="0.25">
      <c r="A29200" s="318">
        <v>576086778005</v>
      </c>
      <c r="B29200" s="318" t="s">
        <v>236</v>
      </c>
    </row>
    <row r="29201" spans="1:2" ht="12.75" customHeight="1" x14ac:dyDescent="0.25">
      <c r="A29201" s="318">
        <v>576086778006</v>
      </c>
      <c r="B29201" s="318" t="s">
        <v>23</v>
      </c>
    </row>
    <row r="29202" spans="1:2" ht="12.75" customHeight="1" x14ac:dyDescent="0.25">
      <c r="A29202" s="318">
        <v>576086778103</v>
      </c>
      <c r="B29202" s="318" t="s">
        <v>236</v>
      </c>
    </row>
    <row r="29203" spans="1:2" ht="12.75" customHeight="1" x14ac:dyDescent="0.25">
      <c r="A29203" s="318">
        <v>576086778104</v>
      </c>
      <c r="B29203" s="318" t="s">
        <v>23</v>
      </c>
    </row>
    <row r="29204" spans="1:2" ht="12.75" customHeight="1" x14ac:dyDescent="0.25">
      <c r="A29204" s="318">
        <v>576086778105</v>
      </c>
      <c r="B29204" s="318" t="s">
        <v>236</v>
      </c>
    </row>
    <row r="29205" spans="1:2" ht="12.75" customHeight="1" x14ac:dyDescent="0.25">
      <c r="A29205" s="318">
        <v>576086778106</v>
      </c>
      <c r="B29205" s="318" t="s">
        <v>237</v>
      </c>
    </row>
    <row r="29206" spans="1:2" ht="12.75" customHeight="1" x14ac:dyDescent="0.25">
      <c r="A29206" s="318">
        <v>576086779067</v>
      </c>
      <c r="B29206" s="318" t="s">
        <v>23</v>
      </c>
    </row>
    <row r="29207" spans="1:2" ht="12.75" customHeight="1" x14ac:dyDescent="0.25">
      <c r="A29207" s="318">
        <v>576086779068</v>
      </c>
      <c r="B29207" s="318" t="s">
        <v>23</v>
      </c>
    </row>
    <row r="29208" spans="1:2" ht="12.75" customHeight="1" x14ac:dyDescent="0.25">
      <c r="A29208" s="318">
        <v>576086779069</v>
      </c>
      <c r="B29208" s="318" t="s">
        <v>23</v>
      </c>
    </row>
    <row r="29209" spans="1:2" ht="12.75" customHeight="1" x14ac:dyDescent="0.25">
      <c r="A29209" s="318">
        <v>576086779070</v>
      </c>
      <c r="B29209" s="318" t="s">
        <v>23</v>
      </c>
    </row>
    <row r="29210" spans="1:2" ht="12.75" customHeight="1" x14ac:dyDescent="0.25">
      <c r="A29210" s="318">
        <v>576086779167</v>
      </c>
      <c r="B29210" s="318" t="s">
        <v>23</v>
      </c>
    </row>
    <row r="29211" spans="1:2" ht="12.75" customHeight="1" x14ac:dyDescent="0.25">
      <c r="A29211" s="318">
        <v>576086779168</v>
      </c>
      <c r="B29211" s="318" t="s">
        <v>23</v>
      </c>
    </row>
    <row r="29212" spans="1:2" ht="12.75" customHeight="1" x14ac:dyDescent="0.25">
      <c r="A29212" s="318">
        <v>576086779169</v>
      </c>
      <c r="B29212" s="318" t="s">
        <v>237</v>
      </c>
    </row>
    <row r="29213" spans="1:2" ht="12.75" customHeight="1" x14ac:dyDescent="0.25">
      <c r="A29213" s="318">
        <v>576086779170</v>
      </c>
      <c r="B29213" s="318" t="s">
        <v>237</v>
      </c>
    </row>
    <row r="29214" spans="1:2" ht="12.75" customHeight="1" x14ac:dyDescent="0.25">
      <c r="A29214" s="318">
        <v>576086780131</v>
      </c>
      <c r="B29214" s="318" t="s">
        <v>236</v>
      </c>
    </row>
    <row r="29215" spans="1:2" ht="12.75" customHeight="1" x14ac:dyDescent="0.25">
      <c r="A29215" s="318">
        <v>576086780132</v>
      </c>
      <c r="B29215" s="318" t="s">
        <v>235</v>
      </c>
    </row>
    <row r="29216" spans="1:2" ht="12.75" customHeight="1" x14ac:dyDescent="0.25">
      <c r="A29216" s="318">
        <v>576086780133</v>
      </c>
      <c r="B29216" s="318" t="s">
        <v>236</v>
      </c>
    </row>
    <row r="29217" spans="1:2" ht="12.75" customHeight="1" x14ac:dyDescent="0.25">
      <c r="A29217" s="318">
        <v>576086780134</v>
      </c>
      <c r="B29217" s="318" t="s">
        <v>235</v>
      </c>
    </row>
    <row r="29218" spans="1:2" ht="12.75" customHeight="1" x14ac:dyDescent="0.25">
      <c r="A29218" s="318">
        <v>576086780231</v>
      </c>
      <c r="B29218" s="318" t="s">
        <v>236</v>
      </c>
    </row>
    <row r="29219" spans="1:2" ht="12.75" customHeight="1" x14ac:dyDescent="0.25">
      <c r="A29219" s="318">
        <v>576086780232</v>
      </c>
      <c r="B29219" s="318" t="s">
        <v>235</v>
      </c>
    </row>
    <row r="29220" spans="1:2" ht="12.75" customHeight="1" x14ac:dyDescent="0.25">
      <c r="A29220" s="318">
        <v>576086780233</v>
      </c>
      <c r="B29220" s="318" t="s">
        <v>236</v>
      </c>
    </row>
    <row r="29221" spans="1:2" ht="12.75" customHeight="1" x14ac:dyDescent="0.25">
      <c r="A29221" s="318">
        <v>576086780234</v>
      </c>
      <c r="B29221" s="318" t="s">
        <v>235</v>
      </c>
    </row>
    <row r="29222" spans="1:2" ht="12.75" customHeight="1" x14ac:dyDescent="0.25">
      <c r="A29222" s="318">
        <v>606407134973</v>
      </c>
      <c r="B29222" s="318" t="s">
        <v>237</v>
      </c>
    </row>
    <row r="29223" spans="1:2" ht="12.75" customHeight="1" x14ac:dyDescent="0.25">
      <c r="A29223" s="318">
        <v>606407134975</v>
      </c>
      <c r="B29223" s="318" t="s">
        <v>237</v>
      </c>
    </row>
    <row r="29224" spans="1:2" ht="12.75" customHeight="1" x14ac:dyDescent="0.25">
      <c r="A29224" s="318">
        <v>606407135073</v>
      </c>
      <c r="B29224" s="318" t="s">
        <v>237</v>
      </c>
    </row>
    <row r="29225" spans="1:2" ht="12.75" customHeight="1" x14ac:dyDescent="0.25">
      <c r="A29225" s="318">
        <v>606407135075</v>
      </c>
      <c r="B29225" s="318" t="s">
        <v>237</v>
      </c>
    </row>
    <row r="29226" spans="1:2" ht="12.75" customHeight="1" x14ac:dyDescent="0.25">
      <c r="A29226" s="318">
        <v>606407135206</v>
      </c>
      <c r="B29226" s="318" t="s">
        <v>236</v>
      </c>
    </row>
    <row r="29227" spans="1:2" ht="12.75" customHeight="1" x14ac:dyDescent="0.25">
      <c r="A29227" s="318">
        <v>606407135208</v>
      </c>
      <c r="B29227" s="318" t="s">
        <v>236</v>
      </c>
    </row>
    <row r="29228" spans="1:2" ht="12.75" customHeight="1" x14ac:dyDescent="0.25">
      <c r="A29228" s="318">
        <v>606407135306</v>
      </c>
      <c r="B29228" s="318" t="s">
        <v>236</v>
      </c>
    </row>
    <row r="29229" spans="1:2" ht="12.75" customHeight="1" x14ac:dyDescent="0.25">
      <c r="A29229" s="318">
        <v>606407135308</v>
      </c>
      <c r="B29229" s="318" t="s">
        <v>236</v>
      </c>
    </row>
    <row r="29230" spans="1:2" ht="12.75" customHeight="1" x14ac:dyDescent="0.25">
      <c r="A29230" s="318">
        <v>606407135439</v>
      </c>
      <c r="B29230" s="318" t="s">
        <v>236</v>
      </c>
    </row>
    <row r="29231" spans="1:2" ht="12.75" customHeight="1" x14ac:dyDescent="0.25">
      <c r="A29231" s="318">
        <v>606407135441</v>
      </c>
      <c r="B29231" s="318" t="s">
        <v>236</v>
      </c>
    </row>
    <row r="29232" spans="1:2" ht="12.75" customHeight="1" x14ac:dyDescent="0.25">
      <c r="A29232" s="318">
        <v>606407135539</v>
      </c>
      <c r="B29232" s="318" t="s">
        <v>236</v>
      </c>
    </row>
    <row r="29233" spans="1:2" ht="12.75" customHeight="1" x14ac:dyDescent="0.25">
      <c r="A29233" s="318">
        <v>606407135541</v>
      </c>
      <c r="B29233" s="318" t="s">
        <v>23</v>
      </c>
    </row>
    <row r="29234" spans="1:2" ht="12.75" customHeight="1" x14ac:dyDescent="0.25">
      <c r="A29234" s="318">
        <v>636727491477</v>
      </c>
      <c r="B29234" s="318" t="s">
        <v>236</v>
      </c>
    </row>
    <row r="29235" spans="1:2" ht="12.75" customHeight="1" x14ac:dyDescent="0.25">
      <c r="A29235" s="318">
        <v>667047848214</v>
      </c>
      <c r="B29235" s="318" t="s">
        <v>23</v>
      </c>
    </row>
    <row r="29236" spans="1:2" ht="12.75" customHeight="1" x14ac:dyDescent="0.25">
      <c r="A29236" s="318">
        <v>697368205184</v>
      </c>
      <c r="B29236" s="318" t="s">
        <v>237</v>
      </c>
    </row>
    <row r="29237" spans="1:2" ht="12.75" customHeight="1" x14ac:dyDescent="0.25">
      <c r="A29237" s="318">
        <v>697368205186</v>
      </c>
      <c r="B29237" s="318" t="s">
        <v>237</v>
      </c>
    </row>
    <row r="29238" spans="1:2" ht="12.75" customHeight="1" x14ac:dyDescent="0.25">
      <c r="A29238" s="318">
        <v>697368205188</v>
      </c>
      <c r="B29238" s="318" t="s">
        <v>237</v>
      </c>
    </row>
    <row r="29239" spans="1:2" ht="12.75" customHeight="1" x14ac:dyDescent="0.25">
      <c r="A29239" s="318">
        <v>697368205190</v>
      </c>
      <c r="B29239" s="318" t="s">
        <v>237</v>
      </c>
    </row>
    <row r="29240" spans="1:2" ht="12.75" customHeight="1" x14ac:dyDescent="0.25">
      <c r="A29240" s="318">
        <v>697368205284</v>
      </c>
      <c r="B29240" s="318" t="s">
        <v>237</v>
      </c>
    </row>
    <row r="29241" spans="1:2" ht="12.75" customHeight="1" x14ac:dyDescent="0.25">
      <c r="A29241" s="318">
        <v>697368205286</v>
      </c>
      <c r="B29241" s="318" t="s">
        <v>237</v>
      </c>
    </row>
    <row r="29242" spans="1:2" ht="12.75" customHeight="1" x14ac:dyDescent="0.25">
      <c r="A29242" s="318">
        <v>697368205288</v>
      </c>
      <c r="B29242" s="318" t="s">
        <v>237</v>
      </c>
    </row>
    <row r="29243" spans="1:2" ht="12.75" customHeight="1" x14ac:dyDescent="0.25">
      <c r="A29243" s="318">
        <v>697368205290</v>
      </c>
      <c r="B29243" s="318" t="s">
        <v>237</v>
      </c>
    </row>
    <row r="29244" spans="1:2" ht="12.75" customHeight="1" x14ac:dyDescent="0.25">
      <c r="A29244" s="318">
        <v>697368205417</v>
      </c>
      <c r="B29244" s="318" t="s">
        <v>236</v>
      </c>
    </row>
    <row r="29245" spans="1:2" ht="12.75" customHeight="1" x14ac:dyDescent="0.25">
      <c r="A29245" s="318">
        <v>697368205419</v>
      </c>
      <c r="B29245" s="318" t="s">
        <v>236</v>
      </c>
    </row>
    <row r="29246" spans="1:2" ht="12.75" customHeight="1" x14ac:dyDescent="0.25">
      <c r="A29246" s="318">
        <v>697368205421</v>
      </c>
      <c r="B29246" s="318" t="s">
        <v>236</v>
      </c>
    </row>
    <row r="29247" spans="1:2" ht="12.75" customHeight="1" x14ac:dyDescent="0.25">
      <c r="A29247" s="318">
        <v>697368205423</v>
      </c>
      <c r="B29247" s="318" t="s">
        <v>236</v>
      </c>
    </row>
    <row r="29248" spans="1:2" ht="12.75" customHeight="1" x14ac:dyDescent="0.25">
      <c r="A29248" s="318">
        <v>697368205517</v>
      </c>
      <c r="B29248" s="318" t="s">
        <v>236</v>
      </c>
    </row>
    <row r="29249" spans="1:2" ht="12.75" customHeight="1" x14ac:dyDescent="0.25">
      <c r="A29249" s="318">
        <v>697368205519</v>
      </c>
      <c r="B29249" s="318" t="s">
        <v>236</v>
      </c>
    </row>
    <row r="29250" spans="1:2" ht="12.75" customHeight="1" x14ac:dyDescent="0.25">
      <c r="A29250" s="318">
        <v>697368205521</v>
      </c>
      <c r="B29250" s="318" t="s">
        <v>236</v>
      </c>
    </row>
    <row r="29251" spans="1:2" ht="12.75" customHeight="1" x14ac:dyDescent="0.25">
      <c r="A29251" s="318">
        <v>697368205523</v>
      </c>
      <c r="B29251" s="318" t="s">
        <v>236</v>
      </c>
    </row>
    <row r="29252" spans="1:2" ht="12.75" customHeight="1" x14ac:dyDescent="0.25">
      <c r="A29252" s="318">
        <v>697368205650</v>
      </c>
      <c r="B29252" s="318" t="s">
        <v>236</v>
      </c>
    </row>
    <row r="29253" spans="1:2" ht="12.75" customHeight="1" x14ac:dyDescent="0.25">
      <c r="A29253" s="318">
        <v>697368205652</v>
      </c>
      <c r="B29253" s="318" t="s">
        <v>236</v>
      </c>
    </row>
    <row r="29254" spans="1:2" ht="12.75" customHeight="1" x14ac:dyDescent="0.25">
      <c r="A29254" s="318">
        <v>697368205654</v>
      </c>
      <c r="B29254" s="318" t="s">
        <v>236</v>
      </c>
    </row>
    <row r="29255" spans="1:2" ht="12.75" customHeight="1" x14ac:dyDescent="0.25">
      <c r="A29255" s="318">
        <v>697368205656</v>
      </c>
      <c r="B29255" s="318" t="s">
        <v>23</v>
      </c>
    </row>
    <row r="29256" spans="1:2" ht="12.75" customHeight="1" x14ac:dyDescent="0.25">
      <c r="A29256" s="318">
        <v>697368205750</v>
      </c>
      <c r="B29256" s="318" t="s">
        <v>236</v>
      </c>
    </row>
    <row r="29257" spans="1:2" ht="12.75" customHeight="1" x14ac:dyDescent="0.25">
      <c r="A29257" s="318">
        <v>697368205752</v>
      </c>
      <c r="B29257" s="318" t="s">
        <v>23</v>
      </c>
    </row>
    <row r="29258" spans="1:2" ht="12.75" customHeight="1" x14ac:dyDescent="0.25">
      <c r="A29258" s="318">
        <v>697368205754</v>
      </c>
      <c r="B29258" s="318" t="s">
        <v>236</v>
      </c>
    </row>
    <row r="29259" spans="1:2" ht="12.75" customHeight="1" x14ac:dyDescent="0.25">
      <c r="A29259" s="318">
        <v>697368205756</v>
      </c>
      <c r="B29259" s="318" t="s">
        <v>23</v>
      </c>
    </row>
    <row r="29260" spans="1:2" ht="12.75" customHeight="1" x14ac:dyDescent="0.25">
      <c r="A29260" s="318">
        <v>727688561688</v>
      </c>
      <c r="B29260" s="318" t="s">
        <v>236</v>
      </c>
    </row>
    <row r="29261" spans="1:2" ht="12.75" customHeight="1" x14ac:dyDescent="0.25">
      <c r="A29261" s="318">
        <v>727688561690</v>
      </c>
      <c r="B29261" s="318" t="s">
        <v>236</v>
      </c>
    </row>
    <row r="29262" spans="1:2" ht="12.75" customHeight="1" x14ac:dyDescent="0.25">
      <c r="A29262" s="318">
        <v>727688561697</v>
      </c>
      <c r="B29262" s="318" t="s">
        <v>237</v>
      </c>
    </row>
    <row r="29263" spans="1:2" ht="12.75" customHeight="1" x14ac:dyDescent="0.25">
      <c r="A29263" s="318">
        <v>727688561699</v>
      </c>
      <c r="B29263" s="318" t="s">
        <v>237</v>
      </c>
    </row>
    <row r="29264" spans="1:2" ht="12.75" customHeight="1" x14ac:dyDescent="0.25">
      <c r="A29264" s="318">
        <v>727688561788</v>
      </c>
      <c r="B29264" s="318" t="s">
        <v>236</v>
      </c>
    </row>
    <row r="29265" spans="1:2" ht="12.75" customHeight="1" x14ac:dyDescent="0.25">
      <c r="A29265" s="318">
        <v>727688561790</v>
      </c>
      <c r="B29265" s="318" t="s">
        <v>23</v>
      </c>
    </row>
    <row r="29266" spans="1:2" ht="12.75" customHeight="1" x14ac:dyDescent="0.25">
      <c r="A29266" s="318">
        <v>727688561797</v>
      </c>
      <c r="B29266" s="318" t="s">
        <v>237</v>
      </c>
    </row>
    <row r="29267" spans="1:2" ht="12.75" customHeight="1" x14ac:dyDescent="0.25">
      <c r="A29267" s="318">
        <v>727688561799</v>
      </c>
      <c r="B29267" s="318" t="s">
        <v>237</v>
      </c>
    </row>
    <row r="29268" spans="1:2" ht="12.75" customHeight="1" x14ac:dyDescent="0.25">
      <c r="A29268" s="318">
        <v>758008918425</v>
      </c>
      <c r="B29268" s="318" t="s">
        <v>236</v>
      </c>
    </row>
    <row r="29269" spans="1:2" ht="12.75" customHeight="1" x14ac:dyDescent="0.25">
      <c r="A29269" s="318">
        <v>758008918427</v>
      </c>
      <c r="B29269" s="318" t="s">
        <v>236</v>
      </c>
    </row>
    <row r="29270" spans="1:2" ht="12.75" customHeight="1" x14ac:dyDescent="0.25">
      <c r="A29270" s="318">
        <v>758008918429</v>
      </c>
      <c r="B29270" s="318" t="s">
        <v>236</v>
      </c>
    </row>
    <row r="29271" spans="1:2" ht="12.75" customHeight="1" x14ac:dyDescent="0.25">
      <c r="A29271" s="318">
        <v>758008918431</v>
      </c>
      <c r="B29271" s="318" t="s">
        <v>23</v>
      </c>
    </row>
    <row r="29272" spans="1:2" ht="12.75" customHeight="1" x14ac:dyDescent="0.25">
      <c r="A29272" s="318">
        <v>758008918434</v>
      </c>
      <c r="B29272" s="318" t="s">
        <v>237</v>
      </c>
    </row>
    <row r="29273" spans="1:2" ht="12.75" customHeight="1" x14ac:dyDescent="0.25">
      <c r="A29273" s="318">
        <v>758008918436</v>
      </c>
      <c r="B29273" s="318" t="s">
        <v>237</v>
      </c>
    </row>
    <row r="29274" spans="1:2" ht="12.75" customHeight="1" x14ac:dyDescent="0.25">
      <c r="A29274" s="318">
        <v>758008918438</v>
      </c>
      <c r="B29274" s="318" t="s">
        <v>237</v>
      </c>
    </row>
    <row r="29275" spans="1:2" ht="12.75" customHeight="1" x14ac:dyDescent="0.25">
      <c r="A29275" s="318">
        <v>758008918440</v>
      </c>
      <c r="B29275" s="318" t="s">
        <v>237</v>
      </c>
    </row>
    <row r="29276" spans="1:2" ht="12.75" customHeight="1" x14ac:dyDescent="0.25">
      <c r="A29276" s="318">
        <v>758008918525</v>
      </c>
      <c r="B29276" s="318" t="s">
        <v>236</v>
      </c>
    </row>
    <row r="29277" spans="1:2" ht="12.75" customHeight="1" x14ac:dyDescent="0.25">
      <c r="A29277" s="318">
        <v>758008918527</v>
      </c>
      <c r="B29277" s="318" t="s">
        <v>23</v>
      </c>
    </row>
    <row r="29278" spans="1:2" ht="12.75" customHeight="1" x14ac:dyDescent="0.25">
      <c r="A29278" s="318">
        <v>758008918529</v>
      </c>
      <c r="B29278" s="318" t="s">
        <v>236</v>
      </c>
    </row>
    <row r="29279" spans="1:2" ht="12.75" customHeight="1" x14ac:dyDescent="0.25">
      <c r="A29279" s="318">
        <v>758008918531</v>
      </c>
      <c r="B29279" s="318" t="s">
        <v>23</v>
      </c>
    </row>
    <row r="29280" spans="1:2" ht="12.75" customHeight="1" x14ac:dyDescent="0.25">
      <c r="A29280" s="318">
        <v>758008918534</v>
      </c>
      <c r="B29280" s="318" t="s">
        <v>237</v>
      </c>
    </row>
    <row r="29281" spans="1:2" ht="12.75" customHeight="1" x14ac:dyDescent="0.25">
      <c r="A29281" s="318">
        <v>758008918536</v>
      </c>
      <c r="B29281" s="318" t="s">
        <v>237</v>
      </c>
    </row>
    <row r="29282" spans="1:2" ht="12.75" customHeight="1" x14ac:dyDescent="0.25">
      <c r="A29282" s="318">
        <v>758008918538</v>
      </c>
      <c r="B29282" s="318" t="s">
        <v>237</v>
      </c>
    </row>
    <row r="29283" spans="1:2" ht="12.75" customHeight="1" x14ac:dyDescent="0.25">
      <c r="A29283" s="319">
        <v>758008918540</v>
      </c>
      <c r="B29283" s="319" t="s">
        <v>237</v>
      </c>
    </row>
  </sheetData>
  <mergeCells count="3">
    <mergeCell ref="B2:B3"/>
    <mergeCell ref="A2:A3"/>
    <mergeCell ref="A1:B1"/>
  </mergeCells>
  <pageMargins left="0.70866141732283472" right="0.70866141732283472" top="0.74803149606299213" bottom="0.74803149606299213" header="0.31496062992125984" footer="0.31496062992125984"/>
  <pageSetup paperSize="8" fitToWidth="3" fitToHeight="0" orientation="landscape" r:id="rId1"/>
  <headerFooter>
    <oddHeader>&amp;LStructures Asset Management Planning Toolkit</oddHeader>
    <oddFooter>&amp;L&amp;A&amp;R&amp;P of &amp;N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_Ref0304i">
    <tabColor rgb="FFFFFF85"/>
  </sheetPr>
  <dimension ref="A1:BY131"/>
  <sheetViews>
    <sheetView showGridLines="0" zoomScale="70" zoomScaleNormal="70" workbookViewId="0">
      <selection activeCell="B5" sqref="B5"/>
    </sheetView>
  </sheetViews>
  <sheetFormatPr defaultColWidth="9.140625" defaultRowHeight="12.75" customHeight="1" x14ac:dyDescent="0.2"/>
  <cols>
    <col min="1" max="1" width="23.140625" style="1" customWidth="1"/>
    <col min="2" max="2" width="47.7109375" style="1" bestFit="1" customWidth="1"/>
    <col min="3" max="76" width="28" style="1" customWidth="1"/>
    <col min="77" max="77" width="27" style="1" customWidth="1"/>
    <col min="78" max="16384" width="9.140625" style="1"/>
  </cols>
  <sheetData>
    <row r="1" spans="1:77" ht="39.75" customHeight="1" x14ac:dyDescent="0.2">
      <c r="A1" s="584" t="s">
        <v>314</v>
      </c>
      <c r="B1" s="584"/>
      <c r="C1" s="583" t="s">
        <v>313</v>
      </c>
      <c r="D1" s="583"/>
      <c r="E1" s="583"/>
      <c r="F1" s="583"/>
      <c r="G1" s="583"/>
      <c r="H1" s="583"/>
      <c r="I1" s="583"/>
      <c r="J1" s="583"/>
      <c r="K1" s="583"/>
      <c r="L1" s="583"/>
      <c r="M1" s="583"/>
      <c r="N1" s="583"/>
      <c r="O1" s="583"/>
      <c r="P1" s="583"/>
      <c r="Q1" s="583"/>
      <c r="R1" s="583"/>
      <c r="S1" s="583"/>
      <c r="T1" s="583"/>
      <c r="U1" s="583"/>
      <c r="V1" s="583"/>
      <c r="W1" s="583"/>
      <c r="X1" s="583"/>
      <c r="Y1" s="583"/>
      <c r="Z1" s="583"/>
      <c r="AA1" s="583"/>
      <c r="AB1" s="583"/>
      <c r="AC1" s="583"/>
      <c r="AD1" s="583"/>
      <c r="AE1" s="583"/>
      <c r="AF1" s="583"/>
      <c r="AG1" s="583"/>
      <c r="AH1" s="583"/>
      <c r="AI1" s="583"/>
      <c r="AJ1" s="583"/>
      <c r="AK1" s="583"/>
      <c r="AL1" s="583"/>
      <c r="AM1" s="583"/>
      <c r="AN1" s="583"/>
      <c r="AO1" s="583"/>
      <c r="AP1" s="583"/>
      <c r="AQ1" s="583"/>
      <c r="AR1" s="583"/>
      <c r="AS1" s="583"/>
      <c r="AT1" s="583"/>
      <c r="AU1" s="583"/>
      <c r="AV1" s="583"/>
      <c r="AW1" s="583"/>
      <c r="AX1" s="583"/>
      <c r="AY1" s="583"/>
      <c r="AZ1" s="583"/>
      <c r="BA1" s="583"/>
      <c r="BB1" s="583"/>
      <c r="BC1" s="583"/>
      <c r="BD1" s="583"/>
      <c r="BE1" s="583"/>
      <c r="BF1" s="583"/>
      <c r="BG1" s="583"/>
      <c r="BH1" s="583"/>
      <c r="BI1" s="583"/>
      <c r="BJ1" s="583"/>
      <c r="BK1" s="583"/>
      <c r="BL1" s="583"/>
      <c r="BM1" s="583"/>
      <c r="BN1" s="583"/>
      <c r="BO1" s="583"/>
      <c r="BP1" s="583"/>
      <c r="BQ1" s="583"/>
      <c r="BR1" s="583"/>
      <c r="BS1" s="583"/>
      <c r="BT1" s="583"/>
      <c r="BU1" s="583"/>
      <c r="BV1" s="583"/>
      <c r="BW1" s="583"/>
      <c r="BX1" s="583"/>
      <c r="BY1" s="323" t="s">
        <v>1210</v>
      </c>
    </row>
    <row r="2" spans="1:77" ht="38.25" x14ac:dyDescent="0.2">
      <c r="A2" s="320" t="s">
        <v>312</v>
      </c>
      <c r="B2" s="320" t="s">
        <v>168</v>
      </c>
      <c r="C2" s="320" t="s">
        <v>88</v>
      </c>
      <c r="D2" s="320" t="s">
        <v>117</v>
      </c>
      <c r="E2" s="320" t="s">
        <v>86</v>
      </c>
      <c r="F2" s="320" t="s">
        <v>159</v>
      </c>
      <c r="G2" s="320" t="s">
        <v>83</v>
      </c>
      <c r="H2" s="320" t="s">
        <v>129</v>
      </c>
      <c r="I2" s="320" t="s">
        <v>130</v>
      </c>
      <c r="J2" s="320" t="s">
        <v>81</v>
      </c>
      <c r="K2" s="320" t="s">
        <v>79</v>
      </c>
      <c r="L2" s="320" t="s">
        <v>98</v>
      </c>
      <c r="M2" s="320" t="s">
        <v>112</v>
      </c>
      <c r="N2" s="320" t="s">
        <v>131</v>
      </c>
      <c r="O2" s="320" t="s">
        <v>77</v>
      </c>
      <c r="P2" s="320" t="s">
        <v>74</v>
      </c>
      <c r="Q2" s="320" t="s">
        <v>124</v>
      </c>
      <c r="R2" s="320" t="s">
        <v>116</v>
      </c>
      <c r="S2" s="320" t="s">
        <v>92</v>
      </c>
      <c r="T2" s="320" t="s">
        <v>115</v>
      </c>
      <c r="U2" s="320" t="s">
        <v>90</v>
      </c>
      <c r="V2" s="320" t="s">
        <v>120</v>
      </c>
      <c r="W2" s="320" t="s">
        <v>71</v>
      </c>
      <c r="X2" s="320" t="s">
        <v>68</v>
      </c>
      <c r="Y2" s="320" t="s">
        <v>65</v>
      </c>
      <c r="Z2" s="320" t="s">
        <v>109</v>
      </c>
      <c r="AA2" s="320" t="s">
        <v>96</v>
      </c>
      <c r="AB2" s="320" t="s">
        <v>62</v>
      </c>
      <c r="AC2" s="320" t="s">
        <v>136</v>
      </c>
      <c r="AD2" s="320" t="s">
        <v>158</v>
      </c>
      <c r="AE2" s="320" t="s">
        <v>89</v>
      </c>
      <c r="AF2" s="320" t="s">
        <v>128</v>
      </c>
      <c r="AG2" s="320" t="s">
        <v>93</v>
      </c>
      <c r="AH2" s="320" t="s">
        <v>111</v>
      </c>
      <c r="AI2" s="320" t="s">
        <v>58</v>
      </c>
      <c r="AJ2" s="320" t="s">
        <v>113</v>
      </c>
      <c r="AK2" s="320" t="s">
        <v>119</v>
      </c>
      <c r="AL2" s="320" t="s">
        <v>108</v>
      </c>
      <c r="AM2" s="320" t="s">
        <v>106</v>
      </c>
      <c r="AN2" s="320" t="s">
        <v>150</v>
      </c>
      <c r="AO2" s="320" t="s">
        <v>105</v>
      </c>
      <c r="AP2" s="320" t="s">
        <v>104</v>
      </c>
      <c r="AQ2" s="320" t="s">
        <v>133</v>
      </c>
      <c r="AR2" s="320" t="s">
        <v>126</v>
      </c>
      <c r="AS2" s="320" t="s">
        <v>102</v>
      </c>
      <c r="AT2" s="320" t="s">
        <v>110</v>
      </c>
      <c r="AU2" s="320" t="s">
        <v>1821</v>
      </c>
      <c r="AV2" s="320" t="s">
        <v>1824</v>
      </c>
      <c r="AW2" s="320" t="s">
        <v>1822</v>
      </c>
      <c r="AX2" s="320" t="s">
        <v>1825</v>
      </c>
      <c r="AY2" s="320" t="s">
        <v>1823</v>
      </c>
      <c r="AZ2" s="320" t="s">
        <v>1826</v>
      </c>
      <c r="BA2" s="320" t="s">
        <v>100</v>
      </c>
      <c r="BB2" s="320" t="s">
        <v>225</v>
      </c>
      <c r="BC2" s="320" t="s">
        <v>720</v>
      </c>
      <c r="BD2" s="320" t="s">
        <v>721</v>
      </c>
      <c r="BE2" s="320" t="s">
        <v>149</v>
      </c>
      <c r="BF2" s="320" t="s">
        <v>157</v>
      </c>
      <c r="BG2" s="320" t="s">
        <v>148</v>
      </c>
      <c r="BH2" s="320" t="s">
        <v>147</v>
      </c>
      <c r="BI2" s="320" t="s">
        <v>146</v>
      </c>
      <c r="BJ2" s="320" t="s">
        <v>156</v>
      </c>
      <c r="BK2" s="320" t="s">
        <v>155</v>
      </c>
      <c r="BL2" s="320" t="s">
        <v>154</v>
      </c>
      <c r="BM2" s="320" t="s">
        <v>153</v>
      </c>
      <c r="BN2" s="320" t="s">
        <v>145</v>
      </c>
      <c r="BO2" s="320" t="s">
        <v>143</v>
      </c>
      <c r="BP2" s="320" t="s">
        <v>142</v>
      </c>
      <c r="BQ2" s="320" t="s">
        <v>224</v>
      </c>
      <c r="BR2" s="320" t="s">
        <v>223</v>
      </c>
      <c r="BS2" s="320" t="s">
        <v>222</v>
      </c>
      <c r="BT2" s="320" t="s">
        <v>221</v>
      </c>
      <c r="BU2" s="320" t="s">
        <v>220</v>
      </c>
      <c r="BV2" s="320" t="s">
        <v>219</v>
      </c>
      <c r="BW2" s="320" t="s">
        <v>218</v>
      </c>
      <c r="BX2" s="320" t="s">
        <v>217</v>
      </c>
      <c r="BY2" s="320" t="s">
        <v>311</v>
      </c>
    </row>
    <row r="3" spans="1:77" ht="12.75" customHeight="1" x14ac:dyDescent="0.2">
      <c r="A3" s="311">
        <v>1</v>
      </c>
      <c r="B3" s="324" t="s">
        <v>310</v>
      </c>
      <c r="C3" s="311"/>
      <c r="D3" s="311"/>
      <c r="E3" s="311"/>
      <c r="F3" s="311"/>
      <c r="G3" s="311"/>
      <c r="H3" s="311"/>
      <c r="I3" s="311"/>
      <c r="J3" s="311"/>
      <c r="K3" s="311"/>
      <c r="L3" s="311"/>
      <c r="M3" s="311"/>
      <c r="N3" s="311"/>
      <c r="O3" s="311"/>
      <c r="P3" s="311"/>
      <c r="Q3" s="311"/>
      <c r="R3" s="311"/>
      <c r="S3" s="311"/>
      <c r="T3" s="311"/>
      <c r="U3" s="311"/>
      <c r="V3" s="311"/>
      <c r="W3" s="311"/>
      <c r="X3" s="311"/>
      <c r="Y3" s="311">
        <v>1</v>
      </c>
      <c r="Z3" s="311"/>
      <c r="AA3" s="311"/>
      <c r="AB3" s="311"/>
      <c r="AC3" s="311"/>
      <c r="AD3" s="311"/>
      <c r="AE3" s="311"/>
      <c r="AF3" s="311"/>
      <c r="AG3" s="311"/>
      <c r="AH3" s="311"/>
      <c r="AI3" s="311"/>
      <c r="AJ3" s="311"/>
      <c r="AK3" s="311"/>
      <c r="AL3" s="311"/>
      <c r="AM3" s="311"/>
      <c r="AN3" s="311"/>
      <c r="AO3" s="311"/>
      <c r="AP3" s="311"/>
      <c r="AQ3" s="311"/>
      <c r="AR3" s="311"/>
      <c r="AS3" s="311"/>
      <c r="AT3" s="311">
        <v>1</v>
      </c>
      <c r="AU3" s="311"/>
      <c r="AV3" s="311"/>
      <c r="AW3" s="311"/>
      <c r="AX3" s="311"/>
      <c r="AY3" s="311"/>
      <c r="AZ3" s="311"/>
      <c r="BA3" s="311"/>
      <c r="BB3" s="311"/>
      <c r="BC3" s="311"/>
      <c r="BD3" s="311"/>
      <c r="BE3" s="311"/>
      <c r="BF3" s="311"/>
      <c r="BG3" s="311"/>
      <c r="BH3" s="311"/>
      <c r="BI3" s="311"/>
      <c r="BJ3" s="311"/>
      <c r="BK3" s="311"/>
      <c r="BL3" s="311"/>
      <c r="BM3" s="311">
        <v>1</v>
      </c>
      <c r="BN3" s="311"/>
      <c r="BO3" s="311"/>
      <c r="BP3" s="311"/>
      <c r="BQ3" s="311"/>
      <c r="BR3" s="311"/>
      <c r="BS3" s="311"/>
      <c r="BT3" s="311"/>
      <c r="BU3" s="311"/>
      <c r="BV3" s="311"/>
      <c r="BW3" s="311"/>
      <c r="BX3" s="311"/>
      <c r="BY3" s="311">
        <v>0</v>
      </c>
    </row>
    <row r="4" spans="1:77" x14ac:dyDescent="0.2">
      <c r="A4" s="311">
        <v>2</v>
      </c>
      <c r="B4" s="324" t="s">
        <v>309</v>
      </c>
      <c r="C4" s="311"/>
      <c r="D4" s="311"/>
      <c r="E4" s="311"/>
      <c r="F4" s="311"/>
      <c r="G4" s="311"/>
      <c r="H4" s="311"/>
      <c r="I4" s="311"/>
      <c r="J4" s="311"/>
      <c r="K4" s="311"/>
      <c r="L4" s="311"/>
      <c r="M4" s="311"/>
      <c r="N4" s="311"/>
      <c r="O4" s="311"/>
      <c r="P4" s="311"/>
      <c r="Q4" s="311"/>
      <c r="R4" s="311"/>
      <c r="S4" s="311"/>
      <c r="T4" s="311"/>
      <c r="U4" s="311">
        <v>2</v>
      </c>
      <c r="V4" s="311">
        <v>2</v>
      </c>
      <c r="W4" s="311">
        <v>2</v>
      </c>
      <c r="X4" s="311"/>
      <c r="Y4" s="311"/>
      <c r="Z4" s="311"/>
      <c r="AA4" s="311"/>
      <c r="AB4" s="311"/>
      <c r="AC4" s="311"/>
      <c r="AD4" s="311"/>
      <c r="AE4" s="311"/>
      <c r="AF4" s="311"/>
      <c r="AG4" s="311"/>
      <c r="AH4" s="311"/>
      <c r="AI4" s="311"/>
      <c r="AJ4" s="311"/>
      <c r="AK4" s="311"/>
      <c r="AL4" s="311"/>
      <c r="AM4" s="311"/>
      <c r="AN4" s="311"/>
      <c r="AO4" s="311"/>
      <c r="AP4" s="311"/>
      <c r="AQ4" s="311"/>
      <c r="AR4" s="311">
        <v>2</v>
      </c>
      <c r="AS4" s="311">
        <v>2</v>
      </c>
      <c r="AT4" s="311"/>
      <c r="AU4" s="311"/>
      <c r="AV4" s="311"/>
      <c r="AW4" s="311"/>
      <c r="AX4" s="311"/>
      <c r="AY4" s="311"/>
      <c r="AZ4" s="311"/>
      <c r="BA4" s="311"/>
      <c r="BB4" s="311"/>
      <c r="BC4" s="311"/>
      <c r="BD4" s="311"/>
      <c r="BE4" s="311"/>
      <c r="BF4" s="311"/>
      <c r="BG4" s="311"/>
      <c r="BH4" s="311">
        <v>2</v>
      </c>
      <c r="BI4" s="311">
        <v>2</v>
      </c>
      <c r="BJ4" s="311">
        <v>2</v>
      </c>
      <c r="BK4" s="311"/>
      <c r="BL4" s="311"/>
      <c r="BM4" s="311"/>
      <c r="BN4" s="311"/>
      <c r="BO4" s="311"/>
      <c r="BP4" s="311"/>
      <c r="BQ4" s="311"/>
      <c r="BR4" s="311"/>
      <c r="BS4" s="311"/>
      <c r="BT4" s="311"/>
      <c r="BU4" s="311"/>
      <c r="BV4" s="311"/>
      <c r="BW4" s="311"/>
      <c r="BX4" s="311"/>
      <c r="BY4" s="311">
        <v>0</v>
      </c>
    </row>
    <row r="5" spans="1:77" x14ac:dyDescent="0.2">
      <c r="A5" s="311">
        <v>3</v>
      </c>
      <c r="B5" s="324" t="s">
        <v>135</v>
      </c>
      <c r="C5" s="311"/>
      <c r="D5" s="311"/>
      <c r="E5" s="311"/>
      <c r="F5" s="311"/>
      <c r="G5" s="311"/>
      <c r="H5" s="311"/>
      <c r="I5" s="311"/>
      <c r="J5" s="311"/>
      <c r="K5" s="311"/>
      <c r="L5" s="311"/>
      <c r="M5" s="311"/>
      <c r="N5" s="311"/>
      <c r="O5" s="311"/>
      <c r="P5" s="311"/>
      <c r="Q5" s="311"/>
      <c r="R5" s="311"/>
      <c r="S5" s="311"/>
      <c r="T5" s="311">
        <v>3</v>
      </c>
      <c r="U5" s="311"/>
      <c r="V5" s="311"/>
      <c r="W5" s="311"/>
      <c r="X5" s="311"/>
      <c r="Y5" s="311"/>
      <c r="Z5" s="311"/>
      <c r="AA5" s="311"/>
      <c r="AB5" s="311"/>
      <c r="AC5" s="311"/>
      <c r="AD5" s="311"/>
      <c r="AE5" s="311"/>
      <c r="AF5" s="311"/>
      <c r="AG5" s="311"/>
      <c r="AH5" s="311"/>
      <c r="AI5" s="311"/>
      <c r="AJ5" s="311"/>
      <c r="AK5" s="311"/>
      <c r="AL5" s="311"/>
      <c r="AM5" s="311"/>
      <c r="AN5" s="311"/>
      <c r="AO5" s="311"/>
      <c r="AP5" s="311"/>
      <c r="AQ5" s="311"/>
      <c r="AR5" s="311"/>
      <c r="AS5" s="311"/>
      <c r="AT5" s="311"/>
      <c r="AU5" s="311"/>
      <c r="AV5" s="311"/>
      <c r="AW5" s="311"/>
      <c r="AX5" s="311"/>
      <c r="AY5" s="311"/>
      <c r="AZ5" s="311"/>
      <c r="BA5" s="311"/>
      <c r="BB5" s="311"/>
      <c r="BC5" s="311"/>
      <c r="BD5" s="311"/>
      <c r="BE5" s="311"/>
      <c r="BF5" s="311"/>
      <c r="BG5" s="311"/>
      <c r="BH5" s="311"/>
      <c r="BI5" s="311"/>
      <c r="BJ5" s="311"/>
      <c r="BK5" s="311"/>
      <c r="BL5" s="311"/>
      <c r="BM5" s="311"/>
      <c r="BN5" s="311"/>
      <c r="BO5" s="311"/>
      <c r="BP5" s="311"/>
      <c r="BQ5" s="311"/>
      <c r="BR5" s="311"/>
      <c r="BS5" s="311"/>
      <c r="BT5" s="311"/>
      <c r="BU5" s="311"/>
      <c r="BV5" s="311"/>
      <c r="BW5" s="311"/>
      <c r="BX5" s="311"/>
      <c r="BY5" s="311">
        <v>0</v>
      </c>
    </row>
    <row r="6" spans="1:77" ht="12.75" customHeight="1" x14ac:dyDescent="0.2">
      <c r="A6" s="311">
        <v>4</v>
      </c>
      <c r="B6" s="324" t="s">
        <v>308</v>
      </c>
      <c r="C6" s="311">
        <v>4</v>
      </c>
      <c r="D6" s="311">
        <v>4</v>
      </c>
      <c r="E6" s="311">
        <v>4</v>
      </c>
      <c r="F6" s="311"/>
      <c r="G6" s="311"/>
      <c r="H6" s="311">
        <v>4</v>
      </c>
      <c r="I6" s="311"/>
      <c r="J6" s="311"/>
      <c r="K6" s="311">
        <v>4</v>
      </c>
      <c r="L6" s="311">
        <v>4</v>
      </c>
      <c r="M6" s="311">
        <v>4</v>
      </c>
      <c r="N6" s="311">
        <v>4</v>
      </c>
      <c r="O6" s="311"/>
      <c r="P6" s="311">
        <v>4</v>
      </c>
      <c r="Q6" s="311"/>
      <c r="R6" s="311"/>
      <c r="S6" s="311"/>
      <c r="T6" s="311"/>
      <c r="U6" s="311"/>
      <c r="V6" s="311"/>
      <c r="W6" s="311"/>
      <c r="X6" s="311">
        <v>4</v>
      </c>
      <c r="Y6" s="311"/>
      <c r="Z6" s="311"/>
      <c r="AA6" s="311"/>
      <c r="AB6" s="311"/>
      <c r="AC6" s="311">
        <v>4</v>
      </c>
      <c r="AD6" s="311">
        <v>4</v>
      </c>
      <c r="AE6" s="311">
        <v>4</v>
      </c>
      <c r="AF6" s="311"/>
      <c r="AG6" s="311">
        <v>4</v>
      </c>
      <c r="AH6" s="311">
        <v>4</v>
      </c>
      <c r="AI6" s="311"/>
      <c r="AJ6" s="311">
        <v>4</v>
      </c>
      <c r="AK6" s="311"/>
      <c r="AL6" s="311"/>
      <c r="AM6" s="311">
        <v>4</v>
      </c>
      <c r="AN6" s="311">
        <v>4</v>
      </c>
      <c r="AO6" s="311">
        <v>4</v>
      </c>
      <c r="AP6" s="311"/>
      <c r="AQ6" s="311"/>
      <c r="AR6" s="311"/>
      <c r="AS6" s="311"/>
      <c r="AT6" s="311"/>
      <c r="AU6" s="311"/>
      <c r="AV6" s="311"/>
      <c r="AW6" s="311"/>
      <c r="AX6" s="311"/>
      <c r="AY6" s="311"/>
      <c r="AZ6" s="311"/>
      <c r="BA6" s="311"/>
      <c r="BB6" s="311">
        <v>4</v>
      </c>
      <c r="BC6" s="311"/>
      <c r="BD6" s="311"/>
      <c r="BE6" s="311"/>
      <c r="BF6" s="311"/>
      <c r="BG6" s="311"/>
      <c r="BH6" s="311"/>
      <c r="BI6" s="311"/>
      <c r="BJ6" s="311"/>
      <c r="BK6" s="311"/>
      <c r="BL6" s="311"/>
      <c r="BM6" s="311"/>
      <c r="BN6" s="311"/>
      <c r="BO6" s="311"/>
      <c r="BP6" s="311"/>
      <c r="BQ6" s="311"/>
      <c r="BR6" s="311">
        <v>4</v>
      </c>
      <c r="BS6" s="311">
        <v>4</v>
      </c>
      <c r="BT6" s="311"/>
      <c r="BU6" s="311">
        <v>4</v>
      </c>
      <c r="BV6" s="311"/>
      <c r="BW6" s="311"/>
      <c r="BX6" s="311"/>
      <c r="BY6" s="311">
        <v>0</v>
      </c>
    </row>
    <row r="7" spans="1:77" x14ac:dyDescent="0.2">
      <c r="A7" s="311">
        <v>5</v>
      </c>
      <c r="B7" s="324" t="s">
        <v>307</v>
      </c>
      <c r="C7" s="311"/>
      <c r="D7" s="311"/>
      <c r="E7" s="311"/>
      <c r="F7" s="311"/>
      <c r="G7" s="311"/>
      <c r="H7" s="311"/>
      <c r="I7" s="311"/>
      <c r="J7" s="311"/>
      <c r="K7" s="311"/>
      <c r="L7" s="311"/>
      <c r="M7" s="311"/>
      <c r="N7" s="311"/>
      <c r="O7" s="311"/>
      <c r="P7" s="311"/>
      <c r="Q7" s="311"/>
      <c r="R7" s="311"/>
      <c r="S7" s="311">
        <v>5</v>
      </c>
      <c r="T7" s="311"/>
      <c r="U7" s="311"/>
      <c r="V7" s="311"/>
      <c r="W7" s="311"/>
      <c r="X7" s="311"/>
      <c r="Y7" s="311"/>
      <c r="Z7" s="311"/>
      <c r="AA7" s="311"/>
      <c r="AB7" s="311"/>
      <c r="AC7" s="311"/>
      <c r="AD7" s="311"/>
      <c r="AE7" s="311"/>
      <c r="AF7" s="311"/>
      <c r="AG7" s="311"/>
      <c r="AH7" s="311"/>
      <c r="AI7" s="311"/>
      <c r="AJ7" s="311"/>
      <c r="AK7" s="311"/>
      <c r="AL7" s="311"/>
      <c r="AM7" s="311"/>
      <c r="AN7" s="311"/>
      <c r="AO7" s="311"/>
      <c r="AP7" s="311"/>
      <c r="AQ7" s="311"/>
      <c r="AR7" s="311"/>
      <c r="AS7" s="311"/>
      <c r="AT7" s="311"/>
      <c r="AU7" s="311"/>
      <c r="AV7" s="311"/>
      <c r="AW7" s="311"/>
      <c r="AX7" s="311"/>
      <c r="AY7" s="311"/>
      <c r="AZ7" s="311"/>
      <c r="BA7" s="311"/>
      <c r="BB7" s="311"/>
      <c r="BC7" s="311"/>
      <c r="BD7" s="311"/>
      <c r="BE7" s="311"/>
      <c r="BF7" s="311"/>
      <c r="BG7" s="311"/>
      <c r="BH7" s="311"/>
      <c r="BI7" s="311"/>
      <c r="BJ7" s="311"/>
      <c r="BK7" s="311"/>
      <c r="BL7" s="311"/>
      <c r="BM7" s="311"/>
      <c r="BN7" s="311"/>
      <c r="BO7" s="311"/>
      <c r="BP7" s="311"/>
      <c r="BQ7" s="311"/>
      <c r="BR7" s="311"/>
      <c r="BS7" s="311"/>
      <c r="BT7" s="311"/>
      <c r="BU7" s="311"/>
      <c r="BV7" s="311"/>
      <c r="BW7" s="311"/>
      <c r="BX7" s="311"/>
      <c r="BY7" s="311">
        <v>0</v>
      </c>
    </row>
    <row r="8" spans="1:77" x14ac:dyDescent="0.2">
      <c r="A8" s="311">
        <v>6</v>
      </c>
      <c r="B8" s="324" t="s">
        <v>97</v>
      </c>
      <c r="C8" s="311">
        <v>6</v>
      </c>
      <c r="D8" s="311">
        <v>6</v>
      </c>
      <c r="E8" s="311">
        <v>6</v>
      </c>
      <c r="F8" s="311"/>
      <c r="G8" s="311"/>
      <c r="H8" s="311">
        <v>6</v>
      </c>
      <c r="I8" s="311"/>
      <c r="J8" s="311"/>
      <c r="K8" s="311">
        <v>6</v>
      </c>
      <c r="L8" s="311">
        <v>6</v>
      </c>
      <c r="M8" s="311">
        <v>6</v>
      </c>
      <c r="N8" s="311">
        <v>6</v>
      </c>
      <c r="O8" s="311"/>
      <c r="P8" s="311">
        <v>6</v>
      </c>
      <c r="Q8" s="311"/>
      <c r="R8" s="311"/>
      <c r="S8" s="311"/>
      <c r="T8" s="311"/>
      <c r="U8" s="311"/>
      <c r="V8" s="311"/>
      <c r="W8" s="311"/>
      <c r="X8" s="311">
        <v>6</v>
      </c>
      <c r="Y8" s="311"/>
      <c r="Z8" s="311"/>
      <c r="AA8" s="311"/>
      <c r="AB8" s="311"/>
      <c r="AC8" s="311">
        <v>6</v>
      </c>
      <c r="AD8" s="311">
        <v>6</v>
      </c>
      <c r="AE8" s="311">
        <v>6</v>
      </c>
      <c r="AF8" s="311"/>
      <c r="AG8" s="311">
        <v>6</v>
      </c>
      <c r="AH8" s="311">
        <v>6</v>
      </c>
      <c r="AI8" s="311"/>
      <c r="AJ8" s="311">
        <v>6</v>
      </c>
      <c r="AK8" s="311"/>
      <c r="AL8" s="311"/>
      <c r="AM8" s="311">
        <v>6</v>
      </c>
      <c r="AN8" s="311">
        <v>6</v>
      </c>
      <c r="AO8" s="311">
        <v>6</v>
      </c>
      <c r="AP8" s="311"/>
      <c r="AQ8" s="311"/>
      <c r="AR8" s="311"/>
      <c r="AS8" s="311"/>
      <c r="AT8" s="311"/>
      <c r="AU8" s="311"/>
      <c r="AV8" s="311"/>
      <c r="AW8" s="311"/>
      <c r="AX8" s="311"/>
      <c r="AY8" s="311"/>
      <c r="AZ8" s="311"/>
      <c r="BA8" s="311"/>
      <c r="BB8" s="311">
        <v>6</v>
      </c>
      <c r="BC8" s="311"/>
      <c r="BD8" s="311"/>
      <c r="BE8" s="311"/>
      <c r="BF8" s="311"/>
      <c r="BG8" s="311"/>
      <c r="BH8" s="311"/>
      <c r="BI8" s="311"/>
      <c r="BJ8" s="311"/>
      <c r="BK8" s="311"/>
      <c r="BL8" s="311"/>
      <c r="BM8" s="311"/>
      <c r="BN8" s="311"/>
      <c r="BO8" s="311"/>
      <c r="BP8" s="311"/>
      <c r="BQ8" s="311"/>
      <c r="BR8" s="311">
        <v>6</v>
      </c>
      <c r="BS8" s="311">
        <v>6</v>
      </c>
      <c r="BT8" s="311"/>
      <c r="BU8" s="311">
        <v>6</v>
      </c>
      <c r="BV8" s="311"/>
      <c r="BW8" s="311"/>
      <c r="BX8" s="311"/>
      <c r="BY8" s="311">
        <v>0</v>
      </c>
    </row>
    <row r="9" spans="1:77" ht="12.75" customHeight="1" x14ac:dyDescent="0.2">
      <c r="A9" s="311">
        <v>7</v>
      </c>
      <c r="B9" s="324" t="s">
        <v>122</v>
      </c>
      <c r="C9" s="311"/>
      <c r="D9" s="311"/>
      <c r="E9" s="311"/>
      <c r="F9" s="311"/>
      <c r="G9" s="311"/>
      <c r="H9" s="311"/>
      <c r="I9" s="311"/>
      <c r="J9" s="311"/>
      <c r="K9" s="311"/>
      <c r="L9" s="311"/>
      <c r="M9" s="311"/>
      <c r="N9" s="311"/>
      <c r="O9" s="311"/>
      <c r="P9" s="311"/>
      <c r="Q9" s="311"/>
      <c r="R9" s="311"/>
      <c r="S9" s="311"/>
      <c r="T9" s="311">
        <v>7</v>
      </c>
      <c r="U9" s="311"/>
      <c r="V9" s="311"/>
      <c r="W9" s="311"/>
      <c r="X9" s="311"/>
      <c r="Y9" s="311"/>
      <c r="Z9" s="311"/>
      <c r="AA9" s="311"/>
      <c r="AB9" s="311"/>
      <c r="AC9" s="311"/>
      <c r="AD9" s="311"/>
      <c r="AE9" s="311"/>
      <c r="AF9" s="311"/>
      <c r="AG9" s="311"/>
      <c r="AH9" s="311"/>
      <c r="AI9" s="311"/>
      <c r="AJ9" s="311"/>
      <c r="AK9" s="311"/>
      <c r="AL9" s="311"/>
      <c r="AM9" s="311"/>
      <c r="AN9" s="311"/>
      <c r="AO9" s="311"/>
      <c r="AP9" s="311"/>
      <c r="AQ9" s="311"/>
      <c r="AR9" s="311"/>
      <c r="AS9" s="311"/>
      <c r="AT9" s="311"/>
      <c r="AU9" s="311"/>
      <c r="AV9" s="311"/>
      <c r="AW9" s="311"/>
      <c r="AX9" s="311"/>
      <c r="AY9" s="311"/>
      <c r="AZ9" s="311"/>
      <c r="BA9" s="311"/>
      <c r="BB9" s="311"/>
      <c r="BC9" s="311"/>
      <c r="BD9" s="311"/>
      <c r="BE9" s="311"/>
      <c r="BF9" s="311"/>
      <c r="BG9" s="311"/>
      <c r="BH9" s="311"/>
      <c r="BI9" s="311"/>
      <c r="BJ9" s="311"/>
      <c r="BK9" s="311"/>
      <c r="BL9" s="311"/>
      <c r="BM9" s="311"/>
      <c r="BN9" s="311"/>
      <c r="BO9" s="311"/>
      <c r="BP9" s="311"/>
      <c r="BQ9" s="311"/>
      <c r="BR9" s="311"/>
      <c r="BS9" s="311"/>
      <c r="BT9" s="311"/>
      <c r="BU9" s="311"/>
      <c r="BV9" s="311"/>
      <c r="BW9" s="311"/>
      <c r="BX9" s="311"/>
      <c r="BY9" s="311">
        <v>0</v>
      </c>
    </row>
    <row r="10" spans="1:77" x14ac:dyDescent="0.2">
      <c r="A10" s="311">
        <v>8</v>
      </c>
      <c r="B10" s="324" t="s">
        <v>306</v>
      </c>
      <c r="C10" s="311"/>
      <c r="D10" s="311"/>
      <c r="E10" s="311"/>
      <c r="F10" s="311"/>
      <c r="G10" s="311"/>
      <c r="H10" s="311"/>
      <c r="I10" s="311"/>
      <c r="J10" s="311"/>
      <c r="K10" s="311"/>
      <c r="L10" s="311"/>
      <c r="M10" s="311"/>
      <c r="N10" s="311"/>
      <c r="O10" s="311"/>
      <c r="P10" s="311"/>
      <c r="Q10" s="311"/>
      <c r="R10" s="311"/>
      <c r="S10" s="311"/>
      <c r="T10" s="311"/>
      <c r="U10" s="311"/>
      <c r="V10" s="311"/>
      <c r="W10" s="311"/>
      <c r="X10" s="311"/>
      <c r="Y10" s="311"/>
      <c r="Z10" s="311"/>
      <c r="AA10" s="311"/>
      <c r="AB10" s="311"/>
      <c r="AC10" s="311"/>
      <c r="AD10" s="311"/>
      <c r="AE10" s="311"/>
      <c r="AF10" s="311">
        <v>8</v>
      </c>
      <c r="AG10" s="311"/>
      <c r="AH10" s="311"/>
      <c r="AI10" s="311"/>
      <c r="AJ10" s="311"/>
      <c r="AK10" s="311"/>
      <c r="AL10" s="311"/>
      <c r="AM10" s="311"/>
      <c r="AN10" s="311"/>
      <c r="AO10" s="311"/>
      <c r="AP10" s="311"/>
      <c r="AQ10" s="311"/>
      <c r="AR10" s="311"/>
      <c r="AS10" s="311"/>
      <c r="AT10" s="311"/>
      <c r="AU10" s="311"/>
      <c r="AV10" s="311"/>
      <c r="AW10" s="311"/>
      <c r="AX10" s="311"/>
      <c r="AY10" s="311"/>
      <c r="AZ10" s="311"/>
      <c r="BA10" s="311"/>
      <c r="BB10" s="311"/>
      <c r="BC10" s="311"/>
      <c r="BD10" s="311"/>
      <c r="BE10" s="311"/>
      <c r="BF10" s="311"/>
      <c r="BG10" s="311"/>
      <c r="BH10" s="311"/>
      <c r="BI10" s="311"/>
      <c r="BJ10" s="311"/>
      <c r="BK10" s="311"/>
      <c r="BL10" s="311"/>
      <c r="BM10" s="311"/>
      <c r="BN10" s="311"/>
      <c r="BO10" s="311"/>
      <c r="BP10" s="311"/>
      <c r="BQ10" s="311"/>
      <c r="BR10" s="311"/>
      <c r="BS10" s="311"/>
      <c r="BT10" s="311"/>
      <c r="BU10" s="311"/>
      <c r="BV10" s="311"/>
      <c r="BW10" s="311"/>
      <c r="BX10" s="311"/>
      <c r="BY10" s="311">
        <v>0</v>
      </c>
    </row>
    <row r="11" spans="1:77" x14ac:dyDescent="0.2">
      <c r="A11" s="311">
        <v>9</v>
      </c>
      <c r="B11" s="324" t="s">
        <v>305</v>
      </c>
      <c r="C11" s="311"/>
      <c r="D11" s="311"/>
      <c r="E11" s="311"/>
      <c r="F11" s="311"/>
      <c r="G11" s="311"/>
      <c r="H11" s="311"/>
      <c r="I11" s="311"/>
      <c r="J11" s="311"/>
      <c r="K11" s="311"/>
      <c r="L11" s="311"/>
      <c r="M11" s="311"/>
      <c r="N11" s="311"/>
      <c r="O11" s="311"/>
      <c r="P11" s="311"/>
      <c r="Q11" s="311"/>
      <c r="R11" s="311"/>
      <c r="S11" s="311"/>
      <c r="T11" s="311">
        <v>9</v>
      </c>
      <c r="U11" s="311"/>
      <c r="V11" s="311"/>
      <c r="W11" s="311"/>
      <c r="X11" s="311"/>
      <c r="Y11" s="311"/>
      <c r="Z11" s="311"/>
      <c r="AA11" s="311"/>
      <c r="AB11" s="311"/>
      <c r="AC11" s="311"/>
      <c r="AD11" s="311"/>
      <c r="AE11" s="311"/>
      <c r="AF11" s="311"/>
      <c r="AG11" s="311"/>
      <c r="AH11" s="311"/>
      <c r="AI11" s="311"/>
      <c r="AJ11" s="311"/>
      <c r="AK11" s="311"/>
      <c r="AL11" s="311"/>
      <c r="AM11" s="311"/>
      <c r="AN11" s="311"/>
      <c r="AO11" s="311"/>
      <c r="AP11" s="311"/>
      <c r="AQ11" s="311"/>
      <c r="AR11" s="311"/>
      <c r="AS11" s="311"/>
      <c r="AT11" s="311"/>
      <c r="AU11" s="311"/>
      <c r="AV11" s="311"/>
      <c r="AW11" s="311"/>
      <c r="AX11" s="311"/>
      <c r="AY11" s="311"/>
      <c r="AZ11" s="311"/>
      <c r="BA11" s="311"/>
      <c r="BB11" s="311"/>
      <c r="BC11" s="311"/>
      <c r="BD11" s="311"/>
      <c r="BE11" s="311"/>
      <c r="BF11" s="311"/>
      <c r="BG11" s="311"/>
      <c r="BH11" s="311"/>
      <c r="BI11" s="311"/>
      <c r="BJ11" s="311"/>
      <c r="BK11" s="311"/>
      <c r="BL11" s="311"/>
      <c r="BM11" s="311"/>
      <c r="BN11" s="311"/>
      <c r="BO11" s="311"/>
      <c r="BP11" s="311"/>
      <c r="BQ11" s="311"/>
      <c r="BR11" s="311"/>
      <c r="BS11" s="311"/>
      <c r="BT11" s="311"/>
      <c r="BU11" s="311"/>
      <c r="BV11" s="311"/>
      <c r="BW11" s="311"/>
      <c r="BX11" s="311"/>
      <c r="BY11" s="311">
        <v>0</v>
      </c>
    </row>
    <row r="12" spans="1:77" ht="12.75" customHeight="1" x14ac:dyDescent="0.2">
      <c r="A12" s="311">
        <v>10</v>
      </c>
      <c r="B12" s="324" t="s">
        <v>304</v>
      </c>
      <c r="C12" s="311"/>
      <c r="D12" s="311"/>
      <c r="E12" s="311"/>
      <c r="F12" s="311"/>
      <c r="G12" s="311"/>
      <c r="H12" s="311"/>
      <c r="I12" s="311"/>
      <c r="J12" s="311"/>
      <c r="K12" s="311"/>
      <c r="L12" s="311"/>
      <c r="M12" s="311"/>
      <c r="N12" s="311"/>
      <c r="O12" s="311"/>
      <c r="P12" s="311"/>
      <c r="Q12" s="311"/>
      <c r="R12" s="311"/>
      <c r="S12" s="311"/>
      <c r="T12" s="311"/>
      <c r="U12" s="311"/>
      <c r="V12" s="311"/>
      <c r="W12" s="311"/>
      <c r="X12" s="311"/>
      <c r="Y12" s="311"/>
      <c r="Z12" s="311"/>
      <c r="AA12" s="311"/>
      <c r="AB12" s="311"/>
      <c r="AC12" s="311"/>
      <c r="AD12" s="311"/>
      <c r="AE12" s="311"/>
      <c r="AF12" s="311"/>
      <c r="AG12" s="311"/>
      <c r="AH12" s="311"/>
      <c r="AI12" s="311"/>
      <c r="AJ12" s="311"/>
      <c r="AK12" s="311"/>
      <c r="AL12" s="311"/>
      <c r="AM12" s="311"/>
      <c r="AN12" s="311"/>
      <c r="AO12" s="311"/>
      <c r="AP12" s="311"/>
      <c r="AQ12" s="311"/>
      <c r="AR12" s="311"/>
      <c r="AS12" s="311"/>
      <c r="AT12" s="311"/>
      <c r="AU12" s="311"/>
      <c r="AV12" s="311"/>
      <c r="AW12" s="311"/>
      <c r="AX12" s="311"/>
      <c r="AY12" s="311"/>
      <c r="AZ12" s="311"/>
      <c r="BA12" s="311"/>
      <c r="BB12" s="311"/>
      <c r="BC12" s="311"/>
      <c r="BD12" s="311"/>
      <c r="BE12" s="311"/>
      <c r="BF12" s="311"/>
      <c r="BG12" s="311"/>
      <c r="BH12" s="311"/>
      <c r="BI12" s="311"/>
      <c r="BJ12" s="311"/>
      <c r="BK12" s="311"/>
      <c r="BL12" s="311"/>
      <c r="BM12" s="311"/>
      <c r="BN12" s="311"/>
      <c r="BO12" s="311"/>
      <c r="BP12" s="311"/>
      <c r="BQ12" s="311">
        <v>10</v>
      </c>
      <c r="BR12" s="311"/>
      <c r="BS12" s="311"/>
      <c r="BT12" s="311"/>
      <c r="BU12" s="311"/>
      <c r="BV12" s="311"/>
      <c r="BW12" s="311"/>
      <c r="BX12" s="311"/>
      <c r="BY12" s="311">
        <v>1</v>
      </c>
    </row>
    <row r="13" spans="1:77" x14ac:dyDescent="0.2">
      <c r="A13" s="311">
        <v>11</v>
      </c>
      <c r="B13" s="324" t="s">
        <v>82</v>
      </c>
      <c r="C13" s="311">
        <v>11</v>
      </c>
      <c r="D13" s="311">
        <v>11</v>
      </c>
      <c r="E13" s="311">
        <v>11</v>
      </c>
      <c r="F13" s="311"/>
      <c r="G13" s="311">
        <v>11</v>
      </c>
      <c r="H13" s="311">
        <v>11</v>
      </c>
      <c r="I13" s="311">
        <v>11</v>
      </c>
      <c r="J13" s="311"/>
      <c r="K13" s="311"/>
      <c r="L13" s="311"/>
      <c r="M13" s="311">
        <v>11</v>
      </c>
      <c r="N13" s="311">
        <v>11</v>
      </c>
      <c r="O13" s="311"/>
      <c r="P13" s="311">
        <v>11</v>
      </c>
      <c r="Q13" s="311"/>
      <c r="R13" s="311"/>
      <c r="S13" s="311"/>
      <c r="T13" s="311"/>
      <c r="U13" s="311"/>
      <c r="V13" s="311"/>
      <c r="W13" s="311"/>
      <c r="X13" s="311">
        <v>11</v>
      </c>
      <c r="Y13" s="311"/>
      <c r="Z13" s="311"/>
      <c r="AA13" s="311"/>
      <c r="AB13" s="311"/>
      <c r="AC13" s="311">
        <v>11</v>
      </c>
      <c r="AD13" s="311">
        <v>11</v>
      </c>
      <c r="AE13" s="311">
        <v>11</v>
      </c>
      <c r="AF13" s="311"/>
      <c r="AG13" s="311">
        <v>11</v>
      </c>
      <c r="AH13" s="311">
        <v>11</v>
      </c>
      <c r="AI13" s="311"/>
      <c r="AJ13" s="311">
        <v>11</v>
      </c>
      <c r="AK13" s="311"/>
      <c r="AL13" s="311"/>
      <c r="AM13" s="311">
        <v>11</v>
      </c>
      <c r="AN13" s="311">
        <v>11</v>
      </c>
      <c r="AO13" s="311">
        <v>11</v>
      </c>
      <c r="AP13" s="311"/>
      <c r="AQ13" s="311"/>
      <c r="AR13" s="311"/>
      <c r="AS13" s="311"/>
      <c r="AT13" s="311"/>
      <c r="AU13" s="311"/>
      <c r="AV13" s="311"/>
      <c r="AW13" s="311"/>
      <c r="AX13" s="311"/>
      <c r="AY13" s="311"/>
      <c r="AZ13" s="311"/>
      <c r="BA13" s="311"/>
      <c r="BB13" s="311">
        <v>11</v>
      </c>
      <c r="BC13" s="311"/>
      <c r="BD13" s="311"/>
      <c r="BE13" s="311">
        <v>11</v>
      </c>
      <c r="BF13" s="311">
        <v>11</v>
      </c>
      <c r="BG13" s="311">
        <v>11</v>
      </c>
      <c r="BH13" s="311"/>
      <c r="BI13" s="311"/>
      <c r="BJ13" s="311"/>
      <c r="BK13" s="311">
        <v>11</v>
      </c>
      <c r="BL13" s="311">
        <v>11</v>
      </c>
      <c r="BM13" s="311"/>
      <c r="BN13" s="311"/>
      <c r="BO13" s="311">
        <v>11</v>
      </c>
      <c r="BP13" s="311">
        <v>11</v>
      </c>
      <c r="BQ13" s="311"/>
      <c r="BR13" s="311"/>
      <c r="BS13" s="311"/>
      <c r="BT13" s="311"/>
      <c r="BU13" s="311">
        <v>11</v>
      </c>
      <c r="BV13" s="311"/>
      <c r="BW13" s="311"/>
      <c r="BX13" s="311"/>
      <c r="BY13" s="311">
        <v>1</v>
      </c>
    </row>
    <row r="14" spans="1:77" x14ac:dyDescent="0.2">
      <c r="A14" s="311">
        <v>12</v>
      </c>
      <c r="B14" s="324" t="s">
        <v>303</v>
      </c>
      <c r="C14" s="311"/>
      <c r="D14" s="311"/>
      <c r="E14" s="311"/>
      <c r="F14" s="311"/>
      <c r="G14" s="311"/>
      <c r="H14" s="311"/>
      <c r="I14" s="311"/>
      <c r="J14" s="311"/>
      <c r="K14" s="311"/>
      <c r="L14" s="311"/>
      <c r="M14" s="311"/>
      <c r="N14" s="311"/>
      <c r="O14" s="311"/>
      <c r="P14" s="311"/>
      <c r="Q14" s="311"/>
      <c r="R14" s="311"/>
      <c r="S14" s="311"/>
      <c r="T14" s="311"/>
      <c r="U14" s="311"/>
      <c r="V14" s="311">
        <v>12</v>
      </c>
      <c r="W14" s="311"/>
      <c r="X14" s="311"/>
      <c r="Y14" s="311"/>
      <c r="Z14" s="311"/>
      <c r="AA14" s="311"/>
      <c r="AB14" s="311"/>
      <c r="AC14" s="311"/>
      <c r="AD14" s="311"/>
      <c r="AE14" s="311"/>
      <c r="AF14" s="311"/>
      <c r="AG14" s="311"/>
      <c r="AH14" s="311"/>
      <c r="AI14" s="311"/>
      <c r="AJ14" s="311"/>
      <c r="AK14" s="311"/>
      <c r="AL14" s="311"/>
      <c r="AM14" s="311"/>
      <c r="AN14" s="311"/>
      <c r="AO14" s="311"/>
      <c r="AP14" s="311"/>
      <c r="AQ14" s="311"/>
      <c r="AR14" s="311">
        <v>12</v>
      </c>
      <c r="AS14" s="311"/>
      <c r="AT14" s="311"/>
      <c r="AU14" s="311"/>
      <c r="AV14" s="311"/>
      <c r="AW14" s="311"/>
      <c r="AX14" s="311"/>
      <c r="AY14" s="311"/>
      <c r="AZ14" s="311"/>
      <c r="BA14" s="311"/>
      <c r="BB14" s="311"/>
      <c r="BC14" s="311"/>
      <c r="BD14" s="311"/>
      <c r="BE14" s="311"/>
      <c r="BF14" s="311"/>
      <c r="BG14" s="311"/>
      <c r="BH14" s="311"/>
      <c r="BI14" s="311"/>
      <c r="BJ14" s="311"/>
      <c r="BK14" s="311"/>
      <c r="BL14" s="311"/>
      <c r="BM14" s="311"/>
      <c r="BN14" s="311"/>
      <c r="BO14" s="311"/>
      <c r="BP14" s="311"/>
      <c r="BQ14" s="311"/>
      <c r="BR14" s="311"/>
      <c r="BS14" s="311"/>
      <c r="BT14" s="311"/>
      <c r="BU14" s="311"/>
      <c r="BV14" s="311"/>
      <c r="BW14" s="311"/>
      <c r="BX14" s="311"/>
      <c r="BY14" s="311">
        <v>0</v>
      </c>
    </row>
    <row r="15" spans="1:77" ht="12.75" customHeight="1" x14ac:dyDescent="0.2">
      <c r="A15" s="311">
        <v>13</v>
      </c>
      <c r="B15" s="324" t="s">
        <v>302</v>
      </c>
      <c r="C15" s="311"/>
      <c r="D15" s="311"/>
      <c r="E15" s="311"/>
      <c r="F15" s="311"/>
      <c r="G15" s="311"/>
      <c r="H15" s="311"/>
      <c r="I15" s="311"/>
      <c r="J15" s="311"/>
      <c r="K15" s="311"/>
      <c r="L15" s="311"/>
      <c r="M15" s="311"/>
      <c r="N15" s="311"/>
      <c r="O15" s="311"/>
      <c r="P15" s="311"/>
      <c r="Q15" s="311">
        <v>13</v>
      </c>
      <c r="R15" s="311">
        <v>13</v>
      </c>
      <c r="S15" s="311"/>
      <c r="T15" s="311"/>
      <c r="U15" s="311"/>
      <c r="V15" s="311"/>
      <c r="W15" s="311"/>
      <c r="X15" s="311"/>
      <c r="Y15" s="311"/>
      <c r="Z15" s="311"/>
      <c r="AA15" s="311"/>
      <c r="AB15" s="311"/>
      <c r="AC15" s="311"/>
      <c r="AD15" s="311"/>
      <c r="AE15" s="311"/>
      <c r="AF15" s="311"/>
      <c r="AG15" s="311"/>
      <c r="AH15" s="311"/>
      <c r="AI15" s="311"/>
      <c r="AJ15" s="311"/>
      <c r="AK15" s="311"/>
      <c r="AL15" s="311"/>
      <c r="AM15" s="311"/>
      <c r="AN15" s="311"/>
      <c r="AO15" s="311"/>
      <c r="AP15" s="311">
        <v>13</v>
      </c>
      <c r="AQ15" s="311"/>
      <c r="AR15" s="311"/>
      <c r="AS15" s="311"/>
      <c r="AT15" s="311"/>
      <c r="AU15" s="311"/>
      <c r="AV15" s="311"/>
      <c r="AW15" s="311"/>
      <c r="AX15" s="311"/>
      <c r="AY15" s="311"/>
      <c r="AZ15" s="311"/>
      <c r="BA15" s="311"/>
      <c r="BB15" s="311"/>
      <c r="BC15" s="311"/>
      <c r="BD15" s="311"/>
      <c r="BE15" s="311"/>
      <c r="BF15" s="311"/>
      <c r="BG15" s="311"/>
      <c r="BH15" s="311"/>
      <c r="BI15" s="311"/>
      <c r="BJ15" s="311"/>
      <c r="BK15" s="311"/>
      <c r="BL15" s="311"/>
      <c r="BM15" s="311"/>
      <c r="BN15" s="311"/>
      <c r="BO15" s="311"/>
      <c r="BP15" s="311"/>
      <c r="BQ15" s="311"/>
      <c r="BR15" s="311"/>
      <c r="BS15" s="311"/>
      <c r="BT15" s="311"/>
      <c r="BU15" s="311"/>
      <c r="BV15" s="311"/>
      <c r="BW15" s="311"/>
      <c r="BX15" s="311"/>
      <c r="BY15" s="311">
        <v>0</v>
      </c>
    </row>
    <row r="16" spans="1:77" x14ac:dyDescent="0.2">
      <c r="A16" s="311">
        <v>14</v>
      </c>
      <c r="B16" s="324" t="s">
        <v>301</v>
      </c>
      <c r="C16" s="311"/>
      <c r="D16" s="311"/>
      <c r="E16" s="311"/>
      <c r="F16" s="311"/>
      <c r="G16" s="311"/>
      <c r="H16" s="311"/>
      <c r="I16" s="311"/>
      <c r="J16" s="311"/>
      <c r="K16" s="311"/>
      <c r="L16" s="311"/>
      <c r="M16" s="311"/>
      <c r="N16" s="311"/>
      <c r="O16" s="311"/>
      <c r="P16" s="311"/>
      <c r="Q16" s="311"/>
      <c r="R16" s="311"/>
      <c r="S16" s="311"/>
      <c r="T16" s="311"/>
      <c r="U16" s="311"/>
      <c r="V16" s="311"/>
      <c r="W16" s="311"/>
      <c r="X16" s="311"/>
      <c r="Y16" s="311">
        <v>14</v>
      </c>
      <c r="Z16" s="311"/>
      <c r="AA16" s="311"/>
      <c r="AB16" s="311"/>
      <c r="AC16" s="311"/>
      <c r="AD16" s="311"/>
      <c r="AE16" s="311"/>
      <c r="AF16" s="311"/>
      <c r="AG16" s="311"/>
      <c r="AH16" s="311"/>
      <c r="AI16" s="311"/>
      <c r="AJ16" s="311"/>
      <c r="AK16" s="311"/>
      <c r="AL16" s="311"/>
      <c r="AM16" s="311"/>
      <c r="AN16" s="311"/>
      <c r="AO16" s="311"/>
      <c r="AP16" s="311"/>
      <c r="AQ16" s="311"/>
      <c r="AR16" s="311"/>
      <c r="AS16" s="311"/>
      <c r="AT16" s="311">
        <v>14</v>
      </c>
      <c r="AU16" s="311"/>
      <c r="AV16" s="311"/>
      <c r="AW16" s="311"/>
      <c r="AX16" s="311"/>
      <c r="AY16" s="311"/>
      <c r="AZ16" s="311"/>
      <c r="BA16" s="311"/>
      <c r="BB16" s="311"/>
      <c r="BC16" s="311"/>
      <c r="BD16" s="311"/>
      <c r="BE16" s="311"/>
      <c r="BF16" s="311"/>
      <c r="BG16" s="311"/>
      <c r="BH16" s="311"/>
      <c r="BI16" s="311"/>
      <c r="BJ16" s="311"/>
      <c r="BK16" s="311"/>
      <c r="BL16" s="311"/>
      <c r="BM16" s="311">
        <v>14</v>
      </c>
      <c r="BN16" s="311"/>
      <c r="BO16" s="311"/>
      <c r="BP16" s="311"/>
      <c r="BQ16" s="311"/>
      <c r="BR16" s="311"/>
      <c r="BS16" s="311"/>
      <c r="BT16" s="311"/>
      <c r="BU16" s="311"/>
      <c r="BV16" s="311"/>
      <c r="BW16" s="311"/>
      <c r="BX16" s="311"/>
      <c r="BY16" s="311">
        <v>0</v>
      </c>
    </row>
    <row r="17" spans="1:77" x14ac:dyDescent="0.2">
      <c r="A17" s="311">
        <v>15</v>
      </c>
      <c r="B17" s="324" t="s">
        <v>300</v>
      </c>
      <c r="C17" s="311"/>
      <c r="D17" s="311"/>
      <c r="E17" s="311"/>
      <c r="F17" s="311"/>
      <c r="G17" s="311"/>
      <c r="H17" s="311"/>
      <c r="I17" s="311"/>
      <c r="J17" s="311"/>
      <c r="K17" s="311"/>
      <c r="L17" s="311"/>
      <c r="M17" s="311"/>
      <c r="N17" s="311"/>
      <c r="O17" s="311"/>
      <c r="P17" s="311"/>
      <c r="Q17" s="311"/>
      <c r="R17" s="311"/>
      <c r="S17" s="311"/>
      <c r="T17" s="311"/>
      <c r="U17" s="311"/>
      <c r="V17" s="311"/>
      <c r="W17" s="311"/>
      <c r="X17" s="311"/>
      <c r="Y17" s="311"/>
      <c r="Z17" s="311"/>
      <c r="AA17" s="311"/>
      <c r="AB17" s="311"/>
      <c r="AC17" s="311"/>
      <c r="AD17" s="311"/>
      <c r="AE17" s="311"/>
      <c r="AF17" s="311">
        <v>15</v>
      </c>
      <c r="AG17" s="311"/>
      <c r="AH17" s="311"/>
      <c r="AI17" s="311"/>
      <c r="AJ17" s="311"/>
      <c r="AK17" s="311"/>
      <c r="AL17" s="311"/>
      <c r="AM17" s="311"/>
      <c r="AN17" s="311"/>
      <c r="AO17" s="311"/>
      <c r="AP17" s="311"/>
      <c r="AQ17" s="311"/>
      <c r="AR17" s="311"/>
      <c r="AS17" s="311"/>
      <c r="AT17" s="311"/>
      <c r="AU17" s="311"/>
      <c r="AV17" s="311"/>
      <c r="AW17" s="311"/>
      <c r="AX17" s="311"/>
      <c r="AY17" s="311"/>
      <c r="AZ17" s="311"/>
      <c r="BA17" s="311"/>
      <c r="BB17" s="311"/>
      <c r="BC17" s="311"/>
      <c r="BD17" s="311"/>
      <c r="BE17" s="311"/>
      <c r="BF17" s="311"/>
      <c r="BG17" s="311"/>
      <c r="BH17" s="311"/>
      <c r="BI17" s="311"/>
      <c r="BJ17" s="311"/>
      <c r="BK17" s="311"/>
      <c r="BL17" s="311"/>
      <c r="BM17" s="311"/>
      <c r="BN17" s="311"/>
      <c r="BO17" s="311"/>
      <c r="BP17" s="311"/>
      <c r="BQ17" s="311"/>
      <c r="BR17" s="311"/>
      <c r="BS17" s="311"/>
      <c r="BT17" s="311"/>
      <c r="BU17" s="311"/>
      <c r="BV17" s="311"/>
      <c r="BW17" s="311"/>
      <c r="BX17" s="311"/>
      <c r="BY17" s="311">
        <v>0</v>
      </c>
    </row>
    <row r="18" spans="1:77" ht="12.75" customHeight="1" x14ac:dyDescent="0.2">
      <c r="A18" s="311">
        <v>16</v>
      </c>
      <c r="B18" s="324" t="s">
        <v>299</v>
      </c>
      <c r="C18" s="311"/>
      <c r="D18" s="311"/>
      <c r="E18" s="311"/>
      <c r="F18" s="311"/>
      <c r="G18" s="311"/>
      <c r="H18" s="311"/>
      <c r="I18" s="311"/>
      <c r="J18" s="311"/>
      <c r="K18" s="311"/>
      <c r="L18" s="311"/>
      <c r="M18" s="311"/>
      <c r="N18" s="311"/>
      <c r="O18" s="311"/>
      <c r="P18" s="311"/>
      <c r="Q18" s="311">
        <v>16</v>
      </c>
      <c r="R18" s="311">
        <v>16</v>
      </c>
      <c r="S18" s="311"/>
      <c r="T18" s="311"/>
      <c r="U18" s="311"/>
      <c r="V18" s="311"/>
      <c r="W18" s="311"/>
      <c r="X18" s="311"/>
      <c r="Y18" s="311"/>
      <c r="Z18" s="311"/>
      <c r="AA18" s="311"/>
      <c r="AB18" s="311"/>
      <c r="AC18" s="311"/>
      <c r="AD18" s="311"/>
      <c r="AE18" s="311"/>
      <c r="AF18" s="311"/>
      <c r="AG18" s="311"/>
      <c r="AH18" s="311"/>
      <c r="AI18" s="311"/>
      <c r="AJ18" s="311"/>
      <c r="AK18" s="311"/>
      <c r="AL18" s="311"/>
      <c r="AM18" s="311"/>
      <c r="AN18" s="311"/>
      <c r="AO18" s="311"/>
      <c r="AP18" s="311">
        <v>16</v>
      </c>
      <c r="AQ18" s="311"/>
      <c r="AR18" s="311"/>
      <c r="AS18" s="311"/>
      <c r="AT18" s="311"/>
      <c r="AU18" s="311"/>
      <c r="AV18" s="311"/>
      <c r="AW18" s="311"/>
      <c r="AX18" s="311"/>
      <c r="AY18" s="311"/>
      <c r="AZ18" s="311"/>
      <c r="BA18" s="311"/>
      <c r="BB18" s="311"/>
      <c r="BC18" s="311"/>
      <c r="BD18" s="311"/>
      <c r="BE18" s="311"/>
      <c r="BF18" s="311"/>
      <c r="BG18" s="311"/>
      <c r="BH18" s="311"/>
      <c r="BI18" s="311"/>
      <c r="BJ18" s="311"/>
      <c r="BK18" s="311"/>
      <c r="BL18" s="311"/>
      <c r="BM18" s="311"/>
      <c r="BN18" s="311"/>
      <c r="BO18" s="311"/>
      <c r="BP18" s="311"/>
      <c r="BQ18" s="311"/>
      <c r="BR18" s="311"/>
      <c r="BS18" s="311"/>
      <c r="BT18" s="311"/>
      <c r="BU18" s="311"/>
      <c r="BV18" s="311"/>
      <c r="BW18" s="311"/>
      <c r="BX18" s="311"/>
      <c r="BY18" s="311">
        <v>0</v>
      </c>
    </row>
    <row r="19" spans="1:77" x14ac:dyDescent="0.2">
      <c r="A19" s="311">
        <v>17</v>
      </c>
      <c r="B19" s="324" t="s">
        <v>138</v>
      </c>
      <c r="C19" s="311">
        <v>17</v>
      </c>
      <c r="D19" s="311">
        <v>17</v>
      </c>
      <c r="E19" s="311">
        <v>17</v>
      </c>
      <c r="F19" s="311"/>
      <c r="G19" s="311"/>
      <c r="H19" s="311"/>
      <c r="I19" s="311"/>
      <c r="J19" s="311"/>
      <c r="K19" s="311"/>
      <c r="L19" s="311"/>
      <c r="M19" s="311"/>
      <c r="N19" s="311"/>
      <c r="O19" s="311"/>
      <c r="P19" s="311"/>
      <c r="Q19" s="311"/>
      <c r="R19" s="311"/>
      <c r="S19" s="311"/>
      <c r="T19" s="311"/>
      <c r="U19" s="311"/>
      <c r="V19" s="311"/>
      <c r="W19" s="311"/>
      <c r="X19" s="311"/>
      <c r="Y19" s="311"/>
      <c r="Z19" s="311"/>
      <c r="AA19" s="311"/>
      <c r="AB19" s="311"/>
      <c r="AC19" s="311"/>
      <c r="AD19" s="311"/>
      <c r="AE19" s="311"/>
      <c r="AF19" s="311"/>
      <c r="AG19" s="311"/>
      <c r="AH19" s="311"/>
      <c r="AI19" s="311"/>
      <c r="AJ19" s="311"/>
      <c r="AK19" s="311"/>
      <c r="AL19" s="311"/>
      <c r="AM19" s="311"/>
      <c r="AN19" s="311"/>
      <c r="AO19" s="311"/>
      <c r="AP19" s="311"/>
      <c r="AQ19" s="311"/>
      <c r="AR19" s="311"/>
      <c r="AS19" s="311"/>
      <c r="AT19" s="311"/>
      <c r="AU19" s="311"/>
      <c r="AV19" s="311"/>
      <c r="AW19" s="311"/>
      <c r="AX19" s="311"/>
      <c r="AY19" s="311"/>
      <c r="AZ19" s="311"/>
      <c r="BA19" s="311"/>
      <c r="BB19" s="311"/>
      <c r="BC19" s="311"/>
      <c r="BD19" s="311"/>
      <c r="BE19" s="311"/>
      <c r="BF19" s="311"/>
      <c r="BG19" s="311"/>
      <c r="BH19" s="311"/>
      <c r="BI19" s="311"/>
      <c r="BJ19" s="311"/>
      <c r="BK19" s="311"/>
      <c r="BL19" s="311"/>
      <c r="BM19" s="311"/>
      <c r="BN19" s="311"/>
      <c r="BO19" s="311"/>
      <c r="BP19" s="311"/>
      <c r="BQ19" s="311"/>
      <c r="BR19" s="311"/>
      <c r="BS19" s="311"/>
      <c r="BT19" s="311"/>
      <c r="BU19" s="311"/>
      <c r="BV19" s="311"/>
      <c r="BW19" s="311"/>
      <c r="BX19" s="311">
        <v>17</v>
      </c>
      <c r="BY19" s="311">
        <v>1</v>
      </c>
    </row>
    <row r="20" spans="1:77" x14ac:dyDescent="0.2">
      <c r="A20" s="311">
        <v>18</v>
      </c>
      <c r="B20" s="324" t="s">
        <v>298</v>
      </c>
      <c r="C20" s="311"/>
      <c r="D20" s="311"/>
      <c r="E20" s="311"/>
      <c r="F20" s="311"/>
      <c r="G20" s="311"/>
      <c r="H20" s="311"/>
      <c r="I20" s="311"/>
      <c r="J20" s="311"/>
      <c r="K20" s="311"/>
      <c r="L20" s="311"/>
      <c r="M20" s="311"/>
      <c r="N20" s="311"/>
      <c r="O20" s="311"/>
      <c r="P20" s="311"/>
      <c r="Q20" s="311"/>
      <c r="R20" s="311"/>
      <c r="S20" s="311"/>
      <c r="T20" s="311"/>
      <c r="U20" s="311"/>
      <c r="V20" s="311"/>
      <c r="W20" s="311"/>
      <c r="X20" s="311"/>
      <c r="Y20" s="311"/>
      <c r="Z20" s="311"/>
      <c r="AA20" s="311"/>
      <c r="AB20" s="311"/>
      <c r="AC20" s="311"/>
      <c r="AD20" s="311"/>
      <c r="AE20" s="311"/>
      <c r="AF20" s="311"/>
      <c r="AG20" s="311"/>
      <c r="AH20" s="311"/>
      <c r="AI20" s="311"/>
      <c r="AJ20" s="311"/>
      <c r="AK20" s="311">
        <v>18</v>
      </c>
      <c r="AL20" s="311"/>
      <c r="AM20" s="311"/>
      <c r="AN20" s="311"/>
      <c r="AO20" s="311"/>
      <c r="AP20" s="311"/>
      <c r="AQ20" s="311"/>
      <c r="AR20" s="311"/>
      <c r="AS20" s="311"/>
      <c r="AT20" s="311"/>
      <c r="AU20" s="311"/>
      <c r="AV20" s="311"/>
      <c r="AW20" s="311"/>
      <c r="AX20" s="311"/>
      <c r="AY20" s="311"/>
      <c r="AZ20" s="311"/>
      <c r="BA20" s="311"/>
      <c r="BB20" s="311"/>
      <c r="BC20" s="311">
        <v>18</v>
      </c>
      <c r="BD20" s="311"/>
      <c r="BE20" s="311"/>
      <c r="BF20" s="311"/>
      <c r="BG20" s="311"/>
      <c r="BH20" s="311"/>
      <c r="BI20" s="311"/>
      <c r="BJ20" s="311"/>
      <c r="BK20" s="311"/>
      <c r="BL20" s="311"/>
      <c r="BM20" s="311"/>
      <c r="BN20" s="311"/>
      <c r="BO20" s="311"/>
      <c r="BP20" s="311"/>
      <c r="BQ20" s="311"/>
      <c r="BR20" s="311"/>
      <c r="BS20" s="311"/>
      <c r="BT20" s="311"/>
      <c r="BU20" s="311"/>
      <c r="BV20" s="311"/>
      <c r="BW20" s="311"/>
      <c r="BX20" s="311"/>
      <c r="BY20" s="311">
        <v>0</v>
      </c>
    </row>
    <row r="21" spans="1:77" ht="12.75" customHeight="1" x14ac:dyDescent="0.2">
      <c r="A21" s="311">
        <v>19</v>
      </c>
      <c r="B21" s="324" t="s">
        <v>152</v>
      </c>
      <c r="C21" s="311"/>
      <c r="D21" s="311"/>
      <c r="E21" s="311"/>
      <c r="F21" s="311"/>
      <c r="G21" s="311"/>
      <c r="H21" s="311"/>
      <c r="I21" s="311"/>
      <c r="J21" s="311"/>
      <c r="K21" s="311"/>
      <c r="L21" s="311"/>
      <c r="M21" s="311"/>
      <c r="N21" s="311"/>
      <c r="O21" s="311"/>
      <c r="P21" s="311"/>
      <c r="Q21" s="311"/>
      <c r="R21" s="311"/>
      <c r="S21" s="311"/>
      <c r="T21" s="311">
        <v>19</v>
      </c>
      <c r="U21" s="311"/>
      <c r="V21" s="311"/>
      <c r="W21" s="311"/>
      <c r="X21" s="311"/>
      <c r="Y21" s="311"/>
      <c r="Z21" s="311"/>
      <c r="AA21" s="311"/>
      <c r="AB21" s="311"/>
      <c r="AC21" s="311"/>
      <c r="AD21" s="311"/>
      <c r="AE21" s="311"/>
      <c r="AF21" s="311"/>
      <c r="AG21" s="311"/>
      <c r="AH21" s="311"/>
      <c r="AI21" s="311"/>
      <c r="AJ21" s="311"/>
      <c r="AK21" s="311"/>
      <c r="AL21" s="311"/>
      <c r="AM21" s="311"/>
      <c r="AN21" s="311"/>
      <c r="AO21" s="311"/>
      <c r="AP21" s="311"/>
      <c r="AQ21" s="311"/>
      <c r="AR21" s="311"/>
      <c r="AS21" s="311"/>
      <c r="AT21" s="311"/>
      <c r="AU21" s="311"/>
      <c r="AV21" s="311"/>
      <c r="AW21" s="311"/>
      <c r="AX21" s="311"/>
      <c r="AY21" s="311"/>
      <c r="AZ21" s="311"/>
      <c r="BA21" s="311"/>
      <c r="BB21" s="311"/>
      <c r="BC21" s="311"/>
      <c r="BD21" s="311"/>
      <c r="BE21" s="311"/>
      <c r="BF21" s="311"/>
      <c r="BG21" s="311"/>
      <c r="BH21" s="311"/>
      <c r="BI21" s="311"/>
      <c r="BJ21" s="311"/>
      <c r="BK21" s="311"/>
      <c r="BL21" s="311"/>
      <c r="BM21" s="311"/>
      <c r="BN21" s="311"/>
      <c r="BO21" s="311"/>
      <c r="BP21" s="311"/>
      <c r="BQ21" s="311"/>
      <c r="BR21" s="311"/>
      <c r="BS21" s="311"/>
      <c r="BT21" s="311"/>
      <c r="BU21" s="311"/>
      <c r="BV21" s="311"/>
      <c r="BW21" s="311"/>
      <c r="BX21" s="311"/>
      <c r="BY21" s="311">
        <v>0</v>
      </c>
    </row>
    <row r="22" spans="1:77" x14ac:dyDescent="0.2">
      <c r="A22" s="311">
        <v>20</v>
      </c>
      <c r="B22" s="324" t="s">
        <v>297</v>
      </c>
      <c r="C22" s="311"/>
      <c r="D22" s="311"/>
      <c r="E22" s="311"/>
      <c r="F22" s="311"/>
      <c r="G22" s="311"/>
      <c r="H22" s="311"/>
      <c r="I22" s="311"/>
      <c r="J22" s="311"/>
      <c r="K22" s="311"/>
      <c r="L22" s="311"/>
      <c r="M22" s="311"/>
      <c r="N22" s="311"/>
      <c r="O22" s="311">
        <v>20</v>
      </c>
      <c r="P22" s="311"/>
      <c r="Q22" s="311"/>
      <c r="R22" s="311"/>
      <c r="S22" s="311"/>
      <c r="T22" s="311"/>
      <c r="U22" s="311"/>
      <c r="V22" s="311"/>
      <c r="W22" s="311"/>
      <c r="X22" s="311"/>
      <c r="Y22" s="311"/>
      <c r="Z22" s="311"/>
      <c r="AA22" s="311"/>
      <c r="AB22" s="311"/>
      <c r="AC22" s="311"/>
      <c r="AD22" s="311"/>
      <c r="AE22" s="311"/>
      <c r="AF22" s="311"/>
      <c r="AG22" s="311"/>
      <c r="AH22" s="311"/>
      <c r="AI22" s="311"/>
      <c r="AJ22" s="311"/>
      <c r="AK22" s="311"/>
      <c r="AL22" s="311"/>
      <c r="AM22" s="311"/>
      <c r="AN22" s="311"/>
      <c r="AO22" s="311"/>
      <c r="AP22" s="311"/>
      <c r="AQ22" s="311"/>
      <c r="AR22" s="311"/>
      <c r="AS22" s="311"/>
      <c r="AT22" s="311"/>
      <c r="AU22" s="311"/>
      <c r="AV22" s="311"/>
      <c r="AW22" s="311"/>
      <c r="AX22" s="311"/>
      <c r="AY22" s="311"/>
      <c r="AZ22" s="311"/>
      <c r="BA22" s="311"/>
      <c r="BB22" s="311"/>
      <c r="BC22" s="311"/>
      <c r="BD22" s="311"/>
      <c r="BE22" s="311"/>
      <c r="BF22" s="311"/>
      <c r="BG22" s="311"/>
      <c r="BH22" s="311"/>
      <c r="BI22" s="311"/>
      <c r="BJ22" s="311"/>
      <c r="BK22" s="311"/>
      <c r="BL22" s="311"/>
      <c r="BM22" s="311"/>
      <c r="BN22" s="311"/>
      <c r="BO22" s="311"/>
      <c r="BP22" s="311"/>
      <c r="BQ22" s="311"/>
      <c r="BR22" s="311"/>
      <c r="BS22" s="311"/>
      <c r="BT22" s="311"/>
      <c r="BU22" s="311"/>
      <c r="BV22" s="311"/>
      <c r="BW22" s="311"/>
      <c r="BX22" s="311"/>
      <c r="BY22" s="311">
        <v>0</v>
      </c>
    </row>
    <row r="23" spans="1:77" x14ac:dyDescent="0.2">
      <c r="A23" s="311">
        <v>21</v>
      </c>
      <c r="B23" s="324" t="s">
        <v>296</v>
      </c>
      <c r="C23" s="311">
        <v>21</v>
      </c>
      <c r="D23" s="311"/>
      <c r="E23" s="311"/>
      <c r="F23" s="311"/>
      <c r="G23" s="311"/>
      <c r="H23" s="311"/>
      <c r="I23" s="311"/>
      <c r="J23" s="311"/>
      <c r="K23" s="311"/>
      <c r="L23" s="311"/>
      <c r="M23" s="311">
        <v>21</v>
      </c>
      <c r="N23" s="311"/>
      <c r="O23" s="311"/>
      <c r="P23" s="311"/>
      <c r="Q23" s="311"/>
      <c r="R23" s="311"/>
      <c r="S23" s="311"/>
      <c r="T23" s="311"/>
      <c r="U23" s="311"/>
      <c r="V23" s="311"/>
      <c r="W23" s="311"/>
      <c r="X23" s="311"/>
      <c r="Y23" s="311"/>
      <c r="Z23" s="311"/>
      <c r="AA23" s="311"/>
      <c r="AB23" s="311"/>
      <c r="AC23" s="311"/>
      <c r="AD23" s="311"/>
      <c r="AE23" s="311"/>
      <c r="AF23" s="311"/>
      <c r="AG23" s="311"/>
      <c r="AH23" s="311"/>
      <c r="AI23" s="311"/>
      <c r="AJ23" s="311"/>
      <c r="AK23" s="311"/>
      <c r="AL23" s="311"/>
      <c r="AM23" s="311">
        <v>21</v>
      </c>
      <c r="AN23" s="311"/>
      <c r="AO23" s="311"/>
      <c r="AP23" s="311"/>
      <c r="AQ23" s="311"/>
      <c r="AR23" s="311"/>
      <c r="AS23" s="311"/>
      <c r="AT23" s="311"/>
      <c r="AU23" s="311"/>
      <c r="AV23" s="311"/>
      <c r="AW23" s="311"/>
      <c r="AX23" s="311"/>
      <c r="AY23" s="311"/>
      <c r="AZ23" s="311"/>
      <c r="BA23" s="311"/>
      <c r="BB23" s="311"/>
      <c r="BC23" s="311"/>
      <c r="BD23" s="311"/>
      <c r="BE23" s="311"/>
      <c r="BF23" s="311"/>
      <c r="BG23" s="311"/>
      <c r="BH23" s="311"/>
      <c r="BI23" s="311"/>
      <c r="BJ23" s="311"/>
      <c r="BK23" s="311"/>
      <c r="BL23" s="311"/>
      <c r="BM23" s="311"/>
      <c r="BN23" s="311"/>
      <c r="BO23" s="311"/>
      <c r="BP23" s="311"/>
      <c r="BQ23" s="311"/>
      <c r="BR23" s="311"/>
      <c r="BS23" s="311"/>
      <c r="BT23" s="311"/>
      <c r="BU23" s="311"/>
      <c r="BV23" s="311"/>
      <c r="BW23" s="311"/>
      <c r="BX23" s="311"/>
      <c r="BY23" s="311">
        <v>0</v>
      </c>
    </row>
    <row r="24" spans="1:77" ht="12.75" customHeight="1" x14ac:dyDescent="0.2">
      <c r="A24" s="311">
        <v>22</v>
      </c>
      <c r="B24" s="324" t="s">
        <v>295</v>
      </c>
      <c r="C24" s="311"/>
      <c r="D24" s="311"/>
      <c r="E24" s="311"/>
      <c r="F24" s="311"/>
      <c r="G24" s="311"/>
      <c r="H24" s="311"/>
      <c r="I24" s="311"/>
      <c r="J24" s="311"/>
      <c r="K24" s="311"/>
      <c r="L24" s="311"/>
      <c r="M24" s="311"/>
      <c r="N24" s="311"/>
      <c r="O24" s="311"/>
      <c r="P24" s="311"/>
      <c r="Q24" s="311"/>
      <c r="R24" s="311"/>
      <c r="S24" s="311"/>
      <c r="T24" s="311"/>
      <c r="U24" s="311">
        <v>22</v>
      </c>
      <c r="V24" s="311">
        <v>22</v>
      </c>
      <c r="W24" s="311">
        <v>22</v>
      </c>
      <c r="X24" s="311"/>
      <c r="Y24" s="311"/>
      <c r="Z24" s="311"/>
      <c r="AA24" s="311"/>
      <c r="AB24" s="311"/>
      <c r="AC24" s="311"/>
      <c r="AD24" s="311"/>
      <c r="AE24" s="311"/>
      <c r="AF24" s="311"/>
      <c r="AG24" s="311"/>
      <c r="AH24" s="311"/>
      <c r="AI24" s="311"/>
      <c r="AJ24" s="311"/>
      <c r="AK24" s="311"/>
      <c r="AL24" s="311"/>
      <c r="AM24" s="311"/>
      <c r="AN24" s="311"/>
      <c r="AO24" s="311"/>
      <c r="AP24" s="311"/>
      <c r="AQ24" s="311"/>
      <c r="AR24" s="311">
        <v>22</v>
      </c>
      <c r="AS24" s="311">
        <v>22</v>
      </c>
      <c r="AT24" s="311"/>
      <c r="AU24" s="311"/>
      <c r="AV24" s="311"/>
      <c r="AW24" s="311"/>
      <c r="AX24" s="311"/>
      <c r="AY24" s="311"/>
      <c r="AZ24" s="311"/>
      <c r="BA24" s="311"/>
      <c r="BB24" s="311"/>
      <c r="BC24" s="311"/>
      <c r="BD24" s="311"/>
      <c r="BE24" s="311"/>
      <c r="BF24" s="311"/>
      <c r="BG24" s="311"/>
      <c r="BH24" s="311">
        <v>22</v>
      </c>
      <c r="BI24" s="311">
        <v>22</v>
      </c>
      <c r="BJ24" s="311">
        <v>22</v>
      </c>
      <c r="BK24" s="311"/>
      <c r="BL24" s="311"/>
      <c r="BM24" s="311"/>
      <c r="BN24" s="311"/>
      <c r="BO24" s="311"/>
      <c r="BP24" s="311"/>
      <c r="BQ24" s="311"/>
      <c r="BR24" s="311"/>
      <c r="BS24" s="311"/>
      <c r="BT24" s="311"/>
      <c r="BU24" s="311"/>
      <c r="BV24" s="311"/>
      <c r="BW24" s="311"/>
      <c r="BX24" s="311"/>
      <c r="BY24" s="311">
        <v>0</v>
      </c>
    </row>
    <row r="25" spans="1:77" x14ac:dyDescent="0.2">
      <c r="A25" s="311">
        <v>23</v>
      </c>
      <c r="B25" s="324" t="s">
        <v>67</v>
      </c>
      <c r="C25" s="311">
        <v>23</v>
      </c>
      <c r="D25" s="311">
        <v>23</v>
      </c>
      <c r="E25" s="311">
        <v>23</v>
      </c>
      <c r="F25" s="311"/>
      <c r="G25" s="311">
        <v>23</v>
      </c>
      <c r="H25" s="311">
        <v>23</v>
      </c>
      <c r="I25" s="311">
        <v>23</v>
      </c>
      <c r="J25" s="311"/>
      <c r="K25" s="311"/>
      <c r="L25" s="311"/>
      <c r="M25" s="311">
        <v>23</v>
      </c>
      <c r="N25" s="311">
        <v>23</v>
      </c>
      <c r="O25" s="311"/>
      <c r="P25" s="311"/>
      <c r="Q25" s="311"/>
      <c r="R25" s="311"/>
      <c r="S25" s="311"/>
      <c r="T25" s="311"/>
      <c r="U25" s="311"/>
      <c r="V25" s="311"/>
      <c r="W25" s="311"/>
      <c r="X25" s="311">
        <v>23</v>
      </c>
      <c r="Y25" s="311">
        <v>23</v>
      </c>
      <c r="Z25" s="311"/>
      <c r="AA25" s="311"/>
      <c r="AB25" s="311"/>
      <c r="AC25" s="311"/>
      <c r="AD25" s="311">
        <v>23</v>
      </c>
      <c r="AE25" s="311"/>
      <c r="AF25" s="311"/>
      <c r="AG25" s="311"/>
      <c r="AH25" s="311">
        <v>23</v>
      </c>
      <c r="AI25" s="311"/>
      <c r="AJ25" s="311"/>
      <c r="AK25" s="311"/>
      <c r="AL25" s="311"/>
      <c r="AM25" s="311">
        <v>23</v>
      </c>
      <c r="AN25" s="311">
        <v>23</v>
      </c>
      <c r="AO25" s="311"/>
      <c r="AP25" s="311"/>
      <c r="AQ25" s="311"/>
      <c r="AR25" s="311"/>
      <c r="AS25" s="311"/>
      <c r="AT25" s="311">
        <v>23</v>
      </c>
      <c r="AU25" s="311"/>
      <c r="AV25" s="311"/>
      <c r="AW25" s="311"/>
      <c r="AX25" s="311"/>
      <c r="AY25" s="311"/>
      <c r="AZ25" s="311"/>
      <c r="BA25" s="311"/>
      <c r="BB25" s="311"/>
      <c r="BC25" s="311"/>
      <c r="BD25" s="311"/>
      <c r="BE25" s="311">
        <v>23</v>
      </c>
      <c r="BF25" s="311">
        <v>23</v>
      </c>
      <c r="BG25" s="311">
        <v>23</v>
      </c>
      <c r="BH25" s="311"/>
      <c r="BI25" s="311"/>
      <c r="BJ25" s="311"/>
      <c r="BK25" s="311"/>
      <c r="BL25" s="311">
        <v>23</v>
      </c>
      <c r="BM25" s="311">
        <v>23</v>
      </c>
      <c r="BN25" s="311"/>
      <c r="BO25" s="311">
        <v>23</v>
      </c>
      <c r="BP25" s="311">
        <v>23</v>
      </c>
      <c r="BQ25" s="311"/>
      <c r="BR25" s="311"/>
      <c r="BS25" s="311"/>
      <c r="BT25" s="311"/>
      <c r="BU25" s="311"/>
      <c r="BV25" s="311"/>
      <c r="BW25" s="311"/>
      <c r="BX25" s="311">
        <v>23</v>
      </c>
      <c r="BY25" s="311">
        <v>1</v>
      </c>
    </row>
    <row r="26" spans="1:77" x14ac:dyDescent="0.2">
      <c r="A26" s="311">
        <v>24</v>
      </c>
      <c r="B26" s="324" t="s">
        <v>294</v>
      </c>
      <c r="C26" s="311"/>
      <c r="D26" s="311"/>
      <c r="E26" s="311"/>
      <c r="F26" s="311"/>
      <c r="G26" s="311"/>
      <c r="H26" s="311"/>
      <c r="I26" s="311"/>
      <c r="J26" s="311"/>
      <c r="K26" s="311"/>
      <c r="L26" s="311"/>
      <c r="M26" s="311"/>
      <c r="N26" s="311"/>
      <c r="O26" s="311"/>
      <c r="P26" s="311"/>
      <c r="Q26" s="311"/>
      <c r="R26" s="311"/>
      <c r="S26" s="311"/>
      <c r="T26" s="311"/>
      <c r="U26" s="311"/>
      <c r="V26" s="311"/>
      <c r="W26" s="311"/>
      <c r="X26" s="311"/>
      <c r="Y26" s="311"/>
      <c r="Z26" s="311"/>
      <c r="AA26" s="311"/>
      <c r="AB26" s="311"/>
      <c r="AC26" s="311"/>
      <c r="AD26" s="311"/>
      <c r="AE26" s="311"/>
      <c r="AF26" s="311">
        <v>24</v>
      </c>
      <c r="AG26" s="311"/>
      <c r="AH26" s="311"/>
      <c r="AI26" s="311"/>
      <c r="AJ26" s="311"/>
      <c r="AK26" s="311"/>
      <c r="AL26" s="311"/>
      <c r="AM26" s="311"/>
      <c r="AN26" s="311"/>
      <c r="AO26" s="311"/>
      <c r="AP26" s="311"/>
      <c r="AQ26" s="311"/>
      <c r="AR26" s="311"/>
      <c r="AS26" s="311"/>
      <c r="AT26" s="311"/>
      <c r="AU26" s="311"/>
      <c r="AV26" s="311"/>
      <c r="AW26" s="311"/>
      <c r="AX26" s="311"/>
      <c r="AY26" s="311"/>
      <c r="AZ26" s="311"/>
      <c r="BA26" s="311"/>
      <c r="BB26" s="311"/>
      <c r="BC26" s="311"/>
      <c r="BD26" s="311"/>
      <c r="BE26" s="311"/>
      <c r="BF26" s="311"/>
      <c r="BG26" s="311"/>
      <c r="BH26" s="311"/>
      <c r="BI26" s="311"/>
      <c r="BJ26" s="311"/>
      <c r="BK26" s="311"/>
      <c r="BL26" s="311"/>
      <c r="BM26" s="311"/>
      <c r="BN26" s="311"/>
      <c r="BO26" s="311"/>
      <c r="BP26" s="311"/>
      <c r="BQ26" s="311"/>
      <c r="BR26" s="311"/>
      <c r="BS26" s="311"/>
      <c r="BT26" s="311"/>
      <c r="BU26" s="311"/>
      <c r="BV26" s="311"/>
      <c r="BW26" s="311"/>
      <c r="BX26" s="311"/>
      <c r="BY26" s="311">
        <v>0</v>
      </c>
    </row>
    <row r="27" spans="1:77" ht="12.75" customHeight="1" x14ac:dyDescent="0.2">
      <c r="A27" s="311">
        <v>25</v>
      </c>
      <c r="B27" s="324" t="s">
        <v>293</v>
      </c>
      <c r="C27" s="311"/>
      <c r="D27" s="311"/>
      <c r="E27" s="311"/>
      <c r="F27" s="311"/>
      <c r="G27" s="311"/>
      <c r="H27" s="311"/>
      <c r="I27" s="311"/>
      <c r="J27" s="311"/>
      <c r="K27" s="311"/>
      <c r="L27" s="311"/>
      <c r="M27" s="311"/>
      <c r="N27" s="311"/>
      <c r="O27" s="311"/>
      <c r="P27" s="311"/>
      <c r="Q27" s="311"/>
      <c r="R27" s="311"/>
      <c r="S27" s="311"/>
      <c r="T27" s="311"/>
      <c r="U27" s="311"/>
      <c r="V27" s="311"/>
      <c r="W27" s="311"/>
      <c r="X27" s="311"/>
      <c r="Y27" s="311"/>
      <c r="Z27" s="311"/>
      <c r="AA27" s="311"/>
      <c r="AB27" s="311"/>
      <c r="AC27" s="311"/>
      <c r="AD27" s="311"/>
      <c r="AE27" s="311"/>
      <c r="AF27" s="311"/>
      <c r="AG27" s="311"/>
      <c r="AH27" s="311"/>
      <c r="AI27" s="311">
        <v>25</v>
      </c>
      <c r="AJ27" s="311"/>
      <c r="AK27" s="311"/>
      <c r="AL27" s="311"/>
      <c r="AM27" s="311"/>
      <c r="AN27" s="311"/>
      <c r="AO27" s="311"/>
      <c r="AP27" s="311"/>
      <c r="AQ27" s="311"/>
      <c r="AR27" s="311"/>
      <c r="AS27" s="311"/>
      <c r="AT27" s="311"/>
      <c r="AU27" s="311"/>
      <c r="AV27" s="311"/>
      <c r="AW27" s="311"/>
      <c r="AX27" s="311"/>
      <c r="AY27" s="311">
        <v>25</v>
      </c>
      <c r="AZ27" s="311">
        <v>25</v>
      </c>
      <c r="BA27" s="311"/>
      <c r="BB27" s="311"/>
      <c r="BC27" s="311"/>
      <c r="BD27" s="311"/>
      <c r="BE27" s="311"/>
      <c r="BF27" s="311"/>
      <c r="BG27" s="311"/>
      <c r="BH27" s="311"/>
      <c r="BI27" s="311"/>
      <c r="BJ27" s="311"/>
      <c r="BK27" s="311"/>
      <c r="BL27" s="311"/>
      <c r="BM27" s="311"/>
      <c r="BN27" s="311"/>
      <c r="BO27" s="311"/>
      <c r="BP27" s="311"/>
      <c r="BQ27" s="311"/>
      <c r="BR27" s="311"/>
      <c r="BS27" s="311"/>
      <c r="BT27" s="311"/>
      <c r="BU27" s="311"/>
      <c r="BV27" s="311"/>
      <c r="BW27" s="311">
        <v>25</v>
      </c>
      <c r="BX27" s="311"/>
      <c r="BY27" s="311">
        <v>0</v>
      </c>
    </row>
    <row r="28" spans="1:77" x14ac:dyDescent="0.2">
      <c r="A28" s="311">
        <v>26</v>
      </c>
      <c r="B28" s="324" t="s">
        <v>292</v>
      </c>
      <c r="C28" s="311"/>
      <c r="D28" s="311"/>
      <c r="E28" s="311"/>
      <c r="F28" s="311"/>
      <c r="G28" s="311"/>
      <c r="H28" s="311"/>
      <c r="I28" s="311"/>
      <c r="J28" s="311"/>
      <c r="K28" s="311"/>
      <c r="L28" s="311"/>
      <c r="M28" s="311"/>
      <c r="N28" s="311"/>
      <c r="O28" s="311"/>
      <c r="P28" s="311"/>
      <c r="Q28" s="311"/>
      <c r="R28" s="311"/>
      <c r="S28" s="311"/>
      <c r="T28" s="311"/>
      <c r="U28" s="311"/>
      <c r="V28" s="311"/>
      <c r="W28" s="311"/>
      <c r="X28" s="311"/>
      <c r="Y28" s="311"/>
      <c r="Z28" s="311"/>
      <c r="AA28" s="311"/>
      <c r="AB28" s="311"/>
      <c r="AC28" s="311"/>
      <c r="AD28" s="311"/>
      <c r="AE28" s="311"/>
      <c r="AF28" s="311">
        <v>26</v>
      </c>
      <c r="AG28" s="311"/>
      <c r="AH28" s="311"/>
      <c r="AI28" s="311"/>
      <c r="AJ28" s="311"/>
      <c r="AK28" s="311"/>
      <c r="AL28" s="311"/>
      <c r="AM28" s="311"/>
      <c r="AN28" s="311"/>
      <c r="AO28" s="311"/>
      <c r="AP28" s="311"/>
      <c r="AQ28" s="311"/>
      <c r="AR28" s="311"/>
      <c r="AS28" s="311"/>
      <c r="AT28" s="311"/>
      <c r="AU28" s="311"/>
      <c r="AV28" s="311"/>
      <c r="AW28" s="311"/>
      <c r="AX28" s="311"/>
      <c r="AY28" s="311"/>
      <c r="AZ28" s="311"/>
      <c r="BA28" s="311"/>
      <c r="BB28" s="311"/>
      <c r="BC28" s="311"/>
      <c r="BD28" s="311"/>
      <c r="BE28" s="311"/>
      <c r="BF28" s="311"/>
      <c r="BG28" s="311"/>
      <c r="BH28" s="311"/>
      <c r="BI28" s="311"/>
      <c r="BJ28" s="311"/>
      <c r="BK28" s="311"/>
      <c r="BL28" s="311"/>
      <c r="BM28" s="311"/>
      <c r="BN28" s="311"/>
      <c r="BO28" s="311"/>
      <c r="BP28" s="311"/>
      <c r="BQ28" s="311"/>
      <c r="BR28" s="311"/>
      <c r="BS28" s="311"/>
      <c r="BT28" s="311"/>
      <c r="BU28" s="311"/>
      <c r="BV28" s="311"/>
      <c r="BW28" s="311"/>
      <c r="BX28" s="311"/>
      <c r="BY28" s="311">
        <v>0</v>
      </c>
    </row>
    <row r="29" spans="1:77" x14ac:dyDescent="0.2">
      <c r="A29" s="311">
        <v>27</v>
      </c>
      <c r="B29" s="324" t="s">
        <v>291</v>
      </c>
      <c r="C29" s="311"/>
      <c r="D29" s="311"/>
      <c r="E29" s="311"/>
      <c r="F29" s="311"/>
      <c r="G29" s="311"/>
      <c r="H29" s="311"/>
      <c r="I29" s="311"/>
      <c r="J29" s="311"/>
      <c r="K29" s="311"/>
      <c r="L29" s="311"/>
      <c r="M29" s="311"/>
      <c r="N29" s="311"/>
      <c r="O29" s="311"/>
      <c r="P29" s="311"/>
      <c r="Q29" s="311"/>
      <c r="R29" s="311"/>
      <c r="S29" s="311"/>
      <c r="T29" s="311"/>
      <c r="U29" s="311">
        <v>27</v>
      </c>
      <c r="V29" s="311">
        <v>27</v>
      </c>
      <c r="W29" s="311">
        <v>27</v>
      </c>
      <c r="X29" s="311"/>
      <c r="Y29" s="311"/>
      <c r="Z29" s="311"/>
      <c r="AA29" s="311"/>
      <c r="AB29" s="311"/>
      <c r="AC29" s="311"/>
      <c r="AD29" s="311"/>
      <c r="AE29" s="311"/>
      <c r="AF29" s="311"/>
      <c r="AG29" s="311"/>
      <c r="AH29" s="311"/>
      <c r="AI29" s="311"/>
      <c r="AJ29" s="311"/>
      <c r="AK29" s="311"/>
      <c r="AL29" s="311"/>
      <c r="AM29" s="311"/>
      <c r="AN29" s="311"/>
      <c r="AO29" s="311"/>
      <c r="AP29" s="311"/>
      <c r="AQ29" s="311"/>
      <c r="AR29" s="311">
        <v>27</v>
      </c>
      <c r="AS29" s="311">
        <v>27</v>
      </c>
      <c r="AT29" s="311"/>
      <c r="AU29" s="311"/>
      <c r="AV29" s="311"/>
      <c r="AW29" s="311"/>
      <c r="AX29" s="311"/>
      <c r="AY29" s="311"/>
      <c r="AZ29" s="311"/>
      <c r="BA29" s="311"/>
      <c r="BB29" s="311"/>
      <c r="BC29" s="311"/>
      <c r="BD29" s="311"/>
      <c r="BE29" s="311"/>
      <c r="BF29" s="311"/>
      <c r="BG29" s="311"/>
      <c r="BH29" s="311">
        <v>27</v>
      </c>
      <c r="BI29" s="311">
        <v>27</v>
      </c>
      <c r="BJ29" s="311">
        <v>27</v>
      </c>
      <c r="BK29" s="311"/>
      <c r="BL29" s="311"/>
      <c r="BM29" s="311"/>
      <c r="BN29" s="311"/>
      <c r="BO29" s="311"/>
      <c r="BP29" s="311"/>
      <c r="BQ29" s="311"/>
      <c r="BR29" s="311"/>
      <c r="BS29" s="311"/>
      <c r="BT29" s="311"/>
      <c r="BU29" s="311"/>
      <c r="BV29" s="311"/>
      <c r="BW29" s="311"/>
      <c r="BX29" s="311"/>
      <c r="BY29" s="311">
        <v>0</v>
      </c>
    </row>
    <row r="30" spans="1:77" ht="12.75" customHeight="1" x14ac:dyDescent="0.2">
      <c r="A30" s="311">
        <v>28</v>
      </c>
      <c r="B30" s="324" t="s">
        <v>290</v>
      </c>
      <c r="C30" s="311"/>
      <c r="D30" s="311"/>
      <c r="E30" s="311"/>
      <c r="F30" s="311"/>
      <c r="G30" s="311"/>
      <c r="H30" s="311"/>
      <c r="I30" s="311"/>
      <c r="J30" s="311"/>
      <c r="K30" s="311"/>
      <c r="L30" s="311"/>
      <c r="M30" s="311"/>
      <c r="N30" s="311"/>
      <c r="O30" s="311"/>
      <c r="P30" s="311"/>
      <c r="Q30" s="311"/>
      <c r="R30" s="311"/>
      <c r="S30" s="311"/>
      <c r="T30" s="311"/>
      <c r="U30" s="311"/>
      <c r="V30" s="311"/>
      <c r="W30" s="311"/>
      <c r="X30" s="311"/>
      <c r="Y30" s="311"/>
      <c r="Z30" s="311"/>
      <c r="AA30" s="311"/>
      <c r="AB30" s="311"/>
      <c r="AC30" s="311"/>
      <c r="AD30" s="311"/>
      <c r="AE30" s="311"/>
      <c r="AF30" s="311">
        <v>28</v>
      </c>
      <c r="AG30" s="311"/>
      <c r="AH30" s="311"/>
      <c r="AI30" s="311"/>
      <c r="AJ30" s="311"/>
      <c r="AK30" s="311"/>
      <c r="AL30" s="311"/>
      <c r="AM30" s="311"/>
      <c r="AN30" s="311"/>
      <c r="AO30" s="311"/>
      <c r="AP30" s="311"/>
      <c r="AQ30" s="311"/>
      <c r="AR30" s="311"/>
      <c r="AS30" s="311"/>
      <c r="AT30" s="311"/>
      <c r="AU30" s="311"/>
      <c r="AV30" s="311"/>
      <c r="AW30" s="311"/>
      <c r="AX30" s="311"/>
      <c r="AY30" s="311"/>
      <c r="AZ30" s="311"/>
      <c r="BA30" s="311"/>
      <c r="BB30" s="311"/>
      <c r="BC30" s="311"/>
      <c r="BD30" s="311"/>
      <c r="BE30" s="311"/>
      <c r="BF30" s="311"/>
      <c r="BG30" s="311"/>
      <c r="BH30" s="311"/>
      <c r="BI30" s="311"/>
      <c r="BJ30" s="311"/>
      <c r="BK30" s="311"/>
      <c r="BL30" s="311"/>
      <c r="BM30" s="311"/>
      <c r="BN30" s="311"/>
      <c r="BO30" s="311"/>
      <c r="BP30" s="311"/>
      <c r="BQ30" s="311"/>
      <c r="BR30" s="311"/>
      <c r="BS30" s="311"/>
      <c r="BT30" s="311"/>
      <c r="BU30" s="311"/>
      <c r="BV30" s="311"/>
      <c r="BW30" s="311"/>
      <c r="BX30" s="311"/>
      <c r="BY30" s="311">
        <v>0</v>
      </c>
    </row>
    <row r="31" spans="1:77" x14ac:dyDescent="0.2">
      <c r="A31" s="311">
        <v>29</v>
      </c>
      <c r="B31" s="324" t="s">
        <v>289</v>
      </c>
      <c r="C31" s="311"/>
      <c r="D31" s="311"/>
      <c r="E31" s="311"/>
      <c r="F31" s="311"/>
      <c r="G31" s="311"/>
      <c r="H31" s="311"/>
      <c r="I31" s="311"/>
      <c r="J31" s="311"/>
      <c r="K31" s="311"/>
      <c r="L31" s="311"/>
      <c r="M31" s="311"/>
      <c r="N31" s="311"/>
      <c r="O31" s="311"/>
      <c r="P31" s="311"/>
      <c r="Q31" s="311"/>
      <c r="R31" s="311"/>
      <c r="S31" s="311"/>
      <c r="T31" s="311"/>
      <c r="U31" s="311"/>
      <c r="V31" s="311"/>
      <c r="W31" s="311"/>
      <c r="X31" s="311"/>
      <c r="Y31" s="311"/>
      <c r="Z31" s="311"/>
      <c r="AA31" s="311"/>
      <c r="AB31" s="311"/>
      <c r="AC31" s="311"/>
      <c r="AD31" s="311"/>
      <c r="AE31" s="311"/>
      <c r="AF31" s="311">
        <v>29</v>
      </c>
      <c r="AG31" s="311"/>
      <c r="AH31" s="311"/>
      <c r="AI31" s="311"/>
      <c r="AJ31" s="311"/>
      <c r="AK31" s="311"/>
      <c r="AL31" s="311"/>
      <c r="AM31" s="311"/>
      <c r="AN31" s="311"/>
      <c r="AO31" s="311"/>
      <c r="AP31" s="311"/>
      <c r="AQ31" s="311"/>
      <c r="AR31" s="311"/>
      <c r="AS31" s="311"/>
      <c r="AT31" s="311"/>
      <c r="AU31" s="311"/>
      <c r="AV31" s="311"/>
      <c r="AW31" s="311"/>
      <c r="AX31" s="311"/>
      <c r="AY31" s="311"/>
      <c r="AZ31" s="311"/>
      <c r="BA31" s="311"/>
      <c r="BB31" s="311"/>
      <c r="BC31" s="311"/>
      <c r="BD31" s="311"/>
      <c r="BE31" s="311"/>
      <c r="BF31" s="311"/>
      <c r="BG31" s="311"/>
      <c r="BH31" s="311"/>
      <c r="BI31" s="311"/>
      <c r="BJ31" s="311"/>
      <c r="BK31" s="311"/>
      <c r="BL31" s="311"/>
      <c r="BM31" s="311"/>
      <c r="BN31" s="311"/>
      <c r="BO31" s="311"/>
      <c r="BP31" s="311"/>
      <c r="BQ31" s="311"/>
      <c r="BR31" s="311"/>
      <c r="BS31" s="311"/>
      <c r="BT31" s="311"/>
      <c r="BU31" s="311"/>
      <c r="BV31" s="311"/>
      <c r="BW31" s="311"/>
      <c r="BX31" s="311"/>
      <c r="BY31" s="311">
        <v>0</v>
      </c>
    </row>
    <row r="32" spans="1:77" x14ac:dyDescent="0.2">
      <c r="A32" s="311">
        <v>30</v>
      </c>
      <c r="B32" s="324" t="s">
        <v>288</v>
      </c>
      <c r="C32" s="311"/>
      <c r="D32" s="311"/>
      <c r="E32" s="311"/>
      <c r="F32" s="311"/>
      <c r="G32" s="311"/>
      <c r="H32" s="311"/>
      <c r="I32" s="311"/>
      <c r="J32" s="311"/>
      <c r="K32" s="311"/>
      <c r="L32" s="311"/>
      <c r="M32" s="311"/>
      <c r="N32" s="311"/>
      <c r="O32" s="311"/>
      <c r="P32" s="311"/>
      <c r="Q32" s="311"/>
      <c r="R32" s="311"/>
      <c r="S32" s="311"/>
      <c r="T32" s="311"/>
      <c r="U32" s="311"/>
      <c r="V32" s="311"/>
      <c r="W32" s="311"/>
      <c r="X32" s="311"/>
      <c r="Y32" s="311"/>
      <c r="Z32" s="311"/>
      <c r="AA32" s="311"/>
      <c r="AB32" s="311"/>
      <c r="AC32" s="311"/>
      <c r="AD32" s="311"/>
      <c r="AE32" s="311"/>
      <c r="AF32" s="311">
        <v>30</v>
      </c>
      <c r="AG32" s="311"/>
      <c r="AH32" s="311"/>
      <c r="AI32" s="311"/>
      <c r="AJ32" s="311"/>
      <c r="AK32" s="311"/>
      <c r="AL32" s="311"/>
      <c r="AM32" s="311"/>
      <c r="AN32" s="311"/>
      <c r="AO32" s="311"/>
      <c r="AP32" s="311"/>
      <c r="AQ32" s="311"/>
      <c r="AR32" s="311"/>
      <c r="AS32" s="311"/>
      <c r="AT32" s="311"/>
      <c r="AU32" s="311"/>
      <c r="AV32" s="311"/>
      <c r="AW32" s="311"/>
      <c r="AX32" s="311"/>
      <c r="AY32" s="311"/>
      <c r="AZ32" s="311"/>
      <c r="BA32" s="311"/>
      <c r="BB32" s="311"/>
      <c r="BC32" s="311"/>
      <c r="BD32" s="311"/>
      <c r="BE32" s="311"/>
      <c r="BF32" s="311"/>
      <c r="BG32" s="311"/>
      <c r="BH32" s="311"/>
      <c r="BI32" s="311"/>
      <c r="BJ32" s="311"/>
      <c r="BK32" s="311"/>
      <c r="BL32" s="311"/>
      <c r="BM32" s="311"/>
      <c r="BN32" s="311"/>
      <c r="BO32" s="311"/>
      <c r="BP32" s="311"/>
      <c r="BQ32" s="311"/>
      <c r="BR32" s="311"/>
      <c r="BS32" s="311"/>
      <c r="BT32" s="311"/>
      <c r="BU32" s="311"/>
      <c r="BV32" s="311"/>
      <c r="BW32" s="311"/>
      <c r="BX32" s="311"/>
      <c r="BY32" s="311">
        <v>0</v>
      </c>
    </row>
    <row r="33" spans="1:77" ht="12.75" customHeight="1" x14ac:dyDescent="0.2">
      <c r="A33" s="311">
        <v>31</v>
      </c>
      <c r="B33" s="324" t="s">
        <v>287</v>
      </c>
      <c r="C33" s="311"/>
      <c r="D33" s="311"/>
      <c r="E33" s="311"/>
      <c r="F33" s="311"/>
      <c r="G33" s="311"/>
      <c r="H33" s="311"/>
      <c r="I33" s="311"/>
      <c r="J33" s="311"/>
      <c r="K33" s="311"/>
      <c r="L33" s="311"/>
      <c r="M33" s="311"/>
      <c r="N33" s="311"/>
      <c r="O33" s="311"/>
      <c r="P33" s="311"/>
      <c r="Q33" s="311"/>
      <c r="R33" s="311"/>
      <c r="S33" s="311"/>
      <c r="T33" s="311"/>
      <c r="U33" s="311">
        <v>31</v>
      </c>
      <c r="V33" s="311">
        <v>31</v>
      </c>
      <c r="W33" s="311">
        <v>31</v>
      </c>
      <c r="X33" s="311"/>
      <c r="Y33" s="311"/>
      <c r="Z33" s="311"/>
      <c r="AA33" s="311"/>
      <c r="AB33" s="311"/>
      <c r="AC33" s="311"/>
      <c r="AD33" s="311"/>
      <c r="AE33" s="311"/>
      <c r="AF33" s="311"/>
      <c r="AG33" s="311"/>
      <c r="AH33" s="311"/>
      <c r="AI33" s="311"/>
      <c r="AJ33" s="311"/>
      <c r="AK33" s="311"/>
      <c r="AL33" s="311"/>
      <c r="AM33" s="311"/>
      <c r="AN33" s="311"/>
      <c r="AO33" s="311"/>
      <c r="AP33" s="311"/>
      <c r="AQ33" s="311"/>
      <c r="AR33" s="311">
        <v>31</v>
      </c>
      <c r="AS33" s="311">
        <v>31</v>
      </c>
      <c r="AT33" s="311"/>
      <c r="AU33" s="311"/>
      <c r="AV33" s="311"/>
      <c r="AW33" s="311"/>
      <c r="AX33" s="311"/>
      <c r="AY33" s="311"/>
      <c r="AZ33" s="311"/>
      <c r="BA33" s="311"/>
      <c r="BB33" s="311"/>
      <c r="BC33" s="311"/>
      <c r="BD33" s="311"/>
      <c r="BE33" s="311"/>
      <c r="BF33" s="311"/>
      <c r="BG33" s="311"/>
      <c r="BH33" s="311">
        <v>31</v>
      </c>
      <c r="BI33" s="311">
        <v>31</v>
      </c>
      <c r="BJ33" s="311">
        <v>31</v>
      </c>
      <c r="BK33" s="311"/>
      <c r="BL33" s="311"/>
      <c r="BM33" s="311"/>
      <c r="BN33" s="311"/>
      <c r="BO33" s="311"/>
      <c r="BP33" s="311"/>
      <c r="BQ33" s="311"/>
      <c r="BR33" s="311"/>
      <c r="BS33" s="311"/>
      <c r="BT33" s="311"/>
      <c r="BU33" s="311"/>
      <c r="BV33" s="311"/>
      <c r="BW33" s="311"/>
      <c r="BX33" s="311"/>
      <c r="BY33" s="311">
        <v>0</v>
      </c>
    </row>
    <row r="34" spans="1:77" x14ac:dyDescent="0.2">
      <c r="A34" s="311">
        <v>32</v>
      </c>
      <c r="B34" s="324" t="s">
        <v>177</v>
      </c>
      <c r="C34" s="311"/>
      <c r="D34" s="311"/>
      <c r="E34" s="311"/>
      <c r="F34" s="311"/>
      <c r="G34" s="311"/>
      <c r="H34" s="311"/>
      <c r="I34" s="311"/>
      <c r="J34" s="311"/>
      <c r="K34" s="311"/>
      <c r="L34" s="311"/>
      <c r="M34" s="311"/>
      <c r="N34" s="311"/>
      <c r="O34" s="311"/>
      <c r="P34" s="311"/>
      <c r="Q34" s="311"/>
      <c r="R34" s="311"/>
      <c r="S34" s="311"/>
      <c r="T34" s="311"/>
      <c r="U34" s="311"/>
      <c r="V34" s="311"/>
      <c r="W34" s="311"/>
      <c r="X34" s="311"/>
      <c r="Y34" s="311"/>
      <c r="Z34" s="311"/>
      <c r="AA34" s="311"/>
      <c r="AB34" s="311"/>
      <c r="AC34" s="311"/>
      <c r="AD34" s="311"/>
      <c r="AE34" s="311"/>
      <c r="AF34" s="311"/>
      <c r="AG34" s="311"/>
      <c r="AH34" s="311"/>
      <c r="AI34" s="311"/>
      <c r="AJ34" s="311"/>
      <c r="AK34" s="311"/>
      <c r="AL34" s="311"/>
      <c r="AM34" s="311"/>
      <c r="AN34" s="311"/>
      <c r="AO34" s="311"/>
      <c r="AP34" s="311"/>
      <c r="AQ34" s="311"/>
      <c r="AR34" s="311"/>
      <c r="AS34" s="311"/>
      <c r="AT34" s="311"/>
      <c r="AU34" s="311"/>
      <c r="AV34" s="311"/>
      <c r="AW34" s="311"/>
      <c r="AX34" s="311"/>
      <c r="AY34" s="311"/>
      <c r="AZ34" s="311"/>
      <c r="BA34" s="311"/>
      <c r="BB34" s="311"/>
      <c r="BC34" s="311"/>
      <c r="BD34" s="311"/>
      <c r="BE34" s="311"/>
      <c r="BF34" s="311"/>
      <c r="BG34" s="311"/>
      <c r="BH34" s="311"/>
      <c r="BI34" s="311"/>
      <c r="BJ34" s="311"/>
      <c r="BK34" s="311"/>
      <c r="BL34" s="311"/>
      <c r="BM34" s="311"/>
      <c r="BN34" s="311"/>
      <c r="BO34" s="311"/>
      <c r="BP34" s="311"/>
      <c r="BQ34" s="311"/>
      <c r="BR34" s="311"/>
      <c r="BS34" s="311"/>
      <c r="BT34" s="311">
        <v>32</v>
      </c>
      <c r="BU34" s="311"/>
      <c r="BV34" s="311"/>
      <c r="BW34" s="311"/>
      <c r="BX34" s="311"/>
      <c r="BY34" s="311">
        <v>1</v>
      </c>
    </row>
    <row r="35" spans="1:77" x14ac:dyDescent="0.2">
      <c r="A35" s="311">
        <v>33</v>
      </c>
      <c r="B35" s="324" t="s">
        <v>286</v>
      </c>
      <c r="C35" s="311"/>
      <c r="D35" s="311"/>
      <c r="E35" s="311"/>
      <c r="F35" s="311"/>
      <c r="G35" s="311"/>
      <c r="H35" s="311"/>
      <c r="I35" s="311"/>
      <c r="J35" s="311"/>
      <c r="K35" s="311"/>
      <c r="L35" s="311"/>
      <c r="M35" s="311"/>
      <c r="N35" s="311"/>
      <c r="O35" s="311"/>
      <c r="P35" s="311"/>
      <c r="Q35" s="311"/>
      <c r="R35" s="311"/>
      <c r="S35" s="311"/>
      <c r="T35" s="311"/>
      <c r="U35" s="311"/>
      <c r="V35" s="311"/>
      <c r="W35" s="311"/>
      <c r="X35" s="311"/>
      <c r="Y35" s="311"/>
      <c r="Z35" s="311"/>
      <c r="AA35" s="311"/>
      <c r="AB35" s="311"/>
      <c r="AC35" s="311"/>
      <c r="AD35" s="311"/>
      <c r="AE35" s="311"/>
      <c r="AF35" s="311"/>
      <c r="AG35" s="311"/>
      <c r="AH35" s="311"/>
      <c r="AI35" s="311"/>
      <c r="AJ35" s="311"/>
      <c r="AK35" s="311">
        <v>33</v>
      </c>
      <c r="AL35" s="311"/>
      <c r="AM35" s="311"/>
      <c r="AN35" s="311"/>
      <c r="AO35" s="311"/>
      <c r="AP35" s="311"/>
      <c r="AQ35" s="311"/>
      <c r="AR35" s="311"/>
      <c r="AS35" s="311"/>
      <c r="AT35" s="311"/>
      <c r="AU35" s="311"/>
      <c r="AV35" s="311"/>
      <c r="AW35" s="311"/>
      <c r="AX35" s="311"/>
      <c r="AY35" s="311"/>
      <c r="AZ35" s="311"/>
      <c r="BA35" s="311"/>
      <c r="BB35" s="311"/>
      <c r="BC35" s="311">
        <v>33</v>
      </c>
      <c r="BD35" s="311"/>
      <c r="BE35" s="311"/>
      <c r="BF35" s="311"/>
      <c r="BG35" s="311"/>
      <c r="BH35" s="311"/>
      <c r="BI35" s="311"/>
      <c r="BJ35" s="311"/>
      <c r="BK35" s="311"/>
      <c r="BL35" s="311"/>
      <c r="BM35" s="311"/>
      <c r="BN35" s="311"/>
      <c r="BO35" s="311"/>
      <c r="BP35" s="311"/>
      <c r="BQ35" s="311"/>
      <c r="BR35" s="311"/>
      <c r="BS35" s="311"/>
      <c r="BT35" s="311"/>
      <c r="BU35" s="311"/>
      <c r="BV35" s="311"/>
      <c r="BW35" s="311"/>
      <c r="BX35" s="311"/>
      <c r="BY35" s="311">
        <v>1</v>
      </c>
    </row>
    <row r="36" spans="1:77" ht="12.75" customHeight="1" x14ac:dyDescent="0.2">
      <c r="A36" s="311">
        <v>34</v>
      </c>
      <c r="B36" s="324" t="s">
        <v>85</v>
      </c>
      <c r="C36" s="311">
        <v>34</v>
      </c>
      <c r="D36" s="311">
        <v>34</v>
      </c>
      <c r="E36" s="311">
        <v>34</v>
      </c>
      <c r="F36" s="311">
        <v>34</v>
      </c>
      <c r="G36" s="311"/>
      <c r="H36" s="311">
        <v>34</v>
      </c>
      <c r="I36" s="311"/>
      <c r="J36" s="311"/>
      <c r="K36" s="311">
        <v>34</v>
      </c>
      <c r="L36" s="311">
        <v>34</v>
      </c>
      <c r="M36" s="311">
        <v>34</v>
      </c>
      <c r="N36" s="311">
        <v>34</v>
      </c>
      <c r="O36" s="311"/>
      <c r="P36" s="311">
        <v>34</v>
      </c>
      <c r="Q36" s="311"/>
      <c r="R36" s="311"/>
      <c r="S36" s="311"/>
      <c r="T36" s="311"/>
      <c r="U36" s="311"/>
      <c r="V36" s="311"/>
      <c r="W36" s="311"/>
      <c r="X36" s="311">
        <v>34</v>
      </c>
      <c r="Y36" s="311"/>
      <c r="Z36" s="311"/>
      <c r="AA36" s="311"/>
      <c r="AB36" s="311"/>
      <c r="AC36" s="311">
        <v>34</v>
      </c>
      <c r="AD36" s="311">
        <v>34</v>
      </c>
      <c r="AE36" s="311">
        <v>34</v>
      </c>
      <c r="AF36" s="311"/>
      <c r="AG36" s="311">
        <v>34</v>
      </c>
      <c r="AH36" s="311">
        <v>34</v>
      </c>
      <c r="AI36" s="311"/>
      <c r="AJ36" s="311">
        <v>34</v>
      </c>
      <c r="AK36" s="311"/>
      <c r="AL36" s="311"/>
      <c r="AM36" s="311">
        <v>34</v>
      </c>
      <c r="AN36" s="311">
        <v>34</v>
      </c>
      <c r="AO36" s="311">
        <v>34</v>
      </c>
      <c r="AP36" s="311"/>
      <c r="AQ36" s="311"/>
      <c r="AR36" s="311"/>
      <c r="AS36" s="311"/>
      <c r="AT36" s="311"/>
      <c r="AU36" s="311"/>
      <c r="AV36" s="311"/>
      <c r="AW36" s="311"/>
      <c r="AX36" s="311"/>
      <c r="AY36" s="311"/>
      <c r="AZ36" s="311"/>
      <c r="BA36" s="311"/>
      <c r="BB36" s="311">
        <v>34</v>
      </c>
      <c r="BC36" s="311"/>
      <c r="BD36" s="311"/>
      <c r="BE36" s="311"/>
      <c r="BF36" s="311"/>
      <c r="BG36" s="311"/>
      <c r="BH36" s="311"/>
      <c r="BI36" s="311"/>
      <c r="BJ36" s="311"/>
      <c r="BK36" s="311"/>
      <c r="BL36" s="311"/>
      <c r="BM36" s="311"/>
      <c r="BN36" s="311"/>
      <c r="BO36" s="311"/>
      <c r="BP36" s="311"/>
      <c r="BQ36" s="311"/>
      <c r="BR36" s="311"/>
      <c r="BS36" s="311"/>
      <c r="BT36" s="311"/>
      <c r="BU36" s="311">
        <v>34</v>
      </c>
      <c r="BV36" s="311"/>
      <c r="BW36" s="311"/>
      <c r="BX36" s="311">
        <v>34</v>
      </c>
      <c r="BY36" s="311">
        <v>0</v>
      </c>
    </row>
    <row r="37" spans="1:77" x14ac:dyDescent="0.2">
      <c r="A37" s="311">
        <v>35</v>
      </c>
      <c r="B37" s="324" t="s">
        <v>151</v>
      </c>
      <c r="C37" s="311">
        <v>35</v>
      </c>
      <c r="D37" s="311">
        <v>35</v>
      </c>
      <c r="E37" s="311">
        <v>35</v>
      </c>
      <c r="F37" s="311">
        <v>35</v>
      </c>
      <c r="G37" s="311"/>
      <c r="H37" s="311">
        <v>35</v>
      </c>
      <c r="I37" s="311"/>
      <c r="J37" s="311"/>
      <c r="K37" s="311"/>
      <c r="L37" s="311"/>
      <c r="M37" s="311"/>
      <c r="N37" s="311">
        <v>35</v>
      </c>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c r="AL37" s="311"/>
      <c r="AM37" s="311"/>
      <c r="AN37" s="311"/>
      <c r="AO37" s="311"/>
      <c r="AP37" s="311"/>
      <c r="AQ37" s="311"/>
      <c r="AR37" s="311"/>
      <c r="AS37" s="311"/>
      <c r="AT37" s="311"/>
      <c r="AU37" s="311"/>
      <c r="AV37" s="311"/>
      <c r="AW37" s="311"/>
      <c r="AX37" s="311"/>
      <c r="AY37" s="311"/>
      <c r="AZ37" s="311"/>
      <c r="BA37" s="311"/>
      <c r="BB37" s="311"/>
      <c r="BC37" s="311"/>
      <c r="BD37" s="311"/>
      <c r="BE37" s="311"/>
      <c r="BF37" s="311"/>
      <c r="BG37" s="311"/>
      <c r="BH37" s="311"/>
      <c r="BI37" s="311"/>
      <c r="BJ37" s="311"/>
      <c r="BK37" s="311"/>
      <c r="BL37" s="311"/>
      <c r="BM37" s="311"/>
      <c r="BN37" s="311"/>
      <c r="BO37" s="311"/>
      <c r="BP37" s="311"/>
      <c r="BQ37" s="311"/>
      <c r="BR37" s="311">
        <v>35</v>
      </c>
      <c r="BS37" s="311"/>
      <c r="BT37" s="311"/>
      <c r="BU37" s="311"/>
      <c r="BV37" s="311"/>
      <c r="BW37" s="311"/>
      <c r="BX37" s="311"/>
      <c r="BY37" s="311">
        <v>0</v>
      </c>
    </row>
    <row r="38" spans="1:77" x14ac:dyDescent="0.2">
      <c r="A38" s="311">
        <v>36</v>
      </c>
      <c r="B38" s="324" t="s">
        <v>78</v>
      </c>
      <c r="C38" s="311">
        <v>36</v>
      </c>
      <c r="D38" s="311">
        <v>36</v>
      </c>
      <c r="E38" s="311">
        <v>36</v>
      </c>
      <c r="F38" s="311">
        <v>36</v>
      </c>
      <c r="G38" s="311"/>
      <c r="H38" s="311">
        <v>36</v>
      </c>
      <c r="I38" s="311"/>
      <c r="J38" s="311"/>
      <c r="K38" s="311">
        <v>36</v>
      </c>
      <c r="L38" s="311">
        <v>36</v>
      </c>
      <c r="M38" s="311">
        <v>36</v>
      </c>
      <c r="N38" s="311">
        <v>36</v>
      </c>
      <c r="O38" s="311"/>
      <c r="P38" s="311">
        <v>36</v>
      </c>
      <c r="Q38" s="311"/>
      <c r="R38" s="311"/>
      <c r="S38" s="311"/>
      <c r="T38" s="311"/>
      <c r="U38" s="311"/>
      <c r="V38" s="311"/>
      <c r="W38" s="311"/>
      <c r="X38" s="311">
        <v>36</v>
      </c>
      <c r="Y38" s="311"/>
      <c r="Z38" s="311"/>
      <c r="AA38" s="311"/>
      <c r="AB38" s="311"/>
      <c r="AC38" s="311">
        <v>36</v>
      </c>
      <c r="AD38" s="311">
        <v>36</v>
      </c>
      <c r="AE38" s="311">
        <v>36</v>
      </c>
      <c r="AF38" s="311"/>
      <c r="AG38" s="311">
        <v>36</v>
      </c>
      <c r="AH38" s="311">
        <v>36</v>
      </c>
      <c r="AI38" s="311"/>
      <c r="AJ38" s="311">
        <v>36</v>
      </c>
      <c r="AK38" s="311"/>
      <c r="AL38" s="311"/>
      <c r="AM38" s="311">
        <v>36</v>
      </c>
      <c r="AN38" s="311">
        <v>36</v>
      </c>
      <c r="AO38" s="311">
        <v>36</v>
      </c>
      <c r="AP38" s="311"/>
      <c r="AQ38" s="311"/>
      <c r="AR38" s="311"/>
      <c r="AS38" s="311"/>
      <c r="AT38" s="311"/>
      <c r="AU38" s="311"/>
      <c r="AV38" s="311"/>
      <c r="AW38" s="311"/>
      <c r="AX38" s="311"/>
      <c r="AY38" s="311"/>
      <c r="AZ38" s="311"/>
      <c r="BA38" s="311"/>
      <c r="BB38" s="311">
        <v>36</v>
      </c>
      <c r="BC38" s="311"/>
      <c r="BD38" s="311"/>
      <c r="BE38" s="311"/>
      <c r="BF38" s="311"/>
      <c r="BG38" s="311"/>
      <c r="BH38" s="311"/>
      <c r="BI38" s="311"/>
      <c r="BJ38" s="311"/>
      <c r="BK38" s="311"/>
      <c r="BL38" s="311"/>
      <c r="BM38" s="311"/>
      <c r="BN38" s="311"/>
      <c r="BO38" s="311"/>
      <c r="BP38" s="311"/>
      <c r="BQ38" s="311"/>
      <c r="BR38" s="311">
        <v>36</v>
      </c>
      <c r="BS38" s="311">
        <v>36</v>
      </c>
      <c r="BT38" s="311"/>
      <c r="BU38" s="311">
        <v>36</v>
      </c>
      <c r="BV38" s="311"/>
      <c r="BW38" s="311"/>
      <c r="BX38" s="311">
        <v>36</v>
      </c>
      <c r="BY38" s="311">
        <v>0</v>
      </c>
    </row>
    <row r="39" spans="1:77" x14ac:dyDescent="0.2">
      <c r="A39" s="311">
        <v>37</v>
      </c>
      <c r="B39" s="324" t="s">
        <v>285</v>
      </c>
      <c r="C39" s="311"/>
      <c r="D39" s="311"/>
      <c r="E39" s="311"/>
      <c r="F39" s="311"/>
      <c r="G39" s="311"/>
      <c r="H39" s="311"/>
      <c r="I39" s="311"/>
      <c r="J39" s="311"/>
      <c r="K39" s="311"/>
      <c r="L39" s="311"/>
      <c r="M39" s="311"/>
      <c r="N39" s="311"/>
      <c r="O39" s="311"/>
      <c r="P39" s="311"/>
      <c r="Q39" s="311">
        <v>37</v>
      </c>
      <c r="R39" s="311">
        <v>37</v>
      </c>
      <c r="S39" s="311"/>
      <c r="T39" s="311"/>
      <c r="U39" s="311"/>
      <c r="V39" s="311"/>
      <c r="W39" s="311"/>
      <c r="X39" s="311"/>
      <c r="Y39" s="311"/>
      <c r="Z39" s="311"/>
      <c r="AA39" s="311"/>
      <c r="AB39" s="311"/>
      <c r="AC39" s="311"/>
      <c r="AD39" s="311"/>
      <c r="AE39" s="311"/>
      <c r="AF39" s="311"/>
      <c r="AG39" s="311"/>
      <c r="AH39" s="311"/>
      <c r="AI39" s="311"/>
      <c r="AJ39" s="311"/>
      <c r="AK39" s="311"/>
      <c r="AL39" s="311"/>
      <c r="AM39" s="311"/>
      <c r="AN39" s="311"/>
      <c r="AO39" s="311"/>
      <c r="AP39" s="311">
        <v>37</v>
      </c>
      <c r="AQ39" s="311"/>
      <c r="AR39" s="311"/>
      <c r="AS39" s="311"/>
      <c r="AT39" s="311"/>
      <c r="AU39" s="311"/>
      <c r="AV39" s="311"/>
      <c r="AW39" s="311"/>
      <c r="AX39" s="311"/>
      <c r="AY39" s="311"/>
      <c r="AZ39" s="311"/>
      <c r="BA39" s="311"/>
      <c r="BB39" s="311"/>
      <c r="BC39" s="311"/>
      <c r="BD39" s="311"/>
      <c r="BE39" s="311"/>
      <c r="BF39" s="311"/>
      <c r="BG39" s="311"/>
      <c r="BH39" s="311"/>
      <c r="BI39" s="311"/>
      <c r="BJ39" s="311"/>
      <c r="BK39" s="311"/>
      <c r="BL39" s="311"/>
      <c r="BM39" s="311"/>
      <c r="BN39" s="311"/>
      <c r="BO39" s="311"/>
      <c r="BP39" s="311"/>
      <c r="BQ39" s="311"/>
      <c r="BR39" s="311"/>
      <c r="BS39" s="311"/>
      <c r="BT39" s="311"/>
      <c r="BU39" s="311"/>
      <c r="BV39" s="311"/>
      <c r="BW39" s="311"/>
      <c r="BX39" s="311"/>
      <c r="BY39" s="311">
        <v>1</v>
      </c>
    </row>
    <row r="40" spans="1:77" x14ac:dyDescent="0.2">
      <c r="A40" s="311">
        <v>38</v>
      </c>
      <c r="B40" s="324" t="s">
        <v>284</v>
      </c>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c r="AL40" s="311"/>
      <c r="AM40" s="311"/>
      <c r="AN40" s="311"/>
      <c r="AO40" s="311"/>
      <c r="AP40" s="311"/>
      <c r="AQ40" s="311"/>
      <c r="AR40" s="311"/>
      <c r="AS40" s="311"/>
      <c r="AT40" s="311"/>
      <c r="AU40" s="311"/>
      <c r="AV40" s="311"/>
      <c r="AW40" s="311"/>
      <c r="AX40" s="311"/>
      <c r="AY40" s="311"/>
      <c r="AZ40" s="311"/>
      <c r="BA40" s="311"/>
      <c r="BB40" s="311"/>
      <c r="BC40" s="311"/>
      <c r="BD40" s="311"/>
      <c r="BE40" s="311"/>
      <c r="BF40" s="311"/>
      <c r="BG40" s="311"/>
      <c r="BH40" s="311"/>
      <c r="BI40" s="311"/>
      <c r="BJ40" s="311"/>
      <c r="BK40" s="311"/>
      <c r="BL40" s="311"/>
      <c r="BM40" s="311"/>
      <c r="BN40" s="311">
        <v>38</v>
      </c>
      <c r="BO40" s="311"/>
      <c r="BP40" s="311"/>
      <c r="BQ40" s="311"/>
      <c r="BR40" s="311"/>
      <c r="BS40" s="311"/>
      <c r="BT40" s="311"/>
      <c r="BU40" s="311"/>
      <c r="BV40" s="311"/>
      <c r="BW40" s="311"/>
      <c r="BX40" s="311"/>
      <c r="BY40" s="311">
        <v>1</v>
      </c>
    </row>
    <row r="41" spans="1:77" x14ac:dyDescent="0.2">
      <c r="A41" s="311">
        <v>39</v>
      </c>
      <c r="B41" s="324" t="s">
        <v>283</v>
      </c>
      <c r="C41" s="311"/>
      <c r="D41" s="311"/>
      <c r="E41" s="311"/>
      <c r="F41" s="311"/>
      <c r="G41" s="311"/>
      <c r="H41" s="311"/>
      <c r="I41" s="311"/>
      <c r="J41" s="311"/>
      <c r="K41" s="311"/>
      <c r="L41" s="311"/>
      <c r="M41" s="311"/>
      <c r="N41" s="311"/>
      <c r="O41" s="311"/>
      <c r="P41" s="311"/>
      <c r="Q41" s="311"/>
      <c r="R41" s="311"/>
      <c r="S41" s="311"/>
      <c r="T41" s="311"/>
      <c r="U41" s="311"/>
      <c r="V41" s="311"/>
      <c r="W41" s="311"/>
      <c r="X41" s="311"/>
      <c r="Y41" s="311">
        <v>39</v>
      </c>
      <c r="Z41" s="311"/>
      <c r="AA41" s="311"/>
      <c r="AB41" s="311"/>
      <c r="AC41" s="311"/>
      <c r="AD41" s="311"/>
      <c r="AE41" s="311"/>
      <c r="AF41" s="311"/>
      <c r="AG41" s="311"/>
      <c r="AH41" s="311"/>
      <c r="AI41" s="311"/>
      <c r="AJ41" s="311"/>
      <c r="AK41" s="311"/>
      <c r="AL41" s="311"/>
      <c r="AM41" s="311"/>
      <c r="AN41" s="311"/>
      <c r="AO41" s="311"/>
      <c r="AP41" s="311"/>
      <c r="AQ41" s="311"/>
      <c r="AR41" s="311"/>
      <c r="AS41" s="311"/>
      <c r="AT41" s="311">
        <v>39</v>
      </c>
      <c r="AU41" s="311"/>
      <c r="AV41" s="311"/>
      <c r="AW41" s="311"/>
      <c r="AX41" s="311"/>
      <c r="AY41" s="311"/>
      <c r="AZ41" s="311"/>
      <c r="BA41" s="311"/>
      <c r="BB41" s="311"/>
      <c r="BC41" s="311"/>
      <c r="BD41" s="311"/>
      <c r="BE41" s="311"/>
      <c r="BF41" s="311"/>
      <c r="BG41" s="311"/>
      <c r="BH41" s="311"/>
      <c r="BI41" s="311"/>
      <c r="BJ41" s="311"/>
      <c r="BK41" s="311"/>
      <c r="BL41" s="311"/>
      <c r="BM41" s="311"/>
      <c r="BN41" s="311"/>
      <c r="BO41" s="311"/>
      <c r="BP41" s="311"/>
      <c r="BQ41" s="311"/>
      <c r="BR41" s="311"/>
      <c r="BS41" s="311"/>
      <c r="BT41" s="311"/>
      <c r="BU41" s="311"/>
      <c r="BV41" s="311"/>
      <c r="BW41" s="311"/>
      <c r="BX41" s="311"/>
      <c r="BY41" s="311">
        <v>0</v>
      </c>
    </row>
    <row r="42" spans="1:77" x14ac:dyDescent="0.2">
      <c r="A42" s="311">
        <v>40</v>
      </c>
      <c r="B42" s="324" t="s">
        <v>282</v>
      </c>
      <c r="C42" s="311"/>
      <c r="D42" s="311"/>
      <c r="E42" s="311"/>
      <c r="F42" s="311"/>
      <c r="G42" s="311"/>
      <c r="H42" s="311"/>
      <c r="I42" s="311"/>
      <c r="J42" s="311"/>
      <c r="K42" s="311"/>
      <c r="L42" s="311"/>
      <c r="M42" s="311"/>
      <c r="N42" s="311"/>
      <c r="O42" s="311"/>
      <c r="P42" s="311"/>
      <c r="Q42" s="311"/>
      <c r="R42" s="311"/>
      <c r="S42" s="311">
        <v>40</v>
      </c>
      <c r="T42" s="311"/>
      <c r="U42" s="311"/>
      <c r="V42" s="311"/>
      <c r="W42" s="311"/>
      <c r="X42" s="311"/>
      <c r="Y42" s="311"/>
      <c r="Z42" s="311"/>
      <c r="AA42" s="311"/>
      <c r="AB42" s="311"/>
      <c r="AC42" s="311"/>
      <c r="AD42" s="311"/>
      <c r="AE42" s="311"/>
      <c r="AF42" s="311"/>
      <c r="AG42" s="311"/>
      <c r="AH42" s="311"/>
      <c r="AI42" s="311"/>
      <c r="AJ42" s="311"/>
      <c r="AK42" s="311"/>
      <c r="AL42" s="311"/>
      <c r="AM42" s="311"/>
      <c r="AN42" s="311"/>
      <c r="AO42" s="311"/>
      <c r="AP42" s="311"/>
      <c r="AQ42" s="311"/>
      <c r="AR42" s="311"/>
      <c r="AS42" s="311"/>
      <c r="AT42" s="311"/>
      <c r="AU42" s="311"/>
      <c r="AV42" s="311"/>
      <c r="AW42" s="311"/>
      <c r="AX42" s="311"/>
      <c r="AY42" s="311"/>
      <c r="AZ42" s="311"/>
      <c r="BA42" s="311"/>
      <c r="BB42" s="311"/>
      <c r="BC42" s="311"/>
      <c r="BD42" s="311"/>
      <c r="BE42" s="311"/>
      <c r="BF42" s="311"/>
      <c r="BG42" s="311"/>
      <c r="BH42" s="311"/>
      <c r="BI42" s="311"/>
      <c r="BJ42" s="311"/>
      <c r="BK42" s="311"/>
      <c r="BL42" s="311"/>
      <c r="BM42" s="311"/>
      <c r="BN42" s="311"/>
      <c r="BO42" s="311"/>
      <c r="BP42" s="311"/>
      <c r="BQ42" s="311"/>
      <c r="BR42" s="311"/>
      <c r="BS42" s="311"/>
      <c r="BT42" s="311"/>
      <c r="BU42" s="311"/>
      <c r="BV42" s="311"/>
      <c r="BW42" s="311"/>
      <c r="BX42" s="311"/>
      <c r="BY42" s="311">
        <v>0</v>
      </c>
    </row>
    <row r="43" spans="1:77" x14ac:dyDescent="0.2">
      <c r="A43" s="311">
        <v>41</v>
      </c>
      <c r="B43" s="324" t="s">
        <v>281</v>
      </c>
      <c r="C43" s="311"/>
      <c r="D43" s="311"/>
      <c r="E43" s="311"/>
      <c r="F43" s="311"/>
      <c r="G43" s="311"/>
      <c r="H43" s="311"/>
      <c r="I43" s="311"/>
      <c r="J43" s="311"/>
      <c r="K43" s="311"/>
      <c r="L43" s="311"/>
      <c r="M43" s="311"/>
      <c r="N43" s="311"/>
      <c r="O43" s="311"/>
      <c r="P43" s="311"/>
      <c r="Q43" s="311">
        <v>41</v>
      </c>
      <c r="R43" s="311">
        <v>41</v>
      </c>
      <c r="S43" s="311"/>
      <c r="T43" s="311"/>
      <c r="U43" s="311"/>
      <c r="V43" s="311"/>
      <c r="W43" s="311"/>
      <c r="X43" s="311"/>
      <c r="Y43" s="311"/>
      <c r="Z43" s="311"/>
      <c r="AA43" s="311"/>
      <c r="AB43" s="311"/>
      <c r="AC43" s="311"/>
      <c r="AD43" s="311"/>
      <c r="AE43" s="311"/>
      <c r="AF43" s="311"/>
      <c r="AG43" s="311"/>
      <c r="AH43" s="311"/>
      <c r="AI43" s="311"/>
      <c r="AJ43" s="311"/>
      <c r="AK43" s="311"/>
      <c r="AL43" s="311"/>
      <c r="AM43" s="311"/>
      <c r="AN43" s="311"/>
      <c r="AO43" s="311"/>
      <c r="AP43" s="311">
        <v>41</v>
      </c>
      <c r="AQ43" s="311"/>
      <c r="AR43" s="311"/>
      <c r="AS43" s="311"/>
      <c r="AT43" s="311"/>
      <c r="AU43" s="311"/>
      <c r="AV43" s="311"/>
      <c r="AW43" s="311"/>
      <c r="AX43" s="311"/>
      <c r="AY43" s="311"/>
      <c r="AZ43" s="311"/>
      <c r="BA43" s="311"/>
      <c r="BB43" s="311"/>
      <c r="BC43" s="311"/>
      <c r="BD43" s="311"/>
      <c r="BE43" s="311"/>
      <c r="BF43" s="311"/>
      <c r="BG43" s="311"/>
      <c r="BH43" s="311"/>
      <c r="BI43" s="311"/>
      <c r="BJ43" s="311"/>
      <c r="BK43" s="311"/>
      <c r="BL43" s="311"/>
      <c r="BM43" s="311"/>
      <c r="BN43" s="311"/>
      <c r="BO43" s="311"/>
      <c r="BP43" s="311"/>
      <c r="BQ43" s="311"/>
      <c r="BR43" s="311"/>
      <c r="BS43" s="311"/>
      <c r="BT43" s="311"/>
      <c r="BU43" s="311"/>
      <c r="BV43" s="311"/>
      <c r="BW43" s="311"/>
      <c r="BX43" s="311"/>
      <c r="BY43" s="311">
        <v>1</v>
      </c>
    </row>
    <row r="44" spans="1:77" x14ac:dyDescent="0.2">
      <c r="A44" s="311">
        <v>42</v>
      </c>
      <c r="B44" s="324" t="s">
        <v>280</v>
      </c>
      <c r="C44" s="311"/>
      <c r="D44" s="311"/>
      <c r="E44" s="311"/>
      <c r="F44" s="311"/>
      <c r="G44" s="311"/>
      <c r="H44" s="311"/>
      <c r="I44" s="311"/>
      <c r="J44" s="311"/>
      <c r="K44" s="311"/>
      <c r="L44" s="311"/>
      <c r="M44" s="311"/>
      <c r="N44" s="311"/>
      <c r="O44" s="311"/>
      <c r="P44" s="311"/>
      <c r="Q44" s="311"/>
      <c r="R44" s="311"/>
      <c r="S44" s="311"/>
      <c r="T44" s="311"/>
      <c r="U44" s="311">
        <v>42</v>
      </c>
      <c r="V44" s="311">
        <v>42</v>
      </c>
      <c r="W44" s="311">
        <v>42</v>
      </c>
      <c r="X44" s="311"/>
      <c r="Y44" s="311"/>
      <c r="Z44" s="311"/>
      <c r="AA44" s="311"/>
      <c r="AB44" s="311"/>
      <c r="AC44" s="311"/>
      <c r="AD44" s="311"/>
      <c r="AE44" s="311"/>
      <c r="AF44" s="311"/>
      <c r="AG44" s="311"/>
      <c r="AH44" s="311"/>
      <c r="AI44" s="311"/>
      <c r="AJ44" s="311"/>
      <c r="AK44" s="311"/>
      <c r="AL44" s="311"/>
      <c r="AM44" s="311"/>
      <c r="AN44" s="311"/>
      <c r="AO44" s="311"/>
      <c r="AP44" s="311"/>
      <c r="AQ44" s="311"/>
      <c r="AR44" s="311">
        <v>42</v>
      </c>
      <c r="AS44" s="311">
        <v>42</v>
      </c>
      <c r="AT44" s="311"/>
      <c r="AU44" s="311"/>
      <c r="AV44" s="311"/>
      <c r="AW44" s="311"/>
      <c r="AX44" s="311"/>
      <c r="AY44" s="311"/>
      <c r="AZ44" s="311"/>
      <c r="BA44" s="311"/>
      <c r="BB44" s="311"/>
      <c r="BC44" s="311"/>
      <c r="BD44" s="311"/>
      <c r="BE44" s="311"/>
      <c r="BF44" s="311"/>
      <c r="BG44" s="311"/>
      <c r="BH44" s="311">
        <v>42</v>
      </c>
      <c r="BI44" s="311">
        <v>42</v>
      </c>
      <c r="BJ44" s="311">
        <v>42</v>
      </c>
      <c r="BK44" s="311"/>
      <c r="BL44" s="311"/>
      <c r="BM44" s="311"/>
      <c r="BN44" s="311"/>
      <c r="BO44" s="311"/>
      <c r="BP44" s="311"/>
      <c r="BQ44" s="311"/>
      <c r="BR44" s="311"/>
      <c r="BS44" s="311"/>
      <c r="BT44" s="311"/>
      <c r="BU44" s="311"/>
      <c r="BV44" s="311"/>
      <c r="BW44" s="311"/>
      <c r="BX44" s="311"/>
      <c r="BY44" s="311">
        <v>0</v>
      </c>
    </row>
    <row r="45" spans="1:77" x14ac:dyDescent="0.2">
      <c r="A45" s="311">
        <v>43</v>
      </c>
      <c r="B45" s="324" t="s">
        <v>279</v>
      </c>
      <c r="C45" s="311"/>
      <c r="D45" s="311"/>
      <c r="E45" s="311"/>
      <c r="F45" s="311"/>
      <c r="G45" s="311"/>
      <c r="H45" s="311"/>
      <c r="I45" s="311"/>
      <c r="J45" s="311"/>
      <c r="K45" s="311"/>
      <c r="L45" s="311"/>
      <c r="M45" s="311"/>
      <c r="N45" s="311"/>
      <c r="O45" s="311"/>
      <c r="P45" s="311"/>
      <c r="Q45" s="311"/>
      <c r="R45" s="311"/>
      <c r="S45" s="311"/>
      <c r="T45" s="311"/>
      <c r="U45" s="311">
        <v>43</v>
      </c>
      <c r="V45" s="311">
        <v>43</v>
      </c>
      <c r="W45" s="311">
        <v>43</v>
      </c>
      <c r="X45" s="311"/>
      <c r="Y45" s="311"/>
      <c r="Z45" s="311"/>
      <c r="AA45" s="311"/>
      <c r="AB45" s="311"/>
      <c r="AC45" s="311"/>
      <c r="AD45" s="311"/>
      <c r="AE45" s="311"/>
      <c r="AF45" s="311"/>
      <c r="AG45" s="311"/>
      <c r="AH45" s="311"/>
      <c r="AI45" s="311"/>
      <c r="AJ45" s="311"/>
      <c r="AK45" s="311"/>
      <c r="AL45" s="311"/>
      <c r="AM45" s="311"/>
      <c r="AN45" s="311"/>
      <c r="AO45" s="311"/>
      <c r="AP45" s="311"/>
      <c r="AQ45" s="311"/>
      <c r="AR45" s="311">
        <v>43</v>
      </c>
      <c r="AS45" s="311">
        <v>43</v>
      </c>
      <c r="AT45" s="311"/>
      <c r="AU45" s="311"/>
      <c r="AV45" s="311"/>
      <c r="AW45" s="311"/>
      <c r="AX45" s="311"/>
      <c r="AY45" s="311"/>
      <c r="AZ45" s="311"/>
      <c r="BA45" s="311"/>
      <c r="BB45" s="311"/>
      <c r="BC45" s="311"/>
      <c r="BD45" s="311"/>
      <c r="BE45" s="311"/>
      <c r="BF45" s="311"/>
      <c r="BG45" s="311"/>
      <c r="BH45" s="311">
        <v>43</v>
      </c>
      <c r="BI45" s="311">
        <v>43</v>
      </c>
      <c r="BJ45" s="311">
        <v>43</v>
      </c>
      <c r="BK45" s="311"/>
      <c r="BL45" s="311"/>
      <c r="BM45" s="311"/>
      <c r="BN45" s="311"/>
      <c r="BO45" s="311"/>
      <c r="BP45" s="311"/>
      <c r="BQ45" s="311"/>
      <c r="BR45" s="311"/>
      <c r="BS45" s="311"/>
      <c r="BT45" s="311"/>
      <c r="BU45" s="311"/>
      <c r="BV45" s="311"/>
      <c r="BW45" s="311"/>
      <c r="BX45" s="311"/>
      <c r="BY45" s="311">
        <v>0</v>
      </c>
    </row>
    <row r="46" spans="1:77" x14ac:dyDescent="0.2">
      <c r="A46" s="311">
        <v>44</v>
      </c>
      <c r="B46" s="324" t="s">
        <v>278</v>
      </c>
      <c r="C46" s="311"/>
      <c r="D46" s="311"/>
      <c r="E46" s="311"/>
      <c r="F46" s="311"/>
      <c r="G46" s="311"/>
      <c r="H46" s="311"/>
      <c r="I46" s="311"/>
      <c r="J46" s="311"/>
      <c r="K46" s="311"/>
      <c r="L46" s="311"/>
      <c r="M46" s="311"/>
      <c r="N46" s="311"/>
      <c r="O46" s="311"/>
      <c r="P46" s="311"/>
      <c r="Q46" s="311"/>
      <c r="R46" s="311"/>
      <c r="S46" s="311"/>
      <c r="T46" s="311"/>
      <c r="U46" s="311">
        <v>44</v>
      </c>
      <c r="V46" s="311">
        <v>44</v>
      </c>
      <c r="W46" s="311">
        <v>44</v>
      </c>
      <c r="X46" s="311"/>
      <c r="Y46" s="311"/>
      <c r="Z46" s="311"/>
      <c r="AA46" s="311"/>
      <c r="AB46" s="311"/>
      <c r="AC46" s="311"/>
      <c r="AD46" s="311"/>
      <c r="AE46" s="311"/>
      <c r="AF46" s="311"/>
      <c r="AG46" s="311"/>
      <c r="AH46" s="311"/>
      <c r="AI46" s="311"/>
      <c r="AJ46" s="311"/>
      <c r="AK46" s="311"/>
      <c r="AL46" s="311"/>
      <c r="AM46" s="311"/>
      <c r="AN46" s="311"/>
      <c r="AO46" s="311"/>
      <c r="AP46" s="311"/>
      <c r="AQ46" s="311"/>
      <c r="AR46" s="311">
        <v>44</v>
      </c>
      <c r="AS46" s="311">
        <v>44</v>
      </c>
      <c r="AT46" s="311"/>
      <c r="AU46" s="311"/>
      <c r="AV46" s="311"/>
      <c r="AW46" s="311"/>
      <c r="AX46" s="311"/>
      <c r="AY46" s="311"/>
      <c r="AZ46" s="311"/>
      <c r="BA46" s="311"/>
      <c r="BB46" s="311"/>
      <c r="BC46" s="311"/>
      <c r="BD46" s="311"/>
      <c r="BE46" s="311"/>
      <c r="BF46" s="311"/>
      <c r="BG46" s="311"/>
      <c r="BH46" s="311">
        <v>44</v>
      </c>
      <c r="BI46" s="311">
        <v>44</v>
      </c>
      <c r="BJ46" s="311">
        <v>44</v>
      </c>
      <c r="BK46" s="311"/>
      <c r="BL46" s="311"/>
      <c r="BM46" s="311"/>
      <c r="BN46" s="311"/>
      <c r="BO46" s="311"/>
      <c r="BP46" s="311"/>
      <c r="BQ46" s="311"/>
      <c r="BR46" s="311"/>
      <c r="BS46" s="311"/>
      <c r="BT46" s="311"/>
      <c r="BU46" s="311"/>
      <c r="BV46" s="311"/>
      <c r="BW46" s="311"/>
      <c r="BX46" s="311"/>
      <c r="BY46" s="311">
        <v>0</v>
      </c>
    </row>
    <row r="47" spans="1:77" x14ac:dyDescent="0.2">
      <c r="A47" s="311">
        <v>45</v>
      </c>
      <c r="B47" s="324" t="s">
        <v>277</v>
      </c>
      <c r="C47" s="311"/>
      <c r="D47" s="311"/>
      <c r="E47" s="311"/>
      <c r="F47" s="311"/>
      <c r="G47" s="311"/>
      <c r="H47" s="311"/>
      <c r="I47" s="311"/>
      <c r="J47" s="311"/>
      <c r="K47" s="311"/>
      <c r="L47" s="311"/>
      <c r="M47" s="311"/>
      <c r="N47" s="311"/>
      <c r="O47" s="311"/>
      <c r="P47" s="311"/>
      <c r="Q47" s="311"/>
      <c r="R47" s="311"/>
      <c r="S47" s="311"/>
      <c r="T47" s="311"/>
      <c r="U47" s="311">
        <v>45</v>
      </c>
      <c r="V47" s="311">
        <v>45</v>
      </c>
      <c r="W47" s="311">
        <v>45</v>
      </c>
      <c r="X47" s="311"/>
      <c r="Y47" s="311"/>
      <c r="Z47" s="311"/>
      <c r="AA47" s="311"/>
      <c r="AB47" s="311"/>
      <c r="AC47" s="311"/>
      <c r="AD47" s="311"/>
      <c r="AE47" s="311"/>
      <c r="AF47" s="311"/>
      <c r="AG47" s="311"/>
      <c r="AH47" s="311"/>
      <c r="AI47" s="311"/>
      <c r="AJ47" s="311"/>
      <c r="AK47" s="311"/>
      <c r="AL47" s="311"/>
      <c r="AM47" s="311"/>
      <c r="AN47" s="311"/>
      <c r="AO47" s="311"/>
      <c r="AP47" s="311"/>
      <c r="AQ47" s="311"/>
      <c r="AR47" s="311">
        <v>45</v>
      </c>
      <c r="AS47" s="311">
        <v>45</v>
      </c>
      <c r="AT47" s="311"/>
      <c r="AU47" s="311"/>
      <c r="AV47" s="311"/>
      <c r="AW47" s="311"/>
      <c r="AX47" s="311"/>
      <c r="AY47" s="311"/>
      <c r="AZ47" s="311"/>
      <c r="BA47" s="311"/>
      <c r="BB47" s="311"/>
      <c r="BC47" s="311"/>
      <c r="BD47" s="311"/>
      <c r="BE47" s="311"/>
      <c r="BF47" s="311"/>
      <c r="BG47" s="311"/>
      <c r="BH47" s="311">
        <v>45</v>
      </c>
      <c r="BI47" s="311">
        <v>45</v>
      </c>
      <c r="BJ47" s="311">
        <v>45</v>
      </c>
      <c r="BK47" s="311"/>
      <c r="BL47" s="311"/>
      <c r="BM47" s="311"/>
      <c r="BN47" s="311"/>
      <c r="BO47" s="311"/>
      <c r="BP47" s="311"/>
      <c r="BQ47" s="311"/>
      <c r="BR47" s="311"/>
      <c r="BS47" s="311"/>
      <c r="BT47" s="311"/>
      <c r="BU47" s="311"/>
      <c r="BV47" s="311"/>
      <c r="BW47" s="311"/>
      <c r="BX47" s="311"/>
      <c r="BY47" s="311">
        <v>0</v>
      </c>
    </row>
    <row r="48" spans="1:77" x14ac:dyDescent="0.2">
      <c r="A48" s="311">
        <v>46</v>
      </c>
      <c r="B48" s="324" t="s">
        <v>132</v>
      </c>
      <c r="C48" s="311"/>
      <c r="D48" s="311"/>
      <c r="E48" s="311"/>
      <c r="F48" s="311"/>
      <c r="G48" s="311"/>
      <c r="H48" s="311"/>
      <c r="I48" s="311"/>
      <c r="J48" s="311"/>
      <c r="K48" s="311"/>
      <c r="L48" s="311"/>
      <c r="M48" s="311"/>
      <c r="N48" s="311"/>
      <c r="O48" s="311"/>
      <c r="P48" s="311"/>
      <c r="Q48" s="311"/>
      <c r="R48" s="311"/>
      <c r="S48" s="311"/>
      <c r="T48" s="311"/>
      <c r="U48" s="311"/>
      <c r="V48" s="311"/>
      <c r="W48" s="311"/>
      <c r="X48" s="311"/>
      <c r="Y48" s="311"/>
      <c r="Z48" s="311"/>
      <c r="AA48" s="311"/>
      <c r="AB48" s="311"/>
      <c r="AC48" s="311"/>
      <c r="AD48" s="311"/>
      <c r="AE48" s="311"/>
      <c r="AF48" s="311"/>
      <c r="AG48" s="311"/>
      <c r="AH48" s="311"/>
      <c r="AI48" s="311"/>
      <c r="AJ48" s="311"/>
      <c r="AK48" s="311"/>
      <c r="AL48" s="311"/>
      <c r="AM48" s="311"/>
      <c r="AN48" s="311"/>
      <c r="AO48" s="311"/>
      <c r="AP48" s="311"/>
      <c r="AQ48" s="311">
        <v>46</v>
      </c>
      <c r="AR48" s="311"/>
      <c r="AS48" s="311"/>
      <c r="AT48" s="311"/>
      <c r="AU48" s="311"/>
      <c r="AV48" s="311"/>
      <c r="AW48" s="311"/>
      <c r="AX48" s="311"/>
      <c r="AY48" s="311"/>
      <c r="AZ48" s="311"/>
      <c r="BA48" s="311"/>
      <c r="BB48" s="311"/>
      <c r="BC48" s="311"/>
      <c r="BD48" s="311"/>
      <c r="BE48" s="311"/>
      <c r="BF48" s="311"/>
      <c r="BG48" s="311"/>
      <c r="BH48" s="311"/>
      <c r="BI48" s="311"/>
      <c r="BJ48" s="311"/>
      <c r="BK48" s="311"/>
      <c r="BL48" s="311"/>
      <c r="BM48" s="311"/>
      <c r="BN48" s="311"/>
      <c r="BO48" s="311"/>
      <c r="BP48" s="311"/>
      <c r="BQ48" s="311"/>
      <c r="BR48" s="311"/>
      <c r="BS48" s="311"/>
      <c r="BT48" s="311"/>
      <c r="BU48" s="311"/>
      <c r="BV48" s="311"/>
      <c r="BW48" s="311"/>
      <c r="BX48" s="311"/>
      <c r="BY48" s="311">
        <v>0</v>
      </c>
    </row>
    <row r="49" spans="1:77" x14ac:dyDescent="0.2">
      <c r="A49" s="311">
        <v>47</v>
      </c>
      <c r="B49" s="324" t="s">
        <v>276</v>
      </c>
      <c r="C49" s="311"/>
      <c r="D49" s="311"/>
      <c r="E49" s="311"/>
      <c r="F49" s="311"/>
      <c r="G49" s="311"/>
      <c r="H49" s="311"/>
      <c r="I49" s="311"/>
      <c r="J49" s="311"/>
      <c r="K49" s="311"/>
      <c r="L49" s="311"/>
      <c r="M49" s="311"/>
      <c r="N49" s="311"/>
      <c r="O49" s="311"/>
      <c r="P49" s="311"/>
      <c r="Q49" s="311"/>
      <c r="R49" s="311"/>
      <c r="S49" s="311"/>
      <c r="T49" s="311">
        <v>47</v>
      </c>
      <c r="U49" s="311"/>
      <c r="V49" s="311"/>
      <c r="W49" s="311"/>
      <c r="X49" s="311"/>
      <c r="Y49" s="311"/>
      <c r="Z49" s="311"/>
      <c r="AA49" s="311"/>
      <c r="AB49" s="311"/>
      <c r="AC49" s="311"/>
      <c r="AD49" s="311"/>
      <c r="AE49" s="311"/>
      <c r="AF49" s="311"/>
      <c r="AG49" s="311"/>
      <c r="AH49" s="311"/>
      <c r="AI49" s="311"/>
      <c r="AJ49" s="311"/>
      <c r="AK49" s="311"/>
      <c r="AL49" s="311"/>
      <c r="AM49" s="311"/>
      <c r="AN49" s="311"/>
      <c r="AO49" s="311"/>
      <c r="AP49" s="311"/>
      <c r="AQ49" s="311"/>
      <c r="AR49" s="311"/>
      <c r="AS49" s="311"/>
      <c r="AT49" s="311"/>
      <c r="AU49" s="311"/>
      <c r="AV49" s="311"/>
      <c r="AW49" s="311"/>
      <c r="AX49" s="311"/>
      <c r="AY49" s="311"/>
      <c r="AZ49" s="311"/>
      <c r="BA49" s="311"/>
      <c r="BB49" s="311"/>
      <c r="BC49" s="311"/>
      <c r="BD49" s="311"/>
      <c r="BE49" s="311"/>
      <c r="BF49" s="311"/>
      <c r="BG49" s="311"/>
      <c r="BH49" s="311"/>
      <c r="BI49" s="311"/>
      <c r="BJ49" s="311"/>
      <c r="BK49" s="311"/>
      <c r="BL49" s="311"/>
      <c r="BM49" s="311"/>
      <c r="BN49" s="311"/>
      <c r="BO49" s="311"/>
      <c r="BP49" s="311"/>
      <c r="BQ49" s="311"/>
      <c r="BR49" s="311"/>
      <c r="BS49" s="311"/>
      <c r="BT49" s="311"/>
      <c r="BU49" s="311"/>
      <c r="BV49" s="311"/>
      <c r="BW49" s="311"/>
      <c r="BX49" s="311"/>
      <c r="BY49" s="311">
        <v>1</v>
      </c>
    </row>
    <row r="50" spans="1:77" x14ac:dyDescent="0.2">
      <c r="A50" s="311">
        <v>48</v>
      </c>
      <c r="B50" s="324" t="s">
        <v>275</v>
      </c>
      <c r="C50" s="311"/>
      <c r="D50" s="311"/>
      <c r="E50" s="311"/>
      <c r="F50" s="311"/>
      <c r="G50" s="311"/>
      <c r="H50" s="311"/>
      <c r="I50" s="311"/>
      <c r="J50" s="311"/>
      <c r="K50" s="311"/>
      <c r="L50" s="311"/>
      <c r="M50" s="311"/>
      <c r="N50" s="311"/>
      <c r="O50" s="311"/>
      <c r="P50" s="311"/>
      <c r="Q50" s="311"/>
      <c r="R50" s="311"/>
      <c r="S50" s="311"/>
      <c r="T50" s="311"/>
      <c r="U50" s="311"/>
      <c r="V50" s="311"/>
      <c r="W50" s="311"/>
      <c r="X50" s="311"/>
      <c r="Y50" s="311"/>
      <c r="Z50" s="311"/>
      <c r="AA50" s="311"/>
      <c r="AB50" s="311"/>
      <c r="AC50" s="311"/>
      <c r="AD50" s="311"/>
      <c r="AE50" s="311"/>
      <c r="AF50" s="311"/>
      <c r="AG50" s="311"/>
      <c r="AH50" s="311"/>
      <c r="AI50" s="311">
        <v>48</v>
      </c>
      <c r="AJ50" s="311"/>
      <c r="AK50" s="311"/>
      <c r="AL50" s="311"/>
      <c r="AM50" s="311"/>
      <c r="AN50" s="311"/>
      <c r="AO50" s="311"/>
      <c r="AP50" s="311"/>
      <c r="AQ50" s="311"/>
      <c r="AR50" s="311"/>
      <c r="AS50" s="311"/>
      <c r="AT50" s="311"/>
      <c r="AU50" s="311"/>
      <c r="AV50" s="311"/>
      <c r="AW50" s="311"/>
      <c r="AX50" s="311"/>
      <c r="AY50" s="311">
        <v>48</v>
      </c>
      <c r="AZ50" s="311">
        <v>48</v>
      </c>
      <c r="BA50" s="311"/>
      <c r="BB50" s="311"/>
      <c r="BC50" s="311"/>
      <c r="BD50" s="311"/>
      <c r="BE50" s="311"/>
      <c r="BF50" s="311"/>
      <c r="BG50" s="311"/>
      <c r="BH50" s="311"/>
      <c r="BI50" s="311"/>
      <c r="BJ50" s="311"/>
      <c r="BK50" s="311"/>
      <c r="BL50" s="311"/>
      <c r="BM50" s="311"/>
      <c r="BN50" s="311"/>
      <c r="BO50" s="311"/>
      <c r="BP50" s="311"/>
      <c r="BQ50" s="311"/>
      <c r="BR50" s="311"/>
      <c r="BS50" s="311"/>
      <c r="BT50" s="311"/>
      <c r="BU50" s="311"/>
      <c r="BV50" s="311"/>
      <c r="BW50" s="311">
        <v>48</v>
      </c>
      <c r="BX50" s="311"/>
      <c r="BY50" s="311">
        <v>0</v>
      </c>
    </row>
    <row r="51" spans="1:77" x14ac:dyDescent="0.2">
      <c r="A51" s="311">
        <v>49</v>
      </c>
      <c r="B51" s="324" t="s">
        <v>274</v>
      </c>
      <c r="C51" s="311"/>
      <c r="D51" s="311"/>
      <c r="E51" s="311"/>
      <c r="F51" s="311"/>
      <c r="G51" s="311"/>
      <c r="H51" s="311"/>
      <c r="I51" s="311"/>
      <c r="J51" s="311"/>
      <c r="K51" s="311"/>
      <c r="L51" s="311"/>
      <c r="M51" s="311"/>
      <c r="N51" s="311"/>
      <c r="O51" s="311"/>
      <c r="P51" s="311"/>
      <c r="Q51" s="311"/>
      <c r="R51" s="311"/>
      <c r="S51" s="311"/>
      <c r="T51" s="311"/>
      <c r="U51" s="311"/>
      <c r="V51" s="311"/>
      <c r="W51" s="311"/>
      <c r="X51" s="311"/>
      <c r="Y51" s="311"/>
      <c r="Z51" s="311"/>
      <c r="AA51" s="311"/>
      <c r="AB51" s="311">
        <v>49</v>
      </c>
      <c r="AC51" s="311"/>
      <c r="AD51" s="311"/>
      <c r="AE51" s="311"/>
      <c r="AF51" s="311"/>
      <c r="AG51" s="311"/>
      <c r="AH51" s="311"/>
      <c r="AI51" s="311"/>
      <c r="AJ51" s="311"/>
      <c r="AK51" s="311"/>
      <c r="AL51" s="311"/>
      <c r="AM51" s="311"/>
      <c r="AN51" s="311"/>
      <c r="AO51" s="311"/>
      <c r="AP51" s="311"/>
      <c r="AQ51" s="311"/>
      <c r="AR51" s="311"/>
      <c r="AS51" s="311"/>
      <c r="AT51" s="311"/>
      <c r="AU51" s="311"/>
      <c r="AV51" s="311"/>
      <c r="AW51" s="311"/>
      <c r="AX51" s="311"/>
      <c r="AY51" s="311"/>
      <c r="AZ51" s="311"/>
      <c r="BA51" s="311">
        <v>49</v>
      </c>
      <c r="BB51" s="311"/>
      <c r="BC51" s="311"/>
      <c r="BD51" s="311"/>
      <c r="BE51" s="311"/>
      <c r="BF51" s="311"/>
      <c r="BG51" s="311"/>
      <c r="BH51" s="311"/>
      <c r="BI51" s="311"/>
      <c r="BJ51" s="311"/>
      <c r="BK51" s="311"/>
      <c r="BL51" s="311"/>
      <c r="BM51" s="311"/>
      <c r="BN51" s="311"/>
      <c r="BO51" s="311"/>
      <c r="BP51" s="311"/>
      <c r="BQ51" s="311"/>
      <c r="BR51" s="311"/>
      <c r="BS51" s="311"/>
      <c r="BT51" s="311"/>
      <c r="BU51" s="311"/>
      <c r="BV51" s="311"/>
      <c r="BW51" s="311"/>
      <c r="BX51" s="311"/>
      <c r="BY51" s="311">
        <v>0</v>
      </c>
    </row>
    <row r="52" spans="1:77" x14ac:dyDescent="0.2">
      <c r="A52" s="311">
        <v>50</v>
      </c>
      <c r="B52" s="324" t="s">
        <v>139</v>
      </c>
      <c r="C52" s="311"/>
      <c r="D52" s="311"/>
      <c r="E52" s="311"/>
      <c r="F52" s="311"/>
      <c r="G52" s="311"/>
      <c r="H52" s="311"/>
      <c r="I52" s="311"/>
      <c r="J52" s="311"/>
      <c r="K52" s="311"/>
      <c r="L52" s="311"/>
      <c r="M52" s="311"/>
      <c r="N52" s="311"/>
      <c r="O52" s="311"/>
      <c r="P52" s="311"/>
      <c r="Q52" s="311"/>
      <c r="R52" s="311"/>
      <c r="S52" s="311"/>
      <c r="T52" s="311">
        <v>50</v>
      </c>
      <c r="U52" s="311"/>
      <c r="V52" s="311"/>
      <c r="W52" s="311"/>
      <c r="X52" s="311"/>
      <c r="Y52" s="311"/>
      <c r="Z52" s="311"/>
      <c r="AA52" s="311"/>
      <c r="AB52" s="311"/>
      <c r="AC52" s="311"/>
      <c r="AD52" s="311"/>
      <c r="AE52" s="311"/>
      <c r="AF52" s="311"/>
      <c r="AG52" s="311"/>
      <c r="AH52" s="311"/>
      <c r="AI52" s="311"/>
      <c r="AJ52" s="311"/>
      <c r="AK52" s="311"/>
      <c r="AL52" s="311"/>
      <c r="AM52" s="311"/>
      <c r="AN52" s="311"/>
      <c r="AO52" s="311"/>
      <c r="AP52" s="311"/>
      <c r="AQ52" s="311"/>
      <c r="AR52" s="311"/>
      <c r="AS52" s="311"/>
      <c r="AT52" s="311"/>
      <c r="AU52" s="311"/>
      <c r="AV52" s="311"/>
      <c r="AW52" s="311"/>
      <c r="AX52" s="311"/>
      <c r="AY52" s="311"/>
      <c r="AZ52" s="311"/>
      <c r="BA52" s="311"/>
      <c r="BB52" s="311"/>
      <c r="BC52" s="311"/>
      <c r="BD52" s="311"/>
      <c r="BE52" s="311"/>
      <c r="BF52" s="311"/>
      <c r="BG52" s="311"/>
      <c r="BH52" s="311"/>
      <c r="BI52" s="311"/>
      <c r="BJ52" s="311"/>
      <c r="BK52" s="311"/>
      <c r="BL52" s="311"/>
      <c r="BM52" s="311"/>
      <c r="BN52" s="311"/>
      <c r="BO52" s="311"/>
      <c r="BP52" s="311"/>
      <c r="BQ52" s="311"/>
      <c r="BR52" s="311"/>
      <c r="BS52" s="311"/>
      <c r="BT52" s="311"/>
      <c r="BU52" s="311"/>
      <c r="BV52" s="311"/>
      <c r="BW52" s="311"/>
      <c r="BX52" s="311"/>
      <c r="BY52" s="311">
        <v>0</v>
      </c>
    </row>
    <row r="53" spans="1:77" x14ac:dyDescent="0.2">
      <c r="A53" s="311">
        <v>51</v>
      </c>
      <c r="B53" s="324" t="s">
        <v>273</v>
      </c>
      <c r="C53" s="311"/>
      <c r="D53" s="311"/>
      <c r="E53" s="311"/>
      <c r="F53" s="311"/>
      <c r="G53" s="311"/>
      <c r="H53" s="311"/>
      <c r="I53" s="311"/>
      <c r="J53" s="311"/>
      <c r="K53" s="311"/>
      <c r="L53" s="311"/>
      <c r="M53" s="311"/>
      <c r="N53" s="311"/>
      <c r="O53" s="311"/>
      <c r="P53" s="311"/>
      <c r="Q53" s="311"/>
      <c r="R53" s="311"/>
      <c r="S53" s="311"/>
      <c r="T53" s="311"/>
      <c r="U53" s="311">
        <v>51</v>
      </c>
      <c r="V53" s="311">
        <v>51</v>
      </c>
      <c r="W53" s="311">
        <v>51</v>
      </c>
      <c r="X53" s="311"/>
      <c r="Y53" s="311"/>
      <c r="Z53" s="311"/>
      <c r="AA53" s="311"/>
      <c r="AB53" s="311"/>
      <c r="AC53" s="311"/>
      <c r="AD53" s="311"/>
      <c r="AE53" s="311"/>
      <c r="AF53" s="311"/>
      <c r="AG53" s="311"/>
      <c r="AH53" s="311"/>
      <c r="AI53" s="311"/>
      <c r="AJ53" s="311"/>
      <c r="AK53" s="311"/>
      <c r="AL53" s="311"/>
      <c r="AM53" s="311"/>
      <c r="AN53" s="311"/>
      <c r="AO53" s="311"/>
      <c r="AP53" s="311"/>
      <c r="AQ53" s="311"/>
      <c r="AR53" s="311">
        <v>51</v>
      </c>
      <c r="AS53" s="311">
        <v>51</v>
      </c>
      <c r="AT53" s="311"/>
      <c r="AU53" s="311"/>
      <c r="AV53" s="311"/>
      <c r="AW53" s="311"/>
      <c r="AX53" s="311"/>
      <c r="AY53" s="311"/>
      <c r="AZ53" s="311"/>
      <c r="BA53" s="311"/>
      <c r="BB53" s="311"/>
      <c r="BC53" s="311"/>
      <c r="BD53" s="311"/>
      <c r="BE53" s="311"/>
      <c r="BF53" s="311"/>
      <c r="BG53" s="311"/>
      <c r="BH53" s="311">
        <v>51</v>
      </c>
      <c r="BI53" s="311">
        <v>51</v>
      </c>
      <c r="BJ53" s="311">
        <v>51</v>
      </c>
      <c r="BK53" s="311"/>
      <c r="BL53" s="311"/>
      <c r="BM53" s="311"/>
      <c r="BN53" s="311"/>
      <c r="BO53" s="311"/>
      <c r="BP53" s="311"/>
      <c r="BQ53" s="311"/>
      <c r="BR53" s="311"/>
      <c r="BS53" s="311"/>
      <c r="BT53" s="311"/>
      <c r="BU53" s="311"/>
      <c r="BV53" s="311"/>
      <c r="BW53" s="311"/>
      <c r="BX53" s="311"/>
      <c r="BY53" s="311">
        <v>0</v>
      </c>
    </row>
    <row r="54" spans="1:77" x14ac:dyDescent="0.2">
      <c r="A54" s="311">
        <v>52</v>
      </c>
      <c r="B54" s="324" t="s">
        <v>272</v>
      </c>
      <c r="C54" s="311"/>
      <c r="D54" s="311"/>
      <c r="E54" s="311"/>
      <c r="F54" s="311"/>
      <c r="G54" s="311"/>
      <c r="H54" s="311"/>
      <c r="I54" s="311"/>
      <c r="J54" s="311"/>
      <c r="K54" s="311"/>
      <c r="L54" s="311"/>
      <c r="M54" s="311"/>
      <c r="N54" s="311"/>
      <c r="O54" s="311"/>
      <c r="P54" s="311"/>
      <c r="Q54" s="311">
        <v>52</v>
      </c>
      <c r="R54" s="311">
        <v>52</v>
      </c>
      <c r="S54" s="311"/>
      <c r="T54" s="311"/>
      <c r="U54" s="311"/>
      <c r="V54" s="311"/>
      <c r="W54" s="311"/>
      <c r="X54" s="311"/>
      <c r="Y54" s="311"/>
      <c r="Z54" s="311"/>
      <c r="AA54" s="311"/>
      <c r="AB54" s="311"/>
      <c r="AC54" s="311"/>
      <c r="AD54" s="311"/>
      <c r="AE54" s="311"/>
      <c r="AF54" s="311"/>
      <c r="AG54" s="311"/>
      <c r="AH54" s="311"/>
      <c r="AI54" s="311"/>
      <c r="AJ54" s="311"/>
      <c r="AK54" s="311"/>
      <c r="AL54" s="311"/>
      <c r="AM54" s="311"/>
      <c r="AN54" s="311"/>
      <c r="AO54" s="311"/>
      <c r="AP54" s="311">
        <v>52</v>
      </c>
      <c r="AQ54" s="311"/>
      <c r="AR54" s="311"/>
      <c r="AS54" s="311"/>
      <c r="AT54" s="311"/>
      <c r="AU54" s="311"/>
      <c r="AV54" s="311"/>
      <c r="AW54" s="311"/>
      <c r="AX54" s="311"/>
      <c r="AY54" s="311"/>
      <c r="AZ54" s="311"/>
      <c r="BA54" s="311"/>
      <c r="BB54" s="311"/>
      <c r="BC54" s="311"/>
      <c r="BD54" s="311"/>
      <c r="BE54" s="311"/>
      <c r="BF54" s="311"/>
      <c r="BG54" s="311"/>
      <c r="BH54" s="311"/>
      <c r="BI54" s="311"/>
      <c r="BJ54" s="311"/>
      <c r="BK54" s="311"/>
      <c r="BL54" s="311"/>
      <c r="BM54" s="311"/>
      <c r="BN54" s="311"/>
      <c r="BO54" s="311"/>
      <c r="BP54" s="311"/>
      <c r="BQ54" s="311"/>
      <c r="BR54" s="311"/>
      <c r="BS54" s="311"/>
      <c r="BT54" s="311"/>
      <c r="BU54" s="311"/>
      <c r="BV54" s="311"/>
      <c r="BW54" s="311"/>
      <c r="BX54" s="311"/>
      <c r="BY54" s="311">
        <v>1</v>
      </c>
    </row>
    <row r="55" spans="1:77" x14ac:dyDescent="0.2">
      <c r="A55" s="311">
        <v>53</v>
      </c>
      <c r="B55" s="324" t="s">
        <v>144</v>
      </c>
      <c r="C55" s="311"/>
      <c r="D55" s="311"/>
      <c r="E55" s="311"/>
      <c r="F55" s="311"/>
      <c r="G55" s="311"/>
      <c r="H55" s="311"/>
      <c r="I55" s="311"/>
      <c r="J55" s="311"/>
      <c r="K55" s="311"/>
      <c r="L55" s="311"/>
      <c r="M55" s="311"/>
      <c r="N55" s="311"/>
      <c r="O55" s="311"/>
      <c r="P55" s="311"/>
      <c r="Q55" s="311"/>
      <c r="R55" s="311"/>
      <c r="S55" s="311"/>
      <c r="T55" s="311"/>
      <c r="U55" s="311"/>
      <c r="V55" s="311"/>
      <c r="W55" s="311"/>
      <c r="X55" s="311"/>
      <c r="Y55" s="311"/>
      <c r="Z55" s="311"/>
      <c r="AA55" s="311"/>
      <c r="AB55" s="311"/>
      <c r="AC55" s="311"/>
      <c r="AD55" s="311"/>
      <c r="AE55" s="311"/>
      <c r="AF55" s="311"/>
      <c r="AG55" s="311"/>
      <c r="AH55" s="311"/>
      <c r="AI55" s="311"/>
      <c r="AJ55" s="311"/>
      <c r="AK55" s="311"/>
      <c r="AL55" s="311"/>
      <c r="AM55" s="311"/>
      <c r="AN55" s="311"/>
      <c r="AO55" s="311"/>
      <c r="AP55" s="311"/>
      <c r="AQ55" s="311"/>
      <c r="AR55" s="311"/>
      <c r="AS55" s="311"/>
      <c r="AT55" s="311"/>
      <c r="AU55" s="311"/>
      <c r="AV55" s="311"/>
      <c r="AW55" s="311"/>
      <c r="AX55" s="311"/>
      <c r="AY55" s="311"/>
      <c r="AZ55" s="311"/>
      <c r="BA55" s="311"/>
      <c r="BB55" s="311"/>
      <c r="BC55" s="311"/>
      <c r="BD55" s="311"/>
      <c r="BE55" s="311"/>
      <c r="BF55" s="311"/>
      <c r="BG55" s="311"/>
      <c r="BH55" s="311"/>
      <c r="BI55" s="311"/>
      <c r="BJ55" s="311"/>
      <c r="BK55" s="311"/>
      <c r="BL55" s="311"/>
      <c r="BM55" s="311"/>
      <c r="BN55" s="311">
        <v>53</v>
      </c>
      <c r="BO55" s="311"/>
      <c r="BP55" s="311"/>
      <c r="BQ55" s="311"/>
      <c r="BR55" s="311"/>
      <c r="BS55" s="311"/>
      <c r="BT55" s="311"/>
      <c r="BU55" s="311"/>
      <c r="BV55" s="311"/>
      <c r="BW55" s="311"/>
      <c r="BX55" s="311"/>
      <c r="BY55" s="311">
        <v>1</v>
      </c>
    </row>
    <row r="56" spans="1:77" x14ac:dyDescent="0.2">
      <c r="A56" s="311">
        <v>54</v>
      </c>
      <c r="B56" s="324" t="s">
        <v>76</v>
      </c>
      <c r="C56" s="311"/>
      <c r="D56" s="311"/>
      <c r="E56" s="311"/>
      <c r="F56" s="311"/>
      <c r="G56" s="311"/>
      <c r="H56" s="311"/>
      <c r="I56" s="311"/>
      <c r="J56" s="311"/>
      <c r="K56" s="311"/>
      <c r="L56" s="311"/>
      <c r="M56" s="311"/>
      <c r="N56" s="311"/>
      <c r="O56" s="311">
        <v>54</v>
      </c>
      <c r="P56" s="311"/>
      <c r="Q56" s="311"/>
      <c r="R56" s="311"/>
      <c r="S56" s="311"/>
      <c r="T56" s="311"/>
      <c r="U56" s="311"/>
      <c r="V56" s="311"/>
      <c r="W56" s="311"/>
      <c r="X56" s="311"/>
      <c r="Y56" s="311"/>
      <c r="Z56" s="311"/>
      <c r="AA56" s="311"/>
      <c r="AB56" s="311"/>
      <c r="AC56" s="311"/>
      <c r="AD56" s="311"/>
      <c r="AE56" s="311"/>
      <c r="AF56" s="311"/>
      <c r="AG56" s="311"/>
      <c r="AH56" s="311"/>
      <c r="AI56" s="311"/>
      <c r="AJ56" s="311"/>
      <c r="AK56" s="311"/>
      <c r="AL56" s="311"/>
      <c r="AM56" s="311"/>
      <c r="AN56" s="311"/>
      <c r="AO56" s="311"/>
      <c r="AP56" s="311"/>
      <c r="AQ56" s="311"/>
      <c r="AR56" s="311"/>
      <c r="AS56" s="311"/>
      <c r="AT56" s="311"/>
      <c r="AU56" s="311"/>
      <c r="AV56" s="311"/>
      <c r="AW56" s="311"/>
      <c r="AX56" s="311"/>
      <c r="AY56" s="311"/>
      <c r="AZ56" s="311"/>
      <c r="BA56" s="311"/>
      <c r="BB56" s="311"/>
      <c r="BC56" s="311"/>
      <c r="BD56" s="311"/>
      <c r="BE56" s="311"/>
      <c r="BF56" s="311"/>
      <c r="BG56" s="311"/>
      <c r="BH56" s="311"/>
      <c r="BI56" s="311"/>
      <c r="BJ56" s="311"/>
      <c r="BK56" s="311"/>
      <c r="BL56" s="311"/>
      <c r="BM56" s="311"/>
      <c r="BN56" s="311"/>
      <c r="BO56" s="311"/>
      <c r="BP56" s="311"/>
      <c r="BQ56" s="311"/>
      <c r="BR56" s="311"/>
      <c r="BS56" s="311"/>
      <c r="BT56" s="311"/>
      <c r="BU56" s="311"/>
      <c r="BV56" s="311"/>
      <c r="BW56" s="311"/>
      <c r="BX56" s="311"/>
      <c r="BY56" s="311">
        <v>1</v>
      </c>
    </row>
    <row r="57" spans="1:77" x14ac:dyDescent="0.2">
      <c r="A57" s="311">
        <v>55</v>
      </c>
      <c r="B57" s="324" t="s">
        <v>103</v>
      </c>
      <c r="C57" s="311"/>
      <c r="D57" s="311"/>
      <c r="E57" s="311"/>
      <c r="F57" s="311"/>
      <c r="G57" s="311"/>
      <c r="H57" s="311"/>
      <c r="I57" s="311"/>
      <c r="J57" s="311"/>
      <c r="K57" s="311"/>
      <c r="L57" s="311"/>
      <c r="M57" s="311"/>
      <c r="N57" s="311"/>
      <c r="O57" s="311"/>
      <c r="P57" s="311"/>
      <c r="Q57" s="311">
        <v>55</v>
      </c>
      <c r="R57" s="311">
        <v>55</v>
      </c>
      <c r="S57" s="311"/>
      <c r="T57" s="311"/>
      <c r="U57" s="311"/>
      <c r="V57" s="311"/>
      <c r="W57" s="311"/>
      <c r="X57" s="311"/>
      <c r="Y57" s="311"/>
      <c r="Z57" s="311"/>
      <c r="AA57" s="311"/>
      <c r="AB57" s="311"/>
      <c r="AC57" s="311"/>
      <c r="AD57" s="311"/>
      <c r="AE57" s="311"/>
      <c r="AF57" s="311"/>
      <c r="AG57" s="311"/>
      <c r="AH57" s="311"/>
      <c r="AI57" s="311"/>
      <c r="AJ57" s="311"/>
      <c r="AK57" s="311"/>
      <c r="AL57" s="311"/>
      <c r="AM57" s="311"/>
      <c r="AN57" s="311"/>
      <c r="AO57" s="311"/>
      <c r="AP57" s="311">
        <v>55</v>
      </c>
      <c r="AQ57" s="311"/>
      <c r="AR57" s="311"/>
      <c r="AS57" s="311"/>
      <c r="AT57" s="311"/>
      <c r="AU57" s="311"/>
      <c r="AV57" s="311"/>
      <c r="AW57" s="311"/>
      <c r="AX57" s="311"/>
      <c r="AY57" s="311"/>
      <c r="AZ57" s="311"/>
      <c r="BA57" s="311"/>
      <c r="BB57" s="311"/>
      <c r="BC57" s="311"/>
      <c r="BD57" s="311"/>
      <c r="BE57" s="311"/>
      <c r="BF57" s="311"/>
      <c r="BG57" s="311"/>
      <c r="BH57" s="311"/>
      <c r="BI57" s="311"/>
      <c r="BJ57" s="311"/>
      <c r="BK57" s="311"/>
      <c r="BL57" s="311"/>
      <c r="BM57" s="311"/>
      <c r="BN57" s="311"/>
      <c r="BO57" s="311"/>
      <c r="BP57" s="311"/>
      <c r="BQ57" s="311"/>
      <c r="BR57" s="311"/>
      <c r="BS57" s="311"/>
      <c r="BT57" s="311"/>
      <c r="BU57" s="311"/>
      <c r="BV57" s="311"/>
      <c r="BW57" s="311"/>
      <c r="BX57" s="311"/>
      <c r="BY57" s="311">
        <v>1</v>
      </c>
    </row>
    <row r="58" spans="1:77" x14ac:dyDescent="0.2">
      <c r="A58" s="311">
        <v>56</v>
      </c>
      <c r="B58" s="324" t="s">
        <v>57</v>
      </c>
      <c r="C58" s="311"/>
      <c r="D58" s="311"/>
      <c r="E58" s="311"/>
      <c r="F58" s="311"/>
      <c r="G58" s="311"/>
      <c r="H58" s="311"/>
      <c r="I58" s="311"/>
      <c r="J58" s="311"/>
      <c r="K58" s="311"/>
      <c r="L58" s="311"/>
      <c r="M58" s="311"/>
      <c r="N58" s="311"/>
      <c r="O58" s="311"/>
      <c r="P58" s="311"/>
      <c r="Q58" s="311"/>
      <c r="R58" s="311"/>
      <c r="S58" s="311"/>
      <c r="T58" s="311"/>
      <c r="U58" s="311"/>
      <c r="V58" s="311"/>
      <c r="W58" s="311"/>
      <c r="X58" s="311"/>
      <c r="Y58" s="311"/>
      <c r="Z58" s="311"/>
      <c r="AA58" s="311"/>
      <c r="AB58" s="311"/>
      <c r="AC58" s="311"/>
      <c r="AD58" s="311"/>
      <c r="AE58" s="311"/>
      <c r="AF58" s="311"/>
      <c r="AG58" s="311"/>
      <c r="AH58" s="311"/>
      <c r="AI58" s="311">
        <v>56</v>
      </c>
      <c r="AJ58" s="311"/>
      <c r="AK58" s="311"/>
      <c r="AL58" s="311"/>
      <c r="AM58" s="311"/>
      <c r="AN58" s="311"/>
      <c r="AO58" s="311"/>
      <c r="AP58" s="311"/>
      <c r="AQ58" s="311"/>
      <c r="AR58" s="311"/>
      <c r="AS58" s="311"/>
      <c r="AT58" s="311"/>
      <c r="AU58" s="311"/>
      <c r="AV58" s="311"/>
      <c r="AW58" s="311"/>
      <c r="AX58" s="311"/>
      <c r="AY58" s="311">
        <v>56</v>
      </c>
      <c r="AZ58" s="311">
        <v>56</v>
      </c>
      <c r="BA58" s="311"/>
      <c r="BB58" s="311"/>
      <c r="BC58" s="311"/>
      <c r="BD58" s="311"/>
      <c r="BE58" s="311"/>
      <c r="BF58" s="311"/>
      <c r="BG58" s="311"/>
      <c r="BH58" s="311"/>
      <c r="BI58" s="311"/>
      <c r="BJ58" s="311"/>
      <c r="BK58" s="311"/>
      <c r="BL58" s="311"/>
      <c r="BM58" s="311"/>
      <c r="BN58" s="311"/>
      <c r="BO58" s="311"/>
      <c r="BP58" s="311"/>
      <c r="BQ58" s="311"/>
      <c r="BR58" s="311"/>
      <c r="BS58" s="311"/>
      <c r="BT58" s="311"/>
      <c r="BU58" s="311"/>
      <c r="BV58" s="311"/>
      <c r="BW58" s="311">
        <v>56</v>
      </c>
      <c r="BX58" s="311"/>
      <c r="BY58" s="311">
        <v>0</v>
      </c>
    </row>
    <row r="59" spans="1:77" x14ac:dyDescent="0.2">
      <c r="A59" s="311">
        <v>57</v>
      </c>
      <c r="B59" s="324" t="s">
        <v>114</v>
      </c>
      <c r="C59" s="311"/>
      <c r="D59" s="311"/>
      <c r="E59" s="311"/>
      <c r="F59" s="311"/>
      <c r="G59" s="311"/>
      <c r="H59" s="311"/>
      <c r="I59" s="311"/>
      <c r="J59" s="311"/>
      <c r="K59" s="311"/>
      <c r="L59" s="311"/>
      <c r="M59" s="311"/>
      <c r="N59" s="311"/>
      <c r="O59" s="311"/>
      <c r="P59" s="311"/>
      <c r="Q59" s="311"/>
      <c r="R59" s="311"/>
      <c r="S59" s="311"/>
      <c r="T59" s="311">
        <v>57</v>
      </c>
      <c r="U59" s="311"/>
      <c r="V59" s="311"/>
      <c r="W59" s="311"/>
      <c r="X59" s="311"/>
      <c r="Y59" s="311"/>
      <c r="Z59" s="311"/>
      <c r="AA59" s="311"/>
      <c r="AB59" s="311"/>
      <c r="AC59" s="311"/>
      <c r="AD59" s="311"/>
      <c r="AE59" s="311"/>
      <c r="AF59" s="311"/>
      <c r="AG59" s="311"/>
      <c r="AH59" s="311"/>
      <c r="AI59" s="311"/>
      <c r="AJ59" s="311"/>
      <c r="AK59" s="311"/>
      <c r="AL59" s="311"/>
      <c r="AM59" s="311"/>
      <c r="AN59" s="311"/>
      <c r="AO59" s="311"/>
      <c r="AP59" s="311"/>
      <c r="AQ59" s="311"/>
      <c r="AR59" s="311"/>
      <c r="AS59" s="311"/>
      <c r="AT59" s="311"/>
      <c r="AU59" s="311"/>
      <c r="AV59" s="311"/>
      <c r="AW59" s="311"/>
      <c r="AX59" s="311"/>
      <c r="AY59" s="311"/>
      <c r="AZ59" s="311"/>
      <c r="BA59" s="311"/>
      <c r="BB59" s="311"/>
      <c r="BC59" s="311"/>
      <c r="BD59" s="311"/>
      <c r="BE59" s="311"/>
      <c r="BF59" s="311"/>
      <c r="BG59" s="311"/>
      <c r="BH59" s="311"/>
      <c r="BI59" s="311"/>
      <c r="BJ59" s="311"/>
      <c r="BK59" s="311"/>
      <c r="BL59" s="311"/>
      <c r="BM59" s="311"/>
      <c r="BN59" s="311"/>
      <c r="BO59" s="311"/>
      <c r="BP59" s="311"/>
      <c r="BQ59" s="311"/>
      <c r="BR59" s="311"/>
      <c r="BS59" s="311"/>
      <c r="BT59" s="311"/>
      <c r="BU59" s="311"/>
      <c r="BV59" s="311"/>
      <c r="BW59" s="311"/>
      <c r="BX59" s="311"/>
      <c r="BY59" s="311">
        <v>0</v>
      </c>
    </row>
    <row r="60" spans="1:77" x14ac:dyDescent="0.2">
      <c r="A60" s="311">
        <v>58</v>
      </c>
      <c r="B60" s="324" t="s">
        <v>70</v>
      </c>
      <c r="C60" s="311"/>
      <c r="D60" s="311"/>
      <c r="E60" s="311"/>
      <c r="F60" s="311"/>
      <c r="G60" s="311"/>
      <c r="H60" s="311"/>
      <c r="I60" s="311"/>
      <c r="J60" s="311"/>
      <c r="K60" s="311"/>
      <c r="L60" s="311"/>
      <c r="M60" s="311"/>
      <c r="N60" s="311"/>
      <c r="O60" s="311"/>
      <c r="P60" s="311"/>
      <c r="Q60" s="311"/>
      <c r="R60" s="311"/>
      <c r="S60" s="311"/>
      <c r="T60" s="311"/>
      <c r="U60" s="311">
        <v>58</v>
      </c>
      <c r="V60" s="311">
        <v>58</v>
      </c>
      <c r="W60" s="311">
        <v>58</v>
      </c>
      <c r="X60" s="311"/>
      <c r="Y60" s="311"/>
      <c r="Z60" s="311"/>
      <c r="AA60" s="311"/>
      <c r="AB60" s="311"/>
      <c r="AC60" s="311"/>
      <c r="AD60" s="311"/>
      <c r="AE60" s="311"/>
      <c r="AF60" s="311"/>
      <c r="AG60" s="311"/>
      <c r="AH60" s="311"/>
      <c r="AI60" s="311"/>
      <c r="AJ60" s="311"/>
      <c r="AK60" s="311"/>
      <c r="AL60" s="311"/>
      <c r="AM60" s="311"/>
      <c r="AN60" s="311"/>
      <c r="AO60" s="311"/>
      <c r="AP60" s="311"/>
      <c r="AQ60" s="311"/>
      <c r="AR60" s="311">
        <v>58</v>
      </c>
      <c r="AS60" s="311">
        <v>58</v>
      </c>
      <c r="AT60" s="311"/>
      <c r="AU60" s="311"/>
      <c r="AV60" s="311"/>
      <c r="AW60" s="311"/>
      <c r="AX60" s="311"/>
      <c r="AY60" s="311"/>
      <c r="AZ60" s="311"/>
      <c r="BA60" s="311"/>
      <c r="BB60" s="311"/>
      <c r="BC60" s="311"/>
      <c r="BD60" s="311"/>
      <c r="BE60" s="311"/>
      <c r="BF60" s="311"/>
      <c r="BG60" s="311"/>
      <c r="BH60" s="311">
        <v>58</v>
      </c>
      <c r="BI60" s="311">
        <v>58</v>
      </c>
      <c r="BJ60" s="311">
        <v>58</v>
      </c>
      <c r="BK60" s="311"/>
      <c r="BL60" s="311"/>
      <c r="BM60" s="311"/>
      <c r="BN60" s="311"/>
      <c r="BO60" s="311"/>
      <c r="BP60" s="311"/>
      <c r="BQ60" s="311"/>
      <c r="BR60" s="311"/>
      <c r="BS60" s="311"/>
      <c r="BT60" s="311"/>
      <c r="BU60" s="311"/>
      <c r="BV60" s="311"/>
      <c r="BW60" s="311"/>
      <c r="BX60" s="311"/>
      <c r="BY60" s="311">
        <v>0</v>
      </c>
    </row>
    <row r="61" spans="1:77" x14ac:dyDescent="0.2">
      <c r="A61" s="311">
        <v>59</v>
      </c>
      <c r="B61" s="324" t="s">
        <v>64</v>
      </c>
      <c r="C61" s="311"/>
      <c r="D61" s="311"/>
      <c r="E61" s="311"/>
      <c r="F61" s="311"/>
      <c r="G61" s="311"/>
      <c r="H61" s="311"/>
      <c r="I61" s="311"/>
      <c r="J61" s="311"/>
      <c r="K61" s="311"/>
      <c r="L61" s="311"/>
      <c r="M61" s="311"/>
      <c r="N61" s="311"/>
      <c r="O61" s="311"/>
      <c r="P61" s="311"/>
      <c r="Q61" s="311"/>
      <c r="R61" s="311"/>
      <c r="S61" s="311"/>
      <c r="T61" s="311"/>
      <c r="U61" s="311"/>
      <c r="V61" s="311"/>
      <c r="W61" s="311"/>
      <c r="X61" s="311"/>
      <c r="Y61" s="311">
        <v>59</v>
      </c>
      <c r="Z61" s="311"/>
      <c r="AA61" s="311"/>
      <c r="AB61" s="311"/>
      <c r="AC61" s="311"/>
      <c r="AD61" s="311"/>
      <c r="AE61" s="311"/>
      <c r="AF61" s="311"/>
      <c r="AG61" s="311"/>
      <c r="AH61" s="311"/>
      <c r="AI61" s="311"/>
      <c r="AJ61" s="311"/>
      <c r="AK61" s="311"/>
      <c r="AL61" s="311"/>
      <c r="AM61" s="311"/>
      <c r="AN61" s="311"/>
      <c r="AO61" s="311"/>
      <c r="AP61" s="311"/>
      <c r="AQ61" s="311"/>
      <c r="AR61" s="311"/>
      <c r="AS61" s="311"/>
      <c r="AT61" s="311">
        <v>59</v>
      </c>
      <c r="AU61" s="311"/>
      <c r="AV61" s="311"/>
      <c r="AW61" s="311"/>
      <c r="AX61" s="311"/>
      <c r="AY61" s="311"/>
      <c r="AZ61" s="311"/>
      <c r="BA61" s="311"/>
      <c r="BB61" s="311"/>
      <c r="BC61" s="311"/>
      <c r="BD61" s="311"/>
      <c r="BE61" s="311"/>
      <c r="BF61" s="311"/>
      <c r="BG61" s="311"/>
      <c r="BH61" s="311"/>
      <c r="BI61" s="311"/>
      <c r="BJ61" s="311"/>
      <c r="BK61" s="311"/>
      <c r="BL61" s="311"/>
      <c r="BM61" s="311">
        <v>59</v>
      </c>
      <c r="BN61" s="311"/>
      <c r="BO61" s="311"/>
      <c r="BP61" s="311"/>
      <c r="BQ61" s="311"/>
      <c r="BR61" s="311"/>
      <c r="BS61" s="311"/>
      <c r="BT61" s="311"/>
      <c r="BU61" s="311"/>
      <c r="BV61" s="311"/>
      <c r="BW61" s="311"/>
      <c r="BX61" s="311"/>
      <c r="BY61" s="311">
        <v>1</v>
      </c>
    </row>
    <row r="62" spans="1:77" x14ac:dyDescent="0.2">
      <c r="A62" s="311">
        <v>60</v>
      </c>
      <c r="B62" s="324" t="s">
        <v>61</v>
      </c>
      <c r="C62" s="311"/>
      <c r="D62" s="311"/>
      <c r="E62" s="311"/>
      <c r="F62" s="311"/>
      <c r="G62" s="311"/>
      <c r="H62" s="311"/>
      <c r="I62" s="311"/>
      <c r="J62" s="311"/>
      <c r="K62" s="311"/>
      <c r="L62" s="311"/>
      <c r="M62" s="311"/>
      <c r="N62" s="311"/>
      <c r="O62" s="311"/>
      <c r="P62" s="311"/>
      <c r="Q62" s="311"/>
      <c r="R62" s="311"/>
      <c r="S62" s="311"/>
      <c r="T62" s="311"/>
      <c r="U62" s="311"/>
      <c r="V62" s="311"/>
      <c r="W62" s="311"/>
      <c r="X62" s="311"/>
      <c r="Y62" s="311"/>
      <c r="Z62" s="311"/>
      <c r="AA62" s="311"/>
      <c r="AB62" s="311">
        <v>60</v>
      </c>
      <c r="AC62" s="311"/>
      <c r="AD62" s="311"/>
      <c r="AE62" s="311"/>
      <c r="AF62" s="311"/>
      <c r="AG62" s="311"/>
      <c r="AH62" s="311"/>
      <c r="AI62" s="311"/>
      <c r="AJ62" s="311"/>
      <c r="AK62" s="311"/>
      <c r="AL62" s="311"/>
      <c r="AM62" s="311"/>
      <c r="AN62" s="311"/>
      <c r="AO62" s="311"/>
      <c r="AP62" s="311"/>
      <c r="AQ62" s="311"/>
      <c r="AR62" s="311"/>
      <c r="AS62" s="311"/>
      <c r="AT62" s="311"/>
      <c r="AU62" s="311"/>
      <c r="AV62" s="311"/>
      <c r="AW62" s="311"/>
      <c r="AX62" s="311"/>
      <c r="AY62" s="311"/>
      <c r="AZ62" s="311"/>
      <c r="BA62" s="311">
        <v>60</v>
      </c>
      <c r="BB62" s="311"/>
      <c r="BC62" s="311"/>
      <c r="BD62" s="311"/>
      <c r="BE62" s="311"/>
      <c r="BF62" s="311"/>
      <c r="BG62" s="311"/>
      <c r="BH62" s="311"/>
      <c r="BI62" s="311"/>
      <c r="BJ62" s="311"/>
      <c r="BK62" s="311"/>
      <c r="BL62" s="311"/>
      <c r="BM62" s="311"/>
      <c r="BN62" s="311"/>
      <c r="BO62" s="311"/>
      <c r="BP62" s="311"/>
      <c r="BQ62" s="311"/>
      <c r="BR62" s="311"/>
      <c r="BS62" s="311"/>
      <c r="BT62" s="311"/>
      <c r="BU62" s="311"/>
      <c r="BV62" s="311"/>
      <c r="BW62" s="311"/>
      <c r="BX62" s="311"/>
      <c r="BY62" s="311">
        <v>0</v>
      </c>
    </row>
    <row r="63" spans="1:77" x14ac:dyDescent="0.2">
      <c r="A63" s="311">
        <v>61</v>
      </c>
      <c r="B63" s="324" t="s">
        <v>73</v>
      </c>
      <c r="C63" s="311">
        <v>61</v>
      </c>
      <c r="D63" s="311">
        <v>61</v>
      </c>
      <c r="E63" s="311">
        <v>61</v>
      </c>
      <c r="F63" s="311">
        <v>61</v>
      </c>
      <c r="G63" s="311">
        <v>61</v>
      </c>
      <c r="H63" s="311">
        <v>61</v>
      </c>
      <c r="I63" s="311">
        <v>61</v>
      </c>
      <c r="J63" s="311"/>
      <c r="K63" s="311">
        <v>61</v>
      </c>
      <c r="L63" s="311">
        <v>61</v>
      </c>
      <c r="M63" s="311">
        <v>61</v>
      </c>
      <c r="N63" s="311">
        <v>61</v>
      </c>
      <c r="O63" s="311"/>
      <c r="P63" s="311">
        <v>61</v>
      </c>
      <c r="Q63" s="311"/>
      <c r="R63" s="311"/>
      <c r="S63" s="311"/>
      <c r="T63" s="311"/>
      <c r="U63" s="311"/>
      <c r="V63" s="311"/>
      <c r="W63" s="311"/>
      <c r="X63" s="311">
        <v>61</v>
      </c>
      <c r="Y63" s="311"/>
      <c r="Z63" s="311"/>
      <c r="AA63" s="311"/>
      <c r="AB63" s="311"/>
      <c r="AC63" s="311">
        <v>61</v>
      </c>
      <c r="AD63" s="311">
        <v>61</v>
      </c>
      <c r="AE63" s="311">
        <v>61</v>
      </c>
      <c r="AF63" s="311"/>
      <c r="AG63" s="311">
        <v>61</v>
      </c>
      <c r="AH63" s="311">
        <v>61</v>
      </c>
      <c r="AI63" s="311"/>
      <c r="AJ63" s="311">
        <v>61</v>
      </c>
      <c r="AK63" s="311"/>
      <c r="AL63" s="311"/>
      <c r="AM63" s="311">
        <v>61</v>
      </c>
      <c r="AN63" s="311">
        <v>61</v>
      </c>
      <c r="AO63" s="311">
        <v>61</v>
      </c>
      <c r="AP63" s="311"/>
      <c r="AQ63" s="311"/>
      <c r="AR63" s="311"/>
      <c r="AS63" s="311"/>
      <c r="AT63" s="311"/>
      <c r="AU63" s="311"/>
      <c r="AV63" s="311"/>
      <c r="AW63" s="311"/>
      <c r="AX63" s="311"/>
      <c r="AY63" s="311"/>
      <c r="AZ63" s="311"/>
      <c r="BA63" s="311"/>
      <c r="BB63" s="311">
        <v>61</v>
      </c>
      <c r="BC63" s="311"/>
      <c r="BD63" s="311"/>
      <c r="BE63" s="311">
        <v>61</v>
      </c>
      <c r="BF63" s="311">
        <v>61</v>
      </c>
      <c r="BG63" s="311">
        <v>61</v>
      </c>
      <c r="BH63" s="311"/>
      <c r="BI63" s="311"/>
      <c r="BJ63" s="311"/>
      <c r="BK63" s="311">
        <v>61</v>
      </c>
      <c r="BL63" s="311">
        <v>61</v>
      </c>
      <c r="BM63" s="311"/>
      <c r="BN63" s="311"/>
      <c r="BO63" s="311">
        <v>61</v>
      </c>
      <c r="BP63" s="311">
        <v>61</v>
      </c>
      <c r="BQ63" s="311"/>
      <c r="BR63" s="311">
        <v>61</v>
      </c>
      <c r="BS63" s="311"/>
      <c r="BT63" s="311"/>
      <c r="BU63" s="311">
        <v>61</v>
      </c>
      <c r="BV63" s="311"/>
      <c r="BW63" s="311"/>
      <c r="BX63" s="311"/>
      <c r="BY63" s="311">
        <v>0</v>
      </c>
    </row>
    <row r="64" spans="1:77" x14ac:dyDescent="0.2">
      <c r="A64" s="311">
        <v>62</v>
      </c>
      <c r="B64" s="324" t="s">
        <v>127</v>
      </c>
      <c r="C64" s="311"/>
      <c r="D64" s="311"/>
      <c r="E64" s="311"/>
      <c r="F64" s="311"/>
      <c r="G64" s="311"/>
      <c r="H64" s="311"/>
      <c r="I64" s="311"/>
      <c r="J64" s="311"/>
      <c r="K64" s="311"/>
      <c r="L64" s="311"/>
      <c r="M64" s="311"/>
      <c r="N64" s="311"/>
      <c r="O64" s="311"/>
      <c r="P64" s="311"/>
      <c r="Q64" s="311"/>
      <c r="R64" s="311"/>
      <c r="S64" s="311"/>
      <c r="T64" s="311"/>
      <c r="U64" s="311"/>
      <c r="V64" s="311"/>
      <c r="W64" s="311"/>
      <c r="X64" s="311"/>
      <c r="Y64" s="311"/>
      <c r="Z64" s="311"/>
      <c r="AA64" s="311"/>
      <c r="AB64" s="311"/>
      <c r="AC64" s="311"/>
      <c r="AD64" s="311"/>
      <c r="AE64" s="311"/>
      <c r="AF64" s="311">
        <v>62</v>
      </c>
      <c r="AG64" s="311"/>
      <c r="AH64" s="311"/>
      <c r="AI64" s="311"/>
      <c r="AJ64" s="311"/>
      <c r="AK64" s="311"/>
      <c r="AL64" s="311"/>
      <c r="AM64" s="311"/>
      <c r="AN64" s="311"/>
      <c r="AO64" s="311"/>
      <c r="AP64" s="311"/>
      <c r="AQ64" s="311"/>
      <c r="AR64" s="311"/>
      <c r="AS64" s="311"/>
      <c r="AT64" s="311"/>
      <c r="AU64" s="311"/>
      <c r="AV64" s="311"/>
      <c r="AW64" s="311"/>
      <c r="AX64" s="311"/>
      <c r="AY64" s="311"/>
      <c r="AZ64" s="311"/>
      <c r="BA64" s="311"/>
      <c r="BB64" s="311"/>
      <c r="BC64" s="311"/>
      <c r="BD64" s="311"/>
      <c r="BE64" s="311"/>
      <c r="BF64" s="311"/>
      <c r="BG64" s="311"/>
      <c r="BH64" s="311"/>
      <c r="BI64" s="311"/>
      <c r="BJ64" s="311"/>
      <c r="BK64" s="311"/>
      <c r="BL64" s="311"/>
      <c r="BM64" s="311"/>
      <c r="BN64" s="311"/>
      <c r="BO64" s="311"/>
      <c r="BP64" s="311"/>
      <c r="BQ64" s="311"/>
      <c r="BR64" s="311"/>
      <c r="BS64" s="311"/>
      <c r="BT64" s="311"/>
      <c r="BU64" s="311"/>
      <c r="BV64" s="311"/>
      <c r="BW64" s="311"/>
      <c r="BX64" s="311"/>
      <c r="BY64" s="311">
        <v>0</v>
      </c>
    </row>
    <row r="65" spans="1:77" x14ac:dyDescent="0.2">
      <c r="A65" s="311">
        <v>63</v>
      </c>
      <c r="B65" s="324" t="s">
        <v>118</v>
      </c>
      <c r="C65" s="311"/>
      <c r="D65" s="311"/>
      <c r="E65" s="311"/>
      <c r="F65" s="311"/>
      <c r="G65" s="311"/>
      <c r="H65" s="311"/>
      <c r="I65" s="311"/>
      <c r="J65" s="311"/>
      <c r="K65" s="311"/>
      <c r="L65" s="311"/>
      <c r="M65" s="311"/>
      <c r="N65" s="311"/>
      <c r="O65" s="311"/>
      <c r="P65" s="311"/>
      <c r="Q65" s="311"/>
      <c r="R65" s="311"/>
      <c r="S65" s="311"/>
      <c r="T65" s="311"/>
      <c r="U65" s="311"/>
      <c r="V65" s="311"/>
      <c r="W65" s="311"/>
      <c r="X65" s="311"/>
      <c r="Y65" s="311"/>
      <c r="Z65" s="311"/>
      <c r="AA65" s="311"/>
      <c r="AB65" s="311"/>
      <c r="AC65" s="311"/>
      <c r="AD65" s="311"/>
      <c r="AE65" s="311"/>
      <c r="AF65" s="311"/>
      <c r="AG65" s="311"/>
      <c r="AH65" s="311"/>
      <c r="AI65" s="311"/>
      <c r="AJ65" s="311"/>
      <c r="AK65" s="311">
        <v>63</v>
      </c>
      <c r="AL65" s="311"/>
      <c r="AM65" s="311"/>
      <c r="AN65" s="311"/>
      <c r="AO65" s="311"/>
      <c r="AP65" s="311"/>
      <c r="AQ65" s="311"/>
      <c r="AR65" s="311"/>
      <c r="AS65" s="311"/>
      <c r="AT65" s="311"/>
      <c r="AU65" s="311"/>
      <c r="AV65" s="311"/>
      <c r="AW65" s="311"/>
      <c r="AX65" s="311"/>
      <c r="AY65" s="311"/>
      <c r="AZ65" s="311"/>
      <c r="BA65" s="311"/>
      <c r="BB65" s="311"/>
      <c r="BC65" s="311">
        <v>63</v>
      </c>
      <c r="BD65" s="311"/>
      <c r="BE65" s="311"/>
      <c r="BF65" s="311"/>
      <c r="BG65" s="311"/>
      <c r="BH65" s="311"/>
      <c r="BI65" s="311"/>
      <c r="BJ65" s="311"/>
      <c r="BK65" s="311"/>
      <c r="BL65" s="311"/>
      <c r="BM65" s="311"/>
      <c r="BN65" s="311"/>
      <c r="BO65" s="311"/>
      <c r="BP65" s="311"/>
      <c r="BQ65" s="311"/>
      <c r="BR65" s="311"/>
      <c r="BS65" s="311"/>
      <c r="BT65" s="311"/>
      <c r="BU65" s="311"/>
      <c r="BV65" s="311"/>
      <c r="BW65" s="311"/>
      <c r="BX65" s="311"/>
      <c r="BY65" s="311">
        <v>1</v>
      </c>
    </row>
    <row r="66" spans="1:77" x14ac:dyDescent="0.2">
      <c r="A66" s="311">
        <v>64</v>
      </c>
      <c r="B66" s="324" t="s">
        <v>91</v>
      </c>
      <c r="C66" s="311"/>
      <c r="D66" s="311"/>
      <c r="E66" s="311"/>
      <c r="F66" s="311"/>
      <c r="G66" s="311"/>
      <c r="H66" s="311"/>
      <c r="I66" s="311"/>
      <c r="J66" s="311"/>
      <c r="K66" s="311"/>
      <c r="L66" s="311"/>
      <c r="M66" s="311"/>
      <c r="N66" s="311"/>
      <c r="O66" s="311"/>
      <c r="P66" s="311"/>
      <c r="Q66" s="311"/>
      <c r="R66" s="311"/>
      <c r="S66" s="311">
        <v>64</v>
      </c>
      <c r="T66" s="311"/>
      <c r="U66" s="311"/>
      <c r="V66" s="311"/>
      <c r="W66" s="311"/>
      <c r="X66" s="311"/>
      <c r="Y66" s="311"/>
      <c r="Z66" s="311"/>
      <c r="AA66" s="311"/>
      <c r="AB66" s="311"/>
      <c r="AC66" s="311"/>
      <c r="AD66" s="311"/>
      <c r="AE66" s="311"/>
      <c r="AF66" s="311"/>
      <c r="AG66" s="311"/>
      <c r="AH66" s="311"/>
      <c r="AI66" s="311"/>
      <c r="AJ66" s="311"/>
      <c r="AK66" s="311"/>
      <c r="AL66" s="311"/>
      <c r="AM66" s="311"/>
      <c r="AN66" s="311"/>
      <c r="AO66" s="311"/>
      <c r="AP66" s="311"/>
      <c r="AQ66" s="311"/>
      <c r="AR66" s="311"/>
      <c r="AS66" s="311"/>
      <c r="AT66" s="311"/>
      <c r="AU66" s="311"/>
      <c r="AV66" s="311"/>
      <c r="AW66" s="311"/>
      <c r="AX66" s="311"/>
      <c r="AY66" s="311"/>
      <c r="AZ66" s="311"/>
      <c r="BA66" s="311"/>
      <c r="BB66" s="311"/>
      <c r="BC66" s="311"/>
      <c r="BD66" s="311"/>
      <c r="BE66" s="311"/>
      <c r="BF66" s="311"/>
      <c r="BG66" s="311"/>
      <c r="BH66" s="311"/>
      <c r="BI66" s="311"/>
      <c r="BJ66" s="311"/>
      <c r="BK66" s="311"/>
      <c r="BL66" s="311"/>
      <c r="BM66" s="311"/>
      <c r="BN66" s="311"/>
      <c r="BO66" s="311"/>
      <c r="BP66" s="311"/>
      <c r="BQ66" s="311"/>
      <c r="BR66" s="311"/>
      <c r="BS66" s="311"/>
      <c r="BT66" s="311"/>
      <c r="BU66" s="311"/>
      <c r="BV66" s="311"/>
      <c r="BW66" s="311"/>
      <c r="BX66" s="311"/>
      <c r="BY66" s="311">
        <v>0</v>
      </c>
    </row>
    <row r="67" spans="1:77" x14ac:dyDescent="0.2">
      <c r="A67" s="311">
        <v>65</v>
      </c>
      <c r="B67" s="324" t="s">
        <v>271</v>
      </c>
      <c r="C67" s="311"/>
      <c r="D67" s="311"/>
      <c r="E67" s="311"/>
      <c r="F67" s="311"/>
      <c r="G67" s="311"/>
      <c r="H67" s="311"/>
      <c r="I67" s="311"/>
      <c r="J67" s="311"/>
      <c r="K67" s="311"/>
      <c r="L67" s="311"/>
      <c r="M67" s="311"/>
      <c r="N67" s="311"/>
      <c r="O67" s="311"/>
      <c r="P67" s="311"/>
      <c r="Q67" s="311"/>
      <c r="R67" s="311"/>
      <c r="S67" s="311"/>
      <c r="T67" s="311"/>
      <c r="U67" s="311">
        <v>65</v>
      </c>
      <c r="V67" s="311">
        <v>65</v>
      </c>
      <c r="W67" s="311">
        <v>65</v>
      </c>
      <c r="X67" s="311"/>
      <c r="Y67" s="311"/>
      <c r="Z67" s="311"/>
      <c r="AA67" s="311"/>
      <c r="AB67" s="311"/>
      <c r="AC67" s="311"/>
      <c r="AD67" s="311"/>
      <c r="AE67" s="311"/>
      <c r="AF67" s="311"/>
      <c r="AG67" s="311"/>
      <c r="AH67" s="311"/>
      <c r="AI67" s="311"/>
      <c r="AJ67" s="311"/>
      <c r="AK67" s="311"/>
      <c r="AL67" s="311"/>
      <c r="AM67" s="311"/>
      <c r="AN67" s="311"/>
      <c r="AO67" s="311"/>
      <c r="AP67" s="311"/>
      <c r="AQ67" s="311"/>
      <c r="AR67" s="311">
        <v>65</v>
      </c>
      <c r="AS67" s="311">
        <v>65</v>
      </c>
      <c r="AT67" s="311"/>
      <c r="AU67" s="311"/>
      <c r="AV67" s="311"/>
      <c r="AW67" s="311"/>
      <c r="AX67" s="311"/>
      <c r="AY67" s="311"/>
      <c r="AZ67" s="311"/>
      <c r="BA67" s="311"/>
      <c r="BB67" s="311"/>
      <c r="BC67" s="311"/>
      <c r="BD67" s="311"/>
      <c r="BE67" s="311"/>
      <c r="BF67" s="311"/>
      <c r="BG67" s="311"/>
      <c r="BH67" s="311">
        <v>65</v>
      </c>
      <c r="BI67" s="311">
        <v>65</v>
      </c>
      <c r="BJ67" s="311">
        <v>65</v>
      </c>
      <c r="BK67" s="311"/>
      <c r="BL67" s="311"/>
      <c r="BM67" s="311"/>
      <c r="BN67" s="311"/>
      <c r="BO67" s="311"/>
      <c r="BP67" s="311"/>
      <c r="BQ67" s="311"/>
      <c r="BR67" s="311"/>
      <c r="BS67" s="311"/>
      <c r="BT67" s="311"/>
      <c r="BU67" s="311"/>
      <c r="BV67" s="311"/>
      <c r="BW67" s="311"/>
      <c r="BX67" s="311"/>
      <c r="BY67" s="311">
        <v>0</v>
      </c>
    </row>
    <row r="68" spans="1:77" x14ac:dyDescent="0.2">
      <c r="A68" s="311">
        <v>66</v>
      </c>
      <c r="B68" s="324" t="s">
        <v>270</v>
      </c>
      <c r="C68" s="311"/>
      <c r="D68" s="311"/>
      <c r="E68" s="311"/>
      <c r="F68" s="311"/>
      <c r="G68" s="311"/>
      <c r="H68" s="311"/>
      <c r="I68" s="311"/>
      <c r="J68" s="311"/>
      <c r="K68" s="311"/>
      <c r="L68" s="311"/>
      <c r="M68" s="311"/>
      <c r="N68" s="311"/>
      <c r="O68" s="311">
        <v>66</v>
      </c>
      <c r="P68" s="311"/>
      <c r="Q68" s="311"/>
      <c r="R68" s="311"/>
      <c r="S68" s="311"/>
      <c r="T68" s="311"/>
      <c r="U68" s="311"/>
      <c r="V68" s="311"/>
      <c r="W68" s="311"/>
      <c r="X68" s="311"/>
      <c r="Y68" s="311"/>
      <c r="Z68" s="311"/>
      <c r="AA68" s="311"/>
      <c r="AB68" s="311"/>
      <c r="AC68" s="311"/>
      <c r="AD68" s="311"/>
      <c r="AE68" s="311"/>
      <c r="AF68" s="311"/>
      <c r="AG68" s="311"/>
      <c r="AH68" s="311"/>
      <c r="AI68" s="311"/>
      <c r="AJ68" s="311"/>
      <c r="AK68" s="311"/>
      <c r="AL68" s="311"/>
      <c r="AM68" s="311"/>
      <c r="AN68" s="311"/>
      <c r="AO68" s="311"/>
      <c r="AP68" s="311"/>
      <c r="AQ68" s="311"/>
      <c r="AR68" s="311"/>
      <c r="AS68" s="311"/>
      <c r="AT68" s="311"/>
      <c r="AU68" s="311"/>
      <c r="AV68" s="311"/>
      <c r="AW68" s="311"/>
      <c r="AX68" s="311"/>
      <c r="AY68" s="311"/>
      <c r="AZ68" s="311"/>
      <c r="BA68" s="311"/>
      <c r="BB68" s="311"/>
      <c r="BC68" s="311"/>
      <c r="BD68" s="311"/>
      <c r="BE68" s="311"/>
      <c r="BF68" s="311"/>
      <c r="BG68" s="311"/>
      <c r="BH68" s="311"/>
      <c r="BI68" s="311"/>
      <c r="BJ68" s="311"/>
      <c r="BK68" s="311"/>
      <c r="BL68" s="311"/>
      <c r="BM68" s="311"/>
      <c r="BN68" s="311"/>
      <c r="BO68" s="311"/>
      <c r="BP68" s="311"/>
      <c r="BQ68" s="311"/>
      <c r="BR68" s="311"/>
      <c r="BS68" s="311"/>
      <c r="BT68" s="311"/>
      <c r="BU68" s="311"/>
      <c r="BV68" s="311"/>
      <c r="BW68" s="311"/>
      <c r="BX68" s="311"/>
      <c r="BY68" s="311">
        <v>1</v>
      </c>
    </row>
    <row r="69" spans="1:77" x14ac:dyDescent="0.2">
      <c r="A69" s="311">
        <v>67</v>
      </c>
      <c r="B69" s="324" t="s">
        <v>269</v>
      </c>
      <c r="C69" s="311"/>
      <c r="D69" s="311"/>
      <c r="E69" s="311"/>
      <c r="F69" s="311"/>
      <c r="G69" s="311"/>
      <c r="H69" s="311"/>
      <c r="I69" s="311"/>
      <c r="J69" s="311"/>
      <c r="K69" s="311"/>
      <c r="L69" s="311"/>
      <c r="M69" s="311"/>
      <c r="N69" s="311"/>
      <c r="O69" s="311"/>
      <c r="P69" s="311"/>
      <c r="Q69" s="311">
        <v>67</v>
      </c>
      <c r="R69" s="311">
        <v>67</v>
      </c>
      <c r="S69" s="311"/>
      <c r="T69" s="311"/>
      <c r="U69" s="311"/>
      <c r="V69" s="311"/>
      <c r="W69" s="311"/>
      <c r="X69" s="311"/>
      <c r="Y69" s="311"/>
      <c r="Z69" s="311"/>
      <c r="AA69" s="311"/>
      <c r="AB69" s="311"/>
      <c r="AC69" s="311"/>
      <c r="AD69" s="311"/>
      <c r="AE69" s="311"/>
      <c r="AF69" s="311"/>
      <c r="AG69" s="311"/>
      <c r="AH69" s="311"/>
      <c r="AI69" s="311"/>
      <c r="AJ69" s="311"/>
      <c r="AK69" s="311"/>
      <c r="AL69" s="311"/>
      <c r="AM69" s="311"/>
      <c r="AN69" s="311"/>
      <c r="AO69" s="311"/>
      <c r="AP69" s="311">
        <v>67</v>
      </c>
      <c r="AQ69" s="311"/>
      <c r="AR69" s="311"/>
      <c r="AS69" s="311"/>
      <c r="AT69" s="311"/>
      <c r="AU69" s="311"/>
      <c r="AV69" s="311"/>
      <c r="AW69" s="311"/>
      <c r="AX69" s="311"/>
      <c r="AY69" s="311"/>
      <c r="AZ69" s="311"/>
      <c r="BA69" s="311"/>
      <c r="BB69" s="311"/>
      <c r="BC69" s="311"/>
      <c r="BD69" s="311"/>
      <c r="BE69" s="311"/>
      <c r="BF69" s="311"/>
      <c r="BG69" s="311"/>
      <c r="BH69" s="311"/>
      <c r="BI69" s="311"/>
      <c r="BJ69" s="311"/>
      <c r="BK69" s="311"/>
      <c r="BL69" s="311"/>
      <c r="BM69" s="311"/>
      <c r="BN69" s="311"/>
      <c r="BO69" s="311"/>
      <c r="BP69" s="311"/>
      <c r="BQ69" s="311"/>
      <c r="BR69" s="311"/>
      <c r="BS69" s="311"/>
      <c r="BT69" s="311"/>
      <c r="BU69" s="311"/>
      <c r="BV69" s="311"/>
      <c r="BW69" s="311"/>
      <c r="BX69" s="311"/>
      <c r="BY69" s="311">
        <v>0</v>
      </c>
    </row>
    <row r="70" spans="1:77" x14ac:dyDescent="0.2">
      <c r="A70" s="311">
        <v>68</v>
      </c>
      <c r="B70" s="324" t="s">
        <v>268</v>
      </c>
      <c r="C70" s="311"/>
      <c r="D70" s="311"/>
      <c r="E70" s="311"/>
      <c r="F70" s="311"/>
      <c r="G70" s="311"/>
      <c r="H70" s="311"/>
      <c r="I70" s="311"/>
      <c r="J70" s="311"/>
      <c r="K70" s="311"/>
      <c r="L70" s="311"/>
      <c r="M70" s="311"/>
      <c r="N70" s="311"/>
      <c r="O70" s="311"/>
      <c r="P70" s="311"/>
      <c r="Q70" s="311"/>
      <c r="R70" s="311"/>
      <c r="S70" s="311"/>
      <c r="T70" s="311"/>
      <c r="U70" s="311">
        <v>68</v>
      </c>
      <c r="V70" s="311">
        <v>68</v>
      </c>
      <c r="W70" s="311">
        <v>68</v>
      </c>
      <c r="X70" s="311"/>
      <c r="Y70" s="311"/>
      <c r="Z70" s="311"/>
      <c r="AA70" s="311"/>
      <c r="AB70" s="311"/>
      <c r="AC70" s="311"/>
      <c r="AD70" s="311"/>
      <c r="AE70" s="311"/>
      <c r="AF70" s="311"/>
      <c r="AG70" s="311"/>
      <c r="AH70" s="311"/>
      <c r="AI70" s="311"/>
      <c r="AJ70" s="311"/>
      <c r="AK70" s="311"/>
      <c r="AL70" s="311"/>
      <c r="AM70" s="311"/>
      <c r="AN70" s="311"/>
      <c r="AO70" s="311"/>
      <c r="AP70" s="311"/>
      <c r="AQ70" s="311"/>
      <c r="AR70" s="311">
        <v>68</v>
      </c>
      <c r="AS70" s="311">
        <v>68</v>
      </c>
      <c r="AT70" s="311"/>
      <c r="AU70" s="311"/>
      <c r="AV70" s="311"/>
      <c r="AW70" s="311"/>
      <c r="AX70" s="311"/>
      <c r="AY70" s="311"/>
      <c r="AZ70" s="311"/>
      <c r="BA70" s="311"/>
      <c r="BB70" s="311"/>
      <c r="BC70" s="311"/>
      <c r="BD70" s="311"/>
      <c r="BE70" s="311"/>
      <c r="BF70" s="311"/>
      <c r="BG70" s="311"/>
      <c r="BH70" s="311">
        <v>68</v>
      </c>
      <c r="BI70" s="311">
        <v>68</v>
      </c>
      <c r="BJ70" s="311">
        <v>68</v>
      </c>
      <c r="BK70" s="311"/>
      <c r="BL70" s="311"/>
      <c r="BM70" s="311"/>
      <c r="BN70" s="311"/>
      <c r="BO70" s="311"/>
      <c r="BP70" s="311"/>
      <c r="BQ70" s="311"/>
      <c r="BR70" s="311"/>
      <c r="BS70" s="311"/>
      <c r="BT70" s="311"/>
      <c r="BU70" s="311"/>
      <c r="BV70" s="311"/>
      <c r="BW70" s="311"/>
      <c r="BX70" s="311"/>
      <c r="BY70" s="311">
        <v>0</v>
      </c>
    </row>
    <row r="71" spans="1:77" x14ac:dyDescent="0.2">
      <c r="A71" s="311">
        <v>69</v>
      </c>
      <c r="B71" s="324" t="s">
        <v>267</v>
      </c>
      <c r="C71" s="311"/>
      <c r="D71" s="311"/>
      <c r="E71" s="311"/>
      <c r="F71" s="311"/>
      <c r="G71" s="311"/>
      <c r="H71" s="311"/>
      <c r="I71" s="311"/>
      <c r="J71" s="311"/>
      <c r="K71" s="311"/>
      <c r="L71" s="311"/>
      <c r="M71" s="311"/>
      <c r="N71" s="311"/>
      <c r="O71" s="311">
        <v>69</v>
      </c>
      <c r="P71" s="311"/>
      <c r="Q71" s="311"/>
      <c r="R71" s="311"/>
      <c r="S71" s="311"/>
      <c r="T71" s="311"/>
      <c r="U71" s="311"/>
      <c r="V71" s="311"/>
      <c r="W71" s="311"/>
      <c r="X71" s="311"/>
      <c r="Y71" s="311"/>
      <c r="Z71" s="311"/>
      <c r="AA71" s="311"/>
      <c r="AB71" s="311"/>
      <c r="AC71" s="311"/>
      <c r="AD71" s="311"/>
      <c r="AE71" s="311"/>
      <c r="AF71" s="311"/>
      <c r="AG71" s="311"/>
      <c r="AH71" s="311"/>
      <c r="AI71" s="311"/>
      <c r="AJ71" s="311"/>
      <c r="AK71" s="311"/>
      <c r="AL71" s="311"/>
      <c r="AM71" s="311"/>
      <c r="AN71" s="311"/>
      <c r="AO71" s="311"/>
      <c r="AP71" s="311"/>
      <c r="AQ71" s="311"/>
      <c r="AR71" s="311"/>
      <c r="AS71" s="311"/>
      <c r="AT71" s="311"/>
      <c r="AU71" s="311"/>
      <c r="AV71" s="311"/>
      <c r="AW71" s="311"/>
      <c r="AX71" s="311"/>
      <c r="AY71" s="311"/>
      <c r="AZ71" s="311"/>
      <c r="BA71" s="311"/>
      <c r="BB71" s="311"/>
      <c r="BC71" s="311"/>
      <c r="BD71" s="311"/>
      <c r="BE71" s="311"/>
      <c r="BF71" s="311"/>
      <c r="BG71" s="311"/>
      <c r="BH71" s="311"/>
      <c r="BI71" s="311"/>
      <c r="BJ71" s="311"/>
      <c r="BK71" s="311"/>
      <c r="BL71" s="311"/>
      <c r="BM71" s="311"/>
      <c r="BN71" s="311"/>
      <c r="BO71" s="311"/>
      <c r="BP71" s="311"/>
      <c r="BQ71" s="311"/>
      <c r="BR71" s="311"/>
      <c r="BS71" s="311"/>
      <c r="BT71" s="311"/>
      <c r="BU71" s="311"/>
      <c r="BV71" s="311"/>
      <c r="BW71" s="311"/>
      <c r="BX71" s="311"/>
      <c r="BY71" s="311">
        <v>1</v>
      </c>
    </row>
    <row r="72" spans="1:77" x14ac:dyDescent="0.2">
      <c r="A72" s="311">
        <v>70</v>
      </c>
      <c r="B72" s="324" t="s">
        <v>266</v>
      </c>
      <c r="C72" s="311"/>
      <c r="D72" s="311"/>
      <c r="E72" s="311"/>
      <c r="F72" s="311"/>
      <c r="G72" s="311"/>
      <c r="H72" s="311"/>
      <c r="I72" s="311"/>
      <c r="J72" s="311"/>
      <c r="K72" s="311"/>
      <c r="L72" s="311"/>
      <c r="M72" s="311"/>
      <c r="N72" s="311"/>
      <c r="O72" s="311"/>
      <c r="P72" s="311"/>
      <c r="Q72" s="311"/>
      <c r="R72" s="311"/>
      <c r="S72" s="311"/>
      <c r="T72" s="311"/>
      <c r="U72" s="311"/>
      <c r="V72" s="311"/>
      <c r="W72" s="311"/>
      <c r="X72" s="311"/>
      <c r="Y72" s="311"/>
      <c r="Z72" s="311"/>
      <c r="AA72" s="311"/>
      <c r="AB72" s="311"/>
      <c r="AC72" s="311"/>
      <c r="AD72" s="311"/>
      <c r="AE72" s="311"/>
      <c r="AF72" s="311">
        <v>70</v>
      </c>
      <c r="AG72" s="311"/>
      <c r="AH72" s="311"/>
      <c r="AI72" s="311"/>
      <c r="AJ72" s="311"/>
      <c r="AK72" s="311"/>
      <c r="AL72" s="311"/>
      <c r="AM72" s="311"/>
      <c r="AN72" s="311"/>
      <c r="AO72" s="311"/>
      <c r="AP72" s="311"/>
      <c r="AQ72" s="311"/>
      <c r="AR72" s="311"/>
      <c r="AS72" s="311"/>
      <c r="AT72" s="311"/>
      <c r="AU72" s="311"/>
      <c r="AV72" s="311"/>
      <c r="AW72" s="311"/>
      <c r="AX72" s="311"/>
      <c r="AY72" s="311"/>
      <c r="AZ72" s="311"/>
      <c r="BA72" s="311"/>
      <c r="BB72" s="311"/>
      <c r="BC72" s="311"/>
      <c r="BD72" s="311"/>
      <c r="BE72" s="311"/>
      <c r="BF72" s="311"/>
      <c r="BG72" s="311"/>
      <c r="BH72" s="311"/>
      <c r="BI72" s="311"/>
      <c r="BJ72" s="311"/>
      <c r="BK72" s="311"/>
      <c r="BL72" s="311"/>
      <c r="BM72" s="311"/>
      <c r="BN72" s="311"/>
      <c r="BO72" s="311"/>
      <c r="BP72" s="311"/>
      <c r="BQ72" s="311"/>
      <c r="BR72" s="311"/>
      <c r="BS72" s="311"/>
      <c r="BT72" s="311"/>
      <c r="BU72" s="311"/>
      <c r="BV72" s="311"/>
      <c r="BW72" s="311"/>
      <c r="BX72" s="311"/>
      <c r="BY72" s="311">
        <v>0</v>
      </c>
    </row>
    <row r="73" spans="1:77" x14ac:dyDescent="0.2">
      <c r="A73" s="311">
        <v>71</v>
      </c>
      <c r="B73" s="324" t="s">
        <v>137</v>
      </c>
      <c r="C73" s="311">
        <v>71</v>
      </c>
      <c r="D73" s="311">
        <v>71</v>
      </c>
      <c r="E73" s="311">
        <v>71</v>
      </c>
      <c r="F73" s="311">
        <v>71</v>
      </c>
      <c r="G73" s="311"/>
      <c r="H73" s="311">
        <v>71</v>
      </c>
      <c r="I73" s="311"/>
      <c r="J73" s="311"/>
      <c r="K73" s="311"/>
      <c r="L73" s="311"/>
      <c r="M73" s="311"/>
      <c r="N73" s="311">
        <v>71</v>
      </c>
      <c r="O73" s="311"/>
      <c r="P73" s="311"/>
      <c r="Q73" s="311"/>
      <c r="R73" s="311"/>
      <c r="S73" s="311"/>
      <c r="T73" s="311"/>
      <c r="U73" s="311"/>
      <c r="V73" s="311"/>
      <c r="W73" s="311"/>
      <c r="X73" s="311"/>
      <c r="Y73" s="311"/>
      <c r="Z73" s="311"/>
      <c r="AA73" s="311"/>
      <c r="AB73" s="311"/>
      <c r="AC73" s="311"/>
      <c r="AD73" s="311"/>
      <c r="AE73" s="311"/>
      <c r="AF73" s="311"/>
      <c r="AG73" s="311"/>
      <c r="AH73" s="311"/>
      <c r="AI73" s="311"/>
      <c r="AJ73" s="311"/>
      <c r="AK73" s="311"/>
      <c r="AL73" s="311"/>
      <c r="AM73" s="311"/>
      <c r="AN73" s="311"/>
      <c r="AO73" s="311"/>
      <c r="AP73" s="311"/>
      <c r="AQ73" s="311"/>
      <c r="AR73" s="311"/>
      <c r="AS73" s="311"/>
      <c r="AT73" s="311"/>
      <c r="AU73" s="311"/>
      <c r="AV73" s="311"/>
      <c r="AW73" s="311"/>
      <c r="AX73" s="311"/>
      <c r="AY73" s="311"/>
      <c r="AZ73" s="311"/>
      <c r="BA73" s="311"/>
      <c r="BB73" s="311"/>
      <c r="BC73" s="311"/>
      <c r="BD73" s="311"/>
      <c r="BE73" s="311"/>
      <c r="BF73" s="311"/>
      <c r="BG73" s="311"/>
      <c r="BH73" s="311"/>
      <c r="BI73" s="311"/>
      <c r="BJ73" s="311"/>
      <c r="BK73" s="311"/>
      <c r="BL73" s="311"/>
      <c r="BM73" s="311"/>
      <c r="BN73" s="311"/>
      <c r="BO73" s="311"/>
      <c r="BP73" s="311"/>
      <c r="BQ73" s="311"/>
      <c r="BR73" s="311">
        <v>71</v>
      </c>
      <c r="BS73" s="311"/>
      <c r="BT73" s="311"/>
      <c r="BU73" s="311"/>
      <c r="BV73" s="311"/>
      <c r="BW73" s="311"/>
      <c r="BX73" s="311"/>
      <c r="BY73" s="311">
        <v>0</v>
      </c>
    </row>
    <row r="74" spans="1:77" x14ac:dyDescent="0.2">
      <c r="A74" s="311">
        <v>72</v>
      </c>
      <c r="B74" s="324" t="s">
        <v>265</v>
      </c>
      <c r="C74" s="311">
        <v>72</v>
      </c>
      <c r="D74" s="311">
        <v>72</v>
      </c>
      <c r="E74" s="311">
        <v>72</v>
      </c>
      <c r="F74" s="311">
        <v>72</v>
      </c>
      <c r="G74" s="311"/>
      <c r="H74" s="311">
        <v>72</v>
      </c>
      <c r="I74" s="311"/>
      <c r="J74" s="311"/>
      <c r="K74" s="311">
        <v>72</v>
      </c>
      <c r="L74" s="311">
        <v>72</v>
      </c>
      <c r="M74" s="311">
        <v>72</v>
      </c>
      <c r="N74" s="311">
        <v>72</v>
      </c>
      <c r="O74" s="311"/>
      <c r="P74" s="311">
        <v>72</v>
      </c>
      <c r="Q74" s="311"/>
      <c r="R74" s="311"/>
      <c r="S74" s="311"/>
      <c r="T74" s="311"/>
      <c r="U74" s="311"/>
      <c r="V74" s="311"/>
      <c r="W74" s="311"/>
      <c r="X74" s="311">
        <v>72</v>
      </c>
      <c r="Y74" s="311"/>
      <c r="Z74" s="311"/>
      <c r="AA74" s="311"/>
      <c r="AB74" s="311"/>
      <c r="AC74" s="311">
        <v>72</v>
      </c>
      <c r="AD74" s="311">
        <v>72</v>
      </c>
      <c r="AE74" s="311">
        <v>72</v>
      </c>
      <c r="AF74" s="311"/>
      <c r="AG74" s="311">
        <v>72</v>
      </c>
      <c r="AH74" s="311">
        <v>72</v>
      </c>
      <c r="AI74" s="311"/>
      <c r="AJ74" s="311">
        <v>72</v>
      </c>
      <c r="AK74" s="311"/>
      <c r="AL74" s="311"/>
      <c r="AM74" s="311">
        <v>72</v>
      </c>
      <c r="AN74" s="311">
        <v>72</v>
      </c>
      <c r="AO74" s="311">
        <v>72</v>
      </c>
      <c r="AP74" s="311"/>
      <c r="AQ74" s="311"/>
      <c r="AR74" s="311"/>
      <c r="AS74" s="311"/>
      <c r="AT74" s="311"/>
      <c r="AU74" s="311"/>
      <c r="AV74" s="311"/>
      <c r="AW74" s="311"/>
      <c r="AX74" s="311"/>
      <c r="AY74" s="311"/>
      <c r="AZ74" s="311"/>
      <c r="BA74" s="311"/>
      <c r="BB74" s="311">
        <v>72</v>
      </c>
      <c r="BC74" s="311"/>
      <c r="BD74" s="311"/>
      <c r="BE74" s="311"/>
      <c r="BF74" s="311"/>
      <c r="BG74" s="311"/>
      <c r="BH74" s="311"/>
      <c r="BI74" s="311"/>
      <c r="BJ74" s="311"/>
      <c r="BK74" s="311"/>
      <c r="BL74" s="311"/>
      <c r="BM74" s="311"/>
      <c r="BN74" s="311"/>
      <c r="BO74" s="311"/>
      <c r="BP74" s="311"/>
      <c r="BQ74" s="311"/>
      <c r="BR74" s="311">
        <v>72</v>
      </c>
      <c r="BS74" s="311">
        <v>72</v>
      </c>
      <c r="BT74" s="311"/>
      <c r="BU74" s="311">
        <v>72</v>
      </c>
      <c r="BV74" s="311"/>
      <c r="BW74" s="311"/>
      <c r="BX74" s="311">
        <v>72</v>
      </c>
      <c r="BY74" s="311">
        <v>0</v>
      </c>
    </row>
    <row r="75" spans="1:77" x14ac:dyDescent="0.2">
      <c r="A75" s="311">
        <v>73</v>
      </c>
      <c r="B75" s="324" t="s">
        <v>264</v>
      </c>
      <c r="C75" s="311"/>
      <c r="D75" s="311"/>
      <c r="E75" s="311"/>
      <c r="F75" s="311"/>
      <c r="G75" s="311"/>
      <c r="H75" s="311"/>
      <c r="I75" s="311"/>
      <c r="J75" s="311"/>
      <c r="K75" s="311"/>
      <c r="L75" s="311"/>
      <c r="M75" s="311"/>
      <c r="N75" s="311"/>
      <c r="O75" s="311"/>
      <c r="P75" s="311"/>
      <c r="Q75" s="311"/>
      <c r="R75" s="311"/>
      <c r="S75" s="311"/>
      <c r="T75" s="311"/>
      <c r="U75" s="311"/>
      <c r="V75" s="311"/>
      <c r="W75" s="311"/>
      <c r="X75" s="311"/>
      <c r="Y75" s="311"/>
      <c r="Z75" s="311"/>
      <c r="AA75" s="311"/>
      <c r="AB75" s="311"/>
      <c r="AC75" s="311"/>
      <c r="AD75" s="311"/>
      <c r="AE75" s="311"/>
      <c r="AF75" s="311"/>
      <c r="AG75" s="311"/>
      <c r="AH75" s="311"/>
      <c r="AI75" s="311"/>
      <c r="AJ75" s="311"/>
      <c r="AK75" s="311">
        <v>73</v>
      </c>
      <c r="AL75" s="311"/>
      <c r="AM75" s="311"/>
      <c r="AN75" s="311"/>
      <c r="AO75" s="311"/>
      <c r="AP75" s="311"/>
      <c r="AQ75" s="311"/>
      <c r="AR75" s="311"/>
      <c r="AS75" s="311"/>
      <c r="AT75" s="311"/>
      <c r="AU75" s="311"/>
      <c r="AV75" s="311"/>
      <c r="AW75" s="311"/>
      <c r="AX75" s="311"/>
      <c r="AY75" s="311"/>
      <c r="AZ75" s="311"/>
      <c r="BA75" s="311"/>
      <c r="BB75" s="311"/>
      <c r="BC75" s="311">
        <v>73</v>
      </c>
      <c r="BD75" s="311"/>
      <c r="BE75" s="311"/>
      <c r="BF75" s="311"/>
      <c r="BG75" s="311"/>
      <c r="BH75" s="311"/>
      <c r="BI75" s="311"/>
      <c r="BJ75" s="311"/>
      <c r="BK75" s="311"/>
      <c r="BL75" s="311"/>
      <c r="BM75" s="311"/>
      <c r="BN75" s="311"/>
      <c r="BO75" s="311"/>
      <c r="BP75" s="311"/>
      <c r="BQ75" s="311"/>
      <c r="BR75" s="311"/>
      <c r="BS75" s="311"/>
      <c r="BT75" s="311"/>
      <c r="BU75" s="311"/>
      <c r="BV75" s="311"/>
      <c r="BW75" s="311"/>
      <c r="BX75" s="311"/>
      <c r="BY75" s="311">
        <v>1</v>
      </c>
    </row>
    <row r="76" spans="1:77" x14ac:dyDescent="0.2">
      <c r="A76" s="311">
        <v>74</v>
      </c>
      <c r="B76" s="324" t="s">
        <v>263</v>
      </c>
      <c r="C76" s="311"/>
      <c r="D76" s="311"/>
      <c r="E76" s="311"/>
      <c r="F76" s="311"/>
      <c r="G76" s="311"/>
      <c r="H76" s="311"/>
      <c r="I76" s="311"/>
      <c r="J76" s="311"/>
      <c r="K76" s="311"/>
      <c r="L76" s="311"/>
      <c r="M76" s="311"/>
      <c r="N76" s="311"/>
      <c r="O76" s="311"/>
      <c r="P76" s="311"/>
      <c r="Q76" s="311"/>
      <c r="R76" s="311"/>
      <c r="S76" s="311"/>
      <c r="T76" s="311"/>
      <c r="U76" s="311"/>
      <c r="V76" s="311"/>
      <c r="W76" s="311"/>
      <c r="X76" s="311"/>
      <c r="Y76" s="311"/>
      <c r="Z76" s="311"/>
      <c r="AA76" s="311"/>
      <c r="AB76" s="311"/>
      <c r="AC76" s="311"/>
      <c r="AD76" s="311"/>
      <c r="AE76" s="311"/>
      <c r="AF76" s="311"/>
      <c r="AG76" s="311"/>
      <c r="AH76" s="311"/>
      <c r="AI76" s="311">
        <v>74</v>
      </c>
      <c r="AJ76" s="311"/>
      <c r="AK76" s="311"/>
      <c r="AL76" s="311"/>
      <c r="AM76" s="311"/>
      <c r="AN76" s="311"/>
      <c r="AO76" s="311"/>
      <c r="AP76" s="311"/>
      <c r="AQ76" s="311"/>
      <c r="AR76" s="311"/>
      <c r="AS76" s="311"/>
      <c r="AT76" s="311"/>
      <c r="AU76" s="311"/>
      <c r="AV76" s="311"/>
      <c r="AW76" s="311"/>
      <c r="AX76" s="311"/>
      <c r="AY76" s="311">
        <v>74</v>
      </c>
      <c r="AZ76" s="311">
        <v>74</v>
      </c>
      <c r="BA76" s="311"/>
      <c r="BB76" s="311"/>
      <c r="BC76" s="311"/>
      <c r="BD76" s="311"/>
      <c r="BE76" s="311"/>
      <c r="BF76" s="311"/>
      <c r="BG76" s="311"/>
      <c r="BH76" s="311"/>
      <c r="BI76" s="311"/>
      <c r="BJ76" s="311"/>
      <c r="BK76" s="311"/>
      <c r="BL76" s="311"/>
      <c r="BM76" s="311"/>
      <c r="BN76" s="311"/>
      <c r="BO76" s="311"/>
      <c r="BP76" s="311"/>
      <c r="BQ76" s="311"/>
      <c r="BR76" s="311"/>
      <c r="BS76" s="311"/>
      <c r="BT76" s="311"/>
      <c r="BU76" s="311"/>
      <c r="BV76" s="311"/>
      <c r="BW76" s="311">
        <v>74</v>
      </c>
      <c r="BX76" s="311"/>
      <c r="BY76" s="311">
        <v>0</v>
      </c>
    </row>
    <row r="77" spans="1:77" x14ac:dyDescent="0.2">
      <c r="A77" s="311">
        <v>75</v>
      </c>
      <c r="B77" s="324" t="s">
        <v>262</v>
      </c>
      <c r="C77" s="311"/>
      <c r="D77" s="311"/>
      <c r="E77" s="311"/>
      <c r="F77" s="311"/>
      <c r="G77" s="311"/>
      <c r="H77" s="311"/>
      <c r="I77" s="311"/>
      <c r="J77" s="311"/>
      <c r="K77" s="311"/>
      <c r="L77" s="311"/>
      <c r="M77" s="311"/>
      <c r="N77" s="311"/>
      <c r="O77" s="311">
        <v>75</v>
      </c>
      <c r="P77" s="311"/>
      <c r="Q77" s="311"/>
      <c r="R77" s="311"/>
      <c r="S77" s="311"/>
      <c r="T77" s="311"/>
      <c r="U77" s="311"/>
      <c r="V77" s="311"/>
      <c r="W77" s="311"/>
      <c r="X77" s="311"/>
      <c r="Y77" s="311"/>
      <c r="Z77" s="311"/>
      <c r="AA77" s="311"/>
      <c r="AB77" s="311"/>
      <c r="AC77" s="311"/>
      <c r="AD77" s="311"/>
      <c r="AE77" s="311"/>
      <c r="AF77" s="311"/>
      <c r="AG77" s="311"/>
      <c r="AH77" s="311"/>
      <c r="AI77" s="311"/>
      <c r="AJ77" s="311"/>
      <c r="AK77" s="311"/>
      <c r="AL77" s="311"/>
      <c r="AM77" s="311"/>
      <c r="AN77" s="311"/>
      <c r="AO77" s="311"/>
      <c r="AP77" s="311"/>
      <c r="AQ77" s="311"/>
      <c r="AR77" s="311"/>
      <c r="AS77" s="311"/>
      <c r="AT77" s="311"/>
      <c r="AU77" s="311"/>
      <c r="AV77" s="311"/>
      <c r="AW77" s="311"/>
      <c r="AX77" s="311"/>
      <c r="AY77" s="311"/>
      <c r="AZ77" s="311"/>
      <c r="BA77" s="311"/>
      <c r="BB77" s="311"/>
      <c r="BC77" s="311"/>
      <c r="BD77" s="311"/>
      <c r="BE77" s="311"/>
      <c r="BF77" s="311"/>
      <c r="BG77" s="311"/>
      <c r="BH77" s="311"/>
      <c r="BI77" s="311"/>
      <c r="BJ77" s="311"/>
      <c r="BK77" s="311"/>
      <c r="BL77" s="311"/>
      <c r="BM77" s="311"/>
      <c r="BN77" s="311"/>
      <c r="BO77" s="311"/>
      <c r="BP77" s="311"/>
      <c r="BQ77" s="311"/>
      <c r="BR77" s="311"/>
      <c r="BS77" s="311"/>
      <c r="BT77" s="311"/>
      <c r="BU77" s="311"/>
      <c r="BV77" s="311"/>
      <c r="BW77" s="311"/>
      <c r="BX77" s="311"/>
      <c r="BY77" s="311">
        <v>1</v>
      </c>
    </row>
    <row r="78" spans="1:77" x14ac:dyDescent="0.2">
      <c r="A78" s="311">
        <v>76</v>
      </c>
      <c r="B78" s="324" t="s">
        <v>261</v>
      </c>
      <c r="C78" s="311"/>
      <c r="D78" s="311"/>
      <c r="E78" s="311"/>
      <c r="F78" s="311"/>
      <c r="G78" s="311"/>
      <c r="H78" s="311"/>
      <c r="I78" s="311"/>
      <c r="J78" s="311"/>
      <c r="K78" s="311"/>
      <c r="L78" s="311"/>
      <c r="M78" s="311"/>
      <c r="N78" s="311"/>
      <c r="O78" s="311">
        <v>76</v>
      </c>
      <c r="P78" s="311"/>
      <c r="Q78" s="311"/>
      <c r="R78" s="311"/>
      <c r="S78" s="311"/>
      <c r="T78" s="311"/>
      <c r="U78" s="311"/>
      <c r="V78" s="311"/>
      <c r="W78" s="311"/>
      <c r="X78" s="311"/>
      <c r="Y78" s="311"/>
      <c r="Z78" s="311"/>
      <c r="AA78" s="311"/>
      <c r="AB78" s="311"/>
      <c r="AC78" s="311"/>
      <c r="AD78" s="311"/>
      <c r="AE78" s="311"/>
      <c r="AF78" s="311"/>
      <c r="AG78" s="311"/>
      <c r="AH78" s="311"/>
      <c r="AI78" s="311"/>
      <c r="AJ78" s="311"/>
      <c r="AK78" s="311"/>
      <c r="AL78" s="311"/>
      <c r="AM78" s="311"/>
      <c r="AN78" s="311"/>
      <c r="AO78" s="311"/>
      <c r="AP78" s="311"/>
      <c r="AQ78" s="311"/>
      <c r="AR78" s="311"/>
      <c r="AS78" s="311"/>
      <c r="AT78" s="311"/>
      <c r="AU78" s="311"/>
      <c r="AV78" s="311"/>
      <c r="AW78" s="311"/>
      <c r="AX78" s="311"/>
      <c r="AY78" s="311"/>
      <c r="AZ78" s="311"/>
      <c r="BA78" s="311"/>
      <c r="BB78" s="311"/>
      <c r="BC78" s="311"/>
      <c r="BD78" s="311"/>
      <c r="BE78" s="311"/>
      <c r="BF78" s="311"/>
      <c r="BG78" s="311"/>
      <c r="BH78" s="311"/>
      <c r="BI78" s="311"/>
      <c r="BJ78" s="311"/>
      <c r="BK78" s="311"/>
      <c r="BL78" s="311"/>
      <c r="BM78" s="311"/>
      <c r="BN78" s="311"/>
      <c r="BO78" s="311"/>
      <c r="BP78" s="311"/>
      <c r="BQ78" s="311"/>
      <c r="BR78" s="311"/>
      <c r="BS78" s="311"/>
      <c r="BT78" s="311"/>
      <c r="BU78" s="311"/>
      <c r="BV78" s="311"/>
      <c r="BW78" s="311"/>
      <c r="BX78" s="311"/>
      <c r="BY78" s="311">
        <v>1</v>
      </c>
    </row>
    <row r="79" spans="1:77" x14ac:dyDescent="0.2">
      <c r="A79" s="311">
        <v>77</v>
      </c>
      <c r="B79" s="324" t="s">
        <v>260</v>
      </c>
      <c r="C79" s="311"/>
      <c r="D79" s="311"/>
      <c r="E79" s="311"/>
      <c r="F79" s="311"/>
      <c r="G79" s="311"/>
      <c r="H79" s="311"/>
      <c r="I79" s="311"/>
      <c r="J79" s="311"/>
      <c r="K79" s="311"/>
      <c r="L79" s="311"/>
      <c r="M79" s="311"/>
      <c r="N79" s="311"/>
      <c r="O79" s="311"/>
      <c r="P79" s="311"/>
      <c r="Q79" s="311"/>
      <c r="R79" s="311"/>
      <c r="S79" s="311"/>
      <c r="T79" s="311">
        <v>77</v>
      </c>
      <c r="U79" s="311"/>
      <c r="V79" s="311"/>
      <c r="W79" s="311"/>
      <c r="X79" s="311"/>
      <c r="Y79" s="311"/>
      <c r="Z79" s="311"/>
      <c r="AA79" s="311"/>
      <c r="AB79" s="311"/>
      <c r="AC79" s="311"/>
      <c r="AD79" s="311"/>
      <c r="AE79" s="311"/>
      <c r="AF79" s="311"/>
      <c r="AG79" s="311"/>
      <c r="AH79" s="311"/>
      <c r="AI79" s="311"/>
      <c r="AJ79" s="311"/>
      <c r="AK79" s="311"/>
      <c r="AL79" s="311"/>
      <c r="AM79" s="311"/>
      <c r="AN79" s="311"/>
      <c r="AO79" s="311"/>
      <c r="AP79" s="311"/>
      <c r="AQ79" s="311"/>
      <c r="AR79" s="311"/>
      <c r="AS79" s="311"/>
      <c r="AT79" s="311"/>
      <c r="AU79" s="311"/>
      <c r="AV79" s="311"/>
      <c r="AW79" s="311"/>
      <c r="AX79" s="311"/>
      <c r="AY79" s="311"/>
      <c r="AZ79" s="311"/>
      <c r="BA79" s="311"/>
      <c r="BB79" s="311"/>
      <c r="BC79" s="311"/>
      <c r="BD79" s="311"/>
      <c r="BE79" s="311"/>
      <c r="BF79" s="311"/>
      <c r="BG79" s="311"/>
      <c r="BH79" s="311"/>
      <c r="BI79" s="311"/>
      <c r="BJ79" s="311"/>
      <c r="BK79" s="311"/>
      <c r="BL79" s="311"/>
      <c r="BM79" s="311"/>
      <c r="BN79" s="311"/>
      <c r="BO79" s="311"/>
      <c r="BP79" s="311"/>
      <c r="BQ79" s="311"/>
      <c r="BR79" s="311"/>
      <c r="BS79" s="311"/>
      <c r="BT79" s="311"/>
      <c r="BU79" s="311"/>
      <c r="BV79" s="311"/>
      <c r="BW79" s="311"/>
      <c r="BX79" s="311"/>
      <c r="BY79" s="311">
        <v>1</v>
      </c>
    </row>
    <row r="80" spans="1:77" x14ac:dyDescent="0.2">
      <c r="A80" s="311">
        <v>78</v>
      </c>
      <c r="B80" s="324" t="s">
        <v>259</v>
      </c>
      <c r="C80" s="311"/>
      <c r="D80" s="311"/>
      <c r="E80" s="311"/>
      <c r="F80" s="311"/>
      <c r="G80" s="311"/>
      <c r="H80" s="311"/>
      <c r="I80" s="311"/>
      <c r="J80" s="311"/>
      <c r="K80" s="311"/>
      <c r="L80" s="311"/>
      <c r="M80" s="311"/>
      <c r="N80" s="311"/>
      <c r="O80" s="311"/>
      <c r="P80" s="311"/>
      <c r="Q80" s="311"/>
      <c r="R80" s="311"/>
      <c r="S80" s="311">
        <v>78</v>
      </c>
      <c r="T80" s="311"/>
      <c r="U80" s="311"/>
      <c r="V80" s="311"/>
      <c r="W80" s="311"/>
      <c r="X80" s="311"/>
      <c r="Y80" s="311"/>
      <c r="Z80" s="311"/>
      <c r="AA80" s="311"/>
      <c r="AB80" s="311"/>
      <c r="AC80" s="311"/>
      <c r="AD80" s="311"/>
      <c r="AE80" s="311"/>
      <c r="AF80" s="311"/>
      <c r="AG80" s="311"/>
      <c r="AH80" s="311"/>
      <c r="AI80" s="311"/>
      <c r="AJ80" s="311"/>
      <c r="AK80" s="311"/>
      <c r="AL80" s="311"/>
      <c r="AM80" s="311"/>
      <c r="AN80" s="311"/>
      <c r="AO80" s="311"/>
      <c r="AP80" s="311"/>
      <c r="AQ80" s="311"/>
      <c r="AR80" s="311"/>
      <c r="AS80" s="311"/>
      <c r="AT80" s="311"/>
      <c r="AU80" s="311"/>
      <c r="AV80" s="311"/>
      <c r="AW80" s="311"/>
      <c r="AX80" s="311"/>
      <c r="AY80" s="311"/>
      <c r="AZ80" s="311"/>
      <c r="BA80" s="311"/>
      <c r="BB80" s="311"/>
      <c r="BC80" s="311"/>
      <c r="BD80" s="311"/>
      <c r="BE80" s="311"/>
      <c r="BF80" s="311"/>
      <c r="BG80" s="311"/>
      <c r="BH80" s="311"/>
      <c r="BI80" s="311"/>
      <c r="BJ80" s="311"/>
      <c r="BK80" s="311"/>
      <c r="BL80" s="311"/>
      <c r="BM80" s="311"/>
      <c r="BN80" s="311"/>
      <c r="BO80" s="311"/>
      <c r="BP80" s="311"/>
      <c r="BQ80" s="311"/>
      <c r="BR80" s="311"/>
      <c r="BS80" s="311"/>
      <c r="BT80" s="311"/>
      <c r="BU80" s="311"/>
      <c r="BV80" s="311"/>
      <c r="BW80" s="311"/>
      <c r="BX80" s="311"/>
      <c r="BY80" s="311">
        <v>0</v>
      </c>
    </row>
    <row r="81" spans="1:77" x14ac:dyDescent="0.2">
      <c r="A81" s="311">
        <v>79</v>
      </c>
      <c r="B81" s="324" t="s">
        <v>258</v>
      </c>
      <c r="C81" s="311"/>
      <c r="D81" s="311"/>
      <c r="E81" s="311"/>
      <c r="F81" s="311"/>
      <c r="G81" s="311"/>
      <c r="H81" s="311"/>
      <c r="I81" s="311"/>
      <c r="J81" s="311"/>
      <c r="K81" s="311"/>
      <c r="L81" s="311"/>
      <c r="M81" s="311"/>
      <c r="N81" s="311"/>
      <c r="O81" s="311"/>
      <c r="P81" s="311"/>
      <c r="Q81" s="311"/>
      <c r="R81" s="311"/>
      <c r="S81" s="311"/>
      <c r="T81" s="311"/>
      <c r="U81" s="311"/>
      <c r="V81" s="311"/>
      <c r="W81" s="311"/>
      <c r="X81" s="311"/>
      <c r="Y81" s="311"/>
      <c r="Z81" s="311"/>
      <c r="AA81" s="311"/>
      <c r="AB81" s="311"/>
      <c r="AC81" s="311"/>
      <c r="AD81" s="311"/>
      <c r="AE81" s="311"/>
      <c r="AF81" s="311"/>
      <c r="AG81" s="311"/>
      <c r="AH81" s="311"/>
      <c r="AI81" s="311"/>
      <c r="AJ81" s="311"/>
      <c r="AK81" s="311"/>
      <c r="AL81" s="311"/>
      <c r="AM81" s="311"/>
      <c r="AN81" s="311"/>
      <c r="AO81" s="311"/>
      <c r="AP81" s="311"/>
      <c r="AQ81" s="311"/>
      <c r="AR81" s="311"/>
      <c r="AS81" s="311"/>
      <c r="AT81" s="311"/>
      <c r="AU81" s="311"/>
      <c r="AV81" s="311"/>
      <c r="AW81" s="311"/>
      <c r="AX81" s="311"/>
      <c r="AY81" s="311"/>
      <c r="AZ81" s="311"/>
      <c r="BA81" s="311"/>
      <c r="BB81" s="311"/>
      <c r="BC81" s="311"/>
      <c r="BD81" s="311"/>
      <c r="BE81" s="311"/>
      <c r="BF81" s="311"/>
      <c r="BG81" s="311"/>
      <c r="BH81" s="311"/>
      <c r="BI81" s="311"/>
      <c r="BJ81" s="311"/>
      <c r="BK81" s="311"/>
      <c r="BL81" s="311"/>
      <c r="BM81" s="311"/>
      <c r="BN81" s="311"/>
      <c r="BO81" s="311"/>
      <c r="BP81" s="311"/>
      <c r="BQ81" s="311"/>
      <c r="BR81" s="311"/>
      <c r="BS81" s="311"/>
      <c r="BT81" s="311"/>
      <c r="BU81" s="311"/>
      <c r="BV81" s="311">
        <v>79</v>
      </c>
      <c r="BW81" s="311"/>
      <c r="BX81" s="311"/>
      <c r="BY81" s="311">
        <v>1</v>
      </c>
    </row>
    <row r="82" spans="1:77" x14ac:dyDescent="0.2">
      <c r="A82" s="311">
        <v>80</v>
      </c>
      <c r="B82" s="324" t="s">
        <v>257</v>
      </c>
      <c r="C82" s="311"/>
      <c r="D82" s="311"/>
      <c r="E82" s="311"/>
      <c r="F82" s="311"/>
      <c r="G82" s="311"/>
      <c r="H82" s="311"/>
      <c r="I82" s="311"/>
      <c r="J82" s="311"/>
      <c r="K82" s="311"/>
      <c r="L82" s="311"/>
      <c r="M82" s="311"/>
      <c r="N82" s="311"/>
      <c r="O82" s="311"/>
      <c r="P82" s="311"/>
      <c r="Q82" s="311"/>
      <c r="R82" s="311"/>
      <c r="S82" s="311"/>
      <c r="T82" s="311"/>
      <c r="U82" s="311">
        <v>80</v>
      </c>
      <c r="V82" s="311">
        <v>80</v>
      </c>
      <c r="W82" s="311">
        <v>80</v>
      </c>
      <c r="X82" s="311"/>
      <c r="Y82" s="311"/>
      <c r="Z82" s="311"/>
      <c r="AA82" s="311"/>
      <c r="AB82" s="311"/>
      <c r="AC82" s="311"/>
      <c r="AD82" s="311"/>
      <c r="AE82" s="311"/>
      <c r="AF82" s="311"/>
      <c r="AG82" s="311"/>
      <c r="AH82" s="311"/>
      <c r="AI82" s="311"/>
      <c r="AJ82" s="311"/>
      <c r="AK82" s="311"/>
      <c r="AL82" s="311"/>
      <c r="AM82" s="311"/>
      <c r="AN82" s="311"/>
      <c r="AO82" s="311"/>
      <c r="AP82" s="311"/>
      <c r="AQ82" s="311"/>
      <c r="AR82" s="311">
        <v>80</v>
      </c>
      <c r="AS82" s="311">
        <v>80</v>
      </c>
      <c r="AT82" s="311"/>
      <c r="AU82" s="311"/>
      <c r="AV82" s="311"/>
      <c r="AW82" s="311"/>
      <c r="AX82" s="311"/>
      <c r="AY82" s="311"/>
      <c r="AZ82" s="311"/>
      <c r="BA82" s="311"/>
      <c r="BB82" s="311"/>
      <c r="BC82" s="311"/>
      <c r="BD82" s="311"/>
      <c r="BE82" s="311"/>
      <c r="BF82" s="311"/>
      <c r="BG82" s="311"/>
      <c r="BH82" s="311">
        <v>80</v>
      </c>
      <c r="BI82" s="311">
        <v>80</v>
      </c>
      <c r="BJ82" s="311">
        <v>80</v>
      </c>
      <c r="BK82" s="311"/>
      <c r="BL82" s="311"/>
      <c r="BM82" s="311"/>
      <c r="BN82" s="311"/>
      <c r="BO82" s="311"/>
      <c r="BP82" s="311"/>
      <c r="BQ82" s="311"/>
      <c r="BR82" s="311"/>
      <c r="BS82" s="311"/>
      <c r="BT82" s="311"/>
      <c r="BU82" s="311"/>
      <c r="BV82" s="311"/>
      <c r="BW82" s="311"/>
      <c r="BX82" s="311"/>
      <c r="BY82" s="311">
        <v>0</v>
      </c>
    </row>
    <row r="83" spans="1:77" x14ac:dyDescent="0.2">
      <c r="A83" s="311">
        <v>81</v>
      </c>
      <c r="B83" s="324" t="s">
        <v>256</v>
      </c>
      <c r="C83" s="311"/>
      <c r="D83" s="311"/>
      <c r="E83" s="311"/>
      <c r="F83" s="311"/>
      <c r="G83" s="311"/>
      <c r="H83" s="311"/>
      <c r="I83" s="311"/>
      <c r="J83" s="311"/>
      <c r="K83" s="311"/>
      <c r="L83" s="311"/>
      <c r="M83" s="311"/>
      <c r="N83" s="311"/>
      <c r="O83" s="311"/>
      <c r="P83" s="311"/>
      <c r="Q83" s="311"/>
      <c r="R83" s="311"/>
      <c r="S83" s="311"/>
      <c r="T83" s="311">
        <v>81</v>
      </c>
      <c r="U83" s="311"/>
      <c r="V83" s="311"/>
      <c r="W83" s="311"/>
      <c r="X83" s="311"/>
      <c r="Y83" s="311"/>
      <c r="Z83" s="311"/>
      <c r="AA83" s="311"/>
      <c r="AB83" s="311"/>
      <c r="AC83" s="311"/>
      <c r="AD83" s="311"/>
      <c r="AE83" s="311"/>
      <c r="AF83" s="311"/>
      <c r="AG83" s="311"/>
      <c r="AH83" s="311"/>
      <c r="AI83" s="311"/>
      <c r="AJ83" s="311"/>
      <c r="AK83" s="311"/>
      <c r="AL83" s="311"/>
      <c r="AM83" s="311"/>
      <c r="AN83" s="311"/>
      <c r="AO83" s="311"/>
      <c r="AP83" s="311"/>
      <c r="AQ83" s="311"/>
      <c r="AR83" s="311"/>
      <c r="AS83" s="311"/>
      <c r="AT83" s="311"/>
      <c r="AU83" s="311"/>
      <c r="AV83" s="311"/>
      <c r="AW83" s="311"/>
      <c r="AX83" s="311"/>
      <c r="AY83" s="311"/>
      <c r="AZ83" s="311"/>
      <c r="BA83" s="311"/>
      <c r="BB83" s="311"/>
      <c r="BC83" s="311"/>
      <c r="BD83" s="311"/>
      <c r="BE83" s="311"/>
      <c r="BF83" s="311"/>
      <c r="BG83" s="311"/>
      <c r="BH83" s="311"/>
      <c r="BI83" s="311"/>
      <c r="BJ83" s="311"/>
      <c r="BK83" s="311"/>
      <c r="BL83" s="311"/>
      <c r="BM83" s="311"/>
      <c r="BN83" s="311"/>
      <c r="BO83" s="311"/>
      <c r="BP83" s="311"/>
      <c r="BQ83" s="311"/>
      <c r="BR83" s="311"/>
      <c r="BS83" s="311"/>
      <c r="BT83" s="311"/>
      <c r="BU83" s="311"/>
      <c r="BV83" s="311"/>
      <c r="BW83" s="311"/>
      <c r="BX83" s="311"/>
      <c r="BY83" s="311">
        <v>1</v>
      </c>
    </row>
    <row r="84" spans="1:77" x14ac:dyDescent="0.2">
      <c r="A84" s="311">
        <v>82</v>
      </c>
      <c r="B84" s="324" t="s">
        <v>255</v>
      </c>
      <c r="C84" s="311"/>
      <c r="D84" s="311"/>
      <c r="E84" s="311"/>
      <c r="F84" s="311"/>
      <c r="G84" s="311"/>
      <c r="H84" s="311"/>
      <c r="I84" s="311"/>
      <c r="J84" s="311"/>
      <c r="K84" s="311"/>
      <c r="L84" s="311"/>
      <c r="M84" s="311"/>
      <c r="N84" s="311"/>
      <c r="O84" s="311"/>
      <c r="P84" s="311"/>
      <c r="Q84" s="311"/>
      <c r="R84" s="311"/>
      <c r="S84" s="311"/>
      <c r="T84" s="311">
        <v>82</v>
      </c>
      <c r="U84" s="311"/>
      <c r="V84" s="311"/>
      <c r="W84" s="311"/>
      <c r="X84" s="311"/>
      <c r="Y84" s="311"/>
      <c r="Z84" s="311"/>
      <c r="AA84" s="311"/>
      <c r="AB84" s="311"/>
      <c r="AC84" s="311"/>
      <c r="AD84" s="311"/>
      <c r="AE84" s="311"/>
      <c r="AF84" s="311"/>
      <c r="AG84" s="311"/>
      <c r="AH84" s="311"/>
      <c r="AI84" s="311"/>
      <c r="AJ84" s="311"/>
      <c r="AK84" s="311"/>
      <c r="AL84" s="311"/>
      <c r="AM84" s="311"/>
      <c r="AN84" s="311"/>
      <c r="AO84" s="311"/>
      <c r="AP84" s="311"/>
      <c r="AQ84" s="311"/>
      <c r="AR84" s="311"/>
      <c r="AS84" s="311"/>
      <c r="AT84" s="311"/>
      <c r="AU84" s="311"/>
      <c r="AV84" s="311"/>
      <c r="AW84" s="311"/>
      <c r="AX84" s="311"/>
      <c r="AY84" s="311"/>
      <c r="AZ84" s="311"/>
      <c r="BA84" s="311"/>
      <c r="BB84" s="311"/>
      <c r="BC84" s="311"/>
      <c r="BD84" s="311"/>
      <c r="BE84" s="311"/>
      <c r="BF84" s="311"/>
      <c r="BG84" s="311"/>
      <c r="BH84" s="311"/>
      <c r="BI84" s="311"/>
      <c r="BJ84" s="311"/>
      <c r="BK84" s="311"/>
      <c r="BL84" s="311"/>
      <c r="BM84" s="311"/>
      <c r="BN84" s="311"/>
      <c r="BO84" s="311"/>
      <c r="BP84" s="311"/>
      <c r="BQ84" s="311"/>
      <c r="BR84" s="311"/>
      <c r="BS84" s="311"/>
      <c r="BT84" s="311"/>
      <c r="BU84" s="311"/>
      <c r="BV84" s="311"/>
      <c r="BW84" s="311"/>
      <c r="BX84" s="311"/>
      <c r="BY84" s="311">
        <v>1</v>
      </c>
    </row>
    <row r="85" spans="1:77" x14ac:dyDescent="0.2">
      <c r="A85" s="311">
        <v>83</v>
      </c>
      <c r="B85" s="324" t="s">
        <v>254</v>
      </c>
      <c r="C85" s="311"/>
      <c r="D85" s="311"/>
      <c r="E85" s="311"/>
      <c r="F85" s="311"/>
      <c r="G85" s="311"/>
      <c r="H85" s="311"/>
      <c r="I85" s="311"/>
      <c r="J85" s="311"/>
      <c r="K85" s="311"/>
      <c r="L85" s="311"/>
      <c r="M85" s="311"/>
      <c r="N85" s="311"/>
      <c r="O85" s="311">
        <v>83</v>
      </c>
      <c r="P85" s="311"/>
      <c r="Q85" s="311"/>
      <c r="R85" s="311"/>
      <c r="S85" s="311"/>
      <c r="T85" s="311"/>
      <c r="U85" s="311"/>
      <c r="V85" s="311"/>
      <c r="W85" s="311"/>
      <c r="X85" s="311"/>
      <c r="Y85" s="311"/>
      <c r="Z85" s="311"/>
      <c r="AA85" s="311"/>
      <c r="AB85" s="311"/>
      <c r="AC85" s="311"/>
      <c r="AD85" s="311"/>
      <c r="AE85" s="311"/>
      <c r="AF85" s="311"/>
      <c r="AG85" s="311"/>
      <c r="AH85" s="311"/>
      <c r="AI85" s="311"/>
      <c r="AJ85" s="311"/>
      <c r="AK85" s="311"/>
      <c r="AL85" s="311"/>
      <c r="AM85" s="311"/>
      <c r="AN85" s="311"/>
      <c r="AO85" s="311"/>
      <c r="AP85" s="311"/>
      <c r="AQ85" s="311"/>
      <c r="AR85" s="311"/>
      <c r="AS85" s="311"/>
      <c r="AT85" s="311"/>
      <c r="AU85" s="311"/>
      <c r="AV85" s="311"/>
      <c r="AW85" s="311"/>
      <c r="AX85" s="311"/>
      <c r="AY85" s="311"/>
      <c r="AZ85" s="311"/>
      <c r="BA85" s="311"/>
      <c r="BB85" s="311"/>
      <c r="BC85" s="311"/>
      <c r="BD85" s="311"/>
      <c r="BE85" s="311"/>
      <c r="BF85" s="311"/>
      <c r="BG85" s="311"/>
      <c r="BH85" s="311"/>
      <c r="BI85" s="311"/>
      <c r="BJ85" s="311"/>
      <c r="BK85" s="311"/>
      <c r="BL85" s="311"/>
      <c r="BM85" s="311"/>
      <c r="BN85" s="311"/>
      <c r="BO85" s="311"/>
      <c r="BP85" s="311"/>
      <c r="BQ85" s="311"/>
      <c r="BR85" s="311"/>
      <c r="BS85" s="311"/>
      <c r="BT85" s="311"/>
      <c r="BU85" s="311"/>
      <c r="BV85" s="311"/>
      <c r="BW85" s="311"/>
      <c r="BX85" s="311"/>
      <c r="BY85" s="311">
        <v>1</v>
      </c>
    </row>
    <row r="86" spans="1:77" x14ac:dyDescent="0.2">
      <c r="A86" s="311">
        <v>84</v>
      </c>
      <c r="B86" s="324" t="s">
        <v>253</v>
      </c>
      <c r="C86" s="311"/>
      <c r="D86" s="311"/>
      <c r="E86" s="311"/>
      <c r="F86" s="311"/>
      <c r="G86" s="311"/>
      <c r="H86" s="311"/>
      <c r="I86" s="311"/>
      <c r="J86" s="311"/>
      <c r="K86" s="311"/>
      <c r="L86" s="311"/>
      <c r="M86" s="311"/>
      <c r="N86" s="311"/>
      <c r="O86" s="311"/>
      <c r="P86" s="311"/>
      <c r="Q86" s="311"/>
      <c r="R86" s="311"/>
      <c r="S86" s="311">
        <v>84</v>
      </c>
      <c r="T86" s="311"/>
      <c r="U86" s="311"/>
      <c r="V86" s="311"/>
      <c r="W86" s="311"/>
      <c r="X86" s="311"/>
      <c r="Y86" s="311"/>
      <c r="Z86" s="311"/>
      <c r="AA86" s="311"/>
      <c r="AB86" s="311"/>
      <c r="AC86" s="311"/>
      <c r="AD86" s="311"/>
      <c r="AE86" s="311"/>
      <c r="AF86" s="311"/>
      <c r="AG86" s="311"/>
      <c r="AH86" s="311"/>
      <c r="AI86" s="311"/>
      <c r="AJ86" s="311"/>
      <c r="AK86" s="311"/>
      <c r="AL86" s="311"/>
      <c r="AM86" s="311"/>
      <c r="AN86" s="311"/>
      <c r="AO86" s="311"/>
      <c r="AP86" s="311"/>
      <c r="AQ86" s="311"/>
      <c r="AR86" s="311"/>
      <c r="AS86" s="311"/>
      <c r="AT86" s="311"/>
      <c r="AU86" s="311"/>
      <c r="AV86" s="311"/>
      <c r="AW86" s="311"/>
      <c r="AX86" s="311"/>
      <c r="AY86" s="311"/>
      <c r="AZ86" s="311"/>
      <c r="BA86" s="311"/>
      <c r="BB86" s="311"/>
      <c r="BC86" s="311"/>
      <c r="BD86" s="311"/>
      <c r="BE86" s="311"/>
      <c r="BF86" s="311"/>
      <c r="BG86" s="311"/>
      <c r="BH86" s="311"/>
      <c r="BI86" s="311"/>
      <c r="BJ86" s="311"/>
      <c r="BK86" s="311"/>
      <c r="BL86" s="311"/>
      <c r="BM86" s="311"/>
      <c r="BN86" s="311"/>
      <c r="BO86" s="311"/>
      <c r="BP86" s="311"/>
      <c r="BQ86" s="311"/>
      <c r="BR86" s="311"/>
      <c r="BS86" s="311"/>
      <c r="BT86" s="311"/>
      <c r="BU86" s="311"/>
      <c r="BV86" s="311"/>
      <c r="BW86" s="311"/>
      <c r="BX86" s="311"/>
      <c r="BY86" s="311">
        <v>0</v>
      </c>
    </row>
    <row r="87" spans="1:77" x14ac:dyDescent="0.2">
      <c r="A87" s="311">
        <v>85</v>
      </c>
      <c r="B87" s="324" t="s">
        <v>252</v>
      </c>
      <c r="C87" s="311"/>
      <c r="D87" s="311"/>
      <c r="E87" s="311"/>
      <c r="F87" s="311"/>
      <c r="G87" s="311"/>
      <c r="H87" s="311"/>
      <c r="I87" s="311"/>
      <c r="J87" s="311"/>
      <c r="K87" s="311"/>
      <c r="L87" s="311"/>
      <c r="M87" s="311"/>
      <c r="N87" s="311"/>
      <c r="O87" s="311"/>
      <c r="P87" s="311"/>
      <c r="Q87" s="311"/>
      <c r="R87" s="311"/>
      <c r="S87" s="311"/>
      <c r="T87" s="311"/>
      <c r="U87" s="311"/>
      <c r="V87" s="311"/>
      <c r="W87" s="311"/>
      <c r="X87" s="311"/>
      <c r="Y87" s="311">
        <v>85</v>
      </c>
      <c r="Z87" s="311"/>
      <c r="AA87" s="311"/>
      <c r="AB87" s="311"/>
      <c r="AC87" s="311"/>
      <c r="AD87" s="311"/>
      <c r="AE87" s="311"/>
      <c r="AF87" s="311"/>
      <c r="AG87" s="311"/>
      <c r="AH87" s="311"/>
      <c r="AI87" s="311"/>
      <c r="AJ87" s="311"/>
      <c r="AK87" s="311"/>
      <c r="AL87" s="311"/>
      <c r="AM87" s="311"/>
      <c r="AN87" s="311"/>
      <c r="AO87" s="311"/>
      <c r="AP87" s="311"/>
      <c r="AQ87" s="311"/>
      <c r="AR87" s="311"/>
      <c r="AS87" s="311"/>
      <c r="AT87" s="311">
        <v>85</v>
      </c>
      <c r="AU87" s="311"/>
      <c r="AV87" s="311"/>
      <c r="AW87" s="311"/>
      <c r="AX87" s="311"/>
      <c r="AY87" s="311"/>
      <c r="AZ87" s="311"/>
      <c r="BA87" s="311"/>
      <c r="BB87" s="311"/>
      <c r="BC87" s="311"/>
      <c r="BD87" s="311"/>
      <c r="BE87" s="311"/>
      <c r="BF87" s="311"/>
      <c r="BG87" s="311"/>
      <c r="BH87" s="311"/>
      <c r="BI87" s="311"/>
      <c r="BJ87" s="311"/>
      <c r="BK87" s="311"/>
      <c r="BL87" s="311"/>
      <c r="BM87" s="311">
        <v>85</v>
      </c>
      <c r="BN87" s="311"/>
      <c r="BO87" s="311"/>
      <c r="BP87" s="311"/>
      <c r="BQ87" s="311"/>
      <c r="BR87" s="311"/>
      <c r="BS87" s="311"/>
      <c r="BT87" s="311"/>
      <c r="BU87" s="311"/>
      <c r="BV87" s="311"/>
      <c r="BW87" s="311"/>
      <c r="BX87" s="311"/>
      <c r="BY87" s="311">
        <v>1</v>
      </c>
    </row>
    <row r="88" spans="1:77" x14ac:dyDescent="0.2">
      <c r="A88" s="311">
        <v>86</v>
      </c>
      <c r="B88" s="324" t="s">
        <v>251</v>
      </c>
      <c r="C88" s="311"/>
      <c r="D88" s="311"/>
      <c r="E88" s="311"/>
      <c r="F88" s="311"/>
      <c r="G88" s="311"/>
      <c r="H88" s="311"/>
      <c r="I88" s="311"/>
      <c r="J88" s="311"/>
      <c r="K88" s="311"/>
      <c r="L88" s="311"/>
      <c r="M88" s="311"/>
      <c r="N88" s="311"/>
      <c r="O88" s="311"/>
      <c r="P88" s="311"/>
      <c r="Q88" s="311"/>
      <c r="R88" s="311"/>
      <c r="S88" s="311"/>
      <c r="T88" s="311"/>
      <c r="U88" s="311"/>
      <c r="V88" s="311"/>
      <c r="W88" s="311"/>
      <c r="X88" s="311"/>
      <c r="Y88" s="311"/>
      <c r="Z88" s="311"/>
      <c r="AA88" s="311"/>
      <c r="AB88" s="311"/>
      <c r="AC88" s="311"/>
      <c r="AD88" s="311"/>
      <c r="AE88" s="311"/>
      <c r="AF88" s="311"/>
      <c r="AG88" s="311"/>
      <c r="AH88" s="311"/>
      <c r="AI88" s="311"/>
      <c r="AJ88" s="311"/>
      <c r="AK88" s="311"/>
      <c r="AL88" s="311"/>
      <c r="AM88" s="311"/>
      <c r="AN88" s="311"/>
      <c r="AO88" s="311"/>
      <c r="AP88" s="311"/>
      <c r="AQ88" s="311"/>
      <c r="AR88" s="311"/>
      <c r="AS88" s="311"/>
      <c r="AT88" s="311"/>
      <c r="AU88" s="311"/>
      <c r="AV88" s="311"/>
      <c r="AW88" s="311"/>
      <c r="AX88" s="311"/>
      <c r="AY88" s="311"/>
      <c r="AZ88" s="311"/>
      <c r="BA88" s="311"/>
      <c r="BB88" s="311"/>
      <c r="BC88" s="311"/>
      <c r="BD88" s="311"/>
      <c r="BE88" s="311"/>
      <c r="BF88" s="311"/>
      <c r="BG88" s="311"/>
      <c r="BH88" s="311"/>
      <c r="BI88" s="311"/>
      <c r="BJ88" s="311"/>
      <c r="BK88" s="311"/>
      <c r="BL88" s="311"/>
      <c r="BM88" s="311"/>
      <c r="BN88" s="311">
        <v>86</v>
      </c>
      <c r="BO88" s="311"/>
      <c r="BP88" s="311"/>
      <c r="BQ88" s="311"/>
      <c r="BR88" s="311"/>
      <c r="BS88" s="311"/>
      <c r="BT88" s="311"/>
      <c r="BU88" s="311"/>
      <c r="BV88" s="311"/>
      <c r="BW88" s="311"/>
      <c r="BX88" s="311"/>
      <c r="BY88" s="311">
        <v>1</v>
      </c>
    </row>
    <row r="89" spans="1:77" x14ac:dyDescent="0.2">
      <c r="A89" s="311">
        <v>87</v>
      </c>
      <c r="B89" s="324" t="s">
        <v>250</v>
      </c>
      <c r="C89" s="311"/>
      <c r="D89" s="311"/>
      <c r="E89" s="311"/>
      <c r="F89" s="311"/>
      <c r="G89" s="311"/>
      <c r="H89" s="311"/>
      <c r="I89" s="311"/>
      <c r="J89" s="311"/>
      <c r="K89" s="311"/>
      <c r="L89" s="311"/>
      <c r="M89" s="311"/>
      <c r="N89" s="311"/>
      <c r="O89" s="311"/>
      <c r="P89" s="311"/>
      <c r="Q89" s="311"/>
      <c r="R89" s="311"/>
      <c r="S89" s="311"/>
      <c r="T89" s="311"/>
      <c r="U89" s="311"/>
      <c r="V89" s="311"/>
      <c r="W89" s="311"/>
      <c r="X89" s="311"/>
      <c r="Y89" s="311"/>
      <c r="Z89" s="311"/>
      <c r="AA89" s="311"/>
      <c r="AB89" s="311"/>
      <c r="AC89" s="311"/>
      <c r="AD89" s="311"/>
      <c r="AE89" s="311"/>
      <c r="AF89" s="311">
        <v>87</v>
      </c>
      <c r="AG89" s="311"/>
      <c r="AH89" s="311"/>
      <c r="AI89" s="311"/>
      <c r="AJ89" s="311"/>
      <c r="AK89" s="311"/>
      <c r="AL89" s="311"/>
      <c r="AM89" s="311"/>
      <c r="AN89" s="311"/>
      <c r="AO89" s="311"/>
      <c r="AP89" s="311"/>
      <c r="AQ89" s="311"/>
      <c r="AR89" s="311"/>
      <c r="AS89" s="311"/>
      <c r="AT89" s="311"/>
      <c r="AU89" s="311"/>
      <c r="AV89" s="311"/>
      <c r="AW89" s="311"/>
      <c r="AX89" s="311"/>
      <c r="AY89" s="311"/>
      <c r="AZ89" s="311"/>
      <c r="BA89" s="311"/>
      <c r="BB89" s="311"/>
      <c r="BC89" s="311"/>
      <c r="BD89" s="311"/>
      <c r="BE89" s="311"/>
      <c r="BF89" s="311"/>
      <c r="BG89" s="311"/>
      <c r="BH89" s="311"/>
      <c r="BI89" s="311"/>
      <c r="BJ89" s="311"/>
      <c r="BK89" s="311"/>
      <c r="BL89" s="311"/>
      <c r="BM89" s="311"/>
      <c r="BN89" s="311"/>
      <c r="BO89" s="311"/>
      <c r="BP89" s="311"/>
      <c r="BQ89" s="311"/>
      <c r="BR89" s="311"/>
      <c r="BS89" s="311"/>
      <c r="BT89" s="311"/>
      <c r="BU89" s="311"/>
      <c r="BV89" s="311"/>
      <c r="BW89" s="311"/>
      <c r="BX89" s="311"/>
      <c r="BY89" s="311">
        <v>0</v>
      </c>
    </row>
    <row r="90" spans="1:77" x14ac:dyDescent="0.2">
      <c r="A90" s="311">
        <v>88</v>
      </c>
      <c r="B90" s="324" t="s">
        <v>249</v>
      </c>
      <c r="C90" s="311"/>
      <c r="D90" s="311"/>
      <c r="E90" s="311"/>
      <c r="F90" s="311"/>
      <c r="G90" s="311"/>
      <c r="H90" s="311"/>
      <c r="I90" s="311"/>
      <c r="J90" s="311"/>
      <c r="K90" s="311"/>
      <c r="L90" s="311"/>
      <c r="M90" s="311"/>
      <c r="N90" s="311"/>
      <c r="O90" s="311"/>
      <c r="P90" s="311"/>
      <c r="Q90" s="311"/>
      <c r="R90" s="311"/>
      <c r="S90" s="311"/>
      <c r="T90" s="311"/>
      <c r="U90" s="311"/>
      <c r="V90" s="311"/>
      <c r="W90" s="311"/>
      <c r="X90" s="311"/>
      <c r="Y90" s="311"/>
      <c r="Z90" s="311"/>
      <c r="AA90" s="311"/>
      <c r="AB90" s="311"/>
      <c r="AC90" s="311"/>
      <c r="AD90" s="311"/>
      <c r="AE90" s="311"/>
      <c r="AF90" s="311">
        <v>88</v>
      </c>
      <c r="AG90" s="311"/>
      <c r="AH90" s="311"/>
      <c r="AI90" s="311"/>
      <c r="AJ90" s="311"/>
      <c r="AK90" s="311"/>
      <c r="AL90" s="311"/>
      <c r="AM90" s="311"/>
      <c r="AN90" s="311"/>
      <c r="AO90" s="311"/>
      <c r="AP90" s="311"/>
      <c r="AQ90" s="311"/>
      <c r="AR90" s="311"/>
      <c r="AS90" s="311"/>
      <c r="AT90" s="311"/>
      <c r="AU90" s="311"/>
      <c r="AV90" s="311"/>
      <c r="AW90" s="311"/>
      <c r="AX90" s="311"/>
      <c r="AY90" s="311"/>
      <c r="AZ90" s="311"/>
      <c r="BA90" s="311"/>
      <c r="BB90" s="311"/>
      <c r="BC90" s="311"/>
      <c r="BD90" s="311"/>
      <c r="BE90" s="311"/>
      <c r="BF90" s="311"/>
      <c r="BG90" s="311"/>
      <c r="BH90" s="311"/>
      <c r="BI90" s="311"/>
      <c r="BJ90" s="311"/>
      <c r="BK90" s="311"/>
      <c r="BL90" s="311"/>
      <c r="BM90" s="311"/>
      <c r="BN90" s="311"/>
      <c r="BO90" s="311"/>
      <c r="BP90" s="311"/>
      <c r="BQ90" s="311"/>
      <c r="BR90" s="311"/>
      <c r="BS90" s="311"/>
      <c r="BT90" s="311"/>
      <c r="BU90" s="311"/>
      <c r="BV90" s="311"/>
      <c r="BW90" s="311"/>
      <c r="BX90" s="311"/>
      <c r="BY90" s="311">
        <v>0</v>
      </c>
    </row>
    <row r="91" spans="1:77" x14ac:dyDescent="0.2">
      <c r="A91" s="311">
        <v>89</v>
      </c>
      <c r="B91" s="324" t="s">
        <v>248</v>
      </c>
      <c r="C91" s="311"/>
      <c r="D91" s="311"/>
      <c r="E91" s="311"/>
      <c r="F91" s="311"/>
      <c r="G91" s="311"/>
      <c r="H91" s="311"/>
      <c r="I91" s="311"/>
      <c r="J91" s="311"/>
      <c r="K91" s="311"/>
      <c r="L91" s="311"/>
      <c r="M91" s="311"/>
      <c r="N91" s="311"/>
      <c r="O91" s="311"/>
      <c r="P91" s="311"/>
      <c r="Q91" s="311"/>
      <c r="R91" s="311"/>
      <c r="S91" s="311"/>
      <c r="T91" s="311"/>
      <c r="U91" s="311"/>
      <c r="V91" s="311"/>
      <c r="W91" s="311"/>
      <c r="X91" s="311"/>
      <c r="Y91" s="311"/>
      <c r="Z91" s="311"/>
      <c r="AA91" s="311"/>
      <c r="AB91" s="311"/>
      <c r="AC91" s="311"/>
      <c r="AD91" s="311"/>
      <c r="AE91" s="311"/>
      <c r="AF91" s="311">
        <v>89</v>
      </c>
      <c r="AG91" s="311"/>
      <c r="AH91" s="311"/>
      <c r="AI91" s="311"/>
      <c r="AJ91" s="311"/>
      <c r="AK91" s="311"/>
      <c r="AL91" s="311"/>
      <c r="AM91" s="311"/>
      <c r="AN91" s="311"/>
      <c r="AO91" s="311"/>
      <c r="AP91" s="311"/>
      <c r="AQ91" s="311"/>
      <c r="AR91" s="311"/>
      <c r="AS91" s="311"/>
      <c r="AT91" s="311"/>
      <c r="AU91" s="311"/>
      <c r="AV91" s="311"/>
      <c r="AW91" s="311"/>
      <c r="AX91" s="311"/>
      <c r="AY91" s="311"/>
      <c r="AZ91" s="311"/>
      <c r="BA91" s="311"/>
      <c r="BB91" s="311"/>
      <c r="BC91" s="311"/>
      <c r="BD91" s="311"/>
      <c r="BE91" s="311"/>
      <c r="BF91" s="311"/>
      <c r="BG91" s="311"/>
      <c r="BH91" s="311"/>
      <c r="BI91" s="311"/>
      <c r="BJ91" s="311"/>
      <c r="BK91" s="311"/>
      <c r="BL91" s="311"/>
      <c r="BM91" s="311"/>
      <c r="BN91" s="311"/>
      <c r="BO91" s="311"/>
      <c r="BP91" s="311"/>
      <c r="BQ91" s="311"/>
      <c r="BR91" s="311"/>
      <c r="BS91" s="311"/>
      <c r="BT91" s="311"/>
      <c r="BU91" s="311"/>
      <c r="BV91" s="311"/>
      <c r="BW91" s="311"/>
      <c r="BX91" s="311"/>
      <c r="BY91" s="311">
        <v>0</v>
      </c>
    </row>
    <row r="92" spans="1:77" x14ac:dyDescent="0.2">
      <c r="A92" s="311">
        <v>90</v>
      </c>
      <c r="B92" s="324" t="s">
        <v>247</v>
      </c>
      <c r="C92" s="311"/>
      <c r="D92" s="311"/>
      <c r="E92" s="311"/>
      <c r="F92" s="311"/>
      <c r="G92" s="311"/>
      <c r="H92" s="311"/>
      <c r="I92" s="311"/>
      <c r="J92" s="311"/>
      <c r="K92" s="311"/>
      <c r="L92" s="311"/>
      <c r="M92" s="311"/>
      <c r="N92" s="311"/>
      <c r="O92" s="311"/>
      <c r="P92" s="311"/>
      <c r="Q92" s="311"/>
      <c r="R92" s="311"/>
      <c r="S92" s="311"/>
      <c r="T92" s="311"/>
      <c r="U92" s="311">
        <v>90</v>
      </c>
      <c r="V92" s="311">
        <v>90</v>
      </c>
      <c r="W92" s="311">
        <v>90</v>
      </c>
      <c r="X92" s="311"/>
      <c r="Y92" s="311"/>
      <c r="Z92" s="311"/>
      <c r="AA92" s="311"/>
      <c r="AB92" s="311"/>
      <c r="AC92" s="311"/>
      <c r="AD92" s="311"/>
      <c r="AE92" s="311"/>
      <c r="AF92" s="311"/>
      <c r="AG92" s="311"/>
      <c r="AH92" s="311"/>
      <c r="AI92" s="311"/>
      <c r="AJ92" s="311"/>
      <c r="AK92" s="311"/>
      <c r="AL92" s="311"/>
      <c r="AM92" s="311"/>
      <c r="AN92" s="311"/>
      <c r="AO92" s="311"/>
      <c r="AP92" s="311"/>
      <c r="AQ92" s="311"/>
      <c r="AR92" s="311">
        <v>90</v>
      </c>
      <c r="AS92" s="311">
        <v>90</v>
      </c>
      <c r="AT92" s="311"/>
      <c r="AU92" s="311"/>
      <c r="AV92" s="311"/>
      <c r="AW92" s="311"/>
      <c r="AX92" s="311"/>
      <c r="AY92" s="311"/>
      <c r="AZ92" s="311"/>
      <c r="BA92" s="311"/>
      <c r="BB92" s="311"/>
      <c r="BC92" s="311"/>
      <c r="BD92" s="311"/>
      <c r="BE92" s="311"/>
      <c r="BF92" s="311"/>
      <c r="BG92" s="311"/>
      <c r="BH92" s="311">
        <v>90</v>
      </c>
      <c r="BI92" s="311">
        <v>90</v>
      </c>
      <c r="BJ92" s="311">
        <v>90</v>
      </c>
      <c r="BK92" s="311"/>
      <c r="BL92" s="311"/>
      <c r="BM92" s="311"/>
      <c r="BN92" s="311"/>
      <c r="BO92" s="311"/>
      <c r="BP92" s="311"/>
      <c r="BQ92" s="311"/>
      <c r="BR92" s="311"/>
      <c r="BS92" s="311"/>
      <c r="BT92" s="311"/>
      <c r="BU92" s="311"/>
      <c r="BV92" s="311"/>
      <c r="BW92" s="311"/>
      <c r="BX92" s="311"/>
      <c r="BY92" s="311">
        <v>0</v>
      </c>
    </row>
    <row r="93" spans="1:77" x14ac:dyDescent="0.2">
      <c r="A93" s="311">
        <v>91</v>
      </c>
      <c r="B93" s="324" t="s">
        <v>246</v>
      </c>
      <c r="C93" s="311"/>
      <c r="D93" s="311"/>
      <c r="E93" s="311"/>
      <c r="F93" s="311"/>
      <c r="G93" s="311"/>
      <c r="H93" s="311"/>
      <c r="I93" s="311"/>
      <c r="J93" s="311"/>
      <c r="K93" s="311"/>
      <c r="L93" s="311"/>
      <c r="M93" s="311"/>
      <c r="N93" s="311"/>
      <c r="O93" s="311"/>
      <c r="P93" s="311"/>
      <c r="Q93" s="311"/>
      <c r="R93" s="311"/>
      <c r="S93" s="311"/>
      <c r="T93" s="311"/>
      <c r="U93" s="311"/>
      <c r="V93" s="311">
        <v>91</v>
      </c>
      <c r="W93" s="311"/>
      <c r="X93" s="311"/>
      <c r="Y93" s="311"/>
      <c r="Z93" s="311"/>
      <c r="AA93" s="311"/>
      <c r="AB93" s="311"/>
      <c r="AC93" s="311"/>
      <c r="AD93" s="311"/>
      <c r="AE93" s="311"/>
      <c r="AF93" s="311"/>
      <c r="AG93" s="311"/>
      <c r="AH93" s="311"/>
      <c r="AI93" s="311"/>
      <c r="AJ93" s="311"/>
      <c r="AK93" s="311"/>
      <c r="AL93" s="311"/>
      <c r="AM93" s="311"/>
      <c r="AN93" s="311"/>
      <c r="AO93" s="311"/>
      <c r="AP93" s="311"/>
      <c r="AQ93" s="311"/>
      <c r="AR93" s="311">
        <v>91</v>
      </c>
      <c r="AS93" s="311">
        <v>91</v>
      </c>
      <c r="AT93" s="311"/>
      <c r="AU93" s="311"/>
      <c r="AV93" s="311"/>
      <c r="AW93" s="311"/>
      <c r="AX93" s="311"/>
      <c r="AY93" s="311"/>
      <c r="AZ93" s="311"/>
      <c r="BA93" s="311"/>
      <c r="BB93" s="311"/>
      <c r="BC93" s="311"/>
      <c r="BD93" s="311"/>
      <c r="BE93" s="311"/>
      <c r="BF93" s="311"/>
      <c r="BG93" s="311"/>
      <c r="BH93" s="311"/>
      <c r="BI93" s="311"/>
      <c r="BJ93" s="311"/>
      <c r="BK93" s="311"/>
      <c r="BL93" s="311"/>
      <c r="BM93" s="311"/>
      <c r="BN93" s="311"/>
      <c r="BO93" s="311"/>
      <c r="BP93" s="311"/>
      <c r="BQ93" s="311"/>
      <c r="BR93" s="311"/>
      <c r="BS93" s="311"/>
      <c r="BT93" s="311"/>
      <c r="BU93" s="311"/>
      <c r="BV93" s="311"/>
      <c r="BW93" s="311"/>
      <c r="BX93" s="311"/>
      <c r="BY93" s="311">
        <v>0</v>
      </c>
    </row>
    <row r="94" spans="1:77" x14ac:dyDescent="0.2">
      <c r="A94" s="311">
        <v>92</v>
      </c>
      <c r="B94" s="324" t="s">
        <v>245</v>
      </c>
      <c r="C94" s="311"/>
      <c r="D94" s="311"/>
      <c r="E94" s="311"/>
      <c r="F94" s="311"/>
      <c r="G94" s="311"/>
      <c r="H94" s="311"/>
      <c r="I94" s="311"/>
      <c r="J94" s="311"/>
      <c r="K94" s="311"/>
      <c r="L94" s="311"/>
      <c r="M94" s="311"/>
      <c r="N94" s="311"/>
      <c r="O94" s="311"/>
      <c r="P94" s="311"/>
      <c r="Q94" s="311"/>
      <c r="R94" s="311"/>
      <c r="S94" s="311"/>
      <c r="T94" s="311"/>
      <c r="U94" s="311"/>
      <c r="V94" s="311"/>
      <c r="W94" s="311"/>
      <c r="X94" s="311"/>
      <c r="Y94" s="311">
        <v>92</v>
      </c>
      <c r="Z94" s="311"/>
      <c r="AA94" s="311"/>
      <c r="AB94" s="311"/>
      <c r="AC94" s="311"/>
      <c r="AD94" s="311">
        <v>92</v>
      </c>
      <c r="AE94" s="311"/>
      <c r="AF94" s="311"/>
      <c r="AG94" s="311"/>
      <c r="AH94" s="311"/>
      <c r="AI94" s="311"/>
      <c r="AJ94" s="311"/>
      <c r="AK94" s="311"/>
      <c r="AL94" s="311"/>
      <c r="AM94" s="311"/>
      <c r="AN94" s="311"/>
      <c r="AO94" s="311"/>
      <c r="AP94" s="311"/>
      <c r="AQ94" s="311"/>
      <c r="AR94" s="311"/>
      <c r="AS94" s="311"/>
      <c r="AT94" s="311">
        <v>92</v>
      </c>
      <c r="AU94" s="311"/>
      <c r="AV94" s="311"/>
      <c r="AW94" s="311"/>
      <c r="AX94" s="311"/>
      <c r="AY94" s="311"/>
      <c r="AZ94" s="311"/>
      <c r="BA94" s="311"/>
      <c r="BB94" s="311"/>
      <c r="BC94" s="311"/>
      <c r="BD94" s="311"/>
      <c r="BE94" s="311"/>
      <c r="BF94" s="311"/>
      <c r="BG94" s="311"/>
      <c r="BH94" s="311"/>
      <c r="BI94" s="311"/>
      <c r="BJ94" s="311"/>
      <c r="BK94" s="311"/>
      <c r="BL94" s="311"/>
      <c r="BM94" s="311">
        <v>92</v>
      </c>
      <c r="BN94" s="311"/>
      <c r="BO94" s="311"/>
      <c r="BP94" s="311"/>
      <c r="BQ94" s="311"/>
      <c r="BR94" s="311"/>
      <c r="BS94" s="311">
        <v>92</v>
      </c>
      <c r="BT94" s="311"/>
      <c r="BU94" s="311"/>
      <c r="BV94" s="311"/>
      <c r="BW94" s="311"/>
      <c r="BX94" s="311"/>
      <c r="BY94" s="311">
        <v>0</v>
      </c>
    </row>
    <row r="95" spans="1:77" x14ac:dyDescent="0.2">
      <c r="A95" s="311">
        <v>93</v>
      </c>
      <c r="B95" s="324" t="s">
        <v>244</v>
      </c>
      <c r="C95" s="311"/>
      <c r="D95" s="311"/>
      <c r="E95" s="311"/>
      <c r="F95" s="311"/>
      <c r="G95" s="311"/>
      <c r="H95" s="311"/>
      <c r="I95" s="311"/>
      <c r="J95" s="311"/>
      <c r="K95" s="311"/>
      <c r="L95" s="311"/>
      <c r="M95" s="311"/>
      <c r="N95" s="311"/>
      <c r="O95" s="311"/>
      <c r="P95" s="311"/>
      <c r="Q95" s="311"/>
      <c r="R95" s="311"/>
      <c r="S95" s="311"/>
      <c r="T95" s="311"/>
      <c r="U95" s="311">
        <v>93</v>
      </c>
      <c r="V95" s="311">
        <v>93</v>
      </c>
      <c r="W95" s="311">
        <v>93</v>
      </c>
      <c r="X95" s="311"/>
      <c r="Y95" s="311"/>
      <c r="Z95" s="311"/>
      <c r="AA95" s="311"/>
      <c r="AB95" s="311"/>
      <c r="AC95" s="311"/>
      <c r="AD95" s="311"/>
      <c r="AE95" s="311"/>
      <c r="AF95" s="311"/>
      <c r="AG95" s="311"/>
      <c r="AH95" s="311"/>
      <c r="AI95" s="311"/>
      <c r="AJ95" s="311"/>
      <c r="AK95" s="311"/>
      <c r="AL95" s="311"/>
      <c r="AM95" s="311"/>
      <c r="AN95" s="311"/>
      <c r="AO95" s="311"/>
      <c r="AP95" s="311"/>
      <c r="AQ95" s="311"/>
      <c r="AR95" s="311">
        <v>93</v>
      </c>
      <c r="AS95" s="311">
        <v>93</v>
      </c>
      <c r="AT95" s="311"/>
      <c r="AU95" s="311"/>
      <c r="AV95" s="311"/>
      <c r="AW95" s="311"/>
      <c r="AX95" s="311"/>
      <c r="AY95" s="311"/>
      <c r="AZ95" s="311"/>
      <c r="BA95" s="311"/>
      <c r="BB95" s="311"/>
      <c r="BC95" s="311"/>
      <c r="BD95" s="311"/>
      <c r="BE95" s="311"/>
      <c r="BF95" s="311"/>
      <c r="BG95" s="311"/>
      <c r="BH95" s="311">
        <v>93</v>
      </c>
      <c r="BI95" s="311">
        <v>93</v>
      </c>
      <c r="BJ95" s="311">
        <v>93</v>
      </c>
      <c r="BK95" s="311"/>
      <c r="BL95" s="311"/>
      <c r="BM95" s="311"/>
      <c r="BN95" s="311"/>
      <c r="BO95" s="311"/>
      <c r="BP95" s="311"/>
      <c r="BQ95" s="311"/>
      <c r="BR95" s="311"/>
      <c r="BS95" s="311"/>
      <c r="BT95" s="311"/>
      <c r="BU95" s="311"/>
      <c r="BV95" s="311"/>
      <c r="BW95" s="311"/>
      <c r="BX95" s="311"/>
      <c r="BY95" s="311">
        <v>0</v>
      </c>
    </row>
    <row r="96" spans="1:77" x14ac:dyDescent="0.2">
      <c r="A96" s="311">
        <v>94</v>
      </c>
      <c r="B96" s="324" t="s">
        <v>243</v>
      </c>
      <c r="C96" s="311"/>
      <c r="D96" s="311"/>
      <c r="E96" s="311"/>
      <c r="F96" s="311"/>
      <c r="G96" s="311"/>
      <c r="H96" s="311"/>
      <c r="I96" s="311"/>
      <c r="J96" s="311"/>
      <c r="K96" s="311"/>
      <c r="L96" s="311"/>
      <c r="M96" s="311"/>
      <c r="N96" s="311"/>
      <c r="O96" s="311"/>
      <c r="P96" s="311"/>
      <c r="Q96" s="311"/>
      <c r="R96" s="311"/>
      <c r="S96" s="311"/>
      <c r="T96" s="311"/>
      <c r="U96" s="311">
        <v>94</v>
      </c>
      <c r="V96" s="311">
        <v>94</v>
      </c>
      <c r="W96" s="311">
        <v>94</v>
      </c>
      <c r="X96" s="311"/>
      <c r="Y96" s="311"/>
      <c r="Z96" s="311"/>
      <c r="AA96" s="311"/>
      <c r="AB96" s="311"/>
      <c r="AC96" s="311"/>
      <c r="AD96" s="311"/>
      <c r="AE96" s="311"/>
      <c r="AF96" s="311"/>
      <c r="AG96" s="311"/>
      <c r="AH96" s="311"/>
      <c r="AI96" s="311"/>
      <c r="AJ96" s="311"/>
      <c r="AK96" s="311"/>
      <c r="AL96" s="311"/>
      <c r="AM96" s="311"/>
      <c r="AN96" s="311"/>
      <c r="AO96" s="311"/>
      <c r="AP96" s="311"/>
      <c r="AQ96" s="311"/>
      <c r="AR96" s="311">
        <v>94</v>
      </c>
      <c r="AS96" s="311">
        <v>94</v>
      </c>
      <c r="AT96" s="311"/>
      <c r="AU96" s="311"/>
      <c r="AV96" s="311"/>
      <c r="AW96" s="311"/>
      <c r="AX96" s="311"/>
      <c r="AY96" s="311"/>
      <c r="AZ96" s="311"/>
      <c r="BA96" s="311"/>
      <c r="BB96" s="311"/>
      <c r="BC96" s="311"/>
      <c r="BD96" s="311"/>
      <c r="BE96" s="311"/>
      <c r="BF96" s="311"/>
      <c r="BG96" s="311"/>
      <c r="BH96" s="311">
        <v>94</v>
      </c>
      <c r="BI96" s="311">
        <v>94</v>
      </c>
      <c r="BJ96" s="311">
        <v>94</v>
      </c>
      <c r="BK96" s="311"/>
      <c r="BL96" s="311"/>
      <c r="BM96" s="311"/>
      <c r="BN96" s="311"/>
      <c r="BO96" s="311"/>
      <c r="BP96" s="311"/>
      <c r="BQ96" s="311"/>
      <c r="BR96" s="311"/>
      <c r="BS96" s="311"/>
      <c r="BT96" s="311"/>
      <c r="BU96" s="311"/>
      <c r="BV96" s="311"/>
      <c r="BW96" s="311"/>
      <c r="BX96" s="311"/>
      <c r="BY96" s="311">
        <v>0</v>
      </c>
    </row>
    <row r="97" spans="1:77" x14ac:dyDescent="0.2">
      <c r="A97" s="311">
        <v>95</v>
      </c>
      <c r="B97" s="324" t="s">
        <v>242</v>
      </c>
      <c r="C97" s="311"/>
      <c r="D97" s="311"/>
      <c r="E97" s="311"/>
      <c r="F97" s="311"/>
      <c r="G97" s="311"/>
      <c r="H97" s="311"/>
      <c r="I97" s="311"/>
      <c r="J97" s="311"/>
      <c r="K97" s="311"/>
      <c r="L97" s="311"/>
      <c r="M97" s="311"/>
      <c r="N97" s="311"/>
      <c r="O97" s="311"/>
      <c r="P97" s="311"/>
      <c r="Q97" s="311"/>
      <c r="R97" s="311"/>
      <c r="S97" s="311"/>
      <c r="T97" s="311"/>
      <c r="U97" s="311"/>
      <c r="V97" s="311"/>
      <c r="W97" s="311"/>
      <c r="X97" s="311"/>
      <c r="Y97" s="311"/>
      <c r="Z97" s="311"/>
      <c r="AA97" s="311"/>
      <c r="AB97" s="311"/>
      <c r="AC97" s="311"/>
      <c r="AD97" s="311"/>
      <c r="AE97" s="311"/>
      <c r="AF97" s="311"/>
      <c r="AG97" s="311"/>
      <c r="AH97" s="311"/>
      <c r="AI97" s="311"/>
      <c r="AJ97" s="311"/>
      <c r="AK97" s="311">
        <v>95</v>
      </c>
      <c r="AL97" s="311"/>
      <c r="AM97" s="311"/>
      <c r="AN97" s="311"/>
      <c r="AO97" s="311"/>
      <c r="AP97" s="311"/>
      <c r="AQ97" s="311"/>
      <c r="AR97" s="311"/>
      <c r="AS97" s="311"/>
      <c r="AT97" s="311"/>
      <c r="AU97" s="311"/>
      <c r="AV97" s="311"/>
      <c r="AW97" s="311"/>
      <c r="AX97" s="311"/>
      <c r="AY97" s="311"/>
      <c r="AZ97" s="311"/>
      <c r="BA97" s="311"/>
      <c r="BB97" s="311"/>
      <c r="BC97" s="311">
        <v>95</v>
      </c>
      <c r="BD97" s="311"/>
      <c r="BE97" s="311"/>
      <c r="BF97" s="311"/>
      <c r="BG97" s="311"/>
      <c r="BH97" s="311"/>
      <c r="BI97" s="311"/>
      <c r="BJ97" s="311"/>
      <c r="BK97" s="311"/>
      <c r="BL97" s="311"/>
      <c r="BM97" s="311"/>
      <c r="BN97" s="311"/>
      <c r="BO97" s="311"/>
      <c r="BP97" s="311"/>
      <c r="BQ97" s="311"/>
      <c r="BR97" s="311"/>
      <c r="BS97" s="311"/>
      <c r="BT97" s="311"/>
      <c r="BU97" s="311"/>
      <c r="BV97" s="311"/>
      <c r="BW97" s="311"/>
      <c r="BX97" s="311"/>
      <c r="BY97" s="311">
        <v>1</v>
      </c>
    </row>
    <row r="98" spans="1:77" x14ac:dyDescent="0.2">
      <c r="A98" s="311">
        <v>96</v>
      </c>
      <c r="B98" s="324" t="s">
        <v>241</v>
      </c>
      <c r="C98" s="311"/>
      <c r="D98" s="311"/>
      <c r="E98" s="311"/>
      <c r="F98" s="311"/>
      <c r="G98" s="311"/>
      <c r="H98" s="311"/>
      <c r="I98" s="311"/>
      <c r="J98" s="311"/>
      <c r="K98" s="311"/>
      <c r="L98" s="311"/>
      <c r="M98" s="311"/>
      <c r="N98" s="311"/>
      <c r="O98" s="311"/>
      <c r="P98" s="311"/>
      <c r="Q98" s="311"/>
      <c r="R98" s="311"/>
      <c r="S98" s="311"/>
      <c r="T98" s="311"/>
      <c r="U98" s="311">
        <v>96</v>
      </c>
      <c r="V98" s="311">
        <v>96</v>
      </c>
      <c r="W98" s="311">
        <v>96</v>
      </c>
      <c r="X98" s="311"/>
      <c r="Y98" s="311"/>
      <c r="Z98" s="311"/>
      <c r="AA98" s="311"/>
      <c r="AB98" s="311"/>
      <c r="AC98" s="311"/>
      <c r="AD98" s="311"/>
      <c r="AE98" s="311"/>
      <c r="AF98" s="311"/>
      <c r="AG98" s="311"/>
      <c r="AH98" s="311"/>
      <c r="AI98" s="311"/>
      <c r="AJ98" s="311"/>
      <c r="AK98" s="311"/>
      <c r="AL98" s="311"/>
      <c r="AM98" s="311"/>
      <c r="AN98" s="311"/>
      <c r="AO98" s="311"/>
      <c r="AP98" s="311"/>
      <c r="AQ98" s="311"/>
      <c r="AR98" s="311">
        <v>96</v>
      </c>
      <c r="AS98" s="311">
        <v>96</v>
      </c>
      <c r="AT98" s="311"/>
      <c r="AU98" s="311"/>
      <c r="AV98" s="311"/>
      <c r="AW98" s="311"/>
      <c r="AX98" s="311"/>
      <c r="AY98" s="311"/>
      <c r="AZ98" s="311"/>
      <c r="BA98" s="311"/>
      <c r="BB98" s="311"/>
      <c r="BC98" s="311"/>
      <c r="BD98" s="311"/>
      <c r="BE98" s="311"/>
      <c r="BF98" s="311"/>
      <c r="BG98" s="311"/>
      <c r="BH98" s="311">
        <v>96</v>
      </c>
      <c r="BI98" s="311">
        <v>96</v>
      </c>
      <c r="BJ98" s="311">
        <v>96</v>
      </c>
      <c r="BK98" s="311"/>
      <c r="BL98" s="311"/>
      <c r="BM98" s="311"/>
      <c r="BN98" s="311"/>
      <c r="BO98" s="311"/>
      <c r="BP98" s="311"/>
      <c r="BQ98" s="311"/>
      <c r="BR98" s="311"/>
      <c r="BS98" s="311"/>
      <c r="BT98" s="311"/>
      <c r="BU98" s="311"/>
      <c r="BV98" s="311"/>
      <c r="BW98" s="311"/>
      <c r="BX98" s="311"/>
      <c r="BY98" s="311">
        <v>0</v>
      </c>
    </row>
    <row r="99" spans="1:77" x14ac:dyDescent="0.2">
      <c r="A99" s="311">
        <v>97</v>
      </c>
      <c r="B99" s="324" t="s">
        <v>240</v>
      </c>
      <c r="C99" s="311">
        <v>97</v>
      </c>
      <c r="D99" s="311">
        <v>97</v>
      </c>
      <c r="E99" s="311">
        <v>97</v>
      </c>
      <c r="F99" s="311"/>
      <c r="G99" s="311">
        <v>97</v>
      </c>
      <c r="H99" s="311">
        <v>97</v>
      </c>
      <c r="I99" s="311"/>
      <c r="J99" s="311"/>
      <c r="K99" s="311"/>
      <c r="L99" s="311">
        <v>97</v>
      </c>
      <c r="M99" s="311">
        <v>97</v>
      </c>
      <c r="N99" s="311">
        <v>97</v>
      </c>
      <c r="O99" s="311"/>
      <c r="P99" s="311">
        <v>97</v>
      </c>
      <c r="Q99" s="311"/>
      <c r="R99" s="311"/>
      <c r="S99" s="311"/>
      <c r="T99" s="311"/>
      <c r="U99" s="311"/>
      <c r="V99" s="311"/>
      <c r="W99" s="311"/>
      <c r="X99" s="311">
        <v>97</v>
      </c>
      <c r="Y99" s="311"/>
      <c r="Z99" s="311"/>
      <c r="AA99" s="311"/>
      <c r="AB99" s="311"/>
      <c r="AC99" s="311">
        <v>97</v>
      </c>
      <c r="AD99" s="311">
        <v>97</v>
      </c>
      <c r="AE99" s="311">
        <v>97</v>
      </c>
      <c r="AF99" s="311"/>
      <c r="AG99" s="311">
        <v>97</v>
      </c>
      <c r="AH99" s="311">
        <v>97</v>
      </c>
      <c r="AI99" s="311"/>
      <c r="AJ99" s="311">
        <v>97</v>
      </c>
      <c r="AK99" s="311"/>
      <c r="AL99" s="311"/>
      <c r="AM99" s="311">
        <v>97</v>
      </c>
      <c r="AN99" s="311">
        <v>97</v>
      </c>
      <c r="AO99" s="311">
        <v>97</v>
      </c>
      <c r="AP99" s="311"/>
      <c r="AQ99" s="311"/>
      <c r="AR99" s="311"/>
      <c r="AS99" s="311"/>
      <c r="AT99" s="311"/>
      <c r="AU99" s="311"/>
      <c r="AV99" s="311"/>
      <c r="AW99" s="311"/>
      <c r="AX99" s="311"/>
      <c r="AY99" s="311"/>
      <c r="AZ99" s="311"/>
      <c r="BA99" s="311"/>
      <c r="BB99" s="311">
        <v>97</v>
      </c>
      <c r="BC99" s="311"/>
      <c r="BD99" s="311"/>
      <c r="BE99" s="311">
        <v>97</v>
      </c>
      <c r="BF99" s="311">
        <v>97</v>
      </c>
      <c r="BG99" s="311">
        <v>97</v>
      </c>
      <c r="BH99" s="311"/>
      <c r="BI99" s="311"/>
      <c r="BJ99" s="311"/>
      <c r="BK99" s="311">
        <v>97</v>
      </c>
      <c r="BL99" s="311">
        <v>97</v>
      </c>
      <c r="BM99" s="311"/>
      <c r="BN99" s="311"/>
      <c r="BO99" s="311">
        <v>97</v>
      </c>
      <c r="BP99" s="311">
        <v>97</v>
      </c>
      <c r="BQ99" s="311"/>
      <c r="BR99" s="311"/>
      <c r="BS99" s="311"/>
      <c r="BT99" s="311"/>
      <c r="BU99" s="311">
        <v>97</v>
      </c>
      <c r="BV99" s="311"/>
      <c r="BW99" s="311"/>
      <c r="BX99" s="311"/>
      <c r="BY99" s="311">
        <v>0</v>
      </c>
    </row>
    <row r="100" spans="1:77" x14ac:dyDescent="0.2">
      <c r="A100" s="311">
        <v>98</v>
      </c>
      <c r="B100" s="324" t="s">
        <v>107</v>
      </c>
      <c r="C100" s="311"/>
      <c r="D100" s="311"/>
      <c r="E100" s="311"/>
      <c r="F100" s="311"/>
      <c r="G100" s="311"/>
      <c r="H100" s="311"/>
      <c r="I100" s="311"/>
      <c r="J100" s="311">
        <v>98</v>
      </c>
      <c r="K100" s="311"/>
      <c r="L100" s="311"/>
      <c r="M100" s="311"/>
      <c r="N100" s="311"/>
      <c r="O100" s="311"/>
      <c r="P100" s="311"/>
      <c r="Q100" s="311"/>
      <c r="R100" s="311"/>
      <c r="S100" s="311"/>
      <c r="T100" s="311"/>
      <c r="U100" s="311"/>
      <c r="V100" s="311"/>
      <c r="W100" s="311"/>
      <c r="X100" s="311"/>
      <c r="Y100" s="311"/>
      <c r="Z100" s="311"/>
      <c r="AA100" s="311"/>
      <c r="AB100" s="311"/>
      <c r="AC100" s="311"/>
      <c r="AD100" s="311"/>
      <c r="AE100" s="311"/>
      <c r="AF100" s="311"/>
      <c r="AG100" s="311"/>
      <c r="AH100" s="311"/>
      <c r="AI100" s="311"/>
      <c r="AJ100" s="311"/>
      <c r="AK100" s="311"/>
      <c r="AL100" s="311">
        <v>98</v>
      </c>
      <c r="AM100" s="311"/>
      <c r="AN100" s="311"/>
      <c r="AO100" s="311"/>
      <c r="AP100" s="311"/>
      <c r="AQ100" s="311"/>
      <c r="AR100" s="311"/>
      <c r="AS100" s="311"/>
      <c r="AT100" s="311"/>
      <c r="AU100" s="311"/>
      <c r="AV100" s="311"/>
      <c r="AW100" s="311"/>
      <c r="AX100" s="311"/>
      <c r="AY100" s="311"/>
      <c r="AZ100" s="311"/>
      <c r="BA100" s="311"/>
      <c r="BB100" s="311"/>
      <c r="BC100" s="311"/>
      <c r="BD100" s="311">
        <v>98</v>
      </c>
      <c r="BE100" s="311"/>
      <c r="BF100" s="311"/>
      <c r="BG100" s="311"/>
      <c r="BH100" s="311"/>
      <c r="BI100" s="311"/>
      <c r="BJ100" s="311"/>
      <c r="BK100" s="311"/>
      <c r="BL100" s="311"/>
      <c r="BM100" s="311"/>
      <c r="BN100" s="311"/>
      <c r="BO100" s="311"/>
      <c r="BP100" s="311"/>
      <c r="BQ100" s="311"/>
      <c r="BR100" s="311"/>
      <c r="BS100" s="311"/>
      <c r="BT100" s="311"/>
      <c r="BU100" s="311"/>
      <c r="BV100" s="311"/>
      <c r="BW100" s="311"/>
      <c r="BX100" s="311"/>
      <c r="BY100" s="311">
        <v>0</v>
      </c>
    </row>
    <row r="101" spans="1:77" x14ac:dyDescent="0.2">
      <c r="A101" s="311">
        <v>99</v>
      </c>
      <c r="B101" s="324" t="s">
        <v>101</v>
      </c>
      <c r="C101" s="311"/>
      <c r="D101" s="311"/>
      <c r="E101" s="311"/>
      <c r="F101" s="311"/>
      <c r="G101" s="311"/>
      <c r="H101" s="311"/>
      <c r="I101" s="311"/>
      <c r="J101" s="325"/>
      <c r="K101" s="311"/>
      <c r="L101" s="311"/>
      <c r="M101" s="311"/>
      <c r="N101" s="311"/>
      <c r="O101" s="311"/>
      <c r="P101" s="311"/>
      <c r="Q101" s="311"/>
      <c r="R101" s="311"/>
      <c r="S101" s="311"/>
      <c r="T101" s="311"/>
      <c r="U101" s="311"/>
      <c r="V101" s="311"/>
      <c r="W101" s="311"/>
      <c r="X101" s="311"/>
      <c r="Y101" s="311"/>
      <c r="Z101" s="311">
        <v>99</v>
      </c>
      <c r="AA101" s="311"/>
      <c r="AB101" s="311"/>
      <c r="AC101" s="311"/>
      <c r="AD101" s="311"/>
      <c r="AE101" s="311"/>
      <c r="AF101" s="311"/>
      <c r="AG101" s="311"/>
      <c r="AH101" s="311"/>
      <c r="AI101" s="311"/>
      <c r="AJ101" s="311"/>
      <c r="AK101" s="311"/>
      <c r="AL101" s="311"/>
      <c r="AM101" s="311"/>
      <c r="AN101" s="311"/>
      <c r="AO101" s="311"/>
      <c r="AP101" s="311"/>
      <c r="AQ101" s="311"/>
      <c r="AR101" s="311"/>
      <c r="AS101" s="311"/>
      <c r="AT101" s="311"/>
      <c r="AU101" s="311">
        <v>99</v>
      </c>
      <c r="AV101" s="311">
        <v>99</v>
      </c>
      <c r="AW101" s="311"/>
      <c r="AX101" s="311"/>
      <c r="AY101" s="311"/>
      <c r="AZ101" s="311"/>
      <c r="BA101" s="311"/>
      <c r="BB101" s="311"/>
      <c r="BC101" s="311"/>
      <c r="BD101" s="311"/>
      <c r="BE101" s="311"/>
      <c r="BF101" s="311"/>
      <c r="BG101" s="311"/>
      <c r="BH101" s="311"/>
      <c r="BI101" s="311"/>
      <c r="BJ101" s="311"/>
      <c r="BK101" s="311"/>
      <c r="BL101" s="311"/>
      <c r="BM101" s="311"/>
      <c r="BN101" s="311"/>
      <c r="BO101" s="311"/>
      <c r="BP101" s="311"/>
      <c r="BQ101" s="311"/>
      <c r="BR101" s="311"/>
      <c r="BS101" s="311"/>
      <c r="BT101" s="311"/>
      <c r="BU101" s="311"/>
      <c r="BV101" s="311"/>
      <c r="BW101" s="311"/>
      <c r="BX101" s="311"/>
      <c r="BY101" s="311">
        <v>0</v>
      </c>
    </row>
    <row r="102" spans="1:77" x14ac:dyDescent="0.2">
      <c r="A102" s="311">
        <v>100</v>
      </c>
      <c r="B102" s="324" t="s">
        <v>95</v>
      </c>
      <c r="C102" s="311"/>
      <c r="D102" s="311"/>
      <c r="E102" s="311"/>
      <c r="F102" s="311"/>
      <c r="G102" s="311"/>
      <c r="H102" s="311"/>
      <c r="I102" s="311"/>
      <c r="J102" s="311"/>
      <c r="K102" s="311"/>
      <c r="L102" s="311"/>
      <c r="M102" s="311"/>
      <c r="N102" s="311"/>
      <c r="O102" s="311"/>
      <c r="P102" s="311"/>
      <c r="Q102" s="311"/>
      <c r="R102" s="311"/>
      <c r="S102" s="311"/>
      <c r="T102" s="311"/>
      <c r="U102" s="311"/>
      <c r="V102" s="311"/>
      <c r="W102" s="311"/>
      <c r="X102" s="311"/>
      <c r="Y102" s="311"/>
      <c r="Z102" s="311"/>
      <c r="AA102" s="311">
        <v>100</v>
      </c>
      <c r="AB102" s="311"/>
      <c r="AC102" s="311"/>
      <c r="AD102" s="311"/>
      <c r="AE102" s="311"/>
      <c r="AF102" s="311"/>
      <c r="AG102" s="311"/>
      <c r="AH102" s="311"/>
      <c r="AI102" s="311"/>
      <c r="AJ102" s="311"/>
      <c r="AK102" s="311"/>
      <c r="AL102" s="311"/>
      <c r="AM102" s="311"/>
      <c r="AN102" s="311"/>
      <c r="AO102" s="311"/>
      <c r="AP102" s="311"/>
      <c r="AQ102" s="311"/>
      <c r="AR102" s="311"/>
      <c r="AS102" s="311"/>
      <c r="AT102" s="311"/>
      <c r="AU102" s="311"/>
      <c r="AV102" s="311"/>
      <c r="AW102" s="311">
        <v>100</v>
      </c>
      <c r="AX102" s="311">
        <v>100</v>
      </c>
      <c r="AY102" s="311"/>
      <c r="AZ102" s="311"/>
      <c r="BA102" s="311"/>
      <c r="BB102" s="311"/>
      <c r="BC102" s="311"/>
      <c r="BD102" s="311"/>
      <c r="BE102" s="311"/>
      <c r="BF102" s="311"/>
      <c r="BG102" s="311"/>
      <c r="BH102" s="311"/>
      <c r="BI102" s="311"/>
      <c r="BJ102" s="311"/>
      <c r="BK102" s="311"/>
      <c r="BL102" s="311"/>
      <c r="BM102" s="311"/>
      <c r="BN102" s="311"/>
      <c r="BO102" s="311"/>
      <c r="BP102" s="311"/>
      <c r="BQ102" s="311"/>
      <c r="BR102" s="311"/>
      <c r="BS102" s="311"/>
      <c r="BT102" s="311"/>
      <c r="BU102" s="311"/>
      <c r="BV102" s="311"/>
      <c r="BW102" s="311"/>
      <c r="BX102" s="311"/>
      <c r="BY102" s="311">
        <v>0</v>
      </c>
    </row>
    <row r="103" spans="1:77" x14ac:dyDescent="0.2">
      <c r="A103" s="311">
        <v>101</v>
      </c>
      <c r="B103" s="324" t="s">
        <v>1804</v>
      </c>
      <c r="C103" s="311"/>
      <c r="D103" s="311"/>
      <c r="E103" s="311"/>
      <c r="F103" s="311"/>
      <c r="G103" s="311"/>
      <c r="H103" s="311"/>
      <c r="I103" s="311"/>
      <c r="J103" s="311"/>
      <c r="K103" s="311"/>
      <c r="L103" s="311"/>
      <c r="M103" s="311"/>
      <c r="N103" s="311"/>
      <c r="O103" s="311"/>
      <c r="P103" s="311"/>
      <c r="Q103" s="311"/>
      <c r="R103" s="311"/>
      <c r="S103" s="311"/>
      <c r="T103" s="311"/>
      <c r="U103" s="311"/>
      <c r="V103" s="311"/>
      <c r="W103" s="311"/>
      <c r="X103" s="311"/>
      <c r="Y103" s="311"/>
      <c r="Z103" s="311"/>
      <c r="AA103" s="311"/>
      <c r="AB103" s="311"/>
      <c r="AC103" s="311"/>
      <c r="AD103" s="311"/>
      <c r="AE103" s="311"/>
      <c r="AF103" s="311"/>
      <c r="AG103" s="311"/>
      <c r="AH103" s="311"/>
      <c r="AI103" s="311"/>
      <c r="AJ103" s="311"/>
      <c r="AK103" s="311"/>
      <c r="AL103" s="311"/>
      <c r="AM103" s="311"/>
      <c r="AN103" s="311"/>
      <c r="AO103" s="311"/>
      <c r="AP103" s="311"/>
      <c r="AQ103" s="311"/>
      <c r="AR103" s="311"/>
      <c r="AS103" s="311"/>
      <c r="AT103" s="311"/>
      <c r="AU103" s="311"/>
      <c r="AV103" s="311"/>
      <c r="AW103" s="311"/>
      <c r="AX103" s="311"/>
      <c r="AY103" s="311"/>
      <c r="AZ103" s="311"/>
      <c r="BA103" s="311"/>
      <c r="BB103" s="311"/>
      <c r="BC103" s="311"/>
      <c r="BD103" s="311"/>
      <c r="BE103" s="311"/>
      <c r="BF103" s="311"/>
      <c r="BG103" s="311"/>
      <c r="BH103" s="311"/>
      <c r="BI103" s="311"/>
      <c r="BJ103" s="311"/>
      <c r="BK103" s="311"/>
      <c r="BL103" s="311"/>
      <c r="BM103" s="311"/>
      <c r="BN103" s="311"/>
      <c r="BO103" s="311"/>
      <c r="BP103" s="311"/>
      <c r="BQ103" s="311"/>
      <c r="BR103" s="311"/>
      <c r="BS103" s="311"/>
      <c r="BT103" s="311"/>
      <c r="BU103" s="311"/>
      <c r="BV103" s="311"/>
      <c r="BW103" s="311"/>
      <c r="BX103" s="311"/>
      <c r="BY103" s="311">
        <v>0</v>
      </c>
    </row>
    <row r="104" spans="1:77" x14ac:dyDescent="0.2">
      <c r="A104" s="311">
        <v>102</v>
      </c>
      <c r="B104" s="324" t="s">
        <v>1805</v>
      </c>
      <c r="C104" s="311"/>
      <c r="D104" s="311"/>
      <c r="E104" s="311"/>
      <c r="F104" s="311"/>
      <c r="G104" s="311"/>
      <c r="H104" s="311"/>
      <c r="I104" s="311"/>
      <c r="J104" s="311"/>
      <c r="K104" s="311"/>
      <c r="L104" s="311"/>
      <c r="M104" s="311"/>
      <c r="N104" s="311"/>
      <c r="O104" s="311"/>
      <c r="P104" s="311"/>
      <c r="Q104" s="311"/>
      <c r="R104" s="311"/>
      <c r="S104" s="311"/>
      <c r="T104" s="311"/>
      <c r="U104" s="311"/>
      <c r="V104" s="311"/>
      <c r="W104" s="311"/>
      <c r="X104" s="311"/>
      <c r="Y104" s="311"/>
      <c r="Z104" s="311"/>
      <c r="AA104" s="311"/>
      <c r="AB104" s="311"/>
      <c r="AC104" s="311"/>
      <c r="AD104" s="311"/>
      <c r="AE104" s="311"/>
      <c r="AF104" s="311"/>
      <c r="AG104" s="311"/>
      <c r="AH104" s="311"/>
      <c r="AI104" s="311"/>
      <c r="AJ104" s="311"/>
      <c r="AK104" s="311"/>
      <c r="AL104" s="311"/>
      <c r="AM104" s="311"/>
      <c r="AN104" s="311"/>
      <c r="AO104" s="311"/>
      <c r="AP104" s="311"/>
      <c r="AQ104" s="311"/>
      <c r="AR104" s="311"/>
      <c r="AS104" s="311"/>
      <c r="AT104" s="311"/>
      <c r="AU104" s="311"/>
      <c r="AV104" s="311"/>
      <c r="AW104" s="311"/>
      <c r="AX104" s="311"/>
      <c r="AY104" s="311"/>
      <c r="AZ104" s="311"/>
      <c r="BA104" s="311"/>
      <c r="BB104" s="311"/>
      <c r="BC104" s="311"/>
      <c r="BD104" s="311"/>
      <c r="BE104" s="311"/>
      <c r="BF104" s="311"/>
      <c r="BG104" s="311"/>
      <c r="BH104" s="311"/>
      <c r="BI104" s="311"/>
      <c r="BJ104" s="311"/>
      <c r="BK104" s="311"/>
      <c r="BL104" s="311"/>
      <c r="BM104" s="311"/>
      <c r="BN104" s="311"/>
      <c r="BO104" s="311"/>
      <c r="BP104" s="311"/>
      <c r="BQ104" s="311"/>
      <c r="BR104" s="311"/>
      <c r="BS104" s="311"/>
      <c r="BT104" s="311"/>
      <c r="BU104" s="311"/>
      <c r="BV104" s="311"/>
      <c r="BW104" s="311"/>
      <c r="BX104" s="311"/>
      <c r="BY104" s="311">
        <v>0</v>
      </c>
    </row>
    <row r="105" spans="1:77" x14ac:dyDescent="0.2">
      <c r="A105" s="311">
        <v>103</v>
      </c>
      <c r="B105" s="324" t="s">
        <v>1806</v>
      </c>
      <c r="C105" s="311"/>
      <c r="D105" s="311"/>
      <c r="E105" s="311"/>
      <c r="F105" s="311"/>
      <c r="G105" s="311"/>
      <c r="H105" s="311"/>
      <c r="I105" s="311"/>
      <c r="J105" s="311"/>
      <c r="K105" s="311"/>
      <c r="L105" s="311"/>
      <c r="M105" s="311"/>
      <c r="N105" s="311"/>
      <c r="O105" s="311"/>
      <c r="P105" s="311"/>
      <c r="Q105" s="311"/>
      <c r="R105" s="311"/>
      <c r="S105" s="311"/>
      <c r="T105" s="311"/>
      <c r="U105" s="311"/>
      <c r="V105" s="311"/>
      <c r="W105" s="311"/>
      <c r="X105" s="311"/>
      <c r="Y105" s="311"/>
      <c r="Z105" s="311"/>
      <c r="AA105" s="311"/>
      <c r="AB105" s="311"/>
      <c r="AC105" s="311"/>
      <c r="AD105" s="311"/>
      <c r="AE105" s="311"/>
      <c r="AF105" s="311"/>
      <c r="AG105" s="311"/>
      <c r="AH105" s="311"/>
      <c r="AI105" s="311"/>
      <c r="AJ105" s="311"/>
      <c r="AK105" s="311"/>
      <c r="AL105" s="311"/>
      <c r="AM105" s="311"/>
      <c r="AN105" s="311"/>
      <c r="AO105" s="311"/>
      <c r="AP105" s="311"/>
      <c r="AQ105" s="311"/>
      <c r="AR105" s="311"/>
      <c r="AS105" s="311"/>
      <c r="AT105" s="311"/>
      <c r="AU105" s="311"/>
      <c r="AV105" s="311"/>
      <c r="AW105" s="311"/>
      <c r="AX105" s="311"/>
      <c r="AY105" s="311"/>
      <c r="AZ105" s="311"/>
      <c r="BA105" s="311"/>
      <c r="BB105" s="311"/>
      <c r="BC105" s="311"/>
      <c r="BD105" s="311"/>
      <c r="BE105" s="311"/>
      <c r="BF105" s="311"/>
      <c r="BG105" s="311"/>
      <c r="BH105" s="311"/>
      <c r="BI105" s="311"/>
      <c r="BJ105" s="311"/>
      <c r="BK105" s="311"/>
      <c r="BL105" s="311"/>
      <c r="BM105" s="311"/>
      <c r="BN105" s="311"/>
      <c r="BO105" s="311"/>
      <c r="BP105" s="311"/>
      <c r="BQ105" s="311"/>
      <c r="BR105" s="311"/>
      <c r="BS105" s="311"/>
      <c r="BT105" s="311"/>
      <c r="BU105" s="311"/>
      <c r="BV105" s="311"/>
      <c r="BW105" s="311"/>
      <c r="BX105" s="311"/>
      <c r="BY105" s="311">
        <v>0</v>
      </c>
    </row>
    <row r="106" spans="1:77" s="22" customFormat="1" x14ac:dyDescent="0.2">
      <c r="C106" s="52" t="str">
        <f t="shared" ref="C106:AH106" si="0">IFERROR(IF(SMALL(C$3:C$105,$B106)&gt;0,INDEX($B$3:$B$105,SMALL(C$3:C$105,$B106),1),""),"")</f>
        <v/>
      </c>
      <c r="D106" s="52" t="str">
        <f t="shared" si="0"/>
        <v/>
      </c>
      <c r="E106" s="52" t="str">
        <f t="shared" si="0"/>
        <v/>
      </c>
      <c r="F106" s="52" t="str">
        <f t="shared" si="0"/>
        <v/>
      </c>
      <c r="G106" s="52" t="str">
        <f t="shared" si="0"/>
        <v/>
      </c>
      <c r="H106" s="52" t="str">
        <f t="shared" si="0"/>
        <v/>
      </c>
      <c r="I106" s="52" t="str">
        <f t="shared" si="0"/>
        <v/>
      </c>
      <c r="J106" s="52" t="str">
        <f t="shared" si="0"/>
        <v/>
      </c>
      <c r="K106" s="52" t="str">
        <f t="shared" si="0"/>
        <v/>
      </c>
      <c r="L106" s="52" t="str">
        <f t="shared" si="0"/>
        <v/>
      </c>
      <c r="M106" s="52" t="str">
        <f t="shared" si="0"/>
        <v/>
      </c>
      <c r="N106" s="52" t="str">
        <f t="shared" si="0"/>
        <v/>
      </c>
      <c r="O106" s="52" t="str">
        <f t="shared" si="0"/>
        <v/>
      </c>
      <c r="P106" s="52" t="str">
        <f t="shared" si="0"/>
        <v/>
      </c>
      <c r="Q106" s="52" t="str">
        <f t="shared" si="0"/>
        <v/>
      </c>
      <c r="R106" s="52" t="str">
        <f t="shared" si="0"/>
        <v/>
      </c>
      <c r="S106" s="52" t="str">
        <f t="shared" si="0"/>
        <v/>
      </c>
      <c r="T106" s="52" t="str">
        <f t="shared" si="0"/>
        <v/>
      </c>
      <c r="U106" s="52" t="str">
        <f t="shared" si="0"/>
        <v/>
      </c>
      <c r="V106" s="52" t="str">
        <f t="shared" si="0"/>
        <v/>
      </c>
      <c r="W106" s="52" t="str">
        <f t="shared" si="0"/>
        <v/>
      </c>
      <c r="X106" s="52" t="str">
        <f t="shared" si="0"/>
        <v/>
      </c>
      <c r="Y106" s="52" t="str">
        <f t="shared" si="0"/>
        <v/>
      </c>
      <c r="Z106" s="52" t="str">
        <f t="shared" si="0"/>
        <v/>
      </c>
      <c r="AA106" s="52" t="str">
        <f t="shared" si="0"/>
        <v/>
      </c>
      <c r="AB106" s="52" t="str">
        <f t="shared" si="0"/>
        <v/>
      </c>
      <c r="AC106" s="52" t="str">
        <f t="shared" si="0"/>
        <v/>
      </c>
      <c r="AD106" s="52" t="str">
        <f t="shared" si="0"/>
        <v/>
      </c>
      <c r="AE106" s="52" t="str">
        <f t="shared" si="0"/>
        <v/>
      </c>
      <c r="AF106" s="52" t="str">
        <f t="shared" si="0"/>
        <v/>
      </c>
      <c r="AG106" s="52" t="str">
        <f t="shared" si="0"/>
        <v/>
      </c>
      <c r="AH106" s="52" t="str">
        <f t="shared" si="0"/>
        <v/>
      </c>
      <c r="AI106" s="52" t="str">
        <f t="shared" ref="AI106:BN106" si="1">IFERROR(IF(SMALL(AI$3:AI$105,$B106)&gt;0,INDEX($B$3:$B$105,SMALL(AI$3:AI$105,$B106),1),""),"")</f>
        <v/>
      </c>
      <c r="AJ106" s="52" t="str">
        <f t="shared" si="1"/>
        <v/>
      </c>
      <c r="AK106" s="52" t="str">
        <f t="shared" si="1"/>
        <v/>
      </c>
      <c r="AL106" s="52" t="str">
        <f t="shared" si="1"/>
        <v/>
      </c>
      <c r="AM106" s="52" t="str">
        <f t="shared" si="1"/>
        <v/>
      </c>
      <c r="AN106" s="52" t="str">
        <f t="shared" si="1"/>
        <v/>
      </c>
      <c r="AO106" s="52" t="str">
        <f t="shared" si="1"/>
        <v/>
      </c>
      <c r="AP106" s="52" t="str">
        <f t="shared" si="1"/>
        <v/>
      </c>
      <c r="AQ106" s="52" t="str">
        <f t="shared" si="1"/>
        <v/>
      </c>
      <c r="AR106" s="52" t="str">
        <f t="shared" si="1"/>
        <v/>
      </c>
      <c r="AS106" s="52" t="str">
        <f t="shared" si="1"/>
        <v/>
      </c>
      <c r="AT106" s="52" t="str">
        <f t="shared" si="1"/>
        <v/>
      </c>
      <c r="AU106" s="52" t="str">
        <f t="shared" si="1"/>
        <v/>
      </c>
      <c r="AV106" s="52" t="str">
        <f t="shared" si="1"/>
        <v/>
      </c>
      <c r="AW106" s="52" t="str">
        <f t="shared" si="1"/>
        <v/>
      </c>
      <c r="AX106" s="52" t="str">
        <f t="shared" si="1"/>
        <v/>
      </c>
      <c r="AY106" s="52" t="str">
        <f t="shared" si="1"/>
        <v/>
      </c>
      <c r="AZ106" s="52" t="str">
        <f t="shared" si="1"/>
        <v/>
      </c>
      <c r="BA106" s="52" t="str">
        <f t="shared" si="1"/>
        <v/>
      </c>
      <c r="BB106" s="52" t="str">
        <f t="shared" si="1"/>
        <v/>
      </c>
      <c r="BC106" s="52" t="str">
        <f t="shared" si="1"/>
        <v/>
      </c>
      <c r="BD106" s="52" t="str">
        <f t="shared" si="1"/>
        <v/>
      </c>
      <c r="BE106" s="52" t="str">
        <f t="shared" si="1"/>
        <v/>
      </c>
      <c r="BF106" s="52" t="str">
        <f t="shared" si="1"/>
        <v/>
      </c>
      <c r="BG106" s="52" t="str">
        <f t="shared" si="1"/>
        <v/>
      </c>
      <c r="BH106" s="52" t="str">
        <f t="shared" si="1"/>
        <v/>
      </c>
      <c r="BI106" s="52" t="str">
        <f t="shared" si="1"/>
        <v/>
      </c>
      <c r="BJ106" s="52" t="str">
        <f t="shared" si="1"/>
        <v/>
      </c>
      <c r="BK106" s="52" t="str">
        <f t="shared" si="1"/>
        <v/>
      </c>
      <c r="BL106" s="52" t="str">
        <f t="shared" si="1"/>
        <v/>
      </c>
      <c r="BM106" s="52" t="str">
        <f t="shared" si="1"/>
        <v/>
      </c>
      <c r="BN106" s="52" t="str">
        <f t="shared" si="1"/>
        <v/>
      </c>
      <c r="BO106" s="52" t="str">
        <f t="shared" ref="BO106:BX106" si="2">IFERROR(IF(SMALL(BO$3:BO$105,$B106)&gt;0,INDEX($B$3:$B$105,SMALL(BO$3:BO$105,$B106),1),""),"")</f>
        <v/>
      </c>
      <c r="BP106" s="52" t="str">
        <f t="shared" si="2"/>
        <v/>
      </c>
      <c r="BQ106" s="52" t="str">
        <f t="shared" si="2"/>
        <v/>
      </c>
      <c r="BR106" s="52" t="str">
        <f t="shared" si="2"/>
        <v/>
      </c>
      <c r="BS106" s="52" t="str">
        <f t="shared" si="2"/>
        <v/>
      </c>
      <c r="BT106" s="52" t="str">
        <f t="shared" si="2"/>
        <v/>
      </c>
      <c r="BU106" s="52" t="str">
        <f t="shared" si="2"/>
        <v/>
      </c>
      <c r="BV106" s="52" t="str">
        <f t="shared" si="2"/>
        <v/>
      </c>
      <c r="BW106" s="52" t="str">
        <f t="shared" si="2"/>
        <v/>
      </c>
      <c r="BX106" s="52" t="str">
        <f t="shared" si="2"/>
        <v/>
      </c>
    </row>
    <row r="107" spans="1:77" s="110" customFormat="1" ht="13.9" customHeight="1" x14ac:dyDescent="0.2">
      <c r="A107" s="582" t="s">
        <v>239</v>
      </c>
      <c r="B107" s="322">
        <v>1</v>
      </c>
      <c r="C107" s="52" t="s">
        <v>308</v>
      </c>
      <c r="D107" s="52" t="s">
        <v>308</v>
      </c>
      <c r="E107" s="52" t="s">
        <v>308</v>
      </c>
      <c r="F107" s="52" t="s">
        <v>85</v>
      </c>
      <c r="G107" s="52" t="s">
        <v>82</v>
      </c>
      <c r="H107" s="52" t="s">
        <v>308</v>
      </c>
      <c r="I107" s="52" t="s">
        <v>82</v>
      </c>
      <c r="J107" s="52" t="s">
        <v>107</v>
      </c>
      <c r="K107" s="52" t="s">
        <v>308</v>
      </c>
      <c r="L107" s="52" t="s">
        <v>308</v>
      </c>
      <c r="M107" s="52" t="s">
        <v>308</v>
      </c>
      <c r="N107" s="52" t="s">
        <v>308</v>
      </c>
      <c r="O107" s="52" t="s">
        <v>297</v>
      </c>
      <c r="P107" s="52" t="s">
        <v>308</v>
      </c>
      <c r="Q107" s="52" t="s">
        <v>302</v>
      </c>
      <c r="R107" s="52" t="s">
        <v>302</v>
      </c>
      <c r="S107" s="52" t="s">
        <v>307</v>
      </c>
      <c r="T107" s="52" t="s">
        <v>135</v>
      </c>
      <c r="U107" s="52" t="s">
        <v>309</v>
      </c>
      <c r="V107" s="52" t="s">
        <v>309</v>
      </c>
      <c r="W107" s="52" t="s">
        <v>309</v>
      </c>
      <c r="X107" s="52" t="s">
        <v>308</v>
      </c>
      <c r="Y107" s="52" t="s">
        <v>310</v>
      </c>
      <c r="Z107" s="52" t="s">
        <v>101</v>
      </c>
      <c r="AA107" s="52" t="s">
        <v>95</v>
      </c>
      <c r="AB107" s="52" t="s">
        <v>274</v>
      </c>
      <c r="AC107" s="52" t="s">
        <v>308</v>
      </c>
      <c r="AD107" s="52" t="s">
        <v>308</v>
      </c>
      <c r="AE107" s="52" t="s">
        <v>308</v>
      </c>
      <c r="AF107" s="52" t="s">
        <v>306</v>
      </c>
      <c r="AG107" s="52" t="s">
        <v>308</v>
      </c>
      <c r="AH107" s="52" t="s">
        <v>308</v>
      </c>
      <c r="AI107" s="52" t="s">
        <v>293</v>
      </c>
      <c r="AJ107" s="52" t="s">
        <v>308</v>
      </c>
      <c r="AK107" s="52" t="s">
        <v>298</v>
      </c>
      <c r="AL107" s="52" t="s">
        <v>107</v>
      </c>
      <c r="AM107" s="52" t="s">
        <v>308</v>
      </c>
      <c r="AN107" s="52" t="s">
        <v>308</v>
      </c>
      <c r="AO107" s="52" t="s">
        <v>308</v>
      </c>
      <c r="AP107" s="52" t="s">
        <v>302</v>
      </c>
      <c r="AQ107" s="52" t="s">
        <v>132</v>
      </c>
      <c r="AR107" s="52" t="s">
        <v>309</v>
      </c>
      <c r="AS107" s="52" t="s">
        <v>309</v>
      </c>
      <c r="AT107" s="52" t="s">
        <v>310</v>
      </c>
      <c r="AU107" s="52" t="s">
        <v>101</v>
      </c>
      <c r="AV107" s="52" t="s">
        <v>101</v>
      </c>
      <c r="AW107" s="52" t="s">
        <v>95</v>
      </c>
      <c r="AX107" s="52" t="s">
        <v>95</v>
      </c>
      <c r="AY107" s="52" t="s">
        <v>293</v>
      </c>
      <c r="AZ107" s="52" t="s">
        <v>293</v>
      </c>
      <c r="BA107" s="52" t="s">
        <v>274</v>
      </c>
      <c r="BB107" s="52" t="s">
        <v>308</v>
      </c>
      <c r="BC107" s="52" t="s">
        <v>298</v>
      </c>
      <c r="BD107" s="52" t="s">
        <v>107</v>
      </c>
      <c r="BE107" s="52" t="s">
        <v>82</v>
      </c>
      <c r="BF107" s="52" t="s">
        <v>82</v>
      </c>
      <c r="BG107" s="52" t="s">
        <v>82</v>
      </c>
      <c r="BH107" s="52" t="s">
        <v>309</v>
      </c>
      <c r="BI107" s="52" t="s">
        <v>309</v>
      </c>
      <c r="BJ107" s="52" t="s">
        <v>309</v>
      </c>
      <c r="BK107" s="52" t="s">
        <v>82</v>
      </c>
      <c r="BL107" s="52" t="s">
        <v>82</v>
      </c>
      <c r="BM107" s="52" t="s">
        <v>310</v>
      </c>
      <c r="BN107" s="52" t="s">
        <v>284</v>
      </c>
      <c r="BO107" s="52" t="s">
        <v>82</v>
      </c>
      <c r="BP107" s="52" t="s">
        <v>82</v>
      </c>
      <c r="BQ107" s="52" t="s">
        <v>304</v>
      </c>
      <c r="BR107" s="52" t="s">
        <v>308</v>
      </c>
      <c r="BS107" s="52" t="s">
        <v>308</v>
      </c>
      <c r="BT107" s="52" t="s">
        <v>177</v>
      </c>
      <c r="BU107" s="52" t="s">
        <v>308</v>
      </c>
      <c r="BV107" s="52" t="s">
        <v>258</v>
      </c>
      <c r="BW107" s="52" t="s">
        <v>293</v>
      </c>
      <c r="BX107" s="52" t="s">
        <v>138</v>
      </c>
      <c r="BY107" s="311"/>
    </row>
    <row r="108" spans="1:77" s="110" customFormat="1" x14ac:dyDescent="0.2">
      <c r="A108" s="582"/>
      <c r="B108" s="322">
        <v>2</v>
      </c>
      <c r="C108" s="52" t="s">
        <v>97</v>
      </c>
      <c r="D108" s="52" t="s">
        <v>97</v>
      </c>
      <c r="E108" s="52" t="s">
        <v>97</v>
      </c>
      <c r="F108" s="52" t="s">
        <v>151</v>
      </c>
      <c r="G108" s="52" t="s">
        <v>67</v>
      </c>
      <c r="H108" s="52" t="s">
        <v>97</v>
      </c>
      <c r="I108" s="52" t="s">
        <v>67</v>
      </c>
      <c r="J108" s="52"/>
      <c r="K108" s="52" t="s">
        <v>97</v>
      </c>
      <c r="L108" s="52" t="s">
        <v>97</v>
      </c>
      <c r="M108" s="52" t="s">
        <v>97</v>
      </c>
      <c r="N108" s="52" t="s">
        <v>97</v>
      </c>
      <c r="O108" s="52" t="s">
        <v>76</v>
      </c>
      <c r="P108" s="52" t="s">
        <v>97</v>
      </c>
      <c r="Q108" s="52" t="s">
        <v>299</v>
      </c>
      <c r="R108" s="52" t="s">
        <v>299</v>
      </c>
      <c r="S108" s="52" t="s">
        <v>282</v>
      </c>
      <c r="T108" s="52" t="s">
        <v>122</v>
      </c>
      <c r="U108" s="52" t="s">
        <v>295</v>
      </c>
      <c r="V108" s="52" t="s">
        <v>303</v>
      </c>
      <c r="W108" s="52" t="s">
        <v>295</v>
      </c>
      <c r="X108" s="52" t="s">
        <v>97</v>
      </c>
      <c r="Y108" s="52" t="s">
        <v>301</v>
      </c>
      <c r="Z108" s="52"/>
      <c r="AA108" s="52"/>
      <c r="AB108" s="52" t="s">
        <v>61</v>
      </c>
      <c r="AC108" s="52" t="s">
        <v>97</v>
      </c>
      <c r="AD108" s="52" t="s">
        <v>97</v>
      </c>
      <c r="AE108" s="52" t="s">
        <v>97</v>
      </c>
      <c r="AF108" s="52" t="s">
        <v>300</v>
      </c>
      <c r="AG108" s="52" t="s">
        <v>97</v>
      </c>
      <c r="AH108" s="52" t="s">
        <v>97</v>
      </c>
      <c r="AI108" s="52" t="s">
        <v>275</v>
      </c>
      <c r="AJ108" s="52" t="s">
        <v>97</v>
      </c>
      <c r="AK108" s="52" t="s">
        <v>286</v>
      </c>
      <c r="AL108" s="52"/>
      <c r="AM108" s="52" t="s">
        <v>97</v>
      </c>
      <c r="AN108" s="52" t="s">
        <v>97</v>
      </c>
      <c r="AO108" s="52" t="s">
        <v>97</v>
      </c>
      <c r="AP108" s="52" t="s">
        <v>299</v>
      </c>
      <c r="AQ108" s="52"/>
      <c r="AR108" s="52" t="s">
        <v>303</v>
      </c>
      <c r="AS108" s="52" t="s">
        <v>295</v>
      </c>
      <c r="AT108" s="52" t="s">
        <v>301</v>
      </c>
      <c r="AU108" s="52"/>
      <c r="AV108" s="52"/>
      <c r="AW108" s="52"/>
      <c r="AX108" s="52"/>
      <c r="AY108" s="52" t="s">
        <v>275</v>
      </c>
      <c r="AZ108" s="52" t="s">
        <v>275</v>
      </c>
      <c r="BA108" s="52" t="s">
        <v>61</v>
      </c>
      <c r="BB108" s="52" t="s">
        <v>97</v>
      </c>
      <c r="BC108" s="52" t="s">
        <v>286</v>
      </c>
      <c r="BD108" s="52"/>
      <c r="BE108" s="52" t="s">
        <v>67</v>
      </c>
      <c r="BF108" s="52" t="s">
        <v>67</v>
      </c>
      <c r="BG108" s="52" t="s">
        <v>67</v>
      </c>
      <c r="BH108" s="52" t="s">
        <v>295</v>
      </c>
      <c r="BI108" s="52" t="s">
        <v>295</v>
      </c>
      <c r="BJ108" s="52" t="s">
        <v>295</v>
      </c>
      <c r="BK108" s="52" t="s">
        <v>73</v>
      </c>
      <c r="BL108" s="52" t="s">
        <v>67</v>
      </c>
      <c r="BM108" s="52" t="s">
        <v>301</v>
      </c>
      <c r="BN108" s="52" t="s">
        <v>144</v>
      </c>
      <c r="BO108" s="52" t="s">
        <v>67</v>
      </c>
      <c r="BP108" s="52" t="s">
        <v>67</v>
      </c>
      <c r="BQ108" s="52"/>
      <c r="BR108" s="52" t="s">
        <v>97</v>
      </c>
      <c r="BS108" s="52" t="s">
        <v>97</v>
      </c>
      <c r="BT108" s="52"/>
      <c r="BU108" s="52" t="s">
        <v>97</v>
      </c>
      <c r="BV108" s="52"/>
      <c r="BW108" s="52" t="s">
        <v>275</v>
      </c>
      <c r="BX108" s="52" t="s">
        <v>67</v>
      </c>
      <c r="BY108" s="311"/>
    </row>
    <row r="109" spans="1:77" s="110" customFormat="1" x14ac:dyDescent="0.2">
      <c r="A109" s="582"/>
      <c r="B109" s="322">
        <v>3</v>
      </c>
      <c r="C109" s="52" t="s">
        <v>82</v>
      </c>
      <c r="D109" s="52" t="s">
        <v>82</v>
      </c>
      <c r="E109" s="52" t="s">
        <v>82</v>
      </c>
      <c r="F109" s="52" t="s">
        <v>78</v>
      </c>
      <c r="G109" s="52" t="s">
        <v>73</v>
      </c>
      <c r="H109" s="52" t="s">
        <v>82</v>
      </c>
      <c r="I109" s="52" t="s">
        <v>73</v>
      </c>
      <c r="J109" s="52"/>
      <c r="K109" s="52" t="s">
        <v>85</v>
      </c>
      <c r="L109" s="52" t="s">
        <v>85</v>
      </c>
      <c r="M109" s="52" t="s">
        <v>82</v>
      </c>
      <c r="N109" s="52" t="s">
        <v>82</v>
      </c>
      <c r="O109" s="52" t="s">
        <v>270</v>
      </c>
      <c r="P109" s="52" t="s">
        <v>82</v>
      </c>
      <c r="Q109" s="52" t="s">
        <v>285</v>
      </c>
      <c r="R109" s="52" t="s">
        <v>285</v>
      </c>
      <c r="S109" s="52" t="s">
        <v>91</v>
      </c>
      <c r="T109" s="52" t="s">
        <v>305</v>
      </c>
      <c r="U109" s="52" t="s">
        <v>291</v>
      </c>
      <c r="V109" s="52" t="s">
        <v>295</v>
      </c>
      <c r="W109" s="52" t="s">
        <v>291</v>
      </c>
      <c r="X109" s="52" t="s">
        <v>82</v>
      </c>
      <c r="Y109" s="52" t="s">
        <v>67</v>
      </c>
      <c r="Z109" s="52"/>
      <c r="AA109" s="52"/>
      <c r="AB109" s="52"/>
      <c r="AC109" s="52" t="s">
        <v>82</v>
      </c>
      <c r="AD109" s="52" t="s">
        <v>82</v>
      </c>
      <c r="AE109" s="52" t="s">
        <v>82</v>
      </c>
      <c r="AF109" s="52" t="s">
        <v>294</v>
      </c>
      <c r="AG109" s="52" t="s">
        <v>82</v>
      </c>
      <c r="AH109" s="52" t="s">
        <v>82</v>
      </c>
      <c r="AI109" s="52" t="s">
        <v>57</v>
      </c>
      <c r="AJ109" s="52" t="s">
        <v>82</v>
      </c>
      <c r="AK109" s="52" t="s">
        <v>118</v>
      </c>
      <c r="AL109" s="52"/>
      <c r="AM109" s="52" t="s">
        <v>82</v>
      </c>
      <c r="AN109" s="52" t="s">
        <v>82</v>
      </c>
      <c r="AO109" s="52" t="s">
        <v>82</v>
      </c>
      <c r="AP109" s="52" t="s">
        <v>285</v>
      </c>
      <c r="AQ109" s="52"/>
      <c r="AR109" s="52" t="s">
        <v>295</v>
      </c>
      <c r="AS109" s="52" t="s">
        <v>291</v>
      </c>
      <c r="AT109" s="52" t="s">
        <v>67</v>
      </c>
      <c r="AU109" s="52"/>
      <c r="AV109" s="52"/>
      <c r="AW109" s="52"/>
      <c r="AX109" s="52"/>
      <c r="AY109" s="52" t="s">
        <v>57</v>
      </c>
      <c r="AZ109" s="52" t="s">
        <v>57</v>
      </c>
      <c r="BA109" s="52"/>
      <c r="BB109" s="52" t="s">
        <v>82</v>
      </c>
      <c r="BC109" s="52" t="s">
        <v>118</v>
      </c>
      <c r="BD109" s="52"/>
      <c r="BE109" s="52" t="s">
        <v>73</v>
      </c>
      <c r="BF109" s="52" t="s">
        <v>73</v>
      </c>
      <c r="BG109" s="52" t="s">
        <v>73</v>
      </c>
      <c r="BH109" s="52" t="s">
        <v>291</v>
      </c>
      <c r="BI109" s="52" t="s">
        <v>291</v>
      </c>
      <c r="BJ109" s="52" t="s">
        <v>291</v>
      </c>
      <c r="BK109" s="52" t="s">
        <v>240</v>
      </c>
      <c r="BL109" s="52" t="s">
        <v>73</v>
      </c>
      <c r="BM109" s="52" t="s">
        <v>67</v>
      </c>
      <c r="BN109" s="52" t="s">
        <v>251</v>
      </c>
      <c r="BO109" s="52" t="s">
        <v>73</v>
      </c>
      <c r="BP109" s="52" t="s">
        <v>73</v>
      </c>
      <c r="BQ109" s="52"/>
      <c r="BR109" s="52" t="s">
        <v>151</v>
      </c>
      <c r="BS109" s="52" t="s">
        <v>78</v>
      </c>
      <c r="BT109" s="52"/>
      <c r="BU109" s="52" t="s">
        <v>82</v>
      </c>
      <c r="BV109" s="52"/>
      <c r="BW109" s="52" t="s">
        <v>57</v>
      </c>
      <c r="BX109" s="52" t="s">
        <v>85</v>
      </c>
      <c r="BY109" s="311"/>
    </row>
    <row r="110" spans="1:77" s="110" customFormat="1" x14ac:dyDescent="0.2">
      <c r="A110" s="582"/>
      <c r="B110" s="322">
        <v>4</v>
      </c>
      <c r="C110" s="52" t="s">
        <v>138</v>
      </c>
      <c r="D110" s="52" t="s">
        <v>138</v>
      </c>
      <c r="E110" s="52" t="s">
        <v>138</v>
      </c>
      <c r="F110" s="52" t="s">
        <v>73</v>
      </c>
      <c r="G110" s="52" t="s">
        <v>240</v>
      </c>
      <c r="H110" s="52" t="s">
        <v>67</v>
      </c>
      <c r="I110" s="52"/>
      <c r="J110" s="52"/>
      <c r="K110" s="52" t="s">
        <v>78</v>
      </c>
      <c r="L110" s="52" t="s">
        <v>78</v>
      </c>
      <c r="M110" s="52" t="s">
        <v>296</v>
      </c>
      <c r="N110" s="52" t="s">
        <v>67</v>
      </c>
      <c r="O110" s="52" t="s">
        <v>267</v>
      </c>
      <c r="P110" s="52" t="s">
        <v>85</v>
      </c>
      <c r="Q110" s="52" t="s">
        <v>281</v>
      </c>
      <c r="R110" s="52" t="s">
        <v>281</v>
      </c>
      <c r="S110" s="52" t="s">
        <v>259</v>
      </c>
      <c r="T110" s="52" t="s">
        <v>152</v>
      </c>
      <c r="U110" s="52" t="s">
        <v>287</v>
      </c>
      <c r="V110" s="52" t="s">
        <v>291</v>
      </c>
      <c r="W110" s="52" t="s">
        <v>287</v>
      </c>
      <c r="X110" s="52" t="s">
        <v>67</v>
      </c>
      <c r="Y110" s="52" t="s">
        <v>283</v>
      </c>
      <c r="Z110" s="52"/>
      <c r="AA110" s="52"/>
      <c r="AB110" s="52"/>
      <c r="AC110" s="52" t="s">
        <v>85</v>
      </c>
      <c r="AD110" s="52" t="s">
        <v>67</v>
      </c>
      <c r="AE110" s="52" t="s">
        <v>85</v>
      </c>
      <c r="AF110" s="52" t="s">
        <v>292</v>
      </c>
      <c r="AG110" s="52" t="s">
        <v>85</v>
      </c>
      <c r="AH110" s="52" t="s">
        <v>67</v>
      </c>
      <c r="AI110" s="52" t="s">
        <v>263</v>
      </c>
      <c r="AJ110" s="52" t="s">
        <v>85</v>
      </c>
      <c r="AK110" s="52" t="s">
        <v>264</v>
      </c>
      <c r="AL110" s="52"/>
      <c r="AM110" s="52" t="s">
        <v>296</v>
      </c>
      <c r="AN110" s="52" t="s">
        <v>67</v>
      </c>
      <c r="AO110" s="52" t="s">
        <v>85</v>
      </c>
      <c r="AP110" s="52" t="s">
        <v>281</v>
      </c>
      <c r="AQ110" s="52"/>
      <c r="AR110" s="52" t="s">
        <v>291</v>
      </c>
      <c r="AS110" s="52" t="s">
        <v>287</v>
      </c>
      <c r="AT110" s="52" t="s">
        <v>283</v>
      </c>
      <c r="AU110" s="52"/>
      <c r="AV110" s="52"/>
      <c r="AW110" s="52"/>
      <c r="AX110" s="52"/>
      <c r="AY110" s="52" t="s">
        <v>263</v>
      </c>
      <c r="AZ110" s="52" t="s">
        <v>263</v>
      </c>
      <c r="BA110" s="52"/>
      <c r="BB110" s="52" t="s">
        <v>85</v>
      </c>
      <c r="BC110" s="52" t="s">
        <v>264</v>
      </c>
      <c r="BD110" s="52"/>
      <c r="BE110" s="52" t="s">
        <v>240</v>
      </c>
      <c r="BF110" s="52" t="s">
        <v>240</v>
      </c>
      <c r="BG110" s="52" t="s">
        <v>240</v>
      </c>
      <c r="BH110" s="52" t="s">
        <v>287</v>
      </c>
      <c r="BI110" s="52" t="s">
        <v>287</v>
      </c>
      <c r="BJ110" s="52" t="s">
        <v>287</v>
      </c>
      <c r="BK110" s="52"/>
      <c r="BL110" s="52" t="s">
        <v>240</v>
      </c>
      <c r="BM110" s="52" t="s">
        <v>64</v>
      </c>
      <c r="BN110" s="52"/>
      <c r="BO110" s="52" t="s">
        <v>240</v>
      </c>
      <c r="BP110" s="52" t="s">
        <v>240</v>
      </c>
      <c r="BQ110" s="52"/>
      <c r="BR110" s="52" t="s">
        <v>78</v>
      </c>
      <c r="BS110" s="52" t="s">
        <v>265</v>
      </c>
      <c r="BT110" s="52"/>
      <c r="BU110" s="52" t="s">
        <v>85</v>
      </c>
      <c r="BV110" s="52"/>
      <c r="BW110" s="52" t="s">
        <v>263</v>
      </c>
      <c r="BX110" s="52" t="s">
        <v>78</v>
      </c>
      <c r="BY110" s="311"/>
    </row>
    <row r="111" spans="1:77" s="110" customFormat="1" x14ac:dyDescent="0.2">
      <c r="A111" s="582"/>
      <c r="B111" s="322">
        <v>5</v>
      </c>
      <c r="C111" s="52" t="s">
        <v>296</v>
      </c>
      <c r="D111" s="52" t="s">
        <v>67</v>
      </c>
      <c r="E111" s="52" t="s">
        <v>67</v>
      </c>
      <c r="F111" s="52" t="s">
        <v>137</v>
      </c>
      <c r="G111" s="52"/>
      <c r="H111" s="52" t="s">
        <v>85</v>
      </c>
      <c r="I111" s="52"/>
      <c r="J111" s="52"/>
      <c r="K111" s="52" t="s">
        <v>73</v>
      </c>
      <c r="L111" s="52" t="s">
        <v>73</v>
      </c>
      <c r="M111" s="52" t="s">
        <v>67</v>
      </c>
      <c r="N111" s="52" t="s">
        <v>85</v>
      </c>
      <c r="O111" s="52" t="s">
        <v>262</v>
      </c>
      <c r="P111" s="52" t="s">
        <v>78</v>
      </c>
      <c r="Q111" s="52" t="s">
        <v>272</v>
      </c>
      <c r="R111" s="52" t="s">
        <v>272</v>
      </c>
      <c r="S111" s="52" t="s">
        <v>253</v>
      </c>
      <c r="T111" s="52" t="s">
        <v>276</v>
      </c>
      <c r="U111" s="52" t="s">
        <v>280</v>
      </c>
      <c r="V111" s="52" t="s">
        <v>287</v>
      </c>
      <c r="W111" s="52" t="s">
        <v>280</v>
      </c>
      <c r="X111" s="52" t="s">
        <v>85</v>
      </c>
      <c r="Y111" s="52" t="s">
        <v>64</v>
      </c>
      <c r="Z111" s="52"/>
      <c r="AA111" s="52"/>
      <c r="AB111" s="52"/>
      <c r="AC111" s="52" t="s">
        <v>78</v>
      </c>
      <c r="AD111" s="52" t="s">
        <v>85</v>
      </c>
      <c r="AE111" s="52" t="s">
        <v>78</v>
      </c>
      <c r="AF111" s="52" t="s">
        <v>290</v>
      </c>
      <c r="AG111" s="52" t="s">
        <v>78</v>
      </c>
      <c r="AH111" s="52" t="s">
        <v>85</v>
      </c>
      <c r="AI111" s="52"/>
      <c r="AJ111" s="52" t="s">
        <v>78</v>
      </c>
      <c r="AK111" s="52" t="s">
        <v>242</v>
      </c>
      <c r="AL111" s="52"/>
      <c r="AM111" s="52" t="s">
        <v>67</v>
      </c>
      <c r="AN111" s="52" t="s">
        <v>85</v>
      </c>
      <c r="AO111" s="52" t="s">
        <v>78</v>
      </c>
      <c r="AP111" s="52" t="s">
        <v>272</v>
      </c>
      <c r="AQ111" s="52"/>
      <c r="AR111" s="52" t="s">
        <v>287</v>
      </c>
      <c r="AS111" s="52" t="s">
        <v>280</v>
      </c>
      <c r="AT111" s="52" t="s">
        <v>64</v>
      </c>
      <c r="AU111" s="52"/>
      <c r="AV111" s="52"/>
      <c r="AW111" s="52"/>
      <c r="AX111" s="52"/>
      <c r="AY111" s="52"/>
      <c r="AZ111" s="52"/>
      <c r="BA111" s="52"/>
      <c r="BB111" s="52" t="s">
        <v>78</v>
      </c>
      <c r="BC111" s="52" t="s">
        <v>242</v>
      </c>
      <c r="BD111" s="52"/>
      <c r="BE111" s="52"/>
      <c r="BF111" s="52"/>
      <c r="BG111" s="52"/>
      <c r="BH111" s="52" t="s">
        <v>280</v>
      </c>
      <c r="BI111" s="52" t="s">
        <v>280</v>
      </c>
      <c r="BJ111" s="52" t="s">
        <v>280</v>
      </c>
      <c r="BK111" s="52"/>
      <c r="BL111" s="52"/>
      <c r="BM111" s="52" t="s">
        <v>252</v>
      </c>
      <c r="BN111" s="52"/>
      <c r="BO111" s="52"/>
      <c r="BP111" s="52"/>
      <c r="BQ111" s="52"/>
      <c r="BR111" s="52" t="s">
        <v>73</v>
      </c>
      <c r="BS111" s="52" t="s">
        <v>245</v>
      </c>
      <c r="BT111" s="52"/>
      <c r="BU111" s="52" t="s">
        <v>78</v>
      </c>
      <c r="BV111" s="52"/>
      <c r="BW111" s="52"/>
      <c r="BX111" s="52" t="s">
        <v>265</v>
      </c>
      <c r="BY111" s="311"/>
    </row>
    <row r="112" spans="1:77" s="110" customFormat="1" x14ac:dyDescent="0.2">
      <c r="A112" s="582"/>
      <c r="B112" s="322">
        <v>6</v>
      </c>
      <c r="C112" s="52" t="s">
        <v>67</v>
      </c>
      <c r="D112" s="52" t="s">
        <v>85</v>
      </c>
      <c r="E112" s="52" t="s">
        <v>85</v>
      </c>
      <c r="F112" s="52" t="s">
        <v>265</v>
      </c>
      <c r="G112" s="52"/>
      <c r="H112" s="52" t="s">
        <v>151</v>
      </c>
      <c r="I112" s="52"/>
      <c r="J112" s="52"/>
      <c r="K112" s="52" t="s">
        <v>265</v>
      </c>
      <c r="L112" s="52" t="s">
        <v>265</v>
      </c>
      <c r="M112" s="52" t="s">
        <v>85</v>
      </c>
      <c r="N112" s="52" t="s">
        <v>151</v>
      </c>
      <c r="O112" s="52" t="s">
        <v>261</v>
      </c>
      <c r="P112" s="52" t="s">
        <v>73</v>
      </c>
      <c r="Q112" s="52" t="s">
        <v>103</v>
      </c>
      <c r="R112" s="52" t="s">
        <v>103</v>
      </c>
      <c r="S112" s="52"/>
      <c r="T112" s="52" t="s">
        <v>139</v>
      </c>
      <c r="U112" s="52" t="s">
        <v>279</v>
      </c>
      <c r="V112" s="52" t="s">
        <v>280</v>
      </c>
      <c r="W112" s="52" t="s">
        <v>279</v>
      </c>
      <c r="X112" s="52" t="s">
        <v>78</v>
      </c>
      <c r="Y112" s="52" t="s">
        <v>252</v>
      </c>
      <c r="Z112" s="52"/>
      <c r="AA112" s="52"/>
      <c r="AB112" s="52"/>
      <c r="AC112" s="52" t="s">
        <v>73</v>
      </c>
      <c r="AD112" s="52" t="s">
        <v>78</v>
      </c>
      <c r="AE112" s="52" t="s">
        <v>73</v>
      </c>
      <c r="AF112" s="52" t="s">
        <v>289</v>
      </c>
      <c r="AG112" s="52" t="s">
        <v>73</v>
      </c>
      <c r="AH112" s="52" t="s">
        <v>78</v>
      </c>
      <c r="AI112" s="52"/>
      <c r="AJ112" s="52" t="s">
        <v>73</v>
      </c>
      <c r="AK112" s="52"/>
      <c r="AL112" s="52"/>
      <c r="AM112" s="52" t="s">
        <v>85</v>
      </c>
      <c r="AN112" s="52" t="s">
        <v>78</v>
      </c>
      <c r="AO112" s="52" t="s">
        <v>73</v>
      </c>
      <c r="AP112" s="52" t="s">
        <v>103</v>
      </c>
      <c r="AQ112" s="52"/>
      <c r="AR112" s="52" t="s">
        <v>280</v>
      </c>
      <c r="AS112" s="52" t="s">
        <v>279</v>
      </c>
      <c r="AT112" s="52" t="s">
        <v>252</v>
      </c>
      <c r="AU112" s="52"/>
      <c r="AV112" s="52"/>
      <c r="AW112" s="52"/>
      <c r="AX112" s="52"/>
      <c r="AY112" s="52"/>
      <c r="AZ112" s="52"/>
      <c r="BA112" s="52"/>
      <c r="BB112" s="52" t="s">
        <v>73</v>
      </c>
      <c r="BC112" s="52"/>
      <c r="BD112" s="52"/>
      <c r="BE112" s="52"/>
      <c r="BF112" s="52"/>
      <c r="BG112" s="52"/>
      <c r="BH112" s="52" t="s">
        <v>279</v>
      </c>
      <c r="BI112" s="52" t="s">
        <v>279</v>
      </c>
      <c r="BJ112" s="52" t="s">
        <v>279</v>
      </c>
      <c r="BK112" s="52"/>
      <c r="BL112" s="52"/>
      <c r="BM112" s="52" t="s">
        <v>245</v>
      </c>
      <c r="BN112" s="52"/>
      <c r="BO112" s="52"/>
      <c r="BP112" s="52"/>
      <c r="BQ112" s="52"/>
      <c r="BR112" s="52" t="s">
        <v>137</v>
      </c>
      <c r="BS112" s="52"/>
      <c r="BT112" s="52"/>
      <c r="BU112" s="52" t="s">
        <v>73</v>
      </c>
      <c r="BV112" s="52"/>
      <c r="BW112" s="52"/>
      <c r="BX112" s="52"/>
      <c r="BY112" s="311"/>
    </row>
    <row r="113" spans="1:77" s="110" customFormat="1" x14ac:dyDescent="0.2">
      <c r="A113" s="582"/>
      <c r="B113" s="322">
        <v>7</v>
      </c>
      <c r="C113" s="52" t="s">
        <v>85</v>
      </c>
      <c r="D113" s="52" t="s">
        <v>151</v>
      </c>
      <c r="E113" s="52" t="s">
        <v>151</v>
      </c>
      <c r="F113" s="52"/>
      <c r="G113" s="52"/>
      <c r="H113" s="52" t="s">
        <v>78</v>
      </c>
      <c r="I113" s="52"/>
      <c r="J113" s="52"/>
      <c r="K113" s="52"/>
      <c r="L113" s="52" t="s">
        <v>240</v>
      </c>
      <c r="M113" s="52" t="s">
        <v>78</v>
      </c>
      <c r="N113" s="52" t="s">
        <v>78</v>
      </c>
      <c r="O113" s="52" t="s">
        <v>254</v>
      </c>
      <c r="P113" s="52" t="s">
        <v>265</v>
      </c>
      <c r="Q113" s="52" t="s">
        <v>269</v>
      </c>
      <c r="R113" s="52" t="s">
        <v>269</v>
      </c>
      <c r="S113" s="52"/>
      <c r="T113" s="52" t="s">
        <v>114</v>
      </c>
      <c r="U113" s="52" t="s">
        <v>278</v>
      </c>
      <c r="V113" s="52" t="s">
        <v>279</v>
      </c>
      <c r="W113" s="52" t="s">
        <v>278</v>
      </c>
      <c r="X113" s="52" t="s">
        <v>73</v>
      </c>
      <c r="Y113" s="52" t="s">
        <v>245</v>
      </c>
      <c r="Z113" s="52"/>
      <c r="AA113" s="52"/>
      <c r="AB113" s="52"/>
      <c r="AC113" s="52" t="s">
        <v>265</v>
      </c>
      <c r="AD113" s="52" t="s">
        <v>73</v>
      </c>
      <c r="AE113" s="52" t="s">
        <v>265</v>
      </c>
      <c r="AF113" s="52" t="s">
        <v>288</v>
      </c>
      <c r="AG113" s="52" t="s">
        <v>265</v>
      </c>
      <c r="AH113" s="52" t="s">
        <v>73</v>
      </c>
      <c r="AI113" s="52"/>
      <c r="AJ113" s="52" t="s">
        <v>265</v>
      </c>
      <c r="AK113" s="52"/>
      <c r="AL113" s="52"/>
      <c r="AM113" s="52" t="s">
        <v>78</v>
      </c>
      <c r="AN113" s="52" t="s">
        <v>73</v>
      </c>
      <c r="AO113" s="52" t="s">
        <v>265</v>
      </c>
      <c r="AP113" s="52" t="s">
        <v>269</v>
      </c>
      <c r="AQ113" s="52"/>
      <c r="AR113" s="52" t="s">
        <v>279</v>
      </c>
      <c r="AS113" s="52" t="s">
        <v>278</v>
      </c>
      <c r="AT113" s="52" t="s">
        <v>245</v>
      </c>
      <c r="AU113" s="52"/>
      <c r="AV113" s="52"/>
      <c r="AW113" s="52"/>
      <c r="AX113" s="52"/>
      <c r="AY113" s="52"/>
      <c r="AZ113" s="52"/>
      <c r="BA113" s="52"/>
      <c r="BB113" s="52" t="s">
        <v>265</v>
      </c>
      <c r="BC113" s="52"/>
      <c r="BD113" s="52"/>
      <c r="BE113" s="52"/>
      <c r="BF113" s="52"/>
      <c r="BG113" s="52"/>
      <c r="BH113" s="52" t="s">
        <v>278</v>
      </c>
      <c r="BI113" s="52" t="s">
        <v>278</v>
      </c>
      <c r="BJ113" s="52" t="s">
        <v>278</v>
      </c>
      <c r="BK113" s="52"/>
      <c r="BL113" s="52"/>
      <c r="BM113" s="52"/>
      <c r="BN113" s="52"/>
      <c r="BO113" s="52"/>
      <c r="BP113" s="52"/>
      <c r="BQ113" s="52"/>
      <c r="BR113" s="52" t="s">
        <v>265</v>
      </c>
      <c r="BS113" s="52"/>
      <c r="BT113" s="52"/>
      <c r="BU113" s="52" t="s">
        <v>265</v>
      </c>
      <c r="BV113" s="52"/>
      <c r="BW113" s="52"/>
      <c r="BX113" s="52"/>
      <c r="BY113" s="311"/>
    </row>
    <row r="114" spans="1:77" s="110" customFormat="1" x14ac:dyDescent="0.2">
      <c r="A114" s="582"/>
      <c r="B114" s="322">
        <v>8</v>
      </c>
      <c r="C114" s="52" t="s">
        <v>151</v>
      </c>
      <c r="D114" s="52" t="s">
        <v>78</v>
      </c>
      <c r="E114" s="52" t="s">
        <v>78</v>
      </c>
      <c r="F114" s="52"/>
      <c r="G114" s="52"/>
      <c r="H114" s="52" t="s">
        <v>73</v>
      </c>
      <c r="I114" s="52"/>
      <c r="J114" s="52"/>
      <c r="K114" s="52"/>
      <c r="L114" s="52"/>
      <c r="M114" s="52" t="s">
        <v>73</v>
      </c>
      <c r="N114" s="52" t="s">
        <v>73</v>
      </c>
      <c r="O114" s="52"/>
      <c r="P114" s="52" t="s">
        <v>240</v>
      </c>
      <c r="Q114" s="52"/>
      <c r="R114" s="52"/>
      <c r="S114" s="52"/>
      <c r="T114" s="52" t="s">
        <v>260</v>
      </c>
      <c r="U114" s="52" t="s">
        <v>277</v>
      </c>
      <c r="V114" s="52" t="s">
        <v>278</v>
      </c>
      <c r="W114" s="52" t="s">
        <v>277</v>
      </c>
      <c r="X114" s="52" t="s">
        <v>265</v>
      </c>
      <c r="Y114" s="52"/>
      <c r="Z114" s="52"/>
      <c r="AA114" s="52"/>
      <c r="AB114" s="52"/>
      <c r="AC114" s="52" t="s">
        <v>240</v>
      </c>
      <c r="AD114" s="52" t="s">
        <v>265</v>
      </c>
      <c r="AE114" s="52" t="s">
        <v>240</v>
      </c>
      <c r="AF114" s="52" t="s">
        <v>127</v>
      </c>
      <c r="AG114" s="52" t="s">
        <v>240</v>
      </c>
      <c r="AH114" s="52" t="s">
        <v>265</v>
      </c>
      <c r="AI114" s="52"/>
      <c r="AJ114" s="52" t="s">
        <v>240</v>
      </c>
      <c r="AK114" s="52"/>
      <c r="AL114" s="52"/>
      <c r="AM114" s="52" t="s">
        <v>73</v>
      </c>
      <c r="AN114" s="52" t="s">
        <v>265</v>
      </c>
      <c r="AO114" s="52" t="s">
        <v>240</v>
      </c>
      <c r="AP114" s="52"/>
      <c r="AQ114" s="52"/>
      <c r="AR114" s="52" t="s">
        <v>278</v>
      </c>
      <c r="AS114" s="52" t="s">
        <v>277</v>
      </c>
      <c r="AT114" s="52"/>
      <c r="AU114" s="52"/>
      <c r="AV114" s="52"/>
      <c r="AW114" s="52"/>
      <c r="AX114" s="52"/>
      <c r="AY114" s="52"/>
      <c r="AZ114" s="52"/>
      <c r="BA114" s="52"/>
      <c r="BB114" s="52" t="s">
        <v>240</v>
      </c>
      <c r="BC114" s="52"/>
      <c r="BD114" s="52"/>
      <c r="BE114" s="52"/>
      <c r="BF114" s="52"/>
      <c r="BG114" s="52"/>
      <c r="BH114" s="52" t="s">
        <v>277</v>
      </c>
      <c r="BI114" s="52" t="s">
        <v>277</v>
      </c>
      <c r="BJ114" s="52" t="s">
        <v>277</v>
      </c>
      <c r="BK114" s="52"/>
      <c r="BL114" s="52"/>
      <c r="BM114" s="52"/>
      <c r="BN114" s="52"/>
      <c r="BO114" s="52"/>
      <c r="BP114" s="52"/>
      <c r="BQ114" s="52"/>
      <c r="BR114" s="52"/>
      <c r="BS114" s="52"/>
      <c r="BT114" s="52"/>
      <c r="BU114" s="52" t="s">
        <v>240</v>
      </c>
      <c r="BV114" s="52"/>
      <c r="BW114" s="52"/>
      <c r="BX114" s="52"/>
      <c r="BY114" s="311"/>
    </row>
    <row r="115" spans="1:77" s="110" customFormat="1" x14ac:dyDescent="0.2">
      <c r="A115" s="582"/>
      <c r="B115" s="322">
        <v>9</v>
      </c>
      <c r="C115" s="52" t="s">
        <v>78</v>
      </c>
      <c r="D115" s="52" t="s">
        <v>73</v>
      </c>
      <c r="E115" s="52" t="s">
        <v>73</v>
      </c>
      <c r="F115" s="52"/>
      <c r="G115" s="52"/>
      <c r="H115" s="52" t="s">
        <v>137</v>
      </c>
      <c r="I115" s="52"/>
      <c r="J115" s="52"/>
      <c r="K115" s="52"/>
      <c r="L115" s="52"/>
      <c r="M115" s="52" t="s">
        <v>265</v>
      </c>
      <c r="N115" s="52" t="s">
        <v>137</v>
      </c>
      <c r="O115" s="52"/>
      <c r="P115" s="52"/>
      <c r="Q115" s="52"/>
      <c r="R115" s="52"/>
      <c r="S115" s="52"/>
      <c r="T115" s="52" t="s">
        <v>256</v>
      </c>
      <c r="U115" s="52" t="s">
        <v>273</v>
      </c>
      <c r="V115" s="52" t="s">
        <v>277</v>
      </c>
      <c r="W115" s="52" t="s">
        <v>273</v>
      </c>
      <c r="X115" s="52" t="s">
        <v>240</v>
      </c>
      <c r="Y115" s="52"/>
      <c r="Z115" s="52"/>
      <c r="AA115" s="52"/>
      <c r="AB115" s="52"/>
      <c r="AC115" s="52"/>
      <c r="AD115" s="52" t="s">
        <v>245</v>
      </c>
      <c r="AE115" s="52"/>
      <c r="AF115" s="52" t="s">
        <v>266</v>
      </c>
      <c r="AG115" s="52"/>
      <c r="AH115" s="52" t="s">
        <v>240</v>
      </c>
      <c r="AI115" s="52"/>
      <c r="AJ115" s="52"/>
      <c r="AK115" s="52"/>
      <c r="AL115" s="52"/>
      <c r="AM115" s="52" t="s">
        <v>265</v>
      </c>
      <c r="AN115" s="52" t="s">
        <v>240</v>
      </c>
      <c r="AO115" s="52"/>
      <c r="AP115" s="52"/>
      <c r="AQ115" s="52"/>
      <c r="AR115" s="52" t="s">
        <v>277</v>
      </c>
      <c r="AS115" s="52" t="s">
        <v>273</v>
      </c>
      <c r="AT115" s="52"/>
      <c r="AU115" s="52"/>
      <c r="AV115" s="52"/>
      <c r="AW115" s="52"/>
      <c r="AX115" s="52"/>
      <c r="AY115" s="52"/>
      <c r="AZ115" s="52"/>
      <c r="BA115" s="52"/>
      <c r="BB115" s="52"/>
      <c r="BC115" s="52"/>
      <c r="BD115" s="52"/>
      <c r="BE115" s="52"/>
      <c r="BF115" s="52"/>
      <c r="BG115" s="52"/>
      <c r="BH115" s="52" t="s">
        <v>273</v>
      </c>
      <c r="BI115" s="52" t="s">
        <v>273</v>
      </c>
      <c r="BJ115" s="52" t="s">
        <v>273</v>
      </c>
      <c r="BK115" s="52"/>
      <c r="BL115" s="52"/>
      <c r="BM115" s="52"/>
      <c r="BN115" s="52"/>
      <c r="BO115" s="52"/>
      <c r="BP115" s="52"/>
      <c r="BQ115" s="52"/>
      <c r="BR115" s="52"/>
      <c r="BS115" s="52"/>
      <c r="BT115" s="52"/>
      <c r="BU115" s="52"/>
      <c r="BV115" s="52"/>
      <c r="BW115" s="52"/>
      <c r="BX115" s="52"/>
      <c r="BY115" s="311"/>
    </row>
    <row r="116" spans="1:77" s="110" customFormat="1" ht="12.75" customHeight="1" x14ac:dyDescent="0.2">
      <c r="A116" s="582"/>
      <c r="B116" s="322">
        <v>10</v>
      </c>
      <c r="C116" s="52" t="s">
        <v>73</v>
      </c>
      <c r="D116" s="52" t="s">
        <v>137</v>
      </c>
      <c r="E116" s="52" t="s">
        <v>137</v>
      </c>
      <c r="F116" s="52"/>
      <c r="G116" s="52"/>
      <c r="H116" s="52" t="s">
        <v>265</v>
      </c>
      <c r="I116" s="52"/>
      <c r="J116" s="52"/>
      <c r="K116" s="52"/>
      <c r="L116" s="52"/>
      <c r="M116" s="52" t="s">
        <v>240</v>
      </c>
      <c r="N116" s="52" t="s">
        <v>265</v>
      </c>
      <c r="O116" s="52"/>
      <c r="P116" s="52"/>
      <c r="Q116" s="52"/>
      <c r="R116" s="52"/>
      <c r="S116" s="52"/>
      <c r="T116" s="52" t="s">
        <v>255</v>
      </c>
      <c r="U116" s="52" t="s">
        <v>70</v>
      </c>
      <c r="V116" s="52" t="s">
        <v>273</v>
      </c>
      <c r="W116" s="52" t="s">
        <v>70</v>
      </c>
      <c r="X116" s="52"/>
      <c r="Y116" s="52"/>
      <c r="Z116" s="52"/>
      <c r="AA116" s="52"/>
      <c r="AB116" s="52"/>
      <c r="AC116" s="52"/>
      <c r="AD116" s="52" t="s">
        <v>240</v>
      </c>
      <c r="AE116" s="52"/>
      <c r="AF116" s="52" t="s">
        <v>250</v>
      </c>
      <c r="AG116" s="52"/>
      <c r="AH116" s="52"/>
      <c r="AI116" s="52"/>
      <c r="AJ116" s="52"/>
      <c r="AK116" s="52"/>
      <c r="AL116" s="52"/>
      <c r="AM116" s="52" t="s">
        <v>240</v>
      </c>
      <c r="AN116" s="52"/>
      <c r="AO116" s="52"/>
      <c r="AP116" s="52"/>
      <c r="AQ116" s="52"/>
      <c r="AR116" s="52" t="s">
        <v>273</v>
      </c>
      <c r="AS116" s="52" t="s">
        <v>70</v>
      </c>
      <c r="AT116" s="52"/>
      <c r="AU116" s="52"/>
      <c r="AV116" s="52"/>
      <c r="AW116" s="52"/>
      <c r="AX116" s="52"/>
      <c r="AY116" s="52"/>
      <c r="AZ116" s="52"/>
      <c r="BA116" s="52"/>
      <c r="BB116" s="52"/>
      <c r="BC116" s="52"/>
      <c r="BD116" s="52"/>
      <c r="BE116" s="52"/>
      <c r="BF116" s="52"/>
      <c r="BG116" s="52"/>
      <c r="BH116" s="52" t="s">
        <v>70</v>
      </c>
      <c r="BI116" s="52" t="s">
        <v>70</v>
      </c>
      <c r="BJ116" s="52" t="s">
        <v>70</v>
      </c>
      <c r="BK116" s="52"/>
      <c r="BL116" s="52"/>
      <c r="BM116" s="52"/>
      <c r="BN116" s="52"/>
      <c r="BO116" s="52"/>
      <c r="BP116" s="52"/>
      <c r="BQ116" s="52"/>
      <c r="BR116" s="52"/>
      <c r="BS116" s="52"/>
      <c r="BT116" s="52"/>
      <c r="BU116" s="52"/>
      <c r="BV116" s="52"/>
      <c r="BW116" s="52"/>
      <c r="BX116" s="52"/>
      <c r="BY116" s="311"/>
    </row>
    <row r="117" spans="1:77" s="110" customFormat="1" ht="12.75" customHeight="1" x14ac:dyDescent="0.2">
      <c r="A117" s="582"/>
      <c r="B117" s="322">
        <v>11</v>
      </c>
      <c r="C117" s="52" t="s">
        <v>137</v>
      </c>
      <c r="D117" s="52" t="s">
        <v>265</v>
      </c>
      <c r="E117" s="52" t="s">
        <v>265</v>
      </c>
      <c r="F117" s="52"/>
      <c r="G117" s="52"/>
      <c r="H117" s="52" t="s">
        <v>240</v>
      </c>
      <c r="I117" s="52"/>
      <c r="J117" s="52"/>
      <c r="K117" s="52"/>
      <c r="L117" s="52"/>
      <c r="M117" s="52"/>
      <c r="N117" s="52" t="s">
        <v>240</v>
      </c>
      <c r="O117" s="52"/>
      <c r="P117" s="52"/>
      <c r="Q117" s="52"/>
      <c r="R117" s="52"/>
      <c r="S117" s="52"/>
      <c r="T117" s="52"/>
      <c r="U117" s="52" t="s">
        <v>271</v>
      </c>
      <c r="V117" s="52" t="s">
        <v>70</v>
      </c>
      <c r="W117" s="52" t="s">
        <v>271</v>
      </c>
      <c r="X117" s="52"/>
      <c r="Y117" s="52"/>
      <c r="Z117" s="52"/>
      <c r="AA117" s="52"/>
      <c r="AB117" s="52"/>
      <c r="AC117" s="52"/>
      <c r="AD117" s="52"/>
      <c r="AE117" s="52"/>
      <c r="AF117" s="52" t="s">
        <v>249</v>
      </c>
      <c r="AG117" s="52"/>
      <c r="AH117" s="52"/>
      <c r="AI117" s="52"/>
      <c r="AJ117" s="52"/>
      <c r="AK117" s="52"/>
      <c r="AL117" s="52"/>
      <c r="AM117" s="52"/>
      <c r="AN117" s="52"/>
      <c r="AO117" s="52"/>
      <c r="AP117" s="52"/>
      <c r="AQ117" s="52"/>
      <c r="AR117" s="52" t="s">
        <v>70</v>
      </c>
      <c r="AS117" s="52" t="s">
        <v>271</v>
      </c>
      <c r="AT117" s="52"/>
      <c r="AU117" s="52"/>
      <c r="AV117" s="52"/>
      <c r="AW117" s="52"/>
      <c r="AX117" s="52"/>
      <c r="AY117" s="52"/>
      <c r="AZ117" s="52"/>
      <c r="BA117" s="52"/>
      <c r="BB117" s="52"/>
      <c r="BC117" s="52"/>
      <c r="BD117" s="52"/>
      <c r="BE117" s="52"/>
      <c r="BF117" s="52"/>
      <c r="BG117" s="52"/>
      <c r="BH117" s="52" t="s">
        <v>271</v>
      </c>
      <c r="BI117" s="52" t="s">
        <v>271</v>
      </c>
      <c r="BJ117" s="52" t="s">
        <v>271</v>
      </c>
      <c r="BK117" s="52"/>
      <c r="BL117" s="52"/>
      <c r="BM117" s="52"/>
      <c r="BN117" s="52"/>
      <c r="BO117" s="52"/>
      <c r="BP117" s="52"/>
      <c r="BQ117" s="52"/>
      <c r="BR117" s="52"/>
      <c r="BS117" s="52"/>
      <c r="BT117" s="52"/>
      <c r="BU117" s="52"/>
      <c r="BV117" s="52"/>
      <c r="BW117" s="52"/>
      <c r="BX117" s="52"/>
      <c r="BY117" s="311"/>
    </row>
    <row r="118" spans="1:77" s="110" customFormat="1" ht="12.75" customHeight="1" x14ac:dyDescent="0.2">
      <c r="A118" s="582"/>
      <c r="B118" s="322">
        <v>12</v>
      </c>
      <c r="C118" s="52" t="s">
        <v>265</v>
      </c>
      <c r="D118" s="52" t="s">
        <v>240</v>
      </c>
      <c r="E118" s="52" t="s">
        <v>240</v>
      </c>
      <c r="F118" s="52"/>
      <c r="G118" s="52"/>
      <c r="H118" s="52"/>
      <c r="I118" s="52"/>
      <c r="J118" s="52"/>
      <c r="K118" s="52"/>
      <c r="L118" s="52"/>
      <c r="M118" s="52"/>
      <c r="N118" s="52"/>
      <c r="O118" s="52"/>
      <c r="P118" s="52"/>
      <c r="Q118" s="52"/>
      <c r="R118" s="52"/>
      <c r="S118" s="52"/>
      <c r="T118" s="52"/>
      <c r="U118" s="52" t="s">
        <v>268</v>
      </c>
      <c r="V118" s="52" t="s">
        <v>271</v>
      </c>
      <c r="W118" s="52" t="s">
        <v>268</v>
      </c>
      <c r="X118" s="52"/>
      <c r="Y118" s="52"/>
      <c r="Z118" s="52"/>
      <c r="AA118" s="52"/>
      <c r="AB118" s="52"/>
      <c r="AC118" s="52"/>
      <c r="AD118" s="52"/>
      <c r="AE118" s="52"/>
      <c r="AF118" s="52" t="s">
        <v>248</v>
      </c>
      <c r="AG118" s="52"/>
      <c r="AH118" s="52"/>
      <c r="AI118" s="52"/>
      <c r="AJ118" s="52"/>
      <c r="AK118" s="52"/>
      <c r="AL118" s="52"/>
      <c r="AM118" s="52"/>
      <c r="AN118" s="52"/>
      <c r="AO118" s="52"/>
      <c r="AP118" s="52"/>
      <c r="AQ118" s="52"/>
      <c r="AR118" s="52" t="s">
        <v>271</v>
      </c>
      <c r="AS118" s="52" t="s">
        <v>268</v>
      </c>
      <c r="AT118" s="52"/>
      <c r="AU118" s="52"/>
      <c r="AV118" s="52"/>
      <c r="AW118" s="52"/>
      <c r="AX118" s="52"/>
      <c r="AY118" s="52"/>
      <c r="AZ118" s="52"/>
      <c r="BA118" s="52"/>
      <c r="BB118" s="52"/>
      <c r="BC118" s="52"/>
      <c r="BD118" s="52"/>
      <c r="BE118" s="52"/>
      <c r="BF118" s="52"/>
      <c r="BG118" s="52"/>
      <c r="BH118" s="52" t="s">
        <v>268</v>
      </c>
      <c r="BI118" s="52" t="s">
        <v>268</v>
      </c>
      <c r="BJ118" s="52" t="s">
        <v>268</v>
      </c>
      <c r="BK118" s="52"/>
      <c r="BL118" s="52"/>
      <c r="BM118" s="52"/>
      <c r="BN118" s="52"/>
      <c r="BO118" s="52"/>
      <c r="BP118" s="52"/>
      <c r="BQ118" s="52"/>
      <c r="BR118" s="52"/>
      <c r="BS118" s="52"/>
      <c r="BT118" s="52"/>
      <c r="BU118" s="52"/>
      <c r="BV118" s="52"/>
      <c r="BW118" s="52"/>
      <c r="BX118" s="52"/>
      <c r="BY118" s="311"/>
    </row>
    <row r="119" spans="1:77" s="110" customFormat="1" ht="12.75" customHeight="1" x14ac:dyDescent="0.2">
      <c r="A119" s="582"/>
      <c r="B119" s="322">
        <v>13</v>
      </c>
      <c r="C119" s="52" t="s">
        <v>240</v>
      </c>
      <c r="D119" s="52"/>
      <c r="E119" s="52"/>
      <c r="F119" s="52"/>
      <c r="G119" s="52"/>
      <c r="H119" s="52"/>
      <c r="I119" s="52"/>
      <c r="J119" s="52"/>
      <c r="K119" s="52"/>
      <c r="L119" s="52"/>
      <c r="M119" s="52"/>
      <c r="N119" s="52"/>
      <c r="O119" s="52"/>
      <c r="P119" s="52"/>
      <c r="Q119" s="52"/>
      <c r="R119" s="52"/>
      <c r="S119" s="52"/>
      <c r="T119" s="52"/>
      <c r="U119" s="52" t="s">
        <v>257</v>
      </c>
      <c r="V119" s="52" t="s">
        <v>268</v>
      </c>
      <c r="W119" s="52" t="s">
        <v>257</v>
      </c>
      <c r="X119" s="52"/>
      <c r="Y119" s="52"/>
      <c r="Z119" s="52"/>
      <c r="AA119" s="52"/>
      <c r="AB119" s="52"/>
      <c r="AC119" s="52"/>
      <c r="AD119" s="52"/>
      <c r="AE119" s="52"/>
      <c r="AF119" s="52"/>
      <c r="AG119" s="52"/>
      <c r="AH119" s="52"/>
      <c r="AI119" s="52"/>
      <c r="AJ119" s="52"/>
      <c r="AK119" s="52"/>
      <c r="AL119" s="52"/>
      <c r="AM119" s="52"/>
      <c r="AN119" s="52"/>
      <c r="AO119" s="52"/>
      <c r="AP119" s="52"/>
      <c r="AQ119" s="52"/>
      <c r="AR119" s="52" t="s">
        <v>268</v>
      </c>
      <c r="AS119" s="52" t="s">
        <v>257</v>
      </c>
      <c r="AT119" s="52"/>
      <c r="AU119" s="52"/>
      <c r="AV119" s="52"/>
      <c r="AW119" s="52"/>
      <c r="AX119" s="52"/>
      <c r="AY119" s="52"/>
      <c r="AZ119" s="52"/>
      <c r="BA119" s="52"/>
      <c r="BB119" s="52"/>
      <c r="BC119" s="52"/>
      <c r="BD119" s="52"/>
      <c r="BE119" s="52"/>
      <c r="BF119" s="52"/>
      <c r="BG119" s="52"/>
      <c r="BH119" s="52" t="s">
        <v>257</v>
      </c>
      <c r="BI119" s="52" t="s">
        <v>257</v>
      </c>
      <c r="BJ119" s="52" t="s">
        <v>257</v>
      </c>
      <c r="BK119" s="52"/>
      <c r="BL119" s="52"/>
      <c r="BM119" s="52"/>
      <c r="BN119" s="52"/>
      <c r="BO119" s="52"/>
      <c r="BP119" s="52"/>
      <c r="BQ119" s="52"/>
      <c r="BR119" s="52"/>
      <c r="BS119" s="52"/>
      <c r="BT119" s="52"/>
      <c r="BU119" s="52"/>
      <c r="BV119" s="52"/>
      <c r="BW119" s="52"/>
      <c r="BX119" s="52"/>
      <c r="BY119" s="311"/>
    </row>
    <row r="120" spans="1:77" s="110" customFormat="1" ht="12.75" customHeight="1" x14ac:dyDescent="0.2">
      <c r="A120" s="582"/>
      <c r="B120" s="322">
        <v>14</v>
      </c>
      <c r="C120" s="52"/>
      <c r="D120" s="52"/>
      <c r="E120" s="52"/>
      <c r="F120" s="52"/>
      <c r="G120" s="52"/>
      <c r="H120" s="52"/>
      <c r="I120" s="52"/>
      <c r="J120" s="52"/>
      <c r="K120" s="52"/>
      <c r="L120" s="52"/>
      <c r="M120" s="52"/>
      <c r="N120" s="52"/>
      <c r="O120" s="52"/>
      <c r="P120" s="52"/>
      <c r="Q120" s="52"/>
      <c r="R120" s="52"/>
      <c r="S120" s="52"/>
      <c r="T120" s="52"/>
      <c r="U120" s="52" t="s">
        <v>247</v>
      </c>
      <c r="V120" s="52" t="s">
        <v>257</v>
      </c>
      <c r="W120" s="52" t="s">
        <v>247</v>
      </c>
      <c r="X120" s="52"/>
      <c r="Y120" s="52"/>
      <c r="Z120" s="52"/>
      <c r="AA120" s="52"/>
      <c r="AB120" s="52"/>
      <c r="AC120" s="52"/>
      <c r="AD120" s="52"/>
      <c r="AE120" s="52"/>
      <c r="AF120" s="52"/>
      <c r="AG120" s="52"/>
      <c r="AH120" s="52"/>
      <c r="AI120" s="52"/>
      <c r="AJ120" s="52"/>
      <c r="AK120" s="52"/>
      <c r="AL120" s="52"/>
      <c r="AM120" s="52"/>
      <c r="AN120" s="52"/>
      <c r="AO120" s="52"/>
      <c r="AP120" s="52"/>
      <c r="AQ120" s="52"/>
      <c r="AR120" s="52" t="s">
        <v>257</v>
      </c>
      <c r="AS120" s="52" t="s">
        <v>247</v>
      </c>
      <c r="AT120" s="52"/>
      <c r="AU120" s="52"/>
      <c r="AV120" s="52"/>
      <c r="AW120" s="52"/>
      <c r="AX120" s="52"/>
      <c r="AY120" s="52"/>
      <c r="AZ120" s="52"/>
      <c r="BA120" s="52"/>
      <c r="BB120" s="52"/>
      <c r="BC120" s="52"/>
      <c r="BD120" s="52"/>
      <c r="BE120" s="52"/>
      <c r="BF120" s="52"/>
      <c r="BG120" s="52"/>
      <c r="BH120" s="52" t="s">
        <v>247</v>
      </c>
      <c r="BI120" s="52" t="s">
        <v>247</v>
      </c>
      <c r="BJ120" s="52" t="s">
        <v>247</v>
      </c>
      <c r="BK120" s="52"/>
      <c r="BL120" s="52"/>
      <c r="BM120" s="52"/>
      <c r="BN120" s="52"/>
      <c r="BO120" s="52"/>
      <c r="BP120" s="52"/>
      <c r="BQ120" s="52"/>
      <c r="BR120" s="52"/>
      <c r="BS120" s="52"/>
      <c r="BT120" s="52"/>
      <c r="BU120" s="52"/>
      <c r="BV120" s="52"/>
      <c r="BW120" s="52"/>
      <c r="BX120" s="52"/>
      <c r="BY120" s="311"/>
    </row>
    <row r="121" spans="1:77" s="110" customFormat="1" ht="12.75" customHeight="1" x14ac:dyDescent="0.2">
      <c r="A121" s="582"/>
      <c r="B121" s="322">
        <v>15</v>
      </c>
      <c r="C121" s="52"/>
      <c r="D121" s="52"/>
      <c r="E121" s="52"/>
      <c r="F121" s="52"/>
      <c r="G121" s="52"/>
      <c r="H121" s="52"/>
      <c r="I121" s="52"/>
      <c r="J121" s="52"/>
      <c r="K121" s="52"/>
      <c r="L121" s="52"/>
      <c r="M121" s="52"/>
      <c r="N121" s="52"/>
      <c r="O121" s="52"/>
      <c r="P121" s="52"/>
      <c r="Q121" s="52"/>
      <c r="R121" s="52"/>
      <c r="S121" s="52"/>
      <c r="T121" s="52"/>
      <c r="U121" s="52" t="s">
        <v>244</v>
      </c>
      <c r="V121" s="52" t="s">
        <v>247</v>
      </c>
      <c r="W121" s="52" t="s">
        <v>244</v>
      </c>
      <c r="X121" s="52"/>
      <c r="Y121" s="52"/>
      <c r="Z121" s="52"/>
      <c r="AA121" s="52"/>
      <c r="AB121" s="52"/>
      <c r="AC121" s="52"/>
      <c r="AD121" s="52"/>
      <c r="AE121" s="52"/>
      <c r="AF121" s="52"/>
      <c r="AG121" s="52"/>
      <c r="AH121" s="52"/>
      <c r="AI121" s="52"/>
      <c r="AJ121" s="52"/>
      <c r="AK121" s="52"/>
      <c r="AL121" s="52"/>
      <c r="AM121" s="52"/>
      <c r="AN121" s="52"/>
      <c r="AO121" s="52"/>
      <c r="AP121" s="52"/>
      <c r="AQ121" s="52"/>
      <c r="AR121" s="52" t="s">
        <v>247</v>
      </c>
      <c r="AS121" s="52" t="s">
        <v>246</v>
      </c>
      <c r="AT121" s="52"/>
      <c r="AU121" s="52"/>
      <c r="AV121" s="52"/>
      <c r="AW121" s="52"/>
      <c r="AX121" s="52"/>
      <c r="AY121" s="52"/>
      <c r="AZ121" s="52"/>
      <c r="BA121" s="52"/>
      <c r="BB121" s="52"/>
      <c r="BC121" s="52"/>
      <c r="BD121" s="52"/>
      <c r="BE121" s="52"/>
      <c r="BF121" s="52"/>
      <c r="BG121" s="52"/>
      <c r="BH121" s="52" t="s">
        <v>244</v>
      </c>
      <c r="BI121" s="52" t="s">
        <v>244</v>
      </c>
      <c r="BJ121" s="52" t="s">
        <v>244</v>
      </c>
      <c r="BK121" s="52"/>
      <c r="BL121" s="52"/>
      <c r="BM121" s="52"/>
      <c r="BN121" s="52"/>
      <c r="BO121" s="52"/>
      <c r="BP121" s="52"/>
      <c r="BQ121" s="52"/>
      <c r="BR121" s="52"/>
      <c r="BS121" s="52"/>
      <c r="BT121" s="52"/>
      <c r="BU121" s="52"/>
      <c r="BV121" s="52"/>
      <c r="BW121" s="52"/>
      <c r="BX121" s="52"/>
      <c r="BY121" s="311"/>
    </row>
    <row r="122" spans="1:77" s="110" customFormat="1" ht="12.75" customHeight="1" x14ac:dyDescent="0.2">
      <c r="A122" s="582"/>
      <c r="B122" s="322">
        <v>16</v>
      </c>
      <c r="C122" s="52"/>
      <c r="D122" s="52"/>
      <c r="E122" s="52"/>
      <c r="F122" s="52"/>
      <c r="G122" s="52"/>
      <c r="H122" s="52"/>
      <c r="I122" s="52"/>
      <c r="J122" s="52"/>
      <c r="K122" s="52"/>
      <c r="L122" s="52"/>
      <c r="M122" s="52"/>
      <c r="N122" s="52"/>
      <c r="O122" s="52"/>
      <c r="P122" s="52"/>
      <c r="Q122" s="52"/>
      <c r="R122" s="52"/>
      <c r="S122" s="52"/>
      <c r="T122" s="52"/>
      <c r="U122" s="52" t="s">
        <v>243</v>
      </c>
      <c r="V122" s="52" t="s">
        <v>246</v>
      </c>
      <c r="W122" s="52" t="s">
        <v>243</v>
      </c>
      <c r="X122" s="52"/>
      <c r="Y122" s="52"/>
      <c r="Z122" s="52"/>
      <c r="AA122" s="52"/>
      <c r="AB122" s="52"/>
      <c r="AC122" s="52"/>
      <c r="AD122" s="52"/>
      <c r="AE122" s="52"/>
      <c r="AF122" s="52"/>
      <c r="AG122" s="52"/>
      <c r="AH122" s="52"/>
      <c r="AI122" s="52"/>
      <c r="AJ122" s="52"/>
      <c r="AK122" s="52"/>
      <c r="AL122" s="52"/>
      <c r="AM122" s="52"/>
      <c r="AN122" s="52"/>
      <c r="AO122" s="52"/>
      <c r="AP122" s="52"/>
      <c r="AQ122" s="52"/>
      <c r="AR122" s="52" t="s">
        <v>246</v>
      </c>
      <c r="AS122" s="52" t="s">
        <v>244</v>
      </c>
      <c r="AT122" s="52"/>
      <c r="AU122" s="52"/>
      <c r="AV122" s="52"/>
      <c r="AW122" s="52"/>
      <c r="AX122" s="52"/>
      <c r="AY122" s="52"/>
      <c r="AZ122" s="52"/>
      <c r="BA122" s="52"/>
      <c r="BB122" s="52"/>
      <c r="BC122" s="52"/>
      <c r="BD122" s="52"/>
      <c r="BE122" s="52"/>
      <c r="BF122" s="52"/>
      <c r="BG122" s="52"/>
      <c r="BH122" s="52" t="s">
        <v>243</v>
      </c>
      <c r="BI122" s="52" t="s">
        <v>243</v>
      </c>
      <c r="BJ122" s="52" t="s">
        <v>243</v>
      </c>
      <c r="BK122" s="52"/>
      <c r="BL122" s="52"/>
      <c r="BM122" s="52"/>
      <c r="BN122" s="52"/>
      <c r="BO122" s="52"/>
      <c r="BP122" s="52"/>
      <c r="BQ122" s="52"/>
      <c r="BR122" s="52"/>
      <c r="BS122" s="52"/>
      <c r="BT122" s="52"/>
      <c r="BU122" s="52"/>
      <c r="BV122" s="52"/>
      <c r="BW122" s="52"/>
      <c r="BX122" s="52"/>
      <c r="BY122" s="311"/>
    </row>
    <row r="123" spans="1:77" s="110" customFormat="1" ht="12.75" customHeight="1" x14ac:dyDescent="0.2">
      <c r="A123" s="582"/>
      <c r="B123" s="322">
        <v>17</v>
      </c>
      <c r="C123" s="52"/>
      <c r="D123" s="52"/>
      <c r="E123" s="52"/>
      <c r="F123" s="52"/>
      <c r="G123" s="52"/>
      <c r="H123" s="52"/>
      <c r="I123" s="52"/>
      <c r="J123" s="52"/>
      <c r="K123" s="52"/>
      <c r="L123" s="52"/>
      <c r="M123" s="52"/>
      <c r="N123" s="52"/>
      <c r="O123" s="52"/>
      <c r="P123" s="52"/>
      <c r="Q123" s="52"/>
      <c r="R123" s="52"/>
      <c r="S123" s="52"/>
      <c r="T123" s="52"/>
      <c r="U123" s="52" t="s">
        <v>241</v>
      </c>
      <c r="V123" s="52" t="s">
        <v>244</v>
      </c>
      <c r="W123" s="52" t="s">
        <v>241</v>
      </c>
      <c r="X123" s="52"/>
      <c r="Y123" s="52"/>
      <c r="Z123" s="52"/>
      <c r="AA123" s="52"/>
      <c r="AB123" s="52"/>
      <c r="AC123" s="52"/>
      <c r="AD123" s="52"/>
      <c r="AE123" s="52"/>
      <c r="AF123" s="52"/>
      <c r="AG123" s="52"/>
      <c r="AH123" s="52"/>
      <c r="AI123" s="52"/>
      <c r="AJ123" s="52"/>
      <c r="AK123" s="52"/>
      <c r="AL123" s="52"/>
      <c r="AM123" s="52"/>
      <c r="AN123" s="52"/>
      <c r="AO123" s="52"/>
      <c r="AP123" s="52"/>
      <c r="AQ123" s="52"/>
      <c r="AR123" s="52" t="s">
        <v>244</v>
      </c>
      <c r="AS123" s="52" t="s">
        <v>243</v>
      </c>
      <c r="AT123" s="52"/>
      <c r="AU123" s="52"/>
      <c r="AV123" s="52"/>
      <c r="AW123" s="52"/>
      <c r="AX123" s="52"/>
      <c r="AY123" s="52"/>
      <c r="AZ123" s="52"/>
      <c r="BA123" s="52"/>
      <c r="BB123" s="52"/>
      <c r="BC123" s="52"/>
      <c r="BD123" s="52"/>
      <c r="BE123" s="52"/>
      <c r="BF123" s="52"/>
      <c r="BG123" s="52"/>
      <c r="BH123" s="52" t="s">
        <v>241</v>
      </c>
      <c r="BI123" s="52" t="s">
        <v>241</v>
      </c>
      <c r="BJ123" s="52" t="s">
        <v>241</v>
      </c>
      <c r="BK123" s="52"/>
      <c r="BL123" s="52"/>
      <c r="BM123" s="52"/>
      <c r="BN123" s="52"/>
      <c r="BO123" s="52"/>
      <c r="BP123" s="52"/>
      <c r="BQ123" s="52"/>
      <c r="BR123" s="52"/>
      <c r="BS123" s="52"/>
      <c r="BT123" s="52"/>
      <c r="BU123" s="52"/>
      <c r="BV123" s="52"/>
      <c r="BW123" s="52"/>
      <c r="BX123" s="52"/>
      <c r="BY123" s="311"/>
    </row>
    <row r="124" spans="1:77" s="110" customFormat="1" ht="12.75" customHeight="1" x14ac:dyDescent="0.2">
      <c r="A124" s="582"/>
      <c r="B124" s="322">
        <v>18</v>
      </c>
      <c r="C124" s="52"/>
      <c r="D124" s="52"/>
      <c r="E124" s="52"/>
      <c r="F124" s="52"/>
      <c r="G124" s="52"/>
      <c r="H124" s="52"/>
      <c r="I124" s="52"/>
      <c r="J124" s="52"/>
      <c r="K124" s="52"/>
      <c r="L124" s="52"/>
      <c r="M124" s="52"/>
      <c r="N124" s="52"/>
      <c r="O124" s="52"/>
      <c r="P124" s="52"/>
      <c r="Q124" s="52"/>
      <c r="R124" s="52"/>
      <c r="S124" s="52"/>
      <c r="T124" s="52"/>
      <c r="U124" s="52"/>
      <c r="V124" s="52" t="s">
        <v>243</v>
      </c>
      <c r="W124" s="52"/>
      <c r="X124" s="52"/>
      <c r="Y124" s="52"/>
      <c r="Z124" s="52"/>
      <c r="AA124" s="52"/>
      <c r="AB124" s="52"/>
      <c r="AC124" s="52"/>
      <c r="AD124" s="52"/>
      <c r="AE124" s="52"/>
      <c r="AF124" s="52"/>
      <c r="AG124" s="52"/>
      <c r="AH124" s="52"/>
      <c r="AI124" s="52"/>
      <c r="AJ124" s="52"/>
      <c r="AK124" s="52"/>
      <c r="AL124" s="52"/>
      <c r="AM124" s="52"/>
      <c r="AN124" s="52"/>
      <c r="AO124" s="52"/>
      <c r="AP124" s="52"/>
      <c r="AQ124" s="52"/>
      <c r="AR124" s="52" t="s">
        <v>243</v>
      </c>
      <c r="AS124" s="52" t="s">
        <v>241</v>
      </c>
      <c r="AT124" s="52"/>
      <c r="AU124" s="52"/>
      <c r="AV124" s="52"/>
      <c r="AW124" s="52"/>
      <c r="AX124" s="52"/>
      <c r="AY124" s="52"/>
      <c r="AZ124" s="52"/>
      <c r="BA124" s="52"/>
      <c r="BB124" s="52"/>
      <c r="BC124" s="52"/>
      <c r="BD124" s="52"/>
      <c r="BE124" s="52"/>
      <c r="BF124" s="52"/>
      <c r="BG124" s="52"/>
      <c r="BH124" s="52"/>
      <c r="BI124" s="52"/>
      <c r="BJ124" s="52"/>
      <c r="BK124" s="52"/>
      <c r="BL124" s="52"/>
      <c r="BM124" s="52"/>
      <c r="BN124" s="52"/>
      <c r="BO124" s="52"/>
      <c r="BP124" s="52"/>
      <c r="BQ124" s="52"/>
      <c r="BR124" s="52"/>
      <c r="BS124" s="52"/>
      <c r="BT124" s="52"/>
      <c r="BU124" s="52"/>
      <c r="BV124" s="52"/>
      <c r="BW124" s="52"/>
      <c r="BX124" s="52"/>
      <c r="BY124" s="311"/>
    </row>
    <row r="125" spans="1:77" s="110" customFormat="1" ht="12.75" customHeight="1" x14ac:dyDescent="0.2">
      <c r="A125" s="582"/>
      <c r="B125" s="322">
        <v>19</v>
      </c>
      <c r="C125" s="52"/>
      <c r="D125" s="52"/>
      <c r="E125" s="52"/>
      <c r="F125" s="52"/>
      <c r="G125" s="52"/>
      <c r="H125" s="52"/>
      <c r="I125" s="52"/>
      <c r="J125" s="52"/>
      <c r="K125" s="52"/>
      <c r="L125" s="52"/>
      <c r="M125" s="52"/>
      <c r="N125" s="52"/>
      <c r="O125" s="52"/>
      <c r="P125" s="52"/>
      <c r="Q125" s="52"/>
      <c r="R125" s="52"/>
      <c r="S125" s="52"/>
      <c r="T125" s="52"/>
      <c r="U125" s="52"/>
      <c r="V125" s="52" t="s">
        <v>241</v>
      </c>
      <c r="W125" s="52"/>
      <c r="X125" s="52"/>
      <c r="Y125" s="52"/>
      <c r="Z125" s="52"/>
      <c r="AA125" s="52"/>
      <c r="AB125" s="52"/>
      <c r="AC125" s="52"/>
      <c r="AD125" s="52"/>
      <c r="AE125" s="52"/>
      <c r="AF125" s="52"/>
      <c r="AG125" s="52"/>
      <c r="AH125" s="52"/>
      <c r="AI125" s="52"/>
      <c r="AJ125" s="52"/>
      <c r="AK125" s="52"/>
      <c r="AL125" s="52"/>
      <c r="AM125" s="52"/>
      <c r="AN125" s="52"/>
      <c r="AO125" s="52"/>
      <c r="AP125" s="52"/>
      <c r="AQ125" s="52"/>
      <c r="AR125" s="52" t="s">
        <v>241</v>
      </c>
      <c r="AS125" s="52"/>
      <c r="AT125" s="52"/>
      <c r="AU125" s="52"/>
      <c r="AV125" s="52"/>
      <c r="AW125" s="52"/>
      <c r="AX125" s="52"/>
      <c r="AY125" s="52"/>
      <c r="AZ125" s="52"/>
      <c r="BA125" s="52"/>
      <c r="BB125" s="52"/>
      <c r="BC125" s="52"/>
      <c r="BD125" s="52"/>
      <c r="BE125" s="52"/>
      <c r="BF125" s="52"/>
      <c r="BG125" s="52"/>
      <c r="BH125" s="52"/>
      <c r="BI125" s="52"/>
      <c r="BJ125" s="52"/>
      <c r="BK125" s="52"/>
      <c r="BL125" s="52"/>
      <c r="BM125" s="52"/>
      <c r="BN125" s="52"/>
      <c r="BO125" s="52"/>
      <c r="BP125" s="52"/>
      <c r="BQ125" s="52"/>
      <c r="BR125" s="52"/>
      <c r="BS125" s="52"/>
      <c r="BT125" s="52"/>
      <c r="BU125" s="52"/>
      <c r="BV125" s="52"/>
      <c r="BW125" s="52"/>
      <c r="BX125" s="52"/>
      <c r="BY125" s="311"/>
    </row>
    <row r="126" spans="1:77" s="110" customFormat="1" ht="12.75" customHeight="1" x14ac:dyDescent="0.2">
      <c r="A126" s="582"/>
      <c r="B126" s="322">
        <v>20</v>
      </c>
      <c r="C126" s="52"/>
      <c r="D126" s="52"/>
      <c r="E126" s="52"/>
      <c r="F126" s="52"/>
      <c r="G126" s="52"/>
      <c r="H126" s="52"/>
      <c r="I126" s="52"/>
      <c r="J126" s="52"/>
      <c r="K126" s="52"/>
      <c r="L126" s="52"/>
      <c r="M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52"/>
      <c r="BI126" s="52"/>
      <c r="BJ126" s="52"/>
      <c r="BK126" s="52"/>
      <c r="BL126" s="52"/>
      <c r="BM126" s="52"/>
      <c r="BN126" s="52"/>
      <c r="BO126" s="52"/>
      <c r="BP126" s="52"/>
      <c r="BQ126" s="52"/>
      <c r="BR126" s="52"/>
      <c r="BS126" s="52"/>
      <c r="BT126" s="52"/>
      <c r="BU126" s="52"/>
      <c r="BV126" s="52"/>
      <c r="BW126" s="52"/>
      <c r="BX126" s="52"/>
      <c r="BY126" s="311"/>
    </row>
    <row r="127" spans="1:77" s="110" customFormat="1" ht="12.75" customHeight="1" x14ac:dyDescent="0.2">
      <c r="A127" s="582"/>
      <c r="B127" s="322">
        <v>21</v>
      </c>
      <c r="C127" s="52"/>
      <c r="D127" s="52"/>
      <c r="E127" s="52"/>
      <c r="F127" s="52"/>
      <c r="G127" s="52"/>
      <c r="H127" s="52"/>
      <c r="I127" s="52"/>
      <c r="J127" s="52"/>
      <c r="K127" s="52"/>
      <c r="L127" s="52"/>
      <c r="M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52"/>
      <c r="BI127" s="52"/>
      <c r="BJ127" s="52"/>
      <c r="BK127" s="52"/>
      <c r="BL127" s="52"/>
      <c r="BM127" s="52"/>
      <c r="BN127" s="52"/>
      <c r="BO127" s="52"/>
      <c r="BP127" s="52"/>
      <c r="BQ127" s="52"/>
      <c r="BR127" s="52"/>
      <c r="BS127" s="52"/>
      <c r="BT127" s="52"/>
      <c r="BU127" s="52"/>
      <c r="BV127" s="52"/>
      <c r="BW127" s="52"/>
      <c r="BX127" s="52"/>
      <c r="BY127" s="311"/>
    </row>
    <row r="128" spans="1:77" s="110" customFormat="1" ht="12.75" customHeight="1" x14ac:dyDescent="0.2">
      <c r="A128" s="582"/>
      <c r="B128" s="322">
        <v>22</v>
      </c>
      <c r="C128" s="52"/>
      <c r="D128" s="52"/>
      <c r="E128" s="52"/>
      <c r="F128" s="52"/>
      <c r="G128" s="52"/>
      <c r="H128" s="52"/>
      <c r="I128" s="52"/>
      <c r="J128" s="52"/>
      <c r="K128" s="52"/>
      <c r="L128" s="52"/>
      <c r="M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52"/>
      <c r="BI128" s="52"/>
      <c r="BJ128" s="52"/>
      <c r="BK128" s="52"/>
      <c r="BL128" s="52"/>
      <c r="BM128" s="52"/>
      <c r="BN128" s="52"/>
      <c r="BO128" s="52"/>
      <c r="BP128" s="52"/>
      <c r="BQ128" s="52"/>
      <c r="BR128" s="52"/>
      <c r="BS128" s="52"/>
      <c r="BT128" s="52"/>
      <c r="BU128" s="52"/>
      <c r="BV128" s="52"/>
      <c r="BW128" s="52"/>
      <c r="BX128" s="52"/>
      <c r="BY128" s="311"/>
    </row>
    <row r="129" spans="1:77" s="110" customFormat="1" ht="12.75" customHeight="1" x14ac:dyDescent="0.2">
      <c r="A129" s="582"/>
      <c r="B129" s="322">
        <v>23</v>
      </c>
      <c r="C129" s="52"/>
      <c r="D129" s="52"/>
      <c r="E129" s="52"/>
      <c r="F129" s="52"/>
      <c r="G129" s="52"/>
      <c r="H129" s="52"/>
      <c r="I129" s="52"/>
      <c r="J129" s="52"/>
      <c r="K129" s="52"/>
      <c r="L129" s="52"/>
      <c r="M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52"/>
      <c r="BI129" s="52"/>
      <c r="BJ129" s="52"/>
      <c r="BK129" s="52"/>
      <c r="BL129" s="52"/>
      <c r="BM129" s="52"/>
      <c r="BN129" s="52"/>
      <c r="BO129" s="52"/>
      <c r="BP129" s="52"/>
      <c r="BQ129" s="52"/>
      <c r="BR129" s="52"/>
      <c r="BS129" s="52"/>
      <c r="BT129" s="52"/>
      <c r="BU129" s="52"/>
      <c r="BV129" s="52"/>
      <c r="BW129" s="52"/>
      <c r="BX129" s="52"/>
      <c r="BY129" s="311"/>
    </row>
    <row r="130" spans="1:77" s="110" customFormat="1" ht="12.75" customHeight="1" x14ac:dyDescent="0.2">
      <c r="A130" s="582"/>
      <c r="B130" s="322">
        <v>24</v>
      </c>
      <c r="C130" s="52"/>
      <c r="D130" s="52"/>
      <c r="E130" s="52"/>
      <c r="F130" s="52"/>
      <c r="G130" s="52"/>
      <c r="H130" s="52"/>
      <c r="I130" s="52"/>
      <c r="J130" s="52"/>
      <c r="K130" s="52"/>
      <c r="L130" s="52"/>
      <c r="M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52"/>
      <c r="BI130" s="52"/>
      <c r="BJ130" s="52"/>
      <c r="BK130" s="52"/>
      <c r="BL130" s="52"/>
      <c r="BM130" s="52"/>
      <c r="BN130" s="52"/>
      <c r="BO130" s="52"/>
      <c r="BP130" s="52"/>
      <c r="BQ130" s="52"/>
      <c r="BR130" s="52"/>
      <c r="BS130" s="52"/>
      <c r="BT130" s="52"/>
      <c r="BU130" s="52"/>
      <c r="BV130" s="52"/>
      <c r="BW130" s="52"/>
      <c r="BX130" s="52"/>
      <c r="BY130" s="311"/>
    </row>
    <row r="131" spans="1:77" s="110" customFormat="1" x14ac:dyDescent="0.2">
      <c r="A131" s="582"/>
      <c r="B131" s="322">
        <v>25</v>
      </c>
      <c r="C131" s="52"/>
      <c r="D131" s="52"/>
      <c r="E131" s="52"/>
      <c r="F131" s="52"/>
      <c r="G131" s="52"/>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52"/>
      <c r="BI131" s="52"/>
      <c r="BJ131" s="52"/>
      <c r="BK131" s="52"/>
      <c r="BL131" s="52"/>
      <c r="BM131" s="52"/>
      <c r="BN131" s="52"/>
      <c r="BO131" s="52"/>
      <c r="BP131" s="52"/>
      <c r="BQ131" s="52"/>
      <c r="BR131" s="52"/>
      <c r="BS131" s="52"/>
      <c r="BT131" s="52"/>
      <c r="BU131" s="52"/>
      <c r="BV131" s="52"/>
      <c r="BW131" s="52"/>
      <c r="BX131" s="52"/>
      <c r="BY131" s="311"/>
    </row>
  </sheetData>
  <mergeCells count="3">
    <mergeCell ref="A107:A131"/>
    <mergeCell ref="C1:BX1"/>
    <mergeCell ref="A1:B1"/>
  </mergeCells>
  <pageMargins left="0.70866141732283472" right="0.70866141732283472" top="0.74803149606299213" bottom="0.74803149606299213" header="0.31496062992125984" footer="0.31496062992125984"/>
  <pageSetup paperSize="8" orientation="landscape" r:id="rId1"/>
  <headerFooter>
    <oddHeader>&amp;LStructures Asset Management Planning Toolkit</oddHeader>
    <oddFooter>&amp;L&amp;A&amp;R&amp;P of &amp;N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_Ref0304ii">
    <tabColor rgb="FFFFFF85"/>
  </sheetPr>
  <dimension ref="A1:AA427"/>
  <sheetViews>
    <sheetView showGridLines="0" topLeftCell="A2" zoomScale="70" zoomScaleNormal="70" workbookViewId="0">
      <selection activeCell="B5" sqref="B5"/>
    </sheetView>
  </sheetViews>
  <sheetFormatPr defaultColWidth="9.140625" defaultRowHeight="12.75" customHeight="1" x14ac:dyDescent="0.2"/>
  <cols>
    <col min="1" max="1" width="46.85546875" style="19" customWidth="1"/>
    <col min="2" max="2" width="23" style="19" customWidth="1"/>
    <col min="3" max="9" width="9" style="19" customWidth="1"/>
    <col min="10" max="10" width="9.28515625" style="19" customWidth="1"/>
    <col min="11" max="18" width="9" style="19" customWidth="1"/>
    <col min="19" max="19" width="11.140625" style="19" customWidth="1"/>
    <col min="20" max="20" width="26" style="19" bestFit="1" customWidth="1"/>
    <col min="21" max="21" width="68" style="19" bestFit="1" customWidth="1"/>
    <col min="22" max="22" width="47.5703125" style="19" customWidth="1"/>
    <col min="23" max="23" width="13.5703125" style="19" customWidth="1"/>
    <col min="24" max="26" width="36" style="19" customWidth="1"/>
    <col min="27" max="27" width="23.5703125" style="113" customWidth="1"/>
    <col min="28" max="16384" width="9.140625" style="19"/>
  </cols>
  <sheetData>
    <row r="1" spans="1:27" ht="12.75" hidden="1" customHeight="1" x14ac:dyDescent="0.2">
      <c r="W1" s="311">
        <f>IF(V1="",T1,V1*T1)</f>
        <v>0</v>
      </c>
      <c r="X1" s="311" t="str">
        <f>IF(COUNTIF('Ref03&amp;04i'!$B$3:$B$105,A1)=1,"Valid","The component/material type is not recognised.")</f>
        <v>The component/material type is not recognised.</v>
      </c>
      <c r="Y1" s="311" t="str">
        <f>IF(COUNTIF($Z$4:$Z$427,Z1)=1,"Unambiguous","This is an ambiguous deterioration rule.")</f>
        <v>This is an ambiguous deterioration rule.</v>
      </c>
      <c r="Z1" s="311" t="str">
        <f>CONCATENATE(A1,B1)</f>
        <v/>
      </c>
    </row>
    <row r="2" spans="1:27" ht="42.6" customHeight="1" x14ac:dyDescent="0.2">
      <c r="A2" s="321" t="s">
        <v>314</v>
      </c>
      <c r="B2" s="326" t="s">
        <v>1093</v>
      </c>
      <c r="C2" s="111"/>
      <c r="D2" s="111"/>
      <c r="E2" s="111"/>
      <c r="F2" s="111"/>
      <c r="G2" s="111"/>
      <c r="H2" s="111"/>
      <c r="I2" s="111"/>
      <c r="J2" s="111"/>
      <c r="K2" s="111"/>
      <c r="L2" s="111"/>
      <c r="M2" s="111"/>
      <c r="N2" s="111"/>
      <c r="O2" s="111"/>
      <c r="P2" s="585" t="s">
        <v>5949</v>
      </c>
      <c r="Q2" s="586"/>
      <c r="R2" s="586"/>
      <c r="S2" s="587"/>
      <c r="T2" s="419">
        <f>Main_DeteriorationReductionFactor</f>
        <v>0</v>
      </c>
      <c r="U2" s="588" t="s">
        <v>1847</v>
      </c>
      <c r="V2" s="589"/>
      <c r="W2" s="590"/>
      <c r="X2" s="591"/>
      <c r="Y2" s="591"/>
      <c r="Z2" s="591"/>
    </row>
    <row r="3" spans="1:27" ht="45" x14ac:dyDescent="0.2">
      <c r="A3" s="320" t="s">
        <v>168</v>
      </c>
      <c r="B3" s="320" t="s">
        <v>238</v>
      </c>
      <c r="C3" s="320" t="s">
        <v>66</v>
      </c>
      <c r="D3" s="320" t="s">
        <v>56</v>
      </c>
      <c r="E3" s="320" t="s">
        <v>72</v>
      </c>
      <c r="F3" s="320" t="s">
        <v>99</v>
      </c>
      <c r="G3" s="320" t="s">
        <v>60</v>
      </c>
      <c r="H3" s="320" t="s">
        <v>94</v>
      </c>
      <c r="I3" s="320" t="s">
        <v>84</v>
      </c>
      <c r="J3" s="320" t="s">
        <v>123</v>
      </c>
      <c r="K3" s="320" t="s">
        <v>75</v>
      </c>
      <c r="L3" s="320" t="s">
        <v>63</v>
      </c>
      <c r="M3" s="320" t="s">
        <v>140</v>
      </c>
      <c r="N3" s="320" t="s">
        <v>121</v>
      </c>
      <c r="O3" s="320" t="s">
        <v>87</v>
      </c>
      <c r="P3" s="320" t="s">
        <v>125</v>
      </c>
      <c r="Q3" s="320" t="s">
        <v>134</v>
      </c>
      <c r="R3" s="320" t="s">
        <v>141</v>
      </c>
      <c r="S3" s="320" t="s">
        <v>69</v>
      </c>
      <c r="T3" s="320" t="s">
        <v>1092</v>
      </c>
      <c r="U3" s="320" t="s">
        <v>319</v>
      </c>
      <c r="V3" s="330" t="s">
        <v>5948</v>
      </c>
      <c r="W3" s="320" t="s">
        <v>318</v>
      </c>
      <c r="X3" s="320" t="s">
        <v>164</v>
      </c>
      <c r="Y3" s="320" t="s">
        <v>317</v>
      </c>
      <c r="Z3" s="320" t="s">
        <v>167</v>
      </c>
      <c r="AA3" s="376" t="s">
        <v>320</v>
      </c>
    </row>
    <row r="4" spans="1:27" ht="12.75" customHeight="1" x14ac:dyDescent="0.2">
      <c r="A4" s="311" t="s">
        <v>310</v>
      </c>
      <c r="B4" s="311" t="s">
        <v>236</v>
      </c>
      <c r="C4" s="327">
        <v>0</v>
      </c>
      <c r="D4" s="327">
        <v>0.52847011144883371</v>
      </c>
      <c r="E4" s="327">
        <v>0.56712847855454118</v>
      </c>
      <c r="F4" s="327">
        <v>0.637678647416412</v>
      </c>
      <c r="G4" s="327">
        <v>0.75380775920297083</v>
      </c>
      <c r="H4" s="327">
        <v>0.82141168524147212</v>
      </c>
      <c r="I4" s="327">
        <v>0.84063244680851024</v>
      </c>
      <c r="J4" s="327">
        <v>0.87455208544410623</v>
      </c>
      <c r="K4" s="327">
        <v>0.92639886018237072</v>
      </c>
      <c r="L4" s="327">
        <v>0.95364741641337436</v>
      </c>
      <c r="M4" s="327">
        <v>0.96091284194528881</v>
      </c>
      <c r="N4" s="327">
        <v>0.97316648936170247</v>
      </c>
      <c r="O4" s="327">
        <v>0.99066000506585561</v>
      </c>
      <c r="P4" s="311">
        <v>0.99999999999999978</v>
      </c>
      <c r="Q4" s="311">
        <v>1.0024999999999999</v>
      </c>
      <c r="R4" s="311">
        <v>1.0049999999999999</v>
      </c>
      <c r="S4" s="311">
        <v>1.0075000000000001</v>
      </c>
      <c r="T4" s="311">
        <f t="shared" ref="T4:T67" si="0">IF($T$2&lt;&gt;0,$AA4*$T$2,$AA4)</f>
        <v>75</v>
      </c>
      <c r="U4" s="311"/>
      <c r="V4" s="311"/>
      <c r="W4" s="311">
        <v>75</v>
      </c>
      <c r="X4" s="311" t="s">
        <v>1892</v>
      </c>
      <c r="Y4" s="311" t="s">
        <v>1893</v>
      </c>
      <c r="Z4" s="311" t="s">
        <v>1894</v>
      </c>
      <c r="AA4" s="377">
        <v>75</v>
      </c>
    </row>
    <row r="5" spans="1:27" ht="12.75" customHeight="1" x14ac:dyDescent="0.2">
      <c r="A5" s="311" t="s">
        <v>310</v>
      </c>
      <c r="B5" s="311" t="s">
        <v>23</v>
      </c>
      <c r="C5" s="327">
        <v>0</v>
      </c>
      <c r="D5" s="327">
        <v>0.52847011144883371</v>
      </c>
      <c r="E5" s="327">
        <v>0.56712847855454118</v>
      </c>
      <c r="F5" s="327">
        <v>0.637678647416412</v>
      </c>
      <c r="G5" s="327">
        <v>0.75380775920297083</v>
      </c>
      <c r="H5" s="327">
        <v>0.82141168524147212</v>
      </c>
      <c r="I5" s="327">
        <v>0.84063244680851024</v>
      </c>
      <c r="J5" s="327">
        <v>0.87455208544410623</v>
      </c>
      <c r="K5" s="327">
        <v>0.92639886018237072</v>
      </c>
      <c r="L5" s="327">
        <v>0.95364741641337436</v>
      </c>
      <c r="M5" s="327">
        <v>0.96091284194528881</v>
      </c>
      <c r="N5" s="327">
        <v>0.97316648936170247</v>
      </c>
      <c r="O5" s="327">
        <v>0.99066000506585561</v>
      </c>
      <c r="P5" s="311">
        <v>0.99999999999999978</v>
      </c>
      <c r="Q5" s="311">
        <v>1.0024999999999999</v>
      </c>
      <c r="R5" s="311">
        <v>1.0049999999999999</v>
      </c>
      <c r="S5" s="311">
        <v>1.0075000000000001</v>
      </c>
      <c r="T5" s="311">
        <f t="shared" si="0"/>
        <v>60</v>
      </c>
      <c r="U5" s="311"/>
      <c r="V5" s="311"/>
      <c r="W5" s="311">
        <v>60</v>
      </c>
      <c r="X5" s="311" t="s">
        <v>1892</v>
      </c>
      <c r="Y5" s="311" t="s">
        <v>1893</v>
      </c>
      <c r="Z5" s="311" t="s">
        <v>1895</v>
      </c>
      <c r="AA5" s="377">
        <v>60</v>
      </c>
    </row>
    <row r="6" spans="1:27" ht="12.75" customHeight="1" x14ac:dyDescent="0.2">
      <c r="A6" s="311" t="s">
        <v>310</v>
      </c>
      <c r="B6" s="311" t="s">
        <v>237</v>
      </c>
      <c r="C6" s="327">
        <v>0</v>
      </c>
      <c r="D6" s="327">
        <v>0.52847011144883371</v>
      </c>
      <c r="E6" s="327">
        <v>0.56712847855454118</v>
      </c>
      <c r="F6" s="327">
        <v>0.637678647416412</v>
      </c>
      <c r="G6" s="327">
        <v>0.75380775920297083</v>
      </c>
      <c r="H6" s="327">
        <v>0.82141168524147212</v>
      </c>
      <c r="I6" s="327">
        <v>0.84063244680851024</v>
      </c>
      <c r="J6" s="327">
        <v>0.87455208544410623</v>
      </c>
      <c r="K6" s="327">
        <v>0.92639886018237072</v>
      </c>
      <c r="L6" s="327">
        <v>0.95364741641337436</v>
      </c>
      <c r="M6" s="327">
        <v>0.96091284194528881</v>
      </c>
      <c r="N6" s="327">
        <v>0.97316648936170247</v>
      </c>
      <c r="O6" s="327">
        <v>0.99066000506585561</v>
      </c>
      <c r="P6" s="311">
        <v>0.99999999999999978</v>
      </c>
      <c r="Q6" s="311">
        <v>1.0024999999999999</v>
      </c>
      <c r="R6" s="311">
        <v>1.0049999999999999</v>
      </c>
      <c r="S6" s="311">
        <v>1.0075000000000001</v>
      </c>
      <c r="T6" s="311">
        <f t="shared" si="0"/>
        <v>47</v>
      </c>
      <c r="U6" s="311"/>
      <c r="V6" s="311"/>
      <c r="W6" s="311">
        <v>47</v>
      </c>
      <c r="X6" s="311" t="s">
        <v>1892</v>
      </c>
      <c r="Y6" s="311" t="s">
        <v>1893</v>
      </c>
      <c r="Z6" s="311" t="s">
        <v>1896</v>
      </c>
      <c r="AA6" s="377">
        <v>47</v>
      </c>
    </row>
    <row r="7" spans="1:27" ht="12.75" customHeight="1" x14ac:dyDescent="0.2">
      <c r="A7" s="311" t="s">
        <v>309</v>
      </c>
      <c r="B7" s="311" t="s">
        <v>236</v>
      </c>
      <c r="C7" s="327">
        <v>0</v>
      </c>
      <c r="D7" s="327">
        <v>0.25</v>
      </c>
      <c r="E7" s="327">
        <v>0.27500000000000002</v>
      </c>
      <c r="F7" s="327">
        <v>0.32499999999999996</v>
      </c>
      <c r="G7" s="327">
        <v>0.42500000000000004</v>
      </c>
      <c r="H7" s="327">
        <v>0.5</v>
      </c>
      <c r="I7" s="327">
        <v>0.52500000000000002</v>
      </c>
      <c r="J7" s="327">
        <v>0.57499999999999996</v>
      </c>
      <c r="K7" s="327">
        <v>0.67500000000000004</v>
      </c>
      <c r="L7" s="327">
        <v>0.75</v>
      </c>
      <c r="M7" s="327">
        <v>0.77499999999999991</v>
      </c>
      <c r="N7" s="327">
        <v>0.82499999999999996</v>
      </c>
      <c r="O7" s="327">
        <v>0.92500000000000004</v>
      </c>
      <c r="P7" s="311">
        <v>1</v>
      </c>
      <c r="Q7" s="311">
        <v>1.0024999999999999</v>
      </c>
      <c r="R7" s="311">
        <v>1.0049999999999999</v>
      </c>
      <c r="S7" s="311">
        <v>1.0075000000000001</v>
      </c>
      <c r="T7" s="311">
        <f t="shared" si="0"/>
        <v>60</v>
      </c>
      <c r="U7" s="311"/>
      <c r="V7" s="311"/>
      <c r="W7" s="311">
        <v>60</v>
      </c>
      <c r="X7" s="311" t="s">
        <v>1892</v>
      </c>
      <c r="Y7" s="311" t="s">
        <v>1893</v>
      </c>
      <c r="Z7" s="311" t="s">
        <v>1897</v>
      </c>
      <c r="AA7" s="377">
        <v>60</v>
      </c>
    </row>
    <row r="8" spans="1:27" ht="12.75" customHeight="1" x14ac:dyDescent="0.2">
      <c r="A8" s="311" t="s">
        <v>309</v>
      </c>
      <c r="B8" s="311" t="s">
        <v>23</v>
      </c>
      <c r="C8" s="327">
        <v>0</v>
      </c>
      <c r="D8" s="327">
        <v>0.25</v>
      </c>
      <c r="E8" s="327">
        <v>0.27500000000000002</v>
      </c>
      <c r="F8" s="327">
        <v>0.32499999999999996</v>
      </c>
      <c r="G8" s="327">
        <v>0.42500000000000004</v>
      </c>
      <c r="H8" s="327">
        <v>0.5</v>
      </c>
      <c r="I8" s="327">
        <v>0.52500000000000002</v>
      </c>
      <c r="J8" s="327">
        <v>0.57499999999999996</v>
      </c>
      <c r="K8" s="327">
        <v>0.67500000000000004</v>
      </c>
      <c r="L8" s="327">
        <v>0.75</v>
      </c>
      <c r="M8" s="327">
        <v>0.77499999999999991</v>
      </c>
      <c r="N8" s="327">
        <v>0.82499999999999996</v>
      </c>
      <c r="O8" s="327">
        <v>0.92500000000000004</v>
      </c>
      <c r="P8" s="311">
        <v>1</v>
      </c>
      <c r="Q8" s="311">
        <v>1.0024999999999999</v>
      </c>
      <c r="R8" s="311">
        <v>1.0049999999999999</v>
      </c>
      <c r="S8" s="311">
        <v>1.0075000000000001</v>
      </c>
      <c r="T8" s="311">
        <f t="shared" si="0"/>
        <v>40</v>
      </c>
      <c r="U8" s="311"/>
      <c r="V8" s="311"/>
      <c r="W8" s="311">
        <v>40</v>
      </c>
      <c r="X8" s="311" t="s">
        <v>1892</v>
      </c>
      <c r="Y8" s="311" t="s">
        <v>1893</v>
      </c>
      <c r="Z8" s="311" t="s">
        <v>1898</v>
      </c>
      <c r="AA8" s="377">
        <v>40</v>
      </c>
    </row>
    <row r="9" spans="1:27" ht="12.75" customHeight="1" x14ac:dyDescent="0.2">
      <c r="A9" s="311" t="s">
        <v>309</v>
      </c>
      <c r="B9" s="311" t="s">
        <v>237</v>
      </c>
      <c r="C9" s="327">
        <v>0</v>
      </c>
      <c r="D9" s="327">
        <v>0.25</v>
      </c>
      <c r="E9" s="327">
        <v>0.27500000000000002</v>
      </c>
      <c r="F9" s="327">
        <v>0.32499999999999996</v>
      </c>
      <c r="G9" s="327">
        <v>0.42500000000000004</v>
      </c>
      <c r="H9" s="327">
        <v>0.5</v>
      </c>
      <c r="I9" s="327">
        <v>0.52500000000000002</v>
      </c>
      <c r="J9" s="327">
        <v>0.57499999999999996</v>
      </c>
      <c r="K9" s="327">
        <v>0.67500000000000004</v>
      </c>
      <c r="L9" s="327">
        <v>0.75</v>
      </c>
      <c r="M9" s="327">
        <v>0.77499999999999991</v>
      </c>
      <c r="N9" s="327">
        <v>0.82499999999999996</v>
      </c>
      <c r="O9" s="327">
        <v>0.92500000000000004</v>
      </c>
      <c r="P9" s="311">
        <v>1</v>
      </c>
      <c r="Q9" s="311">
        <v>1.0024999999999999</v>
      </c>
      <c r="R9" s="311">
        <v>1.0049999999999999</v>
      </c>
      <c r="S9" s="311">
        <v>1.0075000000000001</v>
      </c>
      <c r="T9" s="311">
        <f t="shared" si="0"/>
        <v>20</v>
      </c>
      <c r="U9" s="311"/>
      <c r="V9" s="311"/>
      <c r="W9" s="311">
        <v>20</v>
      </c>
      <c r="X9" s="311" t="s">
        <v>1892</v>
      </c>
      <c r="Y9" s="311" t="s">
        <v>1893</v>
      </c>
      <c r="Z9" s="311" t="s">
        <v>1899</v>
      </c>
      <c r="AA9" s="377">
        <v>20</v>
      </c>
    </row>
    <row r="10" spans="1:27" ht="12.75" customHeight="1" x14ac:dyDescent="0.2">
      <c r="A10" s="311" t="s">
        <v>135</v>
      </c>
      <c r="B10" s="311" t="s">
        <v>236</v>
      </c>
      <c r="C10" s="327">
        <v>0</v>
      </c>
      <c r="D10" s="327">
        <v>0.46746031746031602</v>
      </c>
      <c r="E10" s="327">
        <v>0.50121150793650648</v>
      </c>
      <c r="F10" s="327">
        <v>0.56285357142857007</v>
      </c>
      <c r="G10" s="327">
        <v>0.66534087301587164</v>
      </c>
      <c r="H10" s="327">
        <v>0.72698412698412596</v>
      </c>
      <c r="I10" s="327">
        <v>0.74513611111110989</v>
      </c>
      <c r="J10" s="327">
        <v>0.77841309523809454</v>
      </c>
      <c r="K10" s="327">
        <v>0.83550357142857101</v>
      </c>
      <c r="L10" s="327">
        <v>0.8730158730158728</v>
      </c>
      <c r="M10" s="327">
        <v>0.88501309523809479</v>
      </c>
      <c r="N10" s="327">
        <v>0.90881388888888837</v>
      </c>
      <c r="O10" s="327">
        <v>0.95828531746031698</v>
      </c>
      <c r="P10" s="311">
        <v>1.0000000000000002</v>
      </c>
      <c r="Q10" s="311">
        <v>1.0024999999999999</v>
      </c>
      <c r="R10" s="311">
        <v>1.0049999999999999</v>
      </c>
      <c r="S10" s="311">
        <v>1.0075000000000001</v>
      </c>
      <c r="T10" s="311">
        <f t="shared" si="0"/>
        <v>15</v>
      </c>
      <c r="U10" s="311"/>
      <c r="V10" s="311"/>
      <c r="W10" s="311">
        <v>15</v>
      </c>
      <c r="X10" s="311" t="s">
        <v>1892</v>
      </c>
      <c r="Y10" s="311" t="s">
        <v>1893</v>
      </c>
      <c r="Z10" s="311" t="s">
        <v>1900</v>
      </c>
      <c r="AA10" s="377">
        <v>15</v>
      </c>
    </row>
    <row r="11" spans="1:27" ht="12.75" customHeight="1" x14ac:dyDescent="0.2">
      <c r="A11" s="311" t="s">
        <v>135</v>
      </c>
      <c r="B11" s="311" t="s">
        <v>23</v>
      </c>
      <c r="C11" s="327">
        <v>0</v>
      </c>
      <c r="D11" s="327">
        <v>0.46746031746031602</v>
      </c>
      <c r="E11" s="327">
        <v>0.50121150793650648</v>
      </c>
      <c r="F11" s="327">
        <v>0.56285357142857007</v>
      </c>
      <c r="G11" s="327">
        <v>0.66534087301587164</v>
      </c>
      <c r="H11" s="327">
        <v>0.72698412698412596</v>
      </c>
      <c r="I11" s="327">
        <v>0.74513611111110989</v>
      </c>
      <c r="J11" s="327">
        <v>0.77841309523809454</v>
      </c>
      <c r="K11" s="327">
        <v>0.83550357142857101</v>
      </c>
      <c r="L11" s="327">
        <v>0.8730158730158728</v>
      </c>
      <c r="M11" s="327">
        <v>0.88501309523809479</v>
      </c>
      <c r="N11" s="327">
        <v>0.90881388888888837</v>
      </c>
      <c r="O11" s="327">
        <v>0.95828531746031698</v>
      </c>
      <c r="P11" s="311">
        <v>1.0000000000000002</v>
      </c>
      <c r="Q11" s="311">
        <v>1.0024999999999999</v>
      </c>
      <c r="R11" s="311">
        <v>1.0049999999999999</v>
      </c>
      <c r="S11" s="311">
        <v>1.0075000000000001</v>
      </c>
      <c r="T11" s="311">
        <f t="shared" si="0"/>
        <v>8</v>
      </c>
      <c r="U11" s="311"/>
      <c r="V11" s="311"/>
      <c r="W11" s="311">
        <v>8</v>
      </c>
      <c r="X11" s="311" t="s">
        <v>1892</v>
      </c>
      <c r="Y11" s="311" t="s">
        <v>1893</v>
      </c>
      <c r="Z11" s="311" t="s">
        <v>1901</v>
      </c>
      <c r="AA11" s="377">
        <v>8</v>
      </c>
    </row>
    <row r="12" spans="1:27" ht="12.75" customHeight="1" x14ac:dyDescent="0.2">
      <c r="A12" s="311" t="s">
        <v>135</v>
      </c>
      <c r="B12" s="311" t="s">
        <v>237</v>
      </c>
      <c r="C12" s="327">
        <v>0</v>
      </c>
      <c r="D12" s="327">
        <v>0.46746031746031602</v>
      </c>
      <c r="E12" s="327">
        <v>0.50121150793650648</v>
      </c>
      <c r="F12" s="327">
        <v>0.56285357142857007</v>
      </c>
      <c r="G12" s="327">
        <v>0.66534087301587164</v>
      </c>
      <c r="H12" s="327">
        <v>0.72698412698412596</v>
      </c>
      <c r="I12" s="327">
        <v>0.74513611111110989</v>
      </c>
      <c r="J12" s="327">
        <v>0.77841309523809454</v>
      </c>
      <c r="K12" s="327">
        <v>0.83550357142857101</v>
      </c>
      <c r="L12" s="327">
        <v>0.8730158730158728</v>
      </c>
      <c r="M12" s="327">
        <v>0.88501309523809479</v>
      </c>
      <c r="N12" s="327">
        <v>0.90881388888888837</v>
      </c>
      <c r="O12" s="327">
        <v>0.95828531746031698</v>
      </c>
      <c r="P12" s="311">
        <v>1.0000000000000002</v>
      </c>
      <c r="Q12" s="311">
        <v>1.0024999999999999</v>
      </c>
      <c r="R12" s="311">
        <v>1.0049999999999999</v>
      </c>
      <c r="S12" s="311">
        <v>1.0075000000000001</v>
      </c>
      <c r="T12" s="311">
        <f t="shared" si="0"/>
        <v>5</v>
      </c>
      <c r="U12" s="311"/>
      <c r="V12" s="311"/>
      <c r="W12" s="311">
        <v>5</v>
      </c>
      <c r="X12" s="311" t="s">
        <v>1892</v>
      </c>
      <c r="Y12" s="311" t="s">
        <v>1893</v>
      </c>
      <c r="Z12" s="311" t="s">
        <v>1902</v>
      </c>
      <c r="AA12" s="377">
        <v>5</v>
      </c>
    </row>
    <row r="13" spans="1:27" ht="12.75" customHeight="1" x14ac:dyDescent="0.2">
      <c r="A13" s="311" t="s">
        <v>308</v>
      </c>
      <c r="B13" s="311" t="s">
        <v>236</v>
      </c>
      <c r="C13" s="327">
        <v>0</v>
      </c>
      <c r="D13" s="327">
        <v>0.32222222222222235</v>
      </c>
      <c r="E13" s="327">
        <v>0.35475000000000018</v>
      </c>
      <c r="F13" s="327">
        <v>0.41925000000000007</v>
      </c>
      <c r="G13" s="327">
        <v>0.54447222222222247</v>
      </c>
      <c r="H13" s="327">
        <v>0.6333333333333333</v>
      </c>
      <c r="I13" s="327">
        <v>0.66169444444444458</v>
      </c>
      <c r="J13" s="327">
        <v>0.71619444444444436</v>
      </c>
      <c r="K13" s="327">
        <v>0.81475000000000009</v>
      </c>
      <c r="L13" s="327">
        <v>0.87777777777777777</v>
      </c>
      <c r="M13" s="327">
        <v>0.89641666666666664</v>
      </c>
      <c r="N13" s="327">
        <v>0.92980555555555555</v>
      </c>
      <c r="O13" s="327">
        <v>0.97947222222222208</v>
      </c>
      <c r="P13" s="311">
        <v>1</v>
      </c>
      <c r="Q13" s="311">
        <v>1.0024999999999999</v>
      </c>
      <c r="R13" s="311">
        <v>1.0049999999999999</v>
      </c>
      <c r="S13" s="311">
        <v>1.0075000000000001</v>
      </c>
      <c r="T13" s="311">
        <f t="shared" si="0"/>
        <v>300</v>
      </c>
      <c r="U13" s="311"/>
      <c r="V13" s="311"/>
      <c r="W13" s="311">
        <v>300</v>
      </c>
      <c r="X13" s="311" t="s">
        <v>1892</v>
      </c>
      <c r="Y13" s="311" t="s">
        <v>1893</v>
      </c>
      <c r="Z13" s="311" t="s">
        <v>1903</v>
      </c>
      <c r="AA13" s="377">
        <v>300</v>
      </c>
    </row>
    <row r="14" spans="1:27" ht="12.75" customHeight="1" x14ac:dyDescent="0.2">
      <c r="A14" s="311" t="s">
        <v>308</v>
      </c>
      <c r="B14" s="311" t="s">
        <v>23</v>
      </c>
      <c r="C14" s="327">
        <v>0</v>
      </c>
      <c r="D14" s="327">
        <v>0.32222222222222235</v>
      </c>
      <c r="E14" s="327">
        <v>0.35475000000000018</v>
      </c>
      <c r="F14" s="327">
        <v>0.41925000000000007</v>
      </c>
      <c r="G14" s="327">
        <v>0.54447222222222247</v>
      </c>
      <c r="H14" s="327">
        <v>0.6333333333333333</v>
      </c>
      <c r="I14" s="327">
        <v>0.66169444444444458</v>
      </c>
      <c r="J14" s="327">
        <v>0.71619444444444436</v>
      </c>
      <c r="K14" s="327">
        <v>0.81475000000000009</v>
      </c>
      <c r="L14" s="327">
        <v>0.87777777777777777</v>
      </c>
      <c r="M14" s="327">
        <v>0.89641666666666664</v>
      </c>
      <c r="N14" s="327">
        <v>0.92980555555555555</v>
      </c>
      <c r="O14" s="327">
        <v>0.97947222222222208</v>
      </c>
      <c r="P14" s="311">
        <v>1</v>
      </c>
      <c r="Q14" s="311">
        <v>1.0024999999999999</v>
      </c>
      <c r="R14" s="311">
        <v>1.0049999999999999</v>
      </c>
      <c r="S14" s="311">
        <v>1.0075000000000001</v>
      </c>
      <c r="T14" s="311">
        <f t="shared" si="0"/>
        <v>100</v>
      </c>
      <c r="U14" s="311"/>
      <c r="V14" s="311"/>
      <c r="W14" s="311">
        <v>100</v>
      </c>
      <c r="X14" s="311" t="s">
        <v>1892</v>
      </c>
      <c r="Y14" s="311" t="s">
        <v>1893</v>
      </c>
      <c r="Z14" s="311" t="s">
        <v>1904</v>
      </c>
      <c r="AA14" s="377">
        <v>100</v>
      </c>
    </row>
    <row r="15" spans="1:27" ht="12.75" customHeight="1" x14ac:dyDescent="0.2">
      <c r="A15" s="311" t="s">
        <v>308</v>
      </c>
      <c r="B15" s="311" t="s">
        <v>237</v>
      </c>
      <c r="C15" s="327">
        <v>0</v>
      </c>
      <c r="D15" s="327">
        <v>0.32222222222222235</v>
      </c>
      <c r="E15" s="327">
        <v>0.35475000000000018</v>
      </c>
      <c r="F15" s="327">
        <v>0.41925000000000007</v>
      </c>
      <c r="G15" s="327">
        <v>0.54447222222222247</v>
      </c>
      <c r="H15" s="327">
        <v>0.6333333333333333</v>
      </c>
      <c r="I15" s="327">
        <v>0.66169444444444458</v>
      </c>
      <c r="J15" s="327">
        <v>0.71619444444444436</v>
      </c>
      <c r="K15" s="327">
        <v>0.81475000000000009</v>
      </c>
      <c r="L15" s="327">
        <v>0.87777777777777777</v>
      </c>
      <c r="M15" s="327">
        <v>0.89641666666666664</v>
      </c>
      <c r="N15" s="327">
        <v>0.92980555555555555</v>
      </c>
      <c r="O15" s="327">
        <v>0.97947222222222208</v>
      </c>
      <c r="P15" s="311">
        <v>1</v>
      </c>
      <c r="Q15" s="311">
        <v>1.0024999999999999</v>
      </c>
      <c r="R15" s="311">
        <v>1.0049999999999999</v>
      </c>
      <c r="S15" s="311">
        <v>1.0075000000000001</v>
      </c>
      <c r="T15" s="311">
        <f t="shared" si="0"/>
        <v>50</v>
      </c>
      <c r="U15" s="311"/>
      <c r="V15" s="311"/>
      <c r="W15" s="311">
        <v>50</v>
      </c>
      <c r="X15" s="311" t="s">
        <v>1892</v>
      </c>
      <c r="Y15" s="311" t="s">
        <v>1893</v>
      </c>
      <c r="Z15" s="311" t="s">
        <v>1905</v>
      </c>
      <c r="AA15" s="377">
        <v>50</v>
      </c>
    </row>
    <row r="16" spans="1:27" ht="12.75" customHeight="1" x14ac:dyDescent="0.2">
      <c r="A16" s="311" t="s">
        <v>307</v>
      </c>
      <c r="B16" s="311"/>
      <c r="C16" s="327">
        <v>0</v>
      </c>
      <c r="D16" s="327">
        <v>0.53474903474903335</v>
      </c>
      <c r="E16" s="327">
        <v>0.57275386100385983</v>
      </c>
      <c r="F16" s="327">
        <v>0.6415550193050179</v>
      </c>
      <c r="G16" s="327">
        <v>0.75297200772200612</v>
      </c>
      <c r="H16" s="327">
        <v>0.8166023166023153</v>
      </c>
      <c r="I16" s="327">
        <v>0.83452027027026898</v>
      </c>
      <c r="J16" s="327">
        <v>0.86598552123552008</v>
      </c>
      <c r="K16" s="327">
        <v>0.91408204633204582</v>
      </c>
      <c r="L16" s="327">
        <v>0.94015444015443927</v>
      </c>
      <c r="M16" s="327">
        <v>0.94744498069497984</v>
      </c>
      <c r="N16" s="327">
        <v>0.96049324324324203</v>
      </c>
      <c r="O16" s="327">
        <v>0.98310714285714251</v>
      </c>
      <c r="P16" s="311">
        <v>0.99999999999999956</v>
      </c>
      <c r="Q16" s="311">
        <v>1.0024999999999999</v>
      </c>
      <c r="R16" s="311">
        <v>1.0049999999999999</v>
      </c>
      <c r="S16" s="311">
        <v>1.0075000000000001</v>
      </c>
      <c r="T16" s="311">
        <f t="shared" si="0"/>
        <v>37</v>
      </c>
      <c r="U16" s="311" t="s">
        <v>316</v>
      </c>
      <c r="V16" s="311"/>
      <c r="W16" s="311">
        <v>37</v>
      </c>
      <c r="X16" s="311" t="s">
        <v>1892</v>
      </c>
      <c r="Y16" s="311" t="s">
        <v>1893</v>
      </c>
      <c r="Z16" s="311" t="s">
        <v>307</v>
      </c>
      <c r="AA16" s="377">
        <v>37</v>
      </c>
    </row>
    <row r="17" spans="1:27" ht="12.75" customHeight="1" x14ac:dyDescent="0.2">
      <c r="A17" s="311" t="s">
        <v>97</v>
      </c>
      <c r="B17" s="311" t="s">
        <v>236</v>
      </c>
      <c r="C17" s="327">
        <v>0</v>
      </c>
      <c r="D17" s="327">
        <v>0.33333333333333315</v>
      </c>
      <c r="E17" s="327">
        <v>0.36538333333333306</v>
      </c>
      <c r="F17" s="327">
        <v>0.42834999999999968</v>
      </c>
      <c r="G17" s="327">
        <v>0.5488166666666664</v>
      </c>
      <c r="H17" s="327">
        <v>0.63333333333333319</v>
      </c>
      <c r="I17" s="327">
        <v>0.66021666666666656</v>
      </c>
      <c r="J17" s="327">
        <v>0.71184999999999976</v>
      </c>
      <c r="K17" s="327">
        <v>0.80564999999999987</v>
      </c>
      <c r="L17" s="327">
        <v>0.86666666666666659</v>
      </c>
      <c r="M17" s="327">
        <v>0.88504999999999956</v>
      </c>
      <c r="N17" s="327">
        <v>0.91868333333333341</v>
      </c>
      <c r="O17" s="327">
        <v>0.97248333333333326</v>
      </c>
      <c r="P17" s="311">
        <v>0.99999999999999989</v>
      </c>
      <c r="Q17" s="311">
        <v>1.0024999999999999</v>
      </c>
      <c r="R17" s="311">
        <v>1.0049999999999999</v>
      </c>
      <c r="S17" s="311">
        <v>1.0075000000000001</v>
      </c>
      <c r="T17" s="311">
        <f t="shared" si="0"/>
        <v>250</v>
      </c>
      <c r="U17" s="311"/>
      <c r="V17" s="311"/>
      <c r="W17" s="311">
        <v>250</v>
      </c>
      <c r="X17" s="311" t="s">
        <v>1892</v>
      </c>
      <c r="Y17" s="311" t="s">
        <v>1893</v>
      </c>
      <c r="Z17" s="311" t="s">
        <v>1906</v>
      </c>
      <c r="AA17" s="377">
        <v>250</v>
      </c>
    </row>
    <row r="18" spans="1:27" ht="12.75" customHeight="1" x14ac:dyDescent="0.2">
      <c r="A18" s="311" t="s">
        <v>97</v>
      </c>
      <c r="B18" s="311" t="s">
        <v>23</v>
      </c>
      <c r="C18" s="327">
        <v>0</v>
      </c>
      <c r="D18" s="327">
        <v>0.33333333333333315</v>
      </c>
      <c r="E18" s="327">
        <v>0.36538333333333306</v>
      </c>
      <c r="F18" s="327">
        <v>0.42834999999999968</v>
      </c>
      <c r="G18" s="327">
        <v>0.5488166666666664</v>
      </c>
      <c r="H18" s="327">
        <v>0.63333333333333319</v>
      </c>
      <c r="I18" s="327">
        <v>0.66021666666666656</v>
      </c>
      <c r="J18" s="327">
        <v>0.71184999999999976</v>
      </c>
      <c r="K18" s="327">
        <v>0.80564999999999987</v>
      </c>
      <c r="L18" s="327">
        <v>0.86666666666666659</v>
      </c>
      <c r="M18" s="327">
        <v>0.88504999999999956</v>
      </c>
      <c r="N18" s="327">
        <v>0.91868333333333341</v>
      </c>
      <c r="O18" s="327">
        <v>0.97248333333333326</v>
      </c>
      <c r="P18" s="311">
        <v>0.99999999999999989</v>
      </c>
      <c r="Q18" s="311">
        <v>1.0024999999999999</v>
      </c>
      <c r="R18" s="311">
        <v>1.0049999999999999</v>
      </c>
      <c r="S18" s="311">
        <v>1.0075000000000001</v>
      </c>
      <c r="T18" s="311">
        <f t="shared" si="0"/>
        <v>100</v>
      </c>
      <c r="U18" s="311"/>
      <c r="V18" s="311"/>
      <c r="W18" s="311">
        <v>100</v>
      </c>
      <c r="X18" s="311" t="s">
        <v>1892</v>
      </c>
      <c r="Y18" s="311" t="s">
        <v>1893</v>
      </c>
      <c r="Z18" s="311" t="s">
        <v>1907</v>
      </c>
      <c r="AA18" s="377">
        <v>100</v>
      </c>
    </row>
    <row r="19" spans="1:27" ht="12.75" customHeight="1" x14ac:dyDescent="0.2">
      <c r="A19" s="311" t="s">
        <v>97</v>
      </c>
      <c r="B19" s="311" t="s">
        <v>237</v>
      </c>
      <c r="C19" s="327">
        <v>0</v>
      </c>
      <c r="D19" s="327">
        <v>0.33333333333333315</v>
      </c>
      <c r="E19" s="327">
        <v>0.36538333333333306</v>
      </c>
      <c r="F19" s="327">
        <v>0.42834999999999968</v>
      </c>
      <c r="G19" s="327">
        <v>0.5488166666666664</v>
      </c>
      <c r="H19" s="327">
        <v>0.63333333333333319</v>
      </c>
      <c r="I19" s="327">
        <v>0.66021666666666656</v>
      </c>
      <c r="J19" s="327">
        <v>0.71184999999999976</v>
      </c>
      <c r="K19" s="327">
        <v>0.80564999999999987</v>
      </c>
      <c r="L19" s="327">
        <v>0.86666666666666659</v>
      </c>
      <c r="M19" s="327">
        <v>0.88504999999999956</v>
      </c>
      <c r="N19" s="327">
        <v>0.91868333333333341</v>
      </c>
      <c r="O19" s="327">
        <v>0.97248333333333326</v>
      </c>
      <c r="P19" s="311">
        <v>0.99999999999999989</v>
      </c>
      <c r="Q19" s="311">
        <v>1.0024999999999999</v>
      </c>
      <c r="R19" s="311">
        <v>1.0049999999999999</v>
      </c>
      <c r="S19" s="311">
        <v>1.0075000000000001</v>
      </c>
      <c r="T19" s="311">
        <f t="shared" si="0"/>
        <v>50</v>
      </c>
      <c r="U19" s="311"/>
      <c r="V19" s="311"/>
      <c r="W19" s="311">
        <v>50</v>
      </c>
      <c r="X19" s="311" t="s">
        <v>1892</v>
      </c>
      <c r="Y19" s="311" t="s">
        <v>1893</v>
      </c>
      <c r="Z19" s="311" t="s">
        <v>1908</v>
      </c>
      <c r="AA19" s="377">
        <v>50</v>
      </c>
    </row>
    <row r="20" spans="1:27" ht="12.75" customHeight="1" x14ac:dyDescent="0.2">
      <c r="A20" s="311" t="s">
        <v>122</v>
      </c>
      <c r="B20" s="311" t="s">
        <v>236</v>
      </c>
      <c r="C20" s="327">
        <v>0</v>
      </c>
      <c r="D20" s="327">
        <v>0.54806674806674649</v>
      </c>
      <c r="E20" s="327">
        <v>0.58556733821733697</v>
      </c>
      <c r="F20" s="327">
        <v>0.65268809523809379</v>
      </c>
      <c r="G20" s="327">
        <v>0.75876632071631955</v>
      </c>
      <c r="H20" s="327">
        <v>0.81746031746031655</v>
      </c>
      <c r="I20" s="327">
        <v>0.83369045584045431</v>
      </c>
      <c r="J20" s="327">
        <v>0.86186859991859932</v>
      </c>
      <c r="K20" s="327">
        <v>0.90445476190476159</v>
      </c>
      <c r="L20" s="327">
        <v>0.92812372812372756</v>
      </c>
      <c r="M20" s="327">
        <v>0.93507771672771622</v>
      </c>
      <c r="N20" s="327">
        <v>0.94830185185185178</v>
      </c>
      <c r="O20" s="327">
        <v>0.97537315832315774</v>
      </c>
      <c r="P20" s="311">
        <v>1</v>
      </c>
      <c r="Q20" s="311">
        <v>1.0024999999999999</v>
      </c>
      <c r="R20" s="311">
        <v>1.0049999999999999</v>
      </c>
      <c r="S20" s="311">
        <v>1.0075000000000001</v>
      </c>
      <c r="T20" s="311">
        <f t="shared" si="0"/>
        <v>30</v>
      </c>
      <c r="U20" s="311"/>
      <c r="V20" s="311"/>
      <c r="W20" s="311">
        <v>30</v>
      </c>
      <c r="X20" s="311" t="s">
        <v>1892</v>
      </c>
      <c r="Y20" s="311" t="s">
        <v>1893</v>
      </c>
      <c r="Z20" s="311" t="s">
        <v>1909</v>
      </c>
      <c r="AA20" s="377">
        <v>30</v>
      </c>
    </row>
    <row r="21" spans="1:27" ht="12.75" customHeight="1" x14ac:dyDescent="0.2">
      <c r="A21" s="311" t="s">
        <v>122</v>
      </c>
      <c r="B21" s="311" t="s">
        <v>23</v>
      </c>
      <c r="C21" s="327">
        <v>0</v>
      </c>
      <c r="D21" s="327">
        <v>0.54806674806674649</v>
      </c>
      <c r="E21" s="327">
        <v>0.58556733821733697</v>
      </c>
      <c r="F21" s="327">
        <v>0.65268809523809379</v>
      </c>
      <c r="G21" s="327">
        <v>0.75876632071631955</v>
      </c>
      <c r="H21" s="327">
        <v>0.81746031746031655</v>
      </c>
      <c r="I21" s="327">
        <v>0.83369045584045431</v>
      </c>
      <c r="J21" s="327">
        <v>0.86186859991859932</v>
      </c>
      <c r="K21" s="327">
        <v>0.90445476190476159</v>
      </c>
      <c r="L21" s="327">
        <v>0.92812372812372756</v>
      </c>
      <c r="M21" s="327">
        <v>0.93507771672771622</v>
      </c>
      <c r="N21" s="327">
        <v>0.94830185185185178</v>
      </c>
      <c r="O21" s="327">
        <v>0.97537315832315774</v>
      </c>
      <c r="P21" s="311">
        <v>1</v>
      </c>
      <c r="Q21" s="311">
        <v>1.0024999999999999</v>
      </c>
      <c r="R21" s="311">
        <v>1.0049999999999999</v>
      </c>
      <c r="S21" s="311">
        <v>1.0075000000000001</v>
      </c>
      <c r="T21" s="311">
        <f t="shared" si="0"/>
        <v>18</v>
      </c>
      <c r="U21" s="311"/>
      <c r="V21" s="311"/>
      <c r="W21" s="311">
        <v>18</v>
      </c>
      <c r="X21" s="311" t="s">
        <v>1892</v>
      </c>
      <c r="Y21" s="311" t="s">
        <v>1893</v>
      </c>
      <c r="Z21" s="311" t="s">
        <v>1910</v>
      </c>
      <c r="AA21" s="377">
        <v>18</v>
      </c>
    </row>
    <row r="22" spans="1:27" ht="12.75" customHeight="1" x14ac:dyDescent="0.2">
      <c r="A22" s="311" t="s">
        <v>122</v>
      </c>
      <c r="B22" s="311" t="s">
        <v>237</v>
      </c>
      <c r="C22" s="327">
        <v>0</v>
      </c>
      <c r="D22" s="327">
        <v>0.54806674806674649</v>
      </c>
      <c r="E22" s="327">
        <v>0.58556733821733697</v>
      </c>
      <c r="F22" s="327">
        <v>0.65268809523809379</v>
      </c>
      <c r="G22" s="327">
        <v>0.75876632071631955</v>
      </c>
      <c r="H22" s="327">
        <v>0.81746031746031655</v>
      </c>
      <c r="I22" s="327">
        <v>0.83369045584045431</v>
      </c>
      <c r="J22" s="327">
        <v>0.86186859991859932</v>
      </c>
      <c r="K22" s="327">
        <v>0.90445476190476159</v>
      </c>
      <c r="L22" s="327">
        <v>0.92812372812372756</v>
      </c>
      <c r="M22" s="327">
        <v>0.93507771672771622</v>
      </c>
      <c r="N22" s="327">
        <v>0.94830185185185178</v>
      </c>
      <c r="O22" s="327">
        <v>0.97537315832315774</v>
      </c>
      <c r="P22" s="311">
        <v>1</v>
      </c>
      <c r="Q22" s="311">
        <v>1.0024999999999999</v>
      </c>
      <c r="R22" s="311">
        <v>1.0049999999999999</v>
      </c>
      <c r="S22" s="311">
        <v>1.0075000000000001</v>
      </c>
      <c r="T22" s="311">
        <f t="shared" si="0"/>
        <v>13</v>
      </c>
      <c r="U22" s="311"/>
      <c r="V22" s="311"/>
      <c r="W22" s="311">
        <v>13</v>
      </c>
      <c r="X22" s="311" t="s">
        <v>1892</v>
      </c>
      <c r="Y22" s="311" t="s">
        <v>1893</v>
      </c>
      <c r="Z22" s="311" t="s">
        <v>1911</v>
      </c>
      <c r="AA22" s="377">
        <v>13</v>
      </c>
    </row>
    <row r="23" spans="1:27" ht="12.75" customHeight="1" x14ac:dyDescent="0.2">
      <c r="A23" s="311" t="s">
        <v>306</v>
      </c>
      <c r="B23" s="311" t="s">
        <v>236</v>
      </c>
      <c r="C23" s="327">
        <v>0</v>
      </c>
      <c r="D23" s="327">
        <v>0.45663954055142231</v>
      </c>
      <c r="E23" s="327">
        <v>0.49140428772755129</v>
      </c>
      <c r="F23" s="327">
        <v>0.55580113961472333</v>
      </c>
      <c r="G23" s="327">
        <v>0.66581401392332529</v>
      </c>
      <c r="H23" s="327">
        <v>0.73385890181617719</v>
      </c>
      <c r="I23" s="327">
        <v>0.75411862112446171</v>
      </c>
      <c r="J23" s="327">
        <v>0.79138013912730143</v>
      </c>
      <c r="K23" s="327">
        <v>0.85462123307266813</v>
      </c>
      <c r="L23" s="327">
        <v>0.89414881217284403</v>
      </c>
      <c r="M23" s="327">
        <v>0.90615257645114067</v>
      </c>
      <c r="N23" s="327">
        <v>0.92877690624536413</v>
      </c>
      <c r="O23" s="327">
        <v>0.97024251117892613</v>
      </c>
      <c r="P23" s="311">
        <v>1</v>
      </c>
      <c r="Q23" s="311">
        <v>1.0024999999999999</v>
      </c>
      <c r="R23" s="311">
        <v>1.0049999999999999</v>
      </c>
      <c r="S23" s="311">
        <v>1.0075000000000001</v>
      </c>
      <c r="T23" s="311">
        <f t="shared" si="0"/>
        <v>107</v>
      </c>
      <c r="U23" s="311"/>
      <c r="V23" s="311"/>
      <c r="W23" s="311">
        <v>107</v>
      </c>
      <c r="X23" s="311" t="s">
        <v>1892</v>
      </c>
      <c r="Y23" s="311" t="s">
        <v>1893</v>
      </c>
      <c r="Z23" s="311" t="s">
        <v>1912</v>
      </c>
      <c r="AA23" s="377">
        <v>107</v>
      </c>
    </row>
    <row r="24" spans="1:27" ht="12.75" customHeight="1" x14ac:dyDescent="0.2">
      <c r="A24" s="311" t="s">
        <v>306</v>
      </c>
      <c r="B24" s="311" t="s">
        <v>23</v>
      </c>
      <c r="C24" s="327">
        <v>0</v>
      </c>
      <c r="D24" s="327">
        <v>0.45663954055142231</v>
      </c>
      <c r="E24" s="327">
        <v>0.49140428772755129</v>
      </c>
      <c r="F24" s="327">
        <v>0.55580113961472333</v>
      </c>
      <c r="G24" s="327">
        <v>0.66581401392332529</v>
      </c>
      <c r="H24" s="327">
        <v>0.73385890181617719</v>
      </c>
      <c r="I24" s="327">
        <v>0.75411862112446171</v>
      </c>
      <c r="J24" s="327">
        <v>0.79138013912730143</v>
      </c>
      <c r="K24" s="327">
        <v>0.85462123307266813</v>
      </c>
      <c r="L24" s="327">
        <v>0.89414881217284403</v>
      </c>
      <c r="M24" s="327">
        <v>0.90615257645114067</v>
      </c>
      <c r="N24" s="327">
        <v>0.92877690624536413</v>
      </c>
      <c r="O24" s="327">
        <v>0.97024251117892613</v>
      </c>
      <c r="P24" s="311">
        <v>1</v>
      </c>
      <c r="Q24" s="311">
        <v>1.0024999999999999</v>
      </c>
      <c r="R24" s="311">
        <v>1.0049999999999999</v>
      </c>
      <c r="S24" s="311">
        <v>1.0075000000000001</v>
      </c>
      <c r="T24" s="311">
        <f t="shared" si="0"/>
        <v>60</v>
      </c>
      <c r="U24" s="311"/>
      <c r="V24" s="311"/>
      <c r="W24" s="311">
        <v>60</v>
      </c>
      <c r="X24" s="311" t="s">
        <v>1892</v>
      </c>
      <c r="Y24" s="311" t="s">
        <v>1893</v>
      </c>
      <c r="Z24" s="311" t="s">
        <v>1913</v>
      </c>
      <c r="AA24" s="377">
        <v>60</v>
      </c>
    </row>
    <row r="25" spans="1:27" ht="12.75" customHeight="1" x14ac:dyDescent="0.2">
      <c r="A25" s="311" t="s">
        <v>306</v>
      </c>
      <c r="B25" s="311" t="s">
        <v>237</v>
      </c>
      <c r="C25" s="327">
        <v>0</v>
      </c>
      <c r="D25" s="327">
        <v>0.45663954055142231</v>
      </c>
      <c r="E25" s="327">
        <v>0.49140428772755129</v>
      </c>
      <c r="F25" s="327">
        <v>0.55580113961472333</v>
      </c>
      <c r="G25" s="327">
        <v>0.66581401392332529</v>
      </c>
      <c r="H25" s="327">
        <v>0.73385890181617719</v>
      </c>
      <c r="I25" s="327">
        <v>0.75411862112446171</v>
      </c>
      <c r="J25" s="327">
        <v>0.79138013912730143</v>
      </c>
      <c r="K25" s="327">
        <v>0.85462123307266813</v>
      </c>
      <c r="L25" s="327">
        <v>0.89414881217284403</v>
      </c>
      <c r="M25" s="327">
        <v>0.90615257645114067</v>
      </c>
      <c r="N25" s="327">
        <v>0.92877690624536413</v>
      </c>
      <c r="O25" s="327">
        <v>0.97024251117892613</v>
      </c>
      <c r="P25" s="311">
        <v>1</v>
      </c>
      <c r="Q25" s="311">
        <v>1.0024999999999999</v>
      </c>
      <c r="R25" s="311">
        <v>1.0049999999999999</v>
      </c>
      <c r="S25" s="311">
        <v>1.0075000000000001</v>
      </c>
      <c r="T25" s="311">
        <f t="shared" si="0"/>
        <v>35</v>
      </c>
      <c r="U25" s="311"/>
      <c r="V25" s="311"/>
      <c r="W25" s="311">
        <v>35</v>
      </c>
      <c r="X25" s="311" t="s">
        <v>1892</v>
      </c>
      <c r="Y25" s="311" t="s">
        <v>1893</v>
      </c>
      <c r="Z25" s="311" t="s">
        <v>1914</v>
      </c>
      <c r="AA25" s="377">
        <v>35</v>
      </c>
    </row>
    <row r="26" spans="1:27" ht="12.75" customHeight="1" x14ac:dyDescent="0.2">
      <c r="A26" s="311" t="s">
        <v>305</v>
      </c>
      <c r="B26" s="311" t="s">
        <v>235</v>
      </c>
      <c r="C26" s="327">
        <v>0</v>
      </c>
      <c r="D26" s="327">
        <v>0.55094809094808894</v>
      </c>
      <c r="E26" s="327">
        <v>0.58848763620763422</v>
      </c>
      <c r="F26" s="327">
        <v>0.65558548262548022</v>
      </c>
      <c r="G26" s="327">
        <v>0.76129019305019086</v>
      </c>
      <c r="H26" s="327">
        <v>0.8195023595023575</v>
      </c>
      <c r="I26" s="327">
        <v>0.83554786786786595</v>
      </c>
      <c r="J26" s="327">
        <v>0.86333691977691795</v>
      </c>
      <c r="K26" s="327">
        <v>0.90514115830115649</v>
      </c>
      <c r="L26" s="327">
        <v>0.92830544830544726</v>
      </c>
      <c r="M26" s="327">
        <v>0.93512118404118183</v>
      </c>
      <c r="N26" s="327">
        <v>0.94812996996996979</v>
      </c>
      <c r="O26" s="327">
        <v>0.97509079365079232</v>
      </c>
      <c r="P26" s="311">
        <v>0.99999999999999989</v>
      </c>
      <c r="Q26" s="311">
        <v>1.0024999999999999</v>
      </c>
      <c r="R26" s="311">
        <v>1.0049999999999999</v>
      </c>
      <c r="S26" s="311">
        <v>1.0075000000000001</v>
      </c>
      <c r="T26" s="311">
        <f t="shared" si="0"/>
        <v>1000000000</v>
      </c>
      <c r="U26" s="311" t="s">
        <v>315</v>
      </c>
      <c r="V26" s="311"/>
      <c r="W26" s="311">
        <v>1000000000</v>
      </c>
      <c r="X26" s="311" t="s">
        <v>1892</v>
      </c>
      <c r="Y26" s="311" t="s">
        <v>1893</v>
      </c>
      <c r="Z26" s="311" t="s">
        <v>1915</v>
      </c>
      <c r="AA26" s="377">
        <v>1000000000</v>
      </c>
    </row>
    <row r="27" spans="1:27" ht="12.75" customHeight="1" x14ac:dyDescent="0.2">
      <c r="A27" s="311" t="s">
        <v>305</v>
      </c>
      <c r="B27" s="311" t="s">
        <v>236</v>
      </c>
      <c r="C27" s="327">
        <v>0</v>
      </c>
      <c r="D27" s="327">
        <v>0.55094809094808894</v>
      </c>
      <c r="E27" s="327">
        <v>0.58848763620763422</v>
      </c>
      <c r="F27" s="327">
        <v>0.65558548262548022</v>
      </c>
      <c r="G27" s="327">
        <v>0.76129019305019086</v>
      </c>
      <c r="H27" s="327">
        <v>0.8195023595023575</v>
      </c>
      <c r="I27" s="327">
        <v>0.83554786786786595</v>
      </c>
      <c r="J27" s="327">
        <v>0.86333691977691795</v>
      </c>
      <c r="K27" s="327">
        <v>0.90514115830115649</v>
      </c>
      <c r="L27" s="327">
        <v>0.92830544830544726</v>
      </c>
      <c r="M27" s="327">
        <v>0.93512118404118183</v>
      </c>
      <c r="N27" s="327">
        <v>0.94812996996996979</v>
      </c>
      <c r="O27" s="327">
        <v>0.97509079365079232</v>
      </c>
      <c r="P27" s="311">
        <v>0.99999999999999989</v>
      </c>
      <c r="Q27" s="311">
        <v>1.0024999999999999</v>
      </c>
      <c r="R27" s="311">
        <v>1.0049999999999999</v>
      </c>
      <c r="S27" s="311">
        <v>1.0075000000000001</v>
      </c>
      <c r="T27" s="311">
        <f t="shared" si="0"/>
        <v>37</v>
      </c>
      <c r="U27" s="311"/>
      <c r="V27" s="311"/>
      <c r="W27" s="311">
        <v>37</v>
      </c>
      <c r="X27" s="311" t="s">
        <v>1892</v>
      </c>
      <c r="Y27" s="311" t="s">
        <v>1893</v>
      </c>
      <c r="Z27" s="311" t="s">
        <v>1916</v>
      </c>
      <c r="AA27" s="377">
        <v>37</v>
      </c>
    </row>
    <row r="28" spans="1:27" ht="12.75" customHeight="1" x14ac:dyDescent="0.2">
      <c r="A28" s="311" t="s">
        <v>305</v>
      </c>
      <c r="B28" s="311" t="s">
        <v>23</v>
      </c>
      <c r="C28" s="327">
        <v>0</v>
      </c>
      <c r="D28" s="327">
        <v>0.55094809094808894</v>
      </c>
      <c r="E28" s="327">
        <v>0.58848763620763422</v>
      </c>
      <c r="F28" s="327">
        <v>0.65558548262548022</v>
      </c>
      <c r="G28" s="327">
        <v>0.76129019305019086</v>
      </c>
      <c r="H28" s="327">
        <v>0.8195023595023575</v>
      </c>
      <c r="I28" s="327">
        <v>0.83554786786786595</v>
      </c>
      <c r="J28" s="327">
        <v>0.86333691977691795</v>
      </c>
      <c r="K28" s="327">
        <v>0.90514115830115649</v>
      </c>
      <c r="L28" s="327">
        <v>0.92830544830544726</v>
      </c>
      <c r="M28" s="327">
        <v>0.93512118404118183</v>
      </c>
      <c r="N28" s="327">
        <v>0.94812996996996979</v>
      </c>
      <c r="O28" s="327">
        <v>0.97509079365079232</v>
      </c>
      <c r="P28" s="311">
        <v>0.99999999999999989</v>
      </c>
      <c r="Q28" s="311">
        <v>1.0024999999999999</v>
      </c>
      <c r="R28" s="311">
        <v>1.0049999999999999</v>
      </c>
      <c r="S28" s="311">
        <v>1.0075000000000001</v>
      </c>
      <c r="T28" s="311">
        <f t="shared" si="0"/>
        <v>30</v>
      </c>
      <c r="U28" s="311"/>
      <c r="V28" s="311"/>
      <c r="W28" s="311">
        <v>30</v>
      </c>
      <c r="X28" s="311" t="s">
        <v>1892</v>
      </c>
      <c r="Y28" s="311" t="s">
        <v>1893</v>
      </c>
      <c r="Z28" s="311" t="s">
        <v>1917</v>
      </c>
      <c r="AA28" s="377">
        <v>30</v>
      </c>
    </row>
    <row r="29" spans="1:27" ht="12.75" customHeight="1" x14ac:dyDescent="0.2">
      <c r="A29" s="311" t="s">
        <v>305</v>
      </c>
      <c r="B29" s="311" t="s">
        <v>237</v>
      </c>
      <c r="C29" s="327">
        <v>0</v>
      </c>
      <c r="D29" s="327">
        <v>0.55094809094808894</v>
      </c>
      <c r="E29" s="327">
        <v>0.58848763620763422</v>
      </c>
      <c r="F29" s="327">
        <v>0.65558548262548022</v>
      </c>
      <c r="G29" s="327">
        <v>0.76129019305019086</v>
      </c>
      <c r="H29" s="327">
        <v>0.8195023595023575</v>
      </c>
      <c r="I29" s="327">
        <v>0.83554786786786595</v>
      </c>
      <c r="J29" s="327">
        <v>0.86333691977691795</v>
      </c>
      <c r="K29" s="327">
        <v>0.90514115830115649</v>
      </c>
      <c r="L29" s="327">
        <v>0.92830544830544726</v>
      </c>
      <c r="M29" s="327">
        <v>0.93512118404118183</v>
      </c>
      <c r="N29" s="327">
        <v>0.94812996996996979</v>
      </c>
      <c r="O29" s="327">
        <v>0.97509079365079232</v>
      </c>
      <c r="P29" s="311">
        <v>0.99999999999999989</v>
      </c>
      <c r="Q29" s="311">
        <v>1.0024999999999999</v>
      </c>
      <c r="R29" s="311">
        <v>1.0049999999999999</v>
      </c>
      <c r="S29" s="311">
        <v>1.0075000000000001</v>
      </c>
      <c r="T29" s="311">
        <f t="shared" si="0"/>
        <v>25</v>
      </c>
      <c r="U29" s="311"/>
      <c r="V29" s="311"/>
      <c r="W29" s="311">
        <v>25</v>
      </c>
      <c r="X29" s="311" t="s">
        <v>1892</v>
      </c>
      <c r="Y29" s="311" t="s">
        <v>1893</v>
      </c>
      <c r="Z29" s="311" t="s">
        <v>1918</v>
      </c>
      <c r="AA29" s="377">
        <v>25</v>
      </c>
    </row>
    <row r="30" spans="1:27" ht="12.75" customHeight="1" x14ac:dyDescent="0.2">
      <c r="A30" s="311" t="s">
        <v>304</v>
      </c>
      <c r="B30" s="311" t="s">
        <v>235</v>
      </c>
      <c r="C30" s="327">
        <v>0</v>
      </c>
      <c r="D30" s="327">
        <v>0.24206349206349187</v>
      </c>
      <c r="E30" s="327">
        <v>0.26656084656084639</v>
      </c>
      <c r="F30" s="327">
        <v>0.31571428571428545</v>
      </c>
      <c r="G30" s="327">
        <v>0.41465608465608456</v>
      </c>
      <c r="H30" s="327">
        <v>0.48941798941798925</v>
      </c>
      <c r="I30" s="327">
        <v>0.51444444444444426</v>
      </c>
      <c r="J30" s="327">
        <v>0.56465608465608441</v>
      </c>
      <c r="K30" s="327">
        <v>0.6657142857142857</v>
      </c>
      <c r="L30" s="327">
        <v>0.74206349206349209</v>
      </c>
      <c r="M30" s="327">
        <v>0.76761904761904742</v>
      </c>
      <c r="N30" s="327">
        <v>0.81888888888888878</v>
      </c>
      <c r="O30" s="327">
        <v>0.92206349206349203</v>
      </c>
      <c r="P30" s="311">
        <v>1</v>
      </c>
      <c r="Q30" s="311">
        <v>1.0024999999999999</v>
      </c>
      <c r="R30" s="311">
        <v>1.0049999999999999</v>
      </c>
      <c r="S30" s="311">
        <v>1.0075000000000001</v>
      </c>
      <c r="T30" s="311">
        <f t="shared" si="0"/>
        <v>1000000000</v>
      </c>
      <c r="U30" s="311" t="s">
        <v>315</v>
      </c>
      <c r="V30" s="311"/>
      <c r="W30" s="311">
        <v>1000000000</v>
      </c>
      <c r="X30" s="311" t="s">
        <v>1892</v>
      </c>
      <c r="Y30" s="311" t="s">
        <v>1893</v>
      </c>
      <c r="Z30" s="311" t="s">
        <v>1919</v>
      </c>
      <c r="AA30" s="377">
        <v>1000000000</v>
      </c>
    </row>
    <row r="31" spans="1:27" ht="12.75" customHeight="1" x14ac:dyDescent="0.2">
      <c r="A31" s="311" t="s">
        <v>304</v>
      </c>
      <c r="B31" s="311" t="s">
        <v>236</v>
      </c>
      <c r="C31" s="327">
        <v>0</v>
      </c>
      <c r="D31" s="327">
        <v>0.24206349206349187</v>
      </c>
      <c r="E31" s="327">
        <v>0.26656084656084639</v>
      </c>
      <c r="F31" s="327">
        <v>0.31571428571428545</v>
      </c>
      <c r="G31" s="327">
        <v>0.41465608465608456</v>
      </c>
      <c r="H31" s="327">
        <v>0.48941798941798925</v>
      </c>
      <c r="I31" s="327">
        <v>0.51444444444444426</v>
      </c>
      <c r="J31" s="327">
        <v>0.56465608465608441</v>
      </c>
      <c r="K31" s="327">
        <v>0.6657142857142857</v>
      </c>
      <c r="L31" s="327">
        <v>0.74206349206349209</v>
      </c>
      <c r="M31" s="327">
        <v>0.76761904761904742</v>
      </c>
      <c r="N31" s="327">
        <v>0.81888888888888878</v>
      </c>
      <c r="O31" s="327">
        <v>0.92206349206349203</v>
      </c>
      <c r="P31" s="311">
        <v>1</v>
      </c>
      <c r="Q31" s="311">
        <v>1.0024999999999999</v>
      </c>
      <c r="R31" s="311">
        <v>1.0049999999999999</v>
      </c>
      <c r="S31" s="311">
        <v>1.0075000000000001</v>
      </c>
      <c r="T31" s="311">
        <f t="shared" si="0"/>
        <v>36</v>
      </c>
      <c r="U31" s="311"/>
      <c r="V31" s="311"/>
      <c r="W31" s="311">
        <v>36</v>
      </c>
      <c r="X31" s="311" t="s">
        <v>1892</v>
      </c>
      <c r="Y31" s="311" t="s">
        <v>1893</v>
      </c>
      <c r="Z31" s="311" t="s">
        <v>1920</v>
      </c>
      <c r="AA31" s="377">
        <v>36</v>
      </c>
    </row>
    <row r="32" spans="1:27" ht="12.75" customHeight="1" x14ac:dyDescent="0.2">
      <c r="A32" s="311" t="s">
        <v>304</v>
      </c>
      <c r="B32" s="311" t="s">
        <v>23</v>
      </c>
      <c r="C32" s="327">
        <v>0</v>
      </c>
      <c r="D32" s="327">
        <v>0.24206349206349187</v>
      </c>
      <c r="E32" s="327">
        <v>0.26656084656084639</v>
      </c>
      <c r="F32" s="327">
        <v>0.31571428571428545</v>
      </c>
      <c r="G32" s="327">
        <v>0.41465608465608456</v>
      </c>
      <c r="H32" s="327">
        <v>0.48941798941798925</v>
      </c>
      <c r="I32" s="327">
        <v>0.51444444444444426</v>
      </c>
      <c r="J32" s="327">
        <v>0.56465608465608441</v>
      </c>
      <c r="K32" s="327">
        <v>0.6657142857142857</v>
      </c>
      <c r="L32" s="327">
        <v>0.74206349206349209</v>
      </c>
      <c r="M32" s="327">
        <v>0.76761904761904742</v>
      </c>
      <c r="N32" s="327">
        <v>0.81888888888888878</v>
      </c>
      <c r="O32" s="327">
        <v>0.92206349206349203</v>
      </c>
      <c r="P32" s="311">
        <v>1</v>
      </c>
      <c r="Q32" s="311">
        <v>1.0024999999999999</v>
      </c>
      <c r="R32" s="311">
        <v>1.0049999999999999</v>
      </c>
      <c r="S32" s="311">
        <v>1.0075000000000001</v>
      </c>
      <c r="T32" s="311">
        <f t="shared" si="0"/>
        <v>20</v>
      </c>
      <c r="U32" s="311"/>
      <c r="V32" s="311"/>
      <c r="W32" s="311">
        <v>20</v>
      </c>
      <c r="X32" s="311" t="s">
        <v>1892</v>
      </c>
      <c r="Y32" s="311" t="s">
        <v>1893</v>
      </c>
      <c r="Z32" s="311" t="s">
        <v>1921</v>
      </c>
      <c r="AA32" s="377">
        <v>20</v>
      </c>
    </row>
    <row r="33" spans="1:27" ht="12.75" customHeight="1" x14ac:dyDescent="0.2">
      <c r="A33" s="311" t="s">
        <v>304</v>
      </c>
      <c r="B33" s="311" t="s">
        <v>237</v>
      </c>
      <c r="C33" s="327">
        <v>0</v>
      </c>
      <c r="D33" s="327">
        <v>0.24206349206349187</v>
      </c>
      <c r="E33" s="327">
        <v>0.26656084656084639</v>
      </c>
      <c r="F33" s="327">
        <v>0.31571428571428545</v>
      </c>
      <c r="G33" s="327">
        <v>0.41465608465608456</v>
      </c>
      <c r="H33" s="327">
        <v>0.48941798941798925</v>
      </c>
      <c r="I33" s="327">
        <v>0.51444444444444426</v>
      </c>
      <c r="J33" s="327">
        <v>0.56465608465608441</v>
      </c>
      <c r="K33" s="327">
        <v>0.6657142857142857</v>
      </c>
      <c r="L33" s="327">
        <v>0.74206349206349209</v>
      </c>
      <c r="M33" s="327">
        <v>0.76761904761904742</v>
      </c>
      <c r="N33" s="327">
        <v>0.81888888888888878</v>
      </c>
      <c r="O33" s="327">
        <v>0.92206349206349203</v>
      </c>
      <c r="P33" s="311">
        <v>1</v>
      </c>
      <c r="Q33" s="311">
        <v>1.0024999999999999</v>
      </c>
      <c r="R33" s="311">
        <v>1.0049999999999999</v>
      </c>
      <c r="S33" s="311">
        <v>1.0075000000000001</v>
      </c>
      <c r="T33" s="311">
        <f t="shared" si="0"/>
        <v>12</v>
      </c>
      <c r="U33" s="311"/>
      <c r="V33" s="311"/>
      <c r="W33" s="311">
        <v>12</v>
      </c>
      <c r="X33" s="311" t="s">
        <v>1892</v>
      </c>
      <c r="Y33" s="311" t="s">
        <v>1893</v>
      </c>
      <c r="Z33" s="311" t="s">
        <v>1922</v>
      </c>
      <c r="AA33" s="377">
        <v>12</v>
      </c>
    </row>
    <row r="34" spans="1:27" ht="12.75" customHeight="1" x14ac:dyDescent="0.2">
      <c r="A34" s="311" t="s">
        <v>766</v>
      </c>
      <c r="B34" s="311" t="s">
        <v>236</v>
      </c>
      <c r="C34" s="327">
        <v>0</v>
      </c>
      <c r="D34" s="327">
        <v>0.25238095238095209</v>
      </c>
      <c r="E34" s="327">
        <v>0.27753174603174574</v>
      </c>
      <c r="F34" s="327">
        <v>0.32778571428571385</v>
      </c>
      <c r="G34" s="327">
        <v>0.42810317460317432</v>
      </c>
      <c r="H34" s="327">
        <v>0.50317460317460294</v>
      </c>
      <c r="I34" s="327">
        <v>0.52816666666666645</v>
      </c>
      <c r="J34" s="327">
        <v>0.5781031746031744</v>
      </c>
      <c r="K34" s="327">
        <v>0.67778571428571421</v>
      </c>
      <c r="L34" s="327">
        <v>0.75238095238095237</v>
      </c>
      <c r="M34" s="327">
        <v>0.77721428571428541</v>
      </c>
      <c r="N34" s="327">
        <v>0.82683333333333331</v>
      </c>
      <c r="O34" s="327">
        <v>0.92588095238095258</v>
      </c>
      <c r="P34" s="311">
        <v>1</v>
      </c>
      <c r="Q34" s="311">
        <v>1.0024999999999999</v>
      </c>
      <c r="R34" s="311">
        <v>1.0049999999999999</v>
      </c>
      <c r="S34" s="311">
        <v>1.0075000000000001</v>
      </c>
      <c r="T34" s="311">
        <f t="shared" si="0"/>
        <v>60</v>
      </c>
      <c r="U34" s="311"/>
      <c r="V34" s="311"/>
      <c r="W34" s="311">
        <v>60</v>
      </c>
      <c r="X34" s="311" t="s">
        <v>1892</v>
      </c>
      <c r="Y34" s="311" t="s">
        <v>1893</v>
      </c>
      <c r="Z34" s="311" t="s">
        <v>1923</v>
      </c>
      <c r="AA34" s="377">
        <v>60</v>
      </c>
    </row>
    <row r="35" spans="1:27" ht="12.75" customHeight="1" x14ac:dyDescent="0.2">
      <c r="A35" s="311" t="s">
        <v>766</v>
      </c>
      <c r="B35" s="311" t="s">
        <v>23</v>
      </c>
      <c r="C35" s="327">
        <v>0</v>
      </c>
      <c r="D35" s="327">
        <v>0.25238095238095209</v>
      </c>
      <c r="E35" s="327">
        <v>0.27753174603174574</v>
      </c>
      <c r="F35" s="327">
        <v>0.32778571428571385</v>
      </c>
      <c r="G35" s="327">
        <v>0.42810317460317432</v>
      </c>
      <c r="H35" s="327">
        <v>0.50317460317460294</v>
      </c>
      <c r="I35" s="327">
        <v>0.52816666666666645</v>
      </c>
      <c r="J35" s="327">
        <v>0.5781031746031744</v>
      </c>
      <c r="K35" s="327">
        <v>0.67778571428571421</v>
      </c>
      <c r="L35" s="327">
        <v>0.75238095238095237</v>
      </c>
      <c r="M35" s="327">
        <v>0.77721428571428541</v>
      </c>
      <c r="N35" s="327">
        <v>0.82683333333333331</v>
      </c>
      <c r="O35" s="327">
        <v>0.92588095238095258</v>
      </c>
      <c r="P35" s="311">
        <v>1</v>
      </c>
      <c r="Q35" s="311">
        <v>1.0024999999999999</v>
      </c>
      <c r="R35" s="311">
        <v>1.0049999999999999</v>
      </c>
      <c r="S35" s="311">
        <v>1.0075000000000001</v>
      </c>
      <c r="T35" s="311">
        <f t="shared" si="0"/>
        <v>40</v>
      </c>
      <c r="U35" s="311"/>
      <c r="V35" s="311"/>
      <c r="W35" s="311">
        <v>40</v>
      </c>
      <c r="X35" s="311" t="s">
        <v>1892</v>
      </c>
      <c r="Y35" s="311" t="s">
        <v>1893</v>
      </c>
      <c r="Z35" s="311" t="s">
        <v>1924</v>
      </c>
      <c r="AA35" s="377">
        <v>40</v>
      </c>
    </row>
    <row r="36" spans="1:27" ht="12.75" customHeight="1" x14ac:dyDescent="0.2">
      <c r="A36" s="311" t="s">
        <v>766</v>
      </c>
      <c r="B36" s="311" t="s">
        <v>237</v>
      </c>
      <c r="C36" s="327">
        <v>0</v>
      </c>
      <c r="D36" s="327">
        <v>0.25238095238095209</v>
      </c>
      <c r="E36" s="327">
        <v>0.27753174603174574</v>
      </c>
      <c r="F36" s="327">
        <v>0.32778571428571385</v>
      </c>
      <c r="G36" s="327">
        <v>0.42810317460317432</v>
      </c>
      <c r="H36" s="327">
        <v>0.50317460317460294</v>
      </c>
      <c r="I36" s="327">
        <v>0.52816666666666645</v>
      </c>
      <c r="J36" s="327">
        <v>0.5781031746031744</v>
      </c>
      <c r="K36" s="327">
        <v>0.67778571428571421</v>
      </c>
      <c r="L36" s="327">
        <v>0.75238095238095237</v>
      </c>
      <c r="M36" s="327">
        <v>0.77721428571428541</v>
      </c>
      <c r="N36" s="327">
        <v>0.82683333333333331</v>
      </c>
      <c r="O36" s="327">
        <v>0.92588095238095258</v>
      </c>
      <c r="P36" s="311">
        <v>1</v>
      </c>
      <c r="Q36" s="311">
        <v>1.0024999999999999</v>
      </c>
      <c r="R36" s="311">
        <v>1.0049999999999999</v>
      </c>
      <c r="S36" s="311">
        <v>1.0075000000000001</v>
      </c>
      <c r="T36" s="311">
        <f t="shared" si="0"/>
        <v>30</v>
      </c>
      <c r="U36" s="311"/>
      <c r="V36" s="311"/>
      <c r="W36" s="311">
        <v>30</v>
      </c>
      <c r="X36" s="311" t="s">
        <v>1892</v>
      </c>
      <c r="Y36" s="311" t="s">
        <v>1893</v>
      </c>
      <c r="Z36" s="311" t="s">
        <v>1925</v>
      </c>
      <c r="AA36" s="377">
        <v>30</v>
      </c>
    </row>
    <row r="37" spans="1:27" ht="12.75" customHeight="1" x14ac:dyDescent="0.2">
      <c r="A37" s="311" t="s">
        <v>82</v>
      </c>
      <c r="B37" s="311" t="s">
        <v>235</v>
      </c>
      <c r="C37" s="327">
        <v>0</v>
      </c>
      <c r="D37" s="327">
        <v>0.38392857142857117</v>
      </c>
      <c r="E37" s="327">
        <v>0.41851835317460295</v>
      </c>
      <c r="F37" s="327">
        <v>0.48535267857142816</v>
      </c>
      <c r="G37" s="327">
        <v>0.60905704365079338</v>
      </c>
      <c r="H37" s="327">
        <v>0.69246031746031744</v>
      </c>
      <c r="I37" s="327">
        <v>0.7183645833333332</v>
      </c>
      <c r="J37" s="327">
        <v>0.76720287698412681</v>
      </c>
      <c r="K37" s="327">
        <v>0.85241517857142846</v>
      </c>
      <c r="L37" s="327">
        <v>0.90476190476190466</v>
      </c>
      <c r="M37" s="327">
        <v>0.91989732142857128</v>
      </c>
      <c r="N37" s="327">
        <v>0.94657291666666654</v>
      </c>
      <c r="O37" s="327">
        <v>0.9849598214285713</v>
      </c>
      <c r="P37" s="311">
        <v>1.0000000000000002</v>
      </c>
      <c r="Q37" s="311">
        <v>1.0024999999999999</v>
      </c>
      <c r="R37" s="311">
        <v>1.0049999999999999</v>
      </c>
      <c r="S37" s="311">
        <v>1.0075000000000001</v>
      </c>
      <c r="T37" s="311">
        <f t="shared" si="0"/>
        <v>1000000000</v>
      </c>
      <c r="U37" s="311" t="s">
        <v>315</v>
      </c>
      <c r="V37" s="311"/>
      <c r="W37" s="311">
        <v>1000000000</v>
      </c>
      <c r="X37" s="311" t="s">
        <v>1892</v>
      </c>
      <c r="Y37" s="311" t="s">
        <v>1893</v>
      </c>
      <c r="Z37" s="311" t="s">
        <v>1926</v>
      </c>
      <c r="AA37" s="377">
        <v>1000000000</v>
      </c>
    </row>
    <row r="38" spans="1:27" ht="12.75" customHeight="1" x14ac:dyDescent="0.2">
      <c r="A38" s="311" t="s">
        <v>82</v>
      </c>
      <c r="B38" s="311" t="s">
        <v>236</v>
      </c>
      <c r="C38" s="327">
        <v>0</v>
      </c>
      <c r="D38" s="327">
        <v>0.38392857142857117</v>
      </c>
      <c r="E38" s="327">
        <v>0.41851835317460295</v>
      </c>
      <c r="F38" s="327">
        <v>0.48535267857142816</v>
      </c>
      <c r="G38" s="327">
        <v>0.60905704365079338</v>
      </c>
      <c r="H38" s="327">
        <v>0.69246031746031744</v>
      </c>
      <c r="I38" s="327">
        <v>0.7183645833333332</v>
      </c>
      <c r="J38" s="327">
        <v>0.76720287698412681</v>
      </c>
      <c r="K38" s="327">
        <v>0.85241517857142846</v>
      </c>
      <c r="L38" s="327">
        <v>0.90476190476190466</v>
      </c>
      <c r="M38" s="327">
        <v>0.91989732142857128</v>
      </c>
      <c r="N38" s="327">
        <v>0.94657291666666654</v>
      </c>
      <c r="O38" s="327">
        <v>0.9849598214285713</v>
      </c>
      <c r="P38" s="311">
        <v>1.0000000000000002</v>
      </c>
      <c r="Q38" s="311">
        <v>1.0024999999999999</v>
      </c>
      <c r="R38" s="311">
        <v>1.0049999999999999</v>
      </c>
      <c r="S38" s="311">
        <v>1.0075000000000001</v>
      </c>
      <c r="T38" s="311">
        <f t="shared" si="0"/>
        <v>120</v>
      </c>
      <c r="U38" s="311"/>
      <c r="V38" s="311"/>
      <c r="W38" s="311">
        <v>120</v>
      </c>
      <c r="X38" s="311" t="s">
        <v>1892</v>
      </c>
      <c r="Y38" s="311" t="s">
        <v>1893</v>
      </c>
      <c r="Z38" s="311" t="s">
        <v>1927</v>
      </c>
      <c r="AA38" s="377">
        <v>120</v>
      </c>
    </row>
    <row r="39" spans="1:27" ht="12.75" customHeight="1" x14ac:dyDescent="0.2">
      <c r="A39" s="311" t="s">
        <v>82</v>
      </c>
      <c r="B39" s="311" t="s">
        <v>23</v>
      </c>
      <c r="C39" s="327">
        <v>0</v>
      </c>
      <c r="D39" s="327">
        <v>0.38392857142857117</v>
      </c>
      <c r="E39" s="327">
        <v>0.41851835317460295</v>
      </c>
      <c r="F39" s="327">
        <v>0.48535267857142816</v>
      </c>
      <c r="G39" s="327">
        <v>0.60905704365079338</v>
      </c>
      <c r="H39" s="327">
        <v>0.69246031746031744</v>
      </c>
      <c r="I39" s="327">
        <v>0.7183645833333332</v>
      </c>
      <c r="J39" s="327">
        <v>0.76720287698412681</v>
      </c>
      <c r="K39" s="327">
        <v>0.85241517857142846</v>
      </c>
      <c r="L39" s="327">
        <v>0.90476190476190466</v>
      </c>
      <c r="M39" s="327">
        <v>0.91989732142857128</v>
      </c>
      <c r="N39" s="327">
        <v>0.94657291666666654</v>
      </c>
      <c r="O39" s="327">
        <v>0.9849598214285713</v>
      </c>
      <c r="P39" s="311">
        <v>1.0000000000000002</v>
      </c>
      <c r="Q39" s="311">
        <v>1.0024999999999999</v>
      </c>
      <c r="R39" s="311">
        <v>1.0049999999999999</v>
      </c>
      <c r="S39" s="311">
        <v>1.0075000000000001</v>
      </c>
      <c r="T39" s="311">
        <f t="shared" si="0"/>
        <v>80</v>
      </c>
      <c r="U39" s="311"/>
      <c r="V39" s="311"/>
      <c r="W39" s="311">
        <v>80</v>
      </c>
      <c r="X39" s="311" t="s">
        <v>1892</v>
      </c>
      <c r="Y39" s="311" t="s">
        <v>1893</v>
      </c>
      <c r="Z39" s="311" t="s">
        <v>1928</v>
      </c>
      <c r="AA39" s="377">
        <v>80</v>
      </c>
    </row>
    <row r="40" spans="1:27" ht="12.75" customHeight="1" x14ac:dyDescent="0.2">
      <c r="A40" s="311" t="s">
        <v>82</v>
      </c>
      <c r="B40" s="311" t="s">
        <v>237</v>
      </c>
      <c r="C40" s="327">
        <v>0</v>
      </c>
      <c r="D40" s="327">
        <v>0.38392857142857117</v>
      </c>
      <c r="E40" s="327">
        <v>0.41851835317460295</v>
      </c>
      <c r="F40" s="327">
        <v>0.48535267857142816</v>
      </c>
      <c r="G40" s="327">
        <v>0.60905704365079338</v>
      </c>
      <c r="H40" s="327">
        <v>0.69246031746031744</v>
      </c>
      <c r="I40" s="327">
        <v>0.7183645833333332</v>
      </c>
      <c r="J40" s="327">
        <v>0.76720287698412681</v>
      </c>
      <c r="K40" s="327">
        <v>0.85241517857142846</v>
      </c>
      <c r="L40" s="327">
        <v>0.90476190476190466</v>
      </c>
      <c r="M40" s="327">
        <v>0.91989732142857128</v>
      </c>
      <c r="N40" s="327">
        <v>0.94657291666666654</v>
      </c>
      <c r="O40" s="327">
        <v>0.9849598214285713</v>
      </c>
      <c r="P40" s="311">
        <v>1.0000000000000002</v>
      </c>
      <c r="Q40" s="311">
        <v>1.0024999999999999</v>
      </c>
      <c r="R40" s="311">
        <v>1.0049999999999999</v>
      </c>
      <c r="S40" s="311">
        <v>1.0075000000000001</v>
      </c>
      <c r="T40" s="311">
        <f t="shared" si="0"/>
        <v>40</v>
      </c>
      <c r="U40" s="311"/>
      <c r="V40" s="311"/>
      <c r="W40" s="311">
        <v>40</v>
      </c>
      <c r="X40" s="311" t="s">
        <v>1892</v>
      </c>
      <c r="Y40" s="311" t="s">
        <v>1893</v>
      </c>
      <c r="Z40" s="311" t="s">
        <v>1929</v>
      </c>
      <c r="AA40" s="377">
        <v>40</v>
      </c>
    </row>
    <row r="41" spans="1:27" ht="12.75" customHeight="1" x14ac:dyDescent="0.2">
      <c r="A41" s="311" t="s">
        <v>303</v>
      </c>
      <c r="B41" s="311" t="s">
        <v>236</v>
      </c>
      <c r="C41" s="327">
        <v>0</v>
      </c>
      <c r="D41" s="327">
        <v>0.25</v>
      </c>
      <c r="E41" s="327">
        <v>0.27500000000000002</v>
      </c>
      <c r="F41" s="327">
        <v>0.32499999999999996</v>
      </c>
      <c r="G41" s="327">
        <v>0.42500000000000004</v>
      </c>
      <c r="H41" s="327">
        <v>0.5</v>
      </c>
      <c r="I41" s="327">
        <v>0.52500000000000002</v>
      </c>
      <c r="J41" s="327">
        <v>0.57499999999999996</v>
      </c>
      <c r="K41" s="327">
        <v>0.67500000000000004</v>
      </c>
      <c r="L41" s="327">
        <v>0.75</v>
      </c>
      <c r="M41" s="327">
        <v>0.77499999999999991</v>
      </c>
      <c r="N41" s="327">
        <v>0.82499999999999996</v>
      </c>
      <c r="O41" s="327">
        <v>0.92500000000000004</v>
      </c>
      <c r="P41" s="311">
        <v>1</v>
      </c>
      <c r="Q41" s="311">
        <v>1.0024999999999999</v>
      </c>
      <c r="R41" s="311">
        <v>1.0049999999999999</v>
      </c>
      <c r="S41" s="311">
        <v>1.0075000000000001</v>
      </c>
      <c r="T41" s="311">
        <f t="shared" si="0"/>
        <v>60</v>
      </c>
      <c r="U41" s="311"/>
      <c r="V41" s="311"/>
      <c r="W41" s="311">
        <v>60</v>
      </c>
      <c r="X41" s="311" t="s">
        <v>1892</v>
      </c>
      <c r="Y41" s="311" t="s">
        <v>1893</v>
      </c>
      <c r="Z41" s="311" t="s">
        <v>1930</v>
      </c>
      <c r="AA41" s="377">
        <v>60</v>
      </c>
    </row>
    <row r="42" spans="1:27" ht="12.75" customHeight="1" x14ac:dyDescent="0.2">
      <c r="A42" s="311" t="s">
        <v>303</v>
      </c>
      <c r="B42" s="311" t="s">
        <v>23</v>
      </c>
      <c r="C42" s="327">
        <v>0</v>
      </c>
      <c r="D42" s="327">
        <v>0.25</v>
      </c>
      <c r="E42" s="327">
        <v>0.27500000000000002</v>
      </c>
      <c r="F42" s="327">
        <v>0.32499999999999996</v>
      </c>
      <c r="G42" s="327">
        <v>0.42500000000000004</v>
      </c>
      <c r="H42" s="327">
        <v>0.5</v>
      </c>
      <c r="I42" s="327">
        <v>0.52500000000000002</v>
      </c>
      <c r="J42" s="327">
        <v>0.57499999999999996</v>
      </c>
      <c r="K42" s="327">
        <v>0.67500000000000004</v>
      </c>
      <c r="L42" s="327">
        <v>0.75</v>
      </c>
      <c r="M42" s="327">
        <v>0.77499999999999991</v>
      </c>
      <c r="N42" s="327">
        <v>0.82499999999999996</v>
      </c>
      <c r="O42" s="327">
        <v>0.92500000000000004</v>
      </c>
      <c r="P42" s="311">
        <v>1</v>
      </c>
      <c r="Q42" s="311">
        <v>1.0024999999999999</v>
      </c>
      <c r="R42" s="311">
        <v>1.0049999999999999</v>
      </c>
      <c r="S42" s="311">
        <v>1.0075000000000001</v>
      </c>
      <c r="T42" s="311">
        <f t="shared" si="0"/>
        <v>40</v>
      </c>
      <c r="U42" s="311"/>
      <c r="V42" s="311"/>
      <c r="W42" s="311">
        <v>40</v>
      </c>
      <c r="X42" s="311" t="s">
        <v>1892</v>
      </c>
      <c r="Y42" s="311" t="s">
        <v>1893</v>
      </c>
      <c r="Z42" s="311" t="s">
        <v>1931</v>
      </c>
      <c r="AA42" s="377">
        <v>40</v>
      </c>
    </row>
    <row r="43" spans="1:27" ht="12.75" customHeight="1" x14ac:dyDescent="0.2">
      <c r="A43" s="311" t="s">
        <v>303</v>
      </c>
      <c r="B43" s="311" t="s">
        <v>237</v>
      </c>
      <c r="C43" s="327">
        <v>0</v>
      </c>
      <c r="D43" s="327">
        <v>0.25</v>
      </c>
      <c r="E43" s="327">
        <v>0.27500000000000002</v>
      </c>
      <c r="F43" s="327">
        <v>0.32499999999999996</v>
      </c>
      <c r="G43" s="327">
        <v>0.42500000000000004</v>
      </c>
      <c r="H43" s="327">
        <v>0.5</v>
      </c>
      <c r="I43" s="327">
        <v>0.52500000000000002</v>
      </c>
      <c r="J43" s="327">
        <v>0.57499999999999996</v>
      </c>
      <c r="K43" s="327">
        <v>0.67500000000000004</v>
      </c>
      <c r="L43" s="327">
        <v>0.75</v>
      </c>
      <c r="M43" s="327">
        <v>0.77499999999999991</v>
      </c>
      <c r="N43" s="327">
        <v>0.82499999999999996</v>
      </c>
      <c r="O43" s="327">
        <v>0.92500000000000004</v>
      </c>
      <c r="P43" s="311">
        <v>1</v>
      </c>
      <c r="Q43" s="311">
        <v>1.0024999999999999</v>
      </c>
      <c r="R43" s="311">
        <v>1.0049999999999999</v>
      </c>
      <c r="S43" s="311">
        <v>1.0075000000000001</v>
      </c>
      <c r="T43" s="311">
        <f t="shared" si="0"/>
        <v>20</v>
      </c>
      <c r="U43" s="311"/>
      <c r="V43" s="311"/>
      <c r="W43" s="311">
        <v>20</v>
      </c>
      <c r="X43" s="311" t="s">
        <v>1892</v>
      </c>
      <c r="Y43" s="311" t="s">
        <v>1893</v>
      </c>
      <c r="Z43" s="311" t="s">
        <v>1932</v>
      </c>
      <c r="AA43" s="377">
        <v>20</v>
      </c>
    </row>
    <row r="44" spans="1:27" ht="12.75" customHeight="1" x14ac:dyDescent="0.2">
      <c r="A44" s="311" t="s">
        <v>302</v>
      </c>
      <c r="B44" s="311" t="s">
        <v>236</v>
      </c>
      <c r="C44" s="327">
        <v>0</v>
      </c>
      <c r="D44" s="327">
        <v>0.25238095238095209</v>
      </c>
      <c r="E44" s="327">
        <v>0.27753174603174574</v>
      </c>
      <c r="F44" s="327">
        <v>0.32778571428571385</v>
      </c>
      <c r="G44" s="327">
        <v>0.42810317460317432</v>
      </c>
      <c r="H44" s="327">
        <v>0.50317460317460294</v>
      </c>
      <c r="I44" s="327">
        <v>0.52816666666666645</v>
      </c>
      <c r="J44" s="327">
        <v>0.5781031746031744</v>
      </c>
      <c r="K44" s="327">
        <v>0.67778571428571421</v>
      </c>
      <c r="L44" s="327">
        <v>0.75238095238095237</v>
      </c>
      <c r="M44" s="327">
        <v>0.77721428571428541</v>
      </c>
      <c r="N44" s="327">
        <v>0.82683333333333331</v>
      </c>
      <c r="O44" s="327">
        <v>0.92588095238095258</v>
      </c>
      <c r="P44" s="311">
        <v>1</v>
      </c>
      <c r="Q44" s="311">
        <v>1.0024999999999999</v>
      </c>
      <c r="R44" s="311">
        <v>1.0049999999999999</v>
      </c>
      <c r="S44" s="311">
        <v>1.0075000000000001</v>
      </c>
      <c r="T44" s="311">
        <f t="shared" si="0"/>
        <v>60</v>
      </c>
      <c r="U44" s="311"/>
      <c r="V44" s="311"/>
      <c r="W44" s="311">
        <v>60</v>
      </c>
      <c r="X44" s="311" t="s">
        <v>1892</v>
      </c>
      <c r="Y44" s="311" t="s">
        <v>1893</v>
      </c>
      <c r="Z44" s="311" t="s">
        <v>1933</v>
      </c>
      <c r="AA44" s="377">
        <v>60</v>
      </c>
    </row>
    <row r="45" spans="1:27" ht="12.75" customHeight="1" x14ac:dyDescent="0.2">
      <c r="A45" s="311" t="s">
        <v>302</v>
      </c>
      <c r="B45" s="311" t="s">
        <v>23</v>
      </c>
      <c r="C45" s="327">
        <v>0</v>
      </c>
      <c r="D45" s="327">
        <v>0.25238095238095209</v>
      </c>
      <c r="E45" s="327">
        <v>0.27753174603174574</v>
      </c>
      <c r="F45" s="327">
        <v>0.32778571428571385</v>
      </c>
      <c r="G45" s="327">
        <v>0.42810317460317432</v>
      </c>
      <c r="H45" s="327">
        <v>0.50317460317460294</v>
      </c>
      <c r="I45" s="327">
        <v>0.52816666666666645</v>
      </c>
      <c r="J45" s="327">
        <v>0.5781031746031744</v>
      </c>
      <c r="K45" s="327">
        <v>0.67778571428571421</v>
      </c>
      <c r="L45" s="327">
        <v>0.75238095238095237</v>
      </c>
      <c r="M45" s="327">
        <v>0.77721428571428541</v>
      </c>
      <c r="N45" s="327">
        <v>0.82683333333333331</v>
      </c>
      <c r="O45" s="327">
        <v>0.92588095238095258</v>
      </c>
      <c r="P45" s="311">
        <v>1</v>
      </c>
      <c r="Q45" s="311">
        <v>1.0024999999999999</v>
      </c>
      <c r="R45" s="311">
        <v>1.0049999999999999</v>
      </c>
      <c r="S45" s="311">
        <v>1.0075000000000001</v>
      </c>
      <c r="T45" s="311">
        <f t="shared" si="0"/>
        <v>40</v>
      </c>
      <c r="U45" s="311"/>
      <c r="V45" s="311"/>
      <c r="W45" s="311">
        <v>40</v>
      </c>
      <c r="X45" s="311" t="s">
        <v>1892</v>
      </c>
      <c r="Y45" s="311" t="s">
        <v>1893</v>
      </c>
      <c r="Z45" s="311" t="s">
        <v>1934</v>
      </c>
      <c r="AA45" s="377">
        <v>40</v>
      </c>
    </row>
    <row r="46" spans="1:27" ht="12.75" customHeight="1" x14ac:dyDescent="0.2">
      <c r="A46" s="311" t="s">
        <v>302</v>
      </c>
      <c r="B46" s="311" t="s">
        <v>237</v>
      </c>
      <c r="C46" s="327">
        <v>0</v>
      </c>
      <c r="D46" s="327">
        <v>0.25238095238095209</v>
      </c>
      <c r="E46" s="327">
        <v>0.27753174603174574</v>
      </c>
      <c r="F46" s="327">
        <v>0.32778571428571385</v>
      </c>
      <c r="G46" s="327">
        <v>0.42810317460317432</v>
      </c>
      <c r="H46" s="327">
        <v>0.50317460317460294</v>
      </c>
      <c r="I46" s="327">
        <v>0.52816666666666645</v>
      </c>
      <c r="J46" s="327">
        <v>0.5781031746031744</v>
      </c>
      <c r="K46" s="327">
        <v>0.67778571428571421</v>
      </c>
      <c r="L46" s="327">
        <v>0.75238095238095237</v>
      </c>
      <c r="M46" s="327">
        <v>0.77721428571428541</v>
      </c>
      <c r="N46" s="327">
        <v>0.82683333333333331</v>
      </c>
      <c r="O46" s="327">
        <v>0.92588095238095258</v>
      </c>
      <c r="P46" s="311">
        <v>1</v>
      </c>
      <c r="Q46" s="311">
        <v>1.0024999999999999</v>
      </c>
      <c r="R46" s="311">
        <v>1.0049999999999999</v>
      </c>
      <c r="S46" s="311">
        <v>1.0075000000000001</v>
      </c>
      <c r="T46" s="311">
        <f t="shared" si="0"/>
        <v>30</v>
      </c>
      <c r="U46" s="311"/>
      <c r="V46" s="311"/>
      <c r="W46" s="311">
        <v>30</v>
      </c>
      <c r="X46" s="311" t="s">
        <v>1892</v>
      </c>
      <c r="Y46" s="311" t="s">
        <v>1893</v>
      </c>
      <c r="Z46" s="311" t="s">
        <v>1935</v>
      </c>
      <c r="AA46" s="377">
        <v>30</v>
      </c>
    </row>
    <row r="47" spans="1:27" ht="12.75" customHeight="1" x14ac:dyDescent="0.2">
      <c r="A47" s="311" t="s">
        <v>301</v>
      </c>
      <c r="B47" s="311" t="s">
        <v>236</v>
      </c>
      <c r="C47" s="327">
        <v>0</v>
      </c>
      <c r="D47" s="327">
        <v>0.54957693255565454</v>
      </c>
      <c r="E47" s="327">
        <v>0.58833869412725659</v>
      </c>
      <c r="F47" s="327">
        <v>0.65830234432760859</v>
      </c>
      <c r="G47" s="327">
        <v>0.7707347379674494</v>
      </c>
      <c r="H47" s="327">
        <v>0.83408864791843462</v>
      </c>
      <c r="I47" s="327">
        <v>0.85173503689859986</v>
      </c>
      <c r="J47" s="327">
        <v>0.88240856871308937</v>
      </c>
      <c r="K47" s="327">
        <v>0.92802323276924326</v>
      </c>
      <c r="L47" s="327">
        <v>0.95155603932199662</v>
      </c>
      <c r="M47" s="327">
        <v>0.95788914503409184</v>
      </c>
      <c r="N47" s="327">
        <v>0.96887673710944999</v>
      </c>
      <c r="O47" s="327">
        <v>0.98688202887537968</v>
      </c>
      <c r="P47" s="311">
        <v>0.99999999999999978</v>
      </c>
      <c r="Q47" s="311">
        <v>1.0024999999999999</v>
      </c>
      <c r="R47" s="311">
        <v>1.0049999999999999</v>
      </c>
      <c r="S47" s="311">
        <v>1.0075000000000001</v>
      </c>
      <c r="T47" s="311">
        <f t="shared" si="0"/>
        <v>47</v>
      </c>
      <c r="U47" s="311"/>
      <c r="V47" s="311"/>
      <c r="W47" s="311">
        <v>47</v>
      </c>
      <c r="X47" s="311" t="s">
        <v>1892</v>
      </c>
      <c r="Y47" s="311" t="s">
        <v>1893</v>
      </c>
      <c r="Z47" s="311" t="s">
        <v>1936</v>
      </c>
      <c r="AA47" s="377">
        <v>47</v>
      </c>
    </row>
    <row r="48" spans="1:27" ht="12.75" customHeight="1" x14ac:dyDescent="0.2">
      <c r="A48" s="311" t="s">
        <v>301</v>
      </c>
      <c r="B48" s="311" t="s">
        <v>23</v>
      </c>
      <c r="C48" s="327">
        <v>0</v>
      </c>
      <c r="D48" s="327">
        <v>0.54957693255565454</v>
      </c>
      <c r="E48" s="327">
        <v>0.58833869412725659</v>
      </c>
      <c r="F48" s="327">
        <v>0.65830234432760859</v>
      </c>
      <c r="G48" s="327">
        <v>0.7707347379674494</v>
      </c>
      <c r="H48" s="327">
        <v>0.83408864791843462</v>
      </c>
      <c r="I48" s="327">
        <v>0.85173503689859986</v>
      </c>
      <c r="J48" s="327">
        <v>0.88240856871308937</v>
      </c>
      <c r="K48" s="327">
        <v>0.92802323276924326</v>
      </c>
      <c r="L48" s="327">
        <v>0.95155603932199662</v>
      </c>
      <c r="M48" s="327">
        <v>0.95788914503409184</v>
      </c>
      <c r="N48" s="327">
        <v>0.96887673710944999</v>
      </c>
      <c r="O48" s="327">
        <v>0.98688202887537968</v>
      </c>
      <c r="P48" s="311">
        <v>0.99999999999999978</v>
      </c>
      <c r="Q48" s="311">
        <v>1.0024999999999999</v>
      </c>
      <c r="R48" s="311">
        <v>1.0049999999999999</v>
      </c>
      <c r="S48" s="311">
        <v>1.0075000000000001</v>
      </c>
      <c r="T48" s="311">
        <f t="shared" si="0"/>
        <v>37</v>
      </c>
      <c r="U48" s="311"/>
      <c r="V48" s="311"/>
      <c r="W48" s="311">
        <v>37</v>
      </c>
      <c r="X48" s="311" t="s">
        <v>1892</v>
      </c>
      <c r="Y48" s="311" t="s">
        <v>1893</v>
      </c>
      <c r="Z48" s="311" t="s">
        <v>1937</v>
      </c>
      <c r="AA48" s="377">
        <v>37</v>
      </c>
    </row>
    <row r="49" spans="1:27" ht="12.75" customHeight="1" x14ac:dyDescent="0.2">
      <c r="A49" s="311" t="s">
        <v>301</v>
      </c>
      <c r="B49" s="311" t="s">
        <v>237</v>
      </c>
      <c r="C49" s="327">
        <v>0</v>
      </c>
      <c r="D49" s="327">
        <v>0.54957693255565454</v>
      </c>
      <c r="E49" s="327">
        <v>0.58833869412725659</v>
      </c>
      <c r="F49" s="327">
        <v>0.65830234432760859</v>
      </c>
      <c r="G49" s="327">
        <v>0.7707347379674494</v>
      </c>
      <c r="H49" s="327">
        <v>0.83408864791843462</v>
      </c>
      <c r="I49" s="327">
        <v>0.85173503689859986</v>
      </c>
      <c r="J49" s="327">
        <v>0.88240856871308937</v>
      </c>
      <c r="K49" s="327">
        <v>0.92802323276924326</v>
      </c>
      <c r="L49" s="327">
        <v>0.95155603932199662</v>
      </c>
      <c r="M49" s="327">
        <v>0.95788914503409184</v>
      </c>
      <c r="N49" s="327">
        <v>0.96887673710944999</v>
      </c>
      <c r="O49" s="327">
        <v>0.98688202887537968</v>
      </c>
      <c r="P49" s="311">
        <v>0.99999999999999978</v>
      </c>
      <c r="Q49" s="311">
        <v>1.0024999999999999</v>
      </c>
      <c r="R49" s="311">
        <v>1.0049999999999999</v>
      </c>
      <c r="S49" s="311">
        <v>1.0075000000000001</v>
      </c>
      <c r="T49" s="311">
        <f t="shared" si="0"/>
        <v>24</v>
      </c>
      <c r="U49" s="311"/>
      <c r="V49" s="311"/>
      <c r="W49" s="311">
        <v>24</v>
      </c>
      <c r="X49" s="311" t="s">
        <v>1892</v>
      </c>
      <c r="Y49" s="311" t="s">
        <v>1893</v>
      </c>
      <c r="Z49" s="311" t="s">
        <v>1938</v>
      </c>
      <c r="AA49" s="377">
        <v>24</v>
      </c>
    </row>
    <row r="50" spans="1:27" ht="12.75" customHeight="1" x14ac:dyDescent="0.2">
      <c r="A50" s="311" t="s">
        <v>300</v>
      </c>
      <c r="B50" s="311" t="s">
        <v>236</v>
      </c>
      <c r="C50" s="327">
        <v>0</v>
      </c>
      <c r="D50" s="327">
        <v>0.45663954055142231</v>
      </c>
      <c r="E50" s="327">
        <v>0.49140428772755129</v>
      </c>
      <c r="F50" s="327">
        <v>0.55580113961472333</v>
      </c>
      <c r="G50" s="327">
        <v>0.66581401392332529</v>
      </c>
      <c r="H50" s="327">
        <v>0.73385890181617719</v>
      </c>
      <c r="I50" s="327">
        <v>0.75411862112446171</v>
      </c>
      <c r="J50" s="327">
        <v>0.79138013912730143</v>
      </c>
      <c r="K50" s="327">
        <v>0.85462123307266813</v>
      </c>
      <c r="L50" s="327">
        <v>0.89414881217284403</v>
      </c>
      <c r="M50" s="327">
        <v>0.90615257645114067</v>
      </c>
      <c r="N50" s="327">
        <v>0.92877690624536413</v>
      </c>
      <c r="O50" s="327">
        <v>0.97024251117892613</v>
      </c>
      <c r="P50" s="311">
        <v>1</v>
      </c>
      <c r="Q50" s="311">
        <v>1.0024999999999999</v>
      </c>
      <c r="R50" s="311">
        <v>1.0049999999999999</v>
      </c>
      <c r="S50" s="311">
        <v>1.0075000000000001</v>
      </c>
      <c r="T50" s="311">
        <f t="shared" si="0"/>
        <v>107</v>
      </c>
      <c r="U50" s="311"/>
      <c r="V50" s="311"/>
      <c r="W50" s="311">
        <v>107</v>
      </c>
      <c r="X50" s="311" t="s">
        <v>1892</v>
      </c>
      <c r="Y50" s="311" t="s">
        <v>1893</v>
      </c>
      <c r="Z50" s="311" t="s">
        <v>1939</v>
      </c>
      <c r="AA50" s="377">
        <v>107</v>
      </c>
    </row>
    <row r="51" spans="1:27" ht="12.75" customHeight="1" x14ac:dyDescent="0.2">
      <c r="A51" s="311" t="s">
        <v>300</v>
      </c>
      <c r="B51" s="311" t="s">
        <v>23</v>
      </c>
      <c r="C51" s="327">
        <v>0</v>
      </c>
      <c r="D51" s="327">
        <v>0.45663954055142231</v>
      </c>
      <c r="E51" s="327">
        <v>0.49140428772755129</v>
      </c>
      <c r="F51" s="327">
        <v>0.55580113961472333</v>
      </c>
      <c r="G51" s="327">
        <v>0.66581401392332529</v>
      </c>
      <c r="H51" s="327">
        <v>0.73385890181617719</v>
      </c>
      <c r="I51" s="327">
        <v>0.75411862112446171</v>
      </c>
      <c r="J51" s="327">
        <v>0.79138013912730143</v>
      </c>
      <c r="K51" s="327">
        <v>0.85462123307266813</v>
      </c>
      <c r="L51" s="327">
        <v>0.89414881217284403</v>
      </c>
      <c r="M51" s="327">
        <v>0.90615257645114067</v>
      </c>
      <c r="N51" s="327">
        <v>0.92877690624536413</v>
      </c>
      <c r="O51" s="327">
        <v>0.97024251117892613</v>
      </c>
      <c r="P51" s="311">
        <v>1</v>
      </c>
      <c r="Q51" s="311">
        <v>1.0024999999999999</v>
      </c>
      <c r="R51" s="311">
        <v>1.0049999999999999</v>
      </c>
      <c r="S51" s="311">
        <v>1.0075000000000001</v>
      </c>
      <c r="T51" s="311">
        <f t="shared" si="0"/>
        <v>60</v>
      </c>
      <c r="U51" s="311"/>
      <c r="V51" s="311"/>
      <c r="W51" s="311">
        <v>60</v>
      </c>
      <c r="X51" s="311" t="s">
        <v>1892</v>
      </c>
      <c r="Y51" s="311" t="s">
        <v>1893</v>
      </c>
      <c r="Z51" s="311" t="s">
        <v>1940</v>
      </c>
      <c r="AA51" s="377">
        <v>60</v>
      </c>
    </row>
    <row r="52" spans="1:27" ht="12.75" customHeight="1" x14ac:dyDescent="0.2">
      <c r="A52" s="311" t="s">
        <v>300</v>
      </c>
      <c r="B52" s="311" t="s">
        <v>237</v>
      </c>
      <c r="C52" s="327">
        <v>0</v>
      </c>
      <c r="D52" s="327">
        <v>0.45663954055142231</v>
      </c>
      <c r="E52" s="327">
        <v>0.49140428772755129</v>
      </c>
      <c r="F52" s="327">
        <v>0.55580113961472333</v>
      </c>
      <c r="G52" s="327">
        <v>0.66581401392332529</v>
      </c>
      <c r="H52" s="327">
        <v>0.73385890181617719</v>
      </c>
      <c r="I52" s="327">
        <v>0.75411862112446171</v>
      </c>
      <c r="J52" s="327">
        <v>0.79138013912730143</v>
      </c>
      <c r="K52" s="327">
        <v>0.85462123307266813</v>
      </c>
      <c r="L52" s="327">
        <v>0.89414881217284403</v>
      </c>
      <c r="M52" s="327">
        <v>0.90615257645114067</v>
      </c>
      <c r="N52" s="327">
        <v>0.92877690624536413</v>
      </c>
      <c r="O52" s="327">
        <v>0.97024251117892613</v>
      </c>
      <c r="P52" s="311">
        <v>1</v>
      </c>
      <c r="Q52" s="311">
        <v>1.0024999999999999</v>
      </c>
      <c r="R52" s="311">
        <v>1.0049999999999999</v>
      </c>
      <c r="S52" s="311">
        <v>1.0075000000000001</v>
      </c>
      <c r="T52" s="311">
        <f t="shared" si="0"/>
        <v>35</v>
      </c>
      <c r="U52" s="311"/>
      <c r="V52" s="311"/>
      <c r="W52" s="311">
        <v>35</v>
      </c>
      <c r="X52" s="311" t="s">
        <v>1892</v>
      </c>
      <c r="Y52" s="311" t="s">
        <v>1893</v>
      </c>
      <c r="Z52" s="311" t="s">
        <v>1941</v>
      </c>
      <c r="AA52" s="377">
        <v>35</v>
      </c>
    </row>
    <row r="53" spans="1:27" ht="12.75" customHeight="1" x14ac:dyDescent="0.2">
      <c r="A53" s="311" t="s">
        <v>299</v>
      </c>
      <c r="B53" s="311" t="s">
        <v>236</v>
      </c>
      <c r="C53" s="327">
        <v>0</v>
      </c>
      <c r="D53" s="327">
        <v>0.35714285714285693</v>
      </c>
      <c r="E53" s="327">
        <v>0.38892857142857123</v>
      </c>
      <c r="F53" s="327">
        <v>0.45035714285714262</v>
      </c>
      <c r="G53" s="327">
        <v>0.564642857142857</v>
      </c>
      <c r="H53" s="327">
        <v>0.64285714285714279</v>
      </c>
      <c r="I53" s="327">
        <v>0.66749999999999998</v>
      </c>
      <c r="J53" s="327">
        <v>0.71464285714285714</v>
      </c>
      <c r="K53" s="327">
        <v>0.80035714285714299</v>
      </c>
      <c r="L53" s="327">
        <v>0.85714285714285721</v>
      </c>
      <c r="M53" s="327">
        <v>0.87464285714285728</v>
      </c>
      <c r="N53" s="327">
        <v>0.9075000000000002</v>
      </c>
      <c r="O53" s="327">
        <v>0.96464285714285736</v>
      </c>
      <c r="P53" s="311">
        <v>1</v>
      </c>
      <c r="Q53" s="311">
        <v>1.0024999999999999</v>
      </c>
      <c r="R53" s="311">
        <v>1.0049999999999999</v>
      </c>
      <c r="S53" s="311">
        <v>1.0075000000000001</v>
      </c>
      <c r="T53" s="311">
        <f t="shared" si="0"/>
        <v>240</v>
      </c>
      <c r="U53" s="311"/>
      <c r="V53" s="311"/>
      <c r="W53" s="311">
        <v>240</v>
      </c>
      <c r="X53" s="311" t="s">
        <v>1892</v>
      </c>
      <c r="Y53" s="311" t="s">
        <v>1893</v>
      </c>
      <c r="Z53" s="311" t="s">
        <v>1942</v>
      </c>
      <c r="AA53" s="377">
        <v>240</v>
      </c>
    </row>
    <row r="54" spans="1:27" ht="12.75" customHeight="1" x14ac:dyDescent="0.2">
      <c r="A54" s="311" t="s">
        <v>299</v>
      </c>
      <c r="B54" s="311" t="s">
        <v>23</v>
      </c>
      <c r="C54" s="327">
        <v>0</v>
      </c>
      <c r="D54" s="327">
        <v>0.35714285714285693</v>
      </c>
      <c r="E54" s="327">
        <v>0.38892857142857123</v>
      </c>
      <c r="F54" s="327">
        <v>0.45035714285714262</v>
      </c>
      <c r="G54" s="327">
        <v>0.564642857142857</v>
      </c>
      <c r="H54" s="327">
        <v>0.64285714285714279</v>
      </c>
      <c r="I54" s="327">
        <v>0.66749999999999998</v>
      </c>
      <c r="J54" s="327">
        <v>0.71464285714285714</v>
      </c>
      <c r="K54" s="327">
        <v>0.80035714285714299</v>
      </c>
      <c r="L54" s="327">
        <v>0.85714285714285721</v>
      </c>
      <c r="M54" s="327">
        <v>0.87464285714285728</v>
      </c>
      <c r="N54" s="327">
        <v>0.9075000000000002</v>
      </c>
      <c r="O54" s="327">
        <v>0.96464285714285736</v>
      </c>
      <c r="P54" s="311">
        <v>1</v>
      </c>
      <c r="Q54" s="311">
        <v>1.0024999999999999</v>
      </c>
      <c r="R54" s="311">
        <v>1.0049999999999999</v>
      </c>
      <c r="S54" s="311">
        <v>1.0075000000000001</v>
      </c>
      <c r="T54" s="311">
        <f t="shared" si="0"/>
        <v>120</v>
      </c>
      <c r="U54" s="311"/>
      <c r="V54" s="311"/>
      <c r="W54" s="311">
        <v>120</v>
      </c>
      <c r="X54" s="311" t="s">
        <v>1892</v>
      </c>
      <c r="Y54" s="311" t="s">
        <v>1893</v>
      </c>
      <c r="Z54" s="311" t="s">
        <v>1943</v>
      </c>
      <c r="AA54" s="377">
        <v>120</v>
      </c>
    </row>
    <row r="55" spans="1:27" ht="12.75" customHeight="1" x14ac:dyDescent="0.2">
      <c r="A55" s="311" t="s">
        <v>299</v>
      </c>
      <c r="B55" s="311" t="s">
        <v>237</v>
      </c>
      <c r="C55" s="327">
        <v>0</v>
      </c>
      <c r="D55" s="327">
        <v>0.35714285714285693</v>
      </c>
      <c r="E55" s="327">
        <v>0.38892857142857123</v>
      </c>
      <c r="F55" s="327">
        <v>0.45035714285714262</v>
      </c>
      <c r="G55" s="327">
        <v>0.564642857142857</v>
      </c>
      <c r="H55" s="327">
        <v>0.64285714285714279</v>
      </c>
      <c r="I55" s="327">
        <v>0.66749999999999998</v>
      </c>
      <c r="J55" s="327">
        <v>0.71464285714285714</v>
      </c>
      <c r="K55" s="327">
        <v>0.80035714285714299</v>
      </c>
      <c r="L55" s="327">
        <v>0.85714285714285721</v>
      </c>
      <c r="M55" s="327">
        <v>0.87464285714285728</v>
      </c>
      <c r="N55" s="327">
        <v>0.9075000000000002</v>
      </c>
      <c r="O55" s="327">
        <v>0.96464285714285736</v>
      </c>
      <c r="P55" s="311">
        <v>1</v>
      </c>
      <c r="Q55" s="311">
        <v>1.0024999999999999</v>
      </c>
      <c r="R55" s="311">
        <v>1.0049999999999999</v>
      </c>
      <c r="S55" s="311">
        <v>1.0075000000000001</v>
      </c>
      <c r="T55" s="311">
        <f t="shared" si="0"/>
        <v>60</v>
      </c>
      <c r="U55" s="311"/>
      <c r="V55" s="311"/>
      <c r="W55" s="311">
        <v>60</v>
      </c>
      <c r="X55" s="311" t="s">
        <v>1892</v>
      </c>
      <c r="Y55" s="311" t="s">
        <v>1893</v>
      </c>
      <c r="Z55" s="311" t="s">
        <v>1944</v>
      </c>
      <c r="AA55" s="377">
        <v>60</v>
      </c>
    </row>
    <row r="56" spans="1:27" ht="12.75" customHeight="1" x14ac:dyDescent="0.2">
      <c r="A56" s="311" t="s">
        <v>138</v>
      </c>
      <c r="B56" s="311" t="s">
        <v>235</v>
      </c>
      <c r="C56" s="327">
        <v>0</v>
      </c>
      <c r="D56" s="327">
        <v>0.43333333333333279</v>
      </c>
      <c r="E56" s="327">
        <v>0.46994444444444394</v>
      </c>
      <c r="F56" s="327">
        <v>0.53949999999999954</v>
      </c>
      <c r="G56" s="327">
        <v>0.66394444444444412</v>
      </c>
      <c r="H56" s="327">
        <v>0.74444444444444391</v>
      </c>
      <c r="I56" s="327">
        <v>0.76883333333333292</v>
      </c>
      <c r="J56" s="327">
        <v>0.81394444444444425</v>
      </c>
      <c r="K56" s="327">
        <v>0.88949999999999985</v>
      </c>
      <c r="L56" s="327">
        <v>0.93333333333333346</v>
      </c>
      <c r="M56" s="327">
        <v>0.9454999999999999</v>
      </c>
      <c r="N56" s="327">
        <v>0.96616666666666673</v>
      </c>
      <c r="O56" s="327">
        <v>0.99283333333333335</v>
      </c>
      <c r="P56" s="311">
        <v>1</v>
      </c>
      <c r="Q56" s="311">
        <v>1.0024999999999999</v>
      </c>
      <c r="R56" s="311">
        <v>1.0049999999999999</v>
      </c>
      <c r="S56" s="311">
        <v>1.0075000000000001</v>
      </c>
      <c r="T56" s="311">
        <f t="shared" si="0"/>
        <v>1000000000</v>
      </c>
      <c r="U56" s="311" t="s">
        <v>315</v>
      </c>
      <c r="V56" s="311"/>
      <c r="W56" s="311">
        <v>1000000000</v>
      </c>
      <c r="X56" s="311" t="s">
        <v>1892</v>
      </c>
      <c r="Y56" s="311" t="s">
        <v>1893</v>
      </c>
      <c r="Z56" s="311" t="s">
        <v>1945</v>
      </c>
      <c r="AA56" s="377">
        <v>1000000000</v>
      </c>
    </row>
    <row r="57" spans="1:27" ht="12.75" customHeight="1" x14ac:dyDescent="0.2">
      <c r="A57" s="311" t="s">
        <v>138</v>
      </c>
      <c r="B57" s="311" t="s">
        <v>236</v>
      </c>
      <c r="C57" s="327">
        <v>0</v>
      </c>
      <c r="D57" s="327">
        <v>0.43333333333333279</v>
      </c>
      <c r="E57" s="327">
        <v>0.46994444444444394</v>
      </c>
      <c r="F57" s="327">
        <v>0.53949999999999954</v>
      </c>
      <c r="G57" s="327">
        <v>0.66394444444444412</v>
      </c>
      <c r="H57" s="327">
        <v>0.74444444444444391</v>
      </c>
      <c r="I57" s="327">
        <v>0.76883333333333292</v>
      </c>
      <c r="J57" s="327">
        <v>0.81394444444444425</v>
      </c>
      <c r="K57" s="327">
        <v>0.88949999999999985</v>
      </c>
      <c r="L57" s="327">
        <v>0.93333333333333346</v>
      </c>
      <c r="M57" s="327">
        <v>0.9454999999999999</v>
      </c>
      <c r="N57" s="327">
        <v>0.96616666666666673</v>
      </c>
      <c r="O57" s="327">
        <v>0.99283333333333335</v>
      </c>
      <c r="P57" s="311">
        <v>1</v>
      </c>
      <c r="Q57" s="311">
        <v>1.0024999999999999</v>
      </c>
      <c r="R57" s="311">
        <v>1.0049999999999999</v>
      </c>
      <c r="S57" s="311">
        <v>1.0075000000000001</v>
      </c>
      <c r="T57" s="311">
        <f t="shared" si="0"/>
        <v>120</v>
      </c>
      <c r="U57" s="311"/>
      <c r="V57" s="311"/>
      <c r="W57" s="311">
        <v>120</v>
      </c>
      <c r="X57" s="311" t="s">
        <v>1892</v>
      </c>
      <c r="Y57" s="311" t="s">
        <v>1893</v>
      </c>
      <c r="Z57" s="311" t="s">
        <v>1946</v>
      </c>
      <c r="AA57" s="377">
        <v>120</v>
      </c>
    </row>
    <row r="58" spans="1:27" ht="12.75" customHeight="1" x14ac:dyDescent="0.2">
      <c r="A58" s="311" t="s">
        <v>138</v>
      </c>
      <c r="B58" s="311" t="s">
        <v>23</v>
      </c>
      <c r="C58" s="327">
        <v>0</v>
      </c>
      <c r="D58" s="327">
        <v>0.43333333333333279</v>
      </c>
      <c r="E58" s="327">
        <v>0.46994444444444394</v>
      </c>
      <c r="F58" s="327">
        <v>0.53949999999999954</v>
      </c>
      <c r="G58" s="327">
        <v>0.66394444444444412</v>
      </c>
      <c r="H58" s="327">
        <v>0.74444444444444391</v>
      </c>
      <c r="I58" s="327">
        <v>0.76883333333333292</v>
      </c>
      <c r="J58" s="327">
        <v>0.81394444444444425</v>
      </c>
      <c r="K58" s="327">
        <v>0.88949999999999985</v>
      </c>
      <c r="L58" s="327">
        <v>0.93333333333333346</v>
      </c>
      <c r="M58" s="327">
        <v>0.9454999999999999</v>
      </c>
      <c r="N58" s="327">
        <v>0.96616666666666673</v>
      </c>
      <c r="O58" s="327">
        <v>0.99283333333333335</v>
      </c>
      <c r="P58" s="311">
        <v>1</v>
      </c>
      <c r="Q58" s="311">
        <v>1.0024999999999999</v>
      </c>
      <c r="R58" s="311">
        <v>1.0049999999999999</v>
      </c>
      <c r="S58" s="311">
        <v>1.0075000000000001</v>
      </c>
      <c r="T58" s="311">
        <f t="shared" si="0"/>
        <v>60</v>
      </c>
      <c r="U58" s="311"/>
      <c r="V58" s="311"/>
      <c r="W58" s="311">
        <v>60</v>
      </c>
      <c r="X58" s="311" t="s">
        <v>1892</v>
      </c>
      <c r="Y58" s="311" t="s">
        <v>1893</v>
      </c>
      <c r="Z58" s="311" t="s">
        <v>1947</v>
      </c>
      <c r="AA58" s="377">
        <v>60</v>
      </c>
    </row>
    <row r="59" spans="1:27" ht="12.75" customHeight="1" x14ac:dyDescent="0.2">
      <c r="A59" s="311" t="s">
        <v>138</v>
      </c>
      <c r="B59" s="311" t="s">
        <v>237</v>
      </c>
      <c r="C59" s="327">
        <v>0</v>
      </c>
      <c r="D59" s="327">
        <v>0.43333333333333279</v>
      </c>
      <c r="E59" s="327">
        <v>0.46994444444444394</v>
      </c>
      <c r="F59" s="327">
        <v>0.53949999999999954</v>
      </c>
      <c r="G59" s="327">
        <v>0.66394444444444412</v>
      </c>
      <c r="H59" s="327">
        <v>0.74444444444444391</v>
      </c>
      <c r="I59" s="327">
        <v>0.76883333333333292</v>
      </c>
      <c r="J59" s="327">
        <v>0.81394444444444425</v>
      </c>
      <c r="K59" s="327">
        <v>0.88949999999999985</v>
      </c>
      <c r="L59" s="327">
        <v>0.93333333333333346</v>
      </c>
      <c r="M59" s="327">
        <v>0.9454999999999999</v>
      </c>
      <c r="N59" s="327">
        <v>0.96616666666666673</v>
      </c>
      <c r="O59" s="327">
        <v>0.99283333333333335</v>
      </c>
      <c r="P59" s="311">
        <v>1</v>
      </c>
      <c r="Q59" s="311">
        <v>1.0024999999999999</v>
      </c>
      <c r="R59" s="311">
        <v>1.0049999999999999</v>
      </c>
      <c r="S59" s="311">
        <v>1.0075000000000001</v>
      </c>
      <c r="T59" s="311">
        <f t="shared" si="0"/>
        <v>30</v>
      </c>
      <c r="U59" s="311"/>
      <c r="V59" s="311"/>
      <c r="W59" s="311">
        <v>30</v>
      </c>
      <c r="X59" s="311" t="s">
        <v>1892</v>
      </c>
      <c r="Y59" s="311" t="s">
        <v>1893</v>
      </c>
      <c r="Z59" s="311" t="s">
        <v>1948</v>
      </c>
      <c r="AA59" s="377">
        <v>30</v>
      </c>
    </row>
    <row r="60" spans="1:27" ht="12.75" customHeight="1" x14ac:dyDescent="0.2">
      <c r="A60" s="311" t="s">
        <v>298</v>
      </c>
      <c r="B60" s="311" t="s">
        <v>236</v>
      </c>
      <c r="C60" s="327">
        <v>0</v>
      </c>
      <c r="D60" s="327">
        <v>0.24206349206349187</v>
      </c>
      <c r="E60" s="327">
        <v>0.26656084656084639</v>
      </c>
      <c r="F60" s="327">
        <v>0.31571428571428545</v>
      </c>
      <c r="G60" s="327">
        <v>0.41465608465608456</v>
      </c>
      <c r="H60" s="327">
        <v>0.48941798941798925</v>
      </c>
      <c r="I60" s="327">
        <v>0.51444444444444426</v>
      </c>
      <c r="J60" s="327">
        <v>0.56465608465608441</v>
      </c>
      <c r="K60" s="327">
        <v>0.6657142857142857</v>
      </c>
      <c r="L60" s="327">
        <v>0.74206349206349209</v>
      </c>
      <c r="M60" s="327">
        <v>0.76761904761904742</v>
      </c>
      <c r="N60" s="327">
        <v>0.81888888888888878</v>
      </c>
      <c r="O60" s="327">
        <v>0.92206349206349203</v>
      </c>
      <c r="P60" s="311">
        <v>1</v>
      </c>
      <c r="Q60" s="311">
        <v>1.0024999999999999</v>
      </c>
      <c r="R60" s="311">
        <v>1.0049999999999999</v>
      </c>
      <c r="S60" s="311">
        <v>1.0075000000000001</v>
      </c>
      <c r="T60" s="311">
        <f t="shared" si="0"/>
        <v>36</v>
      </c>
      <c r="U60" s="311"/>
      <c r="V60" s="311"/>
      <c r="W60" s="311">
        <v>36</v>
      </c>
      <c r="X60" s="311" t="s">
        <v>1892</v>
      </c>
      <c r="Y60" s="311" t="s">
        <v>1893</v>
      </c>
      <c r="Z60" s="311" t="s">
        <v>1949</v>
      </c>
      <c r="AA60" s="377">
        <v>36</v>
      </c>
    </row>
    <row r="61" spans="1:27" ht="12.75" customHeight="1" x14ac:dyDescent="0.2">
      <c r="A61" s="311" t="s">
        <v>298</v>
      </c>
      <c r="B61" s="311" t="s">
        <v>23</v>
      </c>
      <c r="C61" s="327">
        <v>0</v>
      </c>
      <c r="D61" s="327">
        <v>0.24206349206349187</v>
      </c>
      <c r="E61" s="327">
        <v>0.26656084656084639</v>
      </c>
      <c r="F61" s="327">
        <v>0.31571428571428545</v>
      </c>
      <c r="G61" s="327">
        <v>0.41465608465608456</v>
      </c>
      <c r="H61" s="327">
        <v>0.48941798941798925</v>
      </c>
      <c r="I61" s="327">
        <v>0.51444444444444426</v>
      </c>
      <c r="J61" s="327">
        <v>0.56465608465608441</v>
      </c>
      <c r="K61" s="327">
        <v>0.6657142857142857</v>
      </c>
      <c r="L61" s="327">
        <v>0.74206349206349209</v>
      </c>
      <c r="M61" s="327">
        <v>0.76761904761904742</v>
      </c>
      <c r="N61" s="327">
        <v>0.81888888888888878</v>
      </c>
      <c r="O61" s="327">
        <v>0.92206349206349203</v>
      </c>
      <c r="P61" s="311">
        <v>1</v>
      </c>
      <c r="Q61" s="311">
        <v>1.0024999999999999</v>
      </c>
      <c r="R61" s="311">
        <v>1.0049999999999999</v>
      </c>
      <c r="S61" s="311">
        <v>1.0075000000000001</v>
      </c>
      <c r="T61" s="311">
        <f t="shared" si="0"/>
        <v>20</v>
      </c>
      <c r="U61" s="311"/>
      <c r="V61" s="311"/>
      <c r="W61" s="311">
        <v>20</v>
      </c>
      <c r="X61" s="311" t="s">
        <v>1892</v>
      </c>
      <c r="Y61" s="311" t="s">
        <v>1893</v>
      </c>
      <c r="Z61" s="311" t="s">
        <v>1950</v>
      </c>
      <c r="AA61" s="377">
        <v>20</v>
      </c>
    </row>
    <row r="62" spans="1:27" ht="12.75" customHeight="1" x14ac:dyDescent="0.2">
      <c r="A62" s="311" t="s">
        <v>298</v>
      </c>
      <c r="B62" s="311" t="s">
        <v>237</v>
      </c>
      <c r="C62" s="327">
        <v>0</v>
      </c>
      <c r="D62" s="327">
        <v>0.24206349206349187</v>
      </c>
      <c r="E62" s="327">
        <v>0.26656084656084639</v>
      </c>
      <c r="F62" s="327">
        <v>0.31571428571428545</v>
      </c>
      <c r="G62" s="327">
        <v>0.41465608465608456</v>
      </c>
      <c r="H62" s="327">
        <v>0.48941798941798925</v>
      </c>
      <c r="I62" s="327">
        <v>0.51444444444444426</v>
      </c>
      <c r="J62" s="327">
        <v>0.56465608465608441</v>
      </c>
      <c r="K62" s="327">
        <v>0.6657142857142857</v>
      </c>
      <c r="L62" s="327">
        <v>0.74206349206349209</v>
      </c>
      <c r="M62" s="327">
        <v>0.76761904761904742</v>
      </c>
      <c r="N62" s="327">
        <v>0.81888888888888878</v>
      </c>
      <c r="O62" s="327">
        <v>0.92206349206349203</v>
      </c>
      <c r="P62" s="311">
        <v>1</v>
      </c>
      <c r="Q62" s="311">
        <v>1.0024999999999999</v>
      </c>
      <c r="R62" s="311">
        <v>1.0049999999999999</v>
      </c>
      <c r="S62" s="311">
        <v>1.0075000000000001</v>
      </c>
      <c r="T62" s="311">
        <f t="shared" si="0"/>
        <v>12</v>
      </c>
      <c r="U62" s="311"/>
      <c r="V62" s="311"/>
      <c r="W62" s="311">
        <v>12</v>
      </c>
      <c r="X62" s="311" t="s">
        <v>1892</v>
      </c>
      <c r="Y62" s="311" t="s">
        <v>1893</v>
      </c>
      <c r="Z62" s="311" t="s">
        <v>1951</v>
      </c>
      <c r="AA62" s="377">
        <v>12</v>
      </c>
    </row>
    <row r="63" spans="1:27" ht="12.75" customHeight="1" x14ac:dyDescent="0.2">
      <c r="A63" s="311" t="s">
        <v>152</v>
      </c>
      <c r="B63" s="311" t="s">
        <v>235</v>
      </c>
      <c r="C63" s="327">
        <v>0</v>
      </c>
      <c r="D63" s="327">
        <v>0.55065505065504916</v>
      </c>
      <c r="E63" s="327">
        <v>0.58802153527153389</v>
      </c>
      <c r="F63" s="327">
        <v>0.65473262548262379</v>
      </c>
      <c r="G63" s="327">
        <v>0.75958265133265002</v>
      </c>
      <c r="H63" s="327">
        <v>0.81717431717431599</v>
      </c>
      <c r="I63" s="327">
        <v>0.83303239778239679</v>
      </c>
      <c r="J63" s="327">
        <v>0.86049313874313804</v>
      </c>
      <c r="K63" s="327">
        <v>0.9019083011583009</v>
      </c>
      <c r="L63" s="327">
        <v>0.92510642510642493</v>
      </c>
      <c r="M63" s="327">
        <v>0.93201096426096375</v>
      </c>
      <c r="N63" s="327">
        <v>0.94533108108108155</v>
      </c>
      <c r="O63" s="327">
        <v>0.97353083028082987</v>
      </c>
      <c r="P63" s="311">
        <v>1.0000000000000007</v>
      </c>
      <c r="Q63" s="311">
        <v>1.0024999999999999</v>
      </c>
      <c r="R63" s="311">
        <v>1.0049999999999999</v>
      </c>
      <c r="S63" s="311">
        <v>1.0075000000000001</v>
      </c>
      <c r="T63" s="311">
        <f t="shared" si="0"/>
        <v>1000000000</v>
      </c>
      <c r="U63" s="311" t="s">
        <v>315</v>
      </c>
      <c r="V63" s="311"/>
      <c r="W63" s="311">
        <v>1000000000</v>
      </c>
      <c r="X63" s="311" t="s">
        <v>1892</v>
      </c>
      <c r="Y63" s="311" t="s">
        <v>1893</v>
      </c>
      <c r="Z63" s="311" t="s">
        <v>1952</v>
      </c>
      <c r="AA63" s="377">
        <v>1000000000</v>
      </c>
    </row>
    <row r="64" spans="1:27" ht="12.75" customHeight="1" x14ac:dyDescent="0.2">
      <c r="A64" s="311" t="s">
        <v>152</v>
      </c>
      <c r="B64" s="311" t="s">
        <v>236</v>
      </c>
      <c r="C64" s="327">
        <v>0</v>
      </c>
      <c r="D64" s="327">
        <v>0.55065505065504916</v>
      </c>
      <c r="E64" s="327">
        <v>0.58802153527153389</v>
      </c>
      <c r="F64" s="327">
        <v>0.65473262548262379</v>
      </c>
      <c r="G64" s="327">
        <v>0.75958265133265002</v>
      </c>
      <c r="H64" s="327">
        <v>0.81717431717431599</v>
      </c>
      <c r="I64" s="327">
        <v>0.83303239778239679</v>
      </c>
      <c r="J64" s="327">
        <v>0.86049313874313804</v>
      </c>
      <c r="K64" s="327">
        <v>0.9019083011583009</v>
      </c>
      <c r="L64" s="327">
        <v>0.92510642510642493</v>
      </c>
      <c r="M64" s="327">
        <v>0.93201096426096375</v>
      </c>
      <c r="N64" s="327">
        <v>0.94533108108108155</v>
      </c>
      <c r="O64" s="327">
        <v>0.97353083028082987</v>
      </c>
      <c r="P64" s="311">
        <v>1.0000000000000007</v>
      </c>
      <c r="Q64" s="311">
        <v>1.0024999999999999</v>
      </c>
      <c r="R64" s="311">
        <v>1.0049999999999999</v>
      </c>
      <c r="S64" s="311">
        <v>1.0075000000000001</v>
      </c>
      <c r="T64" s="311">
        <f t="shared" si="0"/>
        <v>37</v>
      </c>
      <c r="U64" s="311"/>
      <c r="V64" s="311"/>
      <c r="W64" s="311">
        <v>37</v>
      </c>
      <c r="X64" s="311" t="s">
        <v>1892</v>
      </c>
      <c r="Y64" s="311" t="s">
        <v>1893</v>
      </c>
      <c r="Z64" s="311" t="s">
        <v>1953</v>
      </c>
      <c r="AA64" s="377">
        <v>37</v>
      </c>
    </row>
    <row r="65" spans="1:27" ht="12.75" customHeight="1" x14ac:dyDescent="0.2">
      <c r="A65" s="311" t="s">
        <v>152</v>
      </c>
      <c r="B65" s="311" t="s">
        <v>23</v>
      </c>
      <c r="C65" s="327">
        <v>0</v>
      </c>
      <c r="D65" s="327">
        <v>0.55065505065504916</v>
      </c>
      <c r="E65" s="327">
        <v>0.58802153527153389</v>
      </c>
      <c r="F65" s="327">
        <v>0.65473262548262379</v>
      </c>
      <c r="G65" s="327">
        <v>0.75958265133265002</v>
      </c>
      <c r="H65" s="327">
        <v>0.81717431717431599</v>
      </c>
      <c r="I65" s="327">
        <v>0.83303239778239679</v>
      </c>
      <c r="J65" s="327">
        <v>0.86049313874313804</v>
      </c>
      <c r="K65" s="327">
        <v>0.9019083011583009</v>
      </c>
      <c r="L65" s="327">
        <v>0.92510642510642493</v>
      </c>
      <c r="M65" s="327">
        <v>0.93201096426096375</v>
      </c>
      <c r="N65" s="327">
        <v>0.94533108108108155</v>
      </c>
      <c r="O65" s="327">
        <v>0.97353083028082987</v>
      </c>
      <c r="P65" s="311">
        <v>1.0000000000000007</v>
      </c>
      <c r="Q65" s="311">
        <v>1.0024999999999999</v>
      </c>
      <c r="R65" s="311">
        <v>1.0049999999999999</v>
      </c>
      <c r="S65" s="311">
        <v>1.0075000000000001</v>
      </c>
      <c r="T65" s="311">
        <f t="shared" si="0"/>
        <v>18</v>
      </c>
      <c r="U65" s="311"/>
      <c r="V65" s="311"/>
      <c r="W65" s="311">
        <v>18</v>
      </c>
      <c r="X65" s="311" t="s">
        <v>1892</v>
      </c>
      <c r="Y65" s="311" t="s">
        <v>1893</v>
      </c>
      <c r="Z65" s="311" t="s">
        <v>1954</v>
      </c>
      <c r="AA65" s="377">
        <v>18</v>
      </c>
    </row>
    <row r="66" spans="1:27" ht="12.75" customHeight="1" x14ac:dyDescent="0.2">
      <c r="A66" s="311" t="s">
        <v>152</v>
      </c>
      <c r="B66" s="311" t="s">
        <v>237</v>
      </c>
      <c r="C66" s="327">
        <v>0</v>
      </c>
      <c r="D66" s="327">
        <v>0.55065505065504916</v>
      </c>
      <c r="E66" s="327">
        <v>0.58802153527153389</v>
      </c>
      <c r="F66" s="327">
        <v>0.65473262548262379</v>
      </c>
      <c r="G66" s="327">
        <v>0.75958265133265002</v>
      </c>
      <c r="H66" s="327">
        <v>0.81717431717431599</v>
      </c>
      <c r="I66" s="327">
        <v>0.83303239778239679</v>
      </c>
      <c r="J66" s="327">
        <v>0.86049313874313804</v>
      </c>
      <c r="K66" s="327">
        <v>0.9019083011583009</v>
      </c>
      <c r="L66" s="327">
        <v>0.92510642510642493</v>
      </c>
      <c r="M66" s="327">
        <v>0.93201096426096375</v>
      </c>
      <c r="N66" s="327">
        <v>0.94533108108108155</v>
      </c>
      <c r="O66" s="327">
        <v>0.97353083028082987</v>
      </c>
      <c r="P66" s="311">
        <v>1.0000000000000007</v>
      </c>
      <c r="Q66" s="311">
        <v>1.0024999999999999</v>
      </c>
      <c r="R66" s="311">
        <v>1.0049999999999999</v>
      </c>
      <c r="S66" s="311">
        <v>1.0075000000000001</v>
      </c>
      <c r="T66" s="311">
        <f t="shared" si="0"/>
        <v>13</v>
      </c>
      <c r="U66" s="311"/>
      <c r="V66" s="311"/>
      <c r="W66" s="311">
        <v>13</v>
      </c>
      <c r="X66" s="311" t="s">
        <v>1892</v>
      </c>
      <c r="Y66" s="311" t="s">
        <v>1893</v>
      </c>
      <c r="Z66" s="311" t="s">
        <v>1955</v>
      </c>
      <c r="AA66" s="377">
        <v>13</v>
      </c>
    </row>
    <row r="67" spans="1:27" ht="12.75" customHeight="1" x14ac:dyDescent="0.2">
      <c r="A67" s="311" t="s">
        <v>297</v>
      </c>
      <c r="B67" s="311" t="s">
        <v>236</v>
      </c>
      <c r="C67" s="327">
        <v>0</v>
      </c>
      <c r="D67" s="327">
        <v>0.53529121826994053</v>
      </c>
      <c r="E67" s="327">
        <v>0.5735912734923363</v>
      </c>
      <c r="F67" s="327">
        <v>0.64305055861332328</v>
      </c>
      <c r="G67" s="327">
        <v>0.7559170792372909</v>
      </c>
      <c r="H67" s="327">
        <v>0.82059658442637051</v>
      </c>
      <c r="I67" s="327">
        <v>0.83883087023193315</v>
      </c>
      <c r="J67" s="327">
        <v>0.87084924331626445</v>
      </c>
      <c r="K67" s="327">
        <v>0.91959644705495758</v>
      </c>
      <c r="L67" s="327">
        <v>0.94560365836961613</v>
      </c>
      <c r="M67" s="327">
        <v>0.95274093074837762</v>
      </c>
      <c r="N67" s="327">
        <v>0.96525590377611725</v>
      </c>
      <c r="O67" s="327">
        <v>0.98575881458966497</v>
      </c>
      <c r="P67" s="311">
        <v>1.0000000000000007</v>
      </c>
      <c r="Q67" s="311">
        <v>1.0024999999999999</v>
      </c>
      <c r="R67" s="311">
        <v>1.0049999999999999</v>
      </c>
      <c r="S67" s="311">
        <v>1.0075000000000001</v>
      </c>
      <c r="T67" s="311">
        <f t="shared" si="0"/>
        <v>75</v>
      </c>
      <c r="U67" s="311"/>
      <c r="V67" s="311"/>
      <c r="W67" s="311">
        <v>75</v>
      </c>
      <c r="X67" s="311" t="s">
        <v>1892</v>
      </c>
      <c r="Y67" s="311" t="s">
        <v>1893</v>
      </c>
      <c r="Z67" s="311" t="s">
        <v>1956</v>
      </c>
      <c r="AA67" s="377">
        <v>75</v>
      </c>
    </row>
    <row r="68" spans="1:27" ht="12.75" customHeight="1" x14ac:dyDescent="0.2">
      <c r="A68" s="311" t="s">
        <v>297</v>
      </c>
      <c r="B68" s="311" t="s">
        <v>23</v>
      </c>
      <c r="C68" s="327">
        <v>0</v>
      </c>
      <c r="D68" s="327">
        <v>0.53529121826994053</v>
      </c>
      <c r="E68" s="327">
        <v>0.5735912734923363</v>
      </c>
      <c r="F68" s="327">
        <v>0.64305055861332328</v>
      </c>
      <c r="G68" s="327">
        <v>0.7559170792372909</v>
      </c>
      <c r="H68" s="327">
        <v>0.82059658442637051</v>
      </c>
      <c r="I68" s="327">
        <v>0.83883087023193315</v>
      </c>
      <c r="J68" s="327">
        <v>0.87084924331626445</v>
      </c>
      <c r="K68" s="327">
        <v>0.91959644705495758</v>
      </c>
      <c r="L68" s="327">
        <v>0.94560365836961613</v>
      </c>
      <c r="M68" s="327">
        <v>0.95274093074837762</v>
      </c>
      <c r="N68" s="327">
        <v>0.96525590377611725</v>
      </c>
      <c r="O68" s="327">
        <v>0.98575881458966497</v>
      </c>
      <c r="P68" s="311">
        <v>1.0000000000000007</v>
      </c>
      <c r="Q68" s="311">
        <v>1.0024999999999999</v>
      </c>
      <c r="R68" s="311">
        <v>1.0049999999999999</v>
      </c>
      <c r="S68" s="311">
        <v>1.0075000000000001</v>
      </c>
      <c r="T68" s="311">
        <f t="shared" ref="T68:T131" si="1">IF($T$2&lt;&gt;0,$AA68*$T$2,$AA68)</f>
        <v>47</v>
      </c>
      <c r="U68" s="311"/>
      <c r="V68" s="311"/>
      <c r="W68" s="311">
        <v>47</v>
      </c>
      <c r="X68" s="311" t="s">
        <v>1892</v>
      </c>
      <c r="Y68" s="311" t="s">
        <v>1893</v>
      </c>
      <c r="Z68" s="311" t="s">
        <v>1957</v>
      </c>
      <c r="AA68" s="377">
        <v>47</v>
      </c>
    </row>
    <row r="69" spans="1:27" ht="12.75" customHeight="1" x14ac:dyDescent="0.2">
      <c r="A69" s="311" t="s">
        <v>297</v>
      </c>
      <c r="B69" s="311" t="s">
        <v>237</v>
      </c>
      <c r="C69" s="327">
        <v>0</v>
      </c>
      <c r="D69" s="327">
        <v>0.53529121826994053</v>
      </c>
      <c r="E69" s="327">
        <v>0.5735912734923363</v>
      </c>
      <c r="F69" s="327">
        <v>0.64305055861332328</v>
      </c>
      <c r="G69" s="327">
        <v>0.7559170792372909</v>
      </c>
      <c r="H69" s="327">
        <v>0.82059658442637051</v>
      </c>
      <c r="I69" s="327">
        <v>0.83883087023193315</v>
      </c>
      <c r="J69" s="327">
        <v>0.87084924331626445</v>
      </c>
      <c r="K69" s="327">
        <v>0.91959644705495758</v>
      </c>
      <c r="L69" s="327">
        <v>0.94560365836961613</v>
      </c>
      <c r="M69" s="327">
        <v>0.95274093074837762</v>
      </c>
      <c r="N69" s="327">
        <v>0.96525590377611725</v>
      </c>
      <c r="O69" s="327">
        <v>0.98575881458966497</v>
      </c>
      <c r="P69" s="311">
        <v>1.0000000000000007</v>
      </c>
      <c r="Q69" s="311">
        <v>1.0024999999999999</v>
      </c>
      <c r="R69" s="311">
        <v>1.0049999999999999</v>
      </c>
      <c r="S69" s="311">
        <v>1.0075000000000001</v>
      </c>
      <c r="T69" s="311">
        <f t="shared" si="1"/>
        <v>37</v>
      </c>
      <c r="U69" s="311"/>
      <c r="V69" s="311"/>
      <c r="W69" s="311">
        <v>37</v>
      </c>
      <c r="X69" s="311" t="s">
        <v>1892</v>
      </c>
      <c r="Y69" s="311" t="s">
        <v>1893</v>
      </c>
      <c r="Z69" s="311" t="s">
        <v>1958</v>
      </c>
      <c r="AA69" s="377">
        <v>37</v>
      </c>
    </row>
    <row r="70" spans="1:27" ht="12.75" customHeight="1" x14ac:dyDescent="0.2">
      <c r="A70" s="311" t="s">
        <v>296</v>
      </c>
      <c r="B70" s="311" t="s">
        <v>236</v>
      </c>
      <c r="C70" s="327">
        <v>0</v>
      </c>
      <c r="D70" s="327">
        <v>0.34821428571428559</v>
      </c>
      <c r="E70" s="327">
        <v>0.37943452380952369</v>
      </c>
      <c r="F70" s="327">
        <v>0.43991071428571416</v>
      </c>
      <c r="G70" s="327">
        <v>0.55300595238095229</v>
      </c>
      <c r="H70" s="327">
        <v>0.63095238095238071</v>
      </c>
      <c r="I70" s="327">
        <v>0.6556249999999999</v>
      </c>
      <c r="J70" s="327">
        <v>0.7030059523809522</v>
      </c>
      <c r="K70" s="327">
        <v>0.78991071428571424</v>
      </c>
      <c r="L70" s="327">
        <v>0.84821428571428581</v>
      </c>
      <c r="M70" s="327">
        <v>0.86633928571428576</v>
      </c>
      <c r="N70" s="327">
        <v>0.90062500000000001</v>
      </c>
      <c r="O70" s="327">
        <v>0.96133928571428595</v>
      </c>
      <c r="P70" s="311">
        <v>1.0000000000000002</v>
      </c>
      <c r="Q70" s="311">
        <v>1.0024999999999999</v>
      </c>
      <c r="R70" s="311">
        <v>1.0049999999999999</v>
      </c>
      <c r="S70" s="311">
        <v>1.0075000000000001</v>
      </c>
      <c r="T70" s="311">
        <f t="shared" si="1"/>
        <v>240</v>
      </c>
      <c r="U70" s="311"/>
      <c r="V70" s="311"/>
      <c r="W70" s="311">
        <v>240</v>
      </c>
      <c r="X70" s="311" t="s">
        <v>1892</v>
      </c>
      <c r="Y70" s="311" t="s">
        <v>1893</v>
      </c>
      <c r="Z70" s="311" t="s">
        <v>1959</v>
      </c>
      <c r="AA70" s="377">
        <v>240</v>
      </c>
    </row>
    <row r="71" spans="1:27" ht="12.75" customHeight="1" x14ac:dyDescent="0.2">
      <c r="A71" s="311" t="s">
        <v>296</v>
      </c>
      <c r="B71" s="311" t="s">
        <v>23</v>
      </c>
      <c r="C71" s="327">
        <v>0</v>
      </c>
      <c r="D71" s="327">
        <v>0.34821428571428559</v>
      </c>
      <c r="E71" s="327">
        <v>0.37943452380952369</v>
      </c>
      <c r="F71" s="327">
        <v>0.43991071428571416</v>
      </c>
      <c r="G71" s="327">
        <v>0.55300595238095229</v>
      </c>
      <c r="H71" s="327">
        <v>0.63095238095238071</v>
      </c>
      <c r="I71" s="327">
        <v>0.6556249999999999</v>
      </c>
      <c r="J71" s="327">
        <v>0.7030059523809522</v>
      </c>
      <c r="K71" s="327">
        <v>0.78991071428571424</v>
      </c>
      <c r="L71" s="327">
        <v>0.84821428571428581</v>
      </c>
      <c r="M71" s="327">
        <v>0.86633928571428576</v>
      </c>
      <c r="N71" s="327">
        <v>0.90062500000000001</v>
      </c>
      <c r="O71" s="327">
        <v>0.96133928571428595</v>
      </c>
      <c r="P71" s="311">
        <v>1.0000000000000002</v>
      </c>
      <c r="Q71" s="311">
        <v>1.0024999999999999</v>
      </c>
      <c r="R71" s="311">
        <v>1.0049999999999999</v>
      </c>
      <c r="S71" s="311">
        <v>1.0075000000000001</v>
      </c>
      <c r="T71" s="311">
        <f t="shared" si="1"/>
        <v>80</v>
      </c>
      <c r="U71" s="311"/>
      <c r="V71" s="311"/>
      <c r="W71" s="311">
        <v>80</v>
      </c>
      <c r="X71" s="311" t="s">
        <v>1892</v>
      </c>
      <c r="Y71" s="311" t="s">
        <v>1893</v>
      </c>
      <c r="Z71" s="311" t="s">
        <v>1960</v>
      </c>
      <c r="AA71" s="377">
        <v>80</v>
      </c>
    </row>
    <row r="72" spans="1:27" ht="12.75" customHeight="1" x14ac:dyDescent="0.2">
      <c r="A72" s="311" t="s">
        <v>296</v>
      </c>
      <c r="B72" s="311" t="s">
        <v>237</v>
      </c>
      <c r="C72" s="327">
        <v>0</v>
      </c>
      <c r="D72" s="327">
        <v>0.34821428571428559</v>
      </c>
      <c r="E72" s="327">
        <v>0.37943452380952369</v>
      </c>
      <c r="F72" s="327">
        <v>0.43991071428571416</v>
      </c>
      <c r="G72" s="327">
        <v>0.55300595238095229</v>
      </c>
      <c r="H72" s="327">
        <v>0.63095238095238071</v>
      </c>
      <c r="I72" s="327">
        <v>0.6556249999999999</v>
      </c>
      <c r="J72" s="327">
        <v>0.7030059523809522</v>
      </c>
      <c r="K72" s="327">
        <v>0.78991071428571424</v>
      </c>
      <c r="L72" s="327">
        <v>0.84821428571428581</v>
      </c>
      <c r="M72" s="327">
        <v>0.86633928571428576</v>
      </c>
      <c r="N72" s="327">
        <v>0.90062500000000001</v>
      </c>
      <c r="O72" s="327">
        <v>0.96133928571428595</v>
      </c>
      <c r="P72" s="311">
        <v>1.0000000000000002</v>
      </c>
      <c r="Q72" s="311">
        <v>1.0024999999999999</v>
      </c>
      <c r="R72" s="311">
        <v>1.0049999999999999</v>
      </c>
      <c r="S72" s="311">
        <v>1.0075000000000001</v>
      </c>
      <c r="T72" s="311">
        <f t="shared" si="1"/>
        <v>40</v>
      </c>
      <c r="U72" s="311"/>
      <c r="V72" s="311"/>
      <c r="W72" s="311">
        <v>40</v>
      </c>
      <c r="X72" s="311" t="s">
        <v>1892</v>
      </c>
      <c r="Y72" s="311" t="s">
        <v>1893</v>
      </c>
      <c r="Z72" s="311" t="s">
        <v>1961</v>
      </c>
      <c r="AA72" s="377">
        <v>40</v>
      </c>
    </row>
    <row r="73" spans="1:27" ht="12.75" customHeight="1" x14ac:dyDescent="0.2">
      <c r="A73" s="311" t="s">
        <v>295</v>
      </c>
      <c r="B73" s="311" t="s">
        <v>236</v>
      </c>
      <c r="C73" s="327">
        <v>0</v>
      </c>
      <c r="D73" s="327">
        <v>0.25</v>
      </c>
      <c r="E73" s="327">
        <v>0.27500000000000002</v>
      </c>
      <c r="F73" s="327">
        <v>0.32499999999999996</v>
      </c>
      <c r="G73" s="327">
        <v>0.42500000000000004</v>
      </c>
      <c r="H73" s="327">
        <v>0.5</v>
      </c>
      <c r="I73" s="327">
        <v>0.52500000000000002</v>
      </c>
      <c r="J73" s="327">
        <v>0.57499999999999996</v>
      </c>
      <c r="K73" s="327">
        <v>0.67500000000000004</v>
      </c>
      <c r="L73" s="327">
        <v>0.75</v>
      </c>
      <c r="M73" s="327">
        <v>0.77499999999999991</v>
      </c>
      <c r="N73" s="327">
        <v>0.82499999999999996</v>
      </c>
      <c r="O73" s="327">
        <v>0.92500000000000004</v>
      </c>
      <c r="P73" s="311">
        <v>1</v>
      </c>
      <c r="Q73" s="311">
        <v>1.0024999999999999</v>
      </c>
      <c r="R73" s="311">
        <v>1.0049999999999999</v>
      </c>
      <c r="S73" s="311">
        <v>1.0075000000000001</v>
      </c>
      <c r="T73" s="311">
        <f t="shared" si="1"/>
        <v>60</v>
      </c>
      <c r="U73" s="311"/>
      <c r="V73" s="311"/>
      <c r="W73" s="311">
        <v>60</v>
      </c>
      <c r="X73" s="311" t="s">
        <v>1892</v>
      </c>
      <c r="Y73" s="311" t="s">
        <v>1893</v>
      </c>
      <c r="Z73" s="311" t="s">
        <v>1962</v>
      </c>
      <c r="AA73" s="377">
        <v>60</v>
      </c>
    </row>
    <row r="74" spans="1:27" ht="12.75" customHeight="1" x14ac:dyDescent="0.2">
      <c r="A74" s="311" t="s">
        <v>295</v>
      </c>
      <c r="B74" s="311" t="s">
        <v>23</v>
      </c>
      <c r="C74" s="327">
        <v>0</v>
      </c>
      <c r="D74" s="327">
        <v>0.25</v>
      </c>
      <c r="E74" s="327">
        <v>0.27500000000000002</v>
      </c>
      <c r="F74" s="327">
        <v>0.32499999999999996</v>
      </c>
      <c r="G74" s="327">
        <v>0.42500000000000004</v>
      </c>
      <c r="H74" s="327">
        <v>0.5</v>
      </c>
      <c r="I74" s="327">
        <v>0.52500000000000002</v>
      </c>
      <c r="J74" s="327">
        <v>0.57499999999999996</v>
      </c>
      <c r="K74" s="327">
        <v>0.67500000000000004</v>
      </c>
      <c r="L74" s="327">
        <v>0.75</v>
      </c>
      <c r="M74" s="327">
        <v>0.77499999999999991</v>
      </c>
      <c r="N74" s="327">
        <v>0.82499999999999996</v>
      </c>
      <c r="O74" s="327">
        <v>0.92500000000000004</v>
      </c>
      <c r="P74" s="311">
        <v>1</v>
      </c>
      <c r="Q74" s="311">
        <v>1.0024999999999999</v>
      </c>
      <c r="R74" s="311">
        <v>1.0049999999999999</v>
      </c>
      <c r="S74" s="311">
        <v>1.0075000000000001</v>
      </c>
      <c r="T74" s="311">
        <f t="shared" si="1"/>
        <v>40</v>
      </c>
      <c r="U74" s="311"/>
      <c r="V74" s="311"/>
      <c r="W74" s="311">
        <v>40</v>
      </c>
      <c r="X74" s="311" t="s">
        <v>1892</v>
      </c>
      <c r="Y74" s="311" t="s">
        <v>1893</v>
      </c>
      <c r="Z74" s="311" t="s">
        <v>1963</v>
      </c>
      <c r="AA74" s="377">
        <v>40</v>
      </c>
    </row>
    <row r="75" spans="1:27" ht="12.75" customHeight="1" x14ac:dyDescent="0.2">
      <c r="A75" s="311" t="s">
        <v>295</v>
      </c>
      <c r="B75" s="311" t="s">
        <v>237</v>
      </c>
      <c r="C75" s="327">
        <v>0</v>
      </c>
      <c r="D75" s="327">
        <v>0.25</v>
      </c>
      <c r="E75" s="327">
        <v>0.27500000000000002</v>
      </c>
      <c r="F75" s="327">
        <v>0.32499999999999996</v>
      </c>
      <c r="G75" s="327">
        <v>0.42500000000000004</v>
      </c>
      <c r="H75" s="327">
        <v>0.5</v>
      </c>
      <c r="I75" s="327">
        <v>0.52500000000000002</v>
      </c>
      <c r="J75" s="327">
        <v>0.57499999999999996</v>
      </c>
      <c r="K75" s="327">
        <v>0.67500000000000004</v>
      </c>
      <c r="L75" s="327">
        <v>0.75</v>
      </c>
      <c r="M75" s="327">
        <v>0.77499999999999991</v>
      </c>
      <c r="N75" s="327">
        <v>0.82499999999999996</v>
      </c>
      <c r="O75" s="327">
        <v>0.92500000000000004</v>
      </c>
      <c r="P75" s="311">
        <v>1</v>
      </c>
      <c r="Q75" s="311">
        <v>1.0024999999999999</v>
      </c>
      <c r="R75" s="311">
        <v>1.0049999999999999</v>
      </c>
      <c r="S75" s="311">
        <v>1.0075000000000001</v>
      </c>
      <c r="T75" s="311">
        <f t="shared" si="1"/>
        <v>20</v>
      </c>
      <c r="U75" s="311"/>
      <c r="V75" s="311"/>
      <c r="W75" s="311">
        <v>20</v>
      </c>
      <c r="X75" s="311" t="s">
        <v>1892</v>
      </c>
      <c r="Y75" s="311" t="s">
        <v>1893</v>
      </c>
      <c r="Z75" s="311" t="s">
        <v>1964</v>
      </c>
      <c r="AA75" s="377">
        <v>20</v>
      </c>
    </row>
    <row r="76" spans="1:27" ht="12.75" customHeight="1" x14ac:dyDescent="0.2">
      <c r="A76" s="311" t="s">
        <v>67</v>
      </c>
      <c r="B76" s="311" t="s">
        <v>235</v>
      </c>
      <c r="C76" s="327">
        <v>0</v>
      </c>
      <c r="D76" s="327">
        <v>0.42857142857142771</v>
      </c>
      <c r="E76" s="327">
        <v>0.46488095238095184</v>
      </c>
      <c r="F76" s="327">
        <v>0.53392857142857064</v>
      </c>
      <c r="G76" s="327">
        <v>0.65773809523809446</v>
      </c>
      <c r="H76" s="327">
        <v>0.73809523809523747</v>
      </c>
      <c r="I76" s="327">
        <v>0.76249999999999951</v>
      </c>
      <c r="J76" s="327">
        <v>0.80773809523809481</v>
      </c>
      <c r="K76" s="327">
        <v>0.88392857142857117</v>
      </c>
      <c r="L76" s="327">
        <v>0.92857142857142838</v>
      </c>
      <c r="M76" s="327">
        <v>0.94107142857142811</v>
      </c>
      <c r="N76" s="327">
        <v>0.96249999999999991</v>
      </c>
      <c r="O76" s="327">
        <v>0.99107142857142816</v>
      </c>
      <c r="P76" s="311">
        <v>0.99999999999999978</v>
      </c>
      <c r="Q76" s="311">
        <v>1.0024999999999999</v>
      </c>
      <c r="R76" s="311">
        <v>1.0049999999999999</v>
      </c>
      <c r="S76" s="311">
        <v>1.0075000000000001</v>
      </c>
      <c r="T76" s="311">
        <f t="shared" si="1"/>
        <v>1000000000</v>
      </c>
      <c r="U76" s="311" t="s">
        <v>315</v>
      </c>
      <c r="V76" s="311"/>
      <c r="W76" s="311">
        <v>1000000000</v>
      </c>
      <c r="X76" s="311" t="s">
        <v>1892</v>
      </c>
      <c r="Y76" s="311" t="s">
        <v>1893</v>
      </c>
      <c r="Z76" s="311" t="s">
        <v>1965</v>
      </c>
      <c r="AA76" s="377">
        <v>1000000000</v>
      </c>
    </row>
    <row r="77" spans="1:27" ht="12.75" customHeight="1" x14ac:dyDescent="0.2">
      <c r="A77" s="311" t="s">
        <v>67</v>
      </c>
      <c r="B77" s="311" t="s">
        <v>236</v>
      </c>
      <c r="C77" s="327">
        <v>0</v>
      </c>
      <c r="D77" s="327">
        <v>0.42857142857142771</v>
      </c>
      <c r="E77" s="327">
        <v>0.46488095238095184</v>
      </c>
      <c r="F77" s="327">
        <v>0.53392857142857064</v>
      </c>
      <c r="G77" s="327">
        <v>0.65773809523809446</v>
      </c>
      <c r="H77" s="327">
        <v>0.73809523809523747</v>
      </c>
      <c r="I77" s="327">
        <v>0.76249999999999951</v>
      </c>
      <c r="J77" s="327">
        <v>0.80773809523809481</v>
      </c>
      <c r="K77" s="327">
        <v>0.88392857142857117</v>
      </c>
      <c r="L77" s="327">
        <v>0.92857142857142838</v>
      </c>
      <c r="M77" s="327">
        <v>0.94107142857142811</v>
      </c>
      <c r="N77" s="327">
        <v>0.96249999999999991</v>
      </c>
      <c r="O77" s="327">
        <v>0.99107142857142816</v>
      </c>
      <c r="P77" s="311">
        <v>0.99999999999999978</v>
      </c>
      <c r="Q77" s="311">
        <v>1.0024999999999999</v>
      </c>
      <c r="R77" s="311">
        <v>1.0049999999999999</v>
      </c>
      <c r="S77" s="311">
        <v>1.0075000000000001</v>
      </c>
      <c r="T77" s="311">
        <f t="shared" si="1"/>
        <v>120</v>
      </c>
      <c r="U77" s="311"/>
      <c r="V77" s="311"/>
      <c r="W77" s="311">
        <v>120</v>
      </c>
      <c r="X77" s="311" t="s">
        <v>1892</v>
      </c>
      <c r="Y77" s="311" t="s">
        <v>1893</v>
      </c>
      <c r="Z77" s="311" t="s">
        <v>1966</v>
      </c>
      <c r="AA77" s="377">
        <v>120</v>
      </c>
    </row>
    <row r="78" spans="1:27" ht="12.75" customHeight="1" x14ac:dyDescent="0.2">
      <c r="A78" s="311" t="s">
        <v>67</v>
      </c>
      <c r="B78" s="311" t="s">
        <v>23</v>
      </c>
      <c r="C78" s="327">
        <v>0</v>
      </c>
      <c r="D78" s="327">
        <v>0.42857142857142771</v>
      </c>
      <c r="E78" s="327">
        <v>0.46488095238095184</v>
      </c>
      <c r="F78" s="327">
        <v>0.53392857142857064</v>
      </c>
      <c r="G78" s="327">
        <v>0.65773809523809446</v>
      </c>
      <c r="H78" s="327">
        <v>0.73809523809523747</v>
      </c>
      <c r="I78" s="327">
        <v>0.76249999999999951</v>
      </c>
      <c r="J78" s="327">
        <v>0.80773809523809481</v>
      </c>
      <c r="K78" s="327">
        <v>0.88392857142857117</v>
      </c>
      <c r="L78" s="327">
        <v>0.92857142857142838</v>
      </c>
      <c r="M78" s="327">
        <v>0.94107142857142811</v>
      </c>
      <c r="N78" s="327">
        <v>0.96249999999999991</v>
      </c>
      <c r="O78" s="327">
        <v>0.99107142857142816</v>
      </c>
      <c r="P78" s="311">
        <v>0.99999999999999978</v>
      </c>
      <c r="Q78" s="311">
        <v>1.0024999999999999</v>
      </c>
      <c r="R78" s="311">
        <v>1.0049999999999999</v>
      </c>
      <c r="S78" s="311">
        <v>1.0075000000000001</v>
      </c>
      <c r="T78" s="311">
        <f t="shared" si="1"/>
        <v>80</v>
      </c>
      <c r="U78" s="311"/>
      <c r="V78" s="311"/>
      <c r="W78" s="311">
        <v>80</v>
      </c>
      <c r="X78" s="311" t="s">
        <v>1892</v>
      </c>
      <c r="Y78" s="311" t="s">
        <v>1893</v>
      </c>
      <c r="Z78" s="311" t="s">
        <v>1967</v>
      </c>
      <c r="AA78" s="377">
        <v>80</v>
      </c>
    </row>
    <row r="79" spans="1:27" ht="12.75" customHeight="1" x14ac:dyDescent="0.2">
      <c r="A79" s="311" t="s">
        <v>67</v>
      </c>
      <c r="B79" s="311" t="s">
        <v>237</v>
      </c>
      <c r="C79" s="327">
        <v>0</v>
      </c>
      <c r="D79" s="327">
        <v>0.42857142857142771</v>
      </c>
      <c r="E79" s="327">
        <v>0.46488095238095184</v>
      </c>
      <c r="F79" s="327">
        <v>0.53392857142857064</v>
      </c>
      <c r="G79" s="327">
        <v>0.65773809523809446</v>
      </c>
      <c r="H79" s="327">
        <v>0.73809523809523747</v>
      </c>
      <c r="I79" s="327">
        <v>0.76249999999999951</v>
      </c>
      <c r="J79" s="327">
        <v>0.80773809523809481</v>
      </c>
      <c r="K79" s="327">
        <v>0.88392857142857117</v>
      </c>
      <c r="L79" s="327">
        <v>0.92857142857142838</v>
      </c>
      <c r="M79" s="327">
        <v>0.94107142857142811</v>
      </c>
      <c r="N79" s="327">
        <v>0.96249999999999991</v>
      </c>
      <c r="O79" s="327">
        <v>0.99107142857142816</v>
      </c>
      <c r="P79" s="311">
        <v>0.99999999999999978</v>
      </c>
      <c r="Q79" s="311">
        <v>1.0024999999999999</v>
      </c>
      <c r="R79" s="311">
        <v>1.0049999999999999</v>
      </c>
      <c r="S79" s="311">
        <v>1.0075000000000001</v>
      </c>
      <c r="T79" s="311">
        <f t="shared" si="1"/>
        <v>40</v>
      </c>
      <c r="U79" s="311"/>
      <c r="V79" s="311"/>
      <c r="W79" s="311">
        <v>40</v>
      </c>
      <c r="X79" s="311" t="s">
        <v>1892</v>
      </c>
      <c r="Y79" s="311" t="s">
        <v>1893</v>
      </c>
      <c r="Z79" s="311" t="s">
        <v>1968</v>
      </c>
      <c r="AA79" s="377">
        <v>40</v>
      </c>
    </row>
    <row r="80" spans="1:27" ht="12.75" customHeight="1" x14ac:dyDescent="0.2">
      <c r="A80" s="311" t="s">
        <v>767</v>
      </c>
      <c r="B80" s="311" t="s">
        <v>236</v>
      </c>
      <c r="C80" s="327">
        <v>0</v>
      </c>
      <c r="D80" s="327">
        <v>0.25238095238095209</v>
      </c>
      <c r="E80" s="327">
        <v>0.27753174603174574</v>
      </c>
      <c r="F80" s="327">
        <v>0.32778571428571385</v>
      </c>
      <c r="G80" s="327">
        <v>0.42810317460317432</v>
      </c>
      <c r="H80" s="327">
        <v>0.50317460317460294</v>
      </c>
      <c r="I80" s="327">
        <v>0.52816666666666645</v>
      </c>
      <c r="J80" s="327">
        <v>0.5781031746031744</v>
      </c>
      <c r="K80" s="327">
        <v>0.67778571428571421</v>
      </c>
      <c r="L80" s="327">
        <v>0.75238095238095237</v>
      </c>
      <c r="M80" s="327">
        <v>0.77721428571428541</v>
      </c>
      <c r="N80" s="327">
        <v>0.82683333333333331</v>
      </c>
      <c r="O80" s="327">
        <v>0.92588095238095258</v>
      </c>
      <c r="P80" s="311">
        <v>1</v>
      </c>
      <c r="Q80" s="311">
        <v>1.0024999999999999</v>
      </c>
      <c r="R80" s="311">
        <v>1.0049999999999999</v>
      </c>
      <c r="S80" s="311">
        <v>1.0075000000000001</v>
      </c>
      <c r="T80" s="311">
        <f t="shared" si="1"/>
        <v>60</v>
      </c>
      <c r="U80" s="311"/>
      <c r="V80" s="311"/>
      <c r="W80" s="311">
        <v>60</v>
      </c>
      <c r="X80" s="311" t="s">
        <v>1892</v>
      </c>
      <c r="Y80" s="311" t="s">
        <v>1893</v>
      </c>
      <c r="Z80" s="311" t="s">
        <v>1969</v>
      </c>
      <c r="AA80" s="377">
        <v>60</v>
      </c>
    </row>
    <row r="81" spans="1:27" ht="12.75" customHeight="1" x14ac:dyDescent="0.2">
      <c r="A81" s="311" t="s">
        <v>767</v>
      </c>
      <c r="B81" s="311" t="s">
        <v>23</v>
      </c>
      <c r="C81" s="327">
        <v>0</v>
      </c>
      <c r="D81" s="327">
        <v>0.25238095238095209</v>
      </c>
      <c r="E81" s="327">
        <v>0.27753174603174574</v>
      </c>
      <c r="F81" s="327">
        <v>0.32778571428571385</v>
      </c>
      <c r="G81" s="327">
        <v>0.42810317460317432</v>
      </c>
      <c r="H81" s="327">
        <v>0.50317460317460294</v>
      </c>
      <c r="I81" s="327">
        <v>0.52816666666666645</v>
      </c>
      <c r="J81" s="327">
        <v>0.5781031746031744</v>
      </c>
      <c r="K81" s="327">
        <v>0.67778571428571421</v>
      </c>
      <c r="L81" s="327">
        <v>0.75238095238095237</v>
      </c>
      <c r="M81" s="327">
        <v>0.77721428571428541</v>
      </c>
      <c r="N81" s="327">
        <v>0.82683333333333331</v>
      </c>
      <c r="O81" s="327">
        <v>0.92588095238095258</v>
      </c>
      <c r="P81" s="311">
        <v>1</v>
      </c>
      <c r="Q81" s="311">
        <v>1.0024999999999999</v>
      </c>
      <c r="R81" s="311">
        <v>1.0049999999999999</v>
      </c>
      <c r="S81" s="311">
        <v>1.0075000000000001</v>
      </c>
      <c r="T81" s="311">
        <f t="shared" si="1"/>
        <v>40</v>
      </c>
      <c r="U81" s="311"/>
      <c r="V81" s="311"/>
      <c r="W81" s="311">
        <v>40</v>
      </c>
      <c r="X81" s="311" t="s">
        <v>1892</v>
      </c>
      <c r="Y81" s="311" t="s">
        <v>1893</v>
      </c>
      <c r="Z81" s="311" t="s">
        <v>1970</v>
      </c>
      <c r="AA81" s="377">
        <v>40</v>
      </c>
    </row>
    <row r="82" spans="1:27" ht="12.75" customHeight="1" x14ac:dyDescent="0.2">
      <c r="A82" s="311" t="s">
        <v>767</v>
      </c>
      <c r="B82" s="311" t="s">
        <v>237</v>
      </c>
      <c r="C82" s="327">
        <v>0</v>
      </c>
      <c r="D82" s="327">
        <v>0.25238095238095209</v>
      </c>
      <c r="E82" s="327">
        <v>0.27753174603174574</v>
      </c>
      <c r="F82" s="327">
        <v>0.32778571428571385</v>
      </c>
      <c r="G82" s="327">
        <v>0.42810317460317432</v>
      </c>
      <c r="H82" s="327">
        <v>0.50317460317460294</v>
      </c>
      <c r="I82" s="327">
        <v>0.52816666666666645</v>
      </c>
      <c r="J82" s="327">
        <v>0.5781031746031744</v>
      </c>
      <c r="K82" s="327">
        <v>0.67778571428571421</v>
      </c>
      <c r="L82" s="327">
        <v>0.75238095238095237</v>
      </c>
      <c r="M82" s="327">
        <v>0.77721428571428541</v>
      </c>
      <c r="N82" s="327">
        <v>0.82683333333333331</v>
      </c>
      <c r="O82" s="327">
        <v>0.92588095238095258</v>
      </c>
      <c r="P82" s="311">
        <v>1</v>
      </c>
      <c r="Q82" s="311">
        <v>1.0024999999999999</v>
      </c>
      <c r="R82" s="311">
        <v>1.0049999999999999</v>
      </c>
      <c r="S82" s="311">
        <v>1.0075000000000001</v>
      </c>
      <c r="T82" s="311">
        <f t="shared" si="1"/>
        <v>30</v>
      </c>
      <c r="U82" s="311"/>
      <c r="V82" s="311"/>
      <c r="W82" s="311">
        <v>30</v>
      </c>
      <c r="X82" s="311" t="s">
        <v>1892</v>
      </c>
      <c r="Y82" s="311" t="s">
        <v>1893</v>
      </c>
      <c r="Z82" s="311" t="s">
        <v>1971</v>
      </c>
      <c r="AA82" s="377">
        <v>30</v>
      </c>
    </row>
    <row r="83" spans="1:27" ht="12.75" customHeight="1" x14ac:dyDescent="0.2">
      <c r="A83" s="311" t="s">
        <v>80</v>
      </c>
      <c r="B83" s="311"/>
      <c r="C83" s="327">
        <v>0</v>
      </c>
      <c r="D83" s="327">
        <v>0.4</v>
      </c>
      <c r="E83" s="327">
        <v>0.40250000000000002</v>
      </c>
      <c r="F83" s="327">
        <v>0.40500000000000003</v>
      </c>
      <c r="G83" s="327">
        <v>0.40749999999999997</v>
      </c>
      <c r="H83" s="327">
        <v>0.5</v>
      </c>
      <c r="I83" s="327">
        <v>0.50249999999999995</v>
      </c>
      <c r="J83" s="327">
        <v>0.505</v>
      </c>
      <c r="K83" s="327">
        <v>0.50749999999999995</v>
      </c>
      <c r="L83" s="327">
        <v>0.9</v>
      </c>
      <c r="M83" s="327">
        <v>0.90249999999999997</v>
      </c>
      <c r="N83" s="327">
        <v>0.90500000000000003</v>
      </c>
      <c r="O83" s="327">
        <v>0.90749999999999997</v>
      </c>
      <c r="P83" s="311">
        <v>1</v>
      </c>
      <c r="Q83" s="311">
        <v>1.0024999999999999</v>
      </c>
      <c r="R83" s="311">
        <v>1.0049999999999999</v>
      </c>
      <c r="S83" s="311">
        <v>1.0075000000000001</v>
      </c>
      <c r="T83" s="311">
        <f t="shared" si="1"/>
        <v>800</v>
      </c>
      <c r="U83" s="311"/>
      <c r="V83" s="311"/>
      <c r="W83" s="311">
        <v>800</v>
      </c>
      <c r="X83" s="311" t="s">
        <v>1892</v>
      </c>
      <c r="Y83" s="311" t="s">
        <v>1893</v>
      </c>
      <c r="Z83" s="311" t="s">
        <v>80</v>
      </c>
      <c r="AA83" s="377">
        <v>800</v>
      </c>
    </row>
    <row r="84" spans="1:27" ht="12.75" customHeight="1" x14ac:dyDescent="0.2">
      <c r="A84" s="311" t="s">
        <v>294</v>
      </c>
      <c r="B84" s="311" t="s">
        <v>236</v>
      </c>
      <c r="C84" s="327">
        <v>0</v>
      </c>
      <c r="D84" s="327">
        <v>0.45663954055142231</v>
      </c>
      <c r="E84" s="327">
        <v>0.49140428772755129</v>
      </c>
      <c r="F84" s="327">
        <v>0.55580113961472333</v>
      </c>
      <c r="G84" s="327">
        <v>0.66581401392332529</v>
      </c>
      <c r="H84" s="327">
        <v>0.73385890181617719</v>
      </c>
      <c r="I84" s="327">
        <v>0.75411862112446171</v>
      </c>
      <c r="J84" s="327">
        <v>0.79138013912730143</v>
      </c>
      <c r="K84" s="327">
        <v>0.85462123307266813</v>
      </c>
      <c r="L84" s="327">
        <v>0.89414881217284403</v>
      </c>
      <c r="M84" s="327">
        <v>0.90615257645114067</v>
      </c>
      <c r="N84" s="327">
        <v>0.92877690624536413</v>
      </c>
      <c r="O84" s="327">
        <v>0.97024251117892613</v>
      </c>
      <c r="P84" s="311">
        <v>1</v>
      </c>
      <c r="Q84" s="311">
        <v>1.0024999999999999</v>
      </c>
      <c r="R84" s="311">
        <v>1.0049999999999999</v>
      </c>
      <c r="S84" s="311">
        <v>1.0075000000000001</v>
      </c>
      <c r="T84" s="311">
        <f t="shared" si="1"/>
        <v>107</v>
      </c>
      <c r="U84" s="311"/>
      <c r="V84" s="311"/>
      <c r="W84" s="311">
        <v>107</v>
      </c>
      <c r="X84" s="311" t="s">
        <v>1892</v>
      </c>
      <c r="Y84" s="311" t="s">
        <v>1893</v>
      </c>
      <c r="Z84" s="311" t="s">
        <v>1972</v>
      </c>
      <c r="AA84" s="377">
        <v>107</v>
      </c>
    </row>
    <row r="85" spans="1:27" ht="12.75" customHeight="1" x14ac:dyDescent="0.2">
      <c r="A85" s="311" t="s">
        <v>294</v>
      </c>
      <c r="B85" s="311" t="s">
        <v>23</v>
      </c>
      <c r="C85" s="327">
        <v>0</v>
      </c>
      <c r="D85" s="327">
        <v>0.45663954055142231</v>
      </c>
      <c r="E85" s="327">
        <v>0.49140428772755129</v>
      </c>
      <c r="F85" s="327">
        <v>0.55580113961472333</v>
      </c>
      <c r="G85" s="327">
        <v>0.66581401392332529</v>
      </c>
      <c r="H85" s="327">
        <v>0.73385890181617719</v>
      </c>
      <c r="I85" s="327">
        <v>0.75411862112446171</v>
      </c>
      <c r="J85" s="327">
        <v>0.79138013912730143</v>
      </c>
      <c r="K85" s="327">
        <v>0.85462123307266813</v>
      </c>
      <c r="L85" s="327">
        <v>0.89414881217284403</v>
      </c>
      <c r="M85" s="327">
        <v>0.90615257645114067</v>
      </c>
      <c r="N85" s="327">
        <v>0.92877690624536413</v>
      </c>
      <c r="O85" s="327">
        <v>0.97024251117892613</v>
      </c>
      <c r="P85" s="311">
        <v>1</v>
      </c>
      <c r="Q85" s="311">
        <v>1.0024999999999999</v>
      </c>
      <c r="R85" s="311">
        <v>1.0049999999999999</v>
      </c>
      <c r="S85" s="311">
        <v>1.0075000000000001</v>
      </c>
      <c r="T85" s="311">
        <f t="shared" si="1"/>
        <v>60</v>
      </c>
      <c r="U85" s="311"/>
      <c r="V85" s="311"/>
      <c r="W85" s="311">
        <v>60</v>
      </c>
      <c r="X85" s="311" t="s">
        <v>1892</v>
      </c>
      <c r="Y85" s="311" t="s">
        <v>1893</v>
      </c>
      <c r="Z85" s="311" t="s">
        <v>1973</v>
      </c>
      <c r="AA85" s="377">
        <v>60</v>
      </c>
    </row>
    <row r="86" spans="1:27" ht="12.75" customHeight="1" x14ac:dyDescent="0.2">
      <c r="A86" s="311" t="s">
        <v>294</v>
      </c>
      <c r="B86" s="311" t="s">
        <v>237</v>
      </c>
      <c r="C86" s="327">
        <v>0</v>
      </c>
      <c r="D86" s="327">
        <v>0.45663954055142231</v>
      </c>
      <c r="E86" s="327">
        <v>0.49140428772755129</v>
      </c>
      <c r="F86" s="327">
        <v>0.55580113961472333</v>
      </c>
      <c r="G86" s="327">
        <v>0.66581401392332529</v>
      </c>
      <c r="H86" s="327">
        <v>0.73385890181617719</v>
      </c>
      <c r="I86" s="327">
        <v>0.75411862112446171</v>
      </c>
      <c r="J86" s="327">
        <v>0.79138013912730143</v>
      </c>
      <c r="K86" s="327">
        <v>0.85462123307266813</v>
      </c>
      <c r="L86" s="327">
        <v>0.89414881217284403</v>
      </c>
      <c r="M86" s="327">
        <v>0.90615257645114067</v>
      </c>
      <c r="N86" s="327">
        <v>0.92877690624536413</v>
      </c>
      <c r="O86" s="327">
        <v>0.97024251117892613</v>
      </c>
      <c r="P86" s="311">
        <v>1</v>
      </c>
      <c r="Q86" s="311">
        <v>1.0024999999999999</v>
      </c>
      <c r="R86" s="311">
        <v>1.0049999999999999</v>
      </c>
      <c r="S86" s="311">
        <v>1.0075000000000001</v>
      </c>
      <c r="T86" s="311">
        <f t="shared" si="1"/>
        <v>35</v>
      </c>
      <c r="U86" s="311"/>
      <c r="V86" s="311"/>
      <c r="W86" s="311">
        <v>35</v>
      </c>
      <c r="X86" s="311" t="s">
        <v>1892</v>
      </c>
      <c r="Y86" s="311" t="s">
        <v>1893</v>
      </c>
      <c r="Z86" s="311" t="s">
        <v>1974</v>
      </c>
      <c r="AA86" s="377">
        <v>35</v>
      </c>
    </row>
    <row r="87" spans="1:27" ht="12.75" customHeight="1" x14ac:dyDescent="0.2">
      <c r="A87" s="311" t="s">
        <v>293</v>
      </c>
      <c r="B87" s="311" t="s">
        <v>236</v>
      </c>
      <c r="C87" s="327">
        <v>0</v>
      </c>
      <c r="D87" s="327">
        <v>0.42757936507936434</v>
      </c>
      <c r="E87" s="327">
        <v>0.46234920634920573</v>
      </c>
      <c r="F87" s="327">
        <v>0.52789285714285639</v>
      </c>
      <c r="G87" s="327">
        <v>0.64377380952380892</v>
      </c>
      <c r="H87" s="327">
        <v>0.71825396825396781</v>
      </c>
      <c r="I87" s="327">
        <v>0.74086111111111042</v>
      </c>
      <c r="J87" s="327">
        <v>0.78291269841269784</v>
      </c>
      <c r="K87" s="327">
        <v>0.85514285714285709</v>
      </c>
      <c r="L87" s="327">
        <v>0.89980158730158688</v>
      </c>
      <c r="M87" s="327">
        <v>0.91302380952380913</v>
      </c>
      <c r="N87" s="327">
        <v>0.93713888888888841</v>
      </c>
      <c r="O87" s="327">
        <v>0.97682936507936435</v>
      </c>
      <c r="P87" s="311">
        <v>1</v>
      </c>
      <c r="Q87" s="311">
        <v>1.0024999999999999</v>
      </c>
      <c r="R87" s="311">
        <v>1.0049999999999999</v>
      </c>
      <c r="S87" s="311">
        <v>1.0075000000000001</v>
      </c>
      <c r="T87" s="311">
        <f t="shared" si="1"/>
        <v>80</v>
      </c>
      <c r="U87" s="311"/>
      <c r="V87" s="311"/>
      <c r="W87" s="311">
        <v>80</v>
      </c>
      <c r="X87" s="311" t="s">
        <v>1892</v>
      </c>
      <c r="Y87" s="311" t="s">
        <v>1893</v>
      </c>
      <c r="Z87" s="311" t="s">
        <v>1975</v>
      </c>
      <c r="AA87" s="377">
        <v>80</v>
      </c>
    </row>
    <row r="88" spans="1:27" ht="12.75" customHeight="1" x14ac:dyDescent="0.2">
      <c r="A88" s="311" t="s">
        <v>293</v>
      </c>
      <c r="B88" s="311" t="s">
        <v>23</v>
      </c>
      <c r="C88" s="327">
        <v>0</v>
      </c>
      <c r="D88" s="327">
        <v>0.42757936507936434</v>
      </c>
      <c r="E88" s="327">
        <v>0.46234920634920573</v>
      </c>
      <c r="F88" s="327">
        <v>0.52789285714285639</v>
      </c>
      <c r="G88" s="327">
        <v>0.64377380952380892</v>
      </c>
      <c r="H88" s="327">
        <v>0.71825396825396781</v>
      </c>
      <c r="I88" s="327">
        <v>0.74086111111111042</v>
      </c>
      <c r="J88" s="327">
        <v>0.78291269841269784</v>
      </c>
      <c r="K88" s="327">
        <v>0.85514285714285709</v>
      </c>
      <c r="L88" s="327">
        <v>0.89980158730158688</v>
      </c>
      <c r="M88" s="327">
        <v>0.91302380952380913</v>
      </c>
      <c r="N88" s="327">
        <v>0.93713888888888841</v>
      </c>
      <c r="O88" s="327">
        <v>0.97682936507936435</v>
      </c>
      <c r="P88" s="311">
        <v>1</v>
      </c>
      <c r="Q88" s="311">
        <v>1.0024999999999999</v>
      </c>
      <c r="R88" s="311">
        <v>1.0049999999999999</v>
      </c>
      <c r="S88" s="311">
        <v>1.0075000000000001</v>
      </c>
      <c r="T88" s="311">
        <f t="shared" si="1"/>
        <v>60</v>
      </c>
      <c r="U88" s="311"/>
      <c r="V88" s="311"/>
      <c r="W88" s="311">
        <v>60</v>
      </c>
      <c r="X88" s="311" t="s">
        <v>1892</v>
      </c>
      <c r="Y88" s="311" t="s">
        <v>1893</v>
      </c>
      <c r="Z88" s="311" t="s">
        <v>1976</v>
      </c>
      <c r="AA88" s="377">
        <v>60</v>
      </c>
    </row>
    <row r="89" spans="1:27" ht="12.75" customHeight="1" x14ac:dyDescent="0.2">
      <c r="A89" s="311" t="s">
        <v>293</v>
      </c>
      <c r="B89" s="311" t="s">
        <v>237</v>
      </c>
      <c r="C89" s="327">
        <v>0</v>
      </c>
      <c r="D89" s="327">
        <v>0.42757936507936434</v>
      </c>
      <c r="E89" s="327">
        <v>0.46234920634920573</v>
      </c>
      <c r="F89" s="327">
        <v>0.52789285714285639</v>
      </c>
      <c r="G89" s="327">
        <v>0.64377380952380892</v>
      </c>
      <c r="H89" s="327">
        <v>0.71825396825396781</v>
      </c>
      <c r="I89" s="327">
        <v>0.74086111111111042</v>
      </c>
      <c r="J89" s="327">
        <v>0.78291269841269784</v>
      </c>
      <c r="K89" s="327">
        <v>0.85514285714285709</v>
      </c>
      <c r="L89" s="327">
        <v>0.89980158730158688</v>
      </c>
      <c r="M89" s="327">
        <v>0.91302380952380913</v>
      </c>
      <c r="N89" s="327">
        <v>0.93713888888888841</v>
      </c>
      <c r="O89" s="327">
        <v>0.97682936507936435</v>
      </c>
      <c r="P89" s="311">
        <v>1</v>
      </c>
      <c r="Q89" s="311">
        <v>1.0024999999999999</v>
      </c>
      <c r="R89" s="311">
        <v>1.0049999999999999</v>
      </c>
      <c r="S89" s="311">
        <v>1.0075000000000001</v>
      </c>
      <c r="T89" s="311">
        <f t="shared" si="1"/>
        <v>40</v>
      </c>
      <c r="U89" s="311"/>
      <c r="V89" s="311"/>
      <c r="W89" s="311">
        <v>40</v>
      </c>
      <c r="X89" s="311" t="s">
        <v>1892</v>
      </c>
      <c r="Y89" s="311" t="s">
        <v>1893</v>
      </c>
      <c r="Z89" s="311" t="s">
        <v>1977</v>
      </c>
      <c r="AA89" s="377">
        <v>40</v>
      </c>
    </row>
    <row r="90" spans="1:27" ht="12.75" customHeight="1" x14ac:dyDescent="0.2">
      <c r="A90" s="311" t="s">
        <v>292</v>
      </c>
      <c r="B90" s="311" t="s">
        <v>236</v>
      </c>
      <c r="C90" s="327">
        <v>0</v>
      </c>
      <c r="D90" s="327">
        <v>0.45663954055142231</v>
      </c>
      <c r="E90" s="327">
        <v>0.49140428772755129</v>
      </c>
      <c r="F90" s="327">
        <v>0.55580113961472333</v>
      </c>
      <c r="G90" s="327">
        <v>0.66581401392332529</v>
      </c>
      <c r="H90" s="327">
        <v>0.73385890181617719</v>
      </c>
      <c r="I90" s="327">
        <v>0.75411862112446171</v>
      </c>
      <c r="J90" s="327">
        <v>0.79138013912730143</v>
      </c>
      <c r="K90" s="327">
        <v>0.85462123307266813</v>
      </c>
      <c r="L90" s="327">
        <v>0.89414881217284403</v>
      </c>
      <c r="M90" s="327">
        <v>0.90615257645114067</v>
      </c>
      <c r="N90" s="327">
        <v>0.92877690624536413</v>
      </c>
      <c r="O90" s="327">
        <v>0.97024251117892613</v>
      </c>
      <c r="P90" s="311">
        <v>1</v>
      </c>
      <c r="Q90" s="311">
        <v>1.0024999999999999</v>
      </c>
      <c r="R90" s="311">
        <v>1.0049999999999999</v>
      </c>
      <c r="S90" s="311">
        <v>1.0075000000000001</v>
      </c>
      <c r="T90" s="311">
        <f t="shared" si="1"/>
        <v>107</v>
      </c>
      <c r="U90" s="311"/>
      <c r="V90" s="311"/>
      <c r="W90" s="311">
        <v>107</v>
      </c>
      <c r="X90" s="311" t="s">
        <v>1892</v>
      </c>
      <c r="Y90" s="311" t="s">
        <v>1893</v>
      </c>
      <c r="Z90" s="311" t="s">
        <v>1978</v>
      </c>
      <c r="AA90" s="377">
        <v>107</v>
      </c>
    </row>
    <row r="91" spans="1:27" ht="12.75" customHeight="1" x14ac:dyDescent="0.2">
      <c r="A91" s="311" t="s">
        <v>292</v>
      </c>
      <c r="B91" s="311" t="s">
        <v>23</v>
      </c>
      <c r="C91" s="327">
        <v>0</v>
      </c>
      <c r="D91" s="327">
        <v>0.45663954055142231</v>
      </c>
      <c r="E91" s="327">
        <v>0.49140428772755129</v>
      </c>
      <c r="F91" s="327">
        <v>0.55580113961472333</v>
      </c>
      <c r="G91" s="327">
        <v>0.66581401392332529</v>
      </c>
      <c r="H91" s="327">
        <v>0.73385890181617719</v>
      </c>
      <c r="I91" s="327">
        <v>0.75411862112446171</v>
      </c>
      <c r="J91" s="327">
        <v>0.79138013912730143</v>
      </c>
      <c r="K91" s="327">
        <v>0.85462123307266813</v>
      </c>
      <c r="L91" s="327">
        <v>0.89414881217284403</v>
      </c>
      <c r="M91" s="327">
        <v>0.90615257645114067</v>
      </c>
      <c r="N91" s="327">
        <v>0.92877690624536413</v>
      </c>
      <c r="O91" s="327">
        <v>0.97024251117892613</v>
      </c>
      <c r="P91" s="311">
        <v>1</v>
      </c>
      <c r="Q91" s="311">
        <v>1.0024999999999999</v>
      </c>
      <c r="R91" s="311">
        <v>1.0049999999999999</v>
      </c>
      <c r="S91" s="311">
        <v>1.0075000000000001</v>
      </c>
      <c r="T91" s="311">
        <f t="shared" si="1"/>
        <v>60</v>
      </c>
      <c r="U91" s="311"/>
      <c r="V91" s="311"/>
      <c r="W91" s="311">
        <v>60</v>
      </c>
      <c r="X91" s="311" t="s">
        <v>1892</v>
      </c>
      <c r="Y91" s="311" t="s">
        <v>1893</v>
      </c>
      <c r="Z91" s="311" t="s">
        <v>1979</v>
      </c>
      <c r="AA91" s="377">
        <v>60</v>
      </c>
    </row>
    <row r="92" spans="1:27" ht="12.75" customHeight="1" x14ac:dyDescent="0.2">
      <c r="A92" s="311" t="s">
        <v>292</v>
      </c>
      <c r="B92" s="311" t="s">
        <v>237</v>
      </c>
      <c r="C92" s="327">
        <v>0</v>
      </c>
      <c r="D92" s="327">
        <v>0.45663954055142231</v>
      </c>
      <c r="E92" s="327">
        <v>0.49140428772755129</v>
      </c>
      <c r="F92" s="327">
        <v>0.55580113961472333</v>
      </c>
      <c r="G92" s="327">
        <v>0.66581401392332529</v>
      </c>
      <c r="H92" s="327">
        <v>0.73385890181617719</v>
      </c>
      <c r="I92" s="327">
        <v>0.75411862112446171</v>
      </c>
      <c r="J92" s="327">
        <v>0.79138013912730143</v>
      </c>
      <c r="K92" s="327">
        <v>0.85462123307266813</v>
      </c>
      <c r="L92" s="327">
        <v>0.89414881217284403</v>
      </c>
      <c r="M92" s="327">
        <v>0.90615257645114067</v>
      </c>
      <c r="N92" s="327">
        <v>0.92877690624536413</v>
      </c>
      <c r="O92" s="327">
        <v>0.97024251117892613</v>
      </c>
      <c r="P92" s="311">
        <v>1</v>
      </c>
      <c r="Q92" s="311">
        <v>1.0024999999999999</v>
      </c>
      <c r="R92" s="311">
        <v>1.0049999999999999</v>
      </c>
      <c r="S92" s="311">
        <v>1.0075000000000001</v>
      </c>
      <c r="T92" s="311">
        <f t="shared" si="1"/>
        <v>35</v>
      </c>
      <c r="U92" s="311"/>
      <c r="V92" s="311"/>
      <c r="W92" s="311">
        <v>35</v>
      </c>
      <c r="X92" s="311" t="s">
        <v>1892</v>
      </c>
      <c r="Y92" s="311" t="s">
        <v>1893</v>
      </c>
      <c r="Z92" s="311" t="s">
        <v>1980</v>
      </c>
      <c r="AA92" s="377">
        <v>35</v>
      </c>
    </row>
    <row r="93" spans="1:27" ht="12.75" customHeight="1" x14ac:dyDescent="0.2">
      <c r="A93" s="311" t="s">
        <v>291</v>
      </c>
      <c r="B93" s="311" t="s">
        <v>236</v>
      </c>
      <c r="C93" s="327">
        <v>0</v>
      </c>
      <c r="D93" s="327">
        <v>0.25</v>
      </c>
      <c r="E93" s="327">
        <v>0.27500000000000002</v>
      </c>
      <c r="F93" s="327">
        <v>0.32499999999999996</v>
      </c>
      <c r="G93" s="327">
        <v>0.42500000000000004</v>
      </c>
      <c r="H93" s="327">
        <v>0.5</v>
      </c>
      <c r="I93" s="327">
        <v>0.52500000000000002</v>
      </c>
      <c r="J93" s="327">
        <v>0.57499999999999996</v>
      </c>
      <c r="K93" s="327">
        <v>0.67500000000000004</v>
      </c>
      <c r="L93" s="327">
        <v>0.75</v>
      </c>
      <c r="M93" s="327">
        <v>0.77499999999999991</v>
      </c>
      <c r="N93" s="327">
        <v>0.82499999999999996</v>
      </c>
      <c r="O93" s="327">
        <v>0.92500000000000004</v>
      </c>
      <c r="P93" s="311">
        <v>1</v>
      </c>
      <c r="Q93" s="311">
        <v>1.0024999999999999</v>
      </c>
      <c r="R93" s="311">
        <v>1.0049999999999999</v>
      </c>
      <c r="S93" s="311">
        <v>1.0075000000000001</v>
      </c>
      <c r="T93" s="311">
        <f t="shared" si="1"/>
        <v>60</v>
      </c>
      <c r="U93" s="311"/>
      <c r="V93" s="311"/>
      <c r="W93" s="311">
        <v>60</v>
      </c>
      <c r="X93" s="311" t="s">
        <v>1892</v>
      </c>
      <c r="Y93" s="311" t="s">
        <v>1893</v>
      </c>
      <c r="Z93" s="311" t="s">
        <v>1981</v>
      </c>
      <c r="AA93" s="377">
        <v>60</v>
      </c>
    </row>
    <row r="94" spans="1:27" ht="12.75" customHeight="1" x14ac:dyDescent="0.2">
      <c r="A94" s="311" t="s">
        <v>291</v>
      </c>
      <c r="B94" s="311" t="s">
        <v>23</v>
      </c>
      <c r="C94" s="327">
        <v>0</v>
      </c>
      <c r="D94" s="327">
        <v>0.25</v>
      </c>
      <c r="E94" s="327">
        <v>0.27500000000000002</v>
      </c>
      <c r="F94" s="327">
        <v>0.32499999999999996</v>
      </c>
      <c r="G94" s="327">
        <v>0.42500000000000004</v>
      </c>
      <c r="H94" s="327">
        <v>0.5</v>
      </c>
      <c r="I94" s="327">
        <v>0.52500000000000002</v>
      </c>
      <c r="J94" s="327">
        <v>0.57499999999999996</v>
      </c>
      <c r="K94" s="327">
        <v>0.67500000000000004</v>
      </c>
      <c r="L94" s="327">
        <v>0.75</v>
      </c>
      <c r="M94" s="327">
        <v>0.77499999999999991</v>
      </c>
      <c r="N94" s="327">
        <v>0.82499999999999996</v>
      </c>
      <c r="O94" s="327">
        <v>0.92500000000000004</v>
      </c>
      <c r="P94" s="311">
        <v>1</v>
      </c>
      <c r="Q94" s="311">
        <v>1.0024999999999999</v>
      </c>
      <c r="R94" s="311">
        <v>1.0049999999999999</v>
      </c>
      <c r="S94" s="311">
        <v>1.0075000000000001</v>
      </c>
      <c r="T94" s="311">
        <f t="shared" si="1"/>
        <v>40</v>
      </c>
      <c r="U94" s="311"/>
      <c r="V94" s="311"/>
      <c r="W94" s="311">
        <v>40</v>
      </c>
      <c r="X94" s="311" t="s">
        <v>1892</v>
      </c>
      <c r="Y94" s="311" t="s">
        <v>1893</v>
      </c>
      <c r="Z94" s="311" t="s">
        <v>1982</v>
      </c>
      <c r="AA94" s="377">
        <v>40</v>
      </c>
    </row>
    <row r="95" spans="1:27" ht="12.75" customHeight="1" x14ac:dyDescent="0.2">
      <c r="A95" s="311" t="s">
        <v>291</v>
      </c>
      <c r="B95" s="311" t="s">
        <v>237</v>
      </c>
      <c r="C95" s="327">
        <v>0</v>
      </c>
      <c r="D95" s="327">
        <v>0.25</v>
      </c>
      <c r="E95" s="327">
        <v>0.27500000000000002</v>
      </c>
      <c r="F95" s="327">
        <v>0.32499999999999996</v>
      </c>
      <c r="G95" s="327">
        <v>0.42500000000000004</v>
      </c>
      <c r="H95" s="327">
        <v>0.5</v>
      </c>
      <c r="I95" s="327">
        <v>0.52500000000000002</v>
      </c>
      <c r="J95" s="327">
        <v>0.57499999999999996</v>
      </c>
      <c r="K95" s="327">
        <v>0.67500000000000004</v>
      </c>
      <c r="L95" s="327">
        <v>0.75</v>
      </c>
      <c r="M95" s="327">
        <v>0.77499999999999991</v>
      </c>
      <c r="N95" s="327">
        <v>0.82499999999999996</v>
      </c>
      <c r="O95" s="327">
        <v>0.92500000000000004</v>
      </c>
      <c r="P95" s="311">
        <v>1</v>
      </c>
      <c r="Q95" s="311">
        <v>1.0024999999999999</v>
      </c>
      <c r="R95" s="311">
        <v>1.0049999999999999</v>
      </c>
      <c r="S95" s="311">
        <v>1.0075000000000001</v>
      </c>
      <c r="T95" s="311">
        <f t="shared" si="1"/>
        <v>20</v>
      </c>
      <c r="U95" s="311"/>
      <c r="V95" s="311"/>
      <c r="W95" s="311">
        <v>20</v>
      </c>
      <c r="X95" s="311" t="s">
        <v>1892</v>
      </c>
      <c r="Y95" s="311" t="s">
        <v>1893</v>
      </c>
      <c r="Z95" s="311" t="s">
        <v>1983</v>
      </c>
      <c r="AA95" s="377">
        <v>20</v>
      </c>
    </row>
    <row r="96" spans="1:27" ht="12.75" customHeight="1" x14ac:dyDescent="0.2">
      <c r="A96" s="311" t="s">
        <v>290</v>
      </c>
      <c r="B96" s="311" t="s">
        <v>236</v>
      </c>
      <c r="C96" s="327">
        <v>0</v>
      </c>
      <c r="D96" s="327">
        <v>0.45663954055142231</v>
      </c>
      <c r="E96" s="327">
        <v>0.49140428772755129</v>
      </c>
      <c r="F96" s="327">
        <v>0.55580113961472333</v>
      </c>
      <c r="G96" s="327">
        <v>0.66581401392332529</v>
      </c>
      <c r="H96" s="327">
        <v>0.73385890181617719</v>
      </c>
      <c r="I96" s="327">
        <v>0.75411862112446171</v>
      </c>
      <c r="J96" s="327">
        <v>0.79138013912730143</v>
      </c>
      <c r="K96" s="327">
        <v>0.85462123307266813</v>
      </c>
      <c r="L96" s="327">
        <v>0.89414881217284403</v>
      </c>
      <c r="M96" s="327">
        <v>0.90615257645114067</v>
      </c>
      <c r="N96" s="327">
        <v>0.92877690624536413</v>
      </c>
      <c r="O96" s="327">
        <v>0.97024251117892613</v>
      </c>
      <c r="P96" s="311">
        <v>1</v>
      </c>
      <c r="Q96" s="311">
        <v>1.0024999999999999</v>
      </c>
      <c r="R96" s="311">
        <v>1.0049999999999999</v>
      </c>
      <c r="S96" s="311">
        <v>1.0075000000000001</v>
      </c>
      <c r="T96" s="311">
        <f t="shared" si="1"/>
        <v>107</v>
      </c>
      <c r="U96" s="311"/>
      <c r="V96" s="311"/>
      <c r="W96" s="311">
        <v>107</v>
      </c>
      <c r="X96" s="311" t="s">
        <v>1892</v>
      </c>
      <c r="Y96" s="311" t="s">
        <v>1893</v>
      </c>
      <c r="Z96" s="311" t="s">
        <v>1984</v>
      </c>
      <c r="AA96" s="377">
        <v>107</v>
      </c>
    </row>
    <row r="97" spans="1:27" ht="12.75" customHeight="1" x14ac:dyDescent="0.2">
      <c r="A97" s="311" t="s">
        <v>290</v>
      </c>
      <c r="B97" s="311" t="s">
        <v>23</v>
      </c>
      <c r="C97" s="327">
        <v>0</v>
      </c>
      <c r="D97" s="327">
        <v>0.45663954055142231</v>
      </c>
      <c r="E97" s="327">
        <v>0.49140428772755129</v>
      </c>
      <c r="F97" s="327">
        <v>0.55580113961472333</v>
      </c>
      <c r="G97" s="327">
        <v>0.66581401392332529</v>
      </c>
      <c r="H97" s="327">
        <v>0.73385890181617719</v>
      </c>
      <c r="I97" s="327">
        <v>0.75411862112446171</v>
      </c>
      <c r="J97" s="327">
        <v>0.79138013912730143</v>
      </c>
      <c r="K97" s="327">
        <v>0.85462123307266813</v>
      </c>
      <c r="L97" s="327">
        <v>0.89414881217284403</v>
      </c>
      <c r="M97" s="327">
        <v>0.90615257645114067</v>
      </c>
      <c r="N97" s="327">
        <v>0.92877690624536413</v>
      </c>
      <c r="O97" s="327">
        <v>0.97024251117892613</v>
      </c>
      <c r="P97" s="311">
        <v>1</v>
      </c>
      <c r="Q97" s="311">
        <v>1.0024999999999999</v>
      </c>
      <c r="R97" s="311">
        <v>1.0049999999999999</v>
      </c>
      <c r="S97" s="311">
        <v>1.0075000000000001</v>
      </c>
      <c r="T97" s="311">
        <f t="shared" si="1"/>
        <v>60</v>
      </c>
      <c r="U97" s="311"/>
      <c r="V97" s="311"/>
      <c r="W97" s="311">
        <v>60</v>
      </c>
      <c r="X97" s="311" t="s">
        <v>1892</v>
      </c>
      <c r="Y97" s="311" t="s">
        <v>1893</v>
      </c>
      <c r="Z97" s="311" t="s">
        <v>1985</v>
      </c>
      <c r="AA97" s="377">
        <v>60</v>
      </c>
    </row>
    <row r="98" spans="1:27" ht="12.75" customHeight="1" x14ac:dyDescent="0.2">
      <c r="A98" s="311" t="s">
        <v>290</v>
      </c>
      <c r="B98" s="311" t="s">
        <v>237</v>
      </c>
      <c r="C98" s="327">
        <v>0</v>
      </c>
      <c r="D98" s="327">
        <v>0.45663954055142231</v>
      </c>
      <c r="E98" s="327">
        <v>0.49140428772755129</v>
      </c>
      <c r="F98" s="327">
        <v>0.55580113961472333</v>
      </c>
      <c r="G98" s="327">
        <v>0.66581401392332529</v>
      </c>
      <c r="H98" s="327">
        <v>0.73385890181617719</v>
      </c>
      <c r="I98" s="327">
        <v>0.75411862112446171</v>
      </c>
      <c r="J98" s="327">
        <v>0.79138013912730143</v>
      </c>
      <c r="K98" s="327">
        <v>0.85462123307266813</v>
      </c>
      <c r="L98" s="327">
        <v>0.89414881217284403</v>
      </c>
      <c r="M98" s="327">
        <v>0.90615257645114067</v>
      </c>
      <c r="N98" s="327">
        <v>0.92877690624536413</v>
      </c>
      <c r="O98" s="327">
        <v>0.97024251117892613</v>
      </c>
      <c r="P98" s="311">
        <v>1</v>
      </c>
      <c r="Q98" s="311">
        <v>1.0024999999999999</v>
      </c>
      <c r="R98" s="311">
        <v>1.0049999999999999</v>
      </c>
      <c r="S98" s="311">
        <v>1.0075000000000001</v>
      </c>
      <c r="T98" s="311">
        <f t="shared" si="1"/>
        <v>35</v>
      </c>
      <c r="U98" s="311"/>
      <c r="V98" s="311"/>
      <c r="W98" s="311">
        <v>35</v>
      </c>
      <c r="X98" s="311" t="s">
        <v>1892</v>
      </c>
      <c r="Y98" s="311" t="s">
        <v>1893</v>
      </c>
      <c r="Z98" s="311" t="s">
        <v>1986</v>
      </c>
      <c r="AA98" s="377">
        <v>35</v>
      </c>
    </row>
    <row r="99" spans="1:27" ht="12.75" customHeight="1" x14ac:dyDescent="0.2">
      <c r="A99" s="311" t="s">
        <v>289</v>
      </c>
      <c r="B99" s="311" t="s">
        <v>236</v>
      </c>
      <c r="C99" s="327">
        <v>0</v>
      </c>
      <c r="D99" s="327">
        <v>0.45663954055142231</v>
      </c>
      <c r="E99" s="327">
        <v>0.49140428772755129</v>
      </c>
      <c r="F99" s="327">
        <v>0.55580113961472333</v>
      </c>
      <c r="G99" s="327">
        <v>0.66581401392332529</v>
      </c>
      <c r="H99" s="327">
        <v>0.73385890181617719</v>
      </c>
      <c r="I99" s="327">
        <v>0.75411862112446171</v>
      </c>
      <c r="J99" s="327">
        <v>0.79138013912730143</v>
      </c>
      <c r="K99" s="327">
        <v>0.85462123307266813</v>
      </c>
      <c r="L99" s="327">
        <v>0.89414881217284403</v>
      </c>
      <c r="M99" s="327">
        <v>0.90615257645114067</v>
      </c>
      <c r="N99" s="327">
        <v>0.92877690624536413</v>
      </c>
      <c r="O99" s="327">
        <v>0.97024251117892613</v>
      </c>
      <c r="P99" s="311">
        <v>1</v>
      </c>
      <c r="Q99" s="311">
        <v>1.0024999999999999</v>
      </c>
      <c r="R99" s="311">
        <v>1.0049999999999999</v>
      </c>
      <c r="S99" s="311">
        <v>1.0075000000000001</v>
      </c>
      <c r="T99" s="311">
        <f t="shared" si="1"/>
        <v>107</v>
      </c>
      <c r="U99" s="311"/>
      <c r="V99" s="311"/>
      <c r="W99" s="311">
        <v>107</v>
      </c>
      <c r="X99" s="311" t="s">
        <v>1892</v>
      </c>
      <c r="Y99" s="311" t="s">
        <v>1893</v>
      </c>
      <c r="Z99" s="311" t="s">
        <v>1987</v>
      </c>
      <c r="AA99" s="377">
        <v>107</v>
      </c>
    </row>
    <row r="100" spans="1:27" ht="12.75" customHeight="1" x14ac:dyDescent="0.2">
      <c r="A100" s="311" t="s">
        <v>289</v>
      </c>
      <c r="B100" s="311" t="s">
        <v>23</v>
      </c>
      <c r="C100" s="327">
        <v>0</v>
      </c>
      <c r="D100" s="327">
        <v>0.45663954055142231</v>
      </c>
      <c r="E100" s="327">
        <v>0.49140428772755129</v>
      </c>
      <c r="F100" s="327">
        <v>0.55580113961472333</v>
      </c>
      <c r="G100" s="327">
        <v>0.66581401392332529</v>
      </c>
      <c r="H100" s="327">
        <v>0.73385890181617719</v>
      </c>
      <c r="I100" s="327">
        <v>0.75411862112446171</v>
      </c>
      <c r="J100" s="327">
        <v>0.79138013912730143</v>
      </c>
      <c r="K100" s="327">
        <v>0.85462123307266813</v>
      </c>
      <c r="L100" s="327">
        <v>0.89414881217284403</v>
      </c>
      <c r="M100" s="327">
        <v>0.90615257645114067</v>
      </c>
      <c r="N100" s="327">
        <v>0.92877690624536413</v>
      </c>
      <c r="O100" s="327">
        <v>0.97024251117892613</v>
      </c>
      <c r="P100" s="311">
        <v>1</v>
      </c>
      <c r="Q100" s="311">
        <v>1.0024999999999999</v>
      </c>
      <c r="R100" s="311">
        <v>1.0049999999999999</v>
      </c>
      <c r="S100" s="311">
        <v>1.0075000000000001</v>
      </c>
      <c r="T100" s="311">
        <f t="shared" si="1"/>
        <v>60</v>
      </c>
      <c r="U100" s="311"/>
      <c r="V100" s="311"/>
      <c r="W100" s="311">
        <v>60</v>
      </c>
      <c r="X100" s="311" t="s">
        <v>1892</v>
      </c>
      <c r="Y100" s="311" t="s">
        <v>1893</v>
      </c>
      <c r="Z100" s="311" t="s">
        <v>1988</v>
      </c>
      <c r="AA100" s="377">
        <v>60</v>
      </c>
    </row>
    <row r="101" spans="1:27" ht="12.75" customHeight="1" x14ac:dyDescent="0.2">
      <c r="A101" s="311" t="s">
        <v>289</v>
      </c>
      <c r="B101" s="311" t="s">
        <v>237</v>
      </c>
      <c r="C101" s="327">
        <v>0</v>
      </c>
      <c r="D101" s="327">
        <v>0.45663954055142231</v>
      </c>
      <c r="E101" s="327">
        <v>0.49140428772755129</v>
      </c>
      <c r="F101" s="327">
        <v>0.55580113961472333</v>
      </c>
      <c r="G101" s="327">
        <v>0.66581401392332529</v>
      </c>
      <c r="H101" s="327">
        <v>0.73385890181617719</v>
      </c>
      <c r="I101" s="327">
        <v>0.75411862112446171</v>
      </c>
      <c r="J101" s="327">
        <v>0.79138013912730143</v>
      </c>
      <c r="K101" s="327">
        <v>0.85462123307266813</v>
      </c>
      <c r="L101" s="327">
        <v>0.89414881217284403</v>
      </c>
      <c r="M101" s="327">
        <v>0.90615257645114067</v>
      </c>
      <c r="N101" s="327">
        <v>0.92877690624536413</v>
      </c>
      <c r="O101" s="327">
        <v>0.97024251117892613</v>
      </c>
      <c r="P101" s="311">
        <v>1</v>
      </c>
      <c r="Q101" s="311">
        <v>1.0024999999999999</v>
      </c>
      <c r="R101" s="311">
        <v>1.0049999999999999</v>
      </c>
      <c r="S101" s="311">
        <v>1.0075000000000001</v>
      </c>
      <c r="T101" s="311">
        <f t="shared" si="1"/>
        <v>35</v>
      </c>
      <c r="U101" s="311"/>
      <c r="V101" s="311"/>
      <c r="W101" s="311">
        <v>35</v>
      </c>
      <c r="X101" s="311" t="s">
        <v>1892</v>
      </c>
      <c r="Y101" s="311" t="s">
        <v>1893</v>
      </c>
      <c r="Z101" s="311" t="s">
        <v>1989</v>
      </c>
      <c r="AA101" s="377">
        <v>35</v>
      </c>
    </row>
    <row r="102" spans="1:27" ht="12.75" customHeight="1" x14ac:dyDescent="0.2">
      <c r="A102" s="311" t="s">
        <v>288</v>
      </c>
      <c r="B102" s="311" t="s">
        <v>236</v>
      </c>
      <c r="C102" s="327">
        <v>0</v>
      </c>
      <c r="D102" s="327">
        <v>0.45663954055142231</v>
      </c>
      <c r="E102" s="327">
        <v>0.49140428772755129</v>
      </c>
      <c r="F102" s="327">
        <v>0.55580113961472333</v>
      </c>
      <c r="G102" s="327">
        <v>0.66581401392332529</v>
      </c>
      <c r="H102" s="327">
        <v>0.73385890181617719</v>
      </c>
      <c r="I102" s="327">
        <v>0.75411862112446171</v>
      </c>
      <c r="J102" s="327">
        <v>0.79138013912730143</v>
      </c>
      <c r="K102" s="327">
        <v>0.85462123307266813</v>
      </c>
      <c r="L102" s="327">
        <v>0.89414881217284403</v>
      </c>
      <c r="M102" s="327">
        <v>0.90615257645114067</v>
      </c>
      <c r="N102" s="327">
        <v>0.92877690624536413</v>
      </c>
      <c r="O102" s="327">
        <v>0.97024251117892613</v>
      </c>
      <c r="P102" s="311">
        <v>1</v>
      </c>
      <c r="Q102" s="311">
        <v>1.0024999999999999</v>
      </c>
      <c r="R102" s="311">
        <v>1.0049999999999999</v>
      </c>
      <c r="S102" s="311">
        <v>1.0075000000000001</v>
      </c>
      <c r="T102" s="311">
        <f t="shared" si="1"/>
        <v>107</v>
      </c>
      <c r="U102" s="311"/>
      <c r="V102" s="311"/>
      <c r="W102" s="311">
        <v>107</v>
      </c>
      <c r="X102" s="311" t="s">
        <v>1892</v>
      </c>
      <c r="Y102" s="311" t="s">
        <v>1893</v>
      </c>
      <c r="Z102" s="311" t="s">
        <v>1990</v>
      </c>
      <c r="AA102" s="377">
        <v>107</v>
      </c>
    </row>
    <row r="103" spans="1:27" ht="12.75" customHeight="1" x14ac:dyDescent="0.2">
      <c r="A103" s="311" t="s">
        <v>288</v>
      </c>
      <c r="B103" s="311" t="s">
        <v>23</v>
      </c>
      <c r="C103" s="327">
        <v>0</v>
      </c>
      <c r="D103" s="327">
        <v>0.45663954055142231</v>
      </c>
      <c r="E103" s="327">
        <v>0.49140428772755129</v>
      </c>
      <c r="F103" s="327">
        <v>0.55580113961472333</v>
      </c>
      <c r="G103" s="327">
        <v>0.66581401392332529</v>
      </c>
      <c r="H103" s="327">
        <v>0.73385890181617719</v>
      </c>
      <c r="I103" s="327">
        <v>0.75411862112446171</v>
      </c>
      <c r="J103" s="327">
        <v>0.79138013912730143</v>
      </c>
      <c r="K103" s="327">
        <v>0.85462123307266813</v>
      </c>
      <c r="L103" s="327">
        <v>0.89414881217284403</v>
      </c>
      <c r="M103" s="327">
        <v>0.90615257645114067</v>
      </c>
      <c r="N103" s="327">
        <v>0.92877690624536413</v>
      </c>
      <c r="O103" s="327">
        <v>0.97024251117892613</v>
      </c>
      <c r="P103" s="311">
        <v>1</v>
      </c>
      <c r="Q103" s="311">
        <v>1.0024999999999999</v>
      </c>
      <c r="R103" s="311">
        <v>1.0049999999999999</v>
      </c>
      <c r="S103" s="311">
        <v>1.0075000000000001</v>
      </c>
      <c r="T103" s="311">
        <f t="shared" si="1"/>
        <v>60</v>
      </c>
      <c r="U103" s="311"/>
      <c r="V103" s="311"/>
      <c r="W103" s="311">
        <v>60</v>
      </c>
      <c r="X103" s="311" t="s">
        <v>1892</v>
      </c>
      <c r="Y103" s="311" t="s">
        <v>1893</v>
      </c>
      <c r="Z103" s="311" t="s">
        <v>1991</v>
      </c>
      <c r="AA103" s="377">
        <v>60</v>
      </c>
    </row>
    <row r="104" spans="1:27" ht="12.75" customHeight="1" x14ac:dyDescent="0.2">
      <c r="A104" s="311" t="s">
        <v>288</v>
      </c>
      <c r="B104" s="311" t="s">
        <v>237</v>
      </c>
      <c r="C104" s="327">
        <v>0</v>
      </c>
      <c r="D104" s="327">
        <v>0.45663954055142231</v>
      </c>
      <c r="E104" s="327">
        <v>0.49140428772755129</v>
      </c>
      <c r="F104" s="327">
        <v>0.55580113961472333</v>
      </c>
      <c r="G104" s="327">
        <v>0.66581401392332529</v>
      </c>
      <c r="H104" s="327">
        <v>0.73385890181617719</v>
      </c>
      <c r="I104" s="327">
        <v>0.75411862112446171</v>
      </c>
      <c r="J104" s="327">
        <v>0.79138013912730143</v>
      </c>
      <c r="K104" s="327">
        <v>0.85462123307266813</v>
      </c>
      <c r="L104" s="327">
        <v>0.89414881217284403</v>
      </c>
      <c r="M104" s="327">
        <v>0.90615257645114067</v>
      </c>
      <c r="N104" s="327">
        <v>0.92877690624536413</v>
      </c>
      <c r="O104" s="327">
        <v>0.97024251117892613</v>
      </c>
      <c r="P104" s="311">
        <v>1</v>
      </c>
      <c r="Q104" s="311">
        <v>1.0024999999999999</v>
      </c>
      <c r="R104" s="311">
        <v>1.0049999999999999</v>
      </c>
      <c r="S104" s="311">
        <v>1.0075000000000001</v>
      </c>
      <c r="T104" s="311">
        <f t="shared" si="1"/>
        <v>35</v>
      </c>
      <c r="U104" s="311"/>
      <c r="V104" s="311"/>
      <c r="W104" s="311">
        <v>35</v>
      </c>
      <c r="X104" s="311" t="s">
        <v>1892</v>
      </c>
      <c r="Y104" s="311" t="s">
        <v>1893</v>
      </c>
      <c r="Z104" s="311" t="s">
        <v>1992</v>
      </c>
      <c r="AA104" s="377">
        <v>35</v>
      </c>
    </row>
    <row r="105" spans="1:27" ht="12.75" customHeight="1" x14ac:dyDescent="0.2">
      <c r="A105" s="311" t="s">
        <v>287</v>
      </c>
      <c r="B105" s="311" t="s">
        <v>236</v>
      </c>
      <c r="C105" s="327">
        <v>0</v>
      </c>
      <c r="D105" s="327">
        <v>0.25</v>
      </c>
      <c r="E105" s="327">
        <v>0.27500000000000002</v>
      </c>
      <c r="F105" s="327">
        <v>0.32499999999999996</v>
      </c>
      <c r="G105" s="327">
        <v>0.42500000000000004</v>
      </c>
      <c r="H105" s="327">
        <v>0.5</v>
      </c>
      <c r="I105" s="327">
        <v>0.52500000000000002</v>
      </c>
      <c r="J105" s="327">
        <v>0.57499999999999996</v>
      </c>
      <c r="K105" s="327">
        <v>0.67500000000000004</v>
      </c>
      <c r="L105" s="327">
        <v>0.75</v>
      </c>
      <c r="M105" s="327">
        <v>0.77499999999999991</v>
      </c>
      <c r="N105" s="327">
        <v>0.82499999999999996</v>
      </c>
      <c r="O105" s="327">
        <v>0.92500000000000004</v>
      </c>
      <c r="P105" s="311">
        <v>1</v>
      </c>
      <c r="Q105" s="311">
        <v>1.0024999999999999</v>
      </c>
      <c r="R105" s="311">
        <v>1.0049999999999999</v>
      </c>
      <c r="S105" s="311">
        <v>1.0075000000000001</v>
      </c>
      <c r="T105" s="311">
        <f t="shared" si="1"/>
        <v>60</v>
      </c>
      <c r="U105" s="311"/>
      <c r="V105" s="311"/>
      <c r="W105" s="311">
        <v>60</v>
      </c>
      <c r="X105" s="311" t="s">
        <v>1892</v>
      </c>
      <c r="Y105" s="311" t="s">
        <v>1893</v>
      </c>
      <c r="Z105" s="311" t="s">
        <v>1993</v>
      </c>
      <c r="AA105" s="377">
        <v>60</v>
      </c>
    </row>
    <row r="106" spans="1:27" ht="12.75" customHeight="1" x14ac:dyDescent="0.2">
      <c r="A106" s="311" t="s">
        <v>287</v>
      </c>
      <c r="B106" s="311" t="s">
        <v>23</v>
      </c>
      <c r="C106" s="327">
        <v>0</v>
      </c>
      <c r="D106" s="327">
        <v>0.25</v>
      </c>
      <c r="E106" s="327">
        <v>0.27500000000000002</v>
      </c>
      <c r="F106" s="327">
        <v>0.32499999999999996</v>
      </c>
      <c r="G106" s="327">
        <v>0.42500000000000004</v>
      </c>
      <c r="H106" s="327">
        <v>0.5</v>
      </c>
      <c r="I106" s="327">
        <v>0.52500000000000002</v>
      </c>
      <c r="J106" s="327">
        <v>0.57499999999999996</v>
      </c>
      <c r="K106" s="327">
        <v>0.67500000000000004</v>
      </c>
      <c r="L106" s="327">
        <v>0.75</v>
      </c>
      <c r="M106" s="327">
        <v>0.77499999999999991</v>
      </c>
      <c r="N106" s="327">
        <v>0.82499999999999996</v>
      </c>
      <c r="O106" s="327">
        <v>0.92500000000000004</v>
      </c>
      <c r="P106" s="311">
        <v>1</v>
      </c>
      <c r="Q106" s="311">
        <v>1.0024999999999999</v>
      </c>
      <c r="R106" s="311">
        <v>1.0049999999999999</v>
      </c>
      <c r="S106" s="311">
        <v>1.0075000000000001</v>
      </c>
      <c r="T106" s="311">
        <f t="shared" si="1"/>
        <v>40</v>
      </c>
      <c r="U106" s="311"/>
      <c r="V106" s="311"/>
      <c r="W106" s="311">
        <v>40</v>
      </c>
      <c r="X106" s="311" t="s">
        <v>1892</v>
      </c>
      <c r="Y106" s="311" t="s">
        <v>1893</v>
      </c>
      <c r="Z106" s="311" t="s">
        <v>1994</v>
      </c>
      <c r="AA106" s="377">
        <v>40</v>
      </c>
    </row>
    <row r="107" spans="1:27" ht="12.75" customHeight="1" x14ac:dyDescent="0.2">
      <c r="A107" s="311" t="s">
        <v>287</v>
      </c>
      <c r="B107" s="311" t="s">
        <v>237</v>
      </c>
      <c r="C107" s="327">
        <v>0</v>
      </c>
      <c r="D107" s="327">
        <v>0.25</v>
      </c>
      <c r="E107" s="327">
        <v>0.27500000000000002</v>
      </c>
      <c r="F107" s="327">
        <v>0.32499999999999996</v>
      </c>
      <c r="G107" s="327">
        <v>0.42500000000000004</v>
      </c>
      <c r="H107" s="327">
        <v>0.5</v>
      </c>
      <c r="I107" s="327">
        <v>0.52500000000000002</v>
      </c>
      <c r="J107" s="327">
        <v>0.57499999999999996</v>
      </c>
      <c r="K107" s="327">
        <v>0.67500000000000004</v>
      </c>
      <c r="L107" s="327">
        <v>0.75</v>
      </c>
      <c r="M107" s="327">
        <v>0.77499999999999991</v>
      </c>
      <c r="N107" s="327">
        <v>0.82499999999999996</v>
      </c>
      <c r="O107" s="327">
        <v>0.92500000000000004</v>
      </c>
      <c r="P107" s="311">
        <v>1</v>
      </c>
      <c r="Q107" s="311">
        <v>1.0024999999999999</v>
      </c>
      <c r="R107" s="311">
        <v>1.0049999999999999</v>
      </c>
      <c r="S107" s="311">
        <v>1.0075000000000001</v>
      </c>
      <c r="T107" s="311">
        <f t="shared" si="1"/>
        <v>20</v>
      </c>
      <c r="U107" s="311"/>
      <c r="V107" s="311"/>
      <c r="W107" s="311">
        <v>20</v>
      </c>
      <c r="X107" s="311" t="s">
        <v>1892</v>
      </c>
      <c r="Y107" s="311" t="s">
        <v>1893</v>
      </c>
      <c r="Z107" s="311" t="s">
        <v>1995</v>
      </c>
      <c r="AA107" s="377">
        <v>20</v>
      </c>
    </row>
    <row r="108" spans="1:27" ht="12.75" customHeight="1" x14ac:dyDescent="0.2">
      <c r="A108" s="311" t="s">
        <v>177</v>
      </c>
      <c r="B108" s="311" t="s">
        <v>235</v>
      </c>
      <c r="C108" s="327">
        <v>0</v>
      </c>
      <c r="D108" s="327">
        <v>0.2379421456273875</v>
      </c>
      <c r="E108" s="327">
        <v>0.26216762896217882</v>
      </c>
      <c r="F108" s="327">
        <v>0.31085648674656619</v>
      </c>
      <c r="G108" s="327">
        <v>0.40919148222669344</v>
      </c>
      <c r="H108" s="327">
        <v>0.48378677864287167</v>
      </c>
      <c r="I108" s="327">
        <v>0.50881373749744829</v>
      </c>
      <c r="J108" s="327">
        <v>0.55911167002012052</v>
      </c>
      <c r="K108" s="327">
        <v>0.66068930977167339</v>
      </c>
      <c r="L108" s="327">
        <v>0.73773802233691999</v>
      </c>
      <c r="M108" s="327">
        <v>0.7635868690403288</v>
      </c>
      <c r="N108" s="327">
        <v>0.8155347009593793</v>
      </c>
      <c r="O108" s="327">
        <v>0.92043663429854472</v>
      </c>
      <c r="P108" s="311">
        <v>0.99999999999999989</v>
      </c>
      <c r="Q108" s="311">
        <v>1.0024999999999999</v>
      </c>
      <c r="R108" s="311">
        <v>1.0049999999999999</v>
      </c>
      <c r="S108" s="311">
        <v>1.0075000000000001</v>
      </c>
      <c r="T108" s="311">
        <f t="shared" si="1"/>
        <v>1000000000</v>
      </c>
      <c r="U108" s="311" t="s">
        <v>315</v>
      </c>
      <c r="V108" s="311"/>
      <c r="W108" s="311">
        <v>1000000000</v>
      </c>
      <c r="X108" s="311" t="s">
        <v>1892</v>
      </c>
      <c r="Y108" s="311" t="s">
        <v>1893</v>
      </c>
      <c r="Z108" s="311" t="s">
        <v>1996</v>
      </c>
      <c r="AA108" s="377">
        <v>1000000000</v>
      </c>
    </row>
    <row r="109" spans="1:27" ht="12.75" customHeight="1" x14ac:dyDescent="0.2">
      <c r="A109" s="311" t="s">
        <v>177</v>
      </c>
      <c r="B109" s="311" t="s">
        <v>236</v>
      </c>
      <c r="C109" s="327">
        <v>0</v>
      </c>
      <c r="D109" s="327">
        <v>0.2379421456273875</v>
      </c>
      <c r="E109" s="327">
        <v>0.26216762896217882</v>
      </c>
      <c r="F109" s="327">
        <v>0.31085648674656619</v>
      </c>
      <c r="G109" s="327">
        <v>0.40919148222669344</v>
      </c>
      <c r="H109" s="327">
        <v>0.48378677864287167</v>
      </c>
      <c r="I109" s="327">
        <v>0.50881373749744829</v>
      </c>
      <c r="J109" s="327">
        <v>0.55911167002012052</v>
      </c>
      <c r="K109" s="327">
        <v>0.66068930977167339</v>
      </c>
      <c r="L109" s="327">
        <v>0.73773802233691999</v>
      </c>
      <c r="M109" s="327">
        <v>0.7635868690403288</v>
      </c>
      <c r="N109" s="327">
        <v>0.8155347009593793</v>
      </c>
      <c r="O109" s="327">
        <v>0.92043663429854472</v>
      </c>
      <c r="P109" s="311">
        <v>0.99999999999999989</v>
      </c>
      <c r="Q109" s="311">
        <v>1.0024999999999999</v>
      </c>
      <c r="R109" s="311">
        <v>1.0049999999999999</v>
      </c>
      <c r="S109" s="311">
        <v>1.0075000000000001</v>
      </c>
      <c r="T109" s="311">
        <f t="shared" si="1"/>
        <v>71</v>
      </c>
      <c r="U109" s="311"/>
      <c r="V109" s="311"/>
      <c r="W109" s="311">
        <v>71</v>
      </c>
      <c r="X109" s="311" t="s">
        <v>1892</v>
      </c>
      <c r="Y109" s="311" t="s">
        <v>1893</v>
      </c>
      <c r="Z109" s="311" t="s">
        <v>1997</v>
      </c>
      <c r="AA109" s="377">
        <v>71</v>
      </c>
    </row>
    <row r="110" spans="1:27" ht="12.75" customHeight="1" x14ac:dyDescent="0.2">
      <c r="A110" s="311" t="s">
        <v>177</v>
      </c>
      <c r="B110" s="311" t="s">
        <v>23</v>
      </c>
      <c r="C110" s="327">
        <v>0</v>
      </c>
      <c r="D110" s="327">
        <v>0.2379421456273875</v>
      </c>
      <c r="E110" s="327">
        <v>0.26216762896217882</v>
      </c>
      <c r="F110" s="327">
        <v>0.31085648674656619</v>
      </c>
      <c r="G110" s="327">
        <v>0.40919148222669344</v>
      </c>
      <c r="H110" s="327">
        <v>0.48378677864287167</v>
      </c>
      <c r="I110" s="327">
        <v>0.50881373749744829</v>
      </c>
      <c r="J110" s="327">
        <v>0.55911167002012052</v>
      </c>
      <c r="K110" s="327">
        <v>0.66068930977167339</v>
      </c>
      <c r="L110" s="327">
        <v>0.73773802233691999</v>
      </c>
      <c r="M110" s="327">
        <v>0.7635868690403288</v>
      </c>
      <c r="N110" s="327">
        <v>0.8155347009593793</v>
      </c>
      <c r="O110" s="327">
        <v>0.92043663429854472</v>
      </c>
      <c r="P110" s="311">
        <v>0.99999999999999989</v>
      </c>
      <c r="Q110" s="311">
        <v>1.0024999999999999</v>
      </c>
      <c r="R110" s="311">
        <v>1.0049999999999999</v>
      </c>
      <c r="S110" s="311">
        <v>1.0075000000000001</v>
      </c>
      <c r="T110" s="311">
        <f t="shared" si="1"/>
        <v>40</v>
      </c>
      <c r="U110" s="311"/>
      <c r="V110" s="311"/>
      <c r="W110" s="311">
        <v>40</v>
      </c>
      <c r="X110" s="311" t="s">
        <v>1892</v>
      </c>
      <c r="Y110" s="311" t="s">
        <v>1893</v>
      </c>
      <c r="Z110" s="311" t="s">
        <v>1998</v>
      </c>
      <c r="AA110" s="377">
        <v>40</v>
      </c>
    </row>
    <row r="111" spans="1:27" ht="12.75" customHeight="1" x14ac:dyDescent="0.2">
      <c r="A111" s="311" t="s">
        <v>177</v>
      </c>
      <c r="B111" s="311" t="s">
        <v>237</v>
      </c>
      <c r="C111" s="327">
        <v>0</v>
      </c>
      <c r="D111" s="327">
        <v>0.2379421456273875</v>
      </c>
      <c r="E111" s="327">
        <v>0.26216762896217882</v>
      </c>
      <c r="F111" s="327">
        <v>0.31085648674656619</v>
      </c>
      <c r="G111" s="327">
        <v>0.40919148222669344</v>
      </c>
      <c r="H111" s="327">
        <v>0.48378677864287167</v>
      </c>
      <c r="I111" s="327">
        <v>0.50881373749744829</v>
      </c>
      <c r="J111" s="327">
        <v>0.55911167002012052</v>
      </c>
      <c r="K111" s="327">
        <v>0.66068930977167339</v>
      </c>
      <c r="L111" s="327">
        <v>0.73773802233691999</v>
      </c>
      <c r="M111" s="327">
        <v>0.7635868690403288</v>
      </c>
      <c r="N111" s="327">
        <v>0.8155347009593793</v>
      </c>
      <c r="O111" s="327">
        <v>0.92043663429854472</v>
      </c>
      <c r="P111" s="311">
        <v>0.99999999999999989</v>
      </c>
      <c r="Q111" s="311">
        <v>1.0024999999999999</v>
      </c>
      <c r="R111" s="311">
        <v>1.0049999999999999</v>
      </c>
      <c r="S111" s="311">
        <v>1.0075000000000001</v>
      </c>
      <c r="T111" s="311">
        <f t="shared" si="1"/>
        <v>23</v>
      </c>
      <c r="U111" s="311"/>
      <c r="V111" s="311"/>
      <c r="W111" s="311">
        <v>23</v>
      </c>
      <c r="X111" s="311" t="s">
        <v>1892</v>
      </c>
      <c r="Y111" s="311" t="s">
        <v>1893</v>
      </c>
      <c r="Z111" s="311" t="s">
        <v>1999</v>
      </c>
      <c r="AA111" s="377">
        <v>23</v>
      </c>
    </row>
    <row r="112" spans="1:27" ht="12.75" customHeight="1" x14ac:dyDescent="0.2">
      <c r="A112" s="311" t="s">
        <v>286</v>
      </c>
      <c r="B112" s="311" t="s">
        <v>235</v>
      </c>
      <c r="C112" s="327">
        <v>0</v>
      </c>
      <c r="D112" s="327">
        <v>0.24206349206349187</v>
      </c>
      <c r="E112" s="327">
        <v>0.26656084656084639</v>
      </c>
      <c r="F112" s="327">
        <v>0.31571428571428545</v>
      </c>
      <c r="G112" s="327">
        <v>0.41465608465608456</v>
      </c>
      <c r="H112" s="327">
        <v>0.48941798941798925</v>
      </c>
      <c r="I112" s="327">
        <v>0.51444444444444426</v>
      </c>
      <c r="J112" s="327">
        <v>0.56465608465608441</v>
      </c>
      <c r="K112" s="327">
        <v>0.6657142857142857</v>
      </c>
      <c r="L112" s="327">
        <v>0.74206349206349209</v>
      </c>
      <c r="M112" s="327">
        <v>0.76761904761904742</v>
      </c>
      <c r="N112" s="327">
        <v>0.81888888888888878</v>
      </c>
      <c r="O112" s="327">
        <v>0.92206349206349203</v>
      </c>
      <c r="P112" s="311">
        <v>1</v>
      </c>
      <c r="Q112" s="311">
        <v>1.0024999999999999</v>
      </c>
      <c r="R112" s="311">
        <v>1.0049999999999999</v>
      </c>
      <c r="S112" s="311">
        <v>1.0075000000000001</v>
      </c>
      <c r="T112" s="311">
        <f t="shared" si="1"/>
        <v>1000000000</v>
      </c>
      <c r="U112" s="311" t="s">
        <v>315</v>
      </c>
      <c r="V112" s="311"/>
      <c r="W112" s="311">
        <v>1000000000</v>
      </c>
      <c r="X112" s="311" t="s">
        <v>1892</v>
      </c>
      <c r="Y112" s="311" t="s">
        <v>1893</v>
      </c>
      <c r="Z112" s="311" t="s">
        <v>2000</v>
      </c>
      <c r="AA112" s="377">
        <v>1000000000</v>
      </c>
    </row>
    <row r="113" spans="1:27" ht="12.75" customHeight="1" x14ac:dyDescent="0.2">
      <c r="A113" s="311" t="s">
        <v>286</v>
      </c>
      <c r="B113" s="311" t="s">
        <v>236</v>
      </c>
      <c r="C113" s="327">
        <v>0</v>
      </c>
      <c r="D113" s="327">
        <v>0.24206349206349187</v>
      </c>
      <c r="E113" s="327">
        <v>0.26656084656084639</v>
      </c>
      <c r="F113" s="327">
        <v>0.31571428571428545</v>
      </c>
      <c r="G113" s="327">
        <v>0.41465608465608456</v>
      </c>
      <c r="H113" s="327">
        <v>0.48941798941798925</v>
      </c>
      <c r="I113" s="327">
        <v>0.51444444444444426</v>
      </c>
      <c r="J113" s="327">
        <v>0.56465608465608441</v>
      </c>
      <c r="K113" s="327">
        <v>0.6657142857142857</v>
      </c>
      <c r="L113" s="327">
        <v>0.74206349206349209</v>
      </c>
      <c r="M113" s="327">
        <v>0.76761904761904742</v>
      </c>
      <c r="N113" s="327">
        <v>0.81888888888888878</v>
      </c>
      <c r="O113" s="327">
        <v>0.92206349206349203</v>
      </c>
      <c r="P113" s="311">
        <v>1</v>
      </c>
      <c r="Q113" s="311">
        <v>1.0024999999999999</v>
      </c>
      <c r="R113" s="311">
        <v>1.0049999999999999</v>
      </c>
      <c r="S113" s="311">
        <v>1.0075000000000001</v>
      </c>
      <c r="T113" s="311">
        <f t="shared" si="1"/>
        <v>36</v>
      </c>
      <c r="U113" s="311"/>
      <c r="V113" s="311"/>
      <c r="W113" s="311">
        <v>36</v>
      </c>
      <c r="X113" s="311" t="s">
        <v>1892</v>
      </c>
      <c r="Y113" s="311" t="s">
        <v>1893</v>
      </c>
      <c r="Z113" s="311" t="s">
        <v>2001</v>
      </c>
      <c r="AA113" s="377">
        <v>36</v>
      </c>
    </row>
    <row r="114" spans="1:27" ht="12.75" customHeight="1" x14ac:dyDescent="0.2">
      <c r="A114" s="311" t="s">
        <v>286</v>
      </c>
      <c r="B114" s="311" t="s">
        <v>23</v>
      </c>
      <c r="C114" s="327">
        <v>0</v>
      </c>
      <c r="D114" s="327">
        <v>0.24206349206349187</v>
      </c>
      <c r="E114" s="327">
        <v>0.26656084656084639</v>
      </c>
      <c r="F114" s="327">
        <v>0.31571428571428545</v>
      </c>
      <c r="G114" s="327">
        <v>0.41465608465608456</v>
      </c>
      <c r="H114" s="327">
        <v>0.48941798941798925</v>
      </c>
      <c r="I114" s="327">
        <v>0.51444444444444426</v>
      </c>
      <c r="J114" s="327">
        <v>0.56465608465608441</v>
      </c>
      <c r="K114" s="327">
        <v>0.6657142857142857</v>
      </c>
      <c r="L114" s="327">
        <v>0.74206349206349209</v>
      </c>
      <c r="M114" s="327">
        <v>0.76761904761904742</v>
      </c>
      <c r="N114" s="327">
        <v>0.81888888888888878</v>
      </c>
      <c r="O114" s="327">
        <v>0.92206349206349203</v>
      </c>
      <c r="P114" s="311">
        <v>1</v>
      </c>
      <c r="Q114" s="311">
        <v>1.0024999999999999</v>
      </c>
      <c r="R114" s="311">
        <v>1.0049999999999999</v>
      </c>
      <c r="S114" s="311">
        <v>1.0075000000000001</v>
      </c>
      <c r="T114" s="311">
        <f t="shared" si="1"/>
        <v>20</v>
      </c>
      <c r="U114" s="311"/>
      <c r="V114" s="311"/>
      <c r="W114" s="311">
        <v>20</v>
      </c>
      <c r="X114" s="311" t="s">
        <v>1892</v>
      </c>
      <c r="Y114" s="311" t="s">
        <v>1893</v>
      </c>
      <c r="Z114" s="311" t="s">
        <v>2002</v>
      </c>
      <c r="AA114" s="377">
        <v>20</v>
      </c>
    </row>
    <row r="115" spans="1:27" ht="12.75" customHeight="1" x14ac:dyDescent="0.2">
      <c r="A115" s="311" t="s">
        <v>286</v>
      </c>
      <c r="B115" s="311" t="s">
        <v>237</v>
      </c>
      <c r="C115" s="327">
        <v>0</v>
      </c>
      <c r="D115" s="327">
        <v>0.24206349206349187</v>
      </c>
      <c r="E115" s="327">
        <v>0.26656084656084639</v>
      </c>
      <c r="F115" s="327">
        <v>0.31571428571428545</v>
      </c>
      <c r="G115" s="327">
        <v>0.41465608465608456</v>
      </c>
      <c r="H115" s="327">
        <v>0.48941798941798925</v>
      </c>
      <c r="I115" s="327">
        <v>0.51444444444444426</v>
      </c>
      <c r="J115" s="327">
        <v>0.56465608465608441</v>
      </c>
      <c r="K115" s="327">
        <v>0.6657142857142857</v>
      </c>
      <c r="L115" s="327">
        <v>0.74206349206349209</v>
      </c>
      <c r="M115" s="327">
        <v>0.76761904761904742</v>
      </c>
      <c r="N115" s="327">
        <v>0.81888888888888878</v>
      </c>
      <c r="O115" s="327">
        <v>0.92206349206349203</v>
      </c>
      <c r="P115" s="311">
        <v>1</v>
      </c>
      <c r="Q115" s="311">
        <v>1.0024999999999999</v>
      </c>
      <c r="R115" s="311">
        <v>1.0049999999999999</v>
      </c>
      <c r="S115" s="311">
        <v>1.0075000000000001</v>
      </c>
      <c r="T115" s="311">
        <f t="shared" si="1"/>
        <v>12</v>
      </c>
      <c r="U115" s="311"/>
      <c r="V115" s="311"/>
      <c r="W115" s="311">
        <v>12</v>
      </c>
      <c r="X115" s="311" t="s">
        <v>1892</v>
      </c>
      <c r="Y115" s="311" t="s">
        <v>1893</v>
      </c>
      <c r="Z115" s="311" t="s">
        <v>2003</v>
      </c>
      <c r="AA115" s="377">
        <v>12</v>
      </c>
    </row>
    <row r="116" spans="1:27" ht="12.75" customHeight="1" x14ac:dyDescent="0.2">
      <c r="A116" s="311" t="s">
        <v>85</v>
      </c>
      <c r="B116" s="311" t="s">
        <v>236</v>
      </c>
      <c r="C116" s="327">
        <v>0</v>
      </c>
      <c r="D116" s="327">
        <v>0.35714285714285693</v>
      </c>
      <c r="E116" s="327">
        <v>0.38892857142857123</v>
      </c>
      <c r="F116" s="327">
        <v>0.45035714285714262</v>
      </c>
      <c r="G116" s="327">
        <v>0.564642857142857</v>
      </c>
      <c r="H116" s="327">
        <v>0.64285714285714279</v>
      </c>
      <c r="I116" s="327">
        <v>0.66749999999999998</v>
      </c>
      <c r="J116" s="327">
        <v>0.71464285714285714</v>
      </c>
      <c r="K116" s="327">
        <v>0.80035714285714299</v>
      </c>
      <c r="L116" s="327">
        <v>0.85714285714285721</v>
      </c>
      <c r="M116" s="327">
        <v>0.87464285714285728</v>
      </c>
      <c r="N116" s="327">
        <v>0.9075000000000002</v>
      </c>
      <c r="O116" s="327">
        <v>0.96464285714285736</v>
      </c>
      <c r="P116" s="311">
        <v>1</v>
      </c>
      <c r="Q116" s="311">
        <v>1.0024999999999999</v>
      </c>
      <c r="R116" s="311">
        <v>1.0049999999999999</v>
      </c>
      <c r="S116" s="311">
        <v>1.0075000000000001</v>
      </c>
      <c r="T116" s="311">
        <f t="shared" si="1"/>
        <v>240</v>
      </c>
      <c r="U116" s="311"/>
      <c r="V116" s="311"/>
      <c r="W116" s="311">
        <v>240</v>
      </c>
      <c r="X116" s="311" t="s">
        <v>1892</v>
      </c>
      <c r="Y116" s="311" t="s">
        <v>1893</v>
      </c>
      <c r="Z116" s="311" t="s">
        <v>2004</v>
      </c>
      <c r="AA116" s="377">
        <v>240</v>
      </c>
    </row>
    <row r="117" spans="1:27" ht="12.75" customHeight="1" x14ac:dyDescent="0.2">
      <c r="A117" s="311" t="s">
        <v>85</v>
      </c>
      <c r="B117" s="311" t="s">
        <v>23</v>
      </c>
      <c r="C117" s="327">
        <v>0</v>
      </c>
      <c r="D117" s="327">
        <v>0.35714285714285693</v>
      </c>
      <c r="E117" s="327">
        <v>0.38892857142857123</v>
      </c>
      <c r="F117" s="327">
        <v>0.45035714285714262</v>
      </c>
      <c r="G117" s="327">
        <v>0.564642857142857</v>
      </c>
      <c r="H117" s="327">
        <v>0.64285714285714279</v>
      </c>
      <c r="I117" s="327">
        <v>0.66749999999999998</v>
      </c>
      <c r="J117" s="327">
        <v>0.71464285714285714</v>
      </c>
      <c r="K117" s="327">
        <v>0.80035714285714299</v>
      </c>
      <c r="L117" s="327">
        <v>0.85714285714285721</v>
      </c>
      <c r="M117" s="327">
        <v>0.87464285714285728</v>
      </c>
      <c r="N117" s="327">
        <v>0.9075000000000002</v>
      </c>
      <c r="O117" s="327">
        <v>0.96464285714285736</v>
      </c>
      <c r="P117" s="311">
        <v>1</v>
      </c>
      <c r="Q117" s="311">
        <v>1.0024999999999999</v>
      </c>
      <c r="R117" s="311">
        <v>1.0049999999999999</v>
      </c>
      <c r="S117" s="311">
        <v>1.0075000000000001</v>
      </c>
      <c r="T117" s="311">
        <f t="shared" si="1"/>
        <v>120</v>
      </c>
      <c r="U117" s="311"/>
      <c r="V117" s="311"/>
      <c r="W117" s="311">
        <v>120</v>
      </c>
      <c r="X117" s="311" t="s">
        <v>1892</v>
      </c>
      <c r="Y117" s="311" t="s">
        <v>1893</v>
      </c>
      <c r="Z117" s="311" t="s">
        <v>2005</v>
      </c>
      <c r="AA117" s="377">
        <v>120</v>
      </c>
    </row>
    <row r="118" spans="1:27" ht="12.75" customHeight="1" x14ac:dyDescent="0.2">
      <c r="A118" s="311" t="s">
        <v>85</v>
      </c>
      <c r="B118" s="311" t="s">
        <v>237</v>
      </c>
      <c r="C118" s="327">
        <v>0</v>
      </c>
      <c r="D118" s="327">
        <v>0.35714285714285693</v>
      </c>
      <c r="E118" s="327">
        <v>0.38892857142857123</v>
      </c>
      <c r="F118" s="327">
        <v>0.45035714285714262</v>
      </c>
      <c r="G118" s="327">
        <v>0.564642857142857</v>
      </c>
      <c r="H118" s="327">
        <v>0.64285714285714279</v>
      </c>
      <c r="I118" s="327">
        <v>0.66749999999999998</v>
      </c>
      <c r="J118" s="327">
        <v>0.71464285714285714</v>
      </c>
      <c r="K118" s="327">
        <v>0.80035714285714299</v>
      </c>
      <c r="L118" s="327">
        <v>0.85714285714285721</v>
      </c>
      <c r="M118" s="327">
        <v>0.87464285714285728</v>
      </c>
      <c r="N118" s="327">
        <v>0.9075000000000002</v>
      </c>
      <c r="O118" s="327">
        <v>0.96464285714285736</v>
      </c>
      <c r="P118" s="311">
        <v>1</v>
      </c>
      <c r="Q118" s="311">
        <v>1.0024999999999999</v>
      </c>
      <c r="R118" s="311">
        <v>1.0049999999999999</v>
      </c>
      <c r="S118" s="311">
        <v>1.0075000000000001</v>
      </c>
      <c r="T118" s="311">
        <f t="shared" si="1"/>
        <v>60</v>
      </c>
      <c r="U118" s="311"/>
      <c r="V118" s="311"/>
      <c r="W118" s="311">
        <v>60</v>
      </c>
      <c r="X118" s="311" t="s">
        <v>1892</v>
      </c>
      <c r="Y118" s="311" t="s">
        <v>1893</v>
      </c>
      <c r="Z118" s="311" t="s">
        <v>2006</v>
      </c>
      <c r="AA118" s="377">
        <v>60</v>
      </c>
    </row>
    <row r="119" spans="1:27" ht="12.75" customHeight="1" x14ac:dyDescent="0.2">
      <c r="A119" s="311" t="s">
        <v>151</v>
      </c>
      <c r="B119" s="311" t="s">
        <v>236</v>
      </c>
      <c r="C119" s="327">
        <v>0</v>
      </c>
      <c r="D119" s="327">
        <v>0.4888888888888876</v>
      </c>
      <c r="E119" s="327">
        <v>0.52488333333333226</v>
      </c>
      <c r="F119" s="327">
        <v>0.59084999999999854</v>
      </c>
      <c r="G119" s="327">
        <v>0.70087222222222101</v>
      </c>
      <c r="H119" s="327">
        <v>0.7666666666666655</v>
      </c>
      <c r="I119" s="327">
        <v>0.78582777777777646</v>
      </c>
      <c r="J119" s="327">
        <v>0.82046111111110998</v>
      </c>
      <c r="K119" s="327">
        <v>0.87714999999999921</v>
      </c>
      <c r="L119" s="327">
        <v>0.91111111111111032</v>
      </c>
      <c r="M119" s="327">
        <v>0.92121666666666591</v>
      </c>
      <c r="N119" s="327">
        <v>0.94007222222222153</v>
      </c>
      <c r="O119" s="327">
        <v>0.9745388888888884</v>
      </c>
      <c r="P119" s="311">
        <v>0.99999999999999978</v>
      </c>
      <c r="Q119" s="311">
        <v>1.0024999999999999</v>
      </c>
      <c r="R119" s="311">
        <v>1.0049999999999999</v>
      </c>
      <c r="S119" s="311">
        <v>1.0075000000000001</v>
      </c>
      <c r="T119" s="311">
        <f t="shared" si="1"/>
        <v>100</v>
      </c>
      <c r="U119" s="311"/>
      <c r="V119" s="311"/>
      <c r="W119" s="311">
        <v>100</v>
      </c>
      <c r="X119" s="311" t="s">
        <v>1892</v>
      </c>
      <c r="Y119" s="311" t="s">
        <v>1893</v>
      </c>
      <c r="Z119" s="311" t="s">
        <v>2007</v>
      </c>
      <c r="AA119" s="377">
        <v>100</v>
      </c>
    </row>
    <row r="120" spans="1:27" ht="12.75" customHeight="1" x14ac:dyDescent="0.2">
      <c r="A120" s="311" t="s">
        <v>151</v>
      </c>
      <c r="B120" s="311" t="s">
        <v>23</v>
      </c>
      <c r="C120" s="327">
        <v>0</v>
      </c>
      <c r="D120" s="327">
        <v>0.4888888888888876</v>
      </c>
      <c r="E120" s="327">
        <v>0.52488333333333226</v>
      </c>
      <c r="F120" s="327">
        <v>0.59084999999999854</v>
      </c>
      <c r="G120" s="327">
        <v>0.70087222222222101</v>
      </c>
      <c r="H120" s="327">
        <v>0.7666666666666655</v>
      </c>
      <c r="I120" s="327">
        <v>0.78582777777777646</v>
      </c>
      <c r="J120" s="327">
        <v>0.82046111111110998</v>
      </c>
      <c r="K120" s="327">
        <v>0.87714999999999921</v>
      </c>
      <c r="L120" s="327">
        <v>0.91111111111111032</v>
      </c>
      <c r="M120" s="327">
        <v>0.92121666666666591</v>
      </c>
      <c r="N120" s="327">
        <v>0.94007222222222153</v>
      </c>
      <c r="O120" s="327">
        <v>0.9745388888888884</v>
      </c>
      <c r="P120" s="311">
        <v>0.99999999999999978</v>
      </c>
      <c r="Q120" s="311">
        <v>1.0024999999999999</v>
      </c>
      <c r="R120" s="311">
        <v>1.0049999999999999</v>
      </c>
      <c r="S120" s="311">
        <v>1.0075000000000001</v>
      </c>
      <c r="T120" s="311">
        <f t="shared" si="1"/>
        <v>60</v>
      </c>
      <c r="U120" s="311"/>
      <c r="V120" s="311"/>
      <c r="W120" s="311">
        <v>60</v>
      </c>
      <c r="X120" s="311" t="s">
        <v>1892</v>
      </c>
      <c r="Y120" s="311" t="s">
        <v>1893</v>
      </c>
      <c r="Z120" s="311" t="s">
        <v>2008</v>
      </c>
      <c r="AA120" s="377">
        <v>60</v>
      </c>
    </row>
    <row r="121" spans="1:27" ht="12.75" customHeight="1" x14ac:dyDescent="0.2">
      <c r="A121" s="311" t="s">
        <v>151</v>
      </c>
      <c r="B121" s="311" t="s">
        <v>237</v>
      </c>
      <c r="C121" s="327">
        <v>0</v>
      </c>
      <c r="D121" s="327">
        <v>0.4888888888888876</v>
      </c>
      <c r="E121" s="327">
        <v>0.52488333333333226</v>
      </c>
      <c r="F121" s="327">
        <v>0.59084999999999854</v>
      </c>
      <c r="G121" s="327">
        <v>0.70087222222222101</v>
      </c>
      <c r="H121" s="327">
        <v>0.7666666666666655</v>
      </c>
      <c r="I121" s="327">
        <v>0.78582777777777646</v>
      </c>
      <c r="J121" s="327">
        <v>0.82046111111110998</v>
      </c>
      <c r="K121" s="327">
        <v>0.87714999999999921</v>
      </c>
      <c r="L121" s="327">
        <v>0.91111111111111032</v>
      </c>
      <c r="M121" s="327">
        <v>0.92121666666666591</v>
      </c>
      <c r="N121" s="327">
        <v>0.94007222222222153</v>
      </c>
      <c r="O121" s="327">
        <v>0.9745388888888884</v>
      </c>
      <c r="P121" s="311">
        <v>0.99999999999999978</v>
      </c>
      <c r="Q121" s="311">
        <v>1.0024999999999999</v>
      </c>
      <c r="R121" s="311">
        <v>1.0049999999999999</v>
      </c>
      <c r="S121" s="311">
        <v>1.0075000000000001</v>
      </c>
      <c r="T121" s="311">
        <f t="shared" si="1"/>
        <v>30</v>
      </c>
      <c r="U121" s="311"/>
      <c r="V121" s="311"/>
      <c r="W121" s="311">
        <v>30</v>
      </c>
      <c r="X121" s="311" t="s">
        <v>1892</v>
      </c>
      <c r="Y121" s="311" t="s">
        <v>1893</v>
      </c>
      <c r="Z121" s="311" t="s">
        <v>2009</v>
      </c>
      <c r="AA121" s="377">
        <v>30</v>
      </c>
    </row>
    <row r="122" spans="1:27" ht="12.75" customHeight="1" x14ac:dyDescent="0.2">
      <c r="A122" s="311" t="s">
        <v>78</v>
      </c>
      <c r="B122" s="311" t="s">
        <v>236</v>
      </c>
      <c r="C122" s="327">
        <v>0</v>
      </c>
      <c r="D122" s="327">
        <v>0.34821428571428559</v>
      </c>
      <c r="E122" s="327">
        <v>0.37943452380952369</v>
      </c>
      <c r="F122" s="327">
        <v>0.43991071428571416</v>
      </c>
      <c r="G122" s="327">
        <v>0.55300595238095229</v>
      </c>
      <c r="H122" s="327">
        <v>0.63095238095238071</v>
      </c>
      <c r="I122" s="327">
        <v>0.6556249999999999</v>
      </c>
      <c r="J122" s="327">
        <v>0.7030059523809522</v>
      </c>
      <c r="K122" s="327">
        <v>0.78991071428571424</v>
      </c>
      <c r="L122" s="327">
        <v>0.84821428571428581</v>
      </c>
      <c r="M122" s="327">
        <v>0.86633928571428576</v>
      </c>
      <c r="N122" s="327">
        <v>0.90062500000000001</v>
      </c>
      <c r="O122" s="327">
        <v>0.96133928571428595</v>
      </c>
      <c r="P122" s="311">
        <v>1.0000000000000002</v>
      </c>
      <c r="Q122" s="311">
        <v>1.0024999999999999</v>
      </c>
      <c r="R122" s="311">
        <v>1.0049999999999999</v>
      </c>
      <c r="S122" s="311">
        <v>1.0075000000000001</v>
      </c>
      <c r="T122" s="311">
        <f t="shared" si="1"/>
        <v>240</v>
      </c>
      <c r="U122" s="311"/>
      <c r="V122" s="311"/>
      <c r="W122" s="311">
        <v>240</v>
      </c>
      <c r="X122" s="311" t="s">
        <v>1892</v>
      </c>
      <c r="Y122" s="311" t="s">
        <v>1893</v>
      </c>
      <c r="Z122" s="311" t="s">
        <v>2010</v>
      </c>
      <c r="AA122" s="377">
        <v>240</v>
      </c>
    </row>
    <row r="123" spans="1:27" ht="12.75" customHeight="1" x14ac:dyDescent="0.2">
      <c r="A123" s="311" t="s">
        <v>78</v>
      </c>
      <c r="B123" s="311" t="s">
        <v>23</v>
      </c>
      <c r="C123" s="327">
        <v>0</v>
      </c>
      <c r="D123" s="327">
        <v>0.34821428571428559</v>
      </c>
      <c r="E123" s="327">
        <v>0.37943452380952369</v>
      </c>
      <c r="F123" s="327">
        <v>0.43991071428571416</v>
      </c>
      <c r="G123" s="327">
        <v>0.55300595238095229</v>
      </c>
      <c r="H123" s="327">
        <v>0.63095238095238071</v>
      </c>
      <c r="I123" s="327">
        <v>0.6556249999999999</v>
      </c>
      <c r="J123" s="327">
        <v>0.7030059523809522</v>
      </c>
      <c r="K123" s="327">
        <v>0.78991071428571424</v>
      </c>
      <c r="L123" s="327">
        <v>0.84821428571428581</v>
      </c>
      <c r="M123" s="327">
        <v>0.86633928571428576</v>
      </c>
      <c r="N123" s="327">
        <v>0.90062500000000001</v>
      </c>
      <c r="O123" s="327">
        <v>0.96133928571428595</v>
      </c>
      <c r="P123" s="311">
        <v>1.0000000000000002</v>
      </c>
      <c r="Q123" s="311">
        <v>1.0024999999999999</v>
      </c>
      <c r="R123" s="311">
        <v>1.0049999999999999</v>
      </c>
      <c r="S123" s="311">
        <v>1.0075000000000001</v>
      </c>
      <c r="T123" s="311">
        <f t="shared" si="1"/>
        <v>80</v>
      </c>
      <c r="U123" s="311"/>
      <c r="V123" s="311"/>
      <c r="W123" s="311">
        <v>80</v>
      </c>
      <c r="X123" s="311" t="s">
        <v>1892</v>
      </c>
      <c r="Y123" s="311" t="s">
        <v>1893</v>
      </c>
      <c r="Z123" s="311" t="s">
        <v>2011</v>
      </c>
      <c r="AA123" s="377">
        <v>80</v>
      </c>
    </row>
    <row r="124" spans="1:27" ht="12.75" customHeight="1" x14ac:dyDescent="0.2">
      <c r="A124" s="311" t="s">
        <v>78</v>
      </c>
      <c r="B124" s="311" t="s">
        <v>237</v>
      </c>
      <c r="C124" s="327">
        <v>0</v>
      </c>
      <c r="D124" s="327">
        <v>0.34821428571428559</v>
      </c>
      <c r="E124" s="327">
        <v>0.37943452380952369</v>
      </c>
      <c r="F124" s="327">
        <v>0.43991071428571416</v>
      </c>
      <c r="G124" s="327">
        <v>0.55300595238095229</v>
      </c>
      <c r="H124" s="327">
        <v>0.63095238095238071</v>
      </c>
      <c r="I124" s="327">
        <v>0.6556249999999999</v>
      </c>
      <c r="J124" s="327">
        <v>0.7030059523809522</v>
      </c>
      <c r="K124" s="327">
        <v>0.78991071428571424</v>
      </c>
      <c r="L124" s="327">
        <v>0.84821428571428581</v>
      </c>
      <c r="M124" s="327">
        <v>0.86633928571428576</v>
      </c>
      <c r="N124" s="327">
        <v>0.90062500000000001</v>
      </c>
      <c r="O124" s="327">
        <v>0.96133928571428595</v>
      </c>
      <c r="P124" s="311">
        <v>1.0000000000000002</v>
      </c>
      <c r="Q124" s="311">
        <v>1.0024999999999999</v>
      </c>
      <c r="R124" s="311">
        <v>1.0049999999999999</v>
      </c>
      <c r="S124" s="311">
        <v>1.0075000000000001</v>
      </c>
      <c r="T124" s="311">
        <f t="shared" si="1"/>
        <v>40</v>
      </c>
      <c r="U124" s="311"/>
      <c r="V124" s="311"/>
      <c r="W124" s="311">
        <v>40</v>
      </c>
      <c r="X124" s="311" t="s">
        <v>1892</v>
      </c>
      <c r="Y124" s="311" t="s">
        <v>1893</v>
      </c>
      <c r="Z124" s="311" t="s">
        <v>2012</v>
      </c>
      <c r="AA124" s="377">
        <v>40</v>
      </c>
    </row>
    <row r="125" spans="1:27" ht="12.75" customHeight="1" x14ac:dyDescent="0.2">
      <c r="A125" s="311" t="s">
        <v>285</v>
      </c>
      <c r="B125" s="311" t="s">
        <v>235</v>
      </c>
      <c r="C125" s="327">
        <v>0</v>
      </c>
      <c r="D125" s="327">
        <v>0.25238095238095209</v>
      </c>
      <c r="E125" s="327">
        <v>0.27753174603174574</v>
      </c>
      <c r="F125" s="327">
        <v>0.32778571428571385</v>
      </c>
      <c r="G125" s="327">
        <v>0.42810317460317432</v>
      </c>
      <c r="H125" s="327">
        <v>0.50317460317460294</v>
      </c>
      <c r="I125" s="327">
        <v>0.52816666666666645</v>
      </c>
      <c r="J125" s="327">
        <v>0.5781031746031744</v>
      </c>
      <c r="K125" s="327">
        <v>0.67778571428571421</v>
      </c>
      <c r="L125" s="327">
        <v>0.75238095238095237</v>
      </c>
      <c r="M125" s="327">
        <v>0.77721428571428541</v>
      </c>
      <c r="N125" s="327">
        <v>0.82683333333333331</v>
      </c>
      <c r="O125" s="327">
        <v>0.92588095238095258</v>
      </c>
      <c r="P125" s="311">
        <v>1</v>
      </c>
      <c r="Q125" s="311">
        <v>1.0024999999999999</v>
      </c>
      <c r="R125" s="311">
        <v>1.0049999999999999</v>
      </c>
      <c r="S125" s="311">
        <v>1.0075000000000001</v>
      </c>
      <c r="T125" s="311">
        <f t="shared" si="1"/>
        <v>1000000000</v>
      </c>
      <c r="U125" s="311" t="s">
        <v>315</v>
      </c>
      <c r="V125" s="311"/>
      <c r="W125" s="311">
        <v>1000000000</v>
      </c>
      <c r="X125" s="311" t="s">
        <v>1892</v>
      </c>
      <c r="Y125" s="311" t="s">
        <v>1893</v>
      </c>
      <c r="Z125" s="311" t="s">
        <v>2013</v>
      </c>
      <c r="AA125" s="377">
        <v>1000000000</v>
      </c>
    </row>
    <row r="126" spans="1:27" ht="12.75" customHeight="1" x14ac:dyDescent="0.2">
      <c r="A126" s="311" t="s">
        <v>285</v>
      </c>
      <c r="B126" s="311" t="s">
        <v>236</v>
      </c>
      <c r="C126" s="327">
        <v>0</v>
      </c>
      <c r="D126" s="327">
        <v>0.25238095238095209</v>
      </c>
      <c r="E126" s="327">
        <v>0.27753174603174574</v>
      </c>
      <c r="F126" s="327">
        <v>0.32778571428571385</v>
      </c>
      <c r="G126" s="327">
        <v>0.42810317460317432</v>
      </c>
      <c r="H126" s="327">
        <v>0.50317460317460294</v>
      </c>
      <c r="I126" s="327">
        <v>0.52816666666666645</v>
      </c>
      <c r="J126" s="327">
        <v>0.5781031746031744</v>
      </c>
      <c r="K126" s="327">
        <v>0.67778571428571421</v>
      </c>
      <c r="L126" s="327">
        <v>0.75238095238095237</v>
      </c>
      <c r="M126" s="327">
        <v>0.77721428571428541</v>
      </c>
      <c r="N126" s="327">
        <v>0.82683333333333331</v>
      </c>
      <c r="O126" s="327">
        <v>0.92588095238095258</v>
      </c>
      <c r="P126" s="311">
        <v>1</v>
      </c>
      <c r="Q126" s="311">
        <v>1.0024999999999999</v>
      </c>
      <c r="R126" s="311">
        <v>1.0049999999999999</v>
      </c>
      <c r="S126" s="311">
        <v>1.0075000000000001</v>
      </c>
      <c r="T126" s="311">
        <f t="shared" si="1"/>
        <v>120</v>
      </c>
      <c r="U126" s="311"/>
      <c r="V126" s="311"/>
      <c r="W126" s="311">
        <v>120</v>
      </c>
      <c r="X126" s="311" t="s">
        <v>1892</v>
      </c>
      <c r="Y126" s="311" t="s">
        <v>1893</v>
      </c>
      <c r="Z126" s="311" t="s">
        <v>2014</v>
      </c>
      <c r="AA126" s="377">
        <v>120</v>
      </c>
    </row>
    <row r="127" spans="1:27" ht="12.75" customHeight="1" x14ac:dyDescent="0.2">
      <c r="A127" s="311" t="s">
        <v>285</v>
      </c>
      <c r="B127" s="311" t="s">
        <v>23</v>
      </c>
      <c r="C127" s="327">
        <v>0</v>
      </c>
      <c r="D127" s="327">
        <v>0.25238095238095209</v>
      </c>
      <c r="E127" s="327">
        <v>0.27753174603174574</v>
      </c>
      <c r="F127" s="327">
        <v>0.32778571428571385</v>
      </c>
      <c r="G127" s="327">
        <v>0.42810317460317432</v>
      </c>
      <c r="H127" s="327">
        <v>0.50317460317460294</v>
      </c>
      <c r="I127" s="327">
        <v>0.52816666666666645</v>
      </c>
      <c r="J127" s="327">
        <v>0.5781031746031744</v>
      </c>
      <c r="K127" s="327">
        <v>0.67778571428571421</v>
      </c>
      <c r="L127" s="327">
        <v>0.75238095238095237</v>
      </c>
      <c r="M127" s="327">
        <v>0.77721428571428541</v>
      </c>
      <c r="N127" s="327">
        <v>0.82683333333333331</v>
      </c>
      <c r="O127" s="327">
        <v>0.92588095238095258</v>
      </c>
      <c r="P127" s="311">
        <v>1</v>
      </c>
      <c r="Q127" s="311">
        <v>1.0024999999999999</v>
      </c>
      <c r="R127" s="311">
        <v>1.0049999999999999</v>
      </c>
      <c r="S127" s="311">
        <v>1.0075000000000001</v>
      </c>
      <c r="T127" s="311">
        <f t="shared" si="1"/>
        <v>60</v>
      </c>
      <c r="U127" s="311"/>
      <c r="V127" s="311"/>
      <c r="W127" s="311">
        <v>60</v>
      </c>
      <c r="X127" s="311" t="s">
        <v>1892</v>
      </c>
      <c r="Y127" s="311" t="s">
        <v>1893</v>
      </c>
      <c r="Z127" s="311" t="s">
        <v>2015</v>
      </c>
      <c r="AA127" s="377">
        <v>60</v>
      </c>
    </row>
    <row r="128" spans="1:27" ht="12.75" customHeight="1" x14ac:dyDescent="0.2">
      <c r="A128" s="311" t="s">
        <v>285</v>
      </c>
      <c r="B128" s="311" t="s">
        <v>237</v>
      </c>
      <c r="C128" s="327">
        <v>0</v>
      </c>
      <c r="D128" s="327">
        <v>0.25238095238095209</v>
      </c>
      <c r="E128" s="327">
        <v>0.27753174603174574</v>
      </c>
      <c r="F128" s="327">
        <v>0.32778571428571385</v>
      </c>
      <c r="G128" s="327">
        <v>0.42810317460317432</v>
      </c>
      <c r="H128" s="327">
        <v>0.50317460317460294</v>
      </c>
      <c r="I128" s="327">
        <v>0.52816666666666645</v>
      </c>
      <c r="J128" s="327">
        <v>0.5781031746031744</v>
      </c>
      <c r="K128" s="327">
        <v>0.67778571428571421</v>
      </c>
      <c r="L128" s="327">
        <v>0.75238095238095237</v>
      </c>
      <c r="M128" s="327">
        <v>0.77721428571428541</v>
      </c>
      <c r="N128" s="327">
        <v>0.82683333333333331</v>
      </c>
      <c r="O128" s="327">
        <v>0.92588095238095258</v>
      </c>
      <c r="P128" s="311">
        <v>1</v>
      </c>
      <c r="Q128" s="311">
        <v>1.0024999999999999</v>
      </c>
      <c r="R128" s="311">
        <v>1.0049999999999999</v>
      </c>
      <c r="S128" s="311">
        <v>1.0075000000000001</v>
      </c>
      <c r="T128" s="311">
        <f t="shared" si="1"/>
        <v>30</v>
      </c>
      <c r="U128" s="311"/>
      <c r="V128" s="311"/>
      <c r="W128" s="311">
        <v>30</v>
      </c>
      <c r="X128" s="311" t="s">
        <v>1892</v>
      </c>
      <c r="Y128" s="311" t="s">
        <v>1893</v>
      </c>
      <c r="Z128" s="311" t="s">
        <v>2016</v>
      </c>
      <c r="AA128" s="377">
        <v>30</v>
      </c>
    </row>
    <row r="129" spans="1:27" ht="12.75" customHeight="1" x14ac:dyDescent="0.2">
      <c r="A129" s="311" t="s">
        <v>284</v>
      </c>
      <c r="B129" s="311" t="s">
        <v>235</v>
      </c>
      <c r="C129" s="327">
        <v>0</v>
      </c>
      <c r="D129" s="327">
        <v>0.33227513227513183</v>
      </c>
      <c r="E129" s="327">
        <v>0.35972910052910012</v>
      </c>
      <c r="F129" s="327">
        <v>0.41216190476190429</v>
      </c>
      <c r="G129" s="327">
        <v>0.50857883597883558</v>
      </c>
      <c r="H129" s="327">
        <v>0.57513227513227494</v>
      </c>
      <c r="I129" s="327">
        <v>0.59649629629629608</v>
      </c>
      <c r="J129" s="327">
        <v>0.63830476190476171</v>
      </c>
      <c r="K129" s="327">
        <v>0.71969523809523794</v>
      </c>
      <c r="L129" s="327">
        <v>0.78042328042328046</v>
      </c>
      <c r="M129" s="327">
        <v>0.80088253968253964</v>
      </c>
      <c r="N129" s="327">
        <v>0.8424370370370371</v>
      </c>
      <c r="O129" s="327">
        <v>0.92954179894179911</v>
      </c>
      <c r="P129" s="311">
        <v>1.0000000000000002</v>
      </c>
      <c r="Q129" s="311">
        <v>1.0024999999999999</v>
      </c>
      <c r="R129" s="311">
        <v>1.0049999999999999</v>
      </c>
      <c r="S129" s="311">
        <v>1.0075000000000001</v>
      </c>
      <c r="T129" s="311">
        <f t="shared" si="1"/>
        <v>1000000000</v>
      </c>
      <c r="U129" s="311" t="s">
        <v>315</v>
      </c>
      <c r="V129" s="311"/>
      <c r="W129" s="311">
        <v>1000000000</v>
      </c>
      <c r="X129" s="311" t="s">
        <v>1892</v>
      </c>
      <c r="Y129" s="311" t="s">
        <v>1893</v>
      </c>
      <c r="Z129" s="311" t="s">
        <v>2017</v>
      </c>
      <c r="AA129" s="377">
        <v>1000000000</v>
      </c>
    </row>
    <row r="130" spans="1:27" ht="12.75" customHeight="1" x14ac:dyDescent="0.2">
      <c r="A130" s="311" t="s">
        <v>284</v>
      </c>
      <c r="B130" s="311" t="s">
        <v>236</v>
      </c>
      <c r="C130" s="327">
        <v>0</v>
      </c>
      <c r="D130" s="327">
        <v>0.33227513227513183</v>
      </c>
      <c r="E130" s="327">
        <v>0.35972910052910012</v>
      </c>
      <c r="F130" s="327">
        <v>0.41216190476190429</v>
      </c>
      <c r="G130" s="327">
        <v>0.50857883597883558</v>
      </c>
      <c r="H130" s="327">
        <v>0.57513227513227494</v>
      </c>
      <c r="I130" s="327">
        <v>0.59649629629629608</v>
      </c>
      <c r="J130" s="327">
        <v>0.63830476190476171</v>
      </c>
      <c r="K130" s="327">
        <v>0.71969523809523794</v>
      </c>
      <c r="L130" s="327">
        <v>0.78042328042328046</v>
      </c>
      <c r="M130" s="327">
        <v>0.80088253968253964</v>
      </c>
      <c r="N130" s="327">
        <v>0.8424370370370371</v>
      </c>
      <c r="O130" s="327">
        <v>0.92954179894179911</v>
      </c>
      <c r="P130" s="311">
        <v>1.0000000000000002</v>
      </c>
      <c r="Q130" s="311">
        <v>1.0024999999999999</v>
      </c>
      <c r="R130" s="311">
        <v>1.0049999999999999</v>
      </c>
      <c r="S130" s="311">
        <v>1.0075000000000001</v>
      </c>
      <c r="T130" s="311">
        <f t="shared" si="1"/>
        <v>18</v>
      </c>
      <c r="U130" s="311"/>
      <c r="V130" s="311"/>
      <c r="W130" s="311">
        <v>18</v>
      </c>
      <c r="X130" s="311" t="s">
        <v>1892</v>
      </c>
      <c r="Y130" s="311" t="s">
        <v>1893</v>
      </c>
      <c r="Z130" s="311" t="s">
        <v>2018</v>
      </c>
      <c r="AA130" s="377">
        <v>18</v>
      </c>
    </row>
    <row r="131" spans="1:27" ht="12.75" customHeight="1" x14ac:dyDescent="0.2">
      <c r="A131" s="311" t="s">
        <v>284</v>
      </c>
      <c r="B131" s="311" t="s">
        <v>23</v>
      </c>
      <c r="C131" s="327">
        <v>0</v>
      </c>
      <c r="D131" s="327">
        <v>0.33227513227513183</v>
      </c>
      <c r="E131" s="327">
        <v>0.35972910052910012</v>
      </c>
      <c r="F131" s="327">
        <v>0.41216190476190429</v>
      </c>
      <c r="G131" s="327">
        <v>0.50857883597883558</v>
      </c>
      <c r="H131" s="327">
        <v>0.57513227513227494</v>
      </c>
      <c r="I131" s="327">
        <v>0.59649629629629608</v>
      </c>
      <c r="J131" s="327">
        <v>0.63830476190476171</v>
      </c>
      <c r="K131" s="327">
        <v>0.71969523809523794</v>
      </c>
      <c r="L131" s="327">
        <v>0.78042328042328046</v>
      </c>
      <c r="M131" s="327">
        <v>0.80088253968253964</v>
      </c>
      <c r="N131" s="327">
        <v>0.8424370370370371</v>
      </c>
      <c r="O131" s="327">
        <v>0.92954179894179911</v>
      </c>
      <c r="P131" s="311">
        <v>1.0000000000000002</v>
      </c>
      <c r="Q131" s="311">
        <v>1.0024999999999999</v>
      </c>
      <c r="R131" s="311">
        <v>1.0049999999999999</v>
      </c>
      <c r="S131" s="311">
        <v>1.0075000000000001</v>
      </c>
      <c r="T131" s="311">
        <f t="shared" si="1"/>
        <v>10</v>
      </c>
      <c r="U131" s="311"/>
      <c r="V131" s="311"/>
      <c r="W131" s="311">
        <v>10</v>
      </c>
      <c r="X131" s="311" t="s">
        <v>1892</v>
      </c>
      <c r="Y131" s="311" t="s">
        <v>1893</v>
      </c>
      <c r="Z131" s="311" t="s">
        <v>2019</v>
      </c>
      <c r="AA131" s="377">
        <v>10</v>
      </c>
    </row>
    <row r="132" spans="1:27" ht="12.75" customHeight="1" x14ac:dyDescent="0.2">
      <c r="A132" s="311" t="s">
        <v>284</v>
      </c>
      <c r="B132" s="311" t="s">
        <v>237</v>
      </c>
      <c r="C132" s="327">
        <v>0</v>
      </c>
      <c r="D132" s="327">
        <v>0.33227513227513183</v>
      </c>
      <c r="E132" s="327">
        <v>0.35972910052910012</v>
      </c>
      <c r="F132" s="327">
        <v>0.41216190476190429</v>
      </c>
      <c r="G132" s="327">
        <v>0.50857883597883558</v>
      </c>
      <c r="H132" s="327">
        <v>0.57513227513227494</v>
      </c>
      <c r="I132" s="327">
        <v>0.59649629629629608</v>
      </c>
      <c r="J132" s="327">
        <v>0.63830476190476171</v>
      </c>
      <c r="K132" s="327">
        <v>0.71969523809523794</v>
      </c>
      <c r="L132" s="327">
        <v>0.78042328042328046</v>
      </c>
      <c r="M132" s="327">
        <v>0.80088253968253964</v>
      </c>
      <c r="N132" s="327">
        <v>0.8424370370370371</v>
      </c>
      <c r="O132" s="327">
        <v>0.92954179894179911</v>
      </c>
      <c r="P132" s="311">
        <v>1.0000000000000002</v>
      </c>
      <c r="Q132" s="311">
        <v>1.0024999999999999</v>
      </c>
      <c r="R132" s="311">
        <v>1.0049999999999999</v>
      </c>
      <c r="S132" s="311">
        <v>1.0075000000000001</v>
      </c>
      <c r="T132" s="311">
        <f t="shared" ref="T132:T195" si="2">IF($T$2&lt;&gt;0,$AA132*$T$2,$AA132)</f>
        <v>6</v>
      </c>
      <c r="U132" s="311"/>
      <c r="V132" s="311"/>
      <c r="W132" s="311">
        <v>6</v>
      </c>
      <c r="X132" s="311" t="s">
        <v>1892</v>
      </c>
      <c r="Y132" s="311" t="s">
        <v>1893</v>
      </c>
      <c r="Z132" s="311" t="s">
        <v>2020</v>
      </c>
      <c r="AA132" s="377">
        <v>6</v>
      </c>
    </row>
    <row r="133" spans="1:27" ht="12.75" customHeight="1" x14ac:dyDescent="0.2">
      <c r="A133" s="311" t="s">
        <v>283</v>
      </c>
      <c r="B133" s="311" t="s">
        <v>236</v>
      </c>
      <c r="C133" s="327">
        <v>0</v>
      </c>
      <c r="D133" s="327">
        <v>0.52180205415499403</v>
      </c>
      <c r="E133" s="327">
        <v>0.56039355353252296</v>
      </c>
      <c r="F133" s="327">
        <v>0.63105031512604903</v>
      </c>
      <c r="G133" s="327">
        <v>0.74816673280423152</v>
      </c>
      <c r="H133" s="327">
        <v>0.81697790227201839</v>
      </c>
      <c r="I133" s="327">
        <v>0.83665433006535805</v>
      </c>
      <c r="J133" s="327">
        <v>0.87152506613756497</v>
      </c>
      <c r="K133" s="327">
        <v>0.92524590336134394</v>
      </c>
      <c r="L133" s="327">
        <v>0.95366479925303393</v>
      </c>
      <c r="M133" s="327">
        <v>0.96123988095238</v>
      </c>
      <c r="N133" s="327">
        <v>0.97395204248365996</v>
      </c>
      <c r="O133" s="327">
        <v>0.99153220121381846</v>
      </c>
      <c r="P133" s="311">
        <v>1</v>
      </c>
      <c r="Q133" s="311">
        <v>1.0024999999999999</v>
      </c>
      <c r="R133" s="311">
        <v>1.0049999999999999</v>
      </c>
      <c r="S133" s="311">
        <v>1.0075000000000001</v>
      </c>
      <c r="T133" s="311">
        <f t="shared" si="2"/>
        <v>170</v>
      </c>
      <c r="U133" s="311"/>
      <c r="V133" s="311"/>
      <c r="W133" s="311">
        <v>170</v>
      </c>
      <c r="X133" s="311" t="s">
        <v>1892</v>
      </c>
      <c r="Y133" s="311" t="s">
        <v>1893</v>
      </c>
      <c r="Z133" s="311" t="s">
        <v>2021</v>
      </c>
      <c r="AA133" s="377">
        <v>170</v>
      </c>
    </row>
    <row r="134" spans="1:27" ht="12.75" customHeight="1" x14ac:dyDescent="0.2">
      <c r="A134" s="311" t="s">
        <v>283</v>
      </c>
      <c r="B134" s="311" t="s">
        <v>23</v>
      </c>
      <c r="C134" s="327">
        <v>0</v>
      </c>
      <c r="D134" s="327">
        <v>0.52180205415499403</v>
      </c>
      <c r="E134" s="327">
        <v>0.56039355353252296</v>
      </c>
      <c r="F134" s="327">
        <v>0.63105031512604903</v>
      </c>
      <c r="G134" s="327">
        <v>0.74816673280423152</v>
      </c>
      <c r="H134" s="327">
        <v>0.81697790227201839</v>
      </c>
      <c r="I134" s="327">
        <v>0.83665433006535805</v>
      </c>
      <c r="J134" s="327">
        <v>0.87152506613756497</v>
      </c>
      <c r="K134" s="327">
        <v>0.92524590336134394</v>
      </c>
      <c r="L134" s="327">
        <v>0.95366479925303393</v>
      </c>
      <c r="M134" s="327">
        <v>0.96123988095238</v>
      </c>
      <c r="N134" s="327">
        <v>0.97395204248365996</v>
      </c>
      <c r="O134" s="327">
        <v>0.99153220121381846</v>
      </c>
      <c r="P134" s="311">
        <v>1</v>
      </c>
      <c r="Q134" s="311">
        <v>1.0024999999999999</v>
      </c>
      <c r="R134" s="311">
        <v>1.0049999999999999</v>
      </c>
      <c r="S134" s="311">
        <v>1.0075000000000001</v>
      </c>
      <c r="T134" s="311">
        <f t="shared" si="2"/>
        <v>90</v>
      </c>
      <c r="U134" s="311"/>
      <c r="V134" s="311"/>
      <c r="W134" s="311">
        <v>90</v>
      </c>
      <c r="X134" s="311" t="s">
        <v>1892</v>
      </c>
      <c r="Y134" s="311" t="s">
        <v>1893</v>
      </c>
      <c r="Z134" s="311" t="s">
        <v>2022</v>
      </c>
      <c r="AA134" s="377">
        <v>90</v>
      </c>
    </row>
    <row r="135" spans="1:27" ht="12.75" customHeight="1" x14ac:dyDescent="0.2">
      <c r="A135" s="311" t="s">
        <v>283</v>
      </c>
      <c r="B135" s="311" t="s">
        <v>237</v>
      </c>
      <c r="C135" s="327">
        <v>0</v>
      </c>
      <c r="D135" s="327">
        <v>0.52180205415499403</v>
      </c>
      <c r="E135" s="327">
        <v>0.56039355353252296</v>
      </c>
      <c r="F135" s="327">
        <v>0.63105031512604903</v>
      </c>
      <c r="G135" s="327">
        <v>0.74816673280423152</v>
      </c>
      <c r="H135" s="327">
        <v>0.81697790227201839</v>
      </c>
      <c r="I135" s="327">
        <v>0.83665433006535805</v>
      </c>
      <c r="J135" s="327">
        <v>0.87152506613756497</v>
      </c>
      <c r="K135" s="327">
        <v>0.92524590336134394</v>
      </c>
      <c r="L135" s="327">
        <v>0.95366479925303393</v>
      </c>
      <c r="M135" s="327">
        <v>0.96123988095238</v>
      </c>
      <c r="N135" s="327">
        <v>0.97395204248365996</v>
      </c>
      <c r="O135" s="327">
        <v>0.99153220121381846</v>
      </c>
      <c r="P135" s="311">
        <v>1</v>
      </c>
      <c r="Q135" s="311">
        <v>1.0024999999999999</v>
      </c>
      <c r="R135" s="311">
        <v>1.0049999999999999</v>
      </c>
      <c r="S135" s="311">
        <v>1.0075000000000001</v>
      </c>
      <c r="T135" s="311">
        <f t="shared" si="2"/>
        <v>40</v>
      </c>
      <c r="U135" s="311"/>
      <c r="V135" s="311"/>
      <c r="W135" s="311">
        <v>40</v>
      </c>
      <c r="X135" s="311" t="s">
        <v>1892</v>
      </c>
      <c r="Y135" s="311" t="s">
        <v>1893</v>
      </c>
      <c r="Z135" s="311" t="s">
        <v>2023</v>
      </c>
      <c r="AA135" s="377">
        <v>40</v>
      </c>
    </row>
    <row r="136" spans="1:27" ht="12.75" customHeight="1" x14ac:dyDescent="0.2">
      <c r="A136" s="311" t="s">
        <v>282</v>
      </c>
      <c r="B136" s="311"/>
      <c r="C136" s="327">
        <v>0</v>
      </c>
      <c r="D136" s="327">
        <v>0.52857142857142703</v>
      </c>
      <c r="E136" s="327">
        <v>0.56589761904761759</v>
      </c>
      <c r="F136" s="327">
        <v>0.63337857142857013</v>
      </c>
      <c r="G136" s="327">
        <v>0.74245476190476067</v>
      </c>
      <c r="H136" s="327">
        <v>0.80476190476190357</v>
      </c>
      <c r="I136" s="327">
        <v>0.82234999999999892</v>
      </c>
      <c r="J136" s="327">
        <v>0.85335476190476089</v>
      </c>
      <c r="K136" s="327">
        <v>0.90147857142857057</v>
      </c>
      <c r="L136" s="327">
        <v>0.92857142857142827</v>
      </c>
      <c r="M136" s="327">
        <v>0.93642142857142774</v>
      </c>
      <c r="N136" s="327">
        <v>0.95094999999999963</v>
      </c>
      <c r="O136" s="327">
        <v>0.97812142857142825</v>
      </c>
      <c r="P136" s="311">
        <v>0.99999999999999956</v>
      </c>
      <c r="Q136" s="311">
        <v>1.0024999999999999</v>
      </c>
      <c r="R136" s="311">
        <v>1.0049999999999999</v>
      </c>
      <c r="S136" s="311">
        <v>1.0075000000000001</v>
      </c>
      <c r="T136" s="311">
        <f t="shared" si="2"/>
        <v>75</v>
      </c>
      <c r="U136" s="311" t="s">
        <v>316</v>
      </c>
      <c r="V136" s="311"/>
      <c r="W136" s="311">
        <v>75</v>
      </c>
      <c r="X136" s="311" t="s">
        <v>1892</v>
      </c>
      <c r="Y136" s="311" t="s">
        <v>1893</v>
      </c>
      <c r="Z136" s="311" t="s">
        <v>282</v>
      </c>
      <c r="AA136" s="377">
        <v>75</v>
      </c>
    </row>
    <row r="137" spans="1:27" ht="12.75" customHeight="1" x14ac:dyDescent="0.2">
      <c r="A137" s="311" t="s">
        <v>281</v>
      </c>
      <c r="B137" s="311" t="s">
        <v>235</v>
      </c>
      <c r="C137" s="327">
        <v>0</v>
      </c>
      <c r="D137" s="327">
        <v>0.25238095238095209</v>
      </c>
      <c r="E137" s="327">
        <v>0.27753174603174574</v>
      </c>
      <c r="F137" s="327">
        <v>0.32778571428571385</v>
      </c>
      <c r="G137" s="327">
        <v>0.42810317460317432</v>
      </c>
      <c r="H137" s="327">
        <v>0.50317460317460294</v>
      </c>
      <c r="I137" s="327">
        <v>0.52816666666666645</v>
      </c>
      <c r="J137" s="327">
        <v>0.5781031746031744</v>
      </c>
      <c r="K137" s="327">
        <v>0.67778571428571421</v>
      </c>
      <c r="L137" s="327">
        <v>0.75238095238095237</v>
      </c>
      <c r="M137" s="327">
        <v>0.77721428571428541</v>
      </c>
      <c r="N137" s="327">
        <v>0.82683333333333331</v>
      </c>
      <c r="O137" s="327">
        <v>0.92588095238095258</v>
      </c>
      <c r="P137" s="311">
        <v>1</v>
      </c>
      <c r="Q137" s="311">
        <v>1.0024999999999999</v>
      </c>
      <c r="R137" s="311">
        <v>1.0049999999999999</v>
      </c>
      <c r="S137" s="311">
        <v>1.0075000000000001</v>
      </c>
      <c r="T137" s="311">
        <f t="shared" si="2"/>
        <v>1000000000</v>
      </c>
      <c r="U137" s="311" t="s">
        <v>315</v>
      </c>
      <c r="V137" s="311"/>
      <c r="W137" s="311">
        <v>1000000000</v>
      </c>
      <c r="X137" s="311" t="s">
        <v>1892</v>
      </c>
      <c r="Y137" s="311" t="s">
        <v>1893</v>
      </c>
      <c r="Z137" s="311" t="s">
        <v>2024</v>
      </c>
      <c r="AA137" s="377">
        <v>1000000000</v>
      </c>
    </row>
    <row r="138" spans="1:27" ht="12.75" customHeight="1" x14ac:dyDescent="0.2">
      <c r="A138" s="311" t="s">
        <v>281</v>
      </c>
      <c r="B138" s="311" t="s">
        <v>236</v>
      </c>
      <c r="C138" s="327">
        <v>0</v>
      </c>
      <c r="D138" s="327">
        <v>0.25238095238095209</v>
      </c>
      <c r="E138" s="327">
        <v>0.27753174603174574</v>
      </c>
      <c r="F138" s="327">
        <v>0.32778571428571385</v>
      </c>
      <c r="G138" s="327">
        <v>0.42810317460317432</v>
      </c>
      <c r="H138" s="327">
        <v>0.50317460317460294</v>
      </c>
      <c r="I138" s="327">
        <v>0.52816666666666645</v>
      </c>
      <c r="J138" s="327">
        <v>0.5781031746031744</v>
      </c>
      <c r="K138" s="327">
        <v>0.67778571428571421</v>
      </c>
      <c r="L138" s="327">
        <v>0.75238095238095237</v>
      </c>
      <c r="M138" s="327">
        <v>0.77721428571428541</v>
      </c>
      <c r="N138" s="327">
        <v>0.82683333333333331</v>
      </c>
      <c r="O138" s="327">
        <v>0.92588095238095258</v>
      </c>
      <c r="P138" s="311">
        <v>1</v>
      </c>
      <c r="Q138" s="311">
        <v>1.0024999999999999</v>
      </c>
      <c r="R138" s="311">
        <v>1.0049999999999999</v>
      </c>
      <c r="S138" s="311">
        <v>1.0075000000000001</v>
      </c>
      <c r="T138" s="311">
        <f t="shared" si="2"/>
        <v>120</v>
      </c>
      <c r="U138" s="311"/>
      <c r="V138" s="311"/>
      <c r="W138" s="311">
        <v>120</v>
      </c>
      <c r="X138" s="311" t="s">
        <v>1892</v>
      </c>
      <c r="Y138" s="311" t="s">
        <v>1893</v>
      </c>
      <c r="Z138" s="311" t="s">
        <v>2025</v>
      </c>
      <c r="AA138" s="377">
        <v>120</v>
      </c>
    </row>
    <row r="139" spans="1:27" ht="12.75" customHeight="1" x14ac:dyDescent="0.2">
      <c r="A139" s="311" t="s">
        <v>281</v>
      </c>
      <c r="B139" s="311" t="s">
        <v>23</v>
      </c>
      <c r="C139" s="327">
        <v>0</v>
      </c>
      <c r="D139" s="327">
        <v>0.25238095238095209</v>
      </c>
      <c r="E139" s="327">
        <v>0.27753174603174574</v>
      </c>
      <c r="F139" s="327">
        <v>0.32778571428571385</v>
      </c>
      <c r="G139" s="327">
        <v>0.42810317460317432</v>
      </c>
      <c r="H139" s="327">
        <v>0.50317460317460294</v>
      </c>
      <c r="I139" s="327">
        <v>0.52816666666666645</v>
      </c>
      <c r="J139" s="327">
        <v>0.5781031746031744</v>
      </c>
      <c r="K139" s="327">
        <v>0.67778571428571421</v>
      </c>
      <c r="L139" s="327">
        <v>0.75238095238095237</v>
      </c>
      <c r="M139" s="327">
        <v>0.77721428571428541</v>
      </c>
      <c r="N139" s="327">
        <v>0.82683333333333331</v>
      </c>
      <c r="O139" s="327">
        <v>0.92588095238095258</v>
      </c>
      <c r="P139" s="311">
        <v>1</v>
      </c>
      <c r="Q139" s="311">
        <v>1.0024999999999999</v>
      </c>
      <c r="R139" s="311">
        <v>1.0049999999999999</v>
      </c>
      <c r="S139" s="311">
        <v>1.0075000000000001</v>
      </c>
      <c r="T139" s="311">
        <f t="shared" si="2"/>
        <v>60</v>
      </c>
      <c r="U139" s="311"/>
      <c r="V139" s="311"/>
      <c r="W139" s="311">
        <v>60</v>
      </c>
      <c r="X139" s="311" t="s">
        <v>1892</v>
      </c>
      <c r="Y139" s="311" t="s">
        <v>1893</v>
      </c>
      <c r="Z139" s="311" t="s">
        <v>2026</v>
      </c>
      <c r="AA139" s="377">
        <v>60</v>
      </c>
    </row>
    <row r="140" spans="1:27" ht="12.75" customHeight="1" x14ac:dyDescent="0.2">
      <c r="A140" s="311" t="s">
        <v>281</v>
      </c>
      <c r="B140" s="311" t="s">
        <v>237</v>
      </c>
      <c r="C140" s="327">
        <v>0</v>
      </c>
      <c r="D140" s="327">
        <v>0.25238095238095209</v>
      </c>
      <c r="E140" s="327">
        <v>0.27753174603174574</v>
      </c>
      <c r="F140" s="327">
        <v>0.32778571428571385</v>
      </c>
      <c r="G140" s="327">
        <v>0.42810317460317432</v>
      </c>
      <c r="H140" s="327">
        <v>0.50317460317460294</v>
      </c>
      <c r="I140" s="327">
        <v>0.52816666666666645</v>
      </c>
      <c r="J140" s="327">
        <v>0.5781031746031744</v>
      </c>
      <c r="K140" s="327">
        <v>0.67778571428571421</v>
      </c>
      <c r="L140" s="327">
        <v>0.75238095238095237</v>
      </c>
      <c r="M140" s="327">
        <v>0.77721428571428541</v>
      </c>
      <c r="N140" s="327">
        <v>0.82683333333333331</v>
      </c>
      <c r="O140" s="327">
        <v>0.92588095238095258</v>
      </c>
      <c r="P140" s="311">
        <v>1</v>
      </c>
      <c r="Q140" s="311">
        <v>1.0024999999999999</v>
      </c>
      <c r="R140" s="311">
        <v>1.0049999999999999</v>
      </c>
      <c r="S140" s="311">
        <v>1.0075000000000001</v>
      </c>
      <c r="T140" s="311">
        <f t="shared" si="2"/>
        <v>30</v>
      </c>
      <c r="U140" s="311"/>
      <c r="V140" s="311"/>
      <c r="W140" s="311">
        <v>30</v>
      </c>
      <c r="X140" s="311" t="s">
        <v>1892</v>
      </c>
      <c r="Y140" s="311" t="s">
        <v>1893</v>
      </c>
      <c r="Z140" s="311" t="s">
        <v>2027</v>
      </c>
      <c r="AA140" s="377">
        <v>30</v>
      </c>
    </row>
    <row r="141" spans="1:27" ht="12.75" customHeight="1" x14ac:dyDescent="0.2">
      <c r="A141" s="311" t="s">
        <v>280</v>
      </c>
      <c r="B141" s="311" t="s">
        <v>236</v>
      </c>
      <c r="C141" s="327">
        <v>0</v>
      </c>
      <c r="D141" s="327">
        <v>0.25</v>
      </c>
      <c r="E141" s="327">
        <v>0.27500000000000002</v>
      </c>
      <c r="F141" s="327">
        <v>0.32499999999999996</v>
      </c>
      <c r="G141" s="327">
        <v>0.42500000000000004</v>
      </c>
      <c r="H141" s="327">
        <v>0.5</v>
      </c>
      <c r="I141" s="327">
        <v>0.52500000000000002</v>
      </c>
      <c r="J141" s="327">
        <v>0.57499999999999996</v>
      </c>
      <c r="K141" s="327">
        <v>0.67500000000000004</v>
      </c>
      <c r="L141" s="327">
        <v>0.75</v>
      </c>
      <c r="M141" s="327">
        <v>0.77499999999999991</v>
      </c>
      <c r="N141" s="327">
        <v>0.82499999999999996</v>
      </c>
      <c r="O141" s="327">
        <v>0.92500000000000004</v>
      </c>
      <c r="P141" s="311">
        <v>1</v>
      </c>
      <c r="Q141" s="311">
        <v>1.0024999999999999</v>
      </c>
      <c r="R141" s="311">
        <v>1.0049999999999999</v>
      </c>
      <c r="S141" s="311">
        <v>1.0075000000000001</v>
      </c>
      <c r="T141" s="311">
        <f t="shared" si="2"/>
        <v>60</v>
      </c>
      <c r="U141" s="311"/>
      <c r="V141" s="311"/>
      <c r="W141" s="311">
        <v>60</v>
      </c>
      <c r="X141" s="311" t="s">
        <v>1892</v>
      </c>
      <c r="Y141" s="311" t="s">
        <v>1893</v>
      </c>
      <c r="Z141" s="311" t="s">
        <v>2028</v>
      </c>
      <c r="AA141" s="377">
        <v>60</v>
      </c>
    </row>
    <row r="142" spans="1:27" ht="12.75" customHeight="1" x14ac:dyDescent="0.2">
      <c r="A142" s="311" t="s">
        <v>280</v>
      </c>
      <c r="B142" s="311" t="s">
        <v>23</v>
      </c>
      <c r="C142" s="327">
        <v>0</v>
      </c>
      <c r="D142" s="327">
        <v>0.25</v>
      </c>
      <c r="E142" s="327">
        <v>0.27500000000000002</v>
      </c>
      <c r="F142" s="327">
        <v>0.32499999999999996</v>
      </c>
      <c r="G142" s="327">
        <v>0.42500000000000004</v>
      </c>
      <c r="H142" s="327">
        <v>0.5</v>
      </c>
      <c r="I142" s="327">
        <v>0.52500000000000002</v>
      </c>
      <c r="J142" s="327">
        <v>0.57499999999999996</v>
      </c>
      <c r="K142" s="327">
        <v>0.67500000000000004</v>
      </c>
      <c r="L142" s="327">
        <v>0.75</v>
      </c>
      <c r="M142" s="327">
        <v>0.77499999999999991</v>
      </c>
      <c r="N142" s="327">
        <v>0.82499999999999996</v>
      </c>
      <c r="O142" s="327">
        <v>0.92500000000000004</v>
      </c>
      <c r="P142" s="311">
        <v>1</v>
      </c>
      <c r="Q142" s="311">
        <v>1.0024999999999999</v>
      </c>
      <c r="R142" s="311">
        <v>1.0049999999999999</v>
      </c>
      <c r="S142" s="311">
        <v>1.0075000000000001</v>
      </c>
      <c r="T142" s="311">
        <f t="shared" si="2"/>
        <v>40</v>
      </c>
      <c r="U142" s="311"/>
      <c r="V142" s="311"/>
      <c r="W142" s="311">
        <v>40</v>
      </c>
      <c r="X142" s="311" t="s">
        <v>1892</v>
      </c>
      <c r="Y142" s="311" t="s">
        <v>1893</v>
      </c>
      <c r="Z142" s="311" t="s">
        <v>2029</v>
      </c>
      <c r="AA142" s="377">
        <v>40</v>
      </c>
    </row>
    <row r="143" spans="1:27" ht="12.75" customHeight="1" x14ac:dyDescent="0.2">
      <c r="A143" s="311" t="s">
        <v>280</v>
      </c>
      <c r="B143" s="311" t="s">
        <v>237</v>
      </c>
      <c r="C143" s="327">
        <v>0</v>
      </c>
      <c r="D143" s="327">
        <v>0.25</v>
      </c>
      <c r="E143" s="327">
        <v>0.27500000000000002</v>
      </c>
      <c r="F143" s="327">
        <v>0.32499999999999996</v>
      </c>
      <c r="G143" s="327">
        <v>0.42500000000000004</v>
      </c>
      <c r="H143" s="327">
        <v>0.5</v>
      </c>
      <c r="I143" s="327">
        <v>0.52500000000000002</v>
      </c>
      <c r="J143" s="327">
        <v>0.57499999999999996</v>
      </c>
      <c r="K143" s="327">
        <v>0.67500000000000004</v>
      </c>
      <c r="L143" s="327">
        <v>0.75</v>
      </c>
      <c r="M143" s="327">
        <v>0.77499999999999991</v>
      </c>
      <c r="N143" s="327">
        <v>0.82499999999999996</v>
      </c>
      <c r="O143" s="327">
        <v>0.92500000000000004</v>
      </c>
      <c r="P143" s="311">
        <v>1</v>
      </c>
      <c r="Q143" s="311">
        <v>1.0024999999999999</v>
      </c>
      <c r="R143" s="311">
        <v>1.0049999999999999</v>
      </c>
      <c r="S143" s="311">
        <v>1.0075000000000001</v>
      </c>
      <c r="T143" s="311">
        <f t="shared" si="2"/>
        <v>20</v>
      </c>
      <c r="U143" s="311"/>
      <c r="V143" s="311"/>
      <c r="W143" s="311">
        <v>20</v>
      </c>
      <c r="X143" s="311" t="s">
        <v>1892</v>
      </c>
      <c r="Y143" s="311" t="s">
        <v>1893</v>
      </c>
      <c r="Z143" s="311" t="s">
        <v>2030</v>
      </c>
      <c r="AA143" s="377">
        <v>20</v>
      </c>
    </row>
    <row r="144" spans="1:27" ht="12.75" customHeight="1" x14ac:dyDescent="0.2">
      <c r="A144" s="311" t="s">
        <v>279</v>
      </c>
      <c r="B144" s="311" t="s">
        <v>236</v>
      </c>
      <c r="C144" s="327">
        <v>0</v>
      </c>
      <c r="D144" s="327">
        <v>0.25</v>
      </c>
      <c r="E144" s="327">
        <v>0.27500000000000002</v>
      </c>
      <c r="F144" s="327">
        <v>0.32499999999999996</v>
      </c>
      <c r="G144" s="327">
        <v>0.42500000000000004</v>
      </c>
      <c r="H144" s="327">
        <v>0.5</v>
      </c>
      <c r="I144" s="327">
        <v>0.52500000000000002</v>
      </c>
      <c r="J144" s="327">
        <v>0.57499999999999996</v>
      </c>
      <c r="K144" s="327">
        <v>0.67500000000000004</v>
      </c>
      <c r="L144" s="327">
        <v>0.75</v>
      </c>
      <c r="M144" s="327">
        <v>0.77499999999999991</v>
      </c>
      <c r="N144" s="327">
        <v>0.82499999999999996</v>
      </c>
      <c r="O144" s="327">
        <v>0.92500000000000004</v>
      </c>
      <c r="P144" s="311">
        <v>1</v>
      </c>
      <c r="Q144" s="311">
        <v>1.0024999999999999</v>
      </c>
      <c r="R144" s="311">
        <v>1.0049999999999999</v>
      </c>
      <c r="S144" s="311">
        <v>1.0075000000000001</v>
      </c>
      <c r="T144" s="311">
        <f t="shared" si="2"/>
        <v>60</v>
      </c>
      <c r="U144" s="311"/>
      <c r="V144" s="311"/>
      <c r="W144" s="311">
        <v>60</v>
      </c>
      <c r="X144" s="311" t="s">
        <v>1892</v>
      </c>
      <c r="Y144" s="311" t="s">
        <v>1893</v>
      </c>
      <c r="Z144" s="311" t="s">
        <v>2031</v>
      </c>
      <c r="AA144" s="377">
        <v>60</v>
      </c>
    </row>
    <row r="145" spans="1:27" ht="12.75" customHeight="1" x14ac:dyDescent="0.2">
      <c r="A145" s="311" t="s">
        <v>279</v>
      </c>
      <c r="B145" s="311" t="s">
        <v>23</v>
      </c>
      <c r="C145" s="327">
        <v>0</v>
      </c>
      <c r="D145" s="327">
        <v>0.25</v>
      </c>
      <c r="E145" s="327">
        <v>0.27500000000000002</v>
      </c>
      <c r="F145" s="327">
        <v>0.32499999999999996</v>
      </c>
      <c r="G145" s="327">
        <v>0.42500000000000004</v>
      </c>
      <c r="H145" s="327">
        <v>0.5</v>
      </c>
      <c r="I145" s="327">
        <v>0.52500000000000002</v>
      </c>
      <c r="J145" s="327">
        <v>0.57499999999999996</v>
      </c>
      <c r="K145" s="327">
        <v>0.67500000000000004</v>
      </c>
      <c r="L145" s="327">
        <v>0.75</v>
      </c>
      <c r="M145" s="327">
        <v>0.77499999999999991</v>
      </c>
      <c r="N145" s="327">
        <v>0.82499999999999996</v>
      </c>
      <c r="O145" s="327">
        <v>0.92500000000000004</v>
      </c>
      <c r="P145" s="311">
        <v>1</v>
      </c>
      <c r="Q145" s="311">
        <v>1.0024999999999999</v>
      </c>
      <c r="R145" s="311">
        <v>1.0049999999999999</v>
      </c>
      <c r="S145" s="311">
        <v>1.0075000000000001</v>
      </c>
      <c r="T145" s="311">
        <f t="shared" si="2"/>
        <v>40</v>
      </c>
      <c r="U145" s="311"/>
      <c r="V145" s="311"/>
      <c r="W145" s="311">
        <v>40</v>
      </c>
      <c r="X145" s="311" t="s">
        <v>1892</v>
      </c>
      <c r="Y145" s="311" t="s">
        <v>1893</v>
      </c>
      <c r="Z145" s="311" t="s">
        <v>2032</v>
      </c>
      <c r="AA145" s="377">
        <v>40</v>
      </c>
    </row>
    <row r="146" spans="1:27" ht="12.75" customHeight="1" x14ac:dyDescent="0.2">
      <c r="A146" s="311" t="s">
        <v>279</v>
      </c>
      <c r="B146" s="311" t="s">
        <v>237</v>
      </c>
      <c r="C146" s="327">
        <v>0</v>
      </c>
      <c r="D146" s="327">
        <v>0.25</v>
      </c>
      <c r="E146" s="327">
        <v>0.27500000000000002</v>
      </c>
      <c r="F146" s="327">
        <v>0.32499999999999996</v>
      </c>
      <c r="G146" s="327">
        <v>0.42500000000000004</v>
      </c>
      <c r="H146" s="327">
        <v>0.5</v>
      </c>
      <c r="I146" s="327">
        <v>0.52500000000000002</v>
      </c>
      <c r="J146" s="327">
        <v>0.57499999999999996</v>
      </c>
      <c r="K146" s="327">
        <v>0.67500000000000004</v>
      </c>
      <c r="L146" s="327">
        <v>0.75</v>
      </c>
      <c r="M146" s="327">
        <v>0.77499999999999991</v>
      </c>
      <c r="N146" s="327">
        <v>0.82499999999999996</v>
      </c>
      <c r="O146" s="327">
        <v>0.92500000000000004</v>
      </c>
      <c r="P146" s="311">
        <v>1</v>
      </c>
      <c r="Q146" s="311">
        <v>1.0024999999999999</v>
      </c>
      <c r="R146" s="311">
        <v>1.0049999999999999</v>
      </c>
      <c r="S146" s="311">
        <v>1.0075000000000001</v>
      </c>
      <c r="T146" s="311">
        <f t="shared" si="2"/>
        <v>20</v>
      </c>
      <c r="U146" s="311"/>
      <c r="V146" s="311"/>
      <c r="W146" s="311">
        <v>20</v>
      </c>
      <c r="X146" s="311" t="s">
        <v>1892</v>
      </c>
      <c r="Y146" s="311" t="s">
        <v>1893</v>
      </c>
      <c r="Z146" s="311" t="s">
        <v>2033</v>
      </c>
      <c r="AA146" s="377">
        <v>20</v>
      </c>
    </row>
    <row r="147" spans="1:27" ht="12.75" customHeight="1" x14ac:dyDescent="0.2">
      <c r="A147" s="311" t="s">
        <v>278</v>
      </c>
      <c r="B147" s="311" t="s">
        <v>236</v>
      </c>
      <c r="C147" s="327">
        <v>0</v>
      </c>
      <c r="D147" s="327">
        <v>0.25</v>
      </c>
      <c r="E147" s="327">
        <v>0.27500000000000002</v>
      </c>
      <c r="F147" s="327">
        <v>0.32499999999999996</v>
      </c>
      <c r="G147" s="327">
        <v>0.42500000000000004</v>
      </c>
      <c r="H147" s="327">
        <v>0.5</v>
      </c>
      <c r="I147" s="327">
        <v>0.52500000000000002</v>
      </c>
      <c r="J147" s="327">
        <v>0.57499999999999996</v>
      </c>
      <c r="K147" s="327">
        <v>0.67500000000000004</v>
      </c>
      <c r="L147" s="327">
        <v>0.75</v>
      </c>
      <c r="M147" s="327">
        <v>0.77499999999999991</v>
      </c>
      <c r="N147" s="327">
        <v>0.82499999999999996</v>
      </c>
      <c r="O147" s="327">
        <v>0.92500000000000004</v>
      </c>
      <c r="P147" s="311">
        <v>1</v>
      </c>
      <c r="Q147" s="311">
        <v>1.0024999999999999</v>
      </c>
      <c r="R147" s="311">
        <v>1.0049999999999999</v>
      </c>
      <c r="S147" s="311">
        <v>1.0075000000000001</v>
      </c>
      <c r="T147" s="311">
        <f t="shared" si="2"/>
        <v>60</v>
      </c>
      <c r="U147" s="311"/>
      <c r="V147" s="311"/>
      <c r="W147" s="311">
        <v>60</v>
      </c>
      <c r="X147" s="311" t="s">
        <v>1892</v>
      </c>
      <c r="Y147" s="311" t="s">
        <v>1893</v>
      </c>
      <c r="Z147" s="311" t="s">
        <v>2034</v>
      </c>
      <c r="AA147" s="377">
        <v>60</v>
      </c>
    </row>
    <row r="148" spans="1:27" ht="12.75" customHeight="1" x14ac:dyDescent="0.2">
      <c r="A148" s="311" t="s">
        <v>278</v>
      </c>
      <c r="B148" s="311" t="s">
        <v>23</v>
      </c>
      <c r="C148" s="327">
        <v>0</v>
      </c>
      <c r="D148" s="327">
        <v>0.25</v>
      </c>
      <c r="E148" s="327">
        <v>0.27500000000000002</v>
      </c>
      <c r="F148" s="327">
        <v>0.32499999999999996</v>
      </c>
      <c r="G148" s="327">
        <v>0.42500000000000004</v>
      </c>
      <c r="H148" s="327">
        <v>0.5</v>
      </c>
      <c r="I148" s="327">
        <v>0.52500000000000002</v>
      </c>
      <c r="J148" s="327">
        <v>0.57499999999999996</v>
      </c>
      <c r="K148" s="327">
        <v>0.67500000000000004</v>
      </c>
      <c r="L148" s="327">
        <v>0.75</v>
      </c>
      <c r="M148" s="327">
        <v>0.77499999999999991</v>
      </c>
      <c r="N148" s="327">
        <v>0.82499999999999996</v>
      </c>
      <c r="O148" s="327">
        <v>0.92500000000000004</v>
      </c>
      <c r="P148" s="311">
        <v>1</v>
      </c>
      <c r="Q148" s="311">
        <v>1.0024999999999999</v>
      </c>
      <c r="R148" s="311">
        <v>1.0049999999999999</v>
      </c>
      <c r="S148" s="311">
        <v>1.0075000000000001</v>
      </c>
      <c r="T148" s="311">
        <f t="shared" si="2"/>
        <v>40</v>
      </c>
      <c r="U148" s="311"/>
      <c r="V148" s="311"/>
      <c r="W148" s="311">
        <v>40</v>
      </c>
      <c r="X148" s="311" t="s">
        <v>1892</v>
      </c>
      <c r="Y148" s="311" t="s">
        <v>1893</v>
      </c>
      <c r="Z148" s="311" t="s">
        <v>2035</v>
      </c>
      <c r="AA148" s="377">
        <v>40</v>
      </c>
    </row>
    <row r="149" spans="1:27" ht="12.75" customHeight="1" x14ac:dyDescent="0.2">
      <c r="A149" s="311" t="s">
        <v>278</v>
      </c>
      <c r="B149" s="311" t="s">
        <v>237</v>
      </c>
      <c r="C149" s="327">
        <v>0</v>
      </c>
      <c r="D149" s="327">
        <v>0.25</v>
      </c>
      <c r="E149" s="327">
        <v>0.27500000000000002</v>
      </c>
      <c r="F149" s="327">
        <v>0.32499999999999996</v>
      </c>
      <c r="G149" s="327">
        <v>0.42500000000000004</v>
      </c>
      <c r="H149" s="327">
        <v>0.5</v>
      </c>
      <c r="I149" s="327">
        <v>0.52500000000000002</v>
      </c>
      <c r="J149" s="327">
        <v>0.57499999999999996</v>
      </c>
      <c r="K149" s="327">
        <v>0.67500000000000004</v>
      </c>
      <c r="L149" s="327">
        <v>0.75</v>
      </c>
      <c r="M149" s="327">
        <v>0.77499999999999991</v>
      </c>
      <c r="N149" s="327">
        <v>0.82499999999999996</v>
      </c>
      <c r="O149" s="327">
        <v>0.92500000000000004</v>
      </c>
      <c r="P149" s="311">
        <v>1</v>
      </c>
      <c r="Q149" s="311">
        <v>1.0024999999999999</v>
      </c>
      <c r="R149" s="311">
        <v>1.0049999999999999</v>
      </c>
      <c r="S149" s="311">
        <v>1.0075000000000001</v>
      </c>
      <c r="T149" s="311">
        <f t="shared" si="2"/>
        <v>20</v>
      </c>
      <c r="U149" s="311"/>
      <c r="V149" s="311"/>
      <c r="W149" s="311">
        <v>20</v>
      </c>
      <c r="X149" s="311" t="s">
        <v>1892</v>
      </c>
      <c r="Y149" s="311" t="s">
        <v>1893</v>
      </c>
      <c r="Z149" s="311" t="s">
        <v>2036</v>
      </c>
      <c r="AA149" s="377">
        <v>20</v>
      </c>
    </row>
    <row r="150" spans="1:27" ht="12.75" customHeight="1" x14ac:dyDescent="0.2">
      <c r="A150" s="311" t="s">
        <v>277</v>
      </c>
      <c r="B150" s="311" t="s">
        <v>236</v>
      </c>
      <c r="C150" s="327">
        <v>0</v>
      </c>
      <c r="D150" s="327">
        <v>0.25</v>
      </c>
      <c r="E150" s="327">
        <v>0.27500000000000002</v>
      </c>
      <c r="F150" s="327">
        <v>0.32499999999999996</v>
      </c>
      <c r="G150" s="327">
        <v>0.42500000000000004</v>
      </c>
      <c r="H150" s="327">
        <v>0.5</v>
      </c>
      <c r="I150" s="327">
        <v>0.52500000000000002</v>
      </c>
      <c r="J150" s="327">
        <v>0.57499999999999996</v>
      </c>
      <c r="K150" s="327">
        <v>0.67500000000000004</v>
      </c>
      <c r="L150" s="327">
        <v>0.75</v>
      </c>
      <c r="M150" s="327">
        <v>0.77499999999999991</v>
      </c>
      <c r="N150" s="327">
        <v>0.82499999999999996</v>
      </c>
      <c r="O150" s="327">
        <v>0.92500000000000004</v>
      </c>
      <c r="P150" s="311">
        <v>1</v>
      </c>
      <c r="Q150" s="311">
        <v>1.0024999999999999</v>
      </c>
      <c r="R150" s="311">
        <v>1.0049999999999999</v>
      </c>
      <c r="S150" s="311">
        <v>1.0075000000000001</v>
      </c>
      <c r="T150" s="311">
        <f t="shared" si="2"/>
        <v>60</v>
      </c>
      <c r="U150" s="311"/>
      <c r="V150" s="311"/>
      <c r="W150" s="311">
        <v>60</v>
      </c>
      <c r="X150" s="311" t="s">
        <v>1892</v>
      </c>
      <c r="Y150" s="311" t="s">
        <v>1893</v>
      </c>
      <c r="Z150" s="311" t="s">
        <v>2037</v>
      </c>
      <c r="AA150" s="377">
        <v>60</v>
      </c>
    </row>
    <row r="151" spans="1:27" ht="12.75" customHeight="1" x14ac:dyDescent="0.2">
      <c r="A151" s="311" t="s">
        <v>277</v>
      </c>
      <c r="B151" s="311" t="s">
        <v>23</v>
      </c>
      <c r="C151" s="327">
        <v>0</v>
      </c>
      <c r="D151" s="327">
        <v>0.25</v>
      </c>
      <c r="E151" s="327">
        <v>0.27500000000000002</v>
      </c>
      <c r="F151" s="327">
        <v>0.32499999999999996</v>
      </c>
      <c r="G151" s="327">
        <v>0.42500000000000004</v>
      </c>
      <c r="H151" s="327">
        <v>0.5</v>
      </c>
      <c r="I151" s="327">
        <v>0.52500000000000002</v>
      </c>
      <c r="J151" s="327">
        <v>0.57499999999999996</v>
      </c>
      <c r="K151" s="327">
        <v>0.67500000000000004</v>
      </c>
      <c r="L151" s="327">
        <v>0.75</v>
      </c>
      <c r="M151" s="327">
        <v>0.77499999999999991</v>
      </c>
      <c r="N151" s="327">
        <v>0.82499999999999996</v>
      </c>
      <c r="O151" s="327">
        <v>0.92500000000000004</v>
      </c>
      <c r="P151" s="311">
        <v>1</v>
      </c>
      <c r="Q151" s="311">
        <v>1.0024999999999999</v>
      </c>
      <c r="R151" s="311">
        <v>1.0049999999999999</v>
      </c>
      <c r="S151" s="311">
        <v>1.0075000000000001</v>
      </c>
      <c r="T151" s="311">
        <f t="shared" si="2"/>
        <v>40</v>
      </c>
      <c r="U151" s="311"/>
      <c r="V151" s="311"/>
      <c r="W151" s="311">
        <v>40</v>
      </c>
      <c r="X151" s="311" t="s">
        <v>1892</v>
      </c>
      <c r="Y151" s="311" t="s">
        <v>1893</v>
      </c>
      <c r="Z151" s="311" t="s">
        <v>2038</v>
      </c>
      <c r="AA151" s="377">
        <v>40</v>
      </c>
    </row>
    <row r="152" spans="1:27" ht="12.75" customHeight="1" x14ac:dyDescent="0.2">
      <c r="A152" s="311" t="s">
        <v>277</v>
      </c>
      <c r="B152" s="311" t="s">
        <v>237</v>
      </c>
      <c r="C152" s="327">
        <v>0</v>
      </c>
      <c r="D152" s="327">
        <v>0.25</v>
      </c>
      <c r="E152" s="327">
        <v>0.27500000000000002</v>
      </c>
      <c r="F152" s="327">
        <v>0.32499999999999996</v>
      </c>
      <c r="G152" s="327">
        <v>0.42500000000000004</v>
      </c>
      <c r="H152" s="327">
        <v>0.5</v>
      </c>
      <c r="I152" s="327">
        <v>0.52500000000000002</v>
      </c>
      <c r="J152" s="327">
        <v>0.57499999999999996</v>
      </c>
      <c r="K152" s="327">
        <v>0.67500000000000004</v>
      </c>
      <c r="L152" s="327">
        <v>0.75</v>
      </c>
      <c r="M152" s="327">
        <v>0.77499999999999991</v>
      </c>
      <c r="N152" s="327">
        <v>0.82499999999999996</v>
      </c>
      <c r="O152" s="327">
        <v>0.92500000000000004</v>
      </c>
      <c r="P152" s="311">
        <v>1</v>
      </c>
      <c r="Q152" s="311">
        <v>1.0024999999999999</v>
      </c>
      <c r="R152" s="311">
        <v>1.0049999999999999</v>
      </c>
      <c r="S152" s="311">
        <v>1.0075000000000001</v>
      </c>
      <c r="T152" s="311">
        <f t="shared" si="2"/>
        <v>20</v>
      </c>
      <c r="U152" s="311"/>
      <c r="V152" s="311"/>
      <c r="W152" s="311">
        <v>20</v>
      </c>
      <c r="X152" s="311" t="s">
        <v>1892</v>
      </c>
      <c r="Y152" s="311" t="s">
        <v>1893</v>
      </c>
      <c r="Z152" s="311" t="s">
        <v>2039</v>
      </c>
      <c r="AA152" s="377">
        <v>20</v>
      </c>
    </row>
    <row r="153" spans="1:27" ht="12.75" customHeight="1" x14ac:dyDescent="0.2">
      <c r="A153" s="311" t="s">
        <v>132</v>
      </c>
      <c r="B153" s="311" t="s">
        <v>236</v>
      </c>
      <c r="C153" s="327">
        <v>0</v>
      </c>
      <c r="D153" s="327">
        <v>0.55203301127214033</v>
      </c>
      <c r="E153" s="327">
        <v>0.5906048460144917</v>
      </c>
      <c r="F153" s="327">
        <v>0.66003555253623047</v>
      </c>
      <c r="G153" s="327">
        <v>0.77097164351851721</v>
      </c>
      <c r="H153" s="327">
        <v>0.83303140096618233</v>
      </c>
      <c r="I153" s="327">
        <v>0.85024831421094893</v>
      </c>
      <c r="J153" s="327">
        <v>0.88010474537036942</v>
      </c>
      <c r="K153" s="327">
        <v>0.92443455615941938</v>
      </c>
      <c r="L153" s="327">
        <v>0.94751409017713351</v>
      </c>
      <c r="M153" s="327">
        <v>0.95382797403381603</v>
      </c>
      <c r="N153" s="327">
        <v>0.96501391404991943</v>
      </c>
      <c r="O153" s="327">
        <v>0.98454501308373499</v>
      </c>
      <c r="P153" s="311">
        <v>1</v>
      </c>
      <c r="Q153" s="311">
        <v>1.0024999999999999</v>
      </c>
      <c r="R153" s="311">
        <v>1.0049999999999999</v>
      </c>
      <c r="S153" s="311">
        <v>1.0075000000000001</v>
      </c>
      <c r="T153" s="311">
        <f t="shared" si="2"/>
        <v>32</v>
      </c>
      <c r="U153" s="311"/>
      <c r="V153" s="311"/>
      <c r="W153" s="311">
        <v>32</v>
      </c>
      <c r="X153" s="311" t="s">
        <v>1892</v>
      </c>
      <c r="Y153" s="311" t="s">
        <v>1893</v>
      </c>
      <c r="Z153" s="311" t="s">
        <v>2040</v>
      </c>
      <c r="AA153" s="377">
        <v>32</v>
      </c>
    </row>
    <row r="154" spans="1:27" ht="12.75" customHeight="1" x14ac:dyDescent="0.2">
      <c r="A154" s="311" t="s">
        <v>132</v>
      </c>
      <c r="B154" s="311" t="s">
        <v>23</v>
      </c>
      <c r="C154" s="327">
        <v>0</v>
      </c>
      <c r="D154" s="327">
        <v>0.55203301127214033</v>
      </c>
      <c r="E154" s="327">
        <v>0.5906048460144917</v>
      </c>
      <c r="F154" s="327">
        <v>0.66003555253623047</v>
      </c>
      <c r="G154" s="327">
        <v>0.77097164351851721</v>
      </c>
      <c r="H154" s="327">
        <v>0.83303140096618233</v>
      </c>
      <c r="I154" s="327">
        <v>0.85024831421094893</v>
      </c>
      <c r="J154" s="327">
        <v>0.88010474537036942</v>
      </c>
      <c r="K154" s="327">
        <v>0.92443455615941938</v>
      </c>
      <c r="L154" s="327">
        <v>0.94751409017713351</v>
      </c>
      <c r="M154" s="327">
        <v>0.95382797403381603</v>
      </c>
      <c r="N154" s="327">
        <v>0.96501391404991943</v>
      </c>
      <c r="O154" s="327">
        <v>0.98454501308373499</v>
      </c>
      <c r="P154" s="311">
        <v>1</v>
      </c>
      <c r="Q154" s="311">
        <v>1.0024999999999999</v>
      </c>
      <c r="R154" s="311">
        <v>1.0049999999999999</v>
      </c>
      <c r="S154" s="311">
        <v>1.0075000000000001</v>
      </c>
      <c r="T154" s="311">
        <f t="shared" si="2"/>
        <v>23</v>
      </c>
      <c r="U154" s="311"/>
      <c r="V154" s="311"/>
      <c r="W154" s="311">
        <v>23</v>
      </c>
      <c r="X154" s="311" t="s">
        <v>1892</v>
      </c>
      <c r="Y154" s="311" t="s">
        <v>1893</v>
      </c>
      <c r="Z154" s="311" t="s">
        <v>2041</v>
      </c>
      <c r="AA154" s="377">
        <v>23</v>
      </c>
    </row>
    <row r="155" spans="1:27" ht="12.75" customHeight="1" x14ac:dyDescent="0.2">
      <c r="A155" s="311" t="s">
        <v>132</v>
      </c>
      <c r="B155" s="311" t="s">
        <v>237</v>
      </c>
      <c r="C155" s="327">
        <v>0</v>
      </c>
      <c r="D155" s="327">
        <v>0.55203301127214033</v>
      </c>
      <c r="E155" s="327">
        <v>0.5906048460144917</v>
      </c>
      <c r="F155" s="327">
        <v>0.66003555253623047</v>
      </c>
      <c r="G155" s="327">
        <v>0.77097164351851721</v>
      </c>
      <c r="H155" s="327">
        <v>0.83303140096618233</v>
      </c>
      <c r="I155" s="327">
        <v>0.85024831421094893</v>
      </c>
      <c r="J155" s="327">
        <v>0.88010474537036942</v>
      </c>
      <c r="K155" s="327">
        <v>0.92443455615941938</v>
      </c>
      <c r="L155" s="327">
        <v>0.94751409017713351</v>
      </c>
      <c r="M155" s="327">
        <v>0.95382797403381603</v>
      </c>
      <c r="N155" s="327">
        <v>0.96501391404991943</v>
      </c>
      <c r="O155" s="327">
        <v>0.98454501308373499</v>
      </c>
      <c r="P155" s="311">
        <v>1</v>
      </c>
      <c r="Q155" s="311">
        <v>1.0024999999999999</v>
      </c>
      <c r="R155" s="311">
        <v>1.0049999999999999</v>
      </c>
      <c r="S155" s="311">
        <v>1.0075000000000001</v>
      </c>
      <c r="T155" s="311">
        <f t="shared" si="2"/>
        <v>18</v>
      </c>
      <c r="U155" s="311"/>
      <c r="V155" s="311"/>
      <c r="W155" s="311">
        <v>18</v>
      </c>
      <c r="X155" s="311" t="s">
        <v>1892</v>
      </c>
      <c r="Y155" s="311" t="s">
        <v>1893</v>
      </c>
      <c r="Z155" s="311" t="s">
        <v>2042</v>
      </c>
      <c r="AA155" s="377">
        <v>18</v>
      </c>
    </row>
    <row r="156" spans="1:27" ht="12.75" customHeight="1" x14ac:dyDescent="0.2">
      <c r="A156" s="311" t="s">
        <v>276</v>
      </c>
      <c r="B156" s="311" t="s">
        <v>235</v>
      </c>
      <c r="C156" s="327">
        <v>0</v>
      </c>
      <c r="D156" s="327">
        <v>0.55094809094808894</v>
      </c>
      <c r="E156" s="327">
        <v>0.58848763620763422</v>
      </c>
      <c r="F156" s="327">
        <v>0.65558548262548022</v>
      </c>
      <c r="G156" s="327">
        <v>0.76129019305019086</v>
      </c>
      <c r="H156" s="327">
        <v>0.8195023595023575</v>
      </c>
      <c r="I156" s="327">
        <v>0.83554786786786595</v>
      </c>
      <c r="J156" s="327">
        <v>0.86333691977691795</v>
      </c>
      <c r="K156" s="327">
        <v>0.90514115830115649</v>
      </c>
      <c r="L156" s="327">
        <v>0.92830544830544726</v>
      </c>
      <c r="M156" s="327">
        <v>0.93512118404118183</v>
      </c>
      <c r="N156" s="327">
        <v>0.94812996996996979</v>
      </c>
      <c r="O156" s="327">
        <v>0.97509079365079232</v>
      </c>
      <c r="P156" s="311">
        <v>0.99999999999999989</v>
      </c>
      <c r="Q156" s="311">
        <v>1.0024999999999999</v>
      </c>
      <c r="R156" s="311">
        <v>1.0049999999999999</v>
      </c>
      <c r="S156" s="311">
        <v>1.0075000000000001</v>
      </c>
      <c r="T156" s="311">
        <f t="shared" si="2"/>
        <v>1000000000</v>
      </c>
      <c r="U156" s="311" t="s">
        <v>315</v>
      </c>
      <c r="V156" s="311"/>
      <c r="W156" s="311">
        <v>1000000000</v>
      </c>
      <c r="X156" s="311" t="s">
        <v>1892</v>
      </c>
      <c r="Y156" s="311" t="s">
        <v>1893</v>
      </c>
      <c r="Z156" s="311" t="s">
        <v>2043</v>
      </c>
      <c r="AA156" s="377">
        <v>1000000000</v>
      </c>
    </row>
    <row r="157" spans="1:27" ht="12.75" customHeight="1" x14ac:dyDescent="0.2">
      <c r="A157" s="311" t="s">
        <v>276</v>
      </c>
      <c r="B157" s="311" t="s">
        <v>236</v>
      </c>
      <c r="C157" s="327">
        <v>0</v>
      </c>
      <c r="D157" s="327">
        <v>0.55094809094808894</v>
      </c>
      <c r="E157" s="327">
        <v>0.58848763620763422</v>
      </c>
      <c r="F157" s="327">
        <v>0.65558548262548022</v>
      </c>
      <c r="G157" s="327">
        <v>0.76129019305019086</v>
      </c>
      <c r="H157" s="327">
        <v>0.8195023595023575</v>
      </c>
      <c r="I157" s="327">
        <v>0.83554786786786595</v>
      </c>
      <c r="J157" s="327">
        <v>0.86333691977691795</v>
      </c>
      <c r="K157" s="327">
        <v>0.90514115830115649</v>
      </c>
      <c r="L157" s="327">
        <v>0.92830544830544726</v>
      </c>
      <c r="M157" s="327">
        <v>0.93512118404118183</v>
      </c>
      <c r="N157" s="327">
        <v>0.94812996996996979</v>
      </c>
      <c r="O157" s="327">
        <v>0.97509079365079232</v>
      </c>
      <c r="P157" s="311">
        <v>0.99999999999999989</v>
      </c>
      <c r="Q157" s="311">
        <v>1.0024999999999999</v>
      </c>
      <c r="R157" s="311">
        <v>1.0049999999999999</v>
      </c>
      <c r="S157" s="311">
        <v>1.0075000000000001</v>
      </c>
      <c r="T157" s="311">
        <f t="shared" si="2"/>
        <v>37</v>
      </c>
      <c r="U157" s="311"/>
      <c r="V157" s="311"/>
      <c r="W157" s="311">
        <v>37</v>
      </c>
      <c r="X157" s="311" t="s">
        <v>1892</v>
      </c>
      <c r="Y157" s="311" t="s">
        <v>1893</v>
      </c>
      <c r="Z157" s="311" t="s">
        <v>2044</v>
      </c>
      <c r="AA157" s="377">
        <v>37</v>
      </c>
    </row>
    <row r="158" spans="1:27" ht="12.75" customHeight="1" x14ac:dyDescent="0.2">
      <c r="A158" s="311" t="s">
        <v>276</v>
      </c>
      <c r="B158" s="311" t="s">
        <v>23</v>
      </c>
      <c r="C158" s="327">
        <v>0</v>
      </c>
      <c r="D158" s="327">
        <v>0.55094809094808894</v>
      </c>
      <c r="E158" s="327">
        <v>0.58848763620763422</v>
      </c>
      <c r="F158" s="327">
        <v>0.65558548262548022</v>
      </c>
      <c r="G158" s="327">
        <v>0.76129019305019086</v>
      </c>
      <c r="H158" s="327">
        <v>0.8195023595023575</v>
      </c>
      <c r="I158" s="327">
        <v>0.83554786786786595</v>
      </c>
      <c r="J158" s="327">
        <v>0.86333691977691795</v>
      </c>
      <c r="K158" s="327">
        <v>0.90514115830115649</v>
      </c>
      <c r="L158" s="327">
        <v>0.92830544830544726</v>
      </c>
      <c r="M158" s="327">
        <v>0.93512118404118183</v>
      </c>
      <c r="N158" s="327">
        <v>0.94812996996996979</v>
      </c>
      <c r="O158" s="327">
        <v>0.97509079365079232</v>
      </c>
      <c r="P158" s="311">
        <v>0.99999999999999989</v>
      </c>
      <c r="Q158" s="311">
        <v>1.0024999999999999</v>
      </c>
      <c r="R158" s="311">
        <v>1.0049999999999999</v>
      </c>
      <c r="S158" s="311">
        <v>1.0075000000000001</v>
      </c>
      <c r="T158" s="311">
        <f t="shared" si="2"/>
        <v>30</v>
      </c>
      <c r="U158" s="311"/>
      <c r="V158" s="311"/>
      <c r="W158" s="311">
        <v>30</v>
      </c>
      <c r="X158" s="311" t="s">
        <v>1892</v>
      </c>
      <c r="Y158" s="311" t="s">
        <v>1893</v>
      </c>
      <c r="Z158" s="311" t="s">
        <v>2045</v>
      </c>
      <c r="AA158" s="377">
        <v>30</v>
      </c>
    </row>
    <row r="159" spans="1:27" ht="12.75" customHeight="1" x14ac:dyDescent="0.2">
      <c r="A159" s="311" t="s">
        <v>276</v>
      </c>
      <c r="B159" s="311" t="s">
        <v>237</v>
      </c>
      <c r="C159" s="327">
        <v>0</v>
      </c>
      <c r="D159" s="327">
        <v>0.55094809094808894</v>
      </c>
      <c r="E159" s="327">
        <v>0.58848763620763422</v>
      </c>
      <c r="F159" s="327">
        <v>0.65558548262548022</v>
      </c>
      <c r="G159" s="327">
        <v>0.76129019305019086</v>
      </c>
      <c r="H159" s="327">
        <v>0.8195023595023575</v>
      </c>
      <c r="I159" s="327">
        <v>0.83554786786786595</v>
      </c>
      <c r="J159" s="327">
        <v>0.86333691977691795</v>
      </c>
      <c r="K159" s="327">
        <v>0.90514115830115649</v>
      </c>
      <c r="L159" s="327">
        <v>0.92830544830544726</v>
      </c>
      <c r="M159" s="327">
        <v>0.93512118404118183</v>
      </c>
      <c r="N159" s="327">
        <v>0.94812996996996979</v>
      </c>
      <c r="O159" s="327">
        <v>0.97509079365079232</v>
      </c>
      <c r="P159" s="311">
        <v>0.99999999999999989</v>
      </c>
      <c r="Q159" s="311">
        <v>1.0024999999999999</v>
      </c>
      <c r="R159" s="311">
        <v>1.0049999999999999</v>
      </c>
      <c r="S159" s="311">
        <v>1.0075000000000001</v>
      </c>
      <c r="T159" s="311">
        <f t="shared" si="2"/>
        <v>25</v>
      </c>
      <c r="U159" s="311"/>
      <c r="V159" s="311"/>
      <c r="W159" s="311">
        <v>25</v>
      </c>
      <c r="X159" s="311" t="s">
        <v>1892</v>
      </c>
      <c r="Y159" s="311" t="s">
        <v>1893</v>
      </c>
      <c r="Z159" s="311" t="s">
        <v>2046</v>
      </c>
      <c r="AA159" s="377">
        <v>25</v>
      </c>
    </row>
    <row r="160" spans="1:27" ht="12.75" customHeight="1" x14ac:dyDescent="0.2">
      <c r="A160" s="311" t="s">
        <v>275</v>
      </c>
      <c r="B160" s="311" t="s">
        <v>236</v>
      </c>
      <c r="C160" s="327">
        <v>0</v>
      </c>
      <c r="D160" s="327">
        <v>0.42757936507936434</v>
      </c>
      <c r="E160" s="327">
        <v>0.46234920634920573</v>
      </c>
      <c r="F160" s="327">
        <v>0.52789285714285639</v>
      </c>
      <c r="G160" s="327">
        <v>0.64377380952380892</v>
      </c>
      <c r="H160" s="327">
        <v>0.71825396825396781</v>
      </c>
      <c r="I160" s="327">
        <v>0.74086111111111042</v>
      </c>
      <c r="J160" s="327">
        <v>0.78291269841269784</v>
      </c>
      <c r="K160" s="327">
        <v>0.85514285714285709</v>
      </c>
      <c r="L160" s="327">
        <v>0.89980158730158688</v>
      </c>
      <c r="M160" s="327">
        <v>0.91302380952380913</v>
      </c>
      <c r="N160" s="327">
        <v>0.93713888888888841</v>
      </c>
      <c r="O160" s="327">
        <v>0.97682936507936435</v>
      </c>
      <c r="P160" s="311">
        <v>1</v>
      </c>
      <c r="Q160" s="311">
        <v>1.0024999999999999</v>
      </c>
      <c r="R160" s="311">
        <v>1.0049999999999999</v>
      </c>
      <c r="S160" s="311">
        <v>1.0075000000000001</v>
      </c>
      <c r="T160" s="311">
        <f t="shared" si="2"/>
        <v>80</v>
      </c>
      <c r="U160" s="311"/>
      <c r="V160" s="311"/>
      <c r="W160" s="311">
        <v>80</v>
      </c>
      <c r="X160" s="311" t="s">
        <v>1892</v>
      </c>
      <c r="Y160" s="311" t="s">
        <v>1893</v>
      </c>
      <c r="Z160" s="311" t="s">
        <v>2047</v>
      </c>
      <c r="AA160" s="377">
        <v>80</v>
      </c>
    </row>
    <row r="161" spans="1:27" ht="12.75" customHeight="1" x14ac:dyDescent="0.2">
      <c r="A161" s="311" t="s">
        <v>275</v>
      </c>
      <c r="B161" s="311" t="s">
        <v>23</v>
      </c>
      <c r="C161" s="327">
        <v>0</v>
      </c>
      <c r="D161" s="327">
        <v>0.42757936507936434</v>
      </c>
      <c r="E161" s="327">
        <v>0.46234920634920573</v>
      </c>
      <c r="F161" s="327">
        <v>0.52789285714285639</v>
      </c>
      <c r="G161" s="327">
        <v>0.64377380952380892</v>
      </c>
      <c r="H161" s="327">
        <v>0.71825396825396781</v>
      </c>
      <c r="I161" s="327">
        <v>0.74086111111111042</v>
      </c>
      <c r="J161" s="327">
        <v>0.78291269841269784</v>
      </c>
      <c r="K161" s="327">
        <v>0.85514285714285709</v>
      </c>
      <c r="L161" s="327">
        <v>0.89980158730158688</v>
      </c>
      <c r="M161" s="327">
        <v>0.91302380952380913</v>
      </c>
      <c r="N161" s="327">
        <v>0.93713888888888841</v>
      </c>
      <c r="O161" s="327">
        <v>0.97682936507936435</v>
      </c>
      <c r="P161" s="311">
        <v>1</v>
      </c>
      <c r="Q161" s="311">
        <v>1.0024999999999999</v>
      </c>
      <c r="R161" s="311">
        <v>1.0049999999999999</v>
      </c>
      <c r="S161" s="311">
        <v>1.0075000000000001</v>
      </c>
      <c r="T161" s="311">
        <f t="shared" si="2"/>
        <v>60</v>
      </c>
      <c r="U161" s="311"/>
      <c r="V161" s="311"/>
      <c r="W161" s="311">
        <v>60</v>
      </c>
      <c r="X161" s="311" t="s">
        <v>1892</v>
      </c>
      <c r="Y161" s="311" t="s">
        <v>1893</v>
      </c>
      <c r="Z161" s="311" t="s">
        <v>2048</v>
      </c>
      <c r="AA161" s="377">
        <v>60</v>
      </c>
    </row>
    <row r="162" spans="1:27" ht="12.75" customHeight="1" x14ac:dyDescent="0.2">
      <c r="A162" s="311" t="s">
        <v>275</v>
      </c>
      <c r="B162" s="311" t="s">
        <v>237</v>
      </c>
      <c r="C162" s="327">
        <v>0</v>
      </c>
      <c r="D162" s="327">
        <v>0.42757936507936434</v>
      </c>
      <c r="E162" s="327">
        <v>0.46234920634920573</v>
      </c>
      <c r="F162" s="327">
        <v>0.52789285714285639</v>
      </c>
      <c r="G162" s="327">
        <v>0.64377380952380892</v>
      </c>
      <c r="H162" s="327">
        <v>0.71825396825396781</v>
      </c>
      <c r="I162" s="327">
        <v>0.74086111111111042</v>
      </c>
      <c r="J162" s="327">
        <v>0.78291269841269784</v>
      </c>
      <c r="K162" s="327">
        <v>0.85514285714285709</v>
      </c>
      <c r="L162" s="327">
        <v>0.89980158730158688</v>
      </c>
      <c r="M162" s="327">
        <v>0.91302380952380913</v>
      </c>
      <c r="N162" s="327">
        <v>0.93713888888888841</v>
      </c>
      <c r="O162" s="327">
        <v>0.97682936507936435</v>
      </c>
      <c r="P162" s="311">
        <v>1</v>
      </c>
      <c r="Q162" s="311">
        <v>1.0024999999999999</v>
      </c>
      <c r="R162" s="311">
        <v>1.0049999999999999</v>
      </c>
      <c r="S162" s="311">
        <v>1.0075000000000001</v>
      </c>
      <c r="T162" s="311">
        <f t="shared" si="2"/>
        <v>40</v>
      </c>
      <c r="U162" s="311"/>
      <c r="V162" s="311"/>
      <c r="W162" s="311">
        <v>40</v>
      </c>
      <c r="X162" s="311" t="s">
        <v>1892</v>
      </c>
      <c r="Y162" s="311" t="s">
        <v>1893</v>
      </c>
      <c r="Z162" s="311" t="s">
        <v>2049</v>
      </c>
      <c r="AA162" s="377">
        <v>40</v>
      </c>
    </row>
    <row r="163" spans="1:27" ht="12.75" customHeight="1" x14ac:dyDescent="0.2">
      <c r="A163" s="311" t="s">
        <v>274</v>
      </c>
      <c r="B163" s="311" t="s">
        <v>236</v>
      </c>
      <c r="C163" s="327">
        <v>0</v>
      </c>
      <c r="D163" s="327">
        <v>0.25</v>
      </c>
      <c r="E163" s="327">
        <v>0.27500000000000002</v>
      </c>
      <c r="F163" s="327">
        <v>0.32499999999999996</v>
      </c>
      <c r="G163" s="327">
        <v>0.42500000000000004</v>
      </c>
      <c r="H163" s="327">
        <v>0.5</v>
      </c>
      <c r="I163" s="327">
        <v>0.52500000000000002</v>
      </c>
      <c r="J163" s="327">
        <v>0.57499999999999996</v>
      </c>
      <c r="K163" s="327">
        <v>0.67500000000000004</v>
      </c>
      <c r="L163" s="327">
        <v>0.75</v>
      </c>
      <c r="M163" s="327">
        <v>0.77499999999999991</v>
      </c>
      <c r="N163" s="327">
        <v>0.82499999999999996</v>
      </c>
      <c r="O163" s="327">
        <v>0.92500000000000004</v>
      </c>
      <c r="P163" s="311">
        <v>1</v>
      </c>
      <c r="Q163" s="311">
        <v>1.0024999999999999</v>
      </c>
      <c r="R163" s="311">
        <v>1.0049999999999999</v>
      </c>
      <c r="S163" s="311">
        <v>1.0075000000000001</v>
      </c>
      <c r="T163" s="311">
        <f t="shared" si="2"/>
        <v>200</v>
      </c>
      <c r="U163" s="311"/>
      <c r="V163" s="311"/>
      <c r="W163" s="311">
        <v>200</v>
      </c>
      <c r="X163" s="311" t="s">
        <v>1892</v>
      </c>
      <c r="Y163" s="311" t="s">
        <v>1893</v>
      </c>
      <c r="Z163" s="311" t="s">
        <v>2050</v>
      </c>
      <c r="AA163" s="377">
        <v>200</v>
      </c>
    </row>
    <row r="164" spans="1:27" ht="12.75" customHeight="1" x14ac:dyDescent="0.2">
      <c r="A164" s="311" t="s">
        <v>274</v>
      </c>
      <c r="B164" s="311" t="s">
        <v>23</v>
      </c>
      <c r="C164" s="327">
        <v>0</v>
      </c>
      <c r="D164" s="327">
        <v>0.25</v>
      </c>
      <c r="E164" s="327">
        <v>0.27500000000000002</v>
      </c>
      <c r="F164" s="327">
        <v>0.32499999999999996</v>
      </c>
      <c r="G164" s="327">
        <v>0.42500000000000004</v>
      </c>
      <c r="H164" s="327">
        <v>0.5</v>
      </c>
      <c r="I164" s="327">
        <v>0.52500000000000002</v>
      </c>
      <c r="J164" s="327">
        <v>0.57499999999999996</v>
      </c>
      <c r="K164" s="327">
        <v>0.67500000000000004</v>
      </c>
      <c r="L164" s="327">
        <v>0.75</v>
      </c>
      <c r="M164" s="327">
        <v>0.77499999999999991</v>
      </c>
      <c r="N164" s="327">
        <v>0.82499999999999996</v>
      </c>
      <c r="O164" s="327">
        <v>0.92500000000000004</v>
      </c>
      <c r="P164" s="311">
        <v>1</v>
      </c>
      <c r="Q164" s="311">
        <v>1.0024999999999999</v>
      </c>
      <c r="R164" s="311">
        <v>1.0049999999999999</v>
      </c>
      <c r="S164" s="311">
        <v>1.0075000000000001</v>
      </c>
      <c r="T164" s="311">
        <f t="shared" si="2"/>
        <v>100</v>
      </c>
      <c r="U164" s="311"/>
      <c r="V164" s="311"/>
      <c r="W164" s="311">
        <v>100</v>
      </c>
      <c r="X164" s="311" t="s">
        <v>1892</v>
      </c>
      <c r="Y164" s="311" t="s">
        <v>1893</v>
      </c>
      <c r="Z164" s="311" t="s">
        <v>2051</v>
      </c>
      <c r="AA164" s="377">
        <v>100</v>
      </c>
    </row>
    <row r="165" spans="1:27" ht="12.75" customHeight="1" x14ac:dyDescent="0.2">
      <c r="A165" s="311" t="s">
        <v>274</v>
      </c>
      <c r="B165" s="311" t="s">
        <v>237</v>
      </c>
      <c r="C165" s="327">
        <v>0</v>
      </c>
      <c r="D165" s="327">
        <v>0.25</v>
      </c>
      <c r="E165" s="327">
        <v>0.27500000000000002</v>
      </c>
      <c r="F165" s="327">
        <v>0.32499999999999996</v>
      </c>
      <c r="G165" s="327">
        <v>0.42500000000000004</v>
      </c>
      <c r="H165" s="327">
        <v>0.5</v>
      </c>
      <c r="I165" s="327">
        <v>0.52500000000000002</v>
      </c>
      <c r="J165" s="327">
        <v>0.57499999999999996</v>
      </c>
      <c r="K165" s="327">
        <v>0.67500000000000004</v>
      </c>
      <c r="L165" s="327">
        <v>0.75</v>
      </c>
      <c r="M165" s="327">
        <v>0.77499999999999991</v>
      </c>
      <c r="N165" s="327">
        <v>0.82499999999999996</v>
      </c>
      <c r="O165" s="327">
        <v>0.92500000000000004</v>
      </c>
      <c r="P165" s="311">
        <v>1</v>
      </c>
      <c r="Q165" s="311">
        <v>1.0024999999999999</v>
      </c>
      <c r="R165" s="311">
        <v>1.0049999999999999</v>
      </c>
      <c r="S165" s="311">
        <v>1.0075000000000001</v>
      </c>
      <c r="T165" s="311">
        <f t="shared" si="2"/>
        <v>40</v>
      </c>
      <c r="U165" s="311"/>
      <c r="V165" s="311"/>
      <c r="W165" s="311">
        <v>40</v>
      </c>
      <c r="X165" s="311" t="s">
        <v>1892</v>
      </c>
      <c r="Y165" s="311" t="s">
        <v>1893</v>
      </c>
      <c r="Z165" s="311" t="s">
        <v>2052</v>
      </c>
      <c r="AA165" s="377">
        <v>40</v>
      </c>
    </row>
    <row r="166" spans="1:27" ht="12.75" customHeight="1" x14ac:dyDescent="0.2">
      <c r="A166" s="311" t="s">
        <v>139</v>
      </c>
      <c r="B166" s="311" t="s">
        <v>235</v>
      </c>
      <c r="C166" s="327">
        <v>0</v>
      </c>
      <c r="D166" s="327">
        <v>0.50935064935064811</v>
      </c>
      <c r="E166" s="327">
        <v>0.54571730158730047</v>
      </c>
      <c r="F166" s="327">
        <v>0.6117411688311678</v>
      </c>
      <c r="G166" s="327">
        <v>0.71961539682539599</v>
      </c>
      <c r="H166" s="327">
        <v>0.78236652236652149</v>
      </c>
      <c r="I166" s="327">
        <v>0.80033303030302916</v>
      </c>
      <c r="J166" s="327">
        <v>0.83241115440115387</v>
      </c>
      <c r="K166" s="327">
        <v>0.88381207792207772</v>
      </c>
      <c r="L166" s="327">
        <v>0.91419913419913423</v>
      </c>
      <c r="M166" s="327">
        <v>0.92328064935064869</v>
      </c>
      <c r="N166" s="327">
        <v>0.9404433333333333</v>
      </c>
      <c r="O166" s="327">
        <v>0.97343155844155782</v>
      </c>
      <c r="P166" s="311">
        <v>1.0000000000000007</v>
      </c>
      <c r="Q166" s="311">
        <v>1.0024999999999999</v>
      </c>
      <c r="R166" s="311">
        <v>1.0049999999999999</v>
      </c>
      <c r="S166" s="311">
        <v>1.0075000000000001</v>
      </c>
      <c r="T166" s="311">
        <f t="shared" si="2"/>
        <v>1000000000</v>
      </c>
      <c r="U166" s="311" t="s">
        <v>315</v>
      </c>
      <c r="V166" s="311"/>
      <c r="W166" s="311">
        <v>1000000000</v>
      </c>
      <c r="X166" s="311" t="s">
        <v>1892</v>
      </c>
      <c r="Y166" s="311" t="s">
        <v>1893</v>
      </c>
      <c r="Z166" s="311" t="s">
        <v>2053</v>
      </c>
      <c r="AA166" s="377">
        <v>1000000000</v>
      </c>
    </row>
    <row r="167" spans="1:27" ht="12.75" customHeight="1" x14ac:dyDescent="0.2">
      <c r="A167" s="311" t="s">
        <v>139</v>
      </c>
      <c r="B167" s="311" t="s">
        <v>236</v>
      </c>
      <c r="C167" s="327">
        <v>0</v>
      </c>
      <c r="D167" s="327">
        <v>0.50935064935064811</v>
      </c>
      <c r="E167" s="327">
        <v>0.54571730158730047</v>
      </c>
      <c r="F167" s="327">
        <v>0.6117411688311678</v>
      </c>
      <c r="G167" s="327">
        <v>0.71961539682539599</v>
      </c>
      <c r="H167" s="327">
        <v>0.78236652236652149</v>
      </c>
      <c r="I167" s="327">
        <v>0.80033303030302916</v>
      </c>
      <c r="J167" s="327">
        <v>0.83241115440115387</v>
      </c>
      <c r="K167" s="327">
        <v>0.88381207792207772</v>
      </c>
      <c r="L167" s="327">
        <v>0.91419913419913423</v>
      </c>
      <c r="M167" s="327">
        <v>0.92328064935064869</v>
      </c>
      <c r="N167" s="327">
        <v>0.9404433333333333</v>
      </c>
      <c r="O167" s="327">
        <v>0.97343155844155782</v>
      </c>
      <c r="P167" s="311">
        <v>1.0000000000000007</v>
      </c>
      <c r="Q167" s="311">
        <v>1.0024999999999999</v>
      </c>
      <c r="R167" s="311">
        <v>1.0049999999999999</v>
      </c>
      <c r="S167" s="311">
        <v>1.0075000000000001</v>
      </c>
      <c r="T167" s="311">
        <f t="shared" si="2"/>
        <v>25</v>
      </c>
      <c r="U167" s="311"/>
      <c r="V167" s="311"/>
      <c r="W167" s="311">
        <v>25</v>
      </c>
      <c r="X167" s="311" t="s">
        <v>1892</v>
      </c>
      <c r="Y167" s="311" t="s">
        <v>1893</v>
      </c>
      <c r="Z167" s="311" t="s">
        <v>2054</v>
      </c>
      <c r="AA167" s="377">
        <v>25</v>
      </c>
    </row>
    <row r="168" spans="1:27" ht="12.75" customHeight="1" x14ac:dyDescent="0.2">
      <c r="A168" s="311" t="s">
        <v>139</v>
      </c>
      <c r="B168" s="311" t="s">
        <v>23</v>
      </c>
      <c r="C168" s="327">
        <v>0</v>
      </c>
      <c r="D168" s="327">
        <v>0.50935064935064811</v>
      </c>
      <c r="E168" s="327">
        <v>0.54571730158730047</v>
      </c>
      <c r="F168" s="327">
        <v>0.6117411688311678</v>
      </c>
      <c r="G168" s="327">
        <v>0.71961539682539599</v>
      </c>
      <c r="H168" s="327">
        <v>0.78236652236652149</v>
      </c>
      <c r="I168" s="327">
        <v>0.80033303030302916</v>
      </c>
      <c r="J168" s="327">
        <v>0.83241115440115387</v>
      </c>
      <c r="K168" s="327">
        <v>0.88381207792207772</v>
      </c>
      <c r="L168" s="327">
        <v>0.91419913419913423</v>
      </c>
      <c r="M168" s="327">
        <v>0.92328064935064869</v>
      </c>
      <c r="N168" s="327">
        <v>0.9404433333333333</v>
      </c>
      <c r="O168" s="327">
        <v>0.97343155844155782</v>
      </c>
      <c r="P168" s="311">
        <v>1.0000000000000007</v>
      </c>
      <c r="Q168" s="311">
        <v>1.0024999999999999</v>
      </c>
      <c r="R168" s="311">
        <v>1.0049999999999999</v>
      </c>
      <c r="S168" s="311">
        <v>1.0075000000000001</v>
      </c>
      <c r="T168" s="311">
        <f t="shared" si="2"/>
        <v>15</v>
      </c>
      <c r="U168" s="311"/>
      <c r="V168" s="311"/>
      <c r="W168" s="311">
        <v>15</v>
      </c>
      <c r="X168" s="311" t="s">
        <v>1892</v>
      </c>
      <c r="Y168" s="311" t="s">
        <v>1893</v>
      </c>
      <c r="Z168" s="311" t="s">
        <v>2055</v>
      </c>
      <c r="AA168" s="377">
        <v>15</v>
      </c>
    </row>
    <row r="169" spans="1:27" ht="12.75" customHeight="1" x14ac:dyDescent="0.2">
      <c r="A169" s="311" t="s">
        <v>139</v>
      </c>
      <c r="B169" s="311" t="s">
        <v>237</v>
      </c>
      <c r="C169" s="327">
        <v>0</v>
      </c>
      <c r="D169" s="327">
        <v>0.50935064935064811</v>
      </c>
      <c r="E169" s="327">
        <v>0.54571730158730047</v>
      </c>
      <c r="F169" s="327">
        <v>0.6117411688311678</v>
      </c>
      <c r="G169" s="327">
        <v>0.71961539682539599</v>
      </c>
      <c r="H169" s="327">
        <v>0.78236652236652149</v>
      </c>
      <c r="I169" s="327">
        <v>0.80033303030302916</v>
      </c>
      <c r="J169" s="327">
        <v>0.83241115440115387</v>
      </c>
      <c r="K169" s="327">
        <v>0.88381207792207772</v>
      </c>
      <c r="L169" s="327">
        <v>0.91419913419913423</v>
      </c>
      <c r="M169" s="327">
        <v>0.92328064935064869</v>
      </c>
      <c r="N169" s="327">
        <v>0.9404433333333333</v>
      </c>
      <c r="O169" s="327">
        <v>0.97343155844155782</v>
      </c>
      <c r="P169" s="311">
        <v>1.0000000000000007</v>
      </c>
      <c r="Q169" s="311">
        <v>1.0024999999999999</v>
      </c>
      <c r="R169" s="311">
        <v>1.0049999999999999</v>
      </c>
      <c r="S169" s="311">
        <v>1.0075000000000001</v>
      </c>
      <c r="T169" s="311">
        <f t="shared" si="2"/>
        <v>11</v>
      </c>
      <c r="U169" s="311"/>
      <c r="V169" s="311"/>
      <c r="W169" s="311">
        <v>11</v>
      </c>
      <c r="X169" s="311" t="s">
        <v>1892</v>
      </c>
      <c r="Y169" s="311" t="s">
        <v>1893</v>
      </c>
      <c r="Z169" s="311" t="s">
        <v>2056</v>
      </c>
      <c r="AA169" s="377">
        <v>11</v>
      </c>
    </row>
    <row r="170" spans="1:27" ht="12.75" customHeight="1" x14ac:dyDescent="0.2">
      <c r="A170" s="311" t="s">
        <v>273</v>
      </c>
      <c r="B170" s="311" t="s">
        <v>236</v>
      </c>
      <c r="C170" s="327">
        <v>0</v>
      </c>
      <c r="D170" s="327">
        <v>0.25</v>
      </c>
      <c r="E170" s="327">
        <v>0.27500000000000002</v>
      </c>
      <c r="F170" s="327">
        <v>0.32499999999999996</v>
      </c>
      <c r="G170" s="327">
        <v>0.42500000000000004</v>
      </c>
      <c r="H170" s="327">
        <v>0.5</v>
      </c>
      <c r="I170" s="327">
        <v>0.52500000000000002</v>
      </c>
      <c r="J170" s="327">
        <v>0.57499999999999996</v>
      </c>
      <c r="K170" s="327">
        <v>0.67500000000000004</v>
      </c>
      <c r="L170" s="327">
        <v>0.75</v>
      </c>
      <c r="M170" s="327">
        <v>0.77499999999999991</v>
      </c>
      <c r="N170" s="327">
        <v>0.82499999999999996</v>
      </c>
      <c r="O170" s="327">
        <v>0.92500000000000004</v>
      </c>
      <c r="P170" s="311">
        <v>1</v>
      </c>
      <c r="Q170" s="311">
        <v>1.0024999999999999</v>
      </c>
      <c r="R170" s="311">
        <v>1.0049999999999999</v>
      </c>
      <c r="S170" s="311">
        <v>1.0075000000000001</v>
      </c>
      <c r="T170" s="311">
        <f t="shared" si="2"/>
        <v>60</v>
      </c>
      <c r="U170" s="311"/>
      <c r="V170" s="311"/>
      <c r="W170" s="311">
        <v>60</v>
      </c>
      <c r="X170" s="311" t="s">
        <v>1892</v>
      </c>
      <c r="Y170" s="311" t="s">
        <v>1893</v>
      </c>
      <c r="Z170" s="311" t="s">
        <v>2057</v>
      </c>
      <c r="AA170" s="377">
        <v>60</v>
      </c>
    </row>
    <row r="171" spans="1:27" ht="12.75" customHeight="1" x14ac:dyDescent="0.2">
      <c r="A171" s="311" t="s">
        <v>273</v>
      </c>
      <c r="B171" s="311" t="s">
        <v>23</v>
      </c>
      <c r="C171" s="327">
        <v>0</v>
      </c>
      <c r="D171" s="327">
        <v>0.25</v>
      </c>
      <c r="E171" s="327">
        <v>0.27500000000000002</v>
      </c>
      <c r="F171" s="327">
        <v>0.32499999999999996</v>
      </c>
      <c r="G171" s="327">
        <v>0.42500000000000004</v>
      </c>
      <c r="H171" s="327">
        <v>0.5</v>
      </c>
      <c r="I171" s="327">
        <v>0.52500000000000002</v>
      </c>
      <c r="J171" s="327">
        <v>0.57499999999999996</v>
      </c>
      <c r="K171" s="327">
        <v>0.67500000000000004</v>
      </c>
      <c r="L171" s="327">
        <v>0.75</v>
      </c>
      <c r="M171" s="327">
        <v>0.77499999999999991</v>
      </c>
      <c r="N171" s="327">
        <v>0.82499999999999996</v>
      </c>
      <c r="O171" s="327">
        <v>0.92500000000000004</v>
      </c>
      <c r="P171" s="311">
        <v>1</v>
      </c>
      <c r="Q171" s="311">
        <v>1.0024999999999999</v>
      </c>
      <c r="R171" s="311">
        <v>1.0049999999999999</v>
      </c>
      <c r="S171" s="311">
        <v>1.0075000000000001</v>
      </c>
      <c r="T171" s="311">
        <f t="shared" si="2"/>
        <v>40</v>
      </c>
      <c r="U171" s="311"/>
      <c r="V171" s="311"/>
      <c r="W171" s="311">
        <v>40</v>
      </c>
      <c r="X171" s="311" t="s">
        <v>1892</v>
      </c>
      <c r="Y171" s="311" t="s">
        <v>1893</v>
      </c>
      <c r="Z171" s="311" t="s">
        <v>2058</v>
      </c>
      <c r="AA171" s="377">
        <v>40</v>
      </c>
    </row>
    <row r="172" spans="1:27" ht="12.75" customHeight="1" x14ac:dyDescent="0.2">
      <c r="A172" s="311" t="s">
        <v>273</v>
      </c>
      <c r="B172" s="311" t="s">
        <v>237</v>
      </c>
      <c r="C172" s="327">
        <v>0</v>
      </c>
      <c r="D172" s="327">
        <v>0.25</v>
      </c>
      <c r="E172" s="327">
        <v>0.27500000000000002</v>
      </c>
      <c r="F172" s="327">
        <v>0.32499999999999996</v>
      </c>
      <c r="G172" s="327">
        <v>0.42500000000000004</v>
      </c>
      <c r="H172" s="327">
        <v>0.5</v>
      </c>
      <c r="I172" s="327">
        <v>0.52500000000000002</v>
      </c>
      <c r="J172" s="327">
        <v>0.57499999999999996</v>
      </c>
      <c r="K172" s="327">
        <v>0.67500000000000004</v>
      </c>
      <c r="L172" s="327">
        <v>0.75</v>
      </c>
      <c r="M172" s="327">
        <v>0.77499999999999991</v>
      </c>
      <c r="N172" s="327">
        <v>0.82499999999999996</v>
      </c>
      <c r="O172" s="327">
        <v>0.92500000000000004</v>
      </c>
      <c r="P172" s="311">
        <v>1</v>
      </c>
      <c r="Q172" s="311">
        <v>1.0024999999999999</v>
      </c>
      <c r="R172" s="311">
        <v>1.0049999999999999</v>
      </c>
      <c r="S172" s="311">
        <v>1.0075000000000001</v>
      </c>
      <c r="T172" s="311">
        <f t="shared" si="2"/>
        <v>20</v>
      </c>
      <c r="U172" s="311"/>
      <c r="V172" s="311"/>
      <c r="W172" s="311">
        <v>20</v>
      </c>
      <c r="X172" s="311" t="s">
        <v>1892</v>
      </c>
      <c r="Y172" s="311" t="s">
        <v>1893</v>
      </c>
      <c r="Z172" s="311" t="s">
        <v>2059</v>
      </c>
      <c r="AA172" s="377">
        <v>20</v>
      </c>
    </row>
    <row r="173" spans="1:27" ht="12.75" customHeight="1" x14ac:dyDescent="0.2">
      <c r="A173" s="311" t="s">
        <v>272</v>
      </c>
      <c r="B173" s="311" t="s">
        <v>235</v>
      </c>
      <c r="C173" s="327">
        <v>0</v>
      </c>
      <c r="D173" s="327">
        <v>0.25238095238095209</v>
      </c>
      <c r="E173" s="327">
        <v>0.27753174603174574</v>
      </c>
      <c r="F173" s="327">
        <v>0.32778571428571385</v>
      </c>
      <c r="G173" s="327">
        <v>0.42810317460317432</v>
      </c>
      <c r="H173" s="327">
        <v>0.50317460317460294</v>
      </c>
      <c r="I173" s="327">
        <v>0.52816666666666645</v>
      </c>
      <c r="J173" s="327">
        <v>0.5781031746031744</v>
      </c>
      <c r="K173" s="327">
        <v>0.67778571428571421</v>
      </c>
      <c r="L173" s="327">
        <v>0.75238095238095237</v>
      </c>
      <c r="M173" s="327">
        <v>0.77721428571428541</v>
      </c>
      <c r="N173" s="327">
        <v>0.82683333333333331</v>
      </c>
      <c r="O173" s="327">
        <v>0.92588095238095258</v>
      </c>
      <c r="P173" s="311">
        <v>1</v>
      </c>
      <c r="Q173" s="311">
        <v>1.0024999999999999</v>
      </c>
      <c r="R173" s="311">
        <v>1.0049999999999999</v>
      </c>
      <c r="S173" s="311">
        <v>1.0075000000000001</v>
      </c>
      <c r="T173" s="311">
        <f t="shared" si="2"/>
        <v>1000000000</v>
      </c>
      <c r="U173" s="311" t="s">
        <v>315</v>
      </c>
      <c r="V173" s="311"/>
      <c r="W173" s="311">
        <v>1000000000</v>
      </c>
      <c r="X173" s="311" t="s">
        <v>1892</v>
      </c>
      <c r="Y173" s="311" t="s">
        <v>1893</v>
      </c>
      <c r="Z173" s="311" t="s">
        <v>2060</v>
      </c>
      <c r="AA173" s="377">
        <v>1000000000</v>
      </c>
    </row>
    <row r="174" spans="1:27" ht="12.75" customHeight="1" x14ac:dyDescent="0.2">
      <c r="A174" s="311" t="s">
        <v>272</v>
      </c>
      <c r="B174" s="311" t="s">
        <v>236</v>
      </c>
      <c r="C174" s="327">
        <v>0</v>
      </c>
      <c r="D174" s="327">
        <v>0.25238095238095209</v>
      </c>
      <c r="E174" s="327">
        <v>0.27753174603174574</v>
      </c>
      <c r="F174" s="327">
        <v>0.32778571428571385</v>
      </c>
      <c r="G174" s="327">
        <v>0.42810317460317432</v>
      </c>
      <c r="H174" s="327">
        <v>0.50317460317460294</v>
      </c>
      <c r="I174" s="327">
        <v>0.52816666666666645</v>
      </c>
      <c r="J174" s="327">
        <v>0.5781031746031744</v>
      </c>
      <c r="K174" s="327">
        <v>0.67778571428571421</v>
      </c>
      <c r="L174" s="327">
        <v>0.75238095238095237</v>
      </c>
      <c r="M174" s="327">
        <v>0.77721428571428541</v>
      </c>
      <c r="N174" s="327">
        <v>0.82683333333333331</v>
      </c>
      <c r="O174" s="327">
        <v>0.92588095238095258</v>
      </c>
      <c r="P174" s="311">
        <v>1</v>
      </c>
      <c r="Q174" s="311">
        <v>1.0024999999999999</v>
      </c>
      <c r="R174" s="311">
        <v>1.0049999999999999</v>
      </c>
      <c r="S174" s="311">
        <v>1.0075000000000001</v>
      </c>
      <c r="T174" s="311">
        <f t="shared" si="2"/>
        <v>60</v>
      </c>
      <c r="U174" s="311"/>
      <c r="V174" s="311"/>
      <c r="W174" s="311">
        <v>60</v>
      </c>
      <c r="X174" s="311" t="s">
        <v>1892</v>
      </c>
      <c r="Y174" s="311" t="s">
        <v>1893</v>
      </c>
      <c r="Z174" s="311" t="s">
        <v>2061</v>
      </c>
      <c r="AA174" s="377">
        <v>60</v>
      </c>
    </row>
    <row r="175" spans="1:27" ht="12.75" customHeight="1" x14ac:dyDescent="0.2">
      <c r="A175" s="311" t="s">
        <v>272</v>
      </c>
      <c r="B175" s="311" t="s">
        <v>23</v>
      </c>
      <c r="C175" s="327">
        <v>0</v>
      </c>
      <c r="D175" s="327">
        <v>0.25238095238095209</v>
      </c>
      <c r="E175" s="327">
        <v>0.27753174603174574</v>
      </c>
      <c r="F175" s="327">
        <v>0.32778571428571385</v>
      </c>
      <c r="G175" s="327">
        <v>0.42810317460317432</v>
      </c>
      <c r="H175" s="327">
        <v>0.50317460317460294</v>
      </c>
      <c r="I175" s="327">
        <v>0.52816666666666645</v>
      </c>
      <c r="J175" s="327">
        <v>0.5781031746031744</v>
      </c>
      <c r="K175" s="327">
        <v>0.67778571428571421</v>
      </c>
      <c r="L175" s="327">
        <v>0.75238095238095237</v>
      </c>
      <c r="M175" s="327">
        <v>0.77721428571428541</v>
      </c>
      <c r="N175" s="327">
        <v>0.82683333333333331</v>
      </c>
      <c r="O175" s="327">
        <v>0.92588095238095258</v>
      </c>
      <c r="P175" s="311">
        <v>1</v>
      </c>
      <c r="Q175" s="311">
        <v>1.0024999999999999</v>
      </c>
      <c r="R175" s="311">
        <v>1.0049999999999999</v>
      </c>
      <c r="S175" s="311">
        <v>1.0075000000000001</v>
      </c>
      <c r="T175" s="311">
        <f t="shared" si="2"/>
        <v>40</v>
      </c>
      <c r="U175" s="311"/>
      <c r="V175" s="311"/>
      <c r="W175" s="311">
        <v>40</v>
      </c>
      <c r="X175" s="311" t="s">
        <v>1892</v>
      </c>
      <c r="Y175" s="311" t="s">
        <v>1893</v>
      </c>
      <c r="Z175" s="311" t="s">
        <v>2062</v>
      </c>
      <c r="AA175" s="377">
        <v>40</v>
      </c>
    </row>
    <row r="176" spans="1:27" ht="12.75" customHeight="1" x14ac:dyDescent="0.2">
      <c r="A176" s="311" t="s">
        <v>272</v>
      </c>
      <c r="B176" s="311" t="s">
        <v>237</v>
      </c>
      <c r="C176" s="327">
        <v>0</v>
      </c>
      <c r="D176" s="327">
        <v>0.25238095238095209</v>
      </c>
      <c r="E176" s="327">
        <v>0.27753174603174574</v>
      </c>
      <c r="F176" s="327">
        <v>0.32778571428571385</v>
      </c>
      <c r="G176" s="327">
        <v>0.42810317460317432</v>
      </c>
      <c r="H176" s="327">
        <v>0.50317460317460294</v>
      </c>
      <c r="I176" s="327">
        <v>0.52816666666666645</v>
      </c>
      <c r="J176" s="327">
        <v>0.5781031746031744</v>
      </c>
      <c r="K176" s="327">
        <v>0.67778571428571421</v>
      </c>
      <c r="L176" s="327">
        <v>0.75238095238095237</v>
      </c>
      <c r="M176" s="327">
        <v>0.77721428571428541</v>
      </c>
      <c r="N176" s="327">
        <v>0.82683333333333331</v>
      </c>
      <c r="O176" s="327">
        <v>0.92588095238095258</v>
      </c>
      <c r="P176" s="311">
        <v>1</v>
      </c>
      <c r="Q176" s="311">
        <v>1.0024999999999999</v>
      </c>
      <c r="R176" s="311">
        <v>1.0049999999999999</v>
      </c>
      <c r="S176" s="311">
        <v>1.0075000000000001</v>
      </c>
      <c r="T176" s="311">
        <f t="shared" si="2"/>
        <v>30</v>
      </c>
      <c r="U176" s="311"/>
      <c r="V176" s="311"/>
      <c r="W176" s="311">
        <v>30</v>
      </c>
      <c r="X176" s="311" t="s">
        <v>1892</v>
      </c>
      <c r="Y176" s="311" t="s">
        <v>1893</v>
      </c>
      <c r="Z176" s="311" t="s">
        <v>2063</v>
      </c>
      <c r="AA176" s="377">
        <v>30</v>
      </c>
    </row>
    <row r="177" spans="1:27" ht="12.75" customHeight="1" x14ac:dyDescent="0.2">
      <c r="A177" s="311" t="s">
        <v>144</v>
      </c>
      <c r="B177" s="311" t="s">
        <v>235</v>
      </c>
      <c r="C177" s="327">
        <v>0</v>
      </c>
      <c r="D177" s="327">
        <v>0.33227513227513183</v>
      </c>
      <c r="E177" s="327">
        <v>0.35972910052910012</v>
      </c>
      <c r="F177" s="327">
        <v>0.41216190476190429</v>
      </c>
      <c r="G177" s="327">
        <v>0.50857883597883558</v>
      </c>
      <c r="H177" s="327">
        <v>0.57513227513227494</v>
      </c>
      <c r="I177" s="327">
        <v>0.59649629629629608</v>
      </c>
      <c r="J177" s="327">
        <v>0.63830476190476171</v>
      </c>
      <c r="K177" s="327">
        <v>0.71969523809523794</v>
      </c>
      <c r="L177" s="327">
        <v>0.78042328042328046</v>
      </c>
      <c r="M177" s="327">
        <v>0.80088253968253964</v>
      </c>
      <c r="N177" s="327">
        <v>0.8424370370370371</v>
      </c>
      <c r="O177" s="327">
        <v>0.92954179894179911</v>
      </c>
      <c r="P177" s="311">
        <v>1.0000000000000002</v>
      </c>
      <c r="Q177" s="311">
        <v>1.0024999999999999</v>
      </c>
      <c r="R177" s="311">
        <v>1.0049999999999999</v>
      </c>
      <c r="S177" s="311">
        <v>1.0075000000000001</v>
      </c>
      <c r="T177" s="311">
        <f t="shared" si="2"/>
        <v>1000000000</v>
      </c>
      <c r="U177" s="311" t="s">
        <v>315</v>
      </c>
      <c r="V177" s="311"/>
      <c r="W177" s="311">
        <v>1000000000</v>
      </c>
      <c r="X177" s="311" t="s">
        <v>1892</v>
      </c>
      <c r="Y177" s="311" t="s">
        <v>1893</v>
      </c>
      <c r="Z177" s="311" t="s">
        <v>2064</v>
      </c>
      <c r="AA177" s="377">
        <v>1000000000</v>
      </c>
    </row>
    <row r="178" spans="1:27" ht="12.75" customHeight="1" x14ac:dyDescent="0.2">
      <c r="A178" s="311" t="s">
        <v>144</v>
      </c>
      <c r="B178" s="311" t="s">
        <v>236</v>
      </c>
      <c r="C178" s="327">
        <v>0</v>
      </c>
      <c r="D178" s="327">
        <v>0.33227513227513183</v>
      </c>
      <c r="E178" s="327">
        <v>0.35972910052910012</v>
      </c>
      <c r="F178" s="327">
        <v>0.41216190476190429</v>
      </c>
      <c r="G178" s="327">
        <v>0.50857883597883558</v>
      </c>
      <c r="H178" s="327">
        <v>0.57513227513227494</v>
      </c>
      <c r="I178" s="327">
        <v>0.59649629629629608</v>
      </c>
      <c r="J178" s="327">
        <v>0.63830476190476171</v>
      </c>
      <c r="K178" s="327">
        <v>0.71969523809523794</v>
      </c>
      <c r="L178" s="327">
        <v>0.78042328042328046</v>
      </c>
      <c r="M178" s="327">
        <v>0.80088253968253964</v>
      </c>
      <c r="N178" s="327">
        <v>0.8424370370370371</v>
      </c>
      <c r="O178" s="327">
        <v>0.92954179894179911</v>
      </c>
      <c r="P178" s="311">
        <v>1.0000000000000002</v>
      </c>
      <c r="Q178" s="311">
        <v>1.0024999999999999</v>
      </c>
      <c r="R178" s="311">
        <v>1.0049999999999999</v>
      </c>
      <c r="S178" s="311">
        <v>1.0075000000000001</v>
      </c>
      <c r="T178" s="311">
        <f t="shared" si="2"/>
        <v>18</v>
      </c>
      <c r="U178" s="311"/>
      <c r="V178" s="311"/>
      <c r="W178" s="311">
        <v>18</v>
      </c>
      <c r="X178" s="311" t="s">
        <v>1892</v>
      </c>
      <c r="Y178" s="311" t="s">
        <v>1893</v>
      </c>
      <c r="Z178" s="311" t="s">
        <v>2065</v>
      </c>
      <c r="AA178" s="377">
        <v>18</v>
      </c>
    </row>
    <row r="179" spans="1:27" ht="12.75" customHeight="1" x14ac:dyDescent="0.2">
      <c r="A179" s="311" t="s">
        <v>144</v>
      </c>
      <c r="B179" s="311" t="s">
        <v>23</v>
      </c>
      <c r="C179" s="327">
        <v>0</v>
      </c>
      <c r="D179" s="327">
        <v>0.33227513227513183</v>
      </c>
      <c r="E179" s="327">
        <v>0.35972910052910012</v>
      </c>
      <c r="F179" s="327">
        <v>0.41216190476190429</v>
      </c>
      <c r="G179" s="327">
        <v>0.50857883597883558</v>
      </c>
      <c r="H179" s="327">
        <v>0.57513227513227494</v>
      </c>
      <c r="I179" s="327">
        <v>0.59649629629629608</v>
      </c>
      <c r="J179" s="327">
        <v>0.63830476190476171</v>
      </c>
      <c r="K179" s="327">
        <v>0.71969523809523794</v>
      </c>
      <c r="L179" s="327">
        <v>0.78042328042328046</v>
      </c>
      <c r="M179" s="327">
        <v>0.80088253968253964</v>
      </c>
      <c r="N179" s="327">
        <v>0.8424370370370371</v>
      </c>
      <c r="O179" s="327">
        <v>0.92954179894179911</v>
      </c>
      <c r="P179" s="311">
        <v>1.0000000000000002</v>
      </c>
      <c r="Q179" s="311">
        <v>1.0024999999999999</v>
      </c>
      <c r="R179" s="311">
        <v>1.0049999999999999</v>
      </c>
      <c r="S179" s="311">
        <v>1.0075000000000001</v>
      </c>
      <c r="T179" s="311">
        <f t="shared" si="2"/>
        <v>10</v>
      </c>
      <c r="U179" s="311"/>
      <c r="V179" s="311"/>
      <c r="W179" s="311">
        <v>10</v>
      </c>
      <c r="X179" s="311" t="s">
        <v>1892</v>
      </c>
      <c r="Y179" s="311" t="s">
        <v>1893</v>
      </c>
      <c r="Z179" s="311" t="s">
        <v>2066</v>
      </c>
      <c r="AA179" s="377">
        <v>10</v>
      </c>
    </row>
    <row r="180" spans="1:27" ht="12.75" customHeight="1" x14ac:dyDescent="0.2">
      <c r="A180" s="311" t="s">
        <v>144</v>
      </c>
      <c r="B180" s="311" t="s">
        <v>237</v>
      </c>
      <c r="C180" s="327">
        <v>0</v>
      </c>
      <c r="D180" s="327">
        <v>0.33227513227513183</v>
      </c>
      <c r="E180" s="327">
        <v>0.35972910052910012</v>
      </c>
      <c r="F180" s="327">
        <v>0.41216190476190429</v>
      </c>
      <c r="G180" s="327">
        <v>0.50857883597883558</v>
      </c>
      <c r="H180" s="327">
        <v>0.57513227513227494</v>
      </c>
      <c r="I180" s="327">
        <v>0.59649629629629608</v>
      </c>
      <c r="J180" s="327">
        <v>0.63830476190476171</v>
      </c>
      <c r="K180" s="327">
        <v>0.71969523809523794</v>
      </c>
      <c r="L180" s="327">
        <v>0.78042328042328046</v>
      </c>
      <c r="M180" s="327">
        <v>0.80088253968253964</v>
      </c>
      <c r="N180" s="327">
        <v>0.8424370370370371</v>
      </c>
      <c r="O180" s="327">
        <v>0.92954179894179911</v>
      </c>
      <c r="P180" s="311">
        <v>1.0000000000000002</v>
      </c>
      <c r="Q180" s="311">
        <v>1.0024999999999999</v>
      </c>
      <c r="R180" s="311">
        <v>1.0049999999999999</v>
      </c>
      <c r="S180" s="311">
        <v>1.0075000000000001</v>
      </c>
      <c r="T180" s="311">
        <f t="shared" si="2"/>
        <v>6</v>
      </c>
      <c r="U180" s="311"/>
      <c r="V180" s="311"/>
      <c r="W180" s="311">
        <v>6</v>
      </c>
      <c r="X180" s="311" t="s">
        <v>1892</v>
      </c>
      <c r="Y180" s="311" t="s">
        <v>1893</v>
      </c>
      <c r="Z180" s="311" t="s">
        <v>2067</v>
      </c>
      <c r="AA180" s="377">
        <v>6</v>
      </c>
    </row>
    <row r="181" spans="1:27" ht="12.75" customHeight="1" x14ac:dyDescent="0.2">
      <c r="A181" s="311" t="s">
        <v>76</v>
      </c>
      <c r="B181" s="311" t="s">
        <v>235</v>
      </c>
      <c r="C181" s="327">
        <v>0</v>
      </c>
      <c r="D181" s="327">
        <v>0.54640734274074154</v>
      </c>
      <c r="E181" s="327">
        <v>0.58537197590583567</v>
      </c>
      <c r="F181" s="327">
        <v>0.6559262243466798</v>
      </c>
      <c r="G181" s="327">
        <v>0.77006667398141959</v>
      </c>
      <c r="H181" s="327">
        <v>0.83492349721562265</v>
      </c>
      <c r="I181" s="327">
        <v>0.8530726307353228</v>
      </c>
      <c r="J181" s="327">
        <v>0.88470876307512258</v>
      </c>
      <c r="K181" s="327">
        <v>0.9318645132667368</v>
      </c>
      <c r="L181" s="327">
        <v>0.95597790308269215</v>
      </c>
      <c r="M181" s="327">
        <v>0.9623544809228034</v>
      </c>
      <c r="N181" s="327">
        <v>0.97315838509316877</v>
      </c>
      <c r="O181" s="327">
        <v>0.98950121170487926</v>
      </c>
      <c r="P181" s="311">
        <v>1</v>
      </c>
      <c r="Q181" s="311">
        <v>1.0024999999999999</v>
      </c>
      <c r="R181" s="311">
        <v>1.0049999999999999</v>
      </c>
      <c r="S181" s="311">
        <v>1.0075000000000001</v>
      </c>
      <c r="T181" s="311">
        <f t="shared" si="2"/>
        <v>1000000000</v>
      </c>
      <c r="U181" s="311" t="s">
        <v>315</v>
      </c>
      <c r="V181" s="311"/>
      <c r="W181" s="311">
        <v>1000000000</v>
      </c>
      <c r="X181" s="311" t="s">
        <v>1892</v>
      </c>
      <c r="Y181" s="311" t="s">
        <v>1893</v>
      </c>
      <c r="Z181" s="311" t="s">
        <v>2068</v>
      </c>
      <c r="AA181" s="377">
        <v>1000000000</v>
      </c>
    </row>
    <row r="182" spans="1:27" ht="12.75" customHeight="1" x14ac:dyDescent="0.2">
      <c r="A182" s="311" t="s">
        <v>76</v>
      </c>
      <c r="B182" s="311" t="s">
        <v>236</v>
      </c>
      <c r="C182" s="327">
        <v>0</v>
      </c>
      <c r="D182" s="327">
        <v>0.54640734274074154</v>
      </c>
      <c r="E182" s="327">
        <v>0.58537197590583567</v>
      </c>
      <c r="F182" s="327">
        <v>0.6559262243466798</v>
      </c>
      <c r="G182" s="327">
        <v>0.77006667398141959</v>
      </c>
      <c r="H182" s="327">
        <v>0.83492349721562265</v>
      </c>
      <c r="I182" s="327">
        <v>0.8530726307353228</v>
      </c>
      <c r="J182" s="327">
        <v>0.88470876307512258</v>
      </c>
      <c r="K182" s="327">
        <v>0.9318645132667368</v>
      </c>
      <c r="L182" s="327">
        <v>0.95597790308269215</v>
      </c>
      <c r="M182" s="327">
        <v>0.9623544809228034</v>
      </c>
      <c r="N182" s="327">
        <v>0.97315838509316877</v>
      </c>
      <c r="O182" s="327">
        <v>0.98950121170487926</v>
      </c>
      <c r="P182" s="311">
        <v>1</v>
      </c>
      <c r="Q182" s="311">
        <v>1.0024999999999999</v>
      </c>
      <c r="R182" s="311">
        <v>1.0049999999999999</v>
      </c>
      <c r="S182" s="311">
        <v>1.0075000000000001</v>
      </c>
      <c r="T182" s="311">
        <f t="shared" si="2"/>
        <v>63</v>
      </c>
      <c r="U182" s="311"/>
      <c r="V182" s="311"/>
      <c r="W182" s="311">
        <v>63</v>
      </c>
      <c r="X182" s="311" t="s">
        <v>1892</v>
      </c>
      <c r="Y182" s="311" t="s">
        <v>1893</v>
      </c>
      <c r="Z182" s="311" t="s">
        <v>2069</v>
      </c>
      <c r="AA182" s="377">
        <v>63</v>
      </c>
    </row>
    <row r="183" spans="1:27" ht="12.75" customHeight="1" x14ac:dyDescent="0.2">
      <c r="A183" s="311" t="s">
        <v>76</v>
      </c>
      <c r="B183" s="311" t="s">
        <v>23</v>
      </c>
      <c r="C183" s="327">
        <v>0</v>
      </c>
      <c r="D183" s="327">
        <v>0.54640734274074154</v>
      </c>
      <c r="E183" s="327">
        <v>0.58537197590583567</v>
      </c>
      <c r="F183" s="327">
        <v>0.6559262243466798</v>
      </c>
      <c r="G183" s="327">
        <v>0.77006667398141959</v>
      </c>
      <c r="H183" s="327">
        <v>0.83492349721562265</v>
      </c>
      <c r="I183" s="327">
        <v>0.8530726307353228</v>
      </c>
      <c r="J183" s="327">
        <v>0.88470876307512258</v>
      </c>
      <c r="K183" s="327">
        <v>0.9318645132667368</v>
      </c>
      <c r="L183" s="327">
        <v>0.95597790308269215</v>
      </c>
      <c r="M183" s="327">
        <v>0.9623544809228034</v>
      </c>
      <c r="N183" s="327">
        <v>0.97315838509316877</v>
      </c>
      <c r="O183" s="327">
        <v>0.98950121170487926</v>
      </c>
      <c r="P183" s="311">
        <v>1</v>
      </c>
      <c r="Q183" s="311">
        <v>1.0024999999999999</v>
      </c>
      <c r="R183" s="311">
        <v>1.0049999999999999</v>
      </c>
      <c r="S183" s="311">
        <v>1.0075000000000001</v>
      </c>
      <c r="T183" s="311">
        <f t="shared" si="2"/>
        <v>46</v>
      </c>
      <c r="U183" s="311"/>
      <c r="V183" s="311"/>
      <c r="W183" s="311">
        <v>46</v>
      </c>
      <c r="X183" s="311" t="s">
        <v>1892</v>
      </c>
      <c r="Y183" s="311" t="s">
        <v>1893</v>
      </c>
      <c r="Z183" s="311" t="s">
        <v>2070</v>
      </c>
      <c r="AA183" s="377">
        <v>46</v>
      </c>
    </row>
    <row r="184" spans="1:27" ht="12.75" customHeight="1" x14ac:dyDescent="0.2">
      <c r="A184" s="311" t="s">
        <v>76</v>
      </c>
      <c r="B184" s="311" t="s">
        <v>237</v>
      </c>
      <c r="C184" s="327">
        <v>0</v>
      </c>
      <c r="D184" s="327">
        <v>0.54640734274074154</v>
      </c>
      <c r="E184" s="327">
        <v>0.58537197590583567</v>
      </c>
      <c r="F184" s="327">
        <v>0.6559262243466798</v>
      </c>
      <c r="G184" s="327">
        <v>0.77006667398141959</v>
      </c>
      <c r="H184" s="327">
        <v>0.83492349721562265</v>
      </c>
      <c r="I184" s="327">
        <v>0.8530726307353228</v>
      </c>
      <c r="J184" s="327">
        <v>0.88470876307512258</v>
      </c>
      <c r="K184" s="327">
        <v>0.9318645132667368</v>
      </c>
      <c r="L184" s="327">
        <v>0.95597790308269215</v>
      </c>
      <c r="M184" s="327">
        <v>0.9623544809228034</v>
      </c>
      <c r="N184" s="327">
        <v>0.97315838509316877</v>
      </c>
      <c r="O184" s="327">
        <v>0.98950121170487926</v>
      </c>
      <c r="P184" s="311">
        <v>1</v>
      </c>
      <c r="Q184" s="311">
        <v>1.0024999999999999</v>
      </c>
      <c r="R184" s="311">
        <v>1.0049999999999999</v>
      </c>
      <c r="S184" s="311">
        <v>1.0075000000000001</v>
      </c>
      <c r="T184" s="311">
        <f t="shared" si="2"/>
        <v>31</v>
      </c>
      <c r="U184" s="311"/>
      <c r="V184" s="311"/>
      <c r="W184" s="311">
        <v>31</v>
      </c>
      <c r="X184" s="311" t="s">
        <v>1892</v>
      </c>
      <c r="Y184" s="311" t="s">
        <v>1893</v>
      </c>
      <c r="Z184" s="311" t="s">
        <v>2071</v>
      </c>
      <c r="AA184" s="377">
        <v>31</v>
      </c>
    </row>
    <row r="185" spans="1:27" ht="12.75" customHeight="1" x14ac:dyDescent="0.2">
      <c r="A185" s="311" t="s">
        <v>103</v>
      </c>
      <c r="B185" s="311" t="s">
        <v>235</v>
      </c>
      <c r="C185" s="327">
        <v>0</v>
      </c>
      <c r="D185" s="327">
        <v>0.25238095238095209</v>
      </c>
      <c r="E185" s="327">
        <v>0.27753174603174574</v>
      </c>
      <c r="F185" s="327">
        <v>0.32778571428571385</v>
      </c>
      <c r="G185" s="327">
        <v>0.42810317460317432</v>
      </c>
      <c r="H185" s="327">
        <v>0.50317460317460294</v>
      </c>
      <c r="I185" s="327">
        <v>0.52816666666666645</v>
      </c>
      <c r="J185" s="327">
        <v>0.5781031746031744</v>
      </c>
      <c r="K185" s="327">
        <v>0.67778571428571421</v>
      </c>
      <c r="L185" s="327">
        <v>0.75238095238095237</v>
      </c>
      <c r="M185" s="327">
        <v>0.77721428571428541</v>
      </c>
      <c r="N185" s="327">
        <v>0.82683333333333331</v>
      </c>
      <c r="O185" s="327">
        <v>0.92588095238095258</v>
      </c>
      <c r="P185" s="311">
        <v>1</v>
      </c>
      <c r="Q185" s="311">
        <v>1.0024999999999999</v>
      </c>
      <c r="R185" s="311">
        <v>1.0049999999999999</v>
      </c>
      <c r="S185" s="311">
        <v>1.0075000000000001</v>
      </c>
      <c r="T185" s="311">
        <f t="shared" si="2"/>
        <v>1000000000</v>
      </c>
      <c r="U185" s="311" t="s">
        <v>315</v>
      </c>
      <c r="V185" s="311"/>
      <c r="W185" s="311">
        <v>1000000000</v>
      </c>
      <c r="X185" s="311" t="s">
        <v>1892</v>
      </c>
      <c r="Y185" s="311" t="s">
        <v>1893</v>
      </c>
      <c r="Z185" s="311" t="s">
        <v>2072</v>
      </c>
      <c r="AA185" s="377">
        <v>1000000000</v>
      </c>
    </row>
    <row r="186" spans="1:27" ht="12.75" customHeight="1" x14ac:dyDescent="0.2">
      <c r="A186" s="311" t="s">
        <v>103</v>
      </c>
      <c r="B186" s="311" t="s">
        <v>236</v>
      </c>
      <c r="C186" s="327">
        <v>0</v>
      </c>
      <c r="D186" s="327">
        <v>0.25238095238095209</v>
      </c>
      <c r="E186" s="327">
        <v>0.27753174603174574</v>
      </c>
      <c r="F186" s="327">
        <v>0.32778571428571385</v>
      </c>
      <c r="G186" s="327">
        <v>0.42810317460317432</v>
      </c>
      <c r="H186" s="327">
        <v>0.50317460317460294</v>
      </c>
      <c r="I186" s="327">
        <v>0.52816666666666645</v>
      </c>
      <c r="J186" s="327">
        <v>0.5781031746031744</v>
      </c>
      <c r="K186" s="327">
        <v>0.67778571428571421</v>
      </c>
      <c r="L186" s="327">
        <v>0.75238095238095237</v>
      </c>
      <c r="M186" s="327">
        <v>0.77721428571428541</v>
      </c>
      <c r="N186" s="327">
        <v>0.82683333333333331</v>
      </c>
      <c r="O186" s="327">
        <v>0.92588095238095258</v>
      </c>
      <c r="P186" s="311">
        <v>1</v>
      </c>
      <c r="Q186" s="311">
        <v>1.0024999999999999</v>
      </c>
      <c r="R186" s="311">
        <v>1.0049999999999999</v>
      </c>
      <c r="S186" s="311">
        <v>1.0075000000000001</v>
      </c>
      <c r="T186" s="311">
        <f t="shared" si="2"/>
        <v>60</v>
      </c>
      <c r="U186" s="311"/>
      <c r="V186" s="311"/>
      <c r="W186" s="311">
        <v>60</v>
      </c>
      <c r="X186" s="311" t="s">
        <v>1892</v>
      </c>
      <c r="Y186" s="311" t="s">
        <v>1893</v>
      </c>
      <c r="Z186" s="311" t="s">
        <v>2073</v>
      </c>
      <c r="AA186" s="377">
        <v>60</v>
      </c>
    </row>
    <row r="187" spans="1:27" ht="12.75" customHeight="1" x14ac:dyDescent="0.2">
      <c r="A187" s="311" t="s">
        <v>103</v>
      </c>
      <c r="B187" s="311" t="s">
        <v>23</v>
      </c>
      <c r="C187" s="327">
        <v>0</v>
      </c>
      <c r="D187" s="327">
        <v>0.25238095238095209</v>
      </c>
      <c r="E187" s="327">
        <v>0.27753174603174574</v>
      </c>
      <c r="F187" s="327">
        <v>0.32778571428571385</v>
      </c>
      <c r="G187" s="327">
        <v>0.42810317460317432</v>
      </c>
      <c r="H187" s="327">
        <v>0.50317460317460294</v>
      </c>
      <c r="I187" s="327">
        <v>0.52816666666666645</v>
      </c>
      <c r="J187" s="327">
        <v>0.5781031746031744</v>
      </c>
      <c r="K187" s="327">
        <v>0.67778571428571421</v>
      </c>
      <c r="L187" s="327">
        <v>0.75238095238095237</v>
      </c>
      <c r="M187" s="327">
        <v>0.77721428571428541</v>
      </c>
      <c r="N187" s="327">
        <v>0.82683333333333331</v>
      </c>
      <c r="O187" s="327">
        <v>0.92588095238095258</v>
      </c>
      <c r="P187" s="311">
        <v>1</v>
      </c>
      <c r="Q187" s="311">
        <v>1.0024999999999999</v>
      </c>
      <c r="R187" s="311">
        <v>1.0049999999999999</v>
      </c>
      <c r="S187" s="311">
        <v>1.0075000000000001</v>
      </c>
      <c r="T187" s="311">
        <f t="shared" si="2"/>
        <v>40</v>
      </c>
      <c r="U187" s="311"/>
      <c r="V187" s="311"/>
      <c r="W187" s="311">
        <v>40</v>
      </c>
      <c r="X187" s="311" t="s">
        <v>1892</v>
      </c>
      <c r="Y187" s="311" t="s">
        <v>1893</v>
      </c>
      <c r="Z187" s="311" t="s">
        <v>2074</v>
      </c>
      <c r="AA187" s="377">
        <v>40</v>
      </c>
    </row>
    <row r="188" spans="1:27" ht="12.75" customHeight="1" x14ac:dyDescent="0.2">
      <c r="A188" s="311" t="s">
        <v>103</v>
      </c>
      <c r="B188" s="311" t="s">
        <v>237</v>
      </c>
      <c r="C188" s="327">
        <v>0</v>
      </c>
      <c r="D188" s="327">
        <v>0.25238095238095209</v>
      </c>
      <c r="E188" s="327">
        <v>0.27753174603174574</v>
      </c>
      <c r="F188" s="327">
        <v>0.32778571428571385</v>
      </c>
      <c r="G188" s="327">
        <v>0.42810317460317432</v>
      </c>
      <c r="H188" s="327">
        <v>0.50317460317460294</v>
      </c>
      <c r="I188" s="327">
        <v>0.52816666666666645</v>
      </c>
      <c r="J188" s="327">
        <v>0.5781031746031744</v>
      </c>
      <c r="K188" s="327">
        <v>0.67778571428571421</v>
      </c>
      <c r="L188" s="327">
        <v>0.75238095238095237</v>
      </c>
      <c r="M188" s="327">
        <v>0.77721428571428541</v>
      </c>
      <c r="N188" s="327">
        <v>0.82683333333333331</v>
      </c>
      <c r="O188" s="327">
        <v>0.92588095238095258</v>
      </c>
      <c r="P188" s="311">
        <v>1</v>
      </c>
      <c r="Q188" s="311">
        <v>1.0024999999999999</v>
      </c>
      <c r="R188" s="311">
        <v>1.0049999999999999</v>
      </c>
      <c r="S188" s="311">
        <v>1.0075000000000001</v>
      </c>
      <c r="T188" s="311">
        <f t="shared" si="2"/>
        <v>30</v>
      </c>
      <c r="U188" s="311"/>
      <c r="V188" s="311"/>
      <c r="W188" s="311">
        <v>30</v>
      </c>
      <c r="X188" s="311" t="s">
        <v>1892</v>
      </c>
      <c r="Y188" s="311" t="s">
        <v>1893</v>
      </c>
      <c r="Z188" s="311" t="s">
        <v>2075</v>
      </c>
      <c r="AA188" s="377">
        <v>30</v>
      </c>
    </row>
    <row r="189" spans="1:27" ht="12.75" customHeight="1" x14ac:dyDescent="0.2">
      <c r="A189" s="311" t="s">
        <v>57</v>
      </c>
      <c r="B189" s="311" t="s">
        <v>236</v>
      </c>
      <c r="C189" s="327">
        <v>0</v>
      </c>
      <c r="D189" s="327">
        <v>0.42757936507936434</v>
      </c>
      <c r="E189" s="327">
        <v>0.46234920634920573</v>
      </c>
      <c r="F189" s="327">
        <v>0.52789285714285639</v>
      </c>
      <c r="G189" s="327">
        <v>0.64377380952380892</v>
      </c>
      <c r="H189" s="327">
        <v>0.71825396825396781</v>
      </c>
      <c r="I189" s="327">
        <v>0.74086111111111042</v>
      </c>
      <c r="J189" s="327">
        <v>0.78291269841269784</v>
      </c>
      <c r="K189" s="327">
        <v>0.85514285714285709</v>
      </c>
      <c r="L189" s="327">
        <v>0.89980158730158688</v>
      </c>
      <c r="M189" s="327">
        <v>0.91302380952380913</v>
      </c>
      <c r="N189" s="327">
        <v>0.93713888888888841</v>
      </c>
      <c r="O189" s="327">
        <v>0.97682936507936435</v>
      </c>
      <c r="P189" s="311">
        <v>1</v>
      </c>
      <c r="Q189" s="311">
        <v>1.0024999999999999</v>
      </c>
      <c r="R189" s="311">
        <v>1.0049999999999999</v>
      </c>
      <c r="S189" s="311">
        <v>1.0075000000000001</v>
      </c>
      <c r="T189" s="311">
        <f t="shared" si="2"/>
        <v>80</v>
      </c>
      <c r="U189" s="311"/>
      <c r="V189" s="311"/>
      <c r="W189" s="311">
        <v>80</v>
      </c>
      <c r="X189" s="311" t="s">
        <v>1892</v>
      </c>
      <c r="Y189" s="311" t="s">
        <v>1893</v>
      </c>
      <c r="Z189" s="311" t="s">
        <v>2076</v>
      </c>
      <c r="AA189" s="377">
        <v>80</v>
      </c>
    </row>
    <row r="190" spans="1:27" ht="12.75" customHeight="1" x14ac:dyDescent="0.2">
      <c r="A190" s="311" t="s">
        <v>57</v>
      </c>
      <c r="B190" s="311" t="s">
        <v>23</v>
      </c>
      <c r="C190" s="327">
        <v>0</v>
      </c>
      <c r="D190" s="327">
        <v>0.42757936507936434</v>
      </c>
      <c r="E190" s="327">
        <v>0.46234920634920573</v>
      </c>
      <c r="F190" s="327">
        <v>0.52789285714285639</v>
      </c>
      <c r="G190" s="327">
        <v>0.64377380952380892</v>
      </c>
      <c r="H190" s="327">
        <v>0.71825396825396781</v>
      </c>
      <c r="I190" s="327">
        <v>0.74086111111111042</v>
      </c>
      <c r="J190" s="327">
        <v>0.78291269841269784</v>
      </c>
      <c r="K190" s="327">
        <v>0.85514285714285709</v>
      </c>
      <c r="L190" s="327">
        <v>0.89980158730158688</v>
      </c>
      <c r="M190" s="327">
        <v>0.91302380952380913</v>
      </c>
      <c r="N190" s="327">
        <v>0.93713888888888841</v>
      </c>
      <c r="O190" s="327">
        <v>0.97682936507936435</v>
      </c>
      <c r="P190" s="311">
        <v>1</v>
      </c>
      <c r="Q190" s="311">
        <v>1.0024999999999999</v>
      </c>
      <c r="R190" s="311">
        <v>1.0049999999999999</v>
      </c>
      <c r="S190" s="311">
        <v>1.0075000000000001</v>
      </c>
      <c r="T190" s="311">
        <f t="shared" si="2"/>
        <v>60</v>
      </c>
      <c r="U190" s="311"/>
      <c r="V190" s="311"/>
      <c r="W190" s="311">
        <v>60</v>
      </c>
      <c r="X190" s="311" t="s">
        <v>1892</v>
      </c>
      <c r="Y190" s="311" t="s">
        <v>1893</v>
      </c>
      <c r="Z190" s="311" t="s">
        <v>2077</v>
      </c>
      <c r="AA190" s="377">
        <v>60</v>
      </c>
    </row>
    <row r="191" spans="1:27" ht="12.75" customHeight="1" x14ac:dyDescent="0.2">
      <c r="A191" s="311" t="s">
        <v>57</v>
      </c>
      <c r="B191" s="311" t="s">
        <v>237</v>
      </c>
      <c r="C191" s="327">
        <v>0</v>
      </c>
      <c r="D191" s="327">
        <v>0.42757936507936434</v>
      </c>
      <c r="E191" s="327">
        <v>0.46234920634920573</v>
      </c>
      <c r="F191" s="327">
        <v>0.52789285714285639</v>
      </c>
      <c r="G191" s="327">
        <v>0.64377380952380892</v>
      </c>
      <c r="H191" s="327">
        <v>0.71825396825396781</v>
      </c>
      <c r="I191" s="327">
        <v>0.74086111111111042</v>
      </c>
      <c r="J191" s="327">
        <v>0.78291269841269784</v>
      </c>
      <c r="K191" s="327">
        <v>0.85514285714285709</v>
      </c>
      <c r="L191" s="327">
        <v>0.89980158730158688</v>
      </c>
      <c r="M191" s="327">
        <v>0.91302380952380913</v>
      </c>
      <c r="N191" s="327">
        <v>0.93713888888888841</v>
      </c>
      <c r="O191" s="327">
        <v>0.97682936507936435</v>
      </c>
      <c r="P191" s="311">
        <v>1</v>
      </c>
      <c r="Q191" s="311">
        <v>1.0024999999999999</v>
      </c>
      <c r="R191" s="311">
        <v>1.0049999999999999</v>
      </c>
      <c r="S191" s="311">
        <v>1.0075000000000001</v>
      </c>
      <c r="T191" s="311">
        <f t="shared" si="2"/>
        <v>40</v>
      </c>
      <c r="U191" s="311"/>
      <c r="V191" s="311"/>
      <c r="W191" s="311">
        <v>40</v>
      </c>
      <c r="X191" s="311" t="s">
        <v>1892</v>
      </c>
      <c r="Y191" s="311" t="s">
        <v>1893</v>
      </c>
      <c r="Z191" s="311" t="s">
        <v>2078</v>
      </c>
      <c r="AA191" s="377">
        <v>40</v>
      </c>
    </row>
    <row r="192" spans="1:27" ht="12.75" customHeight="1" x14ac:dyDescent="0.2">
      <c r="A192" s="311" t="s">
        <v>114</v>
      </c>
      <c r="B192" s="311" t="s">
        <v>235</v>
      </c>
      <c r="C192" s="327">
        <v>0</v>
      </c>
      <c r="D192" s="327">
        <v>0.55203301127214033</v>
      </c>
      <c r="E192" s="327">
        <v>0.5906048460144917</v>
      </c>
      <c r="F192" s="327">
        <v>0.66003555253623047</v>
      </c>
      <c r="G192" s="327">
        <v>0.77097164351851721</v>
      </c>
      <c r="H192" s="327">
        <v>0.83303140096618233</v>
      </c>
      <c r="I192" s="327">
        <v>0.85024831421094893</v>
      </c>
      <c r="J192" s="327">
        <v>0.88010474537036942</v>
      </c>
      <c r="K192" s="327">
        <v>0.92443455615941938</v>
      </c>
      <c r="L192" s="327">
        <v>0.94751409017713351</v>
      </c>
      <c r="M192" s="327">
        <v>0.95382797403381603</v>
      </c>
      <c r="N192" s="327">
        <v>0.96501391404991943</v>
      </c>
      <c r="O192" s="327">
        <v>0.98454501308373499</v>
      </c>
      <c r="P192" s="311">
        <v>1</v>
      </c>
      <c r="Q192" s="311">
        <v>1.0024999999999999</v>
      </c>
      <c r="R192" s="311">
        <v>1.0049999999999999</v>
      </c>
      <c r="S192" s="311">
        <v>1.0075000000000001</v>
      </c>
      <c r="T192" s="311">
        <f t="shared" si="2"/>
        <v>1000000000</v>
      </c>
      <c r="U192" s="311" t="s">
        <v>315</v>
      </c>
      <c r="V192" s="311"/>
      <c r="W192" s="311">
        <v>1000000000</v>
      </c>
      <c r="X192" s="311" t="s">
        <v>1892</v>
      </c>
      <c r="Y192" s="311" t="s">
        <v>1893</v>
      </c>
      <c r="Z192" s="311" t="s">
        <v>2079</v>
      </c>
      <c r="AA192" s="377">
        <v>1000000000</v>
      </c>
    </row>
    <row r="193" spans="1:27" ht="12.75" customHeight="1" x14ac:dyDescent="0.2">
      <c r="A193" s="311" t="s">
        <v>114</v>
      </c>
      <c r="B193" s="311" t="s">
        <v>236</v>
      </c>
      <c r="C193" s="327">
        <v>0</v>
      </c>
      <c r="D193" s="327">
        <v>0.55203301127214033</v>
      </c>
      <c r="E193" s="327">
        <v>0.5906048460144917</v>
      </c>
      <c r="F193" s="327">
        <v>0.66003555253623047</v>
      </c>
      <c r="G193" s="327">
        <v>0.77097164351851721</v>
      </c>
      <c r="H193" s="327">
        <v>0.83303140096618233</v>
      </c>
      <c r="I193" s="327">
        <v>0.85024831421094893</v>
      </c>
      <c r="J193" s="327">
        <v>0.88010474537036942</v>
      </c>
      <c r="K193" s="327">
        <v>0.92443455615941938</v>
      </c>
      <c r="L193" s="327">
        <v>0.94751409017713351</v>
      </c>
      <c r="M193" s="327">
        <v>0.95382797403381603</v>
      </c>
      <c r="N193" s="327">
        <v>0.96501391404991943</v>
      </c>
      <c r="O193" s="327">
        <v>0.98454501308373499</v>
      </c>
      <c r="P193" s="311">
        <v>1</v>
      </c>
      <c r="Q193" s="311">
        <v>1.0024999999999999</v>
      </c>
      <c r="R193" s="311">
        <v>1.0049999999999999</v>
      </c>
      <c r="S193" s="311">
        <v>1.0075000000000001</v>
      </c>
      <c r="T193" s="311">
        <f t="shared" si="2"/>
        <v>32</v>
      </c>
      <c r="U193" s="311"/>
      <c r="V193" s="311"/>
      <c r="W193" s="311">
        <v>32</v>
      </c>
      <c r="X193" s="311" t="s">
        <v>1892</v>
      </c>
      <c r="Y193" s="311" t="s">
        <v>1893</v>
      </c>
      <c r="Z193" s="311" t="s">
        <v>2080</v>
      </c>
      <c r="AA193" s="377">
        <v>32</v>
      </c>
    </row>
    <row r="194" spans="1:27" ht="12.75" customHeight="1" x14ac:dyDescent="0.2">
      <c r="A194" s="311" t="s">
        <v>114</v>
      </c>
      <c r="B194" s="311" t="s">
        <v>23</v>
      </c>
      <c r="C194" s="327">
        <v>0</v>
      </c>
      <c r="D194" s="327">
        <v>0.55203301127214033</v>
      </c>
      <c r="E194" s="327">
        <v>0.5906048460144917</v>
      </c>
      <c r="F194" s="327">
        <v>0.66003555253623047</v>
      </c>
      <c r="G194" s="327">
        <v>0.77097164351851721</v>
      </c>
      <c r="H194" s="327">
        <v>0.83303140096618233</v>
      </c>
      <c r="I194" s="327">
        <v>0.85024831421094893</v>
      </c>
      <c r="J194" s="327">
        <v>0.88010474537036942</v>
      </c>
      <c r="K194" s="327">
        <v>0.92443455615941938</v>
      </c>
      <c r="L194" s="327">
        <v>0.94751409017713351</v>
      </c>
      <c r="M194" s="327">
        <v>0.95382797403381603</v>
      </c>
      <c r="N194" s="327">
        <v>0.96501391404991943</v>
      </c>
      <c r="O194" s="327">
        <v>0.98454501308373499</v>
      </c>
      <c r="P194" s="311">
        <v>1</v>
      </c>
      <c r="Q194" s="311">
        <v>1.0024999999999999</v>
      </c>
      <c r="R194" s="311">
        <v>1.0049999999999999</v>
      </c>
      <c r="S194" s="311">
        <v>1.0075000000000001</v>
      </c>
      <c r="T194" s="311">
        <f t="shared" si="2"/>
        <v>23</v>
      </c>
      <c r="U194" s="311"/>
      <c r="V194" s="311"/>
      <c r="W194" s="311">
        <v>23</v>
      </c>
      <c r="X194" s="311" t="s">
        <v>1892</v>
      </c>
      <c r="Y194" s="311" t="s">
        <v>1893</v>
      </c>
      <c r="Z194" s="311" t="s">
        <v>2081</v>
      </c>
      <c r="AA194" s="377">
        <v>23</v>
      </c>
    </row>
    <row r="195" spans="1:27" ht="12.75" customHeight="1" x14ac:dyDescent="0.2">
      <c r="A195" s="311" t="s">
        <v>114</v>
      </c>
      <c r="B195" s="311" t="s">
        <v>237</v>
      </c>
      <c r="C195" s="327">
        <v>0</v>
      </c>
      <c r="D195" s="327">
        <v>0.55203301127214033</v>
      </c>
      <c r="E195" s="327">
        <v>0.5906048460144917</v>
      </c>
      <c r="F195" s="327">
        <v>0.66003555253623047</v>
      </c>
      <c r="G195" s="327">
        <v>0.77097164351851721</v>
      </c>
      <c r="H195" s="327">
        <v>0.83303140096618233</v>
      </c>
      <c r="I195" s="327">
        <v>0.85024831421094893</v>
      </c>
      <c r="J195" s="327">
        <v>0.88010474537036942</v>
      </c>
      <c r="K195" s="327">
        <v>0.92443455615941938</v>
      </c>
      <c r="L195" s="327">
        <v>0.94751409017713351</v>
      </c>
      <c r="M195" s="327">
        <v>0.95382797403381603</v>
      </c>
      <c r="N195" s="327">
        <v>0.96501391404991943</v>
      </c>
      <c r="O195" s="327">
        <v>0.98454501308373499</v>
      </c>
      <c r="P195" s="311">
        <v>1</v>
      </c>
      <c r="Q195" s="311">
        <v>1.0024999999999999</v>
      </c>
      <c r="R195" s="311">
        <v>1.0049999999999999</v>
      </c>
      <c r="S195" s="311">
        <v>1.0075000000000001</v>
      </c>
      <c r="T195" s="311">
        <f t="shared" si="2"/>
        <v>18</v>
      </c>
      <c r="U195" s="311"/>
      <c r="V195" s="311"/>
      <c r="W195" s="311">
        <v>18</v>
      </c>
      <c r="X195" s="311" t="s">
        <v>1892</v>
      </c>
      <c r="Y195" s="311" t="s">
        <v>1893</v>
      </c>
      <c r="Z195" s="311" t="s">
        <v>2082</v>
      </c>
      <c r="AA195" s="377">
        <v>18</v>
      </c>
    </row>
    <row r="196" spans="1:27" ht="12.75" customHeight="1" x14ac:dyDescent="0.2">
      <c r="A196" s="311" t="s">
        <v>64</v>
      </c>
      <c r="B196" s="311" t="s">
        <v>235</v>
      </c>
      <c r="C196" s="327">
        <v>0</v>
      </c>
      <c r="D196" s="327">
        <v>0.52785485946776201</v>
      </c>
      <c r="E196" s="327">
        <v>0.56643014655208146</v>
      </c>
      <c r="F196" s="327">
        <v>0.63681318470544224</v>
      </c>
      <c r="G196" s="327">
        <v>0.75262738489641701</v>
      </c>
      <c r="H196" s="327">
        <v>0.82003819487690455</v>
      </c>
      <c r="I196" s="327">
        <v>0.8392072130194711</v>
      </c>
      <c r="J196" s="327">
        <v>0.87304728608793158</v>
      </c>
      <c r="K196" s="327">
        <v>0.92485384730352538</v>
      </c>
      <c r="L196" s="327">
        <v>0.95220243284759543</v>
      </c>
      <c r="M196" s="327">
        <v>0.95953042471042516</v>
      </c>
      <c r="N196" s="327">
        <v>0.97195801801801862</v>
      </c>
      <c r="O196" s="327">
        <v>0.99001791090629976</v>
      </c>
      <c r="P196" s="311">
        <v>1.0000000000000009</v>
      </c>
      <c r="Q196" s="311">
        <v>1.0024999999999999</v>
      </c>
      <c r="R196" s="311">
        <v>1.0049999999999999</v>
      </c>
      <c r="S196" s="311">
        <v>1.0075000000000001</v>
      </c>
      <c r="T196" s="311">
        <f t="shared" ref="T196:T259" si="3">IF($T$2&lt;&gt;0,$AA196*$T$2,$AA196)</f>
        <v>1000000000</v>
      </c>
      <c r="U196" s="311" t="s">
        <v>315</v>
      </c>
      <c r="V196" s="311"/>
      <c r="W196" s="311">
        <v>1000000000</v>
      </c>
      <c r="X196" s="311" t="s">
        <v>1892</v>
      </c>
      <c r="Y196" s="311" t="s">
        <v>1893</v>
      </c>
      <c r="Z196" s="311" t="s">
        <v>2083</v>
      </c>
      <c r="AA196" s="377">
        <v>1000000000</v>
      </c>
    </row>
    <row r="197" spans="1:27" ht="12.75" customHeight="1" x14ac:dyDescent="0.2">
      <c r="A197" s="311" t="s">
        <v>64</v>
      </c>
      <c r="B197" s="311" t="s">
        <v>236</v>
      </c>
      <c r="C197" s="327">
        <v>0</v>
      </c>
      <c r="D197" s="327">
        <v>0.52785485946776201</v>
      </c>
      <c r="E197" s="327">
        <v>0.56643014655208146</v>
      </c>
      <c r="F197" s="327">
        <v>0.63681318470544224</v>
      </c>
      <c r="G197" s="327">
        <v>0.75262738489641701</v>
      </c>
      <c r="H197" s="327">
        <v>0.82003819487690455</v>
      </c>
      <c r="I197" s="327">
        <v>0.8392072130194711</v>
      </c>
      <c r="J197" s="327">
        <v>0.87304728608793158</v>
      </c>
      <c r="K197" s="327">
        <v>0.92485384730352538</v>
      </c>
      <c r="L197" s="327">
        <v>0.95220243284759543</v>
      </c>
      <c r="M197" s="327">
        <v>0.95953042471042516</v>
      </c>
      <c r="N197" s="327">
        <v>0.97195801801801862</v>
      </c>
      <c r="O197" s="327">
        <v>0.99001791090629976</v>
      </c>
      <c r="P197" s="311">
        <v>1.0000000000000009</v>
      </c>
      <c r="Q197" s="311">
        <v>1.0024999999999999</v>
      </c>
      <c r="R197" s="311">
        <v>1.0049999999999999</v>
      </c>
      <c r="S197" s="311">
        <v>1.0075000000000001</v>
      </c>
      <c r="T197" s="311">
        <f t="shared" si="3"/>
        <v>74</v>
      </c>
      <c r="U197" s="311"/>
      <c r="V197" s="311"/>
      <c r="W197" s="311">
        <v>74</v>
      </c>
      <c r="X197" s="311" t="s">
        <v>1892</v>
      </c>
      <c r="Y197" s="311" t="s">
        <v>1893</v>
      </c>
      <c r="Z197" s="311" t="s">
        <v>2084</v>
      </c>
      <c r="AA197" s="377">
        <v>74</v>
      </c>
    </row>
    <row r="198" spans="1:27" ht="12.75" customHeight="1" x14ac:dyDescent="0.2">
      <c r="A198" s="311" t="s">
        <v>64</v>
      </c>
      <c r="B198" s="311" t="s">
        <v>23</v>
      </c>
      <c r="C198" s="327">
        <v>0</v>
      </c>
      <c r="D198" s="327">
        <v>0.52785485946776201</v>
      </c>
      <c r="E198" s="327">
        <v>0.56643014655208146</v>
      </c>
      <c r="F198" s="327">
        <v>0.63681318470544224</v>
      </c>
      <c r="G198" s="327">
        <v>0.75262738489641701</v>
      </c>
      <c r="H198" s="327">
        <v>0.82003819487690455</v>
      </c>
      <c r="I198" s="327">
        <v>0.8392072130194711</v>
      </c>
      <c r="J198" s="327">
        <v>0.87304728608793158</v>
      </c>
      <c r="K198" s="327">
        <v>0.92485384730352538</v>
      </c>
      <c r="L198" s="327">
        <v>0.95220243284759543</v>
      </c>
      <c r="M198" s="327">
        <v>0.95953042471042516</v>
      </c>
      <c r="N198" s="327">
        <v>0.97195801801801862</v>
      </c>
      <c r="O198" s="327">
        <v>0.99001791090629976</v>
      </c>
      <c r="P198" s="311">
        <v>1.0000000000000009</v>
      </c>
      <c r="Q198" s="311">
        <v>1.0024999999999999</v>
      </c>
      <c r="R198" s="311">
        <v>1.0049999999999999</v>
      </c>
      <c r="S198" s="311">
        <v>1.0075000000000001</v>
      </c>
      <c r="T198" s="311">
        <f t="shared" si="3"/>
        <v>50</v>
      </c>
      <c r="U198" s="311"/>
      <c r="V198" s="311"/>
      <c r="W198" s="311">
        <v>50</v>
      </c>
      <c r="X198" s="311" t="s">
        <v>1892</v>
      </c>
      <c r="Y198" s="311" t="s">
        <v>1893</v>
      </c>
      <c r="Z198" s="311" t="s">
        <v>2085</v>
      </c>
      <c r="AA198" s="377">
        <v>50</v>
      </c>
    </row>
    <row r="199" spans="1:27" ht="12.75" customHeight="1" x14ac:dyDescent="0.2">
      <c r="A199" s="311" t="s">
        <v>64</v>
      </c>
      <c r="B199" s="311" t="s">
        <v>237</v>
      </c>
      <c r="C199" s="327">
        <v>0</v>
      </c>
      <c r="D199" s="327">
        <v>0.52785485946776201</v>
      </c>
      <c r="E199" s="327">
        <v>0.56643014655208146</v>
      </c>
      <c r="F199" s="327">
        <v>0.63681318470544224</v>
      </c>
      <c r="G199" s="327">
        <v>0.75262738489641701</v>
      </c>
      <c r="H199" s="327">
        <v>0.82003819487690455</v>
      </c>
      <c r="I199" s="327">
        <v>0.8392072130194711</v>
      </c>
      <c r="J199" s="327">
        <v>0.87304728608793158</v>
      </c>
      <c r="K199" s="327">
        <v>0.92485384730352538</v>
      </c>
      <c r="L199" s="327">
        <v>0.95220243284759543</v>
      </c>
      <c r="M199" s="327">
        <v>0.95953042471042516</v>
      </c>
      <c r="N199" s="327">
        <v>0.97195801801801862</v>
      </c>
      <c r="O199" s="327">
        <v>0.99001791090629976</v>
      </c>
      <c r="P199" s="311">
        <v>1.0000000000000009</v>
      </c>
      <c r="Q199" s="311">
        <v>1.0024999999999999</v>
      </c>
      <c r="R199" s="311">
        <v>1.0049999999999999</v>
      </c>
      <c r="S199" s="311">
        <v>1.0075000000000001</v>
      </c>
      <c r="T199" s="311">
        <f t="shared" si="3"/>
        <v>31</v>
      </c>
      <c r="U199" s="311"/>
      <c r="V199" s="311"/>
      <c r="W199" s="311">
        <v>31</v>
      </c>
      <c r="X199" s="311" t="s">
        <v>1892</v>
      </c>
      <c r="Y199" s="311" t="s">
        <v>1893</v>
      </c>
      <c r="Z199" s="311" t="s">
        <v>2086</v>
      </c>
      <c r="AA199" s="377">
        <v>31</v>
      </c>
    </row>
    <row r="200" spans="1:27" ht="12.75" customHeight="1" x14ac:dyDescent="0.2">
      <c r="A200" s="311" t="s">
        <v>61</v>
      </c>
      <c r="B200" s="311" t="s">
        <v>236</v>
      </c>
      <c r="C200" s="327">
        <v>0</v>
      </c>
      <c r="D200" s="327">
        <v>0.25</v>
      </c>
      <c r="E200" s="327">
        <v>0.27500000000000002</v>
      </c>
      <c r="F200" s="327">
        <v>0.32499999999999996</v>
      </c>
      <c r="G200" s="327">
        <v>0.42500000000000004</v>
      </c>
      <c r="H200" s="327">
        <v>0.5</v>
      </c>
      <c r="I200" s="327">
        <v>0.52500000000000002</v>
      </c>
      <c r="J200" s="327">
        <v>0.57499999999999996</v>
      </c>
      <c r="K200" s="327">
        <v>0.67500000000000004</v>
      </c>
      <c r="L200" s="327">
        <v>0.75</v>
      </c>
      <c r="M200" s="327">
        <v>0.77499999999999991</v>
      </c>
      <c r="N200" s="327">
        <v>0.82499999999999996</v>
      </c>
      <c r="O200" s="327">
        <v>0.92500000000000004</v>
      </c>
      <c r="P200" s="311">
        <v>1</v>
      </c>
      <c r="Q200" s="311">
        <v>1.0024999999999999</v>
      </c>
      <c r="R200" s="311">
        <v>1.0049999999999999</v>
      </c>
      <c r="S200" s="311">
        <v>1.0075000000000001</v>
      </c>
      <c r="T200" s="311">
        <f t="shared" si="3"/>
        <v>200</v>
      </c>
      <c r="U200" s="311"/>
      <c r="V200" s="311"/>
      <c r="W200" s="311">
        <v>200</v>
      </c>
      <c r="X200" s="311" t="s">
        <v>1892</v>
      </c>
      <c r="Y200" s="311" t="s">
        <v>1893</v>
      </c>
      <c r="Z200" s="311" t="s">
        <v>2087</v>
      </c>
      <c r="AA200" s="377">
        <v>200</v>
      </c>
    </row>
    <row r="201" spans="1:27" ht="12.75" customHeight="1" x14ac:dyDescent="0.2">
      <c r="A201" s="311" t="s">
        <v>61</v>
      </c>
      <c r="B201" s="311" t="s">
        <v>23</v>
      </c>
      <c r="C201" s="327">
        <v>0</v>
      </c>
      <c r="D201" s="327">
        <v>0.25</v>
      </c>
      <c r="E201" s="327">
        <v>0.27500000000000002</v>
      </c>
      <c r="F201" s="327">
        <v>0.32499999999999996</v>
      </c>
      <c r="G201" s="327">
        <v>0.42500000000000004</v>
      </c>
      <c r="H201" s="327">
        <v>0.5</v>
      </c>
      <c r="I201" s="327">
        <v>0.52500000000000002</v>
      </c>
      <c r="J201" s="327">
        <v>0.57499999999999996</v>
      </c>
      <c r="K201" s="327">
        <v>0.67500000000000004</v>
      </c>
      <c r="L201" s="327">
        <v>0.75</v>
      </c>
      <c r="M201" s="327">
        <v>0.77499999999999991</v>
      </c>
      <c r="N201" s="327">
        <v>0.82499999999999996</v>
      </c>
      <c r="O201" s="327">
        <v>0.92500000000000004</v>
      </c>
      <c r="P201" s="311">
        <v>1</v>
      </c>
      <c r="Q201" s="311">
        <v>1.0024999999999999</v>
      </c>
      <c r="R201" s="311">
        <v>1.0049999999999999</v>
      </c>
      <c r="S201" s="311">
        <v>1.0075000000000001</v>
      </c>
      <c r="T201" s="311">
        <f t="shared" si="3"/>
        <v>100</v>
      </c>
      <c r="U201" s="311"/>
      <c r="V201" s="311"/>
      <c r="W201" s="311">
        <v>100</v>
      </c>
      <c r="X201" s="311" t="s">
        <v>1892</v>
      </c>
      <c r="Y201" s="311" t="s">
        <v>1893</v>
      </c>
      <c r="Z201" s="311" t="s">
        <v>2088</v>
      </c>
      <c r="AA201" s="377">
        <v>100</v>
      </c>
    </row>
    <row r="202" spans="1:27" ht="12.75" customHeight="1" x14ac:dyDescent="0.2">
      <c r="A202" s="311" t="s">
        <v>61</v>
      </c>
      <c r="B202" s="311" t="s">
        <v>237</v>
      </c>
      <c r="C202" s="327">
        <v>0</v>
      </c>
      <c r="D202" s="327">
        <v>0.25</v>
      </c>
      <c r="E202" s="327">
        <v>0.27500000000000002</v>
      </c>
      <c r="F202" s="327">
        <v>0.32499999999999996</v>
      </c>
      <c r="G202" s="327">
        <v>0.42500000000000004</v>
      </c>
      <c r="H202" s="327">
        <v>0.5</v>
      </c>
      <c r="I202" s="327">
        <v>0.52500000000000002</v>
      </c>
      <c r="J202" s="327">
        <v>0.57499999999999996</v>
      </c>
      <c r="K202" s="327">
        <v>0.67500000000000004</v>
      </c>
      <c r="L202" s="327">
        <v>0.75</v>
      </c>
      <c r="M202" s="327">
        <v>0.77499999999999991</v>
      </c>
      <c r="N202" s="327">
        <v>0.82499999999999996</v>
      </c>
      <c r="O202" s="327">
        <v>0.92500000000000004</v>
      </c>
      <c r="P202" s="311">
        <v>1</v>
      </c>
      <c r="Q202" s="311">
        <v>1.0024999999999999</v>
      </c>
      <c r="R202" s="311">
        <v>1.0049999999999999</v>
      </c>
      <c r="S202" s="311">
        <v>1.0075000000000001</v>
      </c>
      <c r="T202" s="311">
        <f t="shared" si="3"/>
        <v>40</v>
      </c>
      <c r="U202" s="311"/>
      <c r="V202" s="311"/>
      <c r="W202" s="311">
        <v>40</v>
      </c>
      <c r="X202" s="311" t="s">
        <v>1892</v>
      </c>
      <c r="Y202" s="311" t="s">
        <v>1893</v>
      </c>
      <c r="Z202" s="311" t="s">
        <v>2089</v>
      </c>
      <c r="AA202" s="377">
        <v>40</v>
      </c>
    </row>
    <row r="203" spans="1:27" ht="12.75" customHeight="1" x14ac:dyDescent="0.2">
      <c r="A203" s="311" t="s">
        <v>73</v>
      </c>
      <c r="B203" s="311" t="s">
        <v>236</v>
      </c>
      <c r="C203" s="327">
        <v>0</v>
      </c>
      <c r="D203" s="327">
        <v>0.38267195767195722</v>
      </c>
      <c r="E203" s="327">
        <v>0.41641911375661328</v>
      </c>
      <c r="F203" s="327">
        <v>0.48136369047618982</v>
      </c>
      <c r="G203" s="327">
        <v>0.6008724206349203</v>
      </c>
      <c r="H203" s="327">
        <v>0.68121693121693094</v>
      </c>
      <c r="I203" s="327">
        <v>0.7061949074074072</v>
      </c>
      <c r="J203" s="327">
        <v>0.75340667989417964</v>
      </c>
      <c r="K203" s="327">
        <v>0.83667202380952377</v>
      </c>
      <c r="L203" s="327">
        <v>0.88915343915343925</v>
      </c>
      <c r="M203" s="327">
        <v>0.90471408730158709</v>
      </c>
      <c r="N203" s="327">
        <v>0.93289675925925919</v>
      </c>
      <c r="O203" s="327">
        <v>0.97732612433862442</v>
      </c>
      <c r="P203" s="311">
        <v>1</v>
      </c>
      <c r="Q203" s="311">
        <v>1.0024999999999999</v>
      </c>
      <c r="R203" s="311">
        <v>1.0049999999999999</v>
      </c>
      <c r="S203" s="311">
        <v>1.0075000000000001</v>
      </c>
      <c r="T203" s="311">
        <f t="shared" si="3"/>
        <v>90</v>
      </c>
      <c r="U203" s="311"/>
      <c r="V203" s="311"/>
      <c r="W203" s="311">
        <v>90</v>
      </c>
      <c r="X203" s="311" t="s">
        <v>1892</v>
      </c>
      <c r="Y203" s="311" t="s">
        <v>1893</v>
      </c>
      <c r="Z203" s="311" t="s">
        <v>2090</v>
      </c>
      <c r="AA203" s="377">
        <v>90</v>
      </c>
    </row>
    <row r="204" spans="1:27" ht="12.75" customHeight="1" x14ac:dyDescent="0.2">
      <c r="A204" s="311" t="s">
        <v>73</v>
      </c>
      <c r="B204" s="311" t="s">
        <v>23</v>
      </c>
      <c r="C204" s="327">
        <v>0</v>
      </c>
      <c r="D204" s="327">
        <v>0.38267195767195722</v>
      </c>
      <c r="E204" s="327">
        <v>0.41641911375661328</v>
      </c>
      <c r="F204" s="327">
        <v>0.48136369047618982</v>
      </c>
      <c r="G204" s="327">
        <v>0.6008724206349203</v>
      </c>
      <c r="H204" s="327">
        <v>0.68121693121693094</v>
      </c>
      <c r="I204" s="327">
        <v>0.7061949074074072</v>
      </c>
      <c r="J204" s="327">
        <v>0.75340667989417964</v>
      </c>
      <c r="K204" s="327">
        <v>0.83667202380952377</v>
      </c>
      <c r="L204" s="327">
        <v>0.88915343915343925</v>
      </c>
      <c r="M204" s="327">
        <v>0.90471408730158709</v>
      </c>
      <c r="N204" s="327">
        <v>0.93289675925925919</v>
      </c>
      <c r="O204" s="327">
        <v>0.97732612433862442</v>
      </c>
      <c r="P204" s="311">
        <v>1</v>
      </c>
      <c r="Q204" s="311">
        <v>1.0024999999999999</v>
      </c>
      <c r="R204" s="311">
        <v>1.0049999999999999</v>
      </c>
      <c r="S204" s="311">
        <v>1.0075000000000001</v>
      </c>
      <c r="T204" s="311">
        <f t="shared" si="3"/>
        <v>50</v>
      </c>
      <c r="U204" s="311"/>
      <c r="V204" s="311"/>
      <c r="W204" s="311">
        <v>50</v>
      </c>
      <c r="X204" s="311" t="s">
        <v>1892</v>
      </c>
      <c r="Y204" s="311" t="s">
        <v>1893</v>
      </c>
      <c r="Z204" s="311" t="s">
        <v>2091</v>
      </c>
      <c r="AA204" s="377">
        <v>50</v>
      </c>
    </row>
    <row r="205" spans="1:27" ht="12.75" customHeight="1" x14ac:dyDescent="0.2">
      <c r="A205" s="311" t="s">
        <v>73</v>
      </c>
      <c r="B205" s="311" t="s">
        <v>237</v>
      </c>
      <c r="C205" s="327">
        <v>0</v>
      </c>
      <c r="D205" s="327">
        <v>0.38267195767195722</v>
      </c>
      <c r="E205" s="327">
        <v>0.41641911375661328</v>
      </c>
      <c r="F205" s="327">
        <v>0.48136369047618982</v>
      </c>
      <c r="G205" s="327">
        <v>0.6008724206349203</v>
      </c>
      <c r="H205" s="327">
        <v>0.68121693121693094</v>
      </c>
      <c r="I205" s="327">
        <v>0.7061949074074072</v>
      </c>
      <c r="J205" s="327">
        <v>0.75340667989417964</v>
      </c>
      <c r="K205" s="327">
        <v>0.83667202380952377</v>
      </c>
      <c r="L205" s="327">
        <v>0.88915343915343925</v>
      </c>
      <c r="M205" s="327">
        <v>0.90471408730158709</v>
      </c>
      <c r="N205" s="327">
        <v>0.93289675925925919</v>
      </c>
      <c r="O205" s="327">
        <v>0.97732612433862442</v>
      </c>
      <c r="P205" s="311">
        <v>1</v>
      </c>
      <c r="Q205" s="311">
        <v>1.0024999999999999</v>
      </c>
      <c r="R205" s="311">
        <v>1.0049999999999999</v>
      </c>
      <c r="S205" s="311">
        <v>1.0075000000000001</v>
      </c>
      <c r="T205" s="311">
        <f t="shared" si="3"/>
        <v>40</v>
      </c>
      <c r="U205" s="311"/>
      <c r="V205" s="311"/>
      <c r="W205" s="311">
        <v>40</v>
      </c>
      <c r="X205" s="311" t="s">
        <v>1892</v>
      </c>
      <c r="Y205" s="311" t="s">
        <v>1893</v>
      </c>
      <c r="Z205" s="311" t="s">
        <v>2092</v>
      </c>
      <c r="AA205" s="377">
        <v>40</v>
      </c>
    </row>
    <row r="206" spans="1:27" ht="12.75" customHeight="1" x14ac:dyDescent="0.2">
      <c r="A206" s="311" t="s">
        <v>70</v>
      </c>
      <c r="B206" s="311" t="s">
        <v>236</v>
      </c>
      <c r="C206" s="327">
        <v>0</v>
      </c>
      <c r="D206" s="327">
        <v>0.25</v>
      </c>
      <c r="E206" s="327">
        <v>0.27500000000000002</v>
      </c>
      <c r="F206" s="327">
        <v>0.32499999999999996</v>
      </c>
      <c r="G206" s="327">
        <v>0.42500000000000004</v>
      </c>
      <c r="H206" s="327">
        <v>0.5</v>
      </c>
      <c r="I206" s="327">
        <v>0.52500000000000002</v>
      </c>
      <c r="J206" s="327">
        <v>0.57499999999999996</v>
      </c>
      <c r="K206" s="327">
        <v>0.67500000000000004</v>
      </c>
      <c r="L206" s="327">
        <v>0.75</v>
      </c>
      <c r="M206" s="327">
        <v>0.77499999999999991</v>
      </c>
      <c r="N206" s="327">
        <v>0.82499999999999996</v>
      </c>
      <c r="O206" s="327">
        <v>0.92500000000000004</v>
      </c>
      <c r="P206" s="311">
        <v>1</v>
      </c>
      <c r="Q206" s="311">
        <v>1.0024999999999999</v>
      </c>
      <c r="R206" s="311">
        <v>1.0049999999999999</v>
      </c>
      <c r="S206" s="311">
        <v>1.0075000000000001</v>
      </c>
      <c r="T206" s="311">
        <f t="shared" si="3"/>
        <v>60</v>
      </c>
      <c r="U206" s="311"/>
      <c r="V206" s="311"/>
      <c r="W206" s="311">
        <v>60</v>
      </c>
      <c r="X206" s="311" t="s">
        <v>1892</v>
      </c>
      <c r="Y206" s="311" t="s">
        <v>1893</v>
      </c>
      <c r="Z206" s="311" t="s">
        <v>2093</v>
      </c>
      <c r="AA206" s="377">
        <v>60</v>
      </c>
    </row>
    <row r="207" spans="1:27" ht="12.75" customHeight="1" x14ac:dyDescent="0.2">
      <c r="A207" s="311" t="s">
        <v>70</v>
      </c>
      <c r="B207" s="311" t="s">
        <v>23</v>
      </c>
      <c r="C207" s="327">
        <v>0</v>
      </c>
      <c r="D207" s="327">
        <v>0.25</v>
      </c>
      <c r="E207" s="327">
        <v>0.27500000000000002</v>
      </c>
      <c r="F207" s="327">
        <v>0.32499999999999996</v>
      </c>
      <c r="G207" s="327">
        <v>0.42500000000000004</v>
      </c>
      <c r="H207" s="327">
        <v>0.5</v>
      </c>
      <c r="I207" s="327">
        <v>0.52500000000000002</v>
      </c>
      <c r="J207" s="327">
        <v>0.57499999999999996</v>
      </c>
      <c r="K207" s="327">
        <v>0.67500000000000004</v>
      </c>
      <c r="L207" s="327">
        <v>0.75</v>
      </c>
      <c r="M207" s="327">
        <v>0.77499999999999991</v>
      </c>
      <c r="N207" s="327">
        <v>0.82499999999999996</v>
      </c>
      <c r="O207" s="327">
        <v>0.92500000000000004</v>
      </c>
      <c r="P207" s="311">
        <v>1</v>
      </c>
      <c r="Q207" s="311">
        <v>1.0024999999999999</v>
      </c>
      <c r="R207" s="311">
        <v>1.0049999999999999</v>
      </c>
      <c r="S207" s="311">
        <v>1.0075000000000001</v>
      </c>
      <c r="T207" s="311">
        <f t="shared" si="3"/>
        <v>40</v>
      </c>
      <c r="U207" s="311"/>
      <c r="V207" s="311"/>
      <c r="W207" s="311">
        <v>40</v>
      </c>
      <c r="X207" s="311" t="s">
        <v>1892</v>
      </c>
      <c r="Y207" s="311" t="s">
        <v>1893</v>
      </c>
      <c r="Z207" s="311" t="s">
        <v>2094</v>
      </c>
      <c r="AA207" s="377">
        <v>40</v>
      </c>
    </row>
    <row r="208" spans="1:27" ht="12.75" customHeight="1" x14ac:dyDescent="0.2">
      <c r="A208" s="311" t="s">
        <v>70</v>
      </c>
      <c r="B208" s="311" t="s">
        <v>237</v>
      </c>
      <c r="C208" s="327">
        <v>0</v>
      </c>
      <c r="D208" s="327">
        <v>0.25</v>
      </c>
      <c r="E208" s="327">
        <v>0.27500000000000002</v>
      </c>
      <c r="F208" s="327">
        <v>0.32499999999999996</v>
      </c>
      <c r="G208" s="327">
        <v>0.42500000000000004</v>
      </c>
      <c r="H208" s="327">
        <v>0.5</v>
      </c>
      <c r="I208" s="327">
        <v>0.52500000000000002</v>
      </c>
      <c r="J208" s="327">
        <v>0.57499999999999996</v>
      </c>
      <c r="K208" s="327">
        <v>0.67500000000000004</v>
      </c>
      <c r="L208" s="327">
        <v>0.75</v>
      </c>
      <c r="M208" s="327">
        <v>0.77499999999999991</v>
      </c>
      <c r="N208" s="327">
        <v>0.82499999999999996</v>
      </c>
      <c r="O208" s="327">
        <v>0.92500000000000004</v>
      </c>
      <c r="P208" s="311">
        <v>1</v>
      </c>
      <c r="Q208" s="311">
        <v>1.0024999999999999</v>
      </c>
      <c r="R208" s="311">
        <v>1.0049999999999999</v>
      </c>
      <c r="S208" s="311">
        <v>1.0075000000000001</v>
      </c>
      <c r="T208" s="311">
        <f t="shared" si="3"/>
        <v>20</v>
      </c>
      <c r="U208" s="311"/>
      <c r="V208" s="311"/>
      <c r="W208" s="311">
        <v>20</v>
      </c>
      <c r="X208" s="311" t="s">
        <v>1892</v>
      </c>
      <c r="Y208" s="311" t="s">
        <v>1893</v>
      </c>
      <c r="Z208" s="311" t="s">
        <v>2095</v>
      </c>
      <c r="AA208" s="377">
        <v>20</v>
      </c>
    </row>
    <row r="209" spans="1:27" ht="12.75" customHeight="1" x14ac:dyDescent="0.2">
      <c r="A209" s="311" t="s">
        <v>127</v>
      </c>
      <c r="B209" s="311" t="s">
        <v>236</v>
      </c>
      <c r="C209" s="327">
        <v>0</v>
      </c>
      <c r="D209" s="327">
        <v>0.45663954055142231</v>
      </c>
      <c r="E209" s="327">
        <v>0.49140428772755129</v>
      </c>
      <c r="F209" s="327">
        <v>0.55580113961472333</v>
      </c>
      <c r="G209" s="327">
        <v>0.66581401392332529</v>
      </c>
      <c r="H209" s="327">
        <v>0.73385890181617719</v>
      </c>
      <c r="I209" s="327">
        <v>0.75411862112446171</v>
      </c>
      <c r="J209" s="327">
        <v>0.79138013912730143</v>
      </c>
      <c r="K209" s="327">
        <v>0.85462123307266813</v>
      </c>
      <c r="L209" s="327">
        <v>0.89414881217284403</v>
      </c>
      <c r="M209" s="327">
        <v>0.90615257645114067</v>
      </c>
      <c r="N209" s="327">
        <v>0.92877690624536413</v>
      </c>
      <c r="O209" s="327">
        <v>0.97024251117892613</v>
      </c>
      <c r="P209" s="311">
        <v>1</v>
      </c>
      <c r="Q209" s="311">
        <v>1.0024999999999999</v>
      </c>
      <c r="R209" s="311">
        <v>1.0049999999999999</v>
      </c>
      <c r="S209" s="311">
        <v>1.0075000000000001</v>
      </c>
      <c r="T209" s="311">
        <f t="shared" si="3"/>
        <v>107</v>
      </c>
      <c r="U209" s="311"/>
      <c r="V209" s="311"/>
      <c r="W209" s="311">
        <v>107</v>
      </c>
      <c r="X209" s="311" t="s">
        <v>1892</v>
      </c>
      <c r="Y209" s="311" t="s">
        <v>1893</v>
      </c>
      <c r="Z209" s="311" t="s">
        <v>2096</v>
      </c>
      <c r="AA209" s="377">
        <v>107</v>
      </c>
    </row>
    <row r="210" spans="1:27" ht="12.75" customHeight="1" x14ac:dyDescent="0.2">
      <c r="A210" s="311" t="s">
        <v>127</v>
      </c>
      <c r="B210" s="311" t="s">
        <v>23</v>
      </c>
      <c r="C210" s="327">
        <v>0</v>
      </c>
      <c r="D210" s="327">
        <v>0.45663954055142231</v>
      </c>
      <c r="E210" s="327">
        <v>0.49140428772755129</v>
      </c>
      <c r="F210" s="327">
        <v>0.55580113961472333</v>
      </c>
      <c r="G210" s="327">
        <v>0.66581401392332529</v>
      </c>
      <c r="H210" s="327">
        <v>0.73385890181617719</v>
      </c>
      <c r="I210" s="327">
        <v>0.75411862112446171</v>
      </c>
      <c r="J210" s="327">
        <v>0.79138013912730143</v>
      </c>
      <c r="K210" s="327">
        <v>0.85462123307266813</v>
      </c>
      <c r="L210" s="327">
        <v>0.89414881217284403</v>
      </c>
      <c r="M210" s="327">
        <v>0.90615257645114067</v>
      </c>
      <c r="N210" s="327">
        <v>0.92877690624536413</v>
      </c>
      <c r="O210" s="327">
        <v>0.97024251117892613</v>
      </c>
      <c r="P210" s="311">
        <v>1</v>
      </c>
      <c r="Q210" s="311">
        <v>1.0024999999999999</v>
      </c>
      <c r="R210" s="311">
        <v>1.0049999999999999</v>
      </c>
      <c r="S210" s="311">
        <v>1.0075000000000001</v>
      </c>
      <c r="T210" s="311">
        <f t="shared" si="3"/>
        <v>60</v>
      </c>
      <c r="U210" s="311"/>
      <c r="V210" s="311"/>
      <c r="W210" s="311">
        <v>60</v>
      </c>
      <c r="X210" s="311" t="s">
        <v>1892</v>
      </c>
      <c r="Y210" s="311" t="s">
        <v>1893</v>
      </c>
      <c r="Z210" s="311" t="s">
        <v>2097</v>
      </c>
      <c r="AA210" s="377">
        <v>60</v>
      </c>
    </row>
    <row r="211" spans="1:27" ht="12.75" customHeight="1" x14ac:dyDescent="0.2">
      <c r="A211" s="311" t="s">
        <v>127</v>
      </c>
      <c r="B211" s="311" t="s">
        <v>237</v>
      </c>
      <c r="C211" s="327">
        <v>0</v>
      </c>
      <c r="D211" s="327">
        <v>0.45663954055142231</v>
      </c>
      <c r="E211" s="327">
        <v>0.49140428772755129</v>
      </c>
      <c r="F211" s="327">
        <v>0.55580113961472333</v>
      </c>
      <c r="G211" s="327">
        <v>0.66581401392332529</v>
      </c>
      <c r="H211" s="327">
        <v>0.73385890181617719</v>
      </c>
      <c r="I211" s="327">
        <v>0.75411862112446171</v>
      </c>
      <c r="J211" s="327">
        <v>0.79138013912730143</v>
      </c>
      <c r="K211" s="327">
        <v>0.85462123307266813</v>
      </c>
      <c r="L211" s="327">
        <v>0.89414881217284403</v>
      </c>
      <c r="M211" s="327">
        <v>0.90615257645114067</v>
      </c>
      <c r="N211" s="327">
        <v>0.92877690624536413</v>
      </c>
      <c r="O211" s="327">
        <v>0.97024251117892613</v>
      </c>
      <c r="P211" s="311">
        <v>1</v>
      </c>
      <c r="Q211" s="311">
        <v>1.0024999999999999</v>
      </c>
      <c r="R211" s="311">
        <v>1.0049999999999999</v>
      </c>
      <c r="S211" s="311">
        <v>1.0075000000000001</v>
      </c>
      <c r="T211" s="311">
        <f t="shared" si="3"/>
        <v>35</v>
      </c>
      <c r="U211" s="311"/>
      <c r="V211" s="311"/>
      <c r="W211" s="311">
        <v>35</v>
      </c>
      <c r="X211" s="311" t="s">
        <v>1892</v>
      </c>
      <c r="Y211" s="311" t="s">
        <v>1893</v>
      </c>
      <c r="Z211" s="311" t="s">
        <v>2098</v>
      </c>
      <c r="AA211" s="377">
        <v>35</v>
      </c>
    </row>
    <row r="212" spans="1:27" ht="12.75" customHeight="1" x14ac:dyDescent="0.2">
      <c r="A212" s="311" t="s">
        <v>118</v>
      </c>
      <c r="B212" s="311" t="s">
        <v>235</v>
      </c>
      <c r="C212" s="327">
        <v>0</v>
      </c>
      <c r="D212" s="327">
        <v>0.24206349206349187</v>
      </c>
      <c r="E212" s="327">
        <v>0.26656084656084639</v>
      </c>
      <c r="F212" s="327">
        <v>0.31571428571428545</v>
      </c>
      <c r="G212" s="327">
        <v>0.41465608465608456</v>
      </c>
      <c r="H212" s="327">
        <v>0.48941798941798925</v>
      </c>
      <c r="I212" s="327">
        <v>0.51444444444444426</v>
      </c>
      <c r="J212" s="327">
        <v>0.56465608465608441</v>
      </c>
      <c r="K212" s="327">
        <v>0.6657142857142857</v>
      </c>
      <c r="L212" s="327">
        <v>0.74206349206349209</v>
      </c>
      <c r="M212" s="327">
        <v>0.76761904761904742</v>
      </c>
      <c r="N212" s="327">
        <v>0.81888888888888878</v>
      </c>
      <c r="O212" s="327">
        <v>0.92206349206349203</v>
      </c>
      <c r="P212" s="311">
        <v>1</v>
      </c>
      <c r="Q212" s="311">
        <v>1.0024999999999999</v>
      </c>
      <c r="R212" s="311">
        <v>1.0049999999999999</v>
      </c>
      <c r="S212" s="311">
        <v>1.0075000000000001</v>
      </c>
      <c r="T212" s="311">
        <f t="shared" si="3"/>
        <v>1000000000</v>
      </c>
      <c r="U212" s="311" t="s">
        <v>315</v>
      </c>
      <c r="V212" s="311"/>
      <c r="W212" s="311">
        <v>1000000000</v>
      </c>
      <c r="X212" s="311" t="s">
        <v>1892</v>
      </c>
      <c r="Y212" s="311" t="s">
        <v>1893</v>
      </c>
      <c r="Z212" s="311" t="s">
        <v>2099</v>
      </c>
      <c r="AA212" s="377">
        <v>1000000000</v>
      </c>
    </row>
    <row r="213" spans="1:27" ht="12.75" customHeight="1" x14ac:dyDescent="0.2">
      <c r="A213" s="311" t="s">
        <v>118</v>
      </c>
      <c r="B213" s="311" t="s">
        <v>236</v>
      </c>
      <c r="C213" s="327">
        <v>0</v>
      </c>
      <c r="D213" s="327">
        <v>0.24206349206349187</v>
      </c>
      <c r="E213" s="327">
        <v>0.26656084656084639</v>
      </c>
      <c r="F213" s="327">
        <v>0.31571428571428545</v>
      </c>
      <c r="G213" s="327">
        <v>0.41465608465608456</v>
      </c>
      <c r="H213" s="327">
        <v>0.48941798941798925</v>
      </c>
      <c r="I213" s="327">
        <v>0.51444444444444426</v>
      </c>
      <c r="J213" s="327">
        <v>0.56465608465608441</v>
      </c>
      <c r="K213" s="327">
        <v>0.6657142857142857</v>
      </c>
      <c r="L213" s="327">
        <v>0.74206349206349209</v>
      </c>
      <c r="M213" s="327">
        <v>0.76761904761904742</v>
      </c>
      <c r="N213" s="327">
        <v>0.81888888888888878</v>
      </c>
      <c r="O213" s="327">
        <v>0.92206349206349203</v>
      </c>
      <c r="P213" s="311">
        <v>1</v>
      </c>
      <c r="Q213" s="311">
        <v>1.0024999999999999</v>
      </c>
      <c r="R213" s="311">
        <v>1.0049999999999999</v>
      </c>
      <c r="S213" s="311">
        <v>1.0075000000000001</v>
      </c>
      <c r="T213" s="311">
        <f t="shared" si="3"/>
        <v>36</v>
      </c>
      <c r="U213" s="311"/>
      <c r="V213" s="311"/>
      <c r="W213" s="311">
        <v>36</v>
      </c>
      <c r="X213" s="311" t="s">
        <v>1892</v>
      </c>
      <c r="Y213" s="311" t="s">
        <v>1893</v>
      </c>
      <c r="Z213" s="311" t="s">
        <v>2100</v>
      </c>
      <c r="AA213" s="377">
        <v>36</v>
      </c>
    </row>
    <row r="214" spans="1:27" ht="12.75" customHeight="1" x14ac:dyDescent="0.2">
      <c r="A214" s="311" t="s">
        <v>118</v>
      </c>
      <c r="B214" s="311" t="s">
        <v>23</v>
      </c>
      <c r="C214" s="327">
        <v>0</v>
      </c>
      <c r="D214" s="327">
        <v>0.24206349206349187</v>
      </c>
      <c r="E214" s="327">
        <v>0.26656084656084639</v>
      </c>
      <c r="F214" s="327">
        <v>0.31571428571428545</v>
      </c>
      <c r="G214" s="327">
        <v>0.41465608465608456</v>
      </c>
      <c r="H214" s="327">
        <v>0.48941798941798925</v>
      </c>
      <c r="I214" s="327">
        <v>0.51444444444444426</v>
      </c>
      <c r="J214" s="327">
        <v>0.56465608465608441</v>
      </c>
      <c r="K214" s="327">
        <v>0.6657142857142857</v>
      </c>
      <c r="L214" s="327">
        <v>0.74206349206349209</v>
      </c>
      <c r="M214" s="327">
        <v>0.76761904761904742</v>
      </c>
      <c r="N214" s="327">
        <v>0.81888888888888878</v>
      </c>
      <c r="O214" s="327">
        <v>0.92206349206349203</v>
      </c>
      <c r="P214" s="311">
        <v>1</v>
      </c>
      <c r="Q214" s="311">
        <v>1.0024999999999999</v>
      </c>
      <c r="R214" s="311">
        <v>1.0049999999999999</v>
      </c>
      <c r="S214" s="311">
        <v>1.0075000000000001</v>
      </c>
      <c r="T214" s="311">
        <f t="shared" si="3"/>
        <v>20</v>
      </c>
      <c r="U214" s="311"/>
      <c r="V214" s="311"/>
      <c r="W214" s="311">
        <v>20</v>
      </c>
      <c r="X214" s="311" t="s">
        <v>1892</v>
      </c>
      <c r="Y214" s="311" t="s">
        <v>1893</v>
      </c>
      <c r="Z214" s="311" t="s">
        <v>2101</v>
      </c>
      <c r="AA214" s="377">
        <v>20</v>
      </c>
    </row>
    <row r="215" spans="1:27" ht="12.75" customHeight="1" x14ac:dyDescent="0.2">
      <c r="A215" s="311" t="s">
        <v>118</v>
      </c>
      <c r="B215" s="311" t="s">
        <v>237</v>
      </c>
      <c r="C215" s="327">
        <v>0</v>
      </c>
      <c r="D215" s="327">
        <v>0.24206349206349187</v>
      </c>
      <c r="E215" s="327">
        <v>0.26656084656084639</v>
      </c>
      <c r="F215" s="327">
        <v>0.31571428571428545</v>
      </c>
      <c r="G215" s="327">
        <v>0.41465608465608456</v>
      </c>
      <c r="H215" s="327">
        <v>0.48941798941798925</v>
      </c>
      <c r="I215" s="327">
        <v>0.51444444444444426</v>
      </c>
      <c r="J215" s="327">
        <v>0.56465608465608441</v>
      </c>
      <c r="K215" s="327">
        <v>0.6657142857142857</v>
      </c>
      <c r="L215" s="327">
        <v>0.74206349206349209</v>
      </c>
      <c r="M215" s="327">
        <v>0.76761904761904742</v>
      </c>
      <c r="N215" s="327">
        <v>0.81888888888888878</v>
      </c>
      <c r="O215" s="327">
        <v>0.92206349206349203</v>
      </c>
      <c r="P215" s="311">
        <v>1</v>
      </c>
      <c r="Q215" s="311">
        <v>1.0024999999999999</v>
      </c>
      <c r="R215" s="311">
        <v>1.0049999999999999</v>
      </c>
      <c r="S215" s="311">
        <v>1.0075000000000001</v>
      </c>
      <c r="T215" s="311">
        <f t="shared" si="3"/>
        <v>12</v>
      </c>
      <c r="U215" s="311"/>
      <c r="V215" s="311"/>
      <c r="W215" s="311">
        <v>12</v>
      </c>
      <c r="X215" s="311" t="s">
        <v>1892</v>
      </c>
      <c r="Y215" s="311" t="s">
        <v>1893</v>
      </c>
      <c r="Z215" s="311" t="s">
        <v>2102</v>
      </c>
      <c r="AA215" s="377">
        <v>12</v>
      </c>
    </row>
    <row r="216" spans="1:27" ht="12.75" customHeight="1" x14ac:dyDescent="0.2">
      <c r="A216" s="311" t="s">
        <v>91</v>
      </c>
      <c r="B216" s="311"/>
      <c r="C216" s="327">
        <v>0</v>
      </c>
      <c r="D216" s="327">
        <v>0.62142857142856944</v>
      </c>
      <c r="E216" s="327">
        <v>0.66064821428571241</v>
      </c>
      <c r="F216" s="327">
        <v>0.72885892857142642</v>
      </c>
      <c r="G216" s="327">
        <v>0.82926607142857001</v>
      </c>
      <c r="H216" s="327">
        <v>0.87857142857142745</v>
      </c>
      <c r="I216" s="327">
        <v>0.89098749999999893</v>
      </c>
      <c r="J216" s="327">
        <v>0.91084107142857085</v>
      </c>
      <c r="K216" s="327">
        <v>0.93553392857142881</v>
      </c>
      <c r="L216" s="327">
        <v>0.94642857142857184</v>
      </c>
      <c r="M216" s="327">
        <v>0.94954107142857169</v>
      </c>
      <c r="N216" s="327">
        <v>0.95603750000000098</v>
      </c>
      <c r="O216" s="327">
        <v>0.97501607142857183</v>
      </c>
      <c r="P216" s="311">
        <v>0.99999999999999956</v>
      </c>
      <c r="Q216" s="311">
        <v>1.0024999999999999</v>
      </c>
      <c r="R216" s="311">
        <v>1.0049999999999999</v>
      </c>
      <c r="S216" s="311">
        <v>1.0075000000000001</v>
      </c>
      <c r="T216" s="311">
        <f t="shared" si="3"/>
        <v>40</v>
      </c>
      <c r="U216" s="311" t="s">
        <v>316</v>
      </c>
      <c r="V216" s="311"/>
      <c r="W216" s="311">
        <v>40</v>
      </c>
      <c r="X216" s="311" t="s">
        <v>1892</v>
      </c>
      <c r="Y216" s="311" t="s">
        <v>1893</v>
      </c>
      <c r="Z216" s="311" t="s">
        <v>91</v>
      </c>
      <c r="AA216" s="377">
        <v>40</v>
      </c>
    </row>
    <row r="217" spans="1:27" ht="12.75" customHeight="1" x14ac:dyDescent="0.2">
      <c r="A217" s="311" t="s">
        <v>271</v>
      </c>
      <c r="B217" s="311" t="s">
        <v>236</v>
      </c>
      <c r="C217" s="327">
        <v>0</v>
      </c>
      <c r="D217" s="327">
        <v>0.25</v>
      </c>
      <c r="E217" s="327">
        <v>0.27500000000000002</v>
      </c>
      <c r="F217" s="327">
        <v>0.32499999999999996</v>
      </c>
      <c r="G217" s="327">
        <v>0.42500000000000004</v>
      </c>
      <c r="H217" s="327">
        <v>0.5</v>
      </c>
      <c r="I217" s="327">
        <v>0.52500000000000002</v>
      </c>
      <c r="J217" s="327">
        <v>0.57499999999999996</v>
      </c>
      <c r="K217" s="327">
        <v>0.67500000000000004</v>
      </c>
      <c r="L217" s="327">
        <v>0.75</v>
      </c>
      <c r="M217" s="327">
        <v>0.77499999999999991</v>
      </c>
      <c r="N217" s="327">
        <v>0.82499999999999996</v>
      </c>
      <c r="O217" s="327">
        <v>0.92500000000000004</v>
      </c>
      <c r="P217" s="311">
        <v>1</v>
      </c>
      <c r="Q217" s="311">
        <v>1.0024999999999999</v>
      </c>
      <c r="R217" s="311">
        <v>1.0049999999999999</v>
      </c>
      <c r="S217" s="311">
        <v>1.0075000000000001</v>
      </c>
      <c r="T217" s="311">
        <f t="shared" si="3"/>
        <v>60</v>
      </c>
      <c r="U217" s="311"/>
      <c r="V217" s="311"/>
      <c r="W217" s="311">
        <v>60</v>
      </c>
      <c r="X217" s="311" t="s">
        <v>1892</v>
      </c>
      <c r="Y217" s="311" t="s">
        <v>1893</v>
      </c>
      <c r="Z217" s="311" t="s">
        <v>2103</v>
      </c>
      <c r="AA217" s="377">
        <v>60</v>
      </c>
    </row>
    <row r="218" spans="1:27" ht="12.75" customHeight="1" x14ac:dyDescent="0.2">
      <c r="A218" s="311" t="s">
        <v>271</v>
      </c>
      <c r="B218" s="311" t="s">
        <v>23</v>
      </c>
      <c r="C218" s="327">
        <v>0</v>
      </c>
      <c r="D218" s="327">
        <v>0.25</v>
      </c>
      <c r="E218" s="327">
        <v>0.27500000000000002</v>
      </c>
      <c r="F218" s="327">
        <v>0.32499999999999996</v>
      </c>
      <c r="G218" s="327">
        <v>0.42500000000000004</v>
      </c>
      <c r="H218" s="327">
        <v>0.5</v>
      </c>
      <c r="I218" s="327">
        <v>0.52500000000000002</v>
      </c>
      <c r="J218" s="327">
        <v>0.57499999999999996</v>
      </c>
      <c r="K218" s="327">
        <v>0.67500000000000004</v>
      </c>
      <c r="L218" s="327">
        <v>0.75</v>
      </c>
      <c r="M218" s="327">
        <v>0.77499999999999991</v>
      </c>
      <c r="N218" s="327">
        <v>0.82499999999999996</v>
      </c>
      <c r="O218" s="327">
        <v>0.92500000000000004</v>
      </c>
      <c r="P218" s="311">
        <v>1</v>
      </c>
      <c r="Q218" s="311">
        <v>1.0024999999999999</v>
      </c>
      <c r="R218" s="311">
        <v>1.0049999999999999</v>
      </c>
      <c r="S218" s="311">
        <v>1.0075000000000001</v>
      </c>
      <c r="T218" s="311">
        <f t="shared" si="3"/>
        <v>40</v>
      </c>
      <c r="U218" s="311"/>
      <c r="V218" s="311"/>
      <c r="W218" s="311">
        <v>40</v>
      </c>
      <c r="X218" s="311" t="s">
        <v>1892</v>
      </c>
      <c r="Y218" s="311" t="s">
        <v>1893</v>
      </c>
      <c r="Z218" s="311" t="s">
        <v>2104</v>
      </c>
      <c r="AA218" s="377">
        <v>40</v>
      </c>
    </row>
    <row r="219" spans="1:27" ht="12.75" customHeight="1" x14ac:dyDescent="0.2">
      <c r="A219" s="311" t="s">
        <v>271</v>
      </c>
      <c r="B219" s="311" t="s">
        <v>237</v>
      </c>
      <c r="C219" s="327">
        <v>0</v>
      </c>
      <c r="D219" s="327">
        <v>0.25</v>
      </c>
      <c r="E219" s="327">
        <v>0.27500000000000002</v>
      </c>
      <c r="F219" s="327">
        <v>0.32499999999999996</v>
      </c>
      <c r="G219" s="327">
        <v>0.42500000000000004</v>
      </c>
      <c r="H219" s="327">
        <v>0.5</v>
      </c>
      <c r="I219" s="327">
        <v>0.52500000000000002</v>
      </c>
      <c r="J219" s="327">
        <v>0.57499999999999996</v>
      </c>
      <c r="K219" s="327">
        <v>0.67500000000000004</v>
      </c>
      <c r="L219" s="327">
        <v>0.75</v>
      </c>
      <c r="M219" s="327">
        <v>0.77499999999999991</v>
      </c>
      <c r="N219" s="327">
        <v>0.82499999999999996</v>
      </c>
      <c r="O219" s="327">
        <v>0.92500000000000004</v>
      </c>
      <c r="P219" s="311">
        <v>1</v>
      </c>
      <c r="Q219" s="311">
        <v>1.0024999999999999</v>
      </c>
      <c r="R219" s="311">
        <v>1.0049999999999999</v>
      </c>
      <c r="S219" s="311">
        <v>1.0075000000000001</v>
      </c>
      <c r="T219" s="311">
        <f t="shared" si="3"/>
        <v>20</v>
      </c>
      <c r="U219" s="311"/>
      <c r="V219" s="311"/>
      <c r="W219" s="311">
        <v>20</v>
      </c>
      <c r="X219" s="311" t="s">
        <v>1892</v>
      </c>
      <c r="Y219" s="311" t="s">
        <v>1893</v>
      </c>
      <c r="Z219" s="311" t="s">
        <v>2105</v>
      </c>
      <c r="AA219" s="377">
        <v>20</v>
      </c>
    </row>
    <row r="220" spans="1:27" ht="12.75" customHeight="1" x14ac:dyDescent="0.2">
      <c r="A220" s="311" t="s">
        <v>270</v>
      </c>
      <c r="B220" s="311" t="s">
        <v>235</v>
      </c>
      <c r="C220" s="327">
        <v>0</v>
      </c>
      <c r="D220" s="327">
        <v>0.54285714285714159</v>
      </c>
      <c r="E220" s="327">
        <v>0.58138346560846443</v>
      </c>
      <c r="F220" s="327">
        <v>0.65106785714285609</v>
      </c>
      <c r="G220" s="327">
        <v>0.76360806878306753</v>
      </c>
      <c r="H220" s="327">
        <v>0.82751322751322687</v>
      </c>
      <c r="I220" s="327">
        <v>0.84541388888888824</v>
      </c>
      <c r="J220" s="327">
        <v>0.87668029100529044</v>
      </c>
      <c r="K220" s="327">
        <v>0.92371785714285704</v>
      </c>
      <c r="L220" s="327">
        <v>0.9484126984126986</v>
      </c>
      <c r="M220" s="327">
        <v>0.95513214285714287</v>
      </c>
      <c r="N220" s="327">
        <v>0.96686944444444478</v>
      </c>
      <c r="O220" s="327">
        <v>0.98618214285714378</v>
      </c>
      <c r="P220" s="311">
        <v>1.0000000000000009</v>
      </c>
      <c r="Q220" s="311">
        <v>1.0024999999999999</v>
      </c>
      <c r="R220" s="311">
        <v>1.0049999999999999</v>
      </c>
      <c r="S220" s="311">
        <v>1.0075000000000001</v>
      </c>
      <c r="T220" s="311">
        <f t="shared" si="3"/>
        <v>1000000000</v>
      </c>
      <c r="U220" s="311" t="s">
        <v>315</v>
      </c>
      <c r="V220" s="311"/>
      <c r="W220" s="311">
        <v>1000000000</v>
      </c>
      <c r="X220" s="311" t="s">
        <v>1892</v>
      </c>
      <c r="Y220" s="311" t="s">
        <v>1893</v>
      </c>
      <c r="Z220" s="311" t="s">
        <v>2106</v>
      </c>
      <c r="AA220" s="377">
        <v>1000000000</v>
      </c>
    </row>
    <row r="221" spans="1:27" ht="12.75" customHeight="1" x14ac:dyDescent="0.2">
      <c r="A221" s="311" t="s">
        <v>270</v>
      </c>
      <c r="B221" s="311" t="s">
        <v>236</v>
      </c>
      <c r="C221" s="327">
        <v>0</v>
      </c>
      <c r="D221" s="327">
        <v>0.54285714285714159</v>
      </c>
      <c r="E221" s="327">
        <v>0.58138346560846443</v>
      </c>
      <c r="F221" s="327">
        <v>0.65106785714285609</v>
      </c>
      <c r="G221" s="327">
        <v>0.76360806878306753</v>
      </c>
      <c r="H221" s="327">
        <v>0.82751322751322687</v>
      </c>
      <c r="I221" s="327">
        <v>0.84541388888888824</v>
      </c>
      <c r="J221" s="327">
        <v>0.87668029100529044</v>
      </c>
      <c r="K221" s="327">
        <v>0.92371785714285704</v>
      </c>
      <c r="L221" s="327">
        <v>0.9484126984126986</v>
      </c>
      <c r="M221" s="327">
        <v>0.95513214285714287</v>
      </c>
      <c r="N221" s="327">
        <v>0.96686944444444478</v>
      </c>
      <c r="O221" s="327">
        <v>0.98618214285714378</v>
      </c>
      <c r="P221" s="311">
        <v>1.0000000000000009</v>
      </c>
      <c r="Q221" s="311">
        <v>1.0024999999999999</v>
      </c>
      <c r="R221" s="311">
        <v>1.0049999999999999</v>
      </c>
      <c r="S221" s="311">
        <v>1.0075000000000001</v>
      </c>
      <c r="T221" s="311">
        <f t="shared" si="3"/>
        <v>60</v>
      </c>
      <c r="U221" s="311"/>
      <c r="V221" s="311"/>
      <c r="W221" s="311">
        <v>60</v>
      </c>
      <c r="X221" s="311" t="s">
        <v>1892</v>
      </c>
      <c r="Y221" s="311" t="s">
        <v>1893</v>
      </c>
      <c r="Z221" s="311" t="s">
        <v>2107</v>
      </c>
      <c r="AA221" s="377">
        <v>60</v>
      </c>
    </row>
    <row r="222" spans="1:27" ht="12.75" customHeight="1" x14ac:dyDescent="0.2">
      <c r="A222" s="311" t="s">
        <v>270</v>
      </c>
      <c r="B222" s="311" t="s">
        <v>23</v>
      </c>
      <c r="C222" s="327">
        <v>0</v>
      </c>
      <c r="D222" s="327">
        <v>0.54285714285714159</v>
      </c>
      <c r="E222" s="327">
        <v>0.58138346560846443</v>
      </c>
      <c r="F222" s="327">
        <v>0.65106785714285609</v>
      </c>
      <c r="G222" s="327">
        <v>0.76360806878306753</v>
      </c>
      <c r="H222" s="327">
        <v>0.82751322751322687</v>
      </c>
      <c r="I222" s="327">
        <v>0.84541388888888824</v>
      </c>
      <c r="J222" s="327">
        <v>0.87668029100529044</v>
      </c>
      <c r="K222" s="327">
        <v>0.92371785714285704</v>
      </c>
      <c r="L222" s="327">
        <v>0.9484126984126986</v>
      </c>
      <c r="M222" s="327">
        <v>0.95513214285714287</v>
      </c>
      <c r="N222" s="327">
        <v>0.96686944444444478</v>
      </c>
      <c r="O222" s="327">
        <v>0.98618214285714378</v>
      </c>
      <c r="P222" s="311">
        <v>1.0000000000000009</v>
      </c>
      <c r="Q222" s="311">
        <v>1.0024999999999999</v>
      </c>
      <c r="R222" s="311">
        <v>1.0049999999999999</v>
      </c>
      <c r="S222" s="311">
        <v>1.0075000000000001</v>
      </c>
      <c r="T222" s="311">
        <f t="shared" si="3"/>
        <v>45</v>
      </c>
      <c r="U222" s="311"/>
      <c r="V222" s="311"/>
      <c r="W222" s="311">
        <v>45</v>
      </c>
      <c r="X222" s="311" t="s">
        <v>1892</v>
      </c>
      <c r="Y222" s="311" t="s">
        <v>1893</v>
      </c>
      <c r="Z222" s="311" t="s">
        <v>2108</v>
      </c>
      <c r="AA222" s="377">
        <v>45</v>
      </c>
    </row>
    <row r="223" spans="1:27" ht="12.75" customHeight="1" x14ac:dyDescent="0.2">
      <c r="A223" s="311" t="s">
        <v>270</v>
      </c>
      <c r="B223" s="311" t="s">
        <v>237</v>
      </c>
      <c r="C223" s="327">
        <v>0</v>
      </c>
      <c r="D223" s="327">
        <v>0.54285714285714159</v>
      </c>
      <c r="E223" s="327">
        <v>0.58138346560846443</v>
      </c>
      <c r="F223" s="327">
        <v>0.65106785714285609</v>
      </c>
      <c r="G223" s="327">
        <v>0.76360806878306753</v>
      </c>
      <c r="H223" s="327">
        <v>0.82751322751322687</v>
      </c>
      <c r="I223" s="327">
        <v>0.84541388888888824</v>
      </c>
      <c r="J223" s="327">
        <v>0.87668029100529044</v>
      </c>
      <c r="K223" s="327">
        <v>0.92371785714285704</v>
      </c>
      <c r="L223" s="327">
        <v>0.9484126984126986</v>
      </c>
      <c r="M223" s="327">
        <v>0.95513214285714287</v>
      </c>
      <c r="N223" s="327">
        <v>0.96686944444444478</v>
      </c>
      <c r="O223" s="327">
        <v>0.98618214285714378</v>
      </c>
      <c r="P223" s="311">
        <v>1.0000000000000009</v>
      </c>
      <c r="Q223" s="311">
        <v>1.0024999999999999</v>
      </c>
      <c r="R223" s="311">
        <v>1.0049999999999999</v>
      </c>
      <c r="S223" s="311">
        <v>1.0075000000000001</v>
      </c>
      <c r="T223" s="311">
        <f t="shared" si="3"/>
        <v>30</v>
      </c>
      <c r="U223" s="311"/>
      <c r="V223" s="311"/>
      <c r="W223" s="311">
        <v>30</v>
      </c>
      <c r="X223" s="311" t="s">
        <v>1892</v>
      </c>
      <c r="Y223" s="311" t="s">
        <v>1893</v>
      </c>
      <c r="Z223" s="311" t="s">
        <v>2109</v>
      </c>
      <c r="AA223" s="377">
        <v>30</v>
      </c>
    </row>
    <row r="224" spans="1:27" ht="12.75" customHeight="1" x14ac:dyDescent="0.2">
      <c r="A224" s="311" t="s">
        <v>269</v>
      </c>
      <c r="B224" s="311" t="s">
        <v>236</v>
      </c>
      <c r="C224" s="327">
        <v>0</v>
      </c>
      <c r="D224" s="327">
        <v>0.25238095238095209</v>
      </c>
      <c r="E224" s="327">
        <v>0.27753174603174574</v>
      </c>
      <c r="F224" s="327">
        <v>0.32778571428571385</v>
      </c>
      <c r="G224" s="327">
        <v>0.42810317460317432</v>
      </c>
      <c r="H224" s="327">
        <v>0.50317460317460294</v>
      </c>
      <c r="I224" s="327">
        <v>0.52816666666666645</v>
      </c>
      <c r="J224" s="327">
        <v>0.5781031746031744</v>
      </c>
      <c r="K224" s="327">
        <v>0.67778571428571421</v>
      </c>
      <c r="L224" s="327">
        <v>0.75238095238095237</v>
      </c>
      <c r="M224" s="327">
        <v>0.77721428571428541</v>
      </c>
      <c r="N224" s="327">
        <v>0.82683333333333331</v>
      </c>
      <c r="O224" s="327">
        <v>0.92588095238095258</v>
      </c>
      <c r="P224" s="311">
        <v>1</v>
      </c>
      <c r="Q224" s="311">
        <v>1.0024999999999999</v>
      </c>
      <c r="R224" s="311">
        <v>1.0049999999999999</v>
      </c>
      <c r="S224" s="311">
        <v>1.0075000000000001</v>
      </c>
      <c r="T224" s="311">
        <f t="shared" si="3"/>
        <v>60</v>
      </c>
      <c r="U224" s="311"/>
      <c r="V224" s="311"/>
      <c r="W224" s="311">
        <v>60</v>
      </c>
      <c r="X224" s="311" t="s">
        <v>1892</v>
      </c>
      <c r="Y224" s="311" t="s">
        <v>1893</v>
      </c>
      <c r="Z224" s="311" t="s">
        <v>2110</v>
      </c>
      <c r="AA224" s="377">
        <v>60</v>
      </c>
    </row>
    <row r="225" spans="1:27" ht="12.75" customHeight="1" x14ac:dyDescent="0.2">
      <c r="A225" s="311" t="s">
        <v>269</v>
      </c>
      <c r="B225" s="311" t="s">
        <v>23</v>
      </c>
      <c r="C225" s="327">
        <v>0</v>
      </c>
      <c r="D225" s="327">
        <v>0.25238095238095209</v>
      </c>
      <c r="E225" s="327">
        <v>0.27753174603174574</v>
      </c>
      <c r="F225" s="327">
        <v>0.32778571428571385</v>
      </c>
      <c r="G225" s="327">
        <v>0.42810317460317432</v>
      </c>
      <c r="H225" s="327">
        <v>0.50317460317460294</v>
      </c>
      <c r="I225" s="327">
        <v>0.52816666666666645</v>
      </c>
      <c r="J225" s="327">
        <v>0.5781031746031744</v>
      </c>
      <c r="K225" s="327">
        <v>0.67778571428571421</v>
      </c>
      <c r="L225" s="327">
        <v>0.75238095238095237</v>
      </c>
      <c r="M225" s="327">
        <v>0.77721428571428541</v>
      </c>
      <c r="N225" s="327">
        <v>0.82683333333333331</v>
      </c>
      <c r="O225" s="327">
        <v>0.92588095238095258</v>
      </c>
      <c r="P225" s="311">
        <v>1</v>
      </c>
      <c r="Q225" s="311">
        <v>1.0024999999999999</v>
      </c>
      <c r="R225" s="311">
        <v>1.0049999999999999</v>
      </c>
      <c r="S225" s="311">
        <v>1.0075000000000001</v>
      </c>
      <c r="T225" s="311">
        <f t="shared" si="3"/>
        <v>40</v>
      </c>
      <c r="U225" s="311"/>
      <c r="V225" s="311"/>
      <c r="W225" s="311">
        <v>40</v>
      </c>
      <c r="X225" s="311" t="s">
        <v>1892</v>
      </c>
      <c r="Y225" s="311" t="s">
        <v>1893</v>
      </c>
      <c r="Z225" s="311" t="s">
        <v>2111</v>
      </c>
      <c r="AA225" s="377">
        <v>40</v>
      </c>
    </row>
    <row r="226" spans="1:27" ht="12.75" customHeight="1" x14ac:dyDescent="0.2">
      <c r="A226" s="311" t="s">
        <v>269</v>
      </c>
      <c r="B226" s="311" t="s">
        <v>237</v>
      </c>
      <c r="C226" s="327">
        <v>0</v>
      </c>
      <c r="D226" s="327">
        <v>0.25238095238095209</v>
      </c>
      <c r="E226" s="327">
        <v>0.27753174603174574</v>
      </c>
      <c r="F226" s="327">
        <v>0.32778571428571385</v>
      </c>
      <c r="G226" s="327">
        <v>0.42810317460317432</v>
      </c>
      <c r="H226" s="327">
        <v>0.50317460317460294</v>
      </c>
      <c r="I226" s="327">
        <v>0.52816666666666645</v>
      </c>
      <c r="J226" s="327">
        <v>0.5781031746031744</v>
      </c>
      <c r="K226" s="327">
        <v>0.67778571428571421</v>
      </c>
      <c r="L226" s="327">
        <v>0.75238095238095237</v>
      </c>
      <c r="M226" s="327">
        <v>0.77721428571428541</v>
      </c>
      <c r="N226" s="327">
        <v>0.82683333333333331</v>
      </c>
      <c r="O226" s="327">
        <v>0.92588095238095258</v>
      </c>
      <c r="P226" s="311">
        <v>1</v>
      </c>
      <c r="Q226" s="311">
        <v>1.0024999999999999</v>
      </c>
      <c r="R226" s="311">
        <v>1.0049999999999999</v>
      </c>
      <c r="S226" s="311">
        <v>1.0075000000000001</v>
      </c>
      <c r="T226" s="311">
        <f t="shared" si="3"/>
        <v>30</v>
      </c>
      <c r="U226" s="311"/>
      <c r="V226" s="311"/>
      <c r="W226" s="311">
        <v>30</v>
      </c>
      <c r="X226" s="311" t="s">
        <v>1892</v>
      </c>
      <c r="Y226" s="311" t="s">
        <v>1893</v>
      </c>
      <c r="Z226" s="311" t="s">
        <v>2112</v>
      </c>
      <c r="AA226" s="377">
        <v>30</v>
      </c>
    </row>
    <row r="227" spans="1:27" ht="12.75" customHeight="1" x14ac:dyDescent="0.2">
      <c r="A227" s="311" t="s">
        <v>268</v>
      </c>
      <c r="B227" s="311" t="s">
        <v>236</v>
      </c>
      <c r="C227" s="327">
        <v>0</v>
      </c>
      <c r="D227" s="327">
        <v>0.25</v>
      </c>
      <c r="E227" s="327">
        <v>0.27500000000000002</v>
      </c>
      <c r="F227" s="327">
        <v>0.32499999999999996</v>
      </c>
      <c r="G227" s="327">
        <v>0.42500000000000004</v>
      </c>
      <c r="H227" s="327">
        <v>0.5</v>
      </c>
      <c r="I227" s="327">
        <v>0.52500000000000002</v>
      </c>
      <c r="J227" s="327">
        <v>0.57499999999999996</v>
      </c>
      <c r="K227" s="327">
        <v>0.67500000000000004</v>
      </c>
      <c r="L227" s="327">
        <v>0.75</v>
      </c>
      <c r="M227" s="327">
        <v>0.77499999999999991</v>
      </c>
      <c r="N227" s="327">
        <v>0.82499999999999996</v>
      </c>
      <c r="O227" s="327">
        <v>0.92500000000000004</v>
      </c>
      <c r="P227" s="311">
        <v>1</v>
      </c>
      <c r="Q227" s="311">
        <v>1.0024999999999999</v>
      </c>
      <c r="R227" s="311">
        <v>1.0049999999999999</v>
      </c>
      <c r="S227" s="311">
        <v>1.0075000000000001</v>
      </c>
      <c r="T227" s="311">
        <f t="shared" si="3"/>
        <v>60</v>
      </c>
      <c r="U227" s="311"/>
      <c r="V227" s="311"/>
      <c r="W227" s="311">
        <v>60</v>
      </c>
      <c r="X227" s="311" t="s">
        <v>1892</v>
      </c>
      <c r="Y227" s="311" t="s">
        <v>1893</v>
      </c>
      <c r="Z227" s="311" t="s">
        <v>2113</v>
      </c>
      <c r="AA227" s="377">
        <v>60</v>
      </c>
    </row>
    <row r="228" spans="1:27" ht="12.75" customHeight="1" x14ac:dyDescent="0.2">
      <c r="A228" s="311" t="s">
        <v>268</v>
      </c>
      <c r="B228" s="311" t="s">
        <v>23</v>
      </c>
      <c r="C228" s="327">
        <v>0</v>
      </c>
      <c r="D228" s="327">
        <v>0.25</v>
      </c>
      <c r="E228" s="327">
        <v>0.27500000000000002</v>
      </c>
      <c r="F228" s="327">
        <v>0.32499999999999996</v>
      </c>
      <c r="G228" s="327">
        <v>0.42500000000000004</v>
      </c>
      <c r="H228" s="327">
        <v>0.5</v>
      </c>
      <c r="I228" s="327">
        <v>0.52500000000000002</v>
      </c>
      <c r="J228" s="327">
        <v>0.57499999999999996</v>
      </c>
      <c r="K228" s="327">
        <v>0.67500000000000004</v>
      </c>
      <c r="L228" s="327">
        <v>0.75</v>
      </c>
      <c r="M228" s="327">
        <v>0.77499999999999991</v>
      </c>
      <c r="N228" s="327">
        <v>0.82499999999999996</v>
      </c>
      <c r="O228" s="327">
        <v>0.92500000000000004</v>
      </c>
      <c r="P228" s="311">
        <v>1</v>
      </c>
      <c r="Q228" s="311">
        <v>1.0024999999999999</v>
      </c>
      <c r="R228" s="311">
        <v>1.0049999999999999</v>
      </c>
      <c r="S228" s="311">
        <v>1.0075000000000001</v>
      </c>
      <c r="T228" s="311">
        <f t="shared" si="3"/>
        <v>40</v>
      </c>
      <c r="U228" s="311"/>
      <c r="V228" s="311"/>
      <c r="W228" s="311">
        <v>40</v>
      </c>
      <c r="X228" s="311" t="s">
        <v>1892</v>
      </c>
      <c r="Y228" s="311" t="s">
        <v>1893</v>
      </c>
      <c r="Z228" s="311" t="s">
        <v>2114</v>
      </c>
      <c r="AA228" s="377">
        <v>40</v>
      </c>
    </row>
    <row r="229" spans="1:27" ht="12.75" customHeight="1" x14ac:dyDescent="0.2">
      <c r="A229" s="311" t="s">
        <v>268</v>
      </c>
      <c r="B229" s="311" t="s">
        <v>237</v>
      </c>
      <c r="C229" s="327">
        <v>0</v>
      </c>
      <c r="D229" s="327">
        <v>0.25</v>
      </c>
      <c r="E229" s="327">
        <v>0.27500000000000002</v>
      </c>
      <c r="F229" s="327">
        <v>0.32499999999999996</v>
      </c>
      <c r="G229" s="327">
        <v>0.42500000000000004</v>
      </c>
      <c r="H229" s="327">
        <v>0.5</v>
      </c>
      <c r="I229" s="327">
        <v>0.52500000000000002</v>
      </c>
      <c r="J229" s="327">
        <v>0.57499999999999996</v>
      </c>
      <c r="K229" s="327">
        <v>0.67500000000000004</v>
      </c>
      <c r="L229" s="327">
        <v>0.75</v>
      </c>
      <c r="M229" s="327">
        <v>0.77499999999999991</v>
      </c>
      <c r="N229" s="327">
        <v>0.82499999999999996</v>
      </c>
      <c r="O229" s="327">
        <v>0.92500000000000004</v>
      </c>
      <c r="P229" s="311">
        <v>1</v>
      </c>
      <c r="Q229" s="311">
        <v>1.0024999999999999</v>
      </c>
      <c r="R229" s="311">
        <v>1.0049999999999999</v>
      </c>
      <c r="S229" s="311">
        <v>1.0075000000000001</v>
      </c>
      <c r="T229" s="311">
        <f t="shared" si="3"/>
        <v>20</v>
      </c>
      <c r="U229" s="311"/>
      <c r="V229" s="311"/>
      <c r="W229" s="311">
        <v>20</v>
      </c>
      <c r="X229" s="311" t="s">
        <v>1892</v>
      </c>
      <c r="Y229" s="311" t="s">
        <v>1893</v>
      </c>
      <c r="Z229" s="311" t="s">
        <v>2115</v>
      </c>
      <c r="AA229" s="377">
        <v>20</v>
      </c>
    </row>
    <row r="230" spans="1:27" ht="12.75" customHeight="1" x14ac:dyDescent="0.2">
      <c r="A230" s="311" t="s">
        <v>267</v>
      </c>
      <c r="B230" s="311" t="s">
        <v>235</v>
      </c>
      <c r="C230" s="327">
        <v>0</v>
      </c>
      <c r="D230" s="327">
        <v>0.56904761904761725</v>
      </c>
      <c r="E230" s="327">
        <v>0.60805119047618872</v>
      </c>
      <c r="F230" s="327">
        <v>0.6778107142857126</v>
      </c>
      <c r="G230" s="327">
        <v>0.78760595238095066</v>
      </c>
      <c r="H230" s="327">
        <v>0.84761904761904594</v>
      </c>
      <c r="I230" s="327">
        <v>0.86399166666666538</v>
      </c>
      <c r="J230" s="327">
        <v>0.89198928571428482</v>
      </c>
      <c r="K230" s="327">
        <v>0.93226071428571355</v>
      </c>
      <c r="L230" s="327">
        <v>0.95238095238095166</v>
      </c>
      <c r="M230" s="327">
        <v>0.95778928571428601</v>
      </c>
      <c r="N230" s="327">
        <v>0.96735833333333332</v>
      </c>
      <c r="O230" s="327">
        <v>0.98477261904761804</v>
      </c>
      <c r="P230" s="311">
        <v>1</v>
      </c>
      <c r="Q230" s="311">
        <v>1.0024999999999999</v>
      </c>
      <c r="R230" s="311">
        <v>1.0049999999999999</v>
      </c>
      <c r="S230" s="311">
        <v>1.0075000000000001</v>
      </c>
      <c r="T230" s="311">
        <f t="shared" si="3"/>
        <v>1000000000</v>
      </c>
      <c r="U230" s="311" t="s">
        <v>315</v>
      </c>
      <c r="V230" s="311"/>
      <c r="W230" s="311">
        <v>1000000000</v>
      </c>
      <c r="X230" s="311" t="s">
        <v>1892</v>
      </c>
      <c r="Y230" s="311" t="s">
        <v>1893</v>
      </c>
      <c r="Z230" s="311" t="s">
        <v>2116</v>
      </c>
      <c r="AA230" s="377">
        <v>1000000000</v>
      </c>
    </row>
    <row r="231" spans="1:27" ht="12.75" customHeight="1" x14ac:dyDescent="0.2">
      <c r="A231" s="311" t="s">
        <v>267</v>
      </c>
      <c r="B231" s="311" t="s">
        <v>236</v>
      </c>
      <c r="C231" s="327">
        <v>0</v>
      </c>
      <c r="D231" s="327">
        <v>0.56904761904761725</v>
      </c>
      <c r="E231" s="327">
        <v>0.60805119047618872</v>
      </c>
      <c r="F231" s="327">
        <v>0.6778107142857126</v>
      </c>
      <c r="G231" s="327">
        <v>0.78760595238095066</v>
      </c>
      <c r="H231" s="327">
        <v>0.84761904761904594</v>
      </c>
      <c r="I231" s="327">
        <v>0.86399166666666538</v>
      </c>
      <c r="J231" s="327">
        <v>0.89198928571428482</v>
      </c>
      <c r="K231" s="327">
        <v>0.93226071428571355</v>
      </c>
      <c r="L231" s="327">
        <v>0.95238095238095166</v>
      </c>
      <c r="M231" s="327">
        <v>0.95778928571428601</v>
      </c>
      <c r="N231" s="327">
        <v>0.96735833333333332</v>
      </c>
      <c r="O231" s="327">
        <v>0.98477261904761804</v>
      </c>
      <c r="P231" s="311">
        <v>1</v>
      </c>
      <c r="Q231" s="311">
        <v>1.0024999999999999</v>
      </c>
      <c r="R231" s="311">
        <v>1.0049999999999999</v>
      </c>
      <c r="S231" s="311">
        <v>1.0075000000000001</v>
      </c>
      <c r="T231" s="311">
        <f t="shared" si="3"/>
        <v>60</v>
      </c>
      <c r="U231" s="311"/>
      <c r="V231" s="311"/>
      <c r="W231" s="311">
        <v>60</v>
      </c>
      <c r="X231" s="311" t="s">
        <v>1892</v>
      </c>
      <c r="Y231" s="311" t="s">
        <v>1893</v>
      </c>
      <c r="Z231" s="311" t="s">
        <v>2117</v>
      </c>
      <c r="AA231" s="377">
        <v>60</v>
      </c>
    </row>
    <row r="232" spans="1:27" ht="12.75" customHeight="1" x14ac:dyDescent="0.2">
      <c r="A232" s="311" t="s">
        <v>267</v>
      </c>
      <c r="B232" s="311" t="s">
        <v>23</v>
      </c>
      <c r="C232" s="327">
        <v>0</v>
      </c>
      <c r="D232" s="327">
        <v>0.56904761904761725</v>
      </c>
      <c r="E232" s="327">
        <v>0.60805119047618872</v>
      </c>
      <c r="F232" s="327">
        <v>0.6778107142857126</v>
      </c>
      <c r="G232" s="327">
        <v>0.78760595238095066</v>
      </c>
      <c r="H232" s="327">
        <v>0.84761904761904594</v>
      </c>
      <c r="I232" s="327">
        <v>0.86399166666666538</v>
      </c>
      <c r="J232" s="327">
        <v>0.89198928571428482</v>
      </c>
      <c r="K232" s="327">
        <v>0.93226071428571355</v>
      </c>
      <c r="L232" s="327">
        <v>0.95238095238095166</v>
      </c>
      <c r="M232" s="327">
        <v>0.95778928571428601</v>
      </c>
      <c r="N232" s="327">
        <v>0.96735833333333332</v>
      </c>
      <c r="O232" s="327">
        <v>0.98477261904761804</v>
      </c>
      <c r="P232" s="311">
        <v>1</v>
      </c>
      <c r="Q232" s="311">
        <v>1.0024999999999999</v>
      </c>
      <c r="R232" s="311">
        <v>1.0049999999999999</v>
      </c>
      <c r="S232" s="311">
        <v>1.0075000000000001</v>
      </c>
      <c r="T232" s="311">
        <f t="shared" si="3"/>
        <v>40</v>
      </c>
      <c r="U232" s="311"/>
      <c r="V232" s="311"/>
      <c r="W232" s="311">
        <v>40</v>
      </c>
      <c r="X232" s="311" t="s">
        <v>1892</v>
      </c>
      <c r="Y232" s="311" t="s">
        <v>1893</v>
      </c>
      <c r="Z232" s="311" t="s">
        <v>2118</v>
      </c>
      <c r="AA232" s="377">
        <v>40</v>
      </c>
    </row>
    <row r="233" spans="1:27" ht="12.75" customHeight="1" x14ac:dyDescent="0.2">
      <c r="A233" s="311" t="s">
        <v>267</v>
      </c>
      <c r="B233" s="311" t="s">
        <v>237</v>
      </c>
      <c r="C233" s="327">
        <v>0</v>
      </c>
      <c r="D233" s="327">
        <v>0.56904761904761725</v>
      </c>
      <c r="E233" s="327">
        <v>0.60805119047618872</v>
      </c>
      <c r="F233" s="327">
        <v>0.6778107142857126</v>
      </c>
      <c r="G233" s="327">
        <v>0.78760595238095066</v>
      </c>
      <c r="H233" s="327">
        <v>0.84761904761904594</v>
      </c>
      <c r="I233" s="327">
        <v>0.86399166666666538</v>
      </c>
      <c r="J233" s="327">
        <v>0.89198928571428482</v>
      </c>
      <c r="K233" s="327">
        <v>0.93226071428571355</v>
      </c>
      <c r="L233" s="327">
        <v>0.95238095238095166</v>
      </c>
      <c r="M233" s="327">
        <v>0.95778928571428601</v>
      </c>
      <c r="N233" s="327">
        <v>0.96735833333333332</v>
      </c>
      <c r="O233" s="327">
        <v>0.98477261904761804</v>
      </c>
      <c r="P233" s="311">
        <v>1</v>
      </c>
      <c r="Q233" s="311">
        <v>1.0024999999999999</v>
      </c>
      <c r="R233" s="311">
        <v>1.0049999999999999</v>
      </c>
      <c r="S233" s="311">
        <v>1.0075000000000001</v>
      </c>
      <c r="T233" s="311">
        <f t="shared" si="3"/>
        <v>24</v>
      </c>
      <c r="U233" s="311"/>
      <c r="V233" s="311"/>
      <c r="W233" s="311">
        <v>24</v>
      </c>
      <c r="X233" s="311" t="s">
        <v>1892</v>
      </c>
      <c r="Y233" s="311" t="s">
        <v>1893</v>
      </c>
      <c r="Z233" s="311" t="s">
        <v>2119</v>
      </c>
      <c r="AA233" s="377">
        <v>24</v>
      </c>
    </row>
    <row r="234" spans="1:27" ht="12.75" customHeight="1" x14ac:dyDescent="0.2">
      <c r="A234" s="311" t="s">
        <v>266</v>
      </c>
      <c r="B234" s="311" t="s">
        <v>236</v>
      </c>
      <c r="C234" s="327">
        <v>0</v>
      </c>
      <c r="D234" s="327">
        <v>0.45663954055142231</v>
      </c>
      <c r="E234" s="327">
        <v>0.49140428772755129</v>
      </c>
      <c r="F234" s="327">
        <v>0.55580113961472333</v>
      </c>
      <c r="G234" s="327">
        <v>0.66581401392332529</v>
      </c>
      <c r="H234" s="327">
        <v>0.73385890181617719</v>
      </c>
      <c r="I234" s="327">
        <v>0.75411862112446171</v>
      </c>
      <c r="J234" s="327">
        <v>0.79138013912730143</v>
      </c>
      <c r="K234" s="327">
        <v>0.85462123307266813</v>
      </c>
      <c r="L234" s="327">
        <v>0.89414881217284403</v>
      </c>
      <c r="M234" s="327">
        <v>0.90615257645114067</v>
      </c>
      <c r="N234" s="327">
        <v>0.92877690624536413</v>
      </c>
      <c r="O234" s="327">
        <v>0.97024251117892613</v>
      </c>
      <c r="P234" s="311">
        <v>1</v>
      </c>
      <c r="Q234" s="311">
        <v>1.0024999999999999</v>
      </c>
      <c r="R234" s="311">
        <v>1.0049999999999999</v>
      </c>
      <c r="S234" s="311">
        <v>1.0075000000000001</v>
      </c>
      <c r="T234" s="311">
        <f t="shared" si="3"/>
        <v>107</v>
      </c>
      <c r="U234" s="311"/>
      <c r="V234" s="311"/>
      <c r="W234" s="311">
        <v>107</v>
      </c>
      <c r="X234" s="311" t="s">
        <v>1892</v>
      </c>
      <c r="Y234" s="311" t="s">
        <v>1893</v>
      </c>
      <c r="Z234" s="311" t="s">
        <v>2120</v>
      </c>
      <c r="AA234" s="377">
        <v>107</v>
      </c>
    </row>
    <row r="235" spans="1:27" ht="12.75" customHeight="1" x14ac:dyDescent="0.2">
      <c r="A235" s="311" t="s">
        <v>266</v>
      </c>
      <c r="B235" s="311" t="s">
        <v>23</v>
      </c>
      <c r="C235" s="327">
        <v>0</v>
      </c>
      <c r="D235" s="327">
        <v>0.45663954055142231</v>
      </c>
      <c r="E235" s="327">
        <v>0.49140428772755129</v>
      </c>
      <c r="F235" s="327">
        <v>0.55580113961472333</v>
      </c>
      <c r="G235" s="327">
        <v>0.66581401392332529</v>
      </c>
      <c r="H235" s="327">
        <v>0.73385890181617719</v>
      </c>
      <c r="I235" s="327">
        <v>0.75411862112446171</v>
      </c>
      <c r="J235" s="327">
        <v>0.79138013912730143</v>
      </c>
      <c r="K235" s="327">
        <v>0.85462123307266813</v>
      </c>
      <c r="L235" s="327">
        <v>0.89414881217284403</v>
      </c>
      <c r="M235" s="327">
        <v>0.90615257645114067</v>
      </c>
      <c r="N235" s="327">
        <v>0.92877690624536413</v>
      </c>
      <c r="O235" s="327">
        <v>0.97024251117892613</v>
      </c>
      <c r="P235" s="311">
        <v>1</v>
      </c>
      <c r="Q235" s="311">
        <v>1.0024999999999999</v>
      </c>
      <c r="R235" s="311">
        <v>1.0049999999999999</v>
      </c>
      <c r="S235" s="311">
        <v>1.0075000000000001</v>
      </c>
      <c r="T235" s="311">
        <f t="shared" si="3"/>
        <v>60</v>
      </c>
      <c r="U235" s="311"/>
      <c r="V235" s="311"/>
      <c r="W235" s="311">
        <v>60</v>
      </c>
      <c r="X235" s="311" t="s">
        <v>1892</v>
      </c>
      <c r="Y235" s="311" t="s">
        <v>1893</v>
      </c>
      <c r="Z235" s="311" t="s">
        <v>2121</v>
      </c>
      <c r="AA235" s="377">
        <v>60</v>
      </c>
    </row>
    <row r="236" spans="1:27" ht="12.75" customHeight="1" x14ac:dyDescent="0.2">
      <c r="A236" s="311" t="s">
        <v>266</v>
      </c>
      <c r="B236" s="311" t="s">
        <v>237</v>
      </c>
      <c r="C236" s="327">
        <v>0</v>
      </c>
      <c r="D236" s="327">
        <v>0.45663954055142231</v>
      </c>
      <c r="E236" s="327">
        <v>0.49140428772755129</v>
      </c>
      <c r="F236" s="327">
        <v>0.55580113961472333</v>
      </c>
      <c r="G236" s="327">
        <v>0.66581401392332529</v>
      </c>
      <c r="H236" s="327">
        <v>0.73385890181617719</v>
      </c>
      <c r="I236" s="327">
        <v>0.75411862112446171</v>
      </c>
      <c r="J236" s="327">
        <v>0.79138013912730143</v>
      </c>
      <c r="K236" s="327">
        <v>0.85462123307266813</v>
      </c>
      <c r="L236" s="327">
        <v>0.89414881217284403</v>
      </c>
      <c r="M236" s="327">
        <v>0.90615257645114067</v>
      </c>
      <c r="N236" s="327">
        <v>0.92877690624536413</v>
      </c>
      <c r="O236" s="327">
        <v>0.97024251117892613</v>
      </c>
      <c r="P236" s="311">
        <v>1</v>
      </c>
      <c r="Q236" s="311">
        <v>1.0024999999999999</v>
      </c>
      <c r="R236" s="311">
        <v>1.0049999999999999</v>
      </c>
      <c r="S236" s="311">
        <v>1.0075000000000001</v>
      </c>
      <c r="T236" s="311">
        <f t="shared" si="3"/>
        <v>35</v>
      </c>
      <c r="U236" s="311"/>
      <c r="V236" s="311"/>
      <c r="W236" s="311">
        <v>35</v>
      </c>
      <c r="X236" s="311" t="s">
        <v>1892</v>
      </c>
      <c r="Y236" s="311" t="s">
        <v>1893</v>
      </c>
      <c r="Z236" s="311" t="s">
        <v>2122</v>
      </c>
      <c r="AA236" s="377">
        <v>35</v>
      </c>
    </row>
    <row r="237" spans="1:27" ht="12.75" customHeight="1" x14ac:dyDescent="0.2">
      <c r="A237" s="311" t="s">
        <v>137</v>
      </c>
      <c r="B237" s="311" t="s">
        <v>236</v>
      </c>
      <c r="C237" s="327">
        <v>0</v>
      </c>
      <c r="D237" s="327">
        <v>0.35952380952380936</v>
      </c>
      <c r="E237" s="327">
        <v>0.39146031746031729</v>
      </c>
      <c r="F237" s="327">
        <v>0.45314285714285685</v>
      </c>
      <c r="G237" s="327">
        <v>0.56774603174603178</v>
      </c>
      <c r="H237" s="327">
        <v>0.64603174603174607</v>
      </c>
      <c r="I237" s="327">
        <v>0.67066666666666663</v>
      </c>
      <c r="J237" s="327">
        <v>0.71774603174603169</v>
      </c>
      <c r="K237" s="327">
        <v>0.80314285714285749</v>
      </c>
      <c r="L237" s="327">
        <v>0.85952380952380991</v>
      </c>
      <c r="M237" s="327">
        <v>0.87685714285714311</v>
      </c>
      <c r="N237" s="327">
        <v>0.90933333333333344</v>
      </c>
      <c r="O237" s="327">
        <v>0.96552380952380978</v>
      </c>
      <c r="P237" s="311">
        <v>0.99999999999999989</v>
      </c>
      <c r="Q237" s="311">
        <v>1.0024999999999999</v>
      </c>
      <c r="R237" s="311">
        <v>1.0049999999999999</v>
      </c>
      <c r="S237" s="311">
        <v>1.0075000000000001</v>
      </c>
      <c r="T237" s="311">
        <f t="shared" si="3"/>
        <v>240</v>
      </c>
      <c r="U237" s="311"/>
      <c r="V237" s="311"/>
      <c r="W237" s="311">
        <v>240</v>
      </c>
      <c r="X237" s="311" t="s">
        <v>1892</v>
      </c>
      <c r="Y237" s="311" t="s">
        <v>1893</v>
      </c>
      <c r="Z237" s="311" t="s">
        <v>2123</v>
      </c>
      <c r="AA237" s="377">
        <v>240</v>
      </c>
    </row>
    <row r="238" spans="1:27" ht="12.75" customHeight="1" x14ac:dyDescent="0.2">
      <c r="A238" s="311" t="s">
        <v>137</v>
      </c>
      <c r="B238" s="311" t="s">
        <v>23</v>
      </c>
      <c r="C238" s="327">
        <v>0</v>
      </c>
      <c r="D238" s="327">
        <v>0.35952380952380936</v>
      </c>
      <c r="E238" s="327">
        <v>0.39146031746031729</v>
      </c>
      <c r="F238" s="327">
        <v>0.45314285714285685</v>
      </c>
      <c r="G238" s="327">
        <v>0.56774603174603178</v>
      </c>
      <c r="H238" s="327">
        <v>0.64603174603174607</v>
      </c>
      <c r="I238" s="327">
        <v>0.67066666666666663</v>
      </c>
      <c r="J238" s="327">
        <v>0.71774603174603169</v>
      </c>
      <c r="K238" s="327">
        <v>0.80314285714285749</v>
      </c>
      <c r="L238" s="327">
        <v>0.85952380952380991</v>
      </c>
      <c r="M238" s="327">
        <v>0.87685714285714311</v>
      </c>
      <c r="N238" s="327">
        <v>0.90933333333333344</v>
      </c>
      <c r="O238" s="327">
        <v>0.96552380952380978</v>
      </c>
      <c r="P238" s="311">
        <v>0.99999999999999989</v>
      </c>
      <c r="Q238" s="311">
        <v>1.0024999999999999</v>
      </c>
      <c r="R238" s="311">
        <v>1.0049999999999999</v>
      </c>
      <c r="S238" s="311">
        <v>1.0075000000000001</v>
      </c>
      <c r="T238" s="311">
        <f t="shared" si="3"/>
        <v>120</v>
      </c>
      <c r="U238" s="311"/>
      <c r="V238" s="311"/>
      <c r="W238" s="311">
        <v>120</v>
      </c>
      <c r="X238" s="311" t="s">
        <v>1892</v>
      </c>
      <c r="Y238" s="311" t="s">
        <v>1893</v>
      </c>
      <c r="Z238" s="311" t="s">
        <v>2124</v>
      </c>
      <c r="AA238" s="377">
        <v>120</v>
      </c>
    </row>
    <row r="239" spans="1:27" ht="12.75" customHeight="1" x14ac:dyDescent="0.2">
      <c r="A239" s="311" t="s">
        <v>137</v>
      </c>
      <c r="B239" s="311" t="s">
        <v>237</v>
      </c>
      <c r="C239" s="327">
        <v>0</v>
      </c>
      <c r="D239" s="327">
        <v>0.35952380952380936</v>
      </c>
      <c r="E239" s="327">
        <v>0.39146031746031729</v>
      </c>
      <c r="F239" s="327">
        <v>0.45314285714285685</v>
      </c>
      <c r="G239" s="327">
        <v>0.56774603174603178</v>
      </c>
      <c r="H239" s="327">
        <v>0.64603174603174607</v>
      </c>
      <c r="I239" s="327">
        <v>0.67066666666666663</v>
      </c>
      <c r="J239" s="327">
        <v>0.71774603174603169</v>
      </c>
      <c r="K239" s="327">
        <v>0.80314285714285749</v>
      </c>
      <c r="L239" s="327">
        <v>0.85952380952380991</v>
      </c>
      <c r="M239" s="327">
        <v>0.87685714285714311</v>
      </c>
      <c r="N239" s="327">
        <v>0.90933333333333344</v>
      </c>
      <c r="O239" s="327">
        <v>0.96552380952380978</v>
      </c>
      <c r="P239" s="311">
        <v>0.99999999999999989</v>
      </c>
      <c r="Q239" s="311">
        <v>1.0024999999999999</v>
      </c>
      <c r="R239" s="311">
        <v>1.0049999999999999</v>
      </c>
      <c r="S239" s="311">
        <v>1.0075000000000001</v>
      </c>
      <c r="T239" s="311">
        <f t="shared" si="3"/>
        <v>50</v>
      </c>
      <c r="U239" s="311"/>
      <c r="V239" s="311"/>
      <c r="W239" s="311">
        <v>50</v>
      </c>
      <c r="X239" s="311" t="s">
        <v>1892</v>
      </c>
      <c r="Y239" s="311" t="s">
        <v>1893</v>
      </c>
      <c r="Z239" s="311" t="s">
        <v>2125</v>
      </c>
      <c r="AA239" s="377">
        <v>50</v>
      </c>
    </row>
    <row r="240" spans="1:27" ht="12.75" customHeight="1" x14ac:dyDescent="0.2">
      <c r="A240" s="311" t="s">
        <v>265</v>
      </c>
      <c r="B240" s="311" t="s">
        <v>236</v>
      </c>
      <c r="C240" s="327">
        <v>0</v>
      </c>
      <c r="D240" s="327">
        <v>0.38333333333333275</v>
      </c>
      <c r="E240" s="327">
        <v>0.41551190476190425</v>
      </c>
      <c r="F240" s="327">
        <v>0.47682142857142806</v>
      </c>
      <c r="G240" s="327">
        <v>0.5879166666666662</v>
      </c>
      <c r="H240" s="327">
        <v>0.66190476190476155</v>
      </c>
      <c r="I240" s="327">
        <v>0.6849166666666664</v>
      </c>
      <c r="J240" s="327">
        <v>0.72860714285714256</v>
      </c>
      <c r="K240" s="327">
        <v>0.80732142857142875</v>
      </c>
      <c r="L240" s="327">
        <v>0.8595238095238098</v>
      </c>
      <c r="M240" s="327">
        <v>0.87575000000000025</v>
      </c>
      <c r="N240" s="327">
        <v>0.9065833333333333</v>
      </c>
      <c r="O240" s="327">
        <v>0.96244047619047657</v>
      </c>
      <c r="P240" s="311">
        <v>1.0000000000000002</v>
      </c>
      <c r="Q240" s="311">
        <v>1.0024999999999999</v>
      </c>
      <c r="R240" s="311">
        <v>1.0049999999999999</v>
      </c>
      <c r="S240" s="311">
        <v>1.0075000000000001</v>
      </c>
      <c r="T240" s="311">
        <f t="shared" si="3"/>
        <v>240</v>
      </c>
      <c r="U240" s="311"/>
      <c r="V240" s="311"/>
      <c r="W240" s="311">
        <v>240</v>
      </c>
      <c r="X240" s="311" t="s">
        <v>1892</v>
      </c>
      <c r="Y240" s="311" t="s">
        <v>1893</v>
      </c>
      <c r="Z240" s="311" t="s">
        <v>2126</v>
      </c>
      <c r="AA240" s="377">
        <v>240</v>
      </c>
    </row>
    <row r="241" spans="1:27" ht="12.75" customHeight="1" x14ac:dyDescent="0.2">
      <c r="A241" s="311" t="s">
        <v>265</v>
      </c>
      <c r="B241" s="311" t="s">
        <v>23</v>
      </c>
      <c r="C241" s="327">
        <v>0</v>
      </c>
      <c r="D241" s="327">
        <v>0.38333333333333275</v>
      </c>
      <c r="E241" s="327">
        <v>0.41551190476190425</v>
      </c>
      <c r="F241" s="327">
        <v>0.47682142857142806</v>
      </c>
      <c r="G241" s="327">
        <v>0.5879166666666662</v>
      </c>
      <c r="H241" s="327">
        <v>0.66190476190476155</v>
      </c>
      <c r="I241" s="327">
        <v>0.6849166666666664</v>
      </c>
      <c r="J241" s="327">
        <v>0.72860714285714256</v>
      </c>
      <c r="K241" s="327">
        <v>0.80732142857142875</v>
      </c>
      <c r="L241" s="327">
        <v>0.8595238095238098</v>
      </c>
      <c r="M241" s="327">
        <v>0.87575000000000025</v>
      </c>
      <c r="N241" s="327">
        <v>0.9065833333333333</v>
      </c>
      <c r="O241" s="327">
        <v>0.96244047619047657</v>
      </c>
      <c r="P241" s="311">
        <v>1.0000000000000002</v>
      </c>
      <c r="Q241" s="311">
        <v>1.0024999999999999</v>
      </c>
      <c r="R241" s="311">
        <v>1.0049999999999999</v>
      </c>
      <c r="S241" s="311">
        <v>1.0075000000000001</v>
      </c>
      <c r="T241" s="311">
        <f t="shared" si="3"/>
        <v>140</v>
      </c>
      <c r="U241" s="311"/>
      <c r="V241" s="311"/>
      <c r="W241" s="311">
        <v>140</v>
      </c>
      <c r="X241" s="311" t="s">
        <v>1892</v>
      </c>
      <c r="Y241" s="311" t="s">
        <v>1893</v>
      </c>
      <c r="Z241" s="311" t="s">
        <v>2127</v>
      </c>
      <c r="AA241" s="377">
        <v>140</v>
      </c>
    </row>
    <row r="242" spans="1:27" ht="12.75" customHeight="1" x14ac:dyDescent="0.2">
      <c r="A242" s="311" t="s">
        <v>265</v>
      </c>
      <c r="B242" s="311" t="s">
        <v>237</v>
      </c>
      <c r="C242" s="327">
        <v>0</v>
      </c>
      <c r="D242" s="327">
        <v>0.38333333333333275</v>
      </c>
      <c r="E242" s="327">
        <v>0.41551190476190425</v>
      </c>
      <c r="F242" s="327">
        <v>0.47682142857142806</v>
      </c>
      <c r="G242" s="327">
        <v>0.5879166666666662</v>
      </c>
      <c r="H242" s="327">
        <v>0.66190476190476155</v>
      </c>
      <c r="I242" s="327">
        <v>0.6849166666666664</v>
      </c>
      <c r="J242" s="327">
        <v>0.72860714285714256</v>
      </c>
      <c r="K242" s="327">
        <v>0.80732142857142875</v>
      </c>
      <c r="L242" s="327">
        <v>0.8595238095238098</v>
      </c>
      <c r="M242" s="327">
        <v>0.87575000000000025</v>
      </c>
      <c r="N242" s="327">
        <v>0.9065833333333333</v>
      </c>
      <c r="O242" s="327">
        <v>0.96244047619047657</v>
      </c>
      <c r="P242" s="311">
        <v>1.0000000000000002</v>
      </c>
      <c r="Q242" s="311">
        <v>1.0024999999999999</v>
      </c>
      <c r="R242" s="311">
        <v>1.0049999999999999</v>
      </c>
      <c r="S242" s="311">
        <v>1.0075000000000001</v>
      </c>
      <c r="T242" s="311">
        <f t="shared" si="3"/>
        <v>50</v>
      </c>
      <c r="U242" s="311"/>
      <c r="V242" s="311"/>
      <c r="W242" s="311">
        <v>50</v>
      </c>
      <c r="X242" s="311" t="s">
        <v>1892</v>
      </c>
      <c r="Y242" s="311" t="s">
        <v>1893</v>
      </c>
      <c r="Z242" s="311" t="s">
        <v>2128</v>
      </c>
      <c r="AA242" s="377">
        <v>50</v>
      </c>
    </row>
    <row r="243" spans="1:27" ht="12.75" customHeight="1" x14ac:dyDescent="0.2">
      <c r="A243" s="311" t="s">
        <v>264</v>
      </c>
      <c r="B243" s="311" t="s">
        <v>235</v>
      </c>
      <c r="C243" s="327">
        <v>0</v>
      </c>
      <c r="D243" s="327">
        <v>0.24206349206349187</v>
      </c>
      <c r="E243" s="327">
        <v>0.26656084656084639</v>
      </c>
      <c r="F243" s="327">
        <v>0.31571428571428545</v>
      </c>
      <c r="G243" s="327">
        <v>0.41465608465608456</v>
      </c>
      <c r="H243" s="327">
        <v>0.48941798941798925</v>
      </c>
      <c r="I243" s="327">
        <v>0.51444444444444426</v>
      </c>
      <c r="J243" s="327">
        <v>0.56465608465608441</v>
      </c>
      <c r="K243" s="327">
        <v>0.6657142857142857</v>
      </c>
      <c r="L243" s="327">
        <v>0.74206349206349209</v>
      </c>
      <c r="M243" s="327">
        <v>0.76761904761904742</v>
      </c>
      <c r="N243" s="327">
        <v>0.81888888888888878</v>
      </c>
      <c r="O243" s="327">
        <v>0.92206349206349203</v>
      </c>
      <c r="P243" s="311">
        <v>1</v>
      </c>
      <c r="Q243" s="311">
        <v>1.0024999999999999</v>
      </c>
      <c r="R243" s="311">
        <v>1.0049999999999999</v>
      </c>
      <c r="S243" s="311">
        <v>1.0075000000000001</v>
      </c>
      <c r="T243" s="311">
        <f t="shared" si="3"/>
        <v>1000000000</v>
      </c>
      <c r="U243" s="311" t="s">
        <v>315</v>
      </c>
      <c r="V243" s="311"/>
      <c r="W243" s="311">
        <v>1000000000</v>
      </c>
      <c r="X243" s="311" t="s">
        <v>1892</v>
      </c>
      <c r="Y243" s="311" t="s">
        <v>1893</v>
      </c>
      <c r="Z243" s="311" t="s">
        <v>2129</v>
      </c>
      <c r="AA243" s="377">
        <v>1000000000</v>
      </c>
    </row>
    <row r="244" spans="1:27" ht="12.75" customHeight="1" x14ac:dyDescent="0.2">
      <c r="A244" s="311" t="s">
        <v>264</v>
      </c>
      <c r="B244" s="311" t="s">
        <v>236</v>
      </c>
      <c r="C244" s="327">
        <v>0</v>
      </c>
      <c r="D244" s="327">
        <v>0.24206349206349187</v>
      </c>
      <c r="E244" s="327">
        <v>0.26656084656084639</v>
      </c>
      <c r="F244" s="327">
        <v>0.31571428571428545</v>
      </c>
      <c r="G244" s="327">
        <v>0.41465608465608456</v>
      </c>
      <c r="H244" s="327">
        <v>0.48941798941798925</v>
      </c>
      <c r="I244" s="327">
        <v>0.51444444444444426</v>
      </c>
      <c r="J244" s="327">
        <v>0.56465608465608441</v>
      </c>
      <c r="K244" s="327">
        <v>0.6657142857142857</v>
      </c>
      <c r="L244" s="327">
        <v>0.74206349206349209</v>
      </c>
      <c r="M244" s="327">
        <v>0.76761904761904742</v>
      </c>
      <c r="N244" s="327">
        <v>0.81888888888888878</v>
      </c>
      <c r="O244" s="327">
        <v>0.92206349206349203</v>
      </c>
      <c r="P244" s="311">
        <v>1</v>
      </c>
      <c r="Q244" s="311">
        <v>1.0024999999999999</v>
      </c>
      <c r="R244" s="311">
        <v>1.0049999999999999</v>
      </c>
      <c r="S244" s="311">
        <v>1.0075000000000001</v>
      </c>
      <c r="T244" s="311">
        <f t="shared" si="3"/>
        <v>36</v>
      </c>
      <c r="U244" s="311"/>
      <c r="V244" s="311"/>
      <c r="W244" s="311">
        <v>36</v>
      </c>
      <c r="X244" s="311" t="s">
        <v>1892</v>
      </c>
      <c r="Y244" s="311" t="s">
        <v>1893</v>
      </c>
      <c r="Z244" s="311" t="s">
        <v>2130</v>
      </c>
      <c r="AA244" s="377">
        <v>36</v>
      </c>
    </row>
    <row r="245" spans="1:27" ht="12.75" customHeight="1" x14ac:dyDescent="0.2">
      <c r="A245" s="311" t="s">
        <v>264</v>
      </c>
      <c r="B245" s="311" t="s">
        <v>23</v>
      </c>
      <c r="C245" s="327">
        <v>0</v>
      </c>
      <c r="D245" s="327">
        <v>0.24206349206349187</v>
      </c>
      <c r="E245" s="327">
        <v>0.26656084656084639</v>
      </c>
      <c r="F245" s="327">
        <v>0.31571428571428545</v>
      </c>
      <c r="G245" s="327">
        <v>0.41465608465608456</v>
      </c>
      <c r="H245" s="327">
        <v>0.48941798941798925</v>
      </c>
      <c r="I245" s="327">
        <v>0.51444444444444426</v>
      </c>
      <c r="J245" s="327">
        <v>0.56465608465608441</v>
      </c>
      <c r="K245" s="327">
        <v>0.6657142857142857</v>
      </c>
      <c r="L245" s="327">
        <v>0.74206349206349209</v>
      </c>
      <c r="M245" s="327">
        <v>0.76761904761904742</v>
      </c>
      <c r="N245" s="327">
        <v>0.81888888888888878</v>
      </c>
      <c r="O245" s="327">
        <v>0.92206349206349203</v>
      </c>
      <c r="P245" s="311">
        <v>1</v>
      </c>
      <c r="Q245" s="311">
        <v>1.0024999999999999</v>
      </c>
      <c r="R245" s="311">
        <v>1.0049999999999999</v>
      </c>
      <c r="S245" s="311">
        <v>1.0075000000000001</v>
      </c>
      <c r="T245" s="311">
        <f t="shared" si="3"/>
        <v>20</v>
      </c>
      <c r="U245" s="311"/>
      <c r="V245" s="311"/>
      <c r="W245" s="311">
        <v>20</v>
      </c>
      <c r="X245" s="311" t="s">
        <v>1892</v>
      </c>
      <c r="Y245" s="311" t="s">
        <v>1893</v>
      </c>
      <c r="Z245" s="311" t="s">
        <v>2131</v>
      </c>
      <c r="AA245" s="377">
        <v>20</v>
      </c>
    </row>
    <row r="246" spans="1:27" ht="12.75" customHeight="1" x14ac:dyDescent="0.2">
      <c r="A246" s="311" t="s">
        <v>264</v>
      </c>
      <c r="B246" s="311" t="s">
        <v>237</v>
      </c>
      <c r="C246" s="327">
        <v>0</v>
      </c>
      <c r="D246" s="327">
        <v>0.24206349206349187</v>
      </c>
      <c r="E246" s="327">
        <v>0.26656084656084639</v>
      </c>
      <c r="F246" s="327">
        <v>0.31571428571428545</v>
      </c>
      <c r="G246" s="327">
        <v>0.41465608465608456</v>
      </c>
      <c r="H246" s="327">
        <v>0.48941798941798925</v>
      </c>
      <c r="I246" s="327">
        <v>0.51444444444444426</v>
      </c>
      <c r="J246" s="327">
        <v>0.56465608465608441</v>
      </c>
      <c r="K246" s="327">
        <v>0.6657142857142857</v>
      </c>
      <c r="L246" s="327">
        <v>0.74206349206349209</v>
      </c>
      <c r="M246" s="327">
        <v>0.76761904761904742</v>
      </c>
      <c r="N246" s="327">
        <v>0.81888888888888878</v>
      </c>
      <c r="O246" s="327">
        <v>0.92206349206349203</v>
      </c>
      <c r="P246" s="311">
        <v>1</v>
      </c>
      <c r="Q246" s="311">
        <v>1.0024999999999999</v>
      </c>
      <c r="R246" s="311">
        <v>1.0049999999999999</v>
      </c>
      <c r="S246" s="311">
        <v>1.0075000000000001</v>
      </c>
      <c r="T246" s="311">
        <f t="shared" si="3"/>
        <v>12</v>
      </c>
      <c r="U246" s="311"/>
      <c r="V246" s="311"/>
      <c r="W246" s="311">
        <v>12</v>
      </c>
      <c r="X246" s="311" t="s">
        <v>1892</v>
      </c>
      <c r="Y246" s="311" t="s">
        <v>1893</v>
      </c>
      <c r="Z246" s="311" t="s">
        <v>2132</v>
      </c>
      <c r="AA246" s="377">
        <v>12</v>
      </c>
    </row>
    <row r="247" spans="1:27" ht="12.75" customHeight="1" x14ac:dyDescent="0.2">
      <c r="A247" s="311" t="s">
        <v>263</v>
      </c>
      <c r="B247" s="311" t="s">
        <v>236</v>
      </c>
      <c r="C247" s="327">
        <v>0</v>
      </c>
      <c r="D247" s="327">
        <v>0.42757936507936434</v>
      </c>
      <c r="E247" s="327">
        <v>0.46234920634920573</v>
      </c>
      <c r="F247" s="327">
        <v>0.52789285714285639</v>
      </c>
      <c r="G247" s="327">
        <v>0.64377380952380892</v>
      </c>
      <c r="H247" s="327">
        <v>0.71825396825396781</v>
      </c>
      <c r="I247" s="327">
        <v>0.74086111111111042</v>
      </c>
      <c r="J247" s="327">
        <v>0.78291269841269784</v>
      </c>
      <c r="K247" s="327">
        <v>0.85514285714285709</v>
      </c>
      <c r="L247" s="327">
        <v>0.89980158730158688</v>
      </c>
      <c r="M247" s="327">
        <v>0.91302380952380913</v>
      </c>
      <c r="N247" s="327">
        <v>0.93713888888888841</v>
      </c>
      <c r="O247" s="327">
        <v>0.97682936507936435</v>
      </c>
      <c r="P247" s="311">
        <v>1</v>
      </c>
      <c r="Q247" s="311">
        <v>1.0024999999999999</v>
      </c>
      <c r="R247" s="311">
        <v>1.0049999999999999</v>
      </c>
      <c r="S247" s="311">
        <v>1.0075000000000001</v>
      </c>
      <c r="T247" s="311">
        <f t="shared" si="3"/>
        <v>80</v>
      </c>
      <c r="U247" s="311"/>
      <c r="V247" s="311"/>
      <c r="W247" s="311">
        <v>80</v>
      </c>
      <c r="X247" s="311" t="s">
        <v>1892</v>
      </c>
      <c r="Y247" s="311" t="s">
        <v>1893</v>
      </c>
      <c r="Z247" s="311" t="s">
        <v>2133</v>
      </c>
      <c r="AA247" s="377">
        <v>80</v>
      </c>
    </row>
    <row r="248" spans="1:27" ht="12.75" customHeight="1" x14ac:dyDescent="0.2">
      <c r="A248" s="311" t="s">
        <v>263</v>
      </c>
      <c r="B248" s="311" t="s">
        <v>23</v>
      </c>
      <c r="C248" s="327">
        <v>0</v>
      </c>
      <c r="D248" s="327">
        <v>0.42757936507936434</v>
      </c>
      <c r="E248" s="327">
        <v>0.46234920634920573</v>
      </c>
      <c r="F248" s="327">
        <v>0.52789285714285639</v>
      </c>
      <c r="G248" s="327">
        <v>0.64377380952380892</v>
      </c>
      <c r="H248" s="327">
        <v>0.71825396825396781</v>
      </c>
      <c r="I248" s="327">
        <v>0.74086111111111042</v>
      </c>
      <c r="J248" s="327">
        <v>0.78291269841269784</v>
      </c>
      <c r="K248" s="327">
        <v>0.85514285714285709</v>
      </c>
      <c r="L248" s="327">
        <v>0.89980158730158688</v>
      </c>
      <c r="M248" s="327">
        <v>0.91302380952380913</v>
      </c>
      <c r="N248" s="327">
        <v>0.93713888888888841</v>
      </c>
      <c r="O248" s="327">
        <v>0.97682936507936435</v>
      </c>
      <c r="P248" s="311">
        <v>1</v>
      </c>
      <c r="Q248" s="311">
        <v>1.0024999999999999</v>
      </c>
      <c r="R248" s="311">
        <v>1.0049999999999999</v>
      </c>
      <c r="S248" s="311">
        <v>1.0075000000000001</v>
      </c>
      <c r="T248" s="311">
        <f t="shared" si="3"/>
        <v>60</v>
      </c>
      <c r="U248" s="311"/>
      <c r="V248" s="311"/>
      <c r="W248" s="311">
        <v>60</v>
      </c>
      <c r="X248" s="311" t="s">
        <v>1892</v>
      </c>
      <c r="Y248" s="311" t="s">
        <v>1893</v>
      </c>
      <c r="Z248" s="311" t="s">
        <v>2134</v>
      </c>
      <c r="AA248" s="377">
        <v>60</v>
      </c>
    </row>
    <row r="249" spans="1:27" ht="12.75" customHeight="1" x14ac:dyDescent="0.2">
      <c r="A249" s="311" t="s">
        <v>263</v>
      </c>
      <c r="B249" s="311" t="s">
        <v>237</v>
      </c>
      <c r="C249" s="327">
        <v>0</v>
      </c>
      <c r="D249" s="327">
        <v>0.42757936507936434</v>
      </c>
      <c r="E249" s="327">
        <v>0.46234920634920573</v>
      </c>
      <c r="F249" s="327">
        <v>0.52789285714285639</v>
      </c>
      <c r="G249" s="327">
        <v>0.64377380952380892</v>
      </c>
      <c r="H249" s="327">
        <v>0.71825396825396781</v>
      </c>
      <c r="I249" s="327">
        <v>0.74086111111111042</v>
      </c>
      <c r="J249" s="327">
        <v>0.78291269841269784</v>
      </c>
      <c r="K249" s="327">
        <v>0.85514285714285709</v>
      </c>
      <c r="L249" s="327">
        <v>0.89980158730158688</v>
      </c>
      <c r="M249" s="327">
        <v>0.91302380952380913</v>
      </c>
      <c r="N249" s="327">
        <v>0.93713888888888841</v>
      </c>
      <c r="O249" s="327">
        <v>0.97682936507936435</v>
      </c>
      <c r="P249" s="311">
        <v>1</v>
      </c>
      <c r="Q249" s="311">
        <v>1.0024999999999999</v>
      </c>
      <c r="R249" s="311">
        <v>1.0049999999999999</v>
      </c>
      <c r="S249" s="311">
        <v>1.0075000000000001</v>
      </c>
      <c r="T249" s="311">
        <f t="shared" si="3"/>
        <v>40</v>
      </c>
      <c r="U249" s="311"/>
      <c r="V249" s="311"/>
      <c r="W249" s="311">
        <v>40</v>
      </c>
      <c r="X249" s="311" t="s">
        <v>1892</v>
      </c>
      <c r="Y249" s="311" t="s">
        <v>1893</v>
      </c>
      <c r="Z249" s="311" t="s">
        <v>2135</v>
      </c>
      <c r="AA249" s="377">
        <v>40</v>
      </c>
    </row>
    <row r="250" spans="1:27" ht="12.75" customHeight="1" x14ac:dyDescent="0.2">
      <c r="A250" s="311" t="s">
        <v>262</v>
      </c>
      <c r="B250" s="311" t="s">
        <v>235</v>
      </c>
      <c r="C250" s="327">
        <v>0</v>
      </c>
      <c r="D250" s="327">
        <v>0.54116852414724625</v>
      </c>
      <c r="E250" s="327">
        <v>0.58004038331644614</v>
      </c>
      <c r="F250" s="327">
        <v>0.65058579027355468</v>
      </c>
      <c r="G250" s="327">
        <v>0.76528950523471695</v>
      </c>
      <c r="H250" s="327">
        <v>0.83093549476528084</v>
      </c>
      <c r="I250" s="327">
        <v>0.84939355791962112</v>
      </c>
      <c r="J250" s="327">
        <v>0.88168938703140742</v>
      </c>
      <c r="K250" s="327">
        <v>0.93020600303951306</v>
      </c>
      <c r="L250" s="327">
        <v>0.95523471800067516</v>
      </c>
      <c r="M250" s="327">
        <v>0.96187236575481172</v>
      </c>
      <c r="N250" s="327">
        <v>0.97310537825059107</v>
      </c>
      <c r="O250" s="327">
        <v>0.98980841776426931</v>
      </c>
      <c r="P250" s="311">
        <v>0.99999999999999989</v>
      </c>
      <c r="Q250" s="311">
        <v>1.0024999999999999</v>
      </c>
      <c r="R250" s="311">
        <v>1.0049999999999999</v>
      </c>
      <c r="S250" s="311">
        <v>1.0075000000000001</v>
      </c>
      <c r="T250" s="311">
        <f t="shared" si="3"/>
        <v>1000000000</v>
      </c>
      <c r="U250" s="311" t="s">
        <v>315</v>
      </c>
      <c r="V250" s="311"/>
      <c r="W250" s="311">
        <v>1000000000</v>
      </c>
      <c r="X250" s="311" t="s">
        <v>1892</v>
      </c>
      <c r="Y250" s="311" t="s">
        <v>1893</v>
      </c>
      <c r="Z250" s="311" t="s">
        <v>2136</v>
      </c>
      <c r="AA250" s="377">
        <v>1000000000</v>
      </c>
    </row>
    <row r="251" spans="1:27" ht="12.75" customHeight="1" x14ac:dyDescent="0.2">
      <c r="A251" s="311" t="s">
        <v>262</v>
      </c>
      <c r="B251" s="311" t="s">
        <v>236</v>
      </c>
      <c r="C251" s="327">
        <v>0</v>
      </c>
      <c r="D251" s="327">
        <v>0.54116852414724625</v>
      </c>
      <c r="E251" s="327">
        <v>0.58004038331644614</v>
      </c>
      <c r="F251" s="327">
        <v>0.65058579027355468</v>
      </c>
      <c r="G251" s="327">
        <v>0.76528950523471695</v>
      </c>
      <c r="H251" s="327">
        <v>0.83093549476528084</v>
      </c>
      <c r="I251" s="327">
        <v>0.84939355791962112</v>
      </c>
      <c r="J251" s="327">
        <v>0.88168938703140742</v>
      </c>
      <c r="K251" s="327">
        <v>0.93020600303951306</v>
      </c>
      <c r="L251" s="327">
        <v>0.95523471800067516</v>
      </c>
      <c r="M251" s="327">
        <v>0.96187236575481172</v>
      </c>
      <c r="N251" s="327">
        <v>0.97310537825059107</v>
      </c>
      <c r="O251" s="327">
        <v>0.98980841776426931</v>
      </c>
      <c r="P251" s="311">
        <v>0.99999999999999989</v>
      </c>
      <c r="Q251" s="311">
        <v>1.0024999999999999</v>
      </c>
      <c r="R251" s="311">
        <v>1.0049999999999999</v>
      </c>
      <c r="S251" s="311">
        <v>1.0075000000000001</v>
      </c>
      <c r="T251" s="311">
        <f t="shared" si="3"/>
        <v>60</v>
      </c>
      <c r="U251" s="311"/>
      <c r="V251" s="311"/>
      <c r="W251" s="311">
        <v>60</v>
      </c>
      <c r="X251" s="311" t="s">
        <v>1892</v>
      </c>
      <c r="Y251" s="311" t="s">
        <v>1893</v>
      </c>
      <c r="Z251" s="311" t="s">
        <v>2137</v>
      </c>
      <c r="AA251" s="377">
        <v>60</v>
      </c>
    </row>
    <row r="252" spans="1:27" ht="12.75" customHeight="1" x14ac:dyDescent="0.2">
      <c r="A252" s="311" t="s">
        <v>262</v>
      </c>
      <c r="B252" s="311" t="s">
        <v>23</v>
      </c>
      <c r="C252" s="327">
        <v>0</v>
      </c>
      <c r="D252" s="327">
        <v>0.54116852414724625</v>
      </c>
      <c r="E252" s="327">
        <v>0.58004038331644614</v>
      </c>
      <c r="F252" s="327">
        <v>0.65058579027355468</v>
      </c>
      <c r="G252" s="327">
        <v>0.76528950523471695</v>
      </c>
      <c r="H252" s="327">
        <v>0.83093549476528084</v>
      </c>
      <c r="I252" s="327">
        <v>0.84939355791962112</v>
      </c>
      <c r="J252" s="327">
        <v>0.88168938703140742</v>
      </c>
      <c r="K252" s="327">
        <v>0.93020600303951306</v>
      </c>
      <c r="L252" s="327">
        <v>0.95523471800067516</v>
      </c>
      <c r="M252" s="327">
        <v>0.96187236575481172</v>
      </c>
      <c r="N252" s="327">
        <v>0.97310537825059107</v>
      </c>
      <c r="O252" s="327">
        <v>0.98980841776426931</v>
      </c>
      <c r="P252" s="311">
        <v>0.99999999999999989</v>
      </c>
      <c r="Q252" s="311">
        <v>1.0024999999999999</v>
      </c>
      <c r="R252" s="311">
        <v>1.0049999999999999</v>
      </c>
      <c r="S252" s="311">
        <v>1.0075000000000001</v>
      </c>
      <c r="T252" s="311">
        <f t="shared" si="3"/>
        <v>47</v>
      </c>
      <c r="U252" s="311"/>
      <c r="V252" s="311"/>
      <c r="W252" s="311">
        <v>47</v>
      </c>
      <c r="X252" s="311" t="s">
        <v>1892</v>
      </c>
      <c r="Y252" s="311" t="s">
        <v>1893</v>
      </c>
      <c r="Z252" s="311" t="s">
        <v>2138</v>
      </c>
      <c r="AA252" s="377">
        <v>47</v>
      </c>
    </row>
    <row r="253" spans="1:27" ht="12.75" customHeight="1" x14ac:dyDescent="0.2">
      <c r="A253" s="311" t="s">
        <v>262</v>
      </c>
      <c r="B253" s="311" t="s">
        <v>237</v>
      </c>
      <c r="C253" s="327">
        <v>0</v>
      </c>
      <c r="D253" s="327">
        <v>0.54116852414724625</v>
      </c>
      <c r="E253" s="327">
        <v>0.58004038331644614</v>
      </c>
      <c r="F253" s="327">
        <v>0.65058579027355468</v>
      </c>
      <c r="G253" s="327">
        <v>0.76528950523471695</v>
      </c>
      <c r="H253" s="327">
        <v>0.83093549476528084</v>
      </c>
      <c r="I253" s="327">
        <v>0.84939355791962112</v>
      </c>
      <c r="J253" s="327">
        <v>0.88168938703140742</v>
      </c>
      <c r="K253" s="327">
        <v>0.93020600303951306</v>
      </c>
      <c r="L253" s="327">
        <v>0.95523471800067516</v>
      </c>
      <c r="M253" s="327">
        <v>0.96187236575481172</v>
      </c>
      <c r="N253" s="327">
        <v>0.97310537825059107</v>
      </c>
      <c r="O253" s="327">
        <v>0.98980841776426931</v>
      </c>
      <c r="P253" s="311">
        <v>0.99999999999999989</v>
      </c>
      <c r="Q253" s="311">
        <v>1.0024999999999999</v>
      </c>
      <c r="R253" s="311">
        <v>1.0049999999999999</v>
      </c>
      <c r="S253" s="311">
        <v>1.0075000000000001</v>
      </c>
      <c r="T253" s="311">
        <f t="shared" si="3"/>
        <v>30</v>
      </c>
      <c r="U253" s="311"/>
      <c r="V253" s="311"/>
      <c r="W253" s="311">
        <v>30</v>
      </c>
      <c r="X253" s="311" t="s">
        <v>1892</v>
      </c>
      <c r="Y253" s="311" t="s">
        <v>1893</v>
      </c>
      <c r="Z253" s="311" t="s">
        <v>2139</v>
      </c>
      <c r="AA253" s="377">
        <v>30</v>
      </c>
    </row>
    <row r="254" spans="1:27" ht="12.75" customHeight="1" x14ac:dyDescent="0.2">
      <c r="A254" s="311" t="s">
        <v>261</v>
      </c>
      <c r="B254" s="311" t="s">
        <v>235</v>
      </c>
      <c r="C254" s="327">
        <v>0</v>
      </c>
      <c r="D254" s="327">
        <v>0.53052931350803612</v>
      </c>
      <c r="E254" s="327">
        <v>0.56941389253995578</v>
      </c>
      <c r="F254" s="327">
        <v>0.64040413004189511</v>
      </c>
      <c r="G254" s="327">
        <v>0.75731350780871998</v>
      </c>
      <c r="H254" s="327">
        <v>0.82535848918827603</v>
      </c>
      <c r="I254" s="327">
        <v>0.84468920356526722</v>
      </c>
      <c r="J254" s="327">
        <v>0.87876233855435981</v>
      </c>
      <c r="K254" s="327">
        <v>0.93060001848352958</v>
      </c>
      <c r="L254" s="327">
        <v>0.95750842027437832</v>
      </c>
      <c r="M254" s="327">
        <v>0.96458735931980588</v>
      </c>
      <c r="N254" s="327">
        <v>0.97634757044278386</v>
      </c>
      <c r="O254" s="327">
        <v>0.99232190982776081</v>
      </c>
      <c r="P254" s="311">
        <v>1.0000000000000004</v>
      </c>
      <c r="Q254" s="311">
        <v>1.0024999999999999</v>
      </c>
      <c r="R254" s="311">
        <v>1.0049999999999999</v>
      </c>
      <c r="S254" s="311">
        <v>1.0075000000000001</v>
      </c>
      <c r="T254" s="311">
        <f t="shared" si="3"/>
        <v>1000000000</v>
      </c>
      <c r="U254" s="311" t="s">
        <v>315</v>
      </c>
      <c r="V254" s="311"/>
      <c r="W254" s="311">
        <v>1000000000</v>
      </c>
      <c r="X254" s="311" t="s">
        <v>1892</v>
      </c>
      <c r="Y254" s="311" t="s">
        <v>1893</v>
      </c>
      <c r="Z254" s="311" t="s">
        <v>2140</v>
      </c>
      <c r="AA254" s="377">
        <v>1000000000</v>
      </c>
    </row>
    <row r="255" spans="1:27" ht="12.75" customHeight="1" x14ac:dyDescent="0.2">
      <c r="A255" s="311" t="s">
        <v>261</v>
      </c>
      <c r="B255" s="311" t="s">
        <v>236</v>
      </c>
      <c r="C255" s="327">
        <v>0</v>
      </c>
      <c r="D255" s="327">
        <v>0.53052931350803612</v>
      </c>
      <c r="E255" s="327">
        <v>0.56941389253995578</v>
      </c>
      <c r="F255" s="327">
        <v>0.64040413004189511</v>
      </c>
      <c r="G255" s="327">
        <v>0.75731350780871998</v>
      </c>
      <c r="H255" s="327">
        <v>0.82535848918827603</v>
      </c>
      <c r="I255" s="327">
        <v>0.84468920356526722</v>
      </c>
      <c r="J255" s="327">
        <v>0.87876233855435981</v>
      </c>
      <c r="K255" s="327">
        <v>0.93060001848352958</v>
      </c>
      <c r="L255" s="327">
        <v>0.95750842027437832</v>
      </c>
      <c r="M255" s="327">
        <v>0.96458735931980588</v>
      </c>
      <c r="N255" s="327">
        <v>0.97634757044278386</v>
      </c>
      <c r="O255" s="327">
        <v>0.99232190982776081</v>
      </c>
      <c r="P255" s="311">
        <v>1.0000000000000004</v>
      </c>
      <c r="Q255" s="311">
        <v>1.0024999999999999</v>
      </c>
      <c r="R255" s="311">
        <v>1.0049999999999999</v>
      </c>
      <c r="S255" s="311">
        <v>1.0075000000000001</v>
      </c>
      <c r="T255" s="311">
        <f t="shared" si="3"/>
        <v>60</v>
      </c>
      <c r="U255" s="311"/>
      <c r="V255" s="311"/>
      <c r="W255" s="311">
        <v>60</v>
      </c>
      <c r="X255" s="311" t="s">
        <v>1892</v>
      </c>
      <c r="Y255" s="311" t="s">
        <v>1893</v>
      </c>
      <c r="Z255" s="311" t="s">
        <v>2141</v>
      </c>
      <c r="AA255" s="377">
        <v>60</v>
      </c>
    </row>
    <row r="256" spans="1:27" ht="12.75" customHeight="1" x14ac:dyDescent="0.2">
      <c r="A256" s="311" t="s">
        <v>261</v>
      </c>
      <c r="B256" s="311" t="s">
        <v>23</v>
      </c>
      <c r="C256" s="327">
        <v>0</v>
      </c>
      <c r="D256" s="327">
        <v>0.53052931350803612</v>
      </c>
      <c r="E256" s="327">
        <v>0.56941389253995578</v>
      </c>
      <c r="F256" s="327">
        <v>0.64040413004189511</v>
      </c>
      <c r="G256" s="327">
        <v>0.75731350780871998</v>
      </c>
      <c r="H256" s="327">
        <v>0.82535848918827603</v>
      </c>
      <c r="I256" s="327">
        <v>0.84468920356526722</v>
      </c>
      <c r="J256" s="327">
        <v>0.87876233855435981</v>
      </c>
      <c r="K256" s="327">
        <v>0.93060001848352958</v>
      </c>
      <c r="L256" s="327">
        <v>0.95750842027437832</v>
      </c>
      <c r="M256" s="327">
        <v>0.96458735931980588</v>
      </c>
      <c r="N256" s="327">
        <v>0.97634757044278386</v>
      </c>
      <c r="O256" s="327">
        <v>0.99232190982776081</v>
      </c>
      <c r="P256" s="311">
        <v>1.0000000000000004</v>
      </c>
      <c r="Q256" s="311">
        <v>1.0024999999999999</v>
      </c>
      <c r="R256" s="311">
        <v>1.0049999999999999</v>
      </c>
      <c r="S256" s="311">
        <v>1.0075000000000001</v>
      </c>
      <c r="T256" s="311">
        <f t="shared" si="3"/>
        <v>47</v>
      </c>
      <c r="U256" s="311"/>
      <c r="V256" s="311"/>
      <c r="W256" s="311">
        <v>47</v>
      </c>
      <c r="X256" s="311" t="s">
        <v>1892</v>
      </c>
      <c r="Y256" s="311" t="s">
        <v>1893</v>
      </c>
      <c r="Z256" s="311" t="s">
        <v>2142</v>
      </c>
      <c r="AA256" s="377">
        <v>47</v>
      </c>
    </row>
    <row r="257" spans="1:27" ht="12.75" customHeight="1" x14ac:dyDescent="0.2">
      <c r="A257" s="311" t="s">
        <v>261</v>
      </c>
      <c r="B257" s="311" t="s">
        <v>237</v>
      </c>
      <c r="C257" s="327">
        <v>0</v>
      </c>
      <c r="D257" s="327">
        <v>0.53052931350803612</v>
      </c>
      <c r="E257" s="327">
        <v>0.56941389253995578</v>
      </c>
      <c r="F257" s="327">
        <v>0.64040413004189511</v>
      </c>
      <c r="G257" s="327">
        <v>0.75731350780871998</v>
      </c>
      <c r="H257" s="327">
        <v>0.82535848918827603</v>
      </c>
      <c r="I257" s="327">
        <v>0.84468920356526722</v>
      </c>
      <c r="J257" s="327">
        <v>0.87876233855435981</v>
      </c>
      <c r="K257" s="327">
        <v>0.93060001848352958</v>
      </c>
      <c r="L257" s="327">
        <v>0.95750842027437832</v>
      </c>
      <c r="M257" s="327">
        <v>0.96458735931980588</v>
      </c>
      <c r="N257" s="327">
        <v>0.97634757044278386</v>
      </c>
      <c r="O257" s="327">
        <v>0.99232190982776081</v>
      </c>
      <c r="P257" s="311">
        <v>1.0000000000000004</v>
      </c>
      <c r="Q257" s="311">
        <v>1.0024999999999999</v>
      </c>
      <c r="R257" s="311">
        <v>1.0049999999999999</v>
      </c>
      <c r="S257" s="311">
        <v>1.0075000000000001</v>
      </c>
      <c r="T257" s="311">
        <f t="shared" si="3"/>
        <v>37</v>
      </c>
      <c r="U257" s="311"/>
      <c r="V257" s="311"/>
      <c r="W257" s="311">
        <v>37</v>
      </c>
      <c r="X257" s="311" t="s">
        <v>1892</v>
      </c>
      <c r="Y257" s="311" t="s">
        <v>1893</v>
      </c>
      <c r="Z257" s="311" t="s">
        <v>2143</v>
      </c>
      <c r="AA257" s="377">
        <v>37</v>
      </c>
    </row>
    <row r="258" spans="1:27" ht="12.75" customHeight="1" x14ac:dyDescent="0.2">
      <c r="A258" s="311" t="s">
        <v>260</v>
      </c>
      <c r="B258" s="311" t="s">
        <v>235</v>
      </c>
      <c r="C258" s="327">
        <v>0</v>
      </c>
      <c r="D258" s="327">
        <v>0.55094809094808894</v>
      </c>
      <c r="E258" s="327">
        <v>0.58848763620763422</v>
      </c>
      <c r="F258" s="327">
        <v>0.65558548262548022</v>
      </c>
      <c r="G258" s="327">
        <v>0.76129019305019086</v>
      </c>
      <c r="H258" s="327">
        <v>0.8195023595023575</v>
      </c>
      <c r="I258" s="327">
        <v>0.83554786786786595</v>
      </c>
      <c r="J258" s="327">
        <v>0.86333691977691795</v>
      </c>
      <c r="K258" s="327">
        <v>0.90514115830115649</v>
      </c>
      <c r="L258" s="327">
        <v>0.92830544830544726</v>
      </c>
      <c r="M258" s="327">
        <v>0.93512118404118183</v>
      </c>
      <c r="N258" s="327">
        <v>0.94812996996996979</v>
      </c>
      <c r="O258" s="327">
        <v>0.97509079365079232</v>
      </c>
      <c r="P258" s="311">
        <v>0.99999999999999989</v>
      </c>
      <c r="Q258" s="311">
        <v>1.0024999999999999</v>
      </c>
      <c r="R258" s="311">
        <v>1.0049999999999999</v>
      </c>
      <c r="S258" s="311">
        <v>1.0075000000000001</v>
      </c>
      <c r="T258" s="311">
        <f t="shared" si="3"/>
        <v>1000000000</v>
      </c>
      <c r="U258" s="311" t="s">
        <v>315</v>
      </c>
      <c r="V258" s="311"/>
      <c r="W258" s="311">
        <v>1000000000</v>
      </c>
      <c r="X258" s="311" t="s">
        <v>1892</v>
      </c>
      <c r="Y258" s="311" t="s">
        <v>1893</v>
      </c>
      <c r="Z258" s="311" t="s">
        <v>2144</v>
      </c>
      <c r="AA258" s="377">
        <v>1000000000</v>
      </c>
    </row>
    <row r="259" spans="1:27" ht="12.75" customHeight="1" x14ac:dyDescent="0.2">
      <c r="A259" s="311" t="s">
        <v>260</v>
      </c>
      <c r="B259" s="311" t="s">
        <v>236</v>
      </c>
      <c r="C259" s="327">
        <v>0</v>
      </c>
      <c r="D259" s="327">
        <v>0.55094809094808894</v>
      </c>
      <c r="E259" s="327">
        <v>0.58848763620763422</v>
      </c>
      <c r="F259" s="327">
        <v>0.65558548262548022</v>
      </c>
      <c r="G259" s="327">
        <v>0.76129019305019086</v>
      </c>
      <c r="H259" s="327">
        <v>0.8195023595023575</v>
      </c>
      <c r="I259" s="327">
        <v>0.83554786786786595</v>
      </c>
      <c r="J259" s="327">
        <v>0.86333691977691795</v>
      </c>
      <c r="K259" s="327">
        <v>0.90514115830115649</v>
      </c>
      <c r="L259" s="327">
        <v>0.92830544830544726</v>
      </c>
      <c r="M259" s="327">
        <v>0.93512118404118183</v>
      </c>
      <c r="N259" s="327">
        <v>0.94812996996996979</v>
      </c>
      <c r="O259" s="327">
        <v>0.97509079365079232</v>
      </c>
      <c r="P259" s="311">
        <v>0.99999999999999989</v>
      </c>
      <c r="Q259" s="311">
        <v>1.0024999999999999</v>
      </c>
      <c r="R259" s="311">
        <v>1.0049999999999999</v>
      </c>
      <c r="S259" s="311">
        <v>1.0075000000000001</v>
      </c>
      <c r="T259" s="311">
        <f t="shared" si="3"/>
        <v>37</v>
      </c>
      <c r="U259" s="311"/>
      <c r="V259" s="311"/>
      <c r="W259" s="311">
        <v>37</v>
      </c>
      <c r="X259" s="311" t="s">
        <v>1892</v>
      </c>
      <c r="Y259" s="311" t="s">
        <v>1893</v>
      </c>
      <c r="Z259" s="311" t="s">
        <v>2145</v>
      </c>
      <c r="AA259" s="377">
        <v>37</v>
      </c>
    </row>
    <row r="260" spans="1:27" ht="12.75" customHeight="1" x14ac:dyDescent="0.2">
      <c r="A260" s="311" t="s">
        <v>260</v>
      </c>
      <c r="B260" s="311" t="s">
        <v>23</v>
      </c>
      <c r="C260" s="327">
        <v>0</v>
      </c>
      <c r="D260" s="327">
        <v>0.55094809094808894</v>
      </c>
      <c r="E260" s="327">
        <v>0.58848763620763422</v>
      </c>
      <c r="F260" s="327">
        <v>0.65558548262548022</v>
      </c>
      <c r="G260" s="327">
        <v>0.76129019305019086</v>
      </c>
      <c r="H260" s="327">
        <v>0.8195023595023575</v>
      </c>
      <c r="I260" s="327">
        <v>0.83554786786786595</v>
      </c>
      <c r="J260" s="327">
        <v>0.86333691977691795</v>
      </c>
      <c r="K260" s="327">
        <v>0.90514115830115649</v>
      </c>
      <c r="L260" s="327">
        <v>0.92830544830544726</v>
      </c>
      <c r="M260" s="327">
        <v>0.93512118404118183</v>
      </c>
      <c r="N260" s="327">
        <v>0.94812996996996979</v>
      </c>
      <c r="O260" s="327">
        <v>0.97509079365079232</v>
      </c>
      <c r="P260" s="311">
        <v>0.99999999999999989</v>
      </c>
      <c r="Q260" s="311">
        <v>1.0024999999999999</v>
      </c>
      <c r="R260" s="311">
        <v>1.0049999999999999</v>
      </c>
      <c r="S260" s="311">
        <v>1.0075000000000001</v>
      </c>
      <c r="T260" s="311">
        <f t="shared" ref="T260:T323" si="4">IF($T$2&lt;&gt;0,$AA260*$T$2,$AA260)</f>
        <v>30</v>
      </c>
      <c r="U260" s="311"/>
      <c r="V260" s="311"/>
      <c r="W260" s="311">
        <v>30</v>
      </c>
      <c r="X260" s="311" t="s">
        <v>1892</v>
      </c>
      <c r="Y260" s="311" t="s">
        <v>1893</v>
      </c>
      <c r="Z260" s="311" t="s">
        <v>2146</v>
      </c>
      <c r="AA260" s="377">
        <v>30</v>
      </c>
    </row>
    <row r="261" spans="1:27" ht="12.75" customHeight="1" x14ac:dyDescent="0.2">
      <c r="A261" s="311" t="s">
        <v>260</v>
      </c>
      <c r="B261" s="311" t="s">
        <v>237</v>
      </c>
      <c r="C261" s="327">
        <v>0</v>
      </c>
      <c r="D261" s="327">
        <v>0.55094809094808894</v>
      </c>
      <c r="E261" s="327">
        <v>0.58848763620763422</v>
      </c>
      <c r="F261" s="327">
        <v>0.65558548262548022</v>
      </c>
      <c r="G261" s="327">
        <v>0.76129019305019086</v>
      </c>
      <c r="H261" s="327">
        <v>0.8195023595023575</v>
      </c>
      <c r="I261" s="327">
        <v>0.83554786786786595</v>
      </c>
      <c r="J261" s="327">
        <v>0.86333691977691795</v>
      </c>
      <c r="K261" s="327">
        <v>0.90514115830115649</v>
      </c>
      <c r="L261" s="327">
        <v>0.92830544830544726</v>
      </c>
      <c r="M261" s="327">
        <v>0.93512118404118183</v>
      </c>
      <c r="N261" s="327">
        <v>0.94812996996996979</v>
      </c>
      <c r="O261" s="327">
        <v>0.97509079365079232</v>
      </c>
      <c r="P261" s="311">
        <v>0.99999999999999989</v>
      </c>
      <c r="Q261" s="311">
        <v>1.0024999999999999</v>
      </c>
      <c r="R261" s="311">
        <v>1.0049999999999999</v>
      </c>
      <c r="S261" s="311">
        <v>1.0075000000000001</v>
      </c>
      <c r="T261" s="311">
        <f t="shared" si="4"/>
        <v>25</v>
      </c>
      <c r="U261" s="311"/>
      <c r="V261" s="311"/>
      <c r="W261" s="311">
        <v>25</v>
      </c>
      <c r="X261" s="311" t="s">
        <v>1892</v>
      </c>
      <c r="Y261" s="311" t="s">
        <v>1893</v>
      </c>
      <c r="Z261" s="311" t="s">
        <v>2147</v>
      </c>
      <c r="AA261" s="377">
        <v>25</v>
      </c>
    </row>
    <row r="262" spans="1:27" ht="12.75" customHeight="1" x14ac:dyDescent="0.2">
      <c r="A262" s="311" t="s">
        <v>259</v>
      </c>
      <c r="B262" s="311"/>
      <c r="C262" s="327">
        <v>0</v>
      </c>
      <c r="D262" s="327">
        <v>0.53474903474903335</v>
      </c>
      <c r="E262" s="327">
        <v>0.57275386100385983</v>
      </c>
      <c r="F262" s="327">
        <v>0.6415550193050179</v>
      </c>
      <c r="G262" s="327">
        <v>0.75297200772200612</v>
      </c>
      <c r="H262" s="327">
        <v>0.8166023166023153</v>
      </c>
      <c r="I262" s="327">
        <v>0.83452027027026898</v>
      </c>
      <c r="J262" s="327">
        <v>0.86598552123552008</v>
      </c>
      <c r="K262" s="327">
        <v>0.91408204633204582</v>
      </c>
      <c r="L262" s="327">
        <v>0.94015444015443927</v>
      </c>
      <c r="M262" s="327">
        <v>0.94744498069497984</v>
      </c>
      <c r="N262" s="327">
        <v>0.96049324324324203</v>
      </c>
      <c r="O262" s="327">
        <v>0.98310714285714251</v>
      </c>
      <c r="P262" s="311">
        <v>0.99999999999999956</v>
      </c>
      <c r="Q262" s="311">
        <v>1.0024999999999999</v>
      </c>
      <c r="R262" s="311">
        <v>1.0049999999999999</v>
      </c>
      <c r="S262" s="311">
        <v>1.0075000000000001</v>
      </c>
      <c r="T262" s="311">
        <f t="shared" si="4"/>
        <v>37</v>
      </c>
      <c r="U262" s="311" t="s">
        <v>316</v>
      </c>
      <c r="V262" s="311"/>
      <c r="W262" s="311">
        <v>37</v>
      </c>
      <c r="X262" s="311" t="s">
        <v>1892</v>
      </c>
      <c r="Y262" s="311" t="s">
        <v>1893</v>
      </c>
      <c r="Z262" s="311" t="s">
        <v>259</v>
      </c>
      <c r="AA262" s="377">
        <v>37</v>
      </c>
    </row>
    <row r="263" spans="1:27" ht="12.75" customHeight="1" x14ac:dyDescent="0.2">
      <c r="A263" s="311" t="s">
        <v>258</v>
      </c>
      <c r="B263" s="311" t="s">
        <v>235</v>
      </c>
      <c r="C263" s="327">
        <v>0</v>
      </c>
      <c r="D263" s="327">
        <v>0.24206349206349187</v>
      </c>
      <c r="E263" s="327">
        <v>0.26656084656084639</v>
      </c>
      <c r="F263" s="327">
        <v>0.31571428571428545</v>
      </c>
      <c r="G263" s="327">
        <v>0.41465608465608456</v>
      </c>
      <c r="H263" s="327">
        <v>0.48941798941798925</v>
      </c>
      <c r="I263" s="327">
        <v>0.51444444444444426</v>
      </c>
      <c r="J263" s="327">
        <v>0.56465608465608441</v>
      </c>
      <c r="K263" s="327">
        <v>0.6657142857142857</v>
      </c>
      <c r="L263" s="327">
        <v>0.74206349206349209</v>
      </c>
      <c r="M263" s="327">
        <v>0.76761904761904742</v>
      </c>
      <c r="N263" s="327">
        <v>0.81888888888888878</v>
      </c>
      <c r="O263" s="327">
        <v>0.92206349206349203</v>
      </c>
      <c r="P263" s="311">
        <v>1</v>
      </c>
      <c r="Q263" s="311">
        <v>1.0024999999999999</v>
      </c>
      <c r="R263" s="311">
        <v>1.0049999999999999</v>
      </c>
      <c r="S263" s="311">
        <v>1.0075000000000001</v>
      </c>
      <c r="T263" s="311">
        <f t="shared" si="4"/>
        <v>1000000000</v>
      </c>
      <c r="U263" s="311" t="s">
        <v>315</v>
      </c>
      <c r="V263" s="311"/>
      <c r="W263" s="311">
        <v>1000000000</v>
      </c>
      <c r="X263" s="311" t="s">
        <v>1892</v>
      </c>
      <c r="Y263" s="311" t="s">
        <v>1893</v>
      </c>
      <c r="Z263" s="311" t="s">
        <v>2148</v>
      </c>
      <c r="AA263" s="377">
        <v>1000000000</v>
      </c>
    </row>
    <row r="264" spans="1:27" ht="12.75" customHeight="1" x14ac:dyDescent="0.2">
      <c r="A264" s="311" t="s">
        <v>258</v>
      </c>
      <c r="B264" s="311" t="s">
        <v>236</v>
      </c>
      <c r="C264" s="327">
        <v>0</v>
      </c>
      <c r="D264" s="327">
        <v>0.24206349206349187</v>
      </c>
      <c r="E264" s="327">
        <v>0.26656084656084639</v>
      </c>
      <c r="F264" s="327">
        <v>0.31571428571428545</v>
      </c>
      <c r="G264" s="327">
        <v>0.41465608465608456</v>
      </c>
      <c r="H264" s="327">
        <v>0.48941798941798925</v>
      </c>
      <c r="I264" s="327">
        <v>0.51444444444444426</v>
      </c>
      <c r="J264" s="327">
        <v>0.56465608465608441</v>
      </c>
      <c r="K264" s="327">
        <v>0.6657142857142857</v>
      </c>
      <c r="L264" s="327">
        <v>0.74206349206349209</v>
      </c>
      <c r="M264" s="327">
        <v>0.76761904761904742</v>
      </c>
      <c r="N264" s="327">
        <v>0.81888888888888878</v>
      </c>
      <c r="O264" s="327">
        <v>0.92206349206349203</v>
      </c>
      <c r="P264" s="311">
        <v>1</v>
      </c>
      <c r="Q264" s="311">
        <v>1.0024999999999999</v>
      </c>
      <c r="R264" s="311">
        <v>1.0049999999999999</v>
      </c>
      <c r="S264" s="311">
        <v>1.0075000000000001</v>
      </c>
      <c r="T264" s="311">
        <f t="shared" si="4"/>
        <v>40</v>
      </c>
      <c r="U264" s="311"/>
      <c r="V264" s="311"/>
      <c r="W264" s="311">
        <v>40</v>
      </c>
      <c r="X264" s="311" t="s">
        <v>1892</v>
      </c>
      <c r="Y264" s="311" t="s">
        <v>1893</v>
      </c>
      <c r="Z264" s="311" t="s">
        <v>2149</v>
      </c>
      <c r="AA264" s="377">
        <v>40</v>
      </c>
    </row>
    <row r="265" spans="1:27" ht="12.75" customHeight="1" x14ac:dyDescent="0.2">
      <c r="A265" s="311" t="s">
        <v>258</v>
      </c>
      <c r="B265" s="311" t="s">
        <v>23</v>
      </c>
      <c r="C265" s="327">
        <v>0</v>
      </c>
      <c r="D265" s="327">
        <v>0.24206349206349187</v>
      </c>
      <c r="E265" s="327">
        <v>0.26656084656084639</v>
      </c>
      <c r="F265" s="327">
        <v>0.31571428571428545</v>
      </c>
      <c r="G265" s="327">
        <v>0.41465608465608456</v>
      </c>
      <c r="H265" s="327">
        <v>0.48941798941798925</v>
      </c>
      <c r="I265" s="327">
        <v>0.51444444444444426</v>
      </c>
      <c r="J265" s="327">
        <v>0.56465608465608441</v>
      </c>
      <c r="K265" s="327">
        <v>0.6657142857142857</v>
      </c>
      <c r="L265" s="327">
        <v>0.74206349206349209</v>
      </c>
      <c r="M265" s="327">
        <v>0.76761904761904742</v>
      </c>
      <c r="N265" s="327">
        <v>0.81888888888888878</v>
      </c>
      <c r="O265" s="327">
        <v>0.92206349206349203</v>
      </c>
      <c r="P265" s="311">
        <v>1</v>
      </c>
      <c r="Q265" s="311">
        <v>1.0024999999999999</v>
      </c>
      <c r="R265" s="311">
        <v>1.0049999999999999</v>
      </c>
      <c r="S265" s="311">
        <v>1.0075000000000001</v>
      </c>
      <c r="T265" s="311">
        <f t="shared" si="4"/>
        <v>30</v>
      </c>
      <c r="U265" s="311"/>
      <c r="V265" s="311"/>
      <c r="W265" s="311">
        <v>30</v>
      </c>
      <c r="X265" s="311" t="s">
        <v>1892</v>
      </c>
      <c r="Y265" s="311" t="s">
        <v>1893</v>
      </c>
      <c r="Z265" s="311" t="s">
        <v>2150</v>
      </c>
      <c r="AA265" s="377">
        <v>30</v>
      </c>
    </row>
    <row r="266" spans="1:27" ht="12.75" customHeight="1" x14ac:dyDescent="0.2">
      <c r="A266" s="311" t="s">
        <v>258</v>
      </c>
      <c r="B266" s="311" t="s">
        <v>237</v>
      </c>
      <c r="C266" s="327">
        <v>0</v>
      </c>
      <c r="D266" s="327">
        <v>0.24206349206349187</v>
      </c>
      <c r="E266" s="327">
        <v>0.26656084656084639</v>
      </c>
      <c r="F266" s="327">
        <v>0.31571428571428545</v>
      </c>
      <c r="G266" s="327">
        <v>0.41465608465608456</v>
      </c>
      <c r="H266" s="327">
        <v>0.48941798941798925</v>
      </c>
      <c r="I266" s="327">
        <v>0.51444444444444426</v>
      </c>
      <c r="J266" s="327">
        <v>0.56465608465608441</v>
      </c>
      <c r="K266" s="327">
        <v>0.6657142857142857</v>
      </c>
      <c r="L266" s="327">
        <v>0.74206349206349209</v>
      </c>
      <c r="M266" s="327">
        <v>0.76761904761904742</v>
      </c>
      <c r="N266" s="327">
        <v>0.81888888888888878</v>
      </c>
      <c r="O266" s="327">
        <v>0.92206349206349203</v>
      </c>
      <c r="P266" s="311">
        <v>1</v>
      </c>
      <c r="Q266" s="311">
        <v>1.0024999999999999</v>
      </c>
      <c r="R266" s="311">
        <v>1.0049999999999999</v>
      </c>
      <c r="S266" s="311">
        <v>1.0075000000000001</v>
      </c>
      <c r="T266" s="311">
        <f t="shared" si="4"/>
        <v>20</v>
      </c>
      <c r="U266" s="311"/>
      <c r="V266" s="311"/>
      <c r="W266" s="311">
        <v>20</v>
      </c>
      <c r="X266" s="311" t="s">
        <v>1892</v>
      </c>
      <c r="Y266" s="311" t="s">
        <v>1893</v>
      </c>
      <c r="Z266" s="311" t="s">
        <v>2151</v>
      </c>
      <c r="AA266" s="377">
        <v>20</v>
      </c>
    </row>
    <row r="267" spans="1:27" ht="12.75" customHeight="1" x14ac:dyDescent="0.2">
      <c r="A267" s="311" t="s">
        <v>257</v>
      </c>
      <c r="B267" s="311" t="s">
        <v>236</v>
      </c>
      <c r="C267" s="327">
        <v>0</v>
      </c>
      <c r="D267" s="327">
        <v>0.25</v>
      </c>
      <c r="E267" s="327">
        <v>0.27500000000000002</v>
      </c>
      <c r="F267" s="327">
        <v>0.32499999999999996</v>
      </c>
      <c r="G267" s="327">
        <v>0.42500000000000004</v>
      </c>
      <c r="H267" s="327">
        <v>0.5</v>
      </c>
      <c r="I267" s="327">
        <v>0.52500000000000002</v>
      </c>
      <c r="J267" s="327">
        <v>0.57499999999999996</v>
      </c>
      <c r="K267" s="327">
        <v>0.67500000000000004</v>
      </c>
      <c r="L267" s="327">
        <v>0.75</v>
      </c>
      <c r="M267" s="327">
        <v>0.77499999999999991</v>
      </c>
      <c r="N267" s="327">
        <v>0.82499999999999996</v>
      </c>
      <c r="O267" s="327">
        <v>0.92500000000000004</v>
      </c>
      <c r="P267" s="311">
        <v>1</v>
      </c>
      <c r="Q267" s="311">
        <v>1.0024999999999999</v>
      </c>
      <c r="R267" s="311">
        <v>1.0049999999999999</v>
      </c>
      <c r="S267" s="311">
        <v>1.0075000000000001</v>
      </c>
      <c r="T267" s="311">
        <f t="shared" si="4"/>
        <v>60</v>
      </c>
      <c r="U267" s="311"/>
      <c r="V267" s="311"/>
      <c r="W267" s="311">
        <v>60</v>
      </c>
      <c r="X267" s="311" t="s">
        <v>1892</v>
      </c>
      <c r="Y267" s="311" t="s">
        <v>1893</v>
      </c>
      <c r="Z267" s="311" t="s">
        <v>2152</v>
      </c>
      <c r="AA267" s="377">
        <v>60</v>
      </c>
    </row>
    <row r="268" spans="1:27" ht="12.75" customHeight="1" x14ac:dyDescent="0.2">
      <c r="A268" s="311" t="s">
        <v>257</v>
      </c>
      <c r="B268" s="311" t="s">
        <v>23</v>
      </c>
      <c r="C268" s="327">
        <v>0</v>
      </c>
      <c r="D268" s="327">
        <v>0.25</v>
      </c>
      <c r="E268" s="327">
        <v>0.27500000000000002</v>
      </c>
      <c r="F268" s="327">
        <v>0.32499999999999996</v>
      </c>
      <c r="G268" s="327">
        <v>0.42500000000000004</v>
      </c>
      <c r="H268" s="327">
        <v>0.5</v>
      </c>
      <c r="I268" s="327">
        <v>0.52500000000000002</v>
      </c>
      <c r="J268" s="327">
        <v>0.57499999999999996</v>
      </c>
      <c r="K268" s="327">
        <v>0.67500000000000004</v>
      </c>
      <c r="L268" s="327">
        <v>0.75</v>
      </c>
      <c r="M268" s="327">
        <v>0.77499999999999991</v>
      </c>
      <c r="N268" s="327">
        <v>0.82499999999999996</v>
      </c>
      <c r="O268" s="327">
        <v>0.92500000000000004</v>
      </c>
      <c r="P268" s="311">
        <v>1</v>
      </c>
      <c r="Q268" s="311">
        <v>1.0024999999999999</v>
      </c>
      <c r="R268" s="311">
        <v>1.0049999999999999</v>
      </c>
      <c r="S268" s="311">
        <v>1.0075000000000001</v>
      </c>
      <c r="T268" s="311">
        <f t="shared" si="4"/>
        <v>40</v>
      </c>
      <c r="U268" s="311"/>
      <c r="V268" s="311"/>
      <c r="W268" s="311">
        <v>40</v>
      </c>
      <c r="X268" s="311" t="s">
        <v>1892</v>
      </c>
      <c r="Y268" s="311" t="s">
        <v>1893</v>
      </c>
      <c r="Z268" s="311" t="s">
        <v>2153</v>
      </c>
      <c r="AA268" s="377">
        <v>40</v>
      </c>
    </row>
    <row r="269" spans="1:27" ht="12.75" customHeight="1" x14ac:dyDescent="0.2">
      <c r="A269" s="311" t="s">
        <v>257</v>
      </c>
      <c r="B269" s="311" t="s">
        <v>237</v>
      </c>
      <c r="C269" s="327">
        <v>0</v>
      </c>
      <c r="D269" s="327">
        <v>0.25</v>
      </c>
      <c r="E269" s="327">
        <v>0.27500000000000002</v>
      </c>
      <c r="F269" s="327">
        <v>0.32499999999999996</v>
      </c>
      <c r="G269" s="327">
        <v>0.42500000000000004</v>
      </c>
      <c r="H269" s="327">
        <v>0.5</v>
      </c>
      <c r="I269" s="327">
        <v>0.52500000000000002</v>
      </c>
      <c r="J269" s="327">
        <v>0.57499999999999996</v>
      </c>
      <c r="K269" s="327">
        <v>0.67500000000000004</v>
      </c>
      <c r="L269" s="327">
        <v>0.75</v>
      </c>
      <c r="M269" s="327">
        <v>0.77499999999999991</v>
      </c>
      <c r="N269" s="327">
        <v>0.82499999999999996</v>
      </c>
      <c r="O269" s="327">
        <v>0.92500000000000004</v>
      </c>
      <c r="P269" s="311">
        <v>1</v>
      </c>
      <c r="Q269" s="311">
        <v>1.0024999999999999</v>
      </c>
      <c r="R269" s="311">
        <v>1.0049999999999999</v>
      </c>
      <c r="S269" s="311">
        <v>1.0075000000000001</v>
      </c>
      <c r="T269" s="311">
        <f t="shared" si="4"/>
        <v>20</v>
      </c>
      <c r="U269" s="311"/>
      <c r="V269" s="311"/>
      <c r="W269" s="311">
        <v>20</v>
      </c>
      <c r="X269" s="311" t="s">
        <v>1892</v>
      </c>
      <c r="Y269" s="311" t="s">
        <v>1893</v>
      </c>
      <c r="Z269" s="311" t="s">
        <v>2154</v>
      </c>
      <c r="AA269" s="377">
        <v>20</v>
      </c>
    </row>
    <row r="270" spans="1:27" ht="12.75" customHeight="1" x14ac:dyDescent="0.2">
      <c r="A270" s="311" t="s">
        <v>256</v>
      </c>
      <c r="B270" s="311" t="s">
        <v>235</v>
      </c>
      <c r="C270" s="327">
        <v>0</v>
      </c>
      <c r="D270" s="327">
        <v>0.56555126555126389</v>
      </c>
      <c r="E270" s="327">
        <v>0.60354308594308426</v>
      </c>
      <c r="F270" s="327">
        <v>0.67111119691119525</v>
      </c>
      <c r="G270" s="327">
        <v>0.77626818246818108</v>
      </c>
      <c r="H270" s="327">
        <v>0.83304733304733214</v>
      </c>
      <c r="I270" s="327">
        <v>0.84846786786786688</v>
      </c>
      <c r="J270" s="327">
        <v>0.87483935363935317</v>
      </c>
      <c r="K270" s="327">
        <v>0.91338687258687268</v>
      </c>
      <c r="L270" s="327">
        <v>0.93401973401973415</v>
      </c>
      <c r="M270" s="327">
        <v>0.94002213642213628</v>
      </c>
      <c r="N270" s="327">
        <v>0.95150330330330368</v>
      </c>
      <c r="O270" s="327">
        <v>0.97605396825396851</v>
      </c>
      <c r="P270" s="311">
        <v>0.99999999999999967</v>
      </c>
      <c r="Q270" s="311">
        <v>1.0024999999999999</v>
      </c>
      <c r="R270" s="311">
        <v>1.0049999999999999</v>
      </c>
      <c r="S270" s="311">
        <v>1.0075000000000001</v>
      </c>
      <c r="T270" s="311">
        <f t="shared" si="4"/>
        <v>1000000000</v>
      </c>
      <c r="U270" s="311" t="s">
        <v>315</v>
      </c>
      <c r="V270" s="311"/>
      <c r="W270" s="311">
        <v>1000000000</v>
      </c>
      <c r="X270" s="311" t="s">
        <v>1892</v>
      </c>
      <c r="Y270" s="311" t="s">
        <v>1893</v>
      </c>
      <c r="Z270" s="311" t="s">
        <v>2155</v>
      </c>
      <c r="AA270" s="377">
        <v>1000000000</v>
      </c>
    </row>
    <row r="271" spans="1:27" ht="12.75" customHeight="1" x14ac:dyDescent="0.2">
      <c r="A271" s="311" t="s">
        <v>256</v>
      </c>
      <c r="B271" s="311" t="s">
        <v>236</v>
      </c>
      <c r="C271" s="327">
        <v>0</v>
      </c>
      <c r="D271" s="327">
        <v>0.56555126555126389</v>
      </c>
      <c r="E271" s="327">
        <v>0.60354308594308426</v>
      </c>
      <c r="F271" s="327">
        <v>0.67111119691119525</v>
      </c>
      <c r="G271" s="327">
        <v>0.77626818246818108</v>
      </c>
      <c r="H271" s="327">
        <v>0.83304733304733214</v>
      </c>
      <c r="I271" s="327">
        <v>0.84846786786786688</v>
      </c>
      <c r="J271" s="327">
        <v>0.87483935363935317</v>
      </c>
      <c r="K271" s="327">
        <v>0.91338687258687268</v>
      </c>
      <c r="L271" s="327">
        <v>0.93401973401973415</v>
      </c>
      <c r="M271" s="327">
        <v>0.94002213642213628</v>
      </c>
      <c r="N271" s="327">
        <v>0.95150330330330368</v>
      </c>
      <c r="O271" s="327">
        <v>0.97605396825396851</v>
      </c>
      <c r="P271" s="311">
        <v>0.99999999999999967</v>
      </c>
      <c r="Q271" s="311">
        <v>1.0024999999999999</v>
      </c>
      <c r="R271" s="311">
        <v>1.0049999999999999</v>
      </c>
      <c r="S271" s="311">
        <v>1.0075000000000001</v>
      </c>
      <c r="T271" s="311">
        <f t="shared" si="4"/>
        <v>37</v>
      </c>
      <c r="U271" s="311"/>
      <c r="V271" s="311"/>
      <c r="W271" s="311">
        <v>37</v>
      </c>
      <c r="X271" s="311" t="s">
        <v>1892</v>
      </c>
      <c r="Y271" s="311" t="s">
        <v>1893</v>
      </c>
      <c r="Z271" s="311" t="s">
        <v>2156</v>
      </c>
      <c r="AA271" s="377">
        <v>37</v>
      </c>
    </row>
    <row r="272" spans="1:27" ht="12.75" customHeight="1" x14ac:dyDescent="0.2">
      <c r="A272" s="311" t="s">
        <v>256</v>
      </c>
      <c r="B272" s="311" t="s">
        <v>23</v>
      </c>
      <c r="C272" s="327">
        <v>0</v>
      </c>
      <c r="D272" s="327">
        <v>0.56555126555126389</v>
      </c>
      <c r="E272" s="327">
        <v>0.60354308594308426</v>
      </c>
      <c r="F272" s="327">
        <v>0.67111119691119525</v>
      </c>
      <c r="G272" s="327">
        <v>0.77626818246818108</v>
      </c>
      <c r="H272" s="327">
        <v>0.83304733304733214</v>
      </c>
      <c r="I272" s="327">
        <v>0.84846786786786688</v>
      </c>
      <c r="J272" s="327">
        <v>0.87483935363935317</v>
      </c>
      <c r="K272" s="327">
        <v>0.91338687258687268</v>
      </c>
      <c r="L272" s="327">
        <v>0.93401973401973415</v>
      </c>
      <c r="M272" s="327">
        <v>0.94002213642213628</v>
      </c>
      <c r="N272" s="327">
        <v>0.95150330330330368</v>
      </c>
      <c r="O272" s="327">
        <v>0.97605396825396851</v>
      </c>
      <c r="P272" s="311">
        <v>0.99999999999999967</v>
      </c>
      <c r="Q272" s="311">
        <v>1.0024999999999999</v>
      </c>
      <c r="R272" s="311">
        <v>1.0049999999999999</v>
      </c>
      <c r="S272" s="311">
        <v>1.0075000000000001</v>
      </c>
      <c r="T272" s="311">
        <f t="shared" si="4"/>
        <v>30</v>
      </c>
      <c r="U272" s="311"/>
      <c r="V272" s="311"/>
      <c r="W272" s="311">
        <v>30</v>
      </c>
      <c r="X272" s="311" t="s">
        <v>1892</v>
      </c>
      <c r="Y272" s="311" t="s">
        <v>1893</v>
      </c>
      <c r="Z272" s="311" t="s">
        <v>2157</v>
      </c>
      <c r="AA272" s="377">
        <v>30</v>
      </c>
    </row>
    <row r="273" spans="1:27" ht="12.75" customHeight="1" x14ac:dyDescent="0.2">
      <c r="A273" s="311" t="s">
        <v>256</v>
      </c>
      <c r="B273" s="311" t="s">
        <v>237</v>
      </c>
      <c r="C273" s="327">
        <v>0</v>
      </c>
      <c r="D273" s="327">
        <v>0.56555126555126389</v>
      </c>
      <c r="E273" s="327">
        <v>0.60354308594308426</v>
      </c>
      <c r="F273" s="327">
        <v>0.67111119691119525</v>
      </c>
      <c r="G273" s="327">
        <v>0.77626818246818108</v>
      </c>
      <c r="H273" s="327">
        <v>0.83304733304733214</v>
      </c>
      <c r="I273" s="327">
        <v>0.84846786786786688</v>
      </c>
      <c r="J273" s="327">
        <v>0.87483935363935317</v>
      </c>
      <c r="K273" s="327">
        <v>0.91338687258687268</v>
      </c>
      <c r="L273" s="327">
        <v>0.93401973401973415</v>
      </c>
      <c r="M273" s="327">
        <v>0.94002213642213628</v>
      </c>
      <c r="N273" s="327">
        <v>0.95150330330330368</v>
      </c>
      <c r="O273" s="327">
        <v>0.97605396825396851</v>
      </c>
      <c r="P273" s="311">
        <v>0.99999999999999967</v>
      </c>
      <c r="Q273" s="311">
        <v>1.0024999999999999</v>
      </c>
      <c r="R273" s="311">
        <v>1.0049999999999999</v>
      </c>
      <c r="S273" s="311">
        <v>1.0075000000000001</v>
      </c>
      <c r="T273" s="311">
        <f t="shared" si="4"/>
        <v>18</v>
      </c>
      <c r="U273" s="311"/>
      <c r="V273" s="311"/>
      <c r="W273" s="311">
        <v>18</v>
      </c>
      <c r="X273" s="311" t="s">
        <v>1892</v>
      </c>
      <c r="Y273" s="311" t="s">
        <v>1893</v>
      </c>
      <c r="Z273" s="311" t="s">
        <v>2158</v>
      </c>
      <c r="AA273" s="377">
        <v>18</v>
      </c>
    </row>
    <row r="274" spans="1:27" ht="12.75" customHeight="1" x14ac:dyDescent="0.2">
      <c r="A274" s="311" t="s">
        <v>255</v>
      </c>
      <c r="B274" s="311" t="s">
        <v>235</v>
      </c>
      <c r="C274" s="327">
        <v>0</v>
      </c>
      <c r="D274" s="327">
        <v>0.55094809094808894</v>
      </c>
      <c r="E274" s="327">
        <v>0.58848763620763422</v>
      </c>
      <c r="F274" s="327">
        <v>0.65558548262548022</v>
      </c>
      <c r="G274" s="327">
        <v>0.76129019305019086</v>
      </c>
      <c r="H274" s="327">
        <v>0.8195023595023575</v>
      </c>
      <c r="I274" s="327">
        <v>0.83554786786786595</v>
      </c>
      <c r="J274" s="327">
        <v>0.86333691977691795</v>
      </c>
      <c r="K274" s="327">
        <v>0.90514115830115649</v>
      </c>
      <c r="L274" s="327">
        <v>0.92830544830544726</v>
      </c>
      <c r="M274" s="327">
        <v>0.93512118404118183</v>
      </c>
      <c r="N274" s="327">
        <v>0.94812996996996979</v>
      </c>
      <c r="O274" s="327">
        <v>0.97509079365079232</v>
      </c>
      <c r="P274" s="311">
        <v>0.99999999999999989</v>
      </c>
      <c r="Q274" s="311">
        <v>1.0024999999999999</v>
      </c>
      <c r="R274" s="311">
        <v>1.0049999999999999</v>
      </c>
      <c r="S274" s="311">
        <v>1.0075000000000001</v>
      </c>
      <c r="T274" s="311">
        <f t="shared" si="4"/>
        <v>1000000000</v>
      </c>
      <c r="U274" s="311" t="s">
        <v>315</v>
      </c>
      <c r="V274" s="311"/>
      <c r="W274" s="311">
        <v>1000000000</v>
      </c>
      <c r="X274" s="311" t="s">
        <v>1892</v>
      </c>
      <c r="Y274" s="311" t="s">
        <v>1893</v>
      </c>
      <c r="Z274" s="311" t="s">
        <v>2159</v>
      </c>
      <c r="AA274" s="377">
        <v>1000000000</v>
      </c>
    </row>
    <row r="275" spans="1:27" ht="12.75" customHeight="1" x14ac:dyDescent="0.2">
      <c r="A275" s="311" t="s">
        <v>255</v>
      </c>
      <c r="B275" s="311" t="s">
        <v>236</v>
      </c>
      <c r="C275" s="327">
        <v>0</v>
      </c>
      <c r="D275" s="327">
        <v>0.55094809094808894</v>
      </c>
      <c r="E275" s="327">
        <v>0.58848763620763422</v>
      </c>
      <c r="F275" s="327">
        <v>0.65558548262548022</v>
      </c>
      <c r="G275" s="327">
        <v>0.76129019305019086</v>
      </c>
      <c r="H275" s="327">
        <v>0.8195023595023575</v>
      </c>
      <c r="I275" s="327">
        <v>0.83554786786786595</v>
      </c>
      <c r="J275" s="327">
        <v>0.86333691977691795</v>
      </c>
      <c r="K275" s="327">
        <v>0.90514115830115649</v>
      </c>
      <c r="L275" s="327">
        <v>0.92830544830544726</v>
      </c>
      <c r="M275" s="327">
        <v>0.93512118404118183</v>
      </c>
      <c r="N275" s="327">
        <v>0.94812996996996979</v>
      </c>
      <c r="O275" s="327">
        <v>0.97509079365079232</v>
      </c>
      <c r="P275" s="311">
        <v>0.99999999999999989</v>
      </c>
      <c r="Q275" s="311">
        <v>1.0024999999999999</v>
      </c>
      <c r="R275" s="311">
        <v>1.0049999999999999</v>
      </c>
      <c r="S275" s="311">
        <v>1.0075000000000001</v>
      </c>
      <c r="T275" s="311">
        <f t="shared" si="4"/>
        <v>37</v>
      </c>
      <c r="U275" s="311"/>
      <c r="V275" s="311"/>
      <c r="W275" s="311">
        <v>37</v>
      </c>
      <c r="X275" s="311" t="s">
        <v>1892</v>
      </c>
      <c r="Y275" s="311" t="s">
        <v>1893</v>
      </c>
      <c r="Z275" s="311" t="s">
        <v>2160</v>
      </c>
      <c r="AA275" s="377">
        <v>37</v>
      </c>
    </row>
    <row r="276" spans="1:27" ht="12.75" customHeight="1" x14ac:dyDescent="0.2">
      <c r="A276" s="311" t="s">
        <v>255</v>
      </c>
      <c r="B276" s="311" t="s">
        <v>23</v>
      </c>
      <c r="C276" s="327">
        <v>0</v>
      </c>
      <c r="D276" s="327">
        <v>0.55094809094808894</v>
      </c>
      <c r="E276" s="327">
        <v>0.58848763620763422</v>
      </c>
      <c r="F276" s="327">
        <v>0.65558548262548022</v>
      </c>
      <c r="G276" s="327">
        <v>0.76129019305019086</v>
      </c>
      <c r="H276" s="327">
        <v>0.8195023595023575</v>
      </c>
      <c r="I276" s="327">
        <v>0.83554786786786595</v>
      </c>
      <c r="J276" s="327">
        <v>0.86333691977691795</v>
      </c>
      <c r="K276" s="327">
        <v>0.90514115830115649</v>
      </c>
      <c r="L276" s="327">
        <v>0.92830544830544726</v>
      </c>
      <c r="M276" s="327">
        <v>0.93512118404118183</v>
      </c>
      <c r="N276" s="327">
        <v>0.94812996996996979</v>
      </c>
      <c r="O276" s="327">
        <v>0.97509079365079232</v>
      </c>
      <c r="P276" s="311">
        <v>0.99999999999999989</v>
      </c>
      <c r="Q276" s="311">
        <v>1.0024999999999999</v>
      </c>
      <c r="R276" s="311">
        <v>1.0049999999999999</v>
      </c>
      <c r="S276" s="311">
        <v>1.0075000000000001</v>
      </c>
      <c r="T276" s="311">
        <f t="shared" si="4"/>
        <v>30</v>
      </c>
      <c r="U276" s="311"/>
      <c r="V276" s="311"/>
      <c r="W276" s="311">
        <v>30</v>
      </c>
      <c r="X276" s="311" t="s">
        <v>1892</v>
      </c>
      <c r="Y276" s="311" t="s">
        <v>1893</v>
      </c>
      <c r="Z276" s="311" t="s">
        <v>2161</v>
      </c>
      <c r="AA276" s="377">
        <v>30</v>
      </c>
    </row>
    <row r="277" spans="1:27" ht="12.75" customHeight="1" x14ac:dyDescent="0.2">
      <c r="A277" s="311" t="s">
        <v>255</v>
      </c>
      <c r="B277" s="311" t="s">
        <v>237</v>
      </c>
      <c r="C277" s="327">
        <v>0</v>
      </c>
      <c r="D277" s="327">
        <v>0.55094809094808894</v>
      </c>
      <c r="E277" s="327">
        <v>0.58848763620763422</v>
      </c>
      <c r="F277" s="327">
        <v>0.65558548262548022</v>
      </c>
      <c r="G277" s="327">
        <v>0.76129019305019086</v>
      </c>
      <c r="H277" s="327">
        <v>0.8195023595023575</v>
      </c>
      <c r="I277" s="327">
        <v>0.83554786786786595</v>
      </c>
      <c r="J277" s="327">
        <v>0.86333691977691795</v>
      </c>
      <c r="K277" s="327">
        <v>0.90514115830115649</v>
      </c>
      <c r="L277" s="327">
        <v>0.92830544830544726</v>
      </c>
      <c r="M277" s="327">
        <v>0.93512118404118183</v>
      </c>
      <c r="N277" s="327">
        <v>0.94812996996996979</v>
      </c>
      <c r="O277" s="327">
        <v>0.97509079365079232</v>
      </c>
      <c r="P277" s="311">
        <v>0.99999999999999989</v>
      </c>
      <c r="Q277" s="311">
        <v>1.0024999999999999</v>
      </c>
      <c r="R277" s="311">
        <v>1.0049999999999999</v>
      </c>
      <c r="S277" s="311">
        <v>1.0075000000000001</v>
      </c>
      <c r="T277" s="311">
        <f t="shared" si="4"/>
        <v>25</v>
      </c>
      <c r="U277" s="311"/>
      <c r="V277" s="311"/>
      <c r="W277" s="311">
        <v>25</v>
      </c>
      <c r="X277" s="311" t="s">
        <v>1892</v>
      </c>
      <c r="Y277" s="311" t="s">
        <v>1893</v>
      </c>
      <c r="Z277" s="311" t="s">
        <v>2162</v>
      </c>
      <c r="AA277" s="377">
        <v>25</v>
      </c>
    </row>
    <row r="278" spans="1:27" ht="12.75" customHeight="1" x14ac:dyDescent="0.2">
      <c r="A278" s="311" t="s">
        <v>254</v>
      </c>
      <c r="B278" s="311" t="s">
        <v>235</v>
      </c>
      <c r="C278" s="327">
        <v>0</v>
      </c>
      <c r="D278" s="327">
        <v>0.54116852414724625</v>
      </c>
      <c r="E278" s="327">
        <v>0.58004038331644614</v>
      </c>
      <c r="F278" s="327">
        <v>0.65058579027355468</v>
      </c>
      <c r="G278" s="327">
        <v>0.76528950523471695</v>
      </c>
      <c r="H278" s="327">
        <v>0.83093549476528084</v>
      </c>
      <c r="I278" s="327">
        <v>0.84939355791962112</v>
      </c>
      <c r="J278" s="327">
        <v>0.88168938703140742</v>
      </c>
      <c r="K278" s="327">
        <v>0.93020600303951306</v>
      </c>
      <c r="L278" s="327">
        <v>0.95523471800067516</v>
      </c>
      <c r="M278" s="327">
        <v>0.96187236575481172</v>
      </c>
      <c r="N278" s="327">
        <v>0.97310537825059107</v>
      </c>
      <c r="O278" s="327">
        <v>0.98980841776426931</v>
      </c>
      <c r="P278" s="311">
        <v>0.99999999999999989</v>
      </c>
      <c r="Q278" s="311">
        <v>1.0024999999999999</v>
      </c>
      <c r="R278" s="311">
        <v>1.0049999999999999</v>
      </c>
      <c r="S278" s="311">
        <v>1.0075000000000001</v>
      </c>
      <c r="T278" s="311">
        <f t="shared" si="4"/>
        <v>1000000000</v>
      </c>
      <c r="U278" s="311" t="s">
        <v>315</v>
      </c>
      <c r="V278" s="311"/>
      <c r="W278" s="311">
        <v>1000000000</v>
      </c>
      <c r="X278" s="311" t="s">
        <v>1892</v>
      </c>
      <c r="Y278" s="311" t="s">
        <v>1893</v>
      </c>
      <c r="Z278" s="311" t="s">
        <v>2163</v>
      </c>
      <c r="AA278" s="377">
        <v>1000000000</v>
      </c>
    </row>
    <row r="279" spans="1:27" ht="12.75" customHeight="1" x14ac:dyDescent="0.2">
      <c r="A279" s="311" t="s">
        <v>254</v>
      </c>
      <c r="B279" s="311" t="s">
        <v>236</v>
      </c>
      <c r="C279" s="327">
        <v>0</v>
      </c>
      <c r="D279" s="327">
        <v>0.54116852414724625</v>
      </c>
      <c r="E279" s="327">
        <v>0.58004038331644614</v>
      </c>
      <c r="F279" s="327">
        <v>0.65058579027355468</v>
      </c>
      <c r="G279" s="327">
        <v>0.76528950523471695</v>
      </c>
      <c r="H279" s="327">
        <v>0.83093549476528084</v>
      </c>
      <c r="I279" s="327">
        <v>0.84939355791962112</v>
      </c>
      <c r="J279" s="327">
        <v>0.88168938703140742</v>
      </c>
      <c r="K279" s="327">
        <v>0.93020600303951306</v>
      </c>
      <c r="L279" s="327">
        <v>0.95523471800067516</v>
      </c>
      <c r="M279" s="327">
        <v>0.96187236575481172</v>
      </c>
      <c r="N279" s="327">
        <v>0.97310537825059107</v>
      </c>
      <c r="O279" s="327">
        <v>0.98980841776426931</v>
      </c>
      <c r="P279" s="311">
        <v>0.99999999999999989</v>
      </c>
      <c r="Q279" s="311">
        <v>1.0024999999999999</v>
      </c>
      <c r="R279" s="311">
        <v>1.0049999999999999</v>
      </c>
      <c r="S279" s="311">
        <v>1.0075000000000001</v>
      </c>
      <c r="T279" s="311">
        <f t="shared" si="4"/>
        <v>60</v>
      </c>
      <c r="U279" s="311"/>
      <c r="V279" s="311"/>
      <c r="W279" s="311">
        <v>60</v>
      </c>
      <c r="X279" s="311" t="s">
        <v>1892</v>
      </c>
      <c r="Y279" s="311" t="s">
        <v>1893</v>
      </c>
      <c r="Z279" s="311" t="s">
        <v>2164</v>
      </c>
      <c r="AA279" s="377">
        <v>60</v>
      </c>
    </row>
    <row r="280" spans="1:27" ht="12.75" customHeight="1" x14ac:dyDescent="0.2">
      <c r="A280" s="311" t="s">
        <v>254</v>
      </c>
      <c r="B280" s="311" t="s">
        <v>23</v>
      </c>
      <c r="C280" s="327">
        <v>0</v>
      </c>
      <c r="D280" s="327">
        <v>0.54116852414724625</v>
      </c>
      <c r="E280" s="327">
        <v>0.58004038331644614</v>
      </c>
      <c r="F280" s="327">
        <v>0.65058579027355468</v>
      </c>
      <c r="G280" s="327">
        <v>0.76528950523471695</v>
      </c>
      <c r="H280" s="327">
        <v>0.83093549476528084</v>
      </c>
      <c r="I280" s="327">
        <v>0.84939355791962112</v>
      </c>
      <c r="J280" s="327">
        <v>0.88168938703140742</v>
      </c>
      <c r="K280" s="327">
        <v>0.93020600303951306</v>
      </c>
      <c r="L280" s="327">
        <v>0.95523471800067516</v>
      </c>
      <c r="M280" s="327">
        <v>0.96187236575481172</v>
      </c>
      <c r="N280" s="327">
        <v>0.97310537825059107</v>
      </c>
      <c r="O280" s="327">
        <v>0.98980841776426931</v>
      </c>
      <c r="P280" s="311">
        <v>0.99999999999999989</v>
      </c>
      <c r="Q280" s="311">
        <v>1.0024999999999999</v>
      </c>
      <c r="R280" s="311">
        <v>1.0049999999999999</v>
      </c>
      <c r="S280" s="311">
        <v>1.0075000000000001</v>
      </c>
      <c r="T280" s="311">
        <f t="shared" si="4"/>
        <v>47</v>
      </c>
      <c r="U280" s="311"/>
      <c r="V280" s="311"/>
      <c r="W280" s="311">
        <v>47</v>
      </c>
      <c r="X280" s="311" t="s">
        <v>1892</v>
      </c>
      <c r="Y280" s="311" t="s">
        <v>1893</v>
      </c>
      <c r="Z280" s="311" t="s">
        <v>2165</v>
      </c>
      <c r="AA280" s="377">
        <v>47</v>
      </c>
    </row>
    <row r="281" spans="1:27" ht="12.75" customHeight="1" x14ac:dyDescent="0.2">
      <c r="A281" s="311" t="s">
        <v>254</v>
      </c>
      <c r="B281" s="311" t="s">
        <v>237</v>
      </c>
      <c r="C281" s="327">
        <v>0</v>
      </c>
      <c r="D281" s="327">
        <v>0.54116852414724625</v>
      </c>
      <c r="E281" s="327">
        <v>0.58004038331644614</v>
      </c>
      <c r="F281" s="327">
        <v>0.65058579027355468</v>
      </c>
      <c r="G281" s="327">
        <v>0.76528950523471695</v>
      </c>
      <c r="H281" s="327">
        <v>0.83093549476528084</v>
      </c>
      <c r="I281" s="327">
        <v>0.84939355791962112</v>
      </c>
      <c r="J281" s="327">
        <v>0.88168938703140742</v>
      </c>
      <c r="K281" s="327">
        <v>0.93020600303951306</v>
      </c>
      <c r="L281" s="327">
        <v>0.95523471800067516</v>
      </c>
      <c r="M281" s="327">
        <v>0.96187236575481172</v>
      </c>
      <c r="N281" s="327">
        <v>0.97310537825059107</v>
      </c>
      <c r="O281" s="327">
        <v>0.98980841776426931</v>
      </c>
      <c r="P281" s="311">
        <v>0.99999999999999989</v>
      </c>
      <c r="Q281" s="311">
        <v>1.0024999999999999</v>
      </c>
      <c r="R281" s="311">
        <v>1.0049999999999999</v>
      </c>
      <c r="S281" s="311">
        <v>1.0075000000000001</v>
      </c>
      <c r="T281" s="311">
        <f t="shared" si="4"/>
        <v>30</v>
      </c>
      <c r="U281" s="311"/>
      <c r="V281" s="311"/>
      <c r="W281" s="311">
        <v>30</v>
      </c>
      <c r="X281" s="311" t="s">
        <v>1892</v>
      </c>
      <c r="Y281" s="311" t="s">
        <v>1893</v>
      </c>
      <c r="Z281" s="311" t="s">
        <v>2166</v>
      </c>
      <c r="AA281" s="377">
        <v>30</v>
      </c>
    </row>
    <row r="282" spans="1:27" ht="12.75" customHeight="1" x14ac:dyDescent="0.2">
      <c r="A282" s="311" t="s">
        <v>253</v>
      </c>
      <c r="B282" s="311"/>
      <c r="C282" s="327">
        <v>0</v>
      </c>
      <c r="D282" s="327">
        <v>0.62142857142856944</v>
      </c>
      <c r="E282" s="327">
        <v>0.66064821428571241</v>
      </c>
      <c r="F282" s="327">
        <v>0.72885892857142642</v>
      </c>
      <c r="G282" s="327">
        <v>0.82926607142857001</v>
      </c>
      <c r="H282" s="327">
        <v>0.87857142857142745</v>
      </c>
      <c r="I282" s="327">
        <v>0.89098749999999893</v>
      </c>
      <c r="J282" s="327">
        <v>0.91084107142857085</v>
      </c>
      <c r="K282" s="327">
        <v>0.93553392857142881</v>
      </c>
      <c r="L282" s="327">
        <v>0.94642857142857184</v>
      </c>
      <c r="M282" s="327">
        <v>0.94954107142857169</v>
      </c>
      <c r="N282" s="327">
        <v>0.95603750000000098</v>
      </c>
      <c r="O282" s="327">
        <v>0.97501607142857183</v>
      </c>
      <c r="P282" s="311">
        <v>0.99999999999999956</v>
      </c>
      <c r="Q282" s="311">
        <v>1.0024999999999999</v>
      </c>
      <c r="R282" s="311">
        <v>1.0049999999999999</v>
      </c>
      <c r="S282" s="311">
        <v>1.0075000000000001</v>
      </c>
      <c r="T282" s="311">
        <f t="shared" si="4"/>
        <v>40</v>
      </c>
      <c r="U282" s="311" t="s">
        <v>316</v>
      </c>
      <c r="V282" s="311"/>
      <c r="W282" s="311">
        <v>40</v>
      </c>
      <c r="X282" s="311" t="s">
        <v>1892</v>
      </c>
      <c r="Y282" s="311" t="s">
        <v>1893</v>
      </c>
      <c r="Z282" s="311" t="s">
        <v>253</v>
      </c>
      <c r="AA282" s="377">
        <v>40</v>
      </c>
    </row>
    <row r="283" spans="1:27" ht="12.75" customHeight="1" x14ac:dyDescent="0.2">
      <c r="A283" s="311" t="s">
        <v>252</v>
      </c>
      <c r="B283" s="311" t="s">
        <v>235</v>
      </c>
      <c r="C283" s="327">
        <v>0</v>
      </c>
      <c r="D283" s="327">
        <v>0.54957693255565454</v>
      </c>
      <c r="E283" s="327">
        <v>0.58833869412725659</v>
      </c>
      <c r="F283" s="327">
        <v>0.65830234432760859</v>
      </c>
      <c r="G283" s="327">
        <v>0.7707347379674494</v>
      </c>
      <c r="H283" s="327">
        <v>0.83408864791843462</v>
      </c>
      <c r="I283" s="327">
        <v>0.85173503689859986</v>
      </c>
      <c r="J283" s="327">
        <v>0.88240856871308937</v>
      </c>
      <c r="K283" s="327">
        <v>0.92802323276924326</v>
      </c>
      <c r="L283" s="327">
        <v>0.95155603932199662</v>
      </c>
      <c r="M283" s="327">
        <v>0.95788914503409184</v>
      </c>
      <c r="N283" s="327">
        <v>0.96887673710944999</v>
      </c>
      <c r="O283" s="327">
        <v>0.98688202887537968</v>
      </c>
      <c r="P283" s="311">
        <v>0.99999999999999978</v>
      </c>
      <c r="Q283" s="311">
        <v>1.0024999999999999</v>
      </c>
      <c r="R283" s="311">
        <v>1.0049999999999999</v>
      </c>
      <c r="S283" s="311">
        <v>1.0075000000000001</v>
      </c>
      <c r="T283" s="311">
        <f t="shared" si="4"/>
        <v>1000000000</v>
      </c>
      <c r="U283" s="311" t="s">
        <v>315</v>
      </c>
      <c r="V283" s="311"/>
      <c r="W283" s="311">
        <v>1000000000</v>
      </c>
      <c r="X283" s="311" t="s">
        <v>1892</v>
      </c>
      <c r="Y283" s="311" t="s">
        <v>1893</v>
      </c>
      <c r="Z283" s="311" t="s">
        <v>2167</v>
      </c>
      <c r="AA283" s="377">
        <v>1000000000</v>
      </c>
    </row>
    <row r="284" spans="1:27" ht="12.75" customHeight="1" x14ac:dyDescent="0.2">
      <c r="A284" s="311" t="s">
        <v>252</v>
      </c>
      <c r="B284" s="311" t="s">
        <v>236</v>
      </c>
      <c r="C284" s="327">
        <v>0</v>
      </c>
      <c r="D284" s="327">
        <v>0.54957693255565454</v>
      </c>
      <c r="E284" s="327">
        <v>0.58833869412725659</v>
      </c>
      <c r="F284" s="327">
        <v>0.65830234432760859</v>
      </c>
      <c r="G284" s="327">
        <v>0.7707347379674494</v>
      </c>
      <c r="H284" s="327">
        <v>0.83408864791843462</v>
      </c>
      <c r="I284" s="327">
        <v>0.85173503689859986</v>
      </c>
      <c r="J284" s="327">
        <v>0.88240856871308937</v>
      </c>
      <c r="K284" s="327">
        <v>0.92802323276924326</v>
      </c>
      <c r="L284" s="327">
        <v>0.95155603932199662</v>
      </c>
      <c r="M284" s="327">
        <v>0.95788914503409184</v>
      </c>
      <c r="N284" s="327">
        <v>0.96887673710944999</v>
      </c>
      <c r="O284" s="327">
        <v>0.98688202887537968</v>
      </c>
      <c r="P284" s="311">
        <v>0.99999999999999978</v>
      </c>
      <c r="Q284" s="311">
        <v>1.0024999999999999</v>
      </c>
      <c r="R284" s="311">
        <v>1.0049999999999999</v>
      </c>
      <c r="S284" s="311">
        <v>1.0075000000000001</v>
      </c>
      <c r="T284" s="311">
        <f t="shared" si="4"/>
        <v>47</v>
      </c>
      <c r="U284" s="311"/>
      <c r="V284" s="311"/>
      <c r="W284" s="311">
        <v>47</v>
      </c>
      <c r="X284" s="311" t="s">
        <v>1892</v>
      </c>
      <c r="Y284" s="311" t="s">
        <v>1893</v>
      </c>
      <c r="Z284" s="311" t="s">
        <v>2168</v>
      </c>
      <c r="AA284" s="377">
        <v>47</v>
      </c>
    </row>
    <row r="285" spans="1:27" ht="12.75" customHeight="1" x14ac:dyDescent="0.2">
      <c r="A285" s="311" t="s">
        <v>252</v>
      </c>
      <c r="B285" s="311" t="s">
        <v>23</v>
      </c>
      <c r="C285" s="327">
        <v>0</v>
      </c>
      <c r="D285" s="327">
        <v>0.54957693255565454</v>
      </c>
      <c r="E285" s="327">
        <v>0.58833869412725659</v>
      </c>
      <c r="F285" s="327">
        <v>0.65830234432760859</v>
      </c>
      <c r="G285" s="327">
        <v>0.7707347379674494</v>
      </c>
      <c r="H285" s="327">
        <v>0.83408864791843462</v>
      </c>
      <c r="I285" s="327">
        <v>0.85173503689859986</v>
      </c>
      <c r="J285" s="327">
        <v>0.88240856871308937</v>
      </c>
      <c r="K285" s="327">
        <v>0.92802323276924326</v>
      </c>
      <c r="L285" s="327">
        <v>0.95155603932199662</v>
      </c>
      <c r="M285" s="327">
        <v>0.95788914503409184</v>
      </c>
      <c r="N285" s="327">
        <v>0.96887673710944999</v>
      </c>
      <c r="O285" s="327">
        <v>0.98688202887537968</v>
      </c>
      <c r="P285" s="311">
        <v>0.99999999999999978</v>
      </c>
      <c r="Q285" s="311">
        <v>1.0024999999999999</v>
      </c>
      <c r="R285" s="311">
        <v>1.0049999999999999</v>
      </c>
      <c r="S285" s="311">
        <v>1.0075000000000001</v>
      </c>
      <c r="T285" s="311">
        <f t="shared" si="4"/>
        <v>37</v>
      </c>
      <c r="U285" s="311"/>
      <c r="V285" s="311"/>
      <c r="W285" s="311">
        <v>37</v>
      </c>
      <c r="X285" s="311" t="s">
        <v>1892</v>
      </c>
      <c r="Y285" s="311" t="s">
        <v>1893</v>
      </c>
      <c r="Z285" s="311" t="s">
        <v>2169</v>
      </c>
      <c r="AA285" s="377">
        <v>37</v>
      </c>
    </row>
    <row r="286" spans="1:27" ht="12.75" customHeight="1" x14ac:dyDescent="0.2">
      <c r="A286" s="311" t="s">
        <v>252</v>
      </c>
      <c r="B286" s="311" t="s">
        <v>237</v>
      </c>
      <c r="C286" s="327">
        <v>0</v>
      </c>
      <c r="D286" s="327">
        <v>0.54957693255565454</v>
      </c>
      <c r="E286" s="327">
        <v>0.58833869412725659</v>
      </c>
      <c r="F286" s="327">
        <v>0.65830234432760859</v>
      </c>
      <c r="G286" s="327">
        <v>0.7707347379674494</v>
      </c>
      <c r="H286" s="327">
        <v>0.83408864791843462</v>
      </c>
      <c r="I286" s="327">
        <v>0.85173503689859986</v>
      </c>
      <c r="J286" s="327">
        <v>0.88240856871308937</v>
      </c>
      <c r="K286" s="327">
        <v>0.92802323276924326</v>
      </c>
      <c r="L286" s="327">
        <v>0.95155603932199662</v>
      </c>
      <c r="M286" s="327">
        <v>0.95788914503409184</v>
      </c>
      <c r="N286" s="327">
        <v>0.96887673710944999</v>
      </c>
      <c r="O286" s="327">
        <v>0.98688202887537968</v>
      </c>
      <c r="P286" s="311">
        <v>0.99999999999999978</v>
      </c>
      <c r="Q286" s="311">
        <v>1.0024999999999999</v>
      </c>
      <c r="R286" s="311">
        <v>1.0049999999999999</v>
      </c>
      <c r="S286" s="311">
        <v>1.0075000000000001</v>
      </c>
      <c r="T286" s="311">
        <f t="shared" si="4"/>
        <v>24</v>
      </c>
      <c r="U286" s="311"/>
      <c r="V286" s="311"/>
      <c r="W286" s="311">
        <v>24</v>
      </c>
      <c r="X286" s="311" t="s">
        <v>1892</v>
      </c>
      <c r="Y286" s="311" t="s">
        <v>1893</v>
      </c>
      <c r="Z286" s="311" t="s">
        <v>2170</v>
      </c>
      <c r="AA286" s="377">
        <v>24</v>
      </c>
    </row>
    <row r="287" spans="1:27" ht="12.75" customHeight="1" x14ac:dyDescent="0.2">
      <c r="A287" s="311" t="s">
        <v>251</v>
      </c>
      <c r="B287" s="311" t="s">
        <v>235</v>
      </c>
      <c r="C287" s="327">
        <v>0</v>
      </c>
      <c r="D287" s="327">
        <v>0.33227513227513183</v>
      </c>
      <c r="E287" s="327">
        <v>0.35972910052910012</v>
      </c>
      <c r="F287" s="327">
        <v>0.41216190476190429</v>
      </c>
      <c r="G287" s="327">
        <v>0.50857883597883558</v>
      </c>
      <c r="H287" s="327">
        <v>0.57513227513227494</v>
      </c>
      <c r="I287" s="327">
        <v>0.59649629629629608</v>
      </c>
      <c r="J287" s="327">
        <v>0.63830476190476171</v>
      </c>
      <c r="K287" s="327">
        <v>0.71969523809523794</v>
      </c>
      <c r="L287" s="327">
        <v>0.78042328042328046</v>
      </c>
      <c r="M287" s="327">
        <v>0.80088253968253964</v>
      </c>
      <c r="N287" s="327">
        <v>0.8424370370370371</v>
      </c>
      <c r="O287" s="327">
        <v>0.92954179894179911</v>
      </c>
      <c r="P287" s="311">
        <v>1.0000000000000002</v>
      </c>
      <c r="Q287" s="311">
        <v>1.0024999999999999</v>
      </c>
      <c r="R287" s="311">
        <v>1.0049999999999999</v>
      </c>
      <c r="S287" s="311">
        <v>1.0075000000000001</v>
      </c>
      <c r="T287" s="311">
        <f t="shared" si="4"/>
        <v>1000000000</v>
      </c>
      <c r="U287" s="311" t="s">
        <v>315</v>
      </c>
      <c r="V287" s="311"/>
      <c r="W287" s="311">
        <v>1000000000</v>
      </c>
      <c r="X287" s="311" t="s">
        <v>1892</v>
      </c>
      <c r="Y287" s="311" t="s">
        <v>1893</v>
      </c>
      <c r="Z287" s="311" t="s">
        <v>2171</v>
      </c>
      <c r="AA287" s="377">
        <v>1000000000</v>
      </c>
    </row>
    <row r="288" spans="1:27" ht="12.75" customHeight="1" x14ac:dyDescent="0.2">
      <c r="A288" s="311" t="s">
        <v>251</v>
      </c>
      <c r="B288" s="311" t="s">
        <v>236</v>
      </c>
      <c r="C288" s="327">
        <v>0</v>
      </c>
      <c r="D288" s="327">
        <v>0.33227513227513183</v>
      </c>
      <c r="E288" s="327">
        <v>0.35972910052910012</v>
      </c>
      <c r="F288" s="327">
        <v>0.41216190476190429</v>
      </c>
      <c r="G288" s="327">
        <v>0.50857883597883558</v>
      </c>
      <c r="H288" s="327">
        <v>0.57513227513227494</v>
      </c>
      <c r="I288" s="327">
        <v>0.59649629629629608</v>
      </c>
      <c r="J288" s="327">
        <v>0.63830476190476171</v>
      </c>
      <c r="K288" s="327">
        <v>0.71969523809523794</v>
      </c>
      <c r="L288" s="327">
        <v>0.78042328042328046</v>
      </c>
      <c r="M288" s="327">
        <v>0.80088253968253964</v>
      </c>
      <c r="N288" s="327">
        <v>0.8424370370370371</v>
      </c>
      <c r="O288" s="327">
        <v>0.92954179894179911</v>
      </c>
      <c r="P288" s="311">
        <v>1.0000000000000002</v>
      </c>
      <c r="Q288" s="311">
        <v>1.0024999999999999</v>
      </c>
      <c r="R288" s="311">
        <v>1.0049999999999999</v>
      </c>
      <c r="S288" s="311">
        <v>1.0075000000000001</v>
      </c>
      <c r="T288" s="311">
        <f t="shared" si="4"/>
        <v>18</v>
      </c>
      <c r="U288" s="311"/>
      <c r="V288" s="311"/>
      <c r="W288" s="311">
        <v>18</v>
      </c>
      <c r="X288" s="311" t="s">
        <v>1892</v>
      </c>
      <c r="Y288" s="311" t="s">
        <v>1893</v>
      </c>
      <c r="Z288" s="311" t="s">
        <v>2172</v>
      </c>
      <c r="AA288" s="377">
        <v>18</v>
      </c>
    </row>
    <row r="289" spans="1:27" ht="12.75" customHeight="1" x14ac:dyDescent="0.2">
      <c r="A289" s="311" t="s">
        <v>251</v>
      </c>
      <c r="B289" s="311" t="s">
        <v>23</v>
      </c>
      <c r="C289" s="327">
        <v>0</v>
      </c>
      <c r="D289" s="327">
        <v>0.33227513227513183</v>
      </c>
      <c r="E289" s="327">
        <v>0.35972910052910012</v>
      </c>
      <c r="F289" s="327">
        <v>0.41216190476190429</v>
      </c>
      <c r="G289" s="327">
        <v>0.50857883597883558</v>
      </c>
      <c r="H289" s="327">
        <v>0.57513227513227494</v>
      </c>
      <c r="I289" s="327">
        <v>0.59649629629629608</v>
      </c>
      <c r="J289" s="327">
        <v>0.63830476190476171</v>
      </c>
      <c r="K289" s="327">
        <v>0.71969523809523794</v>
      </c>
      <c r="L289" s="327">
        <v>0.78042328042328046</v>
      </c>
      <c r="M289" s="327">
        <v>0.80088253968253964</v>
      </c>
      <c r="N289" s="327">
        <v>0.8424370370370371</v>
      </c>
      <c r="O289" s="327">
        <v>0.92954179894179911</v>
      </c>
      <c r="P289" s="311">
        <v>1.0000000000000002</v>
      </c>
      <c r="Q289" s="311">
        <v>1.0024999999999999</v>
      </c>
      <c r="R289" s="311">
        <v>1.0049999999999999</v>
      </c>
      <c r="S289" s="311">
        <v>1.0075000000000001</v>
      </c>
      <c r="T289" s="311">
        <f t="shared" si="4"/>
        <v>10</v>
      </c>
      <c r="U289" s="311"/>
      <c r="V289" s="311"/>
      <c r="W289" s="311">
        <v>10</v>
      </c>
      <c r="X289" s="311" t="s">
        <v>1892</v>
      </c>
      <c r="Y289" s="311" t="s">
        <v>1893</v>
      </c>
      <c r="Z289" s="311" t="s">
        <v>2173</v>
      </c>
      <c r="AA289" s="377">
        <v>10</v>
      </c>
    </row>
    <row r="290" spans="1:27" ht="12.75" customHeight="1" x14ac:dyDescent="0.2">
      <c r="A290" s="311" t="s">
        <v>251</v>
      </c>
      <c r="B290" s="311" t="s">
        <v>237</v>
      </c>
      <c r="C290" s="327">
        <v>0</v>
      </c>
      <c r="D290" s="327">
        <v>0.33227513227513183</v>
      </c>
      <c r="E290" s="327">
        <v>0.35972910052910012</v>
      </c>
      <c r="F290" s="327">
        <v>0.41216190476190429</v>
      </c>
      <c r="G290" s="327">
        <v>0.50857883597883558</v>
      </c>
      <c r="H290" s="327">
        <v>0.57513227513227494</v>
      </c>
      <c r="I290" s="327">
        <v>0.59649629629629608</v>
      </c>
      <c r="J290" s="327">
        <v>0.63830476190476171</v>
      </c>
      <c r="K290" s="327">
        <v>0.71969523809523794</v>
      </c>
      <c r="L290" s="327">
        <v>0.78042328042328046</v>
      </c>
      <c r="M290" s="327">
        <v>0.80088253968253964</v>
      </c>
      <c r="N290" s="327">
        <v>0.8424370370370371</v>
      </c>
      <c r="O290" s="327">
        <v>0.92954179894179911</v>
      </c>
      <c r="P290" s="311">
        <v>1.0000000000000002</v>
      </c>
      <c r="Q290" s="311">
        <v>1.0024999999999999</v>
      </c>
      <c r="R290" s="311">
        <v>1.0049999999999999</v>
      </c>
      <c r="S290" s="311">
        <v>1.0075000000000001</v>
      </c>
      <c r="T290" s="311">
        <f t="shared" si="4"/>
        <v>6</v>
      </c>
      <c r="U290" s="311"/>
      <c r="V290" s="311"/>
      <c r="W290" s="311">
        <v>6</v>
      </c>
      <c r="X290" s="311" t="s">
        <v>1892</v>
      </c>
      <c r="Y290" s="311" t="s">
        <v>1893</v>
      </c>
      <c r="Z290" s="311" t="s">
        <v>2174</v>
      </c>
      <c r="AA290" s="377">
        <v>6</v>
      </c>
    </row>
    <row r="291" spans="1:27" ht="12.75" customHeight="1" x14ac:dyDescent="0.2">
      <c r="A291" s="311" t="s">
        <v>250</v>
      </c>
      <c r="B291" s="311" t="s">
        <v>236</v>
      </c>
      <c r="C291" s="327">
        <v>0</v>
      </c>
      <c r="D291" s="327">
        <v>0.45663954055142231</v>
      </c>
      <c r="E291" s="327">
        <v>0.49140428772755129</v>
      </c>
      <c r="F291" s="327">
        <v>0.55580113961472333</v>
      </c>
      <c r="G291" s="327">
        <v>0.66581401392332529</v>
      </c>
      <c r="H291" s="327">
        <v>0.73385890181617719</v>
      </c>
      <c r="I291" s="327">
        <v>0.75411862112446171</v>
      </c>
      <c r="J291" s="327">
        <v>0.79138013912730143</v>
      </c>
      <c r="K291" s="327">
        <v>0.85462123307266813</v>
      </c>
      <c r="L291" s="327">
        <v>0.89414881217284403</v>
      </c>
      <c r="M291" s="327">
        <v>0.90615257645114067</v>
      </c>
      <c r="N291" s="327">
        <v>0.92877690624536413</v>
      </c>
      <c r="O291" s="327">
        <v>0.97024251117892613</v>
      </c>
      <c r="P291" s="311">
        <v>1</v>
      </c>
      <c r="Q291" s="311">
        <v>1.0024999999999999</v>
      </c>
      <c r="R291" s="311">
        <v>1.0049999999999999</v>
      </c>
      <c r="S291" s="311">
        <v>1.0075000000000001</v>
      </c>
      <c r="T291" s="311">
        <f t="shared" si="4"/>
        <v>107</v>
      </c>
      <c r="U291" s="311"/>
      <c r="V291" s="311"/>
      <c r="W291" s="311">
        <v>107</v>
      </c>
      <c r="X291" s="311" t="s">
        <v>1892</v>
      </c>
      <c r="Y291" s="311" t="s">
        <v>1893</v>
      </c>
      <c r="Z291" s="311" t="s">
        <v>2175</v>
      </c>
      <c r="AA291" s="377">
        <v>107</v>
      </c>
    </row>
    <row r="292" spans="1:27" ht="12.75" customHeight="1" x14ac:dyDescent="0.2">
      <c r="A292" s="311" t="s">
        <v>250</v>
      </c>
      <c r="B292" s="311" t="s">
        <v>23</v>
      </c>
      <c r="C292" s="327">
        <v>0</v>
      </c>
      <c r="D292" s="327">
        <v>0.45663954055142231</v>
      </c>
      <c r="E292" s="327">
        <v>0.49140428772755129</v>
      </c>
      <c r="F292" s="327">
        <v>0.55580113961472333</v>
      </c>
      <c r="G292" s="327">
        <v>0.66581401392332529</v>
      </c>
      <c r="H292" s="327">
        <v>0.73385890181617719</v>
      </c>
      <c r="I292" s="327">
        <v>0.75411862112446171</v>
      </c>
      <c r="J292" s="327">
        <v>0.79138013912730143</v>
      </c>
      <c r="K292" s="327">
        <v>0.85462123307266813</v>
      </c>
      <c r="L292" s="327">
        <v>0.89414881217284403</v>
      </c>
      <c r="M292" s="327">
        <v>0.90615257645114067</v>
      </c>
      <c r="N292" s="327">
        <v>0.92877690624536413</v>
      </c>
      <c r="O292" s="327">
        <v>0.97024251117892613</v>
      </c>
      <c r="P292" s="311">
        <v>1</v>
      </c>
      <c r="Q292" s="311">
        <v>1.0024999999999999</v>
      </c>
      <c r="R292" s="311">
        <v>1.0049999999999999</v>
      </c>
      <c r="S292" s="311">
        <v>1.0075000000000001</v>
      </c>
      <c r="T292" s="311">
        <f t="shared" si="4"/>
        <v>60</v>
      </c>
      <c r="U292" s="311"/>
      <c r="V292" s="311"/>
      <c r="W292" s="311">
        <v>60</v>
      </c>
      <c r="X292" s="311" t="s">
        <v>1892</v>
      </c>
      <c r="Y292" s="311" t="s">
        <v>1893</v>
      </c>
      <c r="Z292" s="311" t="s">
        <v>2176</v>
      </c>
      <c r="AA292" s="377">
        <v>60</v>
      </c>
    </row>
    <row r="293" spans="1:27" ht="12.75" customHeight="1" x14ac:dyDescent="0.2">
      <c r="A293" s="311" t="s">
        <v>250</v>
      </c>
      <c r="B293" s="311" t="s">
        <v>237</v>
      </c>
      <c r="C293" s="327">
        <v>0</v>
      </c>
      <c r="D293" s="327">
        <v>0.45663954055142231</v>
      </c>
      <c r="E293" s="327">
        <v>0.49140428772755129</v>
      </c>
      <c r="F293" s="327">
        <v>0.55580113961472333</v>
      </c>
      <c r="G293" s="327">
        <v>0.66581401392332529</v>
      </c>
      <c r="H293" s="327">
        <v>0.73385890181617719</v>
      </c>
      <c r="I293" s="327">
        <v>0.75411862112446171</v>
      </c>
      <c r="J293" s="327">
        <v>0.79138013912730143</v>
      </c>
      <c r="K293" s="327">
        <v>0.85462123307266813</v>
      </c>
      <c r="L293" s="327">
        <v>0.89414881217284403</v>
      </c>
      <c r="M293" s="327">
        <v>0.90615257645114067</v>
      </c>
      <c r="N293" s="327">
        <v>0.92877690624536413</v>
      </c>
      <c r="O293" s="327">
        <v>0.97024251117892613</v>
      </c>
      <c r="P293" s="311">
        <v>1</v>
      </c>
      <c r="Q293" s="311">
        <v>1.0024999999999999</v>
      </c>
      <c r="R293" s="311">
        <v>1.0049999999999999</v>
      </c>
      <c r="S293" s="311">
        <v>1.0075000000000001</v>
      </c>
      <c r="T293" s="311">
        <f t="shared" si="4"/>
        <v>35</v>
      </c>
      <c r="U293" s="311"/>
      <c r="V293" s="311"/>
      <c r="W293" s="311">
        <v>35</v>
      </c>
      <c r="X293" s="311" t="s">
        <v>1892</v>
      </c>
      <c r="Y293" s="311" t="s">
        <v>1893</v>
      </c>
      <c r="Z293" s="311" t="s">
        <v>2177</v>
      </c>
      <c r="AA293" s="377">
        <v>35</v>
      </c>
    </row>
    <row r="294" spans="1:27" ht="12.75" customHeight="1" x14ac:dyDescent="0.2">
      <c r="A294" s="311" t="s">
        <v>249</v>
      </c>
      <c r="B294" s="311" t="s">
        <v>236</v>
      </c>
      <c r="C294" s="327">
        <v>0</v>
      </c>
      <c r="D294" s="327">
        <v>0.45663954055142231</v>
      </c>
      <c r="E294" s="327">
        <v>0.49140428772755129</v>
      </c>
      <c r="F294" s="327">
        <v>0.55580113961472333</v>
      </c>
      <c r="G294" s="327">
        <v>0.66581401392332529</v>
      </c>
      <c r="H294" s="327">
        <v>0.73385890181617719</v>
      </c>
      <c r="I294" s="327">
        <v>0.75411862112446171</v>
      </c>
      <c r="J294" s="327">
        <v>0.79138013912730143</v>
      </c>
      <c r="K294" s="327">
        <v>0.85462123307266813</v>
      </c>
      <c r="L294" s="327">
        <v>0.89414881217284403</v>
      </c>
      <c r="M294" s="327">
        <v>0.90615257645114067</v>
      </c>
      <c r="N294" s="327">
        <v>0.92877690624536413</v>
      </c>
      <c r="O294" s="327">
        <v>0.97024251117892613</v>
      </c>
      <c r="P294" s="311">
        <v>1</v>
      </c>
      <c r="Q294" s="311">
        <v>1.0024999999999999</v>
      </c>
      <c r="R294" s="311">
        <v>1.0049999999999999</v>
      </c>
      <c r="S294" s="311">
        <v>1.0075000000000001</v>
      </c>
      <c r="T294" s="311">
        <f t="shared" si="4"/>
        <v>107</v>
      </c>
      <c r="U294" s="311"/>
      <c r="V294" s="311"/>
      <c r="W294" s="311">
        <v>107</v>
      </c>
      <c r="X294" s="311" t="s">
        <v>1892</v>
      </c>
      <c r="Y294" s="311" t="s">
        <v>1893</v>
      </c>
      <c r="Z294" s="311" t="s">
        <v>2178</v>
      </c>
      <c r="AA294" s="377">
        <v>107</v>
      </c>
    </row>
    <row r="295" spans="1:27" ht="12.75" customHeight="1" x14ac:dyDescent="0.2">
      <c r="A295" s="311" t="s">
        <v>249</v>
      </c>
      <c r="B295" s="311" t="s">
        <v>23</v>
      </c>
      <c r="C295" s="327">
        <v>0</v>
      </c>
      <c r="D295" s="327">
        <v>0.45663954055142231</v>
      </c>
      <c r="E295" s="327">
        <v>0.49140428772755129</v>
      </c>
      <c r="F295" s="327">
        <v>0.55580113961472333</v>
      </c>
      <c r="G295" s="327">
        <v>0.66581401392332529</v>
      </c>
      <c r="H295" s="327">
        <v>0.73385890181617719</v>
      </c>
      <c r="I295" s="327">
        <v>0.75411862112446171</v>
      </c>
      <c r="J295" s="327">
        <v>0.79138013912730143</v>
      </c>
      <c r="K295" s="327">
        <v>0.85462123307266813</v>
      </c>
      <c r="L295" s="327">
        <v>0.89414881217284403</v>
      </c>
      <c r="M295" s="327">
        <v>0.90615257645114067</v>
      </c>
      <c r="N295" s="327">
        <v>0.92877690624536413</v>
      </c>
      <c r="O295" s="327">
        <v>0.97024251117892613</v>
      </c>
      <c r="P295" s="311">
        <v>1</v>
      </c>
      <c r="Q295" s="311">
        <v>1.0024999999999999</v>
      </c>
      <c r="R295" s="311">
        <v>1.0049999999999999</v>
      </c>
      <c r="S295" s="311">
        <v>1.0075000000000001</v>
      </c>
      <c r="T295" s="311">
        <f t="shared" si="4"/>
        <v>60</v>
      </c>
      <c r="U295" s="311"/>
      <c r="V295" s="311"/>
      <c r="W295" s="311">
        <v>60</v>
      </c>
      <c r="X295" s="311" t="s">
        <v>1892</v>
      </c>
      <c r="Y295" s="311" t="s">
        <v>1893</v>
      </c>
      <c r="Z295" s="311" t="s">
        <v>2179</v>
      </c>
      <c r="AA295" s="377">
        <v>60</v>
      </c>
    </row>
    <row r="296" spans="1:27" ht="12.75" customHeight="1" x14ac:dyDescent="0.2">
      <c r="A296" s="311" t="s">
        <v>249</v>
      </c>
      <c r="B296" s="311" t="s">
        <v>237</v>
      </c>
      <c r="C296" s="327">
        <v>0</v>
      </c>
      <c r="D296" s="327">
        <v>0.45663954055142231</v>
      </c>
      <c r="E296" s="327">
        <v>0.49140428772755129</v>
      </c>
      <c r="F296" s="327">
        <v>0.55580113961472333</v>
      </c>
      <c r="G296" s="327">
        <v>0.66581401392332529</v>
      </c>
      <c r="H296" s="327">
        <v>0.73385890181617719</v>
      </c>
      <c r="I296" s="327">
        <v>0.75411862112446171</v>
      </c>
      <c r="J296" s="327">
        <v>0.79138013912730143</v>
      </c>
      <c r="K296" s="327">
        <v>0.85462123307266813</v>
      </c>
      <c r="L296" s="327">
        <v>0.89414881217284403</v>
      </c>
      <c r="M296" s="327">
        <v>0.90615257645114067</v>
      </c>
      <c r="N296" s="327">
        <v>0.92877690624536413</v>
      </c>
      <c r="O296" s="327">
        <v>0.97024251117892613</v>
      </c>
      <c r="P296" s="311">
        <v>1</v>
      </c>
      <c r="Q296" s="311">
        <v>1.0024999999999999</v>
      </c>
      <c r="R296" s="311">
        <v>1.0049999999999999</v>
      </c>
      <c r="S296" s="311">
        <v>1.0075000000000001</v>
      </c>
      <c r="T296" s="311">
        <f t="shared" si="4"/>
        <v>35</v>
      </c>
      <c r="U296" s="311"/>
      <c r="V296" s="311"/>
      <c r="W296" s="311">
        <v>35</v>
      </c>
      <c r="X296" s="311" t="s">
        <v>1892</v>
      </c>
      <c r="Y296" s="311" t="s">
        <v>1893</v>
      </c>
      <c r="Z296" s="311" t="s">
        <v>2180</v>
      </c>
      <c r="AA296" s="377">
        <v>35</v>
      </c>
    </row>
    <row r="297" spans="1:27" ht="12.75" customHeight="1" x14ac:dyDescent="0.2">
      <c r="A297" s="311" t="s">
        <v>248</v>
      </c>
      <c r="B297" s="311" t="s">
        <v>236</v>
      </c>
      <c r="C297" s="327">
        <v>0</v>
      </c>
      <c r="D297" s="327">
        <v>0.45663954055142231</v>
      </c>
      <c r="E297" s="327">
        <v>0.49140428772755129</v>
      </c>
      <c r="F297" s="327">
        <v>0.55580113961472333</v>
      </c>
      <c r="G297" s="327">
        <v>0.66581401392332529</v>
      </c>
      <c r="H297" s="327">
        <v>0.73385890181617719</v>
      </c>
      <c r="I297" s="327">
        <v>0.75411862112446171</v>
      </c>
      <c r="J297" s="327">
        <v>0.79138013912730143</v>
      </c>
      <c r="K297" s="327">
        <v>0.85462123307266813</v>
      </c>
      <c r="L297" s="327">
        <v>0.89414881217284403</v>
      </c>
      <c r="M297" s="327">
        <v>0.90615257645114067</v>
      </c>
      <c r="N297" s="327">
        <v>0.92877690624536413</v>
      </c>
      <c r="O297" s="327">
        <v>0.97024251117892613</v>
      </c>
      <c r="P297" s="311">
        <v>1</v>
      </c>
      <c r="Q297" s="311">
        <v>1.0024999999999999</v>
      </c>
      <c r="R297" s="311">
        <v>1.0049999999999999</v>
      </c>
      <c r="S297" s="311">
        <v>1.0075000000000001</v>
      </c>
      <c r="T297" s="311">
        <f t="shared" si="4"/>
        <v>107</v>
      </c>
      <c r="U297" s="311"/>
      <c r="V297" s="311"/>
      <c r="W297" s="311">
        <v>107</v>
      </c>
      <c r="X297" s="311" t="s">
        <v>1892</v>
      </c>
      <c r="Y297" s="311" t="s">
        <v>1893</v>
      </c>
      <c r="Z297" s="311" t="s">
        <v>2181</v>
      </c>
      <c r="AA297" s="377">
        <v>107</v>
      </c>
    </row>
    <row r="298" spans="1:27" ht="12.75" customHeight="1" x14ac:dyDescent="0.2">
      <c r="A298" s="311" t="s">
        <v>248</v>
      </c>
      <c r="B298" s="311" t="s">
        <v>23</v>
      </c>
      <c r="C298" s="327">
        <v>0</v>
      </c>
      <c r="D298" s="327">
        <v>0.45663954055142231</v>
      </c>
      <c r="E298" s="327">
        <v>0.49140428772755129</v>
      </c>
      <c r="F298" s="327">
        <v>0.55580113961472333</v>
      </c>
      <c r="G298" s="327">
        <v>0.66581401392332529</v>
      </c>
      <c r="H298" s="327">
        <v>0.73385890181617719</v>
      </c>
      <c r="I298" s="327">
        <v>0.75411862112446171</v>
      </c>
      <c r="J298" s="327">
        <v>0.79138013912730143</v>
      </c>
      <c r="K298" s="327">
        <v>0.85462123307266813</v>
      </c>
      <c r="L298" s="327">
        <v>0.89414881217284403</v>
      </c>
      <c r="M298" s="327">
        <v>0.90615257645114067</v>
      </c>
      <c r="N298" s="327">
        <v>0.92877690624536413</v>
      </c>
      <c r="O298" s="327">
        <v>0.97024251117892613</v>
      </c>
      <c r="P298" s="311">
        <v>1</v>
      </c>
      <c r="Q298" s="311">
        <v>1.0024999999999999</v>
      </c>
      <c r="R298" s="311">
        <v>1.0049999999999999</v>
      </c>
      <c r="S298" s="311">
        <v>1.0075000000000001</v>
      </c>
      <c r="T298" s="311">
        <f t="shared" si="4"/>
        <v>60</v>
      </c>
      <c r="U298" s="311"/>
      <c r="V298" s="311"/>
      <c r="W298" s="311">
        <v>60</v>
      </c>
      <c r="X298" s="311" t="s">
        <v>1892</v>
      </c>
      <c r="Y298" s="311" t="s">
        <v>1893</v>
      </c>
      <c r="Z298" s="311" t="s">
        <v>2182</v>
      </c>
      <c r="AA298" s="377">
        <v>60</v>
      </c>
    </row>
    <row r="299" spans="1:27" ht="12.75" customHeight="1" x14ac:dyDescent="0.2">
      <c r="A299" s="311" t="s">
        <v>248</v>
      </c>
      <c r="B299" s="311" t="s">
        <v>237</v>
      </c>
      <c r="C299" s="327">
        <v>0</v>
      </c>
      <c r="D299" s="327">
        <v>0.45663954055142231</v>
      </c>
      <c r="E299" s="327">
        <v>0.49140428772755129</v>
      </c>
      <c r="F299" s="327">
        <v>0.55580113961472333</v>
      </c>
      <c r="G299" s="327">
        <v>0.66581401392332529</v>
      </c>
      <c r="H299" s="327">
        <v>0.73385890181617719</v>
      </c>
      <c r="I299" s="327">
        <v>0.75411862112446171</v>
      </c>
      <c r="J299" s="327">
        <v>0.79138013912730143</v>
      </c>
      <c r="K299" s="327">
        <v>0.85462123307266813</v>
      </c>
      <c r="L299" s="327">
        <v>0.89414881217284403</v>
      </c>
      <c r="M299" s="327">
        <v>0.90615257645114067</v>
      </c>
      <c r="N299" s="327">
        <v>0.92877690624536413</v>
      </c>
      <c r="O299" s="327">
        <v>0.97024251117892613</v>
      </c>
      <c r="P299" s="311">
        <v>1</v>
      </c>
      <c r="Q299" s="311">
        <v>1.0024999999999999</v>
      </c>
      <c r="R299" s="311">
        <v>1.0049999999999999</v>
      </c>
      <c r="S299" s="311">
        <v>1.0075000000000001</v>
      </c>
      <c r="T299" s="311">
        <f t="shared" si="4"/>
        <v>35</v>
      </c>
      <c r="U299" s="311"/>
      <c r="V299" s="311"/>
      <c r="W299" s="311">
        <v>35</v>
      </c>
      <c r="X299" s="311" t="s">
        <v>1892</v>
      </c>
      <c r="Y299" s="311" t="s">
        <v>1893</v>
      </c>
      <c r="Z299" s="311" t="s">
        <v>2183</v>
      </c>
      <c r="AA299" s="377">
        <v>35</v>
      </c>
    </row>
    <row r="300" spans="1:27" ht="12.75" customHeight="1" x14ac:dyDescent="0.2">
      <c r="A300" s="311" t="s">
        <v>247</v>
      </c>
      <c r="B300" s="311" t="s">
        <v>236</v>
      </c>
      <c r="C300" s="327">
        <v>0</v>
      </c>
      <c r="D300" s="327">
        <v>0.25</v>
      </c>
      <c r="E300" s="327">
        <v>0.27500000000000002</v>
      </c>
      <c r="F300" s="327">
        <v>0.32499999999999996</v>
      </c>
      <c r="G300" s="327">
        <v>0.42500000000000004</v>
      </c>
      <c r="H300" s="327">
        <v>0.5</v>
      </c>
      <c r="I300" s="327">
        <v>0.52500000000000002</v>
      </c>
      <c r="J300" s="327">
        <v>0.57499999999999996</v>
      </c>
      <c r="K300" s="327">
        <v>0.67500000000000004</v>
      </c>
      <c r="L300" s="327">
        <v>0.75</v>
      </c>
      <c r="M300" s="327">
        <v>0.77499999999999991</v>
      </c>
      <c r="N300" s="327">
        <v>0.82499999999999996</v>
      </c>
      <c r="O300" s="327">
        <v>0.92500000000000004</v>
      </c>
      <c r="P300" s="311">
        <v>1</v>
      </c>
      <c r="Q300" s="311">
        <v>1.0024999999999999</v>
      </c>
      <c r="R300" s="311">
        <v>1.0049999999999999</v>
      </c>
      <c r="S300" s="311">
        <v>1.0075000000000001</v>
      </c>
      <c r="T300" s="311">
        <f t="shared" si="4"/>
        <v>60</v>
      </c>
      <c r="U300" s="311"/>
      <c r="V300" s="311"/>
      <c r="W300" s="311">
        <v>60</v>
      </c>
      <c r="X300" s="311" t="s">
        <v>1892</v>
      </c>
      <c r="Y300" s="311" t="s">
        <v>1893</v>
      </c>
      <c r="Z300" s="311" t="s">
        <v>2184</v>
      </c>
      <c r="AA300" s="377">
        <v>60</v>
      </c>
    </row>
    <row r="301" spans="1:27" ht="12.75" customHeight="1" x14ac:dyDescent="0.2">
      <c r="A301" s="311" t="s">
        <v>247</v>
      </c>
      <c r="B301" s="311" t="s">
        <v>23</v>
      </c>
      <c r="C301" s="327">
        <v>0</v>
      </c>
      <c r="D301" s="327">
        <v>0.25</v>
      </c>
      <c r="E301" s="327">
        <v>0.27500000000000002</v>
      </c>
      <c r="F301" s="327">
        <v>0.32499999999999996</v>
      </c>
      <c r="G301" s="327">
        <v>0.42500000000000004</v>
      </c>
      <c r="H301" s="327">
        <v>0.5</v>
      </c>
      <c r="I301" s="327">
        <v>0.52500000000000002</v>
      </c>
      <c r="J301" s="327">
        <v>0.57499999999999996</v>
      </c>
      <c r="K301" s="327">
        <v>0.67500000000000004</v>
      </c>
      <c r="L301" s="327">
        <v>0.75</v>
      </c>
      <c r="M301" s="327">
        <v>0.77499999999999991</v>
      </c>
      <c r="N301" s="327">
        <v>0.82499999999999996</v>
      </c>
      <c r="O301" s="327">
        <v>0.92500000000000004</v>
      </c>
      <c r="P301" s="311">
        <v>1</v>
      </c>
      <c r="Q301" s="311">
        <v>1.0024999999999999</v>
      </c>
      <c r="R301" s="311">
        <v>1.0049999999999999</v>
      </c>
      <c r="S301" s="311">
        <v>1.0075000000000001</v>
      </c>
      <c r="T301" s="311">
        <f t="shared" si="4"/>
        <v>40</v>
      </c>
      <c r="U301" s="311"/>
      <c r="V301" s="311"/>
      <c r="W301" s="311">
        <v>40</v>
      </c>
      <c r="X301" s="311" t="s">
        <v>1892</v>
      </c>
      <c r="Y301" s="311" t="s">
        <v>1893</v>
      </c>
      <c r="Z301" s="311" t="s">
        <v>2185</v>
      </c>
      <c r="AA301" s="377">
        <v>40</v>
      </c>
    </row>
    <row r="302" spans="1:27" ht="12.75" customHeight="1" x14ac:dyDescent="0.2">
      <c r="A302" s="311" t="s">
        <v>247</v>
      </c>
      <c r="B302" s="311" t="s">
        <v>237</v>
      </c>
      <c r="C302" s="327">
        <v>0</v>
      </c>
      <c r="D302" s="327">
        <v>0.25</v>
      </c>
      <c r="E302" s="327">
        <v>0.27500000000000002</v>
      </c>
      <c r="F302" s="327">
        <v>0.32499999999999996</v>
      </c>
      <c r="G302" s="327">
        <v>0.42500000000000004</v>
      </c>
      <c r="H302" s="327">
        <v>0.5</v>
      </c>
      <c r="I302" s="327">
        <v>0.52500000000000002</v>
      </c>
      <c r="J302" s="327">
        <v>0.57499999999999996</v>
      </c>
      <c r="K302" s="327">
        <v>0.67500000000000004</v>
      </c>
      <c r="L302" s="327">
        <v>0.75</v>
      </c>
      <c r="M302" s="327">
        <v>0.77499999999999991</v>
      </c>
      <c r="N302" s="327">
        <v>0.82499999999999996</v>
      </c>
      <c r="O302" s="327">
        <v>0.92500000000000004</v>
      </c>
      <c r="P302" s="311">
        <v>1</v>
      </c>
      <c r="Q302" s="311">
        <v>1.0024999999999999</v>
      </c>
      <c r="R302" s="311">
        <v>1.0049999999999999</v>
      </c>
      <c r="S302" s="311">
        <v>1.0075000000000001</v>
      </c>
      <c r="T302" s="311">
        <f t="shared" si="4"/>
        <v>20</v>
      </c>
      <c r="U302" s="311"/>
      <c r="V302" s="311"/>
      <c r="W302" s="311">
        <v>20</v>
      </c>
      <c r="X302" s="311" t="s">
        <v>1892</v>
      </c>
      <c r="Y302" s="311" t="s">
        <v>1893</v>
      </c>
      <c r="Z302" s="311" t="s">
        <v>2186</v>
      </c>
      <c r="AA302" s="377">
        <v>20</v>
      </c>
    </row>
    <row r="303" spans="1:27" ht="12.75" customHeight="1" x14ac:dyDescent="0.2">
      <c r="A303" s="311" t="s">
        <v>246</v>
      </c>
      <c r="B303" s="311" t="s">
        <v>236</v>
      </c>
      <c r="C303" s="327">
        <v>0</v>
      </c>
      <c r="D303" s="327">
        <v>0.25</v>
      </c>
      <c r="E303" s="327">
        <v>0.27500000000000002</v>
      </c>
      <c r="F303" s="327">
        <v>0.32499999999999996</v>
      </c>
      <c r="G303" s="327">
        <v>0.42500000000000004</v>
      </c>
      <c r="H303" s="327">
        <v>0.5</v>
      </c>
      <c r="I303" s="327">
        <v>0.52500000000000002</v>
      </c>
      <c r="J303" s="327">
        <v>0.57499999999999996</v>
      </c>
      <c r="K303" s="327">
        <v>0.67500000000000004</v>
      </c>
      <c r="L303" s="327">
        <v>0.75</v>
      </c>
      <c r="M303" s="327">
        <v>0.77499999999999991</v>
      </c>
      <c r="N303" s="327">
        <v>0.82499999999999996</v>
      </c>
      <c r="O303" s="327">
        <v>0.92500000000000004</v>
      </c>
      <c r="P303" s="311">
        <v>1</v>
      </c>
      <c r="Q303" s="311">
        <v>1.0024999999999999</v>
      </c>
      <c r="R303" s="311">
        <v>1.0049999999999999</v>
      </c>
      <c r="S303" s="311">
        <v>1.0075000000000001</v>
      </c>
      <c r="T303" s="311">
        <f t="shared" si="4"/>
        <v>60</v>
      </c>
      <c r="U303" s="311"/>
      <c r="V303" s="311"/>
      <c r="W303" s="311">
        <v>60</v>
      </c>
      <c r="X303" s="311" t="s">
        <v>1892</v>
      </c>
      <c r="Y303" s="311" t="s">
        <v>1893</v>
      </c>
      <c r="Z303" s="311" t="s">
        <v>2187</v>
      </c>
      <c r="AA303" s="377">
        <v>60</v>
      </c>
    </row>
    <row r="304" spans="1:27" ht="12.75" customHeight="1" x14ac:dyDescent="0.2">
      <c r="A304" s="311" t="s">
        <v>246</v>
      </c>
      <c r="B304" s="311" t="s">
        <v>23</v>
      </c>
      <c r="C304" s="327">
        <v>0</v>
      </c>
      <c r="D304" s="327">
        <v>0.25</v>
      </c>
      <c r="E304" s="327">
        <v>0.27500000000000002</v>
      </c>
      <c r="F304" s="327">
        <v>0.32499999999999996</v>
      </c>
      <c r="G304" s="327">
        <v>0.42500000000000004</v>
      </c>
      <c r="H304" s="327">
        <v>0.5</v>
      </c>
      <c r="I304" s="327">
        <v>0.52500000000000002</v>
      </c>
      <c r="J304" s="327">
        <v>0.57499999999999996</v>
      </c>
      <c r="K304" s="327">
        <v>0.67500000000000004</v>
      </c>
      <c r="L304" s="327">
        <v>0.75</v>
      </c>
      <c r="M304" s="327">
        <v>0.77499999999999991</v>
      </c>
      <c r="N304" s="327">
        <v>0.82499999999999996</v>
      </c>
      <c r="O304" s="327">
        <v>0.92500000000000004</v>
      </c>
      <c r="P304" s="311">
        <v>1</v>
      </c>
      <c r="Q304" s="311">
        <v>1.0024999999999999</v>
      </c>
      <c r="R304" s="311">
        <v>1.0049999999999999</v>
      </c>
      <c r="S304" s="311">
        <v>1.0075000000000001</v>
      </c>
      <c r="T304" s="311">
        <f t="shared" si="4"/>
        <v>40</v>
      </c>
      <c r="U304" s="311"/>
      <c r="V304" s="311"/>
      <c r="W304" s="311">
        <v>40</v>
      </c>
      <c r="X304" s="311" t="s">
        <v>1892</v>
      </c>
      <c r="Y304" s="311" t="s">
        <v>1893</v>
      </c>
      <c r="Z304" s="311" t="s">
        <v>2188</v>
      </c>
      <c r="AA304" s="377">
        <v>40</v>
      </c>
    </row>
    <row r="305" spans="1:27" ht="12.75" customHeight="1" x14ac:dyDescent="0.2">
      <c r="A305" s="311" t="s">
        <v>246</v>
      </c>
      <c r="B305" s="311" t="s">
        <v>237</v>
      </c>
      <c r="C305" s="327">
        <v>0</v>
      </c>
      <c r="D305" s="327">
        <v>0.25</v>
      </c>
      <c r="E305" s="327">
        <v>0.27500000000000002</v>
      </c>
      <c r="F305" s="327">
        <v>0.32499999999999996</v>
      </c>
      <c r="G305" s="327">
        <v>0.42500000000000004</v>
      </c>
      <c r="H305" s="327">
        <v>0.5</v>
      </c>
      <c r="I305" s="327">
        <v>0.52500000000000002</v>
      </c>
      <c r="J305" s="327">
        <v>0.57499999999999996</v>
      </c>
      <c r="K305" s="327">
        <v>0.67500000000000004</v>
      </c>
      <c r="L305" s="327">
        <v>0.75</v>
      </c>
      <c r="M305" s="327">
        <v>0.77499999999999991</v>
      </c>
      <c r="N305" s="327">
        <v>0.82499999999999996</v>
      </c>
      <c r="O305" s="327">
        <v>0.92500000000000004</v>
      </c>
      <c r="P305" s="311">
        <v>1</v>
      </c>
      <c r="Q305" s="311">
        <v>1.0024999999999999</v>
      </c>
      <c r="R305" s="311">
        <v>1.0049999999999999</v>
      </c>
      <c r="S305" s="311">
        <v>1.0075000000000001</v>
      </c>
      <c r="T305" s="311">
        <f t="shared" si="4"/>
        <v>20</v>
      </c>
      <c r="U305" s="311"/>
      <c r="V305" s="311"/>
      <c r="W305" s="311">
        <v>20</v>
      </c>
      <c r="X305" s="311" t="s">
        <v>1892</v>
      </c>
      <c r="Y305" s="311" t="s">
        <v>1893</v>
      </c>
      <c r="Z305" s="311" t="s">
        <v>2189</v>
      </c>
      <c r="AA305" s="377">
        <v>20</v>
      </c>
    </row>
    <row r="306" spans="1:27" ht="12.75" customHeight="1" x14ac:dyDescent="0.2">
      <c r="A306" s="311" t="s">
        <v>245</v>
      </c>
      <c r="B306" s="311" t="s">
        <v>236</v>
      </c>
      <c r="C306" s="327">
        <v>0</v>
      </c>
      <c r="D306" s="327">
        <v>0.56455026455026291</v>
      </c>
      <c r="E306" s="327">
        <v>0.60292440476190312</v>
      </c>
      <c r="F306" s="327">
        <v>0.6714113095238079</v>
      </c>
      <c r="G306" s="327">
        <v>0.77878776455026322</v>
      </c>
      <c r="H306" s="327">
        <v>0.8373015873015861</v>
      </c>
      <c r="I306" s="327">
        <v>0.85326898148148023</v>
      </c>
      <c r="J306" s="327">
        <v>0.88063683862433817</v>
      </c>
      <c r="K306" s="327">
        <v>0.9205529761904756</v>
      </c>
      <c r="L306" s="327">
        <v>0.94140211640211624</v>
      </c>
      <c r="M306" s="327">
        <v>0.94727757936507984</v>
      </c>
      <c r="N306" s="327">
        <v>0.95815601851851917</v>
      </c>
      <c r="O306" s="327">
        <v>0.97987109788359716</v>
      </c>
      <c r="P306" s="311">
        <v>0.99999999999999978</v>
      </c>
      <c r="Q306" s="311">
        <v>1.0024999999999999</v>
      </c>
      <c r="R306" s="311">
        <v>1.0049999999999999</v>
      </c>
      <c r="S306" s="311">
        <v>1.0075000000000001</v>
      </c>
      <c r="T306" s="311">
        <f t="shared" si="4"/>
        <v>30</v>
      </c>
      <c r="U306" s="311"/>
      <c r="V306" s="311"/>
      <c r="W306" s="311">
        <v>30</v>
      </c>
      <c r="X306" s="311" t="s">
        <v>1892</v>
      </c>
      <c r="Y306" s="311" t="s">
        <v>1893</v>
      </c>
      <c r="Z306" s="311" t="s">
        <v>2190</v>
      </c>
      <c r="AA306" s="377">
        <v>30</v>
      </c>
    </row>
    <row r="307" spans="1:27" ht="12.75" customHeight="1" x14ac:dyDescent="0.2">
      <c r="A307" s="311" t="s">
        <v>245</v>
      </c>
      <c r="B307" s="311" t="s">
        <v>23</v>
      </c>
      <c r="C307" s="327">
        <v>0</v>
      </c>
      <c r="D307" s="327">
        <v>0.56455026455026291</v>
      </c>
      <c r="E307" s="327">
        <v>0.60292440476190312</v>
      </c>
      <c r="F307" s="327">
        <v>0.6714113095238079</v>
      </c>
      <c r="G307" s="327">
        <v>0.77878776455026322</v>
      </c>
      <c r="H307" s="327">
        <v>0.8373015873015861</v>
      </c>
      <c r="I307" s="327">
        <v>0.85326898148148023</v>
      </c>
      <c r="J307" s="327">
        <v>0.88063683862433817</v>
      </c>
      <c r="K307" s="327">
        <v>0.9205529761904756</v>
      </c>
      <c r="L307" s="327">
        <v>0.94140211640211624</v>
      </c>
      <c r="M307" s="327">
        <v>0.94727757936507984</v>
      </c>
      <c r="N307" s="327">
        <v>0.95815601851851917</v>
      </c>
      <c r="O307" s="327">
        <v>0.97987109788359716</v>
      </c>
      <c r="P307" s="311">
        <v>0.99999999999999978</v>
      </c>
      <c r="Q307" s="311">
        <v>1.0024999999999999</v>
      </c>
      <c r="R307" s="311">
        <v>1.0049999999999999</v>
      </c>
      <c r="S307" s="311">
        <v>1.0075000000000001</v>
      </c>
      <c r="T307" s="311">
        <f t="shared" si="4"/>
        <v>24</v>
      </c>
      <c r="U307" s="311"/>
      <c r="V307" s="311"/>
      <c r="W307" s="311">
        <v>24</v>
      </c>
      <c r="X307" s="311" t="s">
        <v>1892</v>
      </c>
      <c r="Y307" s="311" t="s">
        <v>1893</v>
      </c>
      <c r="Z307" s="311" t="s">
        <v>2191</v>
      </c>
      <c r="AA307" s="377">
        <v>24</v>
      </c>
    </row>
    <row r="308" spans="1:27" ht="12.75" customHeight="1" x14ac:dyDescent="0.2">
      <c r="A308" s="311" t="s">
        <v>245</v>
      </c>
      <c r="B308" s="311" t="s">
        <v>237</v>
      </c>
      <c r="C308" s="327">
        <v>0</v>
      </c>
      <c r="D308" s="327">
        <v>0.56455026455026291</v>
      </c>
      <c r="E308" s="327">
        <v>0.60292440476190312</v>
      </c>
      <c r="F308" s="327">
        <v>0.6714113095238079</v>
      </c>
      <c r="G308" s="327">
        <v>0.77878776455026322</v>
      </c>
      <c r="H308" s="327">
        <v>0.8373015873015861</v>
      </c>
      <c r="I308" s="327">
        <v>0.85326898148148023</v>
      </c>
      <c r="J308" s="327">
        <v>0.88063683862433817</v>
      </c>
      <c r="K308" s="327">
        <v>0.9205529761904756</v>
      </c>
      <c r="L308" s="327">
        <v>0.94140211640211624</v>
      </c>
      <c r="M308" s="327">
        <v>0.94727757936507984</v>
      </c>
      <c r="N308" s="327">
        <v>0.95815601851851917</v>
      </c>
      <c r="O308" s="327">
        <v>0.97987109788359716</v>
      </c>
      <c r="P308" s="311">
        <v>0.99999999999999978</v>
      </c>
      <c r="Q308" s="311">
        <v>1.0024999999999999</v>
      </c>
      <c r="R308" s="311">
        <v>1.0049999999999999</v>
      </c>
      <c r="S308" s="311">
        <v>1.0075000000000001</v>
      </c>
      <c r="T308" s="311">
        <f t="shared" si="4"/>
        <v>18</v>
      </c>
      <c r="U308" s="311"/>
      <c r="V308" s="311"/>
      <c r="W308" s="311">
        <v>18</v>
      </c>
      <c r="X308" s="311" t="s">
        <v>1892</v>
      </c>
      <c r="Y308" s="311" t="s">
        <v>1893</v>
      </c>
      <c r="Z308" s="311" t="s">
        <v>2192</v>
      </c>
      <c r="AA308" s="377">
        <v>18</v>
      </c>
    </row>
    <row r="309" spans="1:27" ht="12.75" customHeight="1" x14ac:dyDescent="0.2">
      <c r="A309" s="311" t="s">
        <v>244</v>
      </c>
      <c r="B309" s="311" t="s">
        <v>236</v>
      </c>
      <c r="C309" s="327">
        <v>0</v>
      </c>
      <c r="D309" s="327">
        <v>0.25</v>
      </c>
      <c r="E309" s="327">
        <v>0.27500000000000002</v>
      </c>
      <c r="F309" s="327">
        <v>0.32499999999999996</v>
      </c>
      <c r="G309" s="327">
        <v>0.42500000000000004</v>
      </c>
      <c r="H309" s="327">
        <v>0.5</v>
      </c>
      <c r="I309" s="327">
        <v>0.52500000000000002</v>
      </c>
      <c r="J309" s="327">
        <v>0.57499999999999996</v>
      </c>
      <c r="K309" s="327">
        <v>0.67500000000000004</v>
      </c>
      <c r="L309" s="327">
        <v>0.75</v>
      </c>
      <c r="M309" s="327">
        <v>0.77499999999999991</v>
      </c>
      <c r="N309" s="327">
        <v>0.82499999999999996</v>
      </c>
      <c r="O309" s="327">
        <v>0.92500000000000004</v>
      </c>
      <c r="P309" s="311">
        <v>1</v>
      </c>
      <c r="Q309" s="311">
        <v>1.0024999999999999</v>
      </c>
      <c r="R309" s="311">
        <v>1.0049999999999999</v>
      </c>
      <c r="S309" s="311">
        <v>1.0075000000000001</v>
      </c>
      <c r="T309" s="311">
        <f t="shared" si="4"/>
        <v>60</v>
      </c>
      <c r="U309" s="311"/>
      <c r="V309" s="311"/>
      <c r="W309" s="311">
        <v>60</v>
      </c>
      <c r="X309" s="311" t="s">
        <v>1892</v>
      </c>
      <c r="Y309" s="311" t="s">
        <v>1893</v>
      </c>
      <c r="Z309" s="311" t="s">
        <v>2193</v>
      </c>
      <c r="AA309" s="377">
        <v>60</v>
      </c>
    </row>
    <row r="310" spans="1:27" ht="12.75" customHeight="1" x14ac:dyDescent="0.2">
      <c r="A310" s="311" t="s">
        <v>244</v>
      </c>
      <c r="B310" s="311" t="s">
        <v>23</v>
      </c>
      <c r="C310" s="327">
        <v>0</v>
      </c>
      <c r="D310" s="327">
        <v>0.25</v>
      </c>
      <c r="E310" s="327">
        <v>0.27500000000000002</v>
      </c>
      <c r="F310" s="327">
        <v>0.32499999999999996</v>
      </c>
      <c r="G310" s="327">
        <v>0.42500000000000004</v>
      </c>
      <c r="H310" s="327">
        <v>0.5</v>
      </c>
      <c r="I310" s="327">
        <v>0.52500000000000002</v>
      </c>
      <c r="J310" s="327">
        <v>0.57499999999999996</v>
      </c>
      <c r="K310" s="327">
        <v>0.67500000000000004</v>
      </c>
      <c r="L310" s="327">
        <v>0.75</v>
      </c>
      <c r="M310" s="327">
        <v>0.77499999999999991</v>
      </c>
      <c r="N310" s="327">
        <v>0.82499999999999996</v>
      </c>
      <c r="O310" s="327">
        <v>0.92500000000000004</v>
      </c>
      <c r="P310" s="311">
        <v>1</v>
      </c>
      <c r="Q310" s="311">
        <v>1.0024999999999999</v>
      </c>
      <c r="R310" s="311">
        <v>1.0049999999999999</v>
      </c>
      <c r="S310" s="311">
        <v>1.0075000000000001</v>
      </c>
      <c r="T310" s="311">
        <f t="shared" si="4"/>
        <v>40</v>
      </c>
      <c r="U310" s="311"/>
      <c r="V310" s="311"/>
      <c r="W310" s="311">
        <v>40</v>
      </c>
      <c r="X310" s="311" t="s">
        <v>1892</v>
      </c>
      <c r="Y310" s="311" t="s">
        <v>1893</v>
      </c>
      <c r="Z310" s="311" t="s">
        <v>2194</v>
      </c>
      <c r="AA310" s="377">
        <v>40</v>
      </c>
    </row>
    <row r="311" spans="1:27" ht="12.75" customHeight="1" x14ac:dyDescent="0.2">
      <c r="A311" s="311" t="s">
        <v>244</v>
      </c>
      <c r="B311" s="311" t="s">
        <v>237</v>
      </c>
      <c r="C311" s="327">
        <v>0</v>
      </c>
      <c r="D311" s="327">
        <v>0.25</v>
      </c>
      <c r="E311" s="327">
        <v>0.27500000000000002</v>
      </c>
      <c r="F311" s="327">
        <v>0.32499999999999996</v>
      </c>
      <c r="G311" s="327">
        <v>0.42500000000000004</v>
      </c>
      <c r="H311" s="327">
        <v>0.5</v>
      </c>
      <c r="I311" s="327">
        <v>0.52500000000000002</v>
      </c>
      <c r="J311" s="327">
        <v>0.57499999999999996</v>
      </c>
      <c r="K311" s="327">
        <v>0.67500000000000004</v>
      </c>
      <c r="L311" s="327">
        <v>0.75</v>
      </c>
      <c r="M311" s="327">
        <v>0.77499999999999991</v>
      </c>
      <c r="N311" s="327">
        <v>0.82499999999999996</v>
      </c>
      <c r="O311" s="327">
        <v>0.92500000000000004</v>
      </c>
      <c r="P311" s="311">
        <v>1</v>
      </c>
      <c r="Q311" s="311">
        <v>1.0024999999999999</v>
      </c>
      <c r="R311" s="311">
        <v>1.0049999999999999</v>
      </c>
      <c r="S311" s="311">
        <v>1.0075000000000001</v>
      </c>
      <c r="T311" s="311">
        <f t="shared" si="4"/>
        <v>20</v>
      </c>
      <c r="U311" s="311"/>
      <c r="V311" s="311"/>
      <c r="W311" s="311">
        <v>20</v>
      </c>
      <c r="X311" s="311" t="s">
        <v>1892</v>
      </c>
      <c r="Y311" s="311" t="s">
        <v>1893</v>
      </c>
      <c r="Z311" s="311" t="s">
        <v>2195</v>
      </c>
      <c r="AA311" s="377">
        <v>20</v>
      </c>
    </row>
    <row r="312" spans="1:27" ht="12.75" customHeight="1" x14ac:dyDescent="0.2">
      <c r="A312" s="311" t="s">
        <v>243</v>
      </c>
      <c r="B312" s="311" t="s">
        <v>236</v>
      </c>
      <c r="C312" s="327">
        <v>0</v>
      </c>
      <c r="D312" s="327">
        <v>0.25</v>
      </c>
      <c r="E312" s="327">
        <v>0.27500000000000002</v>
      </c>
      <c r="F312" s="327">
        <v>0.32499999999999996</v>
      </c>
      <c r="G312" s="327">
        <v>0.42500000000000004</v>
      </c>
      <c r="H312" s="327">
        <v>0.5</v>
      </c>
      <c r="I312" s="327">
        <v>0.52500000000000002</v>
      </c>
      <c r="J312" s="327">
        <v>0.57499999999999996</v>
      </c>
      <c r="K312" s="327">
        <v>0.67500000000000004</v>
      </c>
      <c r="L312" s="327">
        <v>0.75</v>
      </c>
      <c r="M312" s="327">
        <v>0.77499999999999991</v>
      </c>
      <c r="N312" s="327">
        <v>0.82499999999999996</v>
      </c>
      <c r="O312" s="327">
        <v>0.92500000000000004</v>
      </c>
      <c r="P312" s="311">
        <v>1</v>
      </c>
      <c r="Q312" s="311">
        <v>1.0024999999999999</v>
      </c>
      <c r="R312" s="311">
        <v>1.0049999999999999</v>
      </c>
      <c r="S312" s="311">
        <v>1.0075000000000001</v>
      </c>
      <c r="T312" s="311">
        <f t="shared" si="4"/>
        <v>60</v>
      </c>
      <c r="U312" s="311"/>
      <c r="V312" s="311"/>
      <c r="W312" s="311">
        <v>60</v>
      </c>
      <c r="X312" s="311" t="s">
        <v>1892</v>
      </c>
      <c r="Y312" s="311" t="s">
        <v>1893</v>
      </c>
      <c r="Z312" s="311" t="s">
        <v>2196</v>
      </c>
      <c r="AA312" s="377">
        <v>60</v>
      </c>
    </row>
    <row r="313" spans="1:27" ht="12.75" customHeight="1" x14ac:dyDescent="0.2">
      <c r="A313" s="311" t="s">
        <v>243</v>
      </c>
      <c r="B313" s="311" t="s">
        <v>23</v>
      </c>
      <c r="C313" s="327">
        <v>0</v>
      </c>
      <c r="D313" s="327">
        <v>0.25</v>
      </c>
      <c r="E313" s="327">
        <v>0.27500000000000002</v>
      </c>
      <c r="F313" s="327">
        <v>0.32499999999999996</v>
      </c>
      <c r="G313" s="327">
        <v>0.42500000000000004</v>
      </c>
      <c r="H313" s="327">
        <v>0.5</v>
      </c>
      <c r="I313" s="327">
        <v>0.52500000000000002</v>
      </c>
      <c r="J313" s="327">
        <v>0.57499999999999996</v>
      </c>
      <c r="K313" s="327">
        <v>0.67500000000000004</v>
      </c>
      <c r="L313" s="327">
        <v>0.75</v>
      </c>
      <c r="M313" s="327">
        <v>0.77499999999999991</v>
      </c>
      <c r="N313" s="327">
        <v>0.82499999999999996</v>
      </c>
      <c r="O313" s="327">
        <v>0.92500000000000004</v>
      </c>
      <c r="P313" s="311">
        <v>1</v>
      </c>
      <c r="Q313" s="311">
        <v>1.0024999999999999</v>
      </c>
      <c r="R313" s="311">
        <v>1.0049999999999999</v>
      </c>
      <c r="S313" s="311">
        <v>1.0075000000000001</v>
      </c>
      <c r="T313" s="311">
        <f t="shared" si="4"/>
        <v>40</v>
      </c>
      <c r="U313" s="311"/>
      <c r="V313" s="311"/>
      <c r="W313" s="311">
        <v>40</v>
      </c>
      <c r="X313" s="311" t="s">
        <v>1892</v>
      </c>
      <c r="Y313" s="311" t="s">
        <v>1893</v>
      </c>
      <c r="Z313" s="311" t="s">
        <v>2197</v>
      </c>
      <c r="AA313" s="377">
        <v>40</v>
      </c>
    </row>
    <row r="314" spans="1:27" ht="12.75" customHeight="1" x14ac:dyDescent="0.2">
      <c r="A314" s="311" t="s">
        <v>243</v>
      </c>
      <c r="B314" s="311" t="s">
        <v>237</v>
      </c>
      <c r="C314" s="327">
        <v>0</v>
      </c>
      <c r="D314" s="327">
        <v>0.25</v>
      </c>
      <c r="E314" s="327">
        <v>0.27500000000000002</v>
      </c>
      <c r="F314" s="327">
        <v>0.32499999999999996</v>
      </c>
      <c r="G314" s="327">
        <v>0.42500000000000004</v>
      </c>
      <c r="H314" s="327">
        <v>0.5</v>
      </c>
      <c r="I314" s="327">
        <v>0.52500000000000002</v>
      </c>
      <c r="J314" s="327">
        <v>0.57499999999999996</v>
      </c>
      <c r="K314" s="327">
        <v>0.67500000000000004</v>
      </c>
      <c r="L314" s="327">
        <v>0.75</v>
      </c>
      <c r="M314" s="327">
        <v>0.77499999999999991</v>
      </c>
      <c r="N314" s="327">
        <v>0.82499999999999996</v>
      </c>
      <c r="O314" s="327">
        <v>0.92500000000000004</v>
      </c>
      <c r="P314" s="311">
        <v>1</v>
      </c>
      <c r="Q314" s="311">
        <v>1.0024999999999999</v>
      </c>
      <c r="R314" s="311">
        <v>1.0049999999999999</v>
      </c>
      <c r="S314" s="311">
        <v>1.0075000000000001</v>
      </c>
      <c r="T314" s="311">
        <f t="shared" si="4"/>
        <v>20</v>
      </c>
      <c r="U314" s="311"/>
      <c r="V314" s="311"/>
      <c r="W314" s="311">
        <v>20</v>
      </c>
      <c r="X314" s="311" t="s">
        <v>1892</v>
      </c>
      <c r="Y314" s="311" t="s">
        <v>1893</v>
      </c>
      <c r="Z314" s="311" t="s">
        <v>2198</v>
      </c>
      <c r="AA314" s="377">
        <v>20</v>
      </c>
    </row>
    <row r="315" spans="1:27" ht="12.75" customHeight="1" x14ac:dyDescent="0.2">
      <c r="A315" s="311" t="s">
        <v>242</v>
      </c>
      <c r="B315" s="311" t="s">
        <v>235</v>
      </c>
      <c r="C315" s="327">
        <v>0</v>
      </c>
      <c r="D315" s="327">
        <v>0.24206349206349187</v>
      </c>
      <c r="E315" s="327">
        <v>0.26656084656084639</v>
      </c>
      <c r="F315" s="327">
        <v>0.31571428571428545</v>
      </c>
      <c r="G315" s="327">
        <v>0.41465608465608456</v>
      </c>
      <c r="H315" s="327">
        <v>0.48941798941798925</v>
      </c>
      <c r="I315" s="327">
        <v>0.51444444444444426</v>
      </c>
      <c r="J315" s="327">
        <v>0.56465608465608441</v>
      </c>
      <c r="K315" s="327">
        <v>0.6657142857142857</v>
      </c>
      <c r="L315" s="327">
        <v>0.74206349206349209</v>
      </c>
      <c r="M315" s="327">
        <v>0.76761904761904742</v>
      </c>
      <c r="N315" s="327">
        <v>0.81888888888888878</v>
      </c>
      <c r="O315" s="327">
        <v>0.92206349206349203</v>
      </c>
      <c r="P315" s="311">
        <v>1</v>
      </c>
      <c r="Q315" s="311">
        <v>1.0024999999999999</v>
      </c>
      <c r="R315" s="311">
        <v>1.0049999999999999</v>
      </c>
      <c r="S315" s="311">
        <v>1.0075000000000001</v>
      </c>
      <c r="T315" s="311">
        <f t="shared" si="4"/>
        <v>1000000000</v>
      </c>
      <c r="U315" s="311" t="s">
        <v>315</v>
      </c>
      <c r="V315" s="311"/>
      <c r="W315" s="311">
        <v>1000000000</v>
      </c>
      <c r="X315" s="311" t="s">
        <v>1892</v>
      </c>
      <c r="Y315" s="311" t="s">
        <v>1893</v>
      </c>
      <c r="Z315" s="311" t="s">
        <v>2199</v>
      </c>
      <c r="AA315" s="377">
        <v>1000000000</v>
      </c>
    </row>
    <row r="316" spans="1:27" ht="12.75" customHeight="1" x14ac:dyDescent="0.2">
      <c r="A316" s="311" t="s">
        <v>242</v>
      </c>
      <c r="B316" s="311" t="s">
        <v>236</v>
      </c>
      <c r="C316" s="327">
        <v>0</v>
      </c>
      <c r="D316" s="327">
        <v>0.24206349206349187</v>
      </c>
      <c r="E316" s="327">
        <v>0.26656084656084639</v>
      </c>
      <c r="F316" s="327">
        <v>0.31571428571428545</v>
      </c>
      <c r="G316" s="327">
        <v>0.41465608465608456</v>
      </c>
      <c r="H316" s="327">
        <v>0.48941798941798925</v>
      </c>
      <c r="I316" s="327">
        <v>0.51444444444444426</v>
      </c>
      <c r="J316" s="327">
        <v>0.56465608465608441</v>
      </c>
      <c r="K316" s="327">
        <v>0.6657142857142857</v>
      </c>
      <c r="L316" s="327">
        <v>0.74206349206349209</v>
      </c>
      <c r="M316" s="327">
        <v>0.76761904761904742</v>
      </c>
      <c r="N316" s="327">
        <v>0.81888888888888878</v>
      </c>
      <c r="O316" s="327">
        <v>0.92206349206349203</v>
      </c>
      <c r="P316" s="311">
        <v>1</v>
      </c>
      <c r="Q316" s="311">
        <v>1.0024999999999999</v>
      </c>
      <c r="R316" s="311">
        <v>1.0049999999999999</v>
      </c>
      <c r="S316" s="311">
        <v>1.0075000000000001</v>
      </c>
      <c r="T316" s="311">
        <f t="shared" si="4"/>
        <v>36</v>
      </c>
      <c r="U316" s="311"/>
      <c r="V316" s="311"/>
      <c r="W316" s="311">
        <v>36</v>
      </c>
      <c r="X316" s="311" t="s">
        <v>1892</v>
      </c>
      <c r="Y316" s="311" t="s">
        <v>1893</v>
      </c>
      <c r="Z316" s="311" t="s">
        <v>2200</v>
      </c>
      <c r="AA316" s="377">
        <v>36</v>
      </c>
    </row>
    <row r="317" spans="1:27" ht="12.75" customHeight="1" x14ac:dyDescent="0.2">
      <c r="A317" s="311" t="s">
        <v>242</v>
      </c>
      <c r="B317" s="311" t="s">
        <v>23</v>
      </c>
      <c r="C317" s="327">
        <v>0</v>
      </c>
      <c r="D317" s="327">
        <v>0.24206349206349187</v>
      </c>
      <c r="E317" s="327">
        <v>0.26656084656084639</v>
      </c>
      <c r="F317" s="327">
        <v>0.31571428571428545</v>
      </c>
      <c r="G317" s="327">
        <v>0.41465608465608456</v>
      </c>
      <c r="H317" s="327">
        <v>0.48941798941798925</v>
      </c>
      <c r="I317" s="327">
        <v>0.51444444444444426</v>
      </c>
      <c r="J317" s="327">
        <v>0.56465608465608441</v>
      </c>
      <c r="K317" s="327">
        <v>0.6657142857142857</v>
      </c>
      <c r="L317" s="327">
        <v>0.74206349206349209</v>
      </c>
      <c r="M317" s="327">
        <v>0.76761904761904742</v>
      </c>
      <c r="N317" s="327">
        <v>0.81888888888888878</v>
      </c>
      <c r="O317" s="327">
        <v>0.92206349206349203</v>
      </c>
      <c r="P317" s="311">
        <v>1</v>
      </c>
      <c r="Q317" s="311">
        <v>1.0024999999999999</v>
      </c>
      <c r="R317" s="311">
        <v>1.0049999999999999</v>
      </c>
      <c r="S317" s="311">
        <v>1.0075000000000001</v>
      </c>
      <c r="T317" s="311">
        <f t="shared" si="4"/>
        <v>20</v>
      </c>
      <c r="U317" s="311"/>
      <c r="V317" s="311"/>
      <c r="W317" s="311">
        <v>20</v>
      </c>
      <c r="X317" s="311" t="s">
        <v>1892</v>
      </c>
      <c r="Y317" s="311" t="s">
        <v>1893</v>
      </c>
      <c r="Z317" s="311" t="s">
        <v>2201</v>
      </c>
      <c r="AA317" s="377">
        <v>20</v>
      </c>
    </row>
    <row r="318" spans="1:27" ht="12.75" customHeight="1" x14ac:dyDescent="0.2">
      <c r="A318" s="311" t="s">
        <v>242</v>
      </c>
      <c r="B318" s="311" t="s">
        <v>237</v>
      </c>
      <c r="C318" s="327">
        <v>0</v>
      </c>
      <c r="D318" s="327">
        <v>0.24206349206349187</v>
      </c>
      <c r="E318" s="327">
        <v>0.26656084656084639</v>
      </c>
      <c r="F318" s="327">
        <v>0.31571428571428545</v>
      </c>
      <c r="G318" s="327">
        <v>0.41465608465608456</v>
      </c>
      <c r="H318" s="327">
        <v>0.48941798941798925</v>
      </c>
      <c r="I318" s="327">
        <v>0.51444444444444426</v>
      </c>
      <c r="J318" s="327">
        <v>0.56465608465608441</v>
      </c>
      <c r="K318" s="327">
        <v>0.6657142857142857</v>
      </c>
      <c r="L318" s="327">
        <v>0.74206349206349209</v>
      </c>
      <c r="M318" s="327">
        <v>0.76761904761904742</v>
      </c>
      <c r="N318" s="327">
        <v>0.81888888888888878</v>
      </c>
      <c r="O318" s="327">
        <v>0.92206349206349203</v>
      </c>
      <c r="P318" s="311">
        <v>1</v>
      </c>
      <c r="Q318" s="311">
        <v>1.0024999999999999</v>
      </c>
      <c r="R318" s="311">
        <v>1.0049999999999999</v>
      </c>
      <c r="S318" s="311">
        <v>1.0075000000000001</v>
      </c>
      <c r="T318" s="311">
        <f t="shared" si="4"/>
        <v>12</v>
      </c>
      <c r="U318" s="311"/>
      <c r="V318" s="311"/>
      <c r="W318" s="311">
        <v>12</v>
      </c>
      <c r="X318" s="311" t="s">
        <v>1892</v>
      </c>
      <c r="Y318" s="311" t="s">
        <v>1893</v>
      </c>
      <c r="Z318" s="311" t="s">
        <v>2202</v>
      </c>
      <c r="AA318" s="377">
        <v>12</v>
      </c>
    </row>
    <row r="319" spans="1:27" ht="12.75" customHeight="1" x14ac:dyDescent="0.2">
      <c r="A319" s="311" t="s">
        <v>241</v>
      </c>
      <c r="B319" s="311" t="s">
        <v>236</v>
      </c>
      <c r="C319" s="327">
        <v>0</v>
      </c>
      <c r="D319" s="327">
        <v>0.25</v>
      </c>
      <c r="E319" s="327">
        <v>0.27500000000000002</v>
      </c>
      <c r="F319" s="327">
        <v>0.32499999999999996</v>
      </c>
      <c r="G319" s="327">
        <v>0.42500000000000004</v>
      </c>
      <c r="H319" s="327">
        <v>0.5</v>
      </c>
      <c r="I319" s="327">
        <v>0.52500000000000002</v>
      </c>
      <c r="J319" s="327">
        <v>0.57499999999999996</v>
      </c>
      <c r="K319" s="327">
        <v>0.67500000000000004</v>
      </c>
      <c r="L319" s="327">
        <v>0.75</v>
      </c>
      <c r="M319" s="327">
        <v>0.77499999999999991</v>
      </c>
      <c r="N319" s="327">
        <v>0.82499999999999996</v>
      </c>
      <c r="O319" s="327">
        <v>0.92500000000000004</v>
      </c>
      <c r="P319" s="311">
        <v>1</v>
      </c>
      <c r="Q319" s="311">
        <v>1.0024999999999999</v>
      </c>
      <c r="R319" s="311">
        <v>1.0049999999999999</v>
      </c>
      <c r="S319" s="311">
        <v>1.0075000000000001</v>
      </c>
      <c r="T319" s="311">
        <f t="shared" si="4"/>
        <v>60</v>
      </c>
      <c r="U319" s="311"/>
      <c r="V319" s="311"/>
      <c r="W319" s="311">
        <v>60</v>
      </c>
      <c r="X319" s="311" t="s">
        <v>1892</v>
      </c>
      <c r="Y319" s="311" t="s">
        <v>1893</v>
      </c>
      <c r="Z319" s="311" t="s">
        <v>2203</v>
      </c>
      <c r="AA319" s="377">
        <v>60</v>
      </c>
    </row>
    <row r="320" spans="1:27" ht="12.75" customHeight="1" x14ac:dyDescent="0.2">
      <c r="A320" s="311" t="s">
        <v>241</v>
      </c>
      <c r="B320" s="311" t="s">
        <v>23</v>
      </c>
      <c r="C320" s="327">
        <v>0</v>
      </c>
      <c r="D320" s="327">
        <v>0.25</v>
      </c>
      <c r="E320" s="327">
        <v>0.27500000000000002</v>
      </c>
      <c r="F320" s="327">
        <v>0.32499999999999996</v>
      </c>
      <c r="G320" s="327">
        <v>0.42500000000000004</v>
      </c>
      <c r="H320" s="327">
        <v>0.5</v>
      </c>
      <c r="I320" s="327">
        <v>0.52500000000000002</v>
      </c>
      <c r="J320" s="327">
        <v>0.57499999999999996</v>
      </c>
      <c r="K320" s="327">
        <v>0.67500000000000004</v>
      </c>
      <c r="L320" s="327">
        <v>0.75</v>
      </c>
      <c r="M320" s="327">
        <v>0.77499999999999991</v>
      </c>
      <c r="N320" s="327">
        <v>0.82499999999999996</v>
      </c>
      <c r="O320" s="327">
        <v>0.92500000000000004</v>
      </c>
      <c r="P320" s="311">
        <v>1</v>
      </c>
      <c r="Q320" s="311">
        <v>1.0024999999999999</v>
      </c>
      <c r="R320" s="311">
        <v>1.0049999999999999</v>
      </c>
      <c r="S320" s="311">
        <v>1.0075000000000001</v>
      </c>
      <c r="T320" s="311">
        <f t="shared" si="4"/>
        <v>40</v>
      </c>
      <c r="U320" s="311"/>
      <c r="V320" s="311"/>
      <c r="W320" s="311">
        <v>40</v>
      </c>
      <c r="X320" s="311" t="s">
        <v>1892</v>
      </c>
      <c r="Y320" s="311" t="s">
        <v>1893</v>
      </c>
      <c r="Z320" s="311" t="s">
        <v>2204</v>
      </c>
      <c r="AA320" s="377">
        <v>40</v>
      </c>
    </row>
    <row r="321" spans="1:27" ht="12.75" customHeight="1" x14ac:dyDescent="0.2">
      <c r="A321" s="311" t="s">
        <v>241</v>
      </c>
      <c r="B321" s="311" t="s">
        <v>237</v>
      </c>
      <c r="C321" s="327">
        <v>0</v>
      </c>
      <c r="D321" s="327">
        <v>0.25</v>
      </c>
      <c r="E321" s="327">
        <v>0.27500000000000002</v>
      </c>
      <c r="F321" s="327">
        <v>0.32499999999999996</v>
      </c>
      <c r="G321" s="327">
        <v>0.42500000000000004</v>
      </c>
      <c r="H321" s="327">
        <v>0.5</v>
      </c>
      <c r="I321" s="327">
        <v>0.52500000000000002</v>
      </c>
      <c r="J321" s="327">
        <v>0.57499999999999996</v>
      </c>
      <c r="K321" s="327">
        <v>0.67500000000000004</v>
      </c>
      <c r="L321" s="327">
        <v>0.75</v>
      </c>
      <c r="M321" s="327">
        <v>0.77499999999999991</v>
      </c>
      <c r="N321" s="327">
        <v>0.82499999999999996</v>
      </c>
      <c r="O321" s="327">
        <v>0.92500000000000004</v>
      </c>
      <c r="P321" s="311">
        <v>1</v>
      </c>
      <c r="Q321" s="311">
        <v>1.0024999999999999</v>
      </c>
      <c r="R321" s="311">
        <v>1.0049999999999999</v>
      </c>
      <c r="S321" s="311">
        <v>1.0075000000000001</v>
      </c>
      <c r="T321" s="311">
        <f t="shared" si="4"/>
        <v>20</v>
      </c>
      <c r="U321" s="311"/>
      <c r="V321" s="311"/>
      <c r="W321" s="311">
        <v>20</v>
      </c>
      <c r="X321" s="311" t="s">
        <v>1892</v>
      </c>
      <c r="Y321" s="311" t="s">
        <v>1893</v>
      </c>
      <c r="Z321" s="311" t="s">
        <v>2205</v>
      </c>
      <c r="AA321" s="377">
        <v>20</v>
      </c>
    </row>
    <row r="322" spans="1:27" ht="12.75" customHeight="1" x14ac:dyDescent="0.2">
      <c r="A322" s="311" t="s">
        <v>240</v>
      </c>
      <c r="B322" s="311" t="s">
        <v>236</v>
      </c>
      <c r="C322" s="327">
        <v>0</v>
      </c>
      <c r="D322" s="327">
        <v>0.43333333333333279</v>
      </c>
      <c r="E322" s="327">
        <v>0.46994444444444394</v>
      </c>
      <c r="F322" s="327">
        <v>0.53949999999999954</v>
      </c>
      <c r="G322" s="327">
        <v>0.66394444444444412</v>
      </c>
      <c r="H322" s="327">
        <v>0.74444444444444391</v>
      </c>
      <c r="I322" s="327">
        <v>0.76883333333333292</v>
      </c>
      <c r="J322" s="327">
        <v>0.81394444444444425</v>
      </c>
      <c r="K322" s="327">
        <v>0.88949999999999985</v>
      </c>
      <c r="L322" s="327">
        <v>0.93333333333333346</v>
      </c>
      <c r="M322" s="327">
        <v>0.9454999999999999</v>
      </c>
      <c r="N322" s="327">
        <v>0.96616666666666673</v>
      </c>
      <c r="O322" s="327">
        <v>0.99283333333333335</v>
      </c>
      <c r="P322" s="311">
        <v>1</v>
      </c>
      <c r="Q322" s="311">
        <v>1.0024999999999999</v>
      </c>
      <c r="R322" s="311">
        <v>1.0049999999999999</v>
      </c>
      <c r="S322" s="311">
        <v>1.0075000000000001</v>
      </c>
      <c r="T322" s="311">
        <f t="shared" si="4"/>
        <v>120</v>
      </c>
      <c r="U322" s="311"/>
      <c r="V322" s="311"/>
      <c r="W322" s="311">
        <v>120</v>
      </c>
      <c r="X322" s="311" t="s">
        <v>1892</v>
      </c>
      <c r="Y322" s="311" t="s">
        <v>1893</v>
      </c>
      <c r="Z322" s="311" t="s">
        <v>2206</v>
      </c>
      <c r="AA322" s="377">
        <v>120</v>
      </c>
    </row>
    <row r="323" spans="1:27" ht="12.75" customHeight="1" x14ac:dyDescent="0.2">
      <c r="A323" s="311" t="s">
        <v>240</v>
      </c>
      <c r="B323" s="311" t="s">
        <v>23</v>
      </c>
      <c r="C323" s="327">
        <v>0</v>
      </c>
      <c r="D323" s="327">
        <v>0.43333333333333279</v>
      </c>
      <c r="E323" s="327">
        <v>0.46994444444444394</v>
      </c>
      <c r="F323" s="327">
        <v>0.53949999999999954</v>
      </c>
      <c r="G323" s="327">
        <v>0.66394444444444412</v>
      </c>
      <c r="H323" s="327">
        <v>0.74444444444444391</v>
      </c>
      <c r="I323" s="327">
        <v>0.76883333333333292</v>
      </c>
      <c r="J323" s="327">
        <v>0.81394444444444425</v>
      </c>
      <c r="K323" s="327">
        <v>0.88949999999999985</v>
      </c>
      <c r="L323" s="327">
        <v>0.93333333333333346</v>
      </c>
      <c r="M323" s="327">
        <v>0.9454999999999999</v>
      </c>
      <c r="N323" s="327">
        <v>0.96616666666666673</v>
      </c>
      <c r="O323" s="327">
        <v>0.99283333333333335</v>
      </c>
      <c r="P323" s="311">
        <v>1</v>
      </c>
      <c r="Q323" s="311">
        <v>1.0024999999999999</v>
      </c>
      <c r="R323" s="311">
        <v>1.0049999999999999</v>
      </c>
      <c r="S323" s="311">
        <v>1.0075000000000001</v>
      </c>
      <c r="T323" s="311">
        <f t="shared" si="4"/>
        <v>60</v>
      </c>
      <c r="U323" s="311"/>
      <c r="V323" s="311"/>
      <c r="W323" s="311">
        <v>60</v>
      </c>
      <c r="X323" s="311" t="s">
        <v>1892</v>
      </c>
      <c r="Y323" s="311" t="s">
        <v>1893</v>
      </c>
      <c r="Z323" s="311" t="s">
        <v>2207</v>
      </c>
      <c r="AA323" s="377">
        <v>60</v>
      </c>
    </row>
    <row r="324" spans="1:27" ht="12.75" customHeight="1" x14ac:dyDescent="0.2">
      <c r="A324" s="311" t="s">
        <v>240</v>
      </c>
      <c r="B324" s="311" t="s">
        <v>237</v>
      </c>
      <c r="C324" s="327">
        <v>0</v>
      </c>
      <c r="D324" s="327">
        <v>0.43333333333333279</v>
      </c>
      <c r="E324" s="327">
        <v>0.46994444444444394</v>
      </c>
      <c r="F324" s="327">
        <v>0.53949999999999954</v>
      </c>
      <c r="G324" s="327">
        <v>0.66394444444444412</v>
      </c>
      <c r="H324" s="327">
        <v>0.74444444444444391</v>
      </c>
      <c r="I324" s="327">
        <v>0.76883333333333292</v>
      </c>
      <c r="J324" s="327">
        <v>0.81394444444444425</v>
      </c>
      <c r="K324" s="327">
        <v>0.88949999999999985</v>
      </c>
      <c r="L324" s="327">
        <v>0.93333333333333346</v>
      </c>
      <c r="M324" s="327">
        <v>0.9454999999999999</v>
      </c>
      <c r="N324" s="327">
        <v>0.96616666666666673</v>
      </c>
      <c r="O324" s="327">
        <v>0.99283333333333335</v>
      </c>
      <c r="P324" s="311">
        <v>1</v>
      </c>
      <c r="Q324" s="311">
        <v>1.0024999999999999</v>
      </c>
      <c r="R324" s="311">
        <v>1.0049999999999999</v>
      </c>
      <c r="S324" s="311">
        <v>1.0075000000000001</v>
      </c>
      <c r="T324" s="311">
        <f t="shared" ref="T324:T387" si="5">IF($T$2&lt;&gt;0,$AA324*$T$2,$AA324)</f>
        <v>30</v>
      </c>
      <c r="U324" s="311"/>
      <c r="V324" s="311"/>
      <c r="W324" s="311">
        <v>30</v>
      </c>
      <c r="X324" s="311" t="s">
        <v>1892</v>
      </c>
      <c r="Y324" s="311" t="s">
        <v>1893</v>
      </c>
      <c r="Z324" s="311" t="s">
        <v>2208</v>
      </c>
      <c r="AA324" s="377">
        <v>30</v>
      </c>
    </row>
    <row r="325" spans="1:27" ht="12.75" customHeight="1" x14ac:dyDescent="0.2">
      <c r="A325" s="311" t="s">
        <v>310</v>
      </c>
      <c r="B325" s="311" t="s">
        <v>717</v>
      </c>
      <c r="C325" s="327">
        <v>0.26423505572441686</v>
      </c>
      <c r="D325" s="327">
        <v>0.54779929500168745</v>
      </c>
      <c r="E325" s="327">
        <v>0.60240356298547659</v>
      </c>
      <c r="F325" s="327">
        <v>0.69574320330969142</v>
      </c>
      <c r="G325" s="327">
        <v>0.78760972222222148</v>
      </c>
      <c r="H325" s="327">
        <v>0.83102206602499118</v>
      </c>
      <c r="I325" s="327">
        <v>0.85759226612630823</v>
      </c>
      <c r="J325" s="327">
        <v>0.90047547281323848</v>
      </c>
      <c r="K325" s="327">
        <v>0.94002313829787254</v>
      </c>
      <c r="L325" s="327">
        <v>0.95728012917933158</v>
      </c>
      <c r="M325" s="327">
        <v>0.96703966565349564</v>
      </c>
      <c r="N325" s="327">
        <v>0.98191324721377904</v>
      </c>
      <c r="O325" s="327">
        <v>0.99533000253292769</v>
      </c>
      <c r="P325" s="311">
        <v>1</v>
      </c>
      <c r="Q325" s="311">
        <v>1.0024999999999999</v>
      </c>
      <c r="R325" s="311">
        <v>1.0049999999999999</v>
      </c>
      <c r="S325" s="311">
        <v>1.0075000000000001</v>
      </c>
      <c r="T325" s="311">
        <f t="shared" si="5"/>
        <v>1</v>
      </c>
      <c r="U325" s="311"/>
      <c r="V325" s="311"/>
      <c r="W325" s="311">
        <v>1</v>
      </c>
      <c r="X325" s="311" t="s">
        <v>1892</v>
      </c>
      <c r="Y325" s="311" t="s">
        <v>1893</v>
      </c>
      <c r="Z325" s="311" t="s">
        <v>2209</v>
      </c>
      <c r="AA325" s="377">
        <v>1</v>
      </c>
    </row>
    <row r="326" spans="1:27" ht="12.75" customHeight="1" x14ac:dyDescent="0.2">
      <c r="A326" s="311" t="s">
        <v>309</v>
      </c>
      <c r="B326" s="311" t="s">
        <v>717</v>
      </c>
      <c r="C326" s="327">
        <v>0.125</v>
      </c>
      <c r="D326" s="327">
        <v>0.26250000000000001</v>
      </c>
      <c r="E326" s="327">
        <v>0.3</v>
      </c>
      <c r="F326" s="327">
        <v>0.375</v>
      </c>
      <c r="G326" s="327">
        <v>0.46250000000000002</v>
      </c>
      <c r="H326" s="327">
        <v>0.51249999999999996</v>
      </c>
      <c r="I326" s="327">
        <v>0.55000000000000004</v>
      </c>
      <c r="J326" s="327">
        <v>0.625</v>
      </c>
      <c r="K326" s="327">
        <v>0.71250000000000002</v>
      </c>
      <c r="L326" s="327">
        <v>0.76249999999999996</v>
      </c>
      <c r="M326" s="327">
        <v>0.79999999999999993</v>
      </c>
      <c r="N326" s="327">
        <v>0.875</v>
      </c>
      <c r="O326" s="327">
        <v>0.96250000000000002</v>
      </c>
      <c r="P326" s="311">
        <v>1</v>
      </c>
      <c r="Q326" s="311">
        <v>1.0024999999999999</v>
      </c>
      <c r="R326" s="311">
        <v>1.0049999999999999</v>
      </c>
      <c r="S326" s="311">
        <v>1.0075000000000001</v>
      </c>
      <c r="T326" s="311">
        <f t="shared" si="5"/>
        <v>1</v>
      </c>
      <c r="U326" s="311"/>
      <c r="V326" s="311"/>
      <c r="W326" s="311">
        <v>1</v>
      </c>
      <c r="X326" s="311" t="s">
        <v>1892</v>
      </c>
      <c r="Y326" s="311" t="s">
        <v>1893</v>
      </c>
      <c r="Z326" s="311" t="s">
        <v>2210</v>
      </c>
      <c r="AA326" s="377">
        <v>1</v>
      </c>
    </row>
    <row r="327" spans="1:27" ht="12.75" customHeight="1" x14ac:dyDescent="0.2">
      <c r="A327" s="311" t="s">
        <v>135</v>
      </c>
      <c r="B327" s="311" t="s">
        <v>717</v>
      </c>
      <c r="C327" s="327">
        <v>0.23373015873015801</v>
      </c>
      <c r="D327" s="327">
        <v>0.48433591269841125</v>
      </c>
      <c r="E327" s="327">
        <v>0.53203253968253827</v>
      </c>
      <c r="F327" s="327">
        <v>0.61409722222222085</v>
      </c>
      <c r="G327" s="327">
        <v>0.6961624999999988</v>
      </c>
      <c r="H327" s="327">
        <v>0.73606011904761792</v>
      </c>
      <c r="I327" s="327">
        <v>0.76177460317460222</v>
      </c>
      <c r="J327" s="327">
        <v>0.80695833333333278</v>
      </c>
      <c r="K327" s="327">
        <v>0.85425972222222191</v>
      </c>
      <c r="L327" s="327">
        <v>0.8790144841269838</v>
      </c>
      <c r="M327" s="327">
        <v>0.89691349206349158</v>
      </c>
      <c r="N327" s="327">
        <v>0.93354960317460267</v>
      </c>
      <c r="O327" s="327">
        <v>0.9791426587301586</v>
      </c>
      <c r="P327" s="311">
        <v>1.0000000000000002</v>
      </c>
      <c r="Q327" s="311">
        <v>1.0024999999999999</v>
      </c>
      <c r="R327" s="311">
        <v>1.0049999999999999</v>
      </c>
      <c r="S327" s="311">
        <v>1.0075000000000001</v>
      </c>
      <c r="T327" s="311">
        <f t="shared" si="5"/>
        <v>1</v>
      </c>
      <c r="U327" s="311"/>
      <c r="V327" s="311"/>
      <c r="W327" s="311">
        <v>1</v>
      </c>
      <c r="X327" s="311" t="s">
        <v>1892</v>
      </c>
      <c r="Y327" s="311" t="s">
        <v>1893</v>
      </c>
      <c r="Z327" s="311" t="s">
        <v>2211</v>
      </c>
      <c r="AA327" s="377">
        <v>1</v>
      </c>
    </row>
    <row r="328" spans="1:27" ht="12.75" customHeight="1" x14ac:dyDescent="0.2">
      <c r="A328" s="311" t="s">
        <v>308</v>
      </c>
      <c r="B328" s="311" t="s">
        <v>717</v>
      </c>
      <c r="C328" s="327">
        <v>0.16111111111111118</v>
      </c>
      <c r="D328" s="327">
        <v>0.33848611111111127</v>
      </c>
      <c r="E328" s="327">
        <v>0.38700000000000012</v>
      </c>
      <c r="F328" s="327">
        <v>0.4818611111111113</v>
      </c>
      <c r="G328" s="327">
        <v>0.58890277777777789</v>
      </c>
      <c r="H328" s="327">
        <v>0.64751388888888894</v>
      </c>
      <c r="I328" s="327">
        <v>0.68894444444444447</v>
      </c>
      <c r="J328" s="327">
        <v>0.76547222222222222</v>
      </c>
      <c r="K328" s="327">
        <v>0.84626388888888893</v>
      </c>
      <c r="L328" s="327">
        <v>0.8870972222222222</v>
      </c>
      <c r="M328" s="327">
        <v>0.9131111111111111</v>
      </c>
      <c r="N328" s="327">
        <v>0.95463888888888881</v>
      </c>
      <c r="O328" s="327">
        <v>0.98973611111111104</v>
      </c>
      <c r="P328" s="311">
        <v>1</v>
      </c>
      <c r="Q328" s="311">
        <v>1.0024999999999999</v>
      </c>
      <c r="R328" s="311">
        <v>1.0049999999999999</v>
      </c>
      <c r="S328" s="311">
        <v>1.0075000000000001</v>
      </c>
      <c r="T328" s="311">
        <f t="shared" si="5"/>
        <v>1</v>
      </c>
      <c r="U328" s="311"/>
      <c r="V328" s="311"/>
      <c r="W328" s="311">
        <v>1</v>
      </c>
      <c r="X328" s="311" t="s">
        <v>1892</v>
      </c>
      <c r="Y328" s="311" t="s">
        <v>1893</v>
      </c>
      <c r="Z328" s="311" t="s">
        <v>2212</v>
      </c>
      <c r="AA328" s="377">
        <v>1</v>
      </c>
    </row>
    <row r="329" spans="1:27" ht="12.75" customHeight="1" x14ac:dyDescent="0.2">
      <c r="A329" s="311" t="s">
        <v>307</v>
      </c>
      <c r="B329" s="311" t="s">
        <v>717</v>
      </c>
      <c r="C329" s="327">
        <v>0.26737451737451667</v>
      </c>
      <c r="D329" s="327">
        <v>0.55375144787644659</v>
      </c>
      <c r="E329" s="327">
        <v>0.60715444015443887</v>
      </c>
      <c r="F329" s="327">
        <v>0.69726351351351201</v>
      </c>
      <c r="G329" s="327">
        <v>0.78478716216216071</v>
      </c>
      <c r="H329" s="327">
        <v>0.82556129343629214</v>
      </c>
      <c r="I329" s="327">
        <v>0.85025289575289453</v>
      </c>
      <c r="J329" s="327">
        <v>0.89003378378378295</v>
      </c>
      <c r="K329" s="327">
        <v>0.92711824324324255</v>
      </c>
      <c r="L329" s="327">
        <v>0.94379971042470956</v>
      </c>
      <c r="M329" s="327">
        <v>0.95396911196911094</v>
      </c>
      <c r="N329" s="327">
        <v>0.97180019305019227</v>
      </c>
      <c r="O329" s="327">
        <v>0.99155357142857103</v>
      </c>
      <c r="P329" s="311">
        <v>0.99999999999999956</v>
      </c>
      <c r="Q329" s="311">
        <v>1.0024999999999999</v>
      </c>
      <c r="R329" s="311">
        <v>1.0049999999999999</v>
      </c>
      <c r="S329" s="311">
        <v>1.0075000000000001</v>
      </c>
      <c r="T329" s="311">
        <f t="shared" si="5"/>
        <v>1</v>
      </c>
      <c r="U329" s="311"/>
      <c r="V329" s="311"/>
      <c r="W329" s="311">
        <v>1</v>
      </c>
      <c r="X329" s="311" t="s">
        <v>1892</v>
      </c>
      <c r="Y329" s="311" t="s">
        <v>1893</v>
      </c>
      <c r="Z329" s="311" t="s">
        <v>2213</v>
      </c>
      <c r="AA329" s="377">
        <v>1</v>
      </c>
    </row>
    <row r="330" spans="1:27" ht="12.75" customHeight="1" x14ac:dyDescent="0.2">
      <c r="A330" s="311" t="s">
        <v>97</v>
      </c>
      <c r="B330" s="311" t="s">
        <v>717</v>
      </c>
      <c r="C330" s="327">
        <v>0.16666666666666657</v>
      </c>
      <c r="D330" s="327">
        <v>0.3493583333333331</v>
      </c>
      <c r="E330" s="327">
        <v>0.39686666666666637</v>
      </c>
      <c r="F330" s="327">
        <v>0.48858333333333304</v>
      </c>
      <c r="G330" s="327">
        <v>0.5910749999999998</v>
      </c>
      <c r="H330" s="327">
        <v>0.64677499999999988</v>
      </c>
      <c r="I330" s="327">
        <v>0.68603333333333316</v>
      </c>
      <c r="J330" s="327">
        <v>0.75874999999999981</v>
      </c>
      <c r="K330" s="327">
        <v>0.83615833333333323</v>
      </c>
      <c r="L330" s="327">
        <v>0.87585833333333307</v>
      </c>
      <c r="M330" s="327">
        <v>0.90186666666666648</v>
      </c>
      <c r="N330" s="327">
        <v>0.94558333333333333</v>
      </c>
      <c r="O330" s="327">
        <v>0.98624166666666657</v>
      </c>
      <c r="P330" s="311">
        <v>0.99999999999999989</v>
      </c>
      <c r="Q330" s="311">
        <v>1.0024999999999999</v>
      </c>
      <c r="R330" s="311">
        <v>1.0049999999999999</v>
      </c>
      <c r="S330" s="311">
        <v>1.0075000000000001</v>
      </c>
      <c r="T330" s="311">
        <f t="shared" si="5"/>
        <v>1</v>
      </c>
      <c r="U330" s="311"/>
      <c r="V330" s="311"/>
      <c r="W330" s="311">
        <v>1</v>
      </c>
      <c r="X330" s="311" t="s">
        <v>1892</v>
      </c>
      <c r="Y330" s="311" t="s">
        <v>1893</v>
      </c>
      <c r="Z330" s="311" t="s">
        <v>2214</v>
      </c>
      <c r="AA330" s="377">
        <v>1</v>
      </c>
    </row>
    <row r="331" spans="1:27" ht="12.75" customHeight="1" x14ac:dyDescent="0.2">
      <c r="A331" s="311" t="s">
        <v>122</v>
      </c>
      <c r="B331" s="311" t="s">
        <v>717</v>
      </c>
      <c r="C331" s="327">
        <v>0.27403337403337324</v>
      </c>
      <c r="D331" s="327">
        <v>0.56681704314204173</v>
      </c>
      <c r="E331" s="327">
        <v>0.61912771672771538</v>
      </c>
      <c r="F331" s="327">
        <v>0.70572720797720667</v>
      </c>
      <c r="G331" s="327">
        <v>0.78811331908831805</v>
      </c>
      <c r="H331" s="327">
        <v>0.82557538665038543</v>
      </c>
      <c r="I331" s="327">
        <v>0.84777952787952682</v>
      </c>
      <c r="J331" s="327">
        <v>0.88316168091168046</v>
      </c>
      <c r="K331" s="327">
        <v>0.91628924501424458</v>
      </c>
      <c r="L331" s="327">
        <v>0.93160072242572189</v>
      </c>
      <c r="M331" s="327">
        <v>0.941689784289784</v>
      </c>
      <c r="N331" s="327">
        <v>0.96183750508750476</v>
      </c>
      <c r="O331" s="327">
        <v>0.98768657916157887</v>
      </c>
      <c r="P331" s="311">
        <v>1</v>
      </c>
      <c r="Q331" s="311">
        <v>1.0024999999999999</v>
      </c>
      <c r="R331" s="311">
        <v>1.0049999999999999</v>
      </c>
      <c r="S331" s="311">
        <v>1.0075000000000001</v>
      </c>
      <c r="T331" s="311">
        <f t="shared" si="5"/>
        <v>1</v>
      </c>
      <c r="U331" s="311"/>
      <c r="V331" s="311"/>
      <c r="W331" s="311">
        <v>1</v>
      </c>
      <c r="X331" s="311" t="s">
        <v>1892</v>
      </c>
      <c r="Y331" s="311" t="s">
        <v>1893</v>
      </c>
      <c r="Z331" s="311" t="s">
        <v>2215</v>
      </c>
      <c r="AA331" s="377">
        <v>1</v>
      </c>
    </row>
    <row r="332" spans="1:27" ht="12.75" customHeight="1" x14ac:dyDescent="0.2">
      <c r="A332" s="311" t="s">
        <v>306</v>
      </c>
      <c r="B332" s="311" t="s">
        <v>717</v>
      </c>
      <c r="C332" s="327">
        <v>0.22831977027571115</v>
      </c>
      <c r="D332" s="327">
        <v>0.4740219141394868</v>
      </c>
      <c r="E332" s="327">
        <v>0.52360271367113731</v>
      </c>
      <c r="F332" s="327">
        <v>0.61080757676902431</v>
      </c>
      <c r="G332" s="327">
        <v>0.69983645786975124</v>
      </c>
      <c r="H332" s="327">
        <v>0.74398876147031945</v>
      </c>
      <c r="I332" s="327">
        <v>0.77274938012588157</v>
      </c>
      <c r="J332" s="327">
        <v>0.82300068609998478</v>
      </c>
      <c r="K332" s="327">
        <v>0.87438502262275608</v>
      </c>
      <c r="L332" s="327">
        <v>0.90015069431199235</v>
      </c>
      <c r="M332" s="327">
        <v>0.9174647413482524</v>
      </c>
      <c r="N332" s="327">
        <v>0.94950970871214513</v>
      </c>
      <c r="O332" s="327">
        <v>0.98512125558946306</v>
      </c>
      <c r="P332" s="311">
        <v>1</v>
      </c>
      <c r="Q332" s="311">
        <v>1.0024999999999999</v>
      </c>
      <c r="R332" s="311">
        <v>1.0049999999999999</v>
      </c>
      <c r="S332" s="311">
        <v>1.0075000000000001</v>
      </c>
      <c r="T332" s="311">
        <f t="shared" si="5"/>
        <v>1</v>
      </c>
      <c r="U332" s="311"/>
      <c r="V332" s="311"/>
      <c r="W332" s="311">
        <v>1</v>
      </c>
      <c r="X332" s="311" t="s">
        <v>1892</v>
      </c>
      <c r="Y332" s="311" t="s">
        <v>1893</v>
      </c>
      <c r="Z332" s="311" t="s">
        <v>2216</v>
      </c>
      <c r="AA332" s="377">
        <v>1</v>
      </c>
    </row>
    <row r="333" spans="1:27" ht="12.75" customHeight="1" x14ac:dyDescent="0.2">
      <c r="A333" s="311" t="s">
        <v>305</v>
      </c>
      <c r="B333" s="311" t="s">
        <v>717</v>
      </c>
      <c r="C333" s="327">
        <v>0.27547404547404447</v>
      </c>
      <c r="D333" s="327">
        <v>0.56971786357786158</v>
      </c>
      <c r="E333" s="327">
        <v>0.62203655941655722</v>
      </c>
      <c r="F333" s="327">
        <v>0.70843783783783554</v>
      </c>
      <c r="G333" s="327">
        <v>0.79039627627627418</v>
      </c>
      <c r="H333" s="327">
        <v>0.82752511368511172</v>
      </c>
      <c r="I333" s="327">
        <v>0.84944239382239195</v>
      </c>
      <c r="J333" s="327">
        <v>0.88423903903903722</v>
      </c>
      <c r="K333" s="327">
        <v>0.91672330330330187</v>
      </c>
      <c r="L333" s="327">
        <v>0.93171331617331454</v>
      </c>
      <c r="M333" s="327">
        <v>0.94162557700557581</v>
      </c>
      <c r="N333" s="327">
        <v>0.96161038181038105</v>
      </c>
      <c r="O333" s="327">
        <v>0.9875453968253961</v>
      </c>
      <c r="P333" s="311">
        <v>0.99999999999999989</v>
      </c>
      <c r="Q333" s="311">
        <v>1.0024999999999999</v>
      </c>
      <c r="R333" s="311">
        <v>1.0049999999999999</v>
      </c>
      <c r="S333" s="311">
        <v>1.0075000000000001</v>
      </c>
      <c r="T333" s="311">
        <f t="shared" si="5"/>
        <v>1</v>
      </c>
      <c r="U333" s="311"/>
      <c r="V333" s="311"/>
      <c r="W333" s="311">
        <v>1</v>
      </c>
      <c r="X333" s="311" t="s">
        <v>1892</v>
      </c>
      <c r="Y333" s="311" t="s">
        <v>1893</v>
      </c>
      <c r="Z333" s="311" t="s">
        <v>2217</v>
      </c>
      <c r="AA333" s="377">
        <v>1</v>
      </c>
    </row>
    <row r="334" spans="1:27" ht="12.75" customHeight="1" x14ac:dyDescent="0.2">
      <c r="A334" s="311" t="s">
        <v>304</v>
      </c>
      <c r="B334" s="311" t="s">
        <v>717</v>
      </c>
      <c r="C334" s="327">
        <v>0.12103174603174593</v>
      </c>
      <c r="D334" s="327">
        <v>0.25431216931216916</v>
      </c>
      <c r="E334" s="327">
        <v>0.29113756613756592</v>
      </c>
      <c r="F334" s="327">
        <v>0.365185185185185</v>
      </c>
      <c r="G334" s="327">
        <v>0.4520370370370369</v>
      </c>
      <c r="H334" s="327">
        <v>0.50193121693121678</v>
      </c>
      <c r="I334" s="327">
        <v>0.53955026455026434</v>
      </c>
      <c r="J334" s="327">
        <v>0.61518518518518506</v>
      </c>
      <c r="K334" s="327">
        <v>0.7038888888888889</v>
      </c>
      <c r="L334" s="327">
        <v>0.75484126984126976</v>
      </c>
      <c r="M334" s="327">
        <v>0.7932539682539681</v>
      </c>
      <c r="N334" s="327">
        <v>0.8704761904761904</v>
      </c>
      <c r="O334" s="327">
        <v>0.96103174603174601</v>
      </c>
      <c r="P334" s="311">
        <v>1</v>
      </c>
      <c r="Q334" s="311">
        <v>1.0024999999999999</v>
      </c>
      <c r="R334" s="311">
        <v>1.0049999999999999</v>
      </c>
      <c r="S334" s="311">
        <v>1.0075000000000001</v>
      </c>
      <c r="T334" s="311">
        <f t="shared" si="5"/>
        <v>1</v>
      </c>
      <c r="U334" s="311"/>
      <c r="V334" s="311"/>
      <c r="W334" s="311">
        <v>1</v>
      </c>
      <c r="X334" s="311" t="s">
        <v>1892</v>
      </c>
      <c r="Y334" s="311" t="s">
        <v>1893</v>
      </c>
      <c r="Z334" s="311" t="s">
        <v>2218</v>
      </c>
      <c r="AA334" s="377">
        <v>1</v>
      </c>
    </row>
    <row r="335" spans="1:27" ht="12.75" customHeight="1" x14ac:dyDescent="0.2">
      <c r="A335" s="311" t="s">
        <v>766</v>
      </c>
      <c r="B335" s="311" t="s">
        <v>717</v>
      </c>
      <c r="C335" s="327">
        <v>0.12619047619047605</v>
      </c>
      <c r="D335" s="327">
        <v>0.26495634920634892</v>
      </c>
      <c r="E335" s="327">
        <v>0.30265873015872979</v>
      </c>
      <c r="F335" s="327">
        <v>0.37794444444444408</v>
      </c>
      <c r="G335" s="327">
        <v>0.4656388888888886</v>
      </c>
      <c r="H335" s="327">
        <v>0.5156706349206347</v>
      </c>
      <c r="I335" s="327">
        <v>0.55313492063492042</v>
      </c>
      <c r="J335" s="327">
        <v>0.62794444444444431</v>
      </c>
      <c r="K335" s="327">
        <v>0.71508333333333329</v>
      </c>
      <c r="L335" s="327">
        <v>0.76479761904761889</v>
      </c>
      <c r="M335" s="327">
        <v>0.80202380952380936</v>
      </c>
      <c r="N335" s="327">
        <v>0.87635714285714295</v>
      </c>
      <c r="O335" s="327">
        <v>0.96294047619047629</v>
      </c>
      <c r="P335" s="311">
        <v>1</v>
      </c>
      <c r="Q335" s="311">
        <v>1.0024999999999999</v>
      </c>
      <c r="R335" s="311">
        <v>1.0049999999999999</v>
      </c>
      <c r="S335" s="311">
        <v>1.0075000000000001</v>
      </c>
      <c r="T335" s="311">
        <f t="shared" si="5"/>
        <v>1</v>
      </c>
      <c r="U335" s="311"/>
      <c r="V335" s="311"/>
      <c r="W335" s="311">
        <v>1</v>
      </c>
      <c r="X335" s="311" t="s">
        <v>1892</v>
      </c>
      <c r="Y335" s="311" t="s">
        <v>1893</v>
      </c>
      <c r="Z335" s="311" t="s">
        <v>2219</v>
      </c>
      <c r="AA335" s="377">
        <v>1</v>
      </c>
    </row>
    <row r="336" spans="1:27" ht="12.75" customHeight="1" x14ac:dyDescent="0.2">
      <c r="A336" s="311" t="s">
        <v>82</v>
      </c>
      <c r="B336" s="311" t="s">
        <v>717</v>
      </c>
      <c r="C336" s="327">
        <v>0.19196428571428559</v>
      </c>
      <c r="D336" s="327">
        <v>0.40122346230158706</v>
      </c>
      <c r="E336" s="327">
        <v>0.45193551587301556</v>
      </c>
      <c r="F336" s="327">
        <v>0.54720486111111077</v>
      </c>
      <c r="G336" s="327">
        <v>0.65075868055555541</v>
      </c>
      <c r="H336" s="327">
        <v>0.70541245039682532</v>
      </c>
      <c r="I336" s="327">
        <v>0.74278373015873</v>
      </c>
      <c r="J336" s="327">
        <v>0.80980902777777763</v>
      </c>
      <c r="K336" s="327">
        <v>0.87858854166666656</v>
      </c>
      <c r="L336" s="327">
        <v>0.91232961309523797</v>
      </c>
      <c r="M336" s="327">
        <v>0.93323511904761891</v>
      </c>
      <c r="N336" s="327">
        <v>0.96576636904761892</v>
      </c>
      <c r="O336" s="327">
        <v>0.99247991071428576</v>
      </c>
      <c r="P336" s="311">
        <v>1.0000000000000002</v>
      </c>
      <c r="Q336" s="311">
        <v>1.0024999999999999</v>
      </c>
      <c r="R336" s="311">
        <v>1.0049999999999999</v>
      </c>
      <c r="S336" s="311">
        <v>1.0075000000000001</v>
      </c>
      <c r="T336" s="311">
        <f t="shared" si="5"/>
        <v>1</v>
      </c>
      <c r="U336" s="311"/>
      <c r="V336" s="311"/>
      <c r="W336" s="311">
        <v>1</v>
      </c>
      <c r="X336" s="311" t="s">
        <v>1892</v>
      </c>
      <c r="Y336" s="311" t="s">
        <v>1893</v>
      </c>
      <c r="Z336" s="311" t="s">
        <v>2220</v>
      </c>
      <c r="AA336" s="377">
        <v>1</v>
      </c>
    </row>
    <row r="337" spans="1:27" ht="12.75" customHeight="1" x14ac:dyDescent="0.2">
      <c r="A337" s="311" t="s">
        <v>303</v>
      </c>
      <c r="B337" s="311" t="s">
        <v>717</v>
      </c>
      <c r="C337" s="327">
        <v>0.125</v>
      </c>
      <c r="D337" s="327">
        <v>0.26250000000000001</v>
      </c>
      <c r="E337" s="327">
        <v>0.3</v>
      </c>
      <c r="F337" s="327">
        <v>0.375</v>
      </c>
      <c r="G337" s="327">
        <v>0.46250000000000002</v>
      </c>
      <c r="H337" s="327">
        <v>0.51249999999999996</v>
      </c>
      <c r="I337" s="327">
        <v>0.55000000000000004</v>
      </c>
      <c r="J337" s="327">
        <v>0.625</v>
      </c>
      <c r="K337" s="327">
        <v>0.71250000000000002</v>
      </c>
      <c r="L337" s="327">
        <v>0.76249999999999996</v>
      </c>
      <c r="M337" s="327">
        <v>0.79999999999999993</v>
      </c>
      <c r="N337" s="327">
        <v>0.875</v>
      </c>
      <c r="O337" s="327">
        <v>0.96250000000000002</v>
      </c>
      <c r="P337" s="311">
        <v>1</v>
      </c>
      <c r="Q337" s="311">
        <v>1.0024999999999999</v>
      </c>
      <c r="R337" s="311">
        <v>1.0049999999999999</v>
      </c>
      <c r="S337" s="311">
        <v>1.0075000000000001</v>
      </c>
      <c r="T337" s="311">
        <f t="shared" si="5"/>
        <v>1</v>
      </c>
      <c r="U337" s="311"/>
      <c r="V337" s="311"/>
      <c r="W337" s="311">
        <v>1</v>
      </c>
      <c r="X337" s="311" t="s">
        <v>1892</v>
      </c>
      <c r="Y337" s="311" t="s">
        <v>1893</v>
      </c>
      <c r="Z337" s="311" t="s">
        <v>2221</v>
      </c>
      <c r="AA337" s="377">
        <v>1</v>
      </c>
    </row>
    <row r="338" spans="1:27" ht="12.75" customHeight="1" x14ac:dyDescent="0.2">
      <c r="A338" s="311" t="s">
        <v>302</v>
      </c>
      <c r="B338" s="311" t="s">
        <v>717</v>
      </c>
      <c r="C338" s="327">
        <v>0.12619047619047605</v>
      </c>
      <c r="D338" s="327">
        <v>0.26495634920634892</v>
      </c>
      <c r="E338" s="327">
        <v>0.30265873015872979</v>
      </c>
      <c r="F338" s="327">
        <v>0.37794444444444408</v>
      </c>
      <c r="G338" s="327">
        <v>0.4656388888888886</v>
      </c>
      <c r="H338" s="327">
        <v>0.5156706349206347</v>
      </c>
      <c r="I338" s="327">
        <v>0.55313492063492042</v>
      </c>
      <c r="J338" s="327">
        <v>0.62794444444444431</v>
      </c>
      <c r="K338" s="327">
        <v>0.71508333333333329</v>
      </c>
      <c r="L338" s="327">
        <v>0.76479761904761889</v>
      </c>
      <c r="M338" s="327">
        <v>0.80202380952380936</v>
      </c>
      <c r="N338" s="327">
        <v>0.87635714285714295</v>
      </c>
      <c r="O338" s="327">
        <v>0.96294047619047629</v>
      </c>
      <c r="P338" s="311">
        <v>1</v>
      </c>
      <c r="Q338" s="311">
        <v>1.0024999999999999</v>
      </c>
      <c r="R338" s="311">
        <v>1.0049999999999999</v>
      </c>
      <c r="S338" s="311">
        <v>1.0075000000000001</v>
      </c>
      <c r="T338" s="311">
        <f t="shared" si="5"/>
        <v>1</v>
      </c>
      <c r="U338" s="311"/>
      <c r="V338" s="311"/>
      <c r="W338" s="311">
        <v>1</v>
      </c>
      <c r="X338" s="311" t="s">
        <v>1892</v>
      </c>
      <c r="Y338" s="311" t="s">
        <v>1893</v>
      </c>
      <c r="Z338" s="311" t="s">
        <v>2222</v>
      </c>
      <c r="AA338" s="377">
        <v>1</v>
      </c>
    </row>
    <row r="339" spans="1:27" ht="12.75" customHeight="1" x14ac:dyDescent="0.2">
      <c r="A339" s="311" t="s">
        <v>301</v>
      </c>
      <c r="B339" s="311" t="s">
        <v>717</v>
      </c>
      <c r="C339" s="327">
        <v>0.27478846627782727</v>
      </c>
      <c r="D339" s="327">
        <v>0.56895781334145556</v>
      </c>
      <c r="E339" s="327">
        <v>0.62332051922743259</v>
      </c>
      <c r="F339" s="327">
        <v>0.714518541147529</v>
      </c>
      <c r="G339" s="327">
        <v>0.80241169294294201</v>
      </c>
      <c r="H339" s="327">
        <v>0.84291184240851724</v>
      </c>
      <c r="I339" s="327">
        <v>0.86707180280584462</v>
      </c>
      <c r="J339" s="327">
        <v>0.90521590074116631</v>
      </c>
      <c r="K339" s="327">
        <v>0.93978963604561994</v>
      </c>
      <c r="L339" s="327">
        <v>0.95472259217804423</v>
      </c>
      <c r="M339" s="327">
        <v>0.96338294107177092</v>
      </c>
      <c r="N339" s="327">
        <v>0.97787938299241484</v>
      </c>
      <c r="O339" s="327">
        <v>0.99344101443768973</v>
      </c>
      <c r="P339" s="311">
        <v>0.99999999999999978</v>
      </c>
      <c r="Q339" s="311">
        <v>1.0024999999999999</v>
      </c>
      <c r="R339" s="311">
        <v>1.0049999999999999</v>
      </c>
      <c r="S339" s="311">
        <v>1.0075000000000001</v>
      </c>
      <c r="T339" s="311">
        <f t="shared" si="5"/>
        <v>1</v>
      </c>
      <c r="U339" s="311"/>
      <c r="V339" s="311"/>
      <c r="W339" s="311">
        <v>1</v>
      </c>
      <c r="X339" s="311" t="s">
        <v>1892</v>
      </c>
      <c r="Y339" s="311" t="s">
        <v>1893</v>
      </c>
      <c r="Z339" s="311" t="s">
        <v>2223</v>
      </c>
      <c r="AA339" s="377">
        <v>1</v>
      </c>
    </row>
    <row r="340" spans="1:27" ht="12.75" customHeight="1" x14ac:dyDescent="0.2">
      <c r="A340" s="311" t="s">
        <v>300</v>
      </c>
      <c r="B340" s="311" t="s">
        <v>717</v>
      </c>
      <c r="C340" s="327">
        <v>0.22831977027571115</v>
      </c>
      <c r="D340" s="327">
        <v>0.4740219141394868</v>
      </c>
      <c r="E340" s="327">
        <v>0.52360271367113731</v>
      </c>
      <c r="F340" s="327">
        <v>0.61080757676902431</v>
      </c>
      <c r="G340" s="327">
        <v>0.69983645786975124</v>
      </c>
      <c r="H340" s="327">
        <v>0.74398876147031945</v>
      </c>
      <c r="I340" s="327">
        <v>0.77274938012588157</v>
      </c>
      <c r="J340" s="327">
        <v>0.82300068609998478</v>
      </c>
      <c r="K340" s="327">
        <v>0.87438502262275608</v>
      </c>
      <c r="L340" s="327">
        <v>0.90015069431199235</v>
      </c>
      <c r="M340" s="327">
        <v>0.9174647413482524</v>
      </c>
      <c r="N340" s="327">
        <v>0.94950970871214513</v>
      </c>
      <c r="O340" s="327">
        <v>0.98512125558946306</v>
      </c>
      <c r="P340" s="311">
        <v>1</v>
      </c>
      <c r="Q340" s="311">
        <v>1.0024999999999999</v>
      </c>
      <c r="R340" s="311">
        <v>1.0049999999999999</v>
      </c>
      <c r="S340" s="311">
        <v>1.0075000000000001</v>
      </c>
      <c r="T340" s="311">
        <f t="shared" si="5"/>
        <v>1</v>
      </c>
      <c r="U340" s="311"/>
      <c r="V340" s="311"/>
      <c r="W340" s="311">
        <v>1</v>
      </c>
      <c r="X340" s="311" t="s">
        <v>1892</v>
      </c>
      <c r="Y340" s="311" t="s">
        <v>1893</v>
      </c>
      <c r="Z340" s="311" t="s">
        <v>2224</v>
      </c>
      <c r="AA340" s="377">
        <v>1</v>
      </c>
    </row>
    <row r="341" spans="1:27" ht="12.75" customHeight="1" x14ac:dyDescent="0.2">
      <c r="A341" s="311" t="s">
        <v>299</v>
      </c>
      <c r="B341" s="311" t="s">
        <v>717</v>
      </c>
      <c r="C341" s="327">
        <v>0.17857142857142846</v>
      </c>
      <c r="D341" s="327">
        <v>0.37303571428571408</v>
      </c>
      <c r="E341" s="327">
        <v>0.41964285714285693</v>
      </c>
      <c r="F341" s="327">
        <v>0.50749999999999984</v>
      </c>
      <c r="G341" s="327">
        <v>0.6037499999999999</v>
      </c>
      <c r="H341" s="327">
        <v>0.65517857142857139</v>
      </c>
      <c r="I341" s="327">
        <v>0.69107142857142856</v>
      </c>
      <c r="J341" s="327">
        <v>0.75750000000000006</v>
      </c>
      <c r="K341" s="327">
        <v>0.8287500000000001</v>
      </c>
      <c r="L341" s="327">
        <v>0.86589285714285724</v>
      </c>
      <c r="M341" s="327">
        <v>0.89107142857142874</v>
      </c>
      <c r="N341" s="327">
        <v>0.93607142857142878</v>
      </c>
      <c r="O341" s="327">
        <v>0.98232142857142868</v>
      </c>
      <c r="P341" s="311">
        <v>1</v>
      </c>
      <c r="Q341" s="311">
        <v>1.0024999999999999</v>
      </c>
      <c r="R341" s="311">
        <v>1.0049999999999999</v>
      </c>
      <c r="S341" s="311">
        <v>1.0075000000000001</v>
      </c>
      <c r="T341" s="311">
        <f t="shared" si="5"/>
        <v>1</v>
      </c>
      <c r="U341" s="311"/>
      <c r="V341" s="311"/>
      <c r="W341" s="311">
        <v>1</v>
      </c>
      <c r="X341" s="311" t="s">
        <v>1892</v>
      </c>
      <c r="Y341" s="311" t="s">
        <v>1893</v>
      </c>
      <c r="Z341" s="311" t="s">
        <v>2225</v>
      </c>
      <c r="AA341" s="377">
        <v>1</v>
      </c>
    </row>
    <row r="342" spans="1:27" ht="12.75" customHeight="1" x14ac:dyDescent="0.2">
      <c r="A342" s="311" t="s">
        <v>138</v>
      </c>
      <c r="B342" s="311" t="s">
        <v>717</v>
      </c>
      <c r="C342" s="327">
        <v>0.2166666666666664</v>
      </c>
      <c r="D342" s="327">
        <v>0.45163888888888837</v>
      </c>
      <c r="E342" s="327">
        <v>0.50472222222222174</v>
      </c>
      <c r="F342" s="327">
        <v>0.60172222222222183</v>
      </c>
      <c r="G342" s="327">
        <v>0.70419444444444401</v>
      </c>
      <c r="H342" s="327">
        <v>0.75663888888888842</v>
      </c>
      <c r="I342" s="327">
        <v>0.79138888888888859</v>
      </c>
      <c r="J342" s="327">
        <v>0.85172222222222205</v>
      </c>
      <c r="K342" s="327">
        <v>0.91141666666666665</v>
      </c>
      <c r="L342" s="327">
        <v>0.93941666666666668</v>
      </c>
      <c r="M342" s="327">
        <v>0.95583333333333331</v>
      </c>
      <c r="N342" s="327">
        <v>0.97950000000000004</v>
      </c>
      <c r="O342" s="327">
        <v>0.99641666666666673</v>
      </c>
      <c r="P342" s="311">
        <v>1</v>
      </c>
      <c r="Q342" s="311">
        <v>1.0024999999999999</v>
      </c>
      <c r="R342" s="311">
        <v>1.0049999999999999</v>
      </c>
      <c r="S342" s="311">
        <v>1.0075000000000001</v>
      </c>
      <c r="T342" s="311">
        <f t="shared" si="5"/>
        <v>1</v>
      </c>
      <c r="U342" s="311"/>
      <c r="V342" s="311"/>
      <c r="W342" s="311">
        <v>1</v>
      </c>
      <c r="X342" s="311" t="s">
        <v>1892</v>
      </c>
      <c r="Y342" s="311" t="s">
        <v>1893</v>
      </c>
      <c r="Z342" s="311" t="s">
        <v>2226</v>
      </c>
      <c r="AA342" s="377">
        <v>1</v>
      </c>
    </row>
    <row r="343" spans="1:27" ht="12.75" customHeight="1" x14ac:dyDescent="0.2">
      <c r="A343" s="311" t="s">
        <v>298</v>
      </c>
      <c r="B343" s="311" t="s">
        <v>717</v>
      </c>
      <c r="C343" s="327">
        <v>0.12103174603174593</v>
      </c>
      <c r="D343" s="327">
        <v>0.25431216931216916</v>
      </c>
      <c r="E343" s="327">
        <v>0.29113756613756592</v>
      </c>
      <c r="F343" s="327">
        <v>0.365185185185185</v>
      </c>
      <c r="G343" s="327">
        <v>0.4520370370370369</v>
      </c>
      <c r="H343" s="327">
        <v>0.50193121693121678</v>
      </c>
      <c r="I343" s="327">
        <v>0.53955026455026434</v>
      </c>
      <c r="J343" s="327">
        <v>0.61518518518518506</v>
      </c>
      <c r="K343" s="327">
        <v>0.7038888888888889</v>
      </c>
      <c r="L343" s="327">
        <v>0.75484126984126976</v>
      </c>
      <c r="M343" s="327">
        <v>0.7932539682539681</v>
      </c>
      <c r="N343" s="327">
        <v>0.8704761904761904</v>
      </c>
      <c r="O343" s="327">
        <v>0.96103174603174601</v>
      </c>
      <c r="P343" s="311">
        <v>1</v>
      </c>
      <c r="Q343" s="311">
        <v>1.0024999999999999</v>
      </c>
      <c r="R343" s="311">
        <v>1.0049999999999999</v>
      </c>
      <c r="S343" s="311">
        <v>1.0075000000000001</v>
      </c>
      <c r="T343" s="311">
        <f t="shared" si="5"/>
        <v>1</v>
      </c>
      <c r="U343" s="311"/>
      <c r="V343" s="311"/>
      <c r="W343" s="311">
        <v>1</v>
      </c>
      <c r="X343" s="311" t="s">
        <v>1892</v>
      </c>
      <c r="Y343" s="311" t="s">
        <v>1893</v>
      </c>
      <c r="Z343" s="311" t="s">
        <v>2227</v>
      </c>
      <c r="AA343" s="377">
        <v>1</v>
      </c>
    </row>
    <row r="344" spans="1:27" ht="12.75" customHeight="1" x14ac:dyDescent="0.2">
      <c r="A344" s="311" t="s">
        <v>152</v>
      </c>
      <c r="B344" s="311" t="s">
        <v>717</v>
      </c>
      <c r="C344" s="327">
        <v>0.27532752532752458</v>
      </c>
      <c r="D344" s="327">
        <v>0.56933829296329153</v>
      </c>
      <c r="E344" s="327">
        <v>0.62137708037707884</v>
      </c>
      <c r="F344" s="327">
        <v>0.7071576384076369</v>
      </c>
      <c r="G344" s="327">
        <v>0.788378484253483</v>
      </c>
      <c r="H344" s="327">
        <v>0.82510335747835639</v>
      </c>
      <c r="I344" s="327">
        <v>0.84676276826276742</v>
      </c>
      <c r="J344" s="327">
        <v>0.88120071995071947</v>
      </c>
      <c r="K344" s="327">
        <v>0.91350736313236292</v>
      </c>
      <c r="L344" s="327">
        <v>0.92855869468369434</v>
      </c>
      <c r="M344" s="327">
        <v>0.93867102267102265</v>
      </c>
      <c r="N344" s="327">
        <v>0.95943095568095571</v>
      </c>
      <c r="O344" s="327">
        <v>0.98676541514041527</v>
      </c>
      <c r="P344" s="311">
        <v>1.0000000000000007</v>
      </c>
      <c r="Q344" s="311">
        <v>1.0024999999999999</v>
      </c>
      <c r="R344" s="311">
        <v>1.0049999999999999</v>
      </c>
      <c r="S344" s="311">
        <v>1.0075000000000001</v>
      </c>
      <c r="T344" s="311">
        <f t="shared" si="5"/>
        <v>1</v>
      </c>
      <c r="U344" s="311"/>
      <c r="V344" s="311"/>
      <c r="W344" s="311">
        <v>1</v>
      </c>
      <c r="X344" s="311" t="s">
        <v>1892</v>
      </c>
      <c r="Y344" s="311" t="s">
        <v>1893</v>
      </c>
      <c r="Z344" s="311" t="s">
        <v>2228</v>
      </c>
      <c r="AA344" s="377">
        <v>1</v>
      </c>
    </row>
    <row r="345" spans="1:27" ht="12.75" customHeight="1" x14ac:dyDescent="0.2">
      <c r="A345" s="311" t="s">
        <v>297</v>
      </c>
      <c r="B345" s="311" t="s">
        <v>717</v>
      </c>
      <c r="C345" s="327">
        <v>0.26764560913497026</v>
      </c>
      <c r="D345" s="327">
        <v>0.55444124588113841</v>
      </c>
      <c r="E345" s="327">
        <v>0.60832091605282979</v>
      </c>
      <c r="F345" s="327">
        <v>0.69948381892530709</v>
      </c>
      <c r="G345" s="327">
        <v>0.78825683183183071</v>
      </c>
      <c r="H345" s="327">
        <v>0.82971372732915183</v>
      </c>
      <c r="I345" s="327">
        <v>0.8548400567740988</v>
      </c>
      <c r="J345" s="327">
        <v>0.89522284518561102</v>
      </c>
      <c r="K345" s="327">
        <v>0.93260005271228685</v>
      </c>
      <c r="L345" s="327">
        <v>0.94917229455899688</v>
      </c>
      <c r="M345" s="327">
        <v>0.95899841726224744</v>
      </c>
      <c r="N345" s="327">
        <v>0.97550735918289111</v>
      </c>
      <c r="O345" s="327">
        <v>0.99287940729483282</v>
      </c>
      <c r="P345" s="311">
        <v>1.0000000000000007</v>
      </c>
      <c r="Q345" s="311">
        <v>1.0024999999999999</v>
      </c>
      <c r="R345" s="311">
        <v>1.0049999999999999</v>
      </c>
      <c r="S345" s="311">
        <v>1.0075000000000001</v>
      </c>
      <c r="T345" s="311">
        <f t="shared" si="5"/>
        <v>1</v>
      </c>
      <c r="U345" s="311"/>
      <c r="V345" s="311"/>
      <c r="W345" s="311">
        <v>1</v>
      </c>
      <c r="X345" s="311" t="s">
        <v>1892</v>
      </c>
      <c r="Y345" s="311" t="s">
        <v>1893</v>
      </c>
      <c r="Z345" s="311" t="s">
        <v>2229</v>
      </c>
      <c r="AA345" s="377">
        <v>1</v>
      </c>
    </row>
    <row r="346" spans="1:27" ht="12.75" customHeight="1" x14ac:dyDescent="0.2">
      <c r="A346" s="311" t="s">
        <v>296</v>
      </c>
      <c r="B346" s="311" t="s">
        <v>717</v>
      </c>
      <c r="C346" s="327">
        <v>0.17410714285714279</v>
      </c>
      <c r="D346" s="327">
        <v>0.36382440476190464</v>
      </c>
      <c r="E346" s="327">
        <v>0.40967261904761892</v>
      </c>
      <c r="F346" s="327">
        <v>0.49645833333333322</v>
      </c>
      <c r="G346" s="327">
        <v>0.5919791666666665</v>
      </c>
      <c r="H346" s="327">
        <v>0.64328869047619031</v>
      </c>
      <c r="I346" s="327">
        <v>0.67931547619047605</v>
      </c>
      <c r="J346" s="327">
        <v>0.74645833333333322</v>
      </c>
      <c r="K346" s="327">
        <v>0.81906250000000003</v>
      </c>
      <c r="L346" s="327">
        <v>0.85727678571428578</v>
      </c>
      <c r="M346" s="327">
        <v>0.88348214285714288</v>
      </c>
      <c r="N346" s="327">
        <v>0.93098214285714298</v>
      </c>
      <c r="O346" s="327">
        <v>0.98066964285714309</v>
      </c>
      <c r="P346" s="311">
        <v>1.0000000000000002</v>
      </c>
      <c r="Q346" s="311">
        <v>1.0024999999999999</v>
      </c>
      <c r="R346" s="311">
        <v>1.0049999999999999</v>
      </c>
      <c r="S346" s="311">
        <v>1.0075000000000001</v>
      </c>
      <c r="T346" s="311">
        <f t="shared" si="5"/>
        <v>1</v>
      </c>
      <c r="U346" s="311"/>
      <c r="V346" s="311"/>
      <c r="W346" s="311">
        <v>1</v>
      </c>
      <c r="X346" s="311" t="s">
        <v>1892</v>
      </c>
      <c r="Y346" s="311" t="s">
        <v>1893</v>
      </c>
      <c r="Z346" s="311" t="s">
        <v>2230</v>
      </c>
      <c r="AA346" s="377">
        <v>1</v>
      </c>
    </row>
    <row r="347" spans="1:27" ht="12.75" customHeight="1" x14ac:dyDescent="0.2">
      <c r="A347" s="311" t="s">
        <v>295</v>
      </c>
      <c r="B347" s="311" t="s">
        <v>717</v>
      </c>
      <c r="C347" s="327">
        <v>0.125</v>
      </c>
      <c r="D347" s="327">
        <v>0.26250000000000001</v>
      </c>
      <c r="E347" s="327">
        <v>0.3</v>
      </c>
      <c r="F347" s="327">
        <v>0.375</v>
      </c>
      <c r="G347" s="327">
        <v>0.46250000000000002</v>
      </c>
      <c r="H347" s="327">
        <v>0.51249999999999996</v>
      </c>
      <c r="I347" s="327">
        <v>0.55000000000000004</v>
      </c>
      <c r="J347" s="327">
        <v>0.625</v>
      </c>
      <c r="K347" s="327">
        <v>0.71250000000000002</v>
      </c>
      <c r="L347" s="327">
        <v>0.76249999999999996</v>
      </c>
      <c r="M347" s="327">
        <v>0.79999999999999993</v>
      </c>
      <c r="N347" s="327">
        <v>0.875</v>
      </c>
      <c r="O347" s="327">
        <v>0.96250000000000002</v>
      </c>
      <c r="P347" s="311">
        <v>1</v>
      </c>
      <c r="Q347" s="311">
        <v>1.0024999999999999</v>
      </c>
      <c r="R347" s="311">
        <v>1.0049999999999999</v>
      </c>
      <c r="S347" s="311">
        <v>1.0075000000000001</v>
      </c>
      <c r="T347" s="311">
        <f t="shared" si="5"/>
        <v>1</v>
      </c>
      <c r="U347" s="311"/>
      <c r="V347" s="311"/>
      <c r="W347" s="311">
        <v>1</v>
      </c>
      <c r="X347" s="311" t="s">
        <v>1892</v>
      </c>
      <c r="Y347" s="311" t="s">
        <v>1893</v>
      </c>
      <c r="Z347" s="311" t="s">
        <v>2231</v>
      </c>
      <c r="AA347" s="377">
        <v>1</v>
      </c>
    </row>
    <row r="348" spans="1:27" ht="12.75" customHeight="1" x14ac:dyDescent="0.2">
      <c r="A348" s="311" t="s">
        <v>67</v>
      </c>
      <c r="B348" s="311" t="s">
        <v>717</v>
      </c>
      <c r="C348" s="327">
        <v>0.21428571428571386</v>
      </c>
      <c r="D348" s="327">
        <v>0.44672619047618978</v>
      </c>
      <c r="E348" s="327">
        <v>0.49940476190476124</v>
      </c>
      <c r="F348" s="327">
        <v>0.59583333333333255</v>
      </c>
      <c r="G348" s="327">
        <v>0.69791666666666596</v>
      </c>
      <c r="H348" s="327">
        <v>0.75029761904761849</v>
      </c>
      <c r="I348" s="327">
        <v>0.78511904761904716</v>
      </c>
      <c r="J348" s="327">
        <v>0.84583333333333299</v>
      </c>
      <c r="K348" s="327">
        <v>0.90624999999999978</v>
      </c>
      <c r="L348" s="327">
        <v>0.93482142857142825</v>
      </c>
      <c r="M348" s="327">
        <v>0.95178571428571401</v>
      </c>
      <c r="N348" s="327">
        <v>0.97678571428571404</v>
      </c>
      <c r="O348" s="327">
        <v>0.99553571428571397</v>
      </c>
      <c r="P348" s="311">
        <v>0.99999999999999978</v>
      </c>
      <c r="Q348" s="311">
        <v>1.0024999999999999</v>
      </c>
      <c r="R348" s="311">
        <v>1.0049999999999999</v>
      </c>
      <c r="S348" s="311">
        <v>1.0075000000000001</v>
      </c>
      <c r="T348" s="311">
        <f t="shared" si="5"/>
        <v>1</v>
      </c>
      <c r="U348" s="311"/>
      <c r="V348" s="311"/>
      <c r="W348" s="311">
        <v>1</v>
      </c>
      <c r="X348" s="311" t="s">
        <v>1892</v>
      </c>
      <c r="Y348" s="311" t="s">
        <v>1893</v>
      </c>
      <c r="Z348" s="311" t="s">
        <v>2232</v>
      </c>
      <c r="AA348" s="377">
        <v>1</v>
      </c>
    </row>
    <row r="349" spans="1:27" ht="12.75" customHeight="1" x14ac:dyDescent="0.2">
      <c r="A349" s="311" t="s">
        <v>767</v>
      </c>
      <c r="B349" s="311" t="s">
        <v>717</v>
      </c>
      <c r="C349" s="327">
        <v>0.12619047619047605</v>
      </c>
      <c r="D349" s="327">
        <v>0.26495634920634892</v>
      </c>
      <c r="E349" s="327">
        <v>0.30265873015872979</v>
      </c>
      <c r="F349" s="327">
        <v>0.37794444444444408</v>
      </c>
      <c r="G349" s="327">
        <v>0.4656388888888886</v>
      </c>
      <c r="H349" s="327">
        <v>0.5156706349206347</v>
      </c>
      <c r="I349" s="327">
        <v>0.55313492063492042</v>
      </c>
      <c r="J349" s="327">
        <v>0.62794444444444431</v>
      </c>
      <c r="K349" s="327">
        <v>0.71508333333333329</v>
      </c>
      <c r="L349" s="327">
        <v>0.76479761904761889</v>
      </c>
      <c r="M349" s="327">
        <v>0.80202380952380936</v>
      </c>
      <c r="N349" s="327">
        <v>0.87635714285714295</v>
      </c>
      <c r="O349" s="327">
        <v>0.96294047619047629</v>
      </c>
      <c r="P349" s="311">
        <v>1</v>
      </c>
      <c r="Q349" s="311">
        <v>1.0024999999999999</v>
      </c>
      <c r="R349" s="311">
        <v>1.0049999999999999</v>
      </c>
      <c r="S349" s="311">
        <v>1.0075000000000001</v>
      </c>
      <c r="T349" s="311">
        <f t="shared" si="5"/>
        <v>1</v>
      </c>
      <c r="U349" s="311"/>
      <c r="V349" s="311"/>
      <c r="W349" s="311">
        <v>1</v>
      </c>
      <c r="X349" s="311" t="s">
        <v>1892</v>
      </c>
      <c r="Y349" s="311" t="s">
        <v>1893</v>
      </c>
      <c r="Z349" s="311" t="s">
        <v>2233</v>
      </c>
      <c r="AA349" s="377">
        <v>1</v>
      </c>
    </row>
    <row r="350" spans="1:27" ht="12.75" customHeight="1" x14ac:dyDescent="0.2">
      <c r="A350" s="311" t="s">
        <v>80</v>
      </c>
      <c r="B350" s="311" t="s">
        <v>717</v>
      </c>
      <c r="C350" s="327">
        <v>0.2</v>
      </c>
      <c r="D350" s="327">
        <v>0.40125</v>
      </c>
      <c r="E350" s="327">
        <v>0.40375000000000005</v>
      </c>
      <c r="F350" s="327">
        <v>0.40625</v>
      </c>
      <c r="G350" s="327">
        <v>0.45374999999999999</v>
      </c>
      <c r="H350" s="327">
        <v>0.50124999999999997</v>
      </c>
      <c r="I350" s="327">
        <v>0.50374999999999992</v>
      </c>
      <c r="J350" s="327">
        <v>0.50624999999999998</v>
      </c>
      <c r="K350" s="327">
        <v>0.70374999999999999</v>
      </c>
      <c r="L350" s="327">
        <v>0.90125</v>
      </c>
      <c r="M350" s="327">
        <v>0.90375000000000005</v>
      </c>
      <c r="N350" s="327">
        <v>0.90625</v>
      </c>
      <c r="O350" s="327">
        <v>0.95374999999999999</v>
      </c>
      <c r="P350" s="311">
        <v>1</v>
      </c>
      <c r="Q350" s="311">
        <v>1.0024999999999999</v>
      </c>
      <c r="R350" s="311">
        <v>1.0049999999999999</v>
      </c>
      <c r="S350" s="311">
        <v>1.0075000000000001</v>
      </c>
      <c r="T350" s="311">
        <f t="shared" si="5"/>
        <v>1</v>
      </c>
      <c r="U350" s="311"/>
      <c r="V350" s="311"/>
      <c r="W350" s="311">
        <v>1</v>
      </c>
      <c r="X350" s="311" t="s">
        <v>1892</v>
      </c>
      <c r="Y350" s="311" t="s">
        <v>1893</v>
      </c>
      <c r="Z350" s="311" t="s">
        <v>2234</v>
      </c>
      <c r="AA350" s="377">
        <v>1</v>
      </c>
    </row>
    <row r="351" spans="1:27" ht="12.75" customHeight="1" x14ac:dyDescent="0.2">
      <c r="A351" s="311" t="s">
        <v>294</v>
      </c>
      <c r="B351" s="311" t="s">
        <v>717</v>
      </c>
      <c r="C351" s="327">
        <v>0.22831977027571115</v>
      </c>
      <c r="D351" s="327">
        <v>0.4740219141394868</v>
      </c>
      <c r="E351" s="327">
        <v>0.52360271367113731</v>
      </c>
      <c r="F351" s="327">
        <v>0.61080757676902431</v>
      </c>
      <c r="G351" s="327">
        <v>0.69983645786975124</v>
      </c>
      <c r="H351" s="327">
        <v>0.74398876147031945</v>
      </c>
      <c r="I351" s="327">
        <v>0.77274938012588157</v>
      </c>
      <c r="J351" s="327">
        <v>0.82300068609998478</v>
      </c>
      <c r="K351" s="327">
        <v>0.87438502262275608</v>
      </c>
      <c r="L351" s="327">
        <v>0.90015069431199235</v>
      </c>
      <c r="M351" s="327">
        <v>0.9174647413482524</v>
      </c>
      <c r="N351" s="327">
        <v>0.94950970871214513</v>
      </c>
      <c r="O351" s="327">
        <v>0.98512125558946306</v>
      </c>
      <c r="P351" s="311">
        <v>1</v>
      </c>
      <c r="Q351" s="311">
        <v>1.0024999999999999</v>
      </c>
      <c r="R351" s="311">
        <v>1.0049999999999999</v>
      </c>
      <c r="S351" s="311">
        <v>1.0075000000000001</v>
      </c>
      <c r="T351" s="311">
        <f t="shared" si="5"/>
        <v>1</v>
      </c>
      <c r="U351" s="311"/>
      <c r="V351" s="311"/>
      <c r="W351" s="311">
        <v>1</v>
      </c>
      <c r="X351" s="311" t="s">
        <v>1892</v>
      </c>
      <c r="Y351" s="311" t="s">
        <v>1893</v>
      </c>
      <c r="Z351" s="311" t="s">
        <v>2235</v>
      </c>
      <c r="AA351" s="377">
        <v>1</v>
      </c>
    </row>
    <row r="352" spans="1:27" ht="12.75" customHeight="1" x14ac:dyDescent="0.2">
      <c r="A352" s="311" t="s">
        <v>293</v>
      </c>
      <c r="B352" s="311" t="s">
        <v>717</v>
      </c>
      <c r="C352" s="327">
        <v>0.21378968253968217</v>
      </c>
      <c r="D352" s="327">
        <v>0.44496428571428503</v>
      </c>
      <c r="E352" s="327">
        <v>0.49512103174603106</v>
      </c>
      <c r="F352" s="327">
        <v>0.58583333333333265</v>
      </c>
      <c r="G352" s="327">
        <v>0.68101388888888836</v>
      </c>
      <c r="H352" s="327">
        <v>0.72955753968253911</v>
      </c>
      <c r="I352" s="327">
        <v>0.76188690476190413</v>
      </c>
      <c r="J352" s="327">
        <v>0.81902777777777747</v>
      </c>
      <c r="K352" s="327">
        <v>0.87747222222222199</v>
      </c>
      <c r="L352" s="327">
        <v>0.906412698412698</v>
      </c>
      <c r="M352" s="327">
        <v>0.92508134920634877</v>
      </c>
      <c r="N352" s="327">
        <v>0.95698412698412638</v>
      </c>
      <c r="O352" s="327">
        <v>0.98841468253968223</v>
      </c>
      <c r="P352" s="311">
        <v>1</v>
      </c>
      <c r="Q352" s="311">
        <v>1.0024999999999999</v>
      </c>
      <c r="R352" s="311">
        <v>1.0049999999999999</v>
      </c>
      <c r="S352" s="311">
        <v>1.0075000000000001</v>
      </c>
      <c r="T352" s="311">
        <f t="shared" si="5"/>
        <v>1</v>
      </c>
      <c r="U352" s="311"/>
      <c r="V352" s="311"/>
      <c r="W352" s="311">
        <v>1</v>
      </c>
      <c r="X352" s="311" t="s">
        <v>1892</v>
      </c>
      <c r="Y352" s="311" t="s">
        <v>1893</v>
      </c>
      <c r="Z352" s="311" t="s">
        <v>2236</v>
      </c>
      <c r="AA352" s="377">
        <v>1</v>
      </c>
    </row>
    <row r="353" spans="1:27" ht="12.75" customHeight="1" x14ac:dyDescent="0.2">
      <c r="A353" s="311" t="s">
        <v>292</v>
      </c>
      <c r="B353" s="311" t="s">
        <v>717</v>
      </c>
      <c r="C353" s="327">
        <v>0.22831977027571115</v>
      </c>
      <c r="D353" s="327">
        <v>0.4740219141394868</v>
      </c>
      <c r="E353" s="327">
        <v>0.52360271367113731</v>
      </c>
      <c r="F353" s="327">
        <v>0.61080757676902431</v>
      </c>
      <c r="G353" s="327">
        <v>0.69983645786975124</v>
      </c>
      <c r="H353" s="327">
        <v>0.74398876147031945</v>
      </c>
      <c r="I353" s="327">
        <v>0.77274938012588157</v>
      </c>
      <c r="J353" s="327">
        <v>0.82300068609998478</v>
      </c>
      <c r="K353" s="327">
        <v>0.87438502262275608</v>
      </c>
      <c r="L353" s="327">
        <v>0.90015069431199235</v>
      </c>
      <c r="M353" s="327">
        <v>0.9174647413482524</v>
      </c>
      <c r="N353" s="327">
        <v>0.94950970871214513</v>
      </c>
      <c r="O353" s="327">
        <v>0.98512125558946306</v>
      </c>
      <c r="P353" s="311">
        <v>1</v>
      </c>
      <c r="Q353" s="311">
        <v>1.0024999999999999</v>
      </c>
      <c r="R353" s="311">
        <v>1.0049999999999999</v>
      </c>
      <c r="S353" s="311">
        <v>1.0075000000000001</v>
      </c>
      <c r="T353" s="311">
        <f t="shared" si="5"/>
        <v>1</v>
      </c>
      <c r="U353" s="311"/>
      <c r="V353" s="311"/>
      <c r="W353" s="311">
        <v>1</v>
      </c>
      <c r="X353" s="311" t="s">
        <v>1892</v>
      </c>
      <c r="Y353" s="311" t="s">
        <v>1893</v>
      </c>
      <c r="Z353" s="311" t="s">
        <v>2237</v>
      </c>
      <c r="AA353" s="377">
        <v>1</v>
      </c>
    </row>
    <row r="354" spans="1:27" ht="12.75" customHeight="1" x14ac:dyDescent="0.2">
      <c r="A354" s="311" t="s">
        <v>291</v>
      </c>
      <c r="B354" s="311" t="s">
        <v>717</v>
      </c>
      <c r="C354" s="327">
        <v>0.125</v>
      </c>
      <c r="D354" s="327">
        <v>0.26250000000000001</v>
      </c>
      <c r="E354" s="327">
        <v>0.3</v>
      </c>
      <c r="F354" s="327">
        <v>0.375</v>
      </c>
      <c r="G354" s="327">
        <v>0.46250000000000002</v>
      </c>
      <c r="H354" s="327">
        <v>0.51249999999999996</v>
      </c>
      <c r="I354" s="327">
        <v>0.55000000000000004</v>
      </c>
      <c r="J354" s="327">
        <v>0.625</v>
      </c>
      <c r="K354" s="327">
        <v>0.71250000000000002</v>
      </c>
      <c r="L354" s="327">
        <v>0.76249999999999996</v>
      </c>
      <c r="M354" s="327">
        <v>0.79999999999999993</v>
      </c>
      <c r="N354" s="327">
        <v>0.875</v>
      </c>
      <c r="O354" s="327">
        <v>0.96250000000000002</v>
      </c>
      <c r="P354" s="311">
        <v>1</v>
      </c>
      <c r="Q354" s="311">
        <v>1.0024999999999999</v>
      </c>
      <c r="R354" s="311">
        <v>1.0049999999999999</v>
      </c>
      <c r="S354" s="311">
        <v>1.0075000000000001</v>
      </c>
      <c r="T354" s="311">
        <f t="shared" si="5"/>
        <v>1</v>
      </c>
      <c r="U354" s="311"/>
      <c r="V354" s="311"/>
      <c r="W354" s="311">
        <v>1</v>
      </c>
      <c r="X354" s="311" t="s">
        <v>1892</v>
      </c>
      <c r="Y354" s="311" t="s">
        <v>1893</v>
      </c>
      <c r="Z354" s="311" t="s">
        <v>2238</v>
      </c>
      <c r="AA354" s="377">
        <v>1</v>
      </c>
    </row>
    <row r="355" spans="1:27" ht="12.75" customHeight="1" x14ac:dyDescent="0.2">
      <c r="A355" s="311" t="s">
        <v>290</v>
      </c>
      <c r="B355" s="311" t="s">
        <v>717</v>
      </c>
      <c r="C355" s="327">
        <v>0.22831977027571115</v>
      </c>
      <c r="D355" s="327">
        <v>0.4740219141394868</v>
      </c>
      <c r="E355" s="327">
        <v>0.52360271367113731</v>
      </c>
      <c r="F355" s="327">
        <v>0.61080757676902431</v>
      </c>
      <c r="G355" s="327">
        <v>0.69983645786975124</v>
      </c>
      <c r="H355" s="327">
        <v>0.74398876147031945</v>
      </c>
      <c r="I355" s="327">
        <v>0.77274938012588157</v>
      </c>
      <c r="J355" s="327">
        <v>0.82300068609998478</v>
      </c>
      <c r="K355" s="327">
        <v>0.87438502262275608</v>
      </c>
      <c r="L355" s="327">
        <v>0.90015069431199235</v>
      </c>
      <c r="M355" s="327">
        <v>0.9174647413482524</v>
      </c>
      <c r="N355" s="327">
        <v>0.94950970871214513</v>
      </c>
      <c r="O355" s="327">
        <v>0.98512125558946306</v>
      </c>
      <c r="P355" s="311">
        <v>1</v>
      </c>
      <c r="Q355" s="311">
        <v>1.0024999999999999</v>
      </c>
      <c r="R355" s="311">
        <v>1.0049999999999999</v>
      </c>
      <c r="S355" s="311">
        <v>1.0075000000000001</v>
      </c>
      <c r="T355" s="311">
        <f t="shared" si="5"/>
        <v>1</v>
      </c>
      <c r="U355" s="311"/>
      <c r="V355" s="311"/>
      <c r="W355" s="311">
        <v>1</v>
      </c>
      <c r="X355" s="311" t="s">
        <v>1892</v>
      </c>
      <c r="Y355" s="311" t="s">
        <v>1893</v>
      </c>
      <c r="Z355" s="311" t="s">
        <v>2239</v>
      </c>
      <c r="AA355" s="377">
        <v>1</v>
      </c>
    </row>
    <row r="356" spans="1:27" ht="12.75" customHeight="1" x14ac:dyDescent="0.2">
      <c r="A356" s="311" t="s">
        <v>289</v>
      </c>
      <c r="B356" s="311" t="s">
        <v>717</v>
      </c>
      <c r="C356" s="327">
        <v>0.22831977027571115</v>
      </c>
      <c r="D356" s="327">
        <v>0.4740219141394868</v>
      </c>
      <c r="E356" s="327">
        <v>0.52360271367113731</v>
      </c>
      <c r="F356" s="327">
        <v>0.61080757676902431</v>
      </c>
      <c r="G356" s="327">
        <v>0.69983645786975124</v>
      </c>
      <c r="H356" s="327">
        <v>0.74398876147031945</v>
      </c>
      <c r="I356" s="327">
        <v>0.77274938012588157</v>
      </c>
      <c r="J356" s="327">
        <v>0.82300068609998478</v>
      </c>
      <c r="K356" s="327">
        <v>0.87438502262275608</v>
      </c>
      <c r="L356" s="327">
        <v>0.90015069431199235</v>
      </c>
      <c r="M356" s="327">
        <v>0.9174647413482524</v>
      </c>
      <c r="N356" s="327">
        <v>0.94950970871214513</v>
      </c>
      <c r="O356" s="327">
        <v>0.98512125558946306</v>
      </c>
      <c r="P356" s="311">
        <v>1</v>
      </c>
      <c r="Q356" s="311">
        <v>1.0024999999999999</v>
      </c>
      <c r="R356" s="311">
        <v>1.0049999999999999</v>
      </c>
      <c r="S356" s="311">
        <v>1.0075000000000001</v>
      </c>
      <c r="T356" s="311">
        <f t="shared" si="5"/>
        <v>1</v>
      </c>
      <c r="U356" s="311"/>
      <c r="V356" s="311"/>
      <c r="W356" s="311">
        <v>1</v>
      </c>
      <c r="X356" s="311" t="s">
        <v>1892</v>
      </c>
      <c r="Y356" s="311" t="s">
        <v>1893</v>
      </c>
      <c r="Z356" s="311" t="s">
        <v>2240</v>
      </c>
      <c r="AA356" s="377">
        <v>1</v>
      </c>
    </row>
    <row r="357" spans="1:27" ht="12.75" customHeight="1" x14ac:dyDescent="0.2">
      <c r="A357" s="311" t="s">
        <v>288</v>
      </c>
      <c r="B357" s="311" t="s">
        <v>717</v>
      </c>
      <c r="C357" s="327">
        <v>0.22831977027571115</v>
      </c>
      <c r="D357" s="327">
        <v>0.4740219141394868</v>
      </c>
      <c r="E357" s="327">
        <v>0.52360271367113731</v>
      </c>
      <c r="F357" s="327">
        <v>0.61080757676902431</v>
      </c>
      <c r="G357" s="327">
        <v>0.69983645786975124</v>
      </c>
      <c r="H357" s="327">
        <v>0.74398876147031945</v>
      </c>
      <c r="I357" s="327">
        <v>0.77274938012588157</v>
      </c>
      <c r="J357" s="327">
        <v>0.82300068609998478</v>
      </c>
      <c r="K357" s="327">
        <v>0.87438502262275608</v>
      </c>
      <c r="L357" s="327">
        <v>0.90015069431199235</v>
      </c>
      <c r="M357" s="327">
        <v>0.9174647413482524</v>
      </c>
      <c r="N357" s="327">
        <v>0.94950970871214513</v>
      </c>
      <c r="O357" s="327">
        <v>0.98512125558946306</v>
      </c>
      <c r="P357" s="311">
        <v>1</v>
      </c>
      <c r="Q357" s="311">
        <v>1.0024999999999999</v>
      </c>
      <c r="R357" s="311">
        <v>1.0049999999999999</v>
      </c>
      <c r="S357" s="311">
        <v>1.0075000000000001</v>
      </c>
      <c r="T357" s="311">
        <f t="shared" si="5"/>
        <v>1</v>
      </c>
      <c r="U357" s="311"/>
      <c r="V357" s="311"/>
      <c r="W357" s="311">
        <v>1</v>
      </c>
      <c r="X357" s="311" t="s">
        <v>1892</v>
      </c>
      <c r="Y357" s="311" t="s">
        <v>1893</v>
      </c>
      <c r="Z357" s="311" t="s">
        <v>2241</v>
      </c>
      <c r="AA357" s="377">
        <v>1</v>
      </c>
    </row>
    <row r="358" spans="1:27" ht="12.75" customHeight="1" x14ac:dyDescent="0.2">
      <c r="A358" s="311" t="s">
        <v>287</v>
      </c>
      <c r="B358" s="311" t="s">
        <v>717</v>
      </c>
      <c r="C358" s="327">
        <v>0.125</v>
      </c>
      <c r="D358" s="327">
        <v>0.26250000000000001</v>
      </c>
      <c r="E358" s="327">
        <v>0.3</v>
      </c>
      <c r="F358" s="327">
        <v>0.375</v>
      </c>
      <c r="G358" s="327">
        <v>0.46250000000000002</v>
      </c>
      <c r="H358" s="327">
        <v>0.51249999999999996</v>
      </c>
      <c r="I358" s="327">
        <v>0.55000000000000004</v>
      </c>
      <c r="J358" s="327">
        <v>0.625</v>
      </c>
      <c r="K358" s="327">
        <v>0.71250000000000002</v>
      </c>
      <c r="L358" s="327">
        <v>0.76249999999999996</v>
      </c>
      <c r="M358" s="327">
        <v>0.79999999999999993</v>
      </c>
      <c r="N358" s="327">
        <v>0.875</v>
      </c>
      <c r="O358" s="327">
        <v>0.96250000000000002</v>
      </c>
      <c r="P358" s="311">
        <v>1</v>
      </c>
      <c r="Q358" s="311">
        <v>1.0024999999999999</v>
      </c>
      <c r="R358" s="311">
        <v>1.0049999999999999</v>
      </c>
      <c r="S358" s="311">
        <v>1.0075000000000001</v>
      </c>
      <c r="T358" s="311">
        <f t="shared" si="5"/>
        <v>1</v>
      </c>
      <c r="U358" s="311"/>
      <c r="V358" s="311"/>
      <c r="W358" s="311">
        <v>1</v>
      </c>
      <c r="X358" s="311" t="s">
        <v>1892</v>
      </c>
      <c r="Y358" s="311" t="s">
        <v>1893</v>
      </c>
      <c r="Z358" s="311" t="s">
        <v>2242</v>
      </c>
      <c r="AA358" s="377">
        <v>1</v>
      </c>
    </row>
    <row r="359" spans="1:27" ht="12.75" customHeight="1" x14ac:dyDescent="0.2">
      <c r="A359" s="311" t="s">
        <v>177</v>
      </c>
      <c r="B359" s="311" t="s">
        <v>717</v>
      </c>
      <c r="C359" s="327">
        <v>0.11897107281369375</v>
      </c>
      <c r="D359" s="327">
        <v>0.25005488729478315</v>
      </c>
      <c r="E359" s="327">
        <v>0.2865120578543725</v>
      </c>
      <c r="F359" s="327">
        <v>0.36002398448662981</v>
      </c>
      <c r="G359" s="327">
        <v>0.44648913043478256</v>
      </c>
      <c r="H359" s="327">
        <v>0.49630025807015998</v>
      </c>
      <c r="I359" s="327">
        <v>0.53396270375878441</v>
      </c>
      <c r="J359" s="327">
        <v>0.60990048989589696</v>
      </c>
      <c r="K359" s="327">
        <v>0.69921366605429669</v>
      </c>
      <c r="L359" s="327">
        <v>0.75066244568862439</v>
      </c>
      <c r="M359" s="327">
        <v>0.78956078499985405</v>
      </c>
      <c r="N359" s="327">
        <v>0.86798566762896201</v>
      </c>
      <c r="O359" s="327">
        <v>0.9602183171492723</v>
      </c>
      <c r="P359" s="311">
        <v>0.99999999999999989</v>
      </c>
      <c r="Q359" s="311">
        <v>1.0024999999999999</v>
      </c>
      <c r="R359" s="311">
        <v>1.0049999999999999</v>
      </c>
      <c r="S359" s="311">
        <v>1.0075000000000001</v>
      </c>
      <c r="T359" s="311">
        <f t="shared" si="5"/>
        <v>1</v>
      </c>
      <c r="U359" s="311"/>
      <c r="V359" s="311"/>
      <c r="W359" s="311">
        <v>1</v>
      </c>
      <c r="X359" s="311" t="s">
        <v>1892</v>
      </c>
      <c r="Y359" s="311" t="s">
        <v>1893</v>
      </c>
      <c r="Z359" s="311" t="s">
        <v>2243</v>
      </c>
      <c r="AA359" s="377">
        <v>1</v>
      </c>
    </row>
    <row r="360" spans="1:27" ht="12.75" customHeight="1" x14ac:dyDescent="0.2">
      <c r="A360" s="311" t="s">
        <v>286</v>
      </c>
      <c r="B360" s="311" t="s">
        <v>717</v>
      </c>
      <c r="C360" s="327">
        <v>0.12103174603174593</v>
      </c>
      <c r="D360" s="327">
        <v>0.25431216931216916</v>
      </c>
      <c r="E360" s="327">
        <v>0.29113756613756592</v>
      </c>
      <c r="F360" s="327">
        <v>0.365185185185185</v>
      </c>
      <c r="G360" s="327">
        <v>0.4520370370370369</v>
      </c>
      <c r="H360" s="327">
        <v>0.50193121693121678</v>
      </c>
      <c r="I360" s="327">
        <v>0.53955026455026434</v>
      </c>
      <c r="J360" s="327">
        <v>0.61518518518518506</v>
      </c>
      <c r="K360" s="327">
        <v>0.7038888888888889</v>
      </c>
      <c r="L360" s="327">
        <v>0.75484126984126976</v>
      </c>
      <c r="M360" s="327">
        <v>0.7932539682539681</v>
      </c>
      <c r="N360" s="327">
        <v>0.8704761904761904</v>
      </c>
      <c r="O360" s="327">
        <v>0.96103174603174601</v>
      </c>
      <c r="P360" s="311">
        <v>1</v>
      </c>
      <c r="Q360" s="311">
        <v>1.0024999999999999</v>
      </c>
      <c r="R360" s="311">
        <v>1.0049999999999999</v>
      </c>
      <c r="S360" s="311">
        <v>1.0075000000000001</v>
      </c>
      <c r="T360" s="311">
        <f t="shared" si="5"/>
        <v>1</v>
      </c>
      <c r="U360" s="311"/>
      <c r="V360" s="311"/>
      <c r="W360" s="311">
        <v>1</v>
      </c>
      <c r="X360" s="311" t="s">
        <v>1892</v>
      </c>
      <c r="Y360" s="311" t="s">
        <v>1893</v>
      </c>
      <c r="Z360" s="311" t="s">
        <v>2244</v>
      </c>
      <c r="AA360" s="377">
        <v>1</v>
      </c>
    </row>
    <row r="361" spans="1:27" ht="12.75" customHeight="1" x14ac:dyDescent="0.2">
      <c r="A361" s="311" t="s">
        <v>85</v>
      </c>
      <c r="B361" s="311" t="s">
        <v>717</v>
      </c>
      <c r="C361" s="327">
        <v>0.17857142857142846</v>
      </c>
      <c r="D361" s="327">
        <v>0.37303571428571408</v>
      </c>
      <c r="E361" s="327">
        <v>0.41964285714285693</v>
      </c>
      <c r="F361" s="327">
        <v>0.50749999999999984</v>
      </c>
      <c r="G361" s="327">
        <v>0.6037499999999999</v>
      </c>
      <c r="H361" s="327">
        <v>0.65517857142857139</v>
      </c>
      <c r="I361" s="327">
        <v>0.69107142857142856</v>
      </c>
      <c r="J361" s="327">
        <v>0.75750000000000006</v>
      </c>
      <c r="K361" s="327">
        <v>0.8287500000000001</v>
      </c>
      <c r="L361" s="327">
        <v>0.86589285714285724</v>
      </c>
      <c r="M361" s="327">
        <v>0.89107142857142874</v>
      </c>
      <c r="N361" s="327">
        <v>0.93607142857142878</v>
      </c>
      <c r="O361" s="327">
        <v>0.98232142857142868</v>
      </c>
      <c r="P361" s="311">
        <v>1</v>
      </c>
      <c r="Q361" s="311">
        <v>1.0024999999999999</v>
      </c>
      <c r="R361" s="311">
        <v>1.0049999999999999</v>
      </c>
      <c r="S361" s="311">
        <v>1.0075000000000001</v>
      </c>
      <c r="T361" s="311">
        <f t="shared" si="5"/>
        <v>1</v>
      </c>
      <c r="U361" s="311"/>
      <c r="V361" s="311"/>
      <c r="W361" s="311">
        <v>1</v>
      </c>
      <c r="X361" s="311" t="s">
        <v>1892</v>
      </c>
      <c r="Y361" s="311" t="s">
        <v>1893</v>
      </c>
      <c r="Z361" s="311" t="s">
        <v>2245</v>
      </c>
      <c r="AA361" s="377">
        <v>1</v>
      </c>
    </row>
    <row r="362" spans="1:27" ht="12.75" customHeight="1" x14ac:dyDescent="0.2">
      <c r="A362" s="311" t="s">
        <v>151</v>
      </c>
      <c r="B362" s="311" t="s">
        <v>717</v>
      </c>
      <c r="C362" s="327">
        <v>0.2444444444444438</v>
      </c>
      <c r="D362" s="327">
        <v>0.50688611111110993</v>
      </c>
      <c r="E362" s="327">
        <v>0.5578666666666654</v>
      </c>
      <c r="F362" s="327">
        <v>0.64586111111110978</v>
      </c>
      <c r="G362" s="327">
        <v>0.73376944444444325</v>
      </c>
      <c r="H362" s="327">
        <v>0.77624722222222098</v>
      </c>
      <c r="I362" s="327">
        <v>0.80314444444444322</v>
      </c>
      <c r="J362" s="327">
        <v>0.84880555555555459</v>
      </c>
      <c r="K362" s="327">
        <v>0.89413055555555476</v>
      </c>
      <c r="L362" s="327">
        <v>0.91616388888888811</v>
      </c>
      <c r="M362" s="327">
        <v>0.93064444444444372</v>
      </c>
      <c r="N362" s="327">
        <v>0.95730555555555497</v>
      </c>
      <c r="O362" s="327">
        <v>0.98726944444444409</v>
      </c>
      <c r="P362" s="311">
        <v>0.99999999999999978</v>
      </c>
      <c r="Q362" s="311">
        <v>1.0024999999999999</v>
      </c>
      <c r="R362" s="311">
        <v>1.0049999999999999</v>
      </c>
      <c r="S362" s="311">
        <v>1.0075000000000001</v>
      </c>
      <c r="T362" s="311">
        <f t="shared" si="5"/>
        <v>1</v>
      </c>
      <c r="U362" s="311"/>
      <c r="V362" s="311"/>
      <c r="W362" s="311">
        <v>1</v>
      </c>
      <c r="X362" s="311" t="s">
        <v>1892</v>
      </c>
      <c r="Y362" s="311" t="s">
        <v>1893</v>
      </c>
      <c r="Z362" s="311" t="s">
        <v>2246</v>
      </c>
      <c r="AA362" s="377">
        <v>1</v>
      </c>
    </row>
    <row r="363" spans="1:27" ht="12.75" customHeight="1" x14ac:dyDescent="0.2">
      <c r="A363" s="311" t="s">
        <v>78</v>
      </c>
      <c r="B363" s="311" t="s">
        <v>717</v>
      </c>
      <c r="C363" s="327">
        <v>0.17410714285714279</v>
      </c>
      <c r="D363" s="327">
        <v>0.36382440476190464</v>
      </c>
      <c r="E363" s="327">
        <v>0.40967261904761892</v>
      </c>
      <c r="F363" s="327">
        <v>0.49645833333333322</v>
      </c>
      <c r="G363" s="327">
        <v>0.5919791666666665</v>
      </c>
      <c r="H363" s="327">
        <v>0.64328869047619031</v>
      </c>
      <c r="I363" s="327">
        <v>0.67931547619047605</v>
      </c>
      <c r="J363" s="327">
        <v>0.74645833333333322</v>
      </c>
      <c r="K363" s="327">
        <v>0.81906250000000003</v>
      </c>
      <c r="L363" s="327">
        <v>0.85727678571428578</v>
      </c>
      <c r="M363" s="327">
        <v>0.88348214285714288</v>
      </c>
      <c r="N363" s="327">
        <v>0.93098214285714298</v>
      </c>
      <c r="O363" s="327">
        <v>0.98066964285714309</v>
      </c>
      <c r="P363" s="311">
        <v>1.0000000000000002</v>
      </c>
      <c r="Q363" s="311">
        <v>1.0024999999999999</v>
      </c>
      <c r="R363" s="311">
        <v>1.0049999999999999</v>
      </c>
      <c r="S363" s="311">
        <v>1.0075000000000001</v>
      </c>
      <c r="T363" s="311">
        <f t="shared" si="5"/>
        <v>1</v>
      </c>
      <c r="U363" s="311"/>
      <c r="V363" s="311"/>
      <c r="W363" s="311">
        <v>1</v>
      </c>
      <c r="X363" s="311" t="s">
        <v>1892</v>
      </c>
      <c r="Y363" s="311" t="s">
        <v>1893</v>
      </c>
      <c r="Z363" s="311" t="s">
        <v>2247</v>
      </c>
      <c r="AA363" s="377">
        <v>1</v>
      </c>
    </row>
    <row r="364" spans="1:27" ht="12.75" customHeight="1" x14ac:dyDescent="0.2">
      <c r="A364" s="311" t="s">
        <v>285</v>
      </c>
      <c r="B364" s="311" t="s">
        <v>717</v>
      </c>
      <c r="C364" s="327">
        <v>0.12619047619047605</v>
      </c>
      <c r="D364" s="327">
        <v>0.26495634920634892</v>
      </c>
      <c r="E364" s="327">
        <v>0.30265873015872979</v>
      </c>
      <c r="F364" s="327">
        <v>0.37794444444444408</v>
      </c>
      <c r="G364" s="327">
        <v>0.4656388888888886</v>
      </c>
      <c r="H364" s="327">
        <v>0.5156706349206347</v>
      </c>
      <c r="I364" s="327">
        <v>0.55313492063492042</v>
      </c>
      <c r="J364" s="327">
        <v>0.62794444444444431</v>
      </c>
      <c r="K364" s="327">
        <v>0.71508333333333329</v>
      </c>
      <c r="L364" s="327">
        <v>0.76479761904761889</v>
      </c>
      <c r="M364" s="327">
        <v>0.80202380952380936</v>
      </c>
      <c r="N364" s="327">
        <v>0.87635714285714295</v>
      </c>
      <c r="O364" s="327">
        <v>0.96294047619047629</v>
      </c>
      <c r="P364" s="311">
        <v>1</v>
      </c>
      <c r="Q364" s="311">
        <v>1.0024999999999999</v>
      </c>
      <c r="R364" s="311">
        <v>1.0049999999999999</v>
      </c>
      <c r="S364" s="311">
        <v>1.0075000000000001</v>
      </c>
      <c r="T364" s="311">
        <f t="shared" si="5"/>
        <v>1</v>
      </c>
      <c r="U364" s="311"/>
      <c r="V364" s="311"/>
      <c r="W364" s="311">
        <v>1</v>
      </c>
      <c r="X364" s="311" t="s">
        <v>1892</v>
      </c>
      <c r="Y364" s="311" t="s">
        <v>1893</v>
      </c>
      <c r="Z364" s="311" t="s">
        <v>2248</v>
      </c>
      <c r="AA364" s="377">
        <v>1</v>
      </c>
    </row>
    <row r="365" spans="1:27" ht="12.75" customHeight="1" x14ac:dyDescent="0.2">
      <c r="A365" s="311" t="s">
        <v>284</v>
      </c>
      <c r="B365" s="311" t="s">
        <v>717</v>
      </c>
      <c r="C365" s="327">
        <v>0.16613756613756592</v>
      </c>
      <c r="D365" s="327">
        <v>0.34600211640211598</v>
      </c>
      <c r="E365" s="327">
        <v>0.3859455026455022</v>
      </c>
      <c r="F365" s="327">
        <v>0.46037037037036993</v>
      </c>
      <c r="G365" s="327">
        <v>0.54185555555555531</v>
      </c>
      <c r="H365" s="327">
        <v>0.58581428571428551</v>
      </c>
      <c r="I365" s="327">
        <v>0.61740052910052889</v>
      </c>
      <c r="J365" s="327">
        <v>0.67899999999999983</v>
      </c>
      <c r="K365" s="327">
        <v>0.7500592592592592</v>
      </c>
      <c r="L365" s="327">
        <v>0.79065291005291005</v>
      </c>
      <c r="M365" s="327">
        <v>0.82165978835978837</v>
      </c>
      <c r="N365" s="327">
        <v>0.8859894179894181</v>
      </c>
      <c r="O365" s="327">
        <v>0.96477089947089967</v>
      </c>
      <c r="P365" s="311">
        <v>1.0000000000000002</v>
      </c>
      <c r="Q365" s="311">
        <v>1.0024999999999999</v>
      </c>
      <c r="R365" s="311">
        <v>1.0049999999999999</v>
      </c>
      <c r="S365" s="311">
        <v>1.0075000000000001</v>
      </c>
      <c r="T365" s="311">
        <f t="shared" si="5"/>
        <v>1</v>
      </c>
      <c r="U365" s="311"/>
      <c r="V365" s="311"/>
      <c r="W365" s="311">
        <v>1</v>
      </c>
      <c r="X365" s="311" t="s">
        <v>1892</v>
      </c>
      <c r="Y365" s="311" t="s">
        <v>1893</v>
      </c>
      <c r="Z365" s="311" t="s">
        <v>2249</v>
      </c>
      <c r="AA365" s="377">
        <v>1</v>
      </c>
    </row>
    <row r="366" spans="1:27" ht="12.75" customHeight="1" x14ac:dyDescent="0.2">
      <c r="A366" s="311" t="s">
        <v>283</v>
      </c>
      <c r="B366" s="311" t="s">
        <v>717</v>
      </c>
      <c r="C366" s="327">
        <v>0.26090102707749702</v>
      </c>
      <c r="D366" s="327">
        <v>0.5410978038437585</v>
      </c>
      <c r="E366" s="327">
        <v>0.595721934329286</v>
      </c>
      <c r="F366" s="327">
        <v>0.68960852396514027</v>
      </c>
      <c r="G366" s="327">
        <v>0.78257231753812495</v>
      </c>
      <c r="H366" s="327">
        <v>0.82681611616868822</v>
      </c>
      <c r="I366" s="327">
        <v>0.85408969810146151</v>
      </c>
      <c r="J366" s="327">
        <v>0.89838548474945445</v>
      </c>
      <c r="K366" s="327">
        <v>0.93945535130718894</v>
      </c>
      <c r="L366" s="327">
        <v>0.95745234010270697</v>
      </c>
      <c r="M366" s="327">
        <v>0.96759596171801998</v>
      </c>
      <c r="N366" s="327">
        <v>0.98274212184873921</v>
      </c>
      <c r="O366" s="327">
        <v>0.99576610060690918</v>
      </c>
      <c r="P366" s="311">
        <v>1</v>
      </c>
      <c r="Q366" s="311">
        <v>1.0024999999999999</v>
      </c>
      <c r="R366" s="311">
        <v>1.0049999999999999</v>
      </c>
      <c r="S366" s="311">
        <v>1.0075000000000001</v>
      </c>
      <c r="T366" s="311">
        <f t="shared" si="5"/>
        <v>1</v>
      </c>
      <c r="U366" s="311"/>
      <c r="V366" s="311"/>
      <c r="W366" s="311">
        <v>1</v>
      </c>
      <c r="X366" s="311" t="s">
        <v>1892</v>
      </c>
      <c r="Y366" s="311" t="s">
        <v>1893</v>
      </c>
      <c r="Z366" s="311" t="s">
        <v>2250</v>
      </c>
      <c r="AA366" s="377">
        <v>1</v>
      </c>
    </row>
    <row r="367" spans="1:27" ht="12.75" customHeight="1" x14ac:dyDescent="0.2">
      <c r="A367" s="311" t="s">
        <v>282</v>
      </c>
      <c r="B367" s="311" t="s">
        <v>717</v>
      </c>
      <c r="C367" s="327">
        <v>0.26428571428571351</v>
      </c>
      <c r="D367" s="327">
        <v>0.54723452380952231</v>
      </c>
      <c r="E367" s="327">
        <v>0.59963809523809386</v>
      </c>
      <c r="F367" s="327">
        <v>0.6879166666666654</v>
      </c>
      <c r="G367" s="327">
        <v>0.77360833333333212</v>
      </c>
      <c r="H367" s="327">
        <v>0.81355595238095124</v>
      </c>
      <c r="I367" s="327">
        <v>0.8378523809523799</v>
      </c>
      <c r="J367" s="327">
        <v>0.87741666666666573</v>
      </c>
      <c r="K367" s="327">
        <v>0.91502499999999942</v>
      </c>
      <c r="L367" s="327">
        <v>0.932496428571428</v>
      </c>
      <c r="M367" s="327">
        <v>0.94368571428571368</v>
      </c>
      <c r="N367" s="327">
        <v>0.96453571428571394</v>
      </c>
      <c r="O367" s="327">
        <v>0.98906071428571396</v>
      </c>
      <c r="P367" s="311">
        <v>0.99999999999999956</v>
      </c>
      <c r="Q367" s="311">
        <v>1.0024999999999999</v>
      </c>
      <c r="R367" s="311">
        <v>1.0049999999999999</v>
      </c>
      <c r="S367" s="311">
        <v>1.0075000000000001</v>
      </c>
      <c r="T367" s="311">
        <f t="shared" si="5"/>
        <v>1</v>
      </c>
      <c r="U367" s="311"/>
      <c r="V367" s="311"/>
      <c r="W367" s="311">
        <v>1</v>
      </c>
      <c r="X367" s="311" t="s">
        <v>1892</v>
      </c>
      <c r="Y367" s="311" t="s">
        <v>1893</v>
      </c>
      <c r="Z367" s="311" t="s">
        <v>2251</v>
      </c>
      <c r="AA367" s="377">
        <v>1</v>
      </c>
    </row>
    <row r="368" spans="1:27" ht="12.75" customHeight="1" x14ac:dyDescent="0.2">
      <c r="A368" s="311" t="s">
        <v>281</v>
      </c>
      <c r="B368" s="311" t="s">
        <v>717</v>
      </c>
      <c r="C368" s="327">
        <v>0.12619047619047605</v>
      </c>
      <c r="D368" s="327">
        <v>0.26495634920634892</v>
      </c>
      <c r="E368" s="327">
        <v>0.30265873015872979</v>
      </c>
      <c r="F368" s="327">
        <v>0.37794444444444408</v>
      </c>
      <c r="G368" s="327">
        <v>0.4656388888888886</v>
      </c>
      <c r="H368" s="327">
        <v>0.5156706349206347</v>
      </c>
      <c r="I368" s="327">
        <v>0.55313492063492042</v>
      </c>
      <c r="J368" s="327">
        <v>0.62794444444444431</v>
      </c>
      <c r="K368" s="327">
        <v>0.71508333333333329</v>
      </c>
      <c r="L368" s="327">
        <v>0.76479761904761889</v>
      </c>
      <c r="M368" s="327">
        <v>0.80202380952380936</v>
      </c>
      <c r="N368" s="327">
        <v>0.87635714285714295</v>
      </c>
      <c r="O368" s="327">
        <v>0.96294047619047629</v>
      </c>
      <c r="P368" s="311">
        <v>1</v>
      </c>
      <c r="Q368" s="311">
        <v>1.0024999999999999</v>
      </c>
      <c r="R368" s="311">
        <v>1.0049999999999999</v>
      </c>
      <c r="S368" s="311">
        <v>1.0075000000000001</v>
      </c>
      <c r="T368" s="311">
        <f t="shared" si="5"/>
        <v>1</v>
      </c>
      <c r="U368" s="311"/>
      <c r="V368" s="311"/>
      <c r="W368" s="311">
        <v>1</v>
      </c>
      <c r="X368" s="311" t="s">
        <v>1892</v>
      </c>
      <c r="Y368" s="311" t="s">
        <v>1893</v>
      </c>
      <c r="Z368" s="311" t="s">
        <v>2252</v>
      </c>
      <c r="AA368" s="377">
        <v>1</v>
      </c>
    </row>
    <row r="369" spans="1:27" ht="12.75" customHeight="1" x14ac:dyDescent="0.2">
      <c r="A369" s="311" t="s">
        <v>280</v>
      </c>
      <c r="B369" s="311" t="s">
        <v>717</v>
      </c>
      <c r="C369" s="327">
        <v>0.125</v>
      </c>
      <c r="D369" s="327">
        <v>0.26250000000000001</v>
      </c>
      <c r="E369" s="327">
        <v>0.3</v>
      </c>
      <c r="F369" s="327">
        <v>0.375</v>
      </c>
      <c r="G369" s="327">
        <v>0.46250000000000002</v>
      </c>
      <c r="H369" s="327">
        <v>0.51249999999999996</v>
      </c>
      <c r="I369" s="327">
        <v>0.55000000000000004</v>
      </c>
      <c r="J369" s="327">
        <v>0.625</v>
      </c>
      <c r="K369" s="327">
        <v>0.71250000000000002</v>
      </c>
      <c r="L369" s="327">
        <v>0.76249999999999996</v>
      </c>
      <c r="M369" s="327">
        <v>0.79999999999999993</v>
      </c>
      <c r="N369" s="327">
        <v>0.875</v>
      </c>
      <c r="O369" s="327">
        <v>0.96250000000000002</v>
      </c>
      <c r="P369" s="311">
        <v>1</v>
      </c>
      <c r="Q369" s="311">
        <v>1.0024999999999999</v>
      </c>
      <c r="R369" s="311">
        <v>1.0049999999999999</v>
      </c>
      <c r="S369" s="311">
        <v>1.0075000000000001</v>
      </c>
      <c r="T369" s="311">
        <f t="shared" si="5"/>
        <v>1</v>
      </c>
      <c r="U369" s="311"/>
      <c r="V369" s="311"/>
      <c r="W369" s="311">
        <v>1</v>
      </c>
      <c r="X369" s="311" t="s">
        <v>1892</v>
      </c>
      <c r="Y369" s="311" t="s">
        <v>1893</v>
      </c>
      <c r="Z369" s="311" t="s">
        <v>2253</v>
      </c>
      <c r="AA369" s="377">
        <v>1</v>
      </c>
    </row>
    <row r="370" spans="1:27" ht="12.75" customHeight="1" x14ac:dyDescent="0.2">
      <c r="A370" s="311" t="s">
        <v>279</v>
      </c>
      <c r="B370" s="311" t="s">
        <v>717</v>
      </c>
      <c r="C370" s="327">
        <v>0.125</v>
      </c>
      <c r="D370" s="327">
        <v>0.26250000000000001</v>
      </c>
      <c r="E370" s="327">
        <v>0.3</v>
      </c>
      <c r="F370" s="327">
        <v>0.375</v>
      </c>
      <c r="G370" s="327">
        <v>0.46250000000000002</v>
      </c>
      <c r="H370" s="327">
        <v>0.51249999999999996</v>
      </c>
      <c r="I370" s="327">
        <v>0.55000000000000004</v>
      </c>
      <c r="J370" s="327">
        <v>0.625</v>
      </c>
      <c r="K370" s="327">
        <v>0.71250000000000002</v>
      </c>
      <c r="L370" s="327">
        <v>0.76249999999999996</v>
      </c>
      <c r="M370" s="327">
        <v>0.79999999999999993</v>
      </c>
      <c r="N370" s="327">
        <v>0.875</v>
      </c>
      <c r="O370" s="327">
        <v>0.96250000000000002</v>
      </c>
      <c r="P370" s="311">
        <v>1</v>
      </c>
      <c r="Q370" s="311">
        <v>1.0024999999999999</v>
      </c>
      <c r="R370" s="311">
        <v>1.0049999999999999</v>
      </c>
      <c r="S370" s="311">
        <v>1.0075000000000001</v>
      </c>
      <c r="T370" s="311">
        <f t="shared" si="5"/>
        <v>1</v>
      </c>
      <c r="U370" s="311"/>
      <c r="V370" s="311"/>
      <c r="W370" s="311">
        <v>1</v>
      </c>
      <c r="X370" s="311" t="s">
        <v>1892</v>
      </c>
      <c r="Y370" s="311" t="s">
        <v>1893</v>
      </c>
      <c r="Z370" s="311" t="s">
        <v>2254</v>
      </c>
      <c r="AA370" s="377">
        <v>1</v>
      </c>
    </row>
    <row r="371" spans="1:27" ht="12.75" customHeight="1" x14ac:dyDescent="0.2">
      <c r="A371" s="311" t="s">
        <v>278</v>
      </c>
      <c r="B371" s="311" t="s">
        <v>717</v>
      </c>
      <c r="C371" s="327">
        <v>0.125</v>
      </c>
      <c r="D371" s="327">
        <v>0.26250000000000001</v>
      </c>
      <c r="E371" s="327">
        <v>0.3</v>
      </c>
      <c r="F371" s="327">
        <v>0.375</v>
      </c>
      <c r="G371" s="327">
        <v>0.46250000000000002</v>
      </c>
      <c r="H371" s="327">
        <v>0.51249999999999996</v>
      </c>
      <c r="I371" s="327">
        <v>0.55000000000000004</v>
      </c>
      <c r="J371" s="327">
        <v>0.625</v>
      </c>
      <c r="K371" s="327">
        <v>0.71250000000000002</v>
      </c>
      <c r="L371" s="327">
        <v>0.76249999999999996</v>
      </c>
      <c r="M371" s="327">
        <v>0.79999999999999993</v>
      </c>
      <c r="N371" s="327">
        <v>0.875</v>
      </c>
      <c r="O371" s="327">
        <v>0.96250000000000002</v>
      </c>
      <c r="P371" s="311">
        <v>1</v>
      </c>
      <c r="Q371" s="311">
        <v>1.0024999999999999</v>
      </c>
      <c r="R371" s="311">
        <v>1.0049999999999999</v>
      </c>
      <c r="S371" s="311">
        <v>1.0075000000000001</v>
      </c>
      <c r="T371" s="311">
        <f t="shared" si="5"/>
        <v>1</v>
      </c>
      <c r="U371" s="311"/>
      <c r="V371" s="311"/>
      <c r="W371" s="311">
        <v>1</v>
      </c>
      <c r="X371" s="311" t="s">
        <v>1892</v>
      </c>
      <c r="Y371" s="311" t="s">
        <v>1893</v>
      </c>
      <c r="Z371" s="311" t="s">
        <v>2255</v>
      </c>
      <c r="AA371" s="377">
        <v>1</v>
      </c>
    </row>
    <row r="372" spans="1:27" ht="12.75" customHeight="1" x14ac:dyDescent="0.2">
      <c r="A372" s="311" t="s">
        <v>277</v>
      </c>
      <c r="B372" s="311" t="s">
        <v>717</v>
      </c>
      <c r="C372" s="327">
        <v>0.125</v>
      </c>
      <c r="D372" s="327">
        <v>0.26250000000000001</v>
      </c>
      <c r="E372" s="327">
        <v>0.3</v>
      </c>
      <c r="F372" s="327">
        <v>0.375</v>
      </c>
      <c r="G372" s="327">
        <v>0.46250000000000002</v>
      </c>
      <c r="H372" s="327">
        <v>0.51249999999999996</v>
      </c>
      <c r="I372" s="327">
        <v>0.55000000000000004</v>
      </c>
      <c r="J372" s="327">
        <v>0.625</v>
      </c>
      <c r="K372" s="327">
        <v>0.71250000000000002</v>
      </c>
      <c r="L372" s="327">
        <v>0.76249999999999996</v>
      </c>
      <c r="M372" s="327">
        <v>0.79999999999999993</v>
      </c>
      <c r="N372" s="327">
        <v>0.875</v>
      </c>
      <c r="O372" s="327">
        <v>0.96250000000000002</v>
      </c>
      <c r="P372" s="311">
        <v>1</v>
      </c>
      <c r="Q372" s="311">
        <v>1.0024999999999999</v>
      </c>
      <c r="R372" s="311">
        <v>1.0049999999999999</v>
      </c>
      <c r="S372" s="311">
        <v>1.0075000000000001</v>
      </c>
      <c r="T372" s="311">
        <f t="shared" si="5"/>
        <v>1</v>
      </c>
      <c r="U372" s="311"/>
      <c r="V372" s="311"/>
      <c r="W372" s="311">
        <v>1</v>
      </c>
      <c r="X372" s="311" t="s">
        <v>1892</v>
      </c>
      <c r="Y372" s="311" t="s">
        <v>1893</v>
      </c>
      <c r="Z372" s="311" t="s">
        <v>2256</v>
      </c>
      <c r="AA372" s="377">
        <v>1</v>
      </c>
    </row>
    <row r="373" spans="1:27" ht="12.75" customHeight="1" x14ac:dyDescent="0.2">
      <c r="A373" s="311" t="s">
        <v>132</v>
      </c>
      <c r="B373" s="311" t="s">
        <v>717</v>
      </c>
      <c r="C373" s="327">
        <v>0.27601650563607016</v>
      </c>
      <c r="D373" s="327">
        <v>0.57131892864331602</v>
      </c>
      <c r="E373" s="327">
        <v>0.62532019927536109</v>
      </c>
      <c r="F373" s="327">
        <v>0.71550359802737384</v>
      </c>
      <c r="G373" s="327">
        <v>0.80200152224234977</v>
      </c>
      <c r="H373" s="327">
        <v>0.84163985758856563</v>
      </c>
      <c r="I373" s="327">
        <v>0.86517652979065918</v>
      </c>
      <c r="J373" s="327">
        <v>0.9022696507648944</v>
      </c>
      <c r="K373" s="327">
        <v>0.93597432316827645</v>
      </c>
      <c r="L373" s="327">
        <v>0.95067103210547477</v>
      </c>
      <c r="M373" s="327">
        <v>0.95942094404186773</v>
      </c>
      <c r="N373" s="327">
        <v>0.97477946356682721</v>
      </c>
      <c r="O373" s="327">
        <v>0.99227250654186749</v>
      </c>
      <c r="P373" s="311">
        <v>1</v>
      </c>
      <c r="Q373" s="311">
        <v>1.0024999999999999</v>
      </c>
      <c r="R373" s="311">
        <v>1.0049999999999999</v>
      </c>
      <c r="S373" s="311">
        <v>1.0075000000000001</v>
      </c>
      <c r="T373" s="311">
        <f t="shared" si="5"/>
        <v>1</v>
      </c>
      <c r="U373" s="311"/>
      <c r="V373" s="311"/>
      <c r="W373" s="311">
        <v>1</v>
      </c>
      <c r="X373" s="311" t="s">
        <v>1892</v>
      </c>
      <c r="Y373" s="311" t="s">
        <v>1893</v>
      </c>
      <c r="Z373" s="311" t="s">
        <v>2257</v>
      </c>
      <c r="AA373" s="377">
        <v>1</v>
      </c>
    </row>
    <row r="374" spans="1:27" ht="12.75" customHeight="1" x14ac:dyDescent="0.2">
      <c r="A374" s="311" t="s">
        <v>276</v>
      </c>
      <c r="B374" s="311" t="s">
        <v>717</v>
      </c>
      <c r="C374" s="327">
        <v>0.27547404547404447</v>
      </c>
      <c r="D374" s="327">
        <v>0.56971786357786158</v>
      </c>
      <c r="E374" s="327">
        <v>0.62203655941655722</v>
      </c>
      <c r="F374" s="327">
        <v>0.70843783783783554</v>
      </c>
      <c r="G374" s="327">
        <v>0.79039627627627418</v>
      </c>
      <c r="H374" s="327">
        <v>0.82752511368511172</v>
      </c>
      <c r="I374" s="327">
        <v>0.84944239382239195</v>
      </c>
      <c r="J374" s="327">
        <v>0.88423903903903722</v>
      </c>
      <c r="K374" s="327">
        <v>0.91672330330330187</v>
      </c>
      <c r="L374" s="327">
        <v>0.93171331617331454</v>
      </c>
      <c r="M374" s="327">
        <v>0.94162557700557581</v>
      </c>
      <c r="N374" s="327">
        <v>0.96161038181038105</v>
      </c>
      <c r="O374" s="327">
        <v>0.9875453968253961</v>
      </c>
      <c r="P374" s="311">
        <v>0.99999999999999989</v>
      </c>
      <c r="Q374" s="311">
        <v>1.0024999999999999</v>
      </c>
      <c r="R374" s="311">
        <v>1.0049999999999999</v>
      </c>
      <c r="S374" s="311">
        <v>1.0075000000000001</v>
      </c>
      <c r="T374" s="311">
        <f t="shared" si="5"/>
        <v>1</v>
      </c>
      <c r="U374" s="311"/>
      <c r="V374" s="311"/>
      <c r="W374" s="311">
        <v>1</v>
      </c>
      <c r="X374" s="311" t="s">
        <v>1892</v>
      </c>
      <c r="Y374" s="311" t="s">
        <v>1893</v>
      </c>
      <c r="Z374" s="311" t="s">
        <v>2258</v>
      </c>
      <c r="AA374" s="377">
        <v>1</v>
      </c>
    </row>
    <row r="375" spans="1:27" ht="12.75" customHeight="1" x14ac:dyDescent="0.2">
      <c r="A375" s="311" t="s">
        <v>275</v>
      </c>
      <c r="B375" s="311" t="s">
        <v>717</v>
      </c>
      <c r="C375" s="327">
        <v>0.21378968253968217</v>
      </c>
      <c r="D375" s="327">
        <v>0.44496428571428503</v>
      </c>
      <c r="E375" s="327">
        <v>0.49512103174603106</v>
      </c>
      <c r="F375" s="327">
        <v>0.58583333333333265</v>
      </c>
      <c r="G375" s="327">
        <v>0.68101388888888836</v>
      </c>
      <c r="H375" s="327">
        <v>0.72955753968253911</v>
      </c>
      <c r="I375" s="327">
        <v>0.76188690476190413</v>
      </c>
      <c r="J375" s="327">
        <v>0.81902777777777747</v>
      </c>
      <c r="K375" s="327">
        <v>0.87747222222222199</v>
      </c>
      <c r="L375" s="327">
        <v>0.906412698412698</v>
      </c>
      <c r="M375" s="327">
        <v>0.92508134920634877</v>
      </c>
      <c r="N375" s="327">
        <v>0.95698412698412638</v>
      </c>
      <c r="O375" s="327">
        <v>0.98841468253968223</v>
      </c>
      <c r="P375" s="311">
        <v>1</v>
      </c>
      <c r="Q375" s="311">
        <v>1.0024999999999999</v>
      </c>
      <c r="R375" s="311">
        <v>1.0049999999999999</v>
      </c>
      <c r="S375" s="311">
        <v>1.0075000000000001</v>
      </c>
      <c r="T375" s="311">
        <f t="shared" si="5"/>
        <v>1</v>
      </c>
      <c r="U375" s="311"/>
      <c r="V375" s="311"/>
      <c r="W375" s="311">
        <v>1</v>
      </c>
      <c r="X375" s="311" t="s">
        <v>1892</v>
      </c>
      <c r="Y375" s="311" t="s">
        <v>1893</v>
      </c>
      <c r="Z375" s="311" t="s">
        <v>2259</v>
      </c>
      <c r="AA375" s="377">
        <v>1</v>
      </c>
    </row>
    <row r="376" spans="1:27" ht="12.75" customHeight="1" x14ac:dyDescent="0.2">
      <c r="A376" s="311" t="s">
        <v>274</v>
      </c>
      <c r="B376" s="311" t="s">
        <v>717</v>
      </c>
      <c r="C376" s="327">
        <v>0.125</v>
      </c>
      <c r="D376" s="327">
        <v>0.26250000000000001</v>
      </c>
      <c r="E376" s="327">
        <v>0.3</v>
      </c>
      <c r="F376" s="327">
        <v>0.375</v>
      </c>
      <c r="G376" s="327">
        <v>0.46250000000000002</v>
      </c>
      <c r="H376" s="327">
        <v>0.51249999999999996</v>
      </c>
      <c r="I376" s="327">
        <v>0.55000000000000004</v>
      </c>
      <c r="J376" s="327">
        <v>0.625</v>
      </c>
      <c r="K376" s="327">
        <v>0.71250000000000002</v>
      </c>
      <c r="L376" s="327">
        <v>0.76249999999999996</v>
      </c>
      <c r="M376" s="327">
        <v>0.79999999999999993</v>
      </c>
      <c r="N376" s="327">
        <v>0.875</v>
      </c>
      <c r="O376" s="327">
        <v>0.96250000000000002</v>
      </c>
      <c r="P376" s="311">
        <v>1</v>
      </c>
      <c r="Q376" s="311">
        <v>1.0024999999999999</v>
      </c>
      <c r="R376" s="311">
        <v>1.0049999999999999</v>
      </c>
      <c r="S376" s="311">
        <v>1.0075000000000001</v>
      </c>
      <c r="T376" s="311">
        <f t="shared" si="5"/>
        <v>1</v>
      </c>
      <c r="U376" s="311"/>
      <c r="V376" s="311"/>
      <c r="W376" s="311">
        <v>1</v>
      </c>
      <c r="X376" s="311" t="s">
        <v>1892</v>
      </c>
      <c r="Y376" s="311" t="s">
        <v>1893</v>
      </c>
      <c r="Z376" s="311" t="s">
        <v>2260</v>
      </c>
      <c r="AA376" s="377">
        <v>1</v>
      </c>
    </row>
    <row r="377" spans="1:27" ht="12.75" customHeight="1" x14ac:dyDescent="0.2">
      <c r="A377" s="311" t="s">
        <v>139</v>
      </c>
      <c r="B377" s="311" t="s">
        <v>717</v>
      </c>
      <c r="C377" s="327">
        <v>0.25467532467532406</v>
      </c>
      <c r="D377" s="327">
        <v>0.52753397546897429</v>
      </c>
      <c r="E377" s="327">
        <v>0.57872923520923414</v>
      </c>
      <c r="F377" s="327">
        <v>0.6656782828282819</v>
      </c>
      <c r="G377" s="327">
        <v>0.75099095959595874</v>
      </c>
      <c r="H377" s="327">
        <v>0.79134977633477532</v>
      </c>
      <c r="I377" s="327">
        <v>0.81637209235209152</v>
      </c>
      <c r="J377" s="327">
        <v>0.8581116161616158</v>
      </c>
      <c r="K377" s="327">
        <v>0.89900560606060598</v>
      </c>
      <c r="L377" s="327">
        <v>0.91873989177489146</v>
      </c>
      <c r="M377" s="327">
        <v>0.93186199134199099</v>
      </c>
      <c r="N377" s="327">
        <v>0.95693744588744556</v>
      </c>
      <c r="O377" s="327">
        <v>0.98671577922077924</v>
      </c>
      <c r="P377" s="311">
        <v>1.0000000000000007</v>
      </c>
      <c r="Q377" s="311">
        <v>1.0024999999999999</v>
      </c>
      <c r="R377" s="311">
        <v>1.0049999999999999</v>
      </c>
      <c r="S377" s="311">
        <v>1.0075000000000001</v>
      </c>
      <c r="T377" s="311">
        <f t="shared" si="5"/>
        <v>1</v>
      </c>
      <c r="U377" s="311"/>
      <c r="V377" s="311"/>
      <c r="W377" s="311">
        <v>1</v>
      </c>
      <c r="X377" s="311" t="s">
        <v>1892</v>
      </c>
      <c r="Y377" s="311" t="s">
        <v>1893</v>
      </c>
      <c r="Z377" s="311" t="s">
        <v>2261</v>
      </c>
      <c r="AA377" s="377">
        <v>1</v>
      </c>
    </row>
    <row r="378" spans="1:27" ht="12.75" customHeight="1" x14ac:dyDescent="0.2">
      <c r="A378" s="311" t="s">
        <v>273</v>
      </c>
      <c r="B378" s="311" t="s">
        <v>717</v>
      </c>
      <c r="C378" s="327">
        <v>0.125</v>
      </c>
      <c r="D378" s="327">
        <v>0.26250000000000001</v>
      </c>
      <c r="E378" s="327">
        <v>0.3</v>
      </c>
      <c r="F378" s="327">
        <v>0.375</v>
      </c>
      <c r="G378" s="327">
        <v>0.46250000000000002</v>
      </c>
      <c r="H378" s="327">
        <v>0.51249999999999996</v>
      </c>
      <c r="I378" s="327">
        <v>0.55000000000000004</v>
      </c>
      <c r="J378" s="327">
        <v>0.625</v>
      </c>
      <c r="K378" s="327">
        <v>0.71250000000000002</v>
      </c>
      <c r="L378" s="327">
        <v>0.76249999999999996</v>
      </c>
      <c r="M378" s="327">
        <v>0.79999999999999993</v>
      </c>
      <c r="N378" s="327">
        <v>0.875</v>
      </c>
      <c r="O378" s="327">
        <v>0.96250000000000002</v>
      </c>
      <c r="P378" s="311">
        <v>1</v>
      </c>
      <c r="Q378" s="311">
        <v>1.0024999999999999</v>
      </c>
      <c r="R378" s="311">
        <v>1.0049999999999999</v>
      </c>
      <c r="S378" s="311">
        <v>1.0075000000000001</v>
      </c>
      <c r="T378" s="311">
        <f t="shared" si="5"/>
        <v>1</v>
      </c>
      <c r="U378" s="311"/>
      <c r="V378" s="311"/>
      <c r="W378" s="311">
        <v>1</v>
      </c>
      <c r="X378" s="311" t="s">
        <v>1892</v>
      </c>
      <c r="Y378" s="311" t="s">
        <v>1893</v>
      </c>
      <c r="Z378" s="311" t="s">
        <v>2262</v>
      </c>
      <c r="AA378" s="377">
        <v>1</v>
      </c>
    </row>
    <row r="379" spans="1:27" ht="12.75" customHeight="1" x14ac:dyDescent="0.2">
      <c r="A379" s="311" t="s">
        <v>272</v>
      </c>
      <c r="B379" s="311" t="s">
        <v>717</v>
      </c>
      <c r="C379" s="327">
        <v>0.12619047619047605</v>
      </c>
      <c r="D379" s="327">
        <v>0.26495634920634892</v>
      </c>
      <c r="E379" s="327">
        <v>0.30265873015872979</v>
      </c>
      <c r="F379" s="327">
        <v>0.37794444444444408</v>
      </c>
      <c r="G379" s="327">
        <v>0.4656388888888886</v>
      </c>
      <c r="H379" s="327">
        <v>0.5156706349206347</v>
      </c>
      <c r="I379" s="327">
        <v>0.55313492063492042</v>
      </c>
      <c r="J379" s="327">
        <v>0.62794444444444431</v>
      </c>
      <c r="K379" s="327">
        <v>0.71508333333333329</v>
      </c>
      <c r="L379" s="327">
        <v>0.76479761904761889</v>
      </c>
      <c r="M379" s="327">
        <v>0.80202380952380936</v>
      </c>
      <c r="N379" s="327">
        <v>0.87635714285714295</v>
      </c>
      <c r="O379" s="327">
        <v>0.96294047619047629</v>
      </c>
      <c r="P379" s="311">
        <v>1</v>
      </c>
      <c r="Q379" s="311">
        <v>1.0024999999999999</v>
      </c>
      <c r="R379" s="311">
        <v>1.0049999999999999</v>
      </c>
      <c r="S379" s="311">
        <v>1.0075000000000001</v>
      </c>
      <c r="T379" s="311">
        <f t="shared" si="5"/>
        <v>1</v>
      </c>
      <c r="U379" s="311"/>
      <c r="V379" s="311"/>
      <c r="W379" s="311">
        <v>1</v>
      </c>
      <c r="X379" s="311" t="s">
        <v>1892</v>
      </c>
      <c r="Y379" s="311" t="s">
        <v>1893</v>
      </c>
      <c r="Z379" s="311" t="s">
        <v>2263</v>
      </c>
      <c r="AA379" s="377">
        <v>1</v>
      </c>
    </row>
    <row r="380" spans="1:27" ht="12.75" customHeight="1" x14ac:dyDescent="0.2">
      <c r="A380" s="311" t="s">
        <v>144</v>
      </c>
      <c r="B380" s="311" t="s">
        <v>717</v>
      </c>
      <c r="C380" s="327">
        <v>0.16613756613756592</v>
      </c>
      <c r="D380" s="327">
        <v>0.34600211640211598</v>
      </c>
      <c r="E380" s="327">
        <v>0.3859455026455022</v>
      </c>
      <c r="F380" s="327">
        <v>0.46037037037036993</v>
      </c>
      <c r="G380" s="327">
        <v>0.54185555555555531</v>
      </c>
      <c r="H380" s="327">
        <v>0.58581428571428551</v>
      </c>
      <c r="I380" s="327">
        <v>0.61740052910052889</v>
      </c>
      <c r="J380" s="327">
        <v>0.67899999999999983</v>
      </c>
      <c r="K380" s="327">
        <v>0.7500592592592592</v>
      </c>
      <c r="L380" s="327">
        <v>0.79065291005291005</v>
      </c>
      <c r="M380" s="327">
        <v>0.82165978835978837</v>
      </c>
      <c r="N380" s="327">
        <v>0.8859894179894181</v>
      </c>
      <c r="O380" s="327">
        <v>0.96477089947089967</v>
      </c>
      <c r="P380" s="311">
        <v>1.0000000000000002</v>
      </c>
      <c r="Q380" s="311">
        <v>1.0024999999999999</v>
      </c>
      <c r="R380" s="311">
        <v>1.0049999999999999</v>
      </c>
      <c r="S380" s="311">
        <v>1.0075000000000001</v>
      </c>
      <c r="T380" s="311">
        <f t="shared" si="5"/>
        <v>1</v>
      </c>
      <c r="U380" s="311"/>
      <c r="V380" s="311"/>
      <c r="W380" s="311">
        <v>1</v>
      </c>
      <c r="X380" s="311" t="s">
        <v>1892</v>
      </c>
      <c r="Y380" s="311" t="s">
        <v>1893</v>
      </c>
      <c r="Z380" s="311" t="s">
        <v>2264</v>
      </c>
      <c r="AA380" s="377">
        <v>1</v>
      </c>
    </row>
    <row r="381" spans="1:27" ht="12.75" customHeight="1" x14ac:dyDescent="0.2">
      <c r="A381" s="311" t="s">
        <v>76</v>
      </c>
      <c r="B381" s="311" t="s">
        <v>717</v>
      </c>
      <c r="C381" s="327">
        <v>0.27320367137037077</v>
      </c>
      <c r="D381" s="327">
        <v>0.56588965932328861</v>
      </c>
      <c r="E381" s="327">
        <v>0.62064910012625774</v>
      </c>
      <c r="F381" s="327">
        <v>0.71299644916404969</v>
      </c>
      <c r="G381" s="327">
        <v>0.80249508559852112</v>
      </c>
      <c r="H381" s="327">
        <v>0.84399806397547272</v>
      </c>
      <c r="I381" s="327">
        <v>0.86889069690522269</v>
      </c>
      <c r="J381" s="327">
        <v>0.90828663817092969</v>
      </c>
      <c r="K381" s="327">
        <v>0.94392120817471448</v>
      </c>
      <c r="L381" s="327">
        <v>0.95916619200274778</v>
      </c>
      <c r="M381" s="327">
        <v>0.96775643300798608</v>
      </c>
      <c r="N381" s="327">
        <v>0.98132979839902401</v>
      </c>
      <c r="O381" s="327">
        <v>0.99475060585243957</v>
      </c>
      <c r="P381" s="311">
        <v>1</v>
      </c>
      <c r="Q381" s="311">
        <v>1.0024999999999999</v>
      </c>
      <c r="R381" s="311">
        <v>1.0049999999999999</v>
      </c>
      <c r="S381" s="311">
        <v>1.0075000000000001</v>
      </c>
      <c r="T381" s="311">
        <f t="shared" si="5"/>
        <v>1</v>
      </c>
      <c r="U381" s="311"/>
      <c r="V381" s="311"/>
      <c r="W381" s="311">
        <v>1</v>
      </c>
      <c r="X381" s="311" t="s">
        <v>1892</v>
      </c>
      <c r="Y381" s="311" t="s">
        <v>1893</v>
      </c>
      <c r="Z381" s="311" t="s">
        <v>2265</v>
      </c>
      <c r="AA381" s="377">
        <v>1</v>
      </c>
    </row>
    <row r="382" spans="1:27" ht="12.75" customHeight="1" x14ac:dyDescent="0.2">
      <c r="A382" s="311" t="s">
        <v>103</v>
      </c>
      <c r="B382" s="311" t="s">
        <v>717</v>
      </c>
      <c r="C382" s="327">
        <v>0.12619047619047605</v>
      </c>
      <c r="D382" s="327">
        <v>0.26495634920634892</v>
      </c>
      <c r="E382" s="327">
        <v>0.30265873015872979</v>
      </c>
      <c r="F382" s="327">
        <v>0.37794444444444408</v>
      </c>
      <c r="G382" s="327">
        <v>0.4656388888888886</v>
      </c>
      <c r="H382" s="327">
        <v>0.5156706349206347</v>
      </c>
      <c r="I382" s="327">
        <v>0.55313492063492042</v>
      </c>
      <c r="J382" s="327">
        <v>0.62794444444444431</v>
      </c>
      <c r="K382" s="327">
        <v>0.71508333333333329</v>
      </c>
      <c r="L382" s="327">
        <v>0.76479761904761889</v>
      </c>
      <c r="M382" s="327">
        <v>0.80202380952380936</v>
      </c>
      <c r="N382" s="327">
        <v>0.87635714285714295</v>
      </c>
      <c r="O382" s="327">
        <v>0.96294047619047629</v>
      </c>
      <c r="P382" s="311">
        <v>1</v>
      </c>
      <c r="Q382" s="311">
        <v>1.0024999999999999</v>
      </c>
      <c r="R382" s="311">
        <v>1.0049999999999999</v>
      </c>
      <c r="S382" s="311">
        <v>1.0075000000000001</v>
      </c>
      <c r="T382" s="311">
        <f t="shared" si="5"/>
        <v>1</v>
      </c>
      <c r="U382" s="311"/>
      <c r="V382" s="311"/>
      <c r="W382" s="311">
        <v>1</v>
      </c>
      <c r="X382" s="311" t="s">
        <v>1892</v>
      </c>
      <c r="Y382" s="311" t="s">
        <v>1893</v>
      </c>
      <c r="Z382" s="311" t="s">
        <v>2266</v>
      </c>
      <c r="AA382" s="377">
        <v>1</v>
      </c>
    </row>
    <row r="383" spans="1:27" ht="12.75" customHeight="1" x14ac:dyDescent="0.2">
      <c r="A383" s="311" t="s">
        <v>57</v>
      </c>
      <c r="B383" s="311" t="s">
        <v>717</v>
      </c>
      <c r="C383" s="327">
        <v>0.21378968253968217</v>
      </c>
      <c r="D383" s="327">
        <v>0.44496428571428503</v>
      </c>
      <c r="E383" s="327">
        <v>0.49512103174603106</v>
      </c>
      <c r="F383" s="327">
        <v>0.58583333333333265</v>
      </c>
      <c r="G383" s="327">
        <v>0.68101388888888836</v>
      </c>
      <c r="H383" s="327">
        <v>0.72955753968253911</v>
      </c>
      <c r="I383" s="327">
        <v>0.76188690476190413</v>
      </c>
      <c r="J383" s="327">
        <v>0.81902777777777747</v>
      </c>
      <c r="K383" s="327">
        <v>0.87747222222222199</v>
      </c>
      <c r="L383" s="327">
        <v>0.906412698412698</v>
      </c>
      <c r="M383" s="327">
        <v>0.92508134920634877</v>
      </c>
      <c r="N383" s="327">
        <v>0.95698412698412638</v>
      </c>
      <c r="O383" s="327">
        <v>0.98841468253968223</v>
      </c>
      <c r="P383" s="311">
        <v>1</v>
      </c>
      <c r="Q383" s="311">
        <v>1.0024999999999999</v>
      </c>
      <c r="R383" s="311">
        <v>1.0049999999999999</v>
      </c>
      <c r="S383" s="311">
        <v>1.0075000000000001</v>
      </c>
      <c r="T383" s="311">
        <f t="shared" si="5"/>
        <v>1</v>
      </c>
      <c r="U383" s="311"/>
      <c r="V383" s="311"/>
      <c r="W383" s="311">
        <v>1</v>
      </c>
      <c r="X383" s="311" t="s">
        <v>1892</v>
      </c>
      <c r="Y383" s="311" t="s">
        <v>1893</v>
      </c>
      <c r="Z383" s="311" t="s">
        <v>2267</v>
      </c>
      <c r="AA383" s="377">
        <v>1</v>
      </c>
    </row>
    <row r="384" spans="1:27" ht="12.75" customHeight="1" x14ac:dyDescent="0.2">
      <c r="A384" s="311" t="s">
        <v>114</v>
      </c>
      <c r="B384" s="311" t="s">
        <v>717</v>
      </c>
      <c r="C384" s="327">
        <v>0.27601650563607016</v>
      </c>
      <c r="D384" s="327">
        <v>0.57131892864331602</v>
      </c>
      <c r="E384" s="327">
        <v>0.62532019927536109</v>
      </c>
      <c r="F384" s="327">
        <v>0.71550359802737384</v>
      </c>
      <c r="G384" s="327">
        <v>0.80200152224234977</v>
      </c>
      <c r="H384" s="327">
        <v>0.84163985758856563</v>
      </c>
      <c r="I384" s="327">
        <v>0.86517652979065918</v>
      </c>
      <c r="J384" s="327">
        <v>0.9022696507648944</v>
      </c>
      <c r="K384" s="327">
        <v>0.93597432316827645</v>
      </c>
      <c r="L384" s="327">
        <v>0.95067103210547477</v>
      </c>
      <c r="M384" s="327">
        <v>0.95942094404186773</v>
      </c>
      <c r="N384" s="327">
        <v>0.97477946356682721</v>
      </c>
      <c r="O384" s="327">
        <v>0.99227250654186749</v>
      </c>
      <c r="P384" s="311">
        <v>1</v>
      </c>
      <c r="Q384" s="311">
        <v>1.0024999999999999</v>
      </c>
      <c r="R384" s="311">
        <v>1.0049999999999999</v>
      </c>
      <c r="S384" s="311">
        <v>1.0075000000000001</v>
      </c>
      <c r="T384" s="311">
        <f t="shared" si="5"/>
        <v>1</v>
      </c>
      <c r="U384" s="311"/>
      <c r="V384" s="311"/>
      <c r="W384" s="311">
        <v>1</v>
      </c>
      <c r="X384" s="311" t="s">
        <v>1892</v>
      </c>
      <c r="Y384" s="311" t="s">
        <v>1893</v>
      </c>
      <c r="Z384" s="311" t="s">
        <v>2268</v>
      </c>
      <c r="AA384" s="377">
        <v>1</v>
      </c>
    </row>
    <row r="385" spans="1:27" ht="12.75" customHeight="1" x14ac:dyDescent="0.2">
      <c r="A385" s="311" t="s">
        <v>64</v>
      </c>
      <c r="B385" s="311" t="s">
        <v>717</v>
      </c>
      <c r="C385" s="327">
        <v>0.263927429733881</v>
      </c>
      <c r="D385" s="327">
        <v>0.54714250300992173</v>
      </c>
      <c r="E385" s="327">
        <v>0.60162166562876185</v>
      </c>
      <c r="F385" s="327">
        <v>0.69472028480092962</v>
      </c>
      <c r="G385" s="327">
        <v>0.78633278988666078</v>
      </c>
      <c r="H385" s="327">
        <v>0.82962270394818782</v>
      </c>
      <c r="I385" s="327">
        <v>0.85612724955370134</v>
      </c>
      <c r="J385" s="327">
        <v>0.89895056669572848</v>
      </c>
      <c r="K385" s="327">
        <v>0.9385281400755604</v>
      </c>
      <c r="L385" s="327">
        <v>0.95586642877901029</v>
      </c>
      <c r="M385" s="327">
        <v>0.96574422136422189</v>
      </c>
      <c r="N385" s="327">
        <v>0.98098796446215919</v>
      </c>
      <c r="O385" s="327">
        <v>0.99500895545315027</v>
      </c>
      <c r="P385" s="311">
        <v>1.0000000000000009</v>
      </c>
      <c r="Q385" s="311">
        <v>1.0024999999999999</v>
      </c>
      <c r="R385" s="311">
        <v>1.0049999999999999</v>
      </c>
      <c r="S385" s="311">
        <v>1.0075000000000001</v>
      </c>
      <c r="T385" s="311">
        <f t="shared" si="5"/>
        <v>1</v>
      </c>
      <c r="U385" s="311"/>
      <c r="V385" s="311"/>
      <c r="W385" s="311">
        <v>1</v>
      </c>
      <c r="X385" s="311" t="s">
        <v>1892</v>
      </c>
      <c r="Y385" s="311" t="s">
        <v>1893</v>
      </c>
      <c r="Z385" s="311" t="s">
        <v>2269</v>
      </c>
      <c r="AA385" s="377">
        <v>1</v>
      </c>
    </row>
    <row r="386" spans="1:27" ht="12.75" customHeight="1" x14ac:dyDescent="0.2">
      <c r="A386" s="311" t="s">
        <v>61</v>
      </c>
      <c r="B386" s="311" t="s">
        <v>717</v>
      </c>
      <c r="C386" s="327">
        <v>0.125</v>
      </c>
      <c r="D386" s="327">
        <v>0.26250000000000001</v>
      </c>
      <c r="E386" s="327">
        <v>0.3</v>
      </c>
      <c r="F386" s="327">
        <v>0.375</v>
      </c>
      <c r="G386" s="327">
        <v>0.46250000000000002</v>
      </c>
      <c r="H386" s="327">
        <v>0.51249999999999996</v>
      </c>
      <c r="I386" s="327">
        <v>0.55000000000000004</v>
      </c>
      <c r="J386" s="327">
        <v>0.625</v>
      </c>
      <c r="K386" s="327">
        <v>0.71250000000000002</v>
      </c>
      <c r="L386" s="327">
        <v>0.76249999999999996</v>
      </c>
      <c r="M386" s="327">
        <v>0.79999999999999993</v>
      </c>
      <c r="N386" s="327">
        <v>0.875</v>
      </c>
      <c r="O386" s="327">
        <v>0.96250000000000002</v>
      </c>
      <c r="P386" s="311">
        <v>1</v>
      </c>
      <c r="Q386" s="311">
        <v>1.0024999999999999</v>
      </c>
      <c r="R386" s="311">
        <v>1.0049999999999999</v>
      </c>
      <c r="S386" s="311">
        <v>1.0075000000000001</v>
      </c>
      <c r="T386" s="311">
        <f t="shared" si="5"/>
        <v>1</v>
      </c>
      <c r="U386" s="311"/>
      <c r="V386" s="311"/>
      <c r="W386" s="311">
        <v>1</v>
      </c>
      <c r="X386" s="311" t="s">
        <v>1892</v>
      </c>
      <c r="Y386" s="311" t="s">
        <v>1893</v>
      </c>
      <c r="Z386" s="311" t="s">
        <v>2270</v>
      </c>
      <c r="AA386" s="377">
        <v>1</v>
      </c>
    </row>
    <row r="387" spans="1:27" ht="12.75" customHeight="1" x14ac:dyDescent="0.2">
      <c r="A387" s="311" t="s">
        <v>73</v>
      </c>
      <c r="B387" s="311" t="s">
        <v>717</v>
      </c>
      <c r="C387" s="327">
        <v>0.19133597883597861</v>
      </c>
      <c r="D387" s="327">
        <v>0.39954553571428525</v>
      </c>
      <c r="E387" s="327">
        <v>0.44889140211640155</v>
      </c>
      <c r="F387" s="327">
        <v>0.54111805555555503</v>
      </c>
      <c r="G387" s="327">
        <v>0.64104467592592562</v>
      </c>
      <c r="H387" s="327">
        <v>0.69370591931216907</v>
      </c>
      <c r="I387" s="327">
        <v>0.72980079365079342</v>
      </c>
      <c r="J387" s="327">
        <v>0.79503935185185171</v>
      </c>
      <c r="K387" s="327">
        <v>0.86291273148148151</v>
      </c>
      <c r="L387" s="327">
        <v>0.89693376322751317</v>
      </c>
      <c r="M387" s="327">
        <v>0.91880542328042314</v>
      </c>
      <c r="N387" s="327">
        <v>0.95511144179894181</v>
      </c>
      <c r="O387" s="327">
        <v>0.98866306216931221</v>
      </c>
      <c r="P387" s="311">
        <v>1</v>
      </c>
      <c r="Q387" s="311">
        <v>1.0024999999999999</v>
      </c>
      <c r="R387" s="311">
        <v>1.0049999999999999</v>
      </c>
      <c r="S387" s="311">
        <v>1.0075000000000001</v>
      </c>
      <c r="T387" s="311">
        <f t="shared" si="5"/>
        <v>1</v>
      </c>
      <c r="U387" s="311"/>
      <c r="V387" s="311"/>
      <c r="W387" s="311">
        <v>1</v>
      </c>
      <c r="X387" s="311" t="s">
        <v>1892</v>
      </c>
      <c r="Y387" s="311" t="s">
        <v>1893</v>
      </c>
      <c r="Z387" s="311" t="s">
        <v>2271</v>
      </c>
      <c r="AA387" s="377">
        <v>1</v>
      </c>
    </row>
    <row r="388" spans="1:27" ht="12.75" customHeight="1" x14ac:dyDescent="0.2">
      <c r="A388" s="311" t="s">
        <v>70</v>
      </c>
      <c r="B388" s="311" t="s">
        <v>717</v>
      </c>
      <c r="C388" s="327">
        <v>0.125</v>
      </c>
      <c r="D388" s="327">
        <v>0.26250000000000001</v>
      </c>
      <c r="E388" s="327">
        <v>0.3</v>
      </c>
      <c r="F388" s="327">
        <v>0.375</v>
      </c>
      <c r="G388" s="327">
        <v>0.46250000000000002</v>
      </c>
      <c r="H388" s="327">
        <v>0.51249999999999996</v>
      </c>
      <c r="I388" s="327">
        <v>0.55000000000000004</v>
      </c>
      <c r="J388" s="327">
        <v>0.625</v>
      </c>
      <c r="K388" s="327">
        <v>0.71250000000000002</v>
      </c>
      <c r="L388" s="327">
        <v>0.76249999999999996</v>
      </c>
      <c r="M388" s="327">
        <v>0.79999999999999993</v>
      </c>
      <c r="N388" s="327">
        <v>0.875</v>
      </c>
      <c r="O388" s="327">
        <v>0.96250000000000002</v>
      </c>
      <c r="P388" s="311">
        <v>1</v>
      </c>
      <c r="Q388" s="311">
        <v>1.0024999999999999</v>
      </c>
      <c r="R388" s="311">
        <v>1.0049999999999999</v>
      </c>
      <c r="S388" s="311">
        <v>1.0075000000000001</v>
      </c>
      <c r="T388" s="311">
        <f t="shared" ref="T388:T427" si="6">IF($T$2&lt;&gt;0,$AA388*$T$2,$AA388)</f>
        <v>1</v>
      </c>
      <c r="U388" s="311"/>
      <c r="V388" s="311"/>
      <c r="W388" s="311">
        <v>1</v>
      </c>
      <c r="X388" s="311" t="s">
        <v>1892</v>
      </c>
      <c r="Y388" s="311" t="s">
        <v>1893</v>
      </c>
      <c r="Z388" s="311" t="s">
        <v>2272</v>
      </c>
      <c r="AA388" s="377">
        <v>1</v>
      </c>
    </row>
    <row r="389" spans="1:27" ht="12.75" customHeight="1" x14ac:dyDescent="0.2">
      <c r="A389" s="311" t="s">
        <v>127</v>
      </c>
      <c r="B389" s="311" t="s">
        <v>717</v>
      </c>
      <c r="C389" s="327">
        <v>0.22831977027571115</v>
      </c>
      <c r="D389" s="327">
        <v>0.4740219141394868</v>
      </c>
      <c r="E389" s="327">
        <v>0.52360271367113731</v>
      </c>
      <c r="F389" s="327">
        <v>0.61080757676902431</v>
      </c>
      <c r="G389" s="327">
        <v>0.69983645786975124</v>
      </c>
      <c r="H389" s="327">
        <v>0.74398876147031945</v>
      </c>
      <c r="I389" s="327">
        <v>0.77274938012588157</v>
      </c>
      <c r="J389" s="327">
        <v>0.82300068609998478</v>
      </c>
      <c r="K389" s="327">
        <v>0.87438502262275608</v>
      </c>
      <c r="L389" s="327">
        <v>0.90015069431199235</v>
      </c>
      <c r="M389" s="327">
        <v>0.9174647413482524</v>
      </c>
      <c r="N389" s="327">
        <v>0.94950970871214513</v>
      </c>
      <c r="O389" s="327">
        <v>0.98512125558946306</v>
      </c>
      <c r="P389" s="311">
        <v>1</v>
      </c>
      <c r="Q389" s="311">
        <v>1.0024999999999999</v>
      </c>
      <c r="R389" s="311">
        <v>1.0049999999999999</v>
      </c>
      <c r="S389" s="311">
        <v>1.0075000000000001</v>
      </c>
      <c r="T389" s="311">
        <f t="shared" si="6"/>
        <v>1</v>
      </c>
      <c r="U389" s="311"/>
      <c r="V389" s="311"/>
      <c r="W389" s="311">
        <v>1</v>
      </c>
      <c r="X389" s="311" t="s">
        <v>1892</v>
      </c>
      <c r="Y389" s="311" t="s">
        <v>1893</v>
      </c>
      <c r="Z389" s="311" t="s">
        <v>2273</v>
      </c>
      <c r="AA389" s="377">
        <v>1</v>
      </c>
    </row>
    <row r="390" spans="1:27" ht="12.75" customHeight="1" x14ac:dyDescent="0.2">
      <c r="A390" s="311" t="s">
        <v>118</v>
      </c>
      <c r="B390" s="311" t="s">
        <v>717</v>
      </c>
      <c r="C390" s="327">
        <v>0.12103174603174593</v>
      </c>
      <c r="D390" s="327">
        <v>0.25431216931216916</v>
      </c>
      <c r="E390" s="327">
        <v>0.29113756613756592</v>
      </c>
      <c r="F390" s="327">
        <v>0.365185185185185</v>
      </c>
      <c r="G390" s="327">
        <v>0.4520370370370369</v>
      </c>
      <c r="H390" s="327">
        <v>0.50193121693121678</v>
      </c>
      <c r="I390" s="327">
        <v>0.53955026455026434</v>
      </c>
      <c r="J390" s="327">
        <v>0.61518518518518506</v>
      </c>
      <c r="K390" s="327">
        <v>0.7038888888888889</v>
      </c>
      <c r="L390" s="327">
        <v>0.75484126984126976</v>
      </c>
      <c r="M390" s="327">
        <v>0.7932539682539681</v>
      </c>
      <c r="N390" s="327">
        <v>0.8704761904761904</v>
      </c>
      <c r="O390" s="327">
        <v>0.96103174603174601</v>
      </c>
      <c r="P390" s="311">
        <v>1</v>
      </c>
      <c r="Q390" s="311">
        <v>1.0024999999999999</v>
      </c>
      <c r="R390" s="311">
        <v>1.0049999999999999</v>
      </c>
      <c r="S390" s="311">
        <v>1.0075000000000001</v>
      </c>
      <c r="T390" s="311">
        <f t="shared" si="6"/>
        <v>1</v>
      </c>
      <c r="U390" s="311"/>
      <c r="V390" s="311"/>
      <c r="W390" s="311">
        <v>1</v>
      </c>
      <c r="X390" s="311" t="s">
        <v>1892</v>
      </c>
      <c r="Y390" s="311" t="s">
        <v>1893</v>
      </c>
      <c r="Z390" s="311" t="s">
        <v>2274</v>
      </c>
      <c r="AA390" s="377">
        <v>1</v>
      </c>
    </row>
    <row r="391" spans="1:27" ht="12.75" customHeight="1" x14ac:dyDescent="0.2">
      <c r="A391" s="311" t="s">
        <v>91</v>
      </c>
      <c r="B391" s="311" t="s">
        <v>717</v>
      </c>
      <c r="C391" s="327">
        <v>0.31071428571428472</v>
      </c>
      <c r="D391" s="327">
        <v>0.64103839285714093</v>
      </c>
      <c r="E391" s="327">
        <v>0.69475357142856942</v>
      </c>
      <c r="F391" s="327">
        <v>0.77906249999999821</v>
      </c>
      <c r="G391" s="327">
        <v>0.85391874999999873</v>
      </c>
      <c r="H391" s="327">
        <v>0.88477946428571319</v>
      </c>
      <c r="I391" s="327">
        <v>0.90091428571428489</v>
      </c>
      <c r="J391" s="327">
        <v>0.92318749999999983</v>
      </c>
      <c r="K391" s="327">
        <v>0.94098125000000032</v>
      </c>
      <c r="L391" s="327">
        <v>0.94798482142857177</v>
      </c>
      <c r="M391" s="327">
        <v>0.95278928571428634</v>
      </c>
      <c r="N391" s="327">
        <v>0.96552678571428641</v>
      </c>
      <c r="O391" s="327">
        <v>0.98750803571428569</v>
      </c>
      <c r="P391" s="311">
        <v>0.99999999999999956</v>
      </c>
      <c r="Q391" s="311">
        <v>1.0024999999999999</v>
      </c>
      <c r="R391" s="311">
        <v>1.0049999999999999</v>
      </c>
      <c r="S391" s="311">
        <v>1.0075000000000001</v>
      </c>
      <c r="T391" s="311">
        <f t="shared" si="6"/>
        <v>1</v>
      </c>
      <c r="U391" s="311"/>
      <c r="V391" s="311"/>
      <c r="W391" s="311">
        <v>1</v>
      </c>
      <c r="X391" s="311" t="s">
        <v>1892</v>
      </c>
      <c r="Y391" s="311" t="s">
        <v>1893</v>
      </c>
      <c r="Z391" s="311" t="s">
        <v>2275</v>
      </c>
      <c r="AA391" s="377">
        <v>1</v>
      </c>
    </row>
    <row r="392" spans="1:27" ht="12.75" customHeight="1" x14ac:dyDescent="0.2">
      <c r="A392" s="311" t="s">
        <v>271</v>
      </c>
      <c r="B392" s="311" t="s">
        <v>717</v>
      </c>
      <c r="C392" s="327">
        <v>0.125</v>
      </c>
      <c r="D392" s="327">
        <v>0.26250000000000001</v>
      </c>
      <c r="E392" s="327">
        <v>0.3</v>
      </c>
      <c r="F392" s="327">
        <v>0.375</v>
      </c>
      <c r="G392" s="327">
        <v>0.46250000000000002</v>
      </c>
      <c r="H392" s="327">
        <v>0.51249999999999996</v>
      </c>
      <c r="I392" s="327">
        <v>0.55000000000000004</v>
      </c>
      <c r="J392" s="327">
        <v>0.625</v>
      </c>
      <c r="K392" s="327">
        <v>0.71250000000000002</v>
      </c>
      <c r="L392" s="327">
        <v>0.76249999999999996</v>
      </c>
      <c r="M392" s="327">
        <v>0.79999999999999993</v>
      </c>
      <c r="N392" s="327">
        <v>0.875</v>
      </c>
      <c r="O392" s="327">
        <v>0.96250000000000002</v>
      </c>
      <c r="P392" s="311">
        <v>1</v>
      </c>
      <c r="Q392" s="311">
        <v>1.0024999999999999</v>
      </c>
      <c r="R392" s="311">
        <v>1.0049999999999999</v>
      </c>
      <c r="S392" s="311">
        <v>1.0075000000000001</v>
      </c>
      <c r="T392" s="311">
        <f t="shared" si="6"/>
        <v>1</v>
      </c>
      <c r="U392" s="311"/>
      <c r="V392" s="311"/>
      <c r="W392" s="311">
        <v>1</v>
      </c>
      <c r="X392" s="311" t="s">
        <v>1892</v>
      </c>
      <c r="Y392" s="311" t="s">
        <v>1893</v>
      </c>
      <c r="Z392" s="311" t="s">
        <v>2276</v>
      </c>
      <c r="AA392" s="377">
        <v>1</v>
      </c>
    </row>
    <row r="393" spans="1:27" ht="12.75" customHeight="1" x14ac:dyDescent="0.2">
      <c r="A393" s="311" t="s">
        <v>270</v>
      </c>
      <c r="B393" s="311" t="s">
        <v>717</v>
      </c>
      <c r="C393" s="327">
        <v>0.2714285714285708</v>
      </c>
      <c r="D393" s="327">
        <v>0.56212030423280301</v>
      </c>
      <c r="E393" s="327">
        <v>0.61622566137566026</v>
      </c>
      <c r="F393" s="327">
        <v>0.70733796296296181</v>
      </c>
      <c r="G393" s="327">
        <v>0.7955606481481472</v>
      </c>
      <c r="H393" s="327">
        <v>0.83646355820105756</v>
      </c>
      <c r="I393" s="327">
        <v>0.86104708994708934</v>
      </c>
      <c r="J393" s="327">
        <v>0.90019907407407374</v>
      </c>
      <c r="K393" s="327">
        <v>0.93606527777777782</v>
      </c>
      <c r="L393" s="327">
        <v>0.95177242063492073</v>
      </c>
      <c r="M393" s="327">
        <v>0.96100079365079383</v>
      </c>
      <c r="N393" s="327">
        <v>0.97652579365079428</v>
      </c>
      <c r="O393" s="327">
        <v>0.99309107142857234</v>
      </c>
      <c r="P393" s="311">
        <v>1.0000000000000009</v>
      </c>
      <c r="Q393" s="311">
        <v>1.0024999999999999</v>
      </c>
      <c r="R393" s="311">
        <v>1.0049999999999999</v>
      </c>
      <c r="S393" s="311">
        <v>1.0075000000000001</v>
      </c>
      <c r="T393" s="311">
        <f t="shared" si="6"/>
        <v>1</v>
      </c>
      <c r="U393" s="311"/>
      <c r="V393" s="311"/>
      <c r="W393" s="311">
        <v>1</v>
      </c>
      <c r="X393" s="311" t="s">
        <v>1892</v>
      </c>
      <c r="Y393" s="311" t="s">
        <v>1893</v>
      </c>
      <c r="Z393" s="311" t="s">
        <v>2277</v>
      </c>
      <c r="AA393" s="377">
        <v>1</v>
      </c>
    </row>
    <row r="394" spans="1:27" ht="12.75" customHeight="1" x14ac:dyDescent="0.2">
      <c r="A394" s="311" t="s">
        <v>269</v>
      </c>
      <c r="B394" s="311" t="s">
        <v>717</v>
      </c>
      <c r="C394" s="327">
        <v>0.12619047619047605</v>
      </c>
      <c r="D394" s="327">
        <v>0.26495634920634892</v>
      </c>
      <c r="E394" s="327">
        <v>0.30265873015872979</v>
      </c>
      <c r="F394" s="327">
        <v>0.37794444444444408</v>
      </c>
      <c r="G394" s="327">
        <v>0.4656388888888886</v>
      </c>
      <c r="H394" s="327">
        <v>0.5156706349206347</v>
      </c>
      <c r="I394" s="327">
        <v>0.55313492063492042</v>
      </c>
      <c r="J394" s="327">
        <v>0.62794444444444431</v>
      </c>
      <c r="K394" s="327">
        <v>0.71508333333333329</v>
      </c>
      <c r="L394" s="327">
        <v>0.76479761904761889</v>
      </c>
      <c r="M394" s="327">
        <v>0.80202380952380936</v>
      </c>
      <c r="N394" s="327">
        <v>0.87635714285714295</v>
      </c>
      <c r="O394" s="327">
        <v>0.96294047619047629</v>
      </c>
      <c r="P394" s="311">
        <v>1</v>
      </c>
      <c r="Q394" s="311">
        <v>1.0024999999999999</v>
      </c>
      <c r="R394" s="311">
        <v>1.0049999999999999</v>
      </c>
      <c r="S394" s="311">
        <v>1.0075000000000001</v>
      </c>
      <c r="T394" s="311">
        <f t="shared" si="6"/>
        <v>1</v>
      </c>
      <c r="U394" s="311"/>
      <c r="V394" s="311"/>
      <c r="W394" s="311">
        <v>1</v>
      </c>
      <c r="X394" s="311" t="s">
        <v>1892</v>
      </c>
      <c r="Y394" s="311" t="s">
        <v>1893</v>
      </c>
      <c r="Z394" s="311" t="s">
        <v>2278</v>
      </c>
      <c r="AA394" s="377">
        <v>1</v>
      </c>
    </row>
    <row r="395" spans="1:27" ht="12.75" customHeight="1" x14ac:dyDescent="0.2">
      <c r="A395" s="311" t="s">
        <v>268</v>
      </c>
      <c r="B395" s="311" t="s">
        <v>717</v>
      </c>
      <c r="C395" s="327">
        <v>0.125</v>
      </c>
      <c r="D395" s="327">
        <v>0.26250000000000001</v>
      </c>
      <c r="E395" s="327">
        <v>0.3</v>
      </c>
      <c r="F395" s="327">
        <v>0.375</v>
      </c>
      <c r="G395" s="327">
        <v>0.46250000000000002</v>
      </c>
      <c r="H395" s="327">
        <v>0.51249999999999996</v>
      </c>
      <c r="I395" s="327">
        <v>0.55000000000000004</v>
      </c>
      <c r="J395" s="327">
        <v>0.625</v>
      </c>
      <c r="K395" s="327">
        <v>0.71250000000000002</v>
      </c>
      <c r="L395" s="327">
        <v>0.76249999999999996</v>
      </c>
      <c r="M395" s="327">
        <v>0.79999999999999993</v>
      </c>
      <c r="N395" s="327">
        <v>0.875</v>
      </c>
      <c r="O395" s="327">
        <v>0.96250000000000002</v>
      </c>
      <c r="P395" s="311">
        <v>1</v>
      </c>
      <c r="Q395" s="311">
        <v>1.0024999999999999</v>
      </c>
      <c r="R395" s="311">
        <v>1.0049999999999999</v>
      </c>
      <c r="S395" s="311">
        <v>1.0075000000000001</v>
      </c>
      <c r="T395" s="311">
        <f t="shared" si="6"/>
        <v>1</v>
      </c>
      <c r="U395" s="311"/>
      <c r="V395" s="311"/>
      <c r="W395" s="311">
        <v>1</v>
      </c>
      <c r="X395" s="311" t="s">
        <v>1892</v>
      </c>
      <c r="Y395" s="311" t="s">
        <v>1893</v>
      </c>
      <c r="Z395" s="311" t="s">
        <v>2279</v>
      </c>
      <c r="AA395" s="377">
        <v>1</v>
      </c>
    </row>
    <row r="396" spans="1:27" ht="12.75" customHeight="1" x14ac:dyDescent="0.2">
      <c r="A396" s="311" t="s">
        <v>267</v>
      </c>
      <c r="B396" s="311" t="s">
        <v>717</v>
      </c>
      <c r="C396" s="327">
        <v>0.28452380952380862</v>
      </c>
      <c r="D396" s="327">
        <v>0.58854940476190298</v>
      </c>
      <c r="E396" s="327">
        <v>0.64293095238095066</v>
      </c>
      <c r="F396" s="327">
        <v>0.73270833333333163</v>
      </c>
      <c r="G396" s="327">
        <v>0.8176124999999983</v>
      </c>
      <c r="H396" s="327">
        <v>0.85580535714285566</v>
      </c>
      <c r="I396" s="327">
        <v>0.8779904761904751</v>
      </c>
      <c r="J396" s="327">
        <v>0.91212499999999919</v>
      </c>
      <c r="K396" s="327">
        <v>0.94232083333333261</v>
      </c>
      <c r="L396" s="327">
        <v>0.95508511904761884</v>
      </c>
      <c r="M396" s="327">
        <v>0.96257380952380966</v>
      </c>
      <c r="N396" s="327">
        <v>0.97606547619047568</v>
      </c>
      <c r="O396" s="327">
        <v>0.99238630952380902</v>
      </c>
      <c r="P396" s="311">
        <v>1</v>
      </c>
      <c r="Q396" s="311">
        <v>1.0024999999999999</v>
      </c>
      <c r="R396" s="311">
        <v>1.0049999999999999</v>
      </c>
      <c r="S396" s="311">
        <v>1.0075000000000001</v>
      </c>
      <c r="T396" s="311">
        <f t="shared" si="6"/>
        <v>1</v>
      </c>
      <c r="U396" s="311"/>
      <c r="V396" s="311"/>
      <c r="W396" s="311">
        <v>1</v>
      </c>
      <c r="X396" s="311" t="s">
        <v>1892</v>
      </c>
      <c r="Y396" s="311" t="s">
        <v>1893</v>
      </c>
      <c r="Z396" s="311" t="s">
        <v>2280</v>
      </c>
      <c r="AA396" s="377">
        <v>1</v>
      </c>
    </row>
    <row r="397" spans="1:27" ht="12.75" customHeight="1" x14ac:dyDescent="0.2">
      <c r="A397" s="311" t="s">
        <v>266</v>
      </c>
      <c r="B397" s="311" t="s">
        <v>717</v>
      </c>
      <c r="C397" s="327">
        <v>0.22831977027571115</v>
      </c>
      <c r="D397" s="327">
        <v>0.4740219141394868</v>
      </c>
      <c r="E397" s="327">
        <v>0.52360271367113731</v>
      </c>
      <c r="F397" s="327">
        <v>0.61080757676902431</v>
      </c>
      <c r="G397" s="327">
        <v>0.69983645786975124</v>
      </c>
      <c r="H397" s="327">
        <v>0.74398876147031945</v>
      </c>
      <c r="I397" s="327">
        <v>0.77274938012588157</v>
      </c>
      <c r="J397" s="327">
        <v>0.82300068609998478</v>
      </c>
      <c r="K397" s="327">
        <v>0.87438502262275608</v>
      </c>
      <c r="L397" s="327">
        <v>0.90015069431199235</v>
      </c>
      <c r="M397" s="327">
        <v>0.9174647413482524</v>
      </c>
      <c r="N397" s="327">
        <v>0.94950970871214513</v>
      </c>
      <c r="O397" s="327">
        <v>0.98512125558946306</v>
      </c>
      <c r="P397" s="311">
        <v>1</v>
      </c>
      <c r="Q397" s="311">
        <v>1.0024999999999999</v>
      </c>
      <c r="R397" s="311">
        <v>1.0049999999999999</v>
      </c>
      <c r="S397" s="311">
        <v>1.0075000000000001</v>
      </c>
      <c r="T397" s="311">
        <f t="shared" si="6"/>
        <v>1</v>
      </c>
      <c r="U397" s="311"/>
      <c r="V397" s="311"/>
      <c r="W397" s="311">
        <v>1</v>
      </c>
      <c r="X397" s="311" t="s">
        <v>1892</v>
      </c>
      <c r="Y397" s="311" t="s">
        <v>1893</v>
      </c>
      <c r="Z397" s="311" t="s">
        <v>2281</v>
      </c>
      <c r="AA397" s="377">
        <v>1</v>
      </c>
    </row>
    <row r="398" spans="1:27" ht="12.75" customHeight="1" x14ac:dyDescent="0.2">
      <c r="A398" s="311" t="s">
        <v>137</v>
      </c>
      <c r="B398" s="311" t="s">
        <v>717</v>
      </c>
      <c r="C398" s="327">
        <v>0.17976190476190468</v>
      </c>
      <c r="D398" s="327">
        <v>0.37549206349206332</v>
      </c>
      <c r="E398" s="327">
        <v>0.42230158730158707</v>
      </c>
      <c r="F398" s="327">
        <v>0.51044444444444426</v>
      </c>
      <c r="G398" s="327">
        <v>0.60688888888888892</v>
      </c>
      <c r="H398" s="327">
        <v>0.65834920634920635</v>
      </c>
      <c r="I398" s="327">
        <v>0.69420634920634916</v>
      </c>
      <c r="J398" s="327">
        <v>0.76044444444444459</v>
      </c>
      <c r="K398" s="327">
        <v>0.8313333333333337</v>
      </c>
      <c r="L398" s="327">
        <v>0.86819047619047651</v>
      </c>
      <c r="M398" s="327">
        <v>0.89309523809523828</v>
      </c>
      <c r="N398" s="327">
        <v>0.93742857142857161</v>
      </c>
      <c r="O398" s="327">
        <v>0.98276190476190484</v>
      </c>
      <c r="P398" s="311">
        <v>0.99999999999999989</v>
      </c>
      <c r="Q398" s="311">
        <v>1.0024999999999999</v>
      </c>
      <c r="R398" s="311">
        <v>1.0049999999999999</v>
      </c>
      <c r="S398" s="311">
        <v>1.0075000000000001</v>
      </c>
      <c r="T398" s="311">
        <f t="shared" si="6"/>
        <v>1</v>
      </c>
      <c r="U398" s="311"/>
      <c r="V398" s="311"/>
      <c r="W398" s="311">
        <v>1</v>
      </c>
      <c r="X398" s="311" t="s">
        <v>1892</v>
      </c>
      <c r="Y398" s="311" t="s">
        <v>1893</v>
      </c>
      <c r="Z398" s="311" t="s">
        <v>2282</v>
      </c>
      <c r="AA398" s="377">
        <v>1</v>
      </c>
    </row>
    <row r="399" spans="1:27" ht="12.75" customHeight="1" x14ac:dyDescent="0.2">
      <c r="A399" s="311" t="s">
        <v>265</v>
      </c>
      <c r="B399" s="311" t="s">
        <v>717</v>
      </c>
      <c r="C399" s="327">
        <v>0.19166666666666637</v>
      </c>
      <c r="D399" s="327">
        <v>0.3994226190476185</v>
      </c>
      <c r="E399" s="327">
        <v>0.44616666666666616</v>
      </c>
      <c r="F399" s="327">
        <v>0.53236904761904713</v>
      </c>
      <c r="G399" s="327">
        <v>0.62491071428571388</v>
      </c>
      <c r="H399" s="327">
        <v>0.67341071428571397</v>
      </c>
      <c r="I399" s="327">
        <v>0.70676190476190448</v>
      </c>
      <c r="J399" s="327">
        <v>0.76796428571428565</v>
      </c>
      <c r="K399" s="327">
        <v>0.83342261904761927</v>
      </c>
      <c r="L399" s="327">
        <v>0.86763690476190503</v>
      </c>
      <c r="M399" s="327">
        <v>0.89116666666666677</v>
      </c>
      <c r="N399" s="327">
        <v>0.93451190476190493</v>
      </c>
      <c r="O399" s="327">
        <v>0.9812202380952384</v>
      </c>
      <c r="P399" s="311">
        <v>1.0000000000000002</v>
      </c>
      <c r="Q399" s="311">
        <v>1.0024999999999999</v>
      </c>
      <c r="R399" s="311">
        <v>1.0049999999999999</v>
      </c>
      <c r="S399" s="311">
        <v>1.0075000000000001</v>
      </c>
      <c r="T399" s="311">
        <f t="shared" si="6"/>
        <v>1</v>
      </c>
      <c r="U399" s="311"/>
      <c r="V399" s="311"/>
      <c r="W399" s="311">
        <v>1</v>
      </c>
      <c r="X399" s="311" t="s">
        <v>1892</v>
      </c>
      <c r="Y399" s="311" t="s">
        <v>1893</v>
      </c>
      <c r="Z399" s="311" t="s">
        <v>2283</v>
      </c>
      <c r="AA399" s="377">
        <v>1</v>
      </c>
    </row>
    <row r="400" spans="1:27" ht="12.75" customHeight="1" x14ac:dyDescent="0.2">
      <c r="A400" s="311" t="s">
        <v>264</v>
      </c>
      <c r="B400" s="311" t="s">
        <v>717</v>
      </c>
      <c r="C400" s="327">
        <v>0.12103174603174593</v>
      </c>
      <c r="D400" s="327">
        <v>0.25431216931216916</v>
      </c>
      <c r="E400" s="327">
        <v>0.29113756613756592</v>
      </c>
      <c r="F400" s="327">
        <v>0.365185185185185</v>
      </c>
      <c r="G400" s="327">
        <v>0.4520370370370369</v>
      </c>
      <c r="H400" s="327">
        <v>0.50193121693121678</v>
      </c>
      <c r="I400" s="327">
        <v>0.53955026455026434</v>
      </c>
      <c r="J400" s="327">
        <v>0.61518518518518506</v>
      </c>
      <c r="K400" s="327">
        <v>0.7038888888888889</v>
      </c>
      <c r="L400" s="327">
        <v>0.75484126984126976</v>
      </c>
      <c r="M400" s="327">
        <v>0.7932539682539681</v>
      </c>
      <c r="N400" s="327">
        <v>0.8704761904761904</v>
      </c>
      <c r="O400" s="327">
        <v>0.96103174603174601</v>
      </c>
      <c r="P400" s="311">
        <v>1</v>
      </c>
      <c r="Q400" s="311">
        <v>1.0024999999999999</v>
      </c>
      <c r="R400" s="311">
        <v>1.0049999999999999</v>
      </c>
      <c r="S400" s="311">
        <v>1.0075000000000001</v>
      </c>
      <c r="T400" s="311">
        <f t="shared" si="6"/>
        <v>1</v>
      </c>
      <c r="U400" s="311"/>
      <c r="V400" s="311"/>
      <c r="W400" s="311">
        <v>1</v>
      </c>
      <c r="X400" s="311" t="s">
        <v>1892</v>
      </c>
      <c r="Y400" s="311" t="s">
        <v>1893</v>
      </c>
      <c r="Z400" s="311" t="s">
        <v>2284</v>
      </c>
      <c r="AA400" s="377">
        <v>1</v>
      </c>
    </row>
    <row r="401" spans="1:27" ht="12.75" customHeight="1" x14ac:dyDescent="0.2">
      <c r="A401" s="311" t="s">
        <v>263</v>
      </c>
      <c r="B401" s="311" t="s">
        <v>717</v>
      </c>
      <c r="C401" s="327">
        <v>0.21378968253968217</v>
      </c>
      <c r="D401" s="327">
        <v>0.44496428571428503</v>
      </c>
      <c r="E401" s="327">
        <v>0.49512103174603106</v>
      </c>
      <c r="F401" s="327">
        <v>0.58583333333333265</v>
      </c>
      <c r="G401" s="327">
        <v>0.68101388888888836</v>
      </c>
      <c r="H401" s="327">
        <v>0.72955753968253911</v>
      </c>
      <c r="I401" s="327">
        <v>0.76188690476190413</v>
      </c>
      <c r="J401" s="327">
        <v>0.81902777777777747</v>
      </c>
      <c r="K401" s="327">
        <v>0.87747222222222199</v>
      </c>
      <c r="L401" s="327">
        <v>0.906412698412698</v>
      </c>
      <c r="M401" s="327">
        <v>0.92508134920634877</v>
      </c>
      <c r="N401" s="327">
        <v>0.95698412698412638</v>
      </c>
      <c r="O401" s="327">
        <v>0.98841468253968223</v>
      </c>
      <c r="P401" s="311">
        <v>1</v>
      </c>
      <c r="Q401" s="311">
        <v>1.0024999999999999</v>
      </c>
      <c r="R401" s="311">
        <v>1.0049999999999999</v>
      </c>
      <c r="S401" s="311">
        <v>1.0075000000000001</v>
      </c>
      <c r="T401" s="311">
        <f t="shared" si="6"/>
        <v>1</v>
      </c>
      <c r="U401" s="311"/>
      <c r="V401" s="311"/>
      <c r="W401" s="311">
        <v>1</v>
      </c>
      <c r="X401" s="311" t="s">
        <v>1892</v>
      </c>
      <c r="Y401" s="311" t="s">
        <v>1893</v>
      </c>
      <c r="Z401" s="311" t="s">
        <v>2285</v>
      </c>
      <c r="AA401" s="377">
        <v>1</v>
      </c>
    </row>
    <row r="402" spans="1:27" ht="12.75" customHeight="1" x14ac:dyDescent="0.2">
      <c r="A402" s="311" t="s">
        <v>262</v>
      </c>
      <c r="B402" s="311" t="s">
        <v>717</v>
      </c>
      <c r="C402" s="327">
        <v>0.27058426207362313</v>
      </c>
      <c r="D402" s="327">
        <v>0.5606044537318462</v>
      </c>
      <c r="E402" s="327">
        <v>0.61531308679500041</v>
      </c>
      <c r="F402" s="327">
        <v>0.70793764775413581</v>
      </c>
      <c r="G402" s="327">
        <v>0.79811249999999889</v>
      </c>
      <c r="H402" s="327">
        <v>0.84016452634245098</v>
      </c>
      <c r="I402" s="327">
        <v>0.86554147247551427</v>
      </c>
      <c r="J402" s="327">
        <v>0.90594769503546024</v>
      </c>
      <c r="K402" s="327">
        <v>0.94272036052009411</v>
      </c>
      <c r="L402" s="327">
        <v>0.95855354187774344</v>
      </c>
      <c r="M402" s="327">
        <v>0.96748887200270139</v>
      </c>
      <c r="N402" s="327">
        <v>0.98145689800743019</v>
      </c>
      <c r="O402" s="327">
        <v>0.9949042088821346</v>
      </c>
      <c r="P402" s="311">
        <v>0.99999999999999989</v>
      </c>
      <c r="Q402" s="311">
        <v>1.0024999999999999</v>
      </c>
      <c r="R402" s="311">
        <v>1.0049999999999999</v>
      </c>
      <c r="S402" s="311">
        <v>1.0075000000000001</v>
      </c>
      <c r="T402" s="311">
        <f t="shared" si="6"/>
        <v>1</v>
      </c>
      <c r="U402" s="311"/>
      <c r="V402" s="311"/>
      <c r="W402" s="311">
        <v>1</v>
      </c>
      <c r="X402" s="311" t="s">
        <v>1892</v>
      </c>
      <c r="Y402" s="311" t="s">
        <v>1893</v>
      </c>
      <c r="Z402" s="311" t="s">
        <v>2286</v>
      </c>
      <c r="AA402" s="377">
        <v>1</v>
      </c>
    </row>
    <row r="403" spans="1:27" ht="12.75" customHeight="1" x14ac:dyDescent="0.2">
      <c r="A403" s="311" t="s">
        <v>261</v>
      </c>
      <c r="B403" s="311" t="s">
        <v>717</v>
      </c>
      <c r="C403" s="327">
        <v>0.26526465675401806</v>
      </c>
      <c r="D403" s="327">
        <v>0.54997160302399595</v>
      </c>
      <c r="E403" s="327">
        <v>0.60490901129092545</v>
      </c>
      <c r="F403" s="327">
        <v>0.69885881892530755</v>
      </c>
      <c r="G403" s="327">
        <v>0.79133599849849801</v>
      </c>
      <c r="H403" s="327">
        <v>0.83502384637677163</v>
      </c>
      <c r="I403" s="327">
        <v>0.86172577105981352</v>
      </c>
      <c r="J403" s="327">
        <v>0.9046811785189447</v>
      </c>
      <c r="K403" s="327">
        <v>0.94405421937895395</v>
      </c>
      <c r="L403" s="327">
        <v>0.9610478897970921</v>
      </c>
      <c r="M403" s="327">
        <v>0.97046746488129487</v>
      </c>
      <c r="N403" s="327">
        <v>0.98433474013527233</v>
      </c>
      <c r="O403" s="327">
        <v>0.99616095491388057</v>
      </c>
      <c r="P403" s="311">
        <v>1.0000000000000004</v>
      </c>
      <c r="Q403" s="311">
        <v>1.0024999999999999</v>
      </c>
      <c r="R403" s="311">
        <v>1.0049999999999999</v>
      </c>
      <c r="S403" s="311">
        <v>1.0075000000000001</v>
      </c>
      <c r="T403" s="311">
        <f t="shared" si="6"/>
        <v>1</v>
      </c>
      <c r="U403" s="311"/>
      <c r="V403" s="311"/>
      <c r="W403" s="311">
        <v>1</v>
      </c>
      <c r="X403" s="311" t="s">
        <v>1892</v>
      </c>
      <c r="Y403" s="311" t="s">
        <v>1893</v>
      </c>
      <c r="Z403" s="311" t="s">
        <v>2287</v>
      </c>
      <c r="AA403" s="377">
        <v>1</v>
      </c>
    </row>
    <row r="404" spans="1:27" ht="12.75" customHeight="1" x14ac:dyDescent="0.2">
      <c r="A404" s="311" t="s">
        <v>260</v>
      </c>
      <c r="B404" s="311" t="s">
        <v>717</v>
      </c>
      <c r="C404" s="327">
        <v>0.27547404547404447</v>
      </c>
      <c r="D404" s="327">
        <v>0.56971786357786158</v>
      </c>
      <c r="E404" s="327">
        <v>0.62203655941655722</v>
      </c>
      <c r="F404" s="327">
        <v>0.70843783783783554</v>
      </c>
      <c r="G404" s="327">
        <v>0.79039627627627418</v>
      </c>
      <c r="H404" s="327">
        <v>0.82752511368511172</v>
      </c>
      <c r="I404" s="327">
        <v>0.84944239382239195</v>
      </c>
      <c r="J404" s="327">
        <v>0.88423903903903722</v>
      </c>
      <c r="K404" s="327">
        <v>0.91672330330330187</v>
      </c>
      <c r="L404" s="327">
        <v>0.93171331617331454</v>
      </c>
      <c r="M404" s="327">
        <v>0.94162557700557581</v>
      </c>
      <c r="N404" s="327">
        <v>0.96161038181038105</v>
      </c>
      <c r="O404" s="327">
        <v>0.9875453968253961</v>
      </c>
      <c r="P404" s="311">
        <v>0.99999999999999989</v>
      </c>
      <c r="Q404" s="311">
        <v>1.0024999999999999</v>
      </c>
      <c r="R404" s="311">
        <v>1.0049999999999999</v>
      </c>
      <c r="S404" s="311">
        <v>1.0075000000000001</v>
      </c>
      <c r="T404" s="311">
        <f t="shared" si="6"/>
        <v>1</v>
      </c>
      <c r="U404" s="311"/>
      <c r="V404" s="311"/>
      <c r="W404" s="311">
        <v>1</v>
      </c>
      <c r="X404" s="311" t="s">
        <v>1892</v>
      </c>
      <c r="Y404" s="311" t="s">
        <v>1893</v>
      </c>
      <c r="Z404" s="311" t="s">
        <v>2288</v>
      </c>
      <c r="AA404" s="377">
        <v>1</v>
      </c>
    </row>
    <row r="405" spans="1:27" ht="12.75" customHeight="1" x14ac:dyDescent="0.2">
      <c r="A405" s="311" t="s">
        <v>259</v>
      </c>
      <c r="B405" s="311" t="s">
        <v>717</v>
      </c>
      <c r="C405" s="327">
        <v>0.26737451737451667</v>
      </c>
      <c r="D405" s="327">
        <v>0.55375144787644659</v>
      </c>
      <c r="E405" s="327">
        <v>0.60715444015443887</v>
      </c>
      <c r="F405" s="327">
        <v>0.69726351351351201</v>
      </c>
      <c r="G405" s="327">
        <v>0.78478716216216071</v>
      </c>
      <c r="H405" s="327">
        <v>0.82556129343629214</v>
      </c>
      <c r="I405" s="327">
        <v>0.85025289575289453</v>
      </c>
      <c r="J405" s="327">
        <v>0.89003378378378295</v>
      </c>
      <c r="K405" s="327">
        <v>0.92711824324324255</v>
      </c>
      <c r="L405" s="327">
        <v>0.94379971042470956</v>
      </c>
      <c r="M405" s="327">
        <v>0.95396911196911094</v>
      </c>
      <c r="N405" s="327">
        <v>0.97180019305019227</v>
      </c>
      <c r="O405" s="327">
        <v>0.99155357142857103</v>
      </c>
      <c r="P405" s="311">
        <v>0.99999999999999956</v>
      </c>
      <c r="Q405" s="311">
        <v>1.0024999999999999</v>
      </c>
      <c r="R405" s="311">
        <v>1.0049999999999999</v>
      </c>
      <c r="S405" s="311">
        <v>1.0075000000000001</v>
      </c>
      <c r="T405" s="311">
        <f t="shared" si="6"/>
        <v>1</v>
      </c>
      <c r="U405" s="311"/>
      <c r="V405" s="311"/>
      <c r="W405" s="311">
        <v>1</v>
      </c>
      <c r="X405" s="311" t="s">
        <v>1892</v>
      </c>
      <c r="Y405" s="311" t="s">
        <v>1893</v>
      </c>
      <c r="Z405" s="311" t="s">
        <v>2289</v>
      </c>
      <c r="AA405" s="377">
        <v>1</v>
      </c>
    </row>
    <row r="406" spans="1:27" ht="12.75" customHeight="1" x14ac:dyDescent="0.2">
      <c r="A406" s="311" t="s">
        <v>258</v>
      </c>
      <c r="B406" s="311" t="s">
        <v>717</v>
      </c>
      <c r="C406" s="327">
        <v>0.12103174603174593</v>
      </c>
      <c r="D406" s="327">
        <v>0.25431216931216916</v>
      </c>
      <c r="E406" s="327">
        <v>0.29113756613756592</v>
      </c>
      <c r="F406" s="327">
        <v>0.365185185185185</v>
      </c>
      <c r="G406" s="327">
        <v>0.4520370370370369</v>
      </c>
      <c r="H406" s="327">
        <v>0.50193121693121678</v>
      </c>
      <c r="I406" s="327">
        <v>0.53955026455026434</v>
      </c>
      <c r="J406" s="327">
        <v>0.61518518518518506</v>
      </c>
      <c r="K406" s="327">
        <v>0.7038888888888889</v>
      </c>
      <c r="L406" s="327">
        <v>0.75484126984126976</v>
      </c>
      <c r="M406" s="327">
        <v>0.7932539682539681</v>
      </c>
      <c r="N406" s="327">
        <v>0.8704761904761904</v>
      </c>
      <c r="O406" s="327">
        <v>0.96103174603174601</v>
      </c>
      <c r="P406" s="311">
        <v>1</v>
      </c>
      <c r="Q406" s="311">
        <v>1.0024999999999999</v>
      </c>
      <c r="R406" s="311">
        <v>1.0049999999999999</v>
      </c>
      <c r="S406" s="311">
        <v>1.0075000000000001</v>
      </c>
      <c r="T406" s="311">
        <f t="shared" si="6"/>
        <v>1</v>
      </c>
      <c r="U406" s="311"/>
      <c r="V406" s="311"/>
      <c r="W406" s="311">
        <v>1</v>
      </c>
      <c r="X406" s="311" t="s">
        <v>1892</v>
      </c>
      <c r="Y406" s="311" t="s">
        <v>1893</v>
      </c>
      <c r="Z406" s="311" t="s">
        <v>2290</v>
      </c>
      <c r="AA406" s="377">
        <v>1</v>
      </c>
    </row>
    <row r="407" spans="1:27" ht="12.75" customHeight="1" x14ac:dyDescent="0.2">
      <c r="A407" s="311" t="s">
        <v>257</v>
      </c>
      <c r="B407" s="311" t="s">
        <v>717</v>
      </c>
      <c r="C407" s="327">
        <v>0.125</v>
      </c>
      <c r="D407" s="327">
        <v>0.26250000000000001</v>
      </c>
      <c r="E407" s="327">
        <v>0.3</v>
      </c>
      <c r="F407" s="327">
        <v>0.375</v>
      </c>
      <c r="G407" s="327">
        <v>0.46250000000000002</v>
      </c>
      <c r="H407" s="327">
        <v>0.51249999999999996</v>
      </c>
      <c r="I407" s="327">
        <v>0.55000000000000004</v>
      </c>
      <c r="J407" s="327">
        <v>0.625</v>
      </c>
      <c r="K407" s="327">
        <v>0.71250000000000002</v>
      </c>
      <c r="L407" s="327">
        <v>0.76249999999999996</v>
      </c>
      <c r="M407" s="327">
        <v>0.79999999999999993</v>
      </c>
      <c r="N407" s="327">
        <v>0.875</v>
      </c>
      <c r="O407" s="327">
        <v>0.96250000000000002</v>
      </c>
      <c r="P407" s="311">
        <v>1</v>
      </c>
      <c r="Q407" s="311">
        <v>1.0024999999999999</v>
      </c>
      <c r="R407" s="311">
        <v>1.0049999999999999</v>
      </c>
      <c r="S407" s="311">
        <v>1.0075000000000001</v>
      </c>
      <c r="T407" s="311">
        <f t="shared" si="6"/>
        <v>1</v>
      </c>
      <c r="U407" s="311"/>
      <c r="V407" s="311"/>
      <c r="W407" s="311">
        <v>1</v>
      </c>
      <c r="X407" s="311" t="s">
        <v>1892</v>
      </c>
      <c r="Y407" s="311" t="s">
        <v>1893</v>
      </c>
      <c r="Z407" s="311" t="s">
        <v>2291</v>
      </c>
      <c r="AA407" s="377">
        <v>1</v>
      </c>
    </row>
    <row r="408" spans="1:27" ht="12.75" customHeight="1" x14ac:dyDescent="0.2">
      <c r="A408" s="311" t="s">
        <v>256</v>
      </c>
      <c r="B408" s="311" t="s">
        <v>717</v>
      </c>
      <c r="C408" s="327">
        <v>0.28277563277563195</v>
      </c>
      <c r="D408" s="327">
        <v>0.58454717574717407</v>
      </c>
      <c r="E408" s="327">
        <v>0.63732714142713975</v>
      </c>
      <c r="F408" s="327">
        <v>0.72368968968968816</v>
      </c>
      <c r="G408" s="327">
        <v>0.80465775775775661</v>
      </c>
      <c r="H408" s="327">
        <v>0.84075760045759951</v>
      </c>
      <c r="I408" s="327">
        <v>0.86165361075361002</v>
      </c>
      <c r="J408" s="327">
        <v>0.89411311311311292</v>
      </c>
      <c r="K408" s="327">
        <v>0.92370330330330341</v>
      </c>
      <c r="L408" s="327">
        <v>0.93702093522093521</v>
      </c>
      <c r="M408" s="327">
        <v>0.94576271986271998</v>
      </c>
      <c r="N408" s="327">
        <v>0.96377863577863609</v>
      </c>
      <c r="O408" s="327">
        <v>0.98802698412698409</v>
      </c>
      <c r="P408" s="311">
        <v>0.99999999999999967</v>
      </c>
      <c r="Q408" s="311">
        <v>1.0024999999999999</v>
      </c>
      <c r="R408" s="311">
        <v>1.0049999999999999</v>
      </c>
      <c r="S408" s="311">
        <v>1.0075000000000001</v>
      </c>
      <c r="T408" s="311">
        <f t="shared" si="6"/>
        <v>1</v>
      </c>
      <c r="U408" s="311"/>
      <c r="V408" s="311"/>
      <c r="W408" s="311">
        <v>1</v>
      </c>
      <c r="X408" s="311" t="s">
        <v>1892</v>
      </c>
      <c r="Y408" s="311" t="s">
        <v>1893</v>
      </c>
      <c r="Z408" s="311" t="s">
        <v>2292</v>
      </c>
      <c r="AA408" s="377">
        <v>1</v>
      </c>
    </row>
    <row r="409" spans="1:27" ht="12.75" customHeight="1" x14ac:dyDescent="0.2">
      <c r="A409" s="311" t="s">
        <v>255</v>
      </c>
      <c r="B409" s="311" t="s">
        <v>717</v>
      </c>
      <c r="C409" s="327">
        <v>0.27547404547404447</v>
      </c>
      <c r="D409" s="327">
        <v>0.56971786357786158</v>
      </c>
      <c r="E409" s="327">
        <v>0.62203655941655722</v>
      </c>
      <c r="F409" s="327">
        <v>0.70843783783783554</v>
      </c>
      <c r="G409" s="327">
        <v>0.79039627627627418</v>
      </c>
      <c r="H409" s="327">
        <v>0.82752511368511172</v>
      </c>
      <c r="I409" s="327">
        <v>0.84944239382239195</v>
      </c>
      <c r="J409" s="327">
        <v>0.88423903903903722</v>
      </c>
      <c r="K409" s="327">
        <v>0.91672330330330187</v>
      </c>
      <c r="L409" s="327">
        <v>0.93171331617331454</v>
      </c>
      <c r="M409" s="327">
        <v>0.94162557700557581</v>
      </c>
      <c r="N409" s="327">
        <v>0.96161038181038105</v>
      </c>
      <c r="O409" s="327">
        <v>0.9875453968253961</v>
      </c>
      <c r="P409" s="311">
        <v>0.99999999999999989</v>
      </c>
      <c r="Q409" s="311">
        <v>1.0024999999999999</v>
      </c>
      <c r="R409" s="311">
        <v>1.0049999999999999</v>
      </c>
      <c r="S409" s="311">
        <v>1.0075000000000001</v>
      </c>
      <c r="T409" s="311">
        <f t="shared" si="6"/>
        <v>1</v>
      </c>
      <c r="U409" s="311"/>
      <c r="V409" s="311"/>
      <c r="W409" s="311">
        <v>1</v>
      </c>
      <c r="X409" s="311" t="s">
        <v>1892</v>
      </c>
      <c r="Y409" s="311" t="s">
        <v>1893</v>
      </c>
      <c r="Z409" s="311" t="s">
        <v>2293</v>
      </c>
      <c r="AA409" s="377">
        <v>1</v>
      </c>
    </row>
    <row r="410" spans="1:27" ht="12.75" customHeight="1" x14ac:dyDescent="0.2">
      <c r="A410" s="311" t="s">
        <v>254</v>
      </c>
      <c r="B410" s="311" t="s">
        <v>717</v>
      </c>
      <c r="C410" s="327">
        <v>0.27058426207362313</v>
      </c>
      <c r="D410" s="327">
        <v>0.5606044537318462</v>
      </c>
      <c r="E410" s="327">
        <v>0.61531308679500041</v>
      </c>
      <c r="F410" s="327">
        <v>0.70793764775413581</v>
      </c>
      <c r="G410" s="327">
        <v>0.79811249999999889</v>
      </c>
      <c r="H410" s="327">
        <v>0.84016452634245098</v>
      </c>
      <c r="I410" s="327">
        <v>0.86554147247551427</v>
      </c>
      <c r="J410" s="327">
        <v>0.90594769503546024</v>
      </c>
      <c r="K410" s="327">
        <v>0.94272036052009411</v>
      </c>
      <c r="L410" s="327">
        <v>0.95855354187774344</v>
      </c>
      <c r="M410" s="327">
        <v>0.96748887200270139</v>
      </c>
      <c r="N410" s="327">
        <v>0.98145689800743019</v>
      </c>
      <c r="O410" s="327">
        <v>0.9949042088821346</v>
      </c>
      <c r="P410" s="311">
        <v>0.99999999999999989</v>
      </c>
      <c r="Q410" s="311">
        <v>1.0024999999999999</v>
      </c>
      <c r="R410" s="311">
        <v>1.0049999999999999</v>
      </c>
      <c r="S410" s="311">
        <v>1.0075000000000001</v>
      </c>
      <c r="T410" s="311">
        <f t="shared" si="6"/>
        <v>1</v>
      </c>
      <c r="U410" s="311"/>
      <c r="V410" s="311"/>
      <c r="W410" s="311">
        <v>1</v>
      </c>
      <c r="X410" s="311" t="s">
        <v>1892</v>
      </c>
      <c r="Y410" s="311" t="s">
        <v>1893</v>
      </c>
      <c r="Z410" s="311" t="s">
        <v>2294</v>
      </c>
      <c r="AA410" s="377">
        <v>1</v>
      </c>
    </row>
    <row r="411" spans="1:27" ht="12.75" customHeight="1" x14ac:dyDescent="0.2">
      <c r="A411" s="311" t="s">
        <v>253</v>
      </c>
      <c r="B411" s="311" t="s">
        <v>717</v>
      </c>
      <c r="C411" s="327">
        <v>0.31071428571428472</v>
      </c>
      <c r="D411" s="327">
        <v>0.64103839285714093</v>
      </c>
      <c r="E411" s="327">
        <v>0.69475357142856942</v>
      </c>
      <c r="F411" s="327">
        <v>0.77906249999999821</v>
      </c>
      <c r="G411" s="327">
        <v>0.85391874999999873</v>
      </c>
      <c r="H411" s="327">
        <v>0.88477946428571319</v>
      </c>
      <c r="I411" s="327">
        <v>0.90091428571428489</v>
      </c>
      <c r="J411" s="327">
        <v>0.92318749999999983</v>
      </c>
      <c r="K411" s="327">
        <v>0.94098125000000032</v>
      </c>
      <c r="L411" s="327">
        <v>0.94798482142857177</v>
      </c>
      <c r="M411" s="327">
        <v>0.95278928571428634</v>
      </c>
      <c r="N411" s="327">
        <v>0.96552678571428641</v>
      </c>
      <c r="O411" s="327">
        <v>0.98750803571428569</v>
      </c>
      <c r="P411" s="311">
        <v>0.99999999999999956</v>
      </c>
      <c r="Q411" s="311">
        <v>1.0024999999999999</v>
      </c>
      <c r="R411" s="311">
        <v>1.0049999999999999</v>
      </c>
      <c r="S411" s="311">
        <v>1.0075000000000001</v>
      </c>
      <c r="T411" s="311">
        <f t="shared" si="6"/>
        <v>1</v>
      </c>
      <c r="U411" s="311"/>
      <c r="V411" s="311"/>
      <c r="W411" s="311">
        <v>1</v>
      </c>
      <c r="X411" s="311" t="s">
        <v>1892</v>
      </c>
      <c r="Y411" s="311" t="s">
        <v>1893</v>
      </c>
      <c r="Z411" s="311" t="s">
        <v>2295</v>
      </c>
      <c r="AA411" s="377">
        <v>1</v>
      </c>
    </row>
    <row r="412" spans="1:27" ht="12.75" customHeight="1" x14ac:dyDescent="0.2">
      <c r="A412" s="311" t="s">
        <v>252</v>
      </c>
      <c r="B412" s="311" t="s">
        <v>717</v>
      </c>
      <c r="C412" s="327">
        <v>0.27478846627782727</v>
      </c>
      <c r="D412" s="327">
        <v>0.56895781334145556</v>
      </c>
      <c r="E412" s="327">
        <v>0.62332051922743259</v>
      </c>
      <c r="F412" s="327">
        <v>0.714518541147529</v>
      </c>
      <c r="G412" s="327">
        <v>0.80241169294294201</v>
      </c>
      <c r="H412" s="327">
        <v>0.84291184240851724</v>
      </c>
      <c r="I412" s="327">
        <v>0.86707180280584462</v>
      </c>
      <c r="J412" s="327">
        <v>0.90521590074116631</v>
      </c>
      <c r="K412" s="327">
        <v>0.93978963604561994</v>
      </c>
      <c r="L412" s="327">
        <v>0.95472259217804423</v>
      </c>
      <c r="M412" s="327">
        <v>0.96338294107177092</v>
      </c>
      <c r="N412" s="327">
        <v>0.97787938299241484</v>
      </c>
      <c r="O412" s="327">
        <v>0.99344101443768973</v>
      </c>
      <c r="P412" s="311">
        <v>0.99999999999999978</v>
      </c>
      <c r="Q412" s="311">
        <v>1.0024999999999999</v>
      </c>
      <c r="R412" s="311">
        <v>1.0049999999999999</v>
      </c>
      <c r="S412" s="311">
        <v>1.0075000000000001</v>
      </c>
      <c r="T412" s="311">
        <f t="shared" si="6"/>
        <v>1</v>
      </c>
      <c r="U412" s="311"/>
      <c r="V412" s="311"/>
      <c r="W412" s="311">
        <v>1</v>
      </c>
      <c r="X412" s="311" t="s">
        <v>1892</v>
      </c>
      <c r="Y412" s="311" t="s">
        <v>1893</v>
      </c>
      <c r="Z412" s="311" t="s">
        <v>2296</v>
      </c>
      <c r="AA412" s="377">
        <v>1</v>
      </c>
    </row>
    <row r="413" spans="1:27" ht="12.75" customHeight="1" x14ac:dyDescent="0.2">
      <c r="A413" s="311" t="s">
        <v>251</v>
      </c>
      <c r="B413" s="311" t="s">
        <v>717</v>
      </c>
      <c r="C413" s="327">
        <v>0.16613756613756592</v>
      </c>
      <c r="D413" s="327">
        <v>0.34600211640211598</v>
      </c>
      <c r="E413" s="327">
        <v>0.3859455026455022</v>
      </c>
      <c r="F413" s="327">
        <v>0.46037037037036993</v>
      </c>
      <c r="G413" s="327">
        <v>0.54185555555555531</v>
      </c>
      <c r="H413" s="327">
        <v>0.58581428571428551</v>
      </c>
      <c r="I413" s="327">
        <v>0.61740052910052889</v>
      </c>
      <c r="J413" s="327">
        <v>0.67899999999999983</v>
      </c>
      <c r="K413" s="327">
        <v>0.7500592592592592</v>
      </c>
      <c r="L413" s="327">
        <v>0.79065291005291005</v>
      </c>
      <c r="M413" s="327">
        <v>0.82165978835978837</v>
      </c>
      <c r="N413" s="327">
        <v>0.8859894179894181</v>
      </c>
      <c r="O413" s="327">
        <v>0.96477089947089967</v>
      </c>
      <c r="P413" s="311">
        <v>1.0000000000000002</v>
      </c>
      <c r="Q413" s="311">
        <v>1.0024999999999999</v>
      </c>
      <c r="R413" s="311">
        <v>1.0049999999999999</v>
      </c>
      <c r="S413" s="311">
        <v>1.0075000000000001</v>
      </c>
      <c r="T413" s="311">
        <f t="shared" si="6"/>
        <v>1</v>
      </c>
      <c r="U413" s="311"/>
      <c r="V413" s="311"/>
      <c r="W413" s="311">
        <v>1</v>
      </c>
      <c r="X413" s="311" t="s">
        <v>1892</v>
      </c>
      <c r="Y413" s="311" t="s">
        <v>1893</v>
      </c>
      <c r="Z413" s="311" t="s">
        <v>2297</v>
      </c>
      <c r="AA413" s="377">
        <v>1</v>
      </c>
    </row>
    <row r="414" spans="1:27" ht="12.75" customHeight="1" x14ac:dyDescent="0.2">
      <c r="A414" s="311" t="s">
        <v>250</v>
      </c>
      <c r="B414" s="311" t="s">
        <v>717</v>
      </c>
      <c r="C414" s="327">
        <v>0.22831977027571115</v>
      </c>
      <c r="D414" s="327">
        <v>0.4740219141394868</v>
      </c>
      <c r="E414" s="327">
        <v>0.52360271367113731</v>
      </c>
      <c r="F414" s="327">
        <v>0.61080757676902431</v>
      </c>
      <c r="G414" s="327">
        <v>0.69983645786975124</v>
      </c>
      <c r="H414" s="327">
        <v>0.74398876147031945</v>
      </c>
      <c r="I414" s="327">
        <v>0.77274938012588157</v>
      </c>
      <c r="J414" s="327">
        <v>0.82300068609998478</v>
      </c>
      <c r="K414" s="327">
        <v>0.87438502262275608</v>
      </c>
      <c r="L414" s="327">
        <v>0.90015069431199235</v>
      </c>
      <c r="M414" s="327">
        <v>0.9174647413482524</v>
      </c>
      <c r="N414" s="327">
        <v>0.94950970871214513</v>
      </c>
      <c r="O414" s="327">
        <v>0.98512125558946306</v>
      </c>
      <c r="P414" s="311">
        <v>1</v>
      </c>
      <c r="Q414" s="311">
        <v>1.0024999999999999</v>
      </c>
      <c r="R414" s="311">
        <v>1.0049999999999999</v>
      </c>
      <c r="S414" s="311">
        <v>1.0075000000000001</v>
      </c>
      <c r="T414" s="311">
        <f t="shared" si="6"/>
        <v>1</v>
      </c>
      <c r="U414" s="311"/>
      <c r="V414" s="311"/>
      <c r="W414" s="311">
        <v>1</v>
      </c>
      <c r="X414" s="311" t="s">
        <v>1892</v>
      </c>
      <c r="Y414" s="311" t="s">
        <v>1893</v>
      </c>
      <c r="Z414" s="311" t="s">
        <v>2298</v>
      </c>
      <c r="AA414" s="377">
        <v>1</v>
      </c>
    </row>
    <row r="415" spans="1:27" ht="12.75" customHeight="1" x14ac:dyDescent="0.2">
      <c r="A415" s="311" t="s">
        <v>249</v>
      </c>
      <c r="B415" s="311" t="s">
        <v>717</v>
      </c>
      <c r="C415" s="327">
        <v>0.22831977027571115</v>
      </c>
      <c r="D415" s="327">
        <v>0.4740219141394868</v>
      </c>
      <c r="E415" s="327">
        <v>0.52360271367113731</v>
      </c>
      <c r="F415" s="327">
        <v>0.61080757676902431</v>
      </c>
      <c r="G415" s="327">
        <v>0.69983645786975124</v>
      </c>
      <c r="H415" s="327">
        <v>0.74398876147031945</v>
      </c>
      <c r="I415" s="327">
        <v>0.77274938012588157</v>
      </c>
      <c r="J415" s="327">
        <v>0.82300068609998478</v>
      </c>
      <c r="K415" s="327">
        <v>0.87438502262275608</v>
      </c>
      <c r="L415" s="327">
        <v>0.90015069431199235</v>
      </c>
      <c r="M415" s="327">
        <v>0.9174647413482524</v>
      </c>
      <c r="N415" s="327">
        <v>0.94950970871214513</v>
      </c>
      <c r="O415" s="327">
        <v>0.98512125558946306</v>
      </c>
      <c r="P415" s="311">
        <v>1</v>
      </c>
      <c r="Q415" s="311">
        <v>1.0024999999999999</v>
      </c>
      <c r="R415" s="311">
        <v>1.0049999999999999</v>
      </c>
      <c r="S415" s="311">
        <v>1.0075000000000001</v>
      </c>
      <c r="T415" s="311">
        <f t="shared" si="6"/>
        <v>1</v>
      </c>
      <c r="U415" s="311"/>
      <c r="V415" s="311"/>
      <c r="W415" s="311">
        <v>1</v>
      </c>
      <c r="X415" s="311" t="s">
        <v>1892</v>
      </c>
      <c r="Y415" s="311" t="s">
        <v>1893</v>
      </c>
      <c r="Z415" s="311" t="s">
        <v>2299</v>
      </c>
      <c r="AA415" s="377">
        <v>1</v>
      </c>
    </row>
    <row r="416" spans="1:27" ht="12.75" customHeight="1" x14ac:dyDescent="0.2">
      <c r="A416" s="311" t="s">
        <v>248</v>
      </c>
      <c r="B416" s="311" t="s">
        <v>717</v>
      </c>
      <c r="C416" s="327">
        <v>0.22831977027571115</v>
      </c>
      <c r="D416" s="327">
        <v>0.4740219141394868</v>
      </c>
      <c r="E416" s="327">
        <v>0.52360271367113731</v>
      </c>
      <c r="F416" s="327">
        <v>0.61080757676902431</v>
      </c>
      <c r="G416" s="327">
        <v>0.69983645786975124</v>
      </c>
      <c r="H416" s="327">
        <v>0.74398876147031945</v>
      </c>
      <c r="I416" s="327">
        <v>0.77274938012588157</v>
      </c>
      <c r="J416" s="327">
        <v>0.82300068609998478</v>
      </c>
      <c r="K416" s="327">
        <v>0.87438502262275608</v>
      </c>
      <c r="L416" s="327">
        <v>0.90015069431199235</v>
      </c>
      <c r="M416" s="327">
        <v>0.9174647413482524</v>
      </c>
      <c r="N416" s="327">
        <v>0.94950970871214513</v>
      </c>
      <c r="O416" s="327">
        <v>0.98512125558946306</v>
      </c>
      <c r="P416" s="311">
        <v>1</v>
      </c>
      <c r="Q416" s="311">
        <v>1.0024999999999999</v>
      </c>
      <c r="R416" s="311">
        <v>1.0049999999999999</v>
      </c>
      <c r="S416" s="311">
        <v>1.0075000000000001</v>
      </c>
      <c r="T416" s="311">
        <f t="shared" si="6"/>
        <v>1</v>
      </c>
      <c r="U416" s="311"/>
      <c r="V416" s="311"/>
      <c r="W416" s="311">
        <v>1</v>
      </c>
      <c r="X416" s="311" t="s">
        <v>1892</v>
      </c>
      <c r="Y416" s="311" t="s">
        <v>1893</v>
      </c>
      <c r="Z416" s="311" t="s">
        <v>2300</v>
      </c>
      <c r="AA416" s="377">
        <v>1</v>
      </c>
    </row>
    <row r="417" spans="1:27" ht="12.75" customHeight="1" x14ac:dyDescent="0.2">
      <c r="A417" s="311" t="s">
        <v>247</v>
      </c>
      <c r="B417" s="311" t="s">
        <v>717</v>
      </c>
      <c r="C417" s="327">
        <v>0.125</v>
      </c>
      <c r="D417" s="327">
        <v>0.26250000000000001</v>
      </c>
      <c r="E417" s="327">
        <v>0.3</v>
      </c>
      <c r="F417" s="327">
        <v>0.375</v>
      </c>
      <c r="G417" s="327">
        <v>0.46250000000000002</v>
      </c>
      <c r="H417" s="327">
        <v>0.51249999999999996</v>
      </c>
      <c r="I417" s="327">
        <v>0.55000000000000004</v>
      </c>
      <c r="J417" s="327">
        <v>0.625</v>
      </c>
      <c r="K417" s="327">
        <v>0.71250000000000002</v>
      </c>
      <c r="L417" s="327">
        <v>0.76249999999999996</v>
      </c>
      <c r="M417" s="327">
        <v>0.79999999999999993</v>
      </c>
      <c r="N417" s="327">
        <v>0.875</v>
      </c>
      <c r="O417" s="327">
        <v>0.96250000000000002</v>
      </c>
      <c r="P417" s="311">
        <v>1</v>
      </c>
      <c r="Q417" s="311">
        <v>1.0024999999999999</v>
      </c>
      <c r="R417" s="311">
        <v>1.0049999999999999</v>
      </c>
      <c r="S417" s="311">
        <v>1.0075000000000001</v>
      </c>
      <c r="T417" s="311">
        <f t="shared" si="6"/>
        <v>1</v>
      </c>
      <c r="U417" s="311"/>
      <c r="V417" s="311"/>
      <c r="W417" s="311">
        <v>1</v>
      </c>
      <c r="X417" s="311" t="s">
        <v>1892</v>
      </c>
      <c r="Y417" s="311" t="s">
        <v>1893</v>
      </c>
      <c r="Z417" s="311" t="s">
        <v>2301</v>
      </c>
      <c r="AA417" s="377">
        <v>1</v>
      </c>
    </row>
    <row r="418" spans="1:27" ht="12.75" customHeight="1" x14ac:dyDescent="0.2">
      <c r="A418" s="311" t="s">
        <v>246</v>
      </c>
      <c r="B418" s="311" t="s">
        <v>717</v>
      </c>
      <c r="C418" s="327">
        <v>0.125</v>
      </c>
      <c r="D418" s="327">
        <v>0.26250000000000001</v>
      </c>
      <c r="E418" s="327">
        <v>0.3</v>
      </c>
      <c r="F418" s="327">
        <v>0.375</v>
      </c>
      <c r="G418" s="327">
        <v>0.46250000000000002</v>
      </c>
      <c r="H418" s="327">
        <v>0.51249999999999996</v>
      </c>
      <c r="I418" s="327">
        <v>0.55000000000000004</v>
      </c>
      <c r="J418" s="327">
        <v>0.625</v>
      </c>
      <c r="K418" s="327">
        <v>0.71250000000000002</v>
      </c>
      <c r="L418" s="327">
        <v>0.76249999999999996</v>
      </c>
      <c r="M418" s="327">
        <v>0.79999999999999993</v>
      </c>
      <c r="N418" s="327">
        <v>0.875</v>
      </c>
      <c r="O418" s="327">
        <v>0.96250000000000002</v>
      </c>
      <c r="P418" s="311">
        <v>1</v>
      </c>
      <c r="Q418" s="311">
        <v>1.0024999999999999</v>
      </c>
      <c r="R418" s="311">
        <v>1.0049999999999999</v>
      </c>
      <c r="S418" s="311">
        <v>1.0075000000000001</v>
      </c>
      <c r="T418" s="311">
        <f t="shared" si="6"/>
        <v>1</v>
      </c>
      <c r="U418" s="311"/>
      <c r="V418" s="311"/>
      <c r="W418" s="311">
        <v>1</v>
      </c>
      <c r="X418" s="311" t="s">
        <v>1892</v>
      </c>
      <c r="Y418" s="311" t="s">
        <v>1893</v>
      </c>
      <c r="Z418" s="311" t="s">
        <v>2302</v>
      </c>
      <c r="AA418" s="377">
        <v>1</v>
      </c>
    </row>
    <row r="419" spans="1:27" ht="12.75" customHeight="1" x14ac:dyDescent="0.2">
      <c r="A419" s="311" t="s">
        <v>245</v>
      </c>
      <c r="B419" s="311" t="s">
        <v>717</v>
      </c>
      <c r="C419" s="327">
        <v>0.28227513227513146</v>
      </c>
      <c r="D419" s="327">
        <v>0.58373733465608302</v>
      </c>
      <c r="E419" s="327">
        <v>0.63716785714285551</v>
      </c>
      <c r="F419" s="327">
        <v>0.72509953703703556</v>
      </c>
      <c r="G419" s="327">
        <v>0.80804467592592466</v>
      </c>
      <c r="H419" s="327">
        <v>0.84528528439153316</v>
      </c>
      <c r="I419" s="327">
        <v>0.8669529100529092</v>
      </c>
      <c r="J419" s="327">
        <v>0.90059490740740689</v>
      </c>
      <c r="K419" s="327">
        <v>0.93097754629629592</v>
      </c>
      <c r="L419" s="327">
        <v>0.94433984788359804</v>
      </c>
      <c r="M419" s="327">
        <v>0.9527167989417995</v>
      </c>
      <c r="N419" s="327">
        <v>0.96901355820105817</v>
      </c>
      <c r="O419" s="327">
        <v>0.98993554894179847</v>
      </c>
      <c r="P419" s="311">
        <v>0.99999999999999978</v>
      </c>
      <c r="Q419" s="311">
        <v>1.0024999999999999</v>
      </c>
      <c r="R419" s="311">
        <v>1.0049999999999999</v>
      </c>
      <c r="S419" s="311">
        <v>1.0075000000000001</v>
      </c>
      <c r="T419" s="311">
        <f t="shared" si="6"/>
        <v>1</v>
      </c>
      <c r="U419" s="311"/>
      <c r="V419" s="311"/>
      <c r="W419" s="311">
        <v>1</v>
      </c>
      <c r="X419" s="311" t="s">
        <v>1892</v>
      </c>
      <c r="Y419" s="311" t="s">
        <v>1893</v>
      </c>
      <c r="Z419" s="311" t="s">
        <v>2303</v>
      </c>
      <c r="AA419" s="377">
        <v>1</v>
      </c>
    </row>
    <row r="420" spans="1:27" ht="12.75" customHeight="1" x14ac:dyDescent="0.2">
      <c r="A420" s="311" t="s">
        <v>244</v>
      </c>
      <c r="B420" s="311" t="s">
        <v>717</v>
      </c>
      <c r="C420" s="327">
        <v>0.125</v>
      </c>
      <c r="D420" s="327">
        <v>0.26250000000000001</v>
      </c>
      <c r="E420" s="327">
        <v>0.3</v>
      </c>
      <c r="F420" s="327">
        <v>0.375</v>
      </c>
      <c r="G420" s="327">
        <v>0.46250000000000002</v>
      </c>
      <c r="H420" s="327">
        <v>0.51249999999999996</v>
      </c>
      <c r="I420" s="327">
        <v>0.55000000000000004</v>
      </c>
      <c r="J420" s="327">
        <v>0.625</v>
      </c>
      <c r="K420" s="327">
        <v>0.71250000000000002</v>
      </c>
      <c r="L420" s="327">
        <v>0.76249999999999996</v>
      </c>
      <c r="M420" s="327">
        <v>0.79999999999999993</v>
      </c>
      <c r="N420" s="327">
        <v>0.875</v>
      </c>
      <c r="O420" s="327">
        <v>0.96250000000000002</v>
      </c>
      <c r="P420" s="311">
        <v>1</v>
      </c>
      <c r="Q420" s="311">
        <v>1.0024999999999999</v>
      </c>
      <c r="R420" s="311">
        <v>1.0049999999999999</v>
      </c>
      <c r="S420" s="311">
        <v>1.0075000000000001</v>
      </c>
      <c r="T420" s="311">
        <f t="shared" si="6"/>
        <v>1</v>
      </c>
      <c r="U420" s="311"/>
      <c r="V420" s="311"/>
      <c r="W420" s="311">
        <v>1</v>
      </c>
      <c r="X420" s="311" t="s">
        <v>1892</v>
      </c>
      <c r="Y420" s="311" t="s">
        <v>1893</v>
      </c>
      <c r="Z420" s="311" t="s">
        <v>2304</v>
      </c>
      <c r="AA420" s="377">
        <v>1</v>
      </c>
    </row>
    <row r="421" spans="1:27" ht="12.75" customHeight="1" x14ac:dyDescent="0.2">
      <c r="A421" s="311" t="s">
        <v>243</v>
      </c>
      <c r="B421" s="311" t="s">
        <v>717</v>
      </c>
      <c r="C421" s="327">
        <v>0.125</v>
      </c>
      <c r="D421" s="327">
        <v>0.26250000000000001</v>
      </c>
      <c r="E421" s="327">
        <v>0.3</v>
      </c>
      <c r="F421" s="327">
        <v>0.375</v>
      </c>
      <c r="G421" s="327">
        <v>0.46250000000000002</v>
      </c>
      <c r="H421" s="327">
        <v>0.51249999999999996</v>
      </c>
      <c r="I421" s="327">
        <v>0.55000000000000004</v>
      </c>
      <c r="J421" s="327">
        <v>0.625</v>
      </c>
      <c r="K421" s="327">
        <v>0.71250000000000002</v>
      </c>
      <c r="L421" s="327">
        <v>0.76249999999999996</v>
      </c>
      <c r="M421" s="327">
        <v>0.79999999999999993</v>
      </c>
      <c r="N421" s="327">
        <v>0.875</v>
      </c>
      <c r="O421" s="327">
        <v>0.96250000000000002</v>
      </c>
      <c r="P421" s="311">
        <v>1</v>
      </c>
      <c r="Q421" s="311">
        <v>1.0024999999999999</v>
      </c>
      <c r="R421" s="311">
        <v>1.0049999999999999</v>
      </c>
      <c r="S421" s="311">
        <v>1.0075000000000001</v>
      </c>
      <c r="T421" s="311">
        <f t="shared" si="6"/>
        <v>1</v>
      </c>
      <c r="U421" s="311"/>
      <c r="V421" s="311"/>
      <c r="W421" s="311">
        <v>1</v>
      </c>
      <c r="X421" s="311" t="s">
        <v>1892</v>
      </c>
      <c r="Y421" s="311" t="s">
        <v>1893</v>
      </c>
      <c r="Z421" s="311" t="s">
        <v>2305</v>
      </c>
      <c r="AA421" s="377">
        <v>1</v>
      </c>
    </row>
    <row r="422" spans="1:27" ht="12.75" customHeight="1" x14ac:dyDescent="0.2">
      <c r="A422" s="311" t="s">
        <v>242</v>
      </c>
      <c r="B422" s="311" t="s">
        <v>717</v>
      </c>
      <c r="C422" s="327">
        <v>0.12103174603174593</v>
      </c>
      <c r="D422" s="327">
        <v>0.25431216931216916</v>
      </c>
      <c r="E422" s="327">
        <v>0.29113756613756592</v>
      </c>
      <c r="F422" s="327">
        <v>0.365185185185185</v>
      </c>
      <c r="G422" s="327">
        <v>0.4520370370370369</v>
      </c>
      <c r="H422" s="327">
        <v>0.50193121693121678</v>
      </c>
      <c r="I422" s="327">
        <v>0.53955026455026434</v>
      </c>
      <c r="J422" s="327">
        <v>0.61518518518518506</v>
      </c>
      <c r="K422" s="327">
        <v>0.7038888888888889</v>
      </c>
      <c r="L422" s="327">
        <v>0.75484126984126976</v>
      </c>
      <c r="M422" s="327">
        <v>0.7932539682539681</v>
      </c>
      <c r="N422" s="327">
        <v>0.8704761904761904</v>
      </c>
      <c r="O422" s="327">
        <v>0.96103174603174601</v>
      </c>
      <c r="P422" s="311">
        <v>1</v>
      </c>
      <c r="Q422" s="311">
        <v>1.0024999999999999</v>
      </c>
      <c r="R422" s="311">
        <v>1.0049999999999999</v>
      </c>
      <c r="S422" s="311">
        <v>1.0075000000000001</v>
      </c>
      <c r="T422" s="311">
        <f t="shared" si="6"/>
        <v>1</v>
      </c>
      <c r="U422" s="311"/>
      <c r="V422" s="311"/>
      <c r="W422" s="311">
        <v>1</v>
      </c>
      <c r="X422" s="311" t="s">
        <v>1892</v>
      </c>
      <c r="Y422" s="311" t="s">
        <v>1893</v>
      </c>
      <c r="Z422" s="311" t="s">
        <v>2306</v>
      </c>
      <c r="AA422" s="377">
        <v>1</v>
      </c>
    </row>
    <row r="423" spans="1:27" ht="12.75" customHeight="1" x14ac:dyDescent="0.2">
      <c r="A423" s="311" t="s">
        <v>241</v>
      </c>
      <c r="B423" s="311" t="s">
        <v>717</v>
      </c>
      <c r="C423" s="327">
        <v>0.125</v>
      </c>
      <c r="D423" s="327">
        <v>0.26250000000000001</v>
      </c>
      <c r="E423" s="327">
        <v>0.3</v>
      </c>
      <c r="F423" s="327">
        <v>0.375</v>
      </c>
      <c r="G423" s="327">
        <v>0.46250000000000002</v>
      </c>
      <c r="H423" s="327">
        <v>0.51249999999999996</v>
      </c>
      <c r="I423" s="327">
        <v>0.55000000000000004</v>
      </c>
      <c r="J423" s="327">
        <v>0.625</v>
      </c>
      <c r="K423" s="327">
        <v>0.71250000000000002</v>
      </c>
      <c r="L423" s="327">
        <v>0.76249999999999996</v>
      </c>
      <c r="M423" s="327">
        <v>0.79999999999999993</v>
      </c>
      <c r="N423" s="327">
        <v>0.875</v>
      </c>
      <c r="O423" s="327">
        <v>0.96250000000000002</v>
      </c>
      <c r="P423" s="311">
        <v>1</v>
      </c>
      <c r="Q423" s="311">
        <v>1.0024999999999999</v>
      </c>
      <c r="R423" s="311">
        <v>1.0049999999999999</v>
      </c>
      <c r="S423" s="311">
        <v>1.0075000000000001</v>
      </c>
      <c r="T423" s="311">
        <f t="shared" si="6"/>
        <v>1</v>
      </c>
      <c r="U423" s="311"/>
      <c r="V423" s="311"/>
      <c r="W423" s="311">
        <v>1</v>
      </c>
      <c r="X423" s="311" t="s">
        <v>1892</v>
      </c>
      <c r="Y423" s="311" t="s">
        <v>1893</v>
      </c>
      <c r="Z423" s="311" t="s">
        <v>2307</v>
      </c>
      <c r="AA423" s="377">
        <v>1</v>
      </c>
    </row>
    <row r="424" spans="1:27" ht="12.75" customHeight="1" x14ac:dyDescent="0.2">
      <c r="A424" s="311" t="s">
        <v>240</v>
      </c>
      <c r="B424" s="311" t="s">
        <v>717</v>
      </c>
      <c r="C424" s="327">
        <v>0.2166666666666664</v>
      </c>
      <c r="D424" s="327">
        <v>0.45163888888888837</v>
      </c>
      <c r="E424" s="327">
        <v>0.50472222222222174</v>
      </c>
      <c r="F424" s="327">
        <v>0.60172222222222183</v>
      </c>
      <c r="G424" s="327">
        <v>0.70419444444444401</v>
      </c>
      <c r="H424" s="327">
        <v>0.75663888888888842</v>
      </c>
      <c r="I424" s="327">
        <v>0.79138888888888859</v>
      </c>
      <c r="J424" s="327">
        <v>0.85172222222222205</v>
      </c>
      <c r="K424" s="327">
        <v>0.91141666666666665</v>
      </c>
      <c r="L424" s="327">
        <v>0.93941666666666668</v>
      </c>
      <c r="M424" s="327">
        <v>0.95583333333333331</v>
      </c>
      <c r="N424" s="327">
        <v>0.97950000000000004</v>
      </c>
      <c r="O424" s="327">
        <v>0.99641666666666673</v>
      </c>
      <c r="P424" s="311">
        <v>1</v>
      </c>
      <c r="Q424" s="311">
        <v>1.0024999999999999</v>
      </c>
      <c r="R424" s="311">
        <v>1.0049999999999999</v>
      </c>
      <c r="S424" s="311">
        <v>1.0075000000000001</v>
      </c>
      <c r="T424" s="311">
        <f t="shared" si="6"/>
        <v>1</v>
      </c>
      <c r="U424" s="311"/>
      <c r="V424" s="311"/>
      <c r="W424" s="311">
        <v>1</v>
      </c>
      <c r="X424" s="311" t="s">
        <v>1892</v>
      </c>
      <c r="Y424" s="311" t="s">
        <v>1893</v>
      </c>
      <c r="Z424" s="311" t="s">
        <v>2308</v>
      </c>
      <c r="AA424" s="377">
        <v>1</v>
      </c>
    </row>
    <row r="425" spans="1:27" ht="12.75" customHeight="1" x14ac:dyDescent="0.2">
      <c r="A425" s="311" t="s">
        <v>768</v>
      </c>
      <c r="B425" s="311"/>
      <c r="C425" s="327"/>
      <c r="D425" s="327"/>
      <c r="E425" s="327"/>
      <c r="F425" s="327"/>
      <c r="G425" s="327"/>
      <c r="H425" s="327"/>
      <c r="I425" s="327"/>
      <c r="J425" s="327"/>
      <c r="K425" s="327"/>
      <c r="L425" s="327"/>
      <c r="M425" s="327"/>
      <c r="N425" s="327"/>
      <c r="O425" s="327"/>
      <c r="P425" s="311"/>
      <c r="Q425" s="311"/>
      <c r="R425" s="311"/>
      <c r="S425" s="311"/>
      <c r="T425" s="311">
        <f t="shared" si="6"/>
        <v>0</v>
      </c>
      <c r="U425" s="311"/>
      <c r="V425" s="311"/>
      <c r="W425" s="311">
        <v>0</v>
      </c>
      <c r="X425" s="311" t="s">
        <v>2309</v>
      </c>
      <c r="Y425" s="311" t="s">
        <v>1893</v>
      </c>
      <c r="Z425" s="311" t="s">
        <v>768</v>
      </c>
      <c r="AA425" s="377"/>
    </row>
    <row r="426" spans="1:27" ht="12.75" customHeight="1" x14ac:dyDescent="0.2">
      <c r="A426" s="311" t="s">
        <v>769</v>
      </c>
      <c r="B426" s="311"/>
      <c r="C426" s="327"/>
      <c r="D426" s="327"/>
      <c r="E426" s="327"/>
      <c r="F426" s="327"/>
      <c r="G426" s="327"/>
      <c r="H426" s="327"/>
      <c r="I426" s="327"/>
      <c r="J426" s="327"/>
      <c r="K426" s="327"/>
      <c r="L426" s="327"/>
      <c r="M426" s="327"/>
      <c r="N426" s="327"/>
      <c r="O426" s="327"/>
      <c r="P426" s="311"/>
      <c r="Q426" s="311"/>
      <c r="R426" s="311"/>
      <c r="S426" s="311"/>
      <c r="T426" s="311">
        <f t="shared" si="6"/>
        <v>0</v>
      </c>
      <c r="U426" s="311"/>
      <c r="V426" s="311"/>
      <c r="W426" s="311">
        <v>0</v>
      </c>
      <c r="X426" s="311" t="s">
        <v>2309</v>
      </c>
      <c r="Y426" s="311" t="s">
        <v>1893</v>
      </c>
      <c r="Z426" s="311" t="s">
        <v>769</v>
      </c>
      <c r="AA426" s="377"/>
    </row>
    <row r="427" spans="1:27" ht="12.75" customHeight="1" x14ac:dyDescent="0.2">
      <c r="A427" s="311" t="s">
        <v>770</v>
      </c>
      <c r="B427" s="311"/>
      <c r="C427" s="327"/>
      <c r="D427" s="327"/>
      <c r="E427" s="327"/>
      <c r="F427" s="327"/>
      <c r="G427" s="327"/>
      <c r="H427" s="327"/>
      <c r="I427" s="327"/>
      <c r="J427" s="327"/>
      <c r="K427" s="327"/>
      <c r="L427" s="327"/>
      <c r="M427" s="327"/>
      <c r="N427" s="327"/>
      <c r="O427" s="327"/>
      <c r="P427" s="311"/>
      <c r="Q427" s="311"/>
      <c r="R427" s="311"/>
      <c r="S427" s="311"/>
      <c r="T427" s="311">
        <f t="shared" si="6"/>
        <v>0</v>
      </c>
      <c r="U427" s="311"/>
      <c r="V427" s="311"/>
      <c r="W427" s="311">
        <v>0</v>
      </c>
      <c r="X427" s="311" t="s">
        <v>2309</v>
      </c>
      <c r="Y427" s="311" t="s">
        <v>1893</v>
      </c>
      <c r="Z427" s="311" t="s">
        <v>770</v>
      </c>
      <c r="AA427" s="377"/>
    </row>
  </sheetData>
  <mergeCells count="3">
    <mergeCell ref="P2:S2"/>
    <mergeCell ref="U2:V2"/>
    <mergeCell ref="W2:Z2"/>
  </mergeCells>
  <dataValidations count="2">
    <dataValidation type="list" allowBlank="1" showInputMessage="1" showErrorMessage="1" sqref="B4:B427" xr:uid="{00000000-0002-0000-1A00-000000000000}">
      <formula1>"Protected,Mild,Moderate,Severe"</formula1>
    </dataValidation>
    <dataValidation type="decimal" allowBlank="1" showInputMessage="1" showErrorMessage="1" sqref="V4:V427" xr:uid="{F328CD68-4424-4F87-A88C-C55E8D947A1C}">
      <formula1>0</formula1>
      <formula2>3</formula2>
    </dataValidation>
  </dataValidations>
  <pageMargins left="0.74803149606299213" right="0.74803149606299213" top="0.98425196850393704" bottom="0.98425196850393704" header="0.51181102362204722" footer="0.51181102362204722"/>
  <pageSetup paperSize="8" orientation="landscape" r:id="rId1"/>
  <headerFooter alignWithMargins="0">
    <oddHeader>&amp;LStructures Asset Management Planning Toolkit</oddHeader>
    <oddFooter>&amp;L&amp;A&amp;R&amp;P of &amp;N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_Ref0507">
    <tabColor rgb="FFFFFF85"/>
    <pageSetUpPr fitToPage="1"/>
  </sheetPr>
  <dimension ref="A1:W96"/>
  <sheetViews>
    <sheetView showGridLines="0" zoomScale="70" zoomScaleNormal="70" workbookViewId="0">
      <selection activeCell="B5" sqref="B5"/>
    </sheetView>
  </sheetViews>
  <sheetFormatPr defaultColWidth="9.140625" defaultRowHeight="12.75" x14ac:dyDescent="0.2"/>
  <cols>
    <col min="1" max="1" width="13.7109375" style="19" customWidth="1"/>
    <col min="2" max="2" width="48" style="19" customWidth="1"/>
    <col min="3" max="3" width="29.7109375" style="19" customWidth="1"/>
    <col min="4" max="4" width="10.5703125" style="19" bestFit="1" customWidth="1"/>
    <col min="5" max="5" width="15.5703125" style="19" customWidth="1"/>
    <col min="6" max="6" width="19.7109375" style="19" customWidth="1"/>
    <col min="7" max="10" width="10.28515625" style="19" customWidth="1"/>
    <col min="11" max="11" width="18" style="19" customWidth="1"/>
    <col min="12" max="12" width="97.85546875" style="42" customWidth="1"/>
    <col min="13" max="13" width="17.7109375" style="19" customWidth="1"/>
    <col min="14" max="14" width="48" style="19" customWidth="1"/>
    <col min="15" max="15" width="29.7109375" style="19" customWidth="1"/>
    <col min="16" max="16" width="10.5703125" style="19" bestFit="1" customWidth="1"/>
    <col min="17" max="17" width="15.5703125" style="19" customWidth="1"/>
    <col min="18" max="18" width="19.7109375" style="19" customWidth="1"/>
    <col min="19" max="22" width="10.28515625" style="19" customWidth="1"/>
    <col min="23" max="23" width="18" style="19" customWidth="1"/>
    <col min="24" max="16384" width="9.140625" style="19"/>
  </cols>
  <sheetData>
    <row r="1" spans="1:23" x14ac:dyDescent="0.2">
      <c r="A1" s="593" t="s">
        <v>805</v>
      </c>
      <c r="B1" s="593"/>
      <c r="E1" s="27"/>
      <c r="F1" s="27"/>
      <c r="G1" s="27"/>
      <c r="H1" s="27"/>
      <c r="I1" s="27"/>
      <c r="J1" s="27"/>
      <c r="K1" s="27"/>
      <c r="L1" s="133"/>
      <c r="N1" s="119" t="s">
        <v>1094</v>
      </c>
      <c r="Q1" s="27"/>
      <c r="R1" s="27"/>
      <c r="S1" s="27"/>
      <c r="T1" s="27"/>
      <c r="U1" s="27"/>
      <c r="V1" s="27"/>
      <c r="W1" s="27"/>
    </row>
    <row r="2" spans="1:23" ht="37.15" customHeight="1" x14ac:dyDescent="0.2">
      <c r="A2" s="580" t="s">
        <v>432</v>
      </c>
      <c r="B2" s="580" t="s">
        <v>431</v>
      </c>
      <c r="C2" s="580" t="s">
        <v>430</v>
      </c>
      <c r="D2" s="580" t="s">
        <v>199</v>
      </c>
      <c r="E2" s="580" t="s">
        <v>429</v>
      </c>
      <c r="F2" s="580" t="s">
        <v>428</v>
      </c>
      <c r="G2" s="580" t="s">
        <v>427</v>
      </c>
      <c r="H2" s="580"/>
      <c r="I2" s="580"/>
      <c r="J2" s="580"/>
      <c r="K2" s="580" t="s">
        <v>426</v>
      </c>
      <c r="L2" s="580" t="s">
        <v>425</v>
      </c>
      <c r="M2" s="323" t="s">
        <v>1110</v>
      </c>
      <c r="N2" s="592" t="s">
        <v>431</v>
      </c>
      <c r="O2" s="592" t="s">
        <v>430</v>
      </c>
      <c r="P2" s="592" t="s">
        <v>199</v>
      </c>
      <c r="Q2" s="592" t="s">
        <v>429</v>
      </c>
      <c r="R2" s="592" t="s">
        <v>428</v>
      </c>
      <c r="S2" s="592" t="s">
        <v>427</v>
      </c>
      <c r="T2" s="592"/>
      <c r="U2" s="592"/>
      <c r="V2" s="592"/>
      <c r="W2" s="592" t="s">
        <v>426</v>
      </c>
    </row>
    <row r="3" spans="1:23" ht="37.15" customHeight="1" x14ac:dyDescent="0.2">
      <c r="A3" s="580"/>
      <c r="B3" s="580"/>
      <c r="C3" s="580"/>
      <c r="D3" s="580"/>
      <c r="E3" s="580"/>
      <c r="F3" s="580"/>
      <c r="G3" s="320" t="s">
        <v>424</v>
      </c>
      <c r="H3" s="320" t="s">
        <v>423</v>
      </c>
      <c r="I3" s="320" t="s">
        <v>422</v>
      </c>
      <c r="J3" s="320" t="s">
        <v>421</v>
      </c>
      <c r="K3" s="580"/>
      <c r="L3" s="580"/>
      <c r="M3" s="329">
        <f>'Main Page'!$AO$48</f>
        <v>1.629678796696348</v>
      </c>
      <c r="N3" s="592"/>
      <c r="O3" s="592"/>
      <c r="P3" s="592"/>
      <c r="Q3" s="592"/>
      <c r="R3" s="592"/>
      <c r="S3" s="376" t="s">
        <v>424</v>
      </c>
      <c r="T3" s="376" t="s">
        <v>423</v>
      </c>
      <c r="U3" s="376" t="s">
        <v>422</v>
      </c>
      <c r="V3" s="376" t="s">
        <v>421</v>
      </c>
      <c r="W3" s="592"/>
    </row>
    <row r="4" spans="1:23" x14ac:dyDescent="0.2">
      <c r="A4" s="314">
        <v>1</v>
      </c>
      <c r="B4" s="331" t="s">
        <v>420</v>
      </c>
      <c r="C4" s="314" t="s">
        <v>350</v>
      </c>
      <c r="D4" s="331" t="s">
        <v>197</v>
      </c>
      <c r="E4" s="333">
        <f t="shared" ref="E4:J4" si="0">IF($M$3&lt;&gt;0,Q4*$M$3,Q4)</f>
        <v>0</v>
      </c>
      <c r="F4" s="333">
        <f t="shared" si="0"/>
        <v>79.854261038121052</v>
      </c>
      <c r="G4" s="333">
        <f t="shared" si="0"/>
        <v>0</v>
      </c>
      <c r="H4" s="333">
        <f t="shared" si="0"/>
        <v>0</v>
      </c>
      <c r="I4" s="333">
        <f t="shared" si="0"/>
        <v>0</v>
      </c>
      <c r="J4" s="333">
        <f t="shared" si="0"/>
        <v>0</v>
      </c>
      <c r="K4" s="334">
        <v>1</v>
      </c>
      <c r="L4" s="328" t="s">
        <v>419</v>
      </c>
      <c r="N4" s="378" t="s">
        <v>420</v>
      </c>
      <c r="O4" s="379" t="s">
        <v>350</v>
      </c>
      <c r="P4" s="378" t="s">
        <v>197</v>
      </c>
      <c r="Q4" s="380">
        <v>0</v>
      </c>
      <c r="R4" s="380">
        <v>49</v>
      </c>
      <c r="S4" s="380">
        <v>0</v>
      </c>
      <c r="T4" s="380">
        <v>0</v>
      </c>
      <c r="U4" s="380">
        <v>0</v>
      </c>
      <c r="V4" s="380">
        <v>0</v>
      </c>
      <c r="W4" s="381">
        <v>1</v>
      </c>
    </row>
    <row r="5" spans="1:23" x14ac:dyDescent="0.2">
      <c r="A5" s="314">
        <v>2</v>
      </c>
      <c r="B5" s="331" t="s">
        <v>418</v>
      </c>
      <c r="C5" s="314" t="s">
        <v>344</v>
      </c>
      <c r="D5" s="331" t="s">
        <v>197</v>
      </c>
      <c r="E5" s="333">
        <f t="shared" ref="E5:E68" si="1">IF($M$3&lt;&gt;0,Q5*$M$3,Q5)</f>
        <v>0</v>
      </c>
      <c r="F5" s="333">
        <f t="shared" ref="F5:F68" si="2">IF($M$3&lt;&gt;0,R5*$M$3,R5)</f>
        <v>1456.9328442465351</v>
      </c>
      <c r="G5" s="333">
        <f t="shared" ref="G5:G68" si="3">IF($M$3&lt;&gt;0,S5*$M$3,S5)</f>
        <v>0</v>
      </c>
      <c r="H5" s="333">
        <f t="shared" ref="H5:H68" si="4">IF($M$3&lt;&gt;0,T5*$M$3,T5)</f>
        <v>0</v>
      </c>
      <c r="I5" s="333">
        <f t="shared" ref="I5:I68" si="5">IF($M$3&lt;&gt;0,U5*$M$3,U5)</f>
        <v>0</v>
      </c>
      <c r="J5" s="333">
        <f t="shared" ref="J5:J68" si="6">IF($M$3&lt;&gt;0,V5*$M$3,V5)</f>
        <v>0</v>
      </c>
      <c r="K5" s="334">
        <v>0.35</v>
      </c>
      <c r="L5" s="328"/>
      <c r="N5" s="378" t="s">
        <v>418</v>
      </c>
      <c r="O5" s="379" t="s">
        <v>344</v>
      </c>
      <c r="P5" s="378" t="s">
        <v>197</v>
      </c>
      <c r="Q5" s="380">
        <v>0</v>
      </c>
      <c r="R5" s="380">
        <v>894</v>
      </c>
      <c r="S5" s="380">
        <v>0</v>
      </c>
      <c r="T5" s="380">
        <v>0</v>
      </c>
      <c r="U5" s="380">
        <v>0</v>
      </c>
      <c r="V5" s="380">
        <v>0</v>
      </c>
      <c r="W5" s="381">
        <v>0.35</v>
      </c>
    </row>
    <row r="6" spans="1:23" x14ac:dyDescent="0.2">
      <c r="A6" s="314">
        <v>3</v>
      </c>
      <c r="B6" s="331" t="s">
        <v>417</v>
      </c>
      <c r="C6" s="314" t="s">
        <v>350</v>
      </c>
      <c r="D6" s="331" t="s">
        <v>196</v>
      </c>
      <c r="E6" s="333">
        <f t="shared" si="1"/>
        <v>0</v>
      </c>
      <c r="F6" s="333">
        <f t="shared" si="2"/>
        <v>0</v>
      </c>
      <c r="G6" s="333">
        <f t="shared" si="3"/>
        <v>35159.749651144863</v>
      </c>
      <c r="H6" s="333">
        <f t="shared" si="4"/>
        <v>70319.515599077684</v>
      </c>
      <c r="I6" s="333">
        <f t="shared" si="5"/>
        <v>105479.26525022255</v>
      </c>
      <c r="J6" s="333">
        <f t="shared" si="6"/>
        <v>140639.03119815537</v>
      </c>
      <c r="K6" s="334">
        <v>0.26500000000000001</v>
      </c>
      <c r="L6" s="328"/>
      <c r="N6" s="378" t="s">
        <v>417</v>
      </c>
      <c r="O6" s="379" t="s">
        <v>350</v>
      </c>
      <c r="P6" s="378" t="s">
        <v>196</v>
      </c>
      <c r="Q6" s="380">
        <v>0</v>
      </c>
      <c r="R6" s="380">
        <v>0</v>
      </c>
      <c r="S6" s="380">
        <v>21574.65</v>
      </c>
      <c r="T6" s="380">
        <v>43149.31</v>
      </c>
      <c r="U6" s="380">
        <v>64723.96</v>
      </c>
      <c r="V6" s="380">
        <v>86298.62</v>
      </c>
      <c r="W6" s="381">
        <v>0.26500000000000001</v>
      </c>
    </row>
    <row r="7" spans="1:23" x14ac:dyDescent="0.2">
      <c r="A7" s="314">
        <v>4</v>
      </c>
      <c r="B7" s="331" t="s">
        <v>416</v>
      </c>
      <c r="C7" s="314" t="s">
        <v>350</v>
      </c>
      <c r="D7" s="331" t="s">
        <v>197</v>
      </c>
      <c r="E7" s="333">
        <f t="shared" si="1"/>
        <v>0</v>
      </c>
      <c r="F7" s="333">
        <f t="shared" si="2"/>
        <v>91415.365389764615</v>
      </c>
      <c r="G7" s="333">
        <f t="shared" si="3"/>
        <v>0</v>
      </c>
      <c r="H7" s="333">
        <f t="shared" si="4"/>
        <v>0</v>
      </c>
      <c r="I7" s="333">
        <f t="shared" si="5"/>
        <v>0</v>
      </c>
      <c r="J7" s="333">
        <f t="shared" si="6"/>
        <v>0</v>
      </c>
      <c r="K7" s="334">
        <v>0.25</v>
      </c>
      <c r="L7" s="328"/>
      <c r="N7" s="378" t="s">
        <v>416</v>
      </c>
      <c r="O7" s="379" t="s">
        <v>350</v>
      </c>
      <c r="P7" s="378" t="s">
        <v>197</v>
      </c>
      <c r="Q7" s="380">
        <v>0</v>
      </c>
      <c r="R7" s="380">
        <v>56094.1</v>
      </c>
      <c r="S7" s="380">
        <v>0</v>
      </c>
      <c r="T7" s="380">
        <v>0</v>
      </c>
      <c r="U7" s="380">
        <v>0</v>
      </c>
      <c r="V7" s="380">
        <v>0</v>
      </c>
      <c r="W7" s="381">
        <v>0.25</v>
      </c>
    </row>
    <row r="8" spans="1:23" ht="25.5" x14ac:dyDescent="0.2">
      <c r="A8" s="314">
        <v>5</v>
      </c>
      <c r="B8" s="331" t="s">
        <v>415</v>
      </c>
      <c r="C8" s="314"/>
      <c r="D8" s="331"/>
      <c r="E8" s="333">
        <f t="shared" si="1"/>
        <v>0</v>
      </c>
      <c r="F8" s="333">
        <f t="shared" si="2"/>
        <v>0</v>
      </c>
      <c r="G8" s="333">
        <f t="shared" si="3"/>
        <v>0</v>
      </c>
      <c r="H8" s="333">
        <f t="shared" si="4"/>
        <v>0</v>
      </c>
      <c r="I8" s="333">
        <f t="shared" si="5"/>
        <v>0</v>
      </c>
      <c r="J8" s="333">
        <f t="shared" si="6"/>
        <v>0</v>
      </c>
      <c r="K8" s="334">
        <v>0</v>
      </c>
      <c r="L8" s="328" t="s">
        <v>1211</v>
      </c>
      <c r="N8" s="378" t="s">
        <v>415</v>
      </c>
      <c r="O8" s="379"/>
      <c r="P8" s="378"/>
      <c r="Q8" s="380">
        <v>0</v>
      </c>
      <c r="R8" s="380">
        <v>0</v>
      </c>
      <c r="S8" s="380">
        <v>0</v>
      </c>
      <c r="T8" s="380">
        <v>0</v>
      </c>
      <c r="U8" s="380">
        <v>0</v>
      </c>
      <c r="V8" s="380">
        <v>0</v>
      </c>
      <c r="W8" s="381">
        <v>0</v>
      </c>
    </row>
    <row r="9" spans="1:23" ht="38.25" x14ac:dyDescent="0.2">
      <c r="A9" s="314">
        <v>6</v>
      </c>
      <c r="B9" s="331" t="s">
        <v>414</v>
      </c>
      <c r="C9" s="314" t="s">
        <v>341</v>
      </c>
      <c r="D9" s="331" t="s">
        <v>196</v>
      </c>
      <c r="E9" s="333">
        <f t="shared" si="1"/>
        <v>0</v>
      </c>
      <c r="F9" s="333">
        <f t="shared" si="2"/>
        <v>0</v>
      </c>
      <c r="G9" s="333">
        <f t="shared" si="3"/>
        <v>679.57605822237713</v>
      </c>
      <c r="H9" s="333">
        <f t="shared" si="4"/>
        <v>0</v>
      </c>
      <c r="I9" s="333">
        <f t="shared" si="5"/>
        <v>0</v>
      </c>
      <c r="J9" s="333">
        <f t="shared" si="6"/>
        <v>0</v>
      </c>
      <c r="K9" s="334">
        <v>5</v>
      </c>
      <c r="L9" s="328" t="s">
        <v>1212</v>
      </c>
      <c r="N9" s="378" t="s">
        <v>414</v>
      </c>
      <c r="O9" s="379" t="s">
        <v>341</v>
      </c>
      <c r="P9" s="378" t="s">
        <v>196</v>
      </c>
      <c r="Q9" s="380">
        <v>0</v>
      </c>
      <c r="R9" s="380">
        <v>0</v>
      </c>
      <c r="S9" s="380">
        <v>417</v>
      </c>
      <c r="T9" s="380">
        <v>0</v>
      </c>
      <c r="U9" s="380">
        <v>0</v>
      </c>
      <c r="V9" s="380">
        <v>0</v>
      </c>
      <c r="W9" s="381">
        <v>5</v>
      </c>
    </row>
    <row r="10" spans="1:23" x14ac:dyDescent="0.2">
      <c r="A10" s="314">
        <v>7</v>
      </c>
      <c r="B10" s="331" t="s">
        <v>413</v>
      </c>
      <c r="C10" s="314" t="s">
        <v>341</v>
      </c>
      <c r="D10" s="331" t="s">
        <v>196</v>
      </c>
      <c r="E10" s="333">
        <f t="shared" si="1"/>
        <v>0</v>
      </c>
      <c r="F10" s="333">
        <f t="shared" si="2"/>
        <v>0</v>
      </c>
      <c r="G10" s="333">
        <f t="shared" si="3"/>
        <v>485.64428141551167</v>
      </c>
      <c r="H10" s="333">
        <f t="shared" si="4"/>
        <v>1942.5771256620467</v>
      </c>
      <c r="I10" s="333">
        <f t="shared" si="5"/>
        <v>2913.8656884930701</v>
      </c>
      <c r="J10" s="333">
        <f t="shared" si="6"/>
        <v>3771.0767355553494</v>
      </c>
      <c r="K10" s="334">
        <v>0.7</v>
      </c>
      <c r="L10" s="328"/>
      <c r="N10" s="378" t="s">
        <v>413</v>
      </c>
      <c r="O10" s="379" t="s">
        <v>341</v>
      </c>
      <c r="P10" s="378" t="s">
        <v>196</v>
      </c>
      <c r="Q10" s="380">
        <v>0</v>
      </c>
      <c r="R10" s="380">
        <v>0</v>
      </c>
      <c r="S10" s="380">
        <v>298</v>
      </c>
      <c r="T10" s="380">
        <v>1192</v>
      </c>
      <c r="U10" s="380">
        <v>1788</v>
      </c>
      <c r="V10" s="380">
        <v>2314</v>
      </c>
      <c r="W10" s="381">
        <v>0.7</v>
      </c>
    </row>
    <row r="11" spans="1:23" ht="25.5" x14ac:dyDescent="0.2">
      <c r="A11" s="314">
        <v>8</v>
      </c>
      <c r="B11" s="331" t="s">
        <v>412</v>
      </c>
      <c r="C11" s="314" t="s">
        <v>341</v>
      </c>
      <c r="D11" s="331" t="s">
        <v>196</v>
      </c>
      <c r="E11" s="333">
        <f t="shared" si="1"/>
        <v>0</v>
      </c>
      <c r="F11" s="333">
        <f t="shared" si="2"/>
        <v>0</v>
      </c>
      <c r="G11" s="333">
        <f t="shared" si="3"/>
        <v>1456.9328442465351</v>
      </c>
      <c r="H11" s="333">
        <f t="shared" si="4"/>
        <v>1797.5357127560719</v>
      </c>
      <c r="I11" s="333">
        <f t="shared" si="5"/>
        <v>2477.1117709784489</v>
      </c>
      <c r="J11" s="333">
        <f t="shared" si="6"/>
        <v>3489.142303726881</v>
      </c>
      <c r="K11" s="334">
        <v>0.7</v>
      </c>
      <c r="L11" s="328" t="s">
        <v>1211</v>
      </c>
      <c r="N11" s="378" t="s">
        <v>412</v>
      </c>
      <c r="O11" s="379" t="s">
        <v>341</v>
      </c>
      <c r="P11" s="378" t="s">
        <v>196</v>
      </c>
      <c r="Q11" s="380">
        <v>0</v>
      </c>
      <c r="R11" s="380">
        <v>0</v>
      </c>
      <c r="S11" s="380">
        <v>894</v>
      </c>
      <c r="T11" s="380">
        <v>1103</v>
      </c>
      <c r="U11" s="380">
        <v>1520</v>
      </c>
      <c r="V11" s="380">
        <v>2141</v>
      </c>
      <c r="W11" s="381">
        <v>0.7</v>
      </c>
    </row>
    <row r="12" spans="1:23" x14ac:dyDescent="0.2">
      <c r="A12" s="314">
        <v>9</v>
      </c>
      <c r="B12" s="331" t="s">
        <v>411</v>
      </c>
      <c r="C12" s="314" t="s">
        <v>341</v>
      </c>
      <c r="D12" s="331" t="s">
        <v>196</v>
      </c>
      <c r="E12" s="333">
        <f t="shared" si="1"/>
        <v>0</v>
      </c>
      <c r="F12" s="333">
        <f t="shared" si="2"/>
        <v>0</v>
      </c>
      <c r="G12" s="333">
        <f t="shared" si="3"/>
        <v>1456.9328442465351</v>
      </c>
      <c r="H12" s="333">
        <f t="shared" si="4"/>
        <v>2913.8656884930701</v>
      </c>
      <c r="I12" s="333">
        <f t="shared" si="5"/>
        <v>0</v>
      </c>
      <c r="J12" s="333">
        <f t="shared" si="6"/>
        <v>0</v>
      </c>
      <c r="K12" s="334">
        <v>2</v>
      </c>
      <c r="L12" s="328" t="s">
        <v>410</v>
      </c>
      <c r="N12" s="378" t="s">
        <v>411</v>
      </c>
      <c r="O12" s="379" t="s">
        <v>341</v>
      </c>
      <c r="P12" s="378" t="s">
        <v>196</v>
      </c>
      <c r="Q12" s="380">
        <v>0</v>
      </c>
      <c r="R12" s="380">
        <v>0</v>
      </c>
      <c r="S12" s="380">
        <v>894</v>
      </c>
      <c r="T12" s="380">
        <v>1788</v>
      </c>
      <c r="U12" s="380">
        <v>0</v>
      </c>
      <c r="V12" s="380">
        <v>0</v>
      </c>
      <c r="W12" s="381">
        <v>2</v>
      </c>
    </row>
    <row r="13" spans="1:23" x14ac:dyDescent="0.2">
      <c r="A13" s="314">
        <v>10</v>
      </c>
      <c r="B13" s="331" t="s">
        <v>409</v>
      </c>
      <c r="C13" s="314" t="s">
        <v>341</v>
      </c>
      <c r="D13" s="331" t="s">
        <v>196</v>
      </c>
      <c r="E13" s="333">
        <f t="shared" si="1"/>
        <v>0</v>
      </c>
      <c r="F13" s="333">
        <f t="shared" si="2"/>
        <v>0</v>
      </c>
      <c r="G13" s="333">
        <f t="shared" si="3"/>
        <v>2087.6185385680219</v>
      </c>
      <c r="H13" s="333">
        <f t="shared" si="4"/>
        <v>2599.3376807306749</v>
      </c>
      <c r="I13" s="333">
        <f t="shared" si="5"/>
        <v>3619.516607462589</v>
      </c>
      <c r="J13" s="333">
        <f t="shared" si="6"/>
        <v>5045.4855545718929</v>
      </c>
      <c r="K13" s="334">
        <v>1</v>
      </c>
      <c r="L13" s="328"/>
      <c r="N13" s="378" t="s">
        <v>409</v>
      </c>
      <c r="O13" s="379" t="s">
        <v>341</v>
      </c>
      <c r="P13" s="378" t="s">
        <v>196</v>
      </c>
      <c r="Q13" s="380">
        <v>0</v>
      </c>
      <c r="R13" s="380">
        <v>0</v>
      </c>
      <c r="S13" s="380">
        <v>1281</v>
      </c>
      <c r="T13" s="380">
        <v>1595</v>
      </c>
      <c r="U13" s="380">
        <v>2221</v>
      </c>
      <c r="V13" s="380">
        <v>3096</v>
      </c>
      <c r="W13" s="381">
        <v>1</v>
      </c>
    </row>
    <row r="14" spans="1:23" x14ac:dyDescent="0.2">
      <c r="A14" s="314">
        <v>11</v>
      </c>
      <c r="B14" s="331" t="s">
        <v>408</v>
      </c>
      <c r="C14" s="314" t="s">
        <v>344</v>
      </c>
      <c r="D14" s="331" t="s">
        <v>196</v>
      </c>
      <c r="E14" s="333">
        <f t="shared" si="1"/>
        <v>0</v>
      </c>
      <c r="F14" s="333">
        <f t="shared" si="2"/>
        <v>0</v>
      </c>
      <c r="G14" s="333">
        <f t="shared" si="3"/>
        <v>37.482612324016003</v>
      </c>
      <c r="H14" s="333">
        <f t="shared" si="4"/>
        <v>73.335545851335652</v>
      </c>
      <c r="I14" s="333">
        <f t="shared" si="5"/>
        <v>110.81815817535166</v>
      </c>
      <c r="J14" s="333">
        <f t="shared" si="6"/>
        <v>148.30077049936767</v>
      </c>
      <c r="K14" s="334">
        <v>5</v>
      </c>
      <c r="L14" s="328"/>
      <c r="N14" s="378" t="s">
        <v>408</v>
      </c>
      <c r="O14" s="379" t="s">
        <v>344</v>
      </c>
      <c r="P14" s="378" t="s">
        <v>196</v>
      </c>
      <c r="Q14" s="380">
        <v>0</v>
      </c>
      <c r="R14" s="380">
        <v>0</v>
      </c>
      <c r="S14" s="380">
        <v>23</v>
      </c>
      <c r="T14" s="380">
        <v>45</v>
      </c>
      <c r="U14" s="380">
        <v>68</v>
      </c>
      <c r="V14" s="380">
        <v>91</v>
      </c>
      <c r="W14" s="381">
        <v>5</v>
      </c>
    </row>
    <row r="15" spans="1:23" x14ac:dyDescent="0.2">
      <c r="A15" s="314">
        <v>12</v>
      </c>
      <c r="B15" s="331" t="s">
        <v>407</v>
      </c>
      <c r="C15" s="314" t="s">
        <v>344</v>
      </c>
      <c r="D15" s="331" t="s">
        <v>197</v>
      </c>
      <c r="E15" s="333">
        <f t="shared" si="1"/>
        <v>0</v>
      </c>
      <c r="F15" s="333">
        <f t="shared" si="2"/>
        <v>96.151049005084531</v>
      </c>
      <c r="G15" s="333">
        <f t="shared" si="3"/>
        <v>0</v>
      </c>
      <c r="H15" s="333">
        <f t="shared" si="4"/>
        <v>0</v>
      </c>
      <c r="I15" s="333">
        <f t="shared" si="5"/>
        <v>0</v>
      </c>
      <c r="J15" s="333">
        <f t="shared" si="6"/>
        <v>0</v>
      </c>
      <c r="K15" s="334">
        <v>5</v>
      </c>
      <c r="L15" s="328"/>
      <c r="N15" s="378" t="s">
        <v>407</v>
      </c>
      <c r="O15" s="379" t="s">
        <v>344</v>
      </c>
      <c r="P15" s="378" t="s">
        <v>197</v>
      </c>
      <c r="Q15" s="380">
        <v>0</v>
      </c>
      <c r="R15" s="380">
        <v>59</v>
      </c>
      <c r="S15" s="380">
        <v>0</v>
      </c>
      <c r="T15" s="380">
        <v>0</v>
      </c>
      <c r="U15" s="380">
        <v>0</v>
      </c>
      <c r="V15" s="380">
        <v>0</v>
      </c>
      <c r="W15" s="381">
        <v>5</v>
      </c>
    </row>
    <row r="16" spans="1:23" ht="25.5" x14ac:dyDescent="0.2">
      <c r="A16" s="314">
        <v>13</v>
      </c>
      <c r="B16" s="331" t="s">
        <v>406</v>
      </c>
      <c r="C16" s="314"/>
      <c r="D16" s="331"/>
      <c r="E16" s="333">
        <f t="shared" si="1"/>
        <v>0</v>
      </c>
      <c r="F16" s="333">
        <f t="shared" si="2"/>
        <v>0</v>
      </c>
      <c r="G16" s="333">
        <f t="shared" si="3"/>
        <v>0</v>
      </c>
      <c r="H16" s="333">
        <f t="shared" si="4"/>
        <v>0</v>
      </c>
      <c r="I16" s="333">
        <f t="shared" si="5"/>
        <v>0</v>
      </c>
      <c r="J16" s="333">
        <f t="shared" si="6"/>
        <v>0</v>
      </c>
      <c r="K16" s="334">
        <v>0</v>
      </c>
      <c r="L16" s="328" t="s">
        <v>1211</v>
      </c>
      <c r="N16" s="378" t="s">
        <v>406</v>
      </c>
      <c r="O16" s="379"/>
      <c r="P16" s="378"/>
      <c r="Q16" s="380">
        <v>0</v>
      </c>
      <c r="R16" s="380">
        <v>0</v>
      </c>
      <c r="S16" s="380">
        <v>0</v>
      </c>
      <c r="T16" s="380">
        <v>0</v>
      </c>
      <c r="U16" s="380">
        <v>0</v>
      </c>
      <c r="V16" s="380">
        <v>0</v>
      </c>
      <c r="W16" s="381">
        <v>0</v>
      </c>
    </row>
    <row r="17" spans="1:23" x14ac:dyDescent="0.2">
      <c r="A17" s="314">
        <v>14</v>
      </c>
      <c r="B17" s="331" t="s">
        <v>405</v>
      </c>
      <c r="C17" s="314" t="s">
        <v>341</v>
      </c>
      <c r="D17" s="331" t="s">
        <v>196</v>
      </c>
      <c r="E17" s="333">
        <f t="shared" si="1"/>
        <v>0</v>
      </c>
      <c r="F17" s="333">
        <f t="shared" si="2"/>
        <v>0</v>
      </c>
      <c r="G17" s="333">
        <f t="shared" si="3"/>
        <v>328.6858423086947</v>
      </c>
      <c r="H17" s="333">
        <f t="shared" si="4"/>
        <v>657.37168461738941</v>
      </c>
      <c r="I17" s="333">
        <f t="shared" si="5"/>
        <v>986.05752692608405</v>
      </c>
      <c r="J17" s="333">
        <f t="shared" si="6"/>
        <v>1314.7433692347788</v>
      </c>
      <c r="K17" s="334">
        <v>0.35699999999999998</v>
      </c>
      <c r="L17" s="328"/>
      <c r="N17" s="378" t="s">
        <v>405</v>
      </c>
      <c r="O17" s="379" t="s">
        <v>341</v>
      </c>
      <c r="P17" s="378" t="s">
        <v>196</v>
      </c>
      <c r="Q17" s="380">
        <v>0</v>
      </c>
      <c r="R17" s="380">
        <v>0</v>
      </c>
      <c r="S17" s="380">
        <v>201.6875</v>
      </c>
      <c r="T17" s="380">
        <v>403.375</v>
      </c>
      <c r="U17" s="380">
        <v>605.0625</v>
      </c>
      <c r="V17" s="380">
        <v>806.75</v>
      </c>
      <c r="W17" s="381">
        <v>0.35699999999999998</v>
      </c>
    </row>
    <row r="18" spans="1:23" ht="25.5" x14ac:dyDescent="0.2">
      <c r="A18" s="314">
        <v>15</v>
      </c>
      <c r="B18" s="331" t="s">
        <v>404</v>
      </c>
      <c r="C18" s="314"/>
      <c r="D18" s="331"/>
      <c r="E18" s="333">
        <f t="shared" si="1"/>
        <v>0</v>
      </c>
      <c r="F18" s="333">
        <f t="shared" si="2"/>
        <v>0</v>
      </c>
      <c r="G18" s="333">
        <f t="shared" si="3"/>
        <v>0</v>
      </c>
      <c r="H18" s="333">
        <f t="shared" si="4"/>
        <v>0</v>
      </c>
      <c r="I18" s="333">
        <f t="shared" si="5"/>
        <v>0</v>
      </c>
      <c r="J18" s="333">
        <f t="shared" si="6"/>
        <v>0</v>
      </c>
      <c r="K18" s="334">
        <v>0</v>
      </c>
      <c r="L18" s="328" t="s">
        <v>1211</v>
      </c>
      <c r="N18" s="378" t="s">
        <v>404</v>
      </c>
      <c r="O18" s="379"/>
      <c r="P18" s="378"/>
      <c r="Q18" s="380">
        <v>0</v>
      </c>
      <c r="R18" s="380">
        <v>0</v>
      </c>
      <c r="S18" s="380">
        <v>0</v>
      </c>
      <c r="T18" s="380">
        <v>0</v>
      </c>
      <c r="U18" s="380">
        <v>0</v>
      </c>
      <c r="V18" s="380">
        <v>0</v>
      </c>
      <c r="W18" s="381">
        <v>0</v>
      </c>
    </row>
    <row r="19" spans="1:23" x14ac:dyDescent="0.2">
      <c r="A19" s="314">
        <v>16</v>
      </c>
      <c r="B19" s="331" t="s">
        <v>403</v>
      </c>
      <c r="C19" s="314" t="s">
        <v>344</v>
      </c>
      <c r="D19" s="331" t="s">
        <v>197</v>
      </c>
      <c r="E19" s="333">
        <f t="shared" si="1"/>
        <v>0</v>
      </c>
      <c r="F19" s="333">
        <f t="shared" si="2"/>
        <v>363.4183716632856</v>
      </c>
      <c r="G19" s="333">
        <f t="shared" si="3"/>
        <v>0</v>
      </c>
      <c r="H19" s="333">
        <f t="shared" si="4"/>
        <v>0</v>
      </c>
      <c r="I19" s="333">
        <f t="shared" si="5"/>
        <v>0</v>
      </c>
      <c r="J19" s="333">
        <f t="shared" si="6"/>
        <v>0</v>
      </c>
      <c r="K19" s="334">
        <v>2</v>
      </c>
      <c r="L19" s="328"/>
      <c r="N19" s="378" t="s">
        <v>403</v>
      </c>
      <c r="O19" s="379" t="s">
        <v>344</v>
      </c>
      <c r="P19" s="378" t="s">
        <v>197</v>
      </c>
      <c r="Q19" s="380">
        <v>0</v>
      </c>
      <c r="R19" s="380">
        <v>223</v>
      </c>
      <c r="S19" s="380">
        <v>0</v>
      </c>
      <c r="T19" s="380">
        <v>0</v>
      </c>
      <c r="U19" s="380">
        <v>0</v>
      </c>
      <c r="V19" s="380">
        <v>0</v>
      </c>
      <c r="W19" s="381">
        <v>2</v>
      </c>
    </row>
    <row r="20" spans="1:23" x14ac:dyDescent="0.2">
      <c r="A20" s="314">
        <v>17</v>
      </c>
      <c r="B20" s="331" t="s">
        <v>402</v>
      </c>
      <c r="C20" s="314" t="s">
        <v>344</v>
      </c>
      <c r="D20" s="331" t="s">
        <v>197</v>
      </c>
      <c r="E20" s="333">
        <f t="shared" si="1"/>
        <v>0</v>
      </c>
      <c r="F20" s="333">
        <f t="shared" si="2"/>
        <v>224.89567394409602</v>
      </c>
      <c r="G20" s="333">
        <f t="shared" si="3"/>
        <v>0</v>
      </c>
      <c r="H20" s="333">
        <f t="shared" si="4"/>
        <v>0</v>
      </c>
      <c r="I20" s="333">
        <f t="shared" si="5"/>
        <v>0</v>
      </c>
      <c r="J20" s="333">
        <f t="shared" si="6"/>
        <v>0</v>
      </c>
      <c r="K20" s="334">
        <v>2</v>
      </c>
      <c r="L20" s="328"/>
      <c r="N20" s="378" t="s">
        <v>402</v>
      </c>
      <c r="O20" s="379" t="s">
        <v>344</v>
      </c>
      <c r="P20" s="378" t="s">
        <v>197</v>
      </c>
      <c r="Q20" s="380">
        <v>0</v>
      </c>
      <c r="R20" s="380">
        <v>138</v>
      </c>
      <c r="S20" s="380">
        <v>0</v>
      </c>
      <c r="T20" s="380">
        <v>0</v>
      </c>
      <c r="U20" s="380">
        <v>0</v>
      </c>
      <c r="V20" s="380">
        <v>0</v>
      </c>
      <c r="W20" s="381">
        <v>2</v>
      </c>
    </row>
    <row r="21" spans="1:23" ht="25.5" x14ac:dyDescent="0.2">
      <c r="A21" s="314">
        <v>18</v>
      </c>
      <c r="B21" s="331" t="s">
        <v>401</v>
      </c>
      <c r="C21" s="314" t="s">
        <v>344</v>
      </c>
      <c r="D21" s="331" t="s">
        <v>197</v>
      </c>
      <c r="E21" s="333">
        <f t="shared" si="1"/>
        <v>0</v>
      </c>
      <c r="F21" s="333">
        <f t="shared" si="2"/>
        <v>7607.3406229785523</v>
      </c>
      <c r="G21" s="333">
        <f t="shared" si="3"/>
        <v>0</v>
      </c>
      <c r="H21" s="333">
        <f t="shared" si="4"/>
        <v>0</v>
      </c>
      <c r="I21" s="333">
        <f t="shared" si="5"/>
        <v>0</v>
      </c>
      <c r="J21" s="333">
        <f t="shared" si="6"/>
        <v>0</v>
      </c>
      <c r="K21" s="334">
        <v>1</v>
      </c>
      <c r="L21" s="328"/>
      <c r="N21" s="378" t="s">
        <v>401</v>
      </c>
      <c r="O21" s="379" t="s">
        <v>344</v>
      </c>
      <c r="P21" s="378" t="s">
        <v>197</v>
      </c>
      <c r="Q21" s="380">
        <v>0</v>
      </c>
      <c r="R21" s="380">
        <v>4668</v>
      </c>
      <c r="S21" s="380">
        <v>0</v>
      </c>
      <c r="T21" s="380">
        <v>0</v>
      </c>
      <c r="U21" s="380">
        <v>0</v>
      </c>
      <c r="V21" s="380">
        <v>0</v>
      </c>
      <c r="W21" s="381">
        <v>1</v>
      </c>
    </row>
    <row r="22" spans="1:23" ht="25.5" x14ac:dyDescent="0.2">
      <c r="A22" s="314">
        <v>19</v>
      </c>
      <c r="B22" s="331" t="s">
        <v>400</v>
      </c>
      <c r="C22" s="314" t="s">
        <v>344</v>
      </c>
      <c r="D22" s="331" t="s">
        <v>197</v>
      </c>
      <c r="E22" s="333">
        <f t="shared" si="1"/>
        <v>0</v>
      </c>
      <c r="F22" s="333">
        <f t="shared" si="2"/>
        <v>1751.904706448574</v>
      </c>
      <c r="G22" s="333">
        <f t="shared" si="3"/>
        <v>0</v>
      </c>
      <c r="H22" s="333">
        <f t="shared" si="4"/>
        <v>0</v>
      </c>
      <c r="I22" s="333">
        <f t="shared" si="5"/>
        <v>0</v>
      </c>
      <c r="J22" s="333">
        <f t="shared" si="6"/>
        <v>0</v>
      </c>
      <c r="K22" s="334">
        <v>1</v>
      </c>
      <c r="L22" s="328"/>
      <c r="N22" s="378" t="s">
        <v>400</v>
      </c>
      <c r="O22" s="379" t="s">
        <v>344</v>
      </c>
      <c r="P22" s="378" t="s">
        <v>197</v>
      </c>
      <c r="Q22" s="380">
        <v>0</v>
      </c>
      <c r="R22" s="380">
        <v>1075</v>
      </c>
      <c r="S22" s="380">
        <v>0</v>
      </c>
      <c r="T22" s="380">
        <v>0</v>
      </c>
      <c r="U22" s="380">
        <v>0</v>
      </c>
      <c r="V22" s="380">
        <v>0</v>
      </c>
      <c r="W22" s="381">
        <v>1</v>
      </c>
    </row>
    <row r="23" spans="1:23" ht="25.5" x14ac:dyDescent="0.2">
      <c r="A23" s="314">
        <v>20</v>
      </c>
      <c r="B23" s="331" t="s">
        <v>399</v>
      </c>
      <c r="C23" s="314" t="s">
        <v>344</v>
      </c>
      <c r="D23" s="331" t="s">
        <v>197</v>
      </c>
      <c r="E23" s="333">
        <f t="shared" si="1"/>
        <v>0</v>
      </c>
      <c r="F23" s="333">
        <f t="shared" si="2"/>
        <v>971.28856283102334</v>
      </c>
      <c r="G23" s="333">
        <f t="shared" si="3"/>
        <v>0</v>
      </c>
      <c r="H23" s="333">
        <f t="shared" si="4"/>
        <v>0</v>
      </c>
      <c r="I23" s="333">
        <f t="shared" si="5"/>
        <v>0</v>
      </c>
      <c r="J23" s="333">
        <f t="shared" si="6"/>
        <v>0</v>
      </c>
      <c r="K23" s="334">
        <v>1</v>
      </c>
      <c r="L23" s="328"/>
      <c r="N23" s="378" t="s">
        <v>399</v>
      </c>
      <c r="O23" s="379" t="s">
        <v>344</v>
      </c>
      <c r="P23" s="378" t="s">
        <v>197</v>
      </c>
      <c r="Q23" s="380">
        <v>0</v>
      </c>
      <c r="R23" s="380">
        <v>596</v>
      </c>
      <c r="S23" s="380">
        <v>0</v>
      </c>
      <c r="T23" s="380">
        <v>0</v>
      </c>
      <c r="U23" s="380">
        <v>0</v>
      </c>
      <c r="V23" s="380">
        <v>0</v>
      </c>
      <c r="W23" s="381">
        <v>1</v>
      </c>
    </row>
    <row r="24" spans="1:23" x14ac:dyDescent="0.2">
      <c r="A24" s="314">
        <v>21</v>
      </c>
      <c r="B24" s="331" t="s">
        <v>398</v>
      </c>
      <c r="C24" s="314" t="s">
        <v>344</v>
      </c>
      <c r="D24" s="331" t="s">
        <v>197</v>
      </c>
      <c r="E24" s="333">
        <f t="shared" si="1"/>
        <v>0</v>
      </c>
      <c r="F24" s="333">
        <f t="shared" si="2"/>
        <v>1072.3286482261969</v>
      </c>
      <c r="G24" s="333">
        <f t="shared" si="3"/>
        <v>0</v>
      </c>
      <c r="H24" s="333">
        <f t="shared" si="4"/>
        <v>0</v>
      </c>
      <c r="I24" s="333">
        <f t="shared" si="5"/>
        <v>0</v>
      </c>
      <c r="J24" s="333">
        <f t="shared" si="6"/>
        <v>0</v>
      </c>
      <c r="K24" s="334">
        <v>1</v>
      </c>
      <c r="L24" s="328"/>
      <c r="N24" s="378" t="s">
        <v>398</v>
      </c>
      <c r="O24" s="379" t="s">
        <v>344</v>
      </c>
      <c r="P24" s="378" t="s">
        <v>197</v>
      </c>
      <c r="Q24" s="380">
        <v>0</v>
      </c>
      <c r="R24" s="380">
        <v>658</v>
      </c>
      <c r="S24" s="380">
        <v>0</v>
      </c>
      <c r="T24" s="380">
        <v>0</v>
      </c>
      <c r="U24" s="380">
        <v>0</v>
      </c>
      <c r="V24" s="380">
        <v>0</v>
      </c>
      <c r="W24" s="381">
        <v>1</v>
      </c>
    </row>
    <row r="25" spans="1:23" x14ac:dyDescent="0.2">
      <c r="A25" s="314">
        <v>22</v>
      </c>
      <c r="B25" s="331" t="s">
        <v>397</v>
      </c>
      <c r="C25" s="314" t="s">
        <v>344</v>
      </c>
      <c r="D25" s="331" t="s">
        <v>197</v>
      </c>
      <c r="E25" s="333">
        <f t="shared" si="1"/>
        <v>0</v>
      </c>
      <c r="F25" s="333">
        <f t="shared" si="2"/>
        <v>971.28856283102334</v>
      </c>
      <c r="G25" s="333">
        <f t="shared" si="3"/>
        <v>0</v>
      </c>
      <c r="H25" s="333">
        <f t="shared" si="4"/>
        <v>0</v>
      </c>
      <c r="I25" s="333">
        <f t="shared" si="5"/>
        <v>0</v>
      </c>
      <c r="J25" s="333">
        <f t="shared" si="6"/>
        <v>0</v>
      </c>
      <c r="K25" s="334">
        <v>1</v>
      </c>
      <c r="L25" s="328"/>
      <c r="N25" s="378" t="s">
        <v>397</v>
      </c>
      <c r="O25" s="379" t="s">
        <v>344</v>
      </c>
      <c r="P25" s="378" t="s">
        <v>197</v>
      </c>
      <c r="Q25" s="380">
        <v>0</v>
      </c>
      <c r="R25" s="380">
        <v>596</v>
      </c>
      <c r="S25" s="380">
        <v>0</v>
      </c>
      <c r="T25" s="380">
        <v>0</v>
      </c>
      <c r="U25" s="380">
        <v>0</v>
      </c>
      <c r="V25" s="380">
        <v>0</v>
      </c>
      <c r="W25" s="381">
        <v>1</v>
      </c>
    </row>
    <row r="26" spans="1:23" x14ac:dyDescent="0.2">
      <c r="A26" s="314">
        <v>23</v>
      </c>
      <c r="B26" s="331" t="s">
        <v>396</v>
      </c>
      <c r="C26" s="314" t="s">
        <v>344</v>
      </c>
      <c r="D26" s="331" t="s">
        <v>197</v>
      </c>
      <c r="E26" s="333">
        <f t="shared" si="1"/>
        <v>0</v>
      </c>
      <c r="F26" s="333">
        <f t="shared" si="2"/>
        <v>971.28856283102334</v>
      </c>
      <c r="G26" s="333">
        <f t="shared" si="3"/>
        <v>0</v>
      </c>
      <c r="H26" s="333">
        <f t="shared" si="4"/>
        <v>0</v>
      </c>
      <c r="I26" s="333">
        <f t="shared" si="5"/>
        <v>0</v>
      </c>
      <c r="J26" s="333">
        <f t="shared" si="6"/>
        <v>0</v>
      </c>
      <c r="K26" s="334">
        <v>1</v>
      </c>
      <c r="L26" s="328"/>
      <c r="N26" s="378" t="s">
        <v>396</v>
      </c>
      <c r="O26" s="379" t="s">
        <v>344</v>
      </c>
      <c r="P26" s="378" t="s">
        <v>197</v>
      </c>
      <c r="Q26" s="380">
        <v>0</v>
      </c>
      <c r="R26" s="380">
        <v>596</v>
      </c>
      <c r="S26" s="380">
        <v>0</v>
      </c>
      <c r="T26" s="380">
        <v>0</v>
      </c>
      <c r="U26" s="380">
        <v>0</v>
      </c>
      <c r="V26" s="380">
        <v>0</v>
      </c>
      <c r="W26" s="381">
        <v>1</v>
      </c>
    </row>
    <row r="27" spans="1:23" ht="25.5" x14ac:dyDescent="0.2">
      <c r="A27" s="314">
        <v>24</v>
      </c>
      <c r="B27" s="331" t="s">
        <v>395</v>
      </c>
      <c r="C27" s="314" t="s">
        <v>344</v>
      </c>
      <c r="D27" s="331" t="s">
        <v>197</v>
      </c>
      <c r="E27" s="333">
        <f t="shared" si="1"/>
        <v>0</v>
      </c>
      <c r="F27" s="333">
        <f t="shared" si="2"/>
        <v>971.28856283102334</v>
      </c>
      <c r="G27" s="333">
        <f t="shared" si="3"/>
        <v>0</v>
      </c>
      <c r="H27" s="333">
        <f t="shared" si="4"/>
        <v>0</v>
      </c>
      <c r="I27" s="333">
        <f t="shared" si="5"/>
        <v>0</v>
      </c>
      <c r="J27" s="333">
        <f t="shared" si="6"/>
        <v>0</v>
      </c>
      <c r="K27" s="334">
        <v>1</v>
      </c>
      <c r="L27" s="328"/>
      <c r="N27" s="378" t="s">
        <v>395</v>
      </c>
      <c r="O27" s="379" t="s">
        <v>344</v>
      </c>
      <c r="P27" s="378" t="s">
        <v>197</v>
      </c>
      <c r="Q27" s="380">
        <v>0</v>
      </c>
      <c r="R27" s="380">
        <v>596</v>
      </c>
      <c r="S27" s="380">
        <v>0</v>
      </c>
      <c r="T27" s="380">
        <v>0</v>
      </c>
      <c r="U27" s="380">
        <v>0</v>
      </c>
      <c r="V27" s="380">
        <v>0</v>
      </c>
      <c r="W27" s="381">
        <v>1</v>
      </c>
    </row>
    <row r="28" spans="1:23" x14ac:dyDescent="0.2">
      <c r="A28" s="314">
        <v>25</v>
      </c>
      <c r="B28" s="331" t="s">
        <v>394</v>
      </c>
      <c r="C28" s="314" t="s">
        <v>344</v>
      </c>
      <c r="D28" s="331" t="s">
        <v>197</v>
      </c>
      <c r="E28" s="333">
        <f t="shared" si="1"/>
        <v>0</v>
      </c>
      <c r="F28" s="333">
        <f t="shared" si="2"/>
        <v>971.28856283102334</v>
      </c>
      <c r="G28" s="333">
        <f t="shared" si="3"/>
        <v>0</v>
      </c>
      <c r="H28" s="333">
        <f t="shared" si="4"/>
        <v>0</v>
      </c>
      <c r="I28" s="333">
        <f t="shared" si="5"/>
        <v>0</v>
      </c>
      <c r="J28" s="333">
        <f t="shared" si="6"/>
        <v>0</v>
      </c>
      <c r="K28" s="334">
        <v>1</v>
      </c>
      <c r="L28" s="328"/>
      <c r="N28" s="378" t="s">
        <v>394</v>
      </c>
      <c r="O28" s="379" t="s">
        <v>344</v>
      </c>
      <c r="P28" s="378" t="s">
        <v>197</v>
      </c>
      <c r="Q28" s="380">
        <v>0</v>
      </c>
      <c r="R28" s="380">
        <v>596</v>
      </c>
      <c r="S28" s="380">
        <v>0</v>
      </c>
      <c r="T28" s="380">
        <v>0</v>
      </c>
      <c r="U28" s="380">
        <v>0</v>
      </c>
      <c r="V28" s="380">
        <v>0</v>
      </c>
      <c r="W28" s="381">
        <v>1</v>
      </c>
    </row>
    <row r="29" spans="1:23" ht="25.5" x14ac:dyDescent="0.2">
      <c r="A29" s="314">
        <v>26</v>
      </c>
      <c r="B29" s="331" t="s">
        <v>393</v>
      </c>
      <c r="C29" s="314" t="s">
        <v>341</v>
      </c>
      <c r="D29" s="331" t="s">
        <v>197</v>
      </c>
      <c r="E29" s="333">
        <f t="shared" si="1"/>
        <v>0</v>
      </c>
      <c r="F29" s="333">
        <f t="shared" si="2"/>
        <v>233.04406792757777</v>
      </c>
      <c r="G29" s="333">
        <f t="shared" si="3"/>
        <v>0</v>
      </c>
      <c r="H29" s="333">
        <f t="shared" si="4"/>
        <v>0</v>
      </c>
      <c r="I29" s="333">
        <f t="shared" si="5"/>
        <v>0</v>
      </c>
      <c r="J29" s="333">
        <f t="shared" si="6"/>
        <v>0</v>
      </c>
      <c r="K29" s="334">
        <v>2.25</v>
      </c>
      <c r="L29" s="328" t="s">
        <v>392</v>
      </c>
      <c r="N29" s="378" t="s">
        <v>393</v>
      </c>
      <c r="O29" s="379" t="s">
        <v>341</v>
      </c>
      <c r="P29" s="378" t="s">
        <v>197</v>
      </c>
      <c r="Q29" s="380">
        <v>0</v>
      </c>
      <c r="R29" s="380">
        <v>143</v>
      </c>
      <c r="S29" s="380">
        <v>0</v>
      </c>
      <c r="T29" s="380">
        <v>0</v>
      </c>
      <c r="U29" s="380">
        <v>0</v>
      </c>
      <c r="V29" s="380">
        <v>0</v>
      </c>
      <c r="W29" s="381">
        <v>2.25</v>
      </c>
    </row>
    <row r="30" spans="1:23" x14ac:dyDescent="0.2">
      <c r="A30" s="314">
        <v>27</v>
      </c>
      <c r="B30" s="331" t="s">
        <v>391</v>
      </c>
      <c r="C30" s="314" t="s">
        <v>350</v>
      </c>
      <c r="D30" s="331" t="s">
        <v>196</v>
      </c>
      <c r="E30" s="333">
        <f t="shared" si="1"/>
        <v>0</v>
      </c>
      <c r="F30" s="333">
        <f t="shared" si="2"/>
        <v>0</v>
      </c>
      <c r="G30" s="333">
        <f t="shared" si="3"/>
        <v>8023.7398523224365</v>
      </c>
      <c r="H30" s="333">
        <f t="shared" si="4"/>
        <v>16047.479704644873</v>
      </c>
      <c r="I30" s="333">
        <f t="shared" si="5"/>
        <v>24071.219556967309</v>
      </c>
      <c r="J30" s="333">
        <f t="shared" si="6"/>
        <v>32094.943112501776</v>
      </c>
      <c r="K30" s="334">
        <v>0.5</v>
      </c>
      <c r="L30" s="328"/>
      <c r="N30" s="378" t="s">
        <v>391</v>
      </c>
      <c r="O30" s="379" t="s">
        <v>350</v>
      </c>
      <c r="P30" s="378" t="s">
        <v>196</v>
      </c>
      <c r="Q30" s="380">
        <v>0</v>
      </c>
      <c r="R30" s="380">
        <v>0</v>
      </c>
      <c r="S30" s="380">
        <v>4923.51</v>
      </c>
      <c r="T30" s="380">
        <v>9847.02</v>
      </c>
      <c r="U30" s="380">
        <v>14770.53</v>
      </c>
      <c r="V30" s="380">
        <v>19694.03</v>
      </c>
      <c r="W30" s="381">
        <v>0.5</v>
      </c>
    </row>
    <row r="31" spans="1:23" x14ac:dyDescent="0.2">
      <c r="A31" s="314">
        <v>28</v>
      </c>
      <c r="B31" s="331" t="s">
        <v>390</v>
      </c>
      <c r="C31" s="314" t="s">
        <v>350</v>
      </c>
      <c r="D31" s="331" t="s">
        <v>197</v>
      </c>
      <c r="E31" s="333">
        <f t="shared" si="1"/>
        <v>0</v>
      </c>
      <c r="F31" s="333">
        <f t="shared" si="2"/>
        <v>20861.713837965555</v>
      </c>
      <c r="G31" s="333">
        <f t="shared" si="3"/>
        <v>0</v>
      </c>
      <c r="H31" s="333">
        <f t="shared" si="4"/>
        <v>0</v>
      </c>
      <c r="I31" s="333">
        <f t="shared" si="5"/>
        <v>0</v>
      </c>
      <c r="J31" s="333">
        <f t="shared" si="6"/>
        <v>0</v>
      </c>
      <c r="K31" s="334">
        <v>0.125</v>
      </c>
      <c r="L31" s="328"/>
      <c r="N31" s="378" t="s">
        <v>390</v>
      </c>
      <c r="O31" s="379" t="s">
        <v>350</v>
      </c>
      <c r="P31" s="378" t="s">
        <v>197</v>
      </c>
      <c r="Q31" s="380">
        <v>0</v>
      </c>
      <c r="R31" s="380">
        <v>12801.12</v>
      </c>
      <c r="S31" s="380">
        <v>0</v>
      </c>
      <c r="T31" s="380">
        <v>0</v>
      </c>
      <c r="U31" s="380">
        <v>0</v>
      </c>
      <c r="V31" s="380">
        <v>0</v>
      </c>
      <c r="W31" s="381">
        <v>0.125</v>
      </c>
    </row>
    <row r="32" spans="1:23" ht="25.5" x14ac:dyDescent="0.2">
      <c r="A32" s="314">
        <v>29</v>
      </c>
      <c r="B32" s="331" t="s">
        <v>389</v>
      </c>
      <c r="C32" s="314" t="s">
        <v>344</v>
      </c>
      <c r="D32" s="331" t="s">
        <v>197</v>
      </c>
      <c r="E32" s="333">
        <f t="shared" si="1"/>
        <v>0</v>
      </c>
      <c r="F32" s="333">
        <f t="shared" si="2"/>
        <v>1846.4260766569623</v>
      </c>
      <c r="G32" s="333">
        <f t="shared" si="3"/>
        <v>0</v>
      </c>
      <c r="H32" s="333">
        <f t="shared" si="4"/>
        <v>0</v>
      </c>
      <c r="I32" s="333">
        <f t="shared" si="5"/>
        <v>0</v>
      </c>
      <c r="J32" s="333">
        <f t="shared" si="6"/>
        <v>0</v>
      </c>
      <c r="K32" s="334">
        <v>0</v>
      </c>
      <c r="L32" s="328" t="s">
        <v>1211</v>
      </c>
      <c r="N32" s="378" t="s">
        <v>389</v>
      </c>
      <c r="O32" s="379" t="s">
        <v>344</v>
      </c>
      <c r="P32" s="378" t="s">
        <v>197</v>
      </c>
      <c r="Q32" s="380">
        <v>0</v>
      </c>
      <c r="R32" s="380">
        <v>1133</v>
      </c>
      <c r="S32" s="380">
        <v>0</v>
      </c>
      <c r="T32" s="380">
        <v>0</v>
      </c>
      <c r="U32" s="380">
        <v>0</v>
      </c>
      <c r="V32" s="380">
        <v>0</v>
      </c>
      <c r="W32" s="381">
        <v>0</v>
      </c>
    </row>
    <row r="33" spans="1:23" ht="25.5" x14ac:dyDescent="0.2">
      <c r="A33" s="314">
        <v>30</v>
      </c>
      <c r="B33" s="331" t="s">
        <v>388</v>
      </c>
      <c r="C33" s="314" t="s">
        <v>350</v>
      </c>
      <c r="D33" s="331" t="s">
        <v>198</v>
      </c>
      <c r="E33" s="333">
        <f t="shared" si="1"/>
        <v>4856.442814155117</v>
      </c>
      <c r="F33" s="333">
        <f t="shared" si="2"/>
        <v>0</v>
      </c>
      <c r="G33" s="333">
        <f t="shared" si="3"/>
        <v>0</v>
      </c>
      <c r="H33" s="333">
        <f t="shared" si="4"/>
        <v>0</v>
      </c>
      <c r="I33" s="333">
        <f t="shared" si="5"/>
        <v>0</v>
      </c>
      <c r="J33" s="333">
        <f t="shared" si="6"/>
        <v>0</v>
      </c>
      <c r="K33" s="334">
        <v>0</v>
      </c>
      <c r="L33" s="328" t="s">
        <v>1211</v>
      </c>
      <c r="N33" s="378" t="s">
        <v>388</v>
      </c>
      <c r="O33" s="379" t="s">
        <v>350</v>
      </c>
      <c r="P33" s="378" t="s">
        <v>198</v>
      </c>
      <c r="Q33" s="380">
        <v>2980</v>
      </c>
      <c r="R33" s="380">
        <v>0</v>
      </c>
      <c r="S33" s="380">
        <v>0</v>
      </c>
      <c r="T33" s="380">
        <v>0</v>
      </c>
      <c r="U33" s="380">
        <v>0</v>
      </c>
      <c r="V33" s="380">
        <v>0</v>
      </c>
      <c r="W33" s="381">
        <v>0</v>
      </c>
    </row>
    <row r="34" spans="1:23" ht="25.5" x14ac:dyDescent="0.2">
      <c r="A34" s="314">
        <v>31</v>
      </c>
      <c r="B34" s="331" t="s">
        <v>387</v>
      </c>
      <c r="C34" s="314" t="s">
        <v>341</v>
      </c>
      <c r="D34" s="331" t="s">
        <v>197</v>
      </c>
      <c r="E34" s="333">
        <f t="shared" si="1"/>
        <v>0</v>
      </c>
      <c r="F34" s="333">
        <f t="shared" si="2"/>
        <v>971.28856283102334</v>
      </c>
      <c r="G34" s="333">
        <f t="shared" si="3"/>
        <v>0</v>
      </c>
      <c r="H34" s="333">
        <f t="shared" si="4"/>
        <v>0</v>
      </c>
      <c r="I34" s="333">
        <f t="shared" si="5"/>
        <v>0</v>
      </c>
      <c r="J34" s="333">
        <f t="shared" si="6"/>
        <v>0</v>
      </c>
      <c r="K34" s="334">
        <v>0</v>
      </c>
      <c r="L34" s="328" t="s">
        <v>1211</v>
      </c>
      <c r="N34" s="378" t="s">
        <v>387</v>
      </c>
      <c r="O34" s="379" t="s">
        <v>341</v>
      </c>
      <c r="P34" s="378" t="s">
        <v>197</v>
      </c>
      <c r="Q34" s="380">
        <v>0</v>
      </c>
      <c r="R34" s="380">
        <v>596</v>
      </c>
      <c r="S34" s="380">
        <v>0</v>
      </c>
      <c r="T34" s="380">
        <v>0</v>
      </c>
      <c r="U34" s="380">
        <v>0</v>
      </c>
      <c r="V34" s="380">
        <v>0</v>
      </c>
      <c r="W34" s="381">
        <v>0</v>
      </c>
    </row>
    <row r="35" spans="1:23" x14ac:dyDescent="0.2">
      <c r="A35" s="314">
        <v>32</v>
      </c>
      <c r="B35" s="331" t="s">
        <v>386</v>
      </c>
      <c r="C35" s="314" t="s">
        <v>341</v>
      </c>
      <c r="D35" s="331" t="s">
        <v>197</v>
      </c>
      <c r="E35" s="333">
        <f t="shared" si="1"/>
        <v>0</v>
      </c>
      <c r="F35" s="333">
        <f t="shared" si="2"/>
        <v>68.44650946124662</v>
      </c>
      <c r="G35" s="333">
        <f t="shared" si="3"/>
        <v>0</v>
      </c>
      <c r="H35" s="333">
        <f t="shared" si="4"/>
        <v>0</v>
      </c>
      <c r="I35" s="333">
        <f t="shared" si="5"/>
        <v>0</v>
      </c>
      <c r="J35" s="333">
        <f t="shared" si="6"/>
        <v>0</v>
      </c>
      <c r="K35" s="334">
        <v>1</v>
      </c>
      <c r="L35" s="328"/>
      <c r="N35" s="378" t="s">
        <v>386</v>
      </c>
      <c r="O35" s="379" t="s">
        <v>341</v>
      </c>
      <c r="P35" s="378" t="s">
        <v>197</v>
      </c>
      <c r="Q35" s="380">
        <v>0</v>
      </c>
      <c r="R35" s="380">
        <v>42</v>
      </c>
      <c r="S35" s="380">
        <v>0</v>
      </c>
      <c r="T35" s="380">
        <v>0</v>
      </c>
      <c r="U35" s="380">
        <v>0</v>
      </c>
      <c r="V35" s="380">
        <v>0</v>
      </c>
      <c r="W35" s="381">
        <v>1</v>
      </c>
    </row>
    <row r="36" spans="1:23" x14ac:dyDescent="0.2">
      <c r="A36" s="314">
        <v>33</v>
      </c>
      <c r="B36" s="331" t="s">
        <v>385</v>
      </c>
      <c r="C36" s="314" t="s">
        <v>341</v>
      </c>
      <c r="D36" s="331" t="s">
        <v>196</v>
      </c>
      <c r="E36" s="333">
        <f t="shared" si="1"/>
        <v>0</v>
      </c>
      <c r="F36" s="333">
        <f t="shared" si="2"/>
        <v>0</v>
      </c>
      <c r="G36" s="333">
        <f t="shared" si="3"/>
        <v>847.43297428210099</v>
      </c>
      <c r="H36" s="333">
        <f t="shared" si="4"/>
        <v>2415.1839767039878</v>
      </c>
      <c r="I36" s="333">
        <f t="shared" si="5"/>
        <v>3612.9978922758032</v>
      </c>
      <c r="J36" s="333">
        <f t="shared" si="6"/>
        <v>4670.6594313317337</v>
      </c>
      <c r="K36" s="334">
        <v>0.56699999999999995</v>
      </c>
      <c r="L36" s="328"/>
      <c r="N36" s="378" t="s">
        <v>385</v>
      </c>
      <c r="O36" s="379" t="s">
        <v>341</v>
      </c>
      <c r="P36" s="378" t="s">
        <v>196</v>
      </c>
      <c r="Q36" s="380">
        <v>0</v>
      </c>
      <c r="R36" s="380">
        <v>0</v>
      </c>
      <c r="S36" s="380">
        <v>520</v>
      </c>
      <c r="T36" s="380">
        <v>1482</v>
      </c>
      <c r="U36" s="380">
        <v>2217</v>
      </c>
      <c r="V36" s="380">
        <v>2866</v>
      </c>
      <c r="W36" s="381">
        <v>0.56699999999999995</v>
      </c>
    </row>
    <row r="37" spans="1:23" x14ac:dyDescent="0.2">
      <c r="A37" s="314">
        <v>34</v>
      </c>
      <c r="B37" s="331" t="s">
        <v>384</v>
      </c>
      <c r="C37" s="314" t="s">
        <v>341</v>
      </c>
      <c r="D37" s="331" t="s">
        <v>196</v>
      </c>
      <c r="E37" s="333">
        <f t="shared" si="1"/>
        <v>0</v>
      </c>
      <c r="F37" s="333">
        <f t="shared" si="2"/>
        <v>0</v>
      </c>
      <c r="G37" s="333">
        <f t="shared" si="3"/>
        <v>581.7953304205962</v>
      </c>
      <c r="H37" s="333">
        <f t="shared" si="4"/>
        <v>2332.0703580724739</v>
      </c>
      <c r="I37" s="333">
        <f t="shared" si="5"/>
        <v>3497.2906977103626</v>
      </c>
      <c r="J37" s="333">
        <f t="shared" si="6"/>
        <v>4527.2476972224549</v>
      </c>
      <c r="K37" s="334">
        <v>0.5</v>
      </c>
      <c r="L37" s="328"/>
      <c r="N37" s="378" t="s">
        <v>384</v>
      </c>
      <c r="O37" s="379" t="s">
        <v>341</v>
      </c>
      <c r="P37" s="378" t="s">
        <v>196</v>
      </c>
      <c r="Q37" s="380">
        <v>0</v>
      </c>
      <c r="R37" s="380">
        <v>0</v>
      </c>
      <c r="S37" s="380">
        <v>357</v>
      </c>
      <c r="T37" s="380">
        <v>1431</v>
      </c>
      <c r="U37" s="380">
        <v>2146</v>
      </c>
      <c r="V37" s="380">
        <v>2778</v>
      </c>
      <c r="W37" s="381">
        <v>0.5</v>
      </c>
    </row>
    <row r="38" spans="1:23" ht="25.5" x14ac:dyDescent="0.2">
      <c r="A38" s="314">
        <v>35</v>
      </c>
      <c r="B38" s="331" t="s">
        <v>383</v>
      </c>
      <c r="C38" s="314" t="s">
        <v>341</v>
      </c>
      <c r="D38" s="331" t="s">
        <v>196</v>
      </c>
      <c r="E38" s="333">
        <f t="shared" si="1"/>
        <v>0</v>
      </c>
      <c r="F38" s="333">
        <f t="shared" si="2"/>
        <v>0</v>
      </c>
      <c r="G38" s="333">
        <f t="shared" si="3"/>
        <v>1729.0892032948252</v>
      </c>
      <c r="H38" s="333">
        <f t="shared" si="4"/>
        <v>2001.2455623431154</v>
      </c>
      <c r="I38" s="333">
        <f t="shared" si="5"/>
        <v>2545.5582804396954</v>
      </c>
      <c r="J38" s="333">
        <f t="shared" si="6"/>
        <v>3885.1542513240934</v>
      </c>
      <c r="K38" s="334">
        <v>0.5</v>
      </c>
      <c r="L38" s="328" t="s">
        <v>1211</v>
      </c>
      <c r="N38" s="378" t="s">
        <v>383</v>
      </c>
      <c r="O38" s="379" t="s">
        <v>341</v>
      </c>
      <c r="P38" s="378" t="s">
        <v>196</v>
      </c>
      <c r="Q38" s="380">
        <v>0</v>
      </c>
      <c r="R38" s="380">
        <v>0</v>
      </c>
      <c r="S38" s="380">
        <v>1061</v>
      </c>
      <c r="T38" s="380">
        <v>1228</v>
      </c>
      <c r="U38" s="380">
        <v>1562</v>
      </c>
      <c r="V38" s="380">
        <v>2384</v>
      </c>
      <c r="W38" s="381">
        <v>0.5</v>
      </c>
    </row>
    <row r="39" spans="1:23" ht="25.5" x14ac:dyDescent="0.2">
      <c r="A39" s="314">
        <v>36</v>
      </c>
      <c r="B39" s="331" t="s">
        <v>382</v>
      </c>
      <c r="C39" s="314" t="s">
        <v>341</v>
      </c>
      <c r="D39" s="331" t="s">
        <v>196</v>
      </c>
      <c r="E39" s="333">
        <f t="shared" si="1"/>
        <v>0</v>
      </c>
      <c r="F39" s="333">
        <f t="shared" si="2"/>
        <v>0</v>
      </c>
      <c r="G39" s="333">
        <f t="shared" si="3"/>
        <v>2087.6185385680219</v>
      </c>
      <c r="H39" s="333">
        <f t="shared" si="4"/>
        <v>2599.3376807306749</v>
      </c>
      <c r="I39" s="333">
        <f t="shared" si="5"/>
        <v>3619.516607462589</v>
      </c>
      <c r="J39" s="333">
        <f t="shared" si="6"/>
        <v>5045.4855545718929</v>
      </c>
      <c r="K39" s="334">
        <v>1</v>
      </c>
      <c r="L39" s="328" t="s">
        <v>1211</v>
      </c>
      <c r="N39" s="378" t="s">
        <v>382</v>
      </c>
      <c r="O39" s="379" t="s">
        <v>341</v>
      </c>
      <c r="P39" s="378" t="s">
        <v>196</v>
      </c>
      <c r="Q39" s="380">
        <v>0</v>
      </c>
      <c r="R39" s="380">
        <v>0</v>
      </c>
      <c r="S39" s="380">
        <v>1281</v>
      </c>
      <c r="T39" s="380">
        <v>1595</v>
      </c>
      <c r="U39" s="380">
        <v>2221</v>
      </c>
      <c r="V39" s="380">
        <v>3096</v>
      </c>
      <c r="W39" s="381">
        <v>1</v>
      </c>
    </row>
    <row r="40" spans="1:23" x14ac:dyDescent="0.2">
      <c r="A40" s="314">
        <v>37</v>
      </c>
      <c r="B40" s="331" t="s">
        <v>381</v>
      </c>
      <c r="C40" s="314" t="s">
        <v>341</v>
      </c>
      <c r="D40" s="331" t="s">
        <v>196</v>
      </c>
      <c r="E40" s="333">
        <f t="shared" si="1"/>
        <v>0</v>
      </c>
      <c r="F40" s="333">
        <f t="shared" si="2"/>
        <v>0</v>
      </c>
      <c r="G40" s="333">
        <f t="shared" si="3"/>
        <v>1473.2296322134985</v>
      </c>
      <c r="H40" s="333">
        <f t="shared" si="4"/>
        <v>2972.5341251741388</v>
      </c>
      <c r="I40" s="333">
        <f t="shared" si="5"/>
        <v>4429.4669694206741</v>
      </c>
      <c r="J40" s="333">
        <f t="shared" si="6"/>
        <v>5715.2835400140921</v>
      </c>
      <c r="K40" s="334">
        <v>0.5</v>
      </c>
      <c r="L40" s="328"/>
      <c r="N40" s="378" t="s">
        <v>381</v>
      </c>
      <c r="O40" s="379" t="s">
        <v>341</v>
      </c>
      <c r="P40" s="378" t="s">
        <v>196</v>
      </c>
      <c r="Q40" s="380">
        <v>0</v>
      </c>
      <c r="R40" s="380">
        <v>0</v>
      </c>
      <c r="S40" s="380">
        <v>904</v>
      </c>
      <c r="T40" s="380">
        <v>1824</v>
      </c>
      <c r="U40" s="380">
        <v>2718</v>
      </c>
      <c r="V40" s="380">
        <v>3507</v>
      </c>
      <c r="W40" s="381">
        <v>0.5</v>
      </c>
    </row>
    <row r="41" spans="1:23" x14ac:dyDescent="0.2">
      <c r="A41" s="314">
        <v>38</v>
      </c>
      <c r="B41" s="331" t="s">
        <v>380</v>
      </c>
      <c r="C41" s="314" t="s">
        <v>344</v>
      </c>
      <c r="D41" s="331" t="s">
        <v>197</v>
      </c>
      <c r="E41" s="333">
        <f t="shared" si="1"/>
        <v>0</v>
      </c>
      <c r="F41" s="333">
        <f t="shared" si="2"/>
        <v>363.4183716632856</v>
      </c>
      <c r="G41" s="333">
        <f t="shared" si="3"/>
        <v>0</v>
      </c>
      <c r="H41" s="333">
        <f t="shared" si="4"/>
        <v>0</v>
      </c>
      <c r="I41" s="333">
        <f t="shared" si="5"/>
        <v>0</v>
      </c>
      <c r="J41" s="333">
        <f t="shared" si="6"/>
        <v>0</v>
      </c>
      <c r="K41" s="334">
        <v>2</v>
      </c>
      <c r="L41" s="328"/>
      <c r="N41" s="378" t="s">
        <v>380</v>
      </c>
      <c r="O41" s="379" t="s">
        <v>344</v>
      </c>
      <c r="P41" s="378" t="s">
        <v>197</v>
      </c>
      <c r="Q41" s="380">
        <v>0</v>
      </c>
      <c r="R41" s="380">
        <v>223</v>
      </c>
      <c r="S41" s="380">
        <v>0</v>
      </c>
      <c r="T41" s="380">
        <v>0</v>
      </c>
      <c r="U41" s="380">
        <v>0</v>
      </c>
      <c r="V41" s="380">
        <v>0</v>
      </c>
      <c r="W41" s="381">
        <v>2</v>
      </c>
    </row>
    <row r="42" spans="1:23" ht="25.5" x14ac:dyDescent="0.2">
      <c r="A42" s="314">
        <v>39</v>
      </c>
      <c r="B42" s="331" t="s">
        <v>379</v>
      </c>
      <c r="C42" s="314" t="s">
        <v>341</v>
      </c>
      <c r="D42" s="331" t="s">
        <v>196</v>
      </c>
      <c r="E42" s="333">
        <f t="shared" si="1"/>
        <v>0</v>
      </c>
      <c r="F42" s="333">
        <f t="shared" si="2"/>
        <v>0</v>
      </c>
      <c r="G42" s="333">
        <f t="shared" si="3"/>
        <v>368.30740805337462</v>
      </c>
      <c r="H42" s="333">
        <f t="shared" si="4"/>
        <v>743.1335312935347</v>
      </c>
      <c r="I42" s="333">
        <f t="shared" si="5"/>
        <v>1108.1815817535166</v>
      </c>
      <c r="J42" s="333">
        <f t="shared" si="6"/>
        <v>1429.2283047026972</v>
      </c>
      <c r="K42" s="334">
        <v>0.5</v>
      </c>
      <c r="L42" s="328" t="s">
        <v>373</v>
      </c>
      <c r="N42" s="378" t="s">
        <v>379</v>
      </c>
      <c r="O42" s="379" t="s">
        <v>341</v>
      </c>
      <c r="P42" s="378" t="s">
        <v>196</v>
      </c>
      <c r="Q42" s="380">
        <v>0</v>
      </c>
      <c r="R42" s="380">
        <v>0</v>
      </c>
      <c r="S42" s="380">
        <v>226</v>
      </c>
      <c r="T42" s="380">
        <v>456</v>
      </c>
      <c r="U42" s="380">
        <v>680</v>
      </c>
      <c r="V42" s="380">
        <v>877</v>
      </c>
      <c r="W42" s="381">
        <v>0.5</v>
      </c>
    </row>
    <row r="43" spans="1:23" x14ac:dyDescent="0.2">
      <c r="A43" s="314">
        <v>40</v>
      </c>
      <c r="B43" s="331" t="s">
        <v>378</v>
      </c>
      <c r="C43" s="314" t="s">
        <v>341</v>
      </c>
      <c r="D43" s="331" t="s">
        <v>196</v>
      </c>
      <c r="E43" s="333">
        <f t="shared" si="1"/>
        <v>0</v>
      </c>
      <c r="F43" s="333">
        <f t="shared" si="2"/>
        <v>0</v>
      </c>
      <c r="G43" s="333">
        <f t="shared" si="3"/>
        <v>485.64428141551167</v>
      </c>
      <c r="H43" s="333">
        <f t="shared" si="4"/>
        <v>1942.5771256620467</v>
      </c>
      <c r="I43" s="333">
        <f t="shared" si="5"/>
        <v>2913.8656884930701</v>
      </c>
      <c r="J43" s="333">
        <f t="shared" si="6"/>
        <v>3771.0767355553494</v>
      </c>
      <c r="K43" s="334">
        <v>0.7</v>
      </c>
      <c r="L43" s="328" t="s">
        <v>376</v>
      </c>
      <c r="N43" s="378" t="s">
        <v>378</v>
      </c>
      <c r="O43" s="379" t="s">
        <v>341</v>
      </c>
      <c r="P43" s="378" t="s">
        <v>196</v>
      </c>
      <c r="Q43" s="380">
        <v>0</v>
      </c>
      <c r="R43" s="380">
        <v>0</v>
      </c>
      <c r="S43" s="380">
        <v>298</v>
      </c>
      <c r="T43" s="380">
        <v>1192</v>
      </c>
      <c r="U43" s="380">
        <v>1788</v>
      </c>
      <c r="V43" s="380">
        <v>2314</v>
      </c>
      <c r="W43" s="381">
        <v>0.7</v>
      </c>
    </row>
    <row r="44" spans="1:23" x14ac:dyDescent="0.2">
      <c r="A44" s="314">
        <v>41</v>
      </c>
      <c r="B44" s="331" t="s">
        <v>377</v>
      </c>
      <c r="C44" s="314" t="s">
        <v>341</v>
      </c>
      <c r="D44" s="331" t="s">
        <v>196</v>
      </c>
      <c r="E44" s="333">
        <f t="shared" si="1"/>
        <v>0</v>
      </c>
      <c r="F44" s="333">
        <f t="shared" si="2"/>
        <v>0</v>
      </c>
      <c r="G44" s="333">
        <f t="shared" si="3"/>
        <v>581.7953304205962</v>
      </c>
      <c r="H44" s="333">
        <f t="shared" si="4"/>
        <v>2332.0703580724739</v>
      </c>
      <c r="I44" s="333">
        <f t="shared" si="5"/>
        <v>3497.2906977103626</v>
      </c>
      <c r="J44" s="333">
        <f t="shared" si="6"/>
        <v>4527.2476972224549</v>
      </c>
      <c r="K44" s="334">
        <v>0.5</v>
      </c>
      <c r="L44" s="328" t="s">
        <v>376</v>
      </c>
      <c r="N44" s="378" t="s">
        <v>377</v>
      </c>
      <c r="O44" s="379" t="s">
        <v>341</v>
      </c>
      <c r="P44" s="378" t="s">
        <v>196</v>
      </c>
      <c r="Q44" s="380">
        <v>0</v>
      </c>
      <c r="R44" s="380">
        <v>0</v>
      </c>
      <c r="S44" s="380">
        <v>357</v>
      </c>
      <c r="T44" s="380">
        <v>1431</v>
      </c>
      <c r="U44" s="380">
        <v>2146</v>
      </c>
      <c r="V44" s="380">
        <v>2778</v>
      </c>
      <c r="W44" s="381">
        <v>0.5</v>
      </c>
    </row>
    <row r="45" spans="1:23" x14ac:dyDescent="0.2">
      <c r="A45" s="314">
        <v>42</v>
      </c>
      <c r="B45" s="331" t="s">
        <v>375</v>
      </c>
      <c r="C45" s="314" t="s">
        <v>341</v>
      </c>
      <c r="D45" s="331" t="s">
        <v>196</v>
      </c>
      <c r="E45" s="333">
        <f t="shared" si="1"/>
        <v>0</v>
      </c>
      <c r="F45" s="333">
        <f t="shared" si="2"/>
        <v>0</v>
      </c>
      <c r="G45" s="333">
        <f t="shared" si="3"/>
        <v>479.12556622872631</v>
      </c>
      <c r="H45" s="333">
        <f t="shared" si="4"/>
        <v>1672.050445410453</v>
      </c>
      <c r="I45" s="333">
        <f t="shared" si="5"/>
        <v>2506.4459893189833</v>
      </c>
      <c r="J45" s="333">
        <f t="shared" si="6"/>
        <v>3243.0608054257323</v>
      </c>
      <c r="K45" s="334">
        <v>0.56699999999999995</v>
      </c>
      <c r="L45" s="328"/>
      <c r="N45" s="378" t="s">
        <v>375</v>
      </c>
      <c r="O45" s="379" t="s">
        <v>341</v>
      </c>
      <c r="P45" s="378" t="s">
        <v>196</v>
      </c>
      <c r="Q45" s="380">
        <v>0</v>
      </c>
      <c r="R45" s="380">
        <v>0</v>
      </c>
      <c r="S45" s="380">
        <v>294</v>
      </c>
      <c r="T45" s="380">
        <v>1026</v>
      </c>
      <c r="U45" s="380">
        <v>1538</v>
      </c>
      <c r="V45" s="380">
        <v>1990</v>
      </c>
      <c r="W45" s="381">
        <v>0.56699999999999995</v>
      </c>
    </row>
    <row r="46" spans="1:23" ht="25.5" x14ac:dyDescent="0.2">
      <c r="A46" s="314">
        <v>43</v>
      </c>
      <c r="B46" s="331" t="s">
        <v>374</v>
      </c>
      <c r="C46" s="314" t="s">
        <v>341</v>
      </c>
      <c r="D46" s="331" t="s">
        <v>196</v>
      </c>
      <c r="E46" s="333">
        <f t="shared" si="1"/>
        <v>0</v>
      </c>
      <c r="F46" s="333">
        <f t="shared" si="2"/>
        <v>0</v>
      </c>
      <c r="G46" s="333">
        <f t="shared" si="3"/>
        <v>368.30740805337462</v>
      </c>
      <c r="H46" s="333">
        <f t="shared" si="4"/>
        <v>743.1335312935347</v>
      </c>
      <c r="I46" s="333">
        <f t="shared" si="5"/>
        <v>1108.1815817535166</v>
      </c>
      <c r="J46" s="333">
        <f t="shared" si="6"/>
        <v>1429.2283047026972</v>
      </c>
      <c r="K46" s="334">
        <v>0.5</v>
      </c>
      <c r="L46" s="328" t="s">
        <v>373</v>
      </c>
      <c r="N46" s="378" t="s">
        <v>374</v>
      </c>
      <c r="O46" s="379" t="s">
        <v>341</v>
      </c>
      <c r="P46" s="378" t="s">
        <v>196</v>
      </c>
      <c r="Q46" s="380">
        <v>0</v>
      </c>
      <c r="R46" s="380">
        <v>0</v>
      </c>
      <c r="S46" s="380">
        <v>226</v>
      </c>
      <c r="T46" s="380">
        <v>456</v>
      </c>
      <c r="U46" s="380">
        <v>680</v>
      </c>
      <c r="V46" s="380">
        <v>877</v>
      </c>
      <c r="W46" s="381">
        <v>0.5</v>
      </c>
    </row>
    <row r="47" spans="1:23" x14ac:dyDescent="0.2">
      <c r="A47" s="314">
        <v>44</v>
      </c>
      <c r="B47" s="331" t="s">
        <v>372</v>
      </c>
      <c r="C47" s="314" t="s">
        <v>341</v>
      </c>
      <c r="D47" s="331" t="s">
        <v>196</v>
      </c>
      <c r="E47" s="333">
        <f t="shared" si="1"/>
        <v>0</v>
      </c>
      <c r="F47" s="333">
        <f t="shared" si="2"/>
        <v>0</v>
      </c>
      <c r="G47" s="333">
        <f t="shared" si="3"/>
        <v>479.12556622872631</v>
      </c>
      <c r="H47" s="333">
        <f t="shared" si="4"/>
        <v>1672.050445410453</v>
      </c>
      <c r="I47" s="333">
        <f t="shared" si="5"/>
        <v>2506.4459893189833</v>
      </c>
      <c r="J47" s="333">
        <f t="shared" si="6"/>
        <v>3243.0608054257323</v>
      </c>
      <c r="K47" s="334">
        <v>0.56699999999999995</v>
      </c>
      <c r="L47" s="328"/>
      <c r="N47" s="378" t="s">
        <v>372</v>
      </c>
      <c r="O47" s="379" t="s">
        <v>341</v>
      </c>
      <c r="P47" s="378" t="s">
        <v>196</v>
      </c>
      <c r="Q47" s="380">
        <v>0</v>
      </c>
      <c r="R47" s="380">
        <v>0</v>
      </c>
      <c r="S47" s="380">
        <v>294</v>
      </c>
      <c r="T47" s="380">
        <v>1026</v>
      </c>
      <c r="U47" s="380">
        <v>1538</v>
      </c>
      <c r="V47" s="380">
        <v>1990</v>
      </c>
      <c r="W47" s="381">
        <v>0.56699999999999995</v>
      </c>
    </row>
    <row r="48" spans="1:23" ht="25.5" x14ac:dyDescent="0.2">
      <c r="A48" s="314">
        <v>45</v>
      </c>
      <c r="B48" s="331" t="s">
        <v>371</v>
      </c>
      <c r="C48" s="314" t="s">
        <v>341</v>
      </c>
      <c r="D48" s="331" t="s">
        <v>197</v>
      </c>
      <c r="E48" s="333">
        <f t="shared" si="1"/>
        <v>0</v>
      </c>
      <c r="F48" s="333">
        <f t="shared" si="2"/>
        <v>1230.4074915057427</v>
      </c>
      <c r="G48" s="333">
        <f t="shared" si="3"/>
        <v>0</v>
      </c>
      <c r="H48" s="333">
        <f t="shared" si="4"/>
        <v>0</v>
      </c>
      <c r="I48" s="333">
        <f t="shared" si="5"/>
        <v>0</v>
      </c>
      <c r="J48" s="333">
        <f t="shared" si="6"/>
        <v>0</v>
      </c>
      <c r="K48" s="334">
        <v>1</v>
      </c>
      <c r="L48" s="328" t="s">
        <v>1211</v>
      </c>
      <c r="N48" s="378" t="s">
        <v>371</v>
      </c>
      <c r="O48" s="379" t="s">
        <v>341</v>
      </c>
      <c r="P48" s="378" t="s">
        <v>197</v>
      </c>
      <c r="Q48" s="380">
        <v>0</v>
      </c>
      <c r="R48" s="380">
        <v>755</v>
      </c>
      <c r="S48" s="380">
        <v>0</v>
      </c>
      <c r="T48" s="380">
        <v>0</v>
      </c>
      <c r="U48" s="380">
        <v>0</v>
      </c>
      <c r="V48" s="380">
        <v>0</v>
      </c>
      <c r="W48" s="381">
        <v>1</v>
      </c>
    </row>
    <row r="49" spans="1:23" x14ac:dyDescent="0.2">
      <c r="A49" s="314">
        <v>46</v>
      </c>
      <c r="B49" s="331" t="s">
        <v>370</v>
      </c>
      <c r="C49" s="314" t="s">
        <v>341</v>
      </c>
      <c r="D49" s="331" t="s">
        <v>197</v>
      </c>
      <c r="E49" s="333">
        <f t="shared" si="1"/>
        <v>0</v>
      </c>
      <c r="F49" s="333">
        <f t="shared" si="2"/>
        <v>552.46111208006198</v>
      </c>
      <c r="G49" s="333">
        <f t="shared" si="3"/>
        <v>0</v>
      </c>
      <c r="H49" s="333">
        <f t="shared" si="4"/>
        <v>0</v>
      </c>
      <c r="I49" s="333">
        <f t="shared" si="5"/>
        <v>0</v>
      </c>
      <c r="J49" s="333">
        <f t="shared" si="6"/>
        <v>0</v>
      </c>
      <c r="K49" s="334">
        <v>1</v>
      </c>
      <c r="L49" s="328"/>
      <c r="N49" s="378" t="s">
        <v>370</v>
      </c>
      <c r="O49" s="379" t="s">
        <v>341</v>
      </c>
      <c r="P49" s="378" t="s">
        <v>197</v>
      </c>
      <c r="Q49" s="380">
        <v>0</v>
      </c>
      <c r="R49" s="380">
        <v>339</v>
      </c>
      <c r="S49" s="380">
        <v>0</v>
      </c>
      <c r="T49" s="380">
        <v>0</v>
      </c>
      <c r="U49" s="380">
        <v>0</v>
      </c>
      <c r="V49" s="380">
        <v>0</v>
      </c>
      <c r="W49" s="381">
        <v>1</v>
      </c>
    </row>
    <row r="50" spans="1:23" x14ac:dyDescent="0.2">
      <c r="A50" s="314">
        <v>47</v>
      </c>
      <c r="B50" s="331" t="s">
        <v>369</v>
      </c>
      <c r="C50" s="314" t="s">
        <v>341</v>
      </c>
      <c r="D50" s="331" t="s">
        <v>196</v>
      </c>
      <c r="E50" s="333">
        <f t="shared" si="1"/>
        <v>0</v>
      </c>
      <c r="F50" s="333">
        <f t="shared" si="2"/>
        <v>0</v>
      </c>
      <c r="G50" s="333">
        <f t="shared" si="3"/>
        <v>485.64428141551167</v>
      </c>
      <c r="H50" s="333">
        <f t="shared" si="4"/>
        <v>1942.5771256620467</v>
      </c>
      <c r="I50" s="333">
        <f t="shared" si="5"/>
        <v>2913.8656884930701</v>
      </c>
      <c r="J50" s="333">
        <f t="shared" si="6"/>
        <v>3771.0767355553494</v>
      </c>
      <c r="K50" s="334">
        <v>0.7</v>
      </c>
      <c r="L50" s="328"/>
      <c r="N50" s="378" t="s">
        <v>369</v>
      </c>
      <c r="O50" s="379" t="s">
        <v>341</v>
      </c>
      <c r="P50" s="378" t="s">
        <v>196</v>
      </c>
      <c r="Q50" s="380">
        <v>0</v>
      </c>
      <c r="R50" s="380">
        <v>0</v>
      </c>
      <c r="S50" s="380">
        <v>298</v>
      </c>
      <c r="T50" s="380">
        <v>1192</v>
      </c>
      <c r="U50" s="380">
        <v>1788</v>
      </c>
      <c r="V50" s="380">
        <v>2314</v>
      </c>
      <c r="W50" s="381">
        <v>0.7</v>
      </c>
    </row>
    <row r="51" spans="1:23" x14ac:dyDescent="0.2">
      <c r="A51" s="314">
        <v>48</v>
      </c>
      <c r="B51" s="331" t="s">
        <v>368</v>
      </c>
      <c r="C51" s="314" t="s">
        <v>341</v>
      </c>
      <c r="D51" s="331" t="s">
        <v>196</v>
      </c>
      <c r="E51" s="333">
        <f t="shared" si="1"/>
        <v>0</v>
      </c>
      <c r="F51" s="333">
        <f t="shared" si="2"/>
        <v>0</v>
      </c>
      <c r="G51" s="333">
        <f t="shared" si="3"/>
        <v>485.64428141551167</v>
      </c>
      <c r="H51" s="333">
        <f t="shared" si="4"/>
        <v>1942.5771256620467</v>
      </c>
      <c r="I51" s="333">
        <f t="shared" si="5"/>
        <v>2913.8656884930701</v>
      </c>
      <c r="J51" s="333">
        <f t="shared" si="6"/>
        <v>3771.0767355553494</v>
      </c>
      <c r="K51" s="334">
        <v>0.7</v>
      </c>
      <c r="L51" s="328"/>
      <c r="N51" s="378" t="s">
        <v>368</v>
      </c>
      <c r="O51" s="379" t="s">
        <v>341</v>
      </c>
      <c r="P51" s="378" t="s">
        <v>196</v>
      </c>
      <c r="Q51" s="380">
        <v>0</v>
      </c>
      <c r="R51" s="380">
        <v>0</v>
      </c>
      <c r="S51" s="380">
        <v>298</v>
      </c>
      <c r="T51" s="380">
        <v>1192</v>
      </c>
      <c r="U51" s="380">
        <v>1788</v>
      </c>
      <c r="V51" s="380">
        <v>2314</v>
      </c>
      <c r="W51" s="381">
        <v>0.7</v>
      </c>
    </row>
    <row r="52" spans="1:23" x14ac:dyDescent="0.2">
      <c r="A52" s="314">
        <v>49</v>
      </c>
      <c r="B52" s="331" t="s">
        <v>367</v>
      </c>
      <c r="C52" s="314" t="s">
        <v>341</v>
      </c>
      <c r="D52" s="331" t="s">
        <v>196</v>
      </c>
      <c r="E52" s="333">
        <f t="shared" si="1"/>
        <v>0</v>
      </c>
      <c r="F52" s="333">
        <f t="shared" si="2"/>
        <v>0</v>
      </c>
      <c r="G52" s="333">
        <f t="shared" si="3"/>
        <v>581.7953304205962</v>
      </c>
      <c r="H52" s="333">
        <f t="shared" si="4"/>
        <v>2332.0703580724739</v>
      </c>
      <c r="I52" s="333">
        <f t="shared" si="5"/>
        <v>3497.2906977103626</v>
      </c>
      <c r="J52" s="333">
        <f t="shared" si="6"/>
        <v>4527.2476972224549</v>
      </c>
      <c r="K52" s="334">
        <v>0.5</v>
      </c>
      <c r="L52" s="328"/>
      <c r="N52" s="378" t="s">
        <v>367</v>
      </c>
      <c r="O52" s="379" t="s">
        <v>341</v>
      </c>
      <c r="P52" s="378" t="s">
        <v>196</v>
      </c>
      <c r="Q52" s="380">
        <v>0</v>
      </c>
      <c r="R52" s="380">
        <v>0</v>
      </c>
      <c r="S52" s="380">
        <v>357</v>
      </c>
      <c r="T52" s="380">
        <v>1431</v>
      </c>
      <c r="U52" s="380">
        <v>2146</v>
      </c>
      <c r="V52" s="380">
        <v>2778</v>
      </c>
      <c r="W52" s="381">
        <v>0.5</v>
      </c>
    </row>
    <row r="53" spans="1:23" x14ac:dyDescent="0.2">
      <c r="A53" s="314">
        <v>50</v>
      </c>
      <c r="B53" s="331" t="s">
        <v>366</v>
      </c>
      <c r="C53" s="314" t="s">
        <v>341</v>
      </c>
      <c r="D53" s="331" t="s">
        <v>196</v>
      </c>
      <c r="E53" s="333">
        <f t="shared" si="1"/>
        <v>0</v>
      </c>
      <c r="F53" s="333">
        <f t="shared" si="2"/>
        <v>0</v>
      </c>
      <c r="G53" s="333">
        <f t="shared" si="3"/>
        <v>847.43297428210099</v>
      </c>
      <c r="H53" s="333">
        <f t="shared" si="4"/>
        <v>2415.1839767039878</v>
      </c>
      <c r="I53" s="333">
        <f t="shared" si="5"/>
        <v>3612.9978922758032</v>
      </c>
      <c r="J53" s="333">
        <f t="shared" si="6"/>
        <v>4670.6594313317337</v>
      </c>
      <c r="K53" s="334">
        <v>0.56699999999999995</v>
      </c>
      <c r="L53" s="328"/>
      <c r="N53" s="378" t="s">
        <v>366</v>
      </c>
      <c r="O53" s="379" t="s">
        <v>341</v>
      </c>
      <c r="P53" s="378" t="s">
        <v>196</v>
      </c>
      <c r="Q53" s="380">
        <v>0</v>
      </c>
      <c r="R53" s="380">
        <v>0</v>
      </c>
      <c r="S53" s="380">
        <v>520</v>
      </c>
      <c r="T53" s="380">
        <v>1482</v>
      </c>
      <c r="U53" s="380">
        <v>2217</v>
      </c>
      <c r="V53" s="380">
        <v>2866</v>
      </c>
      <c r="W53" s="381">
        <v>0.56699999999999995</v>
      </c>
    </row>
    <row r="54" spans="1:23" x14ac:dyDescent="0.2">
      <c r="A54" s="314">
        <v>51</v>
      </c>
      <c r="B54" s="331" t="s">
        <v>365</v>
      </c>
      <c r="C54" s="314" t="s">
        <v>341</v>
      </c>
      <c r="D54" s="331" t="s">
        <v>196</v>
      </c>
      <c r="E54" s="333">
        <f t="shared" si="1"/>
        <v>0</v>
      </c>
      <c r="F54" s="333">
        <f t="shared" si="2"/>
        <v>0</v>
      </c>
      <c r="G54" s="333">
        <f t="shared" si="3"/>
        <v>581.7953304205962</v>
      </c>
      <c r="H54" s="333">
        <f t="shared" si="4"/>
        <v>2332.0703580724739</v>
      </c>
      <c r="I54" s="333">
        <f t="shared" si="5"/>
        <v>3497.2906977103626</v>
      </c>
      <c r="J54" s="333">
        <f t="shared" si="6"/>
        <v>4527.2476972224549</v>
      </c>
      <c r="K54" s="334">
        <v>0.5</v>
      </c>
      <c r="L54" s="328"/>
      <c r="N54" s="378" t="s">
        <v>365</v>
      </c>
      <c r="O54" s="379" t="s">
        <v>341</v>
      </c>
      <c r="P54" s="378" t="s">
        <v>196</v>
      </c>
      <c r="Q54" s="380">
        <v>0</v>
      </c>
      <c r="R54" s="380">
        <v>0</v>
      </c>
      <c r="S54" s="380">
        <v>357</v>
      </c>
      <c r="T54" s="380">
        <v>1431</v>
      </c>
      <c r="U54" s="380">
        <v>2146</v>
      </c>
      <c r="V54" s="380">
        <v>2778</v>
      </c>
      <c r="W54" s="381">
        <v>0.5</v>
      </c>
    </row>
    <row r="55" spans="1:23" ht="25.5" x14ac:dyDescent="0.2">
      <c r="A55" s="314">
        <v>52</v>
      </c>
      <c r="B55" s="331" t="s">
        <v>364</v>
      </c>
      <c r="C55" s="314" t="s">
        <v>341</v>
      </c>
      <c r="D55" s="331" t="s">
        <v>196</v>
      </c>
      <c r="E55" s="333">
        <f t="shared" si="1"/>
        <v>0</v>
      </c>
      <c r="F55" s="333">
        <f t="shared" si="2"/>
        <v>0</v>
      </c>
      <c r="G55" s="333">
        <f t="shared" si="3"/>
        <v>847.43297428210099</v>
      </c>
      <c r="H55" s="333">
        <f t="shared" si="4"/>
        <v>2415.1839767039878</v>
      </c>
      <c r="I55" s="333">
        <f t="shared" si="5"/>
        <v>3612.9978922758032</v>
      </c>
      <c r="J55" s="333">
        <f t="shared" si="6"/>
        <v>4670.6594313317337</v>
      </c>
      <c r="K55" s="334">
        <v>0.56699999999999995</v>
      </c>
      <c r="L55" s="328"/>
      <c r="N55" s="378" t="s">
        <v>364</v>
      </c>
      <c r="O55" s="379" t="s">
        <v>341</v>
      </c>
      <c r="P55" s="378" t="s">
        <v>196</v>
      </c>
      <c r="Q55" s="380">
        <v>0</v>
      </c>
      <c r="R55" s="380">
        <v>0</v>
      </c>
      <c r="S55" s="380">
        <v>520</v>
      </c>
      <c r="T55" s="380">
        <v>1482</v>
      </c>
      <c r="U55" s="380">
        <v>2217</v>
      </c>
      <c r="V55" s="380">
        <v>2866</v>
      </c>
      <c r="W55" s="381">
        <v>0.56699999999999995</v>
      </c>
    </row>
    <row r="56" spans="1:23" x14ac:dyDescent="0.2">
      <c r="A56" s="314">
        <v>53</v>
      </c>
      <c r="B56" s="331" t="s">
        <v>363</v>
      </c>
      <c r="C56" s="314" t="s">
        <v>341</v>
      </c>
      <c r="D56" s="331" t="s">
        <v>196</v>
      </c>
      <c r="E56" s="333">
        <f t="shared" si="1"/>
        <v>0</v>
      </c>
      <c r="F56" s="333">
        <f t="shared" si="2"/>
        <v>0</v>
      </c>
      <c r="G56" s="333">
        <f t="shared" si="3"/>
        <v>581.7953304205962</v>
      </c>
      <c r="H56" s="333">
        <f t="shared" si="4"/>
        <v>2332.0703580724739</v>
      </c>
      <c r="I56" s="333">
        <f t="shared" si="5"/>
        <v>3497.2906977103626</v>
      </c>
      <c r="J56" s="333">
        <f t="shared" si="6"/>
        <v>4527.2476972224549</v>
      </c>
      <c r="K56" s="334">
        <v>0.5</v>
      </c>
      <c r="L56" s="328"/>
      <c r="N56" s="378" t="s">
        <v>363</v>
      </c>
      <c r="O56" s="379" t="s">
        <v>341</v>
      </c>
      <c r="P56" s="378" t="s">
        <v>196</v>
      </c>
      <c r="Q56" s="380">
        <v>0</v>
      </c>
      <c r="R56" s="380">
        <v>0</v>
      </c>
      <c r="S56" s="380">
        <v>357</v>
      </c>
      <c r="T56" s="380">
        <v>1431</v>
      </c>
      <c r="U56" s="380">
        <v>2146</v>
      </c>
      <c r="V56" s="380">
        <v>2778</v>
      </c>
      <c r="W56" s="381">
        <v>0.5</v>
      </c>
    </row>
    <row r="57" spans="1:23" x14ac:dyDescent="0.2">
      <c r="A57" s="314">
        <v>54</v>
      </c>
      <c r="B57" s="331" t="s">
        <v>362</v>
      </c>
      <c r="C57" s="314" t="s">
        <v>341</v>
      </c>
      <c r="D57" s="331" t="s">
        <v>196</v>
      </c>
      <c r="E57" s="333">
        <f t="shared" si="1"/>
        <v>0</v>
      </c>
      <c r="F57" s="333">
        <f t="shared" si="2"/>
        <v>0</v>
      </c>
      <c r="G57" s="333">
        <f t="shared" si="3"/>
        <v>847.43297428210099</v>
      </c>
      <c r="H57" s="333">
        <f t="shared" si="4"/>
        <v>2415.1839767039878</v>
      </c>
      <c r="I57" s="333">
        <f t="shared" si="5"/>
        <v>3612.9978922758032</v>
      </c>
      <c r="J57" s="333">
        <f t="shared" si="6"/>
        <v>4670.6594313317337</v>
      </c>
      <c r="K57" s="334">
        <v>0.56699999999999995</v>
      </c>
      <c r="L57" s="328"/>
      <c r="N57" s="378" t="s">
        <v>362</v>
      </c>
      <c r="O57" s="379" t="s">
        <v>341</v>
      </c>
      <c r="P57" s="378" t="s">
        <v>196</v>
      </c>
      <c r="Q57" s="380">
        <v>0</v>
      </c>
      <c r="R57" s="380">
        <v>0</v>
      </c>
      <c r="S57" s="380">
        <v>520</v>
      </c>
      <c r="T57" s="380">
        <v>1482</v>
      </c>
      <c r="U57" s="380">
        <v>2217</v>
      </c>
      <c r="V57" s="380">
        <v>2866</v>
      </c>
      <c r="W57" s="381">
        <v>0.56699999999999995</v>
      </c>
    </row>
    <row r="58" spans="1:23" x14ac:dyDescent="0.2">
      <c r="A58" s="314">
        <v>55</v>
      </c>
      <c r="B58" s="331" t="s">
        <v>361</v>
      </c>
      <c r="C58" s="314" t="s">
        <v>341</v>
      </c>
      <c r="D58" s="331" t="s">
        <v>196</v>
      </c>
      <c r="E58" s="333">
        <f t="shared" si="1"/>
        <v>0</v>
      </c>
      <c r="F58" s="333">
        <f t="shared" si="2"/>
        <v>0</v>
      </c>
      <c r="G58" s="333">
        <f t="shared" si="3"/>
        <v>485.64428141551167</v>
      </c>
      <c r="H58" s="333">
        <f t="shared" si="4"/>
        <v>1942.5771256620467</v>
      </c>
      <c r="I58" s="333">
        <f t="shared" si="5"/>
        <v>2913.8656884930701</v>
      </c>
      <c r="J58" s="333">
        <f t="shared" si="6"/>
        <v>3771.0767355553494</v>
      </c>
      <c r="K58" s="334">
        <v>0.7</v>
      </c>
      <c r="L58" s="328"/>
      <c r="N58" s="378" t="s">
        <v>361</v>
      </c>
      <c r="O58" s="379" t="s">
        <v>341</v>
      </c>
      <c r="P58" s="378" t="s">
        <v>196</v>
      </c>
      <c r="Q58" s="380">
        <v>0</v>
      </c>
      <c r="R58" s="380">
        <v>0</v>
      </c>
      <c r="S58" s="380">
        <v>298</v>
      </c>
      <c r="T58" s="380">
        <v>1192</v>
      </c>
      <c r="U58" s="380">
        <v>1788</v>
      </c>
      <c r="V58" s="380">
        <v>2314</v>
      </c>
      <c r="W58" s="381">
        <v>0.7</v>
      </c>
    </row>
    <row r="59" spans="1:23" x14ac:dyDescent="0.2">
      <c r="A59" s="314">
        <v>56</v>
      </c>
      <c r="B59" s="331" t="s">
        <v>360</v>
      </c>
      <c r="C59" s="314" t="s">
        <v>341</v>
      </c>
      <c r="D59" s="331" t="s">
        <v>196</v>
      </c>
      <c r="E59" s="333">
        <f t="shared" si="1"/>
        <v>0</v>
      </c>
      <c r="F59" s="333">
        <f t="shared" si="2"/>
        <v>0</v>
      </c>
      <c r="G59" s="333">
        <f t="shared" si="3"/>
        <v>1473.2296322134985</v>
      </c>
      <c r="H59" s="333">
        <f t="shared" si="4"/>
        <v>2972.5341251741388</v>
      </c>
      <c r="I59" s="333">
        <f t="shared" si="5"/>
        <v>4429.4669694206741</v>
      </c>
      <c r="J59" s="333">
        <f t="shared" si="6"/>
        <v>5715.2835400140921</v>
      </c>
      <c r="K59" s="334">
        <v>0.5</v>
      </c>
      <c r="L59" s="328"/>
      <c r="N59" s="378" t="s">
        <v>360</v>
      </c>
      <c r="O59" s="379" t="s">
        <v>341</v>
      </c>
      <c r="P59" s="378" t="s">
        <v>196</v>
      </c>
      <c r="Q59" s="380">
        <v>0</v>
      </c>
      <c r="R59" s="380">
        <v>0</v>
      </c>
      <c r="S59" s="380">
        <v>904</v>
      </c>
      <c r="T59" s="380">
        <v>1824</v>
      </c>
      <c r="U59" s="380">
        <v>2718</v>
      </c>
      <c r="V59" s="380">
        <v>3507</v>
      </c>
      <c r="W59" s="381">
        <v>0.5</v>
      </c>
    </row>
    <row r="60" spans="1:23" x14ac:dyDescent="0.2">
      <c r="A60" s="314">
        <v>57</v>
      </c>
      <c r="B60" s="331" t="s">
        <v>359</v>
      </c>
      <c r="C60" s="314" t="s">
        <v>341</v>
      </c>
      <c r="D60" s="331" t="s">
        <v>196</v>
      </c>
      <c r="E60" s="333">
        <f t="shared" si="1"/>
        <v>0</v>
      </c>
      <c r="F60" s="333">
        <f t="shared" si="2"/>
        <v>0</v>
      </c>
      <c r="G60" s="333">
        <f t="shared" si="3"/>
        <v>581.7953304205962</v>
      </c>
      <c r="H60" s="333">
        <f t="shared" si="4"/>
        <v>2332.0703580724739</v>
      </c>
      <c r="I60" s="333">
        <f t="shared" si="5"/>
        <v>3497.2906977103626</v>
      </c>
      <c r="J60" s="333">
        <f t="shared" si="6"/>
        <v>4527.2476972224549</v>
      </c>
      <c r="K60" s="334">
        <v>0.5</v>
      </c>
      <c r="L60" s="328"/>
      <c r="N60" s="378" t="s">
        <v>359</v>
      </c>
      <c r="O60" s="379" t="s">
        <v>341</v>
      </c>
      <c r="P60" s="378" t="s">
        <v>196</v>
      </c>
      <c r="Q60" s="380">
        <v>0</v>
      </c>
      <c r="R60" s="380">
        <v>0</v>
      </c>
      <c r="S60" s="380">
        <v>357</v>
      </c>
      <c r="T60" s="380">
        <v>1431</v>
      </c>
      <c r="U60" s="380">
        <v>2146</v>
      </c>
      <c r="V60" s="380">
        <v>2778</v>
      </c>
      <c r="W60" s="381">
        <v>0.5</v>
      </c>
    </row>
    <row r="61" spans="1:23" x14ac:dyDescent="0.2">
      <c r="A61" s="314">
        <v>58</v>
      </c>
      <c r="B61" s="331" t="s">
        <v>358</v>
      </c>
      <c r="C61" s="314" t="s">
        <v>341</v>
      </c>
      <c r="D61" s="331" t="s">
        <v>196</v>
      </c>
      <c r="E61" s="333">
        <f t="shared" si="1"/>
        <v>0</v>
      </c>
      <c r="F61" s="333">
        <f t="shared" si="2"/>
        <v>0</v>
      </c>
      <c r="G61" s="333">
        <f t="shared" si="3"/>
        <v>581.7953304205962</v>
      </c>
      <c r="H61" s="333">
        <f t="shared" si="4"/>
        <v>2332.0703580724739</v>
      </c>
      <c r="I61" s="333">
        <f t="shared" si="5"/>
        <v>3497.2906977103626</v>
      </c>
      <c r="J61" s="333">
        <f t="shared" si="6"/>
        <v>4527.2476972224549</v>
      </c>
      <c r="K61" s="334">
        <v>0.5</v>
      </c>
      <c r="L61" s="328"/>
      <c r="N61" s="378" t="s">
        <v>358</v>
      </c>
      <c r="O61" s="379" t="s">
        <v>341</v>
      </c>
      <c r="P61" s="378" t="s">
        <v>196</v>
      </c>
      <c r="Q61" s="380">
        <v>0</v>
      </c>
      <c r="R61" s="380">
        <v>0</v>
      </c>
      <c r="S61" s="380">
        <v>357</v>
      </c>
      <c r="T61" s="380">
        <v>1431</v>
      </c>
      <c r="U61" s="380">
        <v>2146</v>
      </c>
      <c r="V61" s="380">
        <v>2778</v>
      </c>
      <c r="W61" s="381">
        <v>0.5</v>
      </c>
    </row>
    <row r="62" spans="1:23" ht="25.5" x14ac:dyDescent="0.2">
      <c r="A62" s="314">
        <v>59</v>
      </c>
      <c r="B62" s="331" t="s">
        <v>357</v>
      </c>
      <c r="C62" s="314"/>
      <c r="D62" s="331"/>
      <c r="E62" s="333">
        <f t="shared" si="1"/>
        <v>0</v>
      </c>
      <c r="F62" s="333">
        <f t="shared" si="2"/>
        <v>0</v>
      </c>
      <c r="G62" s="333">
        <f t="shared" si="3"/>
        <v>0</v>
      </c>
      <c r="H62" s="333">
        <f t="shared" si="4"/>
        <v>0</v>
      </c>
      <c r="I62" s="333">
        <f t="shared" si="5"/>
        <v>0</v>
      </c>
      <c r="J62" s="333">
        <f t="shared" si="6"/>
        <v>0</v>
      </c>
      <c r="K62" s="334">
        <v>0</v>
      </c>
      <c r="L62" s="328" t="s">
        <v>1211</v>
      </c>
      <c r="N62" s="378" t="s">
        <v>357</v>
      </c>
      <c r="O62" s="379"/>
      <c r="P62" s="378"/>
      <c r="Q62" s="380">
        <v>0</v>
      </c>
      <c r="R62" s="380">
        <v>0</v>
      </c>
      <c r="S62" s="380">
        <v>0</v>
      </c>
      <c r="T62" s="380">
        <v>0</v>
      </c>
      <c r="U62" s="380">
        <v>0</v>
      </c>
      <c r="V62" s="380">
        <v>0</v>
      </c>
      <c r="W62" s="381">
        <v>0</v>
      </c>
    </row>
    <row r="63" spans="1:23" ht="25.5" x14ac:dyDescent="0.2">
      <c r="A63" s="314">
        <v>60</v>
      </c>
      <c r="B63" s="331" t="s">
        <v>356</v>
      </c>
      <c r="C63" s="314" t="s">
        <v>350</v>
      </c>
      <c r="D63" s="331" t="s">
        <v>198</v>
      </c>
      <c r="E63" s="333">
        <f t="shared" si="1"/>
        <v>48564.428141551172</v>
      </c>
      <c r="F63" s="333">
        <f t="shared" si="2"/>
        <v>0</v>
      </c>
      <c r="G63" s="333">
        <f t="shared" si="3"/>
        <v>0</v>
      </c>
      <c r="H63" s="333">
        <f t="shared" si="4"/>
        <v>0</v>
      </c>
      <c r="I63" s="333">
        <f t="shared" si="5"/>
        <v>0</v>
      </c>
      <c r="J63" s="333">
        <f t="shared" si="6"/>
        <v>0</v>
      </c>
      <c r="K63" s="334">
        <v>0</v>
      </c>
      <c r="L63" s="328" t="s">
        <v>1211</v>
      </c>
      <c r="N63" s="378" t="s">
        <v>356</v>
      </c>
      <c r="O63" s="379" t="s">
        <v>350</v>
      </c>
      <c r="P63" s="378" t="s">
        <v>198</v>
      </c>
      <c r="Q63" s="380">
        <v>29800</v>
      </c>
      <c r="R63" s="380">
        <v>0</v>
      </c>
      <c r="S63" s="380">
        <v>0</v>
      </c>
      <c r="T63" s="380">
        <v>0</v>
      </c>
      <c r="U63" s="380">
        <v>0</v>
      </c>
      <c r="V63" s="380">
        <v>0</v>
      </c>
      <c r="W63" s="381">
        <v>0</v>
      </c>
    </row>
    <row r="64" spans="1:23" ht="25.5" x14ac:dyDescent="0.2">
      <c r="A64" s="314">
        <v>61</v>
      </c>
      <c r="B64" s="331" t="s">
        <v>355</v>
      </c>
      <c r="C64" s="314" t="s">
        <v>350</v>
      </c>
      <c r="D64" s="331" t="s">
        <v>198</v>
      </c>
      <c r="E64" s="333">
        <f t="shared" si="1"/>
        <v>19425.771256620468</v>
      </c>
      <c r="F64" s="333">
        <f t="shared" si="2"/>
        <v>0</v>
      </c>
      <c r="G64" s="333">
        <f t="shared" si="3"/>
        <v>0</v>
      </c>
      <c r="H64" s="333">
        <f t="shared" si="4"/>
        <v>0</v>
      </c>
      <c r="I64" s="333">
        <f t="shared" si="5"/>
        <v>0</v>
      </c>
      <c r="J64" s="333">
        <f t="shared" si="6"/>
        <v>0</v>
      </c>
      <c r="K64" s="334">
        <v>0</v>
      </c>
      <c r="L64" s="328" t="s">
        <v>1211</v>
      </c>
      <c r="N64" s="378" t="s">
        <v>355</v>
      </c>
      <c r="O64" s="379" t="s">
        <v>350</v>
      </c>
      <c r="P64" s="378" t="s">
        <v>198</v>
      </c>
      <c r="Q64" s="380">
        <v>11920</v>
      </c>
      <c r="R64" s="380">
        <v>0</v>
      </c>
      <c r="S64" s="380">
        <v>0</v>
      </c>
      <c r="T64" s="380">
        <v>0</v>
      </c>
      <c r="U64" s="380">
        <v>0</v>
      </c>
      <c r="V64" s="380">
        <v>0</v>
      </c>
      <c r="W64" s="381">
        <v>0</v>
      </c>
    </row>
    <row r="65" spans="1:23" x14ac:dyDescent="0.2">
      <c r="A65" s="314">
        <v>62</v>
      </c>
      <c r="B65" s="331" t="s">
        <v>354</v>
      </c>
      <c r="C65" s="314" t="s">
        <v>344</v>
      </c>
      <c r="D65" s="331" t="s">
        <v>196</v>
      </c>
      <c r="E65" s="333">
        <f t="shared" si="1"/>
        <v>0</v>
      </c>
      <c r="F65" s="333">
        <f t="shared" si="2"/>
        <v>0</v>
      </c>
      <c r="G65" s="333">
        <f t="shared" si="3"/>
        <v>2795.1272913657745</v>
      </c>
      <c r="H65" s="333">
        <f t="shared" si="4"/>
        <v>5590.2545827315489</v>
      </c>
      <c r="I65" s="333">
        <f t="shared" si="5"/>
        <v>8385.381874097322</v>
      </c>
      <c r="J65" s="333">
        <f t="shared" si="6"/>
        <v>11180.525462251064</v>
      </c>
      <c r="K65" s="334">
        <v>1.667</v>
      </c>
      <c r="L65" s="328"/>
      <c r="N65" s="378" t="s">
        <v>354</v>
      </c>
      <c r="O65" s="379" t="s">
        <v>344</v>
      </c>
      <c r="P65" s="378" t="s">
        <v>196</v>
      </c>
      <c r="Q65" s="380">
        <v>0</v>
      </c>
      <c r="R65" s="380">
        <v>0</v>
      </c>
      <c r="S65" s="380">
        <v>1715.14</v>
      </c>
      <c r="T65" s="380">
        <v>3430.28</v>
      </c>
      <c r="U65" s="380">
        <v>5145.42</v>
      </c>
      <c r="V65" s="380">
        <v>6860.57</v>
      </c>
      <c r="W65" s="381">
        <v>1.667</v>
      </c>
    </row>
    <row r="66" spans="1:23" x14ac:dyDescent="0.2">
      <c r="A66" s="314">
        <v>63</v>
      </c>
      <c r="B66" s="331" t="s">
        <v>353</v>
      </c>
      <c r="C66" s="314" t="s">
        <v>344</v>
      </c>
      <c r="D66" s="331" t="s">
        <v>197</v>
      </c>
      <c r="E66" s="333">
        <f t="shared" si="1"/>
        <v>0</v>
      </c>
      <c r="F66" s="333">
        <f t="shared" si="2"/>
        <v>7267.3407356237931</v>
      </c>
      <c r="G66" s="333">
        <f t="shared" si="3"/>
        <v>0</v>
      </c>
      <c r="H66" s="333">
        <f t="shared" si="4"/>
        <v>0</v>
      </c>
      <c r="I66" s="333">
        <f t="shared" si="5"/>
        <v>0</v>
      </c>
      <c r="J66" s="333">
        <f t="shared" si="6"/>
        <v>0</v>
      </c>
      <c r="K66" s="334">
        <v>2.5</v>
      </c>
      <c r="L66" s="328"/>
      <c r="N66" s="378" t="s">
        <v>353</v>
      </c>
      <c r="O66" s="379" t="s">
        <v>344</v>
      </c>
      <c r="P66" s="378" t="s">
        <v>197</v>
      </c>
      <c r="Q66" s="380">
        <v>0</v>
      </c>
      <c r="R66" s="380">
        <v>4459.37</v>
      </c>
      <c r="S66" s="380">
        <v>0</v>
      </c>
      <c r="T66" s="380">
        <v>0</v>
      </c>
      <c r="U66" s="380">
        <v>0</v>
      </c>
      <c r="V66" s="380">
        <v>0</v>
      </c>
      <c r="W66" s="381">
        <v>2.5</v>
      </c>
    </row>
    <row r="67" spans="1:23" x14ac:dyDescent="0.2">
      <c r="A67" s="314">
        <v>64</v>
      </c>
      <c r="B67" s="331" t="s">
        <v>352</v>
      </c>
      <c r="C67" s="314" t="s">
        <v>350</v>
      </c>
      <c r="D67" s="331" t="s">
        <v>196</v>
      </c>
      <c r="E67" s="333">
        <f t="shared" si="1"/>
        <v>0</v>
      </c>
      <c r="F67" s="333">
        <f t="shared" si="2"/>
        <v>0</v>
      </c>
      <c r="G67" s="333">
        <f t="shared" si="3"/>
        <v>3450.0300126061688</v>
      </c>
      <c r="H67" s="333">
        <f t="shared" si="4"/>
        <v>3133.872326047077</v>
      </c>
      <c r="I67" s="333">
        <f t="shared" si="5"/>
        <v>4701.6233284689642</v>
      </c>
      <c r="J67" s="333">
        <f t="shared" si="6"/>
        <v>6267.7446520941539</v>
      </c>
      <c r="K67" s="334">
        <v>0.25</v>
      </c>
      <c r="L67" s="328"/>
      <c r="N67" s="378" t="s">
        <v>352</v>
      </c>
      <c r="O67" s="379" t="s">
        <v>350</v>
      </c>
      <c r="P67" s="378" t="s">
        <v>196</v>
      </c>
      <c r="Q67" s="380">
        <v>0</v>
      </c>
      <c r="R67" s="380">
        <v>0</v>
      </c>
      <c r="S67" s="380">
        <v>2117</v>
      </c>
      <c r="T67" s="380">
        <v>1923</v>
      </c>
      <c r="U67" s="380">
        <v>2885</v>
      </c>
      <c r="V67" s="380">
        <v>3846</v>
      </c>
      <c r="W67" s="381">
        <v>0.25</v>
      </c>
    </row>
    <row r="68" spans="1:23" x14ac:dyDescent="0.2">
      <c r="A68" s="314">
        <v>65</v>
      </c>
      <c r="B68" s="331" t="s">
        <v>351</v>
      </c>
      <c r="C68" s="314" t="s">
        <v>350</v>
      </c>
      <c r="D68" s="331" t="s">
        <v>197</v>
      </c>
      <c r="E68" s="333">
        <f t="shared" si="1"/>
        <v>0</v>
      </c>
      <c r="F68" s="333">
        <f t="shared" si="2"/>
        <v>4074.1969917408701</v>
      </c>
      <c r="G68" s="333">
        <f t="shared" si="3"/>
        <v>0</v>
      </c>
      <c r="H68" s="333">
        <f t="shared" si="4"/>
        <v>0</v>
      </c>
      <c r="I68" s="333">
        <f t="shared" si="5"/>
        <v>0</v>
      </c>
      <c r="J68" s="333">
        <f t="shared" si="6"/>
        <v>0</v>
      </c>
      <c r="K68" s="334">
        <v>0.125</v>
      </c>
      <c r="L68" s="328"/>
      <c r="N68" s="378" t="s">
        <v>351</v>
      </c>
      <c r="O68" s="379" t="s">
        <v>350</v>
      </c>
      <c r="P68" s="378" t="s">
        <v>197</v>
      </c>
      <c r="Q68" s="380">
        <v>0</v>
      </c>
      <c r="R68" s="380">
        <v>2500</v>
      </c>
      <c r="S68" s="380">
        <v>0</v>
      </c>
      <c r="T68" s="380">
        <v>0</v>
      </c>
      <c r="U68" s="380">
        <v>0</v>
      </c>
      <c r="V68" s="380">
        <v>0</v>
      </c>
      <c r="W68" s="381">
        <v>0.125</v>
      </c>
    </row>
    <row r="69" spans="1:23" ht="25.5" x14ac:dyDescent="0.2">
      <c r="A69" s="314">
        <v>66</v>
      </c>
      <c r="B69" s="331" t="s">
        <v>349</v>
      </c>
      <c r="C69" s="314"/>
      <c r="D69" s="331"/>
      <c r="E69" s="333">
        <f t="shared" ref="E69:E95" si="7">IF($M$3&lt;&gt;0,Q69*$M$3,Q69)</f>
        <v>0</v>
      </c>
      <c r="F69" s="333">
        <f t="shared" ref="F69:F95" si="8">IF($M$3&lt;&gt;0,R69*$M$3,R69)</f>
        <v>0</v>
      </c>
      <c r="G69" s="333">
        <f t="shared" ref="G69:G95" si="9">IF($M$3&lt;&gt;0,S69*$M$3,S69)</f>
        <v>0</v>
      </c>
      <c r="H69" s="333">
        <f t="shared" ref="H69:H95" si="10">IF($M$3&lt;&gt;0,T69*$M$3,T69)</f>
        <v>0</v>
      </c>
      <c r="I69" s="333">
        <f t="shared" ref="I69:I95" si="11">IF($M$3&lt;&gt;0,U69*$M$3,U69)</f>
        <v>0</v>
      </c>
      <c r="J69" s="333">
        <f t="shared" ref="J69:J95" si="12">IF($M$3&lt;&gt;0,V69*$M$3,V69)</f>
        <v>0</v>
      </c>
      <c r="K69" s="334">
        <v>0</v>
      </c>
      <c r="L69" s="328" t="s">
        <v>1211</v>
      </c>
      <c r="N69" s="378" t="s">
        <v>349</v>
      </c>
      <c r="O69" s="379"/>
      <c r="P69" s="378"/>
      <c r="Q69" s="380">
        <v>0</v>
      </c>
      <c r="R69" s="380">
        <v>0</v>
      </c>
      <c r="S69" s="380">
        <v>0</v>
      </c>
      <c r="T69" s="380">
        <v>0</v>
      </c>
      <c r="U69" s="380">
        <v>0</v>
      </c>
      <c r="V69" s="380">
        <v>0</v>
      </c>
      <c r="W69" s="381">
        <v>0</v>
      </c>
    </row>
    <row r="70" spans="1:23" ht="25.5" x14ac:dyDescent="0.2">
      <c r="A70" s="314">
        <v>67</v>
      </c>
      <c r="B70" s="331" t="s">
        <v>348</v>
      </c>
      <c r="C70" s="314"/>
      <c r="D70" s="331"/>
      <c r="E70" s="333">
        <f t="shared" si="7"/>
        <v>0</v>
      </c>
      <c r="F70" s="333">
        <f t="shared" si="8"/>
        <v>0</v>
      </c>
      <c r="G70" s="333">
        <f t="shared" si="9"/>
        <v>0</v>
      </c>
      <c r="H70" s="333">
        <f t="shared" si="10"/>
        <v>0</v>
      </c>
      <c r="I70" s="333">
        <f t="shared" si="11"/>
        <v>0</v>
      </c>
      <c r="J70" s="333">
        <f t="shared" si="12"/>
        <v>0</v>
      </c>
      <c r="K70" s="334">
        <v>0</v>
      </c>
      <c r="L70" s="328" t="s">
        <v>1211</v>
      </c>
      <c r="N70" s="378" t="s">
        <v>348</v>
      </c>
      <c r="O70" s="379"/>
      <c r="P70" s="378"/>
      <c r="Q70" s="380">
        <v>0</v>
      </c>
      <c r="R70" s="380">
        <v>0</v>
      </c>
      <c r="S70" s="380">
        <v>0</v>
      </c>
      <c r="T70" s="380">
        <v>0</v>
      </c>
      <c r="U70" s="380">
        <v>0</v>
      </c>
      <c r="V70" s="380">
        <v>0</v>
      </c>
      <c r="W70" s="381">
        <v>0</v>
      </c>
    </row>
    <row r="71" spans="1:23" ht="38.25" x14ac:dyDescent="0.2">
      <c r="A71" s="314">
        <v>68</v>
      </c>
      <c r="B71" s="311" t="s">
        <v>347</v>
      </c>
      <c r="C71" s="314" t="s">
        <v>341</v>
      </c>
      <c r="D71" s="331" t="s">
        <v>197</v>
      </c>
      <c r="E71" s="333">
        <f t="shared" si="7"/>
        <v>0</v>
      </c>
      <c r="F71" s="333">
        <f t="shared" si="8"/>
        <v>630.68569432148661</v>
      </c>
      <c r="G71" s="333">
        <f t="shared" si="9"/>
        <v>0</v>
      </c>
      <c r="H71" s="333">
        <f t="shared" si="10"/>
        <v>0</v>
      </c>
      <c r="I71" s="333">
        <f t="shared" si="11"/>
        <v>0</v>
      </c>
      <c r="J71" s="333">
        <f t="shared" si="12"/>
        <v>0</v>
      </c>
      <c r="K71" s="334">
        <v>3.75</v>
      </c>
      <c r="L71" s="328" t="s">
        <v>346</v>
      </c>
      <c r="N71" s="377" t="s">
        <v>347</v>
      </c>
      <c r="O71" s="379" t="s">
        <v>341</v>
      </c>
      <c r="P71" s="378" t="s">
        <v>197</v>
      </c>
      <c r="Q71" s="380">
        <v>0</v>
      </c>
      <c r="R71" s="380">
        <v>387</v>
      </c>
      <c r="S71" s="380">
        <v>0</v>
      </c>
      <c r="T71" s="380">
        <v>0</v>
      </c>
      <c r="U71" s="380">
        <v>0</v>
      </c>
      <c r="V71" s="380">
        <v>0</v>
      </c>
      <c r="W71" s="381">
        <v>3.75</v>
      </c>
    </row>
    <row r="72" spans="1:23" x14ac:dyDescent="0.2">
      <c r="A72" s="314">
        <v>69</v>
      </c>
      <c r="B72" s="311" t="s">
        <v>345</v>
      </c>
      <c r="C72" s="314" t="s">
        <v>344</v>
      </c>
      <c r="D72" s="331" t="s">
        <v>196</v>
      </c>
      <c r="E72" s="333">
        <f t="shared" si="7"/>
        <v>0</v>
      </c>
      <c r="F72" s="333">
        <f t="shared" si="8"/>
        <v>0</v>
      </c>
      <c r="G72" s="333">
        <f t="shared" si="9"/>
        <v>1629.6787966963479</v>
      </c>
      <c r="H72" s="333">
        <f t="shared" si="10"/>
        <v>3259.3575933926959</v>
      </c>
      <c r="I72" s="333">
        <f t="shared" si="11"/>
        <v>8148.3939834817402</v>
      </c>
      <c r="J72" s="333">
        <f t="shared" si="12"/>
        <v>16296.78796696348</v>
      </c>
      <c r="K72" s="334">
        <v>2.5000000000000001E-2</v>
      </c>
      <c r="L72" s="328"/>
      <c r="N72" s="377" t="s">
        <v>345</v>
      </c>
      <c r="O72" s="379" t="s">
        <v>344</v>
      </c>
      <c r="P72" s="378" t="s">
        <v>196</v>
      </c>
      <c r="Q72" s="380">
        <v>0</v>
      </c>
      <c r="R72" s="380">
        <v>0</v>
      </c>
      <c r="S72" s="380">
        <v>1000</v>
      </c>
      <c r="T72" s="380">
        <v>2000</v>
      </c>
      <c r="U72" s="380">
        <v>5000</v>
      </c>
      <c r="V72" s="380">
        <v>10000</v>
      </c>
      <c r="W72" s="381">
        <v>2.5000000000000001E-2</v>
      </c>
    </row>
    <row r="73" spans="1:23" x14ac:dyDescent="0.2">
      <c r="A73" s="314">
        <v>70</v>
      </c>
      <c r="B73" s="311" t="s">
        <v>343</v>
      </c>
      <c r="C73" s="314" t="s">
        <v>341</v>
      </c>
      <c r="D73" s="331" t="s">
        <v>196</v>
      </c>
      <c r="E73" s="333">
        <f t="shared" si="7"/>
        <v>0</v>
      </c>
      <c r="F73" s="333">
        <f t="shared" si="8"/>
        <v>0</v>
      </c>
      <c r="G73" s="333">
        <f t="shared" si="9"/>
        <v>81.483939834817392</v>
      </c>
      <c r="H73" s="333">
        <f t="shared" si="10"/>
        <v>203.70984958704349</v>
      </c>
      <c r="I73" s="333">
        <f t="shared" si="11"/>
        <v>448.1616690914957</v>
      </c>
      <c r="J73" s="333">
        <f t="shared" si="12"/>
        <v>570.38757884372183</v>
      </c>
      <c r="K73" s="334">
        <v>15</v>
      </c>
      <c r="L73" s="328"/>
      <c r="N73" s="377" t="s">
        <v>343</v>
      </c>
      <c r="O73" s="379" t="s">
        <v>341</v>
      </c>
      <c r="P73" s="378" t="s">
        <v>196</v>
      </c>
      <c r="Q73" s="380">
        <v>0</v>
      </c>
      <c r="R73" s="380">
        <v>0</v>
      </c>
      <c r="S73" s="380">
        <v>50</v>
      </c>
      <c r="T73" s="380">
        <v>125</v>
      </c>
      <c r="U73" s="380">
        <v>275</v>
      </c>
      <c r="V73" s="380">
        <v>350</v>
      </c>
      <c r="W73" s="381">
        <v>15</v>
      </c>
    </row>
    <row r="74" spans="1:23" x14ac:dyDescent="0.2">
      <c r="A74" s="314">
        <v>70</v>
      </c>
      <c r="B74" s="311" t="s">
        <v>881</v>
      </c>
      <c r="C74" s="314" t="s">
        <v>341</v>
      </c>
      <c r="D74" s="331" t="s">
        <v>197</v>
      </c>
      <c r="E74" s="333">
        <f t="shared" ref="E74:J76" si="13">IF($M$3&lt;&gt;0,Q74*$M$3,Q74)</f>
        <v>0</v>
      </c>
      <c r="F74" s="333">
        <f t="shared" si="13"/>
        <v>325.93575933926957</v>
      </c>
      <c r="G74" s="333">
        <f t="shared" si="13"/>
        <v>0</v>
      </c>
      <c r="H74" s="333">
        <f t="shared" si="13"/>
        <v>0</v>
      </c>
      <c r="I74" s="333">
        <f t="shared" si="13"/>
        <v>0</v>
      </c>
      <c r="J74" s="333">
        <f t="shared" si="13"/>
        <v>0</v>
      </c>
      <c r="K74" s="334">
        <v>15</v>
      </c>
      <c r="L74" s="328"/>
      <c r="N74" s="377" t="s">
        <v>881</v>
      </c>
      <c r="O74" s="379" t="s">
        <v>341</v>
      </c>
      <c r="P74" s="378" t="s">
        <v>197</v>
      </c>
      <c r="Q74" s="380">
        <v>0</v>
      </c>
      <c r="R74" s="380">
        <v>200</v>
      </c>
      <c r="S74" s="380">
        <v>0</v>
      </c>
      <c r="T74" s="380">
        <v>0</v>
      </c>
      <c r="U74" s="380">
        <v>0</v>
      </c>
      <c r="V74" s="380">
        <v>0</v>
      </c>
      <c r="W74" s="381">
        <v>15</v>
      </c>
    </row>
    <row r="75" spans="1:23" x14ac:dyDescent="0.2">
      <c r="A75" s="314">
        <v>71</v>
      </c>
      <c r="B75" s="311" t="s">
        <v>342</v>
      </c>
      <c r="C75" s="314" t="s">
        <v>341</v>
      </c>
      <c r="D75" s="331" t="s">
        <v>196</v>
      </c>
      <c r="E75" s="333">
        <f t="shared" si="13"/>
        <v>0</v>
      </c>
      <c r="F75" s="333">
        <f t="shared" si="13"/>
        <v>0</v>
      </c>
      <c r="G75" s="333">
        <f t="shared" si="13"/>
        <v>53.779400290979481</v>
      </c>
      <c r="H75" s="333">
        <f t="shared" si="13"/>
        <v>107.55880058195896</v>
      </c>
      <c r="I75" s="333">
        <f t="shared" si="13"/>
        <v>216.74727996061429</v>
      </c>
      <c r="J75" s="333">
        <f t="shared" si="13"/>
        <v>270.52668025159375</v>
      </c>
      <c r="K75" s="334">
        <v>15</v>
      </c>
      <c r="L75" s="328"/>
      <c r="N75" s="377" t="s">
        <v>342</v>
      </c>
      <c r="O75" s="379" t="s">
        <v>341</v>
      </c>
      <c r="P75" s="378" t="s">
        <v>196</v>
      </c>
      <c r="Q75" s="380">
        <v>0</v>
      </c>
      <c r="R75" s="380">
        <v>0</v>
      </c>
      <c r="S75" s="380">
        <v>33</v>
      </c>
      <c r="T75" s="380">
        <v>66</v>
      </c>
      <c r="U75" s="380">
        <v>133</v>
      </c>
      <c r="V75" s="380">
        <v>166</v>
      </c>
      <c r="W75" s="381">
        <v>15</v>
      </c>
    </row>
    <row r="76" spans="1:23" x14ac:dyDescent="0.2">
      <c r="A76" s="314">
        <v>71</v>
      </c>
      <c r="B76" s="311" t="s">
        <v>882</v>
      </c>
      <c r="C76" s="314" t="s">
        <v>341</v>
      </c>
      <c r="D76" s="331" t="s">
        <v>197</v>
      </c>
      <c r="E76" s="333">
        <f t="shared" si="13"/>
        <v>0</v>
      </c>
      <c r="F76" s="333">
        <f t="shared" si="13"/>
        <v>162.96787966963478</v>
      </c>
      <c r="G76" s="333">
        <f t="shared" si="13"/>
        <v>0</v>
      </c>
      <c r="H76" s="333">
        <f t="shared" si="13"/>
        <v>0</v>
      </c>
      <c r="I76" s="333">
        <f t="shared" si="13"/>
        <v>0</v>
      </c>
      <c r="J76" s="333">
        <f t="shared" si="13"/>
        <v>0</v>
      </c>
      <c r="K76" s="334">
        <v>15</v>
      </c>
      <c r="L76" s="328"/>
      <c r="N76" s="377" t="s">
        <v>882</v>
      </c>
      <c r="O76" s="379" t="s">
        <v>341</v>
      </c>
      <c r="P76" s="378" t="s">
        <v>197</v>
      </c>
      <c r="Q76" s="380">
        <v>0</v>
      </c>
      <c r="R76" s="380">
        <v>100</v>
      </c>
      <c r="S76" s="380">
        <v>0</v>
      </c>
      <c r="T76" s="380">
        <v>0</v>
      </c>
      <c r="U76" s="380">
        <v>0</v>
      </c>
      <c r="V76" s="380">
        <v>0</v>
      </c>
      <c r="W76" s="381">
        <v>15</v>
      </c>
    </row>
    <row r="77" spans="1:23" x14ac:dyDescent="0.2">
      <c r="A77" s="314">
        <v>74</v>
      </c>
      <c r="B77" s="311" t="s">
        <v>1799</v>
      </c>
      <c r="C77" s="311"/>
      <c r="D77" s="311"/>
      <c r="E77" s="333">
        <f t="shared" si="7"/>
        <v>0</v>
      </c>
      <c r="F77" s="333">
        <f t="shared" si="8"/>
        <v>0</v>
      </c>
      <c r="G77" s="333">
        <f t="shared" si="9"/>
        <v>0</v>
      </c>
      <c r="H77" s="333">
        <f t="shared" si="10"/>
        <v>0</v>
      </c>
      <c r="I77" s="333">
        <f t="shared" si="11"/>
        <v>0</v>
      </c>
      <c r="J77" s="333">
        <f t="shared" si="12"/>
        <v>0</v>
      </c>
      <c r="K77" s="334">
        <v>0</v>
      </c>
      <c r="L77" s="328"/>
      <c r="N77" s="377" t="s">
        <v>340</v>
      </c>
      <c r="O77" s="377"/>
      <c r="P77" s="377"/>
      <c r="Q77" s="380">
        <v>0</v>
      </c>
      <c r="R77" s="380">
        <v>0</v>
      </c>
      <c r="S77" s="380">
        <v>0</v>
      </c>
      <c r="T77" s="380">
        <v>0</v>
      </c>
      <c r="U77" s="380">
        <v>0</v>
      </c>
      <c r="V77" s="380">
        <v>0</v>
      </c>
      <c r="W77" s="381">
        <v>0</v>
      </c>
    </row>
    <row r="78" spans="1:23" x14ac:dyDescent="0.2">
      <c r="A78" s="314">
        <v>75</v>
      </c>
      <c r="B78" s="311" t="s">
        <v>1800</v>
      </c>
      <c r="C78" s="311"/>
      <c r="D78" s="311"/>
      <c r="E78" s="333">
        <f t="shared" si="7"/>
        <v>0</v>
      </c>
      <c r="F78" s="333">
        <f t="shared" si="8"/>
        <v>0</v>
      </c>
      <c r="G78" s="333">
        <f t="shared" si="9"/>
        <v>0</v>
      </c>
      <c r="H78" s="333">
        <f t="shared" si="10"/>
        <v>0</v>
      </c>
      <c r="I78" s="333">
        <f t="shared" si="11"/>
        <v>0</v>
      </c>
      <c r="J78" s="333">
        <f t="shared" si="12"/>
        <v>0</v>
      </c>
      <c r="K78" s="334">
        <v>0</v>
      </c>
      <c r="L78" s="328"/>
      <c r="N78" s="377" t="s">
        <v>339</v>
      </c>
      <c r="O78" s="377"/>
      <c r="P78" s="377"/>
      <c r="Q78" s="380">
        <v>0</v>
      </c>
      <c r="R78" s="380">
        <v>0</v>
      </c>
      <c r="S78" s="380">
        <v>0</v>
      </c>
      <c r="T78" s="380">
        <v>0</v>
      </c>
      <c r="U78" s="380">
        <v>0</v>
      </c>
      <c r="V78" s="380">
        <v>0</v>
      </c>
      <c r="W78" s="381">
        <v>0</v>
      </c>
    </row>
    <row r="79" spans="1:23" x14ac:dyDescent="0.2">
      <c r="A79" s="314">
        <v>76</v>
      </c>
      <c r="B79" s="311" t="s">
        <v>1801</v>
      </c>
      <c r="C79" s="311"/>
      <c r="D79" s="311"/>
      <c r="E79" s="333">
        <f t="shared" si="7"/>
        <v>0</v>
      </c>
      <c r="F79" s="333">
        <f t="shared" si="8"/>
        <v>0</v>
      </c>
      <c r="G79" s="333">
        <f t="shared" si="9"/>
        <v>0</v>
      </c>
      <c r="H79" s="333">
        <f t="shared" si="10"/>
        <v>0</v>
      </c>
      <c r="I79" s="333">
        <f t="shared" si="11"/>
        <v>0</v>
      </c>
      <c r="J79" s="333">
        <f t="shared" si="12"/>
        <v>0</v>
      </c>
      <c r="K79" s="334">
        <v>0</v>
      </c>
      <c r="L79" s="328"/>
      <c r="N79" s="377" t="s">
        <v>338</v>
      </c>
      <c r="O79" s="377"/>
      <c r="P79" s="377"/>
      <c r="Q79" s="380">
        <v>0</v>
      </c>
      <c r="R79" s="380">
        <v>0</v>
      </c>
      <c r="S79" s="380">
        <v>0</v>
      </c>
      <c r="T79" s="380">
        <v>0</v>
      </c>
      <c r="U79" s="380">
        <v>0</v>
      </c>
      <c r="V79" s="380">
        <v>0</v>
      </c>
      <c r="W79" s="381">
        <v>0</v>
      </c>
    </row>
    <row r="80" spans="1:23" x14ac:dyDescent="0.2">
      <c r="A80" s="314">
        <v>77</v>
      </c>
      <c r="B80" s="311" t="s">
        <v>1802</v>
      </c>
      <c r="C80" s="311"/>
      <c r="D80" s="311"/>
      <c r="E80" s="333">
        <f t="shared" si="7"/>
        <v>0</v>
      </c>
      <c r="F80" s="333">
        <f t="shared" si="8"/>
        <v>0</v>
      </c>
      <c r="G80" s="333">
        <f t="shared" si="9"/>
        <v>0</v>
      </c>
      <c r="H80" s="333">
        <f t="shared" si="10"/>
        <v>0</v>
      </c>
      <c r="I80" s="333">
        <f t="shared" si="11"/>
        <v>0</v>
      </c>
      <c r="J80" s="333">
        <f t="shared" si="12"/>
        <v>0</v>
      </c>
      <c r="K80" s="334">
        <v>0</v>
      </c>
      <c r="L80" s="328"/>
      <c r="N80" s="377" t="s">
        <v>337</v>
      </c>
      <c r="O80" s="377"/>
      <c r="P80" s="377"/>
      <c r="Q80" s="380">
        <v>0</v>
      </c>
      <c r="R80" s="380">
        <v>0</v>
      </c>
      <c r="S80" s="380">
        <v>0</v>
      </c>
      <c r="T80" s="380">
        <v>0</v>
      </c>
      <c r="U80" s="380">
        <v>0</v>
      </c>
      <c r="V80" s="380">
        <v>0</v>
      </c>
      <c r="W80" s="381">
        <v>0</v>
      </c>
    </row>
    <row r="81" spans="1:23" x14ac:dyDescent="0.2">
      <c r="A81" s="314">
        <v>78</v>
      </c>
      <c r="B81" s="311" t="s">
        <v>1803</v>
      </c>
      <c r="C81" s="311"/>
      <c r="D81" s="311"/>
      <c r="E81" s="333">
        <f t="shared" si="7"/>
        <v>0</v>
      </c>
      <c r="F81" s="333">
        <f t="shared" si="8"/>
        <v>0</v>
      </c>
      <c r="G81" s="333">
        <f t="shared" si="9"/>
        <v>0</v>
      </c>
      <c r="H81" s="333">
        <f t="shared" si="10"/>
        <v>0</v>
      </c>
      <c r="I81" s="333">
        <f t="shared" si="11"/>
        <v>0</v>
      </c>
      <c r="J81" s="333">
        <f t="shared" si="12"/>
        <v>0</v>
      </c>
      <c r="K81" s="334">
        <v>0</v>
      </c>
      <c r="L81" s="328"/>
      <c r="N81" s="377" t="s">
        <v>336</v>
      </c>
      <c r="O81" s="377"/>
      <c r="P81" s="377"/>
      <c r="Q81" s="380">
        <v>0</v>
      </c>
      <c r="R81" s="380">
        <v>0</v>
      </c>
      <c r="S81" s="380">
        <v>0</v>
      </c>
      <c r="T81" s="380">
        <v>0</v>
      </c>
      <c r="U81" s="380">
        <v>0</v>
      </c>
      <c r="V81" s="380">
        <v>0</v>
      </c>
      <c r="W81" s="381">
        <v>0</v>
      </c>
    </row>
    <row r="82" spans="1:23" x14ac:dyDescent="0.2">
      <c r="A82" s="314">
        <v>79</v>
      </c>
      <c r="B82" s="311" t="s">
        <v>340</v>
      </c>
      <c r="C82" s="311"/>
      <c r="D82" s="311"/>
      <c r="E82" s="333">
        <f t="shared" si="7"/>
        <v>0</v>
      </c>
      <c r="F82" s="333">
        <f t="shared" si="8"/>
        <v>0</v>
      </c>
      <c r="G82" s="333">
        <f t="shared" si="9"/>
        <v>0</v>
      </c>
      <c r="H82" s="333">
        <f t="shared" si="10"/>
        <v>0</v>
      </c>
      <c r="I82" s="333">
        <f t="shared" si="11"/>
        <v>0</v>
      </c>
      <c r="J82" s="333">
        <f t="shared" si="12"/>
        <v>0</v>
      </c>
      <c r="K82" s="334">
        <v>0</v>
      </c>
      <c r="L82" s="328"/>
      <c r="N82" s="377" t="s">
        <v>335</v>
      </c>
      <c r="O82" s="377"/>
      <c r="P82" s="377"/>
      <c r="Q82" s="380">
        <v>0</v>
      </c>
      <c r="R82" s="380">
        <v>0</v>
      </c>
      <c r="S82" s="380">
        <v>0</v>
      </c>
      <c r="T82" s="380">
        <v>0</v>
      </c>
      <c r="U82" s="380">
        <v>0</v>
      </c>
      <c r="V82" s="380">
        <v>0</v>
      </c>
      <c r="W82" s="381">
        <v>0</v>
      </c>
    </row>
    <row r="83" spans="1:23" x14ac:dyDescent="0.2">
      <c r="A83" s="314">
        <v>80</v>
      </c>
      <c r="B83" s="311" t="s">
        <v>339</v>
      </c>
      <c r="C83" s="311"/>
      <c r="D83" s="311"/>
      <c r="E83" s="333">
        <f t="shared" si="7"/>
        <v>0</v>
      </c>
      <c r="F83" s="333">
        <f t="shared" si="8"/>
        <v>0</v>
      </c>
      <c r="G83" s="333">
        <f t="shared" si="9"/>
        <v>0</v>
      </c>
      <c r="H83" s="333">
        <f t="shared" si="10"/>
        <v>0</v>
      </c>
      <c r="I83" s="333">
        <f t="shared" si="11"/>
        <v>0</v>
      </c>
      <c r="J83" s="333">
        <f t="shared" si="12"/>
        <v>0</v>
      </c>
      <c r="K83" s="334">
        <v>0</v>
      </c>
      <c r="L83" s="328"/>
      <c r="N83" s="377" t="s">
        <v>334</v>
      </c>
      <c r="O83" s="377"/>
      <c r="P83" s="377"/>
      <c r="Q83" s="380">
        <v>0</v>
      </c>
      <c r="R83" s="380">
        <v>0</v>
      </c>
      <c r="S83" s="380">
        <v>0</v>
      </c>
      <c r="T83" s="380">
        <v>0</v>
      </c>
      <c r="U83" s="380">
        <v>0</v>
      </c>
      <c r="V83" s="380">
        <v>0</v>
      </c>
      <c r="W83" s="381">
        <v>0</v>
      </c>
    </row>
    <row r="84" spans="1:23" x14ac:dyDescent="0.2">
      <c r="A84" s="314">
        <v>81</v>
      </c>
      <c r="B84" s="311" t="s">
        <v>338</v>
      </c>
      <c r="C84" s="311"/>
      <c r="D84" s="311"/>
      <c r="E84" s="333">
        <f t="shared" si="7"/>
        <v>0</v>
      </c>
      <c r="F84" s="333">
        <f t="shared" si="8"/>
        <v>0</v>
      </c>
      <c r="G84" s="333">
        <f t="shared" si="9"/>
        <v>0</v>
      </c>
      <c r="H84" s="333">
        <f t="shared" si="10"/>
        <v>0</v>
      </c>
      <c r="I84" s="333">
        <f t="shared" si="11"/>
        <v>0</v>
      </c>
      <c r="J84" s="333">
        <f t="shared" si="12"/>
        <v>0</v>
      </c>
      <c r="K84" s="334">
        <v>0</v>
      </c>
      <c r="L84" s="328"/>
      <c r="N84" s="377" t="s">
        <v>333</v>
      </c>
      <c r="O84" s="377"/>
      <c r="P84" s="377"/>
      <c r="Q84" s="380">
        <v>0</v>
      </c>
      <c r="R84" s="380">
        <v>0</v>
      </c>
      <c r="S84" s="380">
        <v>0</v>
      </c>
      <c r="T84" s="380">
        <v>0</v>
      </c>
      <c r="U84" s="380">
        <v>0</v>
      </c>
      <c r="V84" s="380">
        <v>0</v>
      </c>
      <c r="W84" s="381">
        <v>0</v>
      </c>
    </row>
    <row r="85" spans="1:23" x14ac:dyDescent="0.2">
      <c r="A85" s="314">
        <v>82</v>
      </c>
      <c r="B85" s="311" t="s">
        <v>337</v>
      </c>
      <c r="C85" s="311"/>
      <c r="D85" s="311"/>
      <c r="E85" s="333">
        <f t="shared" si="7"/>
        <v>0</v>
      </c>
      <c r="F85" s="333">
        <f t="shared" si="8"/>
        <v>0</v>
      </c>
      <c r="G85" s="333">
        <f t="shared" si="9"/>
        <v>0</v>
      </c>
      <c r="H85" s="333">
        <f t="shared" si="10"/>
        <v>0</v>
      </c>
      <c r="I85" s="333">
        <f t="shared" si="11"/>
        <v>0</v>
      </c>
      <c r="J85" s="333">
        <f t="shared" si="12"/>
        <v>0</v>
      </c>
      <c r="K85" s="334">
        <v>0</v>
      </c>
      <c r="L85" s="328"/>
      <c r="N85" s="377" t="s">
        <v>332</v>
      </c>
      <c r="O85" s="377"/>
      <c r="P85" s="377"/>
      <c r="Q85" s="380">
        <v>0</v>
      </c>
      <c r="R85" s="380">
        <v>0</v>
      </c>
      <c r="S85" s="380">
        <v>0</v>
      </c>
      <c r="T85" s="380">
        <v>0</v>
      </c>
      <c r="U85" s="380">
        <v>0</v>
      </c>
      <c r="V85" s="380">
        <v>0</v>
      </c>
      <c r="W85" s="381">
        <v>0</v>
      </c>
    </row>
    <row r="86" spans="1:23" x14ac:dyDescent="0.2">
      <c r="A86" s="314">
        <v>83</v>
      </c>
      <c r="B86" s="311" t="s">
        <v>336</v>
      </c>
      <c r="C86" s="311"/>
      <c r="D86" s="311"/>
      <c r="E86" s="333">
        <f t="shared" si="7"/>
        <v>0</v>
      </c>
      <c r="F86" s="333">
        <f t="shared" si="8"/>
        <v>0</v>
      </c>
      <c r="G86" s="333">
        <f t="shared" si="9"/>
        <v>0</v>
      </c>
      <c r="H86" s="333">
        <f t="shared" si="10"/>
        <v>0</v>
      </c>
      <c r="I86" s="333">
        <f t="shared" si="11"/>
        <v>0</v>
      </c>
      <c r="J86" s="333">
        <f t="shared" si="12"/>
        <v>0</v>
      </c>
      <c r="K86" s="334">
        <v>0</v>
      </c>
      <c r="L86" s="328"/>
      <c r="N86" s="377" t="s">
        <v>331</v>
      </c>
      <c r="O86" s="377"/>
      <c r="P86" s="377"/>
      <c r="Q86" s="380">
        <v>0</v>
      </c>
      <c r="R86" s="380">
        <v>0</v>
      </c>
      <c r="S86" s="380">
        <v>0</v>
      </c>
      <c r="T86" s="380">
        <v>0</v>
      </c>
      <c r="U86" s="380">
        <v>0</v>
      </c>
      <c r="V86" s="380">
        <v>0</v>
      </c>
      <c r="W86" s="381">
        <v>0</v>
      </c>
    </row>
    <row r="87" spans="1:23" x14ac:dyDescent="0.2">
      <c r="A87" s="314">
        <v>84</v>
      </c>
      <c r="B87" s="311" t="s">
        <v>335</v>
      </c>
      <c r="C87" s="311"/>
      <c r="D87" s="311"/>
      <c r="E87" s="333">
        <f t="shared" si="7"/>
        <v>0</v>
      </c>
      <c r="F87" s="333">
        <f t="shared" si="8"/>
        <v>0</v>
      </c>
      <c r="G87" s="333">
        <f t="shared" si="9"/>
        <v>0</v>
      </c>
      <c r="H87" s="333">
        <f t="shared" si="10"/>
        <v>0</v>
      </c>
      <c r="I87" s="333">
        <f t="shared" si="11"/>
        <v>0</v>
      </c>
      <c r="J87" s="333">
        <f t="shared" si="12"/>
        <v>0</v>
      </c>
      <c r="K87" s="334">
        <v>0</v>
      </c>
      <c r="L87" s="328"/>
      <c r="N87" s="377" t="s">
        <v>330</v>
      </c>
      <c r="O87" s="377"/>
      <c r="P87" s="377"/>
      <c r="Q87" s="380">
        <v>0</v>
      </c>
      <c r="R87" s="380">
        <v>0</v>
      </c>
      <c r="S87" s="380">
        <v>0</v>
      </c>
      <c r="T87" s="380">
        <v>0</v>
      </c>
      <c r="U87" s="380">
        <v>0</v>
      </c>
      <c r="V87" s="380">
        <v>0</v>
      </c>
      <c r="W87" s="381">
        <v>0</v>
      </c>
    </row>
    <row r="88" spans="1:23" x14ac:dyDescent="0.2">
      <c r="A88" s="314">
        <v>85</v>
      </c>
      <c r="B88" s="311" t="s">
        <v>334</v>
      </c>
      <c r="C88" s="311"/>
      <c r="D88" s="311"/>
      <c r="E88" s="333">
        <f t="shared" si="7"/>
        <v>0</v>
      </c>
      <c r="F88" s="333">
        <f t="shared" si="8"/>
        <v>0</v>
      </c>
      <c r="G88" s="333">
        <f t="shared" si="9"/>
        <v>0</v>
      </c>
      <c r="H88" s="333">
        <f t="shared" si="10"/>
        <v>0</v>
      </c>
      <c r="I88" s="333">
        <f t="shared" si="11"/>
        <v>0</v>
      </c>
      <c r="J88" s="333">
        <f t="shared" si="12"/>
        <v>0</v>
      </c>
      <c r="K88" s="334">
        <v>0</v>
      </c>
      <c r="L88" s="328"/>
      <c r="N88" s="377" t="s">
        <v>329</v>
      </c>
      <c r="O88" s="377"/>
      <c r="P88" s="377"/>
      <c r="Q88" s="380">
        <v>0</v>
      </c>
      <c r="R88" s="380">
        <v>0</v>
      </c>
      <c r="S88" s="380">
        <v>0</v>
      </c>
      <c r="T88" s="380">
        <v>0</v>
      </c>
      <c r="U88" s="380">
        <v>0</v>
      </c>
      <c r="V88" s="380">
        <v>0</v>
      </c>
      <c r="W88" s="381">
        <v>0</v>
      </c>
    </row>
    <row r="89" spans="1:23" x14ac:dyDescent="0.2">
      <c r="A89" s="314">
        <v>86</v>
      </c>
      <c r="B89" s="311" t="s">
        <v>333</v>
      </c>
      <c r="C89" s="311"/>
      <c r="D89" s="311"/>
      <c r="E89" s="333">
        <f t="shared" si="7"/>
        <v>0</v>
      </c>
      <c r="F89" s="333">
        <f t="shared" si="8"/>
        <v>0</v>
      </c>
      <c r="G89" s="333">
        <f t="shared" si="9"/>
        <v>0</v>
      </c>
      <c r="H89" s="333">
        <f t="shared" si="10"/>
        <v>0</v>
      </c>
      <c r="I89" s="333">
        <f t="shared" si="11"/>
        <v>0</v>
      </c>
      <c r="J89" s="333">
        <f t="shared" si="12"/>
        <v>0</v>
      </c>
      <c r="K89" s="334">
        <v>0</v>
      </c>
      <c r="L89" s="328"/>
      <c r="N89" s="377" t="s">
        <v>328</v>
      </c>
      <c r="O89" s="377"/>
      <c r="P89" s="377"/>
      <c r="Q89" s="380">
        <v>0</v>
      </c>
      <c r="R89" s="380">
        <v>0</v>
      </c>
      <c r="S89" s="380">
        <v>0</v>
      </c>
      <c r="T89" s="380">
        <v>0</v>
      </c>
      <c r="U89" s="380">
        <v>0</v>
      </c>
      <c r="V89" s="380">
        <v>0</v>
      </c>
      <c r="W89" s="381">
        <v>0</v>
      </c>
    </row>
    <row r="90" spans="1:23" x14ac:dyDescent="0.2">
      <c r="A90" s="314">
        <v>87</v>
      </c>
      <c r="B90" s="311" t="s">
        <v>332</v>
      </c>
      <c r="C90" s="311"/>
      <c r="D90" s="311"/>
      <c r="E90" s="333">
        <f t="shared" si="7"/>
        <v>0</v>
      </c>
      <c r="F90" s="333">
        <f t="shared" si="8"/>
        <v>0</v>
      </c>
      <c r="G90" s="333">
        <f t="shared" si="9"/>
        <v>0</v>
      </c>
      <c r="H90" s="333">
        <f t="shared" si="10"/>
        <v>0</v>
      </c>
      <c r="I90" s="333">
        <f t="shared" si="11"/>
        <v>0</v>
      </c>
      <c r="J90" s="333">
        <f t="shared" si="12"/>
        <v>0</v>
      </c>
      <c r="K90" s="334">
        <v>0</v>
      </c>
      <c r="L90" s="328"/>
      <c r="N90" s="377" t="s">
        <v>327</v>
      </c>
      <c r="O90" s="377"/>
      <c r="P90" s="377"/>
      <c r="Q90" s="380">
        <v>0</v>
      </c>
      <c r="R90" s="380">
        <v>0</v>
      </c>
      <c r="S90" s="380">
        <v>0</v>
      </c>
      <c r="T90" s="380">
        <v>0</v>
      </c>
      <c r="U90" s="380">
        <v>0</v>
      </c>
      <c r="V90" s="380">
        <v>0</v>
      </c>
      <c r="W90" s="381">
        <v>0</v>
      </c>
    </row>
    <row r="91" spans="1:23" x14ac:dyDescent="0.2">
      <c r="A91" s="314">
        <v>88</v>
      </c>
      <c r="B91" s="311" t="s">
        <v>331</v>
      </c>
      <c r="C91" s="311"/>
      <c r="D91" s="311"/>
      <c r="E91" s="333">
        <f t="shared" si="7"/>
        <v>0</v>
      </c>
      <c r="F91" s="333">
        <f t="shared" si="8"/>
        <v>0</v>
      </c>
      <c r="G91" s="333">
        <f t="shared" si="9"/>
        <v>0</v>
      </c>
      <c r="H91" s="333">
        <f t="shared" si="10"/>
        <v>0</v>
      </c>
      <c r="I91" s="333">
        <f t="shared" si="11"/>
        <v>0</v>
      </c>
      <c r="J91" s="333">
        <f t="shared" si="12"/>
        <v>0</v>
      </c>
      <c r="K91" s="334">
        <v>0</v>
      </c>
      <c r="L91" s="328"/>
      <c r="N91" s="377" t="s">
        <v>326</v>
      </c>
      <c r="O91" s="377"/>
      <c r="P91" s="377"/>
      <c r="Q91" s="380">
        <v>0</v>
      </c>
      <c r="R91" s="380">
        <v>0</v>
      </c>
      <c r="S91" s="380">
        <v>0</v>
      </c>
      <c r="T91" s="380">
        <v>0</v>
      </c>
      <c r="U91" s="380">
        <v>0</v>
      </c>
      <c r="V91" s="380">
        <v>0</v>
      </c>
      <c r="W91" s="381">
        <v>0</v>
      </c>
    </row>
    <row r="92" spans="1:23" x14ac:dyDescent="0.2">
      <c r="A92" s="314">
        <v>89</v>
      </c>
      <c r="B92" s="311" t="s">
        <v>330</v>
      </c>
      <c r="C92" s="311"/>
      <c r="D92" s="311"/>
      <c r="E92" s="333">
        <f t="shared" si="7"/>
        <v>0</v>
      </c>
      <c r="F92" s="333">
        <f t="shared" si="8"/>
        <v>0</v>
      </c>
      <c r="G92" s="333">
        <f t="shared" si="9"/>
        <v>0</v>
      </c>
      <c r="H92" s="333">
        <f t="shared" si="10"/>
        <v>0</v>
      </c>
      <c r="I92" s="333">
        <f t="shared" si="11"/>
        <v>0</v>
      </c>
      <c r="J92" s="333">
        <f t="shared" si="12"/>
        <v>0</v>
      </c>
      <c r="K92" s="334">
        <v>0</v>
      </c>
      <c r="L92" s="328"/>
      <c r="N92" s="377" t="s">
        <v>325</v>
      </c>
      <c r="O92" s="377"/>
      <c r="P92" s="377"/>
      <c r="Q92" s="380">
        <v>0</v>
      </c>
      <c r="R92" s="380">
        <v>0</v>
      </c>
      <c r="S92" s="380">
        <v>0</v>
      </c>
      <c r="T92" s="380">
        <v>0</v>
      </c>
      <c r="U92" s="380">
        <v>0</v>
      </c>
      <c r="V92" s="380">
        <v>0</v>
      </c>
      <c r="W92" s="381">
        <v>0</v>
      </c>
    </row>
    <row r="93" spans="1:23" x14ac:dyDescent="0.2">
      <c r="A93" s="314">
        <v>90</v>
      </c>
      <c r="B93" s="311" t="s">
        <v>329</v>
      </c>
      <c r="C93" s="311"/>
      <c r="D93" s="311"/>
      <c r="E93" s="333">
        <f t="shared" si="7"/>
        <v>0</v>
      </c>
      <c r="F93" s="333">
        <f t="shared" si="8"/>
        <v>0</v>
      </c>
      <c r="G93" s="333">
        <f t="shared" si="9"/>
        <v>0</v>
      </c>
      <c r="H93" s="333">
        <f t="shared" si="10"/>
        <v>0</v>
      </c>
      <c r="I93" s="333">
        <f t="shared" si="11"/>
        <v>0</v>
      </c>
      <c r="J93" s="333">
        <f t="shared" si="12"/>
        <v>0</v>
      </c>
      <c r="K93" s="334">
        <v>0</v>
      </c>
      <c r="L93" s="328"/>
      <c r="N93" s="377" t="s">
        <v>324</v>
      </c>
      <c r="O93" s="377"/>
      <c r="P93" s="377"/>
      <c r="Q93" s="380">
        <v>0</v>
      </c>
      <c r="R93" s="380">
        <v>0</v>
      </c>
      <c r="S93" s="380">
        <v>0</v>
      </c>
      <c r="T93" s="380">
        <v>0</v>
      </c>
      <c r="U93" s="380">
        <v>0</v>
      </c>
      <c r="V93" s="380">
        <v>0</v>
      </c>
      <c r="W93" s="381">
        <v>0</v>
      </c>
    </row>
    <row r="94" spans="1:23" x14ac:dyDescent="0.2">
      <c r="A94" s="314">
        <v>91</v>
      </c>
      <c r="B94" s="311" t="s">
        <v>328</v>
      </c>
      <c r="C94" s="311"/>
      <c r="D94" s="311"/>
      <c r="E94" s="333">
        <f t="shared" si="7"/>
        <v>0</v>
      </c>
      <c r="F94" s="333">
        <f t="shared" si="8"/>
        <v>0</v>
      </c>
      <c r="G94" s="333">
        <f t="shared" si="9"/>
        <v>0</v>
      </c>
      <c r="H94" s="333">
        <f t="shared" si="10"/>
        <v>0</v>
      </c>
      <c r="I94" s="333">
        <f t="shared" si="11"/>
        <v>0</v>
      </c>
      <c r="J94" s="333">
        <f t="shared" si="12"/>
        <v>0</v>
      </c>
      <c r="K94" s="334">
        <v>0</v>
      </c>
      <c r="L94" s="328"/>
      <c r="N94" s="377" t="s">
        <v>323</v>
      </c>
      <c r="O94" s="377"/>
      <c r="P94" s="377"/>
      <c r="Q94" s="380">
        <v>0</v>
      </c>
      <c r="R94" s="380">
        <v>0</v>
      </c>
      <c r="S94" s="380">
        <v>0</v>
      </c>
      <c r="T94" s="380">
        <v>0</v>
      </c>
      <c r="U94" s="380">
        <v>0</v>
      </c>
      <c r="V94" s="380">
        <v>0</v>
      </c>
      <c r="W94" s="381">
        <v>0</v>
      </c>
    </row>
    <row r="95" spans="1:23" x14ac:dyDescent="0.2">
      <c r="A95" s="314">
        <v>92</v>
      </c>
      <c r="B95" s="311" t="s">
        <v>327</v>
      </c>
      <c r="C95" s="311"/>
      <c r="D95" s="311"/>
      <c r="E95" s="333">
        <f t="shared" si="7"/>
        <v>0</v>
      </c>
      <c r="F95" s="333">
        <f t="shared" si="8"/>
        <v>0</v>
      </c>
      <c r="G95" s="333">
        <f t="shared" si="9"/>
        <v>0</v>
      </c>
      <c r="H95" s="333">
        <f t="shared" si="10"/>
        <v>0</v>
      </c>
      <c r="I95" s="333">
        <f t="shared" si="11"/>
        <v>0</v>
      </c>
      <c r="J95" s="333">
        <f t="shared" si="12"/>
        <v>0</v>
      </c>
      <c r="K95" s="334">
        <v>0</v>
      </c>
      <c r="L95" s="328"/>
      <c r="N95" s="377" t="s">
        <v>322</v>
      </c>
      <c r="O95" s="377"/>
      <c r="P95" s="377"/>
      <c r="Q95" s="380">
        <v>0</v>
      </c>
      <c r="R95" s="380">
        <v>0</v>
      </c>
      <c r="S95" s="380">
        <v>0</v>
      </c>
      <c r="T95" s="380">
        <v>0</v>
      </c>
      <c r="U95" s="380">
        <v>0</v>
      </c>
      <c r="V95" s="380">
        <v>0</v>
      </c>
      <c r="W95" s="381">
        <v>0</v>
      </c>
    </row>
    <row r="96" spans="1:23" x14ac:dyDescent="0.2">
      <c r="A96" s="314">
        <v>93</v>
      </c>
      <c r="B96" s="311" t="s">
        <v>326</v>
      </c>
      <c r="C96" s="311"/>
      <c r="D96" s="311"/>
      <c r="E96" s="333">
        <f t="shared" ref="E96:J96" si="14">IF($M$3&lt;&gt;0,Q96*$M$3,Q96)</f>
        <v>0</v>
      </c>
      <c r="F96" s="333">
        <f t="shared" si="14"/>
        <v>0</v>
      </c>
      <c r="G96" s="333">
        <f t="shared" si="14"/>
        <v>0</v>
      </c>
      <c r="H96" s="333">
        <f t="shared" si="14"/>
        <v>0</v>
      </c>
      <c r="I96" s="333">
        <f t="shared" si="14"/>
        <v>0</v>
      </c>
      <c r="J96" s="333">
        <f t="shared" si="14"/>
        <v>0</v>
      </c>
      <c r="K96" s="334">
        <v>0</v>
      </c>
      <c r="L96" s="328"/>
      <c r="N96" s="377" t="s">
        <v>321</v>
      </c>
      <c r="O96" s="377"/>
      <c r="P96" s="377"/>
      <c r="Q96" s="380">
        <v>0</v>
      </c>
      <c r="R96" s="380">
        <v>0</v>
      </c>
      <c r="S96" s="380">
        <v>0</v>
      </c>
      <c r="T96" s="380">
        <v>0</v>
      </c>
      <c r="U96" s="380">
        <v>0</v>
      </c>
      <c r="V96" s="380">
        <v>0</v>
      </c>
      <c r="W96" s="381">
        <v>0</v>
      </c>
    </row>
  </sheetData>
  <mergeCells count="17">
    <mergeCell ref="C2:C3"/>
    <mergeCell ref="D2:D3"/>
    <mergeCell ref="E2:E3"/>
    <mergeCell ref="A1:B1"/>
    <mergeCell ref="S2:V2"/>
    <mergeCell ref="F2:F3"/>
    <mergeCell ref="G2:J2"/>
    <mergeCell ref="K2:K3"/>
    <mergeCell ref="L2:L3"/>
    <mergeCell ref="A2:A3"/>
    <mergeCell ref="B2:B3"/>
    <mergeCell ref="W2:W3"/>
    <mergeCell ref="N2:N3"/>
    <mergeCell ref="O2:O3"/>
    <mergeCell ref="P2:P3"/>
    <mergeCell ref="Q2:Q3"/>
    <mergeCell ref="R2:R3"/>
  </mergeCells>
  <dataValidations count="1">
    <dataValidation type="list" allowBlank="1" showInputMessage="1" showErrorMessage="1" sqref="D4:D96" xr:uid="{00000000-0002-0000-1B00-000000000000}">
      <formula1>"Constant,Variable,Fixed"</formula1>
    </dataValidation>
  </dataValidations>
  <printOptions horizontalCentered="1"/>
  <pageMargins left="0.78740157480314965" right="0.78740157480314965" top="0.78740157480314965" bottom="0.78740157480314965" header="0.51181102362204722" footer="0.51181102362204722"/>
  <pageSetup paperSize="8" scale="10" fitToHeight="0" orientation="landscape" r:id="rId1"/>
  <headerFooter alignWithMargins="0">
    <oddHeader>&amp;LStructures Asset Management Planning Toolkit</oddHeader>
    <oddFooter>&amp;L&amp;A&amp;R&amp;P of &amp;N</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_Ref06">
    <tabColor rgb="FFFFFF85"/>
  </sheetPr>
  <dimension ref="A1:P3380"/>
  <sheetViews>
    <sheetView showGridLines="0" zoomScale="70" zoomScaleNormal="70" workbookViewId="0">
      <selection activeCell="B5" sqref="B5"/>
    </sheetView>
  </sheetViews>
  <sheetFormatPr defaultColWidth="9.140625" defaultRowHeight="12.75" customHeight="1" x14ac:dyDescent="0.2"/>
  <cols>
    <col min="1" max="1" width="14.140625" style="19" customWidth="1"/>
    <col min="2" max="5" width="15" style="19" customWidth="1"/>
    <col min="6" max="6" width="48.140625" style="19" bestFit="1" customWidth="1"/>
    <col min="7" max="7" width="23" style="19" bestFit="1" customWidth="1"/>
    <col min="8" max="8" width="59.42578125" style="19" bestFit="1" customWidth="1"/>
    <col min="9" max="9" width="14.140625" style="19" customWidth="1"/>
    <col min="10" max="12" width="21.140625" style="19" customWidth="1"/>
    <col min="13" max="16" width="25.28515625" style="19" customWidth="1"/>
    <col min="17" max="16384" width="9.140625" style="19"/>
  </cols>
  <sheetData>
    <row r="1" spans="1:16" ht="32.450000000000003" customHeight="1" x14ac:dyDescent="0.2">
      <c r="A1" s="581" t="s">
        <v>719</v>
      </c>
      <c r="B1" s="581"/>
      <c r="C1" s="581"/>
      <c r="D1" s="581"/>
      <c r="E1" s="581"/>
      <c r="J1" s="50" t="str">
        <f>IF(COUNTIF(MaintenanceActions,H1)=1,"Valid","The maintenance action is not recognised.")</f>
        <v>The maintenance action is not recognised.</v>
      </c>
      <c r="K1" s="50" t="str">
        <f>IF(COUNTIF('Ref03&amp;04i'!$B$3:$B$105,F1)=1,"Valid","The component/material type is not recognised.")</f>
        <v>The component/material type is not recognised.</v>
      </c>
      <c r="L1" s="50" t="str">
        <f>IF(AND(OR(A1="N/A",COUNTIF($M$4:$M$3380,M1)=1),OR(C1="N/A",COUNTIF($N$4:$N$3380,N1)=1),OR(D1="N/A",COUNTIF($O$4:$O$3380,O1)=1),OR(E1="N/A",COUNTIF($P$4:$P$3380,P1)=1)),"Unambiguous","This is an ambiguous intervention rule.")</f>
        <v>This is an ambiguous intervention rule.</v>
      </c>
      <c r="M1" s="50" t="str">
        <f>CONCATENATE($B1,$F1,$G1)</f>
        <v/>
      </c>
      <c r="N1" s="50" t="str">
        <f>CONCATENATE($C1,$F1,$G1)</f>
        <v/>
      </c>
      <c r="O1" s="50" t="str">
        <f>CONCATENATE($D1,$F1,$G1)</f>
        <v/>
      </c>
      <c r="P1" s="50" t="str">
        <f>CONCATENATE($E1,$F1,$G1)</f>
        <v/>
      </c>
    </row>
    <row r="2" spans="1:16" ht="12.75" customHeight="1" x14ac:dyDescent="0.2">
      <c r="A2" s="580" t="s">
        <v>470</v>
      </c>
      <c r="B2" s="580" t="s">
        <v>469</v>
      </c>
      <c r="C2" s="580"/>
      <c r="D2" s="580"/>
      <c r="E2" s="580"/>
      <c r="F2" s="580" t="s">
        <v>168</v>
      </c>
      <c r="G2" s="580" t="s">
        <v>238</v>
      </c>
      <c r="H2" s="580" t="s">
        <v>468</v>
      </c>
      <c r="I2" s="580" t="s">
        <v>467</v>
      </c>
      <c r="J2" s="580" t="s">
        <v>466</v>
      </c>
      <c r="K2" s="580" t="s">
        <v>164</v>
      </c>
      <c r="L2" s="580" t="s">
        <v>465</v>
      </c>
      <c r="M2" s="580" t="s">
        <v>167</v>
      </c>
      <c r="N2" s="580"/>
      <c r="O2" s="580"/>
      <c r="P2" s="580"/>
    </row>
    <row r="3" spans="1:16" ht="60.75" customHeight="1" x14ac:dyDescent="0.2">
      <c r="A3" s="580"/>
      <c r="B3" s="336" t="s">
        <v>1204</v>
      </c>
      <c r="C3" s="336" t="s">
        <v>1190</v>
      </c>
      <c r="D3" s="336" t="s">
        <v>1191</v>
      </c>
      <c r="E3" s="335" t="s">
        <v>1192</v>
      </c>
      <c r="F3" s="580"/>
      <c r="G3" s="580"/>
      <c r="H3" s="580"/>
      <c r="I3" s="580"/>
      <c r="J3" s="580"/>
      <c r="K3" s="580"/>
      <c r="L3" s="580"/>
      <c r="M3" s="580" t="str">
        <f>B3</f>
        <v>Early Intervention (condition 2C-3C)</v>
      </c>
      <c r="N3" s="580" t="str">
        <f>C3</f>
        <v>Mid Intervention (condition 4B)</v>
      </c>
      <c r="O3" s="580" t="str">
        <f>D3</f>
        <v>Late Intervention (condition 5B)</v>
      </c>
      <c r="P3" s="580" t="str">
        <f>E3</f>
        <v>User Defined (default, condition 4B)</v>
      </c>
    </row>
    <row r="4" spans="1:16" ht="12.75" customHeight="1" x14ac:dyDescent="0.25">
      <c r="A4" s="311">
        <v>1</v>
      </c>
      <c r="B4" s="311" t="s">
        <v>84</v>
      </c>
      <c r="C4" s="311" t="s">
        <v>462</v>
      </c>
      <c r="D4" s="311" t="s">
        <v>462</v>
      </c>
      <c r="E4" s="337" t="s">
        <v>462</v>
      </c>
      <c r="F4" s="311" t="s">
        <v>279</v>
      </c>
      <c r="G4" s="311" t="s">
        <v>236</v>
      </c>
      <c r="H4" s="311" t="s">
        <v>393</v>
      </c>
      <c r="I4" s="311" t="s">
        <v>66</v>
      </c>
      <c r="J4" s="50" t="s">
        <v>1892</v>
      </c>
      <c r="K4" s="50" t="s">
        <v>1892</v>
      </c>
      <c r="L4" s="50" t="s">
        <v>1893</v>
      </c>
      <c r="M4" s="50" t="s">
        <v>2310</v>
      </c>
      <c r="N4" s="50" t="s">
        <v>2311</v>
      </c>
      <c r="O4" s="50" t="s">
        <v>2311</v>
      </c>
      <c r="P4" s="50" t="s">
        <v>2311</v>
      </c>
    </row>
    <row r="5" spans="1:16" ht="12.75" customHeight="1" x14ac:dyDescent="0.25">
      <c r="A5" s="311">
        <v>2</v>
      </c>
      <c r="B5" s="311" t="s">
        <v>123</v>
      </c>
      <c r="C5" s="311" t="s">
        <v>462</v>
      </c>
      <c r="D5" s="311" t="s">
        <v>462</v>
      </c>
      <c r="E5" s="337" t="s">
        <v>462</v>
      </c>
      <c r="F5" s="311" t="s">
        <v>279</v>
      </c>
      <c r="G5" s="311" t="s">
        <v>236</v>
      </c>
      <c r="H5" s="311" t="s">
        <v>393</v>
      </c>
      <c r="I5" s="311" t="s">
        <v>66</v>
      </c>
      <c r="J5" s="50" t="s">
        <v>1892</v>
      </c>
      <c r="K5" s="50" t="s">
        <v>1892</v>
      </c>
      <c r="L5" s="50" t="s">
        <v>1893</v>
      </c>
      <c r="M5" s="50" t="s">
        <v>2312</v>
      </c>
      <c r="N5" s="50" t="s">
        <v>2311</v>
      </c>
      <c r="O5" s="50" t="s">
        <v>2311</v>
      </c>
      <c r="P5" s="50" t="s">
        <v>2311</v>
      </c>
    </row>
    <row r="6" spans="1:16" ht="12.75" customHeight="1" x14ac:dyDescent="0.25">
      <c r="A6" s="311">
        <v>3</v>
      </c>
      <c r="B6" s="311" t="s">
        <v>75</v>
      </c>
      <c r="C6" s="311" t="s">
        <v>462</v>
      </c>
      <c r="D6" s="311" t="s">
        <v>462</v>
      </c>
      <c r="E6" s="337" t="s">
        <v>462</v>
      </c>
      <c r="F6" s="311" t="s">
        <v>279</v>
      </c>
      <c r="G6" s="311" t="s">
        <v>236</v>
      </c>
      <c r="H6" s="311" t="s">
        <v>393</v>
      </c>
      <c r="I6" s="311" t="s">
        <v>66</v>
      </c>
      <c r="J6" s="50" t="s">
        <v>1892</v>
      </c>
      <c r="K6" s="50" t="s">
        <v>1892</v>
      </c>
      <c r="L6" s="50" t="s">
        <v>1893</v>
      </c>
      <c r="M6" s="50" t="s">
        <v>2313</v>
      </c>
      <c r="N6" s="50" t="s">
        <v>2311</v>
      </c>
      <c r="O6" s="50" t="s">
        <v>2311</v>
      </c>
      <c r="P6" s="50" t="s">
        <v>2311</v>
      </c>
    </row>
    <row r="7" spans="1:16" ht="12.75" customHeight="1" x14ac:dyDescent="0.25">
      <c r="A7" s="311">
        <v>4</v>
      </c>
      <c r="B7" s="311" t="s">
        <v>63</v>
      </c>
      <c r="C7" s="311" t="s">
        <v>63</v>
      </c>
      <c r="D7" s="311" t="s">
        <v>462</v>
      </c>
      <c r="E7" s="337" t="s">
        <v>63</v>
      </c>
      <c r="F7" s="311" t="s">
        <v>279</v>
      </c>
      <c r="G7" s="311" t="s">
        <v>236</v>
      </c>
      <c r="H7" s="311" t="s">
        <v>393</v>
      </c>
      <c r="I7" s="311" t="s">
        <v>66</v>
      </c>
      <c r="J7" s="50" t="s">
        <v>1892</v>
      </c>
      <c r="K7" s="50" t="s">
        <v>1892</v>
      </c>
      <c r="L7" s="50" t="s">
        <v>1893</v>
      </c>
      <c r="M7" s="50" t="s">
        <v>2314</v>
      </c>
      <c r="N7" s="50" t="s">
        <v>2314</v>
      </c>
      <c r="O7" s="50" t="s">
        <v>2311</v>
      </c>
      <c r="P7" s="50" t="s">
        <v>2314</v>
      </c>
    </row>
    <row r="8" spans="1:16" ht="12.75" customHeight="1" x14ac:dyDescent="0.25">
      <c r="A8" s="311">
        <v>5</v>
      </c>
      <c r="B8" s="311" t="s">
        <v>140</v>
      </c>
      <c r="C8" s="311" t="s">
        <v>140</v>
      </c>
      <c r="D8" s="311" t="s">
        <v>462</v>
      </c>
      <c r="E8" s="337" t="s">
        <v>140</v>
      </c>
      <c r="F8" s="311" t="s">
        <v>279</v>
      </c>
      <c r="G8" s="311" t="s">
        <v>236</v>
      </c>
      <c r="H8" s="311" t="s">
        <v>393</v>
      </c>
      <c r="I8" s="311" t="s">
        <v>66</v>
      </c>
      <c r="J8" s="50" t="s">
        <v>1892</v>
      </c>
      <c r="K8" s="50" t="s">
        <v>1892</v>
      </c>
      <c r="L8" s="50" t="s">
        <v>1893</v>
      </c>
      <c r="M8" s="50" t="s">
        <v>2315</v>
      </c>
      <c r="N8" s="50" t="s">
        <v>2315</v>
      </c>
      <c r="O8" s="50" t="s">
        <v>2311</v>
      </c>
      <c r="P8" s="50" t="s">
        <v>2315</v>
      </c>
    </row>
    <row r="9" spans="1:16" ht="12.75" customHeight="1" x14ac:dyDescent="0.25">
      <c r="A9" s="311">
        <v>6</v>
      </c>
      <c r="B9" s="311" t="s">
        <v>121</v>
      </c>
      <c r="C9" s="311" t="s">
        <v>121</v>
      </c>
      <c r="D9" s="311" t="s">
        <v>462</v>
      </c>
      <c r="E9" s="337" t="s">
        <v>121</v>
      </c>
      <c r="F9" s="311" t="s">
        <v>279</v>
      </c>
      <c r="G9" s="311" t="s">
        <v>236</v>
      </c>
      <c r="H9" s="311" t="s">
        <v>393</v>
      </c>
      <c r="I9" s="311" t="s">
        <v>66</v>
      </c>
      <c r="J9" s="50" t="s">
        <v>1892</v>
      </c>
      <c r="K9" s="50" t="s">
        <v>1892</v>
      </c>
      <c r="L9" s="50" t="s">
        <v>1893</v>
      </c>
      <c r="M9" s="50" t="s">
        <v>2316</v>
      </c>
      <c r="N9" s="50" t="s">
        <v>2316</v>
      </c>
      <c r="O9" s="50" t="s">
        <v>2311</v>
      </c>
      <c r="P9" s="50" t="s">
        <v>2316</v>
      </c>
    </row>
    <row r="10" spans="1:16" ht="12.75" customHeight="1" x14ac:dyDescent="0.25">
      <c r="A10" s="311">
        <v>7</v>
      </c>
      <c r="B10" s="311" t="s">
        <v>87</v>
      </c>
      <c r="C10" s="311" t="s">
        <v>87</v>
      </c>
      <c r="D10" s="311" t="s">
        <v>462</v>
      </c>
      <c r="E10" s="337" t="s">
        <v>87</v>
      </c>
      <c r="F10" s="311" t="s">
        <v>279</v>
      </c>
      <c r="G10" s="311" t="s">
        <v>236</v>
      </c>
      <c r="H10" s="311" t="s">
        <v>393</v>
      </c>
      <c r="I10" s="311" t="s">
        <v>66</v>
      </c>
      <c r="J10" s="50" t="s">
        <v>1892</v>
      </c>
      <c r="K10" s="50" t="s">
        <v>1892</v>
      </c>
      <c r="L10" s="50" t="s">
        <v>1893</v>
      </c>
      <c r="M10" s="50" t="s">
        <v>2317</v>
      </c>
      <c r="N10" s="50" t="s">
        <v>2317</v>
      </c>
      <c r="O10" s="50" t="s">
        <v>2311</v>
      </c>
      <c r="P10" s="50" t="s">
        <v>2317</v>
      </c>
    </row>
    <row r="11" spans="1:16" ht="12.75" customHeight="1" x14ac:dyDescent="0.25">
      <c r="A11" s="311">
        <v>8</v>
      </c>
      <c r="B11" s="311" t="s">
        <v>125</v>
      </c>
      <c r="C11" s="311" t="s">
        <v>125</v>
      </c>
      <c r="D11" s="311" t="s">
        <v>125</v>
      </c>
      <c r="E11" s="337" t="s">
        <v>125</v>
      </c>
      <c r="F11" s="311" t="s">
        <v>279</v>
      </c>
      <c r="G11" s="311" t="s">
        <v>236</v>
      </c>
      <c r="H11" s="311" t="s">
        <v>393</v>
      </c>
      <c r="I11" s="311" t="s">
        <v>66</v>
      </c>
      <c r="J11" s="50" t="s">
        <v>1892</v>
      </c>
      <c r="K11" s="50" t="s">
        <v>1892</v>
      </c>
      <c r="L11" s="50" t="s">
        <v>1893</v>
      </c>
      <c r="M11" s="50" t="s">
        <v>2318</v>
      </c>
      <c r="N11" s="50" t="s">
        <v>2318</v>
      </c>
      <c r="O11" s="50" t="s">
        <v>2318</v>
      </c>
      <c r="P11" s="50" t="s">
        <v>2318</v>
      </c>
    </row>
    <row r="12" spans="1:16" ht="12.75" customHeight="1" x14ac:dyDescent="0.25">
      <c r="A12" s="311">
        <v>9</v>
      </c>
      <c r="B12" s="311" t="s">
        <v>134</v>
      </c>
      <c r="C12" s="311" t="s">
        <v>134</v>
      </c>
      <c r="D12" s="311" t="s">
        <v>134</v>
      </c>
      <c r="E12" s="337" t="s">
        <v>134</v>
      </c>
      <c r="F12" s="311" t="s">
        <v>279</v>
      </c>
      <c r="G12" s="311" t="s">
        <v>236</v>
      </c>
      <c r="H12" s="311" t="s">
        <v>393</v>
      </c>
      <c r="I12" s="311" t="s">
        <v>66</v>
      </c>
      <c r="J12" s="50" t="s">
        <v>1892</v>
      </c>
      <c r="K12" s="50" t="s">
        <v>1892</v>
      </c>
      <c r="L12" s="50" t="s">
        <v>1893</v>
      </c>
      <c r="M12" s="50" t="s">
        <v>2319</v>
      </c>
      <c r="N12" s="50" t="s">
        <v>2319</v>
      </c>
      <c r="O12" s="50" t="s">
        <v>2319</v>
      </c>
      <c r="P12" s="50" t="s">
        <v>2319</v>
      </c>
    </row>
    <row r="13" spans="1:16" ht="12.75" customHeight="1" x14ac:dyDescent="0.25">
      <c r="A13" s="311">
        <v>10</v>
      </c>
      <c r="B13" s="311" t="s">
        <v>141</v>
      </c>
      <c r="C13" s="311" t="s">
        <v>141</v>
      </c>
      <c r="D13" s="311" t="s">
        <v>141</v>
      </c>
      <c r="E13" s="337" t="s">
        <v>141</v>
      </c>
      <c r="F13" s="311" t="s">
        <v>279</v>
      </c>
      <c r="G13" s="311" t="s">
        <v>236</v>
      </c>
      <c r="H13" s="311" t="s">
        <v>393</v>
      </c>
      <c r="I13" s="311" t="s">
        <v>66</v>
      </c>
      <c r="J13" s="50" t="s">
        <v>1892</v>
      </c>
      <c r="K13" s="50" t="s">
        <v>1892</v>
      </c>
      <c r="L13" s="50" t="s">
        <v>1893</v>
      </c>
      <c r="M13" s="50" t="s">
        <v>2320</v>
      </c>
      <c r="N13" s="50" t="s">
        <v>2320</v>
      </c>
      <c r="O13" s="50" t="s">
        <v>2320</v>
      </c>
      <c r="P13" s="50" t="s">
        <v>2320</v>
      </c>
    </row>
    <row r="14" spans="1:16" ht="12.75" customHeight="1" x14ac:dyDescent="0.25">
      <c r="A14" s="311">
        <v>11</v>
      </c>
      <c r="B14" s="311" t="s">
        <v>69</v>
      </c>
      <c r="C14" s="311" t="s">
        <v>69</v>
      </c>
      <c r="D14" s="311" t="s">
        <v>69</v>
      </c>
      <c r="E14" s="337" t="s">
        <v>69</v>
      </c>
      <c r="F14" s="311" t="s">
        <v>279</v>
      </c>
      <c r="G14" s="311" t="s">
        <v>236</v>
      </c>
      <c r="H14" s="311" t="s">
        <v>393</v>
      </c>
      <c r="I14" s="311" t="s">
        <v>66</v>
      </c>
      <c r="J14" s="50" t="s">
        <v>1892</v>
      </c>
      <c r="K14" s="50" t="s">
        <v>1892</v>
      </c>
      <c r="L14" s="50" t="s">
        <v>1893</v>
      </c>
      <c r="M14" s="50" t="s">
        <v>2321</v>
      </c>
      <c r="N14" s="50" t="s">
        <v>2321</v>
      </c>
      <c r="O14" s="50" t="s">
        <v>2321</v>
      </c>
      <c r="P14" s="50" t="s">
        <v>2321</v>
      </c>
    </row>
    <row r="15" spans="1:16" ht="12.75" customHeight="1" x14ac:dyDescent="0.25">
      <c r="A15" s="311">
        <v>12</v>
      </c>
      <c r="B15" s="311" t="s">
        <v>84</v>
      </c>
      <c r="C15" s="311" t="s">
        <v>462</v>
      </c>
      <c r="D15" s="311" t="s">
        <v>462</v>
      </c>
      <c r="E15" s="337" t="s">
        <v>462</v>
      </c>
      <c r="F15" s="311" t="s">
        <v>279</v>
      </c>
      <c r="G15" s="311" t="s">
        <v>23</v>
      </c>
      <c r="H15" s="311" t="s">
        <v>393</v>
      </c>
      <c r="I15" s="311" t="s">
        <v>66</v>
      </c>
      <c r="J15" s="50" t="s">
        <v>1892</v>
      </c>
      <c r="K15" s="50" t="s">
        <v>1892</v>
      </c>
      <c r="L15" s="50" t="s">
        <v>1893</v>
      </c>
      <c r="M15" s="50" t="s">
        <v>2322</v>
      </c>
      <c r="N15" s="50" t="s">
        <v>2323</v>
      </c>
      <c r="O15" s="50" t="s">
        <v>2323</v>
      </c>
      <c r="P15" s="50" t="s">
        <v>2323</v>
      </c>
    </row>
    <row r="16" spans="1:16" ht="12.75" customHeight="1" x14ac:dyDescent="0.25">
      <c r="A16" s="311">
        <v>13</v>
      </c>
      <c r="B16" s="311" t="s">
        <v>123</v>
      </c>
      <c r="C16" s="311" t="s">
        <v>462</v>
      </c>
      <c r="D16" s="311" t="s">
        <v>462</v>
      </c>
      <c r="E16" s="337" t="s">
        <v>462</v>
      </c>
      <c r="F16" s="311" t="s">
        <v>279</v>
      </c>
      <c r="G16" s="311" t="s">
        <v>23</v>
      </c>
      <c r="H16" s="311" t="s">
        <v>393</v>
      </c>
      <c r="I16" s="311" t="s">
        <v>66</v>
      </c>
      <c r="J16" s="50" t="s">
        <v>1892</v>
      </c>
      <c r="K16" s="50" t="s">
        <v>1892</v>
      </c>
      <c r="L16" s="50" t="s">
        <v>1893</v>
      </c>
      <c r="M16" s="50" t="s">
        <v>2324</v>
      </c>
      <c r="N16" s="50" t="s">
        <v>2323</v>
      </c>
      <c r="O16" s="50" t="s">
        <v>2323</v>
      </c>
      <c r="P16" s="50" t="s">
        <v>2323</v>
      </c>
    </row>
    <row r="17" spans="1:16" ht="12.75" customHeight="1" x14ac:dyDescent="0.25">
      <c r="A17" s="311">
        <v>14</v>
      </c>
      <c r="B17" s="311" t="s">
        <v>75</v>
      </c>
      <c r="C17" s="311" t="s">
        <v>462</v>
      </c>
      <c r="D17" s="311" t="s">
        <v>462</v>
      </c>
      <c r="E17" s="337" t="s">
        <v>462</v>
      </c>
      <c r="F17" s="311" t="s">
        <v>279</v>
      </c>
      <c r="G17" s="311" t="s">
        <v>23</v>
      </c>
      <c r="H17" s="311" t="s">
        <v>393</v>
      </c>
      <c r="I17" s="311" t="s">
        <v>66</v>
      </c>
      <c r="J17" s="50" t="s">
        <v>1892</v>
      </c>
      <c r="K17" s="50" t="s">
        <v>1892</v>
      </c>
      <c r="L17" s="50" t="s">
        <v>1893</v>
      </c>
      <c r="M17" s="50" t="s">
        <v>2325</v>
      </c>
      <c r="N17" s="50" t="s">
        <v>2323</v>
      </c>
      <c r="O17" s="50" t="s">
        <v>2323</v>
      </c>
      <c r="P17" s="50" t="s">
        <v>2323</v>
      </c>
    </row>
    <row r="18" spans="1:16" ht="12.75" customHeight="1" x14ac:dyDescent="0.25">
      <c r="A18" s="311">
        <v>15</v>
      </c>
      <c r="B18" s="311" t="s">
        <v>63</v>
      </c>
      <c r="C18" s="311" t="s">
        <v>63</v>
      </c>
      <c r="D18" s="311" t="s">
        <v>462</v>
      </c>
      <c r="E18" s="337" t="s">
        <v>63</v>
      </c>
      <c r="F18" s="311" t="s">
        <v>279</v>
      </c>
      <c r="G18" s="311" t="s">
        <v>23</v>
      </c>
      <c r="H18" s="311" t="s">
        <v>393</v>
      </c>
      <c r="I18" s="311" t="s">
        <v>66</v>
      </c>
      <c r="J18" s="50" t="s">
        <v>1892</v>
      </c>
      <c r="K18" s="50" t="s">
        <v>1892</v>
      </c>
      <c r="L18" s="50" t="s">
        <v>1893</v>
      </c>
      <c r="M18" s="50" t="s">
        <v>2326</v>
      </c>
      <c r="N18" s="50" t="s">
        <v>2326</v>
      </c>
      <c r="O18" s="50" t="s">
        <v>2323</v>
      </c>
      <c r="P18" s="50" t="s">
        <v>2326</v>
      </c>
    </row>
    <row r="19" spans="1:16" ht="12.75" customHeight="1" x14ac:dyDescent="0.25">
      <c r="A19" s="311">
        <v>16</v>
      </c>
      <c r="B19" s="311" t="s">
        <v>140</v>
      </c>
      <c r="C19" s="311" t="s">
        <v>140</v>
      </c>
      <c r="D19" s="311" t="s">
        <v>462</v>
      </c>
      <c r="E19" s="337" t="s">
        <v>140</v>
      </c>
      <c r="F19" s="311" t="s">
        <v>279</v>
      </c>
      <c r="G19" s="311" t="s">
        <v>23</v>
      </c>
      <c r="H19" s="311" t="s">
        <v>393</v>
      </c>
      <c r="I19" s="311" t="s">
        <v>66</v>
      </c>
      <c r="J19" s="50" t="s">
        <v>1892</v>
      </c>
      <c r="K19" s="50" t="s">
        <v>1892</v>
      </c>
      <c r="L19" s="50" t="s">
        <v>1893</v>
      </c>
      <c r="M19" s="50" t="s">
        <v>2327</v>
      </c>
      <c r="N19" s="50" t="s">
        <v>2327</v>
      </c>
      <c r="O19" s="50" t="s">
        <v>2323</v>
      </c>
      <c r="P19" s="50" t="s">
        <v>2327</v>
      </c>
    </row>
    <row r="20" spans="1:16" ht="12.75" customHeight="1" x14ac:dyDescent="0.25">
      <c r="A20" s="311">
        <v>17</v>
      </c>
      <c r="B20" s="311" t="s">
        <v>121</v>
      </c>
      <c r="C20" s="311" t="s">
        <v>121</v>
      </c>
      <c r="D20" s="311" t="s">
        <v>462</v>
      </c>
      <c r="E20" s="337" t="s">
        <v>121</v>
      </c>
      <c r="F20" s="311" t="s">
        <v>279</v>
      </c>
      <c r="G20" s="311" t="s">
        <v>23</v>
      </c>
      <c r="H20" s="311" t="s">
        <v>393</v>
      </c>
      <c r="I20" s="311" t="s">
        <v>66</v>
      </c>
      <c r="J20" s="50" t="s">
        <v>1892</v>
      </c>
      <c r="K20" s="50" t="s">
        <v>1892</v>
      </c>
      <c r="L20" s="50" t="s">
        <v>1893</v>
      </c>
      <c r="M20" s="50" t="s">
        <v>2328</v>
      </c>
      <c r="N20" s="50" t="s">
        <v>2328</v>
      </c>
      <c r="O20" s="50" t="s">
        <v>2323</v>
      </c>
      <c r="P20" s="50" t="s">
        <v>2328</v>
      </c>
    </row>
    <row r="21" spans="1:16" ht="12.75" customHeight="1" x14ac:dyDescent="0.25">
      <c r="A21" s="311">
        <v>18</v>
      </c>
      <c r="B21" s="311" t="s">
        <v>87</v>
      </c>
      <c r="C21" s="311" t="s">
        <v>87</v>
      </c>
      <c r="D21" s="311" t="s">
        <v>462</v>
      </c>
      <c r="E21" s="337" t="s">
        <v>87</v>
      </c>
      <c r="F21" s="311" t="s">
        <v>279</v>
      </c>
      <c r="G21" s="311" t="s">
        <v>23</v>
      </c>
      <c r="H21" s="311" t="s">
        <v>393</v>
      </c>
      <c r="I21" s="311" t="s">
        <v>66</v>
      </c>
      <c r="J21" s="50" t="s">
        <v>1892</v>
      </c>
      <c r="K21" s="50" t="s">
        <v>1892</v>
      </c>
      <c r="L21" s="50" t="s">
        <v>1893</v>
      </c>
      <c r="M21" s="50" t="s">
        <v>2329</v>
      </c>
      <c r="N21" s="50" t="s">
        <v>2329</v>
      </c>
      <c r="O21" s="50" t="s">
        <v>2323</v>
      </c>
      <c r="P21" s="50" t="s">
        <v>2329</v>
      </c>
    </row>
    <row r="22" spans="1:16" ht="12.75" customHeight="1" x14ac:dyDescent="0.25">
      <c r="A22" s="311">
        <v>19</v>
      </c>
      <c r="B22" s="311" t="s">
        <v>125</v>
      </c>
      <c r="C22" s="311" t="s">
        <v>125</v>
      </c>
      <c r="D22" s="311" t="s">
        <v>125</v>
      </c>
      <c r="E22" s="337" t="s">
        <v>125</v>
      </c>
      <c r="F22" s="311" t="s">
        <v>279</v>
      </c>
      <c r="G22" s="311" t="s">
        <v>23</v>
      </c>
      <c r="H22" s="311" t="s">
        <v>393</v>
      </c>
      <c r="I22" s="311" t="s">
        <v>66</v>
      </c>
      <c r="J22" s="50" t="s">
        <v>1892</v>
      </c>
      <c r="K22" s="50" t="s">
        <v>1892</v>
      </c>
      <c r="L22" s="50" t="s">
        <v>1893</v>
      </c>
      <c r="M22" s="50" t="s">
        <v>2330</v>
      </c>
      <c r="N22" s="50" t="s">
        <v>2330</v>
      </c>
      <c r="O22" s="50" t="s">
        <v>2330</v>
      </c>
      <c r="P22" s="50" t="s">
        <v>2330</v>
      </c>
    </row>
    <row r="23" spans="1:16" ht="12.75" customHeight="1" x14ac:dyDescent="0.25">
      <c r="A23" s="311">
        <v>20</v>
      </c>
      <c r="B23" s="311" t="s">
        <v>134</v>
      </c>
      <c r="C23" s="311" t="s">
        <v>134</v>
      </c>
      <c r="D23" s="311" t="s">
        <v>134</v>
      </c>
      <c r="E23" s="337" t="s">
        <v>134</v>
      </c>
      <c r="F23" s="311" t="s">
        <v>279</v>
      </c>
      <c r="G23" s="311" t="s">
        <v>23</v>
      </c>
      <c r="H23" s="311" t="s">
        <v>393</v>
      </c>
      <c r="I23" s="311" t="s">
        <v>66</v>
      </c>
      <c r="J23" s="50" t="s">
        <v>1892</v>
      </c>
      <c r="K23" s="50" t="s">
        <v>1892</v>
      </c>
      <c r="L23" s="50" t="s">
        <v>1893</v>
      </c>
      <c r="M23" s="50" t="s">
        <v>2331</v>
      </c>
      <c r="N23" s="50" t="s">
        <v>2331</v>
      </c>
      <c r="O23" s="50" t="s">
        <v>2331</v>
      </c>
      <c r="P23" s="50" t="s">
        <v>2331</v>
      </c>
    </row>
    <row r="24" spans="1:16" ht="12.75" customHeight="1" x14ac:dyDescent="0.25">
      <c r="A24" s="311">
        <v>21</v>
      </c>
      <c r="B24" s="311" t="s">
        <v>141</v>
      </c>
      <c r="C24" s="311" t="s">
        <v>141</v>
      </c>
      <c r="D24" s="311" t="s">
        <v>141</v>
      </c>
      <c r="E24" s="337" t="s">
        <v>141</v>
      </c>
      <c r="F24" s="311" t="s">
        <v>279</v>
      </c>
      <c r="G24" s="311" t="s">
        <v>23</v>
      </c>
      <c r="H24" s="311" t="s">
        <v>393</v>
      </c>
      <c r="I24" s="311" t="s">
        <v>66</v>
      </c>
      <c r="J24" s="50" t="s">
        <v>1892</v>
      </c>
      <c r="K24" s="50" t="s">
        <v>1892</v>
      </c>
      <c r="L24" s="50" t="s">
        <v>1893</v>
      </c>
      <c r="M24" s="50" t="s">
        <v>2332</v>
      </c>
      <c r="N24" s="50" t="s">
        <v>2332</v>
      </c>
      <c r="O24" s="50" t="s">
        <v>2332</v>
      </c>
      <c r="P24" s="50" t="s">
        <v>2332</v>
      </c>
    </row>
    <row r="25" spans="1:16" ht="12.75" customHeight="1" x14ac:dyDescent="0.25">
      <c r="A25" s="311">
        <v>22</v>
      </c>
      <c r="B25" s="311" t="s">
        <v>69</v>
      </c>
      <c r="C25" s="311" t="s">
        <v>69</v>
      </c>
      <c r="D25" s="311" t="s">
        <v>69</v>
      </c>
      <c r="E25" s="337" t="s">
        <v>69</v>
      </c>
      <c r="F25" s="311" t="s">
        <v>279</v>
      </c>
      <c r="G25" s="311" t="s">
        <v>23</v>
      </c>
      <c r="H25" s="311" t="s">
        <v>393</v>
      </c>
      <c r="I25" s="311" t="s">
        <v>66</v>
      </c>
      <c r="J25" s="50" t="s">
        <v>1892</v>
      </c>
      <c r="K25" s="50" t="s">
        <v>1892</v>
      </c>
      <c r="L25" s="50" t="s">
        <v>1893</v>
      </c>
      <c r="M25" s="50" t="s">
        <v>2333</v>
      </c>
      <c r="N25" s="50" t="s">
        <v>2333</v>
      </c>
      <c r="O25" s="50" t="s">
        <v>2333</v>
      </c>
      <c r="P25" s="50" t="s">
        <v>2333</v>
      </c>
    </row>
    <row r="26" spans="1:16" ht="12.75" customHeight="1" x14ac:dyDescent="0.25">
      <c r="A26" s="311">
        <v>23</v>
      </c>
      <c r="B26" s="311" t="s">
        <v>84</v>
      </c>
      <c r="C26" s="311" t="s">
        <v>462</v>
      </c>
      <c r="D26" s="311" t="s">
        <v>462</v>
      </c>
      <c r="E26" s="337" t="s">
        <v>462</v>
      </c>
      <c r="F26" s="311" t="s">
        <v>279</v>
      </c>
      <c r="G26" s="311" t="s">
        <v>237</v>
      </c>
      <c r="H26" s="311" t="s">
        <v>393</v>
      </c>
      <c r="I26" s="311" t="s">
        <v>66</v>
      </c>
      <c r="J26" s="50" t="s">
        <v>1892</v>
      </c>
      <c r="K26" s="50" t="s">
        <v>1892</v>
      </c>
      <c r="L26" s="50" t="s">
        <v>1893</v>
      </c>
      <c r="M26" s="50" t="s">
        <v>2334</v>
      </c>
      <c r="N26" s="50" t="s">
        <v>2335</v>
      </c>
      <c r="O26" s="50" t="s">
        <v>2335</v>
      </c>
      <c r="P26" s="50" t="s">
        <v>2335</v>
      </c>
    </row>
    <row r="27" spans="1:16" ht="12.75" customHeight="1" x14ac:dyDescent="0.25">
      <c r="A27" s="311">
        <v>24</v>
      </c>
      <c r="B27" s="311" t="s">
        <v>123</v>
      </c>
      <c r="C27" s="311" t="s">
        <v>462</v>
      </c>
      <c r="D27" s="311" t="s">
        <v>462</v>
      </c>
      <c r="E27" s="337" t="s">
        <v>462</v>
      </c>
      <c r="F27" s="311" t="s">
        <v>279</v>
      </c>
      <c r="G27" s="311" t="s">
        <v>237</v>
      </c>
      <c r="H27" s="311" t="s">
        <v>393</v>
      </c>
      <c r="I27" s="311" t="s">
        <v>66</v>
      </c>
      <c r="J27" s="50" t="s">
        <v>1892</v>
      </c>
      <c r="K27" s="50" t="s">
        <v>1892</v>
      </c>
      <c r="L27" s="50" t="s">
        <v>1893</v>
      </c>
      <c r="M27" s="50" t="s">
        <v>2336</v>
      </c>
      <c r="N27" s="50" t="s">
        <v>2335</v>
      </c>
      <c r="O27" s="50" t="s">
        <v>2335</v>
      </c>
      <c r="P27" s="50" t="s">
        <v>2335</v>
      </c>
    </row>
    <row r="28" spans="1:16" ht="12.75" customHeight="1" x14ac:dyDescent="0.25">
      <c r="A28" s="311">
        <v>25</v>
      </c>
      <c r="B28" s="311" t="s">
        <v>75</v>
      </c>
      <c r="C28" s="311" t="s">
        <v>462</v>
      </c>
      <c r="D28" s="311" t="s">
        <v>462</v>
      </c>
      <c r="E28" s="337" t="s">
        <v>462</v>
      </c>
      <c r="F28" s="311" t="s">
        <v>279</v>
      </c>
      <c r="G28" s="311" t="s">
        <v>237</v>
      </c>
      <c r="H28" s="311" t="s">
        <v>393</v>
      </c>
      <c r="I28" s="311" t="s">
        <v>66</v>
      </c>
      <c r="J28" s="50" t="s">
        <v>1892</v>
      </c>
      <c r="K28" s="50" t="s">
        <v>1892</v>
      </c>
      <c r="L28" s="50" t="s">
        <v>1893</v>
      </c>
      <c r="M28" s="50" t="s">
        <v>2337</v>
      </c>
      <c r="N28" s="50" t="s">
        <v>2335</v>
      </c>
      <c r="O28" s="50" t="s">
        <v>2335</v>
      </c>
      <c r="P28" s="50" t="s">
        <v>2335</v>
      </c>
    </row>
    <row r="29" spans="1:16" ht="12.75" customHeight="1" x14ac:dyDescent="0.25">
      <c r="A29" s="311">
        <v>26</v>
      </c>
      <c r="B29" s="311" t="s">
        <v>63</v>
      </c>
      <c r="C29" s="311" t="s">
        <v>63</v>
      </c>
      <c r="D29" s="311" t="s">
        <v>462</v>
      </c>
      <c r="E29" s="337" t="s">
        <v>63</v>
      </c>
      <c r="F29" s="311" t="s">
        <v>279</v>
      </c>
      <c r="G29" s="311" t="s">
        <v>237</v>
      </c>
      <c r="H29" s="311" t="s">
        <v>393</v>
      </c>
      <c r="I29" s="311" t="s">
        <v>66</v>
      </c>
      <c r="J29" s="50" t="s">
        <v>1892</v>
      </c>
      <c r="K29" s="50" t="s">
        <v>1892</v>
      </c>
      <c r="L29" s="50" t="s">
        <v>1893</v>
      </c>
      <c r="M29" s="50" t="s">
        <v>2338</v>
      </c>
      <c r="N29" s="50" t="s">
        <v>2338</v>
      </c>
      <c r="O29" s="50" t="s">
        <v>2335</v>
      </c>
      <c r="P29" s="50" t="s">
        <v>2338</v>
      </c>
    </row>
    <row r="30" spans="1:16" ht="12.75" customHeight="1" x14ac:dyDescent="0.25">
      <c r="A30" s="311">
        <v>27</v>
      </c>
      <c r="B30" s="311" t="s">
        <v>140</v>
      </c>
      <c r="C30" s="311" t="s">
        <v>140</v>
      </c>
      <c r="D30" s="311" t="s">
        <v>462</v>
      </c>
      <c r="E30" s="337" t="s">
        <v>140</v>
      </c>
      <c r="F30" s="311" t="s">
        <v>279</v>
      </c>
      <c r="G30" s="311" t="s">
        <v>237</v>
      </c>
      <c r="H30" s="311" t="s">
        <v>393</v>
      </c>
      <c r="I30" s="311" t="s">
        <v>66</v>
      </c>
      <c r="J30" s="50" t="s">
        <v>1892</v>
      </c>
      <c r="K30" s="50" t="s">
        <v>1892</v>
      </c>
      <c r="L30" s="50" t="s">
        <v>1893</v>
      </c>
      <c r="M30" s="50" t="s">
        <v>2339</v>
      </c>
      <c r="N30" s="50" t="s">
        <v>2339</v>
      </c>
      <c r="O30" s="50" t="s">
        <v>2335</v>
      </c>
      <c r="P30" s="50" t="s">
        <v>2339</v>
      </c>
    </row>
    <row r="31" spans="1:16" ht="12.75" customHeight="1" x14ac:dyDescent="0.25">
      <c r="A31" s="311">
        <v>28</v>
      </c>
      <c r="B31" s="311" t="s">
        <v>121</v>
      </c>
      <c r="C31" s="311" t="s">
        <v>121</v>
      </c>
      <c r="D31" s="311" t="s">
        <v>462</v>
      </c>
      <c r="E31" s="337" t="s">
        <v>121</v>
      </c>
      <c r="F31" s="311" t="s">
        <v>279</v>
      </c>
      <c r="G31" s="311" t="s">
        <v>237</v>
      </c>
      <c r="H31" s="311" t="s">
        <v>393</v>
      </c>
      <c r="I31" s="311" t="s">
        <v>66</v>
      </c>
      <c r="J31" s="50" t="s">
        <v>1892</v>
      </c>
      <c r="K31" s="50" t="s">
        <v>1892</v>
      </c>
      <c r="L31" s="50" t="s">
        <v>1893</v>
      </c>
      <c r="M31" s="50" t="s">
        <v>2340</v>
      </c>
      <c r="N31" s="50" t="s">
        <v>2340</v>
      </c>
      <c r="O31" s="50" t="s">
        <v>2335</v>
      </c>
      <c r="P31" s="50" t="s">
        <v>2340</v>
      </c>
    </row>
    <row r="32" spans="1:16" ht="12.75" customHeight="1" x14ac:dyDescent="0.25">
      <c r="A32" s="311">
        <v>29</v>
      </c>
      <c r="B32" s="311" t="s">
        <v>87</v>
      </c>
      <c r="C32" s="311" t="s">
        <v>87</v>
      </c>
      <c r="D32" s="311" t="s">
        <v>462</v>
      </c>
      <c r="E32" s="337" t="s">
        <v>87</v>
      </c>
      <c r="F32" s="311" t="s">
        <v>279</v>
      </c>
      <c r="G32" s="311" t="s">
        <v>237</v>
      </c>
      <c r="H32" s="311" t="s">
        <v>393</v>
      </c>
      <c r="I32" s="311" t="s">
        <v>66</v>
      </c>
      <c r="J32" s="50" t="s">
        <v>1892</v>
      </c>
      <c r="K32" s="50" t="s">
        <v>1892</v>
      </c>
      <c r="L32" s="50" t="s">
        <v>1893</v>
      </c>
      <c r="M32" s="50" t="s">
        <v>2341</v>
      </c>
      <c r="N32" s="50" t="s">
        <v>2341</v>
      </c>
      <c r="O32" s="50" t="s">
        <v>2335</v>
      </c>
      <c r="P32" s="50" t="s">
        <v>2341</v>
      </c>
    </row>
    <row r="33" spans="1:16" ht="12.75" customHeight="1" x14ac:dyDescent="0.25">
      <c r="A33" s="311">
        <v>30</v>
      </c>
      <c r="B33" s="311" t="s">
        <v>125</v>
      </c>
      <c r="C33" s="311" t="s">
        <v>125</v>
      </c>
      <c r="D33" s="311" t="s">
        <v>125</v>
      </c>
      <c r="E33" s="337" t="s">
        <v>125</v>
      </c>
      <c r="F33" s="311" t="s">
        <v>279</v>
      </c>
      <c r="G33" s="311" t="s">
        <v>237</v>
      </c>
      <c r="H33" s="311" t="s">
        <v>393</v>
      </c>
      <c r="I33" s="311" t="s">
        <v>66</v>
      </c>
      <c r="J33" s="50" t="s">
        <v>1892</v>
      </c>
      <c r="K33" s="50" t="s">
        <v>1892</v>
      </c>
      <c r="L33" s="50" t="s">
        <v>1893</v>
      </c>
      <c r="M33" s="50" t="s">
        <v>2342</v>
      </c>
      <c r="N33" s="50" t="s">
        <v>2342</v>
      </c>
      <c r="O33" s="50" t="s">
        <v>2342</v>
      </c>
      <c r="P33" s="50" t="s">
        <v>2342</v>
      </c>
    </row>
    <row r="34" spans="1:16" ht="12.75" customHeight="1" x14ac:dyDescent="0.25">
      <c r="A34" s="311">
        <v>31</v>
      </c>
      <c r="B34" s="311" t="s">
        <v>134</v>
      </c>
      <c r="C34" s="311" t="s">
        <v>134</v>
      </c>
      <c r="D34" s="311" t="s">
        <v>134</v>
      </c>
      <c r="E34" s="337" t="s">
        <v>134</v>
      </c>
      <c r="F34" s="311" t="s">
        <v>279</v>
      </c>
      <c r="G34" s="311" t="s">
        <v>237</v>
      </c>
      <c r="H34" s="311" t="s">
        <v>393</v>
      </c>
      <c r="I34" s="311" t="s">
        <v>66</v>
      </c>
      <c r="J34" s="50" t="s">
        <v>1892</v>
      </c>
      <c r="K34" s="50" t="s">
        <v>1892</v>
      </c>
      <c r="L34" s="50" t="s">
        <v>1893</v>
      </c>
      <c r="M34" s="50" t="s">
        <v>2343</v>
      </c>
      <c r="N34" s="50" t="s">
        <v>2343</v>
      </c>
      <c r="O34" s="50" t="s">
        <v>2343</v>
      </c>
      <c r="P34" s="50" t="s">
        <v>2343</v>
      </c>
    </row>
    <row r="35" spans="1:16" ht="12.75" customHeight="1" x14ac:dyDescent="0.25">
      <c r="A35" s="311">
        <v>32</v>
      </c>
      <c r="B35" s="311" t="s">
        <v>141</v>
      </c>
      <c r="C35" s="311" t="s">
        <v>141</v>
      </c>
      <c r="D35" s="311" t="s">
        <v>141</v>
      </c>
      <c r="E35" s="337" t="s">
        <v>141</v>
      </c>
      <c r="F35" s="311" t="s">
        <v>279</v>
      </c>
      <c r="G35" s="311" t="s">
        <v>237</v>
      </c>
      <c r="H35" s="311" t="s">
        <v>393</v>
      </c>
      <c r="I35" s="311" t="s">
        <v>66</v>
      </c>
      <c r="J35" s="50" t="s">
        <v>1892</v>
      </c>
      <c r="K35" s="50" t="s">
        <v>1892</v>
      </c>
      <c r="L35" s="50" t="s">
        <v>1893</v>
      </c>
      <c r="M35" s="50" t="s">
        <v>2344</v>
      </c>
      <c r="N35" s="50" t="s">
        <v>2344</v>
      </c>
      <c r="O35" s="50" t="s">
        <v>2344</v>
      </c>
      <c r="P35" s="50" t="s">
        <v>2344</v>
      </c>
    </row>
    <row r="36" spans="1:16" ht="12.75" customHeight="1" x14ac:dyDescent="0.25">
      <c r="A36" s="311">
        <v>33</v>
      </c>
      <c r="B36" s="311" t="s">
        <v>69</v>
      </c>
      <c r="C36" s="311" t="s">
        <v>69</v>
      </c>
      <c r="D36" s="311" t="s">
        <v>69</v>
      </c>
      <c r="E36" s="337" t="s">
        <v>69</v>
      </c>
      <c r="F36" s="311" t="s">
        <v>279</v>
      </c>
      <c r="G36" s="311" t="s">
        <v>237</v>
      </c>
      <c r="H36" s="311" t="s">
        <v>393</v>
      </c>
      <c r="I36" s="311" t="s">
        <v>66</v>
      </c>
      <c r="J36" s="50" t="s">
        <v>1892</v>
      </c>
      <c r="K36" s="50" t="s">
        <v>1892</v>
      </c>
      <c r="L36" s="50" t="s">
        <v>1893</v>
      </c>
      <c r="M36" s="50" t="s">
        <v>2345</v>
      </c>
      <c r="N36" s="50" t="s">
        <v>2345</v>
      </c>
      <c r="O36" s="50" t="s">
        <v>2345</v>
      </c>
      <c r="P36" s="50" t="s">
        <v>2345</v>
      </c>
    </row>
    <row r="37" spans="1:16" ht="12.75" customHeight="1" x14ac:dyDescent="0.25">
      <c r="A37" s="311">
        <v>34</v>
      </c>
      <c r="B37" s="311" t="s">
        <v>84</v>
      </c>
      <c r="C37" s="311" t="s">
        <v>462</v>
      </c>
      <c r="D37" s="311" t="s">
        <v>462</v>
      </c>
      <c r="E37" s="337" t="s">
        <v>462</v>
      </c>
      <c r="F37" s="311" t="s">
        <v>257</v>
      </c>
      <c r="G37" s="311" t="s">
        <v>236</v>
      </c>
      <c r="H37" s="311" t="s">
        <v>393</v>
      </c>
      <c r="I37" s="311" t="s">
        <v>66</v>
      </c>
      <c r="J37" s="50" t="s">
        <v>1892</v>
      </c>
      <c r="K37" s="50" t="s">
        <v>1892</v>
      </c>
      <c r="L37" s="50" t="s">
        <v>1893</v>
      </c>
      <c r="M37" s="50" t="s">
        <v>2346</v>
      </c>
      <c r="N37" s="50" t="s">
        <v>2347</v>
      </c>
      <c r="O37" s="50" t="s">
        <v>2347</v>
      </c>
      <c r="P37" s="50" t="s">
        <v>2347</v>
      </c>
    </row>
    <row r="38" spans="1:16" ht="12.75" customHeight="1" x14ac:dyDescent="0.25">
      <c r="A38" s="311">
        <v>35</v>
      </c>
      <c r="B38" s="311" t="s">
        <v>123</v>
      </c>
      <c r="C38" s="311" t="s">
        <v>462</v>
      </c>
      <c r="D38" s="311" t="s">
        <v>462</v>
      </c>
      <c r="E38" s="337" t="s">
        <v>462</v>
      </c>
      <c r="F38" s="311" t="s">
        <v>257</v>
      </c>
      <c r="G38" s="311" t="s">
        <v>236</v>
      </c>
      <c r="H38" s="311" t="s">
        <v>393</v>
      </c>
      <c r="I38" s="311" t="s">
        <v>66</v>
      </c>
      <c r="J38" s="50" t="s">
        <v>1892</v>
      </c>
      <c r="K38" s="50" t="s">
        <v>1892</v>
      </c>
      <c r="L38" s="50" t="s">
        <v>1893</v>
      </c>
      <c r="M38" s="50" t="s">
        <v>2348</v>
      </c>
      <c r="N38" s="50" t="s">
        <v>2347</v>
      </c>
      <c r="O38" s="50" t="s">
        <v>2347</v>
      </c>
      <c r="P38" s="50" t="s">
        <v>2347</v>
      </c>
    </row>
    <row r="39" spans="1:16" ht="12.75" customHeight="1" x14ac:dyDescent="0.25">
      <c r="A39" s="311">
        <v>36</v>
      </c>
      <c r="B39" s="311" t="s">
        <v>75</v>
      </c>
      <c r="C39" s="311" t="s">
        <v>462</v>
      </c>
      <c r="D39" s="311" t="s">
        <v>462</v>
      </c>
      <c r="E39" s="337" t="s">
        <v>462</v>
      </c>
      <c r="F39" s="311" t="s">
        <v>257</v>
      </c>
      <c r="G39" s="311" t="s">
        <v>236</v>
      </c>
      <c r="H39" s="311" t="s">
        <v>393</v>
      </c>
      <c r="I39" s="311" t="s">
        <v>66</v>
      </c>
      <c r="J39" s="50" t="s">
        <v>1892</v>
      </c>
      <c r="K39" s="50" t="s">
        <v>1892</v>
      </c>
      <c r="L39" s="50" t="s">
        <v>1893</v>
      </c>
      <c r="M39" s="50" t="s">
        <v>2349</v>
      </c>
      <c r="N39" s="50" t="s">
        <v>2347</v>
      </c>
      <c r="O39" s="50" t="s">
        <v>2347</v>
      </c>
      <c r="P39" s="50" t="s">
        <v>2347</v>
      </c>
    </row>
    <row r="40" spans="1:16" ht="12.75" customHeight="1" x14ac:dyDescent="0.25">
      <c r="A40" s="311">
        <v>37</v>
      </c>
      <c r="B40" s="311" t="s">
        <v>63</v>
      </c>
      <c r="C40" s="311" t="s">
        <v>63</v>
      </c>
      <c r="D40" s="311" t="s">
        <v>462</v>
      </c>
      <c r="E40" s="337" t="s">
        <v>63</v>
      </c>
      <c r="F40" s="311" t="s">
        <v>257</v>
      </c>
      <c r="G40" s="311" t="s">
        <v>236</v>
      </c>
      <c r="H40" s="311" t="s">
        <v>393</v>
      </c>
      <c r="I40" s="311" t="s">
        <v>66</v>
      </c>
      <c r="J40" s="50" t="s">
        <v>1892</v>
      </c>
      <c r="K40" s="50" t="s">
        <v>1892</v>
      </c>
      <c r="L40" s="50" t="s">
        <v>1893</v>
      </c>
      <c r="M40" s="50" t="s">
        <v>2350</v>
      </c>
      <c r="N40" s="50" t="s">
        <v>2350</v>
      </c>
      <c r="O40" s="50" t="s">
        <v>2347</v>
      </c>
      <c r="P40" s="50" t="s">
        <v>2350</v>
      </c>
    </row>
    <row r="41" spans="1:16" ht="12.75" customHeight="1" x14ac:dyDescent="0.25">
      <c r="A41" s="311">
        <v>38</v>
      </c>
      <c r="B41" s="311" t="s">
        <v>140</v>
      </c>
      <c r="C41" s="311" t="s">
        <v>140</v>
      </c>
      <c r="D41" s="311" t="s">
        <v>462</v>
      </c>
      <c r="E41" s="337" t="s">
        <v>140</v>
      </c>
      <c r="F41" s="311" t="s">
        <v>257</v>
      </c>
      <c r="G41" s="311" t="s">
        <v>236</v>
      </c>
      <c r="H41" s="311" t="s">
        <v>393</v>
      </c>
      <c r="I41" s="311" t="s">
        <v>66</v>
      </c>
      <c r="J41" s="50" t="s">
        <v>1892</v>
      </c>
      <c r="K41" s="50" t="s">
        <v>1892</v>
      </c>
      <c r="L41" s="50" t="s">
        <v>1893</v>
      </c>
      <c r="M41" s="50" t="s">
        <v>2351</v>
      </c>
      <c r="N41" s="50" t="s">
        <v>2351</v>
      </c>
      <c r="O41" s="50" t="s">
        <v>2347</v>
      </c>
      <c r="P41" s="50" t="s">
        <v>2351</v>
      </c>
    </row>
    <row r="42" spans="1:16" ht="12.75" customHeight="1" x14ac:dyDescent="0.25">
      <c r="A42" s="311">
        <v>39</v>
      </c>
      <c r="B42" s="311" t="s">
        <v>121</v>
      </c>
      <c r="C42" s="311" t="s">
        <v>121</v>
      </c>
      <c r="D42" s="311" t="s">
        <v>462</v>
      </c>
      <c r="E42" s="337" t="s">
        <v>121</v>
      </c>
      <c r="F42" s="311" t="s">
        <v>257</v>
      </c>
      <c r="G42" s="311" t="s">
        <v>236</v>
      </c>
      <c r="H42" s="311" t="s">
        <v>393</v>
      </c>
      <c r="I42" s="311" t="s">
        <v>66</v>
      </c>
      <c r="J42" s="50" t="s">
        <v>1892</v>
      </c>
      <c r="K42" s="50" t="s">
        <v>1892</v>
      </c>
      <c r="L42" s="50" t="s">
        <v>1893</v>
      </c>
      <c r="M42" s="50" t="s">
        <v>2352</v>
      </c>
      <c r="N42" s="50" t="s">
        <v>2352</v>
      </c>
      <c r="O42" s="50" t="s">
        <v>2347</v>
      </c>
      <c r="P42" s="50" t="s">
        <v>2352</v>
      </c>
    </row>
    <row r="43" spans="1:16" ht="12.75" customHeight="1" x14ac:dyDescent="0.25">
      <c r="A43" s="311">
        <v>40</v>
      </c>
      <c r="B43" s="311" t="s">
        <v>87</v>
      </c>
      <c r="C43" s="311" t="s">
        <v>87</v>
      </c>
      <c r="D43" s="311" t="s">
        <v>462</v>
      </c>
      <c r="E43" s="337" t="s">
        <v>87</v>
      </c>
      <c r="F43" s="311" t="s">
        <v>257</v>
      </c>
      <c r="G43" s="311" t="s">
        <v>236</v>
      </c>
      <c r="H43" s="311" t="s">
        <v>393</v>
      </c>
      <c r="I43" s="311" t="s">
        <v>66</v>
      </c>
      <c r="J43" s="50" t="s">
        <v>1892</v>
      </c>
      <c r="K43" s="50" t="s">
        <v>1892</v>
      </c>
      <c r="L43" s="50" t="s">
        <v>1893</v>
      </c>
      <c r="M43" s="50" t="s">
        <v>2353</v>
      </c>
      <c r="N43" s="50" t="s">
        <v>2353</v>
      </c>
      <c r="O43" s="50" t="s">
        <v>2347</v>
      </c>
      <c r="P43" s="50" t="s">
        <v>2353</v>
      </c>
    </row>
    <row r="44" spans="1:16" ht="12.75" customHeight="1" x14ac:dyDescent="0.25">
      <c r="A44" s="311">
        <v>41</v>
      </c>
      <c r="B44" s="311" t="s">
        <v>125</v>
      </c>
      <c r="C44" s="311" t="s">
        <v>125</v>
      </c>
      <c r="D44" s="311" t="s">
        <v>125</v>
      </c>
      <c r="E44" s="337" t="s">
        <v>125</v>
      </c>
      <c r="F44" s="311" t="s">
        <v>257</v>
      </c>
      <c r="G44" s="311" t="s">
        <v>236</v>
      </c>
      <c r="H44" s="311" t="s">
        <v>393</v>
      </c>
      <c r="I44" s="311" t="s">
        <v>66</v>
      </c>
      <c r="J44" s="50" t="s">
        <v>1892</v>
      </c>
      <c r="K44" s="50" t="s">
        <v>1892</v>
      </c>
      <c r="L44" s="50" t="s">
        <v>1893</v>
      </c>
      <c r="M44" s="50" t="s">
        <v>2354</v>
      </c>
      <c r="N44" s="50" t="s">
        <v>2354</v>
      </c>
      <c r="O44" s="50" t="s">
        <v>2354</v>
      </c>
      <c r="P44" s="50" t="s">
        <v>2354</v>
      </c>
    </row>
    <row r="45" spans="1:16" ht="12.75" customHeight="1" x14ac:dyDescent="0.25">
      <c r="A45" s="311">
        <v>42</v>
      </c>
      <c r="B45" s="311" t="s">
        <v>134</v>
      </c>
      <c r="C45" s="311" t="s">
        <v>134</v>
      </c>
      <c r="D45" s="311" t="s">
        <v>134</v>
      </c>
      <c r="E45" s="337" t="s">
        <v>134</v>
      </c>
      <c r="F45" s="311" t="s">
        <v>257</v>
      </c>
      <c r="G45" s="311" t="s">
        <v>236</v>
      </c>
      <c r="H45" s="311" t="s">
        <v>393</v>
      </c>
      <c r="I45" s="311" t="s">
        <v>66</v>
      </c>
      <c r="J45" s="50" t="s">
        <v>1892</v>
      </c>
      <c r="K45" s="50" t="s">
        <v>1892</v>
      </c>
      <c r="L45" s="50" t="s">
        <v>1893</v>
      </c>
      <c r="M45" s="50" t="s">
        <v>2355</v>
      </c>
      <c r="N45" s="50" t="s">
        <v>2355</v>
      </c>
      <c r="O45" s="50" t="s">
        <v>2355</v>
      </c>
      <c r="P45" s="50" t="s">
        <v>2355</v>
      </c>
    </row>
    <row r="46" spans="1:16" ht="12.75" customHeight="1" x14ac:dyDescent="0.25">
      <c r="A46" s="311">
        <v>43</v>
      </c>
      <c r="B46" s="311" t="s">
        <v>141</v>
      </c>
      <c r="C46" s="311" t="s">
        <v>141</v>
      </c>
      <c r="D46" s="311" t="s">
        <v>141</v>
      </c>
      <c r="E46" s="337" t="s">
        <v>141</v>
      </c>
      <c r="F46" s="311" t="s">
        <v>257</v>
      </c>
      <c r="G46" s="311" t="s">
        <v>236</v>
      </c>
      <c r="H46" s="311" t="s">
        <v>393</v>
      </c>
      <c r="I46" s="311" t="s">
        <v>66</v>
      </c>
      <c r="J46" s="50" t="s">
        <v>1892</v>
      </c>
      <c r="K46" s="50" t="s">
        <v>1892</v>
      </c>
      <c r="L46" s="50" t="s">
        <v>1893</v>
      </c>
      <c r="M46" s="50" t="s">
        <v>2356</v>
      </c>
      <c r="N46" s="50" t="s">
        <v>2356</v>
      </c>
      <c r="O46" s="50" t="s">
        <v>2356</v>
      </c>
      <c r="P46" s="50" t="s">
        <v>2356</v>
      </c>
    </row>
    <row r="47" spans="1:16" ht="12.75" customHeight="1" x14ac:dyDescent="0.25">
      <c r="A47" s="311">
        <v>44</v>
      </c>
      <c r="B47" s="311" t="s">
        <v>69</v>
      </c>
      <c r="C47" s="311" t="s">
        <v>69</v>
      </c>
      <c r="D47" s="311" t="s">
        <v>69</v>
      </c>
      <c r="E47" s="337" t="s">
        <v>69</v>
      </c>
      <c r="F47" s="311" t="s">
        <v>257</v>
      </c>
      <c r="G47" s="311" t="s">
        <v>236</v>
      </c>
      <c r="H47" s="311" t="s">
        <v>393</v>
      </c>
      <c r="I47" s="311" t="s">
        <v>66</v>
      </c>
      <c r="J47" s="50" t="s">
        <v>1892</v>
      </c>
      <c r="K47" s="50" t="s">
        <v>1892</v>
      </c>
      <c r="L47" s="50" t="s">
        <v>1893</v>
      </c>
      <c r="M47" s="50" t="s">
        <v>2357</v>
      </c>
      <c r="N47" s="50" t="s">
        <v>2357</v>
      </c>
      <c r="O47" s="50" t="s">
        <v>2357</v>
      </c>
      <c r="P47" s="50" t="s">
        <v>2357</v>
      </c>
    </row>
    <row r="48" spans="1:16" ht="12.75" customHeight="1" x14ac:dyDescent="0.25">
      <c r="A48" s="311">
        <v>45</v>
      </c>
      <c r="B48" s="311" t="s">
        <v>84</v>
      </c>
      <c r="C48" s="311" t="s">
        <v>462</v>
      </c>
      <c r="D48" s="311" t="s">
        <v>462</v>
      </c>
      <c r="E48" s="337" t="s">
        <v>462</v>
      </c>
      <c r="F48" s="311" t="s">
        <v>257</v>
      </c>
      <c r="G48" s="311" t="s">
        <v>23</v>
      </c>
      <c r="H48" s="311" t="s">
        <v>393</v>
      </c>
      <c r="I48" s="311" t="s">
        <v>66</v>
      </c>
      <c r="J48" s="50" t="s">
        <v>1892</v>
      </c>
      <c r="K48" s="50" t="s">
        <v>1892</v>
      </c>
      <c r="L48" s="50" t="s">
        <v>1893</v>
      </c>
      <c r="M48" s="50" t="s">
        <v>2358</v>
      </c>
      <c r="N48" s="50" t="s">
        <v>2359</v>
      </c>
      <c r="O48" s="50" t="s">
        <v>2359</v>
      </c>
      <c r="P48" s="50" t="s">
        <v>2359</v>
      </c>
    </row>
    <row r="49" spans="1:16" ht="12.75" customHeight="1" x14ac:dyDescent="0.25">
      <c r="A49" s="311">
        <v>46</v>
      </c>
      <c r="B49" s="311" t="s">
        <v>123</v>
      </c>
      <c r="C49" s="311" t="s">
        <v>462</v>
      </c>
      <c r="D49" s="311" t="s">
        <v>462</v>
      </c>
      <c r="E49" s="337" t="s">
        <v>462</v>
      </c>
      <c r="F49" s="311" t="s">
        <v>257</v>
      </c>
      <c r="G49" s="311" t="s">
        <v>23</v>
      </c>
      <c r="H49" s="311" t="s">
        <v>393</v>
      </c>
      <c r="I49" s="311" t="s">
        <v>66</v>
      </c>
      <c r="J49" s="50" t="s">
        <v>1892</v>
      </c>
      <c r="K49" s="50" t="s">
        <v>1892</v>
      </c>
      <c r="L49" s="50" t="s">
        <v>1893</v>
      </c>
      <c r="M49" s="50" t="s">
        <v>2360</v>
      </c>
      <c r="N49" s="50" t="s">
        <v>2359</v>
      </c>
      <c r="O49" s="50" t="s">
        <v>2359</v>
      </c>
      <c r="P49" s="50" t="s">
        <v>2359</v>
      </c>
    </row>
    <row r="50" spans="1:16" ht="12.75" customHeight="1" x14ac:dyDescent="0.25">
      <c r="A50" s="311">
        <v>47</v>
      </c>
      <c r="B50" s="311" t="s">
        <v>75</v>
      </c>
      <c r="C50" s="311" t="s">
        <v>462</v>
      </c>
      <c r="D50" s="311" t="s">
        <v>462</v>
      </c>
      <c r="E50" s="337" t="s">
        <v>462</v>
      </c>
      <c r="F50" s="311" t="s">
        <v>257</v>
      </c>
      <c r="G50" s="311" t="s">
        <v>23</v>
      </c>
      <c r="H50" s="311" t="s">
        <v>393</v>
      </c>
      <c r="I50" s="311" t="s">
        <v>66</v>
      </c>
      <c r="J50" s="50" t="s">
        <v>1892</v>
      </c>
      <c r="K50" s="50" t="s">
        <v>1892</v>
      </c>
      <c r="L50" s="50" t="s">
        <v>1893</v>
      </c>
      <c r="M50" s="50" t="s">
        <v>2361</v>
      </c>
      <c r="N50" s="50" t="s">
        <v>2359</v>
      </c>
      <c r="O50" s="50" t="s">
        <v>2359</v>
      </c>
      <c r="P50" s="50" t="s">
        <v>2359</v>
      </c>
    </row>
    <row r="51" spans="1:16" ht="12.75" customHeight="1" x14ac:dyDescent="0.25">
      <c r="A51" s="311">
        <v>48</v>
      </c>
      <c r="B51" s="311" t="s">
        <v>63</v>
      </c>
      <c r="C51" s="311" t="s">
        <v>63</v>
      </c>
      <c r="D51" s="311" t="s">
        <v>462</v>
      </c>
      <c r="E51" s="337" t="s">
        <v>63</v>
      </c>
      <c r="F51" s="311" t="s">
        <v>257</v>
      </c>
      <c r="G51" s="311" t="s">
        <v>23</v>
      </c>
      <c r="H51" s="311" t="s">
        <v>393</v>
      </c>
      <c r="I51" s="311" t="s">
        <v>66</v>
      </c>
      <c r="J51" s="50" t="s">
        <v>1892</v>
      </c>
      <c r="K51" s="50" t="s">
        <v>1892</v>
      </c>
      <c r="L51" s="50" t="s">
        <v>1893</v>
      </c>
      <c r="M51" s="50" t="s">
        <v>2362</v>
      </c>
      <c r="N51" s="50" t="s">
        <v>2362</v>
      </c>
      <c r="O51" s="50" t="s">
        <v>2359</v>
      </c>
      <c r="P51" s="50" t="s">
        <v>2362</v>
      </c>
    </row>
    <row r="52" spans="1:16" ht="12.75" customHeight="1" x14ac:dyDescent="0.25">
      <c r="A52" s="311">
        <v>49</v>
      </c>
      <c r="B52" s="311" t="s">
        <v>140</v>
      </c>
      <c r="C52" s="311" t="s">
        <v>140</v>
      </c>
      <c r="D52" s="311" t="s">
        <v>462</v>
      </c>
      <c r="E52" s="337" t="s">
        <v>140</v>
      </c>
      <c r="F52" s="311" t="s">
        <v>257</v>
      </c>
      <c r="G52" s="311" t="s">
        <v>23</v>
      </c>
      <c r="H52" s="311" t="s">
        <v>393</v>
      </c>
      <c r="I52" s="311" t="s">
        <v>66</v>
      </c>
      <c r="J52" s="50" t="s">
        <v>1892</v>
      </c>
      <c r="K52" s="50" t="s">
        <v>1892</v>
      </c>
      <c r="L52" s="50" t="s">
        <v>1893</v>
      </c>
      <c r="M52" s="50" t="s">
        <v>2363</v>
      </c>
      <c r="N52" s="50" t="s">
        <v>2363</v>
      </c>
      <c r="O52" s="50" t="s">
        <v>2359</v>
      </c>
      <c r="P52" s="50" t="s">
        <v>2363</v>
      </c>
    </row>
    <row r="53" spans="1:16" ht="12.75" customHeight="1" x14ac:dyDescent="0.25">
      <c r="A53" s="311">
        <v>50</v>
      </c>
      <c r="B53" s="311" t="s">
        <v>121</v>
      </c>
      <c r="C53" s="311" t="s">
        <v>121</v>
      </c>
      <c r="D53" s="311" t="s">
        <v>462</v>
      </c>
      <c r="E53" s="337" t="s">
        <v>121</v>
      </c>
      <c r="F53" s="311" t="s">
        <v>257</v>
      </c>
      <c r="G53" s="311" t="s">
        <v>23</v>
      </c>
      <c r="H53" s="311" t="s">
        <v>393</v>
      </c>
      <c r="I53" s="311" t="s">
        <v>66</v>
      </c>
      <c r="J53" s="50" t="s">
        <v>1892</v>
      </c>
      <c r="K53" s="50" t="s">
        <v>1892</v>
      </c>
      <c r="L53" s="50" t="s">
        <v>1893</v>
      </c>
      <c r="M53" s="50" t="s">
        <v>2364</v>
      </c>
      <c r="N53" s="50" t="s">
        <v>2364</v>
      </c>
      <c r="O53" s="50" t="s">
        <v>2359</v>
      </c>
      <c r="P53" s="50" t="s">
        <v>2364</v>
      </c>
    </row>
    <row r="54" spans="1:16" ht="12.75" customHeight="1" x14ac:dyDescent="0.25">
      <c r="A54" s="311">
        <v>51</v>
      </c>
      <c r="B54" s="311" t="s">
        <v>87</v>
      </c>
      <c r="C54" s="311" t="s">
        <v>87</v>
      </c>
      <c r="D54" s="311" t="s">
        <v>462</v>
      </c>
      <c r="E54" s="337" t="s">
        <v>87</v>
      </c>
      <c r="F54" s="311" t="s">
        <v>257</v>
      </c>
      <c r="G54" s="311" t="s">
        <v>23</v>
      </c>
      <c r="H54" s="311" t="s">
        <v>393</v>
      </c>
      <c r="I54" s="311" t="s">
        <v>66</v>
      </c>
      <c r="J54" s="50" t="s">
        <v>1892</v>
      </c>
      <c r="K54" s="50" t="s">
        <v>1892</v>
      </c>
      <c r="L54" s="50" t="s">
        <v>1893</v>
      </c>
      <c r="M54" s="50" t="s">
        <v>2365</v>
      </c>
      <c r="N54" s="50" t="s">
        <v>2365</v>
      </c>
      <c r="O54" s="50" t="s">
        <v>2359</v>
      </c>
      <c r="P54" s="50" t="s">
        <v>2365</v>
      </c>
    </row>
    <row r="55" spans="1:16" ht="12.75" customHeight="1" x14ac:dyDescent="0.25">
      <c r="A55" s="311">
        <v>52</v>
      </c>
      <c r="B55" s="311" t="s">
        <v>125</v>
      </c>
      <c r="C55" s="311" t="s">
        <v>125</v>
      </c>
      <c r="D55" s="311" t="s">
        <v>125</v>
      </c>
      <c r="E55" s="337" t="s">
        <v>125</v>
      </c>
      <c r="F55" s="311" t="s">
        <v>257</v>
      </c>
      <c r="G55" s="311" t="s">
        <v>23</v>
      </c>
      <c r="H55" s="311" t="s">
        <v>393</v>
      </c>
      <c r="I55" s="311" t="s">
        <v>66</v>
      </c>
      <c r="J55" s="50" t="s">
        <v>1892</v>
      </c>
      <c r="K55" s="50" t="s">
        <v>1892</v>
      </c>
      <c r="L55" s="50" t="s">
        <v>1893</v>
      </c>
      <c r="M55" s="50" t="s">
        <v>2366</v>
      </c>
      <c r="N55" s="50" t="s">
        <v>2366</v>
      </c>
      <c r="O55" s="50" t="s">
        <v>2366</v>
      </c>
      <c r="P55" s="50" t="s">
        <v>2366</v>
      </c>
    </row>
    <row r="56" spans="1:16" ht="12.75" customHeight="1" x14ac:dyDescent="0.25">
      <c r="A56" s="311">
        <v>53</v>
      </c>
      <c r="B56" s="311" t="s">
        <v>134</v>
      </c>
      <c r="C56" s="311" t="s">
        <v>134</v>
      </c>
      <c r="D56" s="311" t="s">
        <v>134</v>
      </c>
      <c r="E56" s="337" t="s">
        <v>134</v>
      </c>
      <c r="F56" s="311" t="s">
        <v>257</v>
      </c>
      <c r="G56" s="311" t="s">
        <v>23</v>
      </c>
      <c r="H56" s="311" t="s">
        <v>393</v>
      </c>
      <c r="I56" s="311" t="s">
        <v>66</v>
      </c>
      <c r="J56" s="50" t="s">
        <v>1892</v>
      </c>
      <c r="K56" s="50" t="s">
        <v>1892</v>
      </c>
      <c r="L56" s="50" t="s">
        <v>1893</v>
      </c>
      <c r="M56" s="50" t="s">
        <v>2367</v>
      </c>
      <c r="N56" s="50" t="s">
        <v>2367</v>
      </c>
      <c r="O56" s="50" t="s">
        <v>2367</v>
      </c>
      <c r="P56" s="50" t="s">
        <v>2367</v>
      </c>
    </row>
    <row r="57" spans="1:16" ht="12.75" customHeight="1" x14ac:dyDescent="0.25">
      <c r="A57" s="311">
        <v>54</v>
      </c>
      <c r="B57" s="311" t="s">
        <v>141</v>
      </c>
      <c r="C57" s="311" t="s">
        <v>141</v>
      </c>
      <c r="D57" s="311" t="s">
        <v>141</v>
      </c>
      <c r="E57" s="337" t="s">
        <v>141</v>
      </c>
      <c r="F57" s="311" t="s">
        <v>257</v>
      </c>
      <c r="G57" s="311" t="s">
        <v>23</v>
      </c>
      <c r="H57" s="311" t="s">
        <v>393</v>
      </c>
      <c r="I57" s="311" t="s">
        <v>66</v>
      </c>
      <c r="J57" s="50" t="s">
        <v>1892</v>
      </c>
      <c r="K57" s="50" t="s">
        <v>1892</v>
      </c>
      <c r="L57" s="50" t="s">
        <v>1893</v>
      </c>
      <c r="M57" s="50" t="s">
        <v>2368</v>
      </c>
      <c r="N57" s="50" t="s">
        <v>2368</v>
      </c>
      <c r="O57" s="50" t="s">
        <v>2368</v>
      </c>
      <c r="P57" s="50" t="s">
        <v>2368</v>
      </c>
    </row>
    <row r="58" spans="1:16" ht="12.75" customHeight="1" x14ac:dyDescent="0.25">
      <c r="A58" s="311">
        <v>55</v>
      </c>
      <c r="B58" s="311" t="s">
        <v>69</v>
      </c>
      <c r="C58" s="311" t="s">
        <v>69</v>
      </c>
      <c r="D58" s="311" t="s">
        <v>69</v>
      </c>
      <c r="E58" s="337" t="s">
        <v>69</v>
      </c>
      <c r="F58" s="311" t="s">
        <v>257</v>
      </c>
      <c r="G58" s="311" t="s">
        <v>23</v>
      </c>
      <c r="H58" s="311" t="s">
        <v>393</v>
      </c>
      <c r="I58" s="311" t="s">
        <v>66</v>
      </c>
      <c r="J58" s="50" t="s">
        <v>1892</v>
      </c>
      <c r="K58" s="50" t="s">
        <v>1892</v>
      </c>
      <c r="L58" s="50" t="s">
        <v>1893</v>
      </c>
      <c r="M58" s="50" t="s">
        <v>2369</v>
      </c>
      <c r="N58" s="50" t="s">
        <v>2369</v>
      </c>
      <c r="O58" s="50" t="s">
        <v>2369</v>
      </c>
      <c r="P58" s="50" t="s">
        <v>2369</v>
      </c>
    </row>
    <row r="59" spans="1:16" ht="12.75" customHeight="1" x14ac:dyDescent="0.25">
      <c r="A59" s="311">
        <v>56</v>
      </c>
      <c r="B59" s="311" t="s">
        <v>84</v>
      </c>
      <c r="C59" s="311" t="s">
        <v>462</v>
      </c>
      <c r="D59" s="311" t="s">
        <v>462</v>
      </c>
      <c r="E59" s="337" t="s">
        <v>462</v>
      </c>
      <c r="F59" s="311" t="s">
        <v>257</v>
      </c>
      <c r="G59" s="311" t="s">
        <v>237</v>
      </c>
      <c r="H59" s="311" t="s">
        <v>393</v>
      </c>
      <c r="I59" s="311" t="s">
        <v>66</v>
      </c>
      <c r="J59" s="50" t="s">
        <v>1892</v>
      </c>
      <c r="K59" s="50" t="s">
        <v>1892</v>
      </c>
      <c r="L59" s="50" t="s">
        <v>1893</v>
      </c>
      <c r="M59" s="50" t="s">
        <v>2370</v>
      </c>
      <c r="N59" s="50" t="s">
        <v>2371</v>
      </c>
      <c r="O59" s="50" t="s">
        <v>2371</v>
      </c>
      <c r="P59" s="50" t="s">
        <v>2371</v>
      </c>
    </row>
    <row r="60" spans="1:16" ht="12.75" customHeight="1" x14ac:dyDescent="0.25">
      <c r="A60" s="311">
        <v>57</v>
      </c>
      <c r="B60" s="311" t="s">
        <v>123</v>
      </c>
      <c r="C60" s="311" t="s">
        <v>462</v>
      </c>
      <c r="D60" s="311" t="s">
        <v>462</v>
      </c>
      <c r="E60" s="337" t="s">
        <v>462</v>
      </c>
      <c r="F60" s="311" t="s">
        <v>257</v>
      </c>
      <c r="G60" s="311" t="s">
        <v>237</v>
      </c>
      <c r="H60" s="311" t="s">
        <v>393</v>
      </c>
      <c r="I60" s="311" t="s">
        <v>66</v>
      </c>
      <c r="J60" s="50" t="s">
        <v>1892</v>
      </c>
      <c r="K60" s="50" t="s">
        <v>1892</v>
      </c>
      <c r="L60" s="50" t="s">
        <v>1893</v>
      </c>
      <c r="M60" s="50" t="s">
        <v>2372</v>
      </c>
      <c r="N60" s="50" t="s">
        <v>2371</v>
      </c>
      <c r="O60" s="50" t="s">
        <v>2371</v>
      </c>
      <c r="P60" s="50" t="s">
        <v>2371</v>
      </c>
    </row>
    <row r="61" spans="1:16" ht="12.75" customHeight="1" x14ac:dyDescent="0.25">
      <c r="A61" s="311">
        <v>58</v>
      </c>
      <c r="B61" s="311" t="s">
        <v>75</v>
      </c>
      <c r="C61" s="311" t="s">
        <v>462</v>
      </c>
      <c r="D61" s="311" t="s">
        <v>462</v>
      </c>
      <c r="E61" s="337" t="s">
        <v>462</v>
      </c>
      <c r="F61" s="311" t="s">
        <v>257</v>
      </c>
      <c r="G61" s="311" t="s">
        <v>237</v>
      </c>
      <c r="H61" s="311" t="s">
        <v>393</v>
      </c>
      <c r="I61" s="311" t="s">
        <v>66</v>
      </c>
      <c r="J61" s="50" t="s">
        <v>1892</v>
      </c>
      <c r="K61" s="50" t="s">
        <v>1892</v>
      </c>
      <c r="L61" s="50" t="s">
        <v>1893</v>
      </c>
      <c r="M61" s="50" t="s">
        <v>2373</v>
      </c>
      <c r="N61" s="50" t="s">
        <v>2371</v>
      </c>
      <c r="O61" s="50" t="s">
        <v>2371</v>
      </c>
      <c r="P61" s="50" t="s">
        <v>2371</v>
      </c>
    </row>
    <row r="62" spans="1:16" ht="12.75" customHeight="1" x14ac:dyDescent="0.25">
      <c r="A62" s="311">
        <v>59</v>
      </c>
      <c r="B62" s="311" t="s">
        <v>63</v>
      </c>
      <c r="C62" s="311" t="s">
        <v>63</v>
      </c>
      <c r="D62" s="311" t="s">
        <v>462</v>
      </c>
      <c r="E62" s="337" t="s">
        <v>63</v>
      </c>
      <c r="F62" s="311" t="s">
        <v>257</v>
      </c>
      <c r="G62" s="311" t="s">
        <v>237</v>
      </c>
      <c r="H62" s="311" t="s">
        <v>393</v>
      </c>
      <c r="I62" s="311" t="s">
        <v>66</v>
      </c>
      <c r="J62" s="50" t="s">
        <v>1892</v>
      </c>
      <c r="K62" s="50" t="s">
        <v>1892</v>
      </c>
      <c r="L62" s="50" t="s">
        <v>1893</v>
      </c>
      <c r="M62" s="50" t="s">
        <v>2374</v>
      </c>
      <c r="N62" s="50" t="s">
        <v>2374</v>
      </c>
      <c r="O62" s="50" t="s">
        <v>2371</v>
      </c>
      <c r="P62" s="50" t="s">
        <v>2374</v>
      </c>
    </row>
    <row r="63" spans="1:16" ht="12.75" customHeight="1" x14ac:dyDescent="0.25">
      <c r="A63" s="311">
        <v>60</v>
      </c>
      <c r="B63" s="311" t="s">
        <v>140</v>
      </c>
      <c r="C63" s="311" t="s">
        <v>140</v>
      </c>
      <c r="D63" s="311" t="s">
        <v>462</v>
      </c>
      <c r="E63" s="337" t="s">
        <v>140</v>
      </c>
      <c r="F63" s="311" t="s">
        <v>257</v>
      </c>
      <c r="G63" s="311" t="s">
        <v>237</v>
      </c>
      <c r="H63" s="311" t="s">
        <v>393</v>
      </c>
      <c r="I63" s="311" t="s">
        <v>66</v>
      </c>
      <c r="J63" s="50" t="s">
        <v>1892</v>
      </c>
      <c r="K63" s="50" t="s">
        <v>1892</v>
      </c>
      <c r="L63" s="50" t="s">
        <v>1893</v>
      </c>
      <c r="M63" s="50" t="s">
        <v>2375</v>
      </c>
      <c r="N63" s="50" t="s">
        <v>2375</v>
      </c>
      <c r="O63" s="50" t="s">
        <v>2371</v>
      </c>
      <c r="P63" s="50" t="s">
        <v>2375</v>
      </c>
    </row>
    <row r="64" spans="1:16" ht="12.75" customHeight="1" x14ac:dyDescent="0.25">
      <c r="A64" s="311">
        <v>61</v>
      </c>
      <c r="B64" s="311" t="s">
        <v>121</v>
      </c>
      <c r="C64" s="311" t="s">
        <v>121</v>
      </c>
      <c r="D64" s="311" t="s">
        <v>462</v>
      </c>
      <c r="E64" s="337" t="s">
        <v>121</v>
      </c>
      <c r="F64" s="311" t="s">
        <v>257</v>
      </c>
      <c r="G64" s="311" t="s">
        <v>237</v>
      </c>
      <c r="H64" s="311" t="s">
        <v>393</v>
      </c>
      <c r="I64" s="311" t="s">
        <v>66</v>
      </c>
      <c r="J64" s="50" t="s">
        <v>1892</v>
      </c>
      <c r="K64" s="50" t="s">
        <v>1892</v>
      </c>
      <c r="L64" s="50" t="s">
        <v>1893</v>
      </c>
      <c r="M64" s="50" t="s">
        <v>2376</v>
      </c>
      <c r="N64" s="50" t="s">
        <v>2376</v>
      </c>
      <c r="O64" s="50" t="s">
        <v>2371</v>
      </c>
      <c r="P64" s="50" t="s">
        <v>2376</v>
      </c>
    </row>
    <row r="65" spans="1:16" ht="12.75" customHeight="1" x14ac:dyDescent="0.25">
      <c r="A65" s="311">
        <v>62</v>
      </c>
      <c r="B65" s="311" t="s">
        <v>87</v>
      </c>
      <c r="C65" s="311" t="s">
        <v>87</v>
      </c>
      <c r="D65" s="311" t="s">
        <v>462</v>
      </c>
      <c r="E65" s="337" t="s">
        <v>87</v>
      </c>
      <c r="F65" s="311" t="s">
        <v>257</v>
      </c>
      <c r="G65" s="311" t="s">
        <v>237</v>
      </c>
      <c r="H65" s="311" t="s">
        <v>393</v>
      </c>
      <c r="I65" s="311" t="s">
        <v>66</v>
      </c>
      <c r="J65" s="50" t="s">
        <v>1892</v>
      </c>
      <c r="K65" s="50" t="s">
        <v>1892</v>
      </c>
      <c r="L65" s="50" t="s">
        <v>1893</v>
      </c>
      <c r="M65" s="50" t="s">
        <v>2377</v>
      </c>
      <c r="N65" s="50" t="s">
        <v>2377</v>
      </c>
      <c r="O65" s="50" t="s">
        <v>2371</v>
      </c>
      <c r="P65" s="50" t="s">
        <v>2377</v>
      </c>
    </row>
    <row r="66" spans="1:16" ht="12.75" customHeight="1" x14ac:dyDescent="0.25">
      <c r="A66" s="311">
        <v>63</v>
      </c>
      <c r="B66" s="311" t="s">
        <v>125</v>
      </c>
      <c r="C66" s="311" t="s">
        <v>125</v>
      </c>
      <c r="D66" s="311" t="s">
        <v>125</v>
      </c>
      <c r="E66" s="337" t="s">
        <v>125</v>
      </c>
      <c r="F66" s="311" t="s">
        <v>257</v>
      </c>
      <c r="G66" s="311" t="s">
        <v>237</v>
      </c>
      <c r="H66" s="311" t="s">
        <v>393</v>
      </c>
      <c r="I66" s="311" t="s">
        <v>66</v>
      </c>
      <c r="J66" s="50" t="s">
        <v>1892</v>
      </c>
      <c r="K66" s="50" t="s">
        <v>1892</v>
      </c>
      <c r="L66" s="50" t="s">
        <v>1893</v>
      </c>
      <c r="M66" s="50" t="s">
        <v>2378</v>
      </c>
      <c r="N66" s="50" t="s">
        <v>2378</v>
      </c>
      <c r="O66" s="50" t="s">
        <v>2378</v>
      </c>
      <c r="P66" s="50" t="s">
        <v>2378</v>
      </c>
    </row>
    <row r="67" spans="1:16" ht="12.75" customHeight="1" x14ac:dyDescent="0.25">
      <c r="A67" s="311">
        <v>64</v>
      </c>
      <c r="B67" s="311" t="s">
        <v>134</v>
      </c>
      <c r="C67" s="311" t="s">
        <v>134</v>
      </c>
      <c r="D67" s="311" t="s">
        <v>134</v>
      </c>
      <c r="E67" s="337" t="s">
        <v>134</v>
      </c>
      <c r="F67" s="311" t="s">
        <v>257</v>
      </c>
      <c r="G67" s="311" t="s">
        <v>237</v>
      </c>
      <c r="H67" s="311" t="s">
        <v>393</v>
      </c>
      <c r="I67" s="311" t="s">
        <v>66</v>
      </c>
      <c r="J67" s="50" t="s">
        <v>1892</v>
      </c>
      <c r="K67" s="50" t="s">
        <v>1892</v>
      </c>
      <c r="L67" s="50" t="s">
        <v>1893</v>
      </c>
      <c r="M67" s="50" t="s">
        <v>2379</v>
      </c>
      <c r="N67" s="50" t="s">
        <v>2379</v>
      </c>
      <c r="O67" s="50" t="s">
        <v>2379</v>
      </c>
      <c r="P67" s="50" t="s">
        <v>2379</v>
      </c>
    </row>
    <row r="68" spans="1:16" ht="12.75" customHeight="1" x14ac:dyDescent="0.25">
      <c r="A68" s="311">
        <v>65</v>
      </c>
      <c r="B68" s="311" t="s">
        <v>141</v>
      </c>
      <c r="C68" s="311" t="s">
        <v>141</v>
      </c>
      <c r="D68" s="311" t="s">
        <v>141</v>
      </c>
      <c r="E68" s="337" t="s">
        <v>141</v>
      </c>
      <c r="F68" s="311" t="s">
        <v>257</v>
      </c>
      <c r="G68" s="311" t="s">
        <v>237</v>
      </c>
      <c r="H68" s="311" t="s">
        <v>393</v>
      </c>
      <c r="I68" s="311" t="s">
        <v>66</v>
      </c>
      <c r="J68" s="50" t="s">
        <v>1892</v>
      </c>
      <c r="K68" s="50" t="s">
        <v>1892</v>
      </c>
      <c r="L68" s="50" t="s">
        <v>1893</v>
      </c>
      <c r="M68" s="50" t="s">
        <v>2380</v>
      </c>
      <c r="N68" s="50" t="s">
        <v>2380</v>
      </c>
      <c r="O68" s="50" t="s">
        <v>2380</v>
      </c>
      <c r="P68" s="50" t="s">
        <v>2380</v>
      </c>
    </row>
    <row r="69" spans="1:16" ht="12.75" customHeight="1" x14ac:dyDescent="0.25">
      <c r="A69" s="311">
        <v>66</v>
      </c>
      <c r="B69" s="311" t="s">
        <v>69</v>
      </c>
      <c r="C69" s="311" t="s">
        <v>69</v>
      </c>
      <c r="D69" s="311" t="s">
        <v>69</v>
      </c>
      <c r="E69" s="337" t="s">
        <v>69</v>
      </c>
      <c r="F69" s="311" t="s">
        <v>257</v>
      </c>
      <c r="G69" s="311" t="s">
        <v>237</v>
      </c>
      <c r="H69" s="311" t="s">
        <v>393</v>
      </c>
      <c r="I69" s="311" t="s">
        <v>66</v>
      </c>
      <c r="J69" s="50" t="s">
        <v>1892</v>
      </c>
      <c r="K69" s="50" t="s">
        <v>1892</v>
      </c>
      <c r="L69" s="50" t="s">
        <v>1893</v>
      </c>
      <c r="M69" s="50" t="s">
        <v>2381</v>
      </c>
      <c r="N69" s="50" t="s">
        <v>2381</v>
      </c>
      <c r="O69" s="50" t="s">
        <v>2381</v>
      </c>
      <c r="P69" s="50" t="s">
        <v>2381</v>
      </c>
    </row>
    <row r="70" spans="1:16" ht="12.75" customHeight="1" x14ac:dyDescent="0.25">
      <c r="A70" s="311">
        <v>67</v>
      </c>
      <c r="B70" s="311" t="s">
        <v>84</v>
      </c>
      <c r="C70" s="311" t="s">
        <v>462</v>
      </c>
      <c r="D70" s="311" t="s">
        <v>462</v>
      </c>
      <c r="E70" s="337" t="s">
        <v>462</v>
      </c>
      <c r="F70" s="311" t="s">
        <v>280</v>
      </c>
      <c r="G70" s="311" t="s">
        <v>236</v>
      </c>
      <c r="H70" s="311" t="s">
        <v>393</v>
      </c>
      <c r="I70" s="311" t="s">
        <v>66</v>
      </c>
      <c r="J70" s="50" t="s">
        <v>1892</v>
      </c>
      <c r="K70" s="50" t="s">
        <v>1892</v>
      </c>
      <c r="L70" s="50" t="s">
        <v>1893</v>
      </c>
      <c r="M70" s="50" t="s">
        <v>2382</v>
      </c>
      <c r="N70" s="50" t="s">
        <v>2383</v>
      </c>
      <c r="O70" s="50" t="s">
        <v>2383</v>
      </c>
      <c r="P70" s="50" t="s">
        <v>2383</v>
      </c>
    </row>
    <row r="71" spans="1:16" ht="12.75" customHeight="1" x14ac:dyDescent="0.25">
      <c r="A71" s="311">
        <v>68</v>
      </c>
      <c r="B71" s="311" t="s">
        <v>123</v>
      </c>
      <c r="C71" s="311" t="s">
        <v>462</v>
      </c>
      <c r="D71" s="311" t="s">
        <v>462</v>
      </c>
      <c r="E71" s="337" t="s">
        <v>462</v>
      </c>
      <c r="F71" s="311" t="s">
        <v>280</v>
      </c>
      <c r="G71" s="311" t="s">
        <v>236</v>
      </c>
      <c r="H71" s="311" t="s">
        <v>393</v>
      </c>
      <c r="I71" s="311" t="s">
        <v>66</v>
      </c>
      <c r="J71" s="50" t="s">
        <v>1892</v>
      </c>
      <c r="K71" s="50" t="s">
        <v>1892</v>
      </c>
      <c r="L71" s="50" t="s">
        <v>1893</v>
      </c>
      <c r="M71" s="50" t="s">
        <v>2384</v>
      </c>
      <c r="N71" s="50" t="s">
        <v>2383</v>
      </c>
      <c r="O71" s="50" t="s">
        <v>2383</v>
      </c>
      <c r="P71" s="50" t="s">
        <v>2383</v>
      </c>
    </row>
    <row r="72" spans="1:16" ht="12.75" customHeight="1" x14ac:dyDescent="0.25">
      <c r="A72" s="311">
        <v>69</v>
      </c>
      <c r="B72" s="311" t="s">
        <v>75</v>
      </c>
      <c r="C72" s="311" t="s">
        <v>462</v>
      </c>
      <c r="D72" s="311" t="s">
        <v>462</v>
      </c>
      <c r="E72" s="337" t="s">
        <v>462</v>
      </c>
      <c r="F72" s="311" t="s">
        <v>280</v>
      </c>
      <c r="G72" s="311" t="s">
        <v>236</v>
      </c>
      <c r="H72" s="311" t="s">
        <v>393</v>
      </c>
      <c r="I72" s="311" t="s">
        <v>66</v>
      </c>
      <c r="J72" s="50" t="s">
        <v>1892</v>
      </c>
      <c r="K72" s="50" t="s">
        <v>1892</v>
      </c>
      <c r="L72" s="50" t="s">
        <v>1893</v>
      </c>
      <c r="M72" s="50" t="s">
        <v>2385</v>
      </c>
      <c r="N72" s="50" t="s">
        <v>2383</v>
      </c>
      <c r="O72" s="50" t="s">
        <v>2383</v>
      </c>
      <c r="P72" s="50" t="s">
        <v>2383</v>
      </c>
    </row>
    <row r="73" spans="1:16" ht="12.75" customHeight="1" x14ac:dyDescent="0.25">
      <c r="A73" s="311">
        <v>70</v>
      </c>
      <c r="B73" s="311" t="s">
        <v>63</v>
      </c>
      <c r="C73" s="311" t="s">
        <v>63</v>
      </c>
      <c r="D73" s="311" t="s">
        <v>462</v>
      </c>
      <c r="E73" s="337" t="s">
        <v>63</v>
      </c>
      <c r="F73" s="311" t="s">
        <v>280</v>
      </c>
      <c r="G73" s="311" t="s">
        <v>236</v>
      </c>
      <c r="H73" s="311" t="s">
        <v>393</v>
      </c>
      <c r="I73" s="311" t="s">
        <v>66</v>
      </c>
      <c r="J73" s="50" t="s">
        <v>1892</v>
      </c>
      <c r="K73" s="50" t="s">
        <v>1892</v>
      </c>
      <c r="L73" s="50" t="s">
        <v>1893</v>
      </c>
      <c r="M73" s="50" t="s">
        <v>2386</v>
      </c>
      <c r="N73" s="50" t="s">
        <v>2386</v>
      </c>
      <c r="O73" s="50" t="s">
        <v>2383</v>
      </c>
      <c r="P73" s="50" t="s">
        <v>2386</v>
      </c>
    </row>
    <row r="74" spans="1:16" ht="12.75" customHeight="1" x14ac:dyDescent="0.25">
      <c r="A74" s="311">
        <v>71</v>
      </c>
      <c r="B74" s="311" t="s">
        <v>140</v>
      </c>
      <c r="C74" s="311" t="s">
        <v>140</v>
      </c>
      <c r="D74" s="311" t="s">
        <v>462</v>
      </c>
      <c r="E74" s="337" t="s">
        <v>140</v>
      </c>
      <c r="F74" s="311" t="s">
        <v>280</v>
      </c>
      <c r="G74" s="311" t="s">
        <v>236</v>
      </c>
      <c r="H74" s="311" t="s">
        <v>393</v>
      </c>
      <c r="I74" s="311" t="s">
        <v>66</v>
      </c>
      <c r="J74" s="50" t="s">
        <v>1892</v>
      </c>
      <c r="K74" s="50" t="s">
        <v>1892</v>
      </c>
      <c r="L74" s="50" t="s">
        <v>1893</v>
      </c>
      <c r="M74" s="50" t="s">
        <v>2387</v>
      </c>
      <c r="N74" s="50" t="s">
        <v>2387</v>
      </c>
      <c r="O74" s="50" t="s">
        <v>2383</v>
      </c>
      <c r="P74" s="50" t="s">
        <v>2387</v>
      </c>
    </row>
    <row r="75" spans="1:16" ht="12.75" customHeight="1" x14ac:dyDescent="0.25">
      <c r="A75" s="311">
        <v>72</v>
      </c>
      <c r="B75" s="311" t="s">
        <v>121</v>
      </c>
      <c r="C75" s="311" t="s">
        <v>121</v>
      </c>
      <c r="D75" s="311" t="s">
        <v>462</v>
      </c>
      <c r="E75" s="337" t="s">
        <v>121</v>
      </c>
      <c r="F75" s="311" t="s">
        <v>280</v>
      </c>
      <c r="G75" s="311" t="s">
        <v>236</v>
      </c>
      <c r="H75" s="311" t="s">
        <v>393</v>
      </c>
      <c r="I75" s="311" t="s">
        <v>66</v>
      </c>
      <c r="J75" s="50" t="s">
        <v>1892</v>
      </c>
      <c r="K75" s="50" t="s">
        <v>1892</v>
      </c>
      <c r="L75" s="50" t="s">
        <v>1893</v>
      </c>
      <c r="M75" s="50" t="s">
        <v>2388</v>
      </c>
      <c r="N75" s="50" t="s">
        <v>2388</v>
      </c>
      <c r="O75" s="50" t="s">
        <v>2383</v>
      </c>
      <c r="P75" s="50" t="s">
        <v>2388</v>
      </c>
    </row>
    <row r="76" spans="1:16" ht="12.75" customHeight="1" x14ac:dyDescent="0.25">
      <c r="A76" s="311">
        <v>73</v>
      </c>
      <c r="B76" s="311" t="s">
        <v>87</v>
      </c>
      <c r="C76" s="311" t="s">
        <v>87</v>
      </c>
      <c r="D76" s="311" t="s">
        <v>462</v>
      </c>
      <c r="E76" s="337" t="s">
        <v>87</v>
      </c>
      <c r="F76" s="311" t="s">
        <v>280</v>
      </c>
      <c r="G76" s="311" t="s">
        <v>236</v>
      </c>
      <c r="H76" s="311" t="s">
        <v>393</v>
      </c>
      <c r="I76" s="311" t="s">
        <v>66</v>
      </c>
      <c r="J76" s="50" t="s">
        <v>1892</v>
      </c>
      <c r="K76" s="50" t="s">
        <v>1892</v>
      </c>
      <c r="L76" s="50" t="s">
        <v>1893</v>
      </c>
      <c r="M76" s="50" t="s">
        <v>2389</v>
      </c>
      <c r="N76" s="50" t="s">
        <v>2389</v>
      </c>
      <c r="O76" s="50" t="s">
        <v>2383</v>
      </c>
      <c r="P76" s="50" t="s">
        <v>2389</v>
      </c>
    </row>
    <row r="77" spans="1:16" ht="12.75" customHeight="1" x14ac:dyDescent="0.25">
      <c r="A77" s="311">
        <v>74</v>
      </c>
      <c r="B77" s="311" t="s">
        <v>125</v>
      </c>
      <c r="C77" s="311" t="s">
        <v>125</v>
      </c>
      <c r="D77" s="311" t="s">
        <v>125</v>
      </c>
      <c r="E77" s="337" t="s">
        <v>125</v>
      </c>
      <c r="F77" s="311" t="s">
        <v>280</v>
      </c>
      <c r="G77" s="311" t="s">
        <v>236</v>
      </c>
      <c r="H77" s="311" t="s">
        <v>393</v>
      </c>
      <c r="I77" s="311" t="s">
        <v>66</v>
      </c>
      <c r="J77" s="50" t="s">
        <v>1892</v>
      </c>
      <c r="K77" s="50" t="s">
        <v>1892</v>
      </c>
      <c r="L77" s="50" t="s">
        <v>1893</v>
      </c>
      <c r="M77" s="50" t="s">
        <v>2390</v>
      </c>
      <c r="N77" s="50" t="s">
        <v>2390</v>
      </c>
      <c r="O77" s="50" t="s">
        <v>2390</v>
      </c>
      <c r="P77" s="50" t="s">
        <v>2390</v>
      </c>
    </row>
    <row r="78" spans="1:16" ht="12.75" customHeight="1" x14ac:dyDescent="0.25">
      <c r="A78" s="311">
        <v>75</v>
      </c>
      <c r="B78" s="311" t="s">
        <v>134</v>
      </c>
      <c r="C78" s="311" t="s">
        <v>134</v>
      </c>
      <c r="D78" s="311" t="s">
        <v>134</v>
      </c>
      <c r="E78" s="337" t="s">
        <v>134</v>
      </c>
      <c r="F78" s="311" t="s">
        <v>280</v>
      </c>
      <c r="G78" s="311" t="s">
        <v>236</v>
      </c>
      <c r="H78" s="311" t="s">
        <v>393</v>
      </c>
      <c r="I78" s="311" t="s">
        <v>66</v>
      </c>
      <c r="J78" s="50" t="s">
        <v>1892</v>
      </c>
      <c r="K78" s="50" t="s">
        <v>1892</v>
      </c>
      <c r="L78" s="50" t="s">
        <v>1893</v>
      </c>
      <c r="M78" s="50" t="s">
        <v>2391</v>
      </c>
      <c r="N78" s="50" t="s">
        <v>2391</v>
      </c>
      <c r="O78" s="50" t="s">
        <v>2391</v>
      </c>
      <c r="P78" s="50" t="s">
        <v>2391</v>
      </c>
    </row>
    <row r="79" spans="1:16" ht="12.75" customHeight="1" x14ac:dyDescent="0.25">
      <c r="A79" s="311">
        <v>76</v>
      </c>
      <c r="B79" s="311" t="s">
        <v>141</v>
      </c>
      <c r="C79" s="311" t="s">
        <v>141</v>
      </c>
      <c r="D79" s="311" t="s">
        <v>141</v>
      </c>
      <c r="E79" s="337" t="s">
        <v>141</v>
      </c>
      <c r="F79" s="311" t="s">
        <v>280</v>
      </c>
      <c r="G79" s="311" t="s">
        <v>236</v>
      </c>
      <c r="H79" s="311" t="s">
        <v>393</v>
      </c>
      <c r="I79" s="311" t="s">
        <v>66</v>
      </c>
      <c r="J79" s="50" t="s">
        <v>1892</v>
      </c>
      <c r="K79" s="50" t="s">
        <v>1892</v>
      </c>
      <c r="L79" s="50" t="s">
        <v>1893</v>
      </c>
      <c r="M79" s="50" t="s">
        <v>2392</v>
      </c>
      <c r="N79" s="50" t="s">
        <v>2392</v>
      </c>
      <c r="O79" s="50" t="s">
        <v>2392</v>
      </c>
      <c r="P79" s="50" t="s">
        <v>2392</v>
      </c>
    </row>
    <row r="80" spans="1:16" ht="12.75" customHeight="1" x14ac:dyDescent="0.25">
      <c r="A80" s="311">
        <v>77</v>
      </c>
      <c r="B80" s="311" t="s">
        <v>69</v>
      </c>
      <c r="C80" s="311" t="s">
        <v>69</v>
      </c>
      <c r="D80" s="311" t="s">
        <v>69</v>
      </c>
      <c r="E80" s="337" t="s">
        <v>69</v>
      </c>
      <c r="F80" s="311" t="s">
        <v>280</v>
      </c>
      <c r="G80" s="311" t="s">
        <v>236</v>
      </c>
      <c r="H80" s="311" t="s">
        <v>393</v>
      </c>
      <c r="I80" s="311" t="s">
        <v>66</v>
      </c>
      <c r="J80" s="50" t="s">
        <v>1892</v>
      </c>
      <c r="K80" s="50" t="s">
        <v>1892</v>
      </c>
      <c r="L80" s="50" t="s">
        <v>1893</v>
      </c>
      <c r="M80" s="50" t="s">
        <v>2393</v>
      </c>
      <c r="N80" s="50" t="s">
        <v>2393</v>
      </c>
      <c r="O80" s="50" t="s">
        <v>2393</v>
      </c>
      <c r="P80" s="50" t="s">
        <v>2393</v>
      </c>
    </row>
    <row r="81" spans="1:16" ht="12.75" customHeight="1" x14ac:dyDescent="0.25">
      <c r="A81" s="311">
        <v>78</v>
      </c>
      <c r="B81" s="311" t="s">
        <v>84</v>
      </c>
      <c r="C81" s="311" t="s">
        <v>462</v>
      </c>
      <c r="D81" s="311" t="s">
        <v>462</v>
      </c>
      <c r="E81" s="337" t="s">
        <v>462</v>
      </c>
      <c r="F81" s="311" t="s">
        <v>280</v>
      </c>
      <c r="G81" s="311" t="s">
        <v>23</v>
      </c>
      <c r="H81" s="311" t="s">
        <v>393</v>
      </c>
      <c r="I81" s="311" t="s">
        <v>66</v>
      </c>
      <c r="J81" s="50" t="s">
        <v>1892</v>
      </c>
      <c r="K81" s="50" t="s">
        <v>1892</v>
      </c>
      <c r="L81" s="50" t="s">
        <v>1893</v>
      </c>
      <c r="M81" s="50" t="s">
        <v>2394</v>
      </c>
      <c r="N81" s="50" t="s">
        <v>2395</v>
      </c>
      <c r="O81" s="50" t="s">
        <v>2395</v>
      </c>
      <c r="P81" s="50" t="s">
        <v>2395</v>
      </c>
    </row>
    <row r="82" spans="1:16" ht="12.75" customHeight="1" x14ac:dyDescent="0.25">
      <c r="A82" s="311">
        <v>79</v>
      </c>
      <c r="B82" s="311" t="s">
        <v>123</v>
      </c>
      <c r="C82" s="311" t="s">
        <v>462</v>
      </c>
      <c r="D82" s="311" t="s">
        <v>462</v>
      </c>
      <c r="E82" s="337" t="s">
        <v>462</v>
      </c>
      <c r="F82" s="311" t="s">
        <v>280</v>
      </c>
      <c r="G82" s="311" t="s">
        <v>23</v>
      </c>
      <c r="H82" s="311" t="s">
        <v>393</v>
      </c>
      <c r="I82" s="311" t="s">
        <v>66</v>
      </c>
      <c r="J82" s="50" t="s">
        <v>1892</v>
      </c>
      <c r="K82" s="50" t="s">
        <v>1892</v>
      </c>
      <c r="L82" s="50" t="s">
        <v>1893</v>
      </c>
      <c r="M82" s="50" t="s">
        <v>2396</v>
      </c>
      <c r="N82" s="50" t="s">
        <v>2395</v>
      </c>
      <c r="O82" s="50" t="s">
        <v>2395</v>
      </c>
      <c r="P82" s="50" t="s">
        <v>2395</v>
      </c>
    </row>
    <row r="83" spans="1:16" ht="12.75" customHeight="1" x14ac:dyDescent="0.25">
      <c r="A83" s="311">
        <v>80</v>
      </c>
      <c r="B83" s="311" t="s">
        <v>75</v>
      </c>
      <c r="C83" s="311" t="s">
        <v>462</v>
      </c>
      <c r="D83" s="311" t="s">
        <v>462</v>
      </c>
      <c r="E83" s="337" t="s">
        <v>462</v>
      </c>
      <c r="F83" s="311" t="s">
        <v>280</v>
      </c>
      <c r="G83" s="311" t="s">
        <v>23</v>
      </c>
      <c r="H83" s="311" t="s">
        <v>393</v>
      </c>
      <c r="I83" s="311" t="s">
        <v>66</v>
      </c>
      <c r="J83" s="50" t="s">
        <v>1892</v>
      </c>
      <c r="K83" s="50" t="s">
        <v>1892</v>
      </c>
      <c r="L83" s="50" t="s">
        <v>1893</v>
      </c>
      <c r="M83" s="50" t="s">
        <v>2397</v>
      </c>
      <c r="N83" s="50" t="s">
        <v>2395</v>
      </c>
      <c r="O83" s="50" t="s">
        <v>2395</v>
      </c>
      <c r="P83" s="50" t="s">
        <v>2395</v>
      </c>
    </row>
    <row r="84" spans="1:16" ht="12.75" customHeight="1" x14ac:dyDescent="0.25">
      <c r="A84" s="311">
        <v>81</v>
      </c>
      <c r="B84" s="311" t="s">
        <v>63</v>
      </c>
      <c r="C84" s="311" t="s">
        <v>63</v>
      </c>
      <c r="D84" s="311" t="s">
        <v>462</v>
      </c>
      <c r="E84" s="337" t="s">
        <v>63</v>
      </c>
      <c r="F84" s="311" t="s">
        <v>280</v>
      </c>
      <c r="G84" s="311" t="s">
        <v>23</v>
      </c>
      <c r="H84" s="311" t="s">
        <v>393</v>
      </c>
      <c r="I84" s="311" t="s">
        <v>66</v>
      </c>
      <c r="J84" s="50" t="s">
        <v>1892</v>
      </c>
      <c r="K84" s="50" t="s">
        <v>1892</v>
      </c>
      <c r="L84" s="50" t="s">
        <v>1893</v>
      </c>
      <c r="M84" s="50" t="s">
        <v>2398</v>
      </c>
      <c r="N84" s="50" t="s">
        <v>2398</v>
      </c>
      <c r="O84" s="50" t="s">
        <v>2395</v>
      </c>
      <c r="P84" s="50" t="s">
        <v>2398</v>
      </c>
    </row>
    <row r="85" spans="1:16" ht="12.75" customHeight="1" x14ac:dyDescent="0.25">
      <c r="A85" s="311">
        <v>82</v>
      </c>
      <c r="B85" s="311" t="s">
        <v>140</v>
      </c>
      <c r="C85" s="311" t="s">
        <v>140</v>
      </c>
      <c r="D85" s="311" t="s">
        <v>462</v>
      </c>
      <c r="E85" s="337" t="s">
        <v>140</v>
      </c>
      <c r="F85" s="311" t="s">
        <v>280</v>
      </c>
      <c r="G85" s="311" t="s">
        <v>23</v>
      </c>
      <c r="H85" s="311" t="s">
        <v>393</v>
      </c>
      <c r="I85" s="311" t="s">
        <v>66</v>
      </c>
      <c r="J85" s="50" t="s">
        <v>1892</v>
      </c>
      <c r="K85" s="50" t="s">
        <v>1892</v>
      </c>
      <c r="L85" s="50" t="s">
        <v>1893</v>
      </c>
      <c r="M85" s="50" t="s">
        <v>2399</v>
      </c>
      <c r="N85" s="50" t="s">
        <v>2399</v>
      </c>
      <c r="O85" s="50" t="s">
        <v>2395</v>
      </c>
      <c r="P85" s="50" t="s">
        <v>2399</v>
      </c>
    </row>
    <row r="86" spans="1:16" ht="12.75" customHeight="1" x14ac:dyDescent="0.25">
      <c r="A86" s="311">
        <v>83</v>
      </c>
      <c r="B86" s="311" t="s">
        <v>121</v>
      </c>
      <c r="C86" s="311" t="s">
        <v>121</v>
      </c>
      <c r="D86" s="311" t="s">
        <v>462</v>
      </c>
      <c r="E86" s="337" t="s">
        <v>121</v>
      </c>
      <c r="F86" s="311" t="s">
        <v>280</v>
      </c>
      <c r="G86" s="311" t="s">
        <v>23</v>
      </c>
      <c r="H86" s="311" t="s">
        <v>393</v>
      </c>
      <c r="I86" s="311" t="s">
        <v>66</v>
      </c>
      <c r="J86" s="50" t="s">
        <v>1892</v>
      </c>
      <c r="K86" s="50" t="s">
        <v>1892</v>
      </c>
      <c r="L86" s="50" t="s">
        <v>1893</v>
      </c>
      <c r="M86" s="50" t="s">
        <v>2400</v>
      </c>
      <c r="N86" s="50" t="s">
        <v>2400</v>
      </c>
      <c r="O86" s="50" t="s">
        <v>2395</v>
      </c>
      <c r="P86" s="50" t="s">
        <v>2400</v>
      </c>
    </row>
    <row r="87" spans="1:16" ht="12.75" customHeight="1" x14ac:dyDescent="0.25">
      <c r="A87" s="311">
        <v>84</v>
      </c>
      <c r="B87" s="311" t="s">
        <v>87</v>
      </c>
      <c r="C87" s="311" t="s">
        <v>87</v>
      </c>
      <c r="D87" s="311" t="s">
        <v>462</v>
      </c>
      <c r="E87" s="337" t="s">
        <v>87</v>
      </c>
      <c r="F87" s="311" t="s">
        <v>280</v>
      </c>
      <c r="G87" s="311" t="s">
        <v>23</v>
      </c>
      <c r="H87" s="311" t="s">
        <v>393</v>
      </c>
      <c r="I87" s="311" t="s">
        <v>66</v>
      </c>
      <c r="J87" s="50" t="s">
        <v>1892</v>
      </c>
      <c r="K87" s="50" t="s">
        <v>1892</v>
      </c>
      <c r="L87" s="50" t="s">
        <v>1893</v>
      </c>
      <c r="M87" s="50" t="s">
        <v>2401</v>
      </c>
      <c r="N87" s="50" t="s">
        <v>2401</v>
      </c>
      <c r="O87" s="50" t="s">
        <v>2395</v>
      </c>
      <c r="P87" s="50" t="s">
        <v>2401</v>
      </c>
    </row>
    <row r="88" spans="1:16" ht="12.75" customHeight="1" x14ac:dyDescent="0.25">
      <c r="A88" s="311">
        <v>85</v>
      </c>
      <c r="B88" s="311" t="s">
        <v>125</v>
      </c>
      <c r="C88" s="311" t="s">
        <v>125</v>
      </c>
      <c r="D88" s="311" t="s">
        <v>125</v>
      </c>
      <c r="E88" s="337" t="s">
        <v>125</v>
      </c>
      <c r="F88" s="311" t="s">
        <v>280</v>
      </c>
      <c r="G88" s="311" t="s">
        <v>23</v>
      </c>
      <c r="H88" s="311" t="s">
        <v>393</v>
      </c>
      <c r="I88" s="311" t="s">
        <v>66</v>
      </c>
      <c r="J88" s="50" t="s">
        <v>1892</v>
      </c>
      <c r="K88" s="50" t="s">
        <v>1892</v>
      </c>
      <c r="L88" s="50" t="s">
        <v>1893</v>
      </c>
      <c r="M88" s="50" t="s">
        <v>2402</v>
      </c>
      <c r="N88" s="50" t="s">
        <v>2402</v>
      </c>
      <c r="O88" s="50" t="s">
        <v>2402</v>
      </c>
      <c r="P88" s="50" t="s">
        <v>2402</v>
      </c>
    </row>
    <row r="89" spans="1:16" ht="12.75" customHeight="1" x14ac:dyDescent="0.25">
      <c r="A89" s="311">
        <v>86</v>
      </c>
      <c r="B89" s="311" t="s">
        <v>134</v>
      </c>
      <c r="C89" s="311" t="s">
        <v>134</v>
      </c>
      <c r="D89" s="311" t="s">
        <v>134</v>
      </c>
      <c r="E89" s="337" t="s">
        <v>134</v>
      </c>
      <c r="F89" s="311" t="s">
        <v>280</v>
      </c>
      <c r="G89" s="311" t="s">
        <v>23</v>
      </c>
      <c r="H89" s="311" t="s">
        <v>393</v>
      </c>
      <c r="I89" s="311" t="s">
        <v>66</v>
      </c>
      <c r="J89" s="50" t="s">
        <v>1892</v>
      </c>
      <c r="K89" s="50" t="s">
        <v>1892</v>
      </c>
      <c r="L89" s="50" t="s">
        <v>1893</v>
      </c>
      <c r="M89" s="50" t="s">
        <v>2403</v>
      </c>
      <c r="N89" s="50" t="s">
        <v>2403</v>
      </c>
      <c r="O89" s="50" t="s">
        <v>2403</v>
      </c>
      <c r="P89" s="50" t="s">
        <v>2403</v>
      </c>
    </row>
    <row r="90" spans="1:16" ht="12.75" customHeight="1" x14ac:dyDescent="0.25">
      <c r="A90" s="311">
        <v>87</v>
      </c>
      <c r="B90" s="311" t="s">
        <v>141</v>
      </c>
      <c r="C90" s="311" t="s">
        <v>141</v>
      </c>
      <c r="D90" s="311" t="s">
        <v>141</v>
      </c>
      <c r="E90" s="337" t="s">
        <v>141</v>
      </c>
      <c r="F90" s="311" t="s">
        <v>280</v>
      </c>
      <c r="G90" s="311" t="s">
        <v>23</v>
      </c>
      <c r="H90" s="311" t="s">
        <v>393</v>
      </c>
      <c r="I90" s="311" t="s">
        <v>66</v>
      </c>
      <c r="J90" s="50" t="s">
        <v>1892</v>
      </c>
      <c r="K90" s="50" t="s">
        <v>1892</v>
      </c>
      <c r="L90" s="50" t="s">
        <v>1893</v>
      </c>
      <c r="M90" s="50" t="s">
        <v>2404</v>
      </c>
      <c r="N90" s="50" t="s">
        <v>2404</v>
      </c>
      <c r="O90" s="50" t="s">
        <v>2404</v>
      </c>
      <c r="P90" s="50" t="s">
        <v>2404</v>
      </c>
    </row>
    <row r="91" spans="1:16" ht="12.75" customHeight="1" x14ac:dyDescent="0.25">
      <c r="A91" s="311">
        <v>88</v>
      </c>
      <c r="B91" s="311" t="s">
        <v>69</v>
      </c>
      <c r="C91" s="311" t="s">
        <v>69</v>
      </c>
      <c r="D91" s="311" t="s">
        <v>69</v>
      </c>
      <c r="E91" s="337" t="s">
        <v>69</v>
      </c>
      <c r="F91" s="311" t="s">
        <v>280</v>
      </c>
      <c r="G91" s="311" t="s">
        <v>23</v>
      </c>
      <c r="H91" s="311" t="s">
        <v>393</v>
      </c>
      <c r="I91" s="311" t="s">
        <v>66</v>
      </c>
      <c r="J91" s="50" t="s">
        <v>1892</v>
      </c>
      <c r="K91" s="50" t="s">
        <v>1892</v>
      </c>
      <c r="L91" s="50" t="s">
        <v>1893</v>
      </c>
      <c r="M91" s="50" t="s">
        <v>2405</v>
      </c>
      <c r="N91" s="50" t="s">
        <v>2405</v>
      </c>
      <c r="O91" s="50" t="s">
        <v>2405</v>
      </c>
      <c r="P91" s="50" t="s">
        <v>2405</v>
      </c>
    </row>
    <row r="92" spans="1:16" ht="12.75" customHeight="1" x14ac:dyDescent="0.25">
      <c r="A92" s="311">
        <v>89</v>
      </c>
      <c r="B92" s="311" t="s">
        <v>84</v>
      </c>
      <c r="C92" s="311" t="s">
        <v>462</v>
      </c>
      <c r="D92" s="311" t="s">
        <v>462</v>
      </c>
      <c r="E92" s="337" t="s">
        <v>462</v>
      </c>
      <c r="F92" s="311" t="s">
        <v>280</v>
      </c>
      <c r="G92" s="311" t="s">
        <v>237</v>
      </c>
      <c r="H92" s="311" t="s">
        <v>393</v>
      </c>
      <c r="I92" s="311" t="s">
        <v>66</v>
      </c>
      <c r="J92" s="50" t="s">
        <v>1892</v>
      </c>
      <c r="K92" s="50" t="s">
        <v>1892</v>
      </c>
      <c r="L92" s="50" t="s">
        <v>1893</v>
      </c>
      <c r="M92" s="50" t="s">
        <v>2406</v>
      </c>
      <c r="N92" s="50" t="s">
        <v>2407</v>
      </c>
      <c r="O92" s="50" t="s">
        <v>2407</v>
      </c>
      <c r="P92" s="50" t="s">
        <v>2407</v>
      </c>
    </row>
    <row r="93" spans="1:16" ht="12.75" customHeight="1" x14ac:dyDescent="0.25">
      <c r="A93" s="311">
        <v>90</v>
      </c>
      <c r="B93" s="311" t="s">
        <v>123</v>
      </c>
      <c r="C93" s="311" t="s">
        <v>462</v>
      </c>
      <c r="D93" s="311" t="s">
        <v>462</v>
      </c>
      <c r="E93" s="337" t="s">
        <v>462</v>
      </c>
      <c r="F93" s="311" t="s">
        <v>280</v>
      </c>
      <c r="G93" s="311" t="s">
        <v>237</v>
      </c>
      <c r="H93" s="311" t="s">
        <v>393</v>
      </c>
      <c r="I93" s="311" t="s">
        <v>66</v>
      </c>
      <c r="J93" s="50" t="s">
        <v>1892</v>
      </c>
      <c r="K93" s="50" t="s">
        <v>1892</v>
      </c>
      <c r="L93" s="50" t="s">
        <v>1893</v>
      </c>
      <c r="M93" s="50" t="s">
        <v>2408</v>
      </c>
      <c r="N93" s="50" t="s">
        <v>2407</v>
      </c>
      <c r="O93" s="50" t="s">
        <v>2407</v>
      </c>
      <c r="P93" s="50" t="s">
        <v>2407</v>
      </c>
    </row>
    <row r="94" spans="1:16" ht="12.75" customHeight="1" x14ac:dyDescent="0.25">
      <c r="A94" s="311">
        <v>91</v>
      </c>
      <c r="B94" s="311" t="s">
        <v>75</v>
      </c>
      <c r="C94" s="311" t="s">
        <v>462</v>
      </c>
      <c r="D94" s="311" t="s">
        <v>462</v>
      </c>
      <c r="E94" s="337" t="s">
        <v>462</v>
      </c>
      <c r="F94" s="311" t="s">
        <v>280</v>
      </c>
      <c r="G94" s="311" t="s">
        <v>237</v>
      </c>
      <c r="H94" s="311" t="s">
        <v>393</v>
      </c>
      <c r="I94" s="311" t="s">
        <v>66</v>
      </c>
      <c r="J94" s="50" t="s">
        <v>1892</v>
      </c>
      <c r="K94" s="50" t="s">
        <v>1892</v>
      </c>
      <c r="L94" s="50" t="s">
        <v>1893</v>
      </c>
      <c r="M94" s="50" t="s">
        <v>2409</v>
      </c>
      <c r="N94" s="50" t="s">
        <v>2407</v>
      </c>
      <c r="O94" s="50" t="s">
        <v>2407</v>
      </c>
      <c r="P94" s="50" t="s">
        <v>2407</v>
      </c>
    </row>
    <row r="95" spans="1:16" ht="12.75" customHeight="1" x14ac:dyDescent="0.25">
      <c r="A95" s="311">
        <v>92</v>
      </c>
      <c r="B95" s="311" t="s">
        <v>63</v>
      </c>
      <c r="C95" s="311" t="s">
        <v>63</v>
      </c>
      <c r="D95" s="311" t="s">
        <v>462</v>
      </c>
      <c r="E95" s="337" t="s">
        <v>63</v>
      </c>
      <c r="F95" s="311" t="s">
        <v>280</v>
      </c>
      <c r="G95" s="311" t="s">
        <v>237</v>
      </c>
      <c r="H95" s="311" t="s">
        <v>393</v>
      </c>
      <c r="I95" s="311" t="s">
        <v>66</v>
      </c>
      <c r="J95" s="50" t="s">
        <v>1892</v>
      </c>
      <c r="K95" s="50" t="s">
        <v>1892</v>
      </c>
      <c r="L95" s="50" t="s">
        <v>1893</v>
      </c>
      <c r="M95" s="50" t="s">
        <v>2410</v>
      </c>
      <c r="N95" s="50" t="s">
        <v>2410</v>
      </c>
      <c r="O95" s="50" t="s">
        <v>2407</v>
      </c>
      <c r="P95" s="50" t="s">
        <v>2410</v>
      </c>
    </row>
    <row r="96" spans="1:16" ht="12.75" customHeight="1" x14ac:dyDescent="0.25">
      <c r="A96" s="311">
        <v>93</v>
      </c>
      <c r="B96" s="311" t="s">
        <v>140</v>
      </c>
      <c r="C96" s="311" t="s">
        <v>140</v>
      </c>
      <c r="D96" s="311" t="s">
        <v>462</v>
      </c>
      <c r="E96" s="337" t="s">
        <v>140</v>
      </c>
      <c r="F96" s="311" t="s">
        <v>280</v>
      </c>
      <c r="G96" s="311" t="s">
        <v>237</v>
      </c>
      <c r="H96" s="311" t="s">
        <v>393</v>
      </c>
      <c r="I96" s="311" t="s">
        <v>66</v>
      </c>
      <c r="J96" s="50" t="s">
        <v>1892</v>
      </c>
      <c r="K96" s="50" t="s">
        <v>1892</v>
      </c>
      <c r="L96" s="50" t="s">
        <v>1893</v>
      </c>
      <c r="M96" s="50" t="s">
        <v>2411</v>
      </c>
      <c r="N96" s="50" t="s">
        <v>2411</v>
      </c>
      <c r="O96" s="50" t="s">
        <v>2407</v>
      </c>
      <c r="P96" s="50" t="s">
        <v>2411</v>
      </c>
    </row>
    <row r="97" spans="1:16" ht="12.75" customHeight="1" x14ac:dyDescent="0.25">
      <c r="A97" s="311">
        <v>94</v>
      </c>
      <c r="B97" s="311" t="s">
        <v>121</v>
      </c>
      <c r="C97" s="311" t="s">
        <v>121</v>
      </c>
      <c r="D97" s="311" t="s">
        <v>462</v>
      </c>
      <c r="E97" s="337" t="s">
        <v>121</v>
      </c>
      <c r="F97" s="311" t="s">
        <v>280</v>
      </c>
      <c r="G97" s="311" t="s">
        <v>237</v>
      </c>
      <c r="H97" s="311" t="s">
        <v>393</v>
      </c>
      <c r="I97" s="311" t="s">
        <v>66</v>
      </c>
      <c r="J97" s="50" t="s">
        <v>1892</v>
      </c>
      <c r="K97" s="50" t="s">
        <v>1892</v>
      </c>
      <c r="L97" s="50" t="s">
        <v>1893</v>
      </c>
      <c r="M97" s="50" t="s">
        <v>2412</v>
      </c>
      <c r="N97" s="50" t="s">
        <v>2412</v>
      </c>
      <c r="O97" s="50" t="s">
        <v>2407</v>
      </c>
      <c r="P97" s="50" t="s">
        <v>2412</v>
      </c>
    </row>
    <row r="98" spans="1:16" ht="12.75" customHeight="1" x14ac:dyDescent="0.25">
      <c r="A98" s="311">
        <v>95</v>
      </c>
      <c r="B98" s="311" t="s">
        <v>87</v>
      </c>
      <c r="C98" s="311" t="s">
        <v>87</v>
      </c>
      <c r="D98" s="311" t="s">
        <v>462</v>
      </c>
      <c r="E98" s="337" t="s">
        <v>87</v>
      </c>
      <c r="F98" s="311" t="s">
        <v>280</v>
      </c>
      <c r="G98" s="311" t="s">
        <v>237</v>
      </c>
      <c r="H98" s="311" t="s">
        <v>393</v>
      </c>
      <c r="I98" s="311" t="s">
        <v>66</v>
      </c>
      <c r="J98" s="50" t="s">
        <v>1892</v>
      </c>
      <c r="K98" s="50" t="s">
        <v>1892</v>
      </c>
      <c r="L98" s="50" t="s">
        <v>1893</v>
      </c>
      <c r="M98" s="50" t="s">
        <v>2413</v>
      </c>
      <c r="N98" s="50" t="s">
        <v>2413</v>
      </c>
      <c r="O98" s="50" t="s">
        <v>2407</v>
      </c>
      <c r="P98" s="50" t="s">
        <v>2413</v>
      </c>
    </row>
    <row r="99" spans="1:16" ht="12.75" customHeight="1" x14ac:dyDescent="0.25">
      <c r="A99" s="311">
        <v>96</v>
      </c>
      <c r="B99" s="311" t="s">
        <v>125</v>
      </c>
      <c r="C99" s="311" t="s">
        <v>125</v>
      </c>
      <c r="D99" s="311" t="s">
        <v>125</v>
      </c>
      <c r="E99" s="337" t="s">
        <v>125</v>
      </c>
      <c r="F99" s="311" t="s">
        <v>280</v>
      </c>
      <c r="G99" s="311" t="s">
        <v>237</v>
      </c>
      <c r="H99" s="311" t="s">
        <v>393</v>
      </c>
      <c r="I99" s="311" t="s">
        <v>66</v>
      </c>
      <c r="J99" s="50" t="s">
        <v>1892</v>
      </c>
      <c r="K99" s="50" t="s">
        <v>1892</v>
      </c>
      <c r="L99" s="50" t="s">
        <v>1893</v>
      </c>
      <c r="M99" s="50" t="s">
        <v>2414</v>
      </c>
      <c r="N99" s="50" t="s">
        <v>2414</v>
      </c>
      <c r="O99" s="50" t="s">
        <v>2414</v>
      </c>
      <c r="P99" s="50" t="s">
        <v>2414</v>
      </c>
    </row>
    <row r="100" spans="1:16" ht="12.75" customHeight="1" x14ac:dyDescent="0.25">
      <c r="A100" s="311">
        <v>97</v>
      </c>
      <c r="B100" s="311" t="s">
        <v>134</v>
      </c>
      <c r="C100" s="311" t="s">
        <v>134</v>
      </c>
      <c r="D100" s="311" t="s">
        <v>134</v>
      </c>
      <c r="E100" s="337" t="s">
        <v>134</v>
      </c>
      <c r="F100" s="311" t="s">
        <v>280</v>
      </c>
      <c r="G100" s="311" t="s">
        <v>237</v>
      </c>
      <c r="H100" s="311" t="s">
        <v>393</v>
      </c>
      <c r="I100" s="311" t="s">
        <v>66</v>
      </c>
      <c r="J100" s="50" t="s">
        <v>1892</v>
      </c>
      <c r="K100" s="50" t="s">
        <v>1892</v>
      </c>
      <c r="L100" s="50" t="s">
        <v>1893</v>
      </c>
      <c r="M100" s="50" t="s">
        <v>2415</v>
      </c>
      <c r="N100" s="50" t="s">
        <v>2415</v>
      </c>
      <c r="O100" s="50" t="s">
        <v>2415</v>
      </c>
      <c r="P100" s="50" t="s">
        <v>2415</v>
      </c>
    </row>
    <row r="101" spans="1:16" ht="12.75" customHeight="1" x14ac:dyDescent="0.25">
      <c r="A101" s="311">
        <v>98</v>
      </c>
      <c r="B101" s="311" t="s">
        <v>141</v>
      </c>
      <c r="C101" s="311" t="s">
        <v>141</v>
      </c>
      <c r="D101" s="311" t="s">
        <v>141</v>
      </c>
      <c r="E101" s="337" t="s">
        <v>141</v>
      </c>
      <c r="F101" s="311" t="s">
        <v>280</v>
      </c>
      <c r="G101" s="311" t="s">
        <v>237</v>
      </c>
      <c r="H101" s="311" t="s">
        <v>393</v>
      </c>
      <c r="I101" s="311" t="s">
        <v>66</v>
      </c>
      <c r="J101" s="50" t="s">
        <v>1892</v>
      </c>
      <c r="K101" s="50" t="s">
        <v>1892</v>
      </c>
      <c r="L101" s="50" t="s">
        <v>1893</v>
      </c>
      <c r="M101" s="50" t="s">
        <v>2416</v>
      </c>
      <c r="N101" s="50" t="s">
        <v>2416</v>
      </c>
      <c r="O101" s="50" t="s">
        <v>2416</v>
      </c>
      <c r="P101" s="50" t="s">
        <v>2416</v>
      </c>
    </row>
    <row r="102" spans="1:16" ht="12.75" customHeight="1" x14ac:dyDescent="0.25">
      <c r="A102" s="311">
        <v>99</v>
      </c>
      <c r="B102" s="311" t="s">
        <v>69</v>
      </c>
      <c r="C102" s="311" t="s">
        <v>69</v>
      </c>
      <c r="D102" s="311" t="s">
        <v>69</v>
      </c>
      <c r="E102" s="337" t="s">
        <v>69</v>
      </c>
      <c r="F102" s="311" t="s">
        <v>280</v>
      </c>
      <c r="G102" s="311" t="s">
        <v>237</v>
      </c>
      <c r="H102" s="311" t="s">
        <v>393</v>
      </c>
      <c r="I102" s="311" t="s">
        <v>66</v>
      </c>
      <c r="J102" s="50" t="s">
        <v>1892</v>
      </c>
      <c r="K102" s="50" t="s">
        <v>1892</v>
      </c>
      <c r="L102" s="50" t="s">
        <v>1893</v>
      </c>
      <c r="M102" s="50" t="s">
        <v>2417</v>
      </c>
      <c r="N102" s="50" t="s">
        <v>2417</v>
      </c>
      <c r="O102" s="50" t="s">
        <v>2417</v>
      </c>
      <c r="P102" s="50" t="s">
        <v>2417</v>
      </c>
    </row>
    <row r="103" spans="1:16" ht="12.75" customHeight="1" x14ac:dyDescent="0.25">
      <c r="A103" s="311">
        <v>100</v>
      </c>
      <c r="B103" s="311" t="s">
        <v>84</v>
      </c>
      <c r="C103" s="311" t="s">
        <v>462</v>
      </c>
      <c r="D103" s="311" t="s">
        <v>462</v>
      </c>
      <c r="E103" s="337" t="s">
        <v>462</v>
      </c>
      <c r="F103" s="311" t="s">
        <v>241</v>
      </c>
      <c r="G103" s="311" t="s">
        <v>236</v>
      </c>
      <c r="H103" s="311" t="s">
        <v>393</v>
      </c>
      <c r="I103" s="311" t="s">
        <v>66</v>
      </c>
      <c r="J103" s="50" t="s">
        <v>1892</v>
      </c>
      <c r="K103" s="50" t="s">
        <v>1892</v>
      </c>
      <c r="L103" s="50" t="s">
        <v>1893</v>
      </c>
      <c r="M103" s="50" t="s">
        <v>2418</v>
      </c>
      <c r="N103" s="50" t="s">
        <v>2419</v>
      </c>
      <c r="O103" s="50" t="s">
        <v>2419</v>
      </c>
      <c r="P103" s="50" t="s">
        <v>2419</v>
      </c>
    </row>
    <row r="104" spans="1:16" ht="12.75" customHeight="1" x14ac:dyDescent="0.25">
      <c r="A104" s="311">
        <v>101</v>
      </c>
      <c r="B104" s="311" t="s">
        <v>123</v>
      </c>
      <c r="C104" s="311" t="s">
        <v>462</v>
      </c>
      <c r="D104" s="311" t="s">
        <v>462</v>
      </c>
      <c r="E104" s="337" t="s">
        <v>462</v>
      </c>
      <c r="F104" s="311" t="s">
        <v>241</v>
      </c>
      <c r="G104" s="311" t="s">
        <v>236</v>
      </c>
      <c r="H104" s="311" t="s">
        <v>393</v>
      </c>
      <c r="I104" s="311" t="s">
        <v>66</v>
      </c>
      <c r="J104" s="50" t="s">
        <v>1892</v>
      </c>
      <c r="K104" s="50" t="s">
        <v>1892</v>
      </c>
      <c r="L104" s="50" t="s">
        <v>1893</v>
      </c>
      <c r="M104" s="50" t="s">
        <v>2420</v>
      </c>
      <c r="N104" s="50" t="s">
        <v>2419</v>
      </c>
      <c r="O104" s="50" t="s">
        <v>2419</v>
      </c>
      <c r="P104" s="50" t="s">
        <v>2419</v>
      </c>
    </row>
    <row r="105" spans="1:16" ht="12.75" customHeight="1" x14ac:dyDescent="0.25">
      <c r="A105" s="311">
        <v>102</v>
      </c>
      <c r="B105" s="311" t="s">
        <v>75</v>
      </c>
      <c r="C105" s="311" t="s">
        <v>462</v>
      </c>
      <c r="D105" s="311" t="s">
        <v>462</v>
      </c>
      <c r="E105" s="337" t="s">
        <v>462</v>
      </c>
      <c r="F105" s="311" t="s">
        <v>241</v>
      </c>
      <c r="G105" s="311" t="s">
        <v>236</v>
      </c>
      <c r="H105" s="311" t="s">
        <v>393</v>
      </c>
      <c r="I105" s="311" t="s">
        <v>66</v>
      </c>
      <c r="J105" s="50" t="s">
        <v>1892</v>
      </c>
      <c r="K105" s="50" t="s">
        <v>1892</v>
      </c>
      <c r="L105" s="50" t="s">
        <v>1893</v>
      </c>
      <c r="M105" s="50" t="s">
        <v>2421</v>
      </c>
      <c r="N105" s="50" t="s">
        <v>2419</v>
      </c>
      <c r="O105" s="50" t="s">
        <v>2419</v>
      </c>
      <c r="P105" s="50" t="s">
        <v>2419</v>
      </c>
    </row>
    <row r="106" spans="1:16" ht="12.75" customHeight="1" x14ac:dyDescent="0.25">
      <c r="A106" s="311">
        <v>103</v>
      </c>
      <c r="B106" s="311" t="s">
        <v>63</v>
      </c>
      <c r="C106" s="311" t="s">
        <v>63</v>
      </c>
      <c r="D106" s="311" t="s">
        <v>462</v>
      </c>
      <c r="E106" s="337" t="s">
        <v>63</v>
      </c>
      <c r="F106" s="311" t="s">
        <v>241</v>
      </c>
      <c r="G106" s="311" t="s">
        <v>236</v>
      </c>
      <c r="H106" s="311" t="s">
        <v>393</v>
      </c>
      <c r="I106" s="311" t="s">
        <v>66</v>
      </c>
      <c r="J106" s="50" t="s">
        <v>1892</v>
      </c>
      <c r="K106" s="50" t="s">
        <v>1892</v>
      </c>
      <c r="L106" s="50" t="s">
        <v>1893</v>
      </c>
      <c r="M106" s="50" t="s">
        <v>2422</v>
      </c>
      <c r="N106" s="50" t="s">
        <v>2422</v>
      </c>
      <c r="O106" s="50" t="s">
        <v>2419</v>
      </c>
      <c r="P106" s="50" t="s">
        <v>2422</v>
      </c>
    </row>
    <row r="107" spans="1:16" ht="12.75" customHeight="1" x14ac:dyDescent="0.25">
      <c r="A107" s="311">
        <v>104</v>
      </c>
      <c r="B107" s="311" t="s">
        <v>140</v>
      </c>
      <c r="C107" s="311" t="s">
        <v>140</v>
      </c>
      <c r="D107" s="311" t="s">
        <v>462</v>
      </c>
      <c r="E107" s="337" t="s">
        <v>140</v>
      </c>
      <c r="F107" s="311" t="s">
        <v>241</v>
      </c>
      <c r="G107" s="311" t="s">
        <v>236</v>
      </c>
      <c r="H107" s="311" t="s">
        <v>393</v>
      </c>
      <c r="I107" s="311" t="s">
        <v>66</v>
      </c>
      <c r="J107" s="50" t="s">
        <v>1892</v>
      </c>
      <c r="K107" s="50" t="s">
        <v>1892</v>
      </c>
      <c r="L107" s="50" t="s">
        <v>1893</v>
      </c>
      <c r="M107" s="50" t="s">
        <v>2423</v>
      </c>
      <c r="N107" s="50" t="s">
        <v>2423</v>
      </c>
      <c r="O107" s="50" t="s">
        <v>2419</v>
      </c>
      <c r="P107" s="50" t="s">
        <v>2423</v>
      </c>
    </row>
    <row r="108" spans="1:16" ht="12.75" customHeight="1" x14ac:dyDescent="0.25">
      <c r="A108" s="311">
        <v>105</v>
      </c>
      <c r="B108" s="311" t="s">
        <v>121</v>
      </c>
      <c r="C108" s="311" t="s">
        <v>121</v>
      </c>
      <c r="D108" s="311" t="s">
        <v>462</v>
      </c>
      <c r="E108" s="337" t="s">
        <v>121</v>
      </c>
      <c r="F108" s="311" t="s">
        <v>241</v>
      </c>
      <c r="G108" s="311" t="s">
        <v>236</v>
      </c>
      <c r="H108" s="311" t="s">
        <v>393</v>
      </c>
      <c r="I108" s="311" t="s">
        <v>66</v>
      </c>
      <c r="J108" s="50" t="s">
        <v>1892</v>
      </c>
      <c r="K108" s="50" t="s">
        <v>1892</v>
      </c>
      <c r="L108" s="50" t="s">
        <v>1893</v>
      </c>
      <c r="M108" s="50" t="s">
        <v>2424</v>
      </c>
      <c r="N108" s="50" t="s">
        <v>2424</v>
      </c>
      <c r="O108" s="50" t="s">
        <v>2419</v>
      </c>
      <c r="P108" s="50" t="s">
        <v>2424</v>
      </c>
    </row>
    <row r="109" spans="1:16" ht="12.75" customHeight="1" x14ac:dyDescent="0.25">
      <c r="A109" s="311">
        <v>106</v>
      </c>
      <c r="B109" s="311" t="s">
        <v>87</v>
      </c>
      <c r="C109" s="311" t="s">
        <v>87</v>
      </c>
      <c r="D109" s="311" t="s">
        <v>462</v>
      </c>
      <c r="E109" s="337" t="s">
        <v>87</v>
      </c>
      <c r="F109" s="311" t="s">
        <v>241</v>
      </c>
      <c r="G109" s="311" t="s">
        <v>236</v>
      </c>
      <c r="H109" s="311" t="s">
        <v>393</v>
      </c>
      <c r="I109" s="311" t="s">
        <v>66</v>
      </c>
      <c r="J109" s="50" t="s">
        <v>1892</v>
      </c>
      <c r="K109" s="50" t="s">
        <v>1892</v>
      </c>
      <c r="L109" s="50" t="s">
        <v>1893</v>
      </c>
      <c r="M109" s="50" t="s">
        <v>2425</v>
      </c>
      <c r="N109" s="50" t="s">
        <v>2425</v>
      </c>
      <c r="O109" s="50" t="s">
        <v>2419</v>
      </c>
      <c r="P109" s="50" t="s">
        <v>2425</v>
      </c>
    </row>
    <row r="110" spans="1:16" ht="12.75" customHeight="1" x14ac:dyDescent="0.25">
      <c r="A110" s="311">
        <v>107</v>
      </c>
      <c r="B110" s="311" t="s">
        <v>125</v>
      </c>
      <c r="C110" s="311" t="s">
        <v>125</v>
      </c>
      <c r="D110" s="311" t="s">
        <v>125</v>
      </c>
      <c r="E110" s="337" t="s">
        <v>125</v>
      </c>
      <c r="F110" s="311" t="s">
        <v>241</v>
      </c>
      <c r="G110" s="311" t="s">
        <v>236</v>
      </c>
      <c r="H110" s="311" t="s">
        <v>393</v>
      </c>
      <c r="I110" s="311" t="s">
        <v>66</v>
      </c>
      <c r="J110" s="50" t="s">
        <v>1892</v>
      </c>
      <c r="K110" s="50" t="s">
        <v>1892</v>
      </c>
      <c r="L110" s="50" t="s">
        <v>1893</v>
      </c>
      <c r="M110" s="50" t="s">
        <v>2426</v>
      </c>
      <c r="N110" s="50" t="s">
        <v>2426</v>
      </c>
      <c r="O110" s="50" t="s">
        <v>2426</v>
      </c>
      <c r="P110" s="50" t="s">
        <v>2426</v>
      </c>
    </row>
    <row r="111" spans="1:16" ht="12.75" customHeight="1" x14ac:dyDescent="0.25">
      <c r="A111" s="311">
        <v>108</v>
      </c>
      <c r="B111" s="311" t="s">
        <v>134</v>
      </c>
      <c r="C111" s="311" t="s">
        <v>134</v>
      </c>
      <c r="D111" s="311" t="s">
        <v>134</v>
      </c>
      <c r="E111" s="337" t="s">
        <v>134</v>
      </c>
      <c r="F111" s="311" t="s">
        <v>241</v>
      </c>
      <c r="G111" s="311" t="s">
        <v>236</v>
      </c>
      <c r="H111" s="311" t="s">
        <v>393</v>
      </c>
      <c r="I111" s="311" t="s">
        <v>66</v>
      </c>
      <c r="J111" s="50" t="s">
        <v>1892</v>
      </c>
      <c r="K111" s="50" t="s">
        <v>1892</v>
      </c>
      <c r="L111" s="50" t="s">
        <v>1893</v>
      </c>
      <c r="M111" s="50" t="s">
        <v>2427</v>
      </c>
      <c r="N111" s="50" t="s">
        <v>2427</v>
      </c>
      <c r="O111" s="50" t="s">
        <v>2427</v>
      </c>
      <c r="P111" s="50" t="s">
        <v>2427</v>
      </c>
    </row>
    <row r="112" spans="1:16" ht="12.75" customHeight="1" x14ac:dyDescent="0.25">
      <c r="A112" s="311">
        <v>109</v>
      </c>
      <c r="B112" s="311" t="s">
        <v>141</v>
      </c>
      <c r="C112" s="311" t="s">
        <v>141</v>
      </c>
      <c r="D112" s="311" t="s">
        <v>141</v>
      </c>
      <c r="E112" s="337" t="s">
        <v>141</v>
      </c>
      <c r="F112" s="311" t="s">
        <v>241</v>
      </c>
      <c r="G112" s="311" t="s">
        <v>236</v>
      </c>
      <c r="H112" s="311" t="s">
        <v>393</v>
      </c>
      <c r="I112" s="311" t="s">
        <v>66</v>
      </c>
      <c r="J112" s="50" t="s">
        <v>1892</v>
      </c>
      <c r="K112" s="50" t="s">
        <v>1892</v>
      </c>
      <c r="L112" s="50" t="s">
        <v>1893</v>
      </c>
      <c r="M112" s="50" t="s">
        <v>2428</v>
      </c>
      <c r="N112" s="50" t="s">
        <v>2428</v>
      </c>
      <c r="O112" s="50" t="s">
        <v>2428</v>
      </c>
      <c r="P112" s="50" t="s">
        <v>2428</v>
      </c>
    </row>
    <row r="113" spans="1:16" ht="12.75" customHeight="1" x14ac:dyDescent="0.25">
      <c r="A113" s="311">
        <v>110</v>
      </c>
      <c r="B113" s="311" t="s">
        <v>69</v>
      </c>
      <c r="C113" s="311" t="s">
        <v>69</v>
      </c>
      <c r="D113" s="311" t="s">
        <v>69</v>
      </c>
      <c r="E113" s="337" t="s">
        <v>69</v>
      </c>
      <c r="F113" s="311" t="s">
        <v>241</v>
      </c>
      <c r="G113" s="311" t="s">
        <v>236</v>
      </c>
      <c r="H113" s="311" t="s">
        <v>393</v>
      </c>
      <c r="I113" s="311" t="s">
        <v>66</v>
      </c>
      <c r="J113" s="50" t="s">
        <v>1892</v>
      </c>
      <c r="K113" s="50" t="s">
        <v>1892</v>
      </c>
      <c r="L113" s="50" t="s">
        <v>1893</v>
      </c>
      <c r="M113" s="50" t="s">
        <v>2429</v>
      </c>
      <c r="N113" s="50" t="s">
        <v>2429</v>
      </c>
      <c r="O113" s="50" t="s">
        <v>2429</v>
      </c>
      <c r="P113" s="50" t="s">
        <v>2429</v>
      </c>
    </row>
    <row r="114" spans="1:16" ht="12.75" customHeight="1" x14ac:dyDescent="0.25">
      <c r="A114" s="311">
        <v>111</v>
      </c>
      <c r="B114" s="311" t="s">
        <v>84</v>
      </c>
      <c r="C114" s="311" t="s">
        <v>462</v>
      </c>
      <c r="D114" s="311" t="s">
        <v>462</v>
      </c>
      <c r="E114" s="337" t="s">
        <v>462</v>
      </c>
      <c r="F114" s="311" t="s">
        <v>241</v>
      </c>
      <c r="G114" s="311" t="s">
        <v>23</v>
      </c>
      <c r="H114" s="311" t="s">
        <v>393</v>
      </c>
      <c r="I114" s="311" t="s">
        <v>66</v>
      </c>
      <c r="J114" s="50" t="s">
        <v>1892</v>
      </c>
      <c r="K114" s="50" t="s">
        <v>1892</v>
      </c>
      <c r="L114" s="50" t="s">
        <v>1893</v>
      </c>
      <c r="M114" s="50" t="s">
        <v>2430</v>
      </c>
      <c r="N114" s="50" t="s">
        <v>2431</v>
      </c>
      <c r="O114" s="50" t="s">
        <v>2431</v>
      </c>
      <c r="P114" s="50" t="s">
        <v>2431</v>
      </c>
    </row>
    <row r="115" spans="1:16" ht="12.75" customHeight="1" x14ac:dyDescent="0.25">
      <c r="A115" s="311">
        <v>112</v>
      </c>
      <c r="B115" s="311" t="s">
        <v>123</v>
      </c>
      <c r="C115" s="311" t="s">
        <v>462</v>
      </c>
      <c r="D115" s="311" t="s">
        <v>462</v>
      </c>
      <c r="E115" s="337" t="s">
        <v>462</v>
      </c>
      <c r="F115" s="311" t="s">
        <v>241</v>
      </c>
      <c r="G115" s="311" t="s">
        <v>23</v>
      </c>
      <c r="H115" s="311" t="s">
        <v>393</v>
      </c>
      <c r="I115" s="311" t="s">
        <v>66</v>
      </c>
      <c r="J115" s="50" t="s">
        <v>1892</v>
      </c>
      <c r="K115" s="50" t="s">
        <v>1892</v>
      </c>
      <c r="L115" s="50" t="s">
        <v>1893</v>
      </c>
      <c r="M115" s="50" t="s">
        <v>2432</v>
      </c>
      <c r="N115" s="50" t="s">
        <v>2431</v>
      </c>
      <c r="O115" s="50" t="s">
        <v>2431</v>
      </c>
      <c r="P115" s="50" t="s">
        <v>2431</v>
      </c>
    </row>
    <row r="116" spans="1:16" ht="12.75" customHeight="1" x14ac:dyDescent="0.25">
      <c r="A116" s="311">
        <v>113</v>
      </c>
      <c r="B116" s="311" t="s">
        <v>75</v>
      </c>
      <c r="C116" s="311" t="s">
        <v>462</v>
      </c>
      <c r="D116" s="311" t="s">
        <v>462</v>
      </c>
      <c r="E116" s="337" t="s">
        <v>462</v>
      </c>
      <c r="F116" s="311" t="s">
        <v>241</v>
      </c>
      <c r="G116" s="311" t="s">
        <v>23</v>
      </c>
      <c r="H116" s="311" t="s">
        <v>393</v>
      </c>
      <c r="I116" s="311" t="s">
        <v>66</v>
      </c>
      <c r="J116" s="50" t="s">
        <v>1892</v>
      </c>
      <c r="K116" s="50" t="s">
        <v>1892</v>
      </c>
      <c r="L116" s="50" t="s">
        <v>1893</v>
      </c>
      <c r="M116" s="50" t="s">
        <v>2433</v>
      </c>
      <c r="N116" s="50" t="s">
        <v>2431</v>
      </c>
      <c r="O116" s="50" t="s">
        <v>2431</v>
      </c>
      <c r="P116" s="50" t="s">
        <v>2431</v>
      </c>
    </row>
    <row r="117" spans="1:16" ht="12.75" customHeight="1" x14ac:dyDescent="0.25">
      <c r="A117" s="311">
        <v>114</v>
      </c>
      <c r="B117" s="311" t="s">
        <v>63</v>
      </c>
      <c r="C117" s="311" t="s">
        <v>63</v>
      </c>
      <c r="D117" s="311" t="s">
        <v>462</v>
      </c>
      <c r="E117" s="337" t="s">
        <v>63</v>
      </c>
      <c r="F117" s="311" t="s">
        <v>241</v>
      </c>
      <c r="G117" s="311" t="s">
        <v>23</v>
      </c>
      <c r="H117" s="311" t="s">
        <v>393</v>
      </c>
      <c r="I117" s="311" t="s">
        <v>66</v>
      </c>
      <c r="J117" s="50" t="s">
        <v>1892</v>
      </c>
      <c r="K117" s="50" t="s">
        <v>1892</v>
      </c>
      <c r="L117" s="50" t="s">
        <v>1893</v>
      </c>
      <c r="M117" s="50" t="s">
        <v>2434</v>
      </c>
      <c r="N117" s="50" t="s">
        <v>2434</v>
      </c>
      <c r="O117" s="50" t="s">
        <v>2431</v>
      </c>
      <c r="P117" s="50" t="s">
        <v>2434</v>
      </c>
    </row>
    <row r="118" spans="1:16" ht="12.75" customHeight="1" x14ac:dyDescent="0.25">
      <c r="A118" s="311">
        <v>115</v>
      </c>
      <c r="B118" s="311" t="s">
        <v>140</v>
      </c>
      <c r="C118" s="311" t="s">
        <v>140</v>
      </c>
      <c r="D118" s="311" t="s">
        <v>462</v>
      </c>
      <c r="E118" s="337" t="s">
        <v>140</v>
      </c>
      <c r="F118" s="311" t="s">
        <v>241</v>
      </c>
      <c r="G118" s="311" t="s">
        <v>23</v>
      </c>
      <c r="H118" s="311" t="s">
        <v>393</v>
      </c>
      <c r="I118" s="311" t="s">
        <v>66</v>
      </c>
      <c r="J118" s="50" t="s">
        <v>1892</v>
      </c>
      <c r="K118" s="50" t="s">
        <v>1892</v>
      </c>
      <c r="L118" s="50" t="s">
        <v>1893</v>
      </c>
      <c r="M118" s="50" t="s">
        <v>2435</v>
      </c>
      <c r="N118" s="50" t="s">
        <v>2435</v>
      </c>
      <c r="O118" s="50" t="s">
        <v>2431</v>
      </c>
      <c r="P118" s="50" t="s">
        <v>2435</v>
      </c>
    </row>
    <row r="119" spans="1:16" ht="12.75" customHeight="1" x14ac:dyDescent="0.25">
      <c r="A119" s="311">
        <v>116</v>
      </c>
      <c r="B119" s="311" t="s">
        <v>121</v>
      </c>
      <c r="C119" s="311" t="s">
        <v>121</v>
      </c>
      <c r="D119" s="311" t="s">
        <v>462</v>
      </c>
      <c r="E119" s="337" t="s">
        <v>121</v>
      </c>
      <c r="F119" s="311" t="s">
        <v>241</v>
      </c>
      <c r="G119" s="311" t="s">
        <v>23</v>
      </c>
      <c r="H119" s="311" t="s">
        <v>393</v>
      </c>
      <c r="I119" s="311" t="s">
        <v>66</v>
      </c>
      <c r="J119" s="50" t="s">
        <v>1892</v>
      </c>
      <c r="K119" s="50" t="s">
        <v>1892</v>
      </c>
      <c r="L119" s="50" t="s">
        <v>1893</v>
      </c>
      <c r="M119" s="50" t="s">
        <v>2436</v>
      </c>
      <c r="N119" s="50" t="s">
        <v>2436</v>
      </c>
      <c r="O119" s="50" t="s">
        <v>2431</v>
      </c>
      <c r="P119" s="50" t="s">
        <v>2436</v>
      </c>
    </row>
    <row r="120" spans="1:16" ht="12.75" customHeight="1" x14ac:dyDescent="0.25">
      <c r="A120" s="311">
        <v>117</v>
      </c>
      <c r="B120" s="311" t="s">
        <v>87</v>
      </c>
      <c r="C120" s="311" t="s">
        <v>87</v>
      </c>
      <c r="D120" s="311" t="s">
        <v>462</v>
      </c>
      <c r="E120" s="337" t="s">
        <v>87</v>
      </c>
      <c r="F120" s="311" t="s">
        <v>241</v>
      </c>
      <c r="G120" s="311" t="s">
        <v>23</v>
      </c>
      <c r="H120" s="311" t="s">
        <v>393</v>
      </c>
      <c r="I120" s="311" t="s">
        <v>66</v>
      </c>
      <c r="J120" s="50" t="s">
        <v>1892</v>
      </c>
      <c r="K120" s="50" t="s">
        <v>1892</v>
      </c>
      <c r="L120" s="50" t="s">
        <v>1893</v>
      </c>
      <c r="M120" s="50" t="s">
        <v>2437</v>
      </c>
      <c r="N120" s="50" t="s">
        <v>2437</v>
      </c>
      <c r="O120" s="50" t="s">
        <v>2431</v>
      </c>
      <c r="P120" s="50" t="s">
        <v>2437</v>
      </c>
    </row>
    <row r="121" spans="1:16" ht="12.75" customHeight="1" x14ac:dyDescent="0.25">
      <c r="A121" s="311">
        <v>118</v>
      </c>
      <c r="B121" s="311" t="s">
        <v>125</v>
      </c>
      <c r="C121" s="311" t="s">
        <v>125</v>
      </c>
      <c r="D121" s="311" t="s">
        <v>125</v>
      </c>
      <c r="E121" s="337" t="s">
        <v>125</v>
      </c>
      <c r="F121" s="311" t="s">
        <v>241</v>
      </c>
      <c r="G121" s="311" t="s">
        <v>23</v>
      </c>
      <c r="H121" s="311" t="s">
        <v>393</v>
      </c>
      <c r="I121" s="311" t="s">
        <v>66</v>
      </c>
      <c r="J121" s="50" t="s">
        <v>1892</v>
      </c>
      <c r="K121" s="50" t="s">
        <v>1892</v>
      </c>
      <c r="L121" s="50" t="s">
        <v>1893</v>
      </c>
      <c r="M121" s="50" t="s">
        <v>2438</v>
      </c>
      <c r="N121" s="50" t="s">
        <v>2438</v>
      </c>
      <c r="O121" s="50" t="s">
        <v>2438</v>
      </c>
      <c r="P121" s="50" t="s">
        <v>2438</v>
      </c>
    </row>
    <row r="122" spans="1:16" ht="12.75" customHeight="1" x14ac:dyDescent="0.25">
      <c r="A122" s="311">
        <v>119</v>
      </c>
      <c r="B122" s="311" t="s">
        <v>134</v>
      </c>
      <c r="C122" s="311" t="s">
        <v>134</v>
      </c>
      <c r="D122" s="311" t="s">
        <v>134</v>
      </c>
      <c r="E122" s="337" t="s">
        <v>134</v>
      </c>
      <c r="F122" s="311" t="s">
        <v>241</v>
      </c>
      <c r="G122" s="311" t="s">
        <v>23</v>
      </c>
      <c r="H122" s="311" t="s">
        <v>393</v>
      </c>
      <c r="I122" s="311" t="s">
        <v>66</v>
      </c>
      <c r="J122" s="50" t="s">
        <v>1892</v>
      </c>
      <c r="K122" s="50" t="s">
        <v>1892</v>
      </c>
      <c r="L122" s="50" t="s">
        <v>1893</v>
      </c>
      <c r="M122" s="50" t="s">
        <v>2439</v>
      </c>
      <c r="N122" s="50" t="s">
        <v>2439</v>
      </c>
      <c r="O122" s="50" t="s">
        <v>2439</v>
      </c>
      <c r="P122" s="50" t="s">
        <v>2439</v>
      </c>
    </row>
    <row r="123" spans="1:16" ht="12.75" customHeight="1" x14ac:dyDescent="0.25">
      <c r="A123" s="311">
        <v>120</v>
      </c>
      <c r="B123" s="311" t="s">
        <v>141</v>
      </c>
      <c r="C123" s="311" t="s">
        <v>141</v>
      </c>
      <c r="D123" s="311" t="s">
        <v>141</v>
      </c>
      <c r="E123" s="337" t="s">
        <v>141</v>
      </c>
      <c r="F123" s="311" t="s">
        <v>241</v>
      </c>
      <c r="G123" s="311" t="s">
        <v>23</v>
      </c>
      <c r="H123" s="311" t="s">
        <v>393</v>
      </c>
      <c r="I123" s="311" t="s">
        <v>66</v>
      </c>
      <c r="J123" s="50" t="s">
        <v>1892</v>
      </c>
      <c r="K123" s="50" t="s">
        <v>1892</v>
      </c>
      <c r="L123" s="50" t="s">
        <v>1893</v>
      </c>
      <c r="M123" s="50" t="s">
        <v>2440</v>
      </c>
      <c r="N123" s="50" t="s">
        <v>2440</v>
      </c>
      <c r="O123" s="50" t="s">
        <v>2440</v>
      </c>
      <c r="P123" s="50" t="s">
        <v>2440</v>
      </c>
    </row>
    <row r="124" spans="1:16" ht="12.75" customHeight="1" x14ac:dyDescent="0.25">
      <c r="A124" s="311">
        <v>121</v>
      </c>
      <c r="B124" s="311" t="s">
        <v>69</v>
      </c>
      <c r="C124" s="311" t="s">
        <v>69</v>
      </c>
      <c r="D124" s="311" t="s">
        <v>69</v>
      </c>
      <c r="E124" s="337" t="s">
        <v>69</v>
      </c>
      <c r="F124" s="311" t="s">
        <v>241</v>
      </c>
      <c r="G124" s="311" t="s">
        <v>23</v>
      </c>
      <c r="H124" s="311" t="s">
        <v>393</v>
      </c>
      <c r="I124" s="311" t="s">
        <v>66</v>
      </c>
      <c r="J124" s="50" t="s">
        <v>1892</v>
      </c>
      <c r="K124" s="50" t="s">
        <v>1892</v>
      </c>
      <c r="L124" s="50" t="s">
        <v>1893</v>
      </c>
      <c r="M124" s="50" t="s">
        <v>2441</v>
      </c>
      <c r="N124" s="50" t="s">
        <v>2441</v>
      </c>
      <c r="O124" s="50" t="s">
        <v>2441</v>
      </c>
      <c r="P124" s="50" t="s">
        <v>2441</v>
      </c>
    </row>
    <row r="125" spans="1:16" ht="12.75" customHeight="1" x14ac:dyDescent="0.25">
      <c r="A125" s="311">
        <v>122</v>
      </c>
      <c r="B125" s="311" t="s">
        <v>84</v>
      </c>
      <c r="C125" s="311" t="s">
        <v>462</v>
      </c>
      <c r="D125" s="311" t="s">
        <v>462</v>
      </c>
      <c r="E125" s="337" t="s">
        <v>462</v>
      </c>
      <c r="F125" s="311" t="s">
        <v>241</v>
      </c>
      <c r="G125" s="311" t="s">
        <v>237</v>
      </c>
      <c r="H125" s="311" t="s">
        <v>393</v>
      </c>
      <c r="I125" s="311" t="s">
        <v>66</v>
      </c>
      <c r="J125" s="50" t="s">
        <v>1892</v>
      </c>
      <c r="K125" s="50" t="s">
        <v>1892</v>
      </c>
      <c r="L125" s="50" t="s">
        <v>1893</v>
      </c>
      <c r="M125" s="50" t="s">
        <v>2442</v>
      </c>
      <c r="N125" s="50" t="s">
        <v>2443</v>
      </c>
      <c r="O125" s="50" t="s">
        <v>2443</v>
      </c>
      <c r="P125" s="50" t="s">
        <v>2443</v>
      </c>
    </row>
    <row r="126" spans="1:16" ht="12.75" customHeight="1" x14ac:dyDescent="0.25">
      <c r="A126" s="311">
        <v>123</v>
      </c>
      <c r="B126" s="311" t="s">
        <v>123</v>
      </c>
      <c r="C126" s="311" t="s">
        <v>462</v>
      </c>
      <c r="D126" s="311" t="s">
        <v>462</v>
      </c>
      <c r="E126" s="337" t="s">
        <v>462</v>
      </c>
      <c r="F126" s="311" t="s">
        <v>241</v>
      </c>
      <c r="G126" s="311" t="s">
        <v>237</v>
      </c>
      <c r="H126" s="311" t="s">
        <v>393</v>
      </c>
      <c r="I126" s="311" t="s">
        <v>66</v>
      </c>
      <c r="J126" s="50" t="s">
        <v>1892</v>
      </c>
      <c r="K126" s="50" t="s">
        <v>1892</v>
      </c>
      <c r="L126" s="50" t="s">
        <v>1893</v>
      </c>
      <c r="M126" s="50" t="s">
        <v>2444</v>
      </c>
      <c r="N126" s="50" t="s">
        <v>2443</v>
      </c>
      <c r="O126" s="50" t="s">
        <v>2443</v>
      </c>
      <c r="P126" s="50" t="s">
        <v>2443</v>
      </c>
    </row>
    <row r="127" spans="1:16" ht="12.75" customHeight="1" x14ac:dyDescent="0.25">
      <c r="A127" s="311">
        <v>124</v>
      </c>
      <c r="B127" s="311" t="s">
        <v>75</v>
      </c>
      <c r="C127" s="311" t="s">
        <v>462</v>
      </c>
      <c r="D127" s="311" t="s">
        <v>462</v>
      </c>
      <c r="E127" s="337" t="s">
        <v>462</v>
      </c>
      <c r="F127" s="311" t="s">
        <v>241</v>
      </c>
      <c r="G127" s="311" t="s">
        <v>237</v>
      </c>
      <c r="H127" s="311" t="s">
        <v>393</v>
      </c>
      <c r="I127" s="311" t="s">
        <v>66</v>
      </c>
      <c r="J127" s="50" t="s">
        <v>1892</v>
      </c>
      <c r="K127" s="50" t="s">
        <v>1892</v>
      </c>
      <c r="L127" s="50" t="s">
        <v>1893</v>
      </c>
      <c r="M127" s="50" t="s">
        <v>2445</v>
      </c>
      <c r="N127" s="50" t="s">
        <v>2443</v>
      </c>
      <c r="O127" s="50" t="s">
        <v>2443</v>
      </c>
      <c r="P127" s="50" t="s">
        <v>2443</v>
      </c>
    </row>
    <row r="128" spans="1:16" ht="12.75" customHeight="1" x14ac:dyDescent="0.25">
      <c r="A128" s="311">
        <v>125</v>
      </c>
      <c r="B128" s="311" t="s">
        <v>63</v>
      </c>
      <c r="C128" s="311" t="s">
        <v>63</v>
      </c>
      <c r="D128" s="311" t="s">
        <v>462</v>
      </c>
      <c r="E128" s="337" t="s">
        <v>63</v>
      </c>
      <c r="F128" s="311" t="s">
        <v>241</v>
      </c>
      <c r="G128" s="311" t="s">
        <v>237</v>
      </c>
      <c r="H128" s="311" t="s">
        <v>393</v>
      </c>
      <c r="I128" s="311" t="s">
        <v>66</v>
      </c>
      <c r="J128" s="50" t="s">
        <v>1892</v>
      </c>
      <c r="K128" s="50" t="s">
        <v>1892</v>
      </c>
      <c r="L128" s="50" t="s">
        <v>1893</v>
      </c>
      <c r="M128" s="50" t="s">
        <v>2446</v>
      </c>
      <c r="N128" s="50" t="s">
        <v>2446</v>
      </c>
      <c r="O128" s="50" t="s">
        <v>2443</v>
      </c>
      <c r="P128" s="50" t="s">
        <v>2446</v>
      </c>
    </row>
    <row r="129" spans="1:16" ht="12.75" customHeight="1" x14ac:dyDescent="0.25">
      <c r="A129" s="311">
        <v>126</v>
      </c>
      <c r="B129" s="311" t="s">
        <v>140</v>
      </c>
      <c r="C129" s="311" t="s">
        <v>140</v>
      </c>
      <c r="D129" s="311" t="s">
        <v>462</v>
      </c>
      <c r="E129" s="337" t="s">
        <v>140</v>
      </c>
      <c r="F129" s="311" t="s">
        <v>241</v>
      </c>
      <c r="G129" s="311" t="s">
        <v>237</v>
      </c>
      <c r="H129" s="311" t="s">
        <v>393</v>
      </c>
      <c r="I129" s="311" t="s">
        <v>66</v>
      </c>
      <c r="J129" s="50" t="s">
        <v>1892</v>
      </c>
      <c r="K129" s="50" t="s">
        <v>1892</v>
      </c>
      <c r="L129" s="50" t="s">
        <v>1893</v>
      </c>
      <c r="M129" s="50" t="s">
        <v>2447</v>
      </c>
      <c r="N129" s="50" t="s">
        <v>2447</v>
      </c>
      <c r="O129" s="50" t="s">
        <v>2443</v>
      </c>
      <c r="P129" s="50" t="s">
        <v>2447</v>
      </c>
    </row>
    <row r="130" spans="1:16" ht="12.75" customHeight="1" x14ac:dyDescent="0.25">
      <c r="A130" s="311">
        <v>127</v>
      </c>
      <c r="B130" s="311" t="s">
        <v>121</v>
      </c>
      <c r="C130" s="311" t="s">
        <v>121</v>
      </c>
      <c r="D130" s="311" t="s">
        <v>462</v>
      </c>
      <c r="E130" s="337" t="s">
        <v>121</v>
      </c>
      <c r="F130" s="311" t="s">
        <v>241</v>
      </c>
      <c r="G130" s="311" t="s">
        <v>237</v>
      </c>
      <c r="H130" s="311" t="s">
        <v>393</v>
      </c>
      <c r="I130" s="311" t="s">
        <v>66</v>
      </c>
      <c r="J130" s="50" t="s">
        <v>1892</v>
      </c>
      <c r="K130" s="50" t="s">
        <v>1892</v>
      </c>
      <c r="L130" s="50" t="s">
        <v>1893</v>
      </c>
      <c r="M130" s="50" t="s">
        <v>2448</v>
      </c>
      <c r="N130" s="50" t="s">
        <v>2448</v>
      </c>
      <c r="O130" s="50" t="s">
        <v>2443</v>
      </c>
      <c r="P130" s="50" t="s">
        <v>2448</v>
      </c>
    </row>
    <row r="131" spans="1:16" ht="12.75" customHeight="1" x14ac:dyDescent="0.25">
      <c r="A131" s="311">
        <v>128</v>
      </c>
      <c r="B131" s="311" t="s">
        <v>87</v>
      </c>
      <c r="C131" s="311" t="s">
        <v>87</v>
      </c>
      <c r="D131" s="311" t="s">
        <v>462</v>
      </c>
      <c r="E131" s="337" t="s">
        <v>87</v>
      </c>
      <c r="F131" s="311" t="s">
        <v>241</v>
      </c>
      <c r="G131" s="311" t="s">
        <v>237</v>
      </c>
      <c r="H131" s="311" t="s">
        <v>393</v>
      </c>
      <c r="I131" s="311" t="s">
        <v>66</v>
      </c>
      <c r="J131" s="50" t="s">
        <v>1892</v>
      </c>
      <c r="K131" s="50" t="s">
        <v>1892</v>
      </c>
      <c r="L131" s="50" t="s">
        <v>1893</v>
      </c>
      <c r="M131" s="50" t="s">
        <v>2449</v>
      </c>
      <c r="N131" s="50" t="s">
        <v>2449</v>
      </c>
      <c r="O131" s="50" t="s">
        <v>2443</v>
      </c>
      <c r="P131" s="50" t="s">
        <v>2449</v>
      </c>
    </row>
    <row r="132" spans="1:16" ht="12.75" customHeight="1" x14ac:dyDescent="0.25">
      <c r="A132" s="311">
        <v>129</v>
      </c>
      <c r="B132" s="311" t="s">
        <v>125</v>
      </c>
      <c r="C132" s="311" t="s">
        <v>125</v>
      </c>
      <c r="D132" s="311" t="s">
        <v>125</v>
      </c>
      <c r="E132" s="337" t="s">
        <v>125</v>
      </c>
      <c r="F132" s="311" t="s">
        <v>241</v>
      </c>
      <c r="G132" s="311" t="s">
        <v>237</v>
      </c>
      <c r="H132" s="311" t="s">
        <v>393</v>
      </c>
      <c r="I132" s="311" t="s">
        <v>66</v>
      </c>
      <c r="J132" s="50" t="s">
        <v>1892</v>
      </c>
      <c r="K132" s="50" t="s">
        <v>1892</v>
      </c>
      <c r="L132" s="50" t="s">
        <v>1893</v>
      </c>
      <c r="M132" s="50" t="s">
        <v>2450</v>
      </c>
      <c r="N132" s="50" t="s">
        <v>2450</v>
      </c>
      <c r="O132" s="50" t="s">
        <v>2450</v>
      </c>
      <c r="P132" s="50" t="s">
        <v>2450</v>
      </c>
    </row>
    <row r="133" spans="1:16" ht="12.75" customHeight="1" x14ac:dyDescent="0.25">
      <c r="A133" s="311">
        <v>130</v>
      </c>
      <c r="B133" s="311" t="s">
        <v>134</v>
      </c>
      <c r="C133" s="311" t="s">
        <v>134</v>
      </c>
      <c r="D133" s="311" t="s">
        <v>134</v>
      </c>
      <c r="E133" s="337" t="s">
        <v>134</v>
      </c>
      <c r="F133" s="311" t="s">
        <v>241</v>
      </c>
      <c r="G133" s="311" t="s">
        <v>237</v>
      </c>
      <c r="H133" s="311" t="s">
        <v>393</v>
      </c>
      <c r="I133" s="311" t="s">
        <v>66</v>
      </c>
      <c r="J133" s="50" t="s">
        <v>1892</v>
      </c>
      <c r="K133" s="50" t="s">
        <v>1892</v>
      </c>
      <c r="L133" s="50" t="s">
        <v>1893</v>
      </c>
      <c r="M133" s="50" t="s">
        <v>2451</v>
      </c>
      <c r="N133" s="50" t="s">
        <v>2451</v>
      </c>
      <c r="O133" s="50" t="s">
        <v>2451</v>
      </c>
      <c r="P133" s="50" t="s">
        <v>2451</v>
      </c>
    </row>
    <row r="134" spans="1:16" ht="12.75" customHeight="1" x14ac:dyDescent="0.25">
      <c r="A134" s="311">
        <v>131</v>
      </c>
      <c r="B134" s="311" t="s">
        <v>141</v>
      </c>
      <c r="C134" s="311" t="s">
        <v>141</v>
      </c>
      <c r="D134" s="311" t="s">
        <v>141</v>
      </c>
      <c r="E134" s="337" t="s">
        <v>141</v>
      </c>
      <c r="F134" s="311" t="s">
        <v>241</v>
      </c>
      <c r="G134" s="311" t="s">
        <v>237</v>
      </c>
      <c r="H134" s="311" t="s">
        <v>393</v>
      </c>
      <c r="I134" s="311" t="s">
        <v>66</v>
      </c>
      <c r="J134" s="50" t="s">
        <v>1892</v>
      </c>
      <c r="K134" s="50" t="s">
        <v>1892</v>
      </c>
      <c r="L134" s="50" t="s">
        <v>1893</v>
      </c>
      <c r="M134" s="50" t="s">
        <v>2452</v>
      </c>
      <c r="N134" s="50" t="s">
        <v>2452</v>
      </c>
      <c r="O134" s="50" t="s">
        <v>2452</v>
      </c>
      <c r="P134" s="50" t="s">
        <v>2452</v>
      </c>
    </row>
    <row r="135" spans="1:16" ht="12.75" customHeight="1" x14ac:dyDescent="0.25">
      <c r="A135" s="311">
        <v>132</v>
      </c>
      <c r="B135" s="311" t="s">
        <v>69</v>
      </c>
      <c r="C135" s="311" t="s">
        <v>69</v>
      </c>
      <c r="D135" s="311" t="s">
        <v>69</v>
      </c>
      <c r="E135" s="337" t="s">
        <v>69</v>
      </c>
      <c r="F135" s="311" t="s">
        <v>241</v>
      </c>
      <c r="G135" s="311" t="s">
        <v>237</v>
      </c>
      <c r="H135" s="311" t="s">
        <v>393</v>
      </c>
      <c r="I135" s="311" t="s">
        <v>66</v>
      </c>
      <c r="J135" s="50" t="s">
        <v>1892</v>
      </c>
      <c r="K135" s="50" t="s">
        <v>1892</v>
      </c>
      <c r="L135" s="50" t="s">
        <v>1893</v>
      </c>
      <c r="M135" s="50" t="s">
        <v>2453</v>
      </c>
      <c r="N135" s="50" t="s">
        <v>2453</v>
      </c>
      <c r="O135" s="50" t="s">
        <v>2453</v>
      </c>
      <c r="P135" s="50" t="s">
        <v>2453</v>
      </c>
    </row>
    <row r="136" spans="1:16" ht="12.75" customHeight="1" x14ac:dyDescent="0.25">
      <c r="A136" s="311">
        <v>133</v>
      </c>
      <c r="B136" s="311" t="s">
        <v>84</v>
      </c>
      <c r="C136" s="311" t="s">
        <v>462</v>
      </c>
      <c r="D136" s="311" t="s">
        <v>462</v>
      </c>
      <c r="E136" s="337" t="s">
        <v>462</v>
      </c>
      <c r="F136" s="311" t="s">
        <v>295</v>
      </c>
      <c r="G136" s="311" t="s">
        <v>236</v>
      </c>
      <c r="H136" s="311" t="s">
        <v>393</v>
      </c>
      <c r="I136" s="311" t="s">
        <v>66</v>
      </c>
      <c r="J136" s="50" t="s">
        <v>1892</v>
      </c>
      <c r="K136" s="50" t="s">
        <v>1892</v>
      </c>
      <c r="L136" s="50" t="s">
        <v>1893</v>
      </c>
      <c r="M136" s="50" t="s">
        <v>2454</v>
      </c>
      <c r="N136" s="50" t="s">
        <v>2455</v>
      </c>
      <c r="O136" s="50" t="s">
        <v>2455</v>
      </c>
      <c r="P136" s="50" t="s">
        <v>2455</v>
      </c>
    </row>
    <row r="137" spans="1:16" ht="12.75" customHeight="1" x14ac:dyDescent="0.25">
      <c r="A137" s="311">
        <v>134</v>
      </c>
      <c r="B137" s="311" t="s">
        <v>123</v>
      </c>
      <c r="C137" s="311" t="s">
        <v>462</v>
      </c>
      <c r="D137" s="311" t="s">
        <v>462</v>
      </c>
      <c r="E137" s="337" t="s">
        <v>462</v>
      </c>
      <c r="F137" s="311" t="s">
        <v>295</v>
      </c>
      <c r="G137" s="311" t="s">
        <v>236</v>
      </c>
      <c r="H137" s="311" t="s">
        <v>393</v>
      </c>
      <c r="I137" s="311" t="s">
        <v>66</v>
      </c>
      <c r="J137" s="50" t="s">
        <v>1892</v>
      </c>
      <c r="K137" s="50" t="s">
        <v>1892</v>
      </c>
      <c r="L137" s="50" t="s">
        <v>1893</v>
      </c>
      <c r="M137" s="50" t="s">
        <v>2456</v>
      </c>
      <c r="N137" s="50" t="s">
        <v>2455</v>
      </c>
      <c r="O137" s="50" t="s">
        <v>2455</v>
      </c>
      <c r="P137" s="50" t="s">
        <v>2455</v>
      </c>
    </row>
    <row r="138" spans="1:16" ht="12.75" customHeight="1" x14ac:dyDescent="0.25">
      <c r="A138" s="311">
        <v>135</v>
      </c>
      <c r="B138" s="311" t="s">
        <v>75</v>
      </c>
      <c r="C138" s="311" t="s">
        <v>462</v>
      </c>
      <c r="D138" s="311" t="s">
        <v>462</v>
      </c>
      <c r="E138" s="337" t="s">
        <v>462</v>
      </c>
      <c r="F138" s="311" t="s">
        <v>295</v>
      </c>
      <c r="G138" s="311" t="s">
        <v>236</v>
      </c>
      <c r="H138" s="311" t="s">
        <v>393</v>
      </c>
      <c r="I138" s="311" t="s">
        <v>66</v>
      </c>
      <c r="J138" s="50" t="s">
        <v>1892</v>
      </c>
      <c r="K138" s="50" t="s">
        <v>1892</v>
      </c>
      <c r="L138" s="50" t="s">
        <v>1893</v>
      </c>
      <c r="M138" s="50" t="s">
        <v>2457</v>
      </c>
      <c r="N138" s="50" t="s">
        <v>2455</v>
      </c>
      <c r="O138" s="50" t="s">
        <v>2455</v>
      </c>
      <c r="P138" s="50" t="s">
        <v>2455</v>
      </c>
    </row>
    <row r="139" spans="1:16" ht="12.75" customHeight="1" x14ac:dyDescent="0.25">
      <c r="A139" s="311">
        <v>136</v>
      </c>
      <c r="B139" s="311" t="s">
        <v>63</v>
      </c>
      <c r="C139" s="311" t="s">
        <v>63</v>
      </c>
      <c r="D139" s="311" t="s">
        <v>462</v>
      </c>
      <c r="E139" s="337" t="s">
        <v>63</v>
      </c>
      <c r="F139" s="311" t="s">
        <v>295</v>
      </c>
      <c r="G139" s="311" t="s">
        <v>236</v>
      </c>
      <c r="H139" s="311" t="s">
        <v>393</v>
      </c>
      <c r="I139" s="311" t="s">
        <v>66</v>
      </c>
      <c r="J139" s="50" t="s">
        <v>1892</v>
      </c>
      <c r="K139" s="50" t="s">
        <v>1892</v>
      </c>
      <c r="L139" s="50" t="s">
        <v>1893</v>
      </c>
      <c r="M139" s="50" t="s">
        <v>2458</v>
      </c>
      <c r="N139" s="50" t="s">
        <v>2458</v>
      </c>
      <c r="O139" s="50" t="s">
        <v>2455</v>
      </c>
      <c r="P139" s="50" t="s">
        <v>2458</v>
      </c>
    </row>
    <row r="140" spans="1:16" ht="12.75" customHeight="1" x14ac:dyDescent="0.25">
      <c r="A140" s="311">
        <v>137</v>
      </c>
      <c r="B140" s="311" t="s">
        <v>140</v>
      </c>
      <c r="C140" s="311" t="s">
        <v>140</v>
      </c>
      <c r="D140" s="311" t="s">
        <v>462</v>
      </c>
      <c r="E140" s="337" t="s">
        <v>140</v>
      </c>
      <c r="F140" s="311" t="s">
        <v>295</v>
      </c>
      <c r="G140" s="311" t="s">
        <v>236</v>
      </c>
      <c r="H140" s="311" t="s">
        <v>393</v>
      </c>
      <c r="I140" s="311" t="s">
        <v>66</v>
      </c>
      <c r="J140" s="50" t="s">
        <v>1892</v>
      </c>
      <c r="K140" s="50" t="s">
        <v>1892</v>
      </c>
      <c r="L140" s="50" t="s">
        <v>1893</v>
      </c>
      <c r="M140" s="50" t="s">
        <v>2459</v>
      </c>
      <c r="N140" s="50" t="s">
        <v>2459</v>
      </c>
      <c r="O140" s="50" t="s">
        <v>2455</v>
      </c>
      <c r="P140" s="50" t="s">
        <v>2459</v>
      </c>
    </row>
    <row r="141" spans="1:16" ht="12.75" customHeight="1" x14ac:dyDescent="0.25">
      <c r="A141" s="311">
        <v>138</v>
      </c>
      <c r="B141" s="311" t="s">
        <v>121</v>
      </c>
      <c r="C141" s="311" t="s">
        <v>121</v>
      </c>
      <c r="D141" s="311" t="s">
        <v>462</v>
      </c>
      <c r="E141" s="337" t="s">
        <v>121</v>
      </c>
      <c r="F141" s="311" t="s">
        <v>295</v>
      </c>
      <c r="G141" s="311" t="s">
        <v>236</v>
      </c>
      <c r="H141" s="311" t="s">
        <v>393</v>
      </c>
      <c r="I141" s="311" t="s">
        <v>66</v>
      </c>
      <c r="J141" s="50" t="s">
        <v>1892</v>
      </c>
      <c r="K141" s="50" t="s">
        <v>1892</v>
      </c>
      <c r="L141" s="50" t="s">
        <v>1893</v>
      </c>
      <c r="M141" s="50" t="s">
        <v>2460</v>
      </c>
      <c r="N141" s="50" t="s">
        <v>2460</v>
      </c>
      <c r="O141" s="50" t="s">
        <v>2455</v>
      </c>
      <c r="P141" s="50" t="s">
        <v>2460</v>
      </c>
    </row>
    <row r="142" spans="1:16" ht="12.75" customHeight="1" x14ac:dyDescent="0.25">
      <c r="A142" s="311">
        <v>139</v>
      </c>
      <c r="B142" s="311" t="s">
        <v>87</v>
      </c>
      <c r="C142" s="311" t="s">
        <v>87</v>
      </c>
      <c r="D142" s="311" t="s">
        <v>462</v>
      </c>
      <c r="E142" s="337" t="s">
        <v>87</v>
      </c>
      <c r="F142" s="311" t="s">
        <v>295</v>
      </c>
      <c r="G142" s="311" t="s">
        <v>236</v>
      </c>
      <c r="H142" s="311" t="s">
        <v>393</v>
      </c>
      <c r="I142" s="311" t="s">
        <v>66</v>
      </c>
      <c r="J142" s="50" t="s">
        <v>1892</v>
      </c>
      <c r="K142" s="50" t="s">
        <v>1892</v>
      </c>
      <c r="L142" s="50" t="s">
        <v>1893</v>
      </c>
      <c r="M142" s="50" t="s">
        <v>2461</v>
      </c>
      <c r="N142" s="50" t="s">
        <v>2461</v>
      </c>
      <c r="O142" s="50" t="s">
        <v>2455</v>
      </c>
      <c r="P142" s="50" t="s">
        <v>2461</v>
      </c>
    </row>
    <row r="143" spans="1:16" ht="12.75" customHeight="1" x14ac:dyDescent="0.25">
      <c r="A143" s="311">
        <v>140</v>
      </c>
      <c r="B143" s="311" t="s">
        <v>125</v>
      </c>
      <c r="C143" s="311" t="s">
        <v>125</v>
      </c>
      <c r="D143" s="311" t="s">
        <v>125</v>
      </c>
      <c r="E143" s="337" t="s">
        <v>125</v>
      </c>
      <c r="F143" s="311" t="s">
        <v>295</v>
      </c>
      <c r="G143" s="311" t="s">
        <v>236</v>
      </c>
      <c r="H143" s="311" t="s">
        <v>393</v>
      </c>
      <c r="I143" s="311" t="s">
        <v>66</v>
      </c>
      <c r="J143" s="50" t="s">
        <v>1892</v>
      </c>
      <c r="K143" s="50" t="s">
        <v>1892</v>
      </c>
      <c r="L143" s="50" t="s">
        <v>1893</v>
      </c>
      <c r="M143" s="50" t="s">
        <v>2462</v>
      </c>
      <c r="N143" s="50" t="s">
        <v>2462</v>
      </c>
      <c r="O143" s="50" t="s">
        <v>2462</v>
      </c>
      <c r="P143" s="50" t="s">
        <v>2462</v>
      </c>
    </row>
    <row r="144" spans="1:16" ht="12.75" customHeight="1" x14ac:dyDescent="0.25">
      <c r="A144" s="311">
        <v>141</v>
      </c>
      <c r="B144" s="311" t="s">
        <v>134</v>
      </c>
      <c r="C144" s="311" t="s">
        <v>134</v>
      </c>
      <c r="D144" s="311" t="s">
        <v>134</v>
      </c>
      <c r="E144" s="337" t="s">
        <v>134</v>
      </c>
      <c r="F144" s="311" t="s">
        <v>295</v>
      </c>
      <c r="G144" s="311" t="s">
        <v>236</v>
      </c>
      <c r="H144" s="311" t="s">
        <v>393</v>
      </c>
      <c r="I144" s="311" t="s">
        <v>66</v>
      </c>
      <c r="J144" s="50" t="s">
        <v>1892</v>
      </c>
      <c r="K144" s="50" t="s">
        <v>1892</v>
      </c>
      <c r="L144" s="50" t="s">
        <v>1893</v>
      </c>
      <c r="M144" s="50" t="s">
        <v>2463</v>
      </c>
      <c r="N144" s="50" t="s">
        <v>2463</v>
      </c>
      <c r="O144" s="50" t="s">
        <v>2463</v>
      </c>
      <c r="P144" s="50" t="s">
        <v>2463</v>
      </c>
    </row>
    <row r="145" spans="1:16" ht="12.75" customHeight="1" x14ac:dyDescent="0.25">
      <c r="A145" s="311">
        <v>142</v>
      </c>
      <c r="B145" s="311" t="s">
        <v>141</v>
      </c>
      <c r="C145" s="311" t="s">
        <v>141</v>
      </c>
      <c r="D145" s="311" t="s">
        <v>141</v>
      </c>
      <c r="E145" s="337" t="s">
        <v>141</v>
      </c>
      <c r="F145" s="311" t="s">
        <v>295</v>
      </c>
      <c r="G145" s="311" t="s">
        <v>236</v>
      </c>
      <c r="H145" s="311" t="s">
        <v>393</v>
      </c>
      <c r="I145" s="311" t="s">
        <v>66</v>
      </c>
      <c r="J145" s="50" t="s">
        <v>1892</v>
      </c>
      <c r="K145" s="50" t="s">
        <v>1892</v>
      </c>
      <c r="L145" s="50" t="s">
        <v>1893</v>
      </c>
      <c r="M145" s="50" t="s">
        <v>2464</v>
      </c>
      <c r="N145" s="50" t="s">
        <v>2464</v>
      </c>
      <c r="O145" s="50" t="s">
        <v>2464</v>
      </c>
      <c r="P145" s="50" t="s">
        <v>2464</v>
      </c>
    </row>
    <row r="146" spans="1:16" ht="12.75" customHeight="1" x14ac:dyDescent="0.25">
      <c r="A146" s="311">
        <v>143</v>
      </c>
      <c r="B146" s="311" t="s">
        <v>69</v>
      </c>
      <c r="C146" s="311" t="s">
        <v>69</v>
      </c>
      <c r="D146" s="311" t="s">
        <v>69</v>
      </c>
      <c r="E146" s="337" t="s">
        <v>69</v>
      </c>
      <c r="F146" s="311" t="s">
        <v>295</v>
      </c>
      <c r="G146" s="311" t="s">
        <v>236</v>
      </c>
      <c r="H146" s="311" t="s">
        <v>393</v>
      </c>
      <c r="I146" s="311" t="s">
        <v>66</v>
      </c>
      <c r="J146" s="50" t="s">
        <v>1892</v>
      </c>
      <c r="K146" s="50" t="s">
        <v>1892</v>
      </c>
      <c r="L146" s="50" t="s">
        <v>1893</v>
      </c>
      <c r="M146" s="50" t="s">
        <v>2465</v>
      </c>
      <c r="N146" s="50" t="s">
        <v>2465</v>
      </c>
      <c r="O146" s="50" t="s">
        <v>2465</v>
      </c>
      <c r="P146" s="50" t="s">
        <v>2465</v>
      </c>
    </row>
    <row r="147" spans="1:16" ht="12.75" customHeight="1" x14ac:dyDescent="0.25">
      <c r="A147" s="311">
        <v>144</v>
      </c>
      <c r="B147" s="311" t="s">
        <v>84</v>
      </c>
      <c r="C147" s="311" t="s">
        <v>462</v>
      </c>
      <c r="D147" s="311" t="s">
        <v>462</v>
      </c>
      <c r="E147" s="337" t="s">
        <v>462</v>
      </c>
      <c r="F147" s="311" t="s">
        <v>295</v>
      </c>
      <c r="G147" s="311" t="s">
        <v>23</v>
      </c>
      <c r="H147" s="311" t="s">
        <v>393</v>
      </c>
      <c r="I147" s="311" t="s">
        <v>66</v>
      </c>
      <c r="J147" s="50" t="s">
        <v>1892</v>
      </c>
      <c r="K147" s="50" t="s">
        <v>1892</v>
      </c>
      <c r="L147" s="50" t="s">
        <v>1893</v>
      </c>
      <c r="M147" s="50" t="s">
        <v>2466</v>
      </c>
      <c r="N147" s="50" t="s">
        <v>2467</v>
      </c>
      <c r="O147" s="50" t="s">
        <v>2467</v>
      </c>
      <c r="P147" s="50" t="s">
        <v>2467</v>
      </c>
    </row>
    <row r="148" spans="1:16" ht="12.75" customHeight="1" x14ac:dyDescent="0.25">
      <c r="A148" s="311">
        <v>145</v>
      </c>
      <c r="B148" s="311" t="s">
        <v>123</v>
      </c>
      <c r="C148" s="311" t="s">
        <v>462</v>
      </c>
      <c r="D148" s="311" t="s">
        <v>462</v>
      </c>
      <c r="E148" s="337" t="s">
        <v>462</v>
      </c>
      <c r="F148" s="311" t="s">
        <v>295</v>
      </c>
      <c r="G148" s="311" t="s">
        <v>23</v>
      </c>
      <c r="H148" s="311" t="s">
        <v>393</v>
      </c>
      <c r="I148" s="311" t="s">
        <v>66</v>
      </c>
      <c r="J148" s="50" t="s">
        <v>1892</v>
      </c>
      <c r="K148" s="50" t="s">
        <v>1892</v>
      </c>
      <c r="L148" s="50" t="s">
        <v>1893</v>
      </c>
      <c r="M148" s="50" t="s">
        <v>2468</v>
      </c>
      <c r="N148" s="50" t="s">
        <v>2467</v>
      </c>
      <c r="O148" s="50" t="s">
        <v>2467</v>
      </c>
      <c r="P148" s="50" t="s">
        <v>2467</v>
      </c>
    </row>
    <row r="149" spans="1:16" ht="12.75" customHeight="1" x14ac:dyDescent="0.25">
      <c r="A149" s="311">
        <v>146</v>
      </c>
      <c r="B149" s="311" t="s">
        <v>75</v>
      </c>
      <c r="C149" s="311" t="s">
        <v>462</v>
      </c>
      <c r="D149" s="311" t="s">
        <v>462</v>
      </c>
      <c r="E149" s="337" t="s">
        <v>462</v>
      </c>
      <c r="F149" s="311" t="s">
        <v>295</v>
      </c>
      <c r="G149" s="311" t="s">
        <v>23</v>
      </c>
      <c r="H149" s="311" t="s">
        <v>393</v>
      </c>
      <c r="I149" s="311" t="s">
        <v>66</v>
      </c>
      <c r="J149" s="50" t="s">
        <v>1892</v>
      </c>
      <c r="K149" s="50" t="s">
        <v>1892</v>
      </c>
      <c r="L149" s="50" t="s">
        <v>1893</v>
      </c>
      <c r="M149" s="50" t="s">
        <v>2469</v>
      </c>
      <c r="N149" s="50" t="s">
        <v>2467</v>
      </c>
      <c r="O149" s="50" t="s">
        <v>2467</v>
      </c>
      <c r="P149" s="50" t="s">
        <v>2467</v>
      </c>
    </row>
    <row r="150" spans="1:16" ht="12.75" customHeight="1" x14ac:dyDescent="0.25">
      <c r="A150" s="311">
        <v>147</v>
      </c>
      <c r="B150" s="311" t="s">
        <v>63</v>
      </c>
      <c r="C150" s="311" t="s">
        <v>63</v>
      </c>
      <c r="D150" s="311" t="s">
        <v>462</v>
      </c>
      <c r="E150" s="337" t="s">
        <v>63</v>
      </c>
      <c r="F150" s="311" t="s">
        <v>295</v>
      </c>
      <c r="G150" s="311" t="s">
        <v>23</v>
      </c>
      <c r="H150" s="311" t="s">
        <v>393</v>
      </c>
      <c r="I150" s="311" t="s">
        <v>66</v>
      </c>
      <c r="J150" s="50" t="s">
        <v>1892</v>
      </c>
      <c r="K150" s="50" t="s">
        <v>1892</v>
      </c>
      <c r="L150" s="50" t="s">
        <v>1893</v>
      </c>
      <c r="M150" s="50" t="s">
        <v>2470</v>
      </c>
      <c r="N150" s="50" t="s">
        <v>2470</v>
      </c>
      <c r="O150" s="50" t="s">
        <v>2467</v>
      </c>
      <c r="P150" s="50" t="s">
        <v>2470</v>
      </c>
    </row>
    <row r="151" spans="1:16" ht="12.75" customHeight="1" x14ac:dyDescent="0.25">
      <c r="A151" s="311">
        <v>148</v>
      </c>
      <c r="B151" s="311" t="s">
        <v>140</v>
      </c>
      <c r="C151" s="311" t="s">
        <v>140</v>
      </c>
      <c r="D151" s="311" t="s">
        <v>462</v>
      </c>
      <c r="E151" s="337" t="s">
        <v>140</v>
      </c>
      <c r="F151" s="311" t="s">
        <v>295</v>
      </c>
      <c r="G151" s="311" t="s">
        <v>23</v>
      </c>
      <c r="H151" s="311" t="s">
        <v>393</v>
      </c>
      <c r="I151" s="311" t="s">
        <v>66</v>
      </c>
      <c r="J151" s="50" t="s">
        <v>1892</v>
      </c>
      <c r="K151" s="50" t="s">
        <v>1892</v>
      </c>
      <c r="L151" s="50" t="s">
        <v>1893</v>
      </c>
      <c r="M151" s="50" t="s">
        <v>2471</v>
      </c>
      <c r="N151" s="50" t="s">
        <v>2471</v>
      </c>
      <c r="O151" s="50" t="s">
        <v>2467</v>
      </c>
      <c r="P151" s="50" t="s">
        <v>2471</v>
      </c>
    </row>
    <row r="152" spans="1:16" ht="12.75" customHeight="1" x14ac:dyDescent="0.25">
      <c r="A152" s="311">
        <v>149</v>
      </c>
      <c r="B152" s="311" t="s">
        <v>121</v>
      </c>
      <c r="C152" s="311" t="s">
        <v>121</v>
      </c>
      <c r="D152" s="311" t="s">
        <v>462</v>
      </c>
      <c r="E152" s="337" t="s">
        <v>121</v>
      </c>
      <c r="F152" s="311" t="s">
        <v>295</v>
      </c>
      <c r="G152" s="311" t="s">
        <v>23</v>
      </c>
      <c r="H152" s="311" t="s">
        <v>393</v>
      </c>
      <c r="I152" s="311" t="s">
        <v>66</v>
      </c>
      <c r="J152" s="50" t="s">
        <v>1892</v>
      </c>
      <c r="K152" s="50" t="s">
        <v>1892</v>
      </c>
      <c r="L152" s="50" t="s">
        <v>1893</v>
      </c>
      <c r="M152" s="50" t="s">
        <v>2472</v>
      </c>
      <c r="N152" s="50" t="s">
        <v>2472</v>
      </c>
      <c r="O152" s="50" t="s">
        <v>2467</v>
      </c>
      <c r="P152" s="50" t="s">
        <v>2472</v>
      </c>
    </row>
    <row r="153" spans="1:16" ht="12.75" customHeight="1" x14ac:dyDescent="0.25">
      <c r="A153" s="311">
        <v>150</v>
      </c>
      <c r="B153" s="311" t="s">
        <v>87</v>
      </c>
      <c r="C153" s="311" t="s">
        <v>87</v>
      </c>
      <c r="D153" s="311" t="s">
        <v>462</v>
      </c>
      <c r="E153" s="337" t="s">
        <v>87</v>
      </c>
      <c r="F153" s="311" t="s">
        <v>295</v>
      </c>
      <c r="G153" s="311" t="s">
        <v>23</v>
      </c>
      <c r="H153" s="311" t="s">
        <v>393</v>
      </c>
      <c r="I153" s="311" t="s">
        <v>66</v>
      </c>
      <c r="J153" s="50" t="s">
        <v>1892</v>
      </c>
      <c r="K153" s="50" t="s">
        <v>1892</v>
      </c>
      <c r="L153" s="50" t="s">
        <v>1893</v>
      </c>
      <c r="M153" s="50" t="s">
        <v>2473</v>
      </c>
      <c r="N153" s="50" t="s">
        <v>2473</v>
      </c>
      <c r="O153" s="50" t="s">
        <v>2467</v>
      </c>
      <c r="P153" s="50" t="s">
        <v>2473</v>
      </c>
    </row>
    <row r="154" spans="1:16" ht="12.75" customHeight="1" x14ac:dyDescent="0.25">
      <c r="A154" s="311">
        <v>151</v>
      </c>
      <c r="B154" s="311" t="s">
        <v>125</v>
      </c>
      <c r="C154" s="311" t="s">
        <v>125</v>
      </c>
      <c r="D154" s="311" t="s">
        <v>125</v>
      </c>
      <c r="E154" s="337" t="s">
        <v>125</v>
      </c>
      <c r="F154" s="311" t="s">
        <v>295</v>
      </c>
      <c r="G154" s="311" t="s">
        <v>23</v>
      </c>
      <c r="H154" s="311" t="s">
        <v>393</v>
      </c>
      <c r="I154" s="311" t="s">
        <v>66</v>
      </c>
      <c r="J154" s="50" t="s">
        <v>1892</v>
      </c>
      <c r="K154" s="50" t="s">
        <v>1892</v>
      </c>
      <c r="L154" s="50" t="s">
        <v>1893</v>
      </c>
      <c r="M154" s="50" t="s">
        <v>2474</v>
      </c>
      <c r="N154" s="50" t="s">
        <v>2474</v>
      </c>
      <c r="O154" s="50" t="s">
        <v>2474</v>
      </c>
      <c r="P154" s="50" t="s">
        <v>2474</v>
      </c>
    </row>
    <row r="155" spans="1:16" ht="12.75" customHeight="1" x14ac:dyDescent="0.25">
      <c r="A155" s="311">
        <v>152</v>
      </c>
      <c r="B155" s="311" t="s">
        <v>134</v>
      </c>
      <c r="C155" s="311" t="s">
        <v>134</v>
      </c>
      <c r="D155" s="311" t="s">
        <v>134</v>
      </c>
      <c r="E155" s="337" t="s">
        <v>134</v>
      </c>
      <c r="F155" s="311" t="s">
        <v>295</v>
      </c>
      <c r="G155" s="311" t="s">
        <v>23</v>
      </c>
      <c r="H155" s="311" t="s">
        <v>393</v>
      </c>
      <c r="I155" s="311" t="s">
        <v>66</v>
      </c>
      <c r="J155" s="50" t="s">
        <v>1892</v>
      </c>
      <c r="K155" s="50" t="s">
        <v>1892</v>
      </c>
      <c r="L155" s="50" t="s">
        <v>1893</v>
      </c>
      <c r="M155" s="50" t="s">
        <v>2475</v>
      </c>
      <c r="N155" s="50" t="s">
        <v>2475</v>
      </c>
      <c r="O155" s="50" t="s">
        <v>2475</v>
      </c>
      <c r="P155" s="50" t="s">
        <v>2475</v>
      </c>
    </row>
    <row r="156" spans="1:16" ht="12.75" customHeight="1" x14ac:dyDescent="0.25">
      <c r="A156" s="311">
        <v>153</v>
      </c>
      <c r="B156" s="311" t="s">
        <v>141</v>
      </c>
      <c r="C156" s="311" t="s">
        <v>141</v>
      </c>
      <c r="D156" s="311" t="s">
        <v>141</v>
      </c>
      <c r="E156" s="337" t="s">
        <v>141</v>
      </c>
      <c r="F156" s="311" t="s">
        <v>295</v>
      </c>
      <c r="G156" s="311" t="s">
        <v>23</v>
      </c>
      <c r="H156" s="311" t="s">
        <v>393</v>
      </c>
      <c r="I156" s="311" t="s">
        <v>66</v>
      </c>
      <c r="J156" s="50" t="s">
        <v>1892</v>
      </c>
      <c r="K156" s="50" t="s">
        <v>1892</v>
      </c>
      <c r="L156" s="50" t="s">
        <v>1893</v>
      </c>
      <c r="M156" s="50" t="s">
        <v>2476</v>
      </c>
      <c r="N156" s="50" t="s">
        <v>2476</v>
      </c>
      <c r="O156" s="50" t="s">
        <v>2476</v>
      </c>
      <c r="P156" s="50" t="s">
        <v>2476</v>
      </c>
    </row>
    <row r="157" spans="1:16" ht="12.75" customHeight="1" x14ac:dyDescent="0.25">
      <c r="A157" s="311">
        <v>154</v>
      </c>
      <c r="B157" s="311" t="s">
        <v>69</v>
      </c>
      <c r="C157" s="311" t="s">
        <v>69</v>
      </c>
      <c r="D157" s="311" t="s">
        <v>69</v>
      </c>
      <c r="E157" s="337" t="s">
        <v>69</v>
      </c>
      <c r="F157" s="311" t="s">
        <v>295</v>
      </c>
      <c r="G157" s="311" t="s">
        <v>23</v>
      </c>
      <c r="H157" s="311" t="s">
        <v>393</v>
      </c>
      <c r="I157" s="311" t="s">
        <v>66</v>
      </c>
      <c r="J157" s="50" t="s">
        <v>1892</v>
      </c>
      <c r="K157" s="50" t="s">
        <v>1892</v>
      </c>
      <c r="L157" s="50" t="s">
        <v>1893</v>
      </c>
      <c r="M157" s="50" t="s">
        <v>2477</v>
      </c>
      <c r="N157" s="50" t="s">
        <v>2477</v>
      </c>
      <c r="O157" s="50" t="s">
        <v>2477</v>
      </c>
      <c r="P157" s="50" t="s">
        <v>2477</v>
      </c>
    </row>
    <row r="158" spans="1:16" ht="12.75" customHeight="1" x14ac:dyDescent="0.25">
      <c r="A158" s="311">
        <v>155</v>
      </c>
      <c r="B158" s="311" t="s">
        <v>84</v>
      </c>
      <c r="C158" s="311" t="s">
        <v>462</v>
      </c>
      <c r="D158" s="311" t="s">
        <v>462</v>
      </c>
      <c r="E158" s="337" t="s">
        <v>462</v>
      </c>
      <c r="F158" s="311" t="s">
        <v>295</v>
      </c>
      <c r="G158" s="311" t="s">
        <v>237</v>
      </c>
      <c r="H158" s="311" t="s">
        <v>393</v>
      </c>
      <c r="I158" s="311" t="s">
        <v>66</v>
      </c>
      <c r="J158" s="50" t="s">
        <v>1892</v>
      </c>
      <c r="K158" s="50" t="s">
        <v>1892</v>
      </c>
      <c r="L158" s="50" t="s">
        <v>1893</v>
      </c>
      <c r="M158" s="50" t="s">
        <v>2478</v>
      </c>
      <c r="N158" s="50" t="s">
        <v>2479</v>
      </c>
      <c r="O158" s="50" t="s">
        <v>2479</v>
      </c>
      <c r="P158" s="50" t="s">
        <v>2479</v>
      </c>
    </row>
    <row r="159" spans="1:16" ht="12.75" customHeight="1" x14ac:dyDescent="0.25">
      <c r="A159" s="311">
        <v>156</v>
      </c>
      <c r="B159" s="311" t="s">
        <v>123</v>
      </c>
      <c r="C159" s="311" t="s">
        <v>462</v>
      </c>
      <c r="D159" s="311" t="s">
        <v>462</v>
      </c>
      <c r="E159" s="337" t="s">
        <v>462</v>
      </c>
      <c r="F159" s="311" t="s">
        <v>295</v>
      </c>
      <c r="G159" s="311" t="s">
        <v>237</v>
      </c>
      <c r="H159" s="311" t="s">
        <v>393</v>
      </c>
      <c r="I159" s="311" t="s">
        <v>66</v>
      </c>
      <c r="J159" s="50" t="s">
        <v>1892</v>
      </c>
      <c r="K159" s="50" t="s">
        <v>1892</v>
      </c>
      <c r="L159" s="50" t="s">
        <v>1893</v>
      </c>
      <c r="M159" s="50" t="s">
        <v>2480</v>
      </c>
      <c r="N159" s="50" t="s">
        <v>2479</v>
      </c>
      <c r="O159" s="50" t="s">
        <v>2479</v>
      </c>
      <c r="P159" s="50" t="s">
        <v>2479</v>
      </c>
    </row>
    <row r="160" spans="1:16" ht="12.75" customHeight="1" x14ac:dyDescent="0.25">
      <c r="A160" s="311">
        <v>157</v>
      </c>
      <c r="B160" s="311" t="s">
        <v>75</v>
      </c>
      <c r="C160" s="311" t="s">
        <v>462</v>
      </c>
      <c r="D160" s="311" t="s">
        <v>462</v>
      </c>
      <c r="E160" s="337" t="s">
        <v>462</v>
      </c>
      <c r="F160" s="311" t="s">
        <v>295</v>
      </c>
      <c r="G160" s="311" t="s">
        <v>237</v>
      </c>
      <c r="H160" s="311" t="s">
        <v>393</v>
      </c>
      <c r="I160" s="311" t="s">
        <v>66</v>
      </c>
      <c r="J160" s="50" t="s">
        <v>1892</v>
      </c>
      <c r="K160" s="50" t="s">
        <v>1892</v>
      </c>
      <c r="L160" s="50" t="s">
        <v>1893</v>
      </c>
      <c r="M160" s="50" t="s">
        <v>2481</v>
      </c>
      <c r="N160" s="50" t="s">
        <v>2479</v>
      </c>
      <c r="O160" s="50" t="s">
        <v>2479</v>
      </c>
      <c r="P160" s="50" t="s">
        <v>2479</v>
      </c>
    </row>
    <row r="161" spans="1:16" ht="12.75" customHeight="1" x14ac:dyDescent="0.25">
      <c r="A161" s="311">
        <v>158</v>
      </c>
      <c r="B161" s="311" t="s">
        <v>63</v>
      </c>
      <c r="C161" s="311" t="s">
        <v>63</v>
      </c>
      <c r="D161" s="311" t="s">
        <v>462</v>
      </c>
      <c r="E161" s="337" t="s">
        <v>63</v>
      </c>
      <c r="F161" s="311" t="s">
        <v>295</v>
      </c>
      <c r="G161" s="311" t="s">
        <v>237</v>
      </c>
      <c r="H161" s="311" t="s">
        <v>393</v>
      </c>
      <c r="I161" s="311" t="s">
        <v>66</v>
      </c>
      <c r="J161" s="50" t="s">
        <v>1892</v>
      </c>
      <c r="K161" s="50" t="s">
        <v>1892</v>
      </c>
      <c r="L161" s="50" t="s">
        <v>1893</v>
      </c>
      <c r="M161" s="50" t="s">
        <v>2482</v>
      </c>
      <c r="N161" s="50" t="s">
        <v>2482</v>
      </c>
      <c r="O161" s="50" t="s">
        <v>2479</v>
      </c>
      <c r="P161" s="50" t="s">
        <v>2482</v>
      </c>
    </row>
    <row r="162" spans="1:16" ht="12.75" customHeight="1" x14ac:dyDescent="0.25">
      <c r="A162" s="311">
        <v>159</v>
      </c>
      <c r="B162" s="311" t="s">
        <v>140</v>
      </c>
      <c r="C162" s="311" t="s">
        <v>140</v>
      </c>
      <c r="D162" s="311" t="s">
        <v>462</v>
      </c>
      <c r="E162" s="337" t="s">
        <v>140</v>
      </c>
      <c r="F162" s="311" t="s">
        <v>295</v>
      </c>
      <c r="G162" s="311" t="s">
        <v>237</v>
      </c>
      <c r="H162" s="311" t="s">
        <v>393</v>
      </c>
      <c r="I162" s="311" t="s">
        <v>66</v>
      </c>
      <c r="J162" s="50" t="s">
        <v>1892</v>
      </c>
      <c r="K162" s="50" t="s">
        <v>1892</v>
      </c>
      <c r="L162" s="50" t="s">
        <v>1893</v>
      </c>
      <c r="M162" s="50" t="s">
        <v>2483</v>
      </c>
      <c r="N162" s="50" t="s">
        <v>2483</v>
      </c>
      <c r="O162" s="50" t="s">
        <v>2479</v>
      </c>
      <c r="P162" s="50" t="s">
        <v>2483</v>
      </c>
    </row>
    <row r="163" spans="1:16" ht="12.75" customHeight="1" x14ac:dyDescent="0.25">
      <c r="A163" s="311">
        <v>160</v>
      </c>
      <c r="B163" s="311" t="s">
        <v>121</v>
      </c>
      <c r="C163" s="311" t="s">
        <v>121</v>
      </c>
      <c r="D163" s="311" t="s">
        <v>462</v>
      </c>
      <c r="E163" s="337" t="s">
        <v>121</v>
      </c>
      <c r="F163" s="311" t="s">
        <v>295</v>
      </c>
      <c r="G163" s="311" t="s">
        <v>237</v>
      </c>
      <c r="H163" s="311" t="s">
        <v>393</v>
      </c>
      <c r="I163" s="311" t="s">
        <v>66</v>
      </c>
      <c r="J163" s="50" t="s">
        <v>1892</v>
      </c>
      <c r="K163" s="50" t="s">
        <v>1892</v>
      </c>
      <c r="L163" s="50" t="s">
        <v>1893</v>
      </c>
      <c r="M163" s="50" t="s">
        <v>2484</v>
      </c>
      <c r="N163" s="50" t="s">
        <v>2484</v>
      </c>
      <c r="O163" s="50" t="s">
        <v>2479</v>
      </c>
      <c r="P163" s="50" t="s">
        <v>2484</v>
      </c>
    </row>
    <row r="164" spans="1:16" ht="12.75" customHeight="1" x14ac:dyDescent="0.25">
      <c r="A164" s="311">
        <v>161</v>
      </c>
      <c r="B164" s="311" t="s">
        <v>87</v>
      </c>
      <c r="C164" s="311" t="s">
        <v>87</v>
      </c>
      <c r="D164" s="311" t="s">
        <v>462</v>
      </c>
      <c r="E164" s="337" t="s">
        <v>87</v>
      </c>
      <c r="F164" s="311" t="s">
        <v>295</v>
      </c>
      <c r="G164" s="311" t="s">
        <v>237</v>
      </c>
      <c r="H164" s="311" t="s">
        <v>393</v>
      </c>
      <c r="I164" s="311" t="s">
        <v>66</v>
      </c>
      <c r="J164" s="50" t="s">
        <v>1892</v>
      </c>
      <c r="K164" s="50" t="s">
        <v>1892</v>
      </c>
      <c r="L164" s="50" t="s">
        <v>1893</v>
      </c>
      <c r="M164" s="50" t="s">
        <v>2485</v>
      </c>
      <c r="N164" s="50" t="s">
        <v>2485</v>
      </c>
      <c r="O164" s="50" t="s">
        <v>2479</v>
      </c>
      <c r="P164" s="50" t="s">
        <v>2485</v>
      </c>
    </row>
    <row r="165" spans="1:16" ht="12.75" customHeight="1" x14ac:dyDescent="0.25">
      <c r="A165" s="311">
        <v>162</v>
      </c>
      <c r="B165" s="311" t="s">
        <v>125</v>
      </c>
      <c r="C165" s="311" t="s">
        <v>125</v>
      </c>
      <c r="D165" s="311" t="s">
        <v>125</v>
      </c>
      <c r="E165" s="337" t="s">
        <v>125</v>
      </c>
      <c r="F165" s="311" t="s">
        <v>295</v>
      </c>
      <c r="G165" s="311" t="s">
        <v>237</v>
      </c>
      <c r="H165" s="311" t="s">
        <v>393</v>
      </c>
      <c r="I165" s="311" t="s">
        <v>66</v>
      </c>
      <c r="J165" s="50" t="s">
        <v>1892</v>
      </c>
      <c r="K165" s="50" t="s">
        <v>1892</v>
      </c>
      <c r="L165" s="50" t="s">
        <v>1893</v>
      </c>
      <c r="M165" s="50" t="s">
        <v>2486</v>
      </c>
      <c r="N165" s="50" t="s">
        <v>2486</v>
      </c>
      <c r="O165" s="50" t="s">
        <v>2486</v>
      </c>
      <c r="P165" s="50" t="s">
        <v>2486</v>
      </c>
    </row>
    <row r="166" spans="1:16" ht="12.75" customHeight="1" x14ac:dyDescent="0.25">
      <c r="A166" s="311">
        <v>163</v>
      </c>
      <c r="B166" s="311" t="s">
        <v>134</v>
      </c>
      <c r="C166" s="311" t="s">
        <v>134</v>
      </c>
      <c r="D166" s="311" t="s">
        <v>134</v>
      </c>
      <c r="E166" s="337" t="s">
        <v>134</v>
      </c>
      <c r="F166" s="311" t="s">
        <v>295</v>
      </c>
      <c r="G166" s="311" t="s">
        <v>237</v>
      </c>
      <c r="H166" s="311" t="s">
        <v>393</v>
      </c>
      <c r="I166" s="311" t="s">
        <v>66</v>
      </c>
      <c r="J166" s="50" t="s">
        <v>1892</v>
      </c>
      <c r="K166" s="50" t="s">
        <v>1892</v>
      </c>
      <c r="L166" s="50" t="s">
        <v>1893</v>
      </c>
      <c r="M166" s="50" t="s">
        <v>2487</v>
      </c>
      <c r="N166" s="50" t="s">
        <v>2487</v>
      </c>
      <c r="O166" s="50" t="s">
        <v>2487</v>
      </c>
      <c r="P166" s="50" t="s">
        <v>2487</v>
      </c>
    </row>
    <row r="167" spans="1:16" ht="12.75" customHeight="1" x14ac:dyDescent="0.25">
      <c r="A167" s="311">
        <v>164</v>
      </c>
      <c r="B167" s="311" t="s">
        <v>141</v>
      </c>
      <c r="C167" s="311" t="s">
        <v>141</v>
      </c>
      <c r="D167" s="311" t="s">
        <v>141</v>
      </c>
      <c r="E167" s="337" t="s">
        <v>141</v>
      </c>
      <c r="F167" s="311" t="s">
        <v>295</v>
      </c>
      <c r="G167" s="311" t="s">
        <v>237</v>
      </c>
      <c r="H167" s="311" t="s">
        <v>393</v>
      </c>
      <c r="I167" s="311" t="s">
        <v>66</v>
      </c>
      <c r="J167" s="50" t="s">
        <v>1892</v>
      </c>
      <c r="K167" s="50" t="s">
        <v>1892</v>
      </c>
      <c r="L167" s="50" t="s">
        <v>1893</v>
      </c>
      <c r="M167" s="50" t="s">
        <v>2488</v>
      </c>
      <c r="N167" s="50" t="s">
        <v>2488</v>
      </c>
      <c r="O167" s="50" t="s">
        <v>2488</v>
      </c>
      <c r="P167" s="50" t="s">
        <v>2488</v>
      </c>
    </row>
    <row r="168" spans="1:16" ht="12.75" customHeight="1" x14ac:dyDescent="0.25">
      <c r="A168" s="311">
        <v>165</v>
      </c>
      <c r="B168" s="311" t="s">
        <v>69</v>
      </c>
      <c r="C168" s="311" t="s">
        <v>69</v>
      </c>
      <c r="D168" s="311" t="s">
        <v>69</v>
      </c>
      <c r="E168" s="337" t="s">
        <v>69</v>
      </c>
      <c r="F168" s="311" t="s">
        <v>295</v>
      </c>
      <c r="G168" s="311" t="s">
        <v>237</v>
      </c>
      <c r="H168" s="311" t="s">
        <v>393</v>
      </c>
      <c r="I168" s="311" t="s">
        <v>66</v>
      </c>
      <c r="J168" s="50" t="s">
        <v>1892</v>
      </c>
      <c r="K168" s="50" t="s">
        <v>1892</v>
      </c>
      <c r="L168" s="50" t="s">
        <v>1893</v>
      </c>
      <c r="M168" s="50" t="s">
        <v>2489</v>
      </c>
      <c r="N168" s="50" t="s">
        <v>2489</v>
      </c>
      <c r="O168" s="50" t="s">
        <v>2489</v>
      </c>
      <c r="P168" s="50" t="s">
        <v>2489</v>
      </c>
    </row>
    <row r="169" spans="1:16" ht="12.75" customHeight="1" x14ac:dyDescent="0.25">
      <c r="A169" s="311">
        <v>166</v>
      </c>
      <c r="B169" s="311" t="s">
        <v>84</v>
      </c>
      <c r="C169" s="311" t="s">
        <v>462</v>
      </c>
      <c r="D169" s="311" t="s">
        <v>462</v>
      </c>
      <c r="E169" s="337" t="s">
        <v>462</v>
      </c>
      <c r="F169" s="311" t="s">
        <v>244</v>
      </c>
      <c r="G169" s="311" t="s">
        <v>236</v>
      </c>
      <c r="H169" s="311" t="s">
        <v>393</v>
      </c>
      <c r="I169" s="311" t="s">
        <v>66</v>
      </c>
      <c r="J169" s="50" t="s">
        <v>1892</v>
      </c>
      <c r="K169" s="50" t="s">
        <v>1892</v>
      </c>
      <c r="L169" s="50" t="s">
        <v>1893</v>
      </c>
      <c r="M169" s="50" t="s">
        <v>2490</v>
      </c>
      <c r="N169" s="50" t="s">
        <v>2491</v>
      </c>
      <c r="O169" s="50" t="s">
        <v>2491</v>
      </c>
      <c r="P169" s="50" t="s">
        <v>2491</v>
      </c>
    </row>
    <row r="170" spans="1:16" ht="12.75" customHeight="1" x14ac:dyDescent="0.25">
      <c r="A170" s="311">
        <v>167</v>
      </c>
      <c r="B170" s="311" t="s">
        <v>123</v>
      </c>
      <c r="C170" s="311" t="s">
        <v>462</v>
      </c>
      <c r="D170" s="311" t="s">
        <v>462</v>
      </c>
      <c r="E170" s="337" t="s">
        <v>462</v>
      </c>
      <c r="F170" s="311" t="s">
        <v>244</v>
      </c>
      <c r="G170" s="311" t="s">
        <v>236</v>
      </c>
      <c r="H170" s="311" t="s">
        <v>393</v>
      </c>
      <c r="I170" s="311" t="s">
        <v>66</v>
      </c>
      <c r="J170" s="50" t="s">
        <v>1892</v>
      </c>
      <c r="K170" s="50" t="s">
        <v>1892</v>
      </c>
      <c r="L170" s="50" t="s">
        <v>1893</v>
      </c>
      <c r="M170" s="50" t="s">
        <v>2492</v>
      </c>
      <c r="N170" s="50" t="s">
        <v>2491</v>
      </c>
      <c r="O170" s="50" t="s">
        <v>2491</v>
      </c>
      <c r="P170" s="50" t="s">
        <v>2491</v>
      </c>
    </row>
    <row r="171" spans="1:16" ht="12.75" customHeight="1" x14ac:dyDescent="0.25">
      <c r="A171" s="311">
        <v>168</v>
      </c>
      <c r="B171" s="311" t="s">
        <v>75</v>
      </c>
      <c r="C171" s="311" t="s">
        <v>462</v>
      </c>
      <c r="D171" s="311" t="s">
        <v>462</v>
      </c>
      <c r="E171" s="337" t="s">
        <v>462</v>
      </c>
      <c r="F171" s="311" t="s">
        <v>244</v>
      </c>
      <c r="G171" s="311" t="s">
        <v>236</v>
      </c>
      <c r="H171" s="311" t="s">
        <v>393</v>
      </c>
      <c r="I171" s="311" t="s">
        <v>66</v>
      </c>
      <c r="J171" s="50" t="s">
        <v>1892</v>
      </c>
      <c r="K171" s="50" t="s">
        <v>1892</v>
      </c>
      <c r="L171" s="50" t="s">
        <v>1893</v>
      </c>
      <c r="M171" s="50" t="s">
        <v>2493</v>
      </c>
      <c r="N171" s="50" t="s">
        <v>2491</v>
      </c>
      <c r="O171" s="50" t="s">
        <v>2491</v>
      </c>
      <c r="P171" s="50" t="s">
        <v>2491</v>
      </c>
    </row>
    <row r="172" spans="1:16" ht="12.75" customHeight="1" x14ac:dyDescent="0.25">
      <c r="A172" s="311">
        <v>169</v>
      </c>
      <c r="B172" s="311" t="s">
        <v>63</v>
      </c>
      <c r="C172" s="311" t="s">
        <v>63</v>
      </c>
      <c r="D172" s="311" t="s">
        <v>462</v>
      </c>
      <c r="E172" s="337" t="s">
        <v>63</v>
      </c>
      <c r="F172" s="311" t="s">
        <v>244</v>
      </c>
      <c r="G172" s="311" t="s">
        <v>236</v>
      </c>
      <c r="H172" s="311" t="s">
        <v>393</v>
      </c>
      <c r="I172" s="311" t="s">
        <v>66</v>
      </c>
      <c r="J172" s="50" t="s">
        <v>1892</v>
      </c>
      <c r="K172" s="50" t="s">
        <v>1892</v>
      </c>
      <c r="L172" s="50" t="s">
        <v>1893</v>
      </c>
      <c r="M172" s="50" t="s">
        <v>2494</v>
      </c>
      <c r="N172" s="50" t="s">
        <v>2494</v>
      </c>
      <c r="O172" s="50" t="s">
        <v>2491</v>
      </c>
      <c r="P172" s="50" t="s">
        <v>2494</v>
      </c>
    </row>
    <row r="173" spans="1:16" ht="12.75" customHeight="1" x14ac:dyDescent="0.25">
      <c r="A173" s="311">
        <v>170</v>
      </c>
      <c r="B173" s="311" t="s">
        <v>140</v>
      </c>
      <c r="C173" s="311" t="s">
        <v>140</v>
      </c>
      <c r="D173" s="311" t="s">
        <v>462</v>
      </c>
      <c r="E173" s="337" t="s">
        <v>140</v>
      </c>
      <c r="F173" s="311" t="s">
        <v>244</v>
      </c>
      <c r="G173" s="311" t="s">
        <v>236</v>
      </c>
      <c r="H173" s="311" t="s">
        <v>393</v>
      </c>
      <c r="I173" s="311" t="s">
        <v>66</v>
      </c>
      <c r="J173" s="50" t="s">
        <v>1892</v>
      </c>
      <c r="K173" s="50" t="s">
        <v>1892</v>
      </c>
      <c r="L173" s="50" t="s">
        <v>1893</v>
      </c>
      <c r="M173" s="50" t="s">
        <v>2495</v>
      </c>
      <c r="N173" s="50" t="s">
        <v>2495</v>
      </c>
      <c r="O173" s="50" t="s">
        <v>2491</v>
      </c>
      <c r="P173" s="50" t="s">
        <v>2495</v>
      </c>
    </row>
    <row r="174" spans="1:16" ht="12.75" customHeight="1" x14ac:dyDescent="0.25">
      <c r="A174" s="311">
        <v>171</v>
      </c>
      <c r="B174" s="311" t="s">
        <v>121</v>
      </c>
      <c r="C174" s="311" t="s">
        <v>121</v>
      </c>
      <c r="D174" s="311" t="s">
        <v>462</v>
      </c>
      <c r="E174" s="337" t="s">
        <v>121</v>
      </c>
      <c r="F174" s="311" t="s">
        <v>244</v>
      </c>
      <c r="G174" s="311" t="s">
        <v>236</v>
      </c>
      <c r="H174" s="311" t="s">
        <v>393</v>
      </c>
      <c r="I174" s="311" t="s">
        <v>66</v>
      </c>
      <c r="J174" s="50" t="s">
        <v>1892</v>
      </c>
      <c r="K174" s="50" t="s">
        <v>1892</v>
      </c>
      <c r="L174" s="50" t="s">
        <v>1893</v>
      </c>
      <c r="M174" s="50" t="s">
        <v>2496</v>
      </c>
      <c r="N174" s="50" t="s">
        <v>2496</v>
      </c>
      <c r="O174" s="50" t="s">
        <v>2491</v>
      </c>
      <c r="P174" s="50" t="s">
        <v>2496</v>
      </c>
    </row>
    <row r="175" spans="1:16" ht="12.75" customHeight="1" x14ac:dyDescent="0.25">
      <c r="A175" s="311">
        <v>172</v>
      </c>
      <c r="B175" s="311" t="s">
        <v>87</v>
      </c>
      <c r="C175" s="311" t="s">
        <v>87</v>
      </c>
      <c r="D175" s="311" t="s">
        <v>462</v>
      </c>
      <c r="E175" s="337" t="s">
        <v>87</v>
      </c>
      <c r="F175" s="311" t="s">
        <v>244</v>
      </c>
      <c r="G175" s="311" t="s">
        <v>236</v>
      </c>
      <c r="H175" s="311" t="s">
        <v>393</v>
      </c>
      <c r="I175" s="311" t="s">
        <v>66</v>
      </c>
      <c r="J175" s="50" t="s">
        <v>1892</v>
      </c>
      <c r="K175" s="50" t="s">
        <v>1892</v>
      </c>
      <c r="L175" s="50" t="s">
        <v>1893</v>
      </c>
      <c r="M175" s="50" t="s">
        <v>2497</v>
      </c>
      <c r="N175" s="50" t="s">
        <v>2497</v>
      </c>
      <c r="O175" s="50" t="s">
        <v>2491</v>
      </c>
      <c r="P175" s="50" t="s">
        <v>2497</v>
      </c>
    </row>
    <row r="176" spans="1:16" ht="12.75" customHeight="1" x14ac:dyDescent="0.25">
      <c r="A176" s="311">
        <v>173</v>
      </c>
      <c r="B176" s="311" t="s">
        <v>125</v>
      </c>
      <c r="C176" s="311" t="s">
        <v>125</v>
      </c>
      <c r="D176" s="311" t="s">
        <v>125</v>
      </c>
      <c r="E176" s="337" t="s">
        <v>125</v>
      </c>
      <c r="F176" s="311" t="s">
        <v>244</v>
      </c>
      <c r="G176" s="311" t="s">
        <v>236</v>
      </c>
      <c r="H176" s="311" t="s">
        <v>393</v>
      </c>
      <c r="I176" s="311" t="s">
        <v>66</v>
      </c>
      <c r="J176" s="50" t="s">
        <v>1892</v>
      </c>
      <c r="K176" s="50" t="s">
        <v>1892</v>
      </c>
      <c r="L176" s="50" t="s">
        <v>1893</v>
      </c>
      <c r="M176" s="50" t="s">
        <v>2498</v>
      </c>
      <c r="N176" s="50" t="s">
        <v>2498</v>
      </c>
      <c r="O176" s="50" t="s">
        <v>2498</v>
      </c>
      <c r="P176" s="50" t="s">
        <v>2498</v>
      </c>
    </row>
    <row r="177" spans="1:16" ht="12.75" customHeight="1" x14ac:dyDescent="0.25">
      <c r="A177" s="311">
        <v>174</v>
      </c>
      <c r="B177" s="311" t="s">
        <v>134</v>
      </c>
      <c r="C177" s="311" t="s">
        <v>134</v>
      </c>
      <c r="D177" s="311" t="s">
        <v>134</v>
      </c>
      <c r="E177" s="337" t="s">
        <v>134</v>
      </c>
      <c r="F177" s="311" t="s">
        <v>244</v>
      </c>
      <c r="G177" s="311" t="s">
        <v>236</v>
      </c>
      <c r="H177" s="311" t="s">
        <v>393</v>
      </c>
      <c r="I177" s="311" t="s">
        <v>66</v>
      </c>
      <c r="J177" s="50" t="s">
        <v>1892</v>
      </c>
      <c r="K177" s="50" t="s">
        <v>1892</v>
      </c>
      <c r="L177" s="50" t="s">
        <v>1893</v>
      </c>
      <c r="M177" s="50" t="s">
        <v>2499</v>
      </c>
      <c r="N177" s="50" t="s">
        <v>2499</v>
      </c>
      <c r="O177" s="50" t="s">
        <v>2499</v>
      </c>
      <c r="P177" s="50" t="s">
        <v>2499</v>
      </c>
    </row>
    <row r="178" spans="1:16" ht="12.75" customHeight="1" x14ac:dyDescent="0.25">
      <c r="A178" s="311">
        <v>175</v>
      </c>
      <c r="B178" s="311" t="s">
        <v>141</v>
      </c>
      <c r="C178" s="311" t="s">
        <v>141</v>
      </c>
      <c r="D178" s="311" t="s">
        <v>141</v>
      </c>
      <c r="E178" s="337" t="s">
        <v>141</v>
      </c>
      <c r="F178" s="311" t="s">
        <v>244</v>
      </c>
      <c r="G178" s="311" t="s">
        <v>236</v>
      </c>
      <c r="H178" s="311" t="s">
        <v>393</v>
      </c>
      <c r="I178" s="311" t="s">
        <v>66</v>
      </c>
      <c r="J178" s="50" t="s">
        <v>1892</v>
      </c>
      <c r="K178" s="50" t="s">
        <v>1892</v>
      </c>
      <c r="L178" s="50" t="s">
        <v>1893</v>
      </c>
      <c r="M178" s="50" t="s">
        <v>2500</v>
      </c>
      <c r="N178" s="50" t="s">
        <v>2500</v>
      </c>
      <c r="O178" s="50" t="s">
        <v>2500</v>
      </c>
      <c r="P178" s="50" t="s">
        <v>2500</v>
      </c>
    </row>
    <row r="179" spans="1:16" ht="12.75" customHeight="1" x14ac:dyDescent="0.25">
      <c r="A179" s="311">
        <v>176</v>
      </c>
      <c r="B179" s="311" t="s">
        <v>69</v>
      </c>
      <c r="C179" s="311" t="s">
        <v>69</v>
      </c>
      <c r="D179" s="311" t="s">
        <v>69</v>
      </c>
      <c r="E179" s="337" t="s">
        <v>69</v>
      </c>
      <c r="F179" s="311" t="s">
        <v>244</v>
      </c>
      <c r="G179" s="311" t="s">
        <v>236</v>
      </c>
      <c r="H179" s="311" t="s">
        <v>393</v>
      </c>
      <c r="I179" s="311" t="s">
        <v>66</v>
      </c>
      <c r="J179" s="50" t="s">
        <v>1892</v>
      </c>
      <c r="K179" s="50" t="s">
        <v>1892</v>
      </c>
      <c r="L179" s="50" t="s">
        <v>1893</v>
      </c>
      <c r="M179" s="50" t="s">
        <v>2501</v>
      </c>
      <c r="N179" s="50" t="s">
        <v>2501</v>
      </c>
      <c r="O179" s="50" t="s">
        <v>2501</v>
      </c>
      <c r="P179" s="50" t="s">
        <v>2501</v>
      </c>
    </row>
    <row r="180" spans="1:16" ht="12.75" customHeight="1" x14ac:dyDescent="0.25">
      <c r="A180" s="311">
        <v>177</v>
      </c>
      <c r="B180" s="311" t="s">
        <v>84</v>
      </c>
      <c r="C180" s="311" t="s">
        <v>462</v>
      </c>
      <c r="D180" s="311" t="s">
        <v>462</v>
      </c>
      <c r="E180" s="337" t="s">
        <v>462</v>
      </c>
      <c r="F180" s="311" t="s">
        <v>244</v>
      </c>
      <c r="G180" s="311" t="s">
        <v>23</v>
      </c>
      <c r="H180" s="311" t="s">
        <v>393</v>
      </c>
      <c r="I180" s="311" t="s">
        <v>66</v>
      </c>
      <c r="J180" s="50" t="s">
        <v>1892</v>
      </c>
      <c r="K180" s="50" t="s">
        <v>1892</v>
      </c>
      <c r="L180" s="50" t="s">
        <v>1893</v>
      </c>
      <c r="M180" s="50" t="s">
        <v>2502</v>
      </c>
      <c r="N180" s="50" t="s">
        <v>2503</v>
      </c>
      <c r="O180" s="50" t="s">
        <v>2503</v>
      </c>
      <c r="P180" s="50" t="s">
        <v>2503</v>
      </c>
    </row>
    <row r="181" spans="1:16" ht="12.75" customHeight="1" x14ac:dyDescent="0.25">
      <c r="A181" s="311">
        <v>178</v>
      </c>
      <c r="B181" s="311" t="s">
        <v>123</v>
      </c>
      <c r="C181" s="311" t="s">
        <v>462</v>
      </c>
      <c r="D181" s="311" t="s">
        <v>462</v>
      </c>
      <c r="E181" s="337" t="s">
        <v>462</v>
      </c>
      <c r="F181" s="311" t="s">
        <v>244</v>
      </c>
      <c r="G181" s="311" t="s">
        <v>23</v>
      </c>
      <c r="H181" s="311" t="s">
        <v>393</v>
      </c>
      <c r="I181" s="311" t="s">
        <v>66</v>
      </c>
      <c r="J181" s="50" t="s">
        <v>1892</v>
      </c>
      <c r="K181" s="50" t="s">
        <v>1892</v>
      </c>
      <c r="L181" s="50" t="s">
        <v>1893</v>
      </c>
      <c r="M181" s="50" t="s">
        <v>2504</v>
      </c>
      <c r="N181" s="50" t="s">
        <v>2503</v>
      </c>
      <c r="O181" s="50" t="s">
        <v>2503</v>
      </c>
      <c r="P181" s="50" t="s">
        <v>2503</v>
      </c>
    </row>
    <row r="182" spans="1:16" ht="12.75" customHeight="1" x14ac:dyDescent="0.25">
      <c r="A182" s="311">
        <v>179</v>
      </c>
      <c r="B182" s="311" t="s">
        <v>75</v>
      </c>
      <c r="C182" s="311" t="s">
        <v>462</v>
      </c>
      <c r="D182" s="311" t="s">
        <v>462</v>
      </c>
      <c r="E182" s="337" t="s">
        <v>462</v>
      </c>
      <c r="F182" s="311" t="s">
        <v>244</v>
      </c>
      <c r="G182" s="311" t="s">
        <v>23</v>
      </c>
      <c r="H182" s="311" t="s">
        <v>393</v>
      </c>
      <c r="I182" s="311" t="s">
        <v>66</v>
      </c>
      <c r="J182" s="50" t="s">
        <v>1892</v>
      </c>
      <c r="K182" s="50" t="s">
        <v>1892</v>
      </c>
      <c r="L182" s="50" t="s">
        <v>1893</v>
      </c>
      <c r="M182" s="50" t="s">
        <v>2505</v>
      </c>
      <c r="N182" s="50" t="s">
        <v>2503</v>
      </c>
      <c r="O182" s="50" t="s">
        <v>2503</v>
      </c>
      <c r="P182" s="50" t="s">
        <v>2503</v>
      </c>
    </row>
    <row r="183" spans="1:16" ht="12.75" customHeight="1" x14ac:dyDescent="0.25">
      <c r="A183" s="311">
        <v>180</v>
      </c>
      <c r="B183" s="311" t="s">
        <v>63</v>
      </c>
      <c r="C183" s="311" t="s">
        <v>63</v>
      </c>
      <c r="D183" s="311" t="s">
        <v>462</v>
      </c>
      <c r="E183" s="337" t="s">
        <v>63</v>
      </c>
      <c r="F183" s="311" t="s">
        <v>244</v>
      </c>
      <c r="G183" s="311" t="s">
        <v>23</v>
      </c>
      <c r="H183" s="311" t="s">
        <v>393</v>
      </c>
      <c r="I183" s="311" t="s">
        <v>66</v>
      </c>
      <c r="J183" s="50" t="s">
        <v>1892</v>
      </c>
      <c r="K183" s="50" t="s">
        <v>1892</v>
      </c>
      <c r="L183" s="50" t="s">
        <v>1893</v>
      </c>
      <c r="M183" s="50" t="s">
        <v>2506</v>
      </c>
      <c r="N183" s="50" t="s">
        <v>2506</v>
      </c>
      <c r="O183" s="50" t="s">
        <v>2503</v>
      </c>
      <c r="P183" s="50" t="s">
        <v>2506</v>
      </c>
    </row>
    <row r="184" spans="1:16" ht="12.75" customHeight="1" x14ac:dyDescent="0.25">
      <c r="A184" s="311">
        <v>181</v>
      </c>
      <c r="B184" s="311" t="s">
        <v>140</v>
      </c>
      <c r="C184" s="311" t="s">
        <v>140</v>
      </c>
      <c r="D184" s="311" t="s">
        <v>462</v>
      </c>
      <c r="E184" s="337" t="s">
        <v>140</v>
      </c>
      <c r="F184" s="311" t="s">
        <v>244</v>
      </c>
      <c r="G184" s="311" t="s">
        <v>23</v>
      </c>
      <c r="H184" s="311" t="s">
        <v>393</v>
      </c>
      <c r="I184" s="311" t="s">
        <v>66</v>
      </c>
      <c r="J184" s="50" t="s">
        <v>1892</v>
      </c>
      <c r="K184" s="50" t="s">
        <v>1892</v>
      </c>
      <c r="L184" s="50" t="s">
        <v>1893</v>
      </c>
      <c r="M184" s="50" t="s">
        <v>2507</v>
      </c>
      <c r="N184" s="50" t="s">
        <v>2507</v>
      </c>
      <c r="O184" s="50" t="s">
        <v>2503</v>
      </c>
      <c r="P184" s="50" t="s">
        <v>2507</v>
      </c>
    </row>
    <row r="185" spans="1:16" ht="12.75" customHeight="1" x14ac:dyDescent="0.25">
      <c r="A185" s="311">
        <v>182</v>
      </c>
      <c r="B185" s="311" t="s">
        <v>121</v>
      </c>
      <c r="C185" s="311" t="s">
        <v>121</v>
      </c>
      <c r="D185" s="311" t="s">
        <v>462</v>
      </c>
      <c r="E185" s="337" t="s">
        <v>121</v>
      </c>
      <c r="F185" s="311" t="s">
        <v>244</v>
      </c>
      <c r="G185" s="311" t="s">
        <v>23</v>
      </c>
      <c r="H185" s="311" t="s">
        <v>393</v>
      </c>
      <c r="I185" s="311" t="s">
        <v>66</v>
      </c>
      <c r="J185" s="50" t="s">
        <v>1892</v>
      </c>
      <c r="K185" s="50" t="s">
        <v>1892</v>
      </c>
      <c r="L185" s="50" t="s">
        <v>1893</v>
      </c>
      <c r="M185" s="50" t="s">
        <v>2508</v>
      </c>
      <c r="N185" s="50" t="s">
        <v>2508</v>
      </c>
      <c r="O185" s="50" t="s">
        <v>2503</v>
      </c>
      <c r="P185" s="50" t="s">
        <v>2508</v>
      </c>
    </row>
    <row r="186" spans="1:16" ht="12.75" customHeight="1" x14ac:dyDescent="0.25">
      <c r="A186" s="311">
        <v>183</v>
      </c>
      <c r="B186" s="311" t="s">
        <v>87</v>
      </c>
      <c r="C186" s="311" t="s">
        <v>87</v>
      </c>
      <c r="D186" s="311" t="s">
        <v>462</v>
      </c>
      <c r="E186" s="337" t="s">
        <v>87</v>
      </c>
      <c r="F186" s="311" t="s">
        <v>244</v>
      </c>
      <c r="G186" s="311" t="s">
        <v>23</v>
      </c>
      <c r="H186" s="311" t="s">
        <v>393</v>
      </c>
      <c r="I186" s="311" t="s">
        <v>66</v>
      </c>
      <c r="J186" s="50" t="s">
        <v>1892</v>
      </c>
      <c r="K186" s="50" t="s">
        <v>1892</v>
      </c>
      <c r="L186" s="50" t="s">
        <v>1893</v>
      </c>
      <c r="M186" s="50" t="s">
        <v>2509</v>
      </c>
      <c r="N186" s="50" t="s">
        <v>2509</v>
      </c>
      <c r="O186" s="50" t="s">
        <v>2503</v>
      </c>
      <c r="P186" s="50" t="s">
        <v>2509</v>
      </c>
    </row>
    <row r="187" spans="1:16" ht="12.75" customHeight="1" x14ac:dyDescent="0.25">
      <c r="A187" s="311">
        <v>184</v>
      </c>
      <c r="B187" s="311" t="s">
        <v>125</v>
      </c>
      <c r="C187" s="311" t="s">
        <v>125</v>
      </c>
      <c r="D187" s="311" t="s">
        <v>125</v>
      </c>
      <c r="E187" s="337" t="s">
        <v>125</v>
      </c>
      <c r="F187" s="311" t="s">
        <v>244</v>
      </c>
      <c r="G187" s="311" t="s">
        <v>23</v>
      </c>
      <c r="H187" s="311" t="s">
        <v>393</v>
      </c>
      <c r="I187" s="311" t="s">
        <v>66</v>
      </c>
      <c r="J187" s="50" t="s">
        <v>1892</v>
      </c>
      <c r="K187" s="50" t="s">
        <v>1892</v>
      </c>
      <c r="L187" s="50" t="s">
        <v>1893</v>
      </c>
      <c r="M187" s="50" t="s">
        <v>2510</v>
      </c>
      <c r="N187" s="50" t="s">
        <v>2510</v>
      </c>
      <c r="O187" s="50" t="s">
        <v>2510</v>
      </c>
      <c r="P187" s="50" t="s">
        <v>2510</v>
      </c>
    </row>
    <row r="188" spans="1:16" ht="12.75" customHeight="1" x14ac:dyDescent="0.25">
      <c r="A188" s="311">
        <v>185</v>
      </c>
      <c r="B188" s="311" t="s">
        <v>134</v>
      </c>
      <c r="C188" s="311" t="s">
        <v>134</v>
      </c>
      <c r="D188" s="311" t="s">
        <v>134</v>
      </c>
      <c r="E188" s="337" t="s">
        <v>134</v>
      </c>
      <c r="F188" s="311" t="s">
        <v>244</v>
      </c>
      <c r="G188" s="311" t="s">
        <v>23</v>
      </c>
      <c r="H188" s="311" t="s">
        <v>393</v>
      </c>
      <c r="I188" s="311" t="s">
        <v>66</v>
      </c>
      <c r="J188" s="50" t="s">
        <v>1892</v>
      </c>
      <c r="K188" s="50" t="s">
        <v>1892</v>
      </c>
      <c r="L188" s="50" t="s">
        <v>1893</v>
      </c>
      <c r="M188" s="50" t="s">
        <v>2511</v>
      </c>
      <c r="N188" s="50" t="s">
        <v>2511</v>
      </c>
      <c r="O188" s="50" t="s">
        <v>2511</v>
      </c>
      <c r="P188" s="50" t="s">
        <v>2511</v>
      </c>
    </row>
    <row r="189" spans="1:16" ht="12.75" customHeight="1" x14ac:dyDescent="0.25">
      <c r="A189" s="311">
        <v>186</v>
      </c>
      <c r="B189" s="311" t="s">
        <v>141</v>
      </c>
      <c r="C189" s="311" t="s">
        <v>141</v>
      </c>
      <c r="D189" s="311" t="s">
        <v>141</v>
      </c>
      <c r="E189" s="337" t="s">
        <v>141</v>
      </c>
      <c r="F189" s="311" t="s">
        <v>244</v>
      </c>
      <c r="G189" s="311" t="s">
        <v>23</v>
      </c>
      <c r="H189" s="311" t="s">
        <v>393</v>
      </c>
      <c r="I189" s="311" t="s">
        <v>66</v>
      </c>
      <c r="J189" s="50" t="s">
        <v>1892</v>
      </c>
      <c r="K189" s="50" t="s">
        <v>1892</v>
      </c>
      <c r="L189" s="50" t="s">
        <v>1893</v>
      </c>
      <c r="M189" s="50" t="s">
        <v>2512</v>
      </c>
      <c r="N189" s="50" t="s">
        <v>2512</v>
      </c>
      <c r="O189" s="50" t="s">
        <v>2512</v>
      </c>
      <c r="P189" s="50" t="s">
        <v>2512</v>
      </c>
    </row>
    <row r="190" spans="1:16" ht="12.75" customHeight="1" x14ac:dyDescent="0.25">
      <c r="A190" s="311">
        <v>187</v>
      </c>
      <c r="B190" s="311" t="s">
        <v>69</v>
      </c>
      <c r="C190" s="311" t="s">
        <v>69</v>
      </c>
      <c r="D190" s="311" t="s">
        <v>69</v>
      </c>
      <c r="E190" s="337" t="s">
        <v>69</v>
      </c>
      <c r="F190" s="311" t="s">
        <v>244</v>
      </c>
      <c r="G190" s="311" t="s">
        <v>23</v>
      </c>
      <c r="H190" s="311" t="s">
        <v>393</v>
      </c>
      <c r="I190" s="311" t="s">
        <v>66</v>
      </c>
      <c r="J190" s="50" t="s">
        <v>1892</v>
      </c>
      <c r="K190" s="50" t="s">
        <v>1892</v>
      </c>
      <c r="L190" s="50" t="s">
        <v>1893</v>
      </c>
      <c r="M190" s="50" t="s">
        <v>2513</v>
      </c>
      <c r="N190" s="50" t="s">
        <v>2513</v>
      </c>
      <c r="O190" s="50" t="s">
        <v>2513</v>
      </c>
      <c r="P190" s="50" t="s">
        <v>2513</v>
      </c>
    </row>
    <row r="191" spans="1:16" ht="12.75" customHeight="1" x14ac:dyDescent="0.25">
      <c r="A191" s="311">
        <v>188</v>
      </c>
      <c r="B191" s="311" t="s">
        <v>84</v>
      </c>
      <c r="C191" s="311" t="s">
        <v>462</v>
      </c>
      <c r="D191" s="311" t="s">
        <v>462</v>
      </c>
      <c r="E191" s="337" t="s">
        <v>462</v>
      </c>
      <c r="F191" s="311" t="s">
        <v>244</v>
      </c>
      <c r="G191" s="311" t="s">
        <v>237</v>
      </c>
      <c r="H191" s="311" t="s">
        <v>393</v>
      </c>
      <c r="I191" s="311" t="s">
        <v>66</v>
      </c>
      <c r="J191" s="50" t="s">
        <v>1892</v>
      </c>
      <c r="K191" s="50" t="s">
        <v>1892</v>
      </c>
      <c r="L191" s="50" t="s">
        <v>1893</v>
      </c>
      <c r="M191" s="50" t="s">
        <v>2514</v>
      </c>
      <c r="N191" s="50" t="s">
        <v>2515</v>
      </c>
      <c r="O191" s="50" t="s">
        <v>2515</v>
      </c>
      <c r="P191" s="50" t="s">
        <v>2515</v>
      </c>
    </row>
    <row r="192" spans="1:16" ht="12.75" customHeight="1" x14ac:dyDescent="0.25">
      <c r="A192" s="311">
        <v>189</v>
      </c>
      <c r="B192" s="311" t="s">
        <v>123</v>
      </c>
      <c r="C192" s="311" t="s">
        <v>462</v>
      </c>
      <c r="D192" s="311" t="s">
        <v>462</v>
      </c>
      <c r="E192" s="337" t="s">
        <v>462</v>
      </c>
      <c r="F192" s="311" t="s">
        <v>244</v>
      </c>
      <c r="G192" s="311" t="s">
        <v>237</v>
      </c>
      <c r="H192" s="311" t="s">
        <v>393</v>
      </c>
      <c r="I192" s="311" t="s">
        <v>66</v>
      </c>
      <c r="J192" s="50" t="s">
        <v>1892</v>
      </c>
      <c r="K192" s="50" t="s">
        <v>1892</v>
      </c>
      <c r="L192" s="50" t="s">
        <v>1893</v>
      </c>
      <c r="M192" s="50" t="s">
        <v>2516</v>
      </c>
      <c r="N192" s="50" t="s">
        <v>2515</v>
      </c>
      <c r="O192" s="50" t="s">
        <v>2515</v>
      </c>
      <c r="P192" s="50" t="s">
        <v>2515</v>
      </c>
    </row>
    <row r="193" spans="1:16" ht="12.75" customHeight="1" x14ac:dyDescent="0.25">
      <c r="A193" s="311">
        <v>190</v>
      </c>
      <c r="B193" s="311" t="s">
        <v>75</v>
      </c>
      <c r="C193" s="311" t="s">
        <v>462</v>
      </c>
      <c r="D193" s="311" t="s">
        <v>462</v>
      </c>
      <c r="E193" s="337" t="s">
        <v>462</v>
      </c>
      <c r="F193" s="311" t="s">
        <v>244</v>
      </c>
      <c r="G193" s="311" t="s">
        <v>237</v>
      </c>
      <c r="H193" s="311" t="s">
        <v>393</v>
      </c>
      <c r="I193" s="311" t="s">
        <v>66</v>
      </c>
      <c r="J193" s="50" t="s">
        <v>1892</v>
      </c>
      <c r="K193" s="50" t="s">
        <v>1892</v>
      </c>
      <c r="L193" s="50" t="s">
        <v>1893</v>
      </c>
      <c r="M193" s="50" t="s">
        <v>2517</v>
      </c>
      <c r="N193" s="50" t="s">
        <v>2515</v>
      </c>
      <c r="O193" s="50" t="s">
        <v>2515</v>
      </c>
      <c r="P193" s="50" t="s">
        <v>2515</v>
      </c>
    </row>
    <row r="194" spans="1:16" ht="12.75" customHeight="1" x14ac:dyDescent="0.25">
      <c r="A194" s="311">
        <v>191</v>
      </c>
      <c r="B194" s="311" t="s">
        <v>63</v>
      </c>
      <c r="C194" s="311" t="s">
        <v>63</v>
      </c>
      <c r="D194" s="311" t="s">
        <v>462</v>
      </c>
      <c r="E194" s="337" t="s">
        <v>63</v>
      </c>
      <c r="F194" s="311" t="s">
        <v>244</v>
      </c>
      <c r="G194" s="311" t="s">
        <v>237</v>
      </c>
      <c r="H194" s="311" t="s">
        <v>393</v>
      </c>
      <c r="I194" s="311" t="s">
        <v>66</v>
      </c>
      <c r="J194" s="50" t="s">
        <v>1892</v>
      </c>
      <c r="K194" s="50" t="s">
        <v>1892</v>
      </c>
      <c r="L194" s="50" t="s">
        <v>1893</v>
      </c>
      <c r="M194" s="50" t="s">
        <v>2518</v>
      </c>
      <c r="N194" s="50" t="s">
        <v>2518</v>
      </c>
      <c r="O194" s="50" t="s">
        <v>2515</v>
      </c>
      <c r="P194" s="50" t="s">
        <v>2518</v>
      </c>
    </row>
    <row r="195" spans="1:16" ht="12.75" customHeight="1" x14ac:dyDescent="0.25">
      <c r="A195" s="311">
        <v>192</v>
      </c>
      <c r="B195" s="311" t="s">
        <v>140</v>
      </c>
      <c r="C195" s="311" t="s">
        <v>140</v>
      </c>
      <c r="D195" s="311" t="s">
        <v>462</v>
      </c>
      <c r="E195" s="337" t="s">
        <v>140</v>
      </c>
      <c r="F195" s="311" t="s">
        <v>244</v>
      </c>
      <c r="G195" s="311" t="s">
        <v>237</v>
      </c>
      <c r="H195" s="311" t="s">
        <v>393</v>
      </c>
      <c r="I195" s="311" t="s">
        <v>66</v>
      </c>
      <c r="J195" s="50" t="s">
        <v>1892</v>
      </c>
      <c r="K195" s="50" t="s">
        <v>1892</v>
      </c>
      <c r="L195" s="50" t="s">
        <v>1893</v>
      </c>
      <c r="M195" s="50" t="s">
        <v>2519</v>
      </c>
      <c r="N195" s="50" t="s">
        <v>2519</v>
      </c>
      <c r="O195" s="50" t="s">
        <v>2515</v>
      </c>
      <c r="P195" s="50" t="s">
        <v>2519</v>
      </c>
    </row>
    <row r="196" spans="1:16" ht="12.75" customHeight="1" x14ac:dyDescent="0.25">
      <c r="A196" s="311">
        <v>193</v>
      </c>
      <c r="B196" s="311" t="s">
        <v>121</v>
      </c>
      <c r="C196" s="311" t="s">
        <v>121</v>
      </c>
      <c r="D196" s="311" t="s">
        <v>462</v>
      </c>
      <c r="E196" s="337" t="s">
        <v>121</v>
      </c>
      <c r="F196" s="311" t="s">
        <v>244</v>
      </c>
      <c r="G196" s="311" t="s">
        <v>237</v>
      </c>
      <c r="H196" s="311" t="s">
        <v>393</v>
      </c>
      <c r="I196" s="311" t="s">
        <v>66</v>
      </c>
      <c r="J196" s="50" t="s">
        <v>1892</v>
      </c>
      <c r="K196" s="50" t="s">
        <v>1892</v>
      </c>
      <c r="L196" s="50" t="s">
        <v>1893</v>
      </c>
      <c r="M196" s="50" t="s">
        <v>2520</v>
      </c>
      <c r="N196" s="50" t="s">
        <v>2520</v>
      </c>
      <c r="O196" s="50" t="s">
        <v>2515</v>
      </c>
      <c r="P196" s="50" t="s">
        <v>2520</v>
      </c>
    </row>
    <row r="197" spans="1:16" ht="12.75" customHeight="1" x14ac:dyDescent="0.25">
      <c r="A197" s="311">
        <v>194</v>
      </c>
      <c r="B197" s="311" t="s">
        <v>87</v>
      </c>
      <c r="C197" s="311" t="s">
        <v>87</v>
      </c>
      <c r="D197" s="311" t="s">
        <v>462</v>
      </c>
      <c r="E197" s="337" t="s">
        <v>87</v>
      </c>
      <c r="F197" s="311" t="s">
        <v>244</v>
      </c>
      <c r="G197" s="311" t="s">
        <v>237</v>
      </c>
      <c r="H197" s="311" t="s">
        <v>393</v>
      </c>
      <c r="I197" s="311" t="s">
        <v>66</v>
      </c>
      <c r="J197" s="50" t="s">
        <v>1892</v>
      </c>
      <c r="K197" s="50" t="s">
        <v>1892</v>
      </c>
      <c r="L197" s="50" t="s">
        <v>1893</v>
      </c>
      <c r="M197" s="50" t="s">
        <v>2521</v>
      </c>
      <c r="N197" s="50" t="s">
        <v>2521</v>
      </c>
      <c r="O197" s="50" t="s">
        <v>2515</v>
      </c>
      <c r="P197" s="50" t="s">
        <v>2521</v>
      </c>
    </row>
    <row r="198" spans="1:16" ht="12.75" customHeight="1" x14ac:dyDescent="0.25">
      <c r="A198" s="311">
        <v>195</v>
      </c>
      <c r="B198" s="311" t="s">
        <v>125</v>
      </c>
      <c r="C198" s="311" t="s">
        <v>125</v>
      </c>
      <c r="D198" s="311" t="s">
        <v>125</v>
      </c>
      <c r="E198" s="337" t="s">
        <v>125</v>
      </c>
      <c r="F198" s="311" t="s">
        <v>244</v>
      </c>
      <c r="G198" s="311" t="s">
        <v>237</v>
      </c>
      <c r="H198" s="311" t="s">
        <v>393</v>
      </c>
      <c r="I198" s="311" t="s">
        <v>66</v>
      </c>
      <c r="J198" s="50" t="s">
        <v>1892</v>
      </c>
      <c r="K198" s="50" t="s">
        <v>1892</v>
      </c>
      <c r="L198" s="50" t="s">
        <v>1893</v>
      </c>
      <c r="M198" s="50" t="s">
        <v>2522</v>
      </c>
      <c r="N198" s="50" t="s">
        <v>2522</v>
      </c>
      <c r="O198" s="50" t="s">
        <v>2522</v>
      </c>
      <c r="P198" s="50" t="s">
        <v>2522</v>
      </c>
    </row>
    <row r="199" spans="1:16" ht="12.75" customHeight="1" x14ac:dyDescent="0.25">
      <c r="A199" s="311">
        <v>196</v>
      </c>
      <c r="B199" s="311" t="s">
        <v>134</v>
      </c>
      <c r="C199" s="311" t="s">
        <v>134</v>
      </c>
      <c r="D199" s="311" t="s">
        <v>134</v>
      </c>
      <c r="E199" s="337" t="s">
        <v>134</v>
      </c>
      <c r="F199" s="311" t="s">
        <v>244</v>
      </c>
      <c r="G199" s="311" t="s">
        <v>237</v>
      </c>
      <c r="H199" s="311" t="s">
        <v>393</v>
      </c>
      <c r="I199" s="311" t="s">
        <v>66</v>
      </c>
      <c r="J199" s="50" t="s">
        <v>1892</v>
      </c>
      <c r="K199" s="50" t="s">
        <v>1892</v>
      </c>
      <c r="L199" s="50" t="s">
        <v>1893</v>
      </c>
      <c r="M199" s="50" t="s">
        <v>2523</v>
      </c>
      <c r="N199" s="50" t="s">
        <v>2523</v>
      </c>
      <c r="O199" s="50" t="s">
        <v>2523</v>
      </c>
      <c r="P199" s="50" t="s">
        <v>2523</v>
      </c>
    </row>
    <row r="200" spans="1:16" ht="12.75" customHeight="1" x14ac:dyDescent="0.25">
      <c r="A200" s="311">
        <v>197</v>
      </c>
      <c r="B200" s="311" t="s">
        <v>141</v>
      </c>
      <c r="C200" s="311" t="s">
        <v>141</v>
      </c>
      <c r="D200" s="311" t="s">
        <v>141</v>
      </c>
      <c r="E200" s="337" t="s">
        <v>141</v>
      </c>
      <c r="F200" s="311" t="s">
        <v>244</v>
      </c>
      <c r="G200" s="311" t="s">
        <v>237</v>
      </c>
      <c r="H200" s="311" t="s">
        <v>393</v>
      </c>
      <c r="I200" s="311" t="s">
        <v>66</v>
      </c>
      <c r="J200" s="50" t="s">
        <v>1892</v>
      </c>
      <c r="K200" s="50" t="s">
        <v>1892</v>
      </c>
      <c r="L200" s="50" t="s">
        <v>1893</v>
      </c>
      <c r="M200" s="50" t="s">
        <v>2524</v>
      </c>
      <c r="N200" s="50" t="s">
        <v>2524</v>
      </c>
      <c r="O200" s="50" t="s">
        <v>2524</v>
      </c>
      <c r="P200" s="50" t="s">
        <v>2524</v>
      </c>
    </row>
    <row r="201" spans="1:16" ht="12.75" customHeight="1" x14ac:dyDescent="0.25">
      <c r="A201" s="311">
        <v>198</v>
      </c>
      <c r="B201" s="311" t="s">
        <v>69</v>
      </c>
      <c r="C201" s="311" t="s">
        <v>69</v>
      </c>
      <c r="D201" s="311" t="s">
        <v>69</v>
      </c>
      <c r="E201" s="337" t="s">
        <v>69</v>
      </c>
      <c r="F201" s="311" t="s">
        <v>244</v>
      </c>
      <c r="G201" s="311" t="s">
        <v>237</v>
      </c>
      <c r="H201" s="311" t="s">
        <v>393</v>
      </c>
      <c r="I201" s="311" t="s">
        <v>66</v>
      </c>
      <c r="J201" s="50" t="s">
        <v>1892</v>
      </c>
      <c r="K201" s="50" t="s">
        <v>1892</v>
      </c>
      <c r="L201" s="50" t="s">
        <v>1893</v>
      </c>
      <c r="M201" s="50" t="s">
        <v>2525</v>
      </c>
      <c r="N201" s="50" t="s">
        <v>2525</v>
      </c>
      <c r="O201" s="50" t="s">
        <v>2525</v>
      </c>
      <c r="P201" s="50" t="s">
        <v>2525</v>
      </c>
    </row>
    <row r="202" spans="1:16" ht="12.75" customHeight="1" x14ac:dyDescent="0.25">
      <c r="A202" s="311">
        <v>199</v>
      </c>
      <c r="B202" s="311" t="s">
        <v>84</v>
      </c>
      <c r="C202" s="311" t="s">
        <v>462</v>
      </c>
      <c r="D202" s="311" t="s">
        <v>462</v>
      </c>
      <c r="E202" s="337" t="s">
        <v>462</v>
      </c>
      <c r="F202" s="311" t="s">
        <v>243</v>
      </c>
      <c r="G202" s="311" t="s">
        <v>236</v>
      </c>
      <c r="H202" s="311" t="s">
        <v>393</v>
      </c>
      <c r="I202" s="311" t="s">
        <v>66</v>
      </c>
      <c r="J202" s="50" t="s">
        <v>1892</v>
      </c>
      <c r="K202" s="50" t="s">
        <v>1892</v>
      </c>
      <c r="L202" s="50" t="s">
        <v>1893</v>
      </c>
      <c r="M202" s="50" t="s">
        <v>2526</v>
      </c>
      <c r="N202" s="50" t="s">
        <v>2527</v>
      </c>
      <c r="O202" s="50" t="s">
        <v>2527</v>
      </c>
      <c r="P202" s="50" t="s">
        <v>2527</v>
      </c>
    </row>
    <row r="203" spans="1:16" ht="12.75" customHeight="1" x14ac:dyDescent="0.25">
      <c r="A203" s="311">
        <v>200</v>
      </c>
      <c r="B203" s="311" t="s">
        <v>123</v>
      </c>
      <c r="C203" s="311" t="s">
        <v>462</v>
      </c>
      <c r="D203" s="311" t="s">
        <v>462</v>
      </c>
      <c r="E203" s="337" t="s">
        <v>462</v>
      </c>
      <c r="F203" s="311" t="s">
        <v>243</v>
      </c>
      <c r="G203" s="311" t="s">
        <v>236</v>
      </c>
      <c r="H203" s="311" t="s">
        <v>393</v>
      </c>
      <c r="I203" s="311" t="s">
        <v>66</v>
      </c>
      <c r="J203" s="50" t="s">
        <v>1892</v>
      </c>
      <c r="K203" s="50" t="s">
        <v>1892</v>
      </c>
      <c r="L203" s="50" t="s">
        <v>1893</v>
      </c>
      <c r="M203" s="50" t="s">
        <v>2528</v>
      </c>
      <c r="N203" s="50" t="s">
        <v>2527</v>
      </c>
      <c r="O203" s="50" t="s">
        <v>2527</v>
      </c>
      <c r="P203" s="50" t="s">
        <v>2527</v>
      </c>
    </row>
    <row r="204" spans="1:16" ht="12.75" customHeight="1" x14ac:dyDescent="0.25">
      <c r="A204" s="311">
        <v>201</v>
      </c>
      <c r="B204" s="311" t="s">
        <v>75</v>
      </c>
      <c r="C204" s="311" t="s">
        <v>462</v>
      </c>
      <c r="D204" s="311" t="s">
        <v>462</v>
      </c>
      <c r="E204" s="337" t="s">
        <v>462</v>
      </c>
      <c r="F204" s="311" t="s">
        <v>243</v>
      </c>
      <c r="G204" s="311" t="s">
        <v>236</v>
      </c>
      <c r="H204" s="311" t="s">
        <v>393</v>
      </c>
      <c r="I204" s="311" t="s">
        <v>66</v>
      </c>
      <c r="J204" s="50" t="s">
        <v>1892</v>
      </c>
      <c r="K204" s="50" t="s">
        <v>1892</v>
      </c>
      <c r="L204" s="50" t="s">
        <v>1893</v>
      </c>
      <c r="M204" s="50" t="s">
        <v>2529</v>
      </c>
      <c r="N204" s="50" t="s">
        <v>2527</v>
      </c>
      <c r="O204" s="50" t="s">
        <v>2527</v>
      </c>
      <c r="P204" s="50" t="s">
        <v>2527</v>
      </c>
    </row>
    <row r="205" spans="1:16" ht="12.75" customHeight="1" x14ac:dyDescent="0.25">
      <c r="A205" s="311">
        <v>202</v>
      </c>
      <c r="B205" s="311" t="s">
        <v>63</v>
      </c>
      <c r="C205" s="311" t="s">
        <v>63</v>
      </c>
      <c r="D205" s="311" t="s">
        <v>462</v>
      </c>
      <c r="E205" s="337" t="s">
        <v>63</v>
      </c>
      <c r="F205" s="311" t="s">
        <v>243</v>
      </c>
      <c r="G205" s="311" t="s">
        <v>236</v>
      </c>
      <c r="H205" s="311" t="s">
        <v>393</v>
      </c>
      <c r="I205" s="311" t="s">
        <v>66</v>
      </c>
      <c r="J205" s="50" t="s">
        <v>1892</v>
      </c>
      <c r="K205" s="50" t="s">
        <v>1892</v>
      </c>
      <c r="L205" s="50" t="s">
        <v>1893</v>
      </c>
      <c r="M205" s="50" t="s">
        <v>2530</v>
      </c>
      <c r="N205" s="50" t="s">
        <v>2530</v>
      </c>
      <c r="O205" s="50" t="s">
        <v>2527</v>
      </c>
      <c r="P205" s="50" t="s">
        <v>2530</v>
      </c>
    </row>
    <row r="206" spans="1:16" ht="12.75" customHeight="1" x14ac:dyDescent="0.25">
      <c r="A206" s="311">
        <v>203</v>
      </c>
      <c r="B206" s="311" t="s">
        <v>140</v>
      </c>
      <c r="C206" s="311" t="s">
        <v>140</v>
      </c>
      <c r="D206" s="311" t="s">
        <v>462</v>
      </c>
      <c r="E206" s="337" t="s">
        <v>140</v>
      </c>
      <c r="F206" s="311" t="s">
        <v>243</v>
      </c>
      <c r="G206" s="311" t="s">
        <v>236</v>
      </c>
      <c r="H206" s="311" t="s">
        <v>393</v>
      </c>
      <c r="I206" s="311" t="s">
        <v>66</v>
      </c>
      <c r="J206" s="50" t="s">
        <v>1892</v>
      </c>
      <c r="K206" s="50" t="s">
        <v>1892</v>
      </c>
      <c r="L206" s="50" t="s">
        <v>1893</v>
      </c>
      <c r="M206" s="50" t="s">
        <v>2531</v>
      </c>
      <c r="N206" s="50" t="s">
        <v>2531</v>
      </c>
      <c r="O206" s="50" t="s">
        <v>2527</v>
      </c>
      <c r="P206" s="50" t="s">
        <v>2531</v>
      </c>
    </row>
    <row r="207" spans="1:16" ht="12.75" customHeight="1" x14ac:dyDescent="0.25">
      <c r="A207" s="311">
        <v>204</v>
      </c>
      <c r="B207" s="311" t="s">
        <v>121</v>
      </c>
      <c r="C207" s="311" t="s">
        <v>121</v>
      </c>
      <c r="D207" s="311" t="s">
        <v>462</v>
      </c>
      <c r="E207" s="337" t="s">
        <v>121</v>
      </c>
      <c r="F207" s="311" t="s">
        <v>243</v>
      </c>
      <c r="G207" s="311" t="s">
        <v>236</v>
      </c>
      <c r="H207" s="311" t="s">
        <v>393</v>
      </c>
      <c r="I207" s="311" t="s">
        <v>66</v>
      </c>
      <c r="J207" s="50" t="s">
        <v>1892</v>
      </c>
      <c r="K207" s="50" t="s">
        <v>1892</v>
      </c>
      <c r="L207" s="50" t="s">
        <v>1893</v>
      </c>
      <c r="M207" s="50" t="s">
        <v>2532</v>
      </c>
      <c r="N207" s="50" t="s">
        <v>2532</v>
      </c>
      <c r="O207" s="50" t="s">
        <v>2527</v>
      </c>
      <c r="P207" s="50" t="s">
        <v>2532</v>
      </c>
    </row>
    <row r="208" spans="1:16" ht="12.75" customHeight="1" x14ac:dyDescent="0.25">
      <c r="A208" s="311">
        <v>205</v>
      </c>
      <c r="B208" s="311" t="s">
        <v>87</v>
      </c>
      <c r="C208" s="311" t="s">
        <v>87</v>
      </c>
      <c r="D208" s="311" t="s">
        <v>462</v>
      </c>
      <c r="E208" s="337" t="s">
        <v>87</v>
      </c>
      <c r="F208" s="311" t="s">
        <v>243</v>
      </c>
      <c r="G208" s="311" t="s">
        <v>236</v>
      </c>
      <c r="H208" s="311" t="s">
        <v>393</v>
      </c>
      <c r="I208" s="311" t="s">
        <v>66</v>
      </c>
      <c r="J208" s="50" t="s">
        <v>1892</v>
      </c>
      <c r="K208" s="50" t="s">
        <v>1892</v>
      </c>
      <c r="L208" s="50" t="s">
        <v>1893</v>
      </c>
      <c r="M208" s="50" t="s">
        <v>2533</v>
      </c>
      <c r="N208" s="50" t="s">
        <v>2533</v>
      </c>
      <c r="O208" s="50" t="s">
        <v>2527</v>
      </c>
      <c r="P208" s="50" t="s">
        <v>2533</v>
      </c>
    </row>
    <row r="209" spans="1:16" ht="12.75" customHeight="1" x14ac:dyDescent="0.25">
      <c r="A209" s="311">
        <v>206</v>
      </c>
      <c r="B209" s="311" t="s">
        <v>125</v>
      </c>
      <c r="C209" s="311" t="s">
        <v>125</v>
      </c>
      <c r="D209" s="311" t="s">
        <v>125</v>
      </c>
      <c r="E209" s="337" t="s">
        <v>125</v>
      </c>
      <c r="F209" s="311" t="s">
        <v>243</v>
      </c>
      <c r="G209" s="311" t="s">
        <v>236</v>
      </c>
      <c r="H209" s="311" t="s">
        <v>393</v>
      </c>
      <c r="I209" s="311" t="s">
        <v>66</v>
      </c>
      <c r="J209" s="50" t="s">
        <v>1892</v>
      </c>
      <c r="K209" s="50" t="s">
        <v>1892</v>
      </c>
      <c r="L209" s="50" t="s">
        <v>1893</v>
      </c>
      <c r="M209" s="50" t="s">
        <v>2534</v>
      </c>
      <c r="N209" s="50" t="s">
        <v>2534</v>
      </c>
      <c r="O209" s="50" t="s">
        <v>2534</v>
      </c>
      <c r="P209" s="50" t="s">
        <v>2534</v>
      </c>
    </row>
    <row r="210" spans="1:16" ht="12.75" customHeight="1" x14ac:dyDescent="0.25">
      <c r="A210" s="311">
        <v>207</v>
      </c>
      <c r="B210" s="311" t="s">
        <v>134</v>
      </c>
      <c r="C210" s="311" t="s">
        <v>134</v>
      </c>
      <c r="D210" s="311" t="s">
        <v>134</v>
      </c>
      <c r="E210" s="337" t="s">
        <v>134</v>
      </c>
      <c r="F210" s="311" t="s">
        <v>243</v>
      </c>
      <c r="G210" s="311" t="s">
        <v>236</v>
      </c>
      <c r="H210" s="311" t="s">
        <v>393</v>
      </c>
      <c r="I210" s="311" t="s">
        <v>66</v>
      </c>
      <c r="J210" s="50" t="s">
        <v>1892</v>
      </c>
      <c r="K210" s="50" t="s">
        <v>1892</v>
      </c>
      <c r="L210" s="50" t="s">
        <v>1893</v>
      </c>
      <c r="M210" s="50" t="s">
        <v>2535</v>
      </c>
      <c r="N210" s="50" t="s">
        <v>2535</v>
      </c>
      <c r="O210" s="50" t="s">
        <v>2535</v>
      </c>
      <c r="P210" s="50" t="s">
        <v>2535</v>
      </c>
    </row>
    <row r="211" spans="1:16" ht="12.75" customHeight="1" x14ac:dyDescent="0.25">
      <c r="A211" s="311">
        <v>208</v>
      </c>
      <c r="B211" s="311" t="s">
        <v>141</v>
      </c>
      <c r="C211" s="311" t="s">
        <v>141</v>
      </c>
      <c r="D211" s="311" t="s">
        <v>141</v>
      </c>
      <c r="E211" s="337" t="s">
        <v>141</v>
      </c>
      <c r="F211" s="311" t="s">
        <v>243</v>
      </c>
      <c r="G211" s="311" t="s">
        <v>236</v>
      </c>
      <c r="H211" s="311" t="s">
        <v>393</v>
      </c>
      <c r="I211" s="311" t="s">
        <v>66</v>
      </c>
      <c r="J211" s="50" t="s">
        <v>1892</v>
      </c>
      <c r="K211" s="50" t="s">
        <v>1892</v>
      </c>
      <c r="L211" s="50" t="s">
        <v>1893</v>
      </c>
      <c r="M211" s="50" t="s">
        <v>2536</v>
      </c>
      <c r="N211" s="50" t="s">
        <v>2536</v>
      </c>
      <c r="O211" s="50" t="s">
        <v>2536</v>
      </c>
      <c r="P211" s="50" t="s">
        <v>2536</v>
      </c>
    </row>
    <row r="212" spans="1:16" ht="12.75" customHeight="1" x14ac:dyDescent="0.25">
      <c r="A212" s="311">
        <v>209</v>
      </c>
      <c r="B212" s="311" t="s">
        <v>69</v>
      </c>
      <c r="C212" s="311" t="s">
        <v>69</v>
      </c>
      <c r="D212" s="311" t="s">
        <v>69</v>
      </c>
      <c r="E212" s="337" t="s">
        <v>69</v>
      </c>
      <c r="F212" s="311" t="s">
        <v>243</v>
      </c>
      <c r="G212" s="311" t="s">
        <v>236</v>
      </c>
      <c r="H212" s="311" t="s">
        <v>393</v>
      </c>
      <c r="I212" s="311" t="s">
        <v>66</v>
      </c>
      <c r="J212" s="50" t="s">
        <v>1892</v>
      </c>
      <c r="K212" s="50" t="s">
        <v>1892</v>
      </c>
      <c r="L212" s="50" t="s">
        <v>1893</v>
      </c>
      <c r="M212" s="50" t="s">
        <v>2537</v>
      </c>
      <c r="N212" s="50" t="s">
        <v>2537</v>
      </c>
      <c r="O212" s="50" t="s">
        <v>2537</v>
      </c>
      <c r="P212" s="50" t="s">
        <v>2537</v>
      </c>
    </row>
    <row r="213" spans="1:16" ht="12.75" customHeight="1" x14ac:dyDescent="0.25">
      <c r="A213" s="311">
        <v>210</v>
      </c>
      <c r="B213" s="311" t="s">
        <v>84</v>
      </c>
      <c r="C213" s="311" t="s">
        <v>462</v>
      </c>
      <c r="D213" s="311" t="s">
        <v>462</v>
      </c>
      <c r="E213" s="337" t="s">
        <v>462</v>
      </c>
      <c r="F213" s="311" t="s">
        <v>243</v>
      </c>
      <c r="G213" s="311" t="s">
        <v>23</v>
      </c>
      <c r="H213" s="311" t="s">
        <v>393</v>
      </c>
      <c r="I213" s="311" t="s">
        <v>66</v>
      </c>
      <c r="J213" s="50" t="s">
        <v>1892</v>
      </c>
      <c r="K213" s="50" t="s">
        <v>1892</v>
      </c>
      <c r="L213" s="50" t="s">
        <v>1893</v>
      </c>
      <c r="M213" s="50" t="s">
        <v>2538</v>
      </c>
      <c r="N213" s="50" t="s">
        <v>2539</v>
      </c>
      <c r="O213" s="50" t="s">
        <v>2539</v>
      </c>
      <c r="P213" s="50" t="s">
        <v>2539</v>
      </c>
    </row>
    <row r="214" spans="1:16" ht="12.75" customHeight="1" x14ac:dyDescent="0.25">
      <c r="A214" s="311">
        <v>211</v>
      </c>
      <c r="B214" s="311" t="s">
        <v>123</v>
      </c>
      <c r="C214" s="311" t="s">
        <v>462</v>
      </c>
      <c r="D214" s="311" t="s">
        <v>462</v>
      </c>
      <c r="E214" s="337" t="s">
        <v>462</v>
      </c>
      <c r="F214" s="311" t="s">
        <v>243</v>
      </c>
      <c r="G214" s="311" t="s">
        <v>23</v>
      </c>
      <c r="H214" s="311" t="s">
        <v>393</v>
      </c>
      <c r="I214" s="311" t="s">
        <v>66</v>
      </c>
      <c r="J214" s="50" t="s">
        <v>1892</v>
      </c>
      <c r="K214" s="50" t="s">
        <v>1892</v>
      </c>
      <c r="L214" s="50" t="s">
        <v>1893</v>
      </c>
      <c r="M214" s="50" t="s">
        <v>2540</v>
      </c>
      <c r="N214" s="50" t="s">
        <v>2539</v>
      </c>
      <c r="O214" s="50" t="s">
        <v>2539</v>
      </c>
      <c r="P214" s="50" t="s">
        <v>2539</v>
      </c>
    </row>
    <row r="215" spans="1:16" ht="12.75" customHeight="1" x14ac:dyDescent="0.25">
      <c r="A215" s="311">
        <v>212</v>
      </c>
      <c r="B215" s="311" t="s">
        <v>75</v>
      </c>
      <c r="C215" s="311" t="s">
        <v>462</v>
      </c>
      <c r="D215" s="311" t="s">
        <v>462</v>
      </c>
      <c r="E215" s="337" t="s">
        <v>462</v>
      </c>
      <c r="F215" s="311" t="s">
        <v>243</v>
      </c>
      <c r="G215" s="311" t="s">
        <v>23</v>
      </c>
      <c r="H215" s="311" t="s">
        <v>393</v>
      </c>
      <c r="I215" s="311" t="s">
        <v>66</v>
      </c>
      <c r="J215" s="50" t="s">
        <v>1892</v>
      </c>
      <c r="K215" s="50" t="s">
        <v>1892</v>
      </c>
      <c r="L215" s="50" t="s">
        <v>1893</v>
      </c>
      <c r="M215" s="50" t="s">
        <v>2541</v>
      </c>
      <c r="N215" s="50" t="s">
        <v>2539</v>
      </c>
      <c r="O215" s="50" t="s">
        <v>2539</v>
      </c>
      <c r="P215" s="50" t="s">
        <v>2539</v>
      </c>
    </row>
    <row r="216" spans="1:16" ht="12.75" customHeight="1" x14ac:dyDescent="0.25">
      <c r="A216" s="311">
        <v>213</v>
      </c>
      <c r="B216" s="311" t="s">
        <v>63</v>
      </c>
      <c r="C216" s="311" t="s">
        <v>63</v>
      </c>
      <c r="D216" s="311" t="s">
        <v>462</v>
      </c>
      <c r="E216" s="337" t="s">
        <v>63</v>
      </c>
      <c r="F216" s="311" t="s">
        <v>243</v>
      </c>
      <c r="G216" s="311" t="s">
        <v>23</v>
      </c>
      <c r="H216" s="311" t="s">
        <v>393</v>
      </c>
      <c r="I216" s="311" t="s">
        <v>66</v>
      </c>
      <c r="J216" s="50" t="s">
        <v>1892</v>
      </c>
      <c r="K216" s="50" t="s">
        <v>1892</v>
      </c>
      <c r="L216" s="50" t="s">
        <v>1893</v>
      </c>
      <c r="M216" s="50" t="s">
        <v>2542</v>
      </c>
      <c r="N216" s="50" t="s">
        <v>2542</v>
      </c>
      <c r="O216" s="50" t="s">
        <v>2539</v>
      </c>
      <c r="P216" s="50" t="s">
        <v>2542</v>
      </c>
    </row>
    <row r="217" spans="1:16" ht="12.75" customHeight="1" x14ac:dyDescent="0.25">
      <c r="A217" s="311">
        <v>214</v>
      </c>
      <c r="B217" s="311" t="s">
        <v>140</v>
      </c>
      <c r="C217" s="311" t="s">
        <v>140</v>
      </c>
      <c r="D217" s="311" t="s">
        <v>462</v>
      </c>
      <c r="E217" s="337" t="s">
        <v>140</v>
      </c>
      <c r="F217" s="311" t="s">
        <v>243</v>
      </c>
      <c r="G217" s="311" t="s">
        <v>23</v>
      </c>
      <c r="H217" s="311" t="s">
        <v>393</v>
      </c>
      <c r="I217" s="311" t="s">
        <v>66</v>
      </c>
      <c r="J217" s="50" t="s">
        <v>1892</v>
      </c>
      <c r="K217" s="50" t="s">
        <v>1892</v>
      </c>
      <c r="L217" s="50" t="s">
        <v>1893</v>
      </c>
      <c r="M217" s="50" t="s">
        <v>2543</v>
      </c>
      <c r="N217" s="50" t="s">
        <v>2543</v>
      </c>
      <c r="O217" s="50" t="s">
        <v>2539</v>
      </c>
      <c r="P217" s="50" t="s">
        <v>2543</v>
      </c>
    </row>
    <row r="218" spans="1:16" ht="12.75" customHeight="1" x14ac:dyDescent="0.25">
      <c r="A218" s="311">
        <v>215</v>
      </c>
      <c r="B218" s="311" t="s">
        <v>121</v>
      </c>
      <c r="C218" s="311" t="s">
        <v>121</v>
      </c>
      <c r="D218" s="311" t="s">
        <v>462</v>
      </c>
      <c r="E218" s="337" t="s">
        <v>121</v>
      </c>
      <c r="F218" s="311" t="s">
        <v>243</v>
      </c>
      <c r="G218" s="311" t="s">
        <v>23</v>
      </c>
      <c r="H218" s="311" t="s">
        <v>393</v>
      </c>
      <c r="I218" s="311" t="s">
        <v>66</v>
      </c>
      <c r="J218" s="50" t="s">
        <v>1892</v>
      </c>
      <c r="K218" s="50" t="s">
        <v>1892</v>
      </c>
      <c r="L218" s="50" t="s">
        <v>1893</v>
      </c>
      <c r="M218" s="50" t="s">
        <v>2544</v>
      </c>
      <c r="N218" s="50" t="s">
        <v>2544</v>
      </c>
      <c r="O218" s="50" t="s">
        <v>2539</v>
      </c>
      <c r="P218" s="50" t="s">
        <v>2544</v>
      </c>
    </row>
    <row r="219" spans="1:16" ht="12.75" customHeight="1" x14ac:dyDescent="0.25">
      <c r="A219" s="311">
        <v>216</v>
      </c>
      <c r="B219" s="311" t="s">
        <v>87</v>
      </c>
      <c r="C219" s="311" t="s">
        <v>87</v>
      </c>
      <c r="D219" s="311" t="s">
        <v>462</v>
      </c>
      <c r="E219" s="337" t="s">
        <v>87</v>
      </c>
      <c r="F219" s="311" t="s">
        <v>243</v>
      </c>
      <c r="G219" s="311" t="s">
        <v>23</v>
      </c>
      <c r="H219" s="311" t="s">
        <v>393</v>
      </c>
      <c r="I219" s="311" t="s">
        <v>66</v>
      </c>
      <c r="J219" s="50" t="s">
        <v>1892</v>
      </c>
      <c r="K219" s="50" t="s">
        <v>1892</v>
      </c>
      <c r="L219" s="50" t="s">
        <v>1893</v>
      </c>
      <c r="M219" s="50" t="s">
        <v>2545</v>
      </c>
      <c r="N219" s="50" t="s">
        <v>2545</v>
      </c>
      <c r="O219" s="50" t="s">
        <v>2539</v>
      </c>
      <c r="P219" s="50" t="s">
        <v>2545</v>
      </c>
    </row>
    <row r="220" spans="1:16" ht="12.75" customHeight="1" x14ac:dyDescent="0.25">
      <c r="A220" s="311">
        <v>217</v>
      </c>
      <c r="B220" s="311" t="s">
        <v>125</v>
      </c>
      <c r="C220" s="311" t="s">
        <v>125</v>
      </c>
      <c r="D220" s="311" t="s">
        <v>125</v>
      </c>
      <c r="E220" s="337" t="s">
        <v>125</v>
      </c>
      <c r="F220" s="311" t="s">
        <v>243</v>
      </c>
      <c r="G220" s="311" t="s">
        <v>23</v>
      </c>
      <c r="H220" s="311" t="s">
        <v>393</v>
      </c>
      <c r="I220" s="311" t="s">
        <v>66</v>
      </c>
      <c r="J220" s="50" t="s">
        <v>1892</v>
      </c>
      <c r="K220" s="50" t="s">
        <v>1892</v>
      </c>
      <c r="L220" s="50" t="s">
        <v>1893</v>
      </c>
      <c r="M220" s="50" t="s">
        <v>2546</v>
      </c>
      <c r="N220" s="50" t="s">
        <v>2546</v>
      </c>
      <c r="O220" s="50" t="s">
        <v>2546</v>
      </c>
      <c r="P220" s="50" t="s">
        <v>2546</v>
      </c>
    </row>
    <row r="221" spans="1:16" ht="12.75" customHeight="1" x14ac:dyDescent="0.25">
      <c r="A221" s="311">
        <v>218</v>
      </c>
      <c r="B221" s="311" t="s">
        <v>134</v>
      </c>
      <c r="C221" s="311" t="s">
        <v>134</v>
      </c>
      <c r="D221" s="311" t="s">
        <v>134</v>
      </c>
      <c r="E221" s="337" t="s">
        <v>134</v>
      </c>
      <c r="F221" s="311" t="s">
        <v>243</v>
      </c>
      <c r="G221" s="311" t="s">
        <v>23</v>
      </c>
      <c r="H221" s="311" t="s">
        <v>393</v>
      </c>
      <c r="I221" s="311" t="s">
        <v>66</v>
      </c>
      <c r="J221" s="50" t="s">
        <v>1892</v>
      </c>
      <c r="K221" s="50" t="s">
        <v>1892</v>
      </c>
      <c r="L221" s="50" t="s">
        <v>1893</v>
      </c>
      <c r="M221" s="50" t="s">
        <v>2547</v>
      </c>
      <c r="N221" s="50" t="s">
        <v>2547</v>
      </c>
      <c r="O221" s="50" t="s">
        <v>2547</v>
      </c>
      <c r="P221" s="50" t="s">
        <v>2547</v>
      </c>
    </row>
    <row r="222" spans="1:16" ht="12.75" customHeight="1" x14ac:dyDescent="0.25">
      <c r="A222" s="311">
        <v>219</v>
      </c>
      <c r="B222" s="311" t="s">
        <v>141</v>
      </c>
      <c r="C222" s="311" t="s">
        <v>141</v>
      </c>
      <c r="D222" s="311" t="s">
        <v>141</v>
      </c>
      <c r="E222" s="337" t="s">
        <v>141</v>
      </c>
      <c r="F222" s="311" t="s">
        <v>243</v>
      </c>
      <c r="G222" s="311" t="s">
        <v>23</v>
      </c>
      <c r="H222" s="311" t="s">
        <v>393</v>
      </c>
      <c r="I222" s="311" t="s">
        <v>66</v>
      </c>
      <c r="J222" s="50" t="s">
        <v>1892</v>
      </c>
      <c r="K222" s="50" t="s">
        <v>1892</v>
      </c>
      <c r="L222" s="50" t="s">
        <v>1893</v>
      </c>
      <c r="M222" s="50" t="s">
        <v>2548</v>
      </c>
      <c r="N222" s="50" t="s">
        <v>2548</v>
      </c>
      <c r="O222" s="50" t="s">
        <v>2548</v>
      </c>
      <c r="P222" s="50" t="s">
        <v>2548</v>
      </c>
    </row>
    <row r="223" spans="1:16" ht="12.75" customHeight="1" x14ac:dyDescent="0.25">
      <c r="A223" s="311">
        <v>220</v>
      </c>
      <c r="B223" s="311" t="s">
        <v>69</v>
      </c>
      <c r="C223" s="311" t="s">
        <v>69</v>
      </c>
      <c r="D223" s="311" t="s">
        <v>69</v>
      </c>
      <c r="E223" s="337" t="s">
        <v>69</v>
      </c>
      <c r="F223" s="311" t="s">
        <v>243</v>
      </c>
      <c r="G223" s="311" t="s">
        <v>23</v>
      </c>
      <c r="H223" s="311" t="s">
        <v>393</v>
      </c>
      <c r="I223" s="311" t="s">
        <v>66</v>
      </c>
      <c r="J223" s="50" t="s">
        <v>1892</v>
      </c>
      <c r="K223" s="50" t="s">
        <v>1892</v>
      </c>
      <c r="L223" s="50" t="s">
        <v>1893</v>
      </c>
      <c r="M223" s="50" t="s">
        <v>2549</v>
      </c>
      <c r="N223" s="50" t="s">
        <v>2549</v>
      </c>
      <c r="O223" s="50" t="s">
        <v>2549</v>
      </c>
      <c r="P223" s="50" t="s">
        <v>2549</v>
      </c>
    </row>
    <row r="224" spans="1:16" ht="12.75" customHeight="1" x14ac:dyDescent="0.25">
      <c r="A224" s="311">
        <v>221</v>
      </c>
      <c r="B224" s="311" t="s">
        <v>84</v>
      </c>
      <c r="C224" s="311" t="s">
        <v>462</v>
      </c>
      <c r="D224" s="311" t="s">
        <v>462</v>
      </c>
      <c r="E224" s="337" t="s">
        <v>462</v>
      </c>
      <c r="F224" s="311" t="s">
        <v>243</v>
      </c>
      <c r="G224" s="311" t="s">
        <v>237</v>
      </c>
      <c r="H224" s="311" t="s">
        <v>393</v>
      </c>
      <c r="I224" s="311" t="s">
        <v>66</v>
      </c>
      <c r="J224" s="50" t="s">
        <v>1892</v>
      </c>
      <c r="K224" s="50" t="s">
        <v>1892</v>
      </c>
      <c r="L224" s="50" t="s">
        <v>1893</v>
      </c>
      <c r="M224" s="50" t="s">
        <v>2550</v>
      </c>
      <c r="N224" s="50" t="s">
        <v>2551</v>
      </c>
      <c r="O224" s="50" t="s">
        <v>2551</v>
      </c>
      <c r="P224" s="50" t="s">
        <v>2551</v>
      </c>
    </row>
    <row r="225" spans="1:16" ht="12.75" customHeight="1" x14ac:dyDescent="0.25">
      <c r="A225" s="311">
        <v>222</v>
      </c>
      <c r="B225" s="311" t="s">
        <v>123</v>
      </c>
      <c r="C225" s="311" t="s">
        <v>462</v>
      </c>
      <c r="D225" s="311" t="s">
        <v>462</v>
      </c>
      <c r="E225" s="337" t="s">
        <v>462</v>
      </c>
      <c r="F225" s="311" t="s">
        <v>243</v>
      </c>
      <c r="G225" s="311" t="s">
        <v>237</v>
      </c>
      <c r="H225" s="311" t="s">
        <v>393</v>
      </c>
      <c r="I225" s="311" t="s">
        <v>66</v>
      </c>
      <c r="J225" s="50" t="s">
        <v>1892</v>
      </c>
      <c r="K225" s="50" t="s">
        <v>1892</v>
      </c>
      <c r="L225" s="50" t="s">
        <v>1893</v>
      </c>
      <c r="M225" s="50" t="s">
        <v>2552</v>
      </c>
      <c r="N225" s="50" t="s">
        <v>2551</v>
      </c>
      <c r="O225" s="50" t="s">
        <v>2551</v>
      </c>
      <c r="P225" s="50" t="s">
        <v>2551</v>
      </c>
    </row>
    <row r="226" spans="1:16" ht="12.75" customHeight="1" x14ac:dyDescent="0.25">
      <c r="A226" s="311">
        <v>223</v>
      </c>
      <c r="B226" s="311" t="s">
        <v>75</v>
      </c>
      <c r="C226" s="311" t="s">
        <v>462</v>
      </c>
      <c r="D226" s="311" t="s">
        <v>462</v>
      </c>
      <c r="E226" s="337" t="s">
        <v>462</v>
      </c>
      <c r="F226" s="311" t="s">
        <v>243</v>
      </c>
      <c r="G226" s="311" t="s">
        <v>237</v>
      </c>
      <c r="H226" s="311" t="s">
        <v>393</v>
      </c>
      <c r="I226" s="311" t="s">
        <v>66</v>
      </c>
      <c r="J226" s="50" t="s">
        <v>1892</v>
      </c>
      <c r="K226" s="50" t="s">
        <v>1892</v>
      </c>
      <c r="L226" s="50" t="s">
        <v>1893</v>
      </c>
      <c r="M226" s="50" t="s">
        <v>2553</v>
      </c>
      <c r="N226" s="50" t="s">
        <v>2551</v>
      </c>
      <c r="O226" s="50" t="s">
        <v>2551</v>
      </c>
      <c r="P226" s="50" t="s">
        <v>2551</v>
      </c>
    </row>
    <row r="227" spans="1:16" ht="12.75" customHeight="1" x14ac:dyDescent="0.25">
      <c r="A227" s="311">
        <v>224</v>
      </c>
      <c r="B227" s="311" t="s">
        <v>63</v>
      </c>
      <c r="C227" s="311" t="s">
        <v>63</v>
      </c>
      <c r="D227" s="311" t="s">
        <v>462</v>
      </c>
      <c r="E227" s="337" t="s">
        <v>63</v>
      </c>
      <c r="F227" s="311" t="s">
        <v>243</v>
      </c>
      <c r="G227" s="311" t="s">
        <v>237</v>
      </c>
      <c r="H227" s="311" t="s">
        <v>393</v>
      </c>
      <c r="I227" s="311" t="s">
        <v>66</v>
      </c>
      <c r="J227" s="50" t="s">
        <v>1892</v>
      </c>
      <c r="K227" s="50" t="s">
        <v>1892</v>
      </c>
      <c r="L227" s="50" t="s">
        <v>1893</v>
      </c>
      <c r="M227" s="50" t="s">
        <v>2554</v>
      </c>
      <c r="N227" s="50" t="s">
        <v>2554</v>
      </c>
      <c r="O227" s="50" t="s">
        <v>2551</v>
      </c>
      <c r="P227" s="50" t="s">
        <v>2554</v>
      </c>
    </row>
    <row r="228" spans="1:16" ht="12.75" customHeight="1" x14ac:dyDescent="0.25">
      <c r="A228" s="311">
        <v>225</v>
      </c>
      <c r="B228" s="311" t="s">
        <v>140</v>
      </c>
      <c r="C228" s="311" t="s">
        <v>140</v>
      </c>
      <c r="D228" s="311" t="s">
        <v>462</v>
      </c>
      <c r="E228" s="337" t="s">
        <v>140</v>
      </c>
      <c r="F228" s="311" t="s">
        <v>243</v>
      </c>
      <c r="G228" s="311" t="s">
        <v>237</v>
      </c>
      <c r="H228" s="311" t="s">
        <v>393</v>
      </c>
      <c r="I228" s="311" t="s">
        <v>66</v>
      </c>
      <c r="J228" s="50" t="s">
        <v>1892</v>
      </c>
      <c r="K228" s="50" t="s">
        <v>1892</v>
      </c>
      <c r="L228" s="50" t="s">
        <v>1893</v>
      </c>
      <c r="M228" s="50" t="s">
        <v>2555</v>
      </c>
      <c r="N228" s="50" t="s">
        <v>2555</v>
      </c>
      <c r="O228" s="50" t="s">
        <v>2551</v>
      </c>
      <c r="P228" s="50" t="s">
        <v>2555</v>
      </c>
    </row>
    <row r="229" spans="1:16" ht="12.75" customHeight="1" x14ac:dyDescent="0.25">
      <c r="A229" s="311">
        <v>226</v>
      </c>
      <c r="B229" s="311" t="s">
        <v>121</v>
      </c>
      <c r="C229" s="311" t="s">
        <v>121</v>
      </c>
      <c r="D229" s="311" t="s">
        <v>462</v>
      </c>
      <c r="E229" s="337" t="s">
        <v>121</v>
      </c>
      <c r="F229" s="311" t="s">
        <v>243</v>
      </c>
      <c r="G229" s="311" t="s">
        <v>237</v>
      </c>
      <c r="H229" s="311" t="s">
        <v>393</v>
      </c>
      <c r="I229" s="311" t="s">
        <v>66</v>
      </c>
      <c r="J229" s="50" t="s">
        <v>1892</v>
      </c>
      <c r="K229" s="50" t="s">
        <v>1892</v>
      </c>
      <c r="L229" s="50" t="s">
        <v>1893</v>
      </c>
      <c r="M229" s="50" t="s">
        <v>2556</v>
      </c>
      <c r="N229" s="50" t="s">
        <v>2556</v>
      </c>
      <c r="O229" s="50" t="s">
        <v>2551</v>
      </c>
      <c r="P229" s="50" t="s">
        <v>2556</v>
      </c>
    </row>
    <row r="230" spans="1:16" ht="12.75" customHeight="1" x14ac:dyDescent="0.25">
      <c r="A230" s="311">
        <v>227</v>
      </c>
      <c r="B230" s="311" t="s">
        <v>87</v>
      </c>
      <c r="C230" s="311" t="s">
        <v>87</v>
      </c>
      <c r="D230" s="311" t="s">
        <v>462</v>
      </c>
      <c r="E230" s="337" t="s">
        <v>87</v>
      </c>
      <c r="F230" s="311" t="s">
        <v>243</v>
      </c>
      <c r="G230" s="311" t="s">
        <v>237</v>
      </c>
      <c r="H230" s="311" t="s">
        <v>393</v>
      </c>
      <c r="I230" s="311" t="s">
        <v>66</v>
      </c>
      <c r="J230" s="50" t="s">
        <v>1892</v>
      </c>
      <c r="K230" s="50" t="s">
        <v>1892</v>
      </c>
      <c r="L230" s="50" t="s">
        <v>1893</v>
      </c>
      <c r="M230" s="50" t="s">
        <v>2557</v>
      </c>
      <c r="N230" s="50" t="s">
        <v>2557</v>
      </c>
      <c r="O230" s="50" t="s">
        <v>2551</v>
      </c>
      <c r="P230" s="50" t="s">
        <v>2557</v>
      </c>
    </row>
    <row r="231" spans="1:16" ht="12.75" customHeight="1" x14ac:dyDescent="0.25">
      <c r="A231" s="311">
        <v>228</v>
      </c>
      <c r="B231" s="311" t="s">
        <v>125</v>
      </c>
      <c r="C231" s="311" t="s">
        <v>125</v>
      </c>
      <c r="D231" s="311" t="s">
        <v>125</v>
      </c>
      <c r="E231" s="337" t="s">
        <v>125</v>
      </c>
      <c r="F231" s="311" t="s">
        <v>243</v>
      </c>
      <c r="G231" s="311" t="s">
        <v>237</v>
      </c>
      <c r="H231" s="311" t="s">
        <v>393</v>
      </c>
      <c r="I231" s="311" t="s">
        <v>66</v>
      </c>
      <c r="J231" s="50" t="s">
        <v>1892</v>
      </c>
      <c r="K231" s="50" t="s">
        <v>1892</v>
      </c>
      <c r="L231" s="50" t="s">
        <v>1893</v>
      </c>
      <c r="M231" s="50" t="s">
        <v>2558</v>
      </c>
      <c r="N231" s="50" t="s">
        <v>2558</v>
      </c>
      <c r="O231" s="50" t="s">
        <v>2558</v>
      </c>
      <c r="P231" s="50" t="s">
        <v>2558</v>
      </c>
    </row>
    <row r="232" spans="1:16" ht="12.75" customHeight="1" x14ac:dyDescent="0.25">
      <c r="A232" s="311">
        <v>229</v>
      </c>
      <c r="B232" s="311" t="s">
        <v>134</v>
      </c>
      <c r="C232" s="311" t="s">
        <v>134</v>
      </c>
      <c r="D232" s="311" t="s">
        <v>134</v>
      </c>
      <c r="E232" s="337" t="s">
        <v>134</v>
      </c>
      <c r="F232" s="311" t="s">
        <v>243</v>
      </c>
      <c r="G232" s="311" t="s">
        <v>237</v>
      </c>
      <c r="H232" s="311" t="s">
        <v>393</v>
      </c>
      <c r="I232" s="311" t="s">
        <v>66</v>
      </c>
      <c r="J232" s="50" t="s">
        <v>1892</v>
      </c>
      <c r="K232" s="50" t="s">
        <v>1892</v>
      </c>
      <c r="L232" s="50" t="s">
        <v>1893</v>
      </c>
      <c r="M232" s="50" t="s">
        <v>2559</v>
      </c>
      <c r="N232" s="50" t="s">
        <v>2559</v>
      </c>
      <c r="O232" s="50" t="s">
        <v>2559</v>
      </c>
      <c r="P232" s="50" t="s">
        <v>2559</v>
      </c>
    </row>
    <row r="233" spans="1:16" ht="12.75" customHeight="1" x14ac:dyDescent="0.25">
      <c r="A233" s="311">
        <v>230</v>
      </c>
      <c r="B233" s="311" t="s">
        <v>141</v>
      </c>
      <c r="C233" s="311" t="s">
        <v>141</v>
      </c>
      <c r="D233" s="311" t="s">
        <v>141</v>
      </c>
      <c r="E233" s="337" t="s">
        <v>141</v>
      </c>
      <c r="F233" s="311" t="s">
        <v>243</v>
      </c>
      <c r="G233" s="311" t="s">
        <v>237</v>
      </c>
      <c r="H233" s="311" t="s">
        <v>393</v>
      </c>
      <c r="I233" s="311" t="s">
        <v>66</v>
      </c>
      <c r="J233" s="50" t="s">
        <v>1892</v>
      </c>
      <c r="K233" s="50" t="s">
        <v>1892</v>
      </c>
      <c r="L233" s="50" t="s">
        <v>1893</v>
      </c>
      <c r="M233" s="50" t="s">
        <v>2560</v>
      </c>
      <c r="N233" s="50" t="s">
        <v>2560</v>
      </c>
      <c r="O233" s="50" t="s">
        <v>2560</v>
      </c>
      <c r="P233" s="50" t="s">
        <v>2560</v>
      </c>
    </row>
    <row r="234" spans="1:16" ht="12.75" customHeight="1" x14ac:dyDescent="0.25">
      <c r="A234" s="311">
        <v>231</v>
      </c>
      <c r="B234" s="311" t="s">
        <v>69</v>
      </c>
      <c r="C234" s="311" t="s">
        <v>69</v>
      </c>
      <c r="D234" s="311" t="s">
        <v>69</v>
      </c>
      <c r="E234" s="337" t="s">
        <v>69</v>
      </c>
      <c r="F234" s="311" t="s">
        <v>243</v>
      </c>
      <c r="G234" s="311" t="s">
        <v>237</v>
      </c>
      <c r="H234" s="311" t="s">
        <v>393</v>
      </c>
      <c r="I234" s="311" t="s">
        <v>66</v>
      </c>
      <c r="J234" s="50" t="s">
        <v>1892</v>
      </c>
      <c r="K234" s="50" t="s">
        <v>1892</v>
      </c>
      <c r="L234" s="50" t="s">
        <v>1893</v>
      </c>
      <c r="M234" s="50" t="s">
        <v>2561</v>
      </c>
      <c r="N234" s="50" t="s">
        <v>2561</v>
      </c>
      <c r="O234" s="50" t="s">
        <v>2561</v>
      </c>
      <c r="P234" s="50" t="s">
        <v>2561</v>
      </c>
    </row>
    <row r="235" spans="1:16" ht="12.75" customHeight="1" x14ac:dyDescent="0.25">
      <c r="A235" s="311">
        <v>232</v>
      </c>
      <c r="B235" s="311" t="s">
        <v>84</v>
      </c>
      <c r="C235" s="311" t="s">
        <v>462</v>
      </c>
      <c r="D235" s="311" t="s">
        <v>462</v>
      </c>
      <c r="E235" s="337" t="s">
        <v>462</v>
      </c>
      <c r="F235" s="311" t="s">
        <v>247</v>
      </c>
      <c r="G235" s="311" t="s">
        <v>236</v>
      </c>
      <c r="H235" s="311" t="s">
        <v>393</v>
      </c>
      <c r="I235" s="311" t="s">
        <v>66</v>
      </c>
      <c r="J235" s="50" t="s">
        <v>1892</v>
      </c>
      <c r="K235" s="50" t="s">
        <v>1892</v>
      </c>
      <c r="L235" s="50" t="s">
        <v>1893</v>
      </c>
      <c r="M235" s="50" t="s">
        <v>2562</v>
      </c>
      <c r="N235" s="50" t="s">
        <v>2563</v>
      </c>
      <c r="O235" s="50" t="s">
        <v>2563</v>
      </c>
      <c r="P235" s="50" t="s">
        <v>2563</v>
      </c>
    </row>
    <row r="236" spans="1:16" ht="12.75" customHeight="1" x14ac:dyDescent="0.25">
      <c r="A236" s="311">
        <v>233</v>
      </c>
      <c r="B236" s="311" t="s">
        <v>123</v>
      </c>
      <c r="C236" s="311" t="s">
        <v>462</v>
      </c>
      <c r="D236" s="311" t="s">
        <v>462</v>
      </c>
      <c r="E236" s="337" t="s">
        <v>462</v>
      </c>
      <c r="F236" s="311" t="s">
        <v>247</v>
      </c>
      <c r="G236" s="311" t="s">
        <v>236</v>
      </c>
      <c r="H236" s="311" t="s">
        <v>393</v>
      </c>
      <c r="I236" s="311" t="s">
        <v>66</v>
      </c>
      <c r="J236" s="50" t="s">
        <v>1892</v>
      </c>
      <c r="K236" s="50" t="s">
        <v>1892</v>
      </c>
      <c r="L236" s="50" t="s">
        <v>1893</v>
      </c>
      <c r="M236" s="50" t="s">
        <v>2564</v>
      </c>
      <c r="N236" s="50" t="s">
        <v>2563</v>
      </c>
      <c r="O236" s="50" t="s">
        <v>2563</v>
      </c>
      <c r="P236" s="50" t="s">
        <v>2563</v>
      </c>
    </row>
    <row r="237" spans="1:16" ht="12.75" customHeight="1" x14ac:dyDescent="0.25">
      <c r="A237" s="311">
        <v>234</v>
      </c>
      <c r="B237" s="311" t="s">
        <v>75</v>
      </c>
      <c r="C237" s="311" t="s">
        <v>462</v>
      </c>
      <c r="D237" s="311" t="s">
        <v>462</v>
      </c>
      <c r="E237" s="337" t="s">
        <v>462</v>
      </c>
      <c r="F237" s="311" t="s">
        <v>247</v>
      </c>
      <c r="G237" s="311" t="s">
        <v>236</v>
      </c>
      <c r="H237" s="311" t="s">
        <v>393</v>
      </c>
      <c r="I237" s="311" t="s">
        <v>66</v>
      </c>
      <c r="J237" s="50" t="s">
        <v>1892</v>
      </c>
      <c r="K237" s="50" t="s">
        <v>1892</v>
      </c>
      <c r="L237" s="50" t="s">
        <v>1893</v>
      </c>
      <c r="M237" s="50" t="s">
        <v>2565</v>
      </c>
      <c r="N237" s="50" t="s">
        <v>2563</v>
      </c>
      <c r="O237" s="50" t="s">
        <v>2563</v>
      </c>
      <c r="P237" s="50" t="s">
        <v>2563</v>
      </c>
    </row>
    <row r="238" spans="1:16" ht="12.75" customHeight="1" x14ac:dyDescent="0.25">
      <c r="A238" s="311">
        <v>235</v>
      </c>
      <c r="B238" s="311" t="s">
        <v>63</v>
      </c>
      <c r="C238" s="311" t="s">
        <v>63</v>
      </c>
      <c r="D238" s="311" t="s">
        <v>462</v>
      </c>
      <c r="E238" s="337" t="s">
        <v>63</v>
      </c>
      <c r="F238" s="311" t="s">
        <v>247</v>
      </c>
      <c r="G238" s="311" t="s">
        <v>236</v>
      </c>
      <c r="H238" s="311" t="s">
        <v>393</v>
      </c>
      <c r="I238" s="311" t="s">
        <v>66</v>
      </c>
      <c r="J238" s="50" t="s">
        <v>1892</v>
      </c>
      <c r="K238" s="50" t="s">
        <v>1892</v>
      </c>
      <c r="L238" s="50" t="s">
        <v>1893</v>
      </c>
      <c r="M238" s="50" t="s">
        <v>2566</v>
      </c>
      <c r="N238" s="50" t="s">
        <v>2566</v>
      </c>
      <c r="O238" s="50" t="s">
        <v>2563</v>
      </c>
      <c r="P238" s="50" t="s">
        <v>2566</v>
      </c>
    </row>
    <row r="239" spans="1:16" ht="12.75" customHeight="1" x14ac:dyDescent="0.25">
      <c r="A239" s="311">
        <v>236</v>
      </c>
      <c r="B239" s="311" t="s">
        <v>140</v>
      </c>
      <c r="C239" s="311" t="s">
        <v>140</v>
      </c>
      <c r="D239" s="311" t="s">
        <v>462</v>
      </c>
      <c r="E239" s="337" t="s">
        <v>140</v>
      </c>
      <c r="F239" s="311" t="s">
        <v>247</v>
      </c>
      <c r="G239" s="311" t="s">
        <v>236</v>
      </c>
      <c r="H239" s="311" t="s">
        <v>393</v>
      </c>
      <c r="I239" s="311" t="s">
        <v>66</v>
      </c>
      <c r="J239" s="50" t="s">
        <v>1892</v>
      </c>
      <c r="K239" s="50" t="s">
        <v>1892</v>
      </c>
      <c r="L239" s="50" t="s">
        <v>1893</v>
      </c>
      <c r="M239" s="50" t="s">
        <v>2567</v>
      </c>
      <c r="N239" s="50" t="s">
        <v>2567</v>
      </c>
      <c r="O239" s="50" t="s">
        <v>2563</v>
      </c>
      <c r="P239" s="50" t="s">
        <v>2567</v>
      </c>
    </row>
    <row r="240" spans="1:16" ht="12.75" customHeight="1" x14ac:dyDescent="0.25">
      <c r="A240" s="311">
        <v>237</v>
      </c>
      <c r="B240" s="311" t="s">
        <v>121</v>
      </c>
      <c r="C240" s="311" t="s">
        <v>121</v>
      </c>
      <c r="D240" s="311" t="s">
        <v>462</v>
      </c>
      <c r="E240" s="337" t="s">
        <v>121</v>
      </c>
      <c r="F240" s="311" t="s">
        <v>247</v>
      </c>
      <c r="G240" s="311" t="s">
        <v>236</v>
      </c>
      <c r="H240" s="311" t="s">
        <v>393</v>
      </c>
      <c r="I240" s="311" t="s">
        <v>66</v>
      </c>
      <c r="J240" s="50" t="s">
        <v>1892</v>
      </c>
      <c r="K240" s="50" t="s">
        <v>1892</v>
      </c>
      <c r="L240" s="50" t="s">
        <v>1893</v>
      </c>
      <c r="M240" s="50" t="s">
        <v>2568</v>
      </c>
      <c r="N240" s="50" t="s">
        <v>2568</v>
      </c>
      <c r="O240" s="50" t="s">
        <v>2563</v>
      </c>
      <c r="P240" s="50" t="s">
        <v>2568</v>
      </c>
    </row>
    <row r="241" spans="1:16" ht="12.75" customHeight="1" x14ac:dyDescent="0.25">
      <c r="A241" s="311">
        <v>238</v>
      </c>
      <c r="B241" s="311" t="s">
        <v>87</v>
      </c>
      <c r="C241" s="311" t="s">
        <v>87</v>
      </c>
      <c r="D241" s="311" t="s">
        <v>462</v>
      </c>
      <c r="E241" s="337" t="s">
        <v>87</v>
      </c>
      <c r="F241" s="311" t="s">
        <v>247</v>
      </c>
      <c r="G241" s="311" t="s">
        <v>236</v>
      </c>
      <c r="H241" s="311" t="s">
        <v>393</v>
      </c>
      <c r="I241" s="311" t="s">
        <v>66</v>
      </c>
      <c r="J241" s="50" t="s">
        <v>1892</v>
      </c>
      <c r="K241" s="50" t="s">
        <v>1892</v>
      </c>
      <c r="L241" s="50" t="s">
        <v>1893</v>
      </c>
      <c r="M241" s="50" t="s">
        <v>2569</v>
      </c>
      <c r="N241" s="50" t="s">
        <v>2569</v>
      </c>
      <c r="O241" s="50" t="s">
        <v>2563</v>
      </c>
      <c r="P241" s="50" t="s">
        <v>2569</v>
      </c>
    </row>
    <row r="242" spans="1:16" ht="12.75" customHeight="1" x14ac:dyDescent="0.25">
      <c r="A242" s="311">
        <v>239</v>
      </c>
      <c r="B242" s="311" t="s">
        <v>125</v>
      </c>
      <c r="C242" s="311" t="s">
        <v>125</v>
      </c>
      <c r="D242" s="311" t="s">
        <v>125</v>
      </c>
      <c r="E242" s="337" t="s">
        <v>125</v>
      </c>
      <c r="F242" s="311" t="s">
        <v>247</v>
      </c>
      <c r="G242" s="311" t="s">
        <v>236</v>
      </c>
      <c r="H242" s="311" t="s">
        <v>393</v>
      </c>
      <c r="I242" s="311" t="s">
        <v>66</v>
      </c>
      <c r="J242" s="50" t="s">
        <v>1892</v>
      </c>
      <c r="K242" s="50" t="s">
        <v>1892</v>
      </c>
      <c r="L242" s="50" t="s">
        <v>1893</v>
      </c>
      <c r="M242" s="50" t="s">
        <v>2570</v>
      </c>
      <c r="N242" s="50" t="s">
        <v>2570</v>
      </c>
      <c r="O242" s="50" t="s">
        <v>2570</v>
      </c>
      <c r="P242" s="50" t="s">
        <v>2570</v>
      </c>
    </row>
    <row r="243" spans="1:16" ht="12.75" customHeight="1" x14ac:dyDescent="0.25">
      <c r="A243" s="311">
        <v>240</v>
      </c>
      <c r="B243" s="311" t="s">
        <v>134</v>
      </c>
      <c r="C243" s="311" t="s">
        <v>134</v>
      </c>
      <c r="D243" s="311" t="s">
        <v>134</v>
      </c>
      <c r="E243" s="337" t="s">
        <v>134</v>
      </c>
      <c r="F243" s="311" t="s">
        <v>247</v>
      </c>
      <c r="G243" s="311" t="s">
        <v>236</v>
      </c>
      <c r="H243" s="311" t="s">
        <v>393</v>
      </c>
      <c r="I243" s="311" t="s">
        <v>66</v>
      </c>
      <c r="J243" s="50" t="s">
        <v>1892</v>
      </c>
      <c r="K243" s="50" t="s">
        <v>1892</v>
      </c>
      <c r="L243" s="50" t="s">
        <v>1893</v>
      </c>
      <c r="M243" s="50" t="s">
        <v>2571</v>
      </c>
      <c r="N243" s="50" t="s">
        <v>2571</v>
      </c>
      <c r="O243" s="50" t="s">
        <v>2571</v>
      </c>
      <c r="P243" s="50" t="s">
        <v>2571</v>
      </c>
    </row>
    <row r="244" spans="1:16" ht="12.75" customHeight="1" x14ac:dyDescent="0.25">
      <c r="A244" s="311">
        <v>241</v>
      </c>
      <c r="B244" s="311" t="s">
        <v>141</v>
      </c>
      <c r="C244" s="311" t="s">
        <v>141</v>
      </c>
      <c r="D244" s="311" t="s">
        <v>141</v>
      </c>
      <c r="E244" s="337" t="s">
        <v>141</v>
      </c>
      <c r="F244" s="311" t="s">
        <v>247</v>
      </c>
      <c r="G244" s="311" t="s">
        <v>236</v>
      </c>
      <c r="H244" s="311" t="s">
        <v>393</v>
      </c>
      <c r="I244" s="311" t="s">
        <v>66</v>
      </c>
      <c r="J244" s="50" t="s">
        <v>1892</v>
      </c>
      <c r="K244" s="50" t="s">
        <v>1892</v>
      </c>
      <c r="L244" s="50" t="s">
        <v>1893</v>
      </c>
      <c r="M244" s="50" t="s">
        <v>2572</v>
      </c>
      <c r="N244" s="50" t="s">
        <v>2572</v>
      </c>
      <c r="O244" s="50" t="s">
        <v>2572</v>
      </c>
      <c r="P244" s="50" t="s">
        <v>2572</v>
      </c>
    </row>
    <row r="245" spans="1:16" ht="12.75" customHeight="1" x14ac:dyDescent="0.25">
      <c r="A245" s="311">
        <v>242</v>
      </c>
      <c r="B245" s="311" t="s">
        <v>69</v>
      </c>
      <c r="C245" s="311" t="s">
        <v>69</v>
      </c>
      <c r="D245" s="311" t="s">
        <v>69</v>
      </c>
      <c r="E245" s="337" t="s">
        <v>69</v>
      </c>
      <c r="F245" s="311" t="s">
        <v>247</v>
      </c>
      <c r="G245" s="311" t="s">
        <v>236</v>
      </c>
      <c r="H245" s="311" t="s">
        <v>393</v>
      </c>
      <c r="I245" s="311" t="s">
        <v>66</v>
      </c>
      <c r="J245" s="50" t="s">
        <v>1892</v>
      </c>
      <c r="K245" s="50" t="s">
        <v>1892</v>
      </c>
      <c r="L245" s="50" t="s">
        <v>1893</v>
      </c>
      <c r="M245" s="50" t="s">
        <v>2573</v>
      </c>
      <c r="N245" s="50" t="s">
        <v>2573</v>
      </c>
      <c r="O245" s="50" t="s">
        <v>2573</v>
      </c>
      <c r="P245" s="50" t="s">
        <v>2573</v>
      </c>
    </row>
    <row r="246" spans="1:16" ht="12.75" customHeight="1" x14ac:dyDescent="0.25">
      <c r="A246" s="311">
        <v>243</v>
      </c>
      <c r="B246" s="311" t="s">
        <v>84</v>
      </c>
      <c r="C246" s="311" t="s">
        <v>462</v>
      </c>
      <c r="D246" s="311" t="s">
        <v>462</v>
      </c>
      <c r="E246" s="337" t="s">
        <v>462</v>
      </c>
      <c r="F246" s="311" t="s">
        <v>247</v>
      </c>
      <c r="G246" s="311" t="s">
        <v>23</v>
      </c>
      <c r="H246" s="311" t="s">
        <v>393</v>
      </c>
      <c r="I246" s="311" t="s">
        <v>66</v>
      </c>
      <c r="J246" s="50" t="s">
        <v>1892</v>
      </c>
      <c r="K246" s="50" t="s">
        <v>1892</v>
      </c>
      <c r="L246" s="50" t="s">
        <v>1893</v>
      </c>
      <c r="M246" s="50" t="s">
        <v>2574</v>
      </c>
      <c r="N246" s="50" t="s">
        <v>2575</v>
      </c>
      <c r="O246" s="50" t="s">
        <v>2575</v>
      </c>
      <c r="P246" s="50" t="s">
        <v>2575</v>
      </c>
    </row>
    <row r="247" spans="1:16" ht="12.75" customHeight="1" x14ac:dyDescent="0.25">
      <c r="A247" s="311">
        <v>244</v>
      </c>
      <c r="B247" s="311" t="s">
        <v>123</v>
      </c>
      <c r="C247" s="311" t="s">
        <v>462</v>
      </c>
      <c r="D247" s="311" t="s">
        <v>462</v>
      </c>
      <c r="E247" s="337" t="s">
        <v>462</v>
      </c>
      <c r="F247" s="311" t="s">
        <v>247</v>
      </c>
      <c r="G247" s="311" t="s">
        <v>23</v>
      </c>
      <c r="H247" s="311" t="s">
        <v>393</v>
      </c>
      <c r="I247" s="311" t="s">
        <v>66</v>
      </c>
      <c r="J247" s="50" t="s">
        <v>1892</v>
      </c>
      <c r="K247" s="50" t="s">
        <v>1892</v>
      </c>
      <c r="L247" s="50" t="s">
        <v>1893</v>
      </c>
      <c r="M247" s="50" t="s">
        <v>2576</v>
      </c>
      <c r="N247" s="50" t="s">
        <v>2575</v>
      </c>
      <c r="O247" s="50" t="s">
        <v>2575</v>
      </c>
      <c r="P247" s="50" t="s">
        <v>2575</v>
      </c>
    </row>
    <row r="248" spans="1:16" ht="12.75" customHeight="1" x14ac:dyDescent="0.25">
      <c r="A248" s="311">
        <v>245</v>
      </c>
      <c r="B248" s="311" t="s">
        <v>75</v>
      </c>
      <c r="C248" s="311" t="s">
        <v>462</v>
      </c>
      <c r="D248" s="311" t="s">
        <v>462</v>
      </c>
      <c r="E248" s="337" t="s">
        <v>462</v>
      </c>
      <c r="F248" s="311" t="s">
        <v>247</v>
      </c>
      <c r="G248" s="311" t="s">
        <v>23</v>
      </c>
      <c r="H248" s="311" t="s">
        <v>393</v>
      </c>
      <c r="I248" s="311" t="s">
        <v>66</v>
      </c>
      <c r="J248" s="50" t="s">
        <v>1892</v>
      </c>
      <c r="K248" s="50" t="s">
        <v>1892</v>
      </c>
      <c r="L248" s="50" t="s">
        <v>1893</v>
      </c>
      <c r="M248" s="50" t="s">
        <v>2577</v>
      </c>
      <c r="N248" s="50" t="s">
        <v>2575</v>
      </c>
      <c r="O248" s="50" t="s">
        <v>2575</v>
      </c>
      <c r="P248" s="50" t="s">
        <v>2575</v>
      </c>
    </row>
    <row r="249" spans="1:16" ht="12.75" customHeight="1" x14ac:dyDescent="0.25">
      <c r="A249" s="311">
        <v>246</v>
      </c>
      <c r="B249" s="311" t="s">
        <v>63</v>
      </c>
      <c r="C249" s="311" t="s">
        <v>63</v>
      </c>
      <c r="D249" s="311" t="s">
        <v>462</v>
      </c>
      <c r="E249" s="337" t="s">
        <v>63</v>
      </c>
      <c r="F249" s="311" t="s">
        <v>247</v>
      </c>
      <c r="G249" s="311" t="s">
        <v>23</v>
      </c>
      <c r="H249" s="311" t="s">
        <v>393</v>
      </c>
      <c r="I249" s="311" t="s">
        <v>66</v>
      </c>
      <c r="J249" s="50" t="s">
        <v>1892</v>
      </c>
      <c r="K249" s="50" t="s">
        <v>1892</v>
      </c>
      <c r="L249" s="50" t="s">
        <v>1893</v>
      </c>
      <c r="M249" s="50" t="s">
        <v>2578</v>
      </c>
      <c r="N249" s="50" t="s">
        <v>2578</v>
      </c>
      <c r="O249" s="50" t="s">
        <v>2575</v>
      </c>
      <c r="P249" s="50" t="s">
        <v>2578</v>
      </c>
    </row>
    <row r="250" spans="1:16" ht="12.75" customHeight="1" x14ac:dyDescent="0.25">
      <c r="A250" s="311">
        <v>247</v>
      </c>
      <c r="B250" s="311" t="s">
        <v>140</v>
      </c>
      <c r="C250" s="311" t="s">
        <v>140</v>
      </c>
      <c r="D250" s="311" t="s">
        <v>462</v>
      </c>
      <c r="E250" s="337" t="s">
        <v>140</v>
      </c>
      <c r="F250" s="311" t="s">
        <v>247</v>
      </c>
      <c r="G250" s="311" t="s">
        <v>23</v>
      </c>
      <c r="H250" s="311" t="s">
        <v>393</v>
      </c>
      <c r="I250" s="311" t="s">
        <v>66</v>
      </c>
      <c r="J250" s="50" t="s">
        <v>1892</v>
      </c>
      <c r="K250" s="50" t="s">
        <v>1892</v>
      </c>
      <c r="L250" s="50" t="s">
        <v>1893</v>
      </c>
      <c r="M250" s="50" t="s">
        <v>2579</v>
      </c>
      <c r="N250" s="50" t="s">
        <v>2579</v>
      </c>
      <c r="O250" s="50" t="s">
        <v>2575</v>
      </c>
      <c r="P250" s="50" t="s">
        <v>2579</v>
      </c>
    </row>
    <row r="251" spans="1:16" ht="12.75" customHeight="1" x14ac:dyDescent="0.25">
      <c r="A251" s="311">
        <v>248</v>
      </c>
      <c r="B251" s="311" t="s">
        <v>121</v>
      </c>
      <c r="C251" s="311" t="s">
        <v>121</v>
      </c>
      <c r="D251" s="311" t="s">
        <v>462</v>
      </c>
      <c r="E251" s="337" t="s">
        <v>121</v>
      </c>
      <c r="F251" s="311" t="s">
        <v>247</v>
      </c>
      <c r="G251" s="311" t="s">
        <v>23</v>
      </c>
      <c r="H251" s="311" t="s">
        <v>393</v>
      </c>
      <c r="I251" s="311" t="s">
        <v>66</v>
      </c>
      <c r="J251" s="50" t="s">
        <v>1892</v>
      </c>
      <c r="K251" s="50" t="s">
        <v>1892</v>
      </c>
      <c r="L251" s="50" t="s">
        <v>1893</v>
      </c>
      <c r="M251" s="50" t="s">
        <v>2580</v>
      </c>
      <c r="N251" s="50" t="s">
        <v>2580</v>
      </c>
      <c r="O251" s="50" t="s">
        <v>2575</v>
      </c>
      <c r="P251" s="50" t="s">
        <v>2580</v>
      </c>
    </row>
    <row r="252" spans="1:16" ht="12.75" customHeight="1" x14ac:dyDescent="0.25">
      <c r="A252" s="311">
        <v>249</v>
      </c>
      <c r="B252" s="311" t="s">
        <v>87</v>
      </c>
      <c r="C252" s="311" t="s">
        <v>87</v>
      </c>
      <c r="D252" s="311" t="s">
        <v>462</v>
      </c>
      <c r="E252" s="337" t="s">
        <v>87</v>
      </c>
      <c r="F252" s="311" t="s">
        <v>247</v>
      </c>
      <c r="G252" s="311" t="s">
        <v>23</v>
      </c>
      <c r="H252" s="311" t="s">
        <v>393</v>
      </c>
      <c r="I252" s="311" t="s">
        <v>66</v>
      </c>
      <c r="J252" s="50" t="s">
        <v>1892</v>
      </c>
      <c r="K252" s="50" t="s">
        <v>1892</v>
      </c>
      <c r="L252" s="50" t="s">
        <v>1893</v>
      </c>
      <c r="M252" s="50" t="s">
        <v>2581</v>
      </c>
      <c r="N252" s="50" t="s">
        <v>2581</v>
      </c>
      <c r="O252" s="50" t="s">
        <v>2575</v>
      </c>
      <c r="P252" s="50" t="s">
        <v>2581</v>
      </c>
    </row>
    <row r="253" spans="1:16" ht="12.75" customHeight="1" x14ac:dyDescent="0.25">
      <c r="A253" s="311">
        <v>250</v>
      </c>
      <c r="B253" s="311" t="s">
        <v>125</v>
      </c>
      <c r="C253" s="311" t="s">
        <v>125</v>
      </c>
      <c r="D253" s="311" t="s">
        <v>125</v>
      </c>
      <c r="E253" s="337" t="s">
        <v>125</v>
      </c>
      <c r="F253" s="311" t="s">
        <v>247</v>
      </c>
      <c r="G253" s="311" t="s">
        <v>23</v>
      </c>
      <c r="H253" s="311" t="s">
        <v>393</v>
      </c>
      <c r="I253" s="311" t="s">
        <v>66</v>
      </c>
      <c r="J253" s="50" t="s">
        <v>1892</v>
      </c>
      <c r="K253" s="50" t="s">
        <v>1892</v>
      </c>
      <c r="L253" s="50" t="s">
        <v>1893</v>
      </c>
      <c r="M253" s="50" t="s">
        <v>2582</v>
      </c>
      <c r="N253" s="50" t="s">
        <v>2582</v>
      </c>
      <c r="O253" s="50" t="s">
        <v>2582</v>
      </c>
      <c r="P253" s="50" t="s">
        <v>2582</v>
      </c>
    </row>
    <row r="254" spans="1:16" ht="12.75" customHeight="1" x14ac:dyDescent="0.25">
      <c r="A254" s="311">
        <v>251</v>
      </c>
      <c r="B254" s="311" t="s">
        <v>134</v>
      </c>
      <c r="C254" s="311" t="s">
        <v>134</v>
      </c>
      <c r="D254" s="311" t="s">
        <v>134</v>
      </c>
      <c r="E254" s="337" t="s">
        <v>134</v>
      </c>
      <c r="F254" s="311" t="s">
        <v>247</v>
      </c>
      <c r="G254" s="311" t="s">
        <v>23</v>
      </c>
      <c r="H254" s="311" t="s">
        <v>393</v>
      </c>
      <c r="I254" s="311" t="s">
        <v>66</v>
      </c>
      <c r="J254" s="50" t="s">
        <v>1892</v>
      </c>
      <c r="K254" s="50" t="s">
        <v>1892</v>
      </c>
      <c r="L254" s="50" t="s">
        <v>1893</v>
      </c>
      <c r="M254" s="50" t="s">
        <v>2583</v>
      </c>
      <c r="N254" s="50" t="s">
        <v>2583</v>
      </c>
      <c r="O254" s="50" t="s">
        <v>2583</v>
      </c>
      <c r="P254" s="50" t="s">
        <v>2583</v>
      </c>
    </row>
    <row r="255" spans="1:16" ht="12.75" customHeight="1" x14ac:dyDescent="0.25">
      <c r="A255" s="311">
        <v>252</v>
      </c>
      <c r="B255" s="311" t="s">
        <v>141</v>
      </c>
      <c r="C255" s="311" t="s">
        <v>141</v>
      </c>
      <c r="D255" s="311" t="s">
        <v>141</v>
      </c>
      <c r="E255" s="337" t="s">
        <v>141</v>
      </c>
      <c r="F255" s="311" t="s">
        <v>247</v>
      </c>
      <c r="G255" s="311" t="s">
        <v>23</v>
      </c>
      <c r="H255" s="311" t="s">
        <v>393</v>
      </c>
      <c r="I255" s="311" t="s">
        <v>66</v>
      </c>
      <c r="J255" s="50" t="s">
        <v>1892</v>
      </c>
      <c r="K255" s="50" t="s">
        <v>1892</v>
      </c>
      <c r="L255" s="50" t="s">
        <v>1893</v>
      </c>
      <c r="M255" s="50" t="s">
        <v>2584</v>
      </c>
      <c r="N255" s="50" t="s">
        <v>2584</v>
      </c>
      <c r="O255" s="50" t="s">
        <v>2584</v>
      </c>
      <c r="P255" s="50" t="s">
        <v>2584</v>
      </c>
    </row>
    <row r="256" spans="1:16" ht="12.75" customHeight="1" x14ac:dyDescent="0.25">
      <c r="A256" s="311">
        <v>253</v>
      </c>
      <c r="B256" s="311" t="s">
        <v>69</v>
      </c>
      <c r="C256" s="311" t="s">
        <v>69</v>
      </c>
      <c r="D256" s="311" t="s">
        <v>69</v>
      </c>
      <c r="E256" s="337" t="s">
        <v>69</v>
      </c>
      <c r="F256" s="311" t="s">
        <v>247</v>
      </c>
      <c r="G256" s="311" t="s">
        <v>23</v>
      </c>
      <c r="H256" s="311" t="s">
        <v>393</v>
      </c>
      <c r="I256" s="311" t="s">
        <v>66</v>
      </c>
      <c r="J256" s="50" t="s">
        <v>1892</v>
      </c>
      <c r="K256" s="50" t="s">
        <v>1892</v>
      </c>
      <c r="L256" s="50" t="s">
        <v>1893</v>
      </c>
      <c r="M256" s="50" t="s">
        <v>2585</v>
      </c>
      <c r="N256" s="50" t="s">
        <v>2585</v>
      </c>
      <c r="O256" s="50" t="s">
        <v>2585</v>
      </c>
      <c r="P256" s="50" t="s">
        <v>2585</v>
      </c>
    </row>
    <row r="257" spans="1:16" ht="12.75" customHeight="1" x14ac:dyDescent="0.25">
      <c r="A257" s="311">
        <v>254</v>
      </c>
      <c r="B257" s="311" t="s">
        <v>84</v>
      </c>
      <c r="C257" s="311" t="s">
        <v>462</v>
      </c>
      <c r="D257" s="311" t="s">
        <v>462</v>
      </c>
      <c r="E257" s="337" t="s">
        <v>462</v>
      </c>
      <c r="F257" s="311" t="s">
        <v>247</v>
      </c>
      <c r="G257" s="311" t="s">
        <v>237</v>
      </c>
      <c r="H257" s="311" t="s">
        <v>393</v>
      </c>
      <c r="I257" s="311" t="s">
        <v>66</v>
      </c>
      <c r="J257" s="50" t="s">
        <v>1892</v>
      </c>
      <c r="K257" s="50" t="s">
        <v>1892</v>
      </c>
      <c r="L257" s="50" t="s">
        <v>1893</v>
      </c>
      <c r="M257" s="50" t="s">
        <v>2586</v>
      </c>
      <c r="N257" s="50" t="s">
        <v>2587</v>
      </c>
      <c r="O257" s="50" t="s">
        <v>2587</v>
      </c>
      <c r="P257" s="50" t="s">
        <v>2587</v>
      </c>
    </row>
    <row r="258" spans="1:16" ht="12.75" customHeight="1" x14ac:dyDescent="0.25">
      <c r="A258" s="311">
        <v>255</v>
      </c>
      <c r="B258" s="311" t="s">
        <v>123</v>
      </c>
      <c r="C258" s="311" t="s">
        <v>462</v>
      </c>
      <c r="D258" s="311" t="s">
        <v>462</v>
      </c>
      <c r="E258" s="337" t="s">
        <v>462</v>
      </c>
      <c r="F258" s="311" t="s">
        <v>247</v>
      </c>
      <c r="G258" s="311" t="s">
        <v>237</v>
      </c>
      <c r="H258" s="311" t="s">
        <v>393</v>
      </c>
      <c r="I258" s="311" t="s">
        <v>66</v>
      </c>
      <c r="J258" s="50" t="s">
        <v>1892</v>
      </c>
      <c r="K258" s="50" t="s">
        <v>1892</v>
      </c>
      <c r="L258" s="50" t="s">
        <v>1893</v>
      </c>
      <c r="M258" s="50" t="s">
        <v>2588</v>
      </c>
      <c r="N258" s="50" t="s">
        <v>2587</v>
      </c>
      <c r="O258" s="50" t="s">
        <v>2587</v>
      </c>
      <c r="P258" s="50" t="s">
        <v>2587</v>
      </c>
    </row>
    <row r="259" spans="1:16" ht="12.75" customHeight="1" x14ac:dyDescent="0.25">
      <c r="A259" s="311">
        <v>256</v>
      </c>
      <c r="B259" s="311" t="s">
        <v>75</v>
      </c>
      <c r="C259" s="311" t="s">
        <v>462</v>
      </c>
      <c r="D259" s="311" t="s">
        <v>462</v>
      </c>
      <c r="E259" s="337" t="s">
        <v>462</v>
      </c>
      <c r="F259" s="311" t="s">
        <v>247</v>
      </c>
      <c r="G259" s="311" t="s">
        <v>237</v>
      </c>
      <c r="H259" s="311" t="s">
        <v>393</v>
      </c>
      <c r="I259" s="311" t="s">
        <v>66</v>
      </c>
      <c r="J259" s="50" t="s">
        <v>1892</v>
      </c>
      <c r="K259" s="50" t="s">
        <v>1892</v>
      </c>
      <c r="L259" s="50" t="s">
        <v>1893</v>
      </c>
      <c r="M259" s="50" t="s">
        <v>2589</v>
      </c>
      <c r="N259" s="50" t="s">
        <v>2587</v>
      </c>
      <c r="O259" s="50" t="s">
        <v>2587</v>
      </c>
      <c r="P259" s="50" t="s">
        <v>2587</v>
      </c>
    </row>
    <row r="260" spans="1:16" ht="12.75" customHeight="1" x14ac:dyDescent="0.25">
      <c r="A260" s="311">
        <v>257</v>
      </c>
      <c r="B260" s="311" t="s">
        <v>63</v>
      </c>
      <c r="C260" s="311" t="s">
        <v>63</v>
      </c>
      <c r="D260" s="311" t="s">
        <v>462</v>
      </c>
      <c r="E260" s="337" t="s">
        <v>63</v>
      </c>
      <c r="F260" s="311" t="s">
        <v>247</v>
      </c>
      <c r="G260" s="311" t="s">
        <v>237</v>
      </c>
      <c r="H260" s="311" t="s">
        <v>393</v>
      </c>
      <c r="I260" s="311" t="s">
        <v>66</v>
      </c>
      <c r="J260" s="50" t="s">
        <v>1892</v>
      </c>
      <c r="K260" s="50" t="s">
        <v>1892</v>
      </c>
      <c r="L260" s="50" t="s">
        <v>1893</v>
      </c>
      <c r="M260" s="50" t="s">
        <v>2590</v>
      </c>
      <c r="N260" s="50" t="s">
        <v>2590</v>
      </c>
      <c r="O260" s="50" t="s">
        <v>2587</v>
      </c>
      <c r="P260" s="50" t="s">
        <v>2590</v>
      </c>
    </row>
    <row r="261" spans="1:16" ht="12.75" customHeight="1" x14ac:dyDescent="0.25">
      <c r="A261" s="311">
        <v>258</v>
      </c>
      <c r="B261" s="311" t="s">
        <v>140</v>
      </c>
      <c r="C261" s="311" t="s">
        <v>140</v>
      </c>
      <c r="D261" s="311" t="s">
        <v>462</v>
      </c>
      <c r="E261" s="337" t="s">
        <v>140</v>
      </c>
      <c r="F261" s="311" t="s">
        <v>247</v>
      </c>
      <c r="G261" s="311" t="s">
        <v>237</v>
      </c>
      <c r="H261" s="311" t="s">
        <v>393</v>
      </c>
      <c r="I261" s="311" t="s">
        <v>66</v>
      </c>
      <c r="J261" s="50" t="s">
        <v>1892</v>
      </c>
      <c r="K261" s="50" t="s">
        <v>1892</v>
      </c>
      <c r="L261" s="50" t="s">
        <v>1893</v>
      </c>
      <c r="M261" s="50" t="s">
        <v>2591</v>
      </c>
      <c r="N261" s="50" t="s">
        <v>2591</v>
      </c>
      <c r="O261" s="50" t="s">
        <v>2587</v>
      </c>
      <c r="P261" s="50" t="s">
        <v>2591</v>
      </c>
    </row>
    <row r="262" spans="1:16" ht="12.75" customHeight="1" x14ac:dyDescent="0.25">
      <c r="A262" s="311">
        <v>259</v>
      </c>
      <c r="B262" s="311" t="s">
        <v>121</v>
      </c>
      <c r="C262" s="311" t="s">
        <v>121</v>
      </c>
      <c r="D262" s="311" t="s">
        <v>462</v>
      </c>
      <c r="E262" s="337" t="s">
        <v>121</v>
      </c>
      <c r="F262" s="311" t="s">
        <v>247</v>
      </c>
      <c r="G262" s="311" t="s">
        <v>237</v>
      </c>
      <c r="H262" s="311" t="s">
        <v>393</v>
      </c>
      <c r="I262" s="311" t="s">
        <v>66</v>
      </c>
      <c r="J262" s="50" t="s">
        <v>1892</v>
      </c>
      <c r="K262" s="50" t="s">
        <v>1892</v>
      </c>
      <c r="L262" s="50" t="s">
        <v>1893</v>
      </c>
      <c r="M262" s="50" t="s">
        <v>2592</v>
      </c>
      <c r="N262" s="50" t="s">
        <v>2592</v>
      </c>
      <c r="O262" s="50" t="s">
        <v>2587</v>
      </c>
      <c r="P262" s="50" t="s">
        <v>2592</v>
      </c>
    </row>
    <row r="263" spans="1:16" ht="12.75" customHeight="1" x14ac:dyDescent="0.25">
      <c r="A263" s="311">
        <v>260</v>
      </c>
      <c r="B263" s="311" t="s">
        <v>87</v>
      </c>
      <c r="C263" s="311" t="s">
        <v>87</v>
      </c>
      <c r="D263" s="311" t="s">
        <v>462</v>
      </c>
      <c r="E263" s="337" t="s">
        <v>87</v>
      </c>
      <c r="F263" s="311" t="s">
        <v>247</v>
      </c>
      <c r="G263" s="311" t="s">
        <v>237</v>
      </c>
      <c r="H263" s="311" t="s">
        <v>393</v>
      </c>
      <c r="I263" s="311" t="s">
        <v>66</v>
      </c>
      <c r="J263" s="50" t="s">
        <v>1892</v>
      </c>
      <c r="K263" s="50" t="s">
        <v>1892</v>
      </c>
      <c r="L263" s="50" t="s">
        <v>1893</v>
      </c>
      <c r="M263" s="50" t="s">
        <v>2593</v>
      </c>
      <c r="N263" s="50" t="s">
        <v>2593</v>
      </c>
      <c r="O263" s="50" t="s">
        <v>2587</v>
      </c>
      <c r="P263" s="50" t="s">
        <v>2593</v>
      </c>
    </row>
    <row r="264" spans="1:16" ht="12.75" customHeight="1" x14ac:dyDescent="0.25">
      <c r="A264" s="311">
        <v>261</v>
      </c>
      <c r="B264" s="311" t="s">
        <v>125</v>
      </c>
      <c r="C264" s="311" t="s">
        <v>125</v>
      </c>
      <c r="D264" s="311" t="s">
        <v>125</v>
      </c>
      <c r="E264" s="337" t="s">
        <v>125</v>
      </c>
      <c r="F264" s="311" t="s">
        <v>247</v>
      </c>
      <c r="G264" s="311" t="s">
        <v>237</v>
      </c>
      <c r="H264" s="311" t="s">
        <v>393</v>
      </c>
      <c r="I264" s="311" t="s">
        <v>66</v>
      </c>
      <c r="J264" s="50" t="s">
        <v>1892</v>
      </c>
      <c r="K264" s="50" t="s">
        <v>1892</v>
      </c>
      <c r="L264" s="50" t="s">
        <v>1893</v>
      </c>
      <c r="M264" s="50" t="s">
        <v>2594</v>
      </c>
      <c r="N264" s="50" t="s">
        <v>2594</v>
      </c>
      <c r="O264" s="50" t="s">
        <v>2594</v>
      </c>
      <c r="P264" s="50" t="s">
        <v>2594</v>
      </c>
    </row>
    <row r="265" spans="1:16" ht="12.75" customHeight="1" x14ac:dyDescent="0.25">
      <c r="A265" s="311">
        <v>262</v>
      </c>
      <c r="B265" s="311" t="s">
        <v>134</v>
      </c>
      <c r="C265" s="311" t="s">
        <v>134</v>
      </c>
      <c r="D265" s="311" t="s">
        <v>134</v>
      </c>
      <c r="E265" s="337" t="s">
        <v>134</v>
      </c>
      <c r="F265" s="311" t="s">
        <v>247</v>
      </c>
      <c r="G265" s="311" t="s">
        <v>237</v>
      </c>
      <c r="H265" s="311" t="s">
        <v>393</v>
      </c>
      <c r="I265" s="311" t="s">
        <v>66</v>
      </c>
      <c r="J265" s="50" t="s">
        <v>1892</v>
      </c>
      <c r="K265" s="50" t="s">
        <v>1892</v>
      </c>
      <c r="L265" s="50" t="s">
        <v>1893</v>
      </c>
      <c r="M265" s="50" t="s">
        <v>2595</v>
      </c>
      <c r="N265" s="50" t="s">
        <v>2595</v>
      </c>
      <c r="O265" s="50" t="s">
        <v>2595</v>
      </c>
      <c r="P265" s="50" t="s">
        <v>2595</v>
      </c>
    </row>
    <row r="266" spans="1:16" ht="12.75" customHeight="1" x14ac:dyDescent="0.25">
      <c r="A266" s="311">
        <v>263</v>
      </c>
      <c r="B266" s="311" t="s">
        <v>141</v>
      </c>
      <c r="C266" s="311" t="s">
        <v>141</v>
      </c>
      <c r="D266" s="311" t="s">
        <v>141</v>
      </c>
      <c r="E266" s="337" t="s">
        <v>141</v>
      </c>
      <c r="F266" s="311" t="s">
        <v>247</v>
      </c>
      <c r="G266" s="311" t="s">
        <v>237</v>
      </c>
      <c r="H266" s="311" t="s">
        <v>393</v>
      </c>
      <c r="I266" s="311" t="s">
        <v>66</v>
      </c>
      <c r="J266" s="50" t="s">
        <v>1892</v>
      </c>
      <c r="K266" s="50" t="s">
        <v>1892</v>
      </c>
      <c r="L266" s="50" t="s">
        <v>1893</v>
      </c>
      <c r="M266" s="50" t="s">
        <v>2596</v>
      </c>
      <c r="N266" s="50" t="s">
        <v>2596</v>
      </c>
      <c r="O266" s="50" t="s">
        <v>2596</v>
      </c>
      <c r="P266" s="50" t="s">
        <v>2596</v>
      </c>
    </row>
    <row r="267" spans="1:16" ht="12.75" customHeight="1" x14ac:dyDescent="0.25">
      <c r="A267" s="311">
        <v>264</v>
      </c>
      <c r="B267" s="311" t="s">
        <v>69</v>
      </c>
      <c r="C267" s="311" t="s">
        <v>69</v>
      </c>
      <c r="D267" s="311" t="s">
        <v>69</v>
      </c>
      <c r="E267" s="337" t="s">
        <v>69</v>
      </c>
      <c r="F267" s="311" t="s">
        <v>247</v>
      </c>
      <c r="G267" s="311" t="s">
        <v>237</v>
      </c>
      <c r="H267" s="311" t="s">
        <v>393</v>
      </c>
      <c r="I267" s="311" t="s">
        <v>66</v>
      </c>
      <c r="J267" s="50" t="s">
        <v>1892</v>
      </c>
      <c r="K267" s="50" t="s">
        <v>1892</v>
      </c>
      <c r="L267" s="50" t="s">
        <v>1893</v>
      </c>
      <c r="M267" s="50" t="s">
        <v>2597</v>
      </c>
      <c r="N267" s="50" t="s">
        <v>2597</v>
      </c>
      <c r="O267" s="50" t="s">
        <v>2597</v>
      </c>
      <c r="P267" s="50" t="s">
        <v>2597</v>
      </c>
    </row>
    <row r="268" spans="1:16" ht="12.75" customHeight="1" x14ac:dyDescent="0.25">
      <c r="A268" s="311">
        <v>265</v>
      </c>
      <c r="B268" s="311" t="s">
        <v>84</v>
      </c>
      <c r="C268" s="311" t="s">
        <v>462</v>
      </c>
      <c r="D268" s="311" t="s">
        <v>462</v>
      </c>
      <c r="E268" s="337" t="s">
        <v>462</v>
      </c>
      <c r="F268" s="311" t="s">
        <v>271</v>
      </c>
      <c r="G268" s="311" t="s">
        <v>236</v>
      </c>
      <c r="H268" s="311" t="s">
        <v>393</v>
      </c>
      <c r="I268" s="311" t="s">
        <v>66</v>
      </c>
      <c r="J268" s="50" t="s">
        <v>1892</v>
      </c>
      <c r="K268" s="50" t="s">
        <v>1892</v>
      </c>
      <c r="L268" s="50" t="s">
        <v>1893</v>
      </c>
      <c r="M268" s="50" t="s">
        <v>2598</v>
      </c>
      <c r="N268" s="50" t="s">
        <v>2599</v>
      </c>
      <c r="O268" s="50" t="s">
        <v>2599</v>
      </c>
      <c r="P268" s="50" t="s">
        <v>2599</v>
      </c>
    </row>
    <row r="269" spans="1:16" ht="12.75" customHeight="1" x14ac:dyDescent="0.25">
      <c r="A269" s="311">
        <v>266</v>
      </c>
      <c r="B269" s="311" t="s">
        <v>123</v>
      </c>
      <c r="C269" s="311" t="s">
        <v>462</v>
      </c>
      <c r="D269" s="311" t="s">
        <v>462</v>
      </c>
      <c r="E269" s="337" t="s">
        <v>462</v>
      </c>
      <c r="F269" s="311" t="s">
        <v>271</v>
      </c>
      <c r="G269" s="311" t="s">
        <v>236</v>
      </c>
      <c r="H269" s="311" t="s">
        <v>393</v>
      </c>
      <c r="I269" s="311" t="s">
        <v>66</v>
      </c>
      <c r="J269" s="50" t="s">
        <v>1892</v>
      </c>
      <c r="K269" s="50" t="s">
        <v>1892</v>
      </c>
      <c r="L269" s="50" t="s">
        <v>1893</v>
      </c>
      <c r="M269" s="50" t="s">
        <v>2600</v>
      </c>
      <c r="N269" s="50" t="s">
        <v>2599</v>
      </c>
      <c r="O269" s="50" t="s">
        <v>2599</v>
      </c>
      <c r="P269" s="50" t="s">
        <v>2599</v>
      </c>
    </row>
    <row r="270" spans="1:16" ht="12.75" customHeight="1" x14ac:dyDescent="0.25">
      <c r="A270" s="311">
        <v>267</v>
      </c>
      <c r="B270" s="311" t="s">
        <v>75</v>
      </c>
      <c r="C270" s="311" t="s">
        <v>462</v>
      </c>
      <c r="D270" s="311" t="s">
        <v>462</v>
      </c>
      <c r="E270" s="337" t="s">
        <v>462</v>
      </c>
      <c r="F270" s="311" t="s">
        <v>271</v>
      </c>
      <c r="G270" s="311" t="s">
        <v>236</v>
      </c>
      <c r="H270" s="311" t="s">
        <v>393</v>
      </c>
      <c r="I270" s="311" t="s">
        <v>66</v>
      </c>
      <c r="J270" s="50" t="s">
        <v>1892</v>
      </c>
      <c r="K270" s="50" t="s">
        <v>1892</v>
      </c>
      <c r="L270" s="50" t="s">
        <v>1893</v>
      </c>
      <c r="M270" s="50" t="s">
        <v>2601</v>
      </c>
      <c r="N270" s="50" t="s">
        <v>2599</v>
      </c>
      <c r="O270" s="50" t="s">
        <v>2599</v>
      </c>
      <c r="P270" s="50" t="s">
        <v>2599</v>
      </c>
    </row>
    <row r="271" spans="1:16" ht="12.75" customHeight="1" x14ac:dyDescent="0.25">
      <c r="A271" s="311">
        <v>268</v>
      </c>
      <c r="B271" s="311" t="s">
        <v>63</v>
      </c>
      <c r="C271" s="311" t="s">
        <v>63</v>
      </c>
      <c r="D271" s="311" t="s">
        <v>462</v>
      </c>
      <c r="E271" s="337" t="s">
        <v>63</v>
      </c>
      <c r="F271" s="311" t="s">
        <v>271</v>
      </c>
      <c r="G271" s="311" t="s">
        <v>236</v>
      </c>
      <c r="H271" s="311" t="s">
        <v>393</v>
      </c>
      <c r="I271" s="311" t="s">
        <v>66</v>
      </c>
      <c r="J271" s="50" t="s">
        <v>1892</v>
      </c>
      <c r="K271" s="50" t="s">
        <v>1892</v>
      </c>
      <c r="L271" s="50" t="s">
        <v>1893</v>
      </c>
      <c r="M271" s="50" t="s">
        <v>2602</v>
      </c>
      <c r="N271" s="50" t="s">
        <v>2602</v>
      </c>
      <c r="O271" s="50" t="s">
        <v>2599</v>
      </c>
      <c r="P271" s="50" t="s">
        <v>2602</v>
      </c>
    </row>
    <row r="272" spans="1:16" ht="12.75" customHeight="1" x14ac:dyDescent="0.25">
      <c r="A272" s="311">
        <v>269</v>
      </c>
      <c r="B272" s="311" t="s">
        <v>140</v>
      </c>
      <c r="C272" s="311" t="s">
        <v>140</v>
      </c>
      <c r="D272" s="311" t="s">
        <v>462</v>
      </c>
      <c r="E272" s="337" t="s">
        <v>140</v>
      </c>
      <c r="F272" s="311" t="s">
        <v>271</v>
      </c>
      <c r="G272" s="311" t="s">
        <v>236</v>
      </c>
      <c r="H272" s="311" t="s">
        <v>393</v>
      </c>
      <c r="I272" s="311" t="s">
        <v>66</v>
      </c>
      <c r="J272" s="50" t="s">
        <v>1892</v>
      </c>
      <c r="K272" s="50" t="s">
        <v>1892</v>
      </c>
      <c r="L272" s="50" t="s">
        <v>1893</v>
      </c>
      <c r="M272" s="50" t="s">
        <v>2603</v>
      </c>
      <c r="N272" s="50" t="s">
        <v>2603</v>
      </c>
      <c r="O272" s="50" t="s">
        <v>2599</v>
      </c>
      <c r="P272" s="50" t="s">
        <v>2603</v>
      </c>
    </row>
    <row r="273" spans="1:16" ht="12.75" customHeight="1" x14ac:dyDescent="0.25">
      <c r="A273" s="311">
        <v>270</v>
      </c>
      <c r="B273" s="311" t="s">
        <v>121</v>
      </c>
      <c r="C273" s="311" t="s">
        <v>121</v>
      </c>
      <c r="D273" s="311" t="s">
        <v>462</v>
      </c>
      <c r="E273" s="337" t="s">
        <v>121</v>
      </c>
      <c r="F273" s="311" t="s">
        <v>271</v>
      </c>
      <c r="G273" s="311" t="s">
        <v>236</v>
      </c>
      <c r="H273" s="311" t="s">
        <v>393</v>
      </c>
      <c r="I273" s="311" t="s">
        <v>66</v>
      </c>
      <c r="J273" s="50" t="s">
        <v>1892</v>
      </c>
      <c r="K273" s="50" t="s">
        <v>1892</v>
      </c>
      <c r="L273" s="50" t="s">
        <v>1893</v>
      </c>
      <c r="M273" s="50" t="s">
        <v>2604</v>
      </c>
      <c r="N273" s="50" t="s">
        <v>2604</v>
      </c>
      <c r="O273" s="50" t="s">
        <v>2599</v>
      </c>
      <c r="P273" s="50" t="s">
        <v>2604</v>
      </c>
    </row>
    <row r="274" spans="1:16" ht="12.75" customHeight="1" x14ac:dyDescent="0.25">
      <c r="A274" s="311">
        <v>271</v>
      </c>
      <c r="B274" s="311" t="s">
        <v>87</v>
      </c>
      <c r="C274" s="311" t="s">
        <v>87</v>
      </c>
      <c r="D274" s="311" t="s">
        <v>462</v>
      </c>
      <c r="E274" s="337" t="s">
        <v>87</v>
      </c>
      <c r="F274" s="311" t="s">
        <v>271</v>
      </c>
      <c r="G274" s="311" t="s">
        <v>236</v>
      </c>
      <c r="H274" s="311" t="s">
        <v>393</v>
      </c>
      <c r="I274" s="311" t="s">
        <v>66</v>
      </c>
      <c r="J274" s="50" t="s">
        <v>1892</v>
      </c>
      <c r="K274" s="50" t="s">
        <v>1892</v>
      </c>
      <c r="L274" s="50" t="s">
        <v>1893</v>
      </c>
      <c r="M274" s="50" t="s">
        <v>2605</v>
      </c>
      <c r="N274" s="50" t="s">
        <v>2605</v>
      </c>
      <c r="O274" s="50" t="s">
        <v>2599</v>
      </c>
      <c r="P274" s="50" t="s">
        <v>2605</v>
      </c>
    </row>
    <row r="275" spans="1:16" ht="12.75" customHeight="1" x14ac:dyDescent="0.25">
      <c r="A275" s="311">
        <v>272</v>
      </c>
      <c r="B275" s="311" t="s">
        <v>125</v>
      </c>
      <c r="C275" s="311" t="s">
        <v>125</v>
      </c>
      <c r="D275" s="311" t="s">
        <v>125</v>
      </c>
      <c r="E275" s="337" t="s">
        <v>125</v>
      </c>
      <c r="F275" s="311" t="s">
        <v>271</v>
      </c>
      <c r="G275" s="311" t="s">
        <v>236</v>
      </c>
      <c r="H275" s="311" t="s">
        <v>393</v>
      </c>
      <c r="I275" s="311" t="s">
        <v>66</v>
      </c>
      <c r="J275" s="50" t="s">
        <v>1892</v>
      </c>
      <c r="K275" s="50" t="s">
        <v>1892</v>
      </c>
      <c r="L275" s="50" t="s">
        <v>1893</v>
      </c>
      <c r="M275" s="50" t="s">
        <v>2606</v>
      </c>
      <c r="N275" s="50" t="s">
        <v>2606</v>
      </c>
      <c r="O275" s="50" t="s">
        <v>2606</v>
      </c>
      <c r="P275" s="50" t="s">
        <v>2606</v>
      </c>
    </row>
    <row r="276" spans="1:16" ht="12.75" customHeight="1" x14ac:dyDescent="0.25">
      <c r="A276" s="311">
        <v>273</v>
      </c>
      <c r="B276" s="311" t="s">
        <v>134</v>
      </c>
      <c r="C276" s="311" t="s">
        <v>134</v>
      </c>
      <c r="D276" s="311" t="s">
        <v>134</v>
      </c>
      <c r="E276" s="337" t="s">
        <v>134</v>
      </c>
      <c r="F276" s="311" t="s">
        <v>271</v>
      </c>
      <c r="G276" s="311" t="s">
        <v>236</v>
      </c>
      <c r="H276" s="311" t="s">
        <v>393</v>
      </c>
      <c r="I276" s="311" t="s">
        <v>66</v>
      </c>
      <c r="J276" s="50" t="s">
        <v>1892</v>
      </c>
      <c r="K276" s="50" t="s">
        <v>1892</v>
      </c>
      <c r="L276" s="50" t="s">
        <v>1893</v>
      </c>
      <c r="M276" s="50" t="s">
        <v>2607</v>
      </c>
      <c r="N276" s="50" t="s">
        <v>2607</v>
      </c>
      <c r="O276" s="50" t="s">
        <v>2607</v>
      </c>
      <c r="P276" s="50" t="s">
        <v>2607</v>
      </c>
    </row>
    <row r="277" spans="1:16" ht="12.75" customHeight="1" x14ac:dyDescent="0.25">
      <c r="A277" s="311">
        <v>274</v>
      </c>
      <c r="B277" s="311" t="s">
        <v>141</v>
      </c>
      <c r="C277" s="311" t="s">
        <v>141</v>
      </c>
      <c r="D277" s="311" t="s">
        <v>141</v>
      </c>
      <c r="E277" s="337" t="s">
        <v>141</v>
      </c>
      <c r="F277" s="311" t="s">
        <v>271</v>
      </c>
      <c r="G277" s="311" t="s">
        <v>236</v>
      </c>
      <c r="H277" s="311" t="s">
        <v>393</v>
      </c>
      <c r="I277" s="311" t="s">
        <v>66</v>
      </c>
      <c r="J277" s="50" t="s">
        <v>1892</v>
      </c>
      <c r="K277" s="50" t="s">
        <v>1892</v>
      </c>
      <c r="L277" s="50" t="s">
        <v>1893</v>
      </c>
      <c r="M277" s="50" t="s">
        <v>2608</v>
      </c>
      <c r="N277" s="50" t="s">
        <v>2608</v>
      </c>
      <c r="O277" s="50" t="s">
        <v>2608</v>
      </c>
      <c r="P277" s="50" t="s">
        <v>2608</v>
      </c>
    </row>
    <row r="278" spans="1:16" ht="12.75" customHeight="1" x14ac:dyDescent="0.25">
      <c r="A278" s="311">
        <v>275</v>
      </c>
      <c r="B278" s="311" t="s">
        <v>69</v>
      </c>
      <c r="C278" s="311" t="s">
        <v>69</v>
      </c>
      <c r="D278" s="311" t="s">
        <v>69</v>
      </c>
      <c r="E278" s="337" t="s">
        <v>69</v>
      </c>
      <c r="F278" s="311" t="s">
        <v>271</v>
      </c>
      <c r="G278" s="311" t="s">
        <v>236</v>
      </c>
      <c r="H278" s="311" t="s">
        <v>393</v>
      </c>
      <c r="I278" s="311" t="s">
        <v>66</v>
      </c>
      <c r="J278" s="50" t="s">
        <v>1892</v>
      </c>
      <c r="K278" s="50" t="s">
        <v>1892</v>
      </c>
      <c r="L278" s="50" t="s">
        <v>1893</v>
      </c>
      <c r="M278" s="50" t="s">
        <v>2609</v>
      </c>
      <c r="N278" s="50" t="s">
        <v>2609</v>
      </c>
      <c r="O278" s="50" t="s">
        <v>2609</v>
      </c>
      <c r="P278" s="50" t="s">
        <v>2609</v>
      </c>
    </row>
    <row r="279" spans="1:16" ht="12.75" customHeight="1" x14ac:dyDescent="0.25">
      <c r="A279" s="311">
        <v>276</v>
      </c>
      <c r="B279" s="311" t="s">
        <v>84</v>
      </c>
      <c r="C279" s="311" t="s">
        <v>462</v>
      </c>
      <c r="D279" s="311" t="s">
        <v>462</v>
      </c>
      <c r="E279" s="337" t="s">
        <v>462</v>
      </c>
      <c r="F279" s="311" t="s">
        <v>271</v>
      </c>
      <c r="G279" s="311" t="s">
        <v>23</v>
      </c>
      <c r="H279" s="311" t="s">
        <v>393</v>
      </c>
      <c r="I279" s="311" t="s">
        <v>66</v>
      </c>
      <c r="J279" s="50" t="s">
        <v>1892</v>
      </c>
      <c r="K279" s="50" t="s">
        <v>1892</v>
      </c>
      <c r="L279" s="50" t="s">
        <v>1893</v>
      </c>
      <c r="M279" s="50" t="s">
        <v>2610</v>
      </c>
      <c r="N279" s="50" t="s">
        <v>2611</v>
      </c>
      <c r="O279" s="50" t="s">
        <v>2611</v>
      </c>
      <c r="P279" s="50" t="s">
        <v>2611</v>
      </c>
    </row>
    <row r="280" spans="1:16" ht="12.75" customHeight="1" x14ac:dyDescent="0.25">
      <c r="A280" s="311">
        <v>277</v>
      </c>
      <c r="B280" s="311" t="s">
        <v>123</v>
      </c>
      <c r="C280" s="311" t="s">
        <v>462</v>
      </c>
      <c r="D280" s="311" t="s">
        <v>462</v>
      </c>
      <c r="E280" s="337" t="s">
        <v>462</v>
      </c>
      <c r="F280" s="311" t="s">
        <v>271</v>
      </c>
      <c r="G280" s="311" t="s">
        <v>23</v>
      </c>
      <c r="H280" s="311" t="s">
        <v>393</v>
      </c>
      <c r="I280" s="311" t="s">
        <v>66</v>
      </c>
      <c r="J280" s="50" t="s">
        <v>1892</v>
      </c>
      <c r="K280" s="50" t="s">
        <v>1892</v>
      </c>
      <c r="L280" s="50" t="s">
        <v>1893</v>
      </c>
      <c r="M280" s="50" t="s">
        <v>2612</v>
      </c>
      <c r="N280" s="50" t="s">
        <v>2611</v>
      </c>
      <c r="O280" s="50" t="s">
        <v>2611</v>
      </c>
      <c r="P280" s="50" t="s">
        <v>2611</v>
      </c>
    </row>
    <row r="281" spans="1:16" ht="12.75" customHeight="1" x14ac:dyDescent="0.25">
      <c r="A281" s="311">
        <v>278</v>
      </c>
      <c r="B281" s="311" t="s">
        <v>75</v>
      </c>
      <c r="C281" s="311" t="s">
        <v>462</v>
      </c>
      <c r="D281" s="311" t="s">
        <v>462</v>
      </c>
      <c r="E281" s="337" t="s">
        <v>462</v>
      </c>
      <c r="F281" s="311" t="s">
        <v>271</v>
      </c>
      <c r="G281" s="311" t="s">
        <v>23</v>
      </c>
      <c r="H281" s="311" t="s">
        <v>393</v>
      </c>
      <c r="I281" s="311" t="s">
        <v>66</v>
      </c>
      <c r="J281" s="50" t="s">
        <v>1892</v>
      </c>
      <c r="K281" s="50" t="s">
        <v>1892</v>
      </c>
      <c r="L281" s="50" t="s">
        <v>1893</v>
      </c>
      <c r="M281" s="50" t="s">
        <v>2613</v>
      </c>
      <c r="N281" s="50" t="s">
        <v>2611</v>
      </c>
      <c r="O281" s="50" t="s">
        <v>2611</v>
      </c>
      <c r="P281" s="50" t="s">
        <v>2611</v>
      </c>
    </row>
    <row r="282" spans="1:16" ht="12.75" customHeight="1" x14ac:dyDescent="0.25">
      <c r="A282" s="311">
        <v>279</v>
      </c>
      <c r="B282" s="311" t="s">
        <v>63</v>
      </c>
      <c r="C282" s="311" t="s">
        <v>63</v>
      </c>
      <c r="D282" s="311" t="s">
        <v>462</v>
      </c>
      <c r="E282" s="337" t="s">
        <v>63</v>
      </c>
      <c r="F282" s="311" t="s">
        <v>271</v>
      </c>
      <c r="G282" s="311" t="s">
        <v>23</v>
      </c>
      <c r="H282" s="311" t="s">
        <v>393</v>
      </c>
      <c r="I282" s="311" t="s">
        <v>66</v>
      </c>
      <c r="J282" s="50" t="s">
        <v>1892</v>
      </c>
      <c r="K282" s="50" t="s">
        <v>1892</v>
      </c>
      <c r="L282" s="50" t="s">
        <v>1893</v>
      </c>
      <c r="M282" s="50" t="s">
        <v>2614</v>
      </c>
      <c r="N282" s="50" t="s">
        <v>2614</v>
      </c>
      <c r="O282" s="50" t="s">
        <v>2611</v>
      </c>
      <c r="P282" s="50" t="s">
        <v>2614</v>
      </c>
    </row>
    <row r="283" spans="1:16" ht="12.75" customHeight="1" x14ac:dyDescent="0.25">
      <c r="A283" s="311">
        <v>280</v>
      </c>
      <c r="B283" s="311" t="s">
        <v>140</v>
      </c>
      <c r="C283" s="311" t="s">
        <v>140</v>
      </c>
      <c r="D283" s="311" t="s">
        <v>462</v>
      </c>
      <c r="E283" s="337" t="s">
        <v>140</v>
      </c>
      <c r="F283" s="311" t="s">
        <v>271</v>
      </c>
      <c r="G283" s="311" t="s">
        <v>23</v>
      </c>
      <c r="H283" s="311" t="s">
        <v>393</v>
      </c>
      <c r="I283" s="311" t="s">
        <v>66</v>
      </c>
      <c r="J283" s="50" t="s">
        <v>1892</v>
      </c>
      <c r="K283" s="50" t="s">
        <v>1892</v>
      </c>
      <c r="L283" s="50" t="s">
        <v>1893</v>
      </c>
      <c r="M283" s="50" t="s">
        <v>2615</v>
      </c>
      <c r="N283" s="50" t="s">
        <v>2615</v>
      </c>
      <c r="O283" s="50" t="s">
        <v>2611</v>
      </c>
      <c r="P283" s="50" t="s">
        <v>2615</v>
      </c>
    </row>
    <row r="284" spans="1:16" ht="12.75" customHeight="1" x14ac:dyDescent="0.25">
      <c r="A284" s="311">
        <v>281</v>
      </c>
      <c r="B284" s="311" t="s">
        <v>121</v>
      </c>
      <c r="C284" s="311" t="s">
        <v>121</v>
      </c>
      <c r="D284" s="311" t="s">
        <v>462</v>
      </c>
      <c r="E284" s="337" t="s">
        <v>121</v>
      </c>
      <c r="F284" s="311" t="s">
        <v>271</v>
      </c>
      <c r="G284" s="311" t="s">
        <v>23</v>
      </c>
      <c r="H284" s="311" t="s">
        <v>393</v>
      </c>
      <c r="I284" s="311" t="s">
        <v>66</v>
      </c>
      <c r="J284" s="50" t="s">
        <v>1892</v>
      </c>
      <c r="K284" s="50" t="s">
        <v>1892</v>
      </c>
      <c r="L284" s="50" t="s">
        <v>1893</v>
      </c>
      <c r="M284" s="50" t="s">
        <v>2616</v>
      </c>
      <c r="N284" s="50" t="s">
        <v>2616</v>
      </c>
      <c r="O284" s="50" t="s">
        <v>2611</v>
      </c>
      <c r="P284" s="50" t="s">
        <v>2616</v>
      </c>
    </row>
    <row r="285" spans="1:16" ht="12.75" customHeight="1" x14ac:dyDescent="0.25">
      <c r="A285" s="311">
        <v>282</v>
      </c>
      <c r="B285" s="311" t="s">
        <v>87</v>
      </c>
      <c r="C285" s="311" t="s">
        <v>87</v>
      </c>
      <c r="D285" s="311" t="s">
        <v>462</v>
      </c>
      <c r="E285" s="337" t="s">
        <v>87</v>
      </c>
      <c r="F285" s="311" t="s">
        <v>271</v>
      </c>
      <c r="G285" s="311" t="s">
        <v>23</v>
      </c>
      <c r="H285" s="311" t="s">
        <v>393</v>
      </c>
      <c r="I285" s="311" t="s">
        <v>66</v>
      </c>
      <c r="J285" s="50" t="s">
        <v>1892</v>
      </c>
      <c r="K285" s="50" t="s">
        <v>1892</v>
      </c>
      <c r="L285" s="50" t="s">
        <v>1893</v>
      </c>
      <c r="M285" s="50" t="s">
        <v>2617</v>
      </c>
      <c r="N285" s="50" t="s">
        <v>2617</v>
      </c>
      <c r="O285" s="50" t="s">
        <v>2611</v>
      </c>
      <c r="P285" s="50" t="s">
        <v>2617</v>
      </c>
    </row>
    <row r="286" spans="1:16" ht="12.75" customHeight="1" x14ac:dyDescent="0.25">
      <c r="A286" s="311">
        <v>283</v>
      </c>
      <c r="B286" s="311" t="s">
        <v>125</v>
      </c>
      <c r="C286" s="311" t="s">
        <v>125</v>
      </c>
      <c r="D286" s="311" t="s">
        <v>125</v>
      </c>
      <c r="E286" s="337" t="s">
        <v>125</v>
      </c>
      <c r="F286" s="311" t="s">
        <v>271</v>
      </c>
      <c r="G286" s="311" t="s">
        <v>23</v>
      </c>
      <c r="H286" s="311" t="s">
        <v>393</v>
      </c>
      <c r="I286" s="311" t="s">
        <v>66</v>
      </c>
      <c r="J286" s="50" t="s">
        <v>1892</v>
      </c>
      <c r="K286" s="50" t="s">
        <v>1892</v>
      </c>
      <c r="L286" s="50" t="s">
        <v>1893</v>
      </c>
      <c r="M286" s="50" t="s">
        <v>2618</v>
      </c>
      <c r="N286" s="50" t="s">
        <v>2618</v>
      </c>
      <c r="O286" s="50" t="s">
        <v>2618</v>
      </c>
      <c r="P286" s="50" t="s">
        <v>2618</v>
      </c>
    </row>
    <row r="287" spans="1:16" ht="12.75" customHeight="1" x14ac:dyDescent="0.25">
      <c r="A287" s="311">
        <v>284</v>
      </c>
      <c r="B287" s="311" t="s">
        <v>134</v>
      </c>
      <c r="C287" s="311" t="s">
        <v>134</v>
      </c>
      <c r="D287" s="311" t="s">
        <v>134</v>
      </c>
      <c r="E287" s="337" t="s">
        <v>134</v>
      </c>
      <c r="F287" s="311" t="s">
        <v>271</v>
      </c>
      <c r="G287" s="311" t="s">
        <v>23</v>
      </c>
      <c r="H287" s="311" t="s">
        <v>393</v>
      </c>
      <c r="I287" s="311" t="s">
        <v>66</v>
      </c>
      <c r="J287" s="50" t="s">
        <v>1892</v>
      </c>
      <c r="K287" s="50" t="s">
        <v>1892</v>
      </c>
      <c r="L287" s="50" t="s">
        <v>1893</v>
      </c>
      <c r="M287" s="50" t="s">
        <v>2619</v>
      </c>
      <c r="N287" s="50" t="s">
        <v>2619</v>
      </c>
      <c r="O287" s="50" t="s">
        <v>2619</v>
      </c>
      <c r="P287" s="50" t="s">
        <v>2619</v>
      </c>
    </row>
    <row r="288" spans="1:16" ht="12.75" customHeight="1" x14ac:dyDescent="0.25">
      <c r="A288" s="311">
        <v>285</v>
      </c>
      <c r="B288" s="311" t="s">
        <v>141</v>
      </c>
      <c r="C288" s="311" t="s">
        <v>141</v>
      </c>
      <c r="D288" s="311" t="s">
        <v>141</v>
      </c>
      <c r="E288" s="337" t="s">
        <v>141</v>
      </c>
      <c r="F288" s="311" t="s">
        <v>271</v>
      </c>
      <c r="G288" s="311" t="s">
        <v>23</v>
      </c>
      <c r="H288" s="311" t="s">
        <v>393</v>
      </c>
      <c r="I288" s="311" t="s">
        <v>66</v>
      </c>
      <c r="J288" s="50" t="s">
        <v>1892</v>
      </c>
      <c r="K288" s="50" t="s">
        <v>1892</v>
      </c>
      <c r="L288" s="50" t="s">
        <v>1893</v>
      </c>
      <c r="M288" s="50" t="s">
        <v>2620</v>
      </c>
      <c r="N288" s="50" t="s">
        <v>2620</v>
      </c>
      <c r="O288" s="50" t="s">
        <v>2620</v>
      </c>
      <c r="P288" s="50" t="s">
        <v>2620</v>
      </c>
    </row>
    <row r="289" spans="1:16" ht="12.75" customHeight="1" x14ac:dyDescent="0.25">
      <c r="A289" s="311">
        <v>286</v>
      </c>
      <c r="B289" s="311" t="s">
        <v>69</v>
      </c>
      <c r="C289" s="311" t="s">
        <v>69</v>
      </c>
      <c r="D289" s="311" t="s">
        <v>69</v>
      </c>
      <c r="E289" s="337" t="s">
        <v>69</v>
      </c>
      <c r="F289" s="311" t="s">
        <v>271</v>
      </c>
      <c r="G289" s="311" t="s">
        <v>23</v>
      </c>
      <c r="H289" s="311" t="s">
        <v>393</v>
      </c>
      <c r="I289" s="311" t="s">
        <v>66</v>
      </c>
      <c r="J289" s="50" t="s">
        <v>1892</v>
      </c>
      <c r="K289" s="50" t="s">
        <v>1892</v>
      </c>
      <c r="L289" s="50" t="s">
        <v>1893</v>
      </c>
      <c r="M289" s="50" t="s">
        <v>2621</v>
      </c>
      <c r="N289" s="50" t="s">
        <v>2621</v>
      </c>
      <c r="O289" s="50" t="s">
        <v>2621</v>
      </c>
      <c r="P289" s="50" t="s">
        <v>2621</v>
      </c>
    </row>
    <row r="290" spans="1:16" ht="12.75" customHeight="1" x14ac:dyDescent="0.25">
      <c r="A290" s="311">
        <v>287</v>
      </c>
      <c r="B290" s="311" t="s">
        <v>84</v>
      </c>
      <c r="C290" s="311" t="s">
        <v>462</v>
      </c>
      <c r="D290" s="311" t="s">
        <v>462</v>
      </c>
      <c r="E290" s="337" t="s">
        <v>462</v>
      </c>
      <c r="F290" s="311" t="s">
        <v>271</v>
      </c>
      <c r="G290" s="311" t="s">
        <v>237</v>
      </c>
      <c r="H290" s="311" t="s">
        <v>393</v>
      </c>
      <c r="I290" s="311" t="s">
        <v>66</v>
      </c>
      <c r="J290" s="50" t="s">
        <v>1892</v>
      </c>
      <c r="K290" s="50" t="s">
        <v>1892</v>
      </c>
      <c r="L290" s="50" t="s">
        <v>1893</v>
      </c>
      <c r="M290" s="50" t="s">
        <v>2622</v>
      </c>
      <c r="N290" s="50" t="s">
        <v>2623</v>
      </c>
      <c r="O290" s="50" t="s">
        <v>2623</v>
      </c>
      <c r="P290" s="50" t="s">
        <v>2623</v>
      </c>
    </row>
    <row r="291" spans="1:16" ht="12.75" customHeight="1" x14ac:dyDescent="0.25">
      <c r="A291" s="311">
        <v>288</v>
      </c>
      <c r="B291" s="311" t="s">
        <v>123</v>
      </c>
      <c r="C291" s="311" t="s">
        <v>462</v>
      </c>
      <c r="D291" s="311" t="s">
        <v>462</v>
      </c>
      <c r="E291" s="337" t="s">
        <v>462</v>
      </c>
      <c r="F291" s="311" t="s">
        <v>271</v>
      </c>
      <c r="G291" s="311" t="s">
        <v>237</v>
      </c>
      <c r="H291" s="311" t="s">
        <v>393</v>
      </c>
      <c r="I291" s="311" t="s">
        <v>66</v>
      </c>
      <c r="J291" s="50" t="s">
        <v>1892</v>
      </c>
      <c r="K291" s="50" t="s">
        <v>1892</v>
      </c>
      <c r="L291" s="50" t="s">
        <v>1893</v>
      </c>
      <c r="M291" s="50" t="s">
        <v>2624</v>
      </c>
      <c r="N291" s="50" t="s">
        <v>2623</v>
      </c>
      <c r="O291" s="50" t="s">
        <v>2623</v>
      </c>
      <c r="P291" s="50" t="s">
        <v>2623</v>
      </c>
    </row>
    <row r="292" spans="1:16" ht="12.75" customHeight="1" x14ac:dyDescent="0.25">
      <c r="A292" s="311">
        <v>289</v>
      </c>
      <c r="B292" s="311" t="s">
        <v>75</v>
      </c>
      <c r="C292" s="311" t="s">
        <v>462</v>
      </c>
      <c r="D292" s="311" t="s">
        <v>462</v>
      </c>
      <c r="E292" s="337" t="s">
        <v>462</v>
      </c>
      <c r="F292" s="311" t="s">
        <v>271</v>
      </c>
      <c r="G292" s="311" t="s">
        <v>237</v>
      </c>
      <c r="H292" s="311" t="s">
        <v>393</v>
      </c>
      <c r="I292" s="311" t="s">
        <v>66</v>
      </c>
      <c r="J292" s="50" t="s">
        <v>1892</v>
      </c>
      <c r="K292" s="50" t="s">
        <v>1892</v>
      </c>
      <c r="L292" s="50" t="s">
        <v>1893</v>
      </c>
      <c r="M292" s="50" t="s">
        <v>2625</v>
      </c>
      <c r="N292" s="50" t="s">
        <v>2623</v>
      </c>
      <c r="O292" s="50" t="s">
        <v>2623</v>
      </c>
      <c r="P292" s="50" t="s">
        <v>2623</v>
      </c>
    </row>
    <row r="293" spans="1:16" ht="12.75" customHeight="1" x14ac:dyDescent="0.25">
      <c r="A293" s="311">
        <v>290</v>
      </c>
      <c r="B293" s="311" t="s">
        <v>63</v>
      </c>
      <c r="C293" s="311" t="s">
        <v>63</v>
      </c>
      <c r="D293" s="311" t="s">
        <v>462</v>
      </c>
      <c r="E293" s="337" t="s">
        <v>63</v>
      </c>
      <c r="F293" s="311" t="s">
        <v>271</v>
      </c>
      <c r="G293" s="311" t="s">
        <v>237</v>
      </c>
      <c r="H293" s="311" t="s">
        <v>393</v>
      </c>
      <c r="I293" s="311" t="s">
        <v>66</v>
      </c>
      <c r="J293" s="50" t="s">
        <v>1892</v>
      </c>
      <c r="K293" s="50" t="s">
        <v>1892</v>
      </c>
      <c r="L293" s="50" t="s">
        <v>1893</v>
      </c>
      <c r="M293" s="50" t="s">
        <v>2626</v>
      </c>
      <c r="N293" s="50" t="s">
        <v>2626</v>
      </c>
      <c r="O293" s="50" t="s">
        <v>2623</v>
      </c>
      <c r="P293" s="50" t="s">
        <v>2626</v>
      </c>
    </row>
    <row r="294" spans="1:16" ht="12.75" customHeight="1" x14ac:dyDescent="0.25">
      <c r="A294" s="311">
        <v>291</v>
      </c>
      <c r="B294" s="311" t="s">
        <v>140</v>
      </c>
      <c r="C294" s="311" t="s">
        <v>140</v>
      </c>
      <c r="D294" s="311" t="s">
        <v>462</v>
      </c>
      <c r="E294" s="337" t="s">
        <v>140</v>
      </c>
      <c r="F294" s="311" t="s">
        <v>271</v>
      </c>
      <c r="G294" s="311" t="s">
        <v>237</v>
      </c>
      <c r="H294" s="311" t="s">
        <v>393</v>
      </c>
      <c r="I294" s="311" t="s">
        <v>66</v>
      </c>
      <c r="J294" s="50" t="s">
        <v>1892</v>
      </c>
      <c r="K294" s="50" t="s">
        <v>1892</v>
      </c>
      <c r="L294" s="50" t="s">
        <v>1893</v>
      </c>
      <c r="M294" s="50" t="s">
        <v>2627</v>
      </c>
      <c r="N294" s="50" t="s">
        <v>2627</v>
      </c>
      <c r="O294" s="50" t="s">
        <v>2623</v>
      </c>
      <c r="P294" s="50" t="s">
        <v>2627</v>
      </c>
    </row>
    <row r="295" spans="1:16" ht="12.75" customHeight="1" x14ac:dyDescent="0.25">
      <c r="A295" s="311">
        <v>292</v>
      </c>
      <c r="B295" s="311" t="s">
        <v>121</v>
      </c>
      <c r="C295" s="311" t="s">
        <v>121</v>
      </c>
      <c r="D295" s="311" t="s">
        <v>462</v>
      </c>
      <c r="E295" s="337" t="s">
        <v>121</v>
      </c>
      <c r="F295" s="311" t="s">
        <v>271</v>
      </c>
      <c r="G295" s="311" t="s">
        <v>237</v>
      </c>
      <c r="H295" s="311" t="s">
        <v>393</v>
      </c>
      <c r="I295" s="311" t="s">
        <v>66</v>
      </c>
      <c r="J295" s="50" t="s">
        <v>1892</v>
      </c>
      <c r="K295" s="50" t="s">
        <v>1892</v>
      </c>
      <c r="L295" s="50" t="s">
        <v>1893</v>
      </c>
      <c r="M295" s="50" t="s">
        <v>2628</v>
      </c>
      <c r="N295" s="50" t="s">
        <v>2628</v>
      </c>
      <c r="O295" s="50" t="s">
        <v>2623</v>
      </c>
      <c r="P295" s="50" t="s">
        <v>2628</v>
      </c>
    </row>
    <row r="296" spans="1:16" ht="12.75" customHeight="1" x14ac:dyDescent="0.25">
      <c r="A296" s="311">
        <v>293</v>
      </c>
      <c r="B296" s="311" t="s">
        <v>87</v>
      </c>
      <c r="C296" s="311" t="s">
        <v>87</v>
      </c>
      <c r="D296" s="311" t="s">
        <v>462</v>
      </c>
      <c r="E296" s="337" t="s">
        <v>87</v>
      </c>
      <c r="F296" s="311" t="s">
        <v>271</v>
      </c>
      <c r="G296" s="311" t="s">
        <v>237</v>
      </c>
      <c r="H296" s="311" t="s">
        <v>393</v>
      </c>
      <c r="I296" s="311" t="s">
        <v>66</v>
      </c>
      <c r="J296" s="50" t="s">
        <v>1892</v>
      </c>
      <c r="K296" s="50" t="s">
        <v>1892</v>
      </c>
      <c r="L296" s="50" t="s">
        <v>1893</v>
      </c>
      <c r="M296" s="50" t="s">
        <v>2629</v>
      </c>
      <c r="N296" s="50" t="s">
        <v>2629</v>
      </c>
      <c r="O296" s="50" t="s">
        <v>2623</v>
      </c>
      <c r="P296" s="50" t="s">
        <v>2629</v>
      </c>
    </row>
    <row r="297" spans="1:16" ht="12.75" customHeight="1" x14ac:dyDescent="0.25">
      <c r="A297" s="311">
        <v>294</v>
      </c>
      <c r="B297" s="311" t="s">
        <v>125</v>
      </c>
      <c r="C297" s="311" t="s">
        <v>125</v>
      </c>
      <c r="D297" s="311" t="s">
        <v>125</v>
      </c>
      <c r="E297" s="337" t="s">
        <v>125</v>
      </c>
      <c r="F297" s="311" t="s">
        <v>271</v>
      </c>
      <c r="G297" s="311" t="s">
        <v>237</v>
      </c>
      <c r="H297" s="311" t="s">
        <v>393</v>
      </c>
      <c r="I297" s="311" t="s">
        <v>66</v>
      </c>
      <c r="J297" s="50" t="s">
        <v>1892</v>
      </c>
      <c r="K297" s="50" t="s">
        <v>1892</v>
      </c>
      <c r="L297" s="50" t="s">
        <v>1893</v>
      </c>
      <c r="M297" s="50" t="s">
        <v>2630</v>
      </c>
      <c r="N297" s="50" t="s">
        <v>2630</v>
      </c>
      <c r="O297" s="50" t="s">
        <v>2630</v>
      </c>
      <c r="P297" s="50" t="s">
        <v>2630</v>
      </c>
    </row>
    <row r="298" spans="1:16" ht="12.75" customHeight="1" x14ac:dyDescent="0.25">
      <c r="A298" s="311">
        <v>295</v>
      </c>
      <c r="B298" s="311" t="s">
        <v>134</v>
      </c>
      <c r="C298" s="311" t="s">
        <v>134</v>
      </c>
      <c r="D298" s="311" t="s">
        <v>134</v>
      </c>
      <c r="E298" s="337" t="s">
        <v>134</v>
      </c>
      <c r="F298" s="311" t="s">
        <v>271</v>
      </c>
      <c r="G298" s="311" t="s">
        <v>237</v>
      </c>
      <c r="H298" s="311" t="s">
        <v>393</v>
      </c>
      <c r="I298" s="311" t="s">
        <v>66</v>
      </c>
      <c r="J298" s="50" t="s">
        <v>1892</v>
      </c>
      <c r="K298" s="50" t="s">
        <v>1892</v>
      </c>
      <c r="L298" s="50" t="s">
        <v>1893</v>
      </c>
      <c r="M298" s="50" t="s">
        <v>2631</v>
      </c>
      <c r="N298" s="50" t="s">
        <v>2631</v>
      </c>
      <c r="O298" s="50" t="s">
        <v>2631</v>
      </c>
      <c r="P298" s="50" t="s">
        <v>2631</v>
      </c>
    </row>
    <row r="299" spans="1:16" ht="12.75" customHeight="1" x14ac:dyDescent="0.25">
      <c r="A299" s="311">
        <v>296</v>
      </c>
      <c r="B299" s="311" t="s">
        <v>141</v>
      </c>
      <c r="C299" s="311" t="s">
        <v>141</v>
      </c>
      <c r="D299" s="311" t="s">
        <v>141</v>
      </c>
      <c r="E299" s="337" t="s">
        <v>141</v>
      </c>
      <c r="F299" s="311" t="s">
        <v>271</v>
      </c>
      <c r="G299" s="311" t="s">
        <v>237</v>
      </c>
      <c r="H299" s="311" t="s">
        <v>393</v>
      </c>
      <c r="I299" s="311" t="s">
        <v>66</v>
      </c>
      <c r="J299" s="50" t="s">
        <v>1892</v>
      </c>
      <c r="K299" s="50" t="s">
        <v>1892</v>
      </c>
      <c r="L299" s="50" t="s">
        <v>1893</v>
      </c>
      <c r="M299" s="50" t="s">
        <v>2632</v>
      </c>
      <c r="N299" s="50" t="s">
        <v>2632</v>
      </c>
      <c r="O299" s="50" t="s">
        <v>2632</v>
      </c>
      <c r="P299" s="50" t="s">
        <v>2632</v>
      </c>
    </row>
    <row r="300" spans="1:16" ht="12.75" customHeight="1" x14ac:dyDescent="0.25">
      <c r="A300" s="311">
        <v>297</v>
      </c>
      <c r="B300" s="311" t="s">
        <v>69</v>
      </c>
      <c r="C300" s="311" t="s">
        <v>69</v>
      </c>
      <c r="D300" s="311" t="s">
        <v>69</v>
      </c>
      <c r="E300" s="337" t="s">
        <v>69</v>
      </c>
      <c r="F300" s="311" t="s">
        <v>271</v>
      </c>
      <c r="G300" s="311" t="s">
        <v>237</v>
      </c>
      <c r="H300" s="311" t="s">
        <v>393</v>
      </c>
      <c r="I300" s="311" t="s">
        <v>66</v>
      </c>
      <c r="J300" s="50" t="s">
        <v>1892</v>
      </c>
      <c r="K300" s="50" t="s">
        <v>1892</v>
      </c>
      <c r="L300" s="50" t="s">
        <v>1893</v>
      </c>
      <c r="M300" s="50" t="s">
        <v>2633</v>
      </c>
      <c r="N300" s="50" t="s">
        <v>2633</v>
      </c>
      <c r="O300" s="50" t="s">
        <v>2633</v>
      </c>
      <c r="P300" s="50" t="s">
        <v>2633</v>
      </c>
    </row>
    <row r="301" spans="1:16" ht="12.75" customHeight="1" x14ac:dyDescent="0.25">
      <c r="A301" s="311">
        <v>298</v>
      </c>
      <c r="B301" s="311" t="s">
        <v>84</v>
      </c>
      <c r="C301" s="311" t="s">
        <v>462</v>
      </c>
      <c r="D301" s="311" t="s">
        <v>462</v>
      </c>
      <c r="E301" s="337" t="s">
        <v>462</v>
      </c>
      <c r="F301" s="311" t="s">
        <v>287</v>
      </c>
      <c r="G301" s="311" t="s">
        <v>236</v>
      </c>
      <c r="H301" s="311" t="s">
        <v>393</v>
      </c>
      <c r="I301" s="311" t="s">
        <v>66</v>
      </c>
      <c r="J301" s="50" t="s">
        <v>1892</v>
      </c>
      <c r="K301" s="50" t="s">
        <v>1892</v>
      </c>
      <c r="L301" s="50" t="s">
        <v>1893</v>
      </c>
      <c r="M301" s="50" t="s">
        <v>2634</v>
      </c>
      <c r="N301" s="50" t="s">
        <v>2635</v>
      </c>
      <c r="O301" s="50" t="s">
        <v>2635</v>
      </c>
      <c r="P301" s="50" t="s">
        <v>2635</v>
      </c>
    </row>
    <row r="302" spans="1:16" ht="12.75" customHeight="1" x14ac:dyDescent="0.25">
      <c r="A302" s="311">
        <v>299</v>
      </c>
      <c r="B302" s="311" t="s">
        <v>123</v>
      </c>
      <c r="C302" s="311" t="s">
        <v>462</v>
      </c>
      <c r="D302" s="311" t="s">
        <v>462</v>
      </c>
      <c r="E302" s="337" t="s">
        <v>462</v>
      </c>
      <c r="F302" s="311" t="s">
        <v>287</v>
      </c>
      <c r="G302" s="311" t="s">
        <v>236</v>
      </c>
      <c r="H302" s="311" t="s">
        <v>393</v>
      </c>
      <c r="I302" s="311" t="s">
        <v>66</v>
      </c>
      <c r="J302" s="50" t="s">
        <v>1892</v>
      </c>
      <c r="K302" s="50" t="s">
        <v>1892</v>
      </c>
      <c r="L302" s="50" t="s">
        <v>1893</v>
      </c>
      <c r="M302" s="50" t="s">
        <v>2636</v>
      </c>
      <c r="N302" s="50" t="s">
        <v>2635</v>
      </c>
      <c r="O302" s="50" t="s">
        <v>2635</v>
      </c>
      <c r="P302" s="50" t="s">
        <v>2635</v>
      </c>
    </row>
    <row r="303" spans="1:16" ht="12.75" customHeight="1" x14ac:dyDescent="0.25">
      <c r="A303" s="311">
        <v>300</v>
      </c>
      <c r="B303" s="311" t="s">
        <v>75</v>
      </c>
      <c r="C303" s="311" t="s">
        <v>462</v>
      </c>
      <c r="D303" s="311" t="s">
        <v>462</v>
      </c>
      <c r="E303" s="337" t="s">
        <v>462</v>
      </c>
      <c r="F303" s="311" t="s">
        <v>287</v>
      </c>
      <c r="G303" s="311" t="s">
        <v>236</v>
      </c>
      <c r="H303" s="311" t="s">
        <v>393</v>
      </c>
      <c r="I303" s="311" t="s">
        <v>66</v>
      </c>
      <c r="J303" s="50" t="s">
        <v>1892</v>
      </c>
      <c r="K303" s="50" t="s">
        <v>1892</v>
      </c>
      <c r="L303" s="50" t="s">
        <v>1893</v>
      </c>
      <c r="M303" s="50" t="s">
        <v>2637</v>
      </c>
      <c r="N303" s="50" t="s">
        <v>2635</v>
      </c>
      <c r="O303" s="50" t="s">
        <v>2635</v>
      </c>
      <c r="P303" s="50" t="s">
        <v>2635</v>
      </c>
    </row>
    <row r="304" spans="1:16" ht="12.75" customHeight="1" x14ac:dyDescent="0.25">
      <c r="A304" s="311">
        <v>301</v>
      </c>
      <c r="B304" s="311" t="s">
        <v>63</v>
      </c>
      <c r="C304" s="311" t="s">
        <v>63</v>
      </c>
      <c r="D304" s="311" t="s">
        <v>462</v>
      </c>
      <c r="E304" s="337" t="s">
        <v>63</v>
      </c>
      <c r="F304" s="311" t="s">
        <v>287</v>
      </c>
      <c r="G304" s="311" t="s">
        <v>236</v>
      </c>
      <c r="H304" s="311" t="s">
        <v>393</v>
      </c>
      <c r="I304" s="311" t="s">
        <v>66</v>
      </c>
      <c r="J304" s="50" t="s">
        <v>1892</v>
      </c>
      <c r="K304" s="50" t="s">
        <v>1892</v>
      </c>
      <c r="L304" s="50" t="s">
        <v>1893</v>
      </c>
      <c r="M304" s="50" t="s">
        <v>2638</v>
      </c>
      <c r="N304" s="50" t="s">
        <v>2638</v>
      </c>
      <c r="O304" s="50" t="s">
        <v>2635</v>
      </c>
      <c r="P304" s="50" t="s">
        <v>2638</v>
      </c>
    </row>
    <row r="305" spans="1:16" ht="12.75" customHeight="1" x14ac:dyDescent="0.25">
      <c r="A305" s="311">
        <v>302</v>
      </c>
      <c r="B305" s="311" t="s">
        <v>140</v>
      </c>
      <c r="C305" s="311" t="s">
        <v>140</v>
      </c>
      <c r="D305" s="311" t="s">
        <v>462</v>
      </c>
      <c r="E305" s="337" t="s">
        <v>140</v>
      </c>
      <c r="F305" s="311" t="s">
        <v>287</v>
      </c>
      <c r="G305" s="311" t="s">
        <v>236</v>
      </c>
      <c r="H305" s="311" t="s">
        <v>393</v>
      </c>
      <c r="I305" s="311" t="s">
        <v>66</v>
      </c>
      <c r="J305" s="50" t="s">
        <v>1892</v>
      </c>
      <c r="K305" s="50" t="s">
        <v>1892</v>
      </c>
      <c r="L305" s="50" t="s">
        <v>1893</v>
      </c>
      <c r="M305" s="50" t="s">
        <v>2639</v>
      </c>
      <c r="N305" s="50" t="s">
        <v>2639</v>
      </c>
      <c r="O305" s="50" t="s">
        <v>2635</v>
      </c>
      <c r="P305" s="50" t="s">
        <v>2639</v>
      </c>
    </row>
    <row r="306" spans="1:16" ht="12.75" customHeight="1" x14ac:dyDescent="0.25">
      <c r="A306" s="311">
        <v>303</v>
      </c>
      <c r="B306" s="311" t="s">
        <v>121</v>
      </c>
      <c r="C306" s="311" t="s">
        <v>121</v>
      </c>
      <c r="D306" s="311" t="s">
        <v>462</v>
      </c>
      <c r="E306" s="337" t="s">
        <v>121</v>
      </c>
      <c r="F306" s="311" t="s">
        <v>287</v>
      </c>
      <c r="G306" s="311" t="s">
        <v>236</v>
      </c>
      <c r="H306" s="311" t="s">
        <v>393</v>
      </c>
      <c r="I306" s="311" t="s">
        <v>66</v>
      </c>
      <c r="J306" s="50" t="s">
        <v>1892</v>
      </c>
      <c r="K306" s="50" t="s">
        <v>1892</v>
      </c>
      <c r="L306" s="50" t="s">
        <v>1893</v>
      </c>
      <c r="M306" s="50" t="s">
        <v>2640</v>
      </c>
      <c r="N306" s="50" t="s">
        <v>2640</v>
      </c>
      <c r="O306" s="50" t="s">
        <v>2635</v>
      </c>
      <c r="P306" s="50" t="s">
        <v>2640</v>
      </c>
    </row>
    <row r="307" spans="1:16" ht="12.75" customHeight="1" x14ac:dyDescent="0.25">
      <c r="A307" s="311">
        <v>304</v>
      </c>
      <c r="B307" s="311" t="s">
        <v>87</v>
      </c>
      <c r="C307" s="311" t="s">
        <v>87</v>
      </c>
      <c r="D307" s="311" t="s">
        <v>462</v>
      </c>
      <c r="E307" s="337" t="s">
        <v>87</v>
      </c>
      <c r="F307" s="311" t="s">
        <v>287</v>
      </c>
      <c r="G307" s="311" t="s">
        <v>236</v>
      </c>
      <c r="H307" s="311" t="s">
        <v>393</v>
      </c>
      <c r="I307" s="311" t="s">
        <v>66</v>
      </c>
      <c r="J307" s="50" t="s">
        <v>1892</v>
      </c>
      <c r="K307" s="50" t="s">
        <v>1892</v>
      </c>
      <c r="L307" s="50" t="s">
        <v>1893</v>
      </c>
      <c r="M307" s="50" t="s">
        <v>2641</v>
      </c>
      <c r="N307" s="50" t="s">
        <v>2641</v>
      </c>
      <c r="O307" s="50" t="s">
        <v>2635</v>
      </c>
      <c r="P307" s="50" t="s">
        <v>2641</v>
      </c>
    </row>
    <row r="308" spans="1:16" ht="12.75" customHeight="1" x14ac:dyDescent="0.25">
      <c r="A308" s="311">
        <v>305</v>
      </c>
      <c r="B308" s="311" t="s">
        <v>125</v>
      </c>
      <c r="C308" s="311" t="s">
        <v>125</v>
      </c>
      <c r="D308" s="311" t="s">
        <v>125</v>
      </c>
      <c r="E308" s="337" t="s">
        <v>125</v>
      </c>
      <c r="F308" s="311" t="s">
        <v>287</v>
      </c>
      <c r="G308" s="311" t="s">
        <v>236</v>
      </c>
      <c r="H308" s="311" t="s">
        <v>393</v>
      </c>
      <c r="I308" s="311" t="s">
        <v>66</v>
      </c>
      <c r="J308" s="50" t="s">
        <v>1892</v>
      </c>
      <c r="K308" s="50" t="s">
        <v>1892</v>
      </c>
      <c r="L308" s="50" t="s">
        <v>1893</v>
      </c>
      <c r="M308" s="50" t="s">
        <v>2642</v>
      </c>
      <c r="N308" s="50" t="s">
        <v>2642</v>
      </c>
      <c r="O308" s="50" t="s">
        <v>2642</v>
      </c>
      <c r="P308" s="50" t="s">
        <v>2642</v>
      </c>
    </row>
    <row r="309" spans="1:16" ht="12.75" customHeight="1" x14ac:dyDescent="0.25">
      <c r="A309" s="311">
        <v>306</v>
      </c>
      <c r="B309" s="311" t="s">
        <v>134</v>
      </c>
      <c r="C309" s="311" t="s">
        <v>134</v>
      </c>
      <c r="D309" s="311" t="s">
        <v>134</v>
      </c>
      <c r="E309" s="337" t="s">
        <v>134</v>
      </c>
      <c r="F309" s="311" t="s">
        <v>287</v>
      </c>
      <c r="G309" s="311" t="s">
        <v>236</v>
      </c>
      <c r="H309" s="311" t="s">
        <v>393</v>
      </c>
      <c r="I309" s="311" t="s">
        <v>66</v>
      </c>
      <c r="J309" s="50" t="s">
        <v>1892</v>
      </c>
      <c r="K309" s="50" t="s">
        <v>1892</v>
      </c>
      <c r="L309" s="50" t="s">
        <v>1893</v>
      </c>
      <c r="M309" s="50" t="s">
        <v>2643</v>
      </c>
      <c r="N309" s="50" t="s">
        <v>2643</v>
      </c>
      <c r="O309" s="50" t="s">
        <v>2643</v>
      </c>
      <c r="P309" s="50" t="s">
        <v>2643</v>
      </c>
    </row>
    <row r="310" spans="1:16" ht="12.75" customHeight="1" x14ac:dyDescent="0.25">
      <c r="A310" s="311">
        <v>307</v>
      </c>
      <c r="B310" s="311" t="s">
        <v>141</v>
      </c>
      <c r="C310" s="311" t="s">
        <v>141</v>
      </c>
      <c r="D310" s="311" t="s">
        <v>141</v>
      </c>
      <c r="E310" s="337" t="s">
        <v>141</v>
      </c>
      <c r="F310" s="311" t="s">
        <v>287</v>
      </c>
      <c r="G310" s="311" t="s">
        <v>236</v>
      </c>
      <c r="H310" s="311" t="s">
        <v>393</v>
      </c>
      <c r="I310" s="311" t="s">
        <v>66</v>
      </c>
      <c r="J310" s="50" t="s">
        <v>1892</v>
      </c>
      <c r="K310" s="50" t="s">
        <v>1892</v>
      </c>
      <c r="L310" s="50" t="s">
        <v>1893</v>
      </c>
      <c r="M310" s="50" t="s">
        <v>2644</v>
      </c>
      <c r="N310" s="50" t="s">
        <v>2644</v>
      </c>
      <c r="O310" s="50" t="s">
        <v>2644</v>
      </c>
      <c r="P310" s="50" t="s">
        <v>2644</v>
      </c>
    </row>
    <row r="311" spans="1:16" ht="12.75" customHeight="1" x14ac:dyDescent="0.25">
      <c r="A311" s="311">
        <v>308</v>
      </c>
      <c r="B311" s="311" t="s">
        <v>69</v>
      </c>
      <c r="C311" s="311" t="s">
        <v>69</v>
      </c>
      <c r="D311" s="311" t="s">
        <v>69</v>
      </c>
      <c r="E311" s="337" t="s">
        <v>69</v>
      </c>
      <c r="F311" s="311" t="s">
        <v>287</v>
      </c>
      <c r="G311" s="311" t="s">
        <v>236</v>
      </c>
      <c r="H311" s="311" t="s">
        <v>393</v>
      </c>
      <c r="I311" s="311" t="s">
        <v>66</v>
      </c>
      <c r="J311" s="50" t="s">
        <v>1892</v>
      </c>
      <c r="K311" s="50" t="s">
        <v>1892</v>
      </c>
      <c r="L311" s="50" t="s">
        <v>1893</v>
      </c>
      <c r="M311" s="50" t="s">
        <v>2645</v>
      </c>
      <c r="N311" s="50" t="s">
        <v>2645</v>
      </c>
      <c r="O311" s="50" t="s">
        <v>2645</v>
      </c>
      <c r="P311" s="50" t="s">
        <v>2645</v>
      </c>
    </row>
    <row r="312" spans="1:16" ht="12.75" customHeight="1" x14ac:dyDescent="0.25">
      <c r="A312" s="311">
        <v>309</v>
      </c>
      <c r="B312" s="311" t="s">
        <v>84</v>
      </c>
      <c r="C312" s="311" t="s">
        <v>462</v>
      </c>
      <c r="D312" s="311" t="s">
        <v>462</v>
      </c>
      <c r="E312" s="337" t="s">
        <v>462</v>
      </c>
      <c r="F312" s="311" t="s">
        <v>287</v>
      </c>
      <c r="G312" s="311" t="s">
        <v>23</v>
      </c>
      <c r="H312" s="311" t="s">
        <v>393</v>
      </c>
      <c r="I312" s="311" t="s">
        <v>66</v>
      </c>
      <c r="J312" s="50" t="s">
        <v>1892</v>
      </c>
      <c r="K312" s="50" t="s">
        <v>1892</v>
      </c>
      <c r="L312" s="50" t="s">
        <v>1893</v>
      </c>
      <c r="M312" s="50" t="s">
        <v>2646</v>
      </c>
      <c r="N312" s="50" t="s">
        <v>2647</v>
      </c>
      <c r="O312" s="50" t="s">
        <v>2647</v>
      </c>
      <c r="P312" s="50" t="s">
        <v>2647</v>
      </c>
    </row>
    <row r="313" spans="1:16" ht="12.75" customHeight="1" x14ac:dyDescent="0.25">
      <c r="A313" s="311">
        <v>310</v>
      </c>
      <c r="B313" s="311" t="s">
        <v>123</v>
      </c>
      <c r="C313" s="311" t="s">
        <v>462</v>
      </c>
      <c r="D313" s="311" t="s">
        <v>462</v>
      </c>
      <c r="E313" s="337" t="s">
        <v>462</v>
      </c>
      <c r="F313" s="311" t="s">
        <v>287</v>
      </c>
      <c r="G313" s="311" t="s">
        <v>23</v>
      </c>
      <c r="H313" s="311" t="s">
        <v>393</v>
      </c>
      <c r="I313" s="311" t="s">
        <v>66</v>
      </c>
      <c r="J313" s="50" t="s">
        <v>1892</v>
      </c>
      <c r="K313" s="50" t="s">
        <v>1892</v>
      </c>
      <c r="L313" s="50" t="s">
        <v>1893</v>
      </c>
      <c r="M313" s="50" t="s">
        <v>2648</v>
      </c>
      <c r="N313" s="50" t="s">
        <v>2647</v>
      </c>
      <c r="O313" s="50" t="s">
        <v>2647</v>
      </c>
      <c r="P313" s="50" t="s">
        <v>2647</v>
      </c>
    </row>
    <row r="314" spans="1:16" ht="12.75" customHeight="1" x14ac:dyDescent="0.25">
      <c r="A314" s="311">
        <v>311</v>
      </c>
      <c r="B314" s="311" t="s">
        <v>75</v>
      </c>
      <c r="C314" s="311" t="s">
        <v>462</v>
      </c>
      <c r="D314" s="311" t="s">
        <v>462</v>
      </c>
      <c r="E314" s="337" t="s">
        <v>462</v>
      </c>
      <c r="F314" s="311" t="s">
        <v>287</v>
      </c>
      <c r="G314" s="311" t="s">
        <v>23</v>
      </c>
      <c r="H314" s="311" t="s">
        <v>393</v>
      </c>
      <c r="I314" s="311" t="s">
        <v>66</v>
      </c>
      <c r="J314" s="50" t="s">
        <v>1892</v>
      </c>
      <c r="K314" s="50" t="s">
        <v>1892</v>
      </c>
      <c r="L314" s="50" t="s">
        <v>1893</v>
      </c>
      <c r="M314" s="50" t="s">
        <v>2649</v>
      </c>
      <c r="N314" s="50" t="s">
        <v>2647</v>
      </c>
      <c r="O314" s="50" t="s">
        <v>2647</v>
      </c>
      <c r="P314" s="50" t="s">
        <v>2647</v>
      </c>
    </row>
    <row r="315" spans="1:16" ht="12.75" customHeight="1" x14ac:dyDescent="0.25">
      <c r="A315" s="311">
        <v>312</v>
      </c>
      <c r="B315" s="311" t="s">
        <v>63</v>
      </c>
      <c r="C315" s="311" t="s">
        <v>63</v>
      </c>
      <c r="D315" s="311" t="s">
        <v>462</v>
      </c>
      <c r="E315" s="337" t="s">
        <v>63</v>
      </c>
      <c r="F315" s="311" t="s">
        <v>287</v>
      </c>
      <c r="G315" s="311" t="s">
        <v>23</v>
      </c>
      <c r="H315" s="311" t="s">
        <v>393</v>
      </c>
      <c r="I315" s="311" t="s">
        <v>66</v>
      </c>
      <c r="J315" s="50" t="s">
        <v>1892</v>
      </c>
      <c r="K315" s="50" t="s">
        <v>1892</v>
      </c>
      <c r="L315" s="50" t="s">
        <v>1893</v>
      </c>
      <c r="M315" s="50" t="s">
        <v>2650</v>
      </c>
      <c r="N315" s="50" t="s">
        <v>2650</v>
      </c>
      <c r="O315" s="50" t="s">
        <v>2647</v>
      </c>
      <c r="P315" s="50" t="s">
        <v>2650</v>
      </c>
    </row>
    <row r="316" spans="1:16" ht="12.75" customHeight="1" x14ac:dyDescent="0.25">
      <c r="A316" s="311">
        <v>313</v>
      </c>
      <c r="B316" s="311" t="s">
        <v>140</v>
      </c>
      <c r="C316" s="311" t="s">
        <v>140</v>
      </c>
      <c r="D316" s="311" t="s">
        <v>462</v>
      </c>
      <c r="E316" s="337" t="s">
        <v>140</v>
      </c>
      <c r="F316" s="311" t="s">
        <v>287</v>
      </c>
      <c r="G316" s="311" t="s">
        <v>23</v>
      </c>
      <c r="H316" s="311" t="s">
        <v>393</v>
      </c>
      <c r="I316" s="311" t="s">
        <v>66</v>
      </c>
      <c r="J316" s="50" t="s">
        <v>1892</v>
      </c>
      <c r="K316" s="50" t="s">
        <v>1892</v>
      </c>
      <c r="L316" s="50" t="s">
        <v>1893</v>
      </c>
      <c r="M316" s="50" t="s">
        <v>2651</v>
      </c>
      <c r="N316" s="50" t="s">
        <v>2651</v>
      </c>
      <c r="O316" s="50" t="s">
        <v>2647</v>
      </c>
      <c r="P316" s="50" t="s">
        <v>2651</v>
      </c>
    </row>
    <row r="317" spans="1:16" ht="12.75" customHeight="1" x14ac:dyDescent="0.25">
      <c r="A317" s="311">
        <v>314</v>
      </c>
      <c r="B317" s="311" t="s">
        <v>121</v>
      </c>
      <c r="C317" s="311" t="s">
        <v>121</v>
      </c>
      <c r="D317" s="311" t="s">
        <v>462</v>
      </c>
      <c r="E317" s="337" t="s">
        <v>121</v>
      </c>
      <c r="F317" s="311" t="s">
        <v>287</v>
      </c>
      <c r="G317" s="311" t="s">
        <v>23</v>
      </c>
      <c r="H317" s="311" t="s">
        <v>393</v>
      </c>
      <c r="I317" s="311" t="s">
        <v>66</v>
      </c>
      <c r="J317" s="50" t="s">
        <v>1892</v>
      </c>
      <c r="K317" s="50" t="s">
        <v>1892</v>
      </c>
      <c r="L317" s="50" t="s">
        <v>1893</v>
      </c>
      <c r="M317" s="50" t="s">
        <v>2652</v>
      </c>
      <c r="N317" s="50" t="s">
        <v>2652</v>
      </c>
      <c r="O317" s="50" t="s">
        <v>2647</v>
      </c>
      <c r="P317" s="50" t="s">
        <v>2652</v>
      </c>
    </row>
    <row r="318" spans="1:16" ht="12.75" customHeight="1" x14ac:dyDescent="0.25">
      <c r="A318" s="311">
        <v>315</v>
      </c>
      <c r="B318" s="311" t="s">
        <v>87</v>
      </c>
      <c r="C318" s="311" t="s">
        <v>87</v>
      </c>
      <c r="D318" s="311" t="s">
        <v>462</v>
      </c>
      <c r="E318" s="337" t="s">
        <v>87</v>
      </c>
      <c r="F318" s="311" t="s">
        <v>287</v>
      </c>
      <c r="G318" s="311" t="s">
        <v>23</v>
      </c>
      <c r="H318" s="311" t="s">
        <v>393</v>
      </c>
      <c r="I318" s="311" t="s">
        <v>66</v>
      </c>
      <c r="J318" s="50" t="s">
        <v>1892</v>
      </c>
      <c r="K318" s="50" t="s">
        <v>1892</v>
      </c>
      <c r="L318" s="50" t="s">
        <v>1893</v>
      </c>
      <c r="M318" s="50" t="s">
        <v>2653</v>
      </c>
      <c r="N318" s="50" t="s">
        <v>2653</v>
      </c>
      <c r="O318" s="50" t="s">
        <v>2647</v>
      </c>
      <c r="P318" s="50" t="s">
        <v>2653</v>
      </c>
    </row>
    <row r="319" spans="1:16" ht="12.75" customHeight="1" x14ac:dyDescent="0.25">
      <c r="A319" s="311">
        <v>316</v>
      </c>
      <c r="B319" s="311" t="s">
        <v>125</v>
      </c>
      <c r="C319" s="311" t="s">
        <v>125</v>
      </c>
      <c r="D319" s="311" t="s">
        <v>125</v>
      </c>
      <c r="E319" s="337" t="s">
        <v>125</v>
      </c>
      <c r="F319" s="311" t="s">
        <v>287</v>
      </c>
      <c r="G319" s="311" t="s">
        <v>23</v>
      </c>
      <c r="H319" s="311" t="s">
        <v>393</v>
      </c>
      <c r="I319" s="311" t="s">
        <v>66</v>
      </c>
      <c r="J319" s="50" t="s">
        <v>1892</v>
      </c>
      <c r="K319" s="50" t="s">
        <v>1892</v>
      </c>
      <c r="L319" s="50" t="s">
        <v>1893</v>
      </c>
      <c r="M319" s="50" t="s">
        <v>2654</v>
      </c>
      <c r="N319" s="50" t="s">
        <v>2654</v>
      </c>
      <c r="O319" s="50" t="s">
        <v>2654</v>
      </c>
      <c r="P319" s="50" t="s">
        <v>2654</v>
      </c>
    </row>
    <row r="320" spans="1:16" ht="12.75" customHeight="1" x14ac:dyDescent="0.25">
      <c r="A320" s="311">
        <v>317</v>
      </c>
      <c r="B320" s="311" t="s">
        <v>134</v>
      </c>
      <c r="C320" s="311" t="s">
        <v>134</v>
      </c>
      <c r="D320" s="311" t="s">
        <v>134</v>
      </c>
      <c r="E320" s="337" t="s">
        <v>134</v>
      </c>
      <c r="F320" s="311" t="s">
        <v>287</v>
      </c>
      <c r="G320" s="311" t="s">
        <v>23</v>
      </c>
      <c r="H320" s="311" t="s">
        <v>393</v>
      </c>
      <c r="I320" s="311" t="s">
        <v>66</v>
      </c>
      <c r="J320" s="50" t="s">
        <v>1892</v>
      </c>
      <c r="K320" s="50" t="s">
        <v>1892</v>
      </c>
      <c r="L320" s="50" t="s">
        <v>1893</v>
      </c>
      <c r="M320" s="50" t="s">
        <v>2655</v>
      </c>
      <c r="N320" s="50" t="s">
        <v>2655</v>
      </c>
      <c r="O320" s="50" t="s">
        <v>2655</v>
      </c>
      <c r="P320" s="50" t="s">
        <v>2655</v>
      </c>
    </row>
    <row r="321" spans="1:16" ht="12.75" customHeight="1" x14ac:dyDescent="0.25">
      <c r="A321" s="311">
        <v>318</v>
      </c>
      <c r="B321" s="311" t="s">
        <v>141</v>
      </c>
      <c r="C321" s="311" t="s">
        <v>141</v>
      </c>
      <c r="D321" s="311" t="s">
        <v>141</v>
      </c>
      <c r="E321" s="337" t="s">
        <v>141</v>
      </c>
      <c r="F321" s="311" t="s">
        <v>287</v>
      </c>
      <c r="G321" s="311" t="s">
        <v>23</v>
      </c>
      <c r="H321" s="311" t="s">
        <v>393</v>
      </c>
      <c r="I321" s="311" t="s">
        <v>66</v>
      </c>
      <c r="J321" s="50" t="s">
        <v>1892</v>
      </c>
      <c r="K321" s="50" t="s">
        <v>1892</v>
      </c>
      <c r="L321" s="50" t="s">
        <v>1893</v>
      </c>
      <c r="M321" s="50" t="s">
        <v>2656</v>
      </c>
      <c r="N321" s="50" t="s">
        <v>2656</v>
      </c>
      <c r="O321" s="50" t="s">
        <v>2656</v>
      </c>
      <c r="P321" s="50" t="s">
        <v>2656</v>
      </c>
    </row>
    <row r="322" spans="1:16" ht="12.75" customHeight="1" x14ac:dyDescent="0.25">
      <c r="A322" s="311">
        <v>319</v>
      </c>
      <c r="B322" s="311" t="s">
        <v>69</v>
      </c>
      <c r="C322" s="311" t="s">
        <v>69</v>
      </c>
      <c r="D322" s="311" t="s">
        <v>69</v>
      </c>
      <c r="E322" s="337" t="s">
        <v>69</v>
      </c>
      <c r="F322" s="311" t="s">
        <v>287</v>
      </c>
      <c r="G322" s="311" t="s">
        <v>23</v>
      </c>
      <c r="H322" s="311" t="s">
        <v>393</v>
      </c>
      <c r="I322" s="311" t="s">
        <v>66</v>
      </c>
      <c r="J322" s="50" t="s">
        <v>1892</v>
      </c>
      <c r="K322" s="50" t="s">
        <v>1892</v>
      </c>
      <c r="L322" s="50" t="s">
        <v>1893</v>
      </c>
      <c r="M322" s="50" t="s">
        <v>2657</v>
      </c>
      <c r="N322" s="50" t="s">
        <v>2657</v>
      </c>
      <c r="O322" s="50" t="s">
        <v>2657</v>
      </c>
      <c r="P322" s="50" t="s">
        <v>2657</v>
      </c>
    </row>
    <row r="323" spans="1:16" ht="12.75" customHeight="1" x14ac:dyDescent="0.25">
      <c r="A323" s="311">
        <v>320</v>
      </c>
      <c r="B323" s="311" t="s">
        <v>84</v>
      </c>
      <c r="C323" s="311" t="s">
        <v>462</v>
      </c>
      <c r="D323" s="311" t="s">
        <v>462</v>
      </c>
      <c r="E323" s="337" t="s">
        <v>462</v>
      </c>
      <c r="F323" s="311" t="s">
        <v>287</v>
      </c>
      <c r="G323" s="311" t="s">
        <v>237</v>
      </c>
      <c r="H323" s="311" t="s">
        <v>393</v>
      </c>
      <c r="I323" s="311" t="s">
        <v>66</v>
      </c>
      <c r="J323" s="50" t="s">
        <v>1892</v>
      </c>
      <c r="K323" s="50" t="s">
        <v>1892</v>
      </c>
      <c r="L323" s="50" t="s">
        <v>1893</v>
      </c>
      <c r="M323" s="50" t="s">
        <v>2658</v>
      </c>
      <c r="N323" s="50" t="s">
        <v>2659</v>
      </c>
      <c r="O323" s="50" t="s">
        <v>2659</v>
      </c>
      <c r="P323" s="50" t="s">
        <v>2659</v>
      </c>
    </row>
    <row r="324" spans="1:16" ht="12.75" customHeight="1" x14ac:dyDescent="0.25">
      <c r="A324" s="311">
        <v>321</v>
      </c>
      <c r="B324" s="311" t="s">
        <v>123</v>
      </c>
      <c r="C324" s="311" t="s">
        <v>462</v>
      </c>
      <c r="D324" s="311" t="s">
        <v>462</v>
      </c>
      <c r="E324" s="337" t="s">
        <v>462</v>
      </c>
      <c r="F324" s="311" t="s">
        <v>287</v>
      </c>
      <c r="G324" s="311" t="s">
        <v>237</v>
      </c>
      <c r="H324" s="311" t="s">
        <v>393</v>
      </c>
      <c r="I324" s="311" t="s">
        <v>66</v>
      </c>
      <c r="J324" s="50" t="s">
        <v>1892</v>
      </c>
      <c r="K324" s="50" t="s">
        <v>1892</v>
      </c>
      <c r="L324" s="50" t="s">
        <v>1893</v>
      </c>
      <c r="M324" s="50" t="s">
        <v>2660</v>
      </c>
      <c r="N324" s="50" t="s">
        <v>2659</v>
      </c>
      <c r="O324" s="50" t="s">
        <v>2659</v>
      </c>
      <c r="P324" s="50" t="s">
        <v>2659</v>
      </c>
    </row>
    <row r="325" spans="1:16" ht="12.75" customHeight="1" x14ac:dyDescent="0.25">
      <c r="A325" s="311">
        <v>322</v>
      </c>
      <c r="B325" s="311" t="s">
        <v>75</v>
      </c>
      <c r="C325" s="311" t="s">
        <v>462</v>
      </c>
      <c r="D325" s="311" t="s">
        <v>462</v>
      </c>
      <c r="E325" s="337" t="s">
        <v>462</v>
      </c>
      <c r="F325" s="311" t="s">
        <v>287</v>
      </c>
      <c r="G325" s="311" t="s">
        <v>237</v>
      </c>
      <c r="H325" s="311" t="s">
        <v>393</v>
      </c>
      <c r="I325" s="311" t="s">
        <v>66</v>
      </c>
      <c r="J325" s="50" t="s">
        <v>1892</v>
      </c>
      <c r="K325" s="50" t="s">
        <v>1892</v>
      </c>
      <c r="L325" s="50" t="s">
        <v>1893</v>
      </c>
      <c r="M325" s="50" t="s">
        <v>2661</v>
      </c>
      <c r="N325" s="50" t="s">
        <v>2659</v>
      </c>
      <c r="O325" s="50" t="s">
        <v>2659</v>
      </c>
      <c r="P325" s="50" t="s">
        <v>2659</v>
      </c>
    </row>
    <row r="326" spans="1:16" ht="12.75" customHeight="1" x14ac:dyDescent="0.25">
      <c r="A326" s="311">
        <v>323</v>
      </c>
      <c r="B326" s="311" t="s">
        <v>63</v>
      </c>
      <c r="C326" s="311" t="s">
        <v>63</v>
      </c>
      <c r="D326" s="311" t="s">
        <v>462</v>
      </c>
      <c r="E326" s="337" t="s">
        <v>63</v>
      </c>
      <c r="F326" s="311" t="s">
        <v>287</v>
      </c>
      <c r="G326" s="311" t="s">
        <v>237</v>
      </c>
      <c r="H326" s="311" t="s">
        <v>393</v>
      </c>
      <c r="I326" s="311" t="s">
        <v>66</v>
      </c>
      <c r="J326" s="50" t="s">
        <v>1892</v>
      </c>
      <c r="K326" s="50" t="s">
        <v>1892</v>
      </c>
      <c r="L326" s="50" t="s">
        <v>1893</v>
      </c>
      <c r="M326" s="50" t="s">
        <v>2662</v>
      </c>
      <c r="N326" s="50" t="s">
        <v>2662</v>
      </c>
      <c r="O326" s="50" t="s">
        <v>2659</v>
      </c>
      <c r="P326" s="50" t="s">
        <v>2662</v>
      </c>
    </row>
    <row r="327" spans="1:16" ht="12.75" customHeight="1" x14ac:dyDescent="0.25">
      <c r="A327" s="311">
        <v>324</v>
      </c>
      <c r="B327" s="311" t="s">
        <v>140</v>
      </c>
      <c r="C327" s="311" t="s">
        <v>140</v>
      </c>
      <c r="D327" s="311" t="s">
        <v>462</v>
      </c>
      <c r="E327" s="337" t="s">
        <v>140</v>
      </c>
      <c r="F327" s="311" t="s">
        <v>287</v>
      </c>
      <c r="G327" s="311" t="s">
        <v>237</v>
      </c>
      <c r="H327" s="311" t="s">
        <v>393</v>
      </c>
      <c r="I327" s="311" t="s">
        <v>66</v>
      </c>
      <c r="J327" s="50" t="s">
        <v>1892</v>
      </c>
      <c r="K327" s="50" t="s">
        <v>1892</v>
      </c>
      <c r="L327" s="50" t="s">
        <v>1893</v>
      </c>
      <c r="M327" s="50" t="s">
        <v>2663</v>
      </c>
      <c r="N327" s="50" t="s">
        <v>2663</v>
      </c>
      <c r="O327" s="50" t="s">
        <v>2659</v>
      </c>
      <c r="P327" s="50" t="s">
        <v>2663</v>
      </c>
    </row>
    <row r="328" spans="1:16" ht="12.75" customHeight="1" x14ac:dyDescent="0.25">
      <c r="A328" s="311">
        <v>325</v>
      </c>
      <c r="B328" s="311" t="s">
        <v>121</v>
      </c>
      <c r="C328" s="311" t="s">
        <v>121</v>
      </c>
      <c r="D328" s="311" t="s">
        <v>462</v>
      </c>
      <c r="E328" s="337" t="s">
        <v>121</v>
      </c>
      <c r="F328" s="311" t="s">
        <v>287</v>
      </c>
      <c r="G328" s="311" t="s">
        <v>237</v>
      </c>
      <c r="H328" s="311" t="s">
        <v>393</v>
      </c>
      <c r="I328" s="311" t="s">
        <v>66</v>
      </c>
      <c r="J328" s="50" t="s">
        <v>1892</v>
      </c>
      <c r="K328" s="50" t="s">
        <v>1892</v>
      </c>
      <c r="L328" s="50" t="s">
        <v>1893</v>
      </c>
      <c r="M328" s="50" t="s">
        <v>2664</v>
      </c>
      <c r="N328" s="50" t="s">
        <v>2664</v>
      </c>
      <c r="O328" s="50" t="s">
        <v>2659</v>
      </c>
      <c r="P328" s="50" t="s">
        <v>2664</v>
      </c>
    </row>
    <row r="329" spans="1:16" ht="12.75" customHeight="1" x14ac:dyDescent="0.25">
      <c r="A329" s="311">
        <v>326</v>
      </c>
      <c r="B329" s="311" t="s">
        <v>87</v>
      </c>
      <c r="C329" s="311" t="s">
        <v>87</v>
      </c>
      <c r="D329" s="311" t="s">
        <v>462</v>
      </c>
      <c r="E329" s="337" t="s">
        <v>87</v>
      </c>
      <c r="F329" s="311" t="s">
        <v>287</v>
      </c>
      <c r="G329" s="311" t="s">
        <v>237</v>
      </c>
      <c r="H329" s="311" t="s">
        <v>393</v>
      </c>
      <c r="I329" s="311" t="s">
        <v>66</v>
      </c>
      <c r="J329" s="50" t="s">
        <v>1892</v>
      </c>
      <c r="K329" s="50" t="s">
        <v>1892</v>
      </c>
      <c r="L329" s="50" t="s">
        <v>1893</v>
      </c>
      <c r="M329" s="50" t="s">
        <v>2665</v>
      </c>
      <c r="N329" s="50" t="s">
        <v>2665</v>
      </c>
      <c r="O329" s="50" t="s">
        <v>2659</v>
      </c>
      <c r="P329" s="50" t="s">
        <v>2665</v>
      </c>
    </row>
    <row r="330" spans="1:16" ht="12.75" customHeight="1" x14ac:dyDescent="0.25">
      <c r="A330" s="311">
        <v>327</v>
      </c>
      <c r="B330" s="311" t="s">
        <v>125</v>
      </c>
      <c r="C330" s="311" t="s">
        <v>125</v>
      </c>
      <c r="D330" s="311" t="s">
        <v>125</v>
      </c>
      <c r="E330" s="337" t="s">
        <v>125</v>
      </c>
      <c r="F330" s="311" t="s">
        <v>287</v>
      </c>
      <c r="G330" s="311" t="s">
        <v>237</v>
      </c>
      <c r="H330" s="311" t="s">
        <v>393</v>
      </c>
      <c r="I330" s="311" t="s">
        <v>66</v>
      </c>
      <c r="J330" s="50" t="s">
        <v>1892</v>
      </c>
      <c r="K330" s="50" t="s">
        <v>1892</v>
      </c>
      <c r="L330" s="50" t="s">
        <v>1893</v>
      </c>
      <c r="M330" s="50" t="s">
        <v>2666</v>
      </c>
      <c r="N330" s="50" t="s">
        <v>2666</v>
      </c>
      <c r="O330" s="50" t="s">
        <v>2666</v>
      </c>
      <c r="P330" s="50" t="s">
        <v>2666</v>
      </c>
    </row>
    <row r="331" spans="1:16" ht="12.75" customHeight="1" x14ac:dyDescent="0.25">
      <c r="A331" s="311">
        <v>328</v>
      </c>
      <c r="B331" s="311" t="s">
        <v>134</v>
      </c>
      <c r="C331" s="311" t="s">
        <v>134</v>
      </c>
      <c r="D331" s="311" t="s">
        <v>134</v>
      </c>
      <c r="E331" s="337" t="s">
        <v>134</v>
      </c>
      <c r="F331" s="311" t="s">
        <v>287</v>
      </c>
      <c r="G331" s="311" t="s">
        <v>237</v>
      </c>
      <c r="H331" s="311" t="s">
        <v>393</v>
      </c>
      <c r="I331" s="311" t="s">
        <v>66</v>
      </c>
      <c r="J331" s="50" t="s">
        <v>1892</v>
      </c>
      <c r="K331" s="50" t="s">
        <v>1892</v>
      </c>
      <c r="L331" s="50" t="s">
        <v>1893</v>
      </c>
      <c r="M331" s="50" t="s">
        <v>2667</v>
      </c>
      <c r="N331" s="50" t="s">
        <v>2667</v>
      </c>
      <c r="O331" s="50" t="s">
        <v>2667</v>
      </c>
      <c r="P331" s="50" t="s">
        <v>2667</v>
      </c>
    </row>
    <row r="332" spans="1:16" ht="12.75" customHeight="1" x14ac:dyDescent="0.25">
      <c r="A332" s="311">
        <v>329</v>
      </c>
      <c r="B332" s="311" t="s">
        <v>141</v>
      </c>
      <c r="C332" s="311" t="s">
        <v>141</v>
      </c>
      <c r="D332" s="311" t="s">
        <v>141</v>
      </c>
      <c r="E332" s="337" t="s">
        <v>141</v>
      </c>
      <c r="F332" s="311" t="s">
        <v>287</v>
      </c>
      <c r="G332" s="311" t="s">
        <v>237</v>
      </c>
      <c r="H332" s="311" t="s">
        <v>393</v>
      </c>
      <c r="I332" s="311" t="s">
        <v>66</v>
      </c>
      <c r="J332" s="50" t="s">
        <v>1892</v>
      </c>
      <c r="K332" s="50" t="s">
        <v>1892</v>
      </c>
      <c r="L332" s="50" t="s">
        <v>1893</v>
      </c>
      <c r="M332" s="50" t="s">
        <v>2668</v>
      </c>
      <c r="N332" s="50" t="s">
        <v>2668</v>
      </c>
      <c r="O332" s="50" t="s">
        <v>2668</v>
      </c>
      <c r="P332" s="50" t="s">
        <v>2668</v>
      </c>
    </row>
    <row r="333" spans="1:16" ht="12.75" customHeight="1" x14ac:dyDescent="0.25">
      <c r="A333" s="311">
        <v>330</v>
      </c>
      <c r="B333" s="311" t="s">
        <v>69</v>
      </c>
      <c r="C333" s="311" t="s">
        <v>69</v>
      </c>
      <c r="D333" s="311" t="s">
        <v>69</v>
      </c>
      <c r="E333" s="337" t="s">
        <v>69</v>
      </c>
      <c r="F333" s="311" t="s">
        <v>287</v>
      </c>
      <c r="G333" s="311" t="s">
        <v>237</v>
      </c>
      <c r="H333" s="311" t="s">
        <v>393</v>
      </c>
      <c r="I333" s="311" t="s">
        <v>66</v>
      </c>
      <c r="J333" s="50" t="s">
        <v>1892</v>
      </c>
      <c r="K333" s="50" t="s">
        <v>1892</v>
      </c>
      <c r="L333" s="50" t="s">
        <v>1893</v>
      </c>
      <c r="M333" s="50" t="s">
        <v>2669</v>
      </c>
      <c r="N333" s="50" t="s">
        <v>2669</v>
      </c>
      <c r="O333" s="50" t="s">
        <v>2669</v>
      </c>
      <c r="P333" s="50" t="s">
        <v>2669</v>
      </c>
    </row>
    <row r="334" spans="1:16" ht="12.75" customHeight="1" x14ac:dyDescent="0.25">
      <c r="A334" s="311">
        <v>331</v>
      </c>
      <c r="B334" s="311" t="s">
        <v>84</v>
      </c>
      <c r="C334" s="311" t="s">
        <v>462</v>
      </c>
      <c r="D334" s="311" t="s">
        <v>462</v>
      </c>
      <c r="E334" s="337" t="s">
        <v>462</v>
      </c>
      <c r="F334" s="311" t="s">
        <v>278</v>
      </c>
      <c r="G334" s="311" t="s">
        <v>236</v>
      </c>
      <c r="H334" s="311" t="s">
        <v>393</v>
      </c>
      <c r="I334" s="311" t="s">
        <v>66</v>
      </c>
      <c r="J334" s="50" t="s">
        <v>1892</v>
      </c>
      <c r="K334" s="50" t="s">
        <v>1892</v>
      </c>
      <c r="L334" s="50" t="s">
        <v>1893</v>
      </c>
      <c r="M334" s="50" t="s">
        <v>2670</v>
      </c>
      <c r="N334" s="50" t="s">
        <v>2671</v>
      </c>
      <c r="O334" s="50" t="s">
        <v>2671</v>
      </c>
      <c r="P334" s="50" t="s">
        <v>2671</v>
      </c>
    </row>
    <row r="335" spans="1:16" ht="12.75" customHeight="1" x14ac:dyDescent="0.25">
      <c r="A335" s="311">
        <v>332</v>
      </c>
      <c r="B335" s="311" t="s">
        <v>123</v>
      </c>
      <c r="C335" s="311" t="s">
        <v>462</v>
      </c>
      <c r="D335" s="311" t="s">
        <v>462</v>
      </c>
      <c r="E335" s="337" t="s">
        <v>462</v>
      </c>
      <c r="F335" s="311" t="s">
        <v>278</v>
      </c>
      <c r="G335" s="311" t="s">
        <v>236</v>
      </c>
      <c r="H335" s="311" t="s">
        <v>393</v>
      </c>
      <c r="I335" s="311" t="s">
        <v>66</v>
      </c>
      <c r="J335" s="50" t="s">
        <v>1892</v>
      </c>
      <c r="K335" s="50" t="s">
        <v>1892</v>
      </c>
      <c r="L335" s="50" t="s">
        <v>1893</v>
      </c>
      <c r="M335" s="50" t="s">
        <v>2672</v>
      </c>
      <c r="N335" s="50" t="s">
        <v>2671</v>
      </c>
      <c r="O335" s="50" t="s">
        <v>2671</v>
      </c>
      <c r="P335" s="50" t="s">
        <v>2671</v>
      </c>
    </row>
    <row r="336" spans="1:16" ht="12.75" customHeight="1" x14ac:dyDescent="0.25">
      <c r="A336" s="311">
        <v>333</v>
      </c>
      <c r="B336" s="311" t="s">
        <v>75</v>
      </c>
      <c r="C336" s="311" t="s">
        <v>462</v>
      </c>
      <c r="D336" s="311" t="s">
        <v>462</v>
      </c>
      <c r="E336" s="337" t="s">
        <v>462</v>
      </c>
      <c r="F336" s="311" t="s">
        <v>278</v>
      </c>
      <c r="G336" s="311" t="s">
        <v>236</v>
      </c>
      <c r="H336" s="311" t="s">
        <v>393</v>
      </c>
      <c r="I336" s="311" t="s">
        <v>66</v>
      </c>
      <c r="J336" s="50" t="s">
        <v>1892</v>
      </c>
      <c r="K336" s="50" t="s">
        <v>1892</v>
      </c>
      <c r="L336" s="50" t="s">
        <v>1893</v>
      </c>
      <c r="M336" s="50" t="s">
        <v>2673</v>
      </c>
      <c r="N336" s="50" t="s">
        <v>2671</v>
      </c>
      <c r="O336" s="50" t="s">
        <v>2671</v>
      </c>
      <c r="P336" s="50" t="s">
        <v>2671</v>
      </c>
    </row>
    <row r="337" spans="1:16" ht="12.75" customHeight="1" x14ac:dyDescent="0.25">
      <c r="A337" s="311">
        <v>334</v>
      </c>
      <c r="B337" s="311" t="s">
        <v>63</v>
      </c>
      <c r="C337" s="311" t="s">
        <v>63</v>
      </c>
      <c r="D337" s="311" t="s">
        <v>462</v>
      </c>
      <c r="E337" s="337" t="s">
        <v>63</v>
      </c>
      <c r="F337" s="311" t="s">
        <v>278</v>
      </c>
      <c r="G337" s="311" t="s">
        <v>236</v>
      </c>
      <c r="H337" s="311" t="s">
        <v>393</v>
      </c>
      <c r="I337" s="311" t="s">
        <v>66</v>
      </c>
      <c r="J337" s="50" t="s">
        <v>1892</v>
      </c>
      <c r="K337" s="50" t="s">
        <v>1892</v>
      </c>
      <c r="L337" s="50" t="s">
        <v>1893</v>
      </c>
      <c r="M337" s="50" t="s">
        <v>2674</v>
      </c>
      <c r="N337" s="50" t="s">
        <v>2674</v>
      </c>
      <c r="O337" s="50" t="s">
        <v>2671</v>
      </c>
      <c r="P337" s="50" t="s">
        <v>2674</v>
      </c>
    </row>
    <row r="338" spans="1:16" ht="12.75" customHeight="1" x14ac:dyDescent="0.25">
      <c r="A338" s="311">
        <v>335</v>
      </c>
      <c r="B338" s="311" t="s">
        <v>140</v>
      </c>
      <c r="C338" s="311" t="s">
        <v>140</v>
      </c>
      <c r="D338" s="311" t="s">
        <v>462</v>
      </c>
      <c r="E338" s="337" t="s">
        <v>140</v>
      </c>
      <c r="F338" s="311" t="s">
        <v>278</v>
      </c>
      <c r="G338" s="311" t="s">
        <v>236</v>
      </c>
      <c r="H338" s="311" t="s">
        <v>393</v>
      </c>
      <c r="I338" s="311" t="s">
        <v>66</v>
      </c>
      <c r="J338" s="50" t="s">
        <v>1892</v>
      </c>
      <c r="K338" s="50" t="s">
        <v>1892</v>
      </c>
      <c r="L338" s="50" t="s">
        <v>1893</v>
      </c>
      <c r="M338" s="50" t="s">
        <v>2675</v>
      </c>
      <c r="N338" s="50" t="s">
        <v>2675</v>
      </c>
      <c r="O338" s="50" t="s">
        <v>2671</v>
      </c>
      <c r="P338" s="50" t="s">
        <v>2675</v>
      </c>
    </row>
    <row r="339" spans="1:16" ht="12.75" customHeight="1" x14ac:dyDescent="0.25">
      <c r="A339" s="311">
        <v>336</v>
      </c>
      <c r="B339" s="311" t="s">
        <v>121</v>
      </c>
      <c r="C339" s="311" t="s">
        <v>121</v>
      </c>
      <c r="D339" s="311" t="s">
        <v>462</v>
      </c>
      <c r="E339" s="337" t="s">
        <v>121</v>
      </c>
      <c r="F339" s="311" t="s">
        <v>278</v>
      </c>
      <c r="G339" s="311" t="s">
        <v>236</v>
      </c>
      <c r="H339" s="311" t="s">
        <v>393</v>
      </c>
      <c r="I339" s="311" t="s">
        <v>66</v>
      </c>
      <c r="J339" s="50" t="s">
        <v>1892</v>
      </c>
      <c r="K339" s="50" t="s">
        <v>1892</v>
      </c>
      <c r="L339" s="50" t="s">
        <v>1893</v>
      </c>
      <c r="M339" s="50" t="s">
        <v>2676</v>
      </c>
      <c r="N339" s="50" t="s">
        <v>2676</v>
      </c>
      <c r="O339" s="50" t="s">
        <v>2671</v>
      </c>
      <c r="P339" s="50" t="s">
        <v>2676</v>
      </c>
    </row>
    <row r="340" spans="1:16" ht="12.75" customHeight="1" x14ac:dyDescent="0.25">
      <c r="A340" s="311">
        <v>337</v>
      </c>
      <c r="B340" s="311" t="s">
        <v>87</v>
      </c>
      <c r="C340" s="311" t="s">
        <v>87</v>
      </c>
      <c r="D340" s="311" t="s">
        <v>462</v>
      </c>
      <c r="E340" s="337" t="s">
        <v>87</v>
      </c>
      <c r="F340" s="311" t="s">
        <v>278</v>
      </c>
      <c r="G340" s="311" t="s">
        <v>236</v>
      </c>
      <c r="H340" s="311" t="s">
        <v>393</v>
      </c>
      <c r="I340" s="311" t="s">
        <v>66</v>
      </c>
      <c r="J340" s="50" t="s">
        <v>1892</v>
      </c>
      <c r="K340" s="50" t="s">
        <v>1892</v>
      </c>
      <c r="L340" s="50" t="s">
        <v>1893</v>
      </c>
      <c r="M340" s="50" t="s">
        <v>2677</v>
      </c>
      <c r="N340" s="50" t="s">
        <v>2677</v>
      </c>
      <c r="O340" s="50" t="s">
        <v>2671</v>
      </c>
      <c r="P340" s="50" t="s">
        <v>2677</v>
      </c>
    </row>
    <row r="341" spans="1:16" ht="12.75" customHeight="1" x14ac:dyDescent="0.25">
      <c r="A341" s="311">
        <v>338</v>
      </c>
      <c r="B341" s="311" t="s">
        <v>125</v>
      </c>
      <c r="C341" s="311" t="s">
        <v>125</v>
      </c>
      <c r="D341" s="311" t="s">
        <v>125</v>
      </c>
      <c r="E341" s="337" t="s">
        <v>125</v>
      </c>
      <c r="F341" s="311" t="s">
        <v>278</v>
      </c>
      <c r="G341" s="311" t="s">
        <v>236</v>
      </c>
      <c r="H341" s="311" t="s">
        <v>393</v>
      </c>
      <c r="I341" s="311" t="s">
        <v>66</v>
      </c>
      <c r="J341" s="50" t="s">
        <v>1892</v>
      </c>
      <c r="K341" s="50" t="s">
        <v>1892</v>
      </c>
      <c r="L341" s="50" t="s">
        <v>1893</v>
      </c>
      <c r="M341" s="50" t="s">
        <v>2678</v>
      </c>
      <c r="N341" s="50" t="s">
        <v>2678</v>
      </c>
      <c r="O341" s="50" t="s">
        <v>2678</v>
      </c>
      <c r="P341" s="50" t="s">
        <v>2678</v>
      </c>
    </row>
    <row r="342" spans="1:16" ht="12.75" customHeight="1" x14ac:dyDescent="0.25">
      <c r="A342" s="311">
        <v>339</v>
      </c>
      <c r="B342" s="311" t="s">
        <v>134</v>
      </c>
      <c r="C342" s="311" t="s">
        <v>134</v>
      </c>
      <c r="D342" s="311" t="s">
        <v>134</v>
      </c>
      <c r="E342" s="337" t="s">
        <v>134</v>
      </c>
      <c r="F342" s="311" t="s">
        <v>278</v>
      </c>
      <c r="G342" s="311" t="s">
        <v>236</v>
      </c>
      <c r="H342" s="311" t="s">
        <v>393</v>
      </c>
      <c r="I342" s="311" t="s">
        <v>66</v>
      </c>
      <c r="J342" s="50" t="s">
        <v>1892</v>
      </c>
      <c r="K342" s="50" t="s">
        <v>1892</v>
      </c>
      <c r="L342" s="50" t="s">
        <v>1893</v>
      </c>
      <c r="M342" s="50" t="s">
        <v>2679</v>
      </c>
      <c r="N342" s="50" t="s">
        <v>2679</v>
      </c>
      <c r="O342" s="50" t="s">
        <v>2679</v>
      </c>
      <c r="P342" s="50" t="s">
        <v>2679</v>
      </c>
    </row>
    <row r="343" spans="1:16" ht="12.75" customHeight="1" x14ac:dyDescent="0.25">
      <c r="A343" s="311">
        <v>340</v>
      </c>
      <c r="B343" s="311" t="s">
        <v>141</v>
      </c>
      <c r="C343" s="311" t="s">
        <v>141</v>
      </c>
      <c r="D343" s="311" t="s">
        <v>141</v>
      </c>
      <c r="E343" s="337" t="s">
        <v>141</v>
      </c>
      <c r="F343" s="311" t="s">
        <v>278</v>
      </c>
      <c r="G343" s="311" t="s">
        <v>236</v>
      </c>
      <c r="H343" s="311" t="s">
        <v>393</v>
      </c>
      <c r="I343" s="311" t="s">
        <v>66</v>
      </c>
      <c r="J343" s="50" t="s">
        <v>1892</v>
      </c>
      <c r="K343" s="50" t="s">
        <v>1892</v>
      </c>
      <c r="L343" s="50" t="s">
        <v>1893</v>
      </c>
      <c r="M343" s="50" t="s">
        <v>2680</v>
      </c>
      <c r="N343" s="50" t="s">
        <v>2680</v>
      </c>
      <c r="O343" s="50" t="s">
        <v>2680</v>
      </c>
      <c r="P343" s="50" t="s">
        <v>2680</v>
      </c>
    </row>
    <row r="344" spans="1:16" ht="12.75" customHeight="1" x14ac:dyDescent="0.25">
      <c r="A344" s="311">
        <v>341</v>
      </c>
      <c r="B344" s="311" t="s">
        <v>69</v>
      </c>
      <c r="C344" s="311" t="s">
        <v>69</v>
      </c>
      <c r="D344" s="311" t="s">
        <v>69</v>
      </c>
      <c r="E344" s="337" t="s">
        <v>69</v>
      </c>
      <c r="F344" s="311" t="s">
        <v>278</v>
      </c>
      <c r="G344" s="311" t="s">
        <v>236</v>
      </c>
      <c r="H344" s="311" t="s">
        <v>393</v>
      </c>
      <c r="I344" s="311" t="s">
        <v>66</v>
      </c>
      <c r="J344" s="50" t="s">
        <v>1892</v>
      </c>
      <c r="K344" s="50" t="s">
        <v>1892</v>
      </c>
      <c r="L344" s="50" t="s">
        <v>1893</v>
      </c>
      <c r="M344" s="50" t="s">
        <v>2681</v>
      </c>
      <c r="N344" s="50" t="s">
        <v>2681</v>
      </c>
      <c r="O344" s="50" t="s">
        <v>2681</v>
      </c>
      <c r="P344" s="50" t="s">
        <v>2681</v>
      </c>
    </row>
    <row r="345" spans="1:16" ht="12.75" customHeight="1" x14ac:dyDescent="0.25">
      <c r="A345" s="311">
        <v>342</v>
      </c>
      <c r="B345" s="311" t="s">
        <v>84</v>
      </c>
      <c r="C345" s="311" t="s">
        <v>462</v>
      </c>
      <c r="D345" s="311" t="s">
        <v>462</v>
      </c>
      <c r="E345" s="337" t="s">
        <v>462</v>
      </c>
      <c r="F345" s="311" t="s">
        <v>278</v>
      </c>
      <c r="G345" s="311" t="s">
        <v>23</v>
      </c>
      <c r="H345" s="311" t="s">
        <v>393</v>
      </c>
      <c r="I345" s="311" t="s">
        <v>66</v>
      </c>
      <c r="J345" s="50" t="s">
        <v>1892</v>
      </c>
      <c r="K345" s="50" t="s">
        <v>1892</v>
      </c>
      <c r="L345" s="50" t="s">
        <v>1893</v>
      </c>
      <c r="M345" s="50" t="s">
        <v>2682</v>
      </c>
      <c r="N345" s="50" t="s">
        <v>2683</v>
      </c>
      <c r="O345" s="50" t="s">
        <v>2683</v>
      </c>
      <c r="P345" s="50" t="s">
        <v>2683</v>
      </c>
    </row>
    <row r="346" spans="1:16" ht="12.75" customHeight="1" x14ac:dyDescent="0.25">
      <c r="A346" s="311">
        <v>343</v>
      </c>
      <c r="B346" s="311" t="s">
        <v>123</v>
      </c>
      <c r="C346" s="311" t="s">
        <v>462</v>
      </c>
      <c r="D346" s="311" t="s">
        <v>462</v>
      </c>
      <c r="E346" s="337" t="s">
        <v>462</v>
      </c>
      <c r="F346" s="311" t="s">
        <v>278</v>
      </c>
      <c r="G346" s="311" t="s">
        <v>23</v>
      </c>
      <c r="H346" s="311" t="s">
        <v>393</v>
      </c>
      <c r="I346" s="311" t="s">
        <v>66</v>
      </c>
      <c r="J346" s="50" t="s">
        <v>1892</v>
      </c>
      <c r="K346" s="50" t="s">
        <v>1892</v>
      </c>
      <c r="L346" s="50" t="s">
        <v>1893</v>
      </c>
      <c r="M346" s="50" t="s">
        <v>2684</v>
      </c>
      <c r="N346" s="50" t="s">
        <v>2683</v>
      </c>
      <c r="O346" s="50" t="s">
        <v>2683</v>
      </c>
      <c r="P346" s="50" t="s">
        <v>2683</v>
      </c>
    </row>
    <row r="347" spans="1:16" ht="12.75" customHeight="1" x14ac:dyDescent="0.25">
      <c r="A347" s="311">
        <v>344</v>
      </c>
      <c r="B347" s="311" t="s">
        <v>75</v>
      </c>
      <c r="C347" s="311" t="s">
        <v>462</v>
      </c>
      <c r="D347" s="311" t="s">
        <v>462</v>
      </c>
      <c r="E347" s="337" t="s">
        <v>462</v>
      </c>
      <c r="F347" s="311" t="s">
        <v>278</v>
      </c>
      <c r="G347" s="311" t="s">
        <v>23</v>
      </c>
      <c r="H347" s="311" t="s">
        <v>393</v>
      </c>
      <c r="I347" s="311" t="s">
        <v>66</v>
      </c>
      <c r="J347" s="50" t="s">
        <v>1892</v>
      </c>
      <c r="K347" s="50" t="s">
        <v>1892</v>
      </c>
      <c r="L347" s="50" t="s">
        <v>1893</v>
      </c>
      <c r="M347" s="50" t="s">
        <v>2685</v>
      </c>
      <c r="N347" s="50" t="s">
        <v>2683</v>
      </c>
      <c r="O347" s="50" t="s">
        <v>2683</v>
      </c>
      <c r="P347" s="50" t="s">
        <v>2683</v>
      </c>
    </row>
    <row r="348" spans="1:16" ht="12.75" customHeight="1" x14ac:dyDescent="0.25">
      <c r="A348" s="311">
        <v>345</v>
      </c>
      <c r="B348" s="311" t="s">
        <v>63</v>
      </c>
      <c r="C348" s="311" t="s">
        <v>63</v>
      </c>
      <c r="D348" s="311" t="s">
        <v>462</v>
      </c>
      <c r="E348" s="337" t="s">
        <v>63</v>
      </c>
      <c r="F348" s="311" t="s">
        <v>278</v>
      </c>
      <c r="G348" s="311" t="s">
        <v>23</v>
      </c>
      <c r="H348" s="311" t="s">
        <v>393</v>
      </c>
      <c r="I348" s="311" t="s">
        <v>66</v>
      </c>
      <c r="J348" s="50" t="s">
        <v>1892</v>
      </c>
      <c r="K348" s="50" t="s">
        <v>1892</v>
      </c>
      <c r="L348" s="50" t="s">
        <v>1893</v>
      </c>
      <c r="M348" s="50" t="s">
        <v>2686</v>
      </c>
      <c r="N348" s="50" t="s">
        <v>2686</v>
      </c>
      <c r="O348" s="50" t="s">
        <v>2683</v>
      </c>
      <c r="P348" s="50" t="s">
        <v>2686</v>
      </c>
    </row>
    <row r="349" spans="1:16" ht="12.75" customHeight="1" x14ac:dyDescent="0.25">
      <c r="A349" s="311">
        <v>346</v>
      </c>
      <c r="B349" s="311" t="s">
        <v>140</v>
      </c>
      <c r="C349" s="311" t="s">
        <v>140</v>
      </c>
      <c r="D349" s="311" t="s">
        <v>462</v>
      </c>
      <c r="E349" s="337" t="s">
        <v>140</v>
      </c>
      <c r="F349" s="311" t="s">
        <v>278</v>
      </c>
      <c r="G349" s="311" t="s">
        <v>23</v>
      </c>
      <c r="H349" s="311" t="s">
        <v>393</v>
      </c>
      <c r="I349" s="311" t="s">
        <v>66</v>
      </c>
      <c r="J349" s="50" t="s">
        <v>1892</v>
      </c>
      <c r="K349" s="50" t="s">
        <v>1892</v>
      </c>
      <c r="L349" s="50" t="s">
        <v>1893</v>
      </c>
      <c r="M349" s="50" t="s">
        <v>2687</v>
      </c>
      <c r="N349" s="50" t="s">
        <v>2687</v>
      </c>
      <c r="O349" s="50" t="s">
        <v>2683</v>
      </c>
      <c r="P349" s="50" t="s">
        <v>2687</v>
      </c>
    </row>
    <row r="350" spans="1:16" ht="12.75" customHeight="1" x14ac:dyDescent="0.25">
      <c r="A350" s="311">
        <v>347</v>
      </c>
      <c r="B350" s="311" t="s">
        <v>121</v>
      </c>
      <c r="C350" s="311" t="s">
        <v>121</v>
      </c>
      <c r="D350" s="311" t="s">
        <v>462</v>
      </c>
      <c r="E350" s="337" t="s">
        <v>121</v>
      </c>
      <c r="F350" s="311" t="s">
        <v>278</v>
      </c>
      <c r="G350" s="311" t="s">
        <v>23</v>
      </c>
      <c r="H350" s="311" t="s">
        <v>393</v>
      </c>
      <c r="I350" s="311" t="s">
        <v>66</v>
      </c>
      <c r="J350" s="50" t="s">
        <v>1892</v>
      </c>
      <c r="K350" s="50" t="s">
        <v>1892</v>
      </c>
      <c r="L350" s="50" t="s">
        <v>1893</v>
      </c>
      <c r="M350" s="50" t="s">
        <v>2688</v>
      </c>
      <c r="N350" s="50" t="s">
        <v>2688</v>
      </c>
      <c r="O350" s="50" t="s">
        <v>2683</v>
      </c>
      <c r="P350" s="50" t="s">
        <v>2688</v>
      </c>
    </row>
    <row r="351" spans="1:16" ht="12.75" customHeight="1" x14ac:dyDescent="0.25">
      <c r="A351" s="311">
        <v>348</v>
      </c>
      <c r="B351" s="311" t="s">
        <v>87</v>
      </c>
      <c r="C351" s="311" t="s">
        <v>87</v>
      </c>
      <c r="D351" s="311" t="s">
        <v>462</v>
      </c>
      <c r="E351" s="337" t="s">
        <v>87</v>
      </c>
      <c r="F351" s="311" t="s">
        <v>278</v>
      </c>
      <c r="G351" s="311" t="s">
        <v>23</v>
      </c>
      <c r="H351" s="311" t="s">
        <v>393</v>
      </c>
      <c r="I351" s="311" t="s">
        <v>66</v>
      </c>
      <c r="J351" s="50" t="s">
        <v>1892</v>
      </c>
      <c r="K351" s="50" t="s">
        <v>1892</v>
      </c>
      <c r="L351" s="50" t="s">
        <v>1893</v>
      </c>
      <c r="M351" s="50" t="s">
        <v>2689</v>
      </c>
      <c r="N351" s="50" t="s">
        <v>2689</v>
      </c>
      <c r="O351" s="50" t="s">
        <v>2683</v>
      </c>
      <c r="P351" s="50" t="s">
        <v>2689</v>
      </c>
    </row>
    <row r="352" spans="1:16" ht="12.75" customHeight="1" x14ac:dyDescent="0.25">
      <c r="A352" s="311">
        <v>349</v>
      </c>
      <c r="B352" s="311" t="s">
        <v>125</v>
      </c>
      <c r="C352" s="311" t="s">
        <v>125</v>
      </c>
      <c r="D352" s="311" t="s">
        <v>125</v>
      </c>
      <c r="E352" s="337" t="s">
        <v>125</v>
      </c>
      <c r="F352" s="311" t="s">
        <v>278</v>
      </c>
      <c r="G352" s="311" t="s">
        <v>23</v>
      </c>
      <c r="H352" s="311" t="s">
        <v>393</v>
      </c>
      <c r="I352" s="311" t="s">
        <v>66</v>
      </c>
      <c r="J352" s="50" t="s">
        <v>1892</v>
      </c>
      <c r="K352" s="50" t="s">
        <v>1892</v>
      </c>
      <c r="L352" s="50" t="s">
        <v>1893</v>
      </c>
      <c r="M352" s="50" t="s">
        <v>2690</v>
      </c>
      <c r="N352" s="50" t="s">
        <v>2690</v>
      </c>
      <c r="O352" s="50" t="s">
        <v>2690</v>
      </c>
      <c r="P352" s="50" t="s">
        <v>2690</v>
      </c>
    </row>
    <row r="353" spans="1:16" ht="12.75" customHeight="1" x14ac:dyDescent="0.25">
      <c r="A353" s="311">
        <v>350</v>
      </c>
      <c r="B353" s="311" t="s">
        <v>134</v>
      </c>
      <c r="C353" s="311" t="s">
        <v>134</v>
      </c>
      <c r="D353" s="311" t="s">
        <v>134</v>
      </c>
      <c r="E353" s="337" t="s">
        <v>134</v>
      </c>
      <c r="F353" s="311" t="s">
        <v>278</v>
      </c>
      <c r="G353" s="311" t="s">
        <v>23</v>
      </c>
      <c r="H353" s="311" t="s">
        <v>393</v>
      </c>
      <c r="I353" s="311" t="s">
        <v>66</v>
      </c>
      <c r="J353" s="50" t="s">
        <v>1892</v>
      </c>
      <c r="K353" s="50" t="s">
        <v>1892</v>
      </c>
      <c r="L353" s="50" t="s">
        <v>1893</v>
      </c>
      <c r="M353" s="50" t="s">
        <v>2691</v>
      </c>
      <c r="N353" s="50" t="s">
        <v>2691</v>
      </c>
      <c r="O353" s="50" t="s">
        <v>2691</v>
      </c>
      <c r="P353" s="50" t="s">
        <v>2691</v>
      </c>
    </row>
    <row r="354" spans="1:16" ht="12.75" customHeight="1" x14ac:dyDescent="0.25">
      <c r="A354" s="311">
        <v>351</v>
      </c>
      <c r="B354" s="311" t="s">
        <v>141</v>
      </c>
      <c r="C354" s="311" t="s">
        <v>141</v>
      </c>
      <c r="D354" s="311" t="s">
        <v>141</v>
      </c>
      <c r="E354" s="337" t="s">
        <v>141</v>
      </c>
      <c r="F354" s="311" t="s">
        <v>278</v>
      </c>
      <c r="G354" s="311" t="s">
        <v>23</v>
      </c>
      <c r="H354" s="311" t="s">
        <v>393</v>
      </c>
      <c r="I354" s="311" t="s">
        <v>66</v>
      </c>
      <c r="J354" s="50" t="s">
        <v>1892</v>
      </c>
      <c r="K354" s="50" t="s">
        <v>1892</v>
      </c>
      <c r="L354" s="50" t="s">
        <v>1893</v>
      </c>
      <c r="M354" s="50" t="s">
        <v>2692</v>
      </c>
      <c r="N354" s="50" t="s">
        <v>2692</v>
      </c>
      <c r="O354" s="50" t="s">
        <v>2692</v>
      </c>
      <c r="P354" s="50" t="s">
        <v>2692</v>
      </c>
    </row>
    <row r="355" spans="1:16" ht="12.75" customHeight="1" x14ac:dyDescent="0.25">
      <c r="A355" s="311">
        <v>352</v>
      </c>
      <c r="B355" s="311" t="s">
        <v>69</v>
      </c>
      <c r="C355" s="311" t="s">
        <v>69</v>
      </c>
      <c r="D355" s="311" t="s">
        <v>69</v>
      </c>
      <c r="E355" s="337" t="s">
        <v>69</v>
      </c>
      <c r="F355" s="311" t="s">
        <v>278</v>
      </c>
      <c r="G355" s="311" t="s">
        <v>23</v>
      </c>
      <c r="H355" s="311" t="s">
        <v>393</v>
      </c>
      <c r="I355" s="311" t="s">
        <v>66</v>
      </c>
      <c r="J355" s="50" t="s">
        <v>1892</v>
      </c>
      <c r="K355" s="50" t="s">
        <v>1892</v>
      </c>
      <c r="L355" s="50" t="s">
        <v>1893</v>
      </c>
      <c r="M355" s="50" t="s">
        <v>2693</v>
      </c>
      <c r="N355" s="50" t="s">
        <v>2693</v>
      </c>
      <c r="O355" s="50" t="s">
        <v>2693</v>
      </c>
      <c r="P355" s="50" t="s">
        <v>2693</v>
      </c>
    </row>
    <row r="356" spans="1:16" ht="12.75" customHeight="1" x14ac:dyDescent="0.25">
      <c r="A356" s="311">
        <v>353</v>
      </c>
      <c r="B356" s="311" t="s">
        <v>84</v>
      </c>
      <c r="C356" s="311" t="s">
        <v>462</v>
      </c>
      <c r="D356" s="311" t="s">
        <v>462</v>
      </c>
      <c r="E356" s="337" t="s">
        <v>462</v>
      </c>
      <c r="F356" s="311" t="s">
        <v>278</v>
      </c>
      <c r="G356" s="311" t="s">
        <v>237</v>
      </c>
      <c r="H356" s="311" t="s">
        <v>393</v>
      </c>
      <c r="I356" s="311" t="s">
        <v>66</v>
      </c>
      <c r="J356" s="50" t="s">
        <v>1892</v>
      </c>
      <c r="K356" s="50" t="s">
        <v>1892</v>
      </c>
      <c r="L356" s="50" t="s">
        <v>1893</v>
      </c>
      <c r="M356" s="50" t="s">
        <v>2694</v>
      </c>
      <c r="N356" s="50" t="s">
        <v>2695</v>
      </c>
      <c r="O356" s="50" t="s">
        <v>2695</v>
      </c>
      <c r="P356" s="50" t="s">
        <v>2695</v>
      </c>
    </row>
    <row r="357" spans="1:16" ht="12.75" customHeight="1" x14ac:dyDescent="0.25">
      <c r="A357" s="311">
        <v>354</v>
      </c>
      <c r="B357" s="311" t="s">
        <v>123</v>
      </c>
      <c r="C357" s="311" t="s">
        <v>462</v>
      </c>
      <c r="D357" s="311" t="s">
        <v>462</v>
      </c>
      <c r="E357" s="337" t="s">
        <v>462</v>
      </c>
      <c r="F357" s="311" t="s">
        <v>278</v>
      </c>
      <c r="G357" s="311" t="s">
        <v>237</v>
      </c>
      <c r="H357" s="311" t="s">
        <v>393</v>
      </c>
      <c r="I357" s="311" t="s">
        <v>66</v>
      </c>
      <c r="J357" s="50" t="s">
        <v>1892</v>
      </c>
      <c r="K357" s="50" t="s">
        <v>1892</v>
      </c>
      <c r="L357" s="50" t="s">
        <v>1893</v>
      </c>
      <c r="M357" s="50" t="s">
        <v>2696</v>
      </c>
      <c r="N357" s="50" t="s">
        <v>2695</v>
      </c>
      <c r="O357" s="50" t="s">
        <v>2695</v>
      </c>
      <c r="P357" s="50" t="s">
        <v>2695</v>
      </c>
    </row>
    <row r="358" spans="1:16" ht="12.75" customHeight="1" x14ac:dyDescent="0.25">
      <c r="A358" s="311">
        <v>355</v>
      </c>
      <c r="B358" s="311" t="s">
        <v>75</v>
      </c>
      <c r="C358" s="311" t="s">
        <v>462</v>
      </c>
      <c r="D358" s="311" t="s">
        <v>462</v>
      </c>
      <c r="E358" s="337" t="s">
        <v>462</v>
      </c>
      <c r="F358" s="311" t="s">
        <v>278</v>
      </c>
      <c r="G358" s="311" t="s">
        <v>237</v>
      </c>
      <c r="H358" s="311" t="s">
        <v>393</v>
      </c>
      <c r="I358" s="311" t="s">
        <v>66</v>
      </c>
      <c r="J358" s="50" t="s">
        <v>1892</v>
      </c>
      <c r="K358" s="50" t="s">
        <v>1892</v>
      </c>
      <c r="L358" s="50" t="s">
        <v>1893</v>
      </c>
      <c r="M358" s="50" t="s">
        <v>2697</v>
      </c>
      <c r="N358" s="50" t="s">
        <v>2695</v>
      </c>
      <c r="O358" s="50" t="s">
        <v>2695</v>
      </c>
      <c r="P358" s="50" t="s">
        <v>2695</v>
      </c>
    </row>
    <row r="359" spans="1:16" ht="12.75" customHeight="1" x14ac:dyDescent="0.25">
      <c r="A359" s="311">
        <v>356</v>
      </c>
      <c r="B359" s="311" t="s">
        <v>63</v>
      </c>
      <c r="C359" s="311" t="s">
        <v>63</v>
      </c>
      <c r="D359" s="311" t="s">
        <v>462</v>
      </c>
      <c r="E359" s="337" t="s">
        <v>63</v>
      </c>
      <c r="F359" s="311" t="s">
        <v>278</v>
      </c>
      <c r="G359" s="311" t="s">
        <v>237</v>
      </c>
      <c r="H359" s="311" t="s">
        <v>393</v>
      </c>
      <c r="I359" s="311" t="s">
        <v>66</v>
      </c>
      <c r="J359" s="50" t="s">
        <v>1892</v>
      </c>
      <c r="K359" s="50" t="s">
        <v>1892</v>
      </c>
      <c r="L359" s="50" t="s">
        <v>1893</v>
      </c>
      <c r="M359" s="50" t="s">
        <v>2698</v>
      </c>
      <c r="N359" s="50" t="s">
        <v>2698</v>
      </c>
      <c r="O359" s="50" t="s">
        <v>2695</v>
      </c>
      <c r="P359" s="50" t="s">
        <v>2698</v>
      </c>
    </row>
    <row r="360" spans="1:16" ht="12.75" customHeight="1" x14ac:dyDescent="0.25">
      <c r="A360" s="311">
        <v>357</v>
      </c>
      <c r="B360" s="311" t="s">
        <v>140</v>
      </c>
      <c r="C360" s="311" t="s">
        <v>140</v>
      </c>
      <c r="D360" s="311" t="s">
        <v>462</v>
      </c>
      <c r="E360" s="337" t="s">
        <v>140</v>
      </c>
      <c r="F360" s="311" t="s">
        <v>278</v>
      </c>
      <c r="G360" s="311" t="s">
        <v>237</v>
      </c>
      <c r="H360" s="311" t="s">
        <v>393</v>
      </c>
      <c r="I360" s="311" t="s">
        <v>66</v>
      </c>
      <c r="J360" s="50" t="s">
        <v>1892</v>
      </c>
      <c r="K360" s="50" t="s">
        <v>1892</v>
      </c>
      <c r="L360" s="50" t="s">
        <v>1893</v>
      </c>
      <c r="M360" s="50" t="s">
        <v>2699</v>
      </c>
      <c r="N360" s="50" t="s">
        <v>2699</v>
      </c>
      <c r="O360" s="50" t="s">
        <v>2695</v>
      </c>
      <c r="P360" s="50" t="s">
        <v>2699</v>
      </c>
    </row>
    <row r="361" spans="1:16" ht="12.75" customHeight="1" x14ac:dyDescent="0.25">
      <c r="A361" s="311">
        <v>358</v>
      </c>
      <c r="B361" s="311" t="s">
        <v>121</v>
      </c>
      <c r="C361" s="311" t="s">
        <v>121</v>
      </c>
      <c r="D361" s="311" t="s">
        <v>462</v>
      </c>
      <c r="E361" s="337" t="s">
        <v>121</v>
      </c>
      <c r="F361" s="311" t="s">
        <v>278</v>
      </c>
      <c r="G361" s="311" t="s">
        <v>237</v>
      </c>
      <c r="H361" s="311" t="s">
        <v>393</v>
      </c>
      <c r="I361" s="311" t="s">
        <v>66</v>
      </c>
      <c r="J361" s="50" t="s">
        <v>1892</v>
      </c>
      <c r="K361" s="50" t="s">
        <v>1892</v>
      </c>
      <c r="L361" s="50" t="s">
        <v>1893</v>
      </c>
      <c r="M361" s="50" t="s">
        <v>2700</v>
      </c>
      <c r="N361" s="50" t="s">
        <v>2700</v>
      </c>
      <c r="O361" s="50" t="s">
        <v>2695</v>
      </c>
      <c r="P361" s="50" t="s">
        <v>2700</v>
      </c>
    </row>
    <row r="362" spans="1:16" ht="12.75" customHeight="1" x14ac:dyDescent="0.25">
      <c r="A362" s="311">
        <v>359</v>
      </c>
      <c r="B362" s="311" t="s">
        <v>87</v>
      </c>
      <c r="C362" s="311" t="s">
        <v>87</v>
      </c>
      <c r="D362" s="311" t="s">
        <v>462</v>
      </c>
      <c r="E362" s="337" t="s">
        <v>87</v>
      </c>
      <c r="F362" s="311" t="s">
        <v>278</v>
      </c>
      <c r="G362" s="311" t="s">
        <v>237</v>
      </c>
      <c r="H362" s="311" t="s">
        <v>393</v>
      </c>
      <c r="I362" s="311" t="s">
        <v>66</v>
      </c>
      <c r="J362" s="50" t="s">
        <v>1892</v>
      </c>
      <c r="K362" s="50" t="s">
        <v>1892</v>
      </c>
      <c r="L362" s="50" t="s">
        <v>1893</v>
      </c>
      <c r="M362" s="50" t="s">
        <v>2701</v>
      </c>
      <c r="N362" s="50" t="s">
        <v>2701</v>
      </c>
      <c r="O362" s="50" t="s">
        <v>2695</v>
      </c>
      <c r="P362" s="50" t="s">
        <v>2701</v>
      </c>
    </row>
    <row r="363" spans="1:16" ht="12.75" customHeight="1" x14ac:dyDescent="0.25">
      <c r="A363" s="311">
        <v>360</v>
      </c>
      <c r="B363" s="311" t="s">
        <v>125</v>
      </c>
      <c r="C363" s="311" t="s">
        <v>125</v>
      </c>
      <c r="D363" s="311" t="s">
        <v>125</v>
      </c>
      <c r="E363" s="337" t="s">
        <v>125</v>
      </c>
      <c r="F363" s="311" t="s">
        <v>278</v>
      </c>
      <c r="G363" s="311" t="s">
        <v>237</v>
      </c>
      <c r="H363" s="311" t="s">
        <v>393</v>
      </c>
      <c r="I363" s="311" t="s">
        <v>66</v>
      </c>
      <c r="J363" s="50" t="s">
        <v>1892</v>
      </c>
      <c r="K363" s="50" t="s">
        <v>1892</v>
      </c>
      <c r="L363" s="50" t="s">
        <v>1893</v>
      </c>
      <c r="M363" s="50" t="s">
        <v>2702</v>
      </c>
      <c r="N363" s="50" t="s">
        <v>2702</v>
      </c>
      <c r="O363" s="50" t="s">
        <v>2702</v>
      </c>
      <c r="P363" s="50" t="s">
        <v>2702</v>
      </c>
    </row>
    <row r="364" spans="1:16" ht="12.75" customHeight="1" x14ac:dyDescent="0.25">
      <c r="A364" s="311">
        <v>361</v>
      </c>
      <c r="B364" s="311" t="s">
        <v>134</v>
      </c>
      <c r="C364" s="311" t="s">
        <v>134</v>
      </c>
      <c r="D364" s="311" t="s">
        <v>134</v>
      </c>
      <c r="E364" s="337" t="s">
        <v>134</v>
      </c>
      <c r="F364" s="311" t="s">
        <v>278</v>
      </c>
      <c r="G364" s="311" t="s">
        <v>237</v>
      </c>
      <c r="H364" s="311" t="s">
        <v>393</v>
      </c>
      <c r="I364" s="311" t="s">
        <v>66</v>
      </c>
      <c r="J364" s="50" t="s">
        <v>1892</v>
      </c>
      <c r="K364" s="50" t="s">
        <v>1892</v>
      </c>
      <c r="L364" s="50" t="s">
        <v>1893</v>
      </c>
      <c r="M364" s="50" t="s">
        <v>2703</v>
      </c>
      <c r="N364" s="50" t="s">
        <v>2703</v>
      </c>
      <c r="O364" s="50" t="s">
        <v>2703</v>
      </c>
      <c r="P364" s="50" t="s">
        <v>2703</v>
      </c>
    </row>
    <row r="365" spans="1:16" ht="12.75" customHeight="1" x14ac:dyDescent="0.25">
      <c r="A365" s="311">
        <v>362</v>
      </c>
      <c r="B365" s="311" t="s">
        <v>141</v>
      </c>
      <c r="C365" s="311" t="s">
        <v>141</v>
      </c>
      <c r="D365" s="311" t="s">
        <v>141</v>
      </c>
      <c r="E365" s="337" t="s">
        <v>141</v>
      </c>
      <c r="F365" s="311" t="s">
        <v>278</v>
      </c>
      <c r="G365" s="311" t="s">
        <v>237</v>
      </c>
      <c r="H365" s="311" t="s">
        <v>393</v>
      </c>
      <c r="I365" s="311" t="s">
        <v>66</v>
      </c>
      <c r="J365" s="50" t="s">
        <v>1892</v>
      </c>
      <c r="K365" s="50" t="s">
        <v>1892</v>
      </c>
      <c r="L365" s="50" t="s">
        <v>1893</v>
      </c>
      <c r="M365" s="50" t="s">
        <v>2704</v>
      </c>
      <c r="N365" s="50" t="s">
        <v>2704</v>
      </c>
      <c r="O365" s="50" t="s">
        <v>2704</v>
      </c>
      <c r="P365" s="50" t="s">
        <v>2704</v>
      </c>
    </row>
    <row r="366" spans="1:16" ht="12.75" customHeight="1" x14ac:dyDescent="0.25">
      <c r="A366" s="311">
        <v>363</v>
      </c>
      <c r="B366" s="311" t="s">
        <v>69</v>
      </c>
      <c r="C366" s="311" t="s">
        <v>69</v>
      </c>
      <c r="D366" s="311" t="s">
        <v>69</v>
      </c>
      <c r="E366" s="337" t="s">
        <v>69</v>
      </c>
      <c r="F366" s="311" t="s">
        <v>278</v>
      </c>
      <c r="G366" s="311" t="s">
        <v>237</v>
      </c>
      <c r="H366" s="311" t="s">
        <v>393</v>
      </c>
      <c r="I366" s="311" t="s">
        <v>66</v>
      </c>
      <c r="J366" s="50" t="s">
        <v>1892</v>
      </c>
      <c r="K366" s="50" t="s">
        <v>1892</v>
      </c>
      <c r="L366" s="50" t="s">
        <v>1893</v>
      </c>
      <c r="M366" s="50" t="s">
        <v>2705</v>
      </c>
      <c r="N366" s="50" t="s">
        <v>2705</v>
      </c>
      <c r="O366" s="50" t="s">
        <v>2705</v>
      </c>
      <c r="P366" s="50" t="s">
        <v>2705</v>
      </c>
    </row>
    <row r="367" spans="1:16" ht="12.75" customHeight="1" x14ac:dyDescent="0.25">
      <c r="A367" s="311">
        <v>364</v>
      </c>
      <c r="B367" s="311" t="s">
        <v>84</v>
      </c>
      <c r="C367" s="311" t="s">
        <v>462</v>
      </c>
      <c r="D367" s="311" t="s">
        <v>462</v>
      </c>
      <c r="E367" s="337" t="s">
        <v>462</v>
      </c>
      <c r="F367" s="311" t="s">
        <v>277</v>
      </c>
      <c r="G367" s="311" t="s">
        <v>236</v>
      </c>
      <c r="H367" s="311" t="s">
        <v>393</v>
      </c>
      <c r="I367" s="311" t="s">
        <v>66</v>
      </c>
      <c r="J367" s="50" t="s">
        <v>1892</v>
      </c>
      <c r="K367" s="50" t="s">
        <v>1892</v>
      </c>
      <c r="L367" s="50" t="s">
        <v>1893</v>
      </c>
      <c r="M367" s="50" t="s">
        <v>2706</v>
      </c>
      <c r="N367" s="50" t="s">
        <v>2707</v>
      </c>
      <c r="O367" s="50" t="s">
        <v>2707</v>
      </c>
      <c r="P367" s="50" t="s">
        <v>2707</v>
      </c>
    </row>
    <row r="368" spans="1:16" ht="12.75" customHeight="1" x14ac:dyDescent="0.25">
      <c r="A368" s="311">
        <v>365</v>
      </c>
      <c r="B368" s="311" t="s">
        <v>123</v>
      </c>
      <c r="C368" s="311" t="s">
        <v>462</v>
      </c>
      <c r="D368" s="311" t="s">
        <v>462</v>
      </c>
      <c r="E368" s="337" t="s">
        <v>462</v>
      </c>
      <c r="F368" s="311" t="s">
        <v>277</v>
      </c>
      <c r="G368" s="311" t="s">
        <v>236</v>
      </c>
      <c r="H368" s="311" t="s">
        <v>393</v>
      </c>
      <c r="I368" s="311" t="s">
        <v>66</v>
      </c>
      <c r="J368" s="50" t="s">
        <v>1892</v>
      </c>
      <c r="K368" s="50" t="s">
        <v>1892</v>
      </c>
      <c r="L368" s="50" t="s">
        <v>1893</v>
      </c>
      <c r="M368" s="50" t="s">
        <v>2708</v>
      </c>
      <c r="N368" s="50" t="s">
        <v>2707</v>
      </c>
      <c r="O368" s="50" t="s">
        <v>2707</v>
      </c>
      <c r="P368" s="50" t="s">
        <v>2707</v>
      </c>
    </row>
    <row r="369" spans="1:16" ht="12.75" customHeight="1" x14ac:dyDescent="0.25">
      <c r="A369" s="311">
        <v>366</v>
      </c>
      <c r="B369" s="311" t="s">
        <v>75</v>
      </c>
      <c r="C369" s="311" t="s">
        <v>462</v>
      </c>
      <c r="D369" s="311" t="s">
        <v>462</v>
      </c>
      <c r="E369" s="337" t="s">
        <v>462</v>
      </c>
      <c r="F369" s="311" t="s">
        <v>277</v>
      </c>
      <c r="G369" s="311" t="s">
        <v>236</v>
      </c>
      <c r="H369" s="311" t="s">
        <v>393</v>
      </c>
      <c r="I369" s="311" t="s">
        <v>66</v>
      </c>
      <c r="J369" s="50" t="s">
        <v>1892</v>
      </c>
      <c r="K369" s="50" t="s">
        <v>1892</v>
      </c>
      <c r="L369" s="50" t="s">
        <v>1893</v>
      </c>
      <c r="M369" s="50" t="s">
        <v>2709</v>
      </c>
      <c r="N369" s="50" t="s">
        <v>2707</v>
      </c>
      <c r="O369" s="50" t="s">
        <v>2707</v>
      </c>
      <c r="P369" s="50" t="s">
        <v>2707</v>
      </c>
    </row>
    <row r="370" spans="1:16" ht="12.75" customHeight="1" x14ac:dyDescent="0.25">
      <c r="A370" s="311">
        <v>367</v>
      </c>
      <c r="B370" s="311" t="s">
        <v>63</v>
      </c>
      <c r="C370" s="311" t="s">
        <v>63</v>
      </c>
      <c r="D370" s="311" t="s">
        <v>462</v>
      </c>
      <c r="E370" s="337" t="s">
        <v>63</v>
      </c>
      <c r="F370" s="311" t="s">
        <v>277</v>
      </c>
      <c r="G370" s="311" t="s">
        <v>236</v>
      </c>
      <c r="H370" s="311" t="s">
        <v>393</v>
      </c>
      <c r="I370" s="311" t="s">
        <v>66</v>
      </c>
      <c r="J370" s="50" t="s">
        <v>1892</v>
      </c>
      <c r="K370" s="50" t="s">
        <v>1892</v>
      </c>
      <c r="L370" s="50" t="s">
        <v>1893</v>
      </c>
      <c r="M370" s="50" t="s">
        <v>2710</v>
      </c>
      <c r="N370" s="50" t="s">
        <v>2710</v>
      </c>
      <c r="O370" s="50" t="s">
        <v>2707</v>
      </c>
      <c r="P370" s="50" t="s">
        <v>2710</v>
      </c>
    </row>
    <row r="371" spans="1:16" ht="12.75" customHeight="1" x14ac:dyDescent="0.25">
      <c r="A371" s="311">
        <v>368</v>
      </c>
      <c r="B371" s="311" t="s">
        <v>140</v>
      </c>
      <c r="C371" s="311" t="s">
        <v>140</v>
      </c>
      <c r="D371" s="311" t="s">
        <v>462</v>
      </c>
      <c r="E371" s="337" t="s">
        <v>140</v>
      </c>
      <c r="F371" s="311" t="s">
        <v>277</v>
      </c>
      <c r="G371" s="311" t="s">
        <v>236</v>
      </c>
      <c r="H371" s="311" t="s">
        <v>393</v>
      </c>
      <c r="I371" s="311" t="s">
        <v>66</v>
      </c>
      <c r="J371" s="50" t="s">
        <v>1892</v>
      </c>
      <c r="K371" s="50" t="s">
        <v>1892</v>
      </c>
      <c r="L371" s="50" t="s">
        <v>1893</v>
      </c>
      <c r="M371" s="50" t="s">
        <v>2711</v>
      </c>
      <c r="N371" s="50" t="s">
        <v>2711</v>
      </c>
      <c r="O371" s="50" t="s">
        <v>2707</v>
      </c>
      <c r="P371" s="50" t="s">
        <v>2711</v>
      </c>
    </row>
    <row r="372" spans="1:16" ht="12.75" customHeight="1" x14ac:dyDescent="0.25">
      <c r="A372" s="311">
        <v>369</v>
      </c>
      <c r="B372" s="311" t="s">
        <v>121</v>
      </c>
      <c r="C372" s="311" t="s">
        <v>121</v>
      </c>
      <c r="D372" s="311" t="s">
        <v>462</v>
      </c>
      <c r="E372" s="337" t="s">
        <v>121</v>
      </c>
      <c r="F372" s="311" t="s">
        <v>277</v>
      </c>
      <c r="G372" s="311" t="s">
        <v>236</v>
      </c>
      <c r="H372" s="311" t="s">
        <v>393</v>
      </c>
      <c r="I372" s="311" t="s">
        <v>66</v>
      </c>
      <c r="J372" s="50" t="s">
        <v>1892</v>
      </c>
      <c r="K372" s="50" t="s">
        <v>1892</v>
      </c>
      <c r="L372" s="50" t="s">
        <v>1893</v>
      </c>
      <c r="M372" s="50" t="s">
        <v>2712</v>
      </c>
      <c r="N372" s="50" t="s">
        <v>2712</v>
      </c>
      <c r="O372" s="50" t="s">
        <v>2707</v>
      </c>
      <c r="P372" s="50" t="s">
        <v>2712</v>
      </c>
    </row>
    <row r="373" spans="1:16" ht="12.75" customHeight="1" x14ac:dyDescent="0.25">
      <c r="A373" s="311">
        <v>370</v>
      </c>
      <c r="B373" s="311" t="s">
        <v>87</v>
      </c>
      <c r="C373" s="311" t="s">
        <v>87</v>
      </c>
      <c r="D373" s="311" t="s">
        <v>462</v>
      </c>
      <c r="E373" s="337" t="s">
        <v>87</v>
      </c>
      <c r="F373" s="311" t="s">
        <v>277</v>
      </c>
      <c r="G373" s="311" t="s">
        <v>236</v>
      </c>
      <c r="H373" s="311" t="s">
        <v>393</v>
      </c>
      <c r="I373" s="311" t="s">
        <v>66</v>
      </c>
      <c r="J373" s="50" t="s">
        <v>1892</v>
      </c>
      <c r="K373" s="50" t="s">
        <v>1892</v>
      </c>
      <c r="L373" s="50" t="s">
        <v>1893</v>
      </c>
      <c r="M373" s="50" t="s">
        <v>2713</v>
      </c>
      <c r="N373" s="50" t="s">
        <v>2713</v>
      </c>
      <c r="O373" s="50" t="s">
        <v>2707</v>
      </c>
      <c r="P373" s="50" t="s">
        <v>2713</v>
      </c>
    </row>
    <row r="374" spans="1:16" ht="12.75" customHeight="1" x14ac:dyDescent="0.25">
      <c r="A374" s="311">
        <v>371</v>
      </c>
      <c r="B374" s="311" t="s">
        <v>125</v>
      </c>
      <c r="C374" s="311" t="s">
        <v>125</v>
      </c>
      <c r="D374" s="311" t="s">
        <v>125</v>
      </c>
      <c r="E374" s="337" t="s">
        <v>125</v>
      </c>
      <c r="F374" s="311" t="s">
        <v>277</v>
      </c>
      <c r="G374" s="311" t="s">
        <v>236</v>
      </c>
      <c r="H374" s="311" t="s">
        <v>393</v>
      </c>
      <c r="I374" s="311" t="s">
        <v>66</v>
      </c>
      <c r="J374" s="50" t="s">
        <v>1892</v>
      </c>
      <c r="K374" s="50" t="s">
        <v>1892</v>
      </c>
      <c r="L374" s="50" t="s">
        <v>1893</v>
      </c>
      <c r="M374" s="50" t="s">
        <v>2714</v>
      </c>
      <c r="N374" s="50" t="s">
        <v>2714</v>
      </c>
      <c r="O374" s="50" t="s">
        <v>2714</v>
      </c>
      <c r="P374" s="50" t="s">
        <v>2714</v>
      </c>
    </row>
    <row r="375" spans="1:16" ht="12.75" customHeight="1" x14ac:dyDescent="0.25">
      <c r="A375" s="311">
        <v>372</v>
      </c>
      <c r="B375" s="311" t="s">
        <v>134</v>
      </c>
      <c r="C375" s="311" t="s">
        <v>134</v>
      </c>
      <c r="D375" s="311" t="s">
        <v>134</v>
      </c>
      <c r="E375" s="337" t="s">
        <v>134</v>
      </c>
      <c r="F375" s="311" t="s">
        <v>277</v>
      </c>
      <c r="G375" s="311" t="s">
        <v>236</v>
      </c>
      <c r="H375" s="311" t="s">
        <v>393</v>
      </c>
      <c r="I375" s="311" t="s">
        <v>66</v>
      </c>
      <c r="J375" s="50" t="s">
        <v>1892</v>
      </c>
      <c r="K375" s="50" t="s">
        <v>1892</v>
      </c>
      <c r="L375" s="50" t="s">
        <v>1893</v>
      </c>
      <c r="M375" s="50" t="s">
        <v>2715</v>
      </c>
      <c r="N375" s="50" t="s">
        <v>2715</v>
      </c>
      <c r="O375" s="50" t="s">
        <v>2715</v>
      </c>
      <c r="P375" s="50" t="s">
        <v>2715</v>
      </c>
    </row>
    <row r="376" spans="1:16" ht="12.75" customHeight="1" x14ac:dyDescent="0.25">
      <c r="A376" s="311">
        <v>373</v>
      </c>
      <c r="B376" s="311" t="s">
        <v>141</v>
      </c>
      <c r="C376" s="311" t="s">
        <v>141</v>
      </c>
      <c r="D376" s="311" t="s">
        <v>141</v>
      </c>
      <c r="E376" s="337" t="s">
        <v>141</v>
      </c>
      <c r="F376" s="311" t="s">
        <v>277</v>
      </c>
      <c r="G376" s="311" t="s">
        <v>236</v>
      </c>
      <c r="H376" s="311" t="s">
        <v>393</v>
      </c>
      <c r="I376" s="311" t="s">
        <v>66</v>
      </c>
      <c r="J376" s="50" t="s">
        <v>1892</v>
      </c>
      <c r="K376" s="50" t="s">
        <v>1892</v>
      </c>
      <c r="L376" s="50" t="s">
        <v>1893</v>
      </c>
      <c r="M376" s="50" t="s">
        <v>2716</v>
      </c>
      <c r="N376" s="50" t="s">
        <v>2716</v>
      </c>
      <c r="O376" s="50" t="s">
        <v>2716</v>
      </c>
      <c r="P376" s="50" t="s">
        <v>2716</v>
      </c>
    </row>
    <row r="377" spans="1:16" ht="12.75" customHeight="1" x14ac:dyDescent="0.25">
      <c r="A377" s="311">
        <v>374</v>
      </c>
      <c r="B377" s="311" t="s">
        <v>69</v>
      </c>
      <c r="C377" s="311" t="s">
        <v>69</v>
      </c>
      <c r="D377" s="311" t="s">
        <v>69</v>
      </c>
      <c r="E377" s="337" t="s">
        <v>69</v>
      </c>
      <c r="F377" s="311" t="s">
        <v>277</v>
      </c>
      <c r="G377" s="311" t="s">
        <v>236</v>
      </c>
      <c r="H377" s="311" t="s">
        <v>393</v>
      </c>
      <c r="I377" s="311" t="s">
        <v>66</v>
      </c>
      <c r="J377" s="50" t="s">
        <v>1892</v>
      </c>
      <c r="K377" s="50" t="s">
        <v>1892</v>
      </c>
      <c r="L377" s="50" t="s">
        <v>1893</v>
      </c>
      <c r="M377" s="50" t="s">
        <v>2717</v>
      </c>
      <c r="N377" s="50" t="s">
        <v>2717</v>
      </c>
      <c r="O377" s="50" t="s">
        <v>2717</v>
      </c>
      <c r="P377" s="50" t="s">
        <v>2717</v>
      </c>
    </row>
    <row r="378" spans="1:16" ht="12.75" customHeight="1" x14ac:dyDescent="0.25">
      <c r="A378" s="311">
        <v>375</v>
      </c>
      <c r="B378" s="311" t="s">
        <v>84</v>
      </c>
      <c r="C378" s="311" t="s">
        <v>462</v>
      </c>
      <c r="D378" s="311" t="s">
        <v>462</v>
      </c>
      <c r="E378" s="337" t="s">
        <v>462</v>
      </c>
      <c r="F378" s="311" t="s">
        <v>277</v>
      </c>
      <c r="G378" s="311" t="s">
        <v>23</v>
      </c>
      <c r="H378" s="311" t="s">
        <v>393</v>
      </c>
      <c r="I378" s="311" t="s">
        <v>66</v>
      </c>
      <c r="J378" s="50" t="s">
        <v>1892</v>
      </c>
      <c r="K378" s="50" t="s">
        <v>1892</v>
      </c>
      <c r="L378" s="50" t="s">
        <v>1893</v>
      </c>
      <c r="M378" s="50" t="s">
        <v>2718</v>
      </c>
      <c r="N378" s="50" t="s">
        <v>2719</v>
      </c>
      <c r="O378" s="50" t="s">
        <v>2719</v>
      </c>
      <c r="P378" s="50" t="s">
        <v>2719</v>
      </c>
    </row>
    <row r="379" spans="1:16" ht="12.75" customHeight="1" x14ac:dyDescent="0.25">
      <c r="A379" s="311">
        <v>376</v>
      </c>
      <c r="B379" s="311" t="s">
        <v>123</v>
      </c>
      <c r="C379" s="311" t="s">
        <v>462</v>
      </c>
      <c r="D379" s="311" t="s">
        <v>462</v>
      </c>
      <c r="E379" s="337" t="s">
        <v>462</v>
      </c>
      <c r="F379" s="311" t="s">
        <v>277</v>
      </c>
      <c r="G379" s="311" t="s">
        <v>23</v>
      </c>
      <c r="H379" s="311" t="s">
        <v>393</v>
      </c>
      <c r="I379" s="311" t="s">
        <v>66</v>
      </c>
      <c r="J379" s="50" t="s">
        <v>1892</v>
      </c>
      <c r="K379" s="50" t="s">
        <v>1892</v>
      </c>
      <c r="L379" s="50" t="s">
        <v>1893</v>
      </c>
      <c r="M379" s="50" t="s">
        <v>2720</v>
      </c>
      <c r="N379" s="50" t="s">
        <v>2719</v>
      </c>
      <c r="O379" s="50" t="s">
        <v>2719</v>
      </c>
      <c r="P379" s="50" t="s">
        <v>2719</v>
      </c>
    </row>
    <row r="380" spans="1:16" ht="12.75" customHeight="1" x14ac:dyDescent="0.25">
      <c r="A380" s="311">
        <v>377</v>
      </c>
      <c r="B380" s="311" t="s">
        <v>75</v>
      </c>
      <c r="C380" s="311" t="s">
        <v>462</v>
      </c>
      <c r="D380" s="311" t="s">
        <v>462</v>
      </c>
      <c r="E380" s="337" t="s">
        <v>462</v>
      </c>
      <c r="F380" s="311" t="s">
        <v>277</v>
      </c>
      <c r="G380" s="311" t="s">
        <v>23</v>
      </c>
      <c r="H380" s="311" t="s">
        <v>393</v>
      </c>
      <c r="I380" s="311" t="s">
        <v>66</v>
      </c>
      <c r="J380" s="50" t="s">
        <v>1892</v>
      </c>
      <c r="K380" s="50" t="s">
        <v>1892</v>
      </c>
      <c r="L380" s="50" t="s">
        <v>1893</v>
      </c>
      <c r="M380" s="50" t="s">
        <v>2721</v>
      </c>
      <c r="N380" s="50" t="s">
        <v>2719</v>
      </c>
      <c r="O380" s="50" t="s">
        <v>2719</v>
      </c>
      <c r="P380" s="50" t="s">
        <v>2719</v>
      </c>
    </row>
    <row r="381" spans="1:16" ht="12.75" customHeight="1" x14ac:dyDescent="0.25">
      <c r="A381" s="311">
        <v>378</v>
      </c>
      <c r="B381" s="311" t="s">
        <v>63</v>
      </c>
      <c r="C381" s="311" t="s">
        <v>63</v>
      </c>
      <c r="D381" s="311" t="s">
        <v>462</v>
      </c>
      <c r="E381" s="337" t="s">
        <v>63</v>
      </c>
      <c r="F381" s="311" t="s">
        <v>277</v>
      </c>
      <c r="G381" s="311" t="s">
        <v>23</v>
      </c>
      <c r="H381" s="311" t="s">
        <v>393</v>
      </c>
      <c r="I381" s="311" t="s">
        <v>66</v>
      </c>
      <c r="J381" s="50" t="s">
        <v>1892</v>
      </c>
      <c r="K381" s="50" t="s">
        <v>1892</v>
      </c>
      <c r="L381" s="50" t="s">
        <v>1893</v>
      </c>
      <c r="M381" s="50" t="s">
        <v>2722</v>
      </c>
      <c r="N381" s="50" t="s">
        <v>2722</v>
      </c>
      <c r="O381" s="50" t="s">
        <v>2719</v>
      </c>
      <c r="P381" s="50" t="s">
        <v>2722</v>
      </c>
    </row>
    <row r="382" spans="1:16" ht="12.75" customHeight="1" x14ac:dyDescent="0.25">
      <c r="A382" s="311">
        <v>379</v>
      </c>
      <c r="B382" s="311" t="s">
        <v>140</v>
      </c>
      <c r="C382" s="311" t="s">
        <v>140</v>
      </c>
      <c r="D382" s="311" t="s">
        <v>462</v>
      </c>
      <c r="E382" s="337" t="s">
        <v>140</v>
      </c>
      <c r="F382" s="311" t="s">
        <v>277</v>
      </c>
      <c r="G382" s="311" t="s">
        <v>23</v>
      </c>
      <c r="H382" s="311" t="s">
        <v>393</v>
      </c>
      <c r="I382" s="311" t="s">
        <v>66</v>
      </c>
      <c r="J382" s="50" t="s">
        <v>1892</v>
      </c>
      <c r="K382" s="50" t="s">
        <v>1892</v>
      </c>
      <c r="L382" s="50" t="s">
        <v>1893</v>
      </c>
      <c r="M382" s="50" t="s">
        <v>2723</v>
      </c>
      <c r="N382" s="50" t="s">
        <v>2723</v>
      </c>
      <c r="O382" s="50" t="s">
        <v>2719</v>
      </c>
      <c r="P382" s="50" t="s">
        <v>2723</v>
      </c>
    </row>
    <row r="383" spans="1:16" ht="12.75" customHeight="1" x14ac:dyDescent="0.25">
      <c r="A383" s="311">
        <v>380</v>
      </c>
      <c r="B383" s="311" t="s">
        <v>121</v>
      </c>
      <c r="C383" s="311" t="s">
        <v>121</v>
      </c>
      <c r="D383" s="311" t="s">
        <v>462</v>
      </c>
      <c r="E383" s="337" t="s">
        <v>121</v>
      </c>
      <c r="F383" s="311" t="s">
        <v>277</v>
      </c>
      <c r="G383" s="311" t="s">
        <v>23</v>
      </c>
      <c r="H383" s="311" t="s">
        <v>393</v>
      </c>
      <c r="I383" s="311" t="s">
        <v>66</v>
      </c>
      <c r="J383" s="50" t="s">
        <v>1892</v>
      </c>
      <c r="K383" s="50" t="s">
        <v>1892</v>
      </c>
      <c r="L383" s="50" t="s">
        <v>1893</v>
      </c>
      <c r="M383" s="50" t="s">
        <v>2724</v>
      </c>
      <c r="N383" s="50" t="s">
        <v>2724</v>
      </c>
      <c r="O383" s="50" t="s">
        <v>2719</v>
      </c>
      <c r="P383" s="50" t="s">
        <v>2724</v>
      </c>
    </row>
    <row r="384" spans="1:16" ht="12.75" customHeight="1" x14ac:dyDescent="0.25">
      <c r="A384" s="311">
        <v>381</v>
      </c>
      <c r="B384" s="311" t="s">
        <v>87</v>
      </c>
      <c r="C384" s="311" t="s">
        <v>87</v>
      </c>
      <c r="D384" s="311" t="s">
        <v>462</v>
      </c>
      <c r="E384" s="337" t="s">
        <v>87</v>
      </c>
      <c r="F384" s="311" t="s">
        <v>277</v>
      </c>
      <c r="G384" s="311" t="s">
        <v>23</v>
      </c>
      <c r="H384" s="311" t="s">
        <v>393</v>
      </c>
      <c r="I384" s="311" t="s">
        <v>66</v>
      </c>
      <c r="J384" s="50" t="s">
        <v>1892</v>
      </c>
      <c r="K384" s="50" t="s">
        <v>1892</v>
      </c>
      <c r="L384" s="50" t="s">
        <v>1893</v>
      </c>
      <c r="M384" s="50" t="s">
        <v>2725</v>
      </c>
      <c r="N384" s="50" t="s">
        <v>2725</v>
      </c>
      <c r="O384" s="50" t="s">
        <v>2719</v>
      </c>
      <c r="P384" s="50" t="s">
        <v>2725</v>
      </c>
    </row>
    <row r="385" spans="1:16" ht="12.75" customHeight="1" x14ac:dyDescent="0.25">
      <c r="A385" s="311">
        <v>382</v>
      </c>
      <c r="B385" s="311" t="s">
        <v>125</v>
      </c>
      <c r="C385" s="311" t="s">
        <v>125</v>
      </c>
      <c r="D385" s="311" t="s">
        <v>125</v>
      </c>
      <c r="E385" s="337" t="s">
        <v>125</v>
      </c>
      <c r="F385" s="311" t="s">
        <v>277</v>
      </c>
      <c r="G385" s="311" t="s">
        <v>23</v>
      </c>
      <c r="H385" s="311" t="s">
        <v>393</v>
      </c>
      <c r="I385" s="311" t="s">
        <v>66</v>
      </c>
      <c r="J385" s="50" t="s">
        <v>1892</v>
      </c>
      <c r="K385" s="50" t="s">
        <v>1892</v>
      </c>
      <c r="L385" s="50" t="s">
        <v>1893</v>
      </c>
      <c r="M385" s="50" t="s">
        <v>2726</v>
      </c>
      <c r="N385" s="50" t="s">
        <v>2726</v>
      </c>
      <c r="O385" s="50" t="s">
        <v>2726</v>
      </c>
      <c r="P385" s="50" t="s">
        <v>2726</v>
      </c>
    </row>
    <row r="386" spans="1:16" ht="12.75" customHeight="1" x14ac:dyDescent="0.25">
      <c r="A386" s="311">
        <v>383</v>
      </c>
      <c r="B386" s="311" t="s">
        <v>134</v>
      </c>
      <c r="C386" s="311" t="s">
        <v>134</v>
      </c>
      <c r="D386" s="311" t="s">
        <v>134</v>
      </c>
      <c r="E386" s="337" t="s">
        <v>134</v>
      </c>
      <c r="F386" s="311" t="s">
        <v>277</v>
      </c>
      <c r="G386" s="311" t="s">
        <v>23</v>
      </c>
      <c r="H386" s="311" t="s">
        <v>393</v>
      </c>
      <c r="I386" s="311" t="s">
        <v>66</v>
      </c>
      <c r="J386" s="50" t="s">
        <v>1892</v>
      </c>
      <c r="K386" s="50" t="s">
        <v>1892</v>
      </c>
      <c r="L386" s="50" t="s">
        <v>1893</v>
      </c>
      <c r="M386" s="50" t="s">
        <v>2727</v>
      </c>
      <c r="N386" s="50" t="s">
        <v>2727</v>
      </c>
      <c r="O386" s="50" t="s">
        <v>2727</v>
      </c>
      <c r="P386" s="50" t="s">
        <v>2727</v>
      </c>
    </row>
    <row r="387" spans="1:16" ht="12.75" customHeight="1" x14ac:dyDescent="0.25">
      <c r="A387" s="311">
        <v>384</v>
      </c>
      <c r="B387" s="311" t="s">
        <v>141</v>
      </c>
      <c r="C387" s="311" t="s">
        <v>141</v>
      </c>
      <c r="D387" s="311" t="s">
        <v>141</v>
      </c>
      <c r="E387" s="337" t="s">
        <v>141</v>
      </c>
      <c r="F387" s="311" t="s">
        <v>277</v>
      </c>
      <c r="G387" s="311" t="s">
        <v>23</v>
      </c>
      <c r="H387" s="311" t="s">
        <v>393</v>
      </c>
      <c r="I387" s="311" t="s">
        <v>66</v>
      </c>
      <c r="J387" s="50" t="s">
        <v>1892</v>
      </c>
      <c r="K387" s="50" t="s">
        <v>1892</v>
      </c>
      <c r="L387" s="50" t="s">
        <v>1893</v>
      </c>
      <c r="M387" s="50" t="s">
        <v>2728</v>
      </c>
      <c r="N387" s="50" t="s">
        <v>2728</v>
      </c>
      <c r="O387" s="50" t="s">
        <v>2728</v>
      </c>
      <c r="P387" s="50" t="s">
        <v>2728</v>
      </c>
    </row>
    <row r="388" spans="1:16" ht="12.75" customHeight="1" x14ac:dyDescent="0.25">
      <c r="A388" s="311">
        <v>385</v>
      </c>
      <c r="B388" s="311" t="s">
        <v>69</v>
      </c>
      <c r="C388" s="311" t="s">
        <v>69</v>
      </c>
      <c r="D388" s="311" t="s">
        <v>69</v>
      </c>
      <c r="E388" s="337" t="s">
        <v>69</v>
      </c>
      <c r="F388" s="311" t="s">
        <v>277</v>
      </c>
      <c r="G388" s="311" t="s">
        <v>23</v>
      </c>
      <c r="H388" s="311" t="s">
        <v>393</v>
      </c>
      <c r="I388" s="311" t="s">
        <v>66</v>
      </c>
      <c r="J388" s="50" t="s">
        <v>1892</v>
      </c>
      <c r="K388" s="50" t="s">
        <v>1892</v>
      </c>
      <c r="L388" s="50" t="s">
        <v>1893</v>
      </c>
      <c r="M388" s="50" t="s">
        <v>2729</v>
      </c>
      <c r="N388" s="50" t="s">
        <v>2729</v>
      </c>
      <c r="O388" s="50" t="s">
        <v>2729</v>
      </c>
      <c r="P388" s="50" t="s">
        <v>2729</v>
      </c>
    </row>
    <row r="389" spans="1:16" ht="12.75" customHeight="1" x14ac:dyDescent="0.25">
      <c r="A389" s="311">
        <v>386</v>
      </c>
      <c r="B389" s="311" t="s">
        <v>84</v>
      </c>
      <c r="C389" s="311" t="s">
        <v>462</v>
      </c>
      <c r="D389" s="311" t="s">
        <v>462</v>
      </c>
      <c r="E389" s="337" t="s">
        <v>462</v>
      </c>
      <c r="F389" s="311" t="s">
        <v>277</v>
      </c>
      <c r="G389" s="311" t="s">
        <v>237</v>
      </c>
      <c r="H389" s="311" t="s">
        <v>393</v>
      </c>
      <c r="I389" s="311" t="s">
        <v>66</v>
      </c>
      <c r="J389" s="50" t="s">
        <v>1892</v>
      </c>
      <c r="K389" s="50" t="s">
        <v>1892</v>
      </c>
      <c r="L389" s="50" t="s">
        <v>1893</v>
      </c>
      <c r="M389" s="50" t="s">
        <v>2730</v>
      </c>
      <c r="N389" s="50" t="s">
        <v>2731</v>
      </c>
      <c r="O389" s="50" t="s">
        <v>2731</v>
      </c>
      <c r="P389" s="50" t="s">
        <v>2731</v>
      </c>
    </row>
    <row r="390" spans="1:16" ht="12.75" customHeight="1" x14ac:dyDescent="0.25">
      <c r="A390" s="311">
        <v>387</v>
      </c>
      <c r="B390" s="311" t="s">
        <v>123</v>
      </c>
      <c r="C390" s="311" t="s">
        <v>462</v>
      </c>
      <c r="D390" s="311" t="s">
        <v>462</v>
      </c>
      <c r="E390" s="337" t="s">
        <v>462</v>
      </c>
      <c r="F390" s="311" t="s">
        <v>277</v>
      </c>
      <c r="G390" s="311" t="s">
        <v>237</v>
      </c>
      <c r="H390" s="311" t="s">
        <v>393</v>
      </c>
      <c r="I390" s="311" t="s">
        <v>66</v>
      </c>
      <c r="J390" s="50" t="s">
        <v>1892</v>
      </c>
      <c r="K390" s="50" t="s">
        <v>1892</v>
      </c>
      <c r="L390" s="50" t="s">
        <v>1893</v>
      </c>
      <c r="M390" s="50" t="s">
        <v>2732</v>
      </c>
      <c r="N390" s="50" t="s">
        <v>2731</v>
      </c>
      <c r="O390" s="50" t="s">
        <v>2731</v>
      </c>
      <c r="P390" s="50" t="s">
        <v>2731</v>
      </c>
    </row>
    <row r="391" spans="1:16" ht="12.75" customHeight="1" x14ac:dyDescent="0.25">
      <c r="A391" s="311">
        <v>388</v>
      </c>
      <c r="B391" s="311" t="s">
        <v>75</v>
      </c>
      <c r="C391" s="311" t="s">
        <v>462</v>
      </c>
      <c r="D391" s="311" t="s">
        <v>462</v>
      </c>
      <c r="E391" s="337" t="s">
        <v>462</v>
      </c>
      <c r="F391" s="311" t="s">
        <v>277</v>
      </c>
      <c r="G391" s="311" t="s">
        <v>237</v>
      </c>
      <c r="H391" s="311" t="s">
        <v>393</v>
      </c>
      <c r="I391" s="311" t="s">
        <v>66</v>
      </c>
      <c r="J391" s="50" t="s">
        <v>1892</v>
      </c>
      <c r="K391" s="50" t="s">
        <v>1892</v>
      </c>
      <c r="L391" s="50" t="s">
        <v>1893</v>
      </c>
      <c r="M391" s="50" t="s">
        <v>2733</v>
      </c>
      <c r="N391" s="50" t="s">
        <v>2731</v>
      </c>
      <c r="O391" s="50" t="s">
        <v>2731</v>
      </c>
      <c r="P391" s="50" t="s">
        <v>2731</v>
      </c>
    </row>
    <row r="392" spans="1:16" ht="12.75" customHeight="1" x14ac:dyDescent="0.25">
      <c r="A392" s="311">
        <v>389</v>
      </c>
      <c r="B392" s="311" t="s">
        <v>63</v>
      </c>
      <c r="C392" s="311" t="s">
        <v>63</v>
      </c>
      <c r="D392" s="311" t="s">
        <v>462</v>
      </c>
      <c r="E392" s="337" t="s">
        <v>63</v>
      </c>
      <c r="F392" s="311" t="s">
        <v>277</v>
      </c>
      <c r="G392" s="311" t="s">
        <v>237</v>
      </c>
      <c r="H392" s="311" t="s">
        <v>393</v>
      </c>
      <c r="I392" s="311" t="s">
        <v>66</v>
      </c>
      <c r="J392" s="50" t="s">
        <v>1892</v>
      </c>
      <c r="K392" s="50" t="s">
        <v>1892</v>
      </c>
      <c r="L392" s="50" t="s">
        <v>1893</v>
      </c>
      <c r="M392" s="50" t="s">
        <v>2734</v>
      </c>
      <c r="N392" s="50" t="s">
        <v>2734</v>
      </c>
      <c r="O392" s="50" t="s">
        <v>2731</v>
      </c>
      <c r="P392" s="50" t="s">
        <v>2734</v>
      </c>
    </row>
    <row r="393" spans="1:16" ht="12.75" customHeight="1" x14ac:dyDescent="0.25">
      <c r="A393" s="311">
        <v>390</v>
      </c>
      <c r="B393" s="311" t="s">
        <v>140</v>
      </c>
      <c r="C393" s="311" t="s">
        <v>140</v>
      </c>
      <c r="D393" s="311" t="s">
        <v>462</v>
      </c>
      <c r="E393" s="337" t="s">
        <v>140</v>
      </c>
      <c r="F393" s="311" t="s">
        <v>277</v>
      </c>
      <c r="G393" s="311" t="s">
        <v>237</v>
      </c>
      <c r="H393" s="311" t="s">
        <v>393</v>
      </c>
      <c r="I393" s="311" t="s">
        <v>66</v>
      </c>
      <c r="J393" s="50" t="s">
        <v>1892</v>
      </c>
      <c r="K393" s="50" t="s">
        <v>1892</v>
      </c>
      <c r="L393" s="50" t="s">
        <v>1893</v>
      </c>
      <c r="M393" s="50" t="s">
        <v>2735</v>
      </c>
      <c r="N393" s="50" t="s">
        <v>2735</v>
      </c>
      <c r="O393" s="50" t="s">
        <v>2731</v>
      </c>
      <c r="P393" s="50" t="s">
        <v>2735</v>
      </c>
    </row>
    <row r="394" spans="1:16" ht="12.75" customHeight="1" x14ac:dyDescent="0.25">
      <c r="A394" s="311">
        <v>391</v>
      </c>
      <c r="B394" s="311" t="s">
        <v>121</v>
      </c>
      <c r="C394" s="311" t="s">
        <v>121</v>
      </c>
      <c r="D394" s="311" t="s">
        <v>462</v>
      </c>
      <c r="E394" s="337" t="s">
        <v>121</v>
      </c>
      <c r="F394" s="311" t="s">
        <v>277</v>
      </c>
      <c r="G394" s="311" t="s">
        <v>237</v>
      </c>
      <c r="H394" s="311" t="s">
        <v>393</v>
      </c>
      <c r="I394" s="311" t="s">
        <v>66</v>
      </c>
      <c r="J394" s="50" t="s">
        <v>1892</v>
      </c>
      <c r="K394" s="50" t="s">
        <v>1892</v>
      </c>
      <c r="L394" s="50" t="s">
        <v>1893</v>
      </c>
      <c r="M394" s="50" t="s">
        <v>2736</v>
      </c>
      <c r="N394" s="50" t="s">
        <v>2736</v>
      </c>
      <c r="O394" s="50" t="s">
        <v>2731</v>
      </c>
      <c r="P394" s="50" t="s">
        <v>2736</v>
      </c>
    </row>
    <row r="395" spans="1:16" ht="12.75" customHeight="1" x14ac:dyDescent="0.25">
      <c r="A395" s="311">
        <v>392</v>
      </c>
      <c r="B395" s="311" t="s">
        <v>87</v>
      </c>
      <c r="C395" s="311" t="s">
        <v>87</v>
      </c>
      <c r="D395" s="311" t="s">
        <v>462</v>
      </c>
      <c r="E395" s="337" t="s">
        <v>87</v>
      </c>
      <c r="F395" s="311" t="s">
        <v>277</v>
      </c>
      <c r="G395" s="311" t="s">
        <v>237</v>
      </c>
      <c r="H395" s="311" t="s">
        <v>393</v>
      </c>
      <c r="I395" s="311" t="s">
        <v>66</v>
      </c>
      <c r="J395" s="50" t="s">
        <v>1892</v>
      </c>
      <c r="K395" s="50" t="s">
        <v>1892</v>
      </c>
      <c r="L395" s="50" t="s">
        <v>1893</v>
      </c>
      <c r="M395" s="50" t="s">
        <v>2737</v>
      </c>
      <c r="N395" s="50" t="s">
        <v>2737</v>
      </c>
      <c r="O395" s="50" t="s">
        <v>2731</v>
      </c>
      <c r="P395" s="50" t="s">
        <v>2737</v>
      </c>
    </row>
    <row r="396" spans="1:16" ht="12.75" customHeight="1" x14ac:dyDescent="0.25">
      <c r="A396" s="311">
        <v>393</v>
      </c>
      <c r="B396" s="311" t="s">
        <v>125</v>
      </c>
      <c r="C396" s="311" t="s">
        <v>125</v>
      </c>
      <c r="D396" s="311" t="s">
        <v>125</v>
      </c>
      <c r="E396" s="337" t="s">
        <v>125</v>
      </c>
      <c r="F396" s="311" t="s">
        <v>277</v>
      </c>
      <c r="G396" s="311" t="s">
        <v>237</v>
      </c>
      <c r="H396" s="311" t="s">
        <v>393</v>
      </c>
      <c r="I396" s="311" t="s">
        <v>66</v>
      </c>
      <c r="J396" s="50" t="s">
        <v>1892</v>
      </c>
      <c r="K396" s="50" t="s">
        <v>1892</v>
      </c>
      <c r="L396" s="50" t="s">
        <v>1893</v>
      </c>
      <c r="M396" s="50" t="s">
        <v>2738</v>
      </c>
      <c r="N396" s="50" t="s">
        <v>2738</v>
      </c>
      <c r="O396" s="50" t="s">
        <v>2738</v>
      </c>
      <c r="P396" s="50" t="s">
        <v>2738</v>
      </c>
    </row>
    <row r="397" spans="1:16" ht="12.75" customHeight="1" x14ac:dyDescent="0.25">
      <c r="A397" s="311">
        <v>394</v>
      </c>
      <c r="B397" s="311" t="s">
        <v>134</v>
      </c>
      <c r="C397" s="311" t="s">
        <v>134</v>
      </c>
      <c r="D397" s="311" t="s">
        <v>134</v>
      </c>
      <c r="E397" s="337" t="s">
        <v>134</v>
      </c>
      <c r="F397" s="311" t="s">
        <v>277</v>
      </c>
      <c r="G397" s="311" t="s">
        <v>237</v>
      </c>
      <c r="H397" s="311" t="s">
        <v>393</v>
      </c>
      <c r="I397" s="311" t="s">
        <v>66</v>
      </c>
      <c r="J397" s="50" t="s">
        <v>1892</v>
      </c>
      <c r="K397" s="50" t="s">
        <v>1892</v>
      </c>
      <c r="L397" s="50" t="s">
        <v>1893</v>
      </c>
      <c r="M397" s="50" t="s">
        <v>2739</v>
      </c>
      <c r="N397" s="50" t="s">
        <v>2739</v>
      </c>
      <c r="O397" s="50" t="s">
        <v>2739</v>
      </c>
      <c r="P397" s="50" t="s">
        <v>2739</v>
      </c>
    </row>
    <row r="398" spans="1:16" ht="12.75" customHeight="1" x14ac:dyDescent="0.25">
      <c r="A398" s="311">
        <v>395</v>
      </c>
      <c r="B398" s="311" t="s">
        <v>141</v>
      </c>
      <c r="C398" s="311" t="s">
        <v>141</v>
      </c>
      <c r="D398" s="311" t="s">
        <v>141</v>
      </c>
      <c r="E398" s="337" t="s">
        <v>141</v>
      </c>
      <c r="F398" s="311" t="s">
        <v>277</v>
      </c>
      <c r="G398" s="311" t="s">
        <v>237</v>
      </c>
      <c r="H398" s="311" t="s">
        <v>393</v>
      </c>
      <c r="I398" s="311" t="s">
        <v>66</v>
      </c>
      <c r="J398" s="50" t="s">
        <v>1892</v>
      </c>
      <c r="K398" s="50" t="s">
        <v>1892</v>
      </c>
      <c r="L398" s="50" t="s">
        <v>1893</v>
      </c>
      <c r="M398" s="50" t="s">
        <v>2740</v>
      </c>
      <c r="N398" s="50" t="s">
        <v>2740</v>
      </c>
      <c r="O398" s="50" t="s">
        <v>2740</v>
      </c>
      <c r="P398" s="50" t="s">
        <v>2740</v>
      </c>
    </row>
    <row r="399" spans="1:16" ht="12.75" customHeight="1" x14ac:dyDescent="0.25">
      <c r="A399" s="311">
        <v>396</v>
      </c>
      <c r="B399" s="311" t="s">
        <v>69</v>
      </c>
      <c r="C399" s="311" t="s">
        <v>69</v>
      </c>
      <c r="D399" s="311" t="s">
        <v>69</v>
      </c>
      <c r="E399" s="337" t="s">
        <v>69</v>
      </c>
      <c r="F399" s="311" t="s">
        <v>277</v>
      </c>
      <c r="G399" s="311" t="s">
        <v>237</v>
      </c>
      <c r="H399" s="311" t="s">
        <v>393</v>
      </c>
      <c r="I399" s="311" t="s">
        <v>66</v>
      </c>
      <c r="J399" s="50" t="s">
        <v>1892</v>
      </c>
      <c r="K399" s="50" t="s">
        <v>1892</v>
      </c>
      <c r="L399" s="50" t="s">
        <v>1893</v>
      </c>
      <c r="M399" s="50" t="s">
        <v>2741</v>
      </c>
      <c r="N399" s="50" t="s">
        <v>2741</v>
      </c>
      <c r="O399" s="50" t="s">
        <v>2741</v>
      </c>
      <c r="P399" s="50" t="s">
        <v>2741</v>
      </c>
    </row>
    <row r="400" spans="1:16" ht="12.75" customHeight="1" x14ac:dyDescent="0.25">
      <c r="A400" s="311">
        <v>397</v>
      </c>
      <c r="B400" s="311" t="s">
        <v>84</v>
      </c>
      <c r="C400" s="311" t="s">
        <v>462</v>
      </c>
      <c r="D400" s="311" t="s">
        <v>462</v>
      </c>
      <c r="E400" s="337" t="s">
        <v>462</v>
      </c>
      <c r="F400" s="311" t="s">
        <v>268</v>
      </c>
      <c r="G400" s="311" t="s">
        <v>236</v>
      </c>
      <c r="H400" s="311" t="s">
        <v>393</v>
      </c>
      <c r="I400" s="311" t="s">
        <v>66</v>
      </c>
      <c r="J400" s="50" t="s">
        <v>1892</v>
      </c>
      <c r="K400" s="50" t="s">
        <v>1892</v>
      </c>
      <c r="L400" s="50" t="s">
        <v>1893</v>
      </c>
      <c r="M400" s="50" t="s">
        <v>2742</v>
      </c>
      <c r="N400" s="50" t="s">
        <v>2743</v>
      </c>
      <c r="O400" s="50" t="s">
        <v>2743</v>
      </c>
      <c r="P400" s="50" t="s">
        <v>2743</v>
      </c>
    </row>
    <row r="401" spans="1:16" ht="12.75" customHeight="1" x14ac:dyDescent="0.25">
      <c r="A401" s="311">
        <v>398</v>
      </c>
      <c r="B401" s="311" t="s">
        <v>123</v>
      </c>
      <c r="C401" s="311" t="s">
        <v>462</v>
      </c>
      <c r="D401" s="311" t="s">
        <v>462</v>
      </c>
      <c r="E401" s="337" t="s">
        <v>462</v>
      </c>
      <c r="F401" s="311" t="s">
        <v>268</v>
      </c>
      <c r="G401" s="311" t="s">
        <v>236</v>
      </c>
      <c r="H401" s="311" t="s">
        <v>393</v>
      </c>
      <c r="I401" s="311" t="s">
        <v>66</v>
      </c>
      <c r="J401" s="50" t="s">
        <v>1892</v>
      </c>
      <c r="K401" s="50" t="s">
        <v>1892</v>
      </c>
      <c r="L401" s="50" t="s">
        <v>1893</v>
      </c>
      <c r="M401" s="50" t="s">
        <v>2744</v>
      </c>
      <c r="N401" s="50" t="s">
        <v>2743</v>
      </c>
      <c r="O401" s="50" t="s">
        <v>2743</v>
      </c>
      <c r="P401" s="50" t="s">
        <v>2743</v>
      </c>
    </row>
    <row r="402" spans="1:16" ht="12.75" customHeight="1" x14ac:dyDescent="0.25">
      <c r="A402" s="311">
        <v>399</v>
      </c>
      <c r="B402" s="311" t="s">
        <v>75</v>
      </c>
      <c r="C402" s="311" t="s">
        <v>462</v>
      </c>
      <c r="D402" s="311" t="s">
        <v>462</v>
      </c>
      <c r="E402" s="337" t="s">
        <v>462</v>
      </c>
      <c r="F402" s="311" t="s">
        <v>268</v>
      </c>
      <c r="G402" s="311" t="s">
        <v>236</v>
      </c>
      <c r="H402" s="311" t="s">
        <v>393</v>
      </c>
      <c r="I402" s="311" t="s">
        <v>66</v>
      </c>
      <c r="J402" s="50" t="s">
        <v>1892</v>
      </c>
      <c r="K402" s="50" t="s">
        <v>1892</v>
      </c>
      <c r="L402" s="50" t="s">
        <v>1893</v>
      </c>
      <c r="M402" s="50" t="s">
        <v>2745</v>
      </c>
      <c r="N402" s="50" t="s">
        <v>2743</v>
      </c>
      <c r="O402" s="50" t="s">
        <v>2743</v>
      </c>
      <c r="P402" s="50" t="s">
        <v>2743</v>
      </c>
    </row>
    <row r="403" spans="1:16" ht="12.75" customHeight="1" x14ac:dyDescent="0.25">
      <c r="A403" s="311">
        <v>400</v>
      </c>
      <c r="B403" s="311" t="s">
        <v>63</v>
      </c>
      <c r="C403" s="311" t="s">
        <v>63</v>
      </c>
      <c r="D403" s="311" t="s">
        <v>462</v>
      </c>
      <c r="E403" s="337" t="s">
        <v>63</v>
      </c>
      <c r="F403" s="311" t="s">
        <v>268</v>
      </c>
      <c r="G403" s="311" t="s">
        <v>236</v>
      </c>
      <c r="H403" s="311" t="s">
        <v>393</v>
      </c>
      <c r="I403" s="311" t="s">
        <v>66</v>
      </c>
      <c r="J403" s="50" t="s">
        <v>1892</v>
      </c>
      <c r="K403" s="50" t="s">
        <v>1892</v>
      </c>
      <c r="L403" s="50" t="s">
        <v>1893</v>
      </c>
      <c r="M403" s="50" t="s">
        <v>2746</v>
      </c>
      <c r="N403" s="50" t="s">
        <v>2746</v>
      </c>
      <c r="O403" s="50" t="s">
        <v>2743</v>
      </c>
      <c r="P403" s="50" t="s">
        <v>2746</v>
      </c>
    </row>
    <row r="404" spans="1:16" ht="12.75" customHeight="1" x14ac:dyDescent="0.25">
      <c r="A404" s="311">
        <v>401</v>
      </c>
      <c r="B404" s="311" t="s">
        <v>140</v>
      </c>
      <c r="C404" s="311" t="s">
        <v>140</v>
      </c>
      <c r="D404" s="311" t="s">
        <v>462</v>
      </c>
      <c r="E404" s="337" t="s">
        <v>140</v>
      </c>
      <c r="F404" s="311" t="s">
        <v>268</v>
      </c>
      <c r="G404" s="311" t="s">
        <v>236</v>
      </c>
      <c r="H404" s="311" t="s">
        <v>393</v>
      </c>
      <c r="I404" s="311" t="s">
        <v>66</v>
      </c>
      <c r="J404" s="50" t="s">
        <v>1892</v>
      </c>
      <c r="K404" s="50" t="s">
        <v>1892</v>
      </c>
      <c r="L404" s="50" t="s">
        <v>1893</v>
      </c>
      <c r="M404" s="50" t="s">
        <v>2747</v>
      </c>
      <c r="N404" s="50" t="s">
        <v>2747</v>
      </c>
      <c r="O404" s="50" t="s">
        <v>2743</v>
      </c>
      <c r="P404" s="50" t="s">
        <v>2747</v>
      </c>
    </row>
    <row r="405" spans="1:16" ht="12.75" customHeight="1" x14ac:dyDescent="0.25">
      <c r="A405" s="311">
        <v>402</v>
      </c>
      <c r="B405" s="311" t="s">
        <v>121</v>
      </c>
      <c r="C405" s="311" t="s">
        <v>121</v>
      </c>
      <c r="D405" s="311" t="s">
        <v>462</v>
      </c>
      <c r="E405" s="337" t="s">
        <v>121</v>
      </c>
      <c r="F405" s="311" t="s">
        <v>268</v>
      </c>
      <c r="G405" s="311" t="s">
        <v>236</v>
      </c>
      <c r="H405" s="311" t="s">
        <v>393</v>
      </c>
      <c r="I405" s="311" t="s">
        <v>66</v>
      </c>
      <c r="J405" s="50" t="s">
        <v>1892</v>
      </c>
      <c r="K405" s="50" t="s">
        <v>1892</v>
      </c>
      <c r="L405" s="50" t="s">
        <v>1893</v>
      </c>
      <c r="M405" s="50" t="s">
        <v>2748</v>
      </c>
      <c r="N405" s="50" t="s">
        <v>2748</v>
      </c>
      <c r="O405" s="50" t="s">
        <v>2743</v>
      </c>
      <c r="P405" s="50" t="s">
        <v>2748</v>
      </c>
    </row>
    <row r="406" spans="1:16" ht="12.75" customHeight="1" x14ac:dyDescent="0.25">
      <c r="A406" s="311">
        <v>403</v>
      </c>
      <c r="B406" s="311" t="s">
        <v>87</v>
      </c>
      <c r="C406" s="311" t="s">
        <v>87</v>
      </c>
      <c r="D406" s="311" t="s">
        <v>462</v>
      </c>
      <c r="E406" s="337" t="s">
        <v>87</v>
      </c>
      <c r="F406" s="311" t="s">
        <v>268</v>
      </c>
      <c r="G406" s="311" t="s">
        <v>236</v>
      </c>
      <c r="H406" s="311" t="s">
        <v>393</v>
      </c>
      <c r="I406" s="311" t="s">
        <v>66</v>
      </c>
      <c r="J406" s="50" t="s">
        <v>1892</v>
      </c>
      <c r="K406" s="50" t="s">
        <v>1892</v>
      </c>
      <c r="L406" s="50" t="s">
        <v>1893</v>
      </c>
      <c r="M406" s="50" t="s">
        <v>2749</v>
      </c>
      <c r="N406" s="50" t="s">
        <v>2749</v>
      </c>
      <c r="O406" s="50" t="s">
        <v>2743</v>
      </c>
      <c r="P406" s="50" t="s">
        <v>2749</v>
      </c>
    </row>
    <row r="407" spans="1:16" ht="12.75" customHeight="1" x14ac:dyDescent="0.25">
      <c r="A407" s="311">
        <v>404</v>
      </c>
      <c r="B407" s="311" t="s">
        <v>125</v>
      </c>
      <c r="C407" s="311" t="s">
        <v>125</v>
      </c>
      <c r="D407" s="311" t="s">
        <v>125</v>
      </c>
      <c r="E407" s="337" t="s">
        <v>125</v>
      </c>
      <c r="F407" s="311" t="s">
        <v>268</v>
      </c>
      <c r="G407" s="311" t="s">
        <v>236</v>
      </c>
      <c r="H407" s="311" t="s">
        <v>393</v>
      </c>
      <c r="I407" s="311" t="s">
        <v>66</v>
      </c>
      <c r="J407" s="50" t="s">
        <v>1892</v>
      </c>
      <c r="K407" s="50" t="s">
        <v>1892</v>
      </c>
      <c r="L407" s="50" t="s">
        <v>1893</v>
      </c>
      <c r="M407" s="50" t="s">
        <v>2750</v>
      </c>
      <c r="N407" s="50" t="s">
        <v>2750</v>
      </c>
      <c r="O407" s="50" t="s">
        <v>2750</v>
      </c>
      <c r="P407" s="50" t="s">
        <v>2750</v>
      </c>
    </row>
    <row r="408" spans="1:16" ht="12.75" customHeight="1" x14ac:dyDescent="0.25">
      <c r="A408" s="311">
        <v>405</v>
      </c>
      <c r="B408" s="311" t="s">
        <v>134</v>
      </c>
      <c r="C408" s="311" t="s">
        <v>134</v>
      </c>
      <c r="D408" s="311" t="s">
        <v>134</v>
      </c>
      <c r="E408" s="337" t="s">
        <v>134</v>
      </c>
      <c r="F408" s="311" t="s">
        <v>268</v>
      </c>
      <c r="G408" s="311" t="s">
        <v>236</v>
      </c>
      <c r="H408" s="311" t="s">
        <v>393</v>
      </c>
      <c r="I408" s="311" t="s">
        <v>66</v>
      </c>
      <c r="J408" s="50" t="s">
        <v>1892</v>
      </c>
      <c r="K408" s="50" t="s">
        <v>1892</v>
      </c>
      <c r="L408" s="50" t="s">
        <v>1893</v>
      </c>
      <c r="M408" s="50" t="s">
        <v>2751</v>
      </c>
      <c r="N408" s="50" t="s">
        <v>2751</v>
      </c>
      <c r="O408" s="50" t="s">
        <v>2751</v>
      </c>
      <c r="P408" s="50" t="s">
        <v>2751</v>
      </c>
    </row>
    <row r="409" spans="1:16" ht="12.75" customHeight="1" x14ac:dyDescent="0.25">
      <c r="A409" s="311">
        <v>406</v>
      </c>
      <c r="B409" s="311" t="s">
        <v>141</v>
      </c>
      <c r="C409" s="311" t="s">
        <v>141</v>
      </c>
      <c r="D409" s="311" t="s">
        <v>141</v>
      </c>
      <c r="E409" s="337" t="s">
        <v>141</v>
      </c>
      <c r="F409" s="311" t="s">
        <v>268</v>
      </c>
      <c r="G409" s="311" t="s">
        <v>236</v>
      </c>
      <c r="H409" s="311" t="s">
        <v>393</v>
      </c>
      <c r="I409" s="311" t="s">
        <v>66</v>
      </c>
      <c r="J409" s="50" t="s">
        <v>1892</v>
      </c>
      <c r="K409" s="50" t="s">
        <v>1892</v>
      </c>
      <c r="L409" s="50" t="s">
        <v>1893</v>
      </c>
      <c r="M409" s="50" t="s">
        <v>2752</v>
      </c>
      <c r="N409" s="50" t="s">
        <v>2752</v>
      </c>
      <c r="O409" s="50" t="s">
        <v>2752</v>
      </c>
      <c r="P409" s="50" t="s">
        <v>2752</v>
      </c>
    </row>
    <row r="410" spans="1:16" ht="12.75" customHeight="1" x14ac:dyDescent="0.25">
      <c r="A410" s="311">
        <v>407</v>
      </c>
      <c r="B410" s="311" t="s">
        <v>69</v>
      </c>
      <c r="C410" s="311" t="s">
        <v>69</v>
      </c>
      <c r="D410" s="311" t="s">
        <v>69</v>
      </c>
      <c r="E410" s="337" t="s">
        <v>69</v>
      </c>
      <c r="F410" s="311" t="s">
        <v>268</v>
      </c>
      <c r="G410" s="311" t="s">
        <v>236</v>
      </c>
      <c r="H410" s="311" t="s">
        <v>393</v>
      </c>
      <c r="I410" s="311" t="s">
        <v>66</v>
      </c>
      <c r="J410" s="50" t="s">
        <v>1892</v>
      </c>
      <c r="K410" s="50" t="s">
        <v>1892</v>
      </c>
      <c r="L410" s="50" t="s">
        <v>1893</v>
      </c>
      <c r="M410" s="50" t="s">
        <v>2753</v>
      </c>
      <c r="N410" s="50" t="s">
        <v>2753</v>
      </c>
      <c r="O410" s="50" t="s">
        <v>2753</v>
      </c>
      <c r="P410" s="50" t="s">
        <v>2753</v>
      </c>
    </row>
    <row r="411" spans="1:16" ht="12.75" customHeight="1" x14ac:dyDescent="0.25">
      <c r="A411" s="311">
        <v>408</v>
      </c>
      <c r="B411" s="311" t="s">
        <v>84</v>
      </c>
      <c r="C411" s="311" t="s">
        <v>462</v>
      </c>
      <c r="D411" s="311" t="s">
        <v>462</v>
      </c>
      <c r="E411" s="337" t="s">
        <v>462</v>
      </c>
      <c r="F411" s="311" t="s">
        <v>268</v>
      </c>
      <c r="G411" s="311" t="s">
        <v>23</v>
      </c>
      <c r="H411" s="311" t="s">
        <v>393</v>
      </c>
      <c r="I411" s="311" t="s">
        <v>66</v>
      </c>
      <c r="J411" s="50" t="s">
        <v>1892</v>
      </c>
      <c r="K411" s="50" t="s">
        <v>1892</v>
      </c>
      <c r="L411" s="50" t="s">
        <v>1893</v>
      </c>
      <c r="M411" s="50" t="s">
        <v>2754</v>
      </c>
      <c r="N411" s="50" t="s">
        <v>2755</v>
      </c>
      <c r="O411" s="50" t="s">
        <v>2755</v>
      </c>
      <c r="P411" s="50" t="s">
        <v>2755</v>
      </c>
    </row>
    <row r="412" spans="1:16" ht="12.75" customHeight="1" x14ac:dyDescent="0.25">
      <c r="A412" s="311">
        <v>409</v>
      </c>
      <c r="B412" s="311" t="s">
        <v>123</v>
      </c>
      <c r="C412" s="311" t="s">
        <v>462</v>
      </c>
      <c r="D412" s="311" t="s">
        <v>462</v>
      </c>
      <c r="E412" s="337" t="s">
        <v>462</v>
      </c>
      <c r="F412" s="311" t="s">
        <v>268</v>
      </c>
      <c r="G412" s="311" t="s">
        <v>23</v>
      </c>
      <c r="H412" s="311" t="s">
        <v>393</v>
      </c>
      <c r="I412" s="311" t="s">
        <v>66</v>
      </c>
      <c r="J412" s="50" t="s">
        <v>1892</v>
      </c>
      <c r="K412" s="50" t="s">
        <v>1892</v>
      </c>
      <c r="L412" s="50" t="s">
        <v>1893</v>
      </c>
      <c r="M412" s="50" t="s">
        <v>2756</v>
      </c>
      <c r="N412" s="50" t="s">
        <v>2755</v>
      </c>
      <c r="O412" s="50" t="s">
        <v>2755</v>
      </c>
      <c r="P412" s="50" t="s">
        <v>2755</v>
      </c>
    </row>
    <row r="413" spans="1:16" ht="12.75" customHeight="1" x14ac:dyDescent="0.25">
      <c r="A413" s="311">
        <v>410</v>
      </c>
      <c r="B413" s="311" t="s">
        <v>75</v>
      </c>
      <c r="C413" s="311" t="s">
        <v>462</v>
      </c>
      <c r="D413" s="311" t="s">
        <v>462</v>
      </c>
      <c r="E413" s="337" t="s">
        <v>462</v>
      </c>
      <c r="F413" s="311" t="s">
        <v>268</v>
      </c>
      <c r="G413" s="311" t="s">
        <v>23</v>
      </c>
      <c r="H413" s="311" t="s">
        <v>393</v>
      </c>
      <c r="I413" s="311" t="s">
        <v>66</v>
      </c>
      <c r="J413" s="50" t="s">
        <v>1892</v>
      </c>
      <c r="K413" s="50" t="s">
        <v>1892</v>
      </c>
      <c r="L413" s="50" t="s">
        <v>1893</v>
      </c>
      <c r="M413" s="50" t="s">
        <v>2757</v>
      </c>
      <c r="N413" s="50" t="s">
        <v>2755</v>
      </c>
      <c r="O413" s="50" t="s">
        <v>2755</v>
      </c>
      <c r="P413" s="50" t="s">
        <v>2755</v>
      </c>
    </row>
    <row r="414" spans="1:16" ht="12.75" customHeight="1" x14ac:dyDescent="0.25">
      <c r="A414" s="311">
        <v>411</v>
      </c>
      <c r="B414" s="311" t="s">
        <v>63</v>
      </c>
      <c r="C414" s="311" t="s">
        <v>63</v>
      </c>
      <c r="D414" s="311" t="s">
        <v>462</v>
      </c>
      <c r="E414" s="337" t="s">
        <v>63</v>
      </c>
      <c r="F414" s="311" t="s">
        <v>268</v>
      </c>
      <c r="G414" s="311" t="s">
        <v>23</v>
      </c>
      <c r="H414" s="311" t="s">
        <v>393</v>
      </c>
      <c r="I414" s="311" t="s">
        <v>66</v>
      </c>
      <c r="J414" s="50" t="s">
        <v>1892</v>
      </c>
      <c r="K414" s="50" t="s">
        <v>1892</v>
      </c>
      <c r="L414" s="50" t="s">
        <v>1893</v>
      </c>
      <c r="M414" s="50" t="s">
        <v>2758</v>
      </c>
      <c r="N414" s="50" t="s">
        <v>2758</v>
      </c>
      <c r="O414" s="50" t="s">
        <v>2755</v>
      </c>
      <c r="P414" s="50" t="s">
        <v>2758</v>
      </c>
    </row>
    <row r="415" spans="1:16" ht="12.75" customHeight="1" x14ac:dyDescent="0.25">
      <c r="A415" s="311">
        <v>412</v>
      </c>
      <c r="B415" s="311" t="s">
        <v>140</v>
      </c>
      <c r="C415" s="311" t="s">
        <v>140</v>
      </c>
      <c r="D415" s="311" t="s">
        <v>462</v>
      </c>
      <c r="E415" s="337" t="s">
        <v>140</v>
      </c>
      <c r="F415" s="311" t="s">
        <v>268</v>
      </c>
      <c r="G415" s="311" t="s">
        <v>23</v>
      </c>
      <c r="H415" s="311" t="s">
        <v>393</v>
      </c>
      <c r="I415" s="311" t="s">
        <v>66</v>
      </c>
      <c r="J415" s="50" t="s">
        <v>1892</v>
      </c>
      <c r="K415" s="50" t="s">
        <v>1892</v>
      </c>
      <c r="L415" s="50" t="s">
        <v>1893</v>
      </c>
      <c r="M415" s="50" t="s">
        <v>2759</v>
      </c>
      <c r="N415" s="50" t="s">
        <v>2759</v>
      </c>
      <c r="O415" s="50" t="s">
        <v>2755</v>
      </c>
      <c r="P415" s="50" t="s">
        <v>2759</v>
      </c>
    </row>
    <row r="416" spans="1:16" ht="12.75" customHeight="1" x14ac:dyDescent="0.25">
      <c r="A416" s="311">
        <v>413</v>
      </c>
      <c r="B416" s="311" t="s">
        <v>121</v>
      </c>
      <c r="C416" s="311" t="s">
        <v>121</v>
      </c>
      <c r="D416" s="311" t="s">
        <v>462</v>
      </c>
      <c r="E416" s="337" t="s">
        <v>121</v>
      </c>
      <c r="F416" s="311" t="s">
        <v>268</v>
      </c>
      <c r="G416" s="311" t="s">
        <v>23</v>
      </c>
      <c r="H416" s="311" t="s">
        <v>393</v>
      </c>
      <c r="I416" s="311" t="s">
        <v>66</v>
      </c>
      <c r="J416" s="50" t="s">
        <v>1892</v>
      </c>
      <c r="K416" s="50" t="s">
        <v>1892</v>
      </c>
      <c r="L416" s="50" t="s">
        <v>1893</v>
      </c>
      <c r="M416" s="50" t="s">
        <v>2760</v>
      </c>
      <c r="N416" s="50" t="s">
        <v>2760</v>
      </c>
      <c r="O416" s="50" t="s">
        <v>2755</v>
      </c>
      <c r="P416" s="50" t="s">
        <v>2760</v>
      </c>
    </row>
    <row r="417" spans="1:16" ht="12.75" customHeight="1" x14ac:dyDescent="0.25">
      <c r="A417" s="311">
        <v>414</v>
      </c>
      <c r="B417" s="311" t="s">
        <v>87</v>
      </c>
      <c r="C417" s="311" t="s">
        <v>87</v>
      </c>
      <c r="D417" s="311" t="s">
        <v>462</v>
      </c>
      <c r="E417" s="337" t="s">
        <v>87</v>
      </c>
      <c r="F417" s="311" t="s">
        <v>268</v>
      </c>
      <c r="G417" s="311" t="s">
        <v>23</v>
      </c>
      <c r="H417" s="311" t="s">
        <v>393</v>
      </c>
      <c r="I417" s="311" t="s">
        <v>66</v>
      </c>
      <c r="J417" s="50" t="s">
        <v>1892</v>
      </c>
      <c r="K417" s="50" t="s">
        <v>1892</v>
      </c>
      <c r="L417" s="50" t="s">
        <v>1893</v>
      </c>
      <c r="M417" s="50" t="s">
        <v>2761</v>
      </c>
      <c r="N417" s="50" t="s">
        <v>2761</v>
      </c>
      <c r="O417" s="50" t="s">
        <v>2755</v>
      </c>
      <c r="P417" s="50" t="s">
        <v>2761</v>
      </c>
    </row>
    <row r="418" spans="1:16" ht="12.75" customHeight="1" x14ac:dyDescent="0.25">
      <c r="A418" s="311">
        <v>415</v>
      </c>
      <c r="B418" s="311" t="s">
        <v>125</v>
      </c>
      <c r="C418" s="311" t="s">
        <v>125</v>
      </c>
      <c r="D418" s="311" t="s">
        <v>125</v>
      </c>
      <c r="E418" s="337" t="s">
        <v>125</v>
      </c>
      <c r="F418" s="311" t="s">
        <v>268</v>
      </c>
      <c r="G418" s="311" t="s">
        <v>23</v>
      </c>
      <c r="H418" s="311" t="s">
        <v>393</v>
      </c>
      <c r="I418" s="311" t="s">
        <v>66</v>
      </c>
      <c r="J418" s="50" t="s">
        <v>1892</v>
      </c>
      <c r="K418" s="50" t="s">
        <v>1892</v>
      </c>
      <c r="L418" s="50" t="s">
        <v>1893</v>
      </c>
      <c r="M418" s="50" t="s">
        <v>2762</v>
      </c>
      <c r="N418" s="50" t="s">
        <v>2762</v>
      </c>
      <c r="O418" s="50" t="s">
        <v>2762</v>
      </c>
      <c r="P418" s="50" t="s">
        <v>2762</v>
      </c>
    </row>
    <row r="419" spans="1:16" ht="12.75" customHeight="1" x14ac:dyDescent="0.25">
      <c r="A419" s="311">
        <v>416</v>
      </c>
      <c r="B419" s="311" t="s">
        <v>134</v>
      </c>
      <c r="C419" s="311" t="s">
        <v>134</v>
      </c>
      <c r="D419" s="311" t="s">
        <v>134</v>
      </c>
      <c r="E419" s="337" t="s">
        <v>134</v>
      </c>
      <c r="F419" s="311" t="s">
        <v>268</v>
      </c>
      <c r="G419" s="311" t="s">
        <v>23</v>
      </c>
      <c r="H419" s="311" t="s">
        <v>393</v>
      </c>
      <c r="I419" s="311" t="s">
        <v>66</v>
      </c>
      <c r="J419" s="50" t="s">
        <v>1892</v>
      </c>
      <c r="K419" s="50" t="s">
        <v>1892</v>
      </c>
      <c r="L419" s="50" t="s">
        <v>1893</v>
      </c>
      <c r="M419" s="50" t="s">
        <v>2763</v>
      </c>
      <c r="N419" s="50" t="s">
        <v>2763</v>
      </c>
      <c r="O419" s="50" t="s">
        <v>2763</v>
      </c>
      <c r="P419" s="50" t="s">
        <v>2763</v>
      </c>
    </row>
    <row r="420" spans="1:16" ht="12.75" customHeight="1" x14ac:dyDescent="0.25">
      <c r="A420" s="311">
        <v>417</v>
      </c>
      <c r="B420" s="311" t="s">
        <v>141</v>
      </c>
      <c r="C420" s="311" t="s">
        <v>141</v>
      </c>
      <c r="D420" s="311" t="s">
        <v>141</v>
      </c>
      <c r="E420" s="337" t="s">
        <v>141</v>
      </c>
      <c r="F420" s="311" t="s">
        <v>268</v>
      </c>
      <c r="G420" s="311" t="s">
        <v>23</v>
      </c>
      <c r="H420" s="311" t="s">
        <v>393</v>
      </c>
      <c r="I420" s="311" t="s">
        <v>66</v>
      </c>
      <c r="J420" s="50" t="s">
        <v>1892</v>
      </c>
      <c r="K420" s="50" t="s">
        <v>1892</v>
      </c>
      <c r="L420" s="50" t="s">
        <v>1893</v>
      </c>
      <c r="M420" s="50" t="s">
        <v>2764</v>
      </c>
      <c r="N420" s="50" t="s">
        <v>2764</v>
      </c>
      <c r="O420" s="50" t="s">
        <v>2764</v>
      </c>
      <c r="P420" s="50" t="s">
        <v>2764</v>
      </c>
    </row>
    <row r="421" spans="1:16" ht="12.75" customHeight="1" x14ac:dyDescent="0.25">
      <c r="A421" s="311">
        <v>418</v>
      </c>
      <c r="B421" s="311" t="s">
        <v>69</v>
      </c>
      <c r="C421" s="311" t="s">
        <v>69</v>
      </c>
      <c r="D421" s="311" t="s">
        <v>69</v>
      </c>
      <c r="E421" s="337" t="s">
        <v>69</v>
      </c>
      <c r="F421" s="311" t="s">
        <v>268</v>
      </c>
      <c r="G421" s="311" t="s">
        <v>23</v>
      </c>
      <c r="H421" s="311" t="s">
        <v>393</v>
      </c>
      <c r="I421" s="311" t="s">
        <v>66</v>
      </c>
      <c r="J421" s="50" t="s">
        <v>1892</v>
      </c>
      <c r="K421" s="50" t="s">
        <v>1892</v>
      </c>
      <c r="L421" s="50" t="s">
        <v>1893</v>
      </c>
      <c r="M421" s="50" t="s">
        <v>2765</v>
      </c>
      <c r="N421" s="50" t="s">
        <v>2765</v>
      </c>
      <c r="O421" s="50" t="s">
        <v>2765</v>
      </c>
      <c r="P421" s="50" t="s">
        <v>2765</v>
      </c>
    </row>
    <row r="422" spans="1:16" ht="12.75" customHeight="1" x14ac:dyDescent="0.25">
      <c r="A422" s="311">
        <v>419</v>
      </c>
      <c r="B422" s="311" t="s">
        <v>84</v>
      </c>
      <c r="C422" s="311" t="s">
        <v>462</v>
      </c>
      <c r="D422" s="311" t="s">
        <v>462</v>
      </c>
      <c r="E422" s="337" t="s">
        <v>462</v>
      </c>
      <c r="F422" s="311" t="s">
        <v>268</v>
      </c>
      <c r="G422" s="311" t="s">
        <v>237</v>
      </c>
      <c r="H422" s="311" t="s">
        <v>393</v>
      </c>
      <c r="I422" s="311" t="s">
        <v>66</v>
      </c>
      <c r="J422" s="50" t="s">
        <v>1892</v>
      </c>
      <c r="K422" s="50" t="s">
        <v>1892</v>
      </c>
      <c r="L422" s="50" t="s">
        <v>1893</v>
      </c>
      <c r="M422" s="50" t="s">
        <v>2766</v>
      </c>
      <c r="N422" s="50" t="s">
        <v>2767</v>
      </c>
      <c r="O422" s="50" t="s">
        <v>2767</v>
      </c>
      <c r="P422" s="50" t="s">
        <v>2767</v>
      </c>
    </row>
    <row r="423" spans="1:16" ht="12.75" customHeight="1" x14ac:dyDescent="0.25">
      <c r="A423" s="311">
        <v>420</v>
      </c>
      <c r="B423" s="311" t="s">
        <v>123</v>
      </c>
      <c r="C423" s="311" t="s">
        <v>462</v>
      </c>
      <c r="D423" s="311" t="s">
        <v>462</v>
      </c>
      <c r="E423" s="337" t="s">
        <v>462</v>
      </c>
      <c r="F423" s="311" t="s">
        <v>268</v>
      </c>
      <c r="G423" s="311" t="s">
        <v>237</v>
      </c>
      <c r="H423" s="311" t="s">
        <v>393</v>
      </c>
      <c r="I423" s="311" t="s">
        <v>66</v>
      </c>
      <c r="J423" s="50" t="s">
        <v>1892</v>
      </c>
      <c r="K423" s="50" t="s">
        <v>1892</v>
      </c>
      <c r="L423" s="50" t="s">
        <v>1893</v>
      </c>
      <c r="M423" s="50" t="s">
        <v>2768</v>
      </c>
      <c r="N423" s="50" t="s">
        <v>2767</v>
      </c>
      <c r="O423" s="50" t="s">
        <v>2767</v>
      </c>
      <c r="P423" s="50" t="s">
        <v>2767</v>
      </c>
    </row>
    <row r="424" spans="1:16" ht="12.75" customHeight="1" x14ac:dyDescent="0.25">
      <c r="A424" s="311">
        <v>421</v>
      </c>
      <c r="B424" s="311" t="s">
        <v>75</v>
      </c>
      <c r="C424" s="311" t="s">
        <v>462</v>
      </c>
      <c r="D424" s="311" t="s">
        <v>462</v>
      </c>
      <c r="E424" s="337" t="s">
        <v>462</v>
      </c>
      <c r="F424" s="311" t="s">
        <v>268</v>
      </c>
      <c r="G424" s="311" t="s">
        <v>237</v>
      </c>
      <c r="H424" s="311" t="s">
        <v>393</v>
      </c>
      <c r="I424" s="311" t="s">
        <v>66</v>
      </c>
      <c r="J424" s="50" t="s">
        <v>1892</v>
      </c>
      <c r="K424" s="50" t="s">
        <v>1892</v>
      </c>
      <c r="L424" s="50" t="s">
        <v>1893</v>
      </c>
      <c r="M424" s="50" t="s">
        <v>2769</v>
      </c>
      <c r="N424" s="50" t="s">
        <v>2767</v>
      </c>
      <c r="O424" s="50" t="s">
        <v>2767</v>
      </c>
      <c r="P424" s="50" t="s">
        <v>2767</v>
      </c>
    </row>
    <row r="425" spans="1:16" ht="12.75" customHeight="1" x14ac:dyDescent="0.25">
      <c r="A425" s="311">
        <v>422</v>
      </c>
      <c r="B425" s="311" t="s">
        <v>63</v>
      </c>
      <c r="C425" s="311" t="s">
        <v>63</v>
      </c>
      <c r="D425" s="311" t="s">
        <v>462</v>
      </c>
      <c r="E425" s="337" t="s">
        <v>63</v>
      </c>
      <c r="F425" s="311" t="s">
        <v>268</v>
      </c>
      <c r="G425" s="311" t="s">
        <v>237</v>
      </c>
      <c r="H425" s="311" t="s">
        <v>393</v>
      </c>
      <c r="I425" s="311" t="s">
        <v>66</v>
      </c>
      <c r="J425" s="50" t="s">
        <v>1892</v>
      </c>
      <c r="K425" s="50" t="s">
        <v>1892</v>
      </c>
      <c r="L425" s="50" t="s">
        <v>1893</v>
      </c>
      <c r="M425" s="50" t="s">
        <v>2770</v>
      </c>
      <c r="N425" s="50" t="s">
        <v>2770</v>
      </c>
      <c r="O425" s="50" t="s">
        <v>2767</v>
      </c>
      <c r="P425" s="50" t="s">
        <v>2770</v>
      </c>
    </row>
    <row r="426" spans="1:16" ht="12.75" customHeight="1" x14ac:dyDescent="0.25">
      <c r="A426" s="311">
        <v>423</v>
      </c>
      <c r="B426" s="311" t="s">
        <v>140</v>
      </c>
      <c r="C426" s="311" t="s">
        <v>140</v>
      </c>
      <c r="D426" s="311" t="s">
        <v>462</v>
      </c>
      <c r="E426" s="337" t="s">
        <v>140</v>
      </c>
      <c r="F426" s="311" t="s">
        <v>268</v>
      </c>
      <c r="G426" s="311" t="s">
        <v>237</v>
      </c>
      <c r="H426" s="311" t="s">
        <v>393</v>
      </c>
      <c r="I426" s="311" t="s">
        <v>66</v>
      </c>
      <c r="J426" s="50" t="s">
        <v>1892</v>
      </c>
      <c r="K426" s="50" t="s">
        <v>1892</v>
      </c>
      <c r="L426" s="50" t="s">
        <v>1893</v>
      </c>
      <c r="M426" s="50" t="s">
        <v>2771</v>
      </c>
      <c r="N426" s="50" t="s">
        <v>2771</v>
      </c>
      <c r="O426" s="50" t="s">
        <v>2767</v>
      </c>
      <c r="P426" s="50" t="s">
        <v>2771</v>
      </c>
    </row>
    <row r="427" spans="1:16" ht="12.75" customHeight="1" x14ac:dyDescent="0.25">
      <c r="A427" s="311">
        <v>424</v>
      </c>
      <c r="B427" s="311" t="s">
        <v>121</v>
      </c>
      <c r="C427" s="311" t="s">
        <v>121</v>
      </c>
      <c r="D427" s="311" t="s">
        <v>462</v>
      </c>
      <c r="E427" s="337" t="s">
        <v>121</v>
      </c>
      <c r="F427" s="311" t="s">
        <v>268</v>
      </c>
      <c r="G427" s="311" t="s">
        <v>237</v>
      </c>
      <c r="H427" s="311" t="s">
        <v>393</v>
      </c>
      <c r="I427" s="311" t="s">
        <v>66</v>
      </c>
      <c r="J427" s="50" t="s">
        <v>1892</v>
      </c>
      <c r="K427" s="50" t="s">
        <v>1892</v>
      </c>
      <c r="L427" s="50" t="s">
        <v>1893</v>
      </c>
      <c r="M427" s="50" t="s">
        <v>2772</v>
      </c>
      <c r="N427" s="50" t="s">
        <v>2772</v>
      </c>
      <c r="O427" s="50" t="s">
        <v>2767</v>
      </c>
      <c r="P427" s="50" t="s">
        <v>2772</v>
      </c>
    </row>
    <row r="428" spans="1:16" ht="12.75" customHeight="1" x14ac:dyDescent="0.25">
      <c r="A428" s="311">
        <v>425</v>
      </c>
      <c r="B428" s="311" t="s">
        <v>87</v>
      </c>
      <c r="C428" s="311" t="s">
        <v>87</v>
      </c>
      <c r="D428" s="311" t="s">
        <v>462</v>
      </c>
      <c r="E428" s="337" t="s">
        <v>87</v>
      </c>
      <c r="F428" s="311" t="s">
        <v>268</v>
      </c>
      <c r="G428" s="311" t="s">
        <v>237</v>
      </c>
      <c r="H428" s="311" t="s">
        <v>393</v>
      </c>
      <c r="I428" s="311" t="s">
        <v>66</v>
      </c>
      <c r="J428" s="50" t="s">
        <v>1892</v>
      </c>
      <c r="K428" s="50" t="s">
        <v>1892</v>
      </c>
      <c r="L428" s="50" t="s">
        <v>1893</v>
      </c>
      <c r="M428" s="50" t="s">
        <v>2773</v>
      </c>
      <c r="N428" s="50" t="s">
        <v>2773</v>
      </c>
      <c r="O428" s="50" t="s">
        <v>2767</v>
      </c>
      <c r="P428" s="50" t="s">
        <v>2773</v>
      </c>
    </row>
    <row r="429" spans="1:16" ht="12.75" customHeight="1" x14ac:dyDescent="0.25">
      <c r="A429" s="311">
        <v>426</v>
      </c>
      <c r="B429" s="311" t="s">
        <v>125</v>
      </c>
      <c r="C429" s="311" t="s">
        <v>125</v>
      </c>
      <c r="D429" s="311" t="s">
        <v>125</v>
      </c>
      <c r="E429" s="337" t="s">
        <v>125</v>
      </c>
      <c r="F429" s="311" t="s">
        <v>268</v>
      </c>
      <c r="G429" s="311" t="s">
        <v>237</v>
      </c>
      <c r="H429" s="311" t="s">
        <v>393</v>
      </c>
      <c r="I429" s="311" t="s">
        <v>66</v>
      </c>
      <c r="J429" s="50" t="s">
        <v>1892</v>
      </c>
      <c r="K429" s="50" t="s">
        <v>1892</v>
      </c>
      <c r="L429" s="50" t="s">
        <v>1893</v>
      </c>
      <c r="M429" s="50" t="s">
        <v>2774</v>
      </c>
      <c r="N429" s="50" t="s">
        <v>2774</v>
      </c>
      <c r="O429" s="50" t="s">
        <v>2774</v>
      </c>
      <c r="P429" s="50" t="s">
        <v>2774</v>
      </c>
    </row>
    <row r="430" spans="1:16" ht="12.75" customHeight="1" x14ac:dyDescent="0.25">
      <c r="A430" s="311">
        <v>427</v>
      </c>
      <c r="B430" s="311" t="s">
        <v>134</v>
      </c>
      <c r="C430" s="311" t="s">
        <v>134</v>
      </c>
      <c r="D430" s="311" t="s">
        <v>134</v>
      </c>
      <c r="E430" s="337" t="s">
        <v>134</v>
      </c>
      <c r="F430" s="311" t="s">
        <v>268</v>
      </c>
      <c r="G430" s="311" t="s">
        <v>237</v>
      </c>
      <c r="H430" s="311" t="s">
        <v>393</v>
      </c>
      <c r="I430" s="311" t="s">
        <v>66</v>
      </c>
      <c r="J430" s="50" t="s">
        <v>1892</v>
      </c>
      <c r="K430" s="50" t="s">
        <v>1892</v>
      </c>
      <c r="L430" s="50" t="s">
        <v>1893</v>
      </c>
      <c r="M430" s="50" t="s">
        <v>2775</v>
      </c>
      <c r="N430" s="50" t="s">
        <v>2775</v>
      </c>
      <c r="O430" s="50" t="s">
        <v>2775</v>
      </c>
      <c r="P430" s="50" t="s">
        <v>2775</v>
      </c>
    </row>
    <row r="431" spans="1:16" ht="12.75" customHeight="1" x14ac:dyDescent="0.25">
      <c r="A431" s="311">
        <v>428</v>
      </c>
      <c r="B431" s="311" t="s">
        <v>141</v>
      </c>
      <c r="C431" s="311" t="s">
        <v>141</v>
      </c>
      <c r="D431" s="311" t="s">
        <v>141</v>
      </c>
      <c r="E431" s="337" t="s">
        <v>141</v>
      </c>
      <c r="F431" s="311" t="s">
        <v>268</v>
      </c>
      <c r="G431" s="311" t="s">
        <v>237</v>
      </c>
      <c r="H431" s="311" t="s">
        <v>393</v>
      </c>
      <c r="I431" s="311" t="s">
        <v>66</v>
      </c>
      <c r="J431" s="50" t="s">
        <v>1892</v>
      </c>
      <c r="K431" s="50" t="s">
        <v>1892</v>
      </c>
      <c r="L431" s="50" t="s">
        <v>1893</v>
      </c>
      <c r="M431" s="50" t="s">
        <v>2776</v>
      </c>
      <c r="N431" s="50" t="s">
        <v>2776</v>
      </c>
      <c r="O431" s="50" t="s">
        <v>2776</v>
      </c>
      <c r="P431" s="50" t="s">
        <v>2776</v>
      </c>
    </row>
    <row r="432" spans="1:16" ht="12.75" customHeight="1" x14ac:dyDescent="0.25">
      <c r="A432" s="311">
        <v>429</v>
      </c>
      <c r="B432" s="311" t="s">
        <v>69</v>
      </c>
      <c r="C432" s="311" t="s">
        <v>69</v>
      </c>
      <c r="D432" s="311" t="s">
        <v>69</v>
      </c>
      <c r="E432" s="337" t="s">
        <v>69</v>
      </c>
      <c r="F432" s="311" t="s">
        <v>268</v>
      </c>
      <c r="G432" s="311" t="s">
        <v>237</v>
      </c>
      <c r="H432" s="311" t="s">
        <v>393</v>
      </c>
      <c r="I432" s="311" t="s">
        <v>66</v>
      </c>
      <c r="J432" s="50" t="s">
        <v>1892</v>
      </c>
      <c r="K432" s="50" t="s">
        <v>1892</v>
      </c>
      <c r="L432" s="50" t="s">
        <v>1893</v>
      </c>
      <c r="M432" s="50" t="s">
        <v>2777</v>
      </c>
      <c r="N432" s="50" t="s">
        <v>2777</v>
      </c>
      <c r="O432" s="50" t="s">
        <v>2777</v>
      </c>
      <c r="P432" s="50" t="s">
        <v>2777</v>
      </c>
    </row>
    <row r="433" spans="1:16" ht="12.75" customHeight="1" x14ac:dyDescent="0.25">
      <c r="A433" s="311">
        <v>430</v>
      </c>
      <c r="B433" s="311" t="s">
        <v>84</v>
      </c>
      <c r="C433" s="311" t="s">
        <v>462</v>
      </c>
      <c r="D433" s="311" t="s">
        <v>462</v>
      </c>
      <c r="E433" s="337" t="s">
        <v>462</v>
      </c>
      <c r="F433" s="311" t="s">
        <v>273</v>
      </c>
      <c r="G433" s="311" t="s">
        <v>236</v>
      </c>
      <c r="H433" s="311" t="s">
        <v>393</v>
      </c>
      <c r="I433" s="311" t="s">
        <v>66</v>
      </c>
      <c r="J433" s="50" t="s">
        <v>1892</v>
      </c>
      <c r="K433" s="50" t="s">
        <v>1892</v>
      </c>
      <c r="L433" s="50" t="s">
        <v>1893</v>
      </c>
      <c r="M433" s="50" t="s">
        <v>2778</v>
      </c>
      <c r="N433" s="50" t="s">
        <v>2779</v>
      </c>
      <c r="O433" s="50" t="s">
        <v>2779</v>
      </c>
      <c r="P433" s="50" t="s">
        <v>2779</v>
      </c>
    </row>
    <row r="434" spans="1:16" ht="12.75" customHeight="1" x14ac:dyDescent="0.25">
      <c r="A434" s="311">
        <v>431</v>
      </c>
      <c r="B434" s="311" t="s">
        <v>123</v>
      </c>
      <c r="C434" s="311" t="s">
        <v>462</v>
      </c>
      <c r="D434" s="311" t="s">
        <v>462</v>
      </c>
      <c r="E434" s="337" t="s">
        <v>462</v>
      </c>
      <c r="F434" s="311" t="s">
        <v>273</v>
      </c>
      <c r="G434" s="311" t="s">
        <v>236</v>
      </c>
      <c r="H434" s="311" t="s">
        <v>393</v>
      </c>
      <c r="I434" s="311" t="s">
        <v>66</v>
      </c>
      <c r="J434" s="50" t="s">
        <v>1892</v>
      </c>
      <c r="K434" s="50" t="s">
        <v>1892</v>
      </c>
      <c r="L434" s="50" t="s">
        <v>1893</v>
      </c>
      <c r="M434" s="50" t="s">
        <v>2780</v>
      </c>
      <c r="N434" s="50" t="s">
        <v>2779</v>
      </c>
      <c r="O434" s="50" t="s">
        <v>2779</v>
      </c>
      <c r="P434" s="50" t="s">
        <v>2779</v>
      </c>
    </row>
    <row r="435" spans="1:16" ht="12.75" customHeight="1" x14ac:dyDescent="0.25">
      <c r="A435" s="311">
        <v>432</v>
      </c>
      <c r="B435" s="311" t="s">
        <v>75</v>
      </c>
      <c r="C435" s="311" t="s">
        <v>462</v>
      </c>
      <c r="D435" s="311" t="s">
        <v>462</v>
      </c>
      <c r="E435" s="337" t="s">
        <v>462</v>
      </c>
      <c r="F435" s="311" t="s">
        <v>273</v>
      </c>
      <c r="G435" s="311" t="s">
        <v>236</v>
      </c>
      <c r="H435" s="311" t="s">
        <v>393</v>
      </c>
      <c r="I435" s="311" t="s">
        <v>66</v>
      </c>
      <c r="J435" s="50" t="s">
        <v>1892</v>
      </c>
      <c r="K435" s="50" t="s">
        <v>1892</v>
      </c>
      <c r="L435" s="50" t="s">
        <v>1893</v>
      </c>
      <c r="M435" s="50" t="s">
        <v>2781</v>
      </c>
      <c r="N435" s="50" t="s">
        <v>2779</v>
      </c>
      <c r="O435" s="50" t="s">
        <v>2779</v>
      </c>
      <c r="P435" s="50" t="s">
        <v>2779</v>
      </c>
    </row>
    <row r="436" spans="1:16" ht="12.75" customHeight="1" x14ac:dyDescent="0.25">
      <c r="A436" s="311">
        <v>433</v>
      </c>
      <c r="B436" s="311" t="s">
        <v>63</v>
      </c>
      <c r="C436" s="311" t="s">
        <v>63</v>
      </c>
      <c r="D436" s="311" t="s">
        <v>462</v>
      </c>
      <c r="E436" s="337" t="s">
        <v>63</v>
      </c>
      <c r="F436" s="311" t="s">
        <v>273</v>
      </c>
      <c r="G436" s="311" t="s">
        <v>236</v>
      </c>
      <c r="H436" s="311" t="s">
        <v>393</v>
      </c>
      <c r="I436" s="311" t="s">
        <v>66</v>
      </c>
      <c r="J436" s="50" t="s">
        <v>1892</v>
      </c>
      <c r="K436" s="50" t="s">
        <v>1892</v>
      </c>
      <c r="L436" s="50" t="s">
        <v>1893</v>
      </c>
      <c r="M436" s="50" t="s">
        <v>2782</v>
      </c>
      <c r="N436" s="50" t="s">
        <v>2782</v>
      </c>
      <c r="O436" s="50" t="s">
        <v>2779</v>
      </c>
      <c r="P436" s="50" t="s">
        <v>2782</v>
      </c>
    </row>
    <row r="437" spans="1:16" ht="12.75" customHeight="1" x14ac:dyDescent="0.25">
      <c r="A437" s="311">
        <v>434</v>
      </c>
      <c r="B437" s="311" t="s">
        <v>140</v>
      </c>
      <c r="C437" s="311" t="s">
        <v>140</v>
      </c>
      <c r="D437" s="311" t="s">
        <v>462</v>
      </c>
      <c r="E437" s="337" t="s">
        <v>140</v>
      </c>
      <c r="F437" s="311" t="s">
        <v>273</v>
      </c>
      <c r="G437" s="311" t="s">
        <v>236</v>
      </c>
      <c r="H437" s="311" t="s">
        <v>393</v>
      </c>
      <c r="I437" s="311" t="s">
        <v>66</v>
      </c>
      <c r="J437" s="50" t="s">
        <v>1892</v>
      </c>
      <c r="K437" s="50" t="s">
        <v>1892</v>
      </c>
      <c r="L437" s="50" t="s">
        <v>1893</v>
      </c>
      <c r="M437" s="50" t="s">
        <v>2783</v>
      </c>
      <c r="N437" s="50" t="s">
        <v>2783</v>
      </c>
      <c r="O437" s="50" t="s">
        <v>2779</v>
      </c>
      <c r="P437" s="50" t="s">
        <v>2783</v>
      </c>
    </row>
    <row r="438" spans="1:16" ht="12.75" customHeight="1" x14ac:dyDescent="0.25">
      <c r="A438" s="311">
        <v>435</v>
      </c>
      <c r="B438" s="311" t="s">
        <v>121</v>
      </c>
      <c r="C438" s="311" t="s">
        <v>121</v>
      </c>
      <c r="D438" s="311" t="s">
        <v>462</v>
      </c>
      <c r="E438" s="337" t="s">
        <v>121</v>
      </c>
      <c r="F438" s="311" t="s">
        <v>273</v>
      </c>
      <c r="G438" s="311" t="s">
        <v>236</v>
      </c>
      <c r="H438" s="311" t="s">
        <v>393</v>
      </c>
      <c r="I438" s="311" t="s">
        <v>66</v>
      </c>
      <c r="J438" s="50" t="s">
        <v>1892</v>
      </c>
      <c r="K438" s="50" t="s">
        <v>1892</v>
      </c>
      <c r="L438" s="50" t="s">
        <v>1893</v>
      </c>
      <c r="M438" s="50" t="s">
        <v>2784</v>
      </c>
      <c r="N438" s="50" t="s">
        <v>2784</v>
      </c>
      <c r="O438" s="50" t="s">
        <v>2779</v>
      </c>
      <c r="P438" s="50" t="s">
        <v>2784</v>
      </c>
    </row>
    <row r="439" spans="1:16" ht="12.75" customHeight="1" x14ac:dyDescent="0.25">
      <c r="A439" s="311">
        <v>436</v>
      </c>
      <c r="B439" s="311" t="s">
        <v>87</v>
      </c>
      <c r="C439" s="311" t="s">
        <v>87</v>
      </c>
      <c r="D439" s="311" t="s">
        <v>462</v>
      </c>
      <c r="E439" s="337" t="s">
        <v>87</v>
      </c>
      <c r="F439" s="311" t="s">
        <v>273</v>
      </c>
      <c r="G439" s="311" t="s">
        <v>236</v>
      </c>
      <c r="H439" s="311" t="s">
        <v>393</v>
      </c>
      <c r="I439" s="311" t="s">
        <v>66</v>
      </c>
      <c r="J439" s="50" t="s">
        <v>1892</v>
      </c>
      <c r="K439" s="50" t="s">
        <v>1892</v>
      </c>
      <c r="L439" s="50" t="s">
        <v>1893</v>
      </c>
      <c r="M439" s="50" t="s">
        <v>2785</v>
      </c>
      <c r="N439" s="50" t="s">
        <v>2785</v>
      </c>
      <c r="O439" s="50" t="s">
        <v>2779</v>
      </c>
      <c r="P439" s="50" t="s">
        <v>2785</v>
      </c>
    </row>
    <row r="440" spans="1:16" ht="12.75" customHeight="1" x14ac:dyDescent="0.25">
      <c r="A440" s="311">
        <v>437</v>
      </c>
      <c r="B440" s="311" t="s">
        <v>125</v>
      </c>
      <c r="C440" s="311" t="s">
        <v>125</v>
      </c>
      <c r="D440" s="311" t="s">
        <v>125</v>
      </c>
      <c r="E440" s="337" t="s">
        <v>125</v>
      </c>
      <c r="F440" s="311" t="s">
        <v>273</v>
      </c>
      <c r="G440" s="311" t="s">
        <v>236</v>
      </c>
      <c r="H440" s="311" t="s">
        <v>393</v>
      </c>
      <c r="I440" s="311" t="s">
        <v>66</v>
      </c>
      <c r="J440" s="50" t="s">
        <v>1892</v>
      </c>
      <c r="K440" s="50" t="s">
        <v>1892</v>
      </c>
      <c r="L440" s="50" t="s">
        <v>1893</v>
      </c>
      <c r="M440" s="50" t="s">
        <v>2786</v>
      </c>
      <c r="N440" s="50" t="s">
        <v>2786</v>
      </c>
      <c r="O440" s="50" t="s">
        <v>2786</v>
      </c>
      <c r="P440" s="50" t="s">
        <v>2786</v>
      </c>
    </row>
    <row r="441" spans="1:16" ht="12.75" customHeight="1" x14ac:dyDescent="0.25">
      <c r="A441" s="311">
        <v>438</v>
      </c>
      <c r="B441" s="311" t="s">
        <v>134</v>
      </c>
      <c r="C441" s="311" t="s">
        <v>134</v>
      </c>
      <c r="D441" s="311" t="s">
        <v>134</v>
      </c>
      <c r="E441" s="337" t="s">
        <v>134</v>
      </c>
      <c r="F441" s="311" t="s">
        <v>273</v>
      </c>
      <c r="G441" s="311" t="s">
        <v>236</v>
      </c>
      <c r="H441" s="311" t="s">
        <v>393</v>
      </c>
      <c r="I441" s="311" t="s">
        <v>66</v>
      </c>
      <c r="J441" s="50" t="s">
        <v>1892</v>
      </c>
      <c r="K441" s="50" t="s">
        <v>1892</v>
      </c>
      <c r="L441" s="50" t="s">
        <v>1893</v>
      </c>
      <c r="M441" s="50" t="s">
        <v>2787</v>
      </c>
      <c r="N441" s="50" t="s">
        <v>2787</v>
      </c>
      <c r="O441" s="50" t="s">
        <v>2787</v>
      </c>
      <c r="P441" s="50" t="s">
        <v>2787</v>
      </c>
    </row>
    <row r="442" spans="1:16" ht="12.75" customHeight="1" x14ac:dyDescent="0.25">
      <c r="A442" s="311">
        <v>439</v>
      </c>
      <c r="B442" s="311" t="s">
        <v>141</v>
      </c>
      <c r="C442" s="311" t="s">
        <v>141</v>
      </c>
      <c r="D442" s="311" t="s">
        <v>141</v>
      </c>
      <c r="E442" s="337" t="s">
        <v>141</v>
      </c>
      <c r="F442" s="311" t="s">
        <v>273</v>
      </c>
      <c r="G442" s="311" t="s">
        <v>236</v>
      </c>
      <c r="H442" s="311" t="s">
        <v>393</v>
      </c>
      <c r="I442" s="311" t="s">
        <v>66</v>
      </c>
      <c r="J442" s="50" t="s">
        <v>1892</v>
      </c>
      <c r="K442" s="50" t="s">
        <v>1892</v>
      </c>
      <c r="L442" s="50" t="s">
        <v>1893</v>
      </c>
      <c r="M442" s="50" t="s">
        <v>2788</v>
      </c>
      <c r="N442" s="50" t="s">
        <v>2788</v>
      </c>
      <c r="O442" s="50" t="s">
        <v>2788</v>
      </c>
      <c r="P442" s="50" t="s">
        <v>2788</v>
      </c>
    </row>
    <row r="443" spans="1:16" ht="12.75" customHeight="1" x14ac:dyDescent="0.25">
      <c r="A443" s="311">
        <v>440</v>
      </c>
      <c r="B443" s="311" t="s">
        <v>69</v>
      </c>
      <c r="C443" s="311" t="s">
        <v>69</v>
      </c>
      <c r="D443" s="311" t="s">
        <v>69</v>
      </c>
      <c r="E443" s="337" t="s">
        <v>69</v>
      </c>
      <c r="F443" s="311" t="s">
        <v>273</v>
      </c>
      <c r="G443" s="311" t="s">
        <v>236</v>
      </c>
      <c r="H443" s="311" t="s">
        <v>393</v>
      </c>
      <c r="I443" s="311" t="s">
        <v>66</v>
      </c>
      <c r="J443" s="50" t="s">
        <v>1892</v>
      </c>
      <c r="K443" s="50" t="s">
        <v>1892</v>
      </c>
      <c r="L443" s="50" t="s">
        <v>1893</v>
      </c>
      <c r="M443" s="50" t="s">
        <v>2789</v>
      </c>
      <c r="N443" s="50" t="s">
        <v>2789</v>
      </c>
      <c r="O443" s="50" t="s">
        <v>2789</v>
      </c>
      <c r="P443" s="50" t="s">
        <v>2789</v>
      </c>
    </row>
    <row r="444" spans="1:16" ht="12.75" customHeight="1" x14ac:dyDescent="0.25">
      <c r="A444" s="311">
        <v>441</v>
      </c>
      <c r="B444" s="311" t="s">
        <v>84</v>
      </c>
      <c r="C444" s="311" t="s">
        <v>462</v>
      </c>
      <c r="D444" s="311" t="s">
        <v>462</v>
      </c>
      <c r="E444" s="337" t="s">
        <v>462</v>
      </c>
      <c r="F444" s="311" t="s">
        <v>273</v>
      </c>
      <c r="G444" s="311" t="s">
        <v>23</v>
      </c>
      <c r="H444" s="311" t="s">
        <v>393</v>
      </c>
      <c r="I444" s="311" t="s">
        <v>66</v>
      </c>
      <c r="J444" s="50" t="s">
        <v>1892</v>
      </c>
      <c r="K444" s="50" t="s">
        <v>1892</v>
      </c>
      <c r="L444" s="50" t="s">
        <v>1893</v>
      </c>
      <c r="M444" s="50" t="s">
        <v>2790</v>
      </c>
      <c r="N444" s="50" t="s">
        <v>2791</v>
      </c>
      <c r="O444" s="50" t="s">
        <v>2791</v>
      </c>
      <c r="P444" s="50" t="s">
        <v>2791</v>
      </c>
    </row>
    <row r="445" spans="1:16" ht="12.75" customHeight="1" x14ac:dyDescent="0.25">
      <c r="A445" s="311">
        <v>442</v>
      </c>
      <c r="B445" s="311" t="s">
        <v>123</v>
      </c>
      <c r="C445" s="311" t="s">
        <v>462</v>
      </c>
      <c r="D445" s="311" t="s">
        <v>462</v>
      </c>
      <c r="E445" s="337" t="s">
        <v>462</v>
      </c>
      <c r="F445" s="311" t="s">
        <v>273</v>
      </c>
      <c r="G445" s="311" t="s">
        <v>23</v>
      </c>
      <c r="H445" s="311" t="s">
        <v>393</v>
      </c>
      <c r="I445" s="311" t="s">
        <v>66</v>
      </c>
      <c r="J445" s="50" t="s">
        <v>1892</v>
      </c>
      <c r="K445" s="50" t="s">
        <v>1892</v>
      </c>
      <c r="L445" s="50" t="s">
        <v>1893</v>
      </c>
      <c r="M445" s="50" t="s">
        <v>2792</v>
      </c>
      <c r="N445" s="50" t="s">
        <v>2791</v>
      </c>
      <c r="O445" s="50" t="s">
        <v>2791</v>
      </c>
      <c r="P445" s="50" t="s">
        <v>2791</v>
      </c>
    </row>
    <row r="446" spans="1:16" ht="12.75" customHeight="1" x14ac:dyDescent="0.25">
      <c r="A446" s="311">
        <v>443</v>
      </c>
      <c r="B446" s="311" t="s">
        <v>75</v>
      </c>
      <c r="C446" s="311" t="s">
        <v>462</v>
      </c>
      <c r="D446" s="311" t="s">
        <v>462</v>
      </c>
      <c r="E446" s="337" t="s">
        <v>462</v>
      </c>
      <c r="F446" s="311" t="s">
        <v>273</v>
      </c>
      <c r="G446" s="311" t="s">
        <v>23</v>
      </c>
      <c r="H446" s="311" t="s">
        <v>393</v>
      </c>
      <c r="I446" s="311" t="s">
        <v>66</v>
      </c>
      <c r="J446" s="50" t="s">
        <v>1892</v>
      </c>
      <c r="K446" s="50" t="s">
        <v>1892</v>
      </c>
      <c r="L446" s="50" t="s">
        <v>1893</v>
      </c>
      <c r="M446" s="50" t="s">
        <v>2793</v>
      </c>
      <c r="N446" s="50" t="s">
        <v>2791</v>
      </c>
      <c r="O446" s="50" t="s">
        <v>2791</v>
      </c>
      <c r="P446" s="50" t="s">
        <v>2791</v>
      </c>
    </row>
    <row r="447" spans="1:16" ht="12.75" customHeight="1" x14ac:dyDescent="0.25">
      <c r="A447" s="311">
        <v>444</v>
      </c>
      <c r="B447" s="311" t="s">
        <v>63</v>
      </c>
      <c r="C447" s="311" t="s">
        <v>63</v>
      </c>
      <c r="D447" s="311" t="s">
        <v>462</v>
      </c>
      <c r="E447" s="337" t="s">
        <v>63</v>
      </c>
      <c r="F447" s="311" t="s">
        <v>273</v>
      </c>
      <c r="G447" s="311" t="s">
        <v>23</v>
      </c>
      <c r="H447" s="311" t="s">
        <v>393</v>
      </c>
      <c r="I447" s="311" t="s">
        <v>66</v>
      </c>
      <c r="J447" s="50" t="s">
        <v>1892</v>
      </c>
      <c r="K447" s="50" t="s">
        <v>1892</v>
      </c>
      <c r="L447" s="50" t="s">
        <v>1893</v>
      </c>
      <c r="M447" s="50" t="s">
        <v>2794</v>
      </c>
      <c r="N447" s="50" t="s">
        <v>2794</v>
      </c>
      <c r="O447" s="50" t="s">
        <v>2791</v>
      </c>
      <c r="P447" s="50" t="s">
        <v>2794</v>
      </c>
    </row>
    <row r="448" spans="1:16" ht="12.75" customHeight="1" x14ac:dyDescent="0.25">
      <c r="A448" s="311">
        <v>445</v>
      </c>
      <c r="B448" s="311" t="s">
        <v>140</v>
      </c>
      <c r="C448" s="311" t="s">
        <v>140</v>
      </c>
      <c r="D448" s="311" t="s">
        <v>462</v>
      </c>
      <c r="E448" s="337" t="s">
        <v>140</v>
      </c>
      <c r="F448" s="311" t="s">
        <v>273</v>
      </c>
      <c r="G448" s="311" t="s">
        <v>23</v>
      </c>
      <c r="H448" s="311" t="s">
        <v>393</v>
      </c>
      <c r="I448" s="311" t="s">
        <v>66</v>
      </c>
      <c r="J448" s="50" t="s">
        <v>1892</v>
      </c>
      <c r="K448" s="50" t="s">
        <v>1892</v>
      </c>
      <c r="L448" s="50" t="s">
        <v>1893</v>
      </c>
      <c r="M448" s="50" t="s">
        <v>2795</v>
      </c>
      <c r="N448" s="50" t="s">
        <v>2795</v>
      </c>
      <c r="O448" s="50" t="s">
        <v>2791</v>
      </c>
      <c r="P448" s="50" t="s">
        <v>2795</v>
      </c>
    </row>
    <row r="449" spans="1:16" ht="12.75" customHeight="1" x14ac:dyDescent="0.25">
      <c r="A449" s="311">
        <v>446</v>
      </c>
      <c r="B449" s="311" t="s">
        <v>121</v>
      </c>
      <c r="C449" s="311" t="s">
        <v>121</v>
      </c>
      <c r="D449" s="311" t="s">
        <v>462</v>
      </c>
      <c r="E449" s="337" t="s">
        <v>121</v>
      </c>
      <c r="F449" s="311" t="s">
        <v>273</v>
      </c>
      <c r="G449" s="311" t="s">
        <v>23</v>
      </c>
      <c r="H449" s="311" t="s">
        <v>393</v>
      </c>
      <c r="I449" s="311" t="s">
        <v>66</v>
      </c>
      <c r="J449" s="50" t="s">
        <v>1892</v>
      </c>
      <c r="K449" s="50" t="s">
        <v>1892</v>
      </c>
      <c r="L449" s="50" t="s">
        <v>1893</v>
      </c>
      <c r="M449" s="50" t="s">
        <v>2796</v>
      </c>
      <c r="N449" s="50" t="s">
        <v>2796</v>
      </c>
      <c r="O449" s="50" t="s">
        <v>2791</v>
      </c>
      <c r="P449" s="50" t="s">
        <v>2796</v>
      </c>
    </row>
    <row r="450" spans="1:16" ht="12.75" customHeight="1" x14ac:dyDescent="0.25">
      <c r="A450" s="311">
        <v>447</v>
      </c>
      <c r="B450" s="311" t="s">
        <v>87</v>
      </c>
      <c r="C450" s="311" t="s">
        <v>87</v>
      </c>
      <c r="D450" s="311" t="s">
        <v>462</v>
      </c>
      <c r="E450" s="337" t="s">
        <v>87</v>
      </c>
      <c r="F450" s="311" t="s">
        <v>273</v>
      </c>
      <c r="G450" s="311" t="s">
        <v>23</v>
      </c>
      <c r="H450" s="311" t="s">
        <v>393</v>
      </c>
      <c r="I450" s="311" t="s">
        <v>66</v>
      </c>
      <c r="J450" s="50" t="s">
        <v>1892</v>
      </c>
      <c r="K450" s="50" t="s">
        <v>1892</v>
      </c>
      <c r="L450" s="50" t="s">
        <v>1893</v>
      </c>
      <c r="M450" s="50" t="s">
        <v>2797</v>
      </c>
      <c r="N450" s="50" t="s">
        <v>2797</v>
      </c>
      <c r="O450" s="50" t="s">
        <v>2791</v>
      </c>
      <c r="P450" s="50" t="s">
        <v>2797</v>
      </c>
    </row>
    <row r="451" spans="1:16" ht="12.75" customHeight="1" x14ac:dyDescent="0.25">
      <c r="A451" s="311">
        <v>448</v>
      </c>
      <c r="B451" s="311" t="s">
        <v>125</v>
      </c>
      <c r="C451" s="311" t="s">
        <v>125</v>
      </c>
      <c r="D451" s="311" t="s">
        <v>125</v>
      </c>
      <c r="E451" s="337" t="s">
        <v>125</v>
      </c>
      <c r="F451" s="311" t="s">
        <v>273</v>
      </c>
      <c r="G451" s="311" t="s">
        <v>23</v>
      </c>
      <c r="H451" s="311" t="s">
        <v>393</v>
      </c>
      <c r="I451" s="311" t="s">
        <v>66</v>
      </c>
      <c r="J451" s="50" t="s">
        <v>1892</v>
      </c>
      <c r="K451" s="50" t="s">
        <v>1892</v>
      </c>
      <c r="L451" s="50" t="s">
        <v>1893</v>
      </c>
      <c r="M451" s="50" t="s">
        <v>2798</v>
      </c>
      <c r="N451" s="50" t="s">
        <v>2798</v>
      </c>
      <c r="O451" s="50" t="s">
        <v>2798</v>
      </c>
      <c r="P451" s="50" t="s">
        <v>2798</v>
      </c>
    </row>
    <row r="452" spans="1:16" ht="12.75" customHeight="1" x14ac:dyDescent="0.25">
      <c r="A452" s="311">
        <v>449</v>
      </c>
      <c r="B452" s="311" t="s">
        <v>134</v>
      </c>
      <c r="C452" s="311" t="s">
        <v>134</v>
      </c>
      <c r="D452" s="311" t="s">
        <v>134</v>
      </c>
      <c r="E452" s="337" t="s">
        <v>134</v>
      </c>
      <c r="F452" s="311" t="s">
        <v>273</v>
      </c>
      <c r="G452" s="311" t="s">
        <v>23</v>
      </c>
      <c r="H452" s="311" t="s">
        <v>393</v>
      </c>
      <c r="I452" s="311" t="s">
        <v>66</v>
      </c>
      <c r="J452" s="50" t="s">
        <v>1892</v>
      </c>
      <c r="K452" s="50" t="s">
        <v>1892</v>
      </c>
      <c r="L452" s="50" t="s">
        <v>1893</v>
      </c>
      <c r="M452" s="50" t="s">
        <v>2799</v>
      </c>
      <c r="N452" s="50" t="s">
        <v>2799</v>
      </c>
      <c r="O452" s="50" t="s">
        <v>2799</v>
      </c>
      <c r="P452" s="50" t="s">
        <v>2799</v>
      </c>
    </row>
    <row r="453" spans="1:16" ht="12.75" customHeight="1" x14ac:dyDescent="0.25">
      <c r="A453" s="311">
        <v>450</v>
      </c>
      <c r="B453" s="311" t="s">
        <v>141</v>
      </c>
      <c r="C453" s="311" t="s">
        <v>141</v>
      </c>
      <c r="D453" s="311" t="s">
        <v>141</v>
      </c>
      <c r="E453" s="337" t="s">
        <v>141</v>
      </c>
      <c r="F453" s="311" t="s">
        <v>273</v>
      </c>
      <c r="G453" s="311" t="s">
        <v>23</v>
      </c>
      <c r="H453" s="311" t="s">
        <v>393</v>
      </c>
      <c r="I453" s="311" t="s">
        <v>66</v>
      </c>
      <c r="J453" s="50" t="s">
        <v>1892</v>
      </c>
      <c r="K453" s="50" t="s">
        <v>1892</v>
      </c>
      <c r="L453" s="50" t="s">
        <v>1893</v>
      </c>
      <c r="M453" s="50" t="s">
        <v>2800</v>
      </c>
      <c r="N453" s="50" t="s">
        <v>2800</v>
      </c>
      <c r="O453" s="50" t="s">
        <v>2800</v>
      </c>
      <c r="P453" s="50" t="s">
        <v>2800</v>
      </c>
    </row>
    <row r="454" spans="1:16" ht="12.75" customHeight="1" x14ac:dyDescent="0.25">
      <c r="A454" s="311">
        <v>451</v>
      </c>
      <c r="B454" s="311" t="s">
        <v>69</v>
      </c>
      <c r="C454" s="311" t="s">
        <v>69</v>
      </c>
      <c r="D454" s="311" t="s">
        <v>69</v>
      </c>
      <c r="E454" s="337" t="s">
        <v>69</v>
      </c>
      <c r="F454" s="311" t="s">
        <v>273</v>
      </c>
      <c r="G454" s="311" t="s">
        <v>23</v>
      </c>
      <c r="H454" s="311" t="s">
        <v>393</v>
      </c>
      <c r="I454" s="311" t="s">
        <v>66</v>
      </c>
      <c r="J454" s="50" t="s">
        <v>1892</v>
      </c>
      <c r="K454" s="50" t="s">
        <v>1892</v>
      </c>
      <c r="L454" s="50" t="s">
        <v>1893</v>
      </c>
      <c r="M454" s="50" t="s">
        <v>2801</v>
      </c>
      <c r="N454" s="50" t="s">
        <v>2801</v>
      </c>
      <c r="O454" s="50" t="s">
        <v>2801</v>
      </c>
      <c r="P454" s="50" t="s">
        <v>2801</v>
      </c>
    </row>
    <row r="455" spans="1:16" ht="12.75" customHeight="1" x14ac:dyDescent="0.25">
      <c r="A455" s="311">
        <v>452</v>
      </c>
      <c r="B455" s="311" t="s">
        <v>84</v>
      </c>
      <c r="C455" s="311" t="s">
        <v>462</v>
      </c>
      <c r="D455" s="311" t="s">
        <v>462</v>
      </c>
      <c r="E455" s="337" t="s">
        <v>462</v>
      </c>
      <c r="F455" s="311" t="s">
        <v>273</v>
      </c>
      <c r="G455" s="311" t="s">
        <v>237</v>
      </c>
      <c r="H455" s="311" t="s">
        <v>393</v>
      </c>
      <c r="I455" s="311" t="s">
        <v>66</v>
      </c>
      <c r="J455" s="50" t="s">
        <v>1892</v>
      </c>
      <c r="K455" s="50" t="s">
        <v>1892</v>
      </c>
      <c r="L455" s="50" t="s">
        <v>1893</v>
      </c>
      <c r="M455" s="50" t="s">
        <v>2802</v>
      </c>
      <c r="N455" s="50" t="s">
        <v>2803</v>
      </c>
      <c r="O455" s="50" t="s">
        <v>2803</v>
      </c>
      <c r="P455" s="50" t="s">
        <v>2803</v>
      </c>
    </row>
    <row r="456" spans="1:16" ht="12.75" customHeight="1" x14ac:dyDescent="0.25">
      <c r="A456" s="311">
        <v>453</v>
      </c>
      <c r="B456" s="311" t="s">
        <v>123</v>
      </c>
      <c r="C456" s="311" t="s">
        <v>462</v>
      </c>
      <c r="D456" s="311" t="s">
        <v>462</v>
      </c>
      <c r="E456" s="337" t="s">
        <v>462</v>
      </c>
      <c r="F456" s="311" t="s">
        <v>273</v>
      </c>
      <c r="G456" s="311" t="s">
        <v>237</v>
      </c>
      <c r="H456" s="311" t="s">
        <v>393</v>
      </c>
      <c r="I456" s="311" t="s">
        <v>66</v>
      </c>
      <c r="J456" s="50" t="s">
        <v>1892</v>
      </c>
      <c r="K456" s="50" t="s">
        <v>1892</v>
      </c>
      <c r="L456" s="50" t="s">
        <v>1893</v>
      </c>
      <c r="M456" s="50" t="s">
        <v>2804</v>
      </c>
      <c r="N456" s="50" t="s">
        <v>2803</v>
      </c>
      <c r="O456" s="50" t="s">
        <v>2803</v>
      </c>
      <c r="P456" s="50" t="s">
        <v>2803</v>
      </c>
    </row>
    <row r="457" spans="1:16" ht="12.75" customHeight="1" x14ac:dyDescent="0.25">
      <c r="A457" s="311">
        <v>454</v>
      </c>
      <c r="B457" s="311" t="s">
        <v>75</v>
      </c>
      <c r="C457" s="311" t="s">
        <v>462</v>
      </c>
      <c r="D457" s="311" t="s">
        <v>462</v>
      </c>
      <c r="E457" s="337" t="s">
        <v>462</v>
      </c>
      <c r="F457" s="311" t="s">
        <v>273</v>
      </c>
      <c r="G457" s="311" t="s">
        <v>237</v>
      </c>
      <c r="H457" s="311" t="s">
        <v>393</v>
      </c>
      <c r="I457" s="311" t="s">
        <v>66</v>
      </c>
      <c r="J457" s="50" t="s">
        <v>1892</v>
      </c>
      <c r="K457" s="50" t="s">
        <v>1892</v>
      </c>
      <c r="L457" s="50" t="s">
        <v>1893</v>
      </c>
      <c r="M457" s="50" t="s">
        <v>2805</v>
      </c>
      <c r="N457" s="50" t="s">
        <v>2803</v>
      </c>
      <c r="O457" s="50" t="s">
        <v>2803</v>
      </c>
      <c r="P457" s="50" t="s">
        <v>2803</v>
      </c>
    </row>
    <row r="458" spans="1:16" ht="12.75" customHeight="1" x14ac:dyDescent="0.25">
      <c r="A458" s="311">
        <v>455</v>
      </c>
      <c r="B458" s="311" t="s">
        <v>63</v>
      </c>
      <c r="C458" s="311" t="s">
        <v>63</v>
      </c>
      <c r="D458" s="311" t="s">
        <v>462</v>
      </c>
      <c r="E458" s="337" t="s">
        <v>63</v>
      </c>
      <c r="F458" s="311" t="s">
        <v>273</v>
      </c>
      <c r="G458" s="311" t="s">
        <v>237</v>
      </c>
      <c r="H458" s="311" t="s">
        <v>393</v>
      </c>
      <c r="I458" s="311" t="s">
        <v>66</v>
      </c>
      <c r="J458" s="50" t="s">
        <v>1892</v>
      </c>
      <c r="K458" s="50" t="s">
        <v>1892</v>
      </c>
      <c r="L458" s="50" t="s">
        <v>1893</v>
      </c>
      <c r="M458" s="50" t="s">
        <v>2806</v>
      </c>
      <c r="N458" s="50" t="s">
        <v>2806</v>
      </c>
      <c r="O458" s="50" t="s">
        <v>2803</v>
      </c>
      <c r="P458" s="50" t="s">
        <v>2806</v>
      </c>
    </row>
    <row r="459" spans="1:16" ht="12.75" customHeight="1" x14ac:dyDescent="0.25">
      <c r="A459" s="311">
        <v>456</v>
      </c>
      <c r="B459" s="311" t="s">
        <v>140</v>
      </c>
      <c r="C459" s="311" t="s">
        <v>140</v>
      </c>
      <c r="D459" s="311" t="s">
        <v>462</v>
      </c>
      <c r="E459" s="337" t="s">
        <v>140</v>
      </c>
      <c r="F459" s="311" t="s">
        <v>273</v>
      </c>
      <c r="G459" s="311" t="s">
        <v>237</v>
      </c>
      <c r="H459" s="311" t="s">
        <v>393</v>
      </c>
      <c r="I459" s="311" t="s">
        <v>66</v>
      </c>
      <c r="J459" s="50" t="s">
        <v>1892</v>
      </c>
      <c r="K459" s="50" t="s">
        <v>1892</v>
      </c>
      <c r="L459" s="50" t="s">
        <v>1893</v>
      </c>
      <c r="M459" s="50" t="s">
        <v>2807</v>
      </c>
      <c r="N459" s="50" t="s">
        <v>2807</v>
      </c>
      <c r="O459" s="50" t="s">
        <v>2803</v>
      </c>
      <c r="P459" s="50" t="s">
        <v>2807</v>
      </c>
    </row>
    <row r="460" spans="1:16" ht="12.75" customHeight="1" x14ac:dyDescent="0.25">
      <c r="A460" s="311">
        <v>457</v>
      </c>
      <c r="B460" s="311" t="s">
        <v>121</v>
      </c>
      <c r="C460" s="311" t="s">
        <v>121</v>
      </c>
      <c r="D460" s="311" t="s">
        <v>462</v>
      </c>
      <c r="E460" s="337" t="s">
        <v>121</v>
      </c>
      <c r="F460" s="311" t="s">
        <v>273</v>
      </c>
      <c r="G460" s="311" t="s">
        <v>237</v>
      </c>
      <c r="H460" s="311" t="s">
        <v>393</v>
      </c>
      <c r="I460" s="311" t="s">
        <v>66</v>
      </c>
      <c r="J460" s="50" t="s">
        <v>1892</v>
      </c>
      <c r="K460" s="50" t="s">
        <v>1892</v>
      </c>
      <c r="L460" s="50" t="s">
        <v>1893</v>
      </c>
      <c r="M460" s="50" t="s">
        <v>2808</v>
      </c>
      <c r="N460" s="50" t="s">
        <v>2808</v>
      </c>
      <c r="O460" s="50" t="s">
        <v>2803</v>
      </c>
      <c r="P460" s="50" t="s">
        <v>2808</v>
      </c>
    </row>
    <row r="461" spans="1:16" ht="12.75" customHeight="1" x14ac:dyDescent="0.25">
      <c r="A461" s="311">
        <v>458</v>
      </c>
      <c r="B461" s="311" t="s">
        <v>87</v>
      </c>
      <c r="C461" s="311" t="s">
        <v>87</v>
      </c>
      <c r="D461" s="311" t="s">
        <v>462</v>
      </c>
      <c r="E461" s="337" t="s">
        <v>87</v>
      </c>
      <c r="F461" s="311" t="s">
        <v>273</v>
      </c>
      <c r="G461" s="311" t="s">
        <v>237</v>
      </c>
      <c r="H461" s="311" t="s">
        <v>393</v>
      </c>
      <c r="I461" s="311" t="s">
        <v>66</v>
      </c>
      <c r="J461" s="50" t="s">
        <v>1892</v>
      </c>
      <c r="K461" s="50" t="s">
        <v>1892</v>
      </c>
      <c r="L461" s="50" t="s">
        <v>1893</v>
      </c>
      <c r="M461" s="50" t="s">
        <v>2809</v>
      </c>
      <c r="N461" s="50" t="s">
        <v>2809</v>
      </c>
      <c r="O461" s="50" t="s">
        <v>2803</v>
      </c>
      <c r="P461" s="50" t="s">
        <v>2809</v>
      </c>
    </row>
    <row r="462" spans="1:16" ht="12.75" customHeight="1" x14ac:dyDescent="0.25">
      <c r="A462" s="311">
        <v>459</v>
      </c>
      <c r="B462" s="311" t="s">
        <v>125</v>
      </c>
      <c r="C462" s="311" t="s">
        <v>125</v>
      </c>
      <c r="D462" s="311" t="s">
        <v>125</v>
      </c>
      <c r="E462" s="337" t="s">
        <v>125</v>
      </c>
      <c r="F462" s="311" t="s">
        <v>273</v>
      </c>
      <c r="G462" s="311" t="s">
        <v>237</v>
      </c>
      <c r="H462" s="311" t="s">
        <v>393</v>
      </c>
      <c r="I462" s="311" t="s">
        <v>66</v>
      </c>
      <c r="J462" s="50" t="s">
        <v>1892</v>
      </c>
      <c r="K462" s="50" t="s">
        <v>1892</v>
      </c>
      <c r="L462" s="50" t="s">
        <v>1893</v>
      </c>
      <c r="M462" s="50" t="s">
        <v>2810</v>
      </c>
      <c r="N462" s="50" t="s">
        <v>2810</v>
      </c>
      <c r="O462" s="50" t="s">
        <v>2810</v>
      </c>
      <c r="P462" s="50" t="s">
        <v>2810</v>
      </c>
    </row>
    <row r="463" spans="1:16" ht="12.75" customHeight="1" x14ac:dyDescent="0.25">
      <c r="A463" s="311">
        <v>460</v>
      </c>
      <c r="B463" s="311" t="s">
        <v>134</v>
      </c>
      <c r="C463" s="311" t="s">
        <v>134</v>
      </c>
      <c r="D463" s="311" t="s">
        <v>134</v>
      </c>
      <c r="E463" s="337" t="s">
        <v>134</v>
      </c>
      <c r="F463" s="311" t="s">
        <v>273</v>
      </c>
      <c r="G463" s="311" t="s">
        <v>237</v>
      </c>
      <c r="H463" s="311" t="s">
        <v>393</v>
      </c>
      <c r="I463" s="311" t="s">
        <v>66</v>
      </c>
      <c r="J463" s="50" t="s">
        <v>1892</v>
      </c>
      <c r="K463" s="50" t="s">
        <v>1892</v>
      </c>
      <c r="L463" s="50" t="s">
        <v>1893</v>
      </c>
      <c r="M463" s="50" t="s">
        <v>2811</v>
      </c>
      <c r="N463" s="50" t="s">
        <v>2811</v>
      </c>
      <c r="O463" s="50" t="s">
        <v>2811</v>
      </c>
      <c r="P463" s="50" t="s">
        <v>2811</v>
      </c>
    </row>
    <row r="464" spans="1:16" ht="12.75" customHeight="1" x14ac:dyDescent="0.25">
      <c r="A464" s="311">
        <v>461</v>
      </c>
      <c r="B464" s="311" t="s">
        <v>141</v>
      </c>
      <c r="C464" s="311" t="s">
        <v>141</v>
      </c>
      <c r="D464" s="311" t="s">
        <v>141</v>
      </c>
      <c r="E464" s="337" t="s">
        <v>141</v>
      </c>
      <c r="F464" s="311" t="s">
        <v>273</v>
      </c>
      <c r="G464" s="311" t="s">
        <v>237</v>
      </c>
      <c r="H464" s="311" t="s">
        <v>393</v>
      </c>
      <c r="I464" s="311" t="s">
        <v>66</v>
      </c>
      <c r="J464" s="50" t="s">
        <v>1892</v>
      </c>
      <c r="K464" s="50" t="s">
        <v>1892</v>
      </c>
      <c r="L464" s="50" t="s">
        <v>1893</v>
      </c>
      <c r="M464" s="50" t="s">
        <v>2812</v>
      </c>
      <c r="N464" s="50" t="s">
        <v>2812</v>
      </c>
      <c r="O464" s="50" t="s">
        <v>2812</v>
      </c>
      <c r="P464" s="50" t="s">
        <v>2812</v>
      </c>
    </row>
    <row r="465" spans="1:16" ht="12.75" customHeight="1" x14ac:dyDescent="0.25">
      <c r="A465" s="311">
        <v>462</v>
      </c>
      <c r="B465" s="311" t="s">
        <v>69</v>
      </c>
      <c r="C465" s="311" t="s">
        <v>69</v>
      </c>
      <c r="D465" s="311" t="s">
        <v>69</v>
      </c>
      <c r="E465" s="337" t="s">
        <v>69</v>
      </c>
      <c r="F465" s="311" t="s">
        <v>273</v>
      </c>
      <c r="G465" s="311" t="s">
        <v>237</v>
      </c>
      <c r="H465" s="311" t="s">
        <v>393</v>
      </c>
      <c r="I465" s="311" t="s">
        <v>66</v>
      </c>
      <c r="J465" s="50" t="s">
        <v>1892</v>
      </c>
      <c r="K465" s="50" t="s">
        <v>1892</v>
      </c>
      <c r="L465" s="50" t="s">
        <v>1893</v>
      </c>
      <c r="M465" s="50" t="s">
        <v>2813</v>
      </c>
      <c r="N465" s="50" t="s">
        <v>2813</v>
      </c>
      <c r="O465" s="50" t="s">
        <v>2813</v>
      </c>
      <c r="P465" s="50" t="s">
        <v>2813</v>
      </c>
    </row>
    <row r="466" spans="1:16" ht="12.75" customHeight="1" x14ac:dyDescent="0.25">
      <c r="A466" s="311">
        <v>463</v>
      </c>
      <c r="B466" s="311" t="s">
        <v>84</v>
      </c>
      <c r="C466" s="311" t="s">
        <v>462</v>
      </c>
      <c r="D466" s="311" t="s">
        <v>462</v>
      </c>
      <c r="E466" s="337" t="s">
        <v>462</v>
      </c>
      <c r="F466" s="311" t="s">
        <v>291</v>
      </c>
      <c r="G466" s="311" t="s">
        <v>236</v>
      </c>
      <c r="H466" s="311" t="s">
        <v>393</v>
      </c>
      <c r="I466" s="311" t="s">
        <v>66</v>
      </c>
      <c r="J466" s="50" t="s">
        <v>1892</v>
      </c>
      <c r="K466" s="50" t="s">
        <v>1892</v>
      </c>
      <c r="L466" s="50" t="s">
        <v>1893</v>
      </c>
      <c r="M466" s="50" t="s">
        <v>2814</v>
      </c>
      <c r="N466" s="50" t="s">
        <v>2815</v>
      </c>
      <c r="O466" s="50" t="s">
        <v>2815</v>
      </c>
      <c r="P466" s="50" t="s">
        <v>2815</v>
      </c>
    </row>
    <row r="467" spans="1:16" ht="12.75" customHeight="1" x14ac:dyDescent="0.25">
      <c r="A467" s="311">
        <v>464</v>
      </c>
      <c r="B467" s="311" t="s">
        <v>123</v>
      </c>
      <c r="C467" s="311" t="s">
        <v>462</v>
      </c>
      <c r="D467" s="311" t="s">
        <v>462</v>
      </c>
      <c r="E467" s="337" t="s">
        <v>462</v>
      </c>
      <c r="F467" s="311" t="s">
        <v>291</v>
      </c>
      <c r="G467" s="311" t="s">
        <v>236</v>
      </c>
      <c r="H467" s="311" t="s">
        <v>393</v>
      </c>
      <c r="I467" s="311" t="s">
        <v>66</v>
      </c>
      <c r="J467" s="50" t="s">
        <v>1892</v>
      </c>
      <c r="K467" s="50" t="s">
        <v>1892</v>
      </c>
      <c r="L467" s="50" t="s">
        <v>1893</v>
      </c>
      <c r="M467" s="50" t="s">
        <v>2816</v>
      </c>
      <c r="N467" s="50" t="s">
        <v>2815</v>
      </c>
      <c r="O467" s="50" t="s">
        <v>2815</v>
      </c>
      <c r="P467" s="50" t="s">
        <v>2815</v>
      </c>
    </row>
    <row r="468" spans="1:16" ht="12.75" customHeight="1" x14ac:dyDescent="0.25">
      <c r="A468" s="311">
        <v>465</v>
      </c>
      <c r="B468" s="311" t="s">
        <v>75</v>
      </c>
      <c r="C468" s="311" t="s">
        <v>462</v>
      </c>
      <c r="D468" s="311" t="s">
        <v>462</v>
      </c>
      <c r="E468" s="337" t="s">
        <v>462</v>
      </c>
      <c r="F468" s="311" t="s">
        <v>291</v>
      </c>
      <c r="G468" s="311" t="s">
        <v>236</v>
      </c>
      <c r="H468" s="311" t="s">
        <v>393</v>
      </c>
      <c r="I468" s="311" t="s">
        <v>66</v>
      </c>
      <c r="J468" s="50" t="s">
        <v>1892</v>
      </c>
      <c r="K468" s="50" t="s">
        <v>1892</v>
      </c>
      <c r="L468" s="50" t="s">
        <v>1893</v>
      </c>
      <c r="M468" s="50" t="s">
        <v>2817</v>
      </c>
      <c r="N468" s="50" t="s">
        <v>2815</v>
      </c>
      <c r="O468" s="50" t="s">
        <v>2815</v>
      </c>
      <c r="P468" s="50" t="s">
        <v>2815</v>
      </c>
    </row>
    <row r="469" spans="1:16" ht="12.75" customHeight="1" x14ac:dyDescent="0.25">
      <c r="A469" s="311">
        <v>466</v>
      </c>
      <c r="B469" s="311" t="s">
        <v>63</v>
      </c>
      <c r="C469" s="311" t="s">
        <v>63</v>
      </c>
      <c r="D469" s="311" t="s">
        <v>462</v>
      </c>
      <c r="E469" s="337" t="s">
        <v>63</v>
      </c>
      <c r="F469" s="311" t="s">
        <v>291</v>
      </c>
      <c r="G469" s="311" t="s">
        <v>236</v>
      </c>
      <c r="H469" s="311" t="s">
        <v>393</v>
      </c>
      <c r="I469" s="311" t="s">
        <v>66</v>
      </c>
      <c r="J469" s="50" t="s">
        <v>1892</v>
      </c>
      <c r="K469" s="50" t="s">
        <v>1892</v>
      </c>
      <c r="L469" s="50" t="s">
        <v>1893</v>
      </c>
      <c r="M469" s="50" t="s">
        <v>2818</v>
      </c>
      <c r="N469" s="50" t="s">
        <v>2818</v>
      </c>
      <c r="O469" s="50" t="s">
        <v>2815</v>
      </c>
      <c r="P469" s="50" t="s">
        <v>2818</v>
      </c>
    </row>
    <row r="470" spans="1:16" ht="12.75" customHeight="1" x14ac:dyDescent="0.25">
      <c r="A470" s="311">
        <v>467</v>
      </c>
      <c r="B470" s="311" t="s">
        <v>140</v>
      </c>
      <c r="C470" s="311" t="s">
        <v>140</v>
      </c>
      <c r="D470" s="311" t="s">
        <v>462</v>
      </c>
      <c r="E470" s="337" t="s">
        <v>140</v>
      </c>
      <c r="F470" s="311" t="s">
        <v>291</v>
      </c>
      <c r="G470" s="311" t="s">
        <v>236</v>
      </c>
      <c r="H470" s="311" t="s">
        <v>393</v>
      </c>
      <c r="I470" s="311" t="s">
        <v>66</v>
      </c>
      <c r="J470" s="50" t="s">
        <v>1892</v>
      </c>
      <c r="K470" s="50" t="s">
        <v>1892</v>
      </c>
      <c r="L470" s="50" t="s">
        <v>1893</v>
      </c>
      <c r="M470" s="50" t="s">
        <v>2819</v>
      </c>
      <c r="N470" s="50" t="s">
        <v>2819</v>
      </c>
      <c r="O470" s="50" t="s">
        <v>2815</v>
      </c>
      <c r="P470" s="50" t="s">
        <v>2819</v>
      </c>
    </row>
    <row r="471" spans="1:16" ht="12.75" customHeight="1" x14ac:dyDescent="0.25">
      <c r="A471" s="311">
        <v>468</v>
      </c>
      <c r="B471" s="311" t="s">
        <v>121</v>
      </c>
      <c r="C471" s="311" t="s">
        <v>121</v>
      </c>
      <c r="D471" s="311" t="s">
        <v>462</v>
      </c>
      <c r="E471" s="337" t="s">
        <v>121</v>
      </c>
      <c r="F471" s="311" t="s">
        <v>291</v>
      </c>
      <c r="G471" s="311" t="s">
        <v>236</v>
      </c>
      <c r="H471" s="311" t="s">
        <v>393</v>
      </c>
      <c r="I471" s="311" t="s">
        <v>66</v>
      </c>
      <c r="J471" s="50" t="s">
        <v>1892</v>
      </c>
      <c r="K471" s="50" t="s">
        <v>1892</v>
      </c>
      <c r="L471" s="50" t="s">
        <v>1893</v>
      </c>
      <c r="M471" s="50" t="s">
        <v>2820</v>
      </c>
      <c r="N471" s="50" t="s">
        <v>2820</v>
      </c>
      <c r="O471" s="50" t="s">
        <v>2815</v>
      </c>
      <c r="P471" s="50" t="s">
        <v>2820</v>
      </c>
    </row>
    <row r="472" spans="1:16" ht="12.75" customHeight="1" x14ac:dyDescent="0.25">
      <c r="A472" s="311">
        <v>469</v>
      </c>
      <c r="B472" s="311" t="s">
        <v>87</v>
      </c>
      <c r="C472" s="311" t="s">
        <v>87</v>
      </c>
      <c r="D472" s="311" t="s">
        <v>462</v>
      </c>
      <c r="E472" s="337" t="s">
        <v>87</v>
      </c>
      <c r="F472" s="311" t="s">
        <v>291</v>
      </c>
      <c r="G472" s="311" t="s">
        <v>236</v>
      </c>
      <c r="H472" s="311" t="s">
        <v>393</v>
      </c>
      <c r="I472" s="311" t="s">
        <v>66</v>
      </c>
      <c r="J472" s="50" t="s">
        <v>1892</v>
      </c>
      <c r="K472" s="50" t="s">
        <v>1892</v>
      </c>
      <c r="L472" s="50" t="s">
        <v>1893</v>
      </c>
      <c r="M472" s="50" t="s">
        <v>2821</v>
      </c>
      <c r="N472" s="50" t="s">
        <v>2821</v>
      </c>
      <c r="O472" s="50" t="s">
        <v>2815</v>
      </c>
      <c r="P472" s="50" t="s">
        <v>2821</v>
      </c>
    </row>
    <row r="473" spans="1:16" ht="12.75" customHeight="1" x14ac:dyDescent="0.25">
      <c r="A473" s="311">
        <v>470</v>
      </c>
      <c r="B473" s="311" t="s">
        <v>125</v>
      </c>
      <c r="C473" s="311" t="s">
        <v>125</v>
      </c>
      <c r="D473" s="311" t="s">
        <v>125</v>
      </c>
      <c r="E473" s="337" t="s">
        <v>125</v>
      </c>
      <c r="F473" s="311" t="s">
        <v>291</v>
      </c>
      <c r="G473" s="311" t="s">
        <v>236</v>
      </c>
      <c r="H473" s="311" t="s">
        <v>393</v>
      </c>
      <c r="I473" s="311" t="s">
        <v>66</v>
      </c>
      <c r="J473" s="50" t="s">
        <v>1892</v>
      </c>
      <c r="K473" s="50" t="s">
        <v>1892</v>
      </c>
      <c r="L473" s="50" t="s">
        <v>1893</v>
      </c>
      <c r="M473" s="50" t="s">
        <v>2822</v>
      </c>
      <c r="N473" s="50" t="s">
        <v>2822</v>
      </c>
      <c r="O473" s="50" t="s">
        <v>2822</v>
      </c>
      <c r="P473" s="50" t="s">
        <v>2822</v>
      </c>
    </row>
    <row r="474" spans="1:16" ht="12.75" customHeight="1" x14ac:dyDescent="0.25">
      <c r="A474" s="311">
        <v>471</v>
      </c>
      <c r="B474" s="311" t="s">
        <v>134</v>
      </c>
      <c r="C474" s="311" t="s">
        <v>134</v>
      </c>
      <c r="D474" s="311" t="s">
        <v>134</v>
      </c>
      <c r="E474" s="337" t="s">
        <v>134</v>
      </c>
      <c r="F474" s="311" t="s">
        <v>291</v>
      </c>
      <c r="G474" s="311" t="s">
        <v>236</v>
      </c>
      <c r="H474" s="311" t="s">
        <v>393</v>
      </c>
      <c r="I474" s="311" t="s">
        <v>66</v>
      </c>
      <c r="J474" s="50" t="s">
        <v>1892</v>
      </c>
      <c r="K474" s="50" t="s">
        <v>1892</v>
      </c>
      <c r="L474" s="50" t="s">
        <v>1893</v>
      </c>
      <c r="M474" s="50" t="s">
        <v>2823</v>
      </c>
      <c r="N474" s="50" t="s">
        <v>2823</v>
      </c>
      <c r="O474" s="50" t="s">
        <v>2823</v>
      </c>
      <c r="P474" s="50" t="s">
        <v>2823</v>
      </c>
    </row>
    <row r="475" spans="1:16" ht="12.75" customHeight="1" x14ac:dyDescent="0.25">
      <c r="A475" s="311">
        <v>472</v>
      </c>
      <c r="B475" s="311" t="s">
        <v>141</v>
      </c>
      <c r="C475" s="311" t="s">
        <v>141</v>
      </c>
      <c r="D475" s="311" t="s">
        <v>141</v>
      </c>
      <c r="E475" s="337" t="s">
        <v>141</v>
      </c>
      <c r="F475" s="311" t="s">
        <v>291</v>
      </c>
      <c r="G475" s="311" t="s">
        <v>236</v>
      </c>
      <c r="H475" s="311" t="s">
        <v>393</v>
      </c>
      <c r="I475" s="311" t="s">
        <v>66</v>
      </c>
      <c r="J475" s="50" t="s">
        <v>1892</v>
      </c>
      <c r="K475" s="50" t="s">
        <v>1892</v>
      </c>
      <c r="L475" s="50" t="s">
        <v>1893</v>
      </c>
      <c r="M475" s="50" t="s">
        <v>2824</v>
      </c>
      <c r="N475" s="50" t="s">
        <v>2824</v>
      </c>
      <c r="O475" s="50" t="s">
        <v>2824</v>
      </c>
      <c r="P475" s="50" t="s">
        <v>2824</v>
      </c>
    </row>
    <row r="476" spans="1:16" ht="12.75" customHeight="1" x14ac:dyDescent="0.25">
      <c r="A476" s="311">
        <v>473</v>
      </c>
      <c r="B476" s="311" t="s">
        <v>69</v>
      </c>
      <c r="C476" s="311" t="s">
        <v>69</v>
      </c>
      <c r="D476" s="311" t="s">
        <v>69</v>
      </c>
      <c r="E476" s="337" t="s">
        <v>69</v>
      </c>
      <c r="F476" s="311" t="s">
        <v>291</v>
      </c>
      <c r="G476" s="311" t="s">
        <v>236</v>
      </c>
      <c r="H476" s="311" t="s">
        <v>393</v>
      </c>
      <c r="I476" s="311" t="s">
        <v>66</v>
      </c>
      <c r="J476" s="50" t="s">
        <v>1892</v>
      </c>
      <c r="K476" s="50" t="s">
        <v>1892</v>
      </c>
      <c r="L476" s="50" t="s">
        <v>1893</v>
      </c>
      <c r="M476" s="50" t="s">
        <v>2825</v>
      </c>
      <c r="N476" s="50" t="s">
        <v>2825</v>
      </c>
      <c r="O476" s="50" t="s">
        <v>2825</v>
      </c>
      <c r="P476" s="50" t="s">
        <v>2825</v>
      </c>
    </row>
    <row r="477" spans="1:16" ht="12.75" customHeight="1" x14ac:dyDescent="0.25">
      <c r="A477" s="311">
        <v>474</v>
      </c>
      <c r="B477" s="311" t="s">
        <v>84</v>
      </c>
      <c r="C477" s="311" t="s">
        <v>462</v>
      </c>
      <c r="D477" s="311" t="s">
        <v>462</v>
      </c>
      <c r="E477" s="337" t="s">
        <v>462</v>
      </c>
      <c r="F477" s="311" t="s">
        <v>291</v>
      </c>
      <c r="G477" s="311" t="s">
        <v>23</v>
      </c>
      <c r="H477" s="311" t="s">
        <v>393</v>
      </c>
      <c r="I477" s="311" t="s">
        <v>66</v>
      </c>
      <c r="J477" s="50" t="s">
        <v>1892</v>
      </c>
      <c r="K477" s="50" t="s">
        <v>1892</v>
      </c>
      <c r="L477" s="50" t="s">
        <v>1893</v>
      </c>
      <c r="M477" s="50" t="s">
        <v>2826</v>
      </c>
      <c r="N477" s="50" t="s">
        <v>2827</v>
      </c>
      <c r="O477" s="50" t="s">
        <v>2827</v>
      </c>
      <c r="P477" s="50" t="s">
        <v>2827</v>
      </c>
    </row>
    <row r="478" spans="1:16" ht="12.75" customHeight="1" x14ac:dyDescent="0.25">
      <c r="A478" s="311">
        <v>475</v>
      </c>
      <c r="B478" s="311" t="s">
        <v>123</v>
      </c>
      <c r="C478" s="311" t="s">
        <v>462</v>
      </c>
      <c r="D478" s="311" t="s">
        <v>462</v>
      </c>
      <c r="E478" s="337" t="s">
        <v>462</v>
      </c>
      <c r="F478" s="311" t="s">
        <v>291</v>
      </c>
      <c r="G478" s="311" t="s">
        <v>23</v>
      </c>
      <c r="H478" s="311" t="s">
        <v>393</v>
      </c>
      <c r="I478" s="311" t="s">
        <v>66</v>
      </c>
      <c r="J478" s="50" t="s">
        <v>1892</v>
      </c>
      <c r="K478" s="50" t="s">
        <v>1892</v>
      </c>
      <c r="L478" s="50" t="s">
        <v>1893</v>
      </c>
      <c r="M478" s="50" t="s">
        <v>2828</v>
      </c>
      <c r="N478" s="50" t="s">
        <v>2827</v>
      </c>
      <c r="O478" s="50" t="s">
        <v>2827</v>
      </c>
      <c r="P478" s="50" t="s">
        <v>2827</v>
      </c>
    </row>
    <row r="479" spans="1:16" ht="12.75" customHeight="1" x14ac:dyDescent="0.25">
      <c r="A479" s="311">
        <v>476</v>
      </c>
      <c r="B479" s="311" t="s">
        <v>75</v>
      </c>
      <c r="C479" s="311" t="s">
        <v>462</v>
      </c>
      <c r="D479" s="311" t="s">
        <v>462</v>
      </c>
      <c r="E479" s="337" t="s">
        <v>462</v>
      </c>
      <c r="F479" s="311" t="s">
        <v>291</v>
      </c>
      <c r="G479" s="311" t="s">
        <v>23</v>
      </c>
      <c r="H479" s="311" t="s">
        <v>393</v>
      </c>
      <c r="I479" s="311" t="s">
        <v>66</v>
      </c>
      <c r="J479" s="50" t="s">
        <v>1892</v>
      </c>
      <c r="K479" s="50" t="s">
        <v>1892</v>
      </c>
      <c r="L479" s="50" t="s">
        <v>1893</v>
      </c>
      <c r="M479" s="50" t="s">
        <v>2829</v>
      </c>
      <c r="N479" s="50" t="s">
        <v>2827</v>
      </c>
      <c r="O479" s="50" t="s">
        <v>2827</v>
      </c>
      <c r="P479" s="50" t="s">
        <v>2827</v>
      </c>
    </row>
    <row r="480" spans="1:16" ht="12.75" customHeight="1" x14ac:dyDescent="0.25">
      <c r="A480" s="311">
        <v>477</v>
      </c>
      <c r="B480" s="311" t="s">
        <v>63</v>
      </c>
      <c r="C480" s="311" t="s">
        <v>63</v>
      </c>
      <c r="D480" s="311" t="s">
        <v>462</v>
      </c>
      <c r="E480" s="337" t="s">
        <v>63</v>
      </c>
      <c r="F480" s="311" t="s">
        <v>291</v>
      </c>
      <c r="G480" s="311" t="s">
        <v>23</v>
      </c>
      <c r="H480" s="311" t="s">
        <v>393</v>
      </c>
      <c r="I480" s="311" t="s">
        <v>66</v>
      </c>
      <c r="J480" s="50" t="s">
        <v>1892</v>
      </c>
      <c r="K480" s="50" t="s">
        <v>1892</v>
      </c>
      <c r="L480" s="50" t="s">
        <v>1893</v>
      </c>
      <c r="M480" s="50" t="s">
        <v>2830</v>
      </c>
      <c r="N480" s="50" t="s">
        <v>2830</v>
      </c>
      <c r="O480" s="50" t="s">
        <v>2827</v>
      </c>
      <c r="P480" s="50" t="s">
        <v>2830</v>
      </c>
    </row>
    <row r="481" spans="1:16" ht="12.75" customHeight="1" x14ac:dyDescent="0.25">
      <c r="A481" s="311">
        <v>478</v>
      </c>
      <c r="B481" s="311" t="s">
        <v>140</v>
      </c>
      <c r="C481" s="311" t="s">
        <v>140</v>
      </c>
      <c r="D481" s="311" t="s">
        <v>462</v>
      </c>
      <c r="E481" s="337" t="s">
        <v>140</v>
      </c>
      <c r="F481" s="311" t="s">
        <v>291</v>
      </c>
      <c r="G481" s="311" t="s">
        <v>23</v>
      </c>
      <c r="H481" s="311" t="s">
        <v>393</v>
      </c>
      <c r="I481" s="311" t="s">
        <v>66</v>
      </c>
      <c r="J481" s="50" t="s">
        <v>1892</v>
      </c>
      <c r="K481" s="50" t="s">
        <v>1892</v>
      </c>
      <c r="L481" s="50" t="s">
        <v>1893</v>
      </c>
      <c r="M481" s="50" t="s">
        <v>2831</v>
      </c>
      <c r="N481" s="50" t="s">
        <v>2831</v>
      </c>
      <c r="O481" s="50" t="s">
        <v>2827</v>
      </c>
      <c r="P481" s="50" t="s">
        <v>2831</v>
      </c>
    </row>
    <row r="482" spans="1:16" ht="12.75" customHeight="1" x14ac:dyDescent="0.25">
      <c r="A482" s="311">
        <v>479</v>
      </c>
      <c r="B482" s="311" t="s">
        <v>121</v>
      </c>
      <c r="C482" s="311" t="s">
        <v>121</v>
      </c>
      <c r="D482" s="311" t="s">
        <v>462</v>
      </c>
      <c r="E482" s="337" t="s">
        <v>121</v>
      </c>
      <c r="F482" s="311" t="s">
        <v>291</v>
      </c>
      <c r="G482" s="311" t="s">
        <v>23</v>
      </c>
      <c r="H482" s="311" t="s">
        <v>393</v>
      </c>
      <c r="I482" s="311" t="s">
        <v>66</v>
      </c>
      <c r="J482" s="50" t="s">
        <v>1892</v>
      </c>
      <c r="K482" s="50" t="s">
        <v>1892</v>
      </c>
      <c r="L482" s="50" t="s">
        <v>1893</v>
      </c>
      <c r="M482" s="50" t="s">
        <v>2832</v>
      </c>
      <c r="N482" s="50" t="s">
        <v>2832</v>
      </c>
      <c r="O482" s="50" t="s">
        <v>2827</v>
      </c>
      <c r="P482" s="50" t="s">
        <v>2832</v>
      </c>
    </row>
    <row r="483" spans="1:16" ht="12.75" customHeight="1" x14ac:dyDescent="0.25">
      <c r="A483" s="311">
        <v>480</v>
      </c>
      <c r="B483" s="311" t="s">
        <v>87</v>
      </c>
      <c r="C483" s="311" t="s">
        <v>87</v>
      </c>
      <c r="D483" s="311" t="s">
        <v>462</v>
      </c>
      <c r="E483" s="337" t="s">
        <v>87</v>
      </c>
      <c r="F483" s="311" t="s">
        <v>291</v>
      </c>
      <c r="G483" s="311" t="s">
        <v>23</v>
      </c>
      <c r="H483" s="311" t="s">
        <v>393</v>
      </c>
      <c r="I483" s="311" t="s">
        <v>66</v>
      </c>
      <c r="J483" s="50" t="s">
        <v>1892</v>
      </c>
      <c r="K483" s="50" t="s">
        <v>1892</v>
      </c>
      <c r="L483" s="50" t="s">
        <v>1893</v>
      </c>
      <c r="M483" s="50" t="s">
        <v>2833</v>
      </c>
      <c r="N483" s="50" t="s">
        <v>2833</v>
      </c>
      <c r="O483" s="50" t="s">
        <v>2827</v>
      </c>
      <c r="P483" s="50" t="s">
        <v>2833</v>
      </c>
    </row>
    <row r="484" spans="1:16" ht="12.75" customHeight="1" x14ac:dyDescent="0.25">
      <c r="A484" s="311">
        <v>481</v>
      </c>
      <c r="B484" s="311" t="s">
        <v>125</v>
      </c>
      <c r="C484" s="311" t="s">
        <v>125</v>
      </c>
      <c r="D484" s="311" t="s">
        <v>125</v>
      </c>
      <c r="E484" s="337" t="s">
        <v>125</v>
      </c>
      <c r="F484" s="311" t="s">
        <v>291</v>
      </c>
      <c r="G484" s="311" t="s">
        <v>23</v>
      </c>
      <c r="H484" s="311" t="s">
        <v>393</v>
      </c>
      <c r="I484" s="311" t="s">
        <v>66</v>
      </c>
      <c r="J484" s="50" t="s">
        <v>1892</v>
      </c>
      <c r="K484" s="50" t="s">
        <v>1892</v>
      </c>
      <c r="L484" s="50" t="s">
        <v>1893</v>
      </c>
      <c r="M484" s="50" t="s">
        <v>2834</v>
      </c>
      <c r="N484" s="50" t="s">
        <v>2834</v>
      </c>
      <c r="O484" s="50" t="s">
        <v>2834</v>
      </c>
      <c r="P484" s="50" t="s">
        <v>2834</v>
      </c>
    </row>
    <row r="485" spans="1:16" ht="12.75" customHeight="1" x14ac:dyDescent="0.25">
      <c r="A485" s="311">
        <v>482</v>
      </c>
      <c r="B485" s="311" t="s">
        <v>134</v>
      </c>
      <c r="C485" s="311" t="s">
        <v>134</v>
      </c>
      <c r="D485" s="311" t="s">
        <v>134</v>
      </c>
      <c r="E485" s="337" t="s">
        <v>134</v>
      </c>
      <c r="F485" s="311" t="s">
        <v>291</v>
      </c>
      <c r="G485" s="311" t="s">
        <v>23</v>
      </c>
      <c r="H485" s="311" t="s">
        <v>393</v>
      </c>
      <c r="I485" s="311" t="s">
        <v>66</v>
      </c>
      <c r="J485" s="50" t="s">
        <v>1892</v>
      </c>
      <c r="K485" s="50" t="s">
        <v>1892</v>
      </c>
      <c r="L485" s="50" t="s">
        <v>1893</v>
      </c>
      <c r="M485" s="50" t="s">
        <v>2835</v>
      </c>
      <c r="N485" s="50" t="s">
        <v>2835</v>
      </c>
      <c r="O485" s="50" t="s">
        <v>2835</v>
      </c>
      <c r="P485" s="50" t="s">
        <v>2835</v>
      </c>
    </row>
    <row r="486" spans="1:16" ht="12.75" customHeight="1" x14ac:dyDescent="0.25">
      <c r="A486" s="311">
        <v>483</v>
      </c>
      <c r="B486" s="311" t="s">
        <v>141</v>
      </c>
      <c r="C486" s="311" t="s">
        <v>141</v>
      </c>
      <c r="D486" s="311" t="s">
        <v>141</v>
      </c>
      <c r="E486" s="337" t="s">
        <v>141</v>
      </c>
      <c r="F486" s="311" t="s">
        <v>291</v>
      </c>
      <c r="G486" s="311" t="s">
        <v>23</v>
      </c>
      <c r="H486" s="311" t="s">
        <v>393</v>
      </c>
      <c r="I486" s="311" t="s">
        <v>66</v>
      </c>
      <c r="J486" s="50" t="s">
        <v>1892</v>
      </c>
      <c r="K486" s="50" t="s">
        <v>1892</v>
      </c>
      <c r="L486" s="50" t="s">
        <v>1893</v>
      </c>
      <c r="M486" s="50" t="s">
        <v>2836</v>
      </c>
      <c r="N486" s="50" t="s">
        <v>2836</v>
      </c>
      <c r="O486" s="50" t="s">
        <v>2836</v>
      </c>
      <c r="P486" s="50" t="s">
        <v>2836</v>
      </c>
    </row>
    <row r="487" spans="1:16" ht="12.75" customHeight="1" x14ac:dyDescent="0.25">
      <c r="A487" s="311">
        <v>484</v>
      </c>
      <c r="B487" s="311" t="s">
        <v>69</v>
      </c>
      <c r="C487" s="311" t="s">
        <v>69</v>
      </c>
      <c r="D487" s="311" t="s">
        <v>69</v>
      </c>
      <c r="E487" s="337" t="s">
        <v>69</v>
      </c>
      <c r="F487" s="311" t="s">
        <v>291</v>
      </c>
      <c r="G487" s="311" t="s">
        <v>23</v>
      </c>
      <c r="H487" s="311" t="s">
        <v>393</v>
      </c>
      <c r="I487" s="311" t="s">
        <v>66</v>
      </c>
      <c r="J487" s="50" t="s">
        <v>1892</v>
      </c>
      <c r="K487" s="50" t="s">
        <v>1892</v>
      </c>
      <c r="L487" s="50" t="s">
        <v>1893</v>
      </c>
      <c r="M487" s="50" t="s">
        <v>2837</v>
      </c>
      <c r="N487" s="50" t="s">
        <v>2837</v>
      </c>
      <c r="O487" s="50" t="s">
        <v>2837</v>
      </c>
      <c r="P487" s="50" t="s">
        <v>2837</v>
      </c>
    </row>
    <row r="488" spans="1:16" ht="12.75" customHeight="1" x14ac:dyDescent="0.25">
      <c r="A488" s="311">
        <v>485</v>
      </c>
      <c r="B488" s="311" t="s">
        <v>84</v>
      </c>
      <c r="C488" s="311" t="s">
        <v>462</v>
      </c>
      <c r="D488" s="311" t="s">
        <v>462</v>
      </c>
      <c r="E488" s="337" t="s">
        <v>462</v>
      </c>
      <c r="F488" s="311" t="s">
        <v>291</v>
      </c>
      <c r="G488" s="311" t="s">
        <v>237</v>
      </c>
      <c r="H488" s="311" t="s">
        <v>393</v>
      </c>
      <c r="I488" s="311" t="s">
        <v>66</v>
      </c>
      <c r="J488" s="50" t="s">
        <v>1892</v>
      </c>
      <c r="K488" s="50" t="s">
        <v>1892</v>
      </c>
      <c r="L488" s="50" t="s">
        <v>1893</v>
      </c>
      <c r="M488" s="50" t="s">
        <v>2838</v>
      </c>
      <c r="N488" s="50" t="s">
        <v>2839</v>
      </c>
      <c r="O488" s="50" t="s">
        <v>2839</v>
      </c>
      <c r="P488" s="50" t="s">
        <v>2839</v>
      </c>
    </row>
    <row r="489" spans="1:16" ht="12.75" customHeight="1" x14ac:dyDescent="0.25">
      <c r="A489" s="311">
        <v>486</v>
      </c>
      <c r="B489" s="311" t="s">
        <v>123</v>
      </c>
      <c r="C489" s="311" t="s">
        <v>462</v>
      </c>
      <c r="D489" s="311" t="s">
        <v>462</v>
      </c>
      <c r="E489" s="337" t="s">
        <v>462</v>
      </c>
      <c r="F489" s="311" t="s">
        <v>291</v>
      </c>
      <c r="G489" s="311" t="s">
        <v>237</v>
      </c>
      <c r="H489" s="311" t="s">
        <v>393</v>
      </c>
      <c r="I489" s="311" t="s">
        <v>66</v>
      </c>
      <c r="J489" s="50" t="s">
        <v>1892</v>
      </c>
      <c r="K489" s="50" t="s">
        <v>1892</v>
      </c>
      <c r="L489" s="50" t="s">
        <v>1893</v>
      </c>
      <c r="M489" s="50" t="s">
        <v>2840</v>
      </c>
      <c r="N489" s="50" t="s">
        <v>2839</v>
      </c>
      <c r="O489" s="50" t="s">
        <v>2839</v>
      </c>
      <c r="P489" s="50" t="s">
        <v>2839</v>
      </c>
    </row>
    <row r="490" spans="1:16" ht="12.75" customHeight="1" x14ac:dyDescent="0.25">
      <c r="A490" s="311">
        <v>487</v>
      </c>
      <c r="B490" s="311" t="s">
        <v>75</v>
      </c>
      <c r="C490" s="311" t="s">
        <v>462</v>
      </c>
      <c r="D490" s="311" t="s">
        <v>462</v>
      </c>
      <c r="E490" s="337" t="s">
        <v>462</v>
      </c>
      <c r="F490" s="311" t="s">
        <v>291</v>
      </c>
      <c r="G490" s="311" t="s">
        <v>237</v>
      </c>
      <c r="H490" s="311" t="s">
        <v>393</v>
      </c>
      <c r="I490" s="311" t="s">
        <v>66</v>
      </c>
      <c r="J490" s="50" t="s">
        <v>1892</v>
      </c>
      <c r="K490" s="50" t="s">
        <v>1892</v>
      </c>
      <c r="L490" s="50" t="s">
        <v>1893</v>
      </c>
      <c r="M490" s="50" t="s">
        <v>2841</v>
      </c>
      <c r="N490" s="50" t="s">
        <v>2839</v>
      </c>
      <c r="O490" s="50" t="s">
        <v>2839</v>
      </c>
      <c r="P490" s="50" t="s">
        <v>2839</v>
      </c>
    </row>
    <row r="491" spans="1:16" ht="12.75" customHeight="1" x14ac:dyDescent="0.25">
      <c r="A491" s="311">
        <v>488</v>
      </c>
      <c r="B491" s="311" t="s">
        <v>63</v>
      </c>
      <c r="C491" s="311" t="s">
        <v>63</v>
      </c>
      <c r="D491" s="311" t="s">
        <v>462</v>
      </c>
      <c r="E491" s="337" t="s">
        <v>63</v>
      </c>
      <c r="F491" s="311" t="s">
        <v>291</v>
      </c>
      <c r="G491" s="311" t="s">
        <v>237</v>
      </c>
      <c r="H491" s="311" t="s">
        <v>393</v>
      </c>
      <c r="I491" s="311" t="s">
        <v>66</v>
      </c>
      <c r="J491" s="50" t="s">
        <v>1892</v>
      </c>
      <c r="K491" s="50" t="s">
        <v>1892</v>
      </c>
      <c r="L491" s="50" t="s">
        <v>1893</v>
      </c>
      <c r="M491" s="50" t="s">
        <v>2842</v>
      </c>
      <c r="N491" s="50" t="s">
        <v>2842</v>
      </c>
      <c r="O491" s="50" t="s">
        <v>2839</v>
      </c>
      <c r="P491" s="50" t="s">
        <v>2842</v>
      </c>
    </row>
    <row r="492" spans="1:16" ht="12.75" customHeight="1" x14ac:dyDescent="0.25">
      <c r="A492" s="311">
        <v>489</v>
      </c>
      <c r="B492" s="311" t="s">
        <v>140</v>
      </c>
      <c r="C492" s="311" t="s">
        <v>140</v>
      </c>
      <c r="D492" s="311" t="s">
        <v>462</v>
      </c>
      <c r="E492" s="337" t="s">
        <v>140</v>
      </c>
      <c r="F492" s="311" t="s">
        <v>291</v>
      </c>
      <c r="G492" s="311" t="s">
        <v>237</v>
      </c>
      <c r="H492" s="311" t="s">
        <v>393</v>
      </c>
      <c r="I492" s="311" t="s">
        <v>66</v>
      </c>
      <c r="J492" s="50" t="s">
        <v>1892</v>
      </c>
      <c r="K492" s="50" t="s">
        <v>1892</v>
      </c>
      <c r="L492" s="50" t="s">
        <v>1893</v>
      </c>
      <c r="M492" s="50" t="s">
        <v>2843</v>
      </c>
      <c r="N492" s="50" t="s">
        <v>2843</v>
      </c>
      <c r="O492" s="50" t="s">
        <v>2839</v>
      </c>
      <c r="P492" s="50" t="s">
        <v>2843</v>
      </c>
    </row>
    <row r="493" spans="1:16" ht="12.75" customHeight="1" x14ac:dyDescent="0.25">
      <c r="A493" s="311">
        <v>490</v>
      </c>
      <c r="B493" s="311" t="s">
        <v>121</v>
      </c>
      <c r="C493" s="311" t="s">
        <v>121</v>
      </c>
      <c r="D493" s="311" t="s">
        <v>462</v>
      </c>
      <c r="E493" s="337" t="s">
        <v>121</v>
      </c>
      <c r="F493" s="311" t="s">
        <v>291</v>
      </c>
      <c r="G493" s="311" t="s">
        <v>237</v>
      </c>
      <c r="H493" s="311" t="s">
        <v>393</v>
      </c>
      <c r="I493" s="311" t="s">
        <v>66</v>
      </c>
      <c r="J493" s="50" t="s">
        <v>1892</v>
      </c>
      <c r="K493" s="50" t="s">
        <v>1892</v>
      </c>
      <c r="L493" s="50" t="s">
        <v>1893</v>
      </c>
      <c r="M493" s="50" t="s">
        <v>2844</v>
      </c>
      <c r="N493" s="50" t="s">
        <v>2844</v>
      </c>
      <c r="O493" s="50" t="s">
        <v>2839</v>
      </c>
      <c r="P493" s="50" t="s">
        <v>2844</v>
      </c>
    </row>
    <row r="494" spans="1:16" ht="12.75" customHeight="1" x14ac:dyDescent="0.25">
      <c r="A494" s="311">
        <v>491</v>
      </c>
      <c r="B494" s="311" t="s">
        <v>87</v>
      </c>
      <c r="C494" s="311" t="s">
        <v>87</v>
      </c>
      <c r="D494" s="311" t="s">
        <v>462</v>
      </c>
      <c r="E494" s="337" t="s">
        <v>87</v>
      </c>
      <c r="F494" s="311" t="s">
        <v>291</v>
      </c>
      <c r="G494" s="311" t="s">
        <v>237</v>
      </c>
      <c r="H494" s="311" t="s">
        <v>393</v>
      </c>
      <c r="I494" s="311" t="s">
        <v>66</v>
      </c>
      <c r="J494" s="50" t="s">
        <v>1892</v>
      </c>
      <c r="K494" s="50" t="s">
        <v>1892</v>
      </c>
      <c r="L494" s="50" t="s">
        <v>1893</v>
      </c>
      <c r="M494" s="50" t="s">
        <v>2845</v>
      </c>
      <c r="N494" s="50" t="s">
        <v>2845</v>
      </c>
      <c r="O494" s="50" t="s">
        <v>2839</v>
      </c>
      <c r="P494" s="50" t="s">
        <v>2845</v>
      </c>
    </row>
    <row r="495" spans="1:16" ht="12.75" customHeight="1" x14ac:dyDescent="0.25">
      <c r="A495" s="311">
        <v>492</v>
      </c>
      <c r="B495" s="311" t="s">
        <v>125</v>
      </c>
      <c r="C495" s="311" t="s">
        <v>125</v>
      </c>
      <c r="D495" s="311" t="s">
        <v>125</v>
      </c>
      <c r="E495" s="337" t="s">
        <v>125</v>
      </c>
      <c r="F495" s="311" t="s">
        <v>291</v>
      </c>
      <c r="G495" s="311" t="s">
        <v>237</v>
      </c>
      <c r="H495" s="311" t="s">
        <v>393</v>
      </c>
      <c r="I495" s="311" t="s">
        <v>66</v>
      </c>
      <c r="J495" s="50" t="s">
        <v>1892</v>
      </c>
      <c r="K495" s="50" t="s">
        <v>1892</v>
      </c>
      <c r="L495" s="50" t="s">
        <v>1893</v>
      </c>
      <c r="M495" s="50" t="s">
        <v>2846</v>
      </c>
      <c r="N495" s="50" t="s">
        <v>2846</v>
      </c>
      <c r="O495" s="50" t="s">
        <v>2846</v>
      </c>
      <c r="P495" s="50" t="s">
        <v>2846</v>
      </c>
    </row>
    <row r="496" spans="1:16" ht="12.75" customHeight="1" x14ac:dyDescent="0.25">
      <c r="A496" s="311">
        <v>493</v>
      </c>
      <c r="B496" s="311" t="s">
        <v>134</v>
      </c>
      <c r="C496" s="311" t="s">
        <v>134</v>
      </c>
      <c r="D496" s="311" t="s">
        <v>134</v>
      </c>
      <c r="E496" s="337" t="s">
        <v>134</v>
      </c>
      <c r="F496" s="311" t="s">
        <v>291</v>
      </c>
      <c r="G496" s="311" t="s">
        <v>237</v>
      </c>
      <c r="H496" s="311" t="s">
        <v>393</v>
      </c>
      <c r="I496" s="311" t="s">
        <v>66</v>
      </c>
      <c r="J496" s="50" t="s">
        <v>1892</v>
      </c>
      <c r="K496" s="50" t="s">
        <v>1892</v>
      </c>
      <c r="L496" s="50" t="s">
        <v>1893</v>
      </c>
      <c r="M496" s="50" t="s">
        <v>2847</v>
      </c>
      <c r="N496" s="50" t="s">
        <v>2847</v>
      </c>
      <c r="O496" s="50" t="s">
        <v>2847</v>
      </c>
      <c r="P496" s="50" t="s">
        <v>2847</v>
      </c>
    </row>
    <row r="497" spans="1:16" ht="12.75" customHeight="1" x14ac:dyDescent="0.25">
      <c r="A497" s="311">
        <v>494</v>
      </c>
      <c r="B497" s="311" t="s">
        <v>141</v>
      </c>
      <c r="C497" s="311" t="s">
        <v>141</v>
      </c>
      <c r="D497" s="311" t="s">
        <v>141</v>
      </c>
      <c r="E497" s="337" t="s">
        <v>141</v>
      </c>
      <c r="F497" s="311" t="s">
        <v>291</v>
      </c>
      <c r="G497" s="311" t="s">
        <v>237</v>
      </c>
      <c r="H497" s="311" t="s">
        <v>393</v>
      </c>
      <c r="I497" s="311" t="s">
        <v>66</v>
      </c>
      <c r="J497" s="50" t="s">
        <v>1892</v>
      </c>
      <c r="K497" s="50" t="s">
        <v>1892</v>
      </c>
      <c r="L497" s="50" t="s">
        <v>1893</v>
      </c>
      <c r="M497" s="50" t="s">
        <v>2848</v>
      </c>
      <c r="N497" s="50" t="s">
        <v>2848</v>
      </c>
      <c r="O497" s="50" t="s">
        <v>2848</v>
      </c>
      <c r="P497" s="50" t="s">
        <v>2848</v>
      </c>
    </row>
    <row r="498" spans="1:16" ht="12.75" customHeight="1" x14ac:dyDescent="0.25">
      <c r="A498" s="311">
        <v>495</v>
      </c>
      <c r="B498" s="311" t="s">
        <v>69</v>
      </c>
      <c r="C498" s="311" t="s">
        <v>69</v>
      </c>
      <c r="D498" s="311" t="s">
        <v>69</v>
      </c>
      <c r="E498" s="337" t="s">
        <v>69</v>
      </c>
      <c r="F498" s="311" t="s">
        <v>291</v>
      </c>
      <c r="G498" s="311" t="s">
        <v>237</v>
      </c>
      <c r="H498" s="311" t="s">
        <v>393</v>
      </c>
      <c r="I498" s="311" t="s">
        <v>66</v>
      </c>
      <c r="J498" s="50" t="s">
        <v>1892</v>
      </c>
      <c r="K498" s="50" t="s">
        <v>1892</v>
      </c>
      <c r="L498" s="50" t="s">
        <v>1893</v>
      </c>
      <c r="M498" s="50" t="s">
        <v>2849</v>
      </c>
      <c r="N498" s="50" t="s">
        <v>2849</v>
      </c>
      <c r="O498" s="50" t="s">
        <v>2849</v>
      </c>
      <c r="P498" s="50" t="s">
        <v>2849</v>
      </c>
    </row>
    <row r="499" spans="1:16" ht="12.75" customHeight="1" x14ac:dyDescent="0.25">
      <c r="A499" s="311">
        <v>496</v>
      </c>
      <c r="B499" s="311" t="s">
        <v>84</v>
      </c>
      <c r="C499" s="311" t="s">
        <v>462</v>
      </c>
      <c r="D499" s="311" t="s">
        <v>462</v>
      </c>
      <c r="E499" s="337" t="s">
        <v>462</v>
      </c>
      <c r="F499" s="311" t="s">
        <v>309</v>
      </c>
      <c r="G499" s="311" t="s">
        <v>236</v>
      </c>
      <c r="H499" s="311" t="s">
        <v>393</v>
      </c>
      <c r="I499" s="311" t="s">
        <v>66</v>
      </c>
      <c r="J499" s="50" t="s">
        <v>1892</v>
      </c>
      <c r="K499" s="50" t="s">
        <v>1892</v>
      </c>
      <c r="L499" s="50" t="s">
        <v>1893</v>
      </c>
      <c r="M499" s="50" t="s">
        <v>2850</v>
      </c>
      <c r="N499" s="50" t="s">
        <v>2851</v>
      </c>
      <c r="O499" s="50" t="s">
        <v>2851</v>
      </c>
      <c r="P499" s="50" t="s">
        <v>2851</v>
      </c>
    </row>
    <row r="500" spans="1:16" ht="12.75" customHeight="1" x14ac:dyDescent="0.25">
      <c r="A500" s="311">
        <v>497</v>
      </c>
      <c r="B500" s="311" t="s">
        <v>123</v>
      </c>
      <c r="C500" s="311" t="s">
        <v>462</v>
      </c>
      <c r="D500" s="311" t="s">
        <v>462</v>
      </c>
      <c r="E500" s="337" t="s">
        <v>462</v>
      </c>
      <c r="F500" s="311" t="s">
        <v>309</v>
      </c>
      <c r="G500" s="311" t="s">
        <v>236</v>
      </c>
      <c r="H500" s="311" t="s">
        <v>393</v>
      </c>
      <c r="I500" s="311" t="s">
        <v>66</v>
      </c>
      <c r="J500" s="50" t="s">
        <v>1892</v>
      </c>
      <c r="K500" s="50" t="s">
        <v>1892</v>
      </c>
      <c r="L500" s="50" t="s">
        <v>1893</v>
      </c>
      <c r="M500" s="50" t="s">
        <v>2852</v>
      </c>
      <c r="N500" s="50" t="s">
        <v>2851</v>
      </c>
      <c r="O500" s="50" t="s">
        <v>2851</v>
      </c>
      <c r="P500" s="50" t="s">
        <v>2851</v>
      </c>
    </row>
    <row r="501" spans="1:16" ht="12.75" customHeight="1" x14ac:dyDescent="0.25">
      <c r="A501" s="311">
        <v>498</v>
      </c>
      <c r="B501" s="311" t="s">
        <v>75</v>
      </c>
      <c r="C501" s="311" t="s">
        <v>462</v>
      </c>
      <c r="D501" s="311" t="s">
        <v>462</v>
      </c>
      <c r="E501" s="337" t="s">
        <v>462</v>
      </c>
      <c r="F501" s="311" t="s">
        <v>309</v>
      </c>
      <c r="G501" s="311" t="s">
        <v>236</v>
      </c>
      <c r="H501" s="311" t="s">
        <v>393</v>
      </c>
      <c r="I501" s="311" t="s">
        <v>66</v>
      </c>
      <c r="J501" s="50" t="s">
        <v>1892</v>
      </c>
      <c r="K501" s="50" t="s">
        <v>1892</v>
      </c>
      <c r="L501" s="50" t="s">
        <v>1893</v>
      </c>
      <c r="M501" s="50" t="s">
        <v>2853</v>
      </c>
      <c r="N501" s="50" t="s">
        <v>2851</v>
      </c>
      <c r="O501" s="50" t="s">
        <v>2851</v>
      </c>
      <c r="P501" s="50" t="s">
        <v>2851</v>
      </c>
    </row>
    <row r="502" spans="1:16" ht="12.75" customHeight="1" x14ac:dyDescent="0.25">
      <c r="A502" s="311">
        <v>499</v>
      </c>
      <c r="B502" s="311" t="s">
        <v>63</v>
      </c>
      <c r="C502" s="311" t="s">
        <v>63</v>
      </c>
      <c r="D502" s="311" t="s">
        <v>462</v>
      </c>
      <c r="E502" s="337" t="s">
        <v>63</v>
      </c>
      <c r="F502" s="311" t="s">
        <v>309</v>
      </c>
      <c r="G502" s="311" t="s">
        <v>236</v>
      </c>
      <c r="H502" s="311" t="s">
        <v>393</v>
      </c>
      <c r="I502" s="311" t="s">
        <v>66</v>
      </c>
      <c r="J502" s="50" t="s">
        <v>1892</v>
      </c>
      <c r="K502" s="50" t="s">
        <v>1892</v>
      </c>
      <c r="L502" s="50" t="s">
        <v>1893</v>
      </c>
      <c r="M502" s="50" t="s">
        <v>2854</v>
      </c>
      <c r="N502" s="50" t="s">
        <v>2854</v>
      </c>
      <c r="O502" s="50" t="s">
        <v>2851</v>
      </c>
      <c r="P502" s="50" t="s">
        <v>2854</v>
      </c>
    </row>
    <row r="503" spans="1:16" ht="12.75" customHeight="1" x14ac:dyDescent="0.25">
      <c r="A503" s="311">
        <v>500</v>
      </c>
      <c r="B503" s="311" t="s">
        <v>140</v>
      </c>
      <c r="C503" s="311" t="s">
        <v>140</v>
      </c>
      <c r="D503" s="311" t="s">
        <v>462</v>
      </c>
      <c r="E503" s="337" t="s">
        <v>140</v>
      </c>
      <c r="F503" s="311" t="s">
        <v>309</v>
      </c>
      <c r="G503" s="311" t="s">
        <v>236</v>
      </c>
      <c r="H503" s="311" t="s">
        <v>393</v>
      </c>
      <c r="I503" s="311" t="s">
        <v>66</v>
      </c>
      <c r="J503" s="50" t="s">
        <v>1892</v>
      </c>
      <c r="K503" s="50" t="s">
        <v>1892</v>
      </c>
      <c r="L503" s="50" t="s">
        <v>1893</v>
      </c>
      <c r="M503" s="50" t="s">
        <v>2855</v>
      </c>
      <c r="N503" s="50" t="s">
        <v>2855</v>
      </c>
      <c r="O503" s="50" t="s">
        <v>2851</v>
      </c>
      <c r="P503" s="50" t="s">
        <v>2855</v>
      </c>
    </row>
    <row r="504" spans="1:16" ht="12.75" customHeight="1" x14ac:dyDescent="0.25">
      <c r="A504" s="311">
        <v>501</v>
      </c>
      <c r="B504" s="311" t="s">
        <v>121</v>
      </c>
      <c r="C504" s="311" t="s">
        <v>121</v>
      </c>
      <c r="D504" s="311" t="s">
        <v>462</v>
      </c>
      <c r="E504" s="337" t="s">
        <v>121</v>
      </c>
      <c r="F504" s="311" t="s">
        <v>309</v>
      </c>
      <c r="G504" s="311" t="s">
        <v>236</v>
      </c>
      <c r="H504" s="311" t="s">
        <v>393</v>
      </c>
      <c r="I504" s="311" t="s">
        <v>66</v>
      </c>
      <c r="J504" s="50" t="s">
        <v>1892</v>
      </c>
      <c r="K504" s="50" t="s">
        <v>1892</v>
      </c>
      <c r="L504" s="50" t="s">
        <v>1893</v>
      </c>
      <c r="M504" s="50" t="s">
        <v>2856</v>
      </c>
      <c r="N504" s="50" t="s">
        <v>2856</v>
      </c>
      <c r="O504" s="50" t="s">
        <v>2851</v>
      </c>
      <c r="P504" s="50" t="s">
        <v>2856</v>
      </c>
    </row>
    <row r="505" spans="1:16" ht="12.75" customHeight="1" x14ac:dyDescent="0.25">
      <c r="A505" s="311">
        <v>502</v>
      </c>
      <c r="B505" s="311" t="s">
        <v>87</v>
      </c>
      <c r="C505" s="311" t="s">
        <v>87</v>
      </c>
      <c r="D505" s="311" t="s">
        <v>462</v>
      </c>
      <c r="E505" s="337" t="s">
        <v>87</v>
      </c>
      <c r="F505" s="311" t="s">
        <v>309</v>
      </c>
      <c r="G505" s="311" t="s">
        <v>236</v>
      </c>
      <c r="H505" s="311" t="s">
        <v>393</v>
      </c>
      <c r="I505" s="311" t="s">
        <v>66</v>
      </c>
      <c r="J505" s="50" t="s">
        <v>1892</v>
      </c>
      <c r="K505" s="50" t="s">
        <v>1892</v>
      </c>
      <c r="L505" s="50" t="s">
        <v>1893</v>
      </c>
      <c r="M505" s="50" t="s">
        <v>2857</v>
      </c>
      <c r="N505" s="50" t="s">
        <v>2857</v>
      </c>
      <c r="O505" s="50" t="s">
        <v>2851</v>
      </c>
      <c r="P505" s="50" t="s">
        <v>2857</v>
      </c>
    </row>
    <row r="506" spans="1:16" ht="12.75" customHeight="1" x14ac:dyDescent="0.25">
      <c r="A506" s="311">
        <v>503</v>
      </c>
      <c r="B506" s="311" t="s">
        <v>125</v>
      </c>
      <c r="C506" s="311" t="s">
        <v>125</v>
      </c>
      <c r="D506" s="311" t="s">
        <v>125</v>
      </c>
      <c r="E506" s="337" t="s">
        <v>125</v>
      </c>
      <c r="F506" s="311" t="s">
        <v>309</v>
      </c>
      <c r="G506" s="311" t="s">
        <v>236</v>
      </c>
      <c r="H506" s="311" t="s">
        <v>393</v>
      </c>
      <c r="I506" s="311" t="s">
        <v>66</v>
      </c>
      <c r="J506" s="50" t="s">
        <v>1892</v>
      </c>
      <c r="K506" s="50" t="s">
        <v>1892</v>
      </c>
      <c r="L506" s="50" t="s">
        <v>1893</v>
      </c>
      <c r="M506" s="50" t="s">
        <v>2858</v>
      </c>
      <c r="N506" s="50" t="s">
        <v>2858</v>
      </c>
      <c r="O506" s="50" t="s">
        <v>2858</v>
      </c>
      <c r="P506" s="50" t="s">
        <v>2858</v>
      </c>
    </row>
    <row r="507" spans="1:16" ht="12.75" customHeight="1" x14ac:dyDescent="0.25">
      <c r="A507" s="311">
        <v>504</v>
      </c>
      <c r="B507" s="311" t="s">
        <v>134</v>
      </c>
      <c r="C507" s="311" t="s">
        <v>134</v>
      </c>
      <c r="D507" s="311" t="s">
        <v>134</v>
      </c>
      <c r="E507" s="337" t="s">
        <v>134</v>
      </c>
      <c r="F507" s="311" t="s">
        <v>309</v>
      </c>
      <c r="G507" s="311" t="s">
        <v>236</v>
      </c>
      <c r="H507" s="311" t="s">
        <v>393</v>
      </c>
      <c r="I507" s="311" t="s">
        <v>66</v>
      </c>
      <c r="J507" s="50" t="s">
        <v>1892</v>
      </c>
      <c r="K507" s="50" t="s">
        <v>1892</v>
      </c>
      <c r="L507" s="50" t="s">
        <v>1893</v>
      </c>
      <c r="M507" s="50" t="s">
        <v>2859</v>
      </c>
      <c r="N507" s="50" t="s">
        <v>2859</v>
      </c>
      <c r="O507" s="50" t="s">
        <v>2859</v>
      </c>
      <c r="P507" s="50" t="s">
        <v>2859</v>
      </c>
    </row>
    <row r="508" spans="1:16" ht="12.75" customHeight="1" x14ac:dyDescent="0.25">
      <c r="A508" s="311">
        <v>505</v>
      </c>
      <c r="B508" s="311" t="s">
        <v>141</v>
      </c>
      <c r="C508" s="311" t="s">
        <v>141</v>
      </c>
      <c r="D508" s="311" t="s">
        <v>141</v>
      </c>
      <c r="E508" s="337" t="s">
        <v>141</v>
      </c>
      <c r="F508" s="311" t="s">
        <v>309</v>
      </c>
      <c r="G508" s="311" t="s">
        <v>236</v>
      </c>
      <c r="H508" s="311" t="s">
        <v>393</v>
      </c>
      <c r="I508" s="311" t="s">
        <v>66</v>
      </c>
      <c r="J508" s="50" t="s">
        <v>1892</v>
      </c>
      <c r="K508" s="50" t="s">
        <v>1892</v>
      </c>
      <c r="L508" s="50" t="s">
        <v>1893</v>
      </c>
      <c r="M508" s="50" t="s">
        <v>2860</v>
      </c>
      <c r="N508" s="50" t="s">
        <v>2860</v>
      </c>
      <c r="O508" s="50" t="s">
        <v>2860</v>
      </c>
      <c r="P508" s="50" t="s">
        <v>2860</v>
      </c>
    </row>
    <row r="509" spans="1:16" ht="12.75" customHeight="1" x14ac:dyDescent="0.25">
      <c r="A509" s="311">
        <v>506</v>
      </c>
      <c r="B509" s="311" t="s">
        <v>69</v>
      </c>
      <c r="C509" s="311" t="s">
        <v>69</v>
      </c>
      <c r="D509" s="311" t="s">
        <v>69</v>
      </c>
      <c r="E509" s="337" t="s">
        <v>69</v>
      </c>
      <c r="F509" s="311" t="s">
        <v>309</v>
      </c>
      <c r="G509" s="311" t="s">
        <v>236</v>
      </c>
      <c r="H509" s="311" t="s">
        <v>393</v>
      </c>
      <c r="I509" s="311" t="s">
        <v>66</v>
      </c>
      <c r="J509" s="50" t="s">
        <v>1892</v>
      </c>
      <c r="K509" s="50" t="s">
        <v>1892</v>
      </c>
      <c r="L509" s="50" t="s">
        <v>1893</v>
      </c>
      <c r="M509" s="50" t="s">
        <v>2861</v>
      </c>
      <c r="N509" s="50" t="s">
        <v>2861</v>
      </c>
      <c r="O509" s="50" t="s">
        <v>2861</v>
      </c>
      <c r="P509" s="50" t="s">
        <v>2861</v>
      </c>
    </row>
    <row r="510" spans="1:16" ht="12.75" customHeight="1" x14ac:dyDescent="0.25">
      <c r="A510" s="311">
        <v>507</v>
      </c>
      <c r="B510" s="311" t="s">
        <v>84</v>
      </c>
      <c r="C510" s="311" t="s">
        <v>462</v>
      </c>
      <c r="D510" s="311" t="s">
        <v>462</v>
      </c>
      <c r="E510" s="337" t="s">
        <v>462</v>
      </c>
      <c r="F510" s="311" t="s">
        <v>309</v>
      </c>
      <c r="G510" s="311" t="s">
        <v>23</v>
      </c>
      <c r="H510" s="311" t="s">
        <v>393</v>
      </c>
      <c r="I510" s="311" t="s">
        <v>66</v>
      </c>
      <c r="J510" s="50" t="s">
        <v>1892</v>
      </c>
      <c r="K510" s="50" t="s">
        <v>1892</v>
      </c>
      <c r="L510" s="50" t="s">
        <v>1893</v>
      </c>
      <c r="M510" s="50" t="s">
        <v>2862</v>
      </c>
      <c r="N510" s="50" t="s">
        <v>2863</v>
      </c>
      <c r="O510" s="50" t="s">
        <v>2863</v>
      </c>
      <c r="P510" s="50" t="s">
        <v>2863</v>
      </c>
    </row>
    <row r="511" spans="1:16" ht="12.75" customHeight="1" x14ac:dyDescent="0.25">
      <c r="A511" s="311">
        <v>508</v>
      </c>
      <c r="B511" s="311" t="s">
        <v>123</v>
      </c>
      <c r="C511" s="311" t="s">
        <v>462</v>
      </c>
      <c r="D511" s="311" t="s">
        <v>462</v>
      </c>
      <c r="E511" s="337" t="s">
        <v>462</v>
      </c>
      <c r="F511" s="311" t="s">
        <v>309</v>
      </c>
      <c r="G511" s="311" t="s">
        <v>23</v>
      </c>
      <c r="H511" s="311" t="s">
        <v>393</v>
      </c>
      <c r="I511" s="311" t="s">
        <v>66</v>
      </c>
      <c r="J511" s="50" t="s">
        <v>1892</v>
      </c>
      <c r="K511" s="50" t="s">
        <v>1892</v>
      </c>
      <c r="L511" s="50" t="s">
        <v>1893</v>
      </c>
      <c r="M511" s="50" t="s">
        <v>2864</v>
      </c>
      <c r="N511" s="50" t="s">
        <v>2863</v>
      </c>
      <c r="O511" s="50" t="s">
        <v>2863</v>
      </c>
      <c r="P511" s="50" t="s">
        <v>2863</v>
      </c>
    </row>
    <row r="512" spans="1:16" ht="12.75" customHeight="1" x14ac:dyDescent="0.25">
      <c r="A512" s="311">
        <v>509</v>
      </c>
      <c r="B512" s="311" t="s">
        <v>75</v>
      </c>
      <c r="C512" s="311" t="s">
        <v>462</v>
      </c>
      <c r="D512" s="311" t="s">
        <v>462</v>
      </c>
      <c r="E512" s="337" t="s">
        <v>462</v>
      </c>
      <c r="F512" s="311" t="s">
        <v>309</v>
      </c>
      <c r="G512" s="311" t="s">
        <v>23</v>
      </c>
      <c r="H512" s="311" t="s">
        <v>393</v>
      </c>
      <c r="I512" s="311" t="s">
        <v>66</v>
      </c>
      <c r="J512" s="50" t="s">
        <v>1892</v>
      </c>
      <c r="K512" s="50" t="s">
        <v>1892</v>
      </c>
      <c r="L512" s="50" t="s">
        <v>1893</v>
      </c>
      <c r="M512" s="50" t="s">
        <v>2865</v>
      </c>
      <c r="N512" s="50" t="s">
        <v>2863</v>
      </c>
      <c r="O512" s="50" t="s">
        <v>2863</v>
      </c>
      <c r="P512" s="50" t="s">
        <v>2863</v>
      </c>
    </row>
    <row r="513" spans="1:16" ht="12.75" customHeight="1" x14ac:dyDescent="0.25">
      <c r="A513" s="311">
        <v>510</v>
      </c>
      <c r="B513" s="311" t="s">
        <v>63</v>
      </c>
      <c r="C513" s="311" t="s">
        <v>63</v>
      </c>
      <c r="D513" s="311" t="s">
        <v>462</v>
      </c>
      <c r="E513" s="337" t="s">
        <v>63</v>
      </c>
      <c r="F513" s="311" t="s">
        <v>309</v>
      </c>
      <c r="G513" s="311" t="s">
        <v>23</v>
      </c>
      <c r="H513" s="311" t="s">
        <v>393</v>
      </c>
      <c r="I513" s="311" t="s">
        <v>66</v>
      </c>
      <c r="J513" s="50" t="s">
        <v>1892</v>
      </c>
      <c r="K513" s="50" t="s">
        <v>1892</v>
      </c>
      <c r="L513" s="50" t="s">
        <v>1893</v>
      </c>
      <c r="M513" s="50" t="s">
        <v>2866</v>
      </c>
      <c r="N513" s="50" t="s">
        <v>2866</v>
      </c>
      <c r="O513" s="50" t="s">
        <v>2863</v>
      </c>
      <c r="P513" s="50" t="s">
        <v>2866</v>
      </c>
    </row>
    <row r="514" spans="1:16" ht="12.75" customHeight="1" x14ac:dyDescent="0.25">
      <c r="A514" s="311">
        <v>511</v>
      </c>
      <c r="B514" s="311" t="s">
        <v>140</v>
      </c>
      <c r="C514" s="311" t="s">
        <v>140</v>
      </c>
      <c r="D514" s="311" t="s">
        <v>462</v>
      </c>
      <c r="E514" s="337" t="s">
        <v>140</v>
      </c>
      <c r="F514" s="311" t="s">
        <v>309</v>
      </c>
      <c r="G514" s="311" t="s">
        <v>23</v>
      </c>
      <c r="H514" s="311" t="s">
        <v>393</v>
      </c>
      <c r="I514" s="311" t="s">
        <v>66</v>
      </c>
      <c r="J514" s="50" t="s">
        <v>1892</v>
      </c>
      <c r="K514" s="50" t="s">
        <v>1892</v>
      </c>
      <c r="L514" s="50" t="s">
        <v>1893</v>
      </c>
      <c r="M514" s="50" t="s">
        <v>2867</v>
      </c>
      <c r="N514" s="50" t="s">
        <v>2867</v>
      </c>
      <c r="O514" s="50" t="s">
        <v>2863</v>
      </c>
      <c r="P514" s="50" t="s">
        <v>2867</v>
      </c>
    </row>
    <row r="515" spans="1:16" ht="12.75" customHeight="1" x14ac:dyDescent="0.25">
      <c r="A515" s="311">
        <v>512</v>
      </c>
      <c r="B515" s="311" t="s">
        <v>121</v>
      </c>
      <c r="C515" s="311" t="s">
        <v>121</v>
      </c>
      <c r="D515" s="311" t="s">
        <v>462</v>
      </c>
      <c r="E515" s="337" t="s">
        <v>121</v>
      </c>
      <c r="F515" s="311" t="s">
        <v>309</v>
      </c>
      <c r="G515" s="311" t="s">
        <v>23</v>
      </c>
      <c r="H515" s="311" t="s">
        <v>393</v>
      </c>
      <c r="I515" s="311" t="s">
        <v>66</v>
      </c>
      <c r="J515" s="50" t="s">
        <v>1892</v>
      </c>
      <c r="K515" s="50" t="s">
        <v>1892</v>
      </c>
      <c r="L515" s="50" t="s">
        <v>1893</v>
      </c>
      <c r="M515" s="50" t="s">
        <v>2868</v>
      </c>
      <c r="N515" s="50" t="s">
        <v>2868</v>
      </c>
      <c r="O515" s="50" t="s">
        <v>2863</v>
      </c>
      <c r="P515" s="50" t="s">
        <v>2868</v>
      </c>
    </row>
    <row r="516" spans="1:16" ht="12.75" customHeight="1" x14ac:dyDescent="0.25">
      <c r="A516" s="311">
        <v>513</v>
      </c>
      <c r="B516" s="311" t="s">
        <v>87</v>
      </c>
      <c r="C516" s="311" t="s">
        <v>87</v>
      </c>
      <c r="D516" s="311" t="s">
        <v>462</v>
      </c>
      <c r="E516" s="337" t="s">
        <v>87</v>
      </c>
      <c r="F516" s="311" t="s">
        <v>309</v>
      </c>
      <c r="G516" s="311" t="s">
        <v>23</v>
      </c>
      <c r="H516" s="311" t="s">
        <v>393</v>
      </c>
      <c r="I516" s="311" t="s">
        <v>66</v>
      </c>
      <c r="J516" s="50" t="s">
        <v>1892</v>
      </c>
      <c r="K516" s="50" t="s">
        <v>1892</v>
      </c>
      <c r="L516" s="50" t="s">
        <v>1893</v>
      </c>
      <c r="M516" s="50" t="s">
        <v>2869</v>
      </c>
      <c r="N516" s="50" t="s">
        <v>2869</v>
      </c>
      <c r="O516" s="50" t="s">
        <v>2863</v>
      </c>
      <c r="P516" s="50" t="s">
        <v>2869</v>
      </c>
    </row>
    <row r="517" spans="1:16" ht="12.75" customHeight="1" x14ac:dyDescent="0.25">
      <c r="A517" s="311">
        <v>514</v>
      </c>
      <c r="B517" s="311" t="s">
        <v>125</v>
      </c>
      <c r="C517" s="311" t="s">
        <v>125</v>
      </c>
      <c r="D517" s="311" t="s">
        <v>125</v>
      </c>
      <c r="E517" s="337" t="s">
        <v>125</v>
      </c>
      <c r="F517" s="311" t="s">
        <v>309</v>
      </c>
      <c r="G517" s="311" t="s">
        <v>23</v>
      </c>
      <c r="H517" s="311" t="s">
        <v>393</v>
      </c>
      <c r="I517" s="311" t="s">
        <v>66</v>
      </c>
      <c r="J517" s="50" t="s">
        <v>1892</v>
      </c>
      <c r="K517" s="50" t="s">
        <v>1892</v>
      </c>
      <c r="L517" s="50" t="s">
        <v>1893</v>
      </c>
      <c r="M517" s="50" t="s">
        <v>2870</v>
      </c>
      <c r="N517" s="50" t="s">
        <v>2870</v>
      </c>
      <c r="O517" s="50" t="s">
        <v>2870</v>
      </c>
      <c r="P517" s="50" t="s">
        <v>2870</v>
      </c>
    </row>
    <row r="518" spans="1:16" ht="12.75" customHeight="1" x14ac:dyDescent="0.25">
      <c r="A518" s="311">
        <v>515</v>
      </c>
      <c r="B518" s="311" t="s">
        <v>134</v>
      </c>
      <c r="C518" s="311" t="s">
        <v>134</v>
      </c>
      <c r="D518" s="311" t="s">
        <v>134</v>
      </c>
      <c r="E518" s="337" t="s">
        <v>134</v>
      </c>
      <c r="F518" s="311" t="s">
        <v>309</v>
      </c>
      <c r="G518" s="311" t="s">
        <v>23</v>
      </c>
      <c r="H518" s="311" t="s">
        <v>393</v>
      </c>
      <c r="I518" s="311" t="s">
        <v>66</v>
      </c>
      <c r="J518" s="50" t="s">
        <v>1892</v>
      </c>
      <c r="K518" s="50" t="s">
        <v>1892</v>
      </c>
      <c r="L518" s="50" t="s">
        <v>1893</v>
      </c>
      <c r="M518" s="50" t="s">
        <v>2871</v>
      </c>
      <c r="N518" s="50" t="s">
        <v>2871</v>
      </c>
      <c r="O518" s="50" t="s">
        <v>2871</v>
      </c>
      <c r="P518" s="50" t="s">
        <v>2871</v>
      </c>
    </row>
    <row r="519" spans="1:16" ht="12.75" customHeight="1" x14ac:dyDescent="0.25">
      <c r="A519" s="311">
        <v>516</v>
      </c>
      <c r="B519" s="311" t="s">
        <v>141</v>
      </c>
      <c r="C519" s="311" t="s">
        <v>141</v>
      </c>
      <c r="D519" s="311" t="s">
        <v>141</v>
      </c>
      <c r="E519" s="337" t="s">
        <v>141</v>
      </c>
      <c r="F519" s="311" t="s">
        <v>309</v>
      </c>
      <c r="G519" s="311" t="s">
        <v>23</v>
      </c>
      <c r="H519" s="311" t="s">
        <v>393</v>
      </c>
      <c r="I519" s="311" t="s">
        <v>66</v>
      </c>
      <c r="J519" s="50" t="s">
        <v>1892</v>
      </c>
      <c r="K519" s="50" t="s">
        <v>1892</v>
      </c>
      <c r="L519" s="50" t="s">
        <v>1893</v>
      </c>
      <c r="M519" s="50" t="s">
        <v>2872</v>
      </c>
      <c r="N519" s="50" t="s">
        <v>2872</v>
      </c>
      <c r="O519" s="50" t="s">
        <v>2872</v>
      </c>
      <c r="P519" s="50" t="s">
        <v>2872</v>
      </c>
    </row>
    <row r="520" spans="1:16" ht="12.75" customHeight="1" x14ac:dyDescent="0.25">
      <c r="A520" s="311">
        <v>517</v>
      </c>
      <c r="B520" s="311" t="s">
        <v>69</v>
      </c>
      <c r="C520" s="311" t="s">
        <v>69</v>
      </c>
      <c r="D520" s="311" t="s">
        <v>69</v>
      </c>
      <c r="E520" s="337" t="s">
        <v>69</v>
      </c>
      <c r="F520" s="311" t="s">
        <v>309</v>
      </c>
      <c r="G520" s="311" t="s">
        <v>23</v>
      </c>
      <c r="H520" s="311" t="s">
        <v>393</v>
      </c>
      <c r="I520" s="311" t="s">
        <v>66</v>
      </c>
      <c r="J520" s="50" t="s">
        <v>1892</v>
      </c>
      <c r="K520" s="50" t="s">
        <v>1892</v>
      </c>
      <c r="L520" s="50" t="s">
        <v>1893</v>
      </c>
      <c r="M520" s="50" t="s">
        <v>2873</v>
      </c>
      <c r="N520" s="50" t="s">
        <v>2873</v>
      </c>
      <c r="O520" s="50" t="s">
        <v>2873</v>
      </c>
      <c r="P520" s="50" t="s">
        <v>2873</v>
      </c>
    </row>
    <row r="521" spans="1:16" ht="12.75" customHeight="1" x14ac:dyDescent="0.25">
      <c r="A521" s="311">
        <v>518</v>
      </c>
      <c r="B521" s="311" t="s">
        <v>84</v>
      </c>
      <c r="C521" s="311" t="s">
        <v>462</v>
      </c>
      <c r="D521" s="311" t="s">
        <v>462</v>
      </c>
      <c r="E521" s="337" t="s">
        <v>462</v>
      </c>
      <c r="F521" s="311" t="s">
        <v>309</v>
      </c>
      <c r="G521" s="311" t="s">
        <v>237</v>
      </c>
      <c r="H521" s="311" t="s">
        <v>393</v>
      </c>
      <c r="I521" s="311" t="s">
        <v>66</v>
      </c>
      <c r="J521" s="50" t="s">
        <v>1892</v>
      </c>
      <c r="K521" s="50" t="s">
        <v>1892</v>
      </c>
      <c r="L521" s="50" t="s">
        <v>1893</v>
      </c>
      <c r="M521" s="50" t="s">
        <v>2874</v>
      </c>
      <c r="N521" s="50" t="s">
        <v>2875</v>
      </c>
      <c r="O521" s="50" t="s">
        <v>2875</v>
      </c>
      <c r="P521" s="50" t="s">
        <v>2875</v>
      </c>
    </row>
    <row r="522" spans="1:16" ht="12.75" customHeight="1" x14ac:dyDescent="0.25">
      <c r="A522" s="311">
        <v>519</v>
      </c>
      <c r="B522" s="311" t="s">
        <v>123</v>
      </c>
      <c r="C522" s="311" t="s">
        <v>462</v>
      </c>
      <c r="D522" s="311" t="s">
        <v>462</v>
      </c>
      <c r="E522" s="337" t="s">
        <v>462</v>
      </c>
      <c r="F522" s="311" t="s">
        <v>309</v>
      </c>
      <c r="G522" s="311" t="s">
        <v>237</v>
      </c>
      <c r="H522" s="311" t="s">
        <v>393</v>
      </c>
      <c r="I522" s="311" t="s">
        <v>66</v>
      </c>
      <c r="J522" s="50" t="s">
        <v>1892</v>
      </c>
      <c r="K522" s="50" t="s">
        <v>1892</v>
      </c>
      <c r="L522" s="50" t="s">
        <v>1893</v>
      </c>
      <c r="M522" s="50" t="s">
        <v>2876</v>
      </c>
      <c r="N522" s="50" t="s">
        <v>2875</v>
      </c>
      <c r="O522" s="50" t="s">
        <v>2875</v>
      </c>
      <c r="P522" s="50" t="s">
        <v>2875</v>
      </c>
    </row>
    <row r="523" spans="1:16" ht="12.75" customHeight="1" x14ac:dyDescent="0.25">
      <c r="A523" s="311">
        <v>520</v>
      </c>
      <c r="B523" s="311" t="s">
        <v>75</v>
      </c>
      <c r="C523" s="311" t="s">
        <v>462</v>
      </c>
      <c r="D523" s="311" t="s">
        <v>462</v>
      </c>
      <c r="E523" s="337" t="s">
        <v>462</v>
      </c>
      <c r="F523" s="311" t="s">
        <v>309</v>
      </c>
      <c r="G523" s="311" t="s">
        <v>237</v>
      </c>
      <c r="H523" s="311" t="s">
        <v>393</v>
      </c>
      <c r="I523" s="311" t="s">
        <v>66</v>
      </c>
      <c r="J523" s="50" t="s">
        <v>1892</v>
      </c>
      <c r="K523" s="50" t="s">
        <v>1892</v>
      </c>
      <c r="L523" s="50" t="s">
        <v>1893</v>
      </c>
      <c r="M523" s="50" t="s">
        <v>2877</v>
      </c>
      <c r="N523" s="50" t="s">
        <v>2875</v>
      </c>
      <c r="O523" s="50" t="s">
        <v>2875</v>
      </c>
      <c r="P523" s="50" t="s">
        <v>2875</v>
      </c>
    </row>
    <row r="524" spans="1:16" ht="12.75" customHeight="1" x14ac:dyDescent="0.25">
      <c r="A524" s="311">
        <v>521</v>
      </c>
      <c r="B524" s="311" t="s">
        <v>63</v>
      </c>
      <c r="C524" s="311" t="s">
        <v>63</v>
      </c>
      <c r="D524" s="311" t="s">
        <v>462</v>
      </c>
      <c r="E524" s="337" t="s">
        <v>63</v>
      </c>
      <c r="F524" s="311" t="s">
        <v>309</v>
      </c>
      <c r="G524" s="311" t="s">
        <v>237</v>
      </c>
      <c r="H524" s="311" t="s">
        <v>393</v>
      </c>
      <c r="I524" s="311" t="s">
        <v>66</v>
      </c>
      <c r="J524" s="50" t="s">
        <v>1892</v>
      </c>
      <c r="K524" s="50" t="s">
        <v>1892</v>
      </c>
      <c r="L524" s="50" t="s">
        <v>1893</v>
      </c>
      <c r="M524" s="50" t="s">
        <v>2878</v>
      </c>
      <c r="N524" s="50" t="s">
        <v>2878</v>
      </c>
      <c r="O524" s="50" t="s">
        <v>2875</v>
      </c>
      <c r="P524" s="50" t="s">
        <v>2878</v>
      </c>
    </row>
    <row r="525" spans="1:16" ht="12.75" customHeight="1" x14ac:dyDescent="0.25">
      <c r="A525" s="311">
        <v>522</v>
      </c>
      <c r="B525" s="311" t="s">
        <v>140</v>
      </c>
      <c r="C525" s="311" t="s">
        <v>140</v>
      </c>
      <c r="D525" s="311" t="s">
        <v>462</v>
      </c>
      <c r="E525" s="337" t="s">
        <v>140</v>
      </c>
      <c r="F525" s="311" t="s">
        <v>309</v>
      </c>
      <c r="G525" s="311" t="s">
        <v>237</v>
      </c>
      <c r="H525" s="311" t="s">
        <v>393</v>
      </c>
      <c r="I525" s="311" t="s">
        <v>66</v>
      </c>
      <c r="J525" s="50" t="s">
        <v>1892</v>
      </c>
      <c r="K525" s="50" t="s">
        <v>1892</v>
      </c>
      <c r="L525" s="50" t="s">
        <v>1893</v>
      </c>
      <c r="M525" s="50" t="s">
        <v>2879</v>
      </c>
      <c r="N525" s="50" t="s">
        <v>2879</v>
      </c>
      <c r="O525" s="50" t="s">
        <v>2875</v>
      </c>
      <c r="P525" s="50" t="s">
        <v>2879</v>
      </c>
    </row>
    <row r="526" spans="1:16" ht="12.75" customHeight="1" x14ac:dyDescent="0.25">
      <c r="A526" s="311">
        <v>523</v>
      </c>
      <c r="B526" s="311" t="s">
        <v>121</v>
      </c>
      <c r="C526" s="311" t="s">
        <v>121</v>
      </c>
      <c r="D526" s="311" t="s">
        <v>462</v>
      </c>
      <c r="E526" s="337" t="s">
        <v>121</v>
      </c>
      <c r="F526" s="311" t="s">
        <v>309</v>
      </c>
      <c r="G526" s="311" t="s">
        <v>237</v>
      </c>
      <c r="H526" s="311" t="s">
        <v>393</v>
      </c>
      <c r="I526" s="311" t="s">
        <v>66</v>
      </c>
      <c r="J526" s="50" t="s">
        <v>1892</v>
      </c>
      <c r="K526" s="50" t="s">
        <v>1892</v>
      </c>
      <c r="L526" s="50" t="s">
        <v>1893</v>
      </c>
      <c r="M526" s="50" t="s">
        <v>2880</v>
      </c>
      <c r="N526" s="50" t="s">
        <v>2880</v>
      </c>
      <c r="O526" s="50" t="s">
        <v>2875</v>
      </c>
      <c r="P526" s="50" t="s">
        <v>2880</v>
      </c>
    </row>
    <row r="527" spans="1:16" ht="12.75" customHeight="1" x14ac:dyDescent="0.25">
      <c r="A527" s="311">
        <v>524</v>
      </c>
      <c r="B527" s="311" t="s">
        <v>87</v>
      </c>
      <c r="C527" s="311" t="s">
        <v>87</v>
      </c>
      <c r="D527" s="311" t="s">
        <v>462</v>
      </c>
      <c r="E527" s="337" t="s">
        <v>87</v>
      </c>
      <c r="F527" s="311" t="s">
        <v>309</v>
      </c>
      <c r="G527" s="311" t="s">
        <v>237</v>
      </c>
      <c r="H527" s="311" t="s">
        <v>393</v>
      </c>
      <c r="I527" s="311" t="s">
        <v>66</v>
      </c>
      <c r="J527" s="50" t="s">
        <v>1892</v>
      </c>
      <c r="K527" s="50" t="s">
        <v>1892</v>
      </c>
      <c r="L527" s="50" t="s">
        <v>1893</v>
      </c>
      <c r="M527" s="50" t="s">
        <v>2881</v>
      </c>
      <c r="N527" s="50" t="s">
        <v>2881</v>
      </c>
      <c r="O527" s="50" t="s">
        <v>2875</v>
      </c>
      <c r="P527" s="50" t="s">
        <v>2881</v>
      </c>
    </row>
    <row r="528" spans="1:16" ht="12.75" customHeight="1" x14ac:dyDescent="0.25">
      <c r="A528" s="311">
        <v>525</v>
      </c>
      <c r="B528" s="311" t="s">
        <v>125</v>
      </c>
      <c r="C528" s="311" t="s">
        <v>125</v>
      </c>
      <c r="D528" s="311" t="s">
        <v>125</v>
      </c>
      <c r="E528" s="337" t="s">
        <v>125</v>
      </c>
      <c r="F528" s="311" t="s">
        <v>309</v>
      </c>
      <c r="G528" s="311" t="s">
        <v>237</v>
      </c>
      <c r="H528" s="311" t="s">
        <v>393</v>
      </c>
      <c r="I528" s="311" t="s">
        <v>66</v>
      </c>
      <c r="J528" s="50" t="s">
        <v>1892</v>
      </c>
      <c r="K528" s="50" t="s">
        <v>1892</v>
      </c>
      <c r="L528" s="50" t="s">
        <v>1893</v>
      </c>
      <c r="M528" s="50" t="s">
        <v>2882</v>
      </c>
      <c r="N528" s="50" t="s">
        <v>2882</v>
      </c>
      <c r="O528" s="50" t="s">
        <v>2882</v>
      </c>
      <c r="P528" s="50" t="s">
        <v>2882</v>
      </c>
    </row>
    <row r="529" spans="1:16" ht="12.75" customHeight="1" x14ac:dyDescent="0.25">
      <c r="A529" s="311">
        <v>526</v>
      </c>
      <c r="B529" s="311" t="s">
        <v>134</v>
      </c>
      <c r="C529" s="311" t="s">
        <v>134</v>
      </c>
      <c r="D529" s="311" t="s">
        <v>134</v>
      </c>
      <c r="E529" s="337" t="s">
        <v>134</v>
      </c>
      <c r="F529" s="311" t="s">
        <v>309</v>
      </c>
      <c r="G529" s="311" t="s">
        <v>237</v>
      </c>
      <c r="H529" s="311" t="s">
        <v>393</v>
      </c>
      <c r="I529" s="311" t="s">
        <v>66</v>
      </c>
      <c r="J529" s="50" t="s">
        <v>1892</v>
      </c>
      <c r="K529" s="50" t="s">
        <v>1892</v>
      </c>
      <c r="L529" s="50" t="s">
        <v>1893</v>
      </c>
      <c r="M529" s="50" t="s">
        <v>2883</v>
      </c>
      <c r="N529" s="50" t="s">
        <v>2883</v>
      </c>
      <c r="O529" s="50" t="s">
        <v>2883</v>
      </c>
      <c r="P529" s="50" t="s">
        <v>2883</v>
      </c>
    </row>
    <row r="530" spans="1:16" ht="12.75" customHeight="1" x14ac:dyDescent="0.25">
      <c r="A530" s="311">
        <v>527</v>
      </c>
      <c r="B530" s="311" t="s">
        <v>141</v>
      </c>
      <c r="C530" s="311" t="s">
        <v>141</v>
      </c>
      <c r="D530" s="311" t="s">
        <v>141</v>
      </c>
      <c r="E530" s="337" t="s">
        <v>141</v>
      </c>
      <c r="F530" s="311" t="s">
        <v>309</v>
      </c>
      <c r="G530" s="311" t="s">
        <v>237</v>
      </c>
      <c r="H530" s="311" t="s">
        <v>393</v>
      </c>
      <c r="I530" s="311" t="s">
        <v>66</v>
      </c>
      <c r="J530" s="50" t="s">
        <v>1892</v>
      </c>
      <c r="K530" s="50" t="s">
        <v>1892</v>
      </c>
      <c r="L530" s="50" t="s">
        <v>1893</v>
      </c>
      <c r="M530" s="50" t="s">
        <v>2884</v>
      </c>
      <c r="N530" s="50" t="s">
        <v>2884</v>
      </c>
      <c r="O530" s="50" t="s">
        <v>2884</v>
      </c>
      <c r="P530" s="50" t="s">
        <v>2884</v>
      </c>
    </row>
    <row r="531" spans="1:16" ht="12.75" customHeight="1" x14ac:dyDescent="0.25">
      <c r="A531" s="311">
        <v>528</v>
      </c>
      <c r="B531" s="311" t="s">
        <v>69</v>
      </c>
      <c r="C531" s="311" t="s">
        <v>69</v>
      </c>
      <c r="D531" s="311" t="s">
        <v>69</v>
      </c>
      <c r="E531" s="337" t="s">
        <v>69</v>
      </c>
      <c r="F531" s="311" t="s">
        <v>309</v>
      </c>
      <c r="G531" s="311" t="s">
        <v>237</v>
      </c>
      <c r="H531" s="311" t="s">
        <v>393</v>
      </c>
      <c r="I531" s="311" t="s">
        <v>66</v>
      </c>
      <c r="J531" s="50" t="s">
        <v>1892</v>
      </c>
      <c r="K531" s="50" t="s">
        <v>1892</v>
      </c>
      <c r="L531" s="50" t="s">
        <v>1893</v>
      </c>
      <c r="M531" s="50" t="s">
        <v>2885</v>
      </c>
      <c r="N531" s="50" t="s">
        <v>2885</v>
      </c>
      <c r="O531" s="50" t="s">
        <v>2885</v>
      </c>
      <c r="P531" s="50" t="s">
        <v>2885</v>
      </c>
    </row>
    <row r="532" spans="1:16" ht="12.75" customHeight="1" x14ac:dyDescent="0.25">
      <c r="A532" s="311">
        <v>529</v>
      </c>
      <c r="B532" s="311" t="s">
        <v>84</v>
      </c>
      <c r="C532" s="311" t="s">
        <v>462</v>
      </c>
      <c r="D532" s="311" t="s">
        <v>462</v>
      </c>
      <c r="E532" s="337" t="s">
        <v>462</v>
      </c>
      <c r="F532" s="311" t="s">
        <v>303</v>
      </c>
      <c r="G532" s="311" t="s">
        <v>236</v>
      </c>
      <c r="H532" s="311" t="s">
        <v>393</v>
      </c>
      <c r="I532" s="311" t="s">
        <v>66</v>
      </c>
      <c r="J532" s="50" t="s">
        <v>1892</v>
      </c>
      <c r="K532" s="50" t="s">
        <v>1892</v>
      </c>
      <c r="L532" s="50" t="s">
        <v>1893</v>
      </c>
      <c r="M532" s="50" t="s">
        <v>2886</v>
      </c>
      <c r="N532" s="50" t="s">
        <v>2887</v>
      </c>
      <c r="O532" s="50" t="s">
        <v>2887</v>
      </c>
      <c r="P532" s="50" t="s">
        <v>2887</v>
      </c>
    </row>
    <row r="533" spans="1:16" ht="12.75" customHeight="1" x14ac:dyDescent="0.25">
      <c r="A533" s="311">
        <v>530</v>
      </c>
      <c r="B533" s="311" t="s">
        <v>123</v>
      </c>
      <c r="C533" s="311" t="s">
        <v>462</v>
      </c>
      <c r="D533" s="311" t="s">
        <v>462</v>
      </c>
      <c r="E533" s="337" t="s">
        <v>462</v>
      </c>
      <c r="F533" s="311" t="s">
        <v>303</v>
      </c>
      <c r="G533" s="311" t="s">
        <v>236</v>
      </c>
      <c r="H533" s="311" t="s">
        <v>393</v>
      </c>
      <c r="I533" s="311" t="s">
        <v>66</v>
      </c>
      <c r="J533" s="50" t="s">
        <v>1892</v>
      </c>
      <c r="K533" s="50" t="s">
        <v>1892</v>
      </c>
      <c r="L533" s="50" t="s">
        <v>1893</v>
      </c>
      <c r="M533" s="50" t="s">
        <v>2888</v>
      </c>
      <c r="N533" s="50" t="s">
        <v>2887</v>
      </c>
      <c r="O533" s="50" t="s">
        <v>2887</v>
      </c>
      <c r="P533" s="50" t="s">
        <v>2887</v>
      </c>
    </row>
    <row r="534" spans="1:16" ht="12.75" customHeight="1" x14ac:dyDescent="0.25">
      <c r="A534" s="311">
        <v>531</v>
      </c>
      <c r="B534" s="311" t="s">
        <v>75</v>
      </c>
      <c r="C534" s="311" t="s">
        <v>462</v>
      </c>
      <c r="D534" s="311" t="s">
        <v>462</v>
      </c>
      <c r="E534" s="337" t="s">
        <v>462</v>
      </c>
      <c r="F534" s="311" t="s">
        <v>303</v>
      </c>
      <c r="G534" s="311" t="s">
        <v>236</v>
      </c>
      <c r="H534" s="311" t="s">
        <v>393</v>
      </c>
      <c r="I534" s="311" t="s">
        <v>66</v>
      </c>
      <c r="J534" s="50" t="s">
        <v>1892</v>
      </c>
      <c r="K534" s="50" t="s">
        <v>1892</v>
      </c>
      <c r="L534" s="50" t="s">
        <v>1893</v>
      </c>
      <c r="M534" s="50" t="s">
        <v>2889</v>
      </c>
      <c r="N534" s="50" t="s">
        <v>2887</v>
      </c>
      <c r="O534" s="50" t="s">
        <v>2887</v>
      </c>
      <c r="P534" s="50" t="s">
        <v>2887</v>
      </c>
    </row>
    <row r="535" spans="1:16" ht="12.75" customHeight="1" x14ac:dyDescent="0.25">
      <c r="A535" s="311">
        <v>532</v>
      </c>
      <c r="B535" s="311" t="s">
        <v>63</v>
      </c>
      <c r="C535" s="311" t="s">
        <v>63</v>
      </c>
      <c r="D535" s="311" t="s">
        <v>462</v>
      </c>
      <c r="E535" s="337" t="s">
        <v>63</v>
      </c>
      <c r="F535" s="311" t="s">
        <v>303</v>
      </c>
      <c r="G535" s="311" t="s">
        <v>236</v>
      </c>
      <c r="H535" s="311" t="s">
        <v>393</v>
      </c>
      <c r="I535" s="311" t="s">
        <v>66</v>
      </c>
      <c r="J535" s="50" t="s">
        <v>1892</v>
      </c>
      <c r="K535" s="50" t="s">
        <v>1892</v>
      </c>
      <c r="L535" s="50" t="s">
        <v>1893</v>
      </c>
      <c r="M535" s="50" t="s">
        <v>2890</v>
      </c>
      <c r="N535" s="50" t="s">
        <v>2890</v>
      </c>
      <c r="O535" s="50" t="s">
        <v>2887</v>
      </c>
      <c r="P535" s="50" t="s">
        <v>2890</v>
      </c>
    </row>
    <row r="536" spans="1:16" ht="12.75" customHeight="1" x14ac:dyDescent="0.25">
      <c r="A536" s="311">
        <v>533</v>
      </c>
      <c r="B536" s="311" t="s">
        <v>140</v>
      </c>
      <c r="C536" s="311" t="s">
        <v>140</v>
      </c>
      <c r="D536" s="311" t="s">
        <v>462</v>
      </c>
      <c r="E536" s="337" t="s">
        <v>140</v>
      </c>
      <c r="F536" s="311" t="s">
        <v>303</v>
      </c>
      <c r="G536" s="311" t="s">
        <v>236</v>
      </c>
      <c r="H536" s="311" t="s">
        <v>393</v>
      </c>
      <c r="I536" s="311" t="s">
        <v>66</v>
      </c>
      <c r="J536" s="50" t="s">
        <v>1892</v>
      </c>
      <c r="K536" s="50" t="s">
        <v>1892</v>
      </c>
      <c r="L536" s="50" t="s">
        <v>1893</v>
      </c>
      <c r="M536" s="50" t="s">
        <v>2891</v>
      </c>
      <c r="N536" s="50" t="s">
        <v>2891</v>
      </c>
      <c r="O536" s="50" t="s">
        <v>2887</v>
      </c>
      <c r="P536" s="50" t="s">
        <v>2891</v>
      </c>
    </row>
    <row r="537" spans="1:16" ht="12.75" customHeight="1" x14ac:dyDescent="0.25">
      <c r="A537" s="311">
        <v>534</v>
      </c>
      <c r="B537" s="311" t="s">
        <v>121</v>
      </c>
      <c r="C537" s="311" t="s">
        <v>121</v>
      </c>
      <c r="D537" s="311" t="s">
        <v>462</v>
      </c>
      <c r="E537" s="337" t="s">
        <v>121</v>
      </c>
      <c r="F537" s="311" t="s">
        <v>303</v>
      </c>
      <c r="G537" s="311" t="s">
        <v>236</v>
      </c>
      <c r="H537" s="311" t="s">
        <v>393</v>
      </c>
      <c r="I537" s="311" t="s">
        <v>66</v>
      </c>
      <c r="J537" s="50" t="s">
        <v>1892</v>
      </c>
      <c r="K537" s="50" t="s">
        <v>1892</v>
      </c>
      <c r="L537" s="50" t="s">
        <v>1893</v>
      </c>
      <c r="M537" s="50" t="s">
        <v>2892</v>
      </c>
      <c r="N537" s="50" t="s">
        <v>2892</v>
      </c>
      <c r="O537" s="50" t="s">
        <v>2887</v>
      </c>
      <c r="P537" s="50" t="s">
        <v>2892</v>
      </c>
    </row>
    <row r="538" spans="1:16" ht="12.75" customHeight="1" x14ac:dyDescent="0.25">
      <c r="A538" s="311">
        <v>535</v>
      </c>
      <c r="B538" s="311" t="s">
        <v>87</v>
      </c>
      <c r="C538" s="311" t="s">
        <v>87</v>
      </c>
      <c r="D538" s="311" t="s">
        <v>462</v>
      </c>
      <c r="E538" s="337" t="s">
        <v>87</v>
      </c>
      <c r="F538" s="311" t="s">
        <v>303</v>
      </c>
      <c r="G538" s="311" t="s">
        <v>236</v>
      </c>
      <c r="H538" s="311" t="s">
        <v>393</v>
      </c>
      <c r="I538" s="311" t="s">
        <v>66</v>
      </c>
      <c r="J538" s="50" t="s">
        <v>1892</v>
      </c>
      <c r="K538" s="50" t="s">
        <v>1892</v>
      </c>
      <c r="L538" s="50" t="s">
        <v>1893</v>
      </c>
      <c r="M538" s="50" t="s">
        <v>2893</v>
      </c>
      <c r="N538" s="50" t="s">
        <v>2893</v>
      </c>
      <c r="O538" s="50" t="s">
        <v>2887</v>
      </c>
      <c r="P538" s="50" t="s">
        <v>2893</v>
      </c>
    </row>
    <row r="539" spans="1:16" ht="12.75" customHeight="1" x14ac:dyDescent="0.25">
      <c r="A539" s="311">
        <v>536</v>
      </c>
      <c r="B539" s="311" t="s">
        <v>125</v>
      </c>
      <c r="C539" s="311" t="s">
        <v>125</v>
      </c>
      <c r="D539" s="311" t="s">
        <v>125</v>
      </c>
      <c r="E539" s="337" t="s">
        <v>125</v>
      </c>
      <c r="F539" s="311" t="s">
        <v>303</v>
      </c>
      <c r="G539" s="311" t="s">
        <v>236</v>
      </c>
      <c r="H539" s="311" t="s">
        <v>393</v>
      </c>
      <c r="I539" s="311" t="s">
        <v>66</v>
      </c>
      <c r="J539" s="50" t="s">
        <v>1892</v>
      </c>
      <c r="K539" s="50" t="s">
        <v>1892</v>
      </c>
      <c r="L539" s="50" t="s">
        <v>1893</v>
      </c>
      <c r="M539" s="50" t="s">
        <v>2894</v>
      </c>
      <c r="N539" s="50" t="s">
        <v>2894</v>
      </c>
      <c r="O539" s="50" t="s">
        <v>2894</v>
      </c>
      <c r="P539" s="50" t="s">
        <v>2894</v>
      </c>
    </row>
    <row r="540" spans="1:16" ht="12.75" customHeight="1" x14ac:dyDescent="0.25">
      <c r="A540" s="311">
        <v>537</v>
      </c>
      <c r="B540" s="311" t="s">
        <v>134</v>
      </c>
      <c r="C540" s="311" t="s">
        <v>134</v>
      </c>
      <c r="D540" s="311" t="s">
        <v>134</v>
      </c>
      <c r="E540" s="337" t="s">
        <v>134</v>
      </c>
      <c r="F540" s="311" t="s">
        <v>303</v>
      </c>
      <c r="G540" s="311" t="s">
        <v>236</v>
      </c>
      <c r="H540" s="311" t="s">
        <v>393</v>
      </c>
      <c r="I540" s="311" t="s">
        <v>66</v>
      </c>
      <c r="J540" s="50" t="s">
        <v>1892</v>
      </c>
      <c r="K540" s="50" t="s">
        <v>1892</v>
      </c>
      <c r="L540" s="50" t="s">
        <v>1893</v>
      </c>
      <c r="M540" s="50" t="s">
        <v>2895</v>
      </c>
      <c r="N540" s="50" t="s">
        <v>2895</v>
      </c>
      <c r="O540" s="50" t="s">
        <v>2895</v>
      </c>
      <c r="P540" s="50" t="s">
        <v>2895</v>
      </c>
    </row>
    <row r="541" spans="1:16" ht="12.75" customHeight="1" x14ac:dyDescent="0.25">
      <c r="A541" s="311">
        <v>538</v>
      </c>
      <c r="B541" s="311" t="s">
        <v>141</v>
      </c>
      <c r="C541" s="311" t="s">
        <v>141</v>
      </c>
      <c r="D541" s="311" t="s">
        <v>141</v>
      </c>
      <c r="E541" s="337" t="s">
        <v>141</v>
      </c>
      <c r="F541" s="311" t="s">
        <v>303</v>
      </c>
      <c r="G541" s="311" t="s">
        <v>236</v>
      </c>
      <c r="H541" s="311" t="s">
        <v>393</v>
      </c>
      <c r="I541" s="311" t="s">
        <v>66</v>
      </c>
      <c r="J541" s="50" t="s">
        <v>1892</v>
      </c>
      <c r="K541" s="50" t="s">
        <v>1892</v>
      </c>
      <c r="L541" s="50" t="s">
        <v>1893</v>
      </c>
      <c r="M541" s="50" t="s">
        <v>2896</v>
      </c>
      <c r="N541" s="50" t="s">
        <v>2896</v>
      </c>
      <c r="O541" s="50" t="s">
        <v>2896</v>
      </c>
      <c r="P541" s="50" t="s">
        <v>2896</v>
      </c>
    </row>
    <row r="542" spans="1:16" ht="12.75" customHeight="1" x14ac:dyDescent="0.25">
      <c r="A542" s="311">
        <v>539</v>
      </c>
      <c r="B542" s="311" t="s">
        <v>69</v>
      </c>
      <c r="C542" s="311" t="s">
        <v>69</v>
      </c>
      <c r="D542" s="311" t="s">
        <v>69</v>
      </c>
      <c r="E542" s="337" t="s">
        <v>69</v>
      </c>
      <c r="F542" s="311" t="s">
        <v>303</v>
      </c>
      <c r="G542" s="311" t="s">
        <v>236</v>
      </c>
      <c r="H542" s="311" t="s">
        <v>393</v>
      </c>
      <c r="I542" s="311" t="s">
        <v>66</v>
      </c>
      <c r="J542" s="50" t="s">
        <v>1892</v>
      </c>
      <c r="K542" s="50" t="s">
        <v>1892</v>
      </c>
      <c r="L542" s="50" t="s">
        <v>1893</v>
      </c>
      <c r="M542" s="50" t="s">
        <v>2897</v>
      </c>
      <c r="N542" s="50" t="s">
        <v>2897</v>
      </c>
      <c r="O542" s="50" t="s">
        <v>2897</v>
      </c>
      <c r="P542" s="50" t="s">
        <v>2897</v>
      </c>
    </row>
    <row r="543" spans="1:16" ht="12.75" customHeight="1" x14ac:dyDescent="0.25">
      <c r="A543" s="311">
        <v>540</v>
      </c>
      <c r="B543" s="311" t="s">
        <v>84</v>
      </c>
      <c r="C543" s="311" t="s">
        <v>462</v>
      </c>
      <c r="D543" s="311" t="s">
        <v>462</v>
      </c>
      <c r="E543" s="337" t="s">
        <v>462</v>
      </c>
      <c r="F543" s="311" t="s">
        <v>303</v>
      </c>
      <c r="G543" s="311" t="s">
        <v>23</v>
      </c>
      <c r="H543" s="311" t="s">
        <v>393</v>
      </c>
      <c r="I543" s="311" t="s">
        <v>66</v>
      </c>
      <c r="J543" s="50" t="s">
        <v>1892</v>
      </c>
      <c r="K543" s="50" t="s">
        <v>1892</v>
      </c>
      <c r="L543" s="50" t="s">
        <v>1893</v>
      </c>
      <c r="M543" s="50" t="s">
        <v>2898</v>
      </c>
      <c r="N543" s="50" t="s">
        <v>2899</v>
      </c>
      <c r="O543" s="50" t="s">
        <v>2899</v>
      </c>
      <c r="P543" s="50" t="s">
        <v>2899</v>
      </c>
    </row>
    <row r="544" spans="1:16" ht="12.75" customHeight="1" x14ac:dyDescent="0.25">
      <c r="A544" s="311">
        <v>541</v>
      </c>
      <c r="B544" s="311" t="s">
        <v>123</v>
      </c>
      <c r="C544" s="311" t="s">
        <v>462</v>
      </c>
      <c r="D544" s="311" t="s">
        <v>462</v>
      </c>
      <c r="E544" s="337" t="s">
        <v>462</v>
      </c>
      <c r="F544" s="311" t="s">
        <v>303</v>
      </c>
      <c r="G544" s="311" t="s">
        <v>23</v>
      </c>
      <c r="H544" s="311" t="s">
        <v>393</v>
      </c>
      <c r="I544" s="311" t="s">
        <v>66</v>
      </c>
      <c r="J544" s="50" t="s">
        <v>1892</v>
      </c>
      <c r="K544" s="50" t="s">
        <v>1892</v>
      </c>
      <c r="L544" s="50" t="s">
        <v>1893</v>
      </c>
      <c r="M544" s="50" t="s">
        <v>2900</v>
      </c>
      <c r="N544" s="50" t="s">
        <v>2899</v>
      </c>
      <c r="O544" s="50" t="s">
        <v>2899</v>
      </c>
      <c r="P544" s="50" t="s">
        <v>2899</v>
      </c>
    </row>
    <row r="545" spans="1:16" ht="12.75" customHeight="1" x14ac:dyDescent="0.25">
      <c r="A545" s="311">
        <v>542</v>
      </c>
      <c r="B545" s="311" t="s">
        <v>75</v>
      </c>
      <c r="C545" s="311" t="s">
        <v>462</v>
      </c>
      <c r="D545" s="311" t="s">
        <v>462</v>
      </c>
      <c r="E545" s="337" t="s">
        <v>462</v>
      </c>
      <c r="F545" s="311" t="s">
        <v>303</v>
      </c>
      <c r="G545" s="311" t="s">
        <v>23</v>
      </c>
      <c r="H545" s="311" t="s">
        <v>393</v>
      </c>
      <c r="I545" s="311" t="s">
        <v>66</v>
      </c>
      <c r="J545" s="50" t="s">
        <v>1892</v>
      </c>
      <c r="K545" s="50" t="s">
        <v>1892</v>
      </c>
      <c r="L545" s="50" t="s">
        <v>1893</v>
      </c>
      <c r="M545" s="50" t="s">
        <v>2901</v>
      </c>
      <c r="N545" s="50" t="s">
        <v>2899</v>
      </c>
      <c r="O545" s="50" t="s">
        <v>2899</v>
      </c>
      <c r="P545" s="50" t="s">
        <v>2899</v>
      </c>
    </row>
    <row r="546" spans="1:16" ht="12.75" customHeight="1" x14ac:dyDescent="0.25">
      <c r="A546" s="311">
        <v>543</v>
      </c>
      <c r="B546" s="311" t="s">
        <v>63</v>
      </c>
      <c r="C546" s="311" t="s">
        <v>63</v>
      </c>
      <c r="D546" s="311" t="s">
        <v>462</v>
      </c>
      <c r="E546" s="337" t="s">
        <v>63</v>
      </c>
      <c r="F546" s="311" t="s">
        <v>303</v>
      </c>
      <c r="G546" s="311" t="s">
        <v>23</v>
      </c>
      <c r="H546" s="311" t="s">
        <v>393</v>
      </c>
      <c r="I546" s="311" t="s">
        <v>66</v>
      </c>
      <c r="J546" s="50" t="s">
        <v>1892</v>
      </c>
      <c r="K546" s="50" t="s">
        <v>1892</v>
      </c>
      <c r="L546" s="50" t="s">
        <v>1893</v>
      </c>
      <c r="M546" s="50" t="s">
        <v>2902</v>
      </c>
      <c r="N546" s="50" t="s">
        <v>2902</v>
      </c>
      <c r="O546" s="50" t="s">
        <v>2899</v>
      </c>
      <c r="P546" s="50" t="s">
        <v>2902</v>
      </c>
    </row>
    <row r="547" spans="1:16" ht="12.75" customHeight="1" x14ac:dyDescent="0.25">
      <c r="A547" s="311">
        <v>544</v>
      </c>
      <c r="B547" s="311" t="s">
        <v>140</v>
      </c>
      <c r="C547" s="311" t="s">
        <v>140</v>
      </c>
      <c r="D547" s="311" t="s">
        <v>462</v>
      </c>
      <c r="E547" s="337" t="s">
        <v>140</v>
      </c>
      <c r="F547" s="311" t="s">
        <v>303</v>
      </c>
      <c r="G547" s="311" t="s">
        <v>23</v>
      </c>
      <c r="H547" s="311" t="s">
        <v>393</v>
      </c>
      <c r="I547" s="311" t="s">
        <v>66</v>
      </c>
      <c r="J547" s="50" t="s">
        <v>1892</v>
      </c>
      <c r="K547" s="50" t="s">
        <v>1892</v>
      </c>
      <c r="L547" s="50" t="s">
        <v>1893</v>
      </c>
      <c r="M547" s="50" t="s">
        <v>2903</v>
      </c>
      <c r="N547" s="50" t="s">
        <v>2903</v>
      </c>
      <c r="O547" s="50" t="s">
        <v>2899</v>
      </c>
      <c r="P547" s="50" t="s">
        <v>2903</v>
      </c>
    </row>
    <row r="548" spans="1:16" ht="12.75" customHeight="1" x14ac:dyDescent="0.25">
      <c r="A548" s="311">
        <v>545</v>
      </c>
      <c r="B548" s="311" t="s">
        <v>121</v>
      </c>
      <c r="C548" s="311" t="s">
        <v>121</v>
      </c>
      <c r="D548" s="311" t="s">
        <v>462</v>
      </c>
      <c r="E548" s="337" t="s">
        <v>121</v>
      </c>
      <c r="F548" s="311" t="s">
        <v>303</v>
      </c>
      <c r="G548" s="311" t="s">
        <v>23</v>
      </c>
      <c r="H548" s="311" t="s">
        <v>393</v>
      </c>
      <c r="I548" s="311" t="s">
        <v>66</v>
      </c>
      <c r="J548" s="50" t="s">
        <v>1892</v>
      </c>
      <c r="K548" s="50" t="s">
        <v>1892</v>
      </c>
      <c r="L548" s="50" t="s">
        <v>1893</v>
      </c>
      <c r="M548" s="50" t="s">
        <v>2904</v>
      </c>
      <c r="N548" s="50" t="s">
        <v>2904</v>
      </c>
      <c r="O548" s="50" t="s">
        <v>2899</v>
      </c>
      <c r="P548" s="50" t="s">
        <v>2904</v>
      </c>
    </row>
    <row r="549" spans="1:16" ht="12.75" customHeight="1" x14ac:dyDescent="0.25">
      <c r="A549" s="311">
        <v>546</v>
      </c>
      <c r="B549" s="311" t="s">
        <v>87</v>
      </c>
      <c r="C549" s="311" t="s">
        <v>87</v>
      </c>
      <c r="D549" s="311" t="s">
        <v>462</v>
      </c>
      <c r="E549" s="337" t="s">
        <v>87</v>
      </c>
      <c r="F549" s="311" t="s">
        <v>303</v>
      </c>
      <c r="G549" s="311" t="s">
        <v>23</v>
      </c>
      <c r="H549" s="311" t="s">
        <v>393</v>
      </c>
      <c r="I549" s="311" t="s">
        <v>66</v>
      </c>
      <c r="J549" s="50" t="s">
        <v>1892</v>
      </c>
      <c r="K549" s="50" t="s">
        <v>1892</v>
      </c>
      <c r="L549" s="50" t="s">
        <v>1893</v>
      </c>
      <c r="M549" s="50" t="s">
        <v>2905</v>
      </c>
      <c r="N549" s="50" t="s">
        <v>2905</v>
      </c>
      <c r="O549" s="50" t="s">
        <v>2899</v>
      </c>
      <c r="P549" s="50" t="s">
        <v>2905</v>
      </c>
    </row>
    <row r="550" spans="1:16" ht="12.75" customHeight="1" x14ac:dyDescent="0.25">
      <c r="A550" s="311">
        <v>547</v>
      </c>
      <c r="B550" s="311" t="s">
        <v>125</v>
      </c>
      <c r="C550" s="311" t="s">
        <v>125</v>
      </c>
      <c r="D550" s="311" t="s">
        <v>125</v>
      </c>
      <c r="E550" s="337" t="s">
        <v>125</v>
      </c>
      <c r="F550" s="311" t="s">
        <v>303</v>
      </c>
      <c r="G550" s="311" t="s">
        <v>23</v>
      </c>
      <c r="H550" s="311" t="s">
        <v>393</v>
      </c>
      <c r="I550" s="311" t="s">
        <v>66</v>
      </c>
      <c r="J550" s="50" t="s">
        <v>1892</v>
      </c>
      <c r="K550" s="50" t="s">
        <v>1892</v>
      </c>
      <c r="L550" s="50" t="s">
        <v>1893</v>
      </c>
      <c r="M550" s="50" t="s">
        <v>2906</v>
      </c>
      <c r="N550" s="50" t="s">
        <v>2906</v>
      </c>
      <c r="O550" s="50" t="s">
        <v>2906</v>
      </c>
      <c r="P550" s="50" t="s">
        <v>2906</v>
      </c>
    </row>
    <row r="551" spans="1:16" ht="12.75" customHeight="1" x14ac:dyDescent="0.25">
      <c r="A551" s="311">
        <v>548</v>
      </c>
      <c r="B551" s="311" t="s">
        <v>134</v>
      </c>
      <c r="C551" s="311" t="s">
        <v>134</v>
      </c>
      <c r="D551" s="311" t="s">
        <v>134</v>
      </c>
      <c r="E551" s="337" t="s">
        <v>134</v>
      </c>
      <c r="F551" s="311" t="s">
        <v>303</v>
      </c>
      <c r="G551" s="311" t="s">
        <v>23</v>
      </c>
      <c r="H551" s="311" t="s">
        <v>393</v>
      </c>
      <c r="I551" s="311" t="s">
        <v>66</v>
      </c>
      <c r="J551" s="50" t="s">
        <v>1892</v>
      </c>
      <c r="K551" s="50" t="s">
        <v>1892</v>
      </c>
      <c r="L551" s="50" t="s">
        <v>1893</v>
      </c>
      <c r="M551" s="50" t="s">
        <v>2907</v>
      </c>
      <c r="N551" s="50" t="s">
        <v>2907</v>
      </c>
      <c r="O551" s="50" t="s">
        <v>2907</v>
      </c>
      <c r="P551" s="50" t="s">
        <v>2907</v>
      </c>
    </row>
    <row r="552" spans="1:16" ht="12.75" customHeight="1" x14ac:dyDescent="0.25">
      <c r="A552" s="311">
        <v>549</v>
      </c>
      <c r="B552" s="311" t="s">
        <v>141</v>
      </c>
      <c r="C552" s="311" t="s">
        <v>141</v>
      </c>
      <c r="D552" s="311" t="s">
        <v>141</v>
      </c>
      <c r="E552" s="337" t="s">
        <v>141</v>
      </c>
      <c r="F552" s="311" t="s">
        <v>303</v>
      </c>
      <c r="G552" s="311" t="s">
        <v>23</v>
      </c>
      <c r="H552" s="311" t="s">
        <v>393</v>
      </c>
      <c r="I552" s="311" t="s">
        <v>66</v>
      </c>
      <c r="J552" s="50" t="s">
        <v>1892</v>
      </c>
      <c r="K552" s="50" t="s">
        <v>1892</v>
      </c>
      <c r="L552" s="50" t="s">
        <v>1893</v>
      </c>
      <c r="M552" s="50" t="s">
        <v>2908</v>
      </c>
      <c r="N552" s="50" t="s">
        <v>2908</v>
      </c>
      <c r="O552" s="50" t="s">
        <v>2908</v>
      </c>
      <c r="P552" s="50" t="s">
        <v>2908</v>
      </c>
    </row>
    <row r="553" spans="1:16" ht="12.75" customHeight="1" x14ac:dyDescent="0.25">
      <c r="A553" s="311">
        <v>550</v>
      </c>
      <c r="B553" s="311" t="s">
        <v>69</v>
      </c>
      <c r="C553" s="311" t="s">
        <v>69</v>
      </c>
      <c r="D553" s="311" t="s">
        <v>69</v>
      </c>
      <c r="E553" s="337" t="s">
        <v>69</v>
      </c>
      <c r="F553" s="311" t="s">
        <v>303</v>
      </c>
      <c r="G553" s="311" t="s">
        <v>23</v>
      </c>
      <c r="H553" s="311" t="s">
        <v>393</v>
      </c>
      <c r="I553" s="311" t="s">
        <v>66</v>
      </c>
      <c r="J553" s="50" t="s">
        <v>1892</v>
      </c>
      <c r="K553" s="50" t="s">
        <v>1892</v>
      </c>
      <c r="L553" s="50" t="s">
        <v>1893</v>
      </c>
      <c r="M553" s="50" t="s">
        <v>2909</v>
      </c>
      <c r="N553" s="50" t="s">
        <v>2909</v>
      </c>
      <c r="O553" s="50" t="s">
        <v>2909</v>
      </c>
      <c r="P553" s="50" t="s">
        <v>2909</v>
      </c>
    </row>
    <row r="554" spans="1:16" ht="12.75" customHeight="1" x14ac:dyDescent="0.25">
      <c r="A554" s="311">
        <v>551</v>
      </c>
      <c r="B554" s="311" t="s">
        <v>84</v>
      </c>
      <c r="C554" s="311" t="s">
        <v>462</v>
      </c>
      <c r="D554" s="311" t="s">
        <v>462</v>
      </c>
      <c r="E554" s="337" t="s">
        <v>462</v>
      </c>
      <c r="F554" s="311" t="s">
        <v>303</v>
      </c>
      <c r="G554" s="311" t="s">
        <v>237</v>
      </c>
      <c r="H554" s="311" t="s">
        <v>393</v>
      </c>
      <c r="I554" s="311" t="s">
        <v>66</v>
      </c>
      <c r="J554" s="50" t="s">
        <v>1892</v>
      </c>
      <c r="K554" s="50" t="s">
        <v>1892</v>
      </c>
      <c r="L554" s="50" t="s">
        <v>1893</v>
      </c>
      <c r="M554" s="50" t="s">
        <v>2910</v>
      </c>
      <c r="N554" s="50" t="s">
        <v>2911</v>
      </c>
      <c r="O554" s="50" t="s">
        <v>2911</v>
      </c>
      <c r="P554" s="50" t="s">
        <v>2911</v>
      </c>
    </row>
    <row r="555" spans="1:16" ht="12.75" customHeight="1" x14ac:dyDescent="0.25">
      <c r="A555" s="311">
        <v>552</v>
      </c>
      <c r="B555" s="311" t="s">
        <v>123</v>
      </c>
      <c r="C555" s="311" t="s">
        <v>462</v>
      </c>
      <c r="D555" s="311" t="s">
        <v>462</v>
      </c>
      <c r="E555" s="337" t="s">
        <v>462</v>
      </c>
      <c r="F555" s="311" t="s">
        <v>303</v>
      </c>
      <c r="G555" s="311" t="s">
        <v>237</v>
      </c>
      <c r="H555" s="311" t="s">
        <v>393</v>
      </c>
      <c r="I555" s="311" t="s">
        <v>66</v>
      </c>
      <c r="J555" s="50" t="s">
        <v>1892</v>
      </c>
      <c r="K555" s="50" t="s">
        <v>1892</v>
      </c>
      <c r="L555" s="50" t="s">
        <v>1893</v>
      </c>
      <c r="M555" s="50" t="s">
        <v>2912</v>
      </c>
      <c r="N555" s="50" t="s">
        <v>2911</v>
      </c>
      <c r="O555" s="50" t="s">
        <v>2911</v>
      </c>
      <c r="P555" s="50" t="s">
        <v>2911</v>
      </c>
    </row>
    <row r="556" spans="1:16" ht="12.75" customHeight="1" x14ac:dyDescent="0.25">
      <c r="A556" s="311">
        <v>553</v>
      </c>
      <c r="B556" s="311" t="s">
        <v>75</v>
      </c>
      <c r="C556" s="311" t="s">
        <v>462</v>
      </c>
      <c r="D556" s="311" t="s">
        <v>462</v>
      </c>
      <c r="E556" s="337" t="s">
        <v>462</v>
      </c>
      <c r="F556" s="311" t="s">
        <v>303</v>
      </c>
      <c r="G556" s="311" t="s">
        <v>237</v>
      </c>
      <c r="H556" s="311" t="s">
        <v>393</v>
      </c>
      <c r="I556" s="311" t="s">
        <v>66</v>
      </c>
      <c r="J556" s="50" t="s">
        <v>1892</v>
      </c>
      <c r="K556" s="50" t="s">
        <v>1892</v>
      </c>
      <c r="L556" s="50" t="s">
        <v>1893</v>
      </c>
      <c r="M556" s="50" t="s">
        <v>2913</v>
      </c>
      <c r="N556" s="50" t="s">
        <v>2911</v>
      </c>
      <c r="O556" s="50" t="s">
        <v>2911</v>
      </c>
      <c r="P556" s="50" t="s">
        <v>2911</v>
      </c>
    </row>
    <row r="557" spans="1:16" ht="12.75" customHeight="1" x14ac:dyDescent="0.25">
      <c r="A557" s="311">
        <v>554</v>
      </c>
      <c r="B557" s="311" t="s">
        <v>63</v>
      </c>
      <c r="C557" s="311" t="s">
        <v>63</v>
      </c>
      <c r="D557" s="311" t="s">
        <v>462</v>
      </c>
      <c r="E557" s="337" t="s">
        <v>63</v>
      </c>
      <c r="F557" s="311" t="s">
        <v>303</v>
      </c>
      <c r="G557" s="311" t="s">
        <v>237</v>
      </c>
      <c r="H557" s="311" t="s">
        <v>393</v>
      </c>
      <c r="I557" s="311" t="s">
        <v>66</v>
      </c>
      <c r="J557" s="50" t="s">
        <v>1892</v>
      </c>
      <c r="K557" s="50" t="s">
        <v>1892</v>
      </c>
      <c r="L557" s="50" t="s">
        <v>1893</v>
      </c>
      <c r="M557" s="50" t="s">
        <v>2914</v>
      </c>
      <c r="N557" s="50" t="s">
        <v>2914</v>
      </c>
      <c r="O557" s="50" t="s">
        <v>2911</v>
      </c>
      <c r="P557" s="50" t="s">
        <v>2914</v>
      </c>
    </row>
    <row r="558" spans="1:16" ht="12.75" customHeight="1" x14ac:dyDescent="0.25">
      <c r="A558" s="311">
        <v>555</v>
      </c>
      <c r="B558" s="311" t="s">
        <v>140</v>
      </c>
      <c r="C558" s="311" t="s">
        <v>140</v>
      </c>
      <c r="D558" s="311" t="s">
        <v>462</v>
      </c>
      <c r="E558" s="337" t="s">
        <v>140</v>
      </c>
      <c r="F558" s="311" t="s">
        <v>303</v>
      </c>
      <c r="G558" s="311" t="s">
        <v>237</v>
      </c>
      <c r="H558" s="311" t="s">
        <v>393</v>
      </c>
      <c r="I558" s="311" t="s">
        <v>66</v>
      </c>
      <c r="J558" s="50" t="s">
        <v>1892</v>
      </c>
      <c r="K558" s="50" t="s">
        <v>1892</v>
      </c>
      <c r="L558" s="50" t="s">
        <v>1893</v>
      </c>
      <c r="M558" s="50" t="s">
        <v>2915</v>
      </c>
      <c r="N558" s="50" t="s">
        <v>2915</v>
      </c>
      <c r="O558" s="50" t="s">
        <v>2911</v>
      </c>
      <c r="P558" s="50" t="s">
        <v>2915</v>
      </c>
    </row>
    <row r="559" spans="1:16" ht="12.75" customHeight="1" x14ac:dyDescent="0.25">
      <c r="A559" s="311">
        <v>556</v>
      </c>
      <c r="B559" s="311" t="s">
        <v>121</v>
      </c>
      <c r="C559" s="311" t="s">
        <v>121</v>
      </c>
      <c r="D559" s="311" t="s">
        <v>462</v>
      </c>
      <c r="E559" s="337" t="s">
        <v>121</v>
      </c>
      <c r="F559" s="311" t="s">
        <v>303</v>
      </c>
      <c r="G559" s="311" t="s">
        <v>237</v>
      </c>
      <c r="H559" s="311" t="s">
        <v>393</v>
      </c>
      <c r="I559" s="311" t="s">
        <v>66</v>
      </c>
      <c r="J559" s="50" t="s">
        <v>1892</v>
      </c>
      <c r="K559" s="50" t="s">
        <v>1892</v>
      </c>
      <c r="L559" s="50" t="s">
        <v>1893</v>
      </c>
      <c r="M559" s="50" t="s">
        <v>2916</v>
      </c>
      <c r="N559" s="50" t="s">
        <v>2916</v>
      </c>
      <c r="O559" s="50" t="s">
        <v>2911</v>
      </c>
      <c r="P559" s="50" t="s">
        <v>2916</v>
      </c>
    </row>
    <row r="560" spans="1:16" ht="12.75" customHeight="1" x14ac:dyDescent="0.25">
      <c r="A560" s="311">
        <v>557</v>
      </c>
      <c r="B560" s="311" t="s">
        <v>87</v>
      </c>
      <c r="C560" s="311" t="s">
        <v>87</v>
      </c>
      <c r="D560" s="311" t="s">
        <v>462</v>
      </c>
      <c r="E560" s="337" t="s">
        <v>87</v>
      </c>
      <c r="F560" s="311" t="s">
        <v>303</v>
      </c>
      <c r="G560" s="311" t="s">
        <v>237</v>
      </c>
      <c r="H560" s="311" t="s">
        <v>393</v>
      </c>
      <c r="I560" s="311" t="s">
        <v>66</v>
      </c>
      <c r="J560" s="50" t="s">
        <v>1892</v>
      </c>
      <c r="K560" s="50" t="s">
        <v>1892</v>
      </c>
      <c r="L560" s="50" t="s">
        <v>1893</v>
      </c>
      <c r="M560" s="50" t="s">
        <v>2917</v>
      </c>
      <c r="N560" s="50" t="s">
        <v>2917</v>
      </c>
      <c r="O560" s="50" t="s">
        <v>2911</v>
      </c>
      <c r="P560" s="50" t="s">
        <v>2917</v>
      </c>
    </row>
    <row r="561" spans="1:16" ht="12.75" customHeight="1" x14ac:dyDescent="0.25">
      <c r="A561" s="311">
        <v>558</v>
      </c>
      <c r="B561" s="311" t="s">
        <v>125</v>
      </c>
      <c r="C561" s="311" t="s">
        <v>125</v>
      </c>
      <c r="D561" s="311" t="s">
        <v>125</v>
      </c>
      <c r="E561" s="337" t="s">
        <v>125</v>
      </c>
      <c r="F561" s="311" t="s">
        <v>303</v>
      </c>
      <c r="G561" s="311" t="s">
        <v>237</v>
      </c>
      <c r="H561" s="311" t="s">
        <v>393</v>
      </c>
      <c r="I561" s="311" t="s">
        <v>66</v>
      </c>
      <c r="J561" s="50" t="s">
        <v>1892</v>
      </c>
      <c r="K561" s="50" t="s">
        <v>1892</v>
      </c>
      <c r="L561" s="50" t="s">
        <v>1893</v>
      </c>
      <c r="M561" s="50" t="s">
        <v>2918</v>
      </c>
      <c r="N561" s="50" t="s">
        <v>2918</v>
      </c>
      <c r="O561" s="50" t="s">
        <v>2918</v>
      </c>
      <c r="P561" s="50" t="s">
        <v>2918</v>
      </c>
    </row>
    <row r="562" spans="1:16" ht="12.75" customHeight="1" x14ac:dyDescent="0.25">
      <c r="A562" s="311">
        <v>559</v>
      </c>
      <c r="B562" s="311" t="s">
        <v>134</v>
      </c>
      <c r="C562" s="311" t="s">
        <v>134</v>
      </c>
      <c r="D562" s="311" t="s">
        <v>134</v>
      </c>
      <c r="E562" s="337" t="s">
        <v>134</v>
      </c>
      <c r="F562" s="311" t="s">
        <v>303</v>
      </c>
      <c r="G562" s="311" t="s">
        <v>237</v>
      </c>
      <c r="H562" s="311" t="s">
        <v>393</v>
      </c>
      <c r="I562" s="311" t="s">
        <v>66</v>
      </c>
      <c r="J562" s="50" t="s">
        <v>1892</v>
      </c>
      <c r="K562" s="50" t="s">
        <v>1892</v>
      </c>
      <c r="L562" s="50" t="s">
        <v>1893</v>
      </c>
      <c r="M562" s="50" t="s">
        <v>2919</v>
      </c>
      <c r="N562" s="50" t="s">
        <v>2919</v>
      </c>
      <c r="O562" s="50" t="s">
        <v>2919</v>
      </c>
      <c r="P562" s="50" t="s">
        <v>2919</v>
      </c>
    </row>
    <row r="563" spans="1:16" ht="12.75" customHeight="1" x14ac:dyDescent="0.25">
      <c r="A563" s="311">
        <v>560</v>
      </c>
      <c r="B563" s="311" t="s">
        <v>141</v>
      </c>
      <c r="C563" s="311" t="s">
        <v>141</v>
      </c>
      <c r="D563" s="311" t="s">
        <v>141</v>
      </c>
      <c r="E563" s="337" t="s">
        <v>141</v>
      </c>
      <c r="F563" s="311" t="s">
        <v>303</v>
      </c>
      <c r="G563" s="311" t="s">
        <v>237</v>
      </c>
      <c r="H563" s="311" t="s">
        <v>393</v>
      </c>
      <c r="I563" s="311" t="s">
        <v>66</v>
      </c>
      <c r="J563" s="50" t="s">
        <v>1892</v>
      </c>
      <c r="K563" s="50" t="s">
        <v>1892</v>
      </c>
      <c r="L563" s="50" t="s">
        <v>1893</v>
      </c>
      <c r="M563" s="50" t="s">
        <v>2920</v>
      </c>
      <c r="N563" s="50" t="s">
        <v>2920</v>
      </c>
      <c r="O563" s="50" t="s">
        <v>2920</v>
      </c>
      <c r="P563" s="50" t="s">
        <v>2920</v>
      </c>
    </row>
    <row r="564" spans="1:16" ht="12.75" customHeight="1" x14ac:dyDescent="0.25">
      <c r="A564" s="311">
        <v>561</v>
      </c>
      <c r="B564" s="311" t="s">
        <v>69</v>
      </c>
      <c r="C564" s="311" t="s">
        <v>69</v>
      </c>
      <c r="D564" s="311" t="s">
        <v>69</v>
      </c>
      <c r="E564" s="337" t="s">
        <v>69</v>
      </c>
      <c r="F564" s="311" t="s">
        <v>303</v>
      </c>
      <c r="G564" s="311" t="s">
        <v>237</v>
      </c>
      <c r="H564" s="311" t="s">
        <v>393</v>
      </c>
      <c r="I564" s="311" t="s">
        <v>66</v>
      </c>
      <c r="J564" s="50" t="s">
        <v>1892</v>
      </c>
      <c r="K564" s="50" t="s">
        <v>1892</v>
      </c>
      <c r="L564" s="50" t="s">
        <v>1893</v>
      </c>
      <c r="M564" s="50" t="s">
        <v>2921</v>
      </c>
      <c r="N564" s="50" t="s">
        <v>2921</v>
      </c>
      <c r="O564" s="50" t="s">
        <v>2921</v>
      </c>
      <c r="P564" s="50" t="s">
        <v>2921</v>
      </c>
    </row>
    <row r="565" spans="1:16" ht="12.75" customHeight="1" x14ac:dyDescent="0.25">
      <c r="A565" s="311">
        <v>562</v>
      </c>
      <c r="B565" s="311" t="s">
        <v>84</v>
      </c>
      <c r="C565" s="311" t="s">
        <v>462</v>
      </c>
      <c r="D565" s="311" t="s">
        <v>462</v>
      </c>
      <c r="E565" s="337" t="s">
        <v>462</v>
      </c>
      <c r="F565" s="311" t="s">
        <v>246</v>
      </c>
      <c r="G565" s="311" t="s">
        <v>236</v>
      </c>
      <c r="H565" s="311" t="s">
        <v>393</v>
      </c>
      <c r="I565" s="311" t="s">
        <v>66</v>
      </c>
      <c r="J565" s="50" t="s">
        <v>1892</v>
      </c>
      <c r="K565" s="50" t="s">
        <v>1892</v>
      </c>
      <c r="L565" s="50" t="s">
        <v>1893</v>
      </c>
      <c r="M565" s="50" t="s">
        <v>2922</v>
      </c>
      <c r="N565" s="50" t="s">
        <v>2923</v>
      </c>
      <c r="O565" s="50" t="s">
        <v>2923</v>
      </c>
      <c r="P565" s="50" t="s">
        <v>2923</v>
      </c>
    </row>
    <row r="566" spans="1:16" ht="12.75" customHeight="1" x14ac:dyDescent="0.25">
      <c r="A566" s="311">
        <v>563</v>
      </c>
      <c r="B566" s="311" t="s">
        <v>123</v>
      </c>
      <c r="C566" s="311" t="s">
        <v>462</v>
      </c>
      <c r="D566" s="311" t="s">
        <v>462</v>
      </c>
      <c r="E566" s="337" t="s">
        <v>462</v>
      </c>
      <c r="F566" s="311" t="s">
        <v>246</v>
      </c>
      <c r="G566" s="311" t="s">
        <v>236</v>
      </c>
      <c r="H566" s="311" t="s">
        <v>393</v>
      </c>
      <c r="I566" s="311" t="s">
        <v>66</v>
      </c>
      <c r="J566" s="50" t="s">
        <v>1892</v>
      </c>
      <c r="K566" s="50" t="s">
        <v>1892</v>
      </c>
      <c r="L566" s="50" t="s">
        <v>1893</v>
      </c>
      <c r="M566" s="50" t="s">
        <v>2924</v>
      </c>
      <c r="N566" s="50" t="s">
        <v>2923</v>
      </c>
      <c r="O566" s="50" t="s">
        <v>2923</v>
      </c>
      <c r="P566" s="50" t="s">
        <v>2923</v>
      </c>
    </row>
    <row r="567" spans="1:16" ht="12.75" customHeight="1" x14ac:dyDescent="0.25">
      <c r="A567" s="311">
        <v>564</v>
      </c>
      <c r="B567" s="311" t="s">
        <v>75</v>
      </c>
      <c r="C567" s="311" t="s">
        <v>462</v>
      </c>
      <c r="D567" s="311" t="s">
        <v>462</v>
      </c>
      <c r="E567" s="337" t="s">
        <v>462</v>
      </c>
      <c r="F567" s="311" t="s">
        <v>246</v>
      </c>
      <c r="G567" s="311" t="s">
        <v>236</v>
      </c>
      <c r="H567" s="311" t="s">
        <v>393</v>
      </c>
      <c r="I567" s="311" t="s">
        <v>66</v>
      </c>
      <c r="J567" s="50" t="s">
        <v>1892</v>
      </c>
      <c r="K567" s="50" t="s">
        <v>1892</v>
      </c>
      <c r="L567" s="50" t="s">
        <v>1893</v>
      </c>
      <c r="M567" s="50" t="s">
        <v>2925</v>
      </c>
      <c r="N567" s="50" t="s">
        <v>2923</v>
      </c>
      <c r="O567" s="50" t="s">
        <v>2923</v>
      </c>
      <c r="P567" s="50" t="s">
        <v>2923</v>
      </c>
    </row>
    <row r="568" spans="1:16" ht="12.75" customHeight="1" x14ac:dyDescent="0.25">
      <c r="A568" s="311">
        <v>565</v>
      </c>
      <c r="B568" s="311" t="s">
        <v>63</v>
      </c>
      <c r="C568" s="311" t="s">
        <v>63</v>
      </c>
      <c r="D568" s="311" t="s">
        <v>462</v>
      </c>
      <c r="E568" s="337" t="s">
        <v>63</v>
      </c>
      <c r="F568" s="311" t="s">
        <v>246</v>
      </c>
      <c r="G568" s="311" t="s">
        <v>236</v>
      </c>
      <c r="H568" s="311" t="s">
        <v>393</v>
      </c>
      <c r="I568" s="311" t="s">
        <v>66</v>
      </c>
      <c r="J568" s="50" t="s">
        <v>1892</v>
      </c>
      <c r="K568" s="50" t="s">
        <v>1892</v>
      </c>
      <c r="L568" s="50" t="s">
        <v>1893</v>
      </c>
      <c r="M568" s="50" t="s">
        <v>2926</v>
      </c>
      <c r="N568" s="50" t="s">
        <v>2926</v>
      </c>
      <c r="O568" s="50" t="s">
        <v>2923</v>
      </c>
      <c r="P568" s="50" t="s">
        <v>2926</v>
      </c>
    </row>
    <row r="569" spans="1:16" ht="12.75" customHeight="1" x14ac:dyDescent="0.25">
      <c r="A569" s="311">
        <v>566</v>
      </c>
      <c r="B569" s="311" t="s">
        <v>140</v>
      </c>
      <c r="C569" s="311" t="s">
        <v>140</v>
      </c>
      <c r="D569" s="311" t="s">
        <v>462</v>
      </c>
      <c r="E569" s="337" t="s">
        <v>140</v>
      </c>
      <c r="F569" s="311" t="s">
        <v>246</v>
      </c>
      <c r="G569" s="311" t="s">
        <v>236</v>
      </c>
      <c r="H569" s="311" t="s">
        <v>393</v>
      </c>
      <c r="I569" s="311" t="s">
        <v>66</v>
      </c>
      <c r="J569" s="50" t="s">
        <v>1892</v>
      </c>
      <c r="K569" s="50" t="s">
        <v>1892</v>
      </c>
      <c r="L569" s="50" t="s">
        <v>1893</v>
      </c>
      <c r="M569" s="50" t="s">
        <v>2927</v>
      </c>
      <c r="N569" s="50" t="s">
        <v>2927</v>
      </c>
      <c r="O569" s="50" t="s">
        <v>2923</v>
      </c>
      <c r="P569" s="50" t="s">
        <v>2927</v>
      </c>
    </row>
    <row r="570" spans="1:16" ht="12.75" customHeight="1" x14ac:dyDescent="0.25">
      <c r="A570" s="311">
        <v>567</v>
      </c>
      <c r="B570" s="311" t="s">
        <v>121</v>
      </c>
      <c r="C570" s="311" t="s">
        <v>121</v>
      </c>
      <c r="D570" s="311" t="s">
        <v>462</v>
      </c>
      <c r="E570" s="337" t="s">
        <v>121</v>
      </c>
      <c r="F570" s="311" t="s">
        <v>246</v>
      </c>
      <c r="G570" s="311" t="s">
        <v>236</v>
      </c>
      <c r="H570" s="311" t="s">
        <v>393</v>
      </c>
      <c r="I570" s="311" t="s">
        <v>66</v>
      </c>
      <c r="J570" s="50" t="s">
        <v>1892</v>
      </c>
      <c r="K570" s="50" t="s">
        <v>1892</v>
      </c>
      <c r="L570" s="50" t="s">
        <v>1893</v>
      </c>
      <c r="M570" s="50" t="s">
        <v>2928</v>
      </c>
      <c r="N570" s="50" t="s">
        <v>2928</v>
      </c>
      <c r="O570" s="50" t="s">
        <v>2923</v>
      </c>
      <c r="P570" s="50" t="s">
        <v>2928</v>
      </c>
    </row>
    <row r="571" spans="1:16" ht="12.75" customHeight="1" x14ac:dyDescent="0.25">
      <c r="A571" s="311">
        <v>568</v>
      </c>
      <c r="B571" s="311" t="s">
        <v>87</v>
      </c>
      <c r="C571" s="311" t="s">
        <v>87</v>
      </c>
      <c r="D571" s="311" t="s">
        <v>462</v>
      </c>
      <c r="E571" s="337" t="s">
        <v>87</v>
      </c>
      <c r="F571" s="311" t="s">
        <v>246</v>
      </c>
      <c r="G571" s="311" t="s">
        <v>236</v>
      </c>
      <c r="H571" s="311" t="s">
        <v>393</v>
      </c>
      <c r="I571" s="311" t="s">
        <v>66</v>
      </c>
      <c r="J571" s="50" t="s">
        <v>1892</v>
      </c>
      <c r="K571" s="50" t="s">
        <v>1892</v>
      </c>
      <c r="L571" s="50" t="s">
        <v>1893</v>
      </c>
      <c r="M571" s="50" t="s">
        <v>2929</v>
      </c>
      <c r="N571" s="50" t="s">
        <v>2929</v>
      </c>
      <c r="O571" s="50" t="s">
        <v>2923</v>
      </c>
      <c r="P571" s="50" t="s">
        <v>2929</v>
      </c>
    </row>
    <row r="572" spans="1:16" ht="12.75" customHeight="1" x14ac:dyDescent="0.25">
      <c r="A572" s="311">
        <v>569</v>
      </c>
      <c r="B572" s="311" t="s">
        <v>125</v>
      </c>
      <c r="C572" s="311" t="s">
        <v>125</v>
      </c>
      <c r="D572" s="311" t="s">
        <v>125</v>
      </c>
      <c r="E572" s="337" t="s">
        <v>125</v>
      </c>
      <c r="F572" s="311" t="s">
        <v>246</v>
      </c>
      <c r="G572" s="311" t="s">
        <v>236</v>
      </c>
      <c r="H572" s="311" t="s">
        <v>393</v>
      </c>
      <c r="I572" s="311" t="s">
        <v>66</v>
      </c>
      <c r="J572" s="50" t="s">
        <v>1892</v>
      </c>
      <c r="K572" s="50" t="s">
        <v>1892</v>
      </c>
      <c r="L572" s="50" t="s">
        <v>1893</v>
      </c>
      <c r="M572" s="50" t="s">
        <v>2930</v>
      </c>
      <c r="N572" s="50" t="s">
        <v>2930</v>
      </c>
      <c r="O572" s="50" t="s">
        <v>2930</v>
      </c>
      <c r="P572" s="50" t="s">
        <v>2930</v>
      </c>
    </row>
    <row r="573" spans="1:16" ht="12.75" customHeight="1" x14ac:dyDescent="0.25">
      <c r="A573" s="311">
        <v>570</v>
      </c>
      <c r="B573" s="311" t="s">
        <v>134</v>
      </c>
      <c r="C573" s="311" t="s">
        <v>134</v>
      </c>
      <c r="D573" s="311" t="s">
        <v>134</v>
      </c>
      <c r="E573" s="337" t="s">
        <v>134</v>
      </c>
      <c r="F573" s="311" t="s">
        <v>246</v>
      </c>
      <c r="G573" s="311" t="s">
        <v>236</v>
      </c>
      <c r="H573" s="311" t="s">
        <v>393</v>
      </c>
      <c r="I573" s="311" t="s">
        <v>66</v>
      </c>
      <c r="J573" s="50" t="s">
        <v>1892</v>
      </c>
      <c r="K573" s="50" t="s">
        <v>1892</v>
      </c>
      <c r="L573" s="50" t="s">
        <v>1893</v>
      </c>
      <c r="M573" s="50" t="s">
        <v>2931</v>
      </c>
      <c r="N573" s="50" t="s">
        <v>2931</v>
      </c>
      <c r="O573" s="50" t="s">
        <v>2931</v>
      </c>
      <c r="P573" s="50" t="s">
        <v>2931</v>
      </c>
    </row>
    <row r="574" spans="1:16" ht="12.75" customHeight="1" x14ac:dyDescent="0.25">
      <c r="A574" s="311">
        <v>571</v>
      </c>
      <c r="B574" s="311" t="s">
        <v>141</v>
      </c>
      <c r="C574" s="311" t="s">
        <v>141</v>
      </c>
      <c r="D574" s="311" t="s">
        <v>141</v>
      </c>
      <c r="E574" s="337" t="s">
        <v>141</v>
      </c>
      <c r="F574" s="311" t="s">
        <v>246</v>
      </c>
      <c r="G574" s="311" t="s">
        <v>236</v>
      </c>
      <c r="H574" s="311" t="s">
        <v>393</v>
      </c>
      <c r="I574" s="311" t="s">
        <v>66</v>
      </c>
      <c r="J574" s="50" t="s">
        <v>1892</v>
      </c>
      <c r="K574" s="50" t="s">
        <v>1892</v>
      </c>
      <c r="L574" s="50" t="s">
        <v>1893</v>
      </c>
      <c r="M574" s="50" t="s">
        <v>2932</v>
      </c>
      <c r="N574" s="50" t="s">
        <v>2932</v>
      </c>
      <c r="O574" s="50" t="s">
        <v>2932</v>
      </c>
      <c r="P574" s="50" t="s">
        <v>2932</v>
      </c>
    </row>
    <row r="575" spans="1:16" ht="12.75" customHeight="1" x14ac:dyDescent="0.25">
      <c r="A575" s="311">
        <v>572</v>
      </c>
      <c r="B575" s="311" t="s">
        <v>69</v>
      </c>
      <c r="C575" s="311" t="s">
        <v>69</v>
      </c>
      <c r="D575" s="311" t="s">
        <v>69</v>
      </c>
      <c r="E575" s="337" t="s">
        <v>69</v>
      </c>
      <c r="F575" s="311" t="s">
        <v>246</v>
      </c>
      <c r="G575" s="311" t="s">
        <v>236</v>
      </c>
      <c r="H575" s="311" t="s">
        <v>393</v>
      </c>
      <c r="I575" s="311" t="s">
        <v>66</v>
      </c>
      <c r="J575" s="50" t="s">
        <v>1892</v>
      </c>
      <c r="K575" s="50" t="s">
        <v>1892</v>
      </c>
      <c r="L575" s="50" t="s">
        <v>1893</v>
      </c>
      <c r="M575" s="50" t="s">
        <v>2933</v>
      </c>
      <c r="N575" s="50" t="s">
        <v>2933</v>
      </c>
      <c r="O575" s="50" t="s">
        <v>2933</v>
      </c>
      <c r="P575" s="50" t="s">
        <v>2933</v>
      </c>
    </row>
    <row r="576" spans="1:16" ht="12.75" customHeight="1" x14ac:dyDescent="0.25">
      <c r="A576" s="311">
        <v>573</v>
      </c>
      <c r="B576" s="311" t="s">
        <v>84</v>
      </c>
      <c r="C576" s="311" t="s">
        <v>462</v>
      </c>
      <c r="D576" s="311" t="s">
        <v>462</v>
      </c>
      <c r="E576" s="337" t="s">
        <v>462</v>
      </c>
      <c r="F576" s="311" t="s">
        <v>246</v>
      </c>
      <c r="G576" s="311" t="s">
        <v>23</v>
      </c>
      <c r="H576" s="311" t="s">
        <v>393</v>
      </c>
      <c r="I576" s="311" t="s">
        <v>66</v>
      </c>
      <c r="J576" s="50" t="s">
        <v>1892</v>
      </c>
      <c r="K576" s="50" t="s">
        <v>1892</v>
      </c>
      <c r="L576" s="50" t="s">
        <v>1893</v>
      </c>
      <c r="M576" s="50" t="s">
        <v>2934</v>
      </c>
      <c r="N576" s="50" t="s">
        <v>2935</v>
      </c>
      <c r="O576" s="50" t="s">
        <v>2935</v>
      </c>
      <c r="P576" s="50" t="s">
        <v>2935</v>
      </c>
    </row>
    <row r="577" spans="1:16" ht="12.75" customHeight="1" x14ac:dyDescent="0.25">
      <c r="A577" s="311">
        <v>574</v>
      </c>
      <c r="B577" s="311" t="s">
        <v>123</v>
      </c>
      <c r="C577" s="311" t="s">
        <v>462</v>
      </c>
      <c r="D577" s="311" t="s">
        <v>462</v>
      </c>
      <c r="E577" s="337" t="s">
        <v>462</v>
      </c>
      <c r="F577" s="311" t="s">
        <v>246</v>
      </c>
      <c r="G577" s="311" t="s">
        <v>23</v>
      </c>
      <c r="H577" s="311" t="s">
        <v>393</v>
      </c>
      <c r="I577" s="311" t="s">
        <v>66</v>
      </c>
      <c r="J577" s="50" t="s">
        <v>1892</v>
      </c>
      <c r="K577" s="50" t="s">
        <v>1892</v>
      </c>
      <c r="L577" s="50" t="s">
        <v>1893</v>
      </c>
      <c r="M577" s="50" t="s">
        <v>2936</v>
      </c>
      <c r="N577" s="50" t="s">
        <v>2935</v>
      </c>
      <c r="O577" s="50" t="s">
        <v>2935</v>
      </c>
      <c r="P577" s="50" t="s">
        <v>2935</v>
      </c>
    </row>
    <row r="578" spans="1:16" ht="12.75" customHeight="1" x14ac:dyDescent="0.25">
      <c r="A578" s="311">
        <v>575</v>
      </c>
      <c r="B578" s="311" t="s">
        <v>75</v>
      </c>
      <c r="C578" s="311" t="s">
        <v>462</v>
      </c>
      <c r="D578" s="311" t="s">
        <v>462</v>
      </c>
      <c r="E578" s="337" t="s">
        <v>462</v>
      </c>
      <c r="F578" s="311" t="s">
        <v>246</v>
      </c>
      <c r="G578" s="311" t="s">
        <v>23</v>
      </c>
      <c r="H578" s="311" t="s">
        <v>393</v>
      </c>
      <c r="I578" s="311" t="s">
        <v>66</v>
      </c>
      <c r="J578" s="50" t="s">
        <v>1892</v>
      </c>
      <c r="K578" s="50" t="s">
        <v>1892</v>
      </c>
      <c r="L578" s="50" t="s">
        <v>1893</v>
      </c>
      <c r="M578" s="50" t="s">
        <v>2937</v>
      </c>
      <c r="N578" s="50" t="s">
        <v>2935</v>
      </c>
      <c r="O578" s="50" t="s">
        <v>2935</v>
      </c>
      <c r="P578" s="50" t="s">
        <v>2935</v>
      </c>
    </row>
    <row r="579" spans="1:16" ht="12.75" customHeight="1" x14ac:dyDescent="0.25">
      <c r="A579" s="311">
        <v>576</v>
      </c>
      <c r="B579" s="311" t="s">
        <v>63</v>
      </c>
      <c r="C579" s="311" t="s">
        <v>63</v>
      </c>
      <c r="D579" s="311" t="s">
        <v>462</v>
      </c>
      <c r="E579" s="337" t="s">
        <v>63</v>
      </c>
      <c r="F579" s="311" t="s">
        <v>246</v>
      </c>
      <c r="G579" s="311" t="s">
        <v>23</v>
      </c>
      <c r="H579" s="311" t="s">
        <v>393</v>
      </c>
      <c r="I579" s="311" t="s">
        <v>66</v>
      </c>
      <c r="J579" s="50" t="s">
        <v>1892</v>
      </c>
      <c r="K579" s="50" t="s">
        <v>1892</v>
      </c>
      <c r="L579" s="50" t="s">
        <v>1893</v>
      </c>
      <c r="M579" s="50" t="s">
        <v>2938</v>
      </c>
      <c r="N579" s="50" t="s">
        <v>2938</v>
      </c>
      <c r="O579" s="50" t="s">
        <v>2935</v>
      </c>
      <c r="P579" s="50" t="s">
        <v>2938</v>
      </c>
    </row>
    <row r="580" spans="1:16" ht="12.75" customHeight="1" x14ac:dyDescent="0.25">
      <c r="A580" s="311">
        <v>577</v>
      </c>
      <c r="B580" s="311" t="s">
        <v>140</v>
      </c>
      <c r="C580" s="311" t="s">
        <v>140</v>
      </c>
      <c r="D580" s="311" t="s">
        <v>462</v>
      </c>
      <c r="E580" s="337" t="s">
        <v>140</v>
      </c>
      <c r="F580" s="311" t="s">
        <v>246</v>
      </c>
      <c r="G580" s="311" t="s">
        <v>23</v>
      </c>
      <c r="H580" s="311" t="s">
        <v>393</v>
      </c>
      <c r="I580" s="311" t="s">
        <v>66</v>
      </c>
      <c r="J580" s="50" t="s">
        <v>1892</v>
      </c>
      <c r="K580" s="50" t="s">
        <v>1892</v>
      </c>
      <c r="L580" s="50" t="s">
        <v>1893</v>
      </c>
      <c r="M580" s="50" t="s">
        <v>2939</v>
      </c>
      <c r="N580" s="50" t="s">
        <v>2939</v>
      </c>
      <c r="O580" s="50" t="s">
        <v>2935</v>
      </c>
      <c r="P580" s="50" t="s">
        <v>2939</v>
      </c>
    </row>
    <row r="581" spans="1:16" ht="12.75" customHeight="1" x14ac:dyDescent="0.25">
      <c r="A581" s="311">
        <v>578</v>
      </c>
      <c r="B581" s="311" t="s">
        <v>121</v>
      </c>
      <c r="C581" s="311" t="s">
        <v>121</v>
      </c>
      <c r="D581" s="311" t="s">
        <v>462</v>
      </c>
      <c r="E581" s="337" t="s">
        <v>121</v>
      </c>
      <c r="F581" s="311" t="s">
        <v>246</v>
      </c>
      <c r="G581" s="311" t="s">
        <v>23</v>
      </c>
      <c r="H581" s="311" t="s">
        <v>393</v>
      </c>
      <c r="I581" s="311" t="s">
        <v>66</v>
      </c>
      <c r="J581" s="50" t="s">
        <v>1892</v>
      </c>
      <c r="K581" s="50" t="s">
        <v>1892</v>
      </c>
      <c r="L581" s="50" t="s">
        <v>1893</v>
      </c>
      <c r="M581" s="50" t="s">
        <v>2940</v>
      </c>
      <c r="N581" s="50" t="s">
        <v>2940</v>
      </c>
      <c r="O581" s="50" t="s">
        <v>2935</v>
      </c>
      <c r="P581" s="50" t="s">
        <v>2940</v>
      </c>
    </row>
    <row r="582" spans="1:16" ht="12.75" customHeight="1" x14ac:dyDescent="0.25">
      <c r="A582" s="311">
        <v>579</v>
      </c>
      <c r="B582" s="311" t="s">
        <v>87</v>
      </c>
      <c r="C582" s="311" t="s">
        <v>87</v>
      </c>
      <c r="D582" s="311" t="s">
        <v>462</v>
      </c>
      <c r="E582" s="337" t="s">
        <v>87</v>
      </c>
      <c r="F582" s="311" t="s">
        <v>246</v>
      </c>
      <c r="G582" s="311" t="s">
        <v>23</v>
      </c>
      <c r="H582" s="311" t="s">
        <v>393</v>
      </c>
      <c r="I582" s="311" t="s">
        <v>66</v>
      </c>
      <c r="J582" s="50" t="s">
        <v>1892</v>
      </c>
      <c r="K582" s="50" t="s">
        <v>1892</v>
      </c>
      <c r="L582" s="50" t="s">
        <v>1893</v>
      </c>
      <c r="M582" s="50" t="s">
        <v>2941</v>
      </c>
      <c r="N582" s="50" t="s">
        <v>2941</v>
      </c>
      <c r="O582" s="50" t="s">
        <v>2935</v>
      </c>
      <c r="P582" s="50" t="s">
        <v>2941</v>
      </c>
    </row>
    <row r="583" spans="1:16" ht="12.75" customHeight="1" x14ac:dyDescent="0.25">
      <c r="A583" s="311">
        <v>580</v>
      </c>
      <c r="B583" s="311" t="s">
        <v>125</v>
      </c>
      <c r="C583" s="311" t="s">
        <v>125</v>
      </c>
      <c r="D583" s="311" t="s">
        <v>125</v>
      </c>
      <c r="E583" s="337" t="s">
        <v>125</v>
      </c>
      <c r="F583" s="311" t="s">
        <v>246</v>
      </c>
      <c r="G583" s="311" t="s">
        <v>23</v>
      </c>
      <c r="H583" s="311" t="s">
        <v>393</v>
      </c>
      <c r="I583" s="311" t="s">
        <v>66</v>
      </c>
      <c r="J583" s="50" t="s">
        <v>1892</v>
      </c>
      <c r="K583" s="50" t="s">
        <v>1892</v>
      </c>
      <c r="L583" s="50" t="s">
        <v>1893</v>
      </c>
      <c r="M583" s="50" t="s">
        <v>2942</v>
      </c>
      <c r="N583" s="50" t="s">
        <v>2942</v>
      </c>
      <c r="O583" s="50" t="s">
        <v>2942</v>
      </c>
      <c r="P583" s="50" t="s">
        <v>2942</v>
      </c>
    </row>
    <row r="584" spans="1:16" ht="12.75" customHeight="1" x14ac:dyDescent="0.25">
      <c r="A584" s="311">
        <v>581</v>
      </c>
      <c r="B584" s="311" t="s">
        <v>134</v>
      </c>
      <c r="C584" s="311" t="s">
        <v>134</v>
      </c>
      <c r="D584" s="311" t="s">
        <v>134</v>
      </c>
      <c r="E584" s="337" t="s">
        <v>134</v>
      </c>
      <c r="F584" s="311" t="s">
        <v>246</v>
      </c>
      <c r="G584" s="311" t="s">
        <v>23</v>
      </c>
      <c r="H584" s="311" t="s">
        <v>393</v>
      </c>
      <c r="I584" s="311" t="s">
        <v>66</v>
      </c>
      <c r="J584" s="50" t="s">
        <v>1892</v>
      </c>
      <c r="K584" s="50" t="s">
        <v>1892</v>
      </c>
      <c r="L584" s="50" t="s">
        <v>1893</v>
      </c>
      <c r="M584" s="50" t="s">
        <v>2943</v>
      </c>
      <c r="N584" s="50" t="s">
        <v>2943</v>
      </c>
      <c r="O584" s="50" t="s">
        <v>2943</v>
      </c>
      <c r="P584" s="50" t="s">
        <v>2943</v>
      </c>
    </row>
    <row r="585" spans="1:16" ht="12.75" customHeight="1" x14ac:dyDescent="0.25">
      <c r="A585" s="311">
        <v>582</v>
      </c>
      <c r="B585" s="311" t="s">
        <v>141</v>
      </c>
      <c r="C585" s="311" t="s">
        <v>141</v>
      </c>
      <c r="D585" s="311" t="s">
        <v>141</v>
      </c>
      <c r="E585" s="337" t="s">
        <v>141</v>
      </c>
      <c r="F585" s="311" t="s">
        <v>246</v>
      </c>
      <c r="G585" s="311" t="s">
        <v>23</v>
      </c>
      <c r="H585" s="311" t="s">
        <v>393</v>
      </c>
      <c r="I585" s="311" t="s">
        <v>66</v>
      </c>
      <c r="J585" s="50" t="s">
        <v>1892</v>
      </c>
      <c r="K585" s="50" t="s">
        <v>1892</v>
      </c>
      <c r="L585" s="50" t="s">
        <v>1893</v>
      </c>
      <c r="M585" s="50" t="s">
        <v>2944</v>
      </c>
      <c r="N585" s="50" t="s">
        <v>2944</v>
      </c>
      <c r="O585" s="50" t="s">
        <v>2944</v>
      </c>
      <c r="P585" s="50" t="s">
        <v>2944</v>
      </c>
    </row>
    <row r="586" spans="1:16" ht="12.75" customHeight="1" x14ac:dyDescent="0.25">
      <c r="A586" s="311">
        <v>583</v>
      </c>
      <c r="B586" s="311" t="s">
        <v>69</v>
      </c>
      <c r="C586" s="311" t="s">
        <v>69</v>
      </c>
      <c r="D586" s="311" t="s">
        <v>69</v>
      </c>
      <c r="E586" s="337" t="s">
        <v>69</v>
      </c>
      <c r="F586" s="311" t="s">
        <v>246</v>
      </c>
      <c r="G586" s="311" t="s">
        <v>23</v>
      </c>
      <c r="H586" s="311" t="s">
        <v>393</v>
      </c>
      <c r="I586" s="311" t="s">
        <v>66</v>
      </c>
      <c r="J586" s="50" t="s">
        <v>1892</v>
      </c>
      <c r="K586" s="50" t="s">
        <v>1892</v>
      </c>
      <c r="L586" s="50" t="s">
        <v>1893</v>
      </c>
      <c r="M586" s="50" t="s">
        <v>2945</v>
      </c>
      <c r="N586" s="50" t="s">
        <v>2945</v>
      </c>
      <c r="O586" s="50" t="s">
        <v>2945</v>
      </c>
      <c r="P586" s="50" t="s">
        <v>2945</v>
      </c>
    </row>
    <row r="587" spans="1:16" ht="12.75" customHeight="1" x14ac:dyDescent="0.25">
      <c r="A587" s="311">
        <v>584</v>
      </c>
      <c r="B587" s="311" t="s">
        <v>84</v>
      </c>
      <c r="C587" s="311" t="s">
        <v>462</v>
      </c>
      <c r="D587" s="311" t="s">
        <v>462</v>
      </c>
      <c r="E587" s="337" t="s">
        <v>462</v>
      </c>
      <c r="F587" s="311" t="s">
        <v>246</v>
      </c>
      <c r="G587" s="311" t="s">
        <v>237</v>
      </c>
      <c r="H587" s="311" t="s">
        <v>393</v>
      </c>
      <c r="I587" s="311" t="s">
        <v>66</v>
      </c>
      <c r="J587" s="50" t="s">
        <v>1892</v>
      </c>
      <c r="K587" s="50" t="s">
        <v>1892</v>
      </c>
      <c r="L587" s="50" t="s">
        <v>1893</v>
      </c>
      <c r="M587" s="50" t="s">
        <v>2946</v>
      </c>
      <c r="N587" s="50" t="s">
        <v>2947</v>
      </c>
      <c r="O587" s="50" t="s">
        <v>2947</v>
      </c>
      <c r="P587" s="50" t="s">
        <v>2947</v>
      </c>
    </row>
    <row r="588" spans="1:16" ht="12.75" customHeight="1" x14ac:dyDescent="0.25">
      <c r="A588" s="311">
        <v>585</v>
      </c>
      <c r="B588" s="311" t="s">
        <v>123</v>
      </c>
      <c r="C588" s="311" t="s">
        <v>462</v>
      </c>
      <c r="D588" s="311" t="s">
        <v>462</v>
      </c>
      <c r="E588" s="337" t="s">
        <v>462</v>
      </c>
      <c r="F588" s="311" t="s">
        <v>246</v>
      </c>
      <c r="G588" s="311" t="s">
        <v>237</v>
      </c>
      <c r="H588" s="311" t="s">
        <v>393</v>
      </c>
      <c r="I588" s="311" t="s">
        <v>66</v>
      </c>
      <c r="J588" s="50" t="s">
        <v>1892</v>
      </c>
      <c r="K588" s="50" t="s">
        <v>1892</v>
      </c>
      <c r="L588" s="50" t="s">
        <v>1893</v>
      </c>
      <c r="M588" s="50" t="s">
        <v>2948</v>
      </c>
      <c r="N588" s="50" t="s">
        <v>2947</v>
      </c>
      <c r="O588" s="50" t="s">
        <v>2947</v>
      </c>
      <c r="P588" s="50" t="s">
        <v>2947</v>
      </c>
    </row>
    <row r="589" spans="1:16" ht="12.75" customHeight="1" x14ac:dyDescent="0.25">
      <c r="A589" s="311">
        <v>586</v>
      </c>
      <c r="B589" s="311" t="s">
        <v>75</v>
      </c>
      <c r="C589" s="311" t="s">
        <v>462</v>
      </c>
      <c r="D589" s="311" t="s">
        <v>462</v>
      </c>
      <c r="E589" s="337" t="s">
        <v>462</v>
      </c>
      <c r="F589" s="311" t="s">
        <v>246</v>
      </c>
      <c r="G589" s="311" t="s">
        <v>237</v>
      </c>
      <c r="H589" s="311" t="s">
        <v>393</v>
      </c>
      <c r="I589" s="311" t="s">
        <v>66</v>
      </c>
      <c r="J589" s="50" t="s">
        <v>1892</v>
      </c>
      <c r="K589" s="50" t="s">
        <v>1892</v>
      </c>
      <c r="L589" s="50" t="s">
        <v>1893</v>
      </c>
      <c r="M589" s="50" t="s">
        <v>2949</v>
      </c>
      <c r="N589" s="50" t="s">
        <v>2947</v>
      </c>
      <c r="O589" s="50" t="s">
        <v>2947</v>
      </c>
      <c r="P589" s="50" t="s">
        <v>2947</v>
      </c>
    </row>
    <row r="590" spans="1:16" ht="12.75" customHeight="1" x14ac:dyDescent="0.25">
      <c r="A590" s="311">
        <v>587</v>
      </c>
      <c r="B590" s="311" t="s">
        <v>63</v>
      </c>
      <c r="C590" s="311" t="s">
        <v>63</v>
      </c>
      <c r="D590" s="311" t="s">
        <v>462</v>
      </c>
      <c r="E590" s="337" t="s">
        <v>63</v>
      </c>
      <c r="F590" s="311" t="s">
        <v>246</v>
      </c>
      <c r="G590" s="311" t="s">
        <v>237</v>
      </c>
      <c r="H590" s="311" t="s">
        <v>393</v>
      </c>
      <c r="I590" s="311" t="s">
        <v>66</v>
      </c>
      <c r="J590" s="50" t="s">
        <v>1892</v>
      </c>
      <c r="K590" s="50" t="s">
        <v>1892</v>
      </c>
      <c r="L590" s="50" t="s">
        <v>1893</v>
      </c>
      <c r="M590" s="50" t="s">
        <v>2950</v>
      </c>
      <c r="N590" s="50" t="s">
        <v>2950</v>
      </c>
      <c r="O590" s="50" t="s">
        <v>2947</v>
      </c>
      <c r="P590" s="50" t="s">
        <v>2950</v>
      </c>
    </row>
    <row r="591" spans="1:16" ht="12.75" customHeight="1" x14ac:dyDescent="0.25">
      <c r="A591" s="311">
        <v>588</v>
      </c>
      <c r="B591" s="311" t="s">
        <v>140</v>
      </c>
      <c r="C591" s="311" t="s">
        <v>140</v>
      </c>
      <c r="D591" s="311" t="s">
        <v>462</v>
      </c>
      <c r="E591" s="337" t="s">
        <v>140</v>
      </c>
      <c r="F591" s="311" t="s">
        <v>246</v>
      </c>
      <c r="G591" s="311" t="s">
        <v>237</v>
      </c>
      <c r="H591" s="311" t="s">
        <v>393</v>
      </c>
      <c r="I591" s="311" t="s">
        <v>66</v>
      </c>
      <c r="J591" s="50" t="s">
        <v>1892</v>
      </c>
      <c r="K591" s="50" t="s">
        <v>1892</v>
      </c>
      <c r="L591" s="50" t="s">
        <v>1893</v>
      </c>
      <c r="M591" s="50" t="s">
        <v>2951</v>
      </c>
      <c r="N591" s="50" t="s">
        <v>2951</v>
      </c>
      <c r="O591" s="50" t="s">
        <v>2947</v>
      </c>
      <c r="P591" s="50" t="s">
        <v>2951</v>
      </c>
    </row>
    <row r="592" spans="1:16" ht="12.75" customHeight="1" x14ac:dyDescent="0.25">
      <c r="A592" s="311">
        <v>589</v>
      </c>
      <c r="B592" s="311" t="s">
        <v>121</v>
      </c>
      <c r="C592" s="311" t="s">
        <v>121</v>
      </c>
      <c r="D592" s="311" t="s">
        <v>462</v>
      </c>
      <c r="E592" s="337" t="s">
        <v>121</v>
      </c>
      <c r="F592" s="311" t="s">
        <v>246</v>
      </c>
      <c r="G592" s="311" t="s">
        <v>237</v>
      </c>
      <c r="H592" s="311" t="s">
        <v>393</v>
      </c>
      <c r="I592" s="311" t="s">
        <v>66</v>
      </c>
      <c r="J592" s="50" t="s">
        <v>1892</v>
      </c>
      <c r="K592" s="50" t="s">
        <v>1892</v>
      </c>
      <c r="L592" s="50" t="s">
        <v>1893</v>
      </c>
      <c r="M592" s="50" t="s">
        <v>2952</v>
      </c>
      <c r="N592" s="50" t="s">
        <v>2952</v>
      </c>
      <c r="O592" s="50" t="s">
        <v>2947</v>
      </c>
      <c r="P592" s="50" t="s">
        <v>2952</v>
      </c>
    </row>
    <row r="593" spans="1:16" ht="12.75" customHeight="1" x14ac:dyDescent="0.25">
      <c r="A593" s="311">
        <v>590</v>
      </c>
      <c r="B593" s="311" t="s">
        <v>87</v>
      </c>
      <c r="C593" s="311" t="s">
        <v>87</v>
      </c>
      <c r="D593" s="311" t="s">
        <v>462</v>
      </c>
      <c r="E593" s="337" t="s">
        <v>87</v>
      </c>
      <c r="F593" s="311" t="s">
        <v>246</v>
      </c>
      <c r="G593" s="311" t="s">
        <v>237</v>
      </c>
      <c r="H593" s="311" t="s">
        <v>393</v>
      </c>
      <c r="I593" s="311" t="s">
        <v>66</v>
      </c>
      <c r="J593" s="50" t="s">
        <v>1892</v>
      </c>
      <c r="K593" s="50" t="s">
        <v>1892</v>
      </c>
      <c r="L593" s="50" t="s">
        <v>1893</v>
      </c>
      <c r="M593" s="50" t="s">
        <v>2953</v>
      </c>
      <c r="N593" s="50" t="s">
        <v>2953</v>
      </c>
      <c r="O593" s="50" t="s">
        <v>2947</v>
      </c>
      <c r="P593" s="50" t="s">
        <v>2953</v>
      </c>
    </row>
    <row r="594" spans="1:16" ht="12.75" customHeight="1" x14ac:dyDescent="0.25">
      <c r="A594" s="311">
        <v>591</v>
      </c>
      <c r="B594" s="311" t="s">
        <v>125</v>
      </c>
      <c r="C594" s="311" t="s">
        <v>125</v>
      </c>
      <c r="D594" s="311" t="s">
        <v>125</v>
      </c>
      <c r="E594" s="337" t="s">
        <v>125</v>
      </c>
      <c r="F594" s="311" t="s">
        <v>246</v>
      </c>
      <c r="G594" s="311" t="s">
        <v>237</v>
      </c>
      <c r="H594" s="311" t="s">
        <v>393</v>
      </c>
      <c r="I594" s="311" t="s">
        <v>66</v>
      </c>
      <c r="J594" s="50" t="s">
        <v>1892</v>
      </c>
      <c r="K594" s="50" t="s">
        <v>1892</v>
      </c>
      <c r="L594" s="50" t="s">
        <v>1893</v>
      </c>
      <c r="M594" s="50" t="s">
        <v>2954</v>
      </c>
      <c r="N594" s="50" t="s">
        <v>2954</v>
      </c>
      <c r="O594" s="50" t="s">
        <v>2954</v>
      </c>
      <c r="P594" s="50" t="s">
        <v>2954</v>
      </c>
    </row>
    <row r="595" spans="1:16" ht="12.75" customHeight="1" x14ac:dyDescent="0.25">
      <c r="A595" s="311">
        <v>592</v>
      </c>
      <c r="B595" s="311" t="s">
        <v>134</v>
      </c>
      <c r="C595" s="311" t="s">
        <v>134</v>
      </c>
      <c r="D595" s="311" t="s">
        <v>134</v>
      </c>
      <c r="E595" s="337" t="s">
        <v>134</v>
      </c>
      <c r="F595" s="311" t="s">
        <v>246</v>
      </c>
      <c r="G595" s="311" t="s">
        <v>237</v>
      </c>
      <c r="H595" s="311" t="s">
        <v>393</v>
      </c>
      <c r="I595" s="311" t="s">
        <v>66</v>
      </c>
      <c r="J595" s="50" t="s">
        <v>1892</v>
      </c>
      <c r="K595" s="50" t="s">
        <v>1892</v>
      </c>
      <c r="L595" s="50" t="s">
        <v>1893</v>
      </c>
      <c r="M595" s="50" t="s">
        <v>2955</v>
      </c>
      <c r="N595" s="50" t="s">
        <v>2955</v>
      </c>
      <c r="O595" s="50" t="s">
        <v>2955</v>
      </c>
      <c r="P595" s="50" t="s">
        <v>2955</v>
      </c>
    </row>
    <row r="596" spans="1:16" ht="12.75" customHeight="1" x14ac:dyDescent="0.25">
      <c r="A596" s="311">
        <v>593</v>
      </c>
      <c r="B596" s="311" t="s">
        <v>141</v>
      </c>
      <c r="C596" s="311" t="s">
        <v>141</v>
      </c>
      <c r="D596" s="311" t="s">
        <v>141</v>
      </c>
      <c r="E596" s="337" t="s">
        <v>141</v>
      </c>
      <c r="F596" s="311" t="s">
        <v>246</v>
      </c>
      <c r="G596" s="311" t="s">
        <v>237</v>
      </c>
      <c r="H596" s="311" t="s">
        <v>393</v>
      </c>
      <c r="I596" s="311" t="s">
        <v>66</v>
      </c>
      <c r="J596" s="50" t="s">
        <v>1892</v>
      </c>
      <c r="K596" s="50" t="s">
        <v>1892</v>
      </c>
      <c r="L596" s="50" t="s">
        <v>1893</v>
      </c>
      <c r="M596" s="50" t="s">
        <v>2956</v>
      </c>
      <c r="N596" s="50" t="s">
        <v>2956</v>
      </c>
      <c r="O596" s="50" t="s">
        <v>2956</v>
      </c>
      <c r="P596" s="50" t="s">
        <v>2956</v>
      </c>
    </row>
    <row r="597" spans="1:16" ht="12.75" customHeight="1" x14ac:dyDescent="0.25">
      <c r="A597" s="311">
        <v>594</v>
      </c>
      <c r="B597" s="311" t="s">
        <v>69</v>
      </c>
      <c r="C597" s="311" t="s">
        <v>69</v>
      </c>
      <c r="D597" s="311" t="s">
        <v>69</v>
      </c>
      <c r="E597" s="337" t="s">
        <v>69</v>
      </c>
      <c r="F597" s="311" t="s">
        <v>246</v>
      </c>
      <c r="G597" s="311" t="s">
        <v>237</v>
      </c>
      <c r="H597" s="311" t="s">
        <v>393</v>
      </c>
      <c r="I597" s="311" t="s">
        <v>66</v>
      </c>
      <c r="J597" s="50" t="s">
        <v>1892</v>
      </c>
      <c r="K597" s="50" t="s">
        <v>1892</v>
      </c>
      <c r="L597" s="50" t="s">
        <v>1893</v>
      </c>
      <c r="M597" s="50" t="s">
        <v>2957</v>
      </c>
      <c r="N597" s="50" t="s">
        <v>2957</v>
      </c>
      <c r="O597" s="50" t="s">
        <v>2957</v>
      </c>
      <c r="P597" s="50" t="s">
        <v>2957</v>
      </c>
    </row>
    <row r="598" spans="1:16" ht="12.75" customHeight="1" x14ac:dyDescent="0.25">
      <c r="A598" s="311">
        <v>595</v>
      </c>
      <c r="B598" s="311" t="s">
        <v>84</v>
      </c>
      <c r="C598" s="311" t="s">
        <v>462</v>
      </c>
      <c r="D598" s="311" t="s">
        <v>462</v>
      </c>
      <c r="E598" s="337" t="s">
        <v>462</v>
      </c>
      <c r="F598" s="311" t="s">
        <v>70</v>
      </c>
      <c r="G598" s="311" t="s">
        <v>236</v>
      </c>
      <c r="H598" s="311" t="s">
        <v>393</v>
      </c>
      <c r="I598" s="311" t="s">
        <v>66</v>
      </c>
      <c r="J598" s="50" t="s">
        <v>1892</v>
      </c>
      <c r="K598" s="50" t="s">
        <v>1892</v>
      </c>
      <c r="L598" s="50" t="s">
        <v>1893</v>
      </c>
      <c r="M598" s="50" t="s">
        <v>2958</v>
      </c>
      <c r="N598" s="50" t="s">
        <v>2959</v>
      </c>
      <c r="O598" s="50" t="s">
        <v>2959</v>
      </c>
      <c r="P598" s="50" t="s">
        <v>2959</v>
      </c>
    </row>
    <row r="599" spans="1:16" ht="12.75" customHeight="1" x14ac:dyDescent="0.25">
      <c r="A599" s="311">
        <v>596</v>
      </c>
      <c r="B599" s="311" t="s">
        <v>123</v>
      </c>
      <c r="C599" s="311" t="s">
        <v>462</v>
      </c>
      <c r="D599" s="311" t="s">
        <v>462</v>
      </c>
      <c r="E599" s="337" t="s">
        <v>462</v>
      </c>
      <c r="F599" s="311" t="s">
        <v>70</v>
      </c>
      <c r="G599" s="311" t="s">
        <v>236</v>
      </c>
      <c r="H599" s="311" t="s">
        <v>393</v>
      </c>
      <c r="I599" s="311" t="s">
        <v>66</v>
      </c>
      <c r="J599" s="50" t="s">
        <v>1892</v>
      </c>
      <c r="K599" s="50" t="s">
        <v>1892</v>
      </c>
      <c r="L599" s="50" t="s">
        <v>1893</v>
      </c>
      <c r="M599" s="50" t="s">
        <v>2960</v>
      </c>
      <c r="N599" s="50" t="s">
        <v>2959</v>
      </c>
      <c r="O599" s="50" t="s">
        <v>2959</v>
      </c>
      <c r="P599" s="50" t="s">
        <v>2959</v>
      </c>
    </row>
    <row r="600" spans="1:16" ht="12.75" customHeight="1" x14ac:dyDescent="0.25">
      <c r="A600" s="311">
        <v>597</v>
      </c>
      <c r="B600" s="311" t="s">
        <v>75</v>
      </c>
      <c r="C600" s="311" t="s">
        <v>462</v>
      </c>
      <c r="D600" s="311" t="s">
        <v>462</v>
      </c>
      <c r="E600" s="337" t="s">
        <v>462</v>
      </c>
      <c r="F600" s="311" t="s">
        <v>70</v>
      </c>
      <c r="G600" s="311" t="s">
        <v>236</v>
      </c>
      <c r="H600" s="311" t="s">
        <v>393</v>
      </c>
      <c r="I600" s="311" t="s">
        <v>66</v>
      </c>
      <c r="J600" s="50" t="s">
        <v>1892</v>
      </c>
      <c r="K600" s="50" t="s">
        <v>1892</v>
      </c>
      <c r="L600" s="50" t="s">
        <v>1893</v>
      </c>
      <c r="M600" s="50" t="s">
        <v>2961</v>
      </c>
      <c r="N600" s="50" t="s">
        <v>2959</v>
      </c>
      <c r="O600" s="50" t="s">
        <v>2959</v>
      </c>
      <c r="P600" s="50" t="s">
        <v>2959</v>
      </c>
    </row>
    <row r="601" spans="1:16" ht="12.75" customHeight="1" x14ac:dyDescent="0.25">
      <c r="A601" s="311">
        <v>598</v>
      </c>
      <c r="B601" s="311" t="s">
        <v>63</v>
      </c>
      <c r="C601" s="311" t="s">
        <v>63</v>
      </c>
      <c r="D601" s="311" t="s">
        <v>462</v>
      </c>
      <c r="E601" s="337" t="s">
        <v>63</v>
      </c>
      <c r="F601" s="311" t="s">
        <v>70</v>
      </c>
      <c r="G601" s="311" t="s">
        <v>236</v>
      </c>
      <c r="H601" s="311" t="s">
        <v>393</v>
      </c>
      <c r="I601" s="311" t="s">
        <v>66</v>
      </c>
      <c r="J601" s="50" t="s">
        <v>1892</v>
      </c>
      <c r="K601" s="50" t="s">
        <v>1892</v>
      </c>
      <c r="L601" s="50" t="s">
        <v>1893</v>
      </c>
      <c r="M601" s="50" t="s">
        <v>2962</v>
      </c>
      <c r="N601" s="50" t="s">
        <v>2962</v>
      </c>
      <c r="O601" s="50" t="s">
        <v>2959</v>
      </c>
      <c r="P601" s="50" t="s">
        <v>2962</v>
      </c>
    </row>
    <row r="602" spans="1:16" ht="12.75" customHeight="1" x14ac:dyDescent="0.25">
      <c r="A602" s="311">
        <v>599</v>
      </c>
      <c r="B602" s="311" t="s">
        <v>140</v>
      </c>
      <c r="C602" s="311" t="s">
        <v>140</v>
      </c>
      <c r="D602" s="311" t="s">
        <v>462</v>
      </c>
      <c r="E602" s="337" t="s">
        <v>140</v>
      </c>
      <c r="F602" s="311" t="s">
        <v>70</v>
      </c>
      <c r="G602" s="311" t="s">
        <v>236</v>
      </c>
      <c r="H602" s="311" t="s">
        <v>393</v>
      </c>
      <c r="I602" s="311" t="s">
        <v>66</v>
      </c>
      <c r="J602" s="50" t="s">
        <v>1892</v>
      </c>
      <c r="K602" s="50" t="s">
        <v>1892</v>
      </c>
      <c r="L602" s="50" t="s">
        <v>1893</v>
      </c>
      <c r="M602" s="50" t="s">
        <v>2963</v>
      </c>
      <c r="N602" s="50" t="s">
        <v>2963</v>
      </c>
      <c r="O602" s="50" t="s">
        <v>2959</v>
      </c>
      <c r="P602" s="50" t="s">
        <v>2963</v>
      </c>
    </row>
    <row r="603" spans="1:16" ht="12.75" customHeight="1" x14ac:dyDescent="0.25">
      <c r="A603" s="311">
        <v>600</v>
      </c>
      <c r="B603" s="311" t="s">
        <v>121</v>
      </c>
      <c r="C603" s="311" t="s">
        <v>121</v>
      </c>
      <c r="D603" s="311" t="s">
        <v>462</v>
      </c>
      <c r="E603" s="337" t="s">
        <v>121</v>
      </c>
      <c r="F603" s="311" t="s">
        <v>70</v>
      </c>
      <c r="G603" s="311" t="s">
        <v>236</v>
      </c>
      <c r="H603" s="311" t="s">
        <v>393</v>
      </c>
      <c r="I603" s="311" t="s">
        <v>66</v>
      </c>
      <c r="J603" s="50" t="s">
        <v>1892</v>
      </c>
      <c r="K603" s="50" t="s">
        <v>1892</v>
      </c>
      <c r="L603" s="50" t="s">
        <v>1893</v>
      </c>
      <c r="M603" s="50" t="s">
        <v>2964</v>
      </c>
      <c r="N603" s="50" t="s">
        <v>2964</v>
      </c>
      <c r="O603" s="50" t="s">
        <v>2959</v>
      </c>
      <c r="P603" s="50" t="s">
        <v>2964</v>
      </c>
    </row>
    <row r="604" spans="1:16" ht="12.75" customHeight="1" x14ac:dyDescent="0.25">
      <c r="A604" s="311">
        <v>601</v>
      </c>
      <c r="B604" s="311" t="s">
        <v>87</v>
      </c>
      <c r="C604" s="311" t="s">
        <v>87</v>
      </c>
      <c r="D604" s="311" t="s">
        <v>462</v>
      </c>
      <c r="E604" s="337" t="s">
        <v>87</v>
      </c>
      <c r="F604" s="311" t="s">
        <v>70</v>
      </c>
      <c r="G604" s="311" t="s">
        <v>236</v>
      </c>
      <c r="H604" s="311" t="s">
        <v>393</v>
      </c>
      <c r="I604" s="311" t="s">
        <v>66</v>
      </c>
      <c r="J604" s="50" t="s">
        <v>1892</v>
      </c>
      <c r="K604" s="50" t="s">
        <v>1892</v>
      </c>
      <c r="L604" s="50" t="s">
        <v>1893</v>
      </c>
      <c r="M604" s="50" t="s">
        <v>2965</v>
      </c>
      <c r="N604" s="50" t="s">
        <v>2965</v>
      </c>
      <c r="O604" s="50" t="s">
        <v>2959</v>
      </c>
      <c r="P604" s="50" t="s">
        <v>2965</v>
      </c>
    </row>
    <row r="605" spans="1:16" ht="12.75" customHeight="1" x14ac:dyDescent="0.25">
      <c r="A605" s="311">
        <v>602</v>
      </c>
      <c r="B605" s="311" t="s">
        <v>125</v>
      </c>
      <c r="C605" s="311" t="s">
        <v>125</v>
      </c>
      <c r="D605" s="311" t="s">
        <v>125</v>
      </c>
      <c r="E605" s="337" t="s">
        <v>125</v>
      </c>
      <c r="F605" s="311" t="s">
        <v>70</v>
      </c>
      <c r="G605" s="311" t="s">
        <v>236</v>
      </c>
      <c r="H605" s="311" t="s">
        <v>393</v>
      </c>
      <c r="I605" s="311" t="s">
        <v>66</v>
      </c>
      <c r="J605" s="50" t="s">
        <v>1892</v>
      </c>
      <c r="K605" s="50" t="s">
        <v>1892</v>
      </c>
      <c r="L605" s="50" t="s">
        <v>1893</v>
      </c>
      <c r="M605" s="50" t="s">
        <v>2966</v>
      </c>
      <c r="N605" s="50" t="s">
        <v>2966</v>
      </c>
      <c r="O605" s="50" t="s">
        <v>2966</v>
      </c>
      <c r="P605" s="50" t="s">
        <v>2966</v>
      </c>
    </row>
    <row r="606" spans="1:16" ht="12.75" customHeight="1" x14ac:dyDescent="0.25">
      <c r="A606" s="311">
        <v>603</v>
      </c>
      <c r="B606" s="311" t="s">
        <v>134</v>
      </c>
      <c r="C606" s="311" t="s">
        <v>134</v>
      </c>
      <c r="D606" s="311" t="s">
        <v>134</v>
      </c>
      <c r="E606" s="337" t="s">
        <v>134</v>
      </c>
      <c r="F606" s="311" t="s">
        <v>70</v>
      </c>
      <c r="G606" s="311" t="s">
        <v>236</v>
      </c>
      <c r="H606" s="311" t="s">
        <v>393</v>
      </c>
      <c r="I606" s="311" t="s">
        <v>66</v>
      </c>
      <c r="J606" s="50" t="s">
        <v>1892</v>
      </c>
      <c r="K606" s="50" t="s">
        <v>1892</v>
      </c>
      <c r="L606" s="50" t="s">
        <v>1893</v>
      </c>
      <c r="M606" s="50" t="s">
        <v>2967</v>
      </c>
      <c r="N606" s="50" t="s">
        <v>2967</v>
      </c>
      <c r="O606" s="50" t="s">
        <v>2967</v>
      </c>
      <c r="P606" s="50" t="s">
        <v>2967</v>
      </c>
    </row>
    <row r="607" spans="1:16" ht="12.75" customHeight="1" x14ac:dyDescent="0.25">
      <c r="A607" s="311">
        <v>604</v>
      </c>
      <c r="B607" s="311" t="s">
        <v>141</v>
      </c>
      <c r="C607" s="311" t="s">
        <v>141</v>
      </c>
      <c r="D607" s="311" t="s">
        <v>141</v>
      </c>
      <c r="E607" s="337" t="s">
        <v>141</v>
      </c>
      <c r="F607" s="311" t="s">
        <v>70</v>
      </c>
      <c r="G607" s="311" t="s">
        <v>236</v>
      </c>
      <c r="H607" s="311" t="s">
        <v>393</v>
      </c>
      <c r="I607" s="311" t="s">
        <v>66</v>
      </c>
      <c r="J607" s="50" t="s">
        <v>1892</v>
      </c>
      <c r="K607" s="50" t="s">
        <v>1892</v>
      </c>
      <c r="L607" s="50" t="s">
        <v>1893</v>
      </c>
      <c r="M607" s="50" t="s">
        <v>2968</v>
      </c>
      <c r="N607" s="50" t="s">
        <v>2968</v>
      </c>
      <c r="O607" s="50" t="s">
        <v>2968</v>
      </c>
      <c r="P607" s="50" t="s">
        <v>2968</v>
      </c>
    </row>
    <row r="608" spans="1:16" ht="12.75" customHeight="1" x14ac:dyDescent="0.25">
      <c r="A608" s="311">
        <v>605</v>
      </c>
      <c r="B608" s="311" t="s">
        <v>69</v>
      </c>
      <c r="C608" s="311" t="s">
        <v>69</v>
      </c>
      <c r="D608" s="311" t="s">
        <v>69</v>
      </c>
      <c r="E608" s="337" t="s">
        <v>69</v>
      </c>
      <c r="F608" s="311" t="s">
        <v>70</v>
      </c>
      <c r="G608" s="311" t="s">
        <v>236</v>
      </c>
      <c r="H608" s="311" t="s">
        <v>393</v>
      </c>
      <c r="I608" s="311" t="s">
        <v>66</v>
      </c>
      <c r="J608" s="50" t="s">
        <v>1892</v>
      </c>
      <c r="K608" s="50" t="s">
        <v>1892</v>
      </c>
      <c r="L608" s="50" t="s">
        <v>1893</v>
      </c>
      <c r="M608" s="50" t="s">
        <v>2969</v>
      </c>
      <c r="N608" s="50" t="s">
        <v>2969</v>
      </c>
      <c r="O608" s="50" t="s">
        <v>2969</v>
      </c>
      <c r="P608" s="50" t="s">
        <v>2969</v>
      </c>
    </row>
    <row r="609" spans="1:16" ht="12.75" customHeight="1" x14ac:dyDescent="0.25">
      <c r="A609" s="311">
        <v>606</v>
      </c>
      <c r="B609" s="311" t="s">
        <v>84</v>
      </c>
      <c r="C609" s="311" t="s">
        <v>462</v>
      </c>
      <c r="D609" s="311" t="s">
        <v>462</v>
      </c>
      <c r="E609" s="337" t="s">
        <v>462</v>
      </c>
      <c r="F609" s="311" t="s">
        <v>70</v>
      </c>
      <c r="G609" s="311" t="s">
        <v>23</v>
      </c>
      <c r="H609" s="311" t="s">
        <v>393</v>
      </c>
      <c r="I609" s="311" t="s">
        <v>66</v>
      </c>
      <c r="J609" s="50" t="s">
        <v>1892</v>
      </c>
      <c r="K609" s="50" t="s">
        <v>1892</v>
      </c>
      <c r="L609" s="50" t="s">
        <v>1893</v>
      </c>
      <c r="M609" s="50" t="s">
        <v>2970</v>
      </c>
      <c r="N609" s="50" t="s">
        <v>2971</v>
      </c>
      <c r="O609" s="50" t="s">
        <v>2971</v>
      </c>
      <c r="P609" s="50" t="s">
        <v>2971</v>
      </c>
    </row>
    <row r="610" spans="1:16" ht="12.75" customHeight="1" x14ac:dyDescent="0.25">
      <c r="A610" s="311">
        <v>607</v>
      </c>
      <c r="B610" s="311" t="s">
        <v>123</v>
      </c>
      <c r="C610" s="311" t="s">
        <v>462</v>
      </c>
      <c r="D610" s="311" t="s">
        <v>462</v>
      </c>
      <c r="E610" s="337" t="s">
        <v>462</v>
      </c>
      <c r="F610" s="311" t="s">
        <v>70</v>
      </c>
      <c r="G610" s="311" t="s">
        <v>23</v>
      </c>
      <c r="H610" s="311" t="s">
        <v>393</v>
      </c>
      <c r="I610" s="311" t="s">
        <v>66</v>
      </c>
      <c r="J610" s="50" t="s">
        <v>1892</v>
      </c>
      <c r="K610" s="50" t="s">
        <v>1892</v>
      </c>
      <c r="L610" s="50" t="s">
        <v>1893</v>
      </c>
      <c r="M610" s="50" t="s">
        <v>2972</v>
      </c>
      <c r="N610" s="50" t="s">
        <v>2971</v>
      </c>
      <c r="O610" s="50" t="s">
        <v>2971</v>
      </c>
      <c r="P610" s="50" t="s">
        <v>2971</v>
      </c>
    </row>
    <row r="611" spans="1:16" ht="12.75" customHeight="1" x14ac:dyDescent="0.25">
      <c r="A611" s="311">
        <v>608</v>
      </c>
      <c r="B611" s="311" t="s">
        <v>75</v>
      </c>
      <c r="C611" s="311" t="s">
        <v>462</v>
      </c>
      <c r="D611" s="311" t="s">
        <v>462</v>
      </c>
      <c r="E611" s="337" t="s">
        <v>462</v>
      </c>
      <c r="F611" s="311" t="s">
        <v>70</v>
      </c>
      <c r="G611" s="311" t="s">
        <v>23</v>
      </c>
      <c r="H611" s="311" t="s">
        <v>393</v>
      </c>
      <c r="I611" s="311" t="s">
        <v>66</v>
      </c>
      <c r="J611" s="50" t="s">
        <v>1892</v>
      </c>
      <c r="K611" s="50" t="s">
        <v>1892</v>
      </c>
      <c r="L611" s="50" t="s">
        <v>1893</v>
      </c>
      <c r="M611" s="50" t="s">
        <v>2973</v>
      </c>
      <c r="N611" s="50" t="s">
        <v>2971</v>
      </c>
      <c r="O611" s="50" t="s">
        <v>2971</v>
      </c>
      <c r="P611" s="50" t="s">
        <v>2971</v>
      </c>
    </row>
    <row r="612" spans="1:16" ht="12.75" customHeight="1" x14ac:dyDescent="0.25">
      <c r="A612" s="311">
        <v>609</v>
      </c>
      <c r="B612" s="311" t="s">
        <v>63</v>
      </c>
      <c r="C612" s="311" t="s">
        <v>63</v>
      </c>
      <c r="D612" s="311" t="s">
        <v>462</v>
      </c>
      <c r="E612" s="337" t="s">
        <v>63</v>
      </c>
      <c r="F612" s="311" t="s">
        <v>70</v>
      </c>
      <c r="G612" s="311" t="s">
        <v>23</v>
      </c>
      <c r="H612" s="311" t="s">
        <v>393</v>
      </c>
      <c r="I612" s="311" t="s">
        <v>66</v>
      </c>
      <c r="J612" s="50" t="s">
        <v>1892</v>
      </c>
      <c r="K612" s="50" t="s">
        <v>1892</v>
      </c>
      <c r="L612" s="50" t="s">
        <v>1893</v>
      </c>
      <c r="M612" s="50" t="s">
        <v>2974</v>
      </c>
      <c r="N612" s="50" t="s">
        <v>2974</v>
      </c>
      <c r="O612" s="50" t="s">
        <v>2971</v>
      </c>
      <c r="P612" s="50" t="s">
        <v>2974</v>
      </c>
    </row>
    <row r="613" spans="1:16" ht="12.75" customHeight="1" x14ac:dyDescent="0.25">
      <c r="A613" s="311">
        <v>610</v>
      </c>
      <c r="B613" s="311" t="s">
        <v>140</v>
      </c>
      <c r="C613" s="311" t="s">
        <v>140</v>
      </c>
      <c r="D613" s="311" t="s">
        <v>462</v>
      </c>
      <c r="E613" s="337" t="s">
        <v>140</v>
      </c>
      <c r="F613" s="311" t="s">
        <v>70</v>
      </c>
      <c r="G613" s="311" t="s">
        <v>23</v>
      </c>
      <c r="H613" s="311" t="s">
        <v>393</v>
      </c>
      <c r="I613" s="311" t="s">
        <v>66</v>
      </c>
      <c r="J613" s="50" t="s">
        <v>1892</v>
      </c>
      <c r="K613" s="50" t="s">
        <v>1892</v>
      </c>
      <c r="L613" s="50" t="s">
        <v>1893</v>
      </c>
      <c r="M613" s="50" t="s">
        <v>2975</v>
      </c>
      <c r="N613" s="50" t="s">
        <v>2975</v>
      </c>
      <c r="O613" s="50" t="s">
        <v>2971</v>
      </c>
      <c r="P613" s="50" t="s">
        <v>2975</v>
      </c>
    </row>
    <row r="614" spans="1:16" ht="12.75" customHeight="1" x14ac:dyDescent="0.25">
      <c r="A614" s="311">
        <v>611</v>
      </c>
      <c r="B614" s="311" t="s">
        <v>121</v>
      </c>
      <c r="C614" s="311" t="s">
        <v>121</v>
      </c>
      <c r="D614" s="311" t="s">
        <v>462</v>
      </c>
      <c r="E614" s="337" t="s">
        <v>121</v>
      </c>
      <c r="F614" s="311" t="s">
        <v>70</v>
      </c>
      <c r="G614" s="311" t="s">
        <v>23</v>
      </c>
      <c r="H614" s="311" t="s">
        <v>393</v>
      </c>
      <c r="I614" s="311" t="s">
        <v>66</v>
      </c>
      <c r="J614" s="50" t="s">
        <v>1892</v>
      </c>
      <c r="K614" s="50" t="s">
        <v>1892</v>
      </c>
      <c r="L614" s="50" t="s">
        <v>1893</v>
      </c>
      <c r="M614" s="50" t="s">
        <v>2976</v>
      </c>
      <c r="N614" s="50" t="s">
        <v>2976</v>
      </c>
      <c r="O614" s="50" t="s">
        <v>2971</v>
      </c>
      <c r="P614" s="50" t="s">
        <v>2976</v>
      </c>
    </row>
    <row r="615" spans="1:16" ht="12.75" customHeight="1" x14ac:dyDescent="0.25">
      <c r="A615" s="311">
        <v>612</v>
      </c>
      <c r="B615" s="311" t="s">
        <v>87</v>
      </c>
      <c r="C615" s="311" t="s">
        <v>87</v>
      </c>
      <c r="D615" s="311" t="s">
        <v>462</v>
      </c>
      <c r="E615" s="337" t="s">
        <v>87</v>
      </c>
      <c r="F615" s="311" t="s">
        <v>70</v>
      </c>
      <c r="G615" s="311" t="s">
        <v>23</v>
      </c>
      <c r="H615" s="311" t="s">
        <v>393</v>
      </c>
      <c r="I615" s="311" t="s">
        <v>66</v>
      </c>
      <c r="J615" s="50" t="s">
        <v>1892</v>
      </c>
      <c r="K615" s="50" t="s">
        <v>1892</v>
      </c>
      <c r="L615" s="50" t="s">
        <v>1893</v>
      </c>
      <c r="M615" s="50" t="s">
        <v>2977</v>
      </c>
      <c r="N615" s="50" t="s">
        <v>2977</v>
      </c>
      <c r="O615" s="50" t="s">
        <v>2971</v>
      </c>
      <c r="P615" s="50" t="s">
        <v>2977</v>
      </c>
    </row>
    <row r="616" spans="1:16" ht="12.75" customHeight="1" x14ac:dyDescent="0.25">
      <c r="A616" s="311">
        <v>613</v>
      </c>
      <c r="B616" s="311" t="s">
        <v>125</v>
      </c>
      <c r="C616" s="311" t="s">
        <v>125</v>
      </c>
      <c r="D616" s="311" t="s">
        <v>125</v>
      </c>
      <c r="E616" s="337" t="s">
        <v>125</v>
      </c>
      <c r="F616" s="311" t="s">
        <v>70</v>
      </c>
      <c r="G616" s="311" t="s">
        <v>23</v>
      </c>
      <c r="H616" s="311" t="s">
        <v>393</v>
      </c>
      <c r="I616" s="311" t="s">
        <v>66</v>
      </c>
      <c r="J616" s="50" t="s">
        <v>1892</v>
      </c>
      <c r="K616" s="50" t="s">
        <v>1892</v>
      </c>
      <c r="L616" s="50" t="s">
        <v>1893</v>
      </c>
      <c r="M616" s="50" t="s">
        <v>2978</v>
      </c>
      <c r="N616" s="50" t="s">
        <v>2978</v>
      </c>
      <c r="O616" s="50" t="s">
        <v>2978</v>
      </c>
      <c r="P616" s="50" t="s">
        <v>2978</v>
      </c>
    </row>
    <row r="617" spans="1:16" ht="12.75" customHeight="1" x14ac:dyDescent="0.25">
      <c r="A617" s="311">
        <v>614</v>
      </c>
      <c r="B617" s="311" t="s">
        <v>134</v>
      </c>
      <c r="C617" s="311" t="s">
        <v>134</v>
      </c>
      <c r="D617" s="311" t="s">
        <v>134</v>
      </c>
      <c r="E617" s="337" t="s">
        <v>134</v>
      </c>
      <c r="F617" s="311" t="s">
        <v>70</v>
      </c>
      <c r="G617" s="311" t="s">
        <v>23</v>
      </c>
      <c r="H617" s="311" t="s">
        <v>393</v>
      </c>
      <c r="I617" s="311" t="s">
        <v>66</v>
      </c>
      <c r="J617" s="50" t="s">
        <v>1892</v>
      </c>
      <c r="K617" s="50" t="s">
        <v>1892</v>
      </c>
      <c r="L617" s="50" t="s">
        <v>1893</v>
      </c>
      <c r="M617" s="50" t="s">
        <v>2979</v>
      </c>
      <c r="N617" s="50" t="s">
        <v>2979</v>
      </c>
      <c r="O617" s="50" t="s">
        <v>2979</v>
      </c>
      <c r="P617" s="50" t="s">
        <v>2979</v>
      </c>
    </row>
    <row r="618" spans="1:16" ht="12.75" customHeight="1" x14ac:dyDescent="0.25">
      <c r="A618" s="311">
        <v>615</v>
      </c>
      <c r="B618" s="311" t="s">
        <v>141</v>
      </c>
      <c r="C618" s="311" t="s">
        <v>141</v>
      </c>
      <c r="D618" s="311" t="s">
        <v>141</v>
      </c>
      <c r="E618" s="337" t="s">
        <v>141</v>
      </c>
      <c r="F618" s="311" t="s">
        <v>70</v>
      </c>
      <c r="G618" s="311" t="s">
        <v>23</v>
      </c>
      <c r="H618" s="311" t="s">
        <v>393</v>
      </c>
      <c r="I618" s="311" t="s">
        <v>66</v>
      </c>
      <c r="J618" s="50" t="s">
        <v>1892</v>
      </c>
      <c r="K618" s="50" t="s">
        <v>1892</v>
      </c>
      <c r="L618" s="50" t="s">
        <v>1893</v>
      </c>
      <c r="M618" s="50" t="s">
        <v>2980</v>
      </c>
      <c r="N618" s="50" t="s">
        <v>2980</v>
      </c>
      <c r="O618" s="50" t="s">
        <v>2980</v>
      </c>
      <c r="P618" s="50" t="s">
        <v>2980</v>
      </c>
    </row>
    <row r="619" spans="1:16" ht="12.75" customHeight="1" x14ac:dyDescent="0.25">
      <c r="A619" s="311">
        <v>616</v>
      </c>
      <c r="B619" s="311" t="s">
        <v>69</v>
      </c>
      <c r="C619" s="311" t="s">
        <v>69</v>
      </c>
      <c r="D619" s="311" t="s">
        <v>69</v>
      </c>
      <c r="E619" s="337" t="s">
        <v>69</v>
      </c>
      <c r="F619" s="311" t="s">
        <v>70</v>
      </c>
      <c r="G619" s="311" t="s">
        <v>23</v>
      </c>
      <c r="H619" s="311" t="s">
        <v>393</v>
      </c>
      <c r="I619" s="311" t="s">
        <v>66</v>
      </c>
      <c r="J619" s="50" t="s">
        <v>1892</v>
      </c>
      <c r="K619" s="50" t="s">
        <v>1892</v>
      </c>
      <c r="L619" s="50" t="s">
        <v>1893</v>
      </c>
      <c r="M619" s="50" t="s">
        <v>2981</v>
      </c>
      <c r="N619" s="50" t="s">
        <v>2981</v>
      </c>
      <c r="O619" s="50" t="s">
        <v>2981</v>
      </c>
      <c r="P619" s="50" t="s">
        <v>2981</v>
      </c>
    </row>
    <row r="620" spans="1:16" ht="12.75" customHeight="1" x14ac:dyDescent="0.25">
      <c r="A620" s="311">
        <v>617</v>
      </c>
      <c r="B620" s="311" t="s">
        <v>84</v>
      </c>
      <c r="C620" s="311" t="s">
        <v>462</v>
      </c>
      <c r="D620" s="311" t="s">
        <v>462</v>
      </c>
      <c r="E620" s="337" t="s">
        <v>462</v>
      </c>
      <c r="F620" s="311" t="s">
        <v>70</v>
      </c>
      <c r="G620" s="311" t="s">
        <v>237</v>
      </c>
      <c r="H620" s="311" t="s">
        <v>393</v>
      </c>
      <c r="I620" s="311" t="s">
        <v>66</v>
      </c>
      <c r="J620" s="50" t="s">
        <v>1892</v>
      </c>
      <c r="K620" s="50" t="s">
        <v>1892</v>
      </c>
      <c r="L620" s="50" t="s">
        <v>1893</v>
      </c>
      <c r="M620" s="50" t="s">
        <v>2982</v>
      </c>
      <c r="N620" s="50" t="s">
        <v>2983</v>
      </c>
      <c r="O620" s="50" t="s">
        <v>2983</v>
      </c>
      <c r="P620" s="50" t="s">
        <v>2983</v>
      </c>
    </row>
    <row r="621" spans="1:16" ht="12.75" customHeight="1" x14ac:dyDescent="0.25">
      <c r="A621" s="311">
        <v>618</v>
      </c>
      <c r="B621" s="311" t="s">
        <v>123</v>
      </c>
      <c r="C621" s="311" t="s">
        <v>462</v>
      </c>
      <c r="D621" s="311" t="s">
        <v>462</v>
      </c>
      <c r="E621" s="337" t="s">
        <v>462</v>
      </c>
      <c r="F621" s="311" t="s">
        <v>70</v>
      </c>
      <c r="G621" s="311" t="s">
        <v>237</v>
      </c>
      <c r="H621" s="311" t="s">
        <v>393</v>
      </c>
      <c r="I621" s="311" t="s">
        <v>66</v>
      </c>
      <c r="J621" s="50" t="s">
        <v>1892</v>
      </c>
      <c r="K621" s="50" t="s">
        <v>1892</v>
      </c>
      <c r="L621" s="50" t="s">
        <v>1893</v>
      </c>
      <c r="M621" s="50" t="s">
        <v>2984</v>
      </c>
      <c r="N621" s="50" t="s">
        <v>2983</v>
      </c>
      <c r="O621" s="50" t="s">
        <v>2983</v>
      </c>
      <c r="P621" s="50" t="s">
        <v>2983</v>
      </c>
    </row>
    <row r="622" spans="1:16" ht="12.75" customHeight="1" x14ac:dyDescent="0.25">
      <c r="A622" s="311">
        <v>619</v>
      </c>
      <c r="B622" s="311" t="s">
        <v>75</v>
      </c>
      <c r="C622" s="311" t="s">
        <v>462</v>
      </c>
      <c r="D622" s="311" t="s">
        <v>462</v>
      </c>
      <c r="E622" s="337" t="s">
        <v>462</v>
      </c>
      <c r="F622" s="311" t="s">
        <v>70</v>
      </c>
      <c r="G622" s="311" t="s">
        <v>237</v>
      </c>
      <c r="H622" s="311" t="s">
        <v>393</v>
      </c>
      <c r="I622" s="311" t="s">
        <v>66</v>
      </c>
      <c r="J622" s="50" t="s">
        <v>1892</v>
      </c>
      <c r="K622" s="50" t="s">
        <v>1892</v>
      </c>
      <c r="L622" s="50" t="s">
        <v>1893</v>
      </c>
      <c r="M622" s="50" t="s">
        <v>2985</v>
      </c>
      <c r="N622" s="50" t="s">
        <v>2983</v>
      </c>
      <c r="O622" s="50" t="s">
        <v>2983</v>
      </c>
      <c r="P622" s="50" t="s">
        <v>2983</v>
      </c>
    </row>
    <row r="623" spans="1:16" ht="12.75" customHeight="1" x14ac:dyDescent="0.25">
      <c r="A623" s="311">
        <v>620</v>
      </c>
      <c r="B623" s="311" t="s">
        <v>63</v>
      </c>
      <c r="C623" s="311" t="s">
        <v>63</v>
      </c>
      <c r="D623" s="311" t="s">
        <v>462</v>
      </c>
      <c r="E623" s="337" t="s">
        <v>63</v>
      </c>
      <c r="F623" s="311" t="s">
        <v>70</v>
      </c>
      <c r="G623" s="311" t="s">
        <v>237</v>
      </c>
      <c r="H623" s="311" t="s">
        <v>393</v>
      </c>
      <c r="I623" s="311" t="s">
        <v>66</v>
      </c>
      <c r="J623" s="50" t="s">
        <v>1892</v>
      </c>
      <c r="K623" s="50" t="s">
        <v>1892</v>
      </c>
      <c r="L623" s="50" t="s">
        <v>1893</v>
      </c>
      <c r="M623" s="50" t="s">
        <v>2986</v>
      </c>
      <c r="N623" s="50" t="s">
        <v>2986</v>
      </c>
      <c r="O623" s="50" t="s">
        <v>2983</v>
      </c>
      <c r="P623" s="50" t="s">
        <v>2986</v>
      </c>
    </row>
    <row r="624" spans="1:16" ht="12.75" customHeight="1" x14ac:dyDescent="0.25">
      <c r="A624" s="311">
        <v>621</v>
      </c>
      <c r="B624" s="311" t="s">
        <v>140</v>
      </c>
      <c r="C624" s="311" t="s">
        <v>140</v>
      </c>
      <c r="D624" s="311" t="s">
        <v>462</v>
      </c>
      <c r="E624" s="337" t="s">
        <v>140</v>
      </c>
      <c r="F624" s="311" t="s">
        <v>70</v>
      </c>
      <c r="G624" s="311" t="s">
        <v>237</v>
      </c>
      <c r="H624" s="311" t="s">
        <v>393</v>
      </c>
      <c r="I624" s="311" t="s">
        <v>66</v>
      </c>
      <c r="J624" s="50" t="s">
        <v>1892</v>
      </c>
      <c r="K624" s="50" t="s">
        <v>1892</v>
      </c>
      <c r="L624" s="50" t="s">
        <v>1893</v>
      </c>
      <c r="M624" s="50" t="s">
        <v>2987</v>
      </c>
      <c r="N624" s="50" t="s">
        <v>2987</v>
      </c>
      <c r="O624" s="50" t="s">
        <v>2983</v>
      </c>
      <c r="P624" s="50" t="s">
        <v>2987</v>
      </c>
    </row>
    <row r="625" spans="1:16" ht="12.75" customHeight="1" x14ac:dyDescent="0.25">
      <c r="A625" s="311">
        <v>622</v>
      </c>
      <c r="B625" s="311" t="s">
        <v>121</v>
      </c>
      <c r="C625" s="311" t="s">
        <v>121</v>
      </c>
      <c r="D625" s="311" t="s">
        <v>462</v>
      </c>
      <c r="E625" s="337" t="s">
        <v>121</v>
      </c>
      <c r="F625" s="311" t="s">
        <v>70</v>
      </c>
      <c r="G625" s="311" t="s">
        <v>237</v>
      </c>
      <c r="H625" s="311" t="s">
        <v>393</v>
      </c>
      <c r="I625" s="311" t="s">
        <v>66</v>
      </c>
      <c r="J625" s="50" t="s">
        <v>1892</v>
      </c>
      <c r="K625" s="50" t="s">
        <v>1892</v>
      </c>
      <c r="L625" s="50" t="s">
        <v>1893</v>
      </c>
      <c r="M625" s="50" t="s">
        <v>2988</v>
      </c>
      <c r="N625" s="50" t="s">
        <v>2988</v>
      </c>
      <c r="O625" s="50" t="s">
        <v>2983</v>
      </c>
      <c r="P625" s="50" t="s">
        <v>2988</v>
      </c>
    </row>
    <row r="626" spans="1:16" ht="12.75" customHeight="1" x14ac:dyDescent="0.25">
      <c r="A626" s="311">
        <v>623</v>
      </c>
      <c r="B626" s="311" t="s">
        <v>87</v>
      </c>
      <c r="C626" s="311" t="s">
        <v>87</v>
      </c>
      <c r="D626" s="311" t="s">
        <v>462</v>
      </c>
      <c r="E626" s="337" t="s">
        <v>87</v>
      </c>
      <c r="F626" s="311" t="s">
        <v>70</v>
      </c>
      <c r="G626" s="311" t="s">
        <v>237</v>
      </c>
      <c r="H626" s="311" t="s">
        <v>393</v>
      </c>
      <c r="I626" s="311" t="s">
        <v>66</v>
      </c>
      <c r="J626" s="50" t="s">
        <v>1892</v>
      </c>
      <c r="K626" s="50" t="s">
        <v>1892</v>
      </c>
      <c r="L626" s="50" t="s">
        <v>1893</v>
      </c>
      <c r="M626" s="50" t="s">
        <v>2989</v>
      </c>
      <c r="N626" s="50" t="s">
        <v>2989</v>
      </c>
      <c r="O626" s="50" t="s">
        <v>2983</v>
      </c>
      <c r="P626" s="50" t="s">
        <v>2989</v>
      </c>
    </row>
    <row r="627" spans="1:16" ht="12.75" customHeight="1" x14ac:dyDescent="0.25">
      <c r="A627" s="311">
        <v>624</v>
      </c>
      <c r="B627" s="311" t="s">
        <v>125</v>
      </c>
      <c r="C627" s="311" t="s">
        <v>125</v>
      </c>
      <c r="D627" s="311" t="s">
        <v>125</v>
      </c>
      <c r="E627" s="337" t="s">
        <v>125</v>
      </c>
      <c r="F627" s="311" t="s">
        <v>70</v>
      </c>
      <c r="G627" s="311" t="s">
        <v>237</v>
      </c>
      <c r="H627" s="311" t="s">
        <v>393</v>
      </c>
      <c r="I627" s="311" t="s">
        <v>66</v>
      </c>
      <c r="J627" s="50" t="s">
        <v>1892</v>
      </c>
      <c r="K627" s="50" t="s">
        <v>1892</v>
      </c>
      <c r="L627" s="50" t="s">
        <v>1893</v>
      </c>
      <c r="M627" s="50" t="s">
        <v>2990</v>
      </c>
      <c r="N627" s="50" t="s">
        <v>2990</v>
      </c>
      <c r="O627" s="50" t="s">
        <v>2990</v>
      </c>
      <c r="P627" s="50" t="s">
        <v>2990</v>
      </c>
    </row>
    <row r="628" spans="1:16" ht="12.75" customHeight="1" x14ac:dyDescent="0.25">
      <c r="A628" s="311">
        <v>625</v>
      </c>
      <c r="B628" s="311" t="s">
        <v>134</v>
      </c>
      <c r="C628" s="311" t="s">
        <v>134</v>
      </c>
      <c r="D628" s="311" t="s">
        <v>134</v>
      </c>
      <c r="E628" s="337" t="s">
        <v>134</v>
      </c>
      <c r="F628" s="311" t="s">
        <v>70</v>
      </c>
      <c r="G628" s="311" t="s">
        <v>237</v>
      </c>
      <c r="H628" s="311" t="s">
        <v>393</v>
      </c>
      <c r="I628" s="311" t="s">
        <v>66</v>
      </c>
      <c r="J628" s="50" t="s">
        <v>1892</v>
      </c>
      <c r="K628" s="50" t="s">
        <v>1892</v>
      </c>
      <c r="L628" s="50" t="s">
        <v>1893</v>
      </c>
      <c r="M628" s="50" t="s">
        <v>2991</v>
      </c>
      <c r="N628" s="50" t="s">
        <v>2991</v>
      </c>
      <c r="O628" s="50" t="s">
        <v>2991</v>
      </c>
      <c r="P628" s="50" t="s">
        <v>2991</v>
      </c>
    </row>
    <row r="629" spans="1:16" ht="12.75" customHeight="1" x14ac:dyDescent="0.25">
      <c r="A629" s="311">
        <v>626</v>
      </c>
      <c r="B629" s="311" t="s">
        <v>141</v>
      </c>
      <c r="C629" s="311" t="s">
        <v>141</v>
      </c>
      <c r="D629" s="311" t="s">
        <v>141</v>
      </c>
      <c r="E629" s="337" t="s">
        <v>141</v>
      </c>
      <c r="F629" s="311" t="s">
        <v>70</v>
      </c>
      <c r="G629" s="311" t="s">
        <v>237</v>
      </c>
      <c r="H629" s="311" t="s">
        <v>393</v>
      </c>
      <c r="I629" s="311" t="s">
        <v>66</v>
      </c>
      <c r="J629" s="50" t="s">
        <v>1892</v>
      </c>
      <c r="K629" s="50" t="s">
        <v>1892</v>
      </c>
      <c r="L629" s="50" t="s">
        <v>1893</v>
      </c>
      <c r="M629" s="50" t="s">
        <v>2992</v>
      </c>
      <c r="N629" s="50" t="s">
        <v>2992</v>
      </c>
      <c r="O629" s="50" t="s">
        <v>2992</v>
      </c>
      <c r="P629" s="50" t="s">
        <v>2992</v>
      </c>
    </row>
    <row r="630" spans="1:16" ht="12.75" customHeight="1" x14ac:dyDescent="0.25">
      <c r="A630" s="311">
        <v>627</v>
      </c>
      <c r="B630" s="311" t="s">
        <v>69</v>
      </c>
      <c r="C630" s="311" t="s">
        <v>69</v>
      </c>
      <c r="D630" s="311" t="s">
        <v>69</v>
      </c>
      <c r="E630" s="337" t="s">
        <v>69</v>
      </c>
      <c r="F630" s="311" t="s">
        <v>70</v>
      </c>
      <c r="G630" s="311" t="s">
        <v>237</v>
      </c>
      <c r="H630" s="311" t="s">
        <v>393</v>
      </c>
      <c r="I630" s="311" t="s">
        <v>66</v>
      </c>
      <c r="J630" s="50" t="s">
        <v>1892</v>
      </c>
      <c r="K630" s="50" t="s">
        <v>1892</v>
      </c>
      <c r="L630" s="50" t="s">
        <v>1893</v>
      </c>
      <c r="M630" s="50" t="s">
        <v>2993</v>
      </c>
      <c r="N630" s="50" t="s">
        <v>2993</v>
      </c>
      <c r="O630" s="50" t="s">
        <v>2993</v>
      </c>
      <c r="P630" s="50" t="s">
        <v>2993</v>
      </c>
    </row>
    <row r="631" spans="1:16" ht="12.75" customHeight="1" x14ac:dyDescent="0.25">
      <c r="A631" s="311">
        <v>628</v>
      </c>
      <c r="B631" s="311" t="s">
        <v>84</v>
      </c>
      <c r="C631" s="311" t="s">
        <v>462</v>
      </c>
      <c r="D631" s="311" t="s">
        <v>462</v>
      </c>
      <c r="E631" s="337" t="s">
        <v>462</v>
      </c>
      <c r="F631" s="311" t="s">
        <v>85</v>
      </c>
      <c r="G631" s="311" t="s">
        <v>236</v>
      </c>
      <c r="H631" s="311" t="s">
        <v>413</v>
      </c>
      <c r="I631" s="311" t="s">
        <v>56</v>
      </c>
      <c r="J631" s="50" t="s">
        <v>1892</v>
      </c>
      <c r="K631" s="50" t="s">
        <v>1892</v>
      </c>
      <c r="L631" s="50" t="s">
        <v>1893</v>
      </c>
      <c r="M631" s="50" t="s">
        <v>2994</v>
      </c>
      <c r="N631" s="50" t="s">
        <v>2995</v>
      </c>
      <c r="O631" s="50" t="s">
        <v>2995</v>
      </c>
      <c r="P631" s="50" t="s">
        <v>2995</v>
      </c>
    </row>
    <row r="632" spans="1:16" ht="12.75" customHeight="1" x14ac:dyDescent="0.25">
      <c r="A632" s="311">
        <v>629</v>
      </c>
      <c r="B632" s="311" t="s">
        <v>123</v>
      </c>
      <c r="C632" s="311" t="s">
        <v>462</v>
      </c>
      <c r="D632" s="311" t="s">
        <v>462</v>
      </c>
      <c r="E632" s="337" t="s">
        <v>462</v>
      </c>
      <c r="F632" s="311" t="s">
        <v>85</v>
      </c>
      <c r="G632" s="311" t="s">
        <v>236</v>
      </c>
      <c r="H632" s="311" t="s">
        <v>413</v>
      </c>
      <c r="I632" s="311" t="s">
        <v>56</v>
      </c>
      <c r="J632" s="50" t="s">
        <v>1892</v>
      </c>
      <c r="K632" s="50" t="s">
        <v>1892</v>
      </c>
      <c r="L632" s="50" t="s">
        <v>1893</v>
      </c>
      <c r="M632" s="50" t="s">
        <v>2996</v>
      </c>
      <c r="N632" s="50" t="s">
        <v>2995</v>
      </c>
      <c r="O632" s="50" t="s">
        <v>2995</v>
      </c>
      <c r="P632" s="50" t="s">
        <v>2995</v>
      </c>
    </row>
    <row r="633" spans="1:16" ht="12.75" customHeight="1" x14ac:dyDescent="0.25">
      <c r="A633" s="311">
        <v>630</v>
      </c>
      <c r="B633" s="311" t="s">
        <v>75</v>
      </c>
      <c r="C633" s="311" t="s">
        <v>462</v>
      </c>
      <c r="D633" s="311" t="s">
        <v>462</v>
      </c>
      <c r="E633" s="337" t="s">
        <v>462</v>
      </c>
      <c r="F633" s="311" t="s">
        <v>85</v>
      </c>
      <c r="G633" s="311" t="s">
        <v>236</v>
      </c>
      <c r="H633" s="311" t="s">
        <v>413</v>
      </c>
      <c r="I633" s="311" t="s">
        <v>56</v>
      </c>
      <c r="J633" s="50" t="s">
        <v>1892</v>
      </c>
      <c r="K633" s="50" t="s">
        <v>1892</v>
      </c>
      <c r="L633" s="50" t="s">
        <v>1893</v>
      </c>
      <c r="M633" s="50" t="s">
        <v>2997</v>
      </c>
      <c r="N633" s="50" t="s">
        <v>2995</v>
      </c>
      <c r="O633" s="50" t="s">
        <v>2995</v>
      </c>
      <c r="P633" s="50" t="s">
        <v>2995</v>
      </c>
    </row>
    <row r="634" spans="1:16" ht="12.75" customHeight="1" x14ac:dyDescent="0.25">
      <c r="A634" s="311">
        <v>631</v>
      </c>
      <c r="B634" s="311" t="s">
        <v>63</v>
      </c>
      <c r="C634" s="311" t="s">
        <v>63</v>
      </c>
      <c r="D634" s="311" t="s">
        <v>462</v>
      </c>
      <c r="E634" s="337" t="s">
        <v>63</v>
      </c>
      <c r="F634" s="311" t="s">
        <v>85</v>
      </c>
      <c r="G634" s="311" t="s">
        <v>236</v>
      </c>
      <c r="H634" s="311" t="s">
        <v>413</v>
      </c>
      <c r="I634" s="311" t="s">
        <v>56</v>
      </c>
      <c r="J634" s="50" t="s">
        <v>1892</v>
      </c>
      <c r="K634" s="50" t="s">
        <v>1892</v>
      </c>
      <c r="L634" s="50" t="s">
        <v>1893</v>
      </c>
      <c r="M634" s="50" t="s">
        <v>2998</v>
      </c>
      <c r="N634" s="50" t="s">
        <v>2998</v>
      </c>
      <c r="O634" s="50" t="s">
        <v>2995</v>
      </c>
      <c r="P634" s="50" t="s">
        <v>2998</v>
      </c>
    </row>
    <row r="635" spans="1:16" ht="12.75" customHeight="1" x14ac:dyDescent="0.25">
      <c r="A635" s="311">
        <v>632</v>
      </c>
      <c r="B635" s="311" t="s">
        <v>140</v>
      </c>
      <c r="C635" s="311" t="s">
        <v>140</v>
      </c>
      <c r="D635" s="311" t="s">
        <v>462</v>
      </c>
      <c r="E635" s="337" t="s">
        <v>140</v>
      </c>
      <c r="F635" s="311" t="s">
        <v>85</v>
      </c>
      <c r="G635" s="311" t="s">
        <v>236</v>
      </c>
      <c r="H635" s="311" t="s">
        <v>413</v>
      </c>
      <c r="I635" s="311" t="s">
        <v>56</v>
      </c>
      <c r="J635" s="50" t="s">
        <v>1892</v>
      </c>
      <c r="K635" s="50" t="s">
        <v>1892</v>
      </c>
      <c r="L635" s="50" t="s">
        <v>1893</v>
      </c>
      <c r="M635" s="50" t="s">
        <v>2999</v>
      </c>
      <c r="N635" s="50" t="s">
        <v>2999</v>
      </c>
      <c r="O635" s="50" t="s">
        <v>2995</v>
      </c>
      <c r="P635" s="50" t="s">
        <v>2999</v>
      </c>
    </row>
    <row r="636" spans="1:16" ht="12.75" customHeight="1" x14ac:dyDescent="0.25">
      <c r="A636" s="311">
        <v>633</v>
      </c>
      <c r="B636" s="311" t="s">
        <v>121</v>
      </c>
      <c r="C636" s="311" t="s">
        <v>121</v>
      </c>
      <c r="D636" s="311" t="s">
        <v>462</v>
      </c>
      <c r="E636" s="337" t="s">
        <v>121</v>
      </c>
      <c r="F636" s="311" t="s">
        <v>85</v>
      </c>
      <c r="G636" s="311" t="s">
        <v>236</v>
      </c>
      <c r="H636" s="311" t="s">
        <v>413</v>
      </c>
      <c r="I636" s="311" t="s">
        <v>56</v>
      </c>
      <c r="J636" s="50" t="s">
        <v>1892</v>
      </c>
      <c r="K636" s="50" t="s">
        <v>1892</v>
      </c>
      <c r="L636" s="50" t="s">
        <v>1893</v>
      </c>
      <c r="M636" s="50" t="s">
        <v>3000</v>
      </c>
      <c r="N636" s="50" t="s">
        <v>3000</v>
      </c>
      <c r="O636" s="50" t="s">
        <v>2995</v>
      </c>
      <c r="P636" s="50" t="s">
        <v>3000</v>
      </c>
    </row>
    <row r="637" spans="1:16" ht="12.75" customHeight="1" x14ac:dyDescent="0.25">
      <c r="A637" s="311">
        <v>634</v>
      </c>
      <c r="B637" s="311" t="s">
        <v>87</v>
      </c>
      <c r="C637" s="311" t="s">
        <v>87</v>
      </c>
      <c r="D637" s="311" t="s">
        <v>462</v>
      </c>
      <c r="E637" s="337" t="s">
        <v>87</v>
      </c>
      <c r="F637" s="311" t="s">
        <v>85</v>
      </c>
      <c r="G637" s="311" t="s">
        <v>236</v>
      </c>
      <c r="H637" s="311" t="s">
        <v>413</v>
      </c>
      <c r="I637" s="311" t="s">
        <v>56</v>
      </c>
      <c r="J637" s="50" t="s">
        <v>1892</v>
      </c>
      <c r="K637" s="50" t="s">
        <v>1892</v>
      </c>
      <c r="L637" s="50" t="s">
        <v>1893</v>
      </c>
      <c r="M637" s="50" t="s">
        <v>3001</v>
      </c>
      <c r="N637" s="50" t="s">
        <v>3001</v>
      </c>
      <c r="O637" s="50" t="s">
        <v>2995</v>
      </c>
      <c r="P637" s="50" t="s">
        <v>3001</v>
      </c>
    </row>
    <row r="638" spans="1:16" ht="12.75" customHeight="1" x14ac:dyDescent="0.25">
      <c r="A638" s="311">
        <v>635</v>
      </c>
      <c r="B638" s="311" t="s">
        <v>125</v>
      </c>
      <c r="C638" s="311" t="s">
        <v>125</v>
      </c>
      <c r="D638" s="311" t="s">
        <v>125</v>
      </c>
      <c r="E638" s="337" t="s">
        <v>125</v>
      </c>
      <c r="F638" s="311" t="s">
        <v>85</v>
      </c>
      <c r="G638" s="311" t="s">
        <v>236</v>
      </c>
      <c r="H638" s="311" t="s">
        <v>413</v>
      </c>
      <c r="I638" s="311" t="s">
        <v>56</v>
      </c>
      <c r="J638" s="50" t="s">
        <v>1892</v>
      </c>
      <c r="K638" s="50" t="s">
        <v>1892</v>
      </c>
      <c r="L638" s="50" t="s">
        <v>1893</v>
      </c>
      <c r="M638" s="50" t="s">
        <v>3002</v>
      </c>
      <c r="N638" s="50" t="s">
        <v>3002</v>
      </c>
      <c r="O638" s="50" t="s">
        <v>3002</v>
      </c>
      <c r="P638" s="50" t="s">
        <v>3002</v>
      </c>
    </row>
    <row r="639" spans="1:16" ht="12.75" customHeight="1" x14ac:dyDescent="0.25">
      <c r="A639" s="311">
        <v>636</v>
      </c>
      <c r="B639" s="311" t="s">
        <v>134</v>
      </c>
      <c r="C639" s="311" t="s">
        <v>134</v>
      </c>
      <c r="D639" s="311" t="s">
        <v>134</v>
      </c>
      <c r="E639" s="337" t="s">
        <v>134</v>
      </c>
      <c r="F639" s="311" t="s">
        <v>85</v>
      </c>
      <c r="G639" s="311" t="s">
        <v>236</v>
      </c>
      <c r="H639" s="311" t="s">
        <v>413</v>
      </c>
      <c r="I639" s="311" t="s">
        <v>56</v>
      </c>
      <c r="J639" s="50" t="s">
        <v>1892</v>
      </c>
      <c r="K639" s="50" t="s">
        <v>1892</v>
      </c>
      <c r="L639" s="50" t="s">
        <v>1893</v>
      </c>
      <c r="M639" s="50" t="s">
        <v>3003</v>
      </c>
      <c r="N639" s="50" t="s">
        <v>3003</v>
      </c>
      <c r="O639" s="50" t="s">
        <v>3003</v>
      </c>
      <c r="P639" s="50" t="s">
        <v>3003</v>
      </c>
    </row>
    <row r="640" spans="1:16" ht="12.75" customHeight="1" x14ac:dyDescent="0.25">
      <c r="A640" s="311">
        <v>637</v>
      </c>
      <c r="B640" s="311" t="s">
        <v>141</v>
      </c>
      <c r="C640" s="311" t="s">
        <v>141</v>
      </c>
      <c r="D640" s="311" t="s">
        <v>141</v>
      </c>
      <c r="E640" s="337" t="s">
        <v>141</v>
      </c>
      <c r="F640" s="311" t="s">
        <v>85</v>
      </c>
      <c r="G640" s="311" t="s">
        <v>236</v>
      </c>
      <c r="H640" s="311" t="s">
        <v>413</v>
      </c>
      <c r="I640" s="311" t="s">
        <v>56</v>
      </c>
      <c r="J640" s="50" t="s">
        <v>1892</v>
      </c>
      <c r="K640" s="50" t="s">
        <v>1892</v>
      </c>
      <c r="L640" s="50" t="s">
        <v>1893</v>
      </c>
      <c r="M640" s="50" t="s">
        <v>3004</v>
      </c>
      <c r="N640" s="50" t="s">
        <v>3004</v>
      </c>
      <c r="O640" s="50" t="s">
        <v>3004</v>
      </c>
      <c r="P640" s="50" t="s">
        <v>3004</v>
      </c>
    </row>
    <row r="641" spans="1:16" ht="12.75" customHeight="1" x14ac:dyDescent="0.25">
      <c r="A641" s="311">
        <v>638</v>
      </c>
      <c r="B641" s="311" t="s">
        <v>69</v>
      </c>
      <c r="C641" s="311" t="s">
        <v>69</v>
      </c>
      <c r="D641" s="311" t="s">
        <v>69</v>
      </c>
      <c r="E641" s="337" t="s">
        <v>69</v>
      </c>
      <c r="F641" s="311" t="s">
        <v>85</v>
      </c>
      <c r="G641" s="311" t="s">
        <v>236</v>
      </c>
      <c r="H641" s="311" t="s">
        <v>413</v>
      </c>
      <c r="I641" s="311" t="s">
        <v>56</v>
      </c>
      <c r="J641" s="50" t="s">
        <v>1892</v>
      </c>
      <c r="K641" s="50" t="s">
        <v>1892</v>
      </c>
      <c r="L641" s="50" t="s">
        <v>1893</v>
      </c>
      <c r="M641" s="50" t="s">
        <v>3005</v>
      </c>
      <c r="N641" s="50" t="s">
        <v>3005</v>
      </c>
      <c r="O641" s="50" t="s">
        <v>3005</v>
      </c>
      <c r="P641" s="50" t="s">
        <v>3005</v>
      </c>
    </row>
    <row r="642" spans="1:16" ht="12.75" customHeight="1" x14ac:dyDescent="0.25">
      <c r="A642" s="311">
        <v>639</v>
      </c>
      <c r="B642" s="311" t="s">
        <v>84</v>
      </c>
      <c r="C642" s="311" t="s">
        <v>462</v>
      </c>
      <c r="D642" s="311" t="s">
        <v>462</v>
      </c>
      <c r="E642" s="337" t="s">
        <v>462</v>
      </c>
      <c r="F642" s="311" t="s">
        <v>85</v>
      </c>
      <c r="G642" s="311" t="s">
        <v>23</v>
      </c>
      <c r="H642" s="311" t="s">
        <v>413</v>
      </c>
      <c r="I642" s="311" t="s">
        <v>56</v>
      </c>
      <c r="J642" s="50" t="s">
        <v>1892</v>
      </c>
      <c r="K642" s="50" t="s">
        <v>1892</v>
      </c>
      <c r="L642" s="50" t="s">
        <v>1893</v>
      </c>
      <c r="M642" s="50" t="s">
        <v>3006</v>
      </c>
      <c r="N642" s="50" t="s">
        <v>3007</v>
      </c>
      <c r="O642" s="50" t="s">
        <v>3007</v>
      </c>
      <c r="P642" s="50" t="s">
        <v>3007</v>
      </c>
    </row>
    <row r="643" spans="1:16" ht="12.75" customHeight="1" x14ac:dyDescent="0.25">
      <c r="A643" s="311">
        <v>640</v>
      </c>
      <c r="B643" s="311" t="s">
        <v>123</v>
      </c>
      <c r="C643" s="311" t="s">
        <v>462</v>
      </c>
      <c r="D643" s="311" t="s">
        <v>462</v>
      </c>
      <c r="E643" s="337" t="s">
        <v>462</v>
      </c>
      <c r="F643" s="311" t="s">
        <v>85</v>
      </c>
      <c r="G643" s="311" t="s">
        <v>23</v>
      </c>
      <c r="H643" s="311" t="s">
        <v>413</v>
      </c>
      <c r="I643" s="311" t="s">
        <v>56</v>
      </c>
      <c r="J643" s="50" t="s">
        <v>1892</v>
      </c>
      <c r="K643" s="50" t="s">
        <v>1892</v>
      </c>
      <c r="L643" s="50" t="s">
        <v>1893</v>
      </c>
      <c r="M643" s="50" t="s">
        <v>3008</v>
      </c>
      <c r="N643" s="50" t="s">
        <v>3007</v>
      </c>
      <c r="O643" s="50" t="s">
        <v>3007</v>
      </c>
      <c r="P643" s="50" t="s">
        <v>3007</v>
      </c>
    </row>
    <row r="644" spans="1:16" ht="12.75" customHeight="1" x14ac:dyDescent="0.25">
      <c r="A644" s="311">
        <v>641</v>
      </c>
      <c r="B644" s="311" t="s">
        <v>75</v>
      </c>
      <c r="C644" s="311" t="s">
        <v>462</v>
      </c>
      <c r="D644" s="311" t="s">
        <v>462</v>
      </c>
      <c r="E644" s="337" t="s">
        <v>462</v>
      </c>
      <c r="F644" s="311" t="s">
        <v>85</v>
      </c>
      <c r="G644" s="311" t="s">
        <v>23</v>
      </c>
      <c r="H644" s="311" t="s">
        <v>413</v>
      </c>
      <c r="I644" s="311" t="s">
        <v>56</v>
      </c>
      <c r="J644" s="50" t="s">
        <v>1892</v>
      </c>
      <c r="K644" s="50" t="s">
        <v>1892</v>
      </c>
      <c r="L644" s="50" t="s">
        <v>1893</v>
      </c>
      <c r="M644" s="50" t="s">
        <v>3009</v>
      </c>
      <c r="N644" s="50" t="s">
        <v>3007</v>
      </c>
      <c r="O644" s="50" t="s">
        <v>3007</v>
      </c>
      <c r="P644" s="50" t="s">
        <v>3007</v>
      </c>
    </row>
    <row r="645" spans="1:16" ht="12.75" customHeight="1" x14ac:dyDescent="0.25">
      <c r="A645" s="311">
        <v>642</v>
      </c>
      <c r="B645" s="311" t="s">
        <v>63</v>
      </c>
      <c r="C645" s="311" t="s">
        <v>63</v>
      </c>
      <c r="D645" s="311" t="s">
        <v>462</v>
      </c>
      <c r="E645" s="337" t="s">
        <v>63</v>
      </c>
      <c r="F645" s="311" t="s">
        <v>85</v>
      </c>
      <c r="G645" s="311" t="s">
        <v>23</v>
      </c>
      <c r="H645" s="311" t="s">
        <v>413</v>
      </c>
      <c r="I645" s="311" t="s">
        <v>56</v>
      </c>
      <c r="J645" s="50" t="s">
        <v>1892</v>
      </c>
      <c r="K645" s="50" t="s">
        <v>1892</v>
      </c>
      <c r="L645" s="50" t="s">
        <v>1893</v>
      </c>
      <c r="M645" s="50" t="s">
        <v>3010</v>
      </c>
      <c r="N645" s="50" t="s">
        <v>3010</v>
      </c>
      <c r="O645" s="50" t="s">
        <v>3007</v>
      </c>
      <c r="P645" s="50" t="s">
        <v>3010</v>
      </c>
    </row>
    <row r="646" spans="1:16" ht="12.75" customHeight="1" x14ac:dyDescent="0.25">
      <c r="A646" s="311">
        <v>643</v>
      </c>
      <c r="B646" s="311" t="s">
        <v>140</v>
      </c>
      <c r="C646" s="311" t="s">
        <v>140</v>
      </c>
      <c r="D646" s="311" t="s">
        <v>462</v>
      </c>
      <c r="E646" s="337" t="s">
        <v>140</v>
      </c>
      <c r="F646" s="311" t="s">
        <v>85</v>
      </c>
      <c r="G646" s="311" t="s">
        <v>23</v>
      </c>
      <c r="H646" s="311" t="s">
        <v>413</v>
      </c>
      <c r="I646" s="311" t="s">
        <v>56</v>
      </c>
      <c r="J646" s="50" t="s">
        <v>1892</v>
      </c>
      <c r="K646" s="50" t="s">
        <v>1892</v>
      </c>
      <c r="L646" s="50" t="s">
        <v>1893</v>
      </c>
      <c r="M646" s="50" t="s">
        <v>3011</v>
      </c>
      <c r="N646" s="50" t="s">
        <v>3011</v>
      </c>
      <c r="O646" s="50" t="s">
        <v>3007</v>
      </c>
      <c r="P646" s="50" t="s">
        <v>3011</v>
      </c>
    </row>
    <row r="647" spans="1:16" ht="12.75" customHeight="1" x14ac:dyDescent="0.25">
      <c r="A647" s="311">
        <v>644</v>
      </c>
      <c r="B647" s="311" t="s">
        <v>121</v>
      </c>
      <c r="C647" s="311" t="s">
        <v>121</v>
      </c>
      <c r="D647" s="311" t="s">
        <v>462</v>
      </c>
      <c r="E647" s="337" t="s">
        <v>121</v>
      </c>
      <c r="F647" s="311" t="s">
        <v>85</v>
      </c>
      <c r="G647" s="311" t="s">
        <v>23</v>
      </c>
      <c r="H647" s="311" t="s">
        <v>413</v>
      </c>
      <c r="I647" s="311" t="s">
        <v>56</v>
      </c>
      <c r="J647" s="50" t="s">
        <v>1892</v>
      </c>
      <c r="K647" s="50" t="s">
        <v>1892</v>
      </c>
      <c r="L647" s="50" t="s">
        <v>1893</v>
      </c>
      <c r="M647" s="50" t="s">
        <v>3012</v>
      </c>
      <c r="N647" s="50" t="s">
        <v>3012</v>
      </c>
      <c r="O647" s="50" t="s">
        <v>3007</v>
      </c>
      <c r="P647" s="50" t="s">
        <v>3012</v>
      </c>
    </row>
    <row r="648" spans="1:16" ht="12.75" customHeight="1" x14ac:dyDescent="0.25">
      <c r="A648" s="311">
        <v>645</v>
      </c>
      <c r="B648" s="311" t="s">
        <v>87</v>
      </c>
      <c r="C648" s="311" t="s">
        <v>87</v>
      </c>
      <c r="D648" s="311" t="s">
        <v>462</v>
      </c>
      <c r="E648" s="337" t="s">
        <v>87</v>
      </c>
      <c r="F648" s="311" t="s">
        <v>85</v>
      </c>
      <c r="G648" s="311" t="s">
        <v>23</v>
      </c>
      <c r="H648" s="311" t="s">
        <v>413</v>
      </c>
      <c r="I648" s="311" t="s">
        <v>56</v>
      </c>
      <c r="J648" s="50" t="s">
        <v>1892</v>
      </c>
      <c r="K648" s="50" t="s">
        <v>1892</v>
      </c>
      <c r="L648" s="50" t="s">
        <v>1893</v>
      </c>
      <c r="M648" s="50" t="s">
        <v>3013</v>
      </c>
      <c r="N648" s="50" t="s">
        <v>3013</v>
      </c>
      <c r="O648" s="50" t="s">
        <v>3007</v>
      </c>
      <c r="P648" s="50" t="s">
        <v>3013</v>
      </c>
    </row>
    <row r="649" spans="1:16" ht="12.75" customHeight="1" x14ac:dyDescent="0.25">
      <c r="A649" s="311">
        <v>646</v>
      </c>
      <c r="B649" s="311" t="s">
        <v>125</v>
      </c>
      <c r="C649" s="311" t="s">
        <v>125</v>
      </c>
      <c r="D649" s="311" t="s">
        <v>125</v>
      </c>
      <c r="E649" s="337" t="s">
        <v>125</v>
      </c>
      <c r="F649" s="311" t="s">
        <v>85</v>
      </c>
      <c r="G649" s="311" t="s">
        <v>23</v>
      </c>
      <c r="H649" s="311" t="s">
        <v>413</v>
      </c>
      <c r="I649" s="311" t="s">
        <v>56</v>
      </c>
      <c r="J649" s="50" t="s">
        <v>1892</v>
      </c>
      <c r="K649" s="50" t="s">
        <v>1892</v>
      </c>
      <c r="L649" s="50" t="s">
        <v>1893</v>
      </c>
      <c r="M649" s="50" t="s">
        <v>3014</v>
      </c>
      <c r="N649" s="50" t="s">
        <v>3014</v>
      </c>
      <c r="O649" s="50" t="s">
        <v>3014</v>
      </c>
      <c r="P649" s="50" t="s">
        <v>3014</v>
      </c>
    </row>
    <row r="650" spans="1:16" ht="12.75" customHeight="1" x14ac:dyDescent="0.25">
      <c r="A650" s="311">
        <v>647</v>
      </c>
      <c r="B650" s="311" t="s">
        <v>134</v>
      </c>
      <c r="C650" s="311" t="s">
        <v>134</v>
      </c>
      <c r="D650" s="311" t="s">
        <v>134</v>
      </c>
      <c r="E650" s="337" t="s">
        <v>134</v>
      </c>
      <c r="F650" s="311" t="s">
        <v>85</v>
      </c>
      <c r="G650" s="311" t="s">
        <v>23</v>
      </c>
      <c r="H650" s="311" t="s">
        <v>413</v>
      </c>
      <c r="I650" s="311" t="s">
        <v>56</v>
      </c>
      <c r="J650" s="50" t="s">
        <v>1892</v>
      </c>
      <c r="K650" s="50" t="s">
        <v>1892</v>
      </c>
      <c r="L650" s="50" t="s">
        <v>1893</v>
      </c>
      <c r="M650" s="50" t="s">
        <v>3015</v>
      </c>
      <c r="N650" s="50" t="s">
        <v>3015</v>
      </c>
      <c r="O650" s="50" t="s">
        <v>3015</v>
      </c>
      <c r="P650" s="50" t="s">
        <v>3015</v>
      </c>
    </row>
    <row r="651" spans="1:16" ht="12.75" customHeight="1" x14ac:dyDescent="0.25">
      <c r="A651" s="311">
        <v>648</v>
      </c>
      <c r="B651" s="311" t="s">
        <v>141</v>
      </c>
      <c r="C651" s="311" t="s">
        <v>141</v>
      </c>
      <c r="D651" s="311" t="s">
        <v>141</v>
      </c>
      <c r="E651" s="337" t="s">
        <v>141</v>
      </c>
      <c r="F651" s="311" t="s">
        <v>85</v>
      </c>
      <c r="G651" s="311" t="s">
        <v>23</v>
      </c>
      <c r="H651" s="311" t="s">
        <v>413</v>
      </c>
      <c r="I651" s="311" t="s">
        <v>56</v>
      </c>
      <c r="J651" s="50" t="s">
        <v>1892</v>
      </c>
      <c r="K651" s="50" t="s">
        <v>1892</v>
      </c>
      <c r="L651" s="50" t="s">
        <v>1893</v>
      </c>
      <c r="M651" s="50" t="s">
        <v>3016</v>
      </c>
      <c r="N651" s="50" t="s">
        <v>3016</v>
      </c>
      <c r="O651" s="50" t="s">
        <v>3016</v>
      </c>
      <c r="P651" s="50" t="s">
        <v>3016</v>
      </c>
    </row>
    <row r="652" spans="1:16" ht="12.75" customHeight="1" x14ac:dyDescent="0.25">
      <c r="A652" s="311">
        <v>649</v>
      </c>
      <c r="B652" s="311" t="s">
        <v>69</v>
      </c>
      <c r="C652" s="311" t="s">
        <v>69</v>
      </c>
      <c r="D652" s="311" t="s">
        <v>69</v>
      </c>
      <c r="E652" s="337" t="s">
        <v>69</v>
      </c>
      <c r="F652" s="311" t="s">
        <v>85</v>
      </c>
      <c r="G652" s="311" t="s">
        <v>23</v>
      </c>
      <c r="H652" s="311" t="s">
        <v>413</v>
      </c>
      <c r="I652" s="311" t="s">
        <v>56</v>
      </c>
      <c r="J652" s="50" t="s">
        <v>1892</v>
      </c>
      <c r="K652" s="50" t="s">
        <v>1892</v>
      </c>
      <c r="L652" s="50" t="s">
        <v>1893</v>
      </c>
      <c r="M652" s="50" t="s">
        <v>3017</v>
      </c>
      <c r="N652" s="50" t="s">
        <v>3017</v>
      </c>
      <c r="O652" s="50" t="s">
        <v>3017</v>
      </c>
      <c r="P652" s="50" t="s">
        <v>3017</v>
      </c>
    </row>
    <row r="653" spans="1:16" ht="12.75" customHeight="1" x14ac:dyDescent="0.25">
      <c r="A653" s="311">
        <v>650</v>
      </c>
      <c r="B653" s="311" t="s">
        <v>84</v>
      </c>
      <c r="C653" s="311" t="s">
        <v>462</v>
      </c>
      <c r="D653" s="311" t="s">
        <v>462</v>
      </c>
      <c r="E653" s="337" t="s">
        <v>462</v>
      </c>
      <c r="F653" s="311" t="s">
        <v>85</v>
      </c>
      <c r="G653" s="311" t="s">
        <v>237</v>
      </c>
      <c r="H653" s="311" t="s">
        <v>413</v>
      </c>
      <c r="I653" s="311" t="s">
        <v>56</v>
      </c>
      <c r="J653" s="50" t="s">
        <v>1892</v>
      </c>
      <c r="K653" s="50" t="s">
        <v>1892</v>
      </c>
      <c r="L653" s="50" t="s">
        <v>1893</v>
      </c>
      <c r="M653" s="50" t="s">
        <v>3018</v>
      </c>
      <c r="N653" s="50" t="s">
        <v>3019</v>
      </c>
      <c r="O653" s="50" t="s">
        <v>3019</v>
      </c>
      <c r="P653" s="50" t="s">
        <v>3019</v>
      </c>
    </row>
    <row r="654" spans="1:16" ht="12.75" customHeight="1" x14ac:dyDescent="0.25">
      <c r="A654" s="311">
        <v>651</v>
      </c>
      <c r="B654" s="311" t="s">
        <v>123</v>
      </c>
      <c r="C654" s="311" t="s">
        <v>462</v>
      </c>
      <c r="D654" s="311" t="s">
        <v>462</v>
      </c>
      <c r="E654" s="337" t="s">
        <v>462</v>
      </c>
      <c r="F654" s="311" t="s">
        <v>85</v>
      </c>
      <c r="G654" s="311" t="s">
        <v>237</v>
      </c>
      <c r="H654" s="311" t="s">
        <v>413</v>
      </c>
      <c r="I654" s="311" t="s">
        <v>56</v>
      </c>
      <c r="J654" s="50" t="s">
        <v>1892</v>
      </c>
      <c r="K654" s="50" t="s">
        <v>1892</v>
      </c>
      <c r="L654" s="50" t="s">
        <v>1893</v>
      </c>
      <c r="M654" s="50" t="s">
        <v>3020</v>
      </c>
      <c r="N654" s="50" t="s">
        <v>3019</v>
      </c>
      <c r="O654" s="50" t="s">
        <v>3019</v>
      </c>
      <c r="P654" s="50" t="s">
        <v>3019</v>
      </c>
    </row>
    <row r="655" spans="1:16" ht="12.75" customHeight="1" x14ac:dyDescent="0.25">
      <c r="A655" s="311">
        <v>652</v>
      </c>
      <c r="B655" s="311" t="s">
        <v>75</v>
      </c>
      <c r="C655" s="311" t="s">
        <v>462</v>
      </c>
      <c r="D655" s="311" t="s">
        <v>462</v>
      </c>
      <c r="E655" s="337" t="s">
        <v>462</v>
      </c>
      <c r="F655" s="311" t="s">
        <v>85</v>
      </c>
      <c r="G655" s="311" t="s">
        <v>237</v>
      </c>
      <c r="H655" s="311" t="s">
        <v>413</v>
      </c>
      <c r="I655" s="311" t="s">
        <v>56</v>
      </c>
      <c r="J655" s="50" t="s">
        <v>1892</v>
      </c>
      <c r="K655" s="50" t="s">
        <v>1892</v>
      </c>
      <c r="L655" s="50" t="s">
        <v>1893</v>
      </c>
      <c r="M655" s="50" t="s">
        <v>3021</v>
      </c>
      <c r="N655" s="50" t="s">
        <v>3019</v>
      </c>
      <c r="O655" s="50" t="s">
        <v>3019</v>
      </c>
      <c r="P655" s="50" t="s">
        <v>3019</v>
      </c>
    </row>
    <row r="656" spans="1:16" ht="12.75" customHeight="1" x14ac:dyDescent="0.25">
      <c r="A656" s="311">
        <v>653</v>
      </c>
      <c r="B656" s="311" t="s">
        <v>63</v>
      </c>
      <c r="C656" s="311" t="s">
        <v>63</v>
      </c>
      <c r="D656" s="311" t="s">
        <v>462</v>
      </c>
      <c r="E656" s="337" t="s">
        <v>63</v>
      </c>
      <c r="F656" s="311" t="s">
        <v>85</v>
      </c>
      <c r="G656" s="311" t="s">
        <v>237</v>
      </c>
      <c r="H656" s="311" t="s">
        <v>413</v>
      </c>
      <c r="I656" s="311" t="s">
        <v>56</v>
      </c>
      <c r="J656" s="50" t="s">
        <v>1892</v>
      </c>
      <c r="K656" s="50" t="s">
        <v>1892</v>
      </c>
      <c r="L656" s="50" t="s">
        <v>1893</v>
      </c>
      <c r="M656" s="50" t="s">
        <v>3022</v>
      </c>
      <c r="N656" s="50" t="s">
        <v>3022</v>
      </c>
      <c r="O656" s="50" t="s">
        <v>3019</v>
      </c>
      <c r="P656" s="50" t="s">
        <v>3022</v>
      </c>
    </row>
    <row r="657" spans="1:16" ht="12.75" customHeight="1" x14ac:dyDescent="0.25">
      <c r="A657" s="311">
        <v>654</v>
      </c>
      <c r="B657" s="311" t="s">
        <v>140</v>
      </c>
      <c r="C657" s="311" t="s">
        <v>140</v>
      </c>
      <c r="D657" s="311" t="s">
        <v>462</v>
      </c>
      <c r="E657" s="337" t="s">
        <v>140</v>
      </c>
      <c r="F657" s="311" t="s">
        <v>85</v>
      </c>
      <c r="G657" s="311" t="s">
        <v>237</v>
      </c>
      <c r="H657" s="311" t="s">
        <v>413</v>
      </c>
      <c r="I657" s="311" t="s">
        <v>56</v>
      </c>
      <c r="J657" s="50" t="s">
        <v>1892</v>
      </c>
      <c r="K657" s="50" t="s">
        <v>1892</v>
      </c>
      <c r="L657" s="50" t="s">
        <v>1893</v>
      </c>
      <c r="M657" s="50" t="s">
        <v>3023</v>
      </c>
      <c r="N657" s="50" t="s">
        <v>3023</v>
      </c>
      <c r="O657" s="50" t="s">
        <v>3019</v>
      </c>
      <c r="P657" s="50" t="s">
        <v>3023</v>
      </c>
    </row>
    <row r="658" spans="1:16" ht="12.75" customHeight="1" x14ac:dyDescent="0.25">
      <c r="A658" s="311">
        <v>655</v>
      </c>
      <c r="B658" s="311" t="s">
        <v>121</v>
      </c>
      <c r="C658" s="311" t="s">
        <v>121</v>
      </c>
      <c r="D658" s="311" t="s">
        <v>462</v>
      </c>
      <c r="E658" s="337" t="s">
        <v>121</v>
      </c>
      <c r="F658" s="311" t="s">
        <v>85</v>
      </c>
      <c r="G658" s="311" t="s">
        <v>237</v>
      </c>
      <c r="H658" s="311" t="s">
        <v>413</v>
      </c>
      <c r="I658" s="311" t="s">
        <v>56</v>
      </c>
      <c r="J658" s="50" t="s">
        <v>1892</v>
      </c>
      <c r="K658" s="50" t="s">
        <v>1892</v>
      </c>
      <c r="L658" s="50" t="s">
        <v>1893</v>
      </c>
      <c r="M658" s="50" t="s">
        <v>3024</v>
      </c>
      <c r="N658" s="50" t="s">
        <v>3024</v>
      </c>
      <c r="O658" s="50" t="s">
        <v>3019</v>
      </c>
      <c r="P658" s="50" t="s">
        <v>3024</v>
      </c>
    </row>
    <row r="659" spans="1:16" ht="12.75" customHeight="1" x14ac:dyDescent="0.25">
      <c r="A659" s="311">
        <v>656</v>
      </c>
      <c r="B659" s="311" t="s">
        <v>87</v>
      </c>
      <c r="C659" s="311" t="s">
        <v>87</v>
      </c>
      <c r="D659" s="311" t="s">
        <v>462</v>
      </c>
      <c r="E659" s="337" t="s">
        <v>87</v>
      </c>
      <c r="F659" s="311" t="s">
        <v>85</v>
      </c>
      <c r="G659" s="311" t="s">
        <v>237</v>
      </c>
      <c r="H659" s="311" t="s">
        <v>413</v>
      </c>
      <c r="I659" s="311" t="s">
        <v>56</v>
      </c>
      <c r="J659" s="50" t="s">
        <v>1892</v>
      </c>
      <c r="K659" s="50" t="s">
        <v>1892</v>
      </c>
      <c r="L659" s="50" t="s">
        <v>1893</v>
      </c>
      <c r="M659" s="50" t="s">
        <v>3025</v>
      </c>
      <c r="N659" s="50" t="s">
        <v>3025</v>
      </c>
      <c r="O659" s="50" t="s">
        <v>3019</v>
      </c>
      <c r="P659" s="50" t="s">
        <v>3025</v>
      </c>
    </row>
    <row r="660" spans="1:16" ht="12.75" customHeight="1" x14ac:dyDescent="0.25">
      <c r="A660" s="311">
        <v>657</v>
      </c>
      <c r="B660" s="311" t="s">
        <v>125</v>
      </c>
      <c r="C660" s="311" t="s">
        <v>125</v>
      </c>
      <c r="D660" s="311" t="s">
        <v>125</v>
      </c>
      <c r="E660" s="337" t="s">
        <v>125</v>
      </c>
      <c r="F660" s="311" t="s">
        <v>85</v>
      </c>
      <c r="G660" s="311" t="s">
        <v>237</v>
      </c>
      <c r="H660" s="311" t="s">
        <v>413</v>
      </c>
      <c r="I660" s="311" t="s">
        <v>56</v>
      </c>
      <c r="J660" s="50" t="s">
        <v>1892</v>
      </c>
      <c r="K660" s="50" t="s">
        <v>1892</v>
      </c>
      <c r="L660" s="50" t="s">
        <v>1893</v>
      </c>
      <c r="M660" s="50" t="s">
        <v>3026</v>
      </c>
      <c r="N660" s="50" t="s">
        <v>3026</v>
      </c>
      <c r="O660" s="50" t="s">
        <v>3026</v>
      </c>
      <c r="P660" s="50" t="s">
        <v>3026</v>
      </c>
    </row>
    <row r="661" spans="1:16" ht="12.75" customHeight="1" x14ac:dyDescent="0.25">
      <c r="A661" s="311">
        <v>658</v>
      </c>
      <c r="B661" s="311" t="s">
        <v>134</v>
      </c>
      <c r="C661" s="311" t="s">
        <v>134</v>
      </c>
      <c r="D661" s="311" t="s">
        <v>134</v>
      </c>
      <c r="E661" s="337" t="s">
        <v>134</v>
      </c>
      <c r="F661" s="311" t="s">
        <v>85</v>
      </c>
      <c r="G661" s="311" t="s">
        <v>237</v>
      </c>
      <c r="H661" s="311" t="s">
        <v>413</v>
      </c>
      <c r="I661" s="311" t="s">
        <v>56</v>
      </c>
      <c r="J661" s="50" t="s">
        <v>1892</v>
      </c>
      <c r="K661" s="50" t="s">
        <v>1892</v>
      </c>
      <c r="L661" s="50" t="s">
        <v>1893</v>
      </c>
      <c r="M661" s="50" t="s">
        <v>3027</v>
      </c>
      <c r="N661" s="50" t="s">
        <v>3027</v>
      </c>
      <c r="O661" s="50" t="s">
        <v>3027</v>
      </c>
      <c r="P661" s="50" t="s">
        <v>3027</v>
      </c>
    </row>
    <row r="662" spans="1:16" ht="12.75" customHeight="1" x14ac:dyDescent="0.25">
      <c r="A662" s="311">
        <v>659</v>
      </c>
      <c r="B662" s="311" t="s">
        <v>141</v>
      </c>
      <c r="C662" s="311" t="s">
        <v>141</v>
      </c>
      <c r="D662" s="311" t="s">
        <v>141</v>
      </c>
      <c r="E662" s="337" t="s">
        <v>141</v>
      </c>
      <c r="F662" s="311" t="s">
        <v>85</v>
      </c>
      <c r="G662" s="311" t="s">
        <v>237</v>
      </c>
      <c r="H662" s="311" t="s">
        <v>413</v>
      </c>
      <c r="I662" s="311" t="s">
        <v>56</v>
      </c>
      <c r="J662" s="50" t="s">
        <v>1892</v>
      </c>
      <c r="K662" s="50" t="s">
        <v>1892</v>
      </c>
      <c r="L662" s="50" t="s">
        <v>1893</v>
      </c>
      <c r="M662" s="50" t="s">
        <v>3028</v>
      </c>
      <c r="N662" s="50" t="s">
        <v>3028</v>
      </c>
      <c r="O662" s="50" t="s">
        <v>3028</v>
      </c>
      <c r="P662" s="50" t="s">
        <v>3028</v>
      </c>
    </row>
    <row r="663" spans="1:16" ht="12.75" customHeight="1" x14ac:dyDescent="0.25">
      <c r="A663" s="311">
        <v>660</v>
      </c>
      <c r="B663" s="311" t="s">
        <v>69</v>
      </c>
      <c r="C663" s="311" t="s">
        <v>69</v>
      </c>
      <c r="D663" s="311" t="s">
        <v>69</v>
      </c>
      <c r="E663" s="337" t="s">
        <v>69</v>
      </c>
      <c r="F663" s="311" t="s">
        <v>85</v>
      </c>
      <c r="G663" s="311" t="s">
        <v>237</v>
      </c>
      <c r="H663" s="311" t="s">
        <v>413</v>
      </c>
      <c r="I663" s="311" t="s">
        <v>56</v>
      </c>
      <c r="J663" s="50" t="s">
        <v>1892</v>
      </c>
      <c r="K663" s="50" t="s">
        <v>1892</v>
      </c>
      <c r="L663" s="50" t="s">
        <v>1893</v>
      </c>
      <c r="M663" s="50" t="s">
        <v>3029</v>
      </c>
      <c r="N663" s="50" t="s">
        <v>3029</v>
      </c>
      <c r="O663" s="50" t="s">
        <v>3029</v>
      </c>
      <c r="P663" s="50" t="s">
        <v>3029</v>
      </c>
    </row>
    <row r="664" spans="1:16" ht="12.75" customHeight="1" x14ac:dyDescent="0.25">
      <c r="A664" s="311">
        <v>661</v>
      </c>
      <c r="B664" s="311" t="s">
        <v>84</v>
      </c>
      <c r="C664" s="311" t="s">
        <v>462</v>
      </c>
      <c r="D664" s="311" t="s">
        <v>462</v>
      </c>
      <c r="E664" s="337" t="s">
        <v>462</v>
      </c>
      <c r="F664" s="311" t="s">
        <v>151</v>
      </c>
      <c r="G664" s="311" t="s">
        <v>236</v>
      </c>
      <c r="H664" s="311" t="s">
        <v>413</v>
      </c>
      <c r="I664" s="311" t="s">
        <v>56</v>
      </c>
      <c r="J664" s="50" t="s">
        <v>1892</v>
      </c>
      <c r="K664" s="50" t="s">
        <v>1892</v>
      </c>
      <c r="L664" s="50" t="s">
        <v>1893</v>
      </c>
      <c r="M664" s="50" t="s">
        <v>3030</v>
      </c>
      <c r="N664" s="50" t="s">
        <v>3031</v>
      </c>
      <c r="O664" s="50" t="s">
        <v>3031</v>
      </c>
      <c r="P664" s="50" t="s">
        <v>3031</v>
      </c>
    </row>
    <row r="665" spans="1:16" ht="12.75" customHeight="1" x14ac:dyDescent="0.25">
      <c r="A665" s="311">
        <v>662</v>
      </c>
      <c r="B665" s="311" t="s">
        <v>123</v>
      </c>
      <c r="C665" s="311" t="s">
        <v>462</v>
      </c>
      <c r="D665" s="311" t="s">
        <v>462</v>
      </c>
      <c r="E665" s="337" t="s">
        <v>462</v>
      </c>
      <c r="F665" s="311" t="s">
        <v>151</v>
      </c>
      <c r="G665" s="311" t="s">
        <v>236</v>
      </c>
      <c r="H665" s="311" t="s">
        <v>413</v>
      </c>
      <c r="I665" s="311" t="s">
        <v>56</v>
      </c>
      <c r="J665" s="50" t="s">
        <v>1892</v>
      </c>
      <c r="K665" s="50" t="s">
        <v>1892</v>
      </c>
      <c r="L665" s="50" t="s">
        <v>1893</v>
      </c>
      <c r="M665" s="50" t="s">
        <v>3032</v>
      </c>
      <c r="N665" s="50" t="s">
        <v>3031</v>
      </c>
      <c r="O665" s="50" t="s">
        <v>3031</v>
      </c>
      <c r="P665" s="50" t="s">
        <v>3031</v>
      </c>
    </row>
    <row r="666" spans="1:16" ht="12.75" customHeight="1" x14ac:dyDescent="0.25">
      <c r="A666" s="311">
        <v>663</v>
      </c>
      <c r="B666" s="311" t="s">
        <v>75</v>
      </c>
      <c r="C666" s="311" t="s">
        <v>462</v>
      </c>
      <c r="D666" s="311" t="s">
        <v>462</v>
      </c>
      <c r="E666" s="337" t="s">
        <v>462</v>
      </c>
      <c r="F666" s="311" t="s">
        <v>151</v>
      </c>
      <c r="G666" s="311" t="s">
        <v>236</v>
      </c>
      <c r="H666" s="311" t="s">
        <v>413</v>
      </c>
      <c r="I666" s="311" t="s">
        <v>56</v>
      </c>
      <c r="J666" s="50" t="s">
        <v>1892</v>
      </c>
      <c r="K666" s="50" t="s">
        <v>1892</v>
      </c>
      <c r="L666" s="50" t="s">
        <v>1893</v>
      </c>
      <c r="M666" s="50" t="s">
        <v>3033</v>
      </c>
      <c r="N666" s="50" t="s">
        <v>3031</v>
      </c>
      <c r="O666" s="50" t="s">
        <v>3031</v>
      </c>
      <c r="P666" s="50" t="s">
        <v>3031</v>
      </c>
    </row>
    <row r="667" spans="1:16" ht="12.75" customHeight="1" x14ac:dyDescent="0.25">
      <c r="A667" s="311">
        <v>664</v>
      </c>
      <c r="B667" s="311" t="s">
        <v>63</v>
      </c>
      <c r="C667" s="311" t="s">
        <v>63</v>
      </c>
      <c r="D667" s="311" t="s">
        <v>462</v>
      </c>
      <c r="E667" s="337" t="s">
        <v>63</v>
      </c>
      <c r="F667" s="311" t="s">
        <v>151</v>
      </c>
      <c r="G667" s="311" t="s">
        <v>236</v>
      </c>
      <c r="H667" s="311" t="s">
        <v>413</v>
      </c>
      <c r="I667" s="311" t="s">
        <v>56</v>
      </c>
      <c r="J667" s="50" t="s">
        <v>1892</v>
      </c>
      <c r="K667" s="50" t="s">
        <v>1892</v>
      </c>
      <c r="L667" s="50" t="s">
        <v>1893</v>
      </c>
      <c r="M667" s="50" t="s">
        <v>3034</v>
      </c>
      <c r="N667" s="50" t="s">
        <v>3034</v>
      </c>
      <c r="O667" s="50" t="s">
        <v>3031</v>
      </c>
      <c r="P667" s="50" t="s">
        <v>3034</v>
      </c>
    </row>
    <row r="668" spans="1:16" ht="12.75" customHeight="1" x14ac:dyDescent="0.25">
      <c r="A668" s="311">
        <v>665</v>
      </c>
      <c r="B668" s="311" t="s">
        <v>140</v>
      </c>
      <c r="C668" s="311" t="s">
        <v>140</v>
      </c>
      <c r="D668" s="311" t="s">
        <v>462</v>
      </c>
      <c r="E668" s="337" t="s">
        <v>140</v>
      </c>
      <c r="F668" s="311" t="s">
        <v>151</v>
      </c>
      <c r="G668" s="311" t="s">
        <v>236</v>
      </c>
      <c r="H668" s="311" t="s">
        <v>413</v>
      </c>
      <c r="I668" s="311" t="s">
        <v>56</v>
      </c>
      <c r="J668" s="50" t="s">
        <v>1892</v>
      </c>
      <c r="K668" s="50" t="s">
        <v>1892</v>
      </c>
      <c r="L668" s="50" t="s">
        <v>1893</v>
      </c>
      <c r="M668" s="50" t="s">
        <v>3035</v>
      </c>
      <c r="N668" s="50" t="s">
        <v>3035</v>
      </c>
      <c r="O668" s="50" t="s">
        <v>3031</v>
      </c>
      <c r="P668" s="50" t="s">
        <v>3035</v>
      </c>
    </row>
    <row r="669" spans="1:16" ht="12.75" customHeight="1" x14ac:dyDescent="0.25">
      <c r="A669" s="311">
        <v>666</v>
      </c>
      <c r="B669" s="311" t="s">
        <v>121</v>
      </c>
      <c r="C669" s="311" t="s">
        <v>121</v>
      </c>
      <c r="D669" s="311" t="s">
        <v>462</v>
      </c>
      <c r="E669" s="337" t="s">
        <v>121</v>
      </c>
      <c r="F669" s="311" t="s">
        <v>151</v>
      </c>
      <c r="G669" s="311" t="s">
        <v>236</v>
      </c>
      <c r="H669" s="311" t="s">
        <v>413</v>
      </c>
      <c r="I669" s="311" t="s">
        <v>56</v>
      </c>
      <c r="J669" s="50" t="s">
        <v>1892</v>
      </c>
      <c r="K669" s="50" t="s">
        <v>1892</v>
      </c>
      <c r="L669" s="50" t="s">
        <v>1893</v>
      </c>
      <c r="M669" s="50" t="s">
        <v>3036</v>
      </c>
      <c r="N669" s="50" t="s">
        <v>3036</v>
      </c>
      <c r="O669" s="50" t="s">
        <v>3031</v>
      </c>
      <c r="P669" s="50" t="s">
        <v>3036</v>
      </c>
    </row>
    <row r="670" spans="1:16" ht="12.75" customHeight="1" x14ac:dyDescent="0.25">
      <c r="A670" s="311">
        <v>667</v>
      </c>
      <c r="B670" s="311" t="s">
        <v>87</v>
      </c>
      <c r="C670" s="311" t="s">
        <v>87</v>
      </c>
      <c r="D670" s="311" t="s">
        <v>462</v>
      </c>
      <c r="E670" s="337" t="s">
        <v>87</v>
      </c>
      <c r="F670" s="311" t="s">
        <v>151</v>
      </c>
      <c r="G670" s="311" t="s">
        <v>236</v>
      </c>
      <c r="H670" s="311" t="s">
        <v>413</v>
      </c>
      <c r="I670" s="311" t="s">
        <v>56</v>
      </c>
      <c r="J670" s="50" t="s">
        <v>1892</v>
      </c>
      <c r="K670" s="50" t="s">
        <v>1892</v>
      </c>
      <c r="L670" s="50" t="s">
        <v>1893</v>
      </c>
      <c r="M670" s="50" t="s">
        <v>3037</v>
      </c>
      <c r="N670" s="50" t="s">
        <v>3037</v>
      </c>
      <c r="O670" s="50" t="s">
        <v>3031</v>
      </c>
      <c r="P670" s="50" t="s">
        <v>3037</v>
      </c>
    </row>
    <row r="671" spans="1:16" ht="12.75" customHeight="1" x14ac:dyDescent="0.25">
      <c r="A671" s="311">
        <v>668</v>
      </c>
      <c r="B671" s="311" t="s">
        <v>125</v>
      </c>
      <c r="C671" s="311" t="s">
        <v>125</v>
      </c>
      <c r="D671" s="311" t="s">
        <v>125</v>
      </c>
      <c r="E671" s="337" t="s">
        <v>125</v>
      </c>
      <c r="F671" s="311" t="s">
        <v>151</v>
      </c>
      <c r="G671" s="311" t="s">
        <v>236</v>
      </c>
      <c r="H671" s="311" t="s">
        <v>413</v>
      </c>
      <c r="I671" s="311" t="s">
        <v>56</v>
      </c>
      <c r="J671" s="50" t="s">
        <v>1892</v>
      </c>
      <c r="K671" s="50" t="s">
        <v>1892</v>
      </c>
      <c r="L671" s="50" t="s">
        <v>1893</v>
      </c>
      <c r="M671" s="50" t="s">
        <v>3038</v>
      </c>
      <c r="N671" s="50" t="s">
        <v>3038</v>
      </c>
      <c r="O671" s="50" t="s">
        <v>3038</v>
      </c>
      <c r="P671" s="50" t="s">
        <v>3038</v>
      </c>
    </row>
    <row r="672" spans="1:16" ht="12.75" customHeight="1" x14ac:dyDescent="0.25">
      <c r="A672" s="311">
        <v>669</v>
      </c>
      <c r="B672" s="311" t="s">
        <v>134</v>
      </c>
      <c r="C672" s="311" t="s">
        <v>134</v>
      </c>
      <c r="D672" s="311" t="s">
        <v>134</v>
      </c>
      <c r="E672" s="337" t="s">
        <v>134</v>
      </c>
      <c r="F672" s="311" t="s">
        <v>151</v>
      </c>
      <c r="G672" s="311" t="s">
        <v>236</v>
      </c>
      <c r="H672" s="311" t="s">
        <v>413</v>
      </c>
      <c r="I672" s="311" t="s">
        <v>56</v>
      </c>
      <c r="J672" s="50" t="s">
        <v>1892</v>
      </c>
      <c r="K672" s="50" t="s">
        <v>1892</v>
      </c>
      <c r="L672" s="50" t="s">
        <v>1893</v>
      </c>
      <c r="M672" s="50" t="s">
        <v>3039</v>
      </c>
      <c r="N672" s="50" t="s">
        <v>3039</v>
      </c>
      <c r="O672" s="50" t="s">
        <v>3039</v>
      </c>
      <c r="P672" s="50" t="s">
        <v>3039</v>
      </c>
    </row>
    <row r="673" spans="1:16" ht="12.75" customHeight="1" x14ac:dyDescent="0.25">
      <c r="A673" s="311">
        <v>670</v>
      </c>
      <c r="B673" s="311" t="s">
        <v>141</v>
      </c>
      <c r="C673" s="311" t="s">
        <v>141</v>
      </c>
      <c r="D673" s="311" t="s">
        <v>141</v>
      </c>
      <c r="E673" s="337" t="s">
        <v>141</v>
      </c>
      <c r="F673" s="311" t="s">
        <v>151</v>
      </c>
      <c r="G673" s="311" t="s">
        <v>236</v>
      </c>
      <c r="H673" s="311" t="s">
        <v>413</v>
      </c>
      <c r="I673" s="311" t="s">
        <v>56</v>
      </c>
      <c r="J673" s="50" t="s">
        <v>1892</v>
      </c>
      <c r="K673" s="50" t="s">
        <v>1892</v>
      </c>
      <c r="L673" s="50" t="s">
        <v>1893</v>
      </c>
      <c r="M673" s="50" t="s">
        <v>3040</v>
      </c>
      <c r="N673" s="50" t="s">
        <v>3040</v>
      </c>
      <c r="O673" s="50" t="s">
        <v>3040</v>
      </c>
      <c r="P673" s="50" t="s">
        <v>3040</v>
      </c>
    </row>
    <row r="674" spans="1:16" ht="12.75" customHeight="1" x14ac:dyDescent="0.25">
      <c r="A674" s="311">
        <v>671</v>
      </c>
      <c r="B674" s="311" t="s">
        <v>69</v>
      </c>
      <c r="C674" s="311" t="s">
        <v>69</v>
      </c>
      <c r="D674" s="311" t="s">
        <v>69</v>
      </c>
      <c r="E674" s="337" t="s">
        <v>69</v>
      </c>
      <c r="F674" s="311" t="s">
        <v>151</v>
      </c>
      <c r="G674" s="311" t="s">
        <v>236</v>
      </c>
      <c r="H674" s="311" t="s">
        <v>413</v>
      </c>
      <c r="I674" s="311" t="s">
        <v>56</v>
      </c>
      <c r="J674" s="50" t="s">
        <v>1892</v>
      </c>
      <c r="K674" s="50" t="s">
        <v>1892</v>
      </c>
      <c r="L674" s="50" t="s">
        <v>1893</v>
      </c>
      <c r="M674" s="50" t="s">
        <v>3041</v>
      </c>
      <c r="N674" s="50" t="s">
        <v>3041</v>
      </c>
      <c r="O674" s="50" t="s">
        <v>3041</v>
      </c>
      <c r="P674" s="50" t="s">
        <v>3041</v>
      </c>
    </row>
    <row r="675" spans="1:16" ht="12.75" customHeight="1" x14ac:dyDescent="0.25">
      <c r="A675" s="311">
        <v>672</v>
      </c>
      <c r="B675" s="311" t="s">
        <v>84</v>
      </c>
      <c r="C675" s="311" t="s">
        <v>462</v>
      </c>
      <c r="D675" s="311" t="s">
        <v>462</v>
      </c>
      <c r="E675" s="337" t="s">
        <v>462</v>
      </c>
      <c r="F675" s="311" t="s">
        <v>151</v>
      </c>
      <c r="G675" s="311" t="s">
        <v>23</v>
      </c>
      <c r="H675" s="311" t="s">
        <v>413</v>
      </c>
      <c r="I675" s="311" t="s">
        <v>56</v>
      </c>
      <c r="J675" s="50" t="s">
        <v>1892</v>
      </c>
      <c r="K675" s="50" t="s">
        <v>1892</v>
      </c>
      <c r="L675" s="50" t="s">
        <v>1893</v>
      </c>
      <c r="M675" s="50" t="s">
        <v>3042</v>
      </c>
      <c r="N675" s="50" t="s">
        <v>3043</v>
      </c>
      <c r="O675" s="50" t="s">
        <v>3043</v>
      </c>
      <c r="P675" s="50" t="s">
        <v>3043</v>
      </c>
    </row>
    <row r="676" spans="1:16" ht="12.75" customHeight="1" x14ac:dyDescent="0.25">
      <c r="A676" s="311">
        <v>673</v>
      </c>
      <c r="B676" s="311" t="s">
        <v>123</v>
      </c>
      <c r="C676" s="311" t="s">
        <v>462</v>
      </c>
      <c r="D676" s="311" t="s">
        <v>462</v>
      </c>
      <c r="E676" s="337" t="s">
        <v>462</v>
      </c>
      <c r="F676" s="311" t="s">
        <v>151</v>
      </c>
      <c r="G676" s="311" t="s">
        <v>23</v>
      </c>
      <c r="H676" s="311" t="s">
        <v>413</v>
      </c>
      <c r="I676" s="311" t="s">
        <v>56</v>
      </c>
      <c r="J676" s="50" t="s">
        <v>1892</v>
      </c>
      <c r="K676" s="50" t="s">
        <v>1892</v>
      </c>
      <c r="L676" s="50" t="s">
        <v>1893</v>
      </c>
      <c r="M676" s="50" t="s">
        <v>3044</v>
      </c>
      <c r="N676" s="50" t="s">
        <v>3043</v>
      </c>
      <c r="O676" s="50" t="s">
        <v>3043</v>
      </c>
      <c r="P676" s="50" t="s">
        <v>3043</v>
      </c>
    </row>
    <row r="677" spans="1:16" ht="12.75" customHeight="1" x14ac:dyDescent="0.25">
      <c r="A677" s="311">
        <v>674</v>
      </c>
      <c r="B677" s="311" t="s">
        <v>75</v>
      </c>
      <c r="C677" s="311" t="s">
        <v>462</v>
      </c>
      <c r="D677" s="311" t="s">
        <v>462</v>
      </c>
      <c r="E677" s="337" t="s">
        <v>462</v>
      </c>
      <c r="F677" s="311" t="s">
        <v>151</v>
      </c>
      <c r="G677" s="311" t="s">
        <v>23</v>
      </c>
      <c r="H677" s="311" t="s">
        <v>413</v>
      </c>
      <c r="I677" s="311" t="s">
        <v>56</v>
      </c>
      <c r="J677" s="50" t="s">
        <v>1892</v>
      </c>
      <c r="K677" s="50" t="s">
        <v>1892</v>
      </c>
      <c r="L677" s="50" t="s">
        <v>1893</v>
      </c>
      <c r="M677" s="50" t="s">
        <v>3045</v>
      </c>
      <c r="N677" s="50" t="s">
        <v>3043</v>
      </c>
      <c r="O677" s="50" t="s">
        <v>3043</v>
      </c>
      <c r="P677" s="50" t="s">
        <v>3043</v>
      </c>
    </row>
    <row r="678" spans="1:16" ht="12.75" customHeight="1" x14ac:dyDescent="0.25">
      <c r="A678" s="311">
        <v>675</v>
      </c>
      <c r="B678" s="311" t="s">
        <v>63</v>
      </c>
      <c r="C678" s="311" t="s">
        <v>63</v>
      </c>
      <c r="D678" s="311" t="s">
        <v>462</v>
      </c>
      <c r="E678" s="337" t="s">
        <v>63</v>
      </c>
      <c r="F678" s="311" t="s">
        <v>151</v>
      </c>
      <c r="G678" s="311" t="s">
        <v>23</v>
      </c>
      <c r="H678" s="311" t="s">
        <v>413</v>
      </c>
      <c r="I678" s="311" t="s">
        <v>56</v>
      </c>
      <c r="J678" s="50" t="s">
        <v>1892</v>
      </c>
      <c r="K678" s="50" t="s">
        <v>1892</v>
      </c>
      <c r="L678" s="50" t="s">
        <v>1893</v>
      </c>
      <c r="M678" s="50" t="s">
        <v>3046</v>
      </c>
      <c r="N678" s="50" t="s">
        <v>3046</v>
      </c>
      <c r="O678" s="50" t="s">
        <v>3043</v>
      </c>
      <c r="P678" s="50" t="s">
        <v>3046</v>
      </c>
    </row>
    <row r="679" spans="1:16" ht="12.75" customHeight="1" x14ac:dyDescent="0.25">
      <c r="A679" s="311">
        <v>676</v>
      </c>
      <c r="B679" s="311" t="s">
        <v>140</v>
      </c>
      <c r="C679" s="311" t="s">
        <v>140</v>
      </c>
      <c r="D679" s="311" t="s">
        <v>462</v>
      </c>
      <c r="E679" s="337" t="s">
        <v>140</v>
      </c>
      <c r="F679" s="311" t="s">
        <v>151</v>
      </c>
      <c r="G679" s="311" t="s">
        <v>23</v>
      </c>
      <c r="H679" s="311" t="s">
        <v>413</v>
      </c>
      <c r="I679" s="311" t="s">
        <v>56</v>
      </c>
      <c r="J679" s="50" t="s">
        <v>1892</v>
      </c>
      <c r="K679" s="50" t="s">
        <v>1892</v>
      </c>
      <c r="L679" s="50" t="s">
        <v>1893</v>
      </c>
      <c r="M679" s="50" t="s">
        <v>3047</v>
      </c>
      <c r="N679" s="50" t="s">
        <v>3047</v>
      </c>
      <c r="O679" s="50" t="s">
        <v>3043</v>
      </c>
      <c r="P679" s="50" t="s">
        <v>3047</v>
      </c>
    </row>
    <row r="680" spans="1:16" ht="12.75" customHeight="1" x14ac:dyDescent="0.25">
      <c r="A680" s="311">
        <v>677</v>
      </c>
      <c r="B680" s="311" t="s">
        <v>121</v>
      </c>
      <c r="C680" s="311" t="s">
        <v>121</v>
      </c>
      <c r="D680" s="311" t="s">
        <v>462</v>
      </c>
      <c r="E680" s="337" t="s">
        <v>121</v>
      </c>
      <c r="F680" s="311" t="s">
        <v>151</v>
      </c>
      <c r="G680" s="311" t="s">
        <v>23</v>
      </c>
      <c r="H680" s="311" t="s">
        <v>413</v>
      </c>
      <c r="I680" s="311" t="s">
        <v>56</v>
      </c>
      <c r="J680" s="50" t="s">
        <v>1892</v>
      </c>
      <c r="K680" s="50" t="s">
        <v>1892</v>
      </c>
      <c r="L680" s="50" t="s">
        <v>1893</v>
      </c>
      <c r="M680" s="50" t="s">
        <v>3048</v>
      </c>
      <c r="N680" s="50" t="s">
        <v>3048</v>
      </c>
      <c r="O680" s="50" t="s">
        <v>3043</v>
      </c>
      <c r="P680" s="50" t="s">
        <v>3048</v>
      </c>
    </row>
    <row r="681" spans="1:16" ht="12.75" customHeight="1" x14ac:dyDescent="0.25">
      <c r="A681" s="311">
        <v>678</v>
      </c>
      <c r="B681" s="311" t="s">
        <v>87</v>
      </c>
      <c r="C681" s="311" t="s">
        <v>87</v>
      </c>
      <c r="D681" s="311" t="s">
        <v>462</v>
      </c>
      <c r="E681" s="337" t="s">
        <v>87</v>
      </c>
      <c r="F681" s="311" t="s">
        <v>151</v>
      </c>
      <c r="G681" s="311" t="s">
        <v>23</v>
      </c>
      <c r="H681" s="311" t="s">
        <v>413</v>
      </c>
      <c r="I681" s="311" t="s">
        <v>56</v>
      </c>
      <c r="J681" s="50" t="s">
        <v>1892</v>
      </c>
      <c r="K681" s="50" t="s">
        <v>1892</v>
      </c>
      <c r="L681" s="50" t="s">
        <v>1893</v>
      </c>
      <c r="M681" s="50" t="s">
        <v>3049</v>
      </c>
      <c r="N681" s="50" t="s">
        <v>3049</v>
      </c>
      <c r="O681" s="50" t="s">
        <v>3043</v>
      </c>
      <c r="P681" s="50" t="s">
        <v>3049</v>
      </c>
    </row>
    <row r="682" spans="1:16" ht="12.75" customHeight="1" x14ac:dyDescent="0.25">
      <c r="A682" s="311">
        <v>679</v>
      </c>
      <c r="B682" s="311" t="s">
        <v>125</v>
      </c>
      <c r="C682" s="311" t="s">
        <v>125</v>
      </c>
      <c r="D682" s="311" t="s">
        <v>125</v>
      </c>
      <c r="E682" s="337" t="s">
        <v>125</v>
      </c>
      <c r="F682" s="311" t="s">
        <v>151</v>
      </c>
      <c r="G682" s="311" t="s">
        <v>23</v>
      </c>
      <c r="H682" s="311" t="s">
        <v>413</v>
      </c>
      <c r="I682" s="311" t="s">
        <v>56</v>
      </c>
      <c r="J682" s="50" t="s">
        <v>1892</v>
      </c>
      <c r="K682" s="50" t="s">
        <v>1892</v>
      </c>
      <c r="L682" s="50" t="s">
        <v>1893</v>
      </c>
      <c r="M682" s="50" t="s">
        <v>3050</v>
      </c>
      <c r="N682" s="50" t="s">
        <v>3050</v>
      </c>
      <c r="O682" s="50" t="s">
        <v>3050</v>
      </c>
      <c r="P682" s="50" t="s">
        <v>3050</v>
      </c>
    </row>
    <row r="683" spans="1:16" ht="12.75" customHeight="1" x14ac:dyDescent="0.25">
      <c r="A683" s="311">
        <v>680</v>
      </c>
      <c r="B683" s="311" t="s">
        <v>134</v>
      </c>
      <c r="C683" s="311" t="s">
        <v>134</v>
      </c>
      <c r="D683" s="311" t="s">
        <v>134</v>
      </c>
      <c r="E683" s="337" t="s">
        <v>134</v>
      </c>
      <c r="F683" s="311" t="s">
        <v>151</v>
      </c>
      <c r="G683" s="311" t="s">
        <v>23</v>
      </c>
      <c r="H683" s="311" t="s">
        <v>413</v>
      </c>
      <c r="I683" s="311" t="s">
        <v>56</v>
      </c>
      <c r="J683" s="50" t="s">
        <v>1892</v>
      </c>
      <c r="K683" s="50" t="s">
        <v>1892</v>
      </c>
      <c r="L683" s="50" t="s">
        <v>1893</v>
      </c>
      <c r="M683" s="50" t="s">
        <v>3051</v>
      </c>
      <c r="N683" s="50" t="s">
        <v>3051</v>
      </c>
      <c r="O683" s="50" t="s">
        <v>3051</v>
      </c>
      <c r="P683" s="50" t="s">
        <v>3051</v>
      </c>
    </row>
    <row r="684" spans="1:16" ht="12.75" customHeight="1" x14ac:dyDescent="0.25">
      <c r="A684" s="311">
        <v>681</v>
      </c>
      <c r="B684" s="311" t="s">
        <v>141</v>
      </c>
      <c r="C684" s="311" t="s">
        <v>141</v>
      </c>
      <c r="D684" s="311" t="s">
        <v>141</v>
      </c>
      <c r="E684" s="337" t="s">
        <v>141</v>
      </c>
      <c r="F684" s="311" t="s">
        <v>151</v>
      </c>
      <c r="G684" s="311" t="s">
        <v>23</v>
      </c>
      <c r="H684" s="311" t="s">
        <v>413</v>
      </c>
      <c r="I684" s="311" t="s">
        <v>56</v>
      </c>
      <c r="J684" s="50" t="s">
        <v>1892</v>
      </c>
      <c r="K684" s="50" t="s">
        <v>1892</v>
      </c>
      <c r="L684" s="50" t="s">
        <v>1893</v>
      </c>
      <c r="M684" s="50" t="s">
        <v>3052</v>
      </c>
      <c r="N684" s="50" t="s">
        <v>3052</v>
      </c>
      <c r="O684" s="50" t="s">
        <v>3052</v>
      </c>
      <c r="P684" s="50" t="s">
        <v>3052</v>
      </c>
    </row>
    <row r="685" spans="1:16" ht="12.75" customHeight="1" x14ac:dyDescent="0.25">
      <c r="A685" s="311">
        <v>682</v>
      </c>
      <c r="B685" s="311" t="s">
        <v>69</v>
      </c>
      <c r="C685" s="311" t="s">
        <v>69</v>
      </c>
      <c r="D685" s="311" t="s">
        <v>69</v>
      </c>
      <c r="E685" s="337" t="s">
        <v>69</v>
      </c>
      <c r="F685" s="311" t="s">
        <v>151</v>
      </c>
      <c r="G685" s="311" t="s">
        <v>23</v>
      </c>
      <c r="H685" s="311" t="s">
        <v>413</v>
      </c>
      <c r="I685" s="311" t="s">
        <v>56</v>
      </c>
      <c r="J685" s="50" t="s">
        <v>1892</v>
      </c>
      <c r="K685" s="50" t="s">
        <v>1892</v>
      </c>
      <c r="L685" s="50" t="s">
        <v>1893</v>
      </c>
      <c r="M685" s="50" t="s">
        <v>3053</v>
      </c>
      <c r="N685" s="50" t="s">
        <v>3053</v>
      </c>
      <c r="O685" s="50" t="s">
        <v>3053</v>
      </c>
      <c r="P685" s="50" t="s">
        <v>3053</v>
      </c>
    </row>
    <row r="686" spans="1:16" ht="12.75" customHeight="1" x14ac:dyDescent="0.25">
      <c r="A686" s="311">
        <v>683</v>
      </c>
      <c r="B686" s="311" t="s">
        <v>84</v>
      </c>
      <c r="C686" s="311" t="s">
        <v>462</v>
      </c>
      <c r="D686" s="311" t="s">
        <v>462</v>
      </c>
      <c r="E686" s="337" t="s">
        <v>462</v>
      </c>
      <c r="F686" s="311" t="s">
        <v>151</v>
      </c>
      <c r="G686" s="311" t="s">
        <v>237</v>
      </c>
      <c r="H686" s="311" t="s">
        <v>413</v>
      </c>
      <c r="I686" s="311" t="s">
        <v>56</v>
      </c>
      <c r="J686" s="50" t="s">
        <v>1892</v>
      </c>
      <c r="K686" s="50" t="s">
        <v>1892</v>
      </c>
      <c r="L686" s="50" t="s">
        <v>1893</v>
      </c>
      <c r="M686" s="50" t="s">
        <v>3054</v>
      </c>
      <c r="N686" s="50" t="s">
        <v>3055</v>
      </c>
      <c r="O686" s="50" t="s">
        <v>3055</v>
      </c>
      <c r="P686" s="50" t="s">
        <v>3055</v>
      </c>
    </row>
    <row r="687" spans="1:16" ht="12.75" customHeight="1" x14ac:dyDescent="0.25">
      <c r="A687" s="311">
        <v>684</v>
      </c>
      <c r="B687" s="311" t="s">
        <v>123</v>
      </c>
      <c r="C687" s="311" t="s">
        <v>462</v>
      </c>
      <c r="D687" s="311" t="s">
        <v>462</v>
      </c>
      <c r="E687" s="337" t="s">
        <v>462</v>
      </c>
      <c r="F687" s="311" t="s">
        <v>151</v>
      </c>
      <c r="G687" s="311" t="s">
        <v>237</v>
      </c>
      <c r="H687" s="311" t="s">
        <v>413</v>
      </c>
      <c r="I687" s="311" t="s">
        <v>56</v>
      </c>
      <c r="J687" s="50" t="s">
        <v>1892</v>
      </c>
      <c r="K687" s="50" t="s">
        <v>1892</v>
      </c>
      <c r="L687" s="50" t="s">
        <v>1893</v>
      </c>
      <c r="M687" s="50" t="s">
        <v>3056</v>
      </c>
      <c r="N687" s="50" t="s">
        <v>3055</v>
      </c>
      <c r="O687" s="50" t="s">
        <v>3055</v>
      </c>
      <c r="P687" s="50" t="s">
        <v>3055</v>
      </c>
    </row>
    <row r="688" spans="1:16" ht="12.75" customHeight="1" x14ac:dyDescent="0.25">
      <c r="A688" s="311">
        <v>685</v>
      </c>
      <c r="B688" s="311" t="s">
        <v>75</v>
      </c>
      <c r="C688" s="311" t="s">
        <v>462</v>
      </c>
      <c r="D688" s="311" t="s">
        <v>462</v>
      </c>
      <c r="E688" s="337" t="s">
        <v>462</v>
      </c>
      <c r="F688" s="311" t="s">
        <v>151</v>
      </c>
      <c r="G688" s="311" t="s">
        <v>237</v>
      </c>
      <c r="H688" s="311" t="s">
        <v>413</v>
      </c>
      <c r="I688" s="311" t="s">
        <v>56</v>
      </c>
      <c r="J688" s="50" t="s">
        <v>1892</v>
      </c>
      <c r="K688" s="50" t="s">
        <v>1892</v>
      </c>
      <c r="L688" s="50" t="s">
        <v>1893</v>
      </c>
      <c r="M688" s="50" t="s">
        <v>3057</v>
      </c>
      <c r="N688" s="50" t="s">
        <v>3055</v>
      </c>
      <c r="O688" s="50" t="s">
        <v>3055</v>
      </c>
      <c r="P688" s="50" t="s">
        <v>3055</v>
      </c>
    </row>
    <row r="689" spans="1:16" ht="12.75" customHeight="1" x14ac:dyDescent="0.25">
      <c r="A689" s="311">
        <v>686</v>
      </c>
      <c r="B689" s="311" t="s">
        <v>63</v>
      </c>
      <c r="C689" s="311" t="s">
        <v>63</v>
      </c>
      <c r="D689" s="311" t="s">
        <v>462</v>
      </c>
      <c r="E689" s="337" t="s">
        <v>63</v>
      </c>
      <c r="F689" s="311" t="s">
        <v>151</v>
      </c>
      <c r="G689" s="311" t="s">
        <v>237</v>
      </c>
      <c r="H689" s="311" t="s">
        <v>413</v>
      </c>
      <c r="I689" s="311" t="s">
        <v>56</v>
      </c>
      <c r="J689" s="50" t="s">
        <v>1892</v>
      </c>
      <c r="K689" s="50" t="s">
        <v>1892</v>
      </c>
      <c r="L689" s="50" t="s">
        <v>1893</v>
      </c>
      <c r="M689" s="50" t="s">
        <v>3058</v>
      </c>
      <c r="N689" s="50" t="s">
        <v>3058</v>
      </c>
      <c r="O689" s="50" t="s">
        <v>3055</v>
      </c>
      <c r="P689" s="50" t="s">
        <v>3058</v>
      </c>
    </row>
    <row r="690" spans="1:16" ht="12.75" customHeight="1" x14ac:dyDescent="0.25">
      <c r="A690" s="311">
        <v>687</v>
      </c>
      <c r="B690" s="311" t="s">
        <v>140</v>
      </c>
      <c r="C690" s="311" t="s">
        <v>140</v>
      </c>
      <c r="D690" s="311" t="s">
        <v>462</v>
      </c>
      <c r="E690" s="337" t="s">
        <v>140</v>
      </c>
      <c r="F690" s="311" t="s">
        <v>151</v>
      </c>
      <c r="G690" s="311" t="s">
        <v>237</v>
      </c>
      <c r="H690" s="311" t="s">
        <v>413</v>
      </c>
      <c r="I690" s="311" t="s">
        <v>56</v>
      </c>
      <c r="J690" s="50" t="s">
        <v>1892</v>
      </c>
      <c r="K690" s="50" t="s">
        <v>1892</v>
      </c>
      <c r="L690" s="50" t="s">
        <v>1893</v>
      </c>
      <c r="M690" s="50" t="s">
        <v>3059</v>
      </c>
      <c r="N690" s="50" t="s">
        <v>3059</v>
      </c>
      <c r="O690" s="50" t="s">
        <v>3055</v>
      </c>
      <c r="P690" s="50" t="s">
        <v>3059</v>
      </c>
    </row>
    <row r="691" spans="1:16" ht="12.75" customHeight="1" x14ac:dyDescent="0.25">
      <c r="A691" s="311">
        <v>688</v>
      </c>
      <c r="B691" s="311" t="s">
        <v>121</v>
      </c>
      <c r="C691" s="311" t="s">
        <v>121</v>
      </c>
      <c r="D691" s="311" t="s">
        <v>462</v>
      </c>
      <c r="E691" s="337" t="s">
        <v>121</v>
      </c>
      <c r="F691" s="311" t="s">
        <v>151</v>
      </c>
      <c r="G691" s="311" t="s">
        <v>237</v>
      </c>
      <c r="H691" s="311" t="s">
        <v>413</v>
      </c>
      <c r="I691" s="311" t="s">
        <v>56</v>
      </c>
      <c r="J691" s="50" t="s">
        <v>1892</v>
      </c>
      <c r="K691" s="50" t="s">
        <v>1892</v>
      </c>
      <c r="L691" s="50" t="s">
        <v>1893</v>
      </c>
      <c r="M691" s="50" t="s">
        <v>3060</v>
      </c>
      <c r="N691" s="50" t="s">
        <v>3060</v>
      </c>
      <c r="O691" s="50" t="s">
        <v>3055</v>
      </c>
      <c r="P691" s="50" t="s">
        <v>3060</v>
      </c>
    </row>
    <row r="692" spans="1:16" ht="12.75" customHeight="1" x14ac:dyDescent="0.25">
      <c r="A692" s="311">
        <v>689</v>
      </c>
      <c r="B692" s="311" t="s">
        <v>87</v>
      </c>
      <c r="C692" s="311" t="s">
        <v>87</v>
      </c>
      <c r="D692" s="311" t="s">
        <v>462</v>
      </c>
      <c r="E692" s="337" t="s">
        <v>87</v>
      </c>
      <c r="F692" s="311" t="s">
        <v>151</v>
      </c>
      <c r="G692" s="311" t="s">
        <v>237</v>
      </c>
      <c r="H692" s="311" t="s">
        <v>413</v>
      </c>
      <c r="I692" s="311" t="s">
        <v>56</v>
      </c>
      <c r="J692" s="50" t="s">
        <v>1892</v>
      </c>
      <c r="K692" s="50" t="s">
        <v>1892</v>
      </c>
      <c r="L692" s="50" t="s">
        <v>1893</v>
      </c>
      <c r="M692" s="50" t="s">
        <v>3061</v>
      </c>
      <c r="N692" s="50" t="s">
        <v>3061</v>
      </c>
      <c r="O692" s="50" t="s">
        <v>3055</v>
      </c>
      <c r="P692" s="50" t="s">
        <v>3061</v>
      </c>
    </row>
    <row r="693" spans="1:16" ht="12.75" customHeight="1" x14ac:dyDescent="0.25">
      <c r="A693" s="311">
        <v>690</v>
      </c>
      <c r="B693" s="311" t="s">
        <v>125</v>
      </c>
      <c r="C693" s="311" t="s">
        <v>125</v>
      </c>
      <c r="D693" s="311" t="s">
        <v>125</v>
      </c>
      <c r="E693" s="337" t="s">
        <v>125</v>
      </c>
      <c r="F693" s="311" t="s">
        <v>151</v>
      </c>
      <c r="G693" s="311" t="s">
        <v>237</v>
      </c>
      <c r="H693" s="311" t="s">
        <v>413</v>
      </c>
      <c r="I693" s="311" t="s">
        <v>56</v>
      </c>
      <c r="J693" s="50" t="s">
        <v>1892</v>
      </c>
      <c r="K693" s="50" t="s">
        <v>1892</v>
      </c>
      <c r="L693" s="50" t="s">
        <v>1893</v>
      </c>
      <c r="M693" s="50" t="s">
        <v>3062</v>
      </c>
      <c r="N693" s="50" t="s">
        <v>3062</v>
      </c>
      <c r="O693" s="50" t="s">
        <v>3062</v>
      </c>
      <c r="P693" s="50" t="s">
        <v>3062</v>
      </c>
    </row>
    <row r="694" spans="1:16" ht="12.75" customHeight="1" x14ac:dyDescent="0.25">
      <c r="A694" s="311">
        <v>691</v>
      </c>
      <c r="B694" s="311" t="s">
        <v>134</v>
      </c>
      <c r="C694" s="311" t="s">
        <v>134</v>
      </c>
      <c r="D694" s="311" t="s">
        <v>134</v>
      </c>
      <c r="E694" s="337" t="s">
        <v>134</v>
      </c>
      <c r="F694" s="311" t="s">
        <v>151</v>
      </c>
      <c r="G694" s="311" t="s">
        <v>237</v>
      </c>
      <c r="H694" s="311" t="s">
        <v>413</v>
      </c>
      <c r="I694" s="311" t="s">
        <v>56</v>
      </c>
      <c r="J694" s="50" t="s">
        <v>1892</v>
      </c>
      <c r="K694" s="50" t="s">
        <v>1892</v>
      </c>
      <c r="L694" s="50" t="s">
        <v>1893</v>
      </c>
      <c r="M694" s="50" t="s">
        <v>3063</v>
      </c>
      <c r="N694" s="50" t="s">
        <v>3063</v>
      </c>
      <c r="O694" s="50" t="s">
        <v>3063</v>
      </c>
      <c r="P694" s="50" t="s">
        <v>3063</v>
      </c>
    </row>
    <row r="695" spans="1:16" ht="12.75" customHeight="1" x14ac:dyDescent="0.25">
      <c r="A695" s="311">
        <v>692</v>
      </c>
      <c r="B695" s="311" t="s">
        <v>141</v>
      </c>
      <c r="C695" s="311" t="s">
        <v>141</v>
      </c>
      <c r="D695" s="311" t="s">
        <v>141</v>
      </c>
      <c r="E695" s="337" t="s">
        <v>141</v>
      </c>
      <c r="F695" s="311" t="s">
        <v>151</v>
      </c>
      <c r="G695" s="311" t="s">
        <v>237</v>
      </c>
      <c r="H695" s="311" t="s">
        <v>413</v>
      </c>
      <c r="I695" s="311" t="s">
        <v>56</v>
      </c>
      <c r="J695" s="50" t="s">
        <v>1892</v>
      </c>
      <c r="K695" s="50" t="s">
        <v>1892</v>
      </c>
      <c r="L695" s="50" t="s">
        <v>1893</v>
      </c>
      <c r="M695" s="50" t="s">
        <v>3064</v>
      </c>
      <c r="N695" s="50" t="s">
        <v>3064</v>
      </c>
      <c r="O695" s="50" t="s">
        <v>3064</v>
      </c>
      <c r="P695" s="50" t="s">
        <v>3064</v>
      </c>
    </row>
    <row r="696" spans="1:16" ht="12.75" customHeight="1" x14ac:dyDescent="0.25">
      <c r="A696" s="311">
        <v>693</v>
      </c>
      <c r="B696" s="311" t="s">
        <v>69</v>
      </c>
      <c r="C696" s="311" t="s">
        <v>69</v>
      </c>
      <c r="D696" s="311" t="s">
        <v>69</v>
      </c>
      <c r="E696" s="337" t="s">
        <v>69</v>
      </c>
      <c r="F696" s="311" t="s">
        <v>151</v>
      </c>
      <c r="G696" s="311" t="s">
        <v>237</v>
      </c>
      <c r="H696" s="311" t="s">
        <v>413</v>
      </c>
      <c r="I696" s="311" t="s">
        <v>56</v>
      </c>
      <c r="J696" s="50" t="s">
        <v>1892</v>
      </c>
      <c r="K696" s="50" t="s">
        <v>1892</v>
      </c>
      <c r="L696" s="50" t="s">
        <v>1893</v>
      </c>
      <c r="M696" s="50" t="s">
        <v>3065</v>
      </c>
      <c r="N696" s="50" t="s">
        <v>3065</v>
      </c>
      <c r="O696" s="50" t="s">
        <v>3065</v>
      </c>
      <c r="P696" s="50" t="s">
        <v>3065</v>
      </c>
    </row>
    <row r="697" spans="1:16" ht="12.75" customHeight="1" x14ac:dyDescent="0.25">
      <c r="A697" s="311">
        <v>694</v>
      </c>
      <c r="B697" s="311" t="s">
        <v>84</v>
      </c>
      <c r="C697" s="311" t="s">
        <v>462</v>
      </c>
      <c r="D697" s="311" t="s">
        <v>462</v>
      </c>
      <c r="E697" s="337" t="s">
        <v>462</v>
      </c>
      <c r="F697" s="311" t="s">
        <v>78</v>
      </c>
      <c r="G697" s="311" t="s">
        <v>236</v>
      </c>
      <c r="H697" s="311" t="s">
        <v>413</v>
      </c>
      <c r="I697" s="311" t="s">
        <v>56</v>
      </c>
      <c r="J697" s="50" t="s">
        <v>1892</v>
      </c>
      <c r="K697" s="50" t="s">
        <v>1892</v>
      </c>
      <c r="L697" s="50" t="s">
        <v>1893</v>
      </c>
      <c r="M697" s="50" t="s">
        <v>3066</v>
      </c>
      <c r="N697" s="50" t="s">
        <v>3067</v>
      </c>
      <c r="O697" s="50" t="s">
        <v>3067</v>
      </c>
      <c r="P697" s="50" t="s">
        <v>3067</v>
      </c>
    </row>
    <row r="698" spans="1:16" ht="12.75" customHeight="1" x14ac:dyDescent="0.25">
      <c r="A698" s="311">
        <v>695</v>
      </c>
      <c r="B698" s="311" t="s">
        <v>123</v>
      </c>
      <c r="C698" s="311" t="s">
        <v>462</v>
      </c>
      <c r="D698" s="311" t="s">
        <v>462</v>
      </c>
      <c r="E698" s="337" t="s">
        <v>462</v>
      </c>
      <c r="F698" s="311" t="s">
        <v>78</v>
      </c>
      <c r="G698" s="311" t="s">
        <v>236</v>
      </c>
      <c r="H698" s="311" t="s">
        <v>413</v>
      </c>
      <c r="I698" s="311" t="s">
        <v>56</v>
      </c>
      <c r="J698" s="50" t="s">
        <v>1892</v>
      </c>
      <c r="K698" s="50" t="s">
        <v>1892</v>
      </c>
      <c r="L698" s="50" t="s">
        <v>1893</v>
      </c>
      <c r="M698" s="50" t="s">
        <v>3068</v>
      </c>
      <c r="N698" s="50" t="s">
        <v>3067</v>
      </c>
      <c r="O698" s="50" t="s">
        <v>3067</v>
      </c>
      <c r="P698" s="50" t="s">
        <v>3067</v>
      </c>
    </row>
    <row r="699" spans="1:16" ht="12.75" customHeight="1" x14ac:dyDescent="0.25">
      <c r="A699" s="311">
        <v>696</v>
      </c>
      <c r="B699" s="311" t="s">
        <v>75</v>
      </c>
      <c r="C699" s="311" t="s">
        <v>462</v>
      </c>
      <c r="D699" s="311" t="s">
        <v>462</v>
      </c>
      <c r="E699" s="337" t="s">
        <v>462</v>
      </c>
      <c r="F699" s="311" t="s">
        <v>78</v>
      </c>
      <c r="G699" s="311" t="s">
        <v>236</v>
      </c>
      <c r="H699" s="311" t="s">
        <v>413</v>
      </c>
      <c r="I699" s="311" t="s">
        <v>56</v>
      </c>
      <c r="J699" s="50" t="s">
        <v>1892</v>
      </c>
      <c r="K699" s="50" t="s">
        <v>1892</v>
      </c>
      <c r="L699" s="50" t="s">
        <v>1893</v>
      </c>
      <c r="M699" s="50" t="s">
        <v>3069</v>
      </c>
      <c r="N699" s="50" t="s">
        <v>3067</v>
      </c>
      <c r="O699" s="50" t="s">
        <v>3067</v>
      </c>
      <c r="P699" s="50" t="s">
        <v>3067</v>
      </c>
    </row>
    <row r="700" spans="1:16" ht="12.75" customHeight="1" x14ac:dyDescent="0.25">
      <c r="A700" s="311">
        <v>697</v>
      </c>
      <c r="B700" s="311" t="s">
        <v>63</v>
      </c>
      <c r="C700" s="311" t="s">
        <v>63</v>
      </c>
      <c r="D700" s="311" t="s">
        <v>462</v>
      </c>
      <c r="E700" s="337" t="s">
        <v>63</v>
      </c>
      <c r="F700" s="311" t="s">
        <v>78</v>
      </c>
      <c r="G700" s="311" t="s">
        <v>236</v>
      </c>
      <c r="H700" s="311" t="s">
        <v>413</v>
      </c>
      <c r="I700" s="311" t="s">
        <v>56</v>
      </c>
      <c r="J700" s="50" t="s">
        <v>1892</v>
      </c>
      <c r="K700" s="50" t="s">
        <v>1892</v>
      </c>
      <c r="L700" s="50" t="s">
        <v>1893</v>
      </c>
      <c r="M700" s="50" t="s">
        <v>3070</v>
      </c>
      <c r="N700" s="50" t="s">
        <v>3070</v>
      </c>
      <c r="O700" s="50" t="s">
        <v>3067</v>
      </c>
      <c r="P700" s="50" t="s">
        <v>3070</v>
      </c>
    </row>
    <row r="701" spans="1:16" ht="12.75" customHeight="1" x14ac:dyDescent="0.25">
      <c r="A701" s="311">
        <v>698</v>
      </c>
      <c r="B701" s="311" t="s">
        <v>140</v>
      </c>
      <c r="C701" s="311" t="s">
        <v>140</v>
      </c>
      <c r="D701" s="311" t="s">
        <v>462</v>
      </c>
      <c r="E701" s="337" t="s">
        <v>140</v>
      </c>
      <c r="F701" s="311" t="s">
        <v>78</v>
      </c>
      <c r="G701" s="311" t="s">
        <v>236</v>
      </c>
      <c r="H701" s="311" t="s">
        <v>413</v>
      </c>
      <c r="I701" s="311" t="s">
        <v>56</v>
      </c>
      <c r="J701" s="50" t="s">
        <v>1892</v>
      </c>
      <c r="K701" s="50" t="s">
        <v>1892</v>
      </c>
      <c r="L701" s="50" t="s">
        <v>1893</v>
      </c>
      <c r="M701" s="50" t="s">
        <v>3071</v>
      </c>
      <c r="N701" s="50" t="s">
        <v>3071</v>
      </c>
      <c r="O701" s="50" t="s">
        <v>3067</v>
      </c>
      <c r="P701" s="50" t="s">
        <v>3071</v>
      </c>
    </row>
    <row r="702" spans="1:16" ht="12.75" customHeight="1" x14ac:dyDescent="0.25">
      <c r="A702" s="311">
        <v>699</v>
      </c>
      <c r="B702" s="311" t="s">
        <v>121</v>
      </c>
      <c r="C702" s="311" t="s">
        <v>121</v>
      </c>
      <c r="D702" s="311" t="s">
        <v>462</v>
      </c>
      <c r="E702" s="337" t="s">
        <v>121</v>
      </c>
      <c r="F702" s="311" t="s">
        <v>78</v>
      </c>
      <c r="G702" s="311" t="s">
        <v>236</v>
      </c>
      <c r="H702" s="311" t="s">
        <v>413</v>
      </c>
      <c r="I702" s="311" t="s">
        <v>56</v>
      </c>
      <c r="J702" s="50" t="s">
        <v>1892</v>
      </c>
      <c r="K702" s="50" t="s">
        <v>1892</v>
      </c>
      <c r="L702" s="50" t="s">
        <v>1893</v>
      </c>
      <c r="M702" s="50" t="s">
        <v>3072</v>
      </c>
      <c r="N702" s="50" t="s">
        <v>3072</v>
      </c>
      <c r="O702" s="50" t="s">
        <v>3067</v>
      </c>
      <c r="P702" s="50" t="s">
        <v>3072</v>
      </c>
    </row>
    <row r="703" spans="1:16" ht="12.75" customHeight="1" x14ac:dyDescent="0.25">
      <c r="A703" s="311">
        <v>700</v>
      </c>
      <c r="B703" s="311" t="s">
        <v>87</v>
      </c>
      <c r="C703" s="311" t="s">
        <v>87</v>
      </c>
      <c r="D703" s="311" t="s">
        <v>462</v>
      </c>
      <c r="E703" s="337" t="s">
        <v>87</v>
      </c>
      <c r="F703" s="311" t="s">
        <v>78</v>
      </c>
      <c r="G703" s="311" t="s">
        <v>236</v>
      </c>
      <c r="H703" s="311" t="s">
        <v>413</v>
      </c>
      <c r="I703" s="311" t="s">
        <v>56</v>
      </c>
      <c r="J703" s="50" t="s">
        <v>1892</v>
      </c>
      <c r="K703" s="50" t="s">
        <v>1892</v>
      </c>
      <c r="L703" s="50" t="s">
        <v>1893</v>
      </c>
      <c r="M703" s="50" t="s">
        <v>3073</v>
      </c>
      <c r="N703" s="50" t="s">
        <v>3073</v>
      </c>
      <c r="O703" s="50" t="s">
        <v>3067</v>
      </c>
      <c r="P703" s="50" t="s">
        <v>3073</v>
      </c>
    </row>
    <row r="704" spans="1:16" ht="12.75" customHeight="1" x14ac:dyDescent="0.25">
      <c r="A704" s="311">
        <v>701</v>
      </c>
      <c r="B704" s="311" t="s">
        <v>125</v>
      </c>
      <c r="C704" s="311" t="s">
        <v>125</v>
      </c>
      <c r="D704" s="311" t="s">
        <v>125</v>
      </c>
      <c r="E704" s="337" t="s">
        <v>125</v>
      </c>
      <c r="F704" s="311" t="s">
        <v>78</v>
      </c>
      <c r="G704" s="311" t="s">
        <v>236</v>
      </c>
      <c r="H704" s="311" t="s">
        <v>413</v>
      </c>
      <c r="I704" s="311" t="s">
        <v>56</v>
      </c>
      <c r="J704" s="50" t="s">
        <v>1892</v>
      </c>
      <c r="K704" s="50" t="s">
        <v>1892</v>
      </c>
      <c r="L704" s="50" t="s">
        <v>1893</v>
      </c>
      <c r="M704" s="50" t="s">
        <v>3074</v>
      </c>
      <c r="N704" s="50" t="s">
        <v>3074</v>
      </c>
      <c r="O704" s="50" t="s">
        <v>3074</v>
      </c>
      <c r="P704" s="50" t="s">
        <v>3074</v>
      </c>
    </row>
    <row r="705" spans="1:16" ht="12.75" customHeight="1" x14ac:dyDescent="0.25">
      <c r="A705" s="311">
        <v>702</v>
      </c>
      <c r="B705" s="311" t="s">
        <v>134</v>
      </c>
      <c r="C705" s="311" t="s">
        <v>134</v>
      </c>
      <c r="D705" s="311" t="s">
        <v>134</v>
      </c>
      <c r="E705" s="337" t="s">
        <v>134</v>
      </c>
      <c r="F705" s="311" t="s">
        <v>78</v>
      </c>
      <c r="G705" s="311" t="s">
        <v>236</v>
      </c>
      <c r="H705" s="311" t="s">
        <v>413</v>
      </c>
      <c r="I705" s="311" t="s">
        <v>56</v>
      </c>
      <c r="J705" s="50" t="s">
        <v>1892</v>
      </c>
      <c r="K705" s="50" t="s">
        <v>1892</v>
      </c>
      <c r="L705" s="50" t="s">
        <v>1893</v>
      </c>
      <c r="M705" s="50" t="s">
        <v>3075</v>
      </c>
      <c r="N705" s="50" t="s">
        <v>3075</v>
      </c>
      <c r="O705" s="50" t="s">
        <v>3075</v>
      </c>
      <c r="P705" s="50" t="s">
        <v>3075</v>
      </c>
    </row>
    <row r="706" spans="1:16" ht="12.75" customHeight="1" x14ac:dyDescent="0.25">
      <c r="A706" s="311">
        <v>703</v>
      </c>
      <c r="B706" s="311" t="s">
        <v>141</v>
      </c>
      <c r="C706" s="311" t="s">
        <v>141</v>
      </c>
      <c r="D706" s="311" t="s">
        <v>141</v>
      </c>
      <c r="E706" s="337" t="s">
        <v>141</v>
      </c>
      <c r="F706" s="311" t="s">
        <v>78</v>
      </c>
      <c r="G706" s="311" t="s">
        <v>236</v>
      </c>
      <c r="H706" s="311" t="s">
        <v>413</v>
      </c>
      <c r="I706" s="311" t="s">
        <v>56</v>
      </c>
      <c r="J706" s="50" t="s">
        <v>1892</v>
      </c>
      <c r="K706" s="50" t="s">
        <v>1892</v>
      </c>
      <c r="L706" s="50" t="s">
        <v>1893</v>
      </c>
      <c r="M706" s="50" t="s">
        <v>3076</v>
      </c>
      <c r="N706" s="50" t="s">
        <v>3076</v>
      </c>
      <c r="O706" s="50" t="s">
        <v>3076</v>
      </c>
      <c r="P706" s="50" t="s">
        <v>3076</v>
      </c>
    </row>
    <row r="707" spans="1:16" ht="12.75" customHeight="1" x14ac:dyDescent="0.25">
      <c r="A707" s="311">
        <v>704</v>
      </c>
      <c r="B707" s="311" t="s">
        <v>69</v>
      </c>
      <c r="C707" s="311" t="s">
        <v>69</v>
      </c>
      <c r="D707" s="311" t="s">
        <v>69</v>
      </c>
      <c r="E707" s="337" t="s">
        <v>69</v>
      </c>
      <c r="F707" s="311" t="s">
        <v>78</v>
      </c>
      <c r="G707" s="311" t="s">
        <v>236</v>
      </c>
      <c r="H707" s="311" t="s">
        <v>413</v>
      </c>
      <c r="I707" s="311" t="s">
        <v>56</v>
      </c>
      <c r="J707" s="50" t="s">
        <v>1892</v>
      </c>
      <c r="K707" s="50" t="s">
        <v>1892</v>
      </c>
      <c r="L707" s="50" t="s">
        <v>1893</v>
      </c>
      <c r="M707" s="50" t="s">
        <v>3077</v>
      </c>
      <c r="N707" s="50" t="s">
        <v>3077</v>
      </c>
      <c r="O707" s="50" t="s">
        <v>3077</v>
      </c>
      <c r="P707" s="50" t="s">
        <v>3077</v>
      </c>
    </row>
    <row r="708" spans="1:16" ht="12.75" customHeight="1" x14ac:dyDescent="0.25">
      <c r="A708" s="311">
        <v>705</v>
      </c>
      <c r="B708" s="311" t="s">
        <v>84</v>
      </c>
      <c r="C708" s="311" t="s">
        <v>462</v>
      </c>
      <c r="D708" s="311" t="s">
        <v>462</v>
      </c>
      <c r="E708" s="337" t="s">
        <v>462</v>
      </c>
      <c r="F708" s="311" t="s">
        <v>78</v>
      </c>
      <c r="G708" s="311" t="s">
        <v>23</v>
      </c>
      <c r="H708" s="311" t="s">
        <v>413</v>
      </c>
      <c r="I708" s="311" t="s">
        <v>56</v>
      </c>
      <c r="J708" s="50" t="s">
        <v>1892</v>
      </c>
      <c r="K708" s="50" t="s">
        <v>1892</v>
      </c>
      <c r="L708" s="50" t="s">
        <v>1893</v>
      </c>
      <c r="M708" s="50" t="s">
        <v>3078</v>
      </c>
      <c r="N708" s="50" t="s">
        <v>3079</v>
      </c>
      <c r="O708" s="50" t="s">
        <v>3079</v>
      </c>
      <c r="P708" s="50" t="s">
        <v>3079</v>
      </c>
    </row>
    <row r="709" spans="1:16" ht="12.75" customHeight="1" x14ac:dyDescent="0.25">
      <c r="A709" s="311">
        <v>706</v>
      </c>
      <c r="B709" s="311" t="s">
        <v>123</v>
      </c>
      <c r="C709" s="311" t="s">
        <v>462</v>
      </c>
      <c r="D709" s="311" t="s">
        <v>462</v>
      </c>
      <c r="E709" s="337" t="s">
        <v>462</v>
      </c>
      <c r="F709" s="311" t="s">
        <v>78</v>
      </c>
      <c r="G709" s="311" t="s">
        <v>23</v>
      </c>
      <c r="H709" s="311" t="s">
        <v>413</v>
      </c>
      <c r="I709" s="311" t="s">
        <v>56</v>
      </c>
      <c r="J709" s="50" t="s">
        <v>1892</v>
      </c>
      <c r="K709" s="50" t="s">
        <v>1892</v>
      </c>
      <c r="L709" s="50" t="s">
        <v>1893</v>
      </c>
      <c r="M709" s="50" t="s">
        <v>3080</v>
      </c>
      <c r="N709" s="50" t="s">
        <v>3079</v>
      </c>
      <c r="O709" s="50" t="s">
        <v>3079</v>
      </c>
      <c r="P709" s="50" t="s">
        <v>3079</v>
      </c>
    </row>
    <row r="710" spans="1:16" ht="12.75" customHeight="1" x14ac:dyDescent="0.25">
      <c r="A710" s="311">
        <v>707</v>
      </c>
      <c r="B710" s="311" t="s">
        <v>75</v>
      </c>
      <c r="C710" s="311" t="s">
        <v>462</v>
      </c>
      <c r="D710" s="311" t="s">
        <v>462</v>
      </c>
      <c r="E710" s="337" t="s">
        <v>462</v>
      </c>
      <c r="F710" s="311" t="s">
        <v>78</v>
      </c>
      <c r="G710" s="311" t="s">
        <v>23</v>
      </c>
      <c r="H710" s="311" t="s">
        <v>413</v>
      </c>
      <c r="I710" s="311" t="s">
        <v>56</v>
      </c>
      <c r="J710" s="50" t="s">
        <v>1892</v>
      </c>
      <c r="K710" s="50" t="s">
        <v>1892</v>
      </c>
      <c r="L710" s="50" t="s">
        <v>1893</v>
      </c>
      <c r="M710" s="50" t="s">
        <v>3081</v>
      </c>
      <c r="N710" s="50" t="s">
        <v>3079</v>
      </c>
      <c r="O710" s="50" t="s">
        <v>3079</v>
      </c>
      <c r="P710" s="50" t="s">
        <v>3079</v>
      </c>
    </row>
    <row r="711" spans="1:16" ht="12.75" customHeight="1" x14ac:dyDescent="0.25">
      <c r="A711" s="311">
        <v>708</v>
      </c>
      <c r="B711" s="311" t="s">
        <v>63</v>
      </c>
      <c r="C711" s="311" t="s">
        <v>63</v>
      </c>
      <c r="D711" s="311" t="s">
        <v>462</v>
      </c>
      <c r="E711" s="337" t="s">
        <v>63</v>
      </c>
      <c r="F711" s="311" t="s">
        <v>78</v>
      </c>
      <c r="G711" s="311" t="s">
        <v>23</v>
      </c>
      <c r="H711" s="311" t="s">
        <v>413</v>
      </c>
      <c r="I711" s="311" t="s">
        <v>56</v>
      </c>
      <c r="J711" s="50" t="s">
        <v>1892</v>
      </c>
      <c r="K711" s="50" t="s">
        <v>1892</v>
      </c>
      <c r="L711" s="50" t="s">
        <v>1893</v>
      </c>
      <c r="M711" s="50" t="s">
        <v>3082</v>
      </c>
      <c r="N711" s="50" t="s">
        <v>3082</v>
      </c>
      <c r="O711" s="50" t="s">
        <v>3079</v>
      </c>
      <c r="P711" s="50" t="s">
        <v>3082</v>
      </c>
    </row>
    <row r="712" spans="1:16" ht="12.75" customHeight="1" x14ac:dyDescent="0.25">
      <c r="A712" s="311">
        <v>709</v>
      </c>
      <c r="B712" s="311" t="s">
        <v>140</v>
      </c>
      <c r="C712" s="311" t="s">
        <v>140</v>
      </c>
      <c r="D712" s="311" t="s">
        <v>462</v>
      </c>
      <c r="E712" s="337" t="s">
        <v>140</v>
      </c>
      <c r="F712" s="311" t="s">
        <v>78</v>
      </c>
      <c r="G712" s="311" t="s">
        <v>23</v>
      </c>
      <c r="H712" s="311" t="s">
        <v>413</v>
      </c>
      <c r="I712" s="311" t="s">
        <v>56</v>
      </c>
      <c r="J712" s="50" t="s">
        <v>1892</v>
      </c>
      <c r="K712" s="50" t="s">
        <v>1892</v>
      </c>
      <c r="L712" s="50" t="s">
        <v>1893</v>
      </c>
      <c r="M712" s="50" t="s">
        <v>3083</v>
      </c>
      <c r="N712" s="50" t="s">
        <v>3083</v>
      </c>
      <c r="O712" s="50" t="s">
        <v>3079</v>
      </c>
      <c r="P712" s="50" t="s">
        <v>3083</v>
      </c>
    </row>
    <row r="713" spans="1:16" ht="12.75" customHeight="1" x14ac:dyDescent="0.25">
      <c r="A713" s="311">
        <v>710</v>
      </c>
      <c r="B713" s="311" t="s">
        <v>121</v>
      </c>
      <c r="C713" s="311" t="s">
        <v>121</v>
      </c>
      <c r="D713" s="311" t="s">
        <v>462</v>
      </c>
      <c r="E713" s="337" t="s">
        <v>121</v>
      </c>
      <c r="F713" s="311" t="s">
        <v>78</v>
      </c>
      <c r="G713" s="311" t="s">
        <v>23</v>
      </c>
      <c r="H713" s="311" t="s">
        <v>413</v>
      </c>
      <c r="I713" s="311" t="s">
        <v>56</v>
      </c>
      <c r="J713" s="50" t="s">
        <v>1892</v>
      </c>
      <c r="K713" s="50" t="s">
        <v>1892</v>
      </c>
      <c r="L713" s="50" t="s">
        <v>1893</v>
      </c>
      <c r="M713" s="50" t="s">
        <v>3084</v>
      </c>
      <c r="N713" s="50" t="s">
        <v>3084</v>
      </c>
      <c r="O713" s="50" t="s">
        <v>3079</v>
      </c>
      <c r="P713" s="50" t="s">
        <v>3084</v>
      </c>
    </row>
    <row r="714" spans="1:16" ht="12.75" customHeight="1" x14ac:dyDescent="0.25">
      <c r="A714" s="311">
        <v>711</v>
      </c>
      <c r="B714" s="311" t="s">
        <v>87</v>
      </c>
      <c r="C714" s="311" t="s">
        <v>87</v>
      </c>
      <c r="D714" s="311" t="s">
        <v>462</v>
      </c>
      <c r="E714" s="337" t="s">
        <v>87</v>
      </c>
      <c r="F714" s="311" t="s">
        <v>78</v>
      </c>
      <c r="G714" s="311" t="s">
        <v>23</v>
      </c>
      <c r="H714" s="311" t="s">
        <v>413</v>
      </c>
      <c r="I714" s="311" t="s">
        <v>56</v>
      </c>
      <c r="J714" s="50" t="s">
        <v>1892</v>
      </c>
      <c r="K714" s="50" t="s">
        <v>1892</v>
      </c>
      <c r="L714" s="50" t="s">
        <v>1893</v>
      </c>
      <c r="M714" s="50" t="s">
        <v>3085</v>
      </c>
      <c r="N714" s="50" t="s">
        <v>3085</v>
      </c>
      <c r="O714" s="50" t="s">
        <v>3079</v>
      </c>
      <c r="P714" s="50" t="s">
        <v>3085</v>
      </c>
    </row>
    <row r="715" spans="1:16" ht="12.75" customHeight="1" x14ac:dyDescent="0.25">
      <c r="A715" s="311">
        <v>712</v>
      </c>
      <c r="B715" s="311" t="s">
        <v>125</v>
      </c>
      <c r="C715" s="311" t="s">
        <v>125</v>
      </c>
      <c r="D715" s="311" t="s">
        <v>125</v>
      </c>
      <c r="E715" s="337" t="s">
        <v>125</v>
      </c>
      <c r="F715" s="311" t="s">
        <v>78</v>
      </c>
      <c r="G715" s="311" t="s">
        <v>23</v>
      </c>
      <c r="H715" s="311" t="s">
        <v>413</v>
      </c>
      <c r="I715" s="311" t="s">
        <v>56</v>
      </c>
      <c r="J715" s="50" t="s">
        <v>1892</v>
      </c>
      <c r="K715" s="50" t="s">
        <v>1892</v>
      </c>
      <c r="L715" s="50" t="s">
        <v>1893</v>
      </c>
      <c r="M715" s="50" t="s">
        <v>3086</v>
      </c>
      <c r="N715" s="50" t="s">
        <v>3086</v>
      </c>
      <c r="O715" s="50" t="s">
        <v>3086</v>
      </c>
      <c r="P715" s="50" t="s">
        <v>3086</v>
      </c>
    </row>
    <row r="716" spans="1:16" ht="12.75" customHeight="1" x14ac:dyDescent="0.25">
      <c r="A716" s="311">
        <v>713</v>
      </c>
      <c r="B716" s="311" t="s">
        <v>134</v>
      </c>
      <c r="C716" s="311" t="s">
        <v>134</v>
      </c>
      <c r="D716" s="311" t="s">
        <v>134</v>
      </c>
      <c r="E716" s="337" t="s">
        <v>134</v>
      </c>
      <c r="F716" s="311" t="s">
        <v>78</v>
      </c>
      <c r="G716" s="311" t="s">
        <v>23</v>
      </c>
      <c r="H716" s="311" t="s">
        <v>413</v>
      </c>
      <c r="I716" s="311" t="s">
        <v>56</v>
      </c>
      <c r="J716" s="50" t="s">
        <v>1892</v>
      </c>
      <c r="K716" s="50" t="s">
        <v>1892</v>
      </c>
      <c r="L716" s="50" t="s">
        <v>1893</v>
      </c>
      <c r="M716" s="50" t="s">
        <v>3087</v>
      </c>
      <c r="N716" s="50" t="s">
        <v>3087</v>
      </c>
      <c r="O716" s="50" t="s">
        <v>3087</v>
      </c>
      <c r="P716" s="50" t="s">
        <v>3087</v>
      </c>
    </row>
    <row r="717" spans="1:16" ht="12.75" customHeight="1" x14ac:dyDescent="0.25">
      <c r="A717" s="311">
        <v>714</v>
      </c>
      <c r="B717" s="311" t="s">
        <v>141</v>
      </c>
      <c r="C717" s="311" t="s">
        <v>141</v>
      </c>
      <c r="D717" s="311" t="s">
        <v>141</v>
      </c>
      <c r="E717" s="337" t="s">
        <v>141</v>
      </c>
      <c r="F717" s="311" t="s">
        <v>78</v>
      </c>
      <c r="G717" s="311" t="s">
        <v>23</v>
      </c>
      <c r="H717" s="311" t="s">
        <v>413</v>
      </c>
      <c r="I717" s="311" t="s">
        <v>56</v>
      </c>
      <c r="J717" s="50" t="s">
        <v>1892</v>
      </c>
      <c r="K717" s="50" t="s">
        <v>1892</v>
      </c>
      <c r="L717" s="50" t="s">
        <v>1893</v>
      </c>
      <c r="M717" s="50" t="s">
        <v>3088</v>
      </c>
      <c r="N717" s="50" t="s">
        <v>3088</v>
      </c>
      <c r="O717" s="50" t="s">
        <v>3088</v>
      </c>
      <c r="P717" s="50" t="s">
        <v>3088</v>
      </c>
    </row>
    <row r="718" spans="1:16" ht="12.75" customHeight="1" x14ac:dyDescent="0.25">
      <c r="A718" s="311">
        <v>715</v>
      </c>
      <c r="B718" s="311" t="s">
        <v>69</v>
      </c>
      <c r="C718" s="311" t="s">
        <v>69</v>
      </c>
      <c r="D718" s="311" t="s">
        <v>69</v>
      </c>
      <c r="E718" s="337" t="s">
        <v>69</v>
      </c>
      <c r="F718" s="311" t="s">
        <v>78</v>
      </c>
      <c r="G718" s="311" t="s">
        <v>23</v>
      </c>
      <c r="H718" s="311" t="s">
        <v>413</v>
      </c>
      <c r="I718" s="311" t="s">
        <v>56</v>
      </c>
      <c r="J718" s="50" t="s">
        <v>1892</v>
      </c>
      <c r="K718" s="50" t="s">
        <v>1892</v>
      </c>
      <c r="L718" s="50" t="s">
        <v>1893</v>
      </c>
      <c r="M718" s="50" t="s">
        <v>3089</v>
      </c>
      <c r="N718" s="50" t="s">
        <v>3089</v>
      </c>
      <c r="O718" s="50" t="s">
        <v>3089</v>
      </c>
      <c r="P718" s="50" t="s">
        <v>3089</v>
      </c>
    </row>
    <row r="719" spans="1:16" ht="12.75" customHeight="1" x14ac:dyDescent="0.25">
      <c r="A719" s="311">
        <v>716</v>
      </c>
      <c r="B719" s="311" t="s">
        <v>84</v>
      </c>
      <c r="C719" s="311" t="s">
        <v>462</v>
      </c>
      <c r="D719" s="311" t="s">
        <v>462</v>
      </c>
      <c r="E719" s="337" t="s">
        <v>462</v>
      </c>
      <c r="F719" s="311" t="s">
        <v>78</v>
      </c>
      <c r="G719" s="311" t="s">
        <v>237</v>
      </c>
      <c r="H719" s="311" t="s">
        <v>413</v>
      </c>
      <c r="I719" s="311" t="s">
        <v>56</v>
      </c>
      <c r="J719" s="50" t="s">
        <v>1892</v>
      </c>
      <c r="K719" s="50" t="s">
        <v>1892</v>
      </c>
      <c r="L719" s="50" t="s">
        <v>1893</v>
      </c>
      <c r="M719" s="50" t="s">
        <v>3090</v>
      </c>
      <c r="N719" s="50" t="s">
        <v>3091</v>
      </c>
      <c r="O719" s="50" t="s">
        <v>3091</v>
      </c>
      <c r="P719" s="50" t="s">
        <v>3091</v>
      </c>
    </row>
    <row r="720" spans="1:16" ht="12.75" customHeight="1" x14ac:dyDescent="0.25">
      <c r="A720" s="311">
        <v>717</v>
      </c>
      <c r="B720" s="311" t="s">
        <v>123</v>
      </c>
      <c r="C720" s="311" t="s">
        <v>462</v>
      </c>
      <c r="D720" s="311" t="s">
        <v>462</v>
      </c>
      <c r="E720" s="337" t="s">
        <v>462</v>
      </c>
      <c r="F720" s="311" t="s">
        <v>78</v>
      </c>
      <c r="G720" s="311" t="s">
        <v>237</v>
      </c>
      <c r="H720" s="311" t="s">
        <v>413</v>
      </c>
      <c r="I720" s="311" t="s">
        <v>56</v>
      </c>
      <c r="J720" s="50" t="s">
        <v>1892</v>
      </c>
      <c r="K720" s="50" t="s">
        <v>1892</v>
      </c>
      <c r="L720" s="50" t="s">
        <v>1893</v>
      </c>
      <c r="M720" s="50" t="s">
        <v>3092</v>
      </c>
      <c r="N720" s="50" t="s">
        <v>3091</v>
      </c>
      <c r="O720" s="50" t="s">
        <v>3091</v>
      </c>
      <c r="P720" s="50" t="s">
        <v>3091</v>
      </c>
    </row>
    <row r="721" spans="1:16" ht="12.75" customHeight="1" x14ac:dyDescent="0.25">
      <c r="A721" s="311">
        <v>718</v>
      </c>
      <c r="B721" s="311" t="s">
        <v>75</v>
      </c>
      <c r="C721" s="311" t="s">
        <v>462</v>
      </c>
      <c r="D721" s="311" t="s">
        <v>462</v>
      </c>
      <c r="E721" s="337" t="s">
        <v>462</v>
      </c>
      <c r="F721" s="311" t="s">
        <v>78</v>
      </c>
      <c r="G721" s="311" t="s">
        <v>237</v>
      </c>
      <c r="H721" s="311" t="s">
        <v>413</v>
      </c>
      <c r="I721" s="311" t="s">
        <v>56</v>
      </c>
      <c r="J721" s="50" t="s">
        <v>1892</v>
      </c>
      <c r="K721" s="50" t="s">
        <v>1892</v>
      </c>
      <c r="L721" s="50" t="s">
        <v>1893</v>
      </c>
      <c r="M721" s="50" t="s">
        <v>3093</v>
      </c>
      <c r="N721" s="50" t="s">
        <v>3091</v>
      </c>
      <c r="O721" s="50" t="s">
        <v>3091</v>
      </c>
      <c r="P721" s="50" t="s">
        <v>3091</v>
      </c>
    </row>
    <row r="722" spans="1:16" ht="12.75" customHeight="1" x14ac:dyDescent="0.25">
      <c r="A722" s="311">
        <v>719</v>
      </c>
      <c r="B722" s="311" t="s">
        <v>63</v>
      </c>
      <c r="C722" s="311" t="s">
        <v>63</v>
      </c>
      <c r="D722" s="311" t="s">
        <v>462</v>
      </c>
      <c r="E722" s="337" t="s">
        <v>63</v>
      </c>
      <c r="F722" s="311" t="s">
        <v>78</v>
      </c>
      <c r="G722" s="311" t="s">
        <v>237</v>
      </c>
      <c r="H722" s="311" t="s">
        <v>413</v>
      </c>
      <c r="I722" s="311" t="s">
        <v>56</v>
      </c>
      <c r="J722" s="50" t="s">
        <v>1892</v>
      </c>
      <c r="K722" s="50" t="s">
        <v>1892</v>
      </c>
      <c r="L722" s="50" t="s">
        <v>1893</v>
      </c>
      <c r="M722" s="50" t="s">
        <v>3094</v>
      </c>
      <c r="N722" s="50" t="s">
        <v>3094</v>
      </c>
      <c r="O722" s="50" t="s">
        <v>3091</v>
      </c>
      <c r="P722" s="50" t="s">
        <v>3094</v>
      </c>
    </row>
    <row r="723" spans="1:16" ht="12.75" customHeight="1" x14ac:dyDescent="0.25">
      <c r="A723" s="311">
        <v>720</v>
      </c>
      <c r="B723" s="311" t="s">
        <v>140</v>
      </c>
      <c r="C723" s="311" t="s">
        <v>140</v>
      </c>
      <c r="D723" s="311" t="s">
        <v>462</v>
      </c>
      <c r="E723" s="337" t="s">
        <v>140</v>
      </c>
      <c r="F723" s="311" t="s">
        <v>78</v>
      </c>
      <c r="G723" s="311" t="s">
        <v>237</v>
      </c>
      <c r="H723" s="311" t="s">
        <v>413</v>
      </c>
      <c r="I723" s="311" t="s">
        <v>56</v>
      </c>
      <c r="J723" s="50" t="s">
        <v>1892</v>
      </c>
      <c r="K723" s="50" t="s">
        <v>1892</v>
      </c>
      <c r="L723" s="50" t="s">
        <v>1893</v>
      </c>
      <c r="M723" s="50" t="s">
        <v>3095</v>
      </c>
      <c r="N723" s="50" t="s">
        <v>3095</v>
      </c>
      <c r="O723" s="50" t="s">
        <v>3091</v>
      </c>
      <c r="P723" s="50" t="s">
        <v>3095</v>
      </c>
    </row>
    <row r="724" spans="1:16" ht="12.75" customHeight="1" x14ac:dyDescent="0.25">
      <c r="A724" s="311">
        <v>721</v>
      </c>
      <c r="B724" s="311" t="s">
        <v>121</v>
      </c>
      <c r="C724" s="311" t="s">
        <v>121</v>
      </c>
      <c r="D724" s="311" t="s">
        <v>462</v>
      </c>
      <c r="E724" s="337" t="s">
        <v>121</v>
      </c>
      <c r="F724" s="311" t="s">
        <v>78</v>
      </c>
      <c r="G724" s="311" t="s">
        <v>237</v>
      </c>
      <c r="H724" s="311" t="s">
        <v>413</v>
      </c>
      <c r="I724" s="311" t="s">
        <v>56</v>
      </c>
      <c r="J724" s="50" t="s">
        <v>1892</v>
      </c>
      <c r="K724" s="50" t="s">
        <v>1892</v>
      </c>
      <c r="L724" s="50" t="s">
        <v>1893</v>
      </c>
      <c r="M724" s="50" t="s">
        <v>3096</v>
      </c>
      <c r="N724" s="50" t="s">
        <v>3096</v>
      </c>
      <c r="O724" s="50" t="s">
        <v>3091</v>
      </c>
      <c r="P724" s="50" t="s">
        <v>3096</v>
      </c>
    </row>
    <row r="725" spans="1:16" ht="12.75" customHeight="1" x14ac:dyDescent="0.25">
      <c r="A725" s="311">
        <v>722</v>
      </c>
      <c r="B725" s="311" t="s">
        <v>87</v>
      </c>
      <c r="C725" s="311" t="s">
        <v>87</v>
      </c>
      <c r="D725" s="311" t="s">
        <v>462</v>
      </c>
      <c r="E725" s="337" t="s">
        <v>87</v>
      </c>
      <c r="F725" s="311" t="s">
        <v>78</v>
      </c>
      <c r="G725" s="311" t="s">
        <v>237</v>
      </c>
      <c r="H725" s="311" t="s">
        <v>413</v>
      </c>
      <c r="I725" s="311" t="s">
        <v>56</v>
      </c>
      <c r="J725" s="50" t="s">
        <v>1892</v>
      </c>
      <c r="K725" s="50" t="s">
        <v>1892</v>
      </c>
      <c r="L725" s="50" t="s">
        <v>1893</v>
      </c>
      <c r="M725" s="50" t="s">
        <v>3097</v>
      </c>
      <c r="N725" s="50" t="s">
        <v>3097</v>
      </c>
      <c r="O725" s="50" t="s">
        <v>3091</v>
      </c>
      <c r="P725" s="50" t="s">
        <v>3097</v>
      </c>
    </row>
    <row r="726" spans="1:16" ht="12.75" customHeight="1" x14ac:dyDescent="0.25">
      <c r="A726" s="311">
        <v>723</v>
      </c>
      <c r="B726" s="311" t="s">
        <v>125</v>
      </c>
      <c r="C726" s="311" t="s">
        <v>125</v>
      </c>
      <c r="D726" s="311" t="s">
        <v>125</v>
      </c>
      <c r="E726" s="337" t="s">
        <v>125</v>
      </c>
      <c r="F726" s="311" t="s">
        <v>78</v>
      </c>
      <c r="G726" s="311" t="s">
        <v>237</v>
      </c>
      <c r="H726" s="311" t="s">
        <v>413</v>
      </c>
      <c r="I726" s="311" t="s">
        <v>56</v>
      </c>
      <c r="J726" s="50" t="s">
        <v>1892</v>
      </c>
      <c r="K726" s="50" t="s">
        <v>1892</v>
      </c>
      <c r="L726" s="50" t="s">
        <v>1893</v>
      </c>
      <c r="M726" s="50" t="s">
        <v>3098</v>
      </c>
      <c r="N726" s="50" t="s">
        <v>3098</v>
      </c>
      <c r="O726" s="50" t="s">
        <v>3098</v>
      </c>
      <c r="P726" s="50" t="s">
        <v>3098</v>
      </c>
    </row>
    <row r="727" spans="1:16" ht="12.75" customHeight="1" x14ac:dyDescent="0.25">
      <c r="A727" s="311">
        <v>724</v>
      </c>
      <c r="B727" s="311" t="s">
        <v>134</v>
      </c>
      <c r="C727" s="311" t="s">
        <v>134</v>
      </c>
      <c r="D727" s="311" t="s">
        <v>134</v>
      </c>
      <c r="E727" s="337" t="s">
        <v>134</v>
      </c>
      <c r="F727" s="311" t="s">
        <v>78</v>
      </c>
      <c r="G727" s="311" t="s">
        <v>237</v>
      </c>
      <c r="H727" s="311" t="s">
        <v>413</v>
      </c>
      <c r="I727" s="311" t="s">
        <v>56</v>
      </c>
      <c r="J727" s="50" t="s">
        <v>1892</v>
      </c>
      <c r="K727" s="50" t="s">
        <v>1892</v>
      </c>
      <c r="L727" s="50" t="s">
        <v>1893</v>
      </c>
      <c r="M727" s="50" t="s">
        <v>3099</v>
      </c>
      <c r="N727" s="50" t="s">
        <v>3099</v>
      </c>
      <c r="O727" s="50" t="s">
        <v>3099</v>
      </c>
      <c r="P727" s="50" t="s">
        <v>3099</v>
      </c>
    </row>
    <row r="728" spans="1:16" ht="12.75" customHeight="1" x14ac:dyDescent="0.25">
      <c r="A728" s="311">
        <v>725</v>
      </c>
      <c r="B728" s="311" t="s">
        <v>141</v>
      </c>
      <c r="C728" s="311" t="s">
        <v>141</v>
      </c>
      <c r="D728" s="311" t="s">
        <v>141</v>
      </c>
      <c r="E728" s="337" t="s">
        <v>141</v>
      </c>
      <c r="F728" s="311" t="s">
        <v>78</v>
      </c>
      <c r="G728" s="311" t="s">
        <v>237</v>
      </c>
      <c r="H728" s="311" t="s">
        <v>413</v>
      </c>
      <c r="I728" s="311" t="s">
        <v>56</v>
      </c>
      <c r="J728" s="50" t="s">
        <v>1892</v>
      </c>
      <c r="K728" s="50" t="s">
        <v>1892</v>
      </c>
      <c r="L728" s="50" t="s">
        <v>1893</v>
      </c>
      <c r="M728" s="50" t="s">
        <v>3100</v>
      </c>
      <c r="N728" s="50" t="s">
        <v>3100</v>
      </c>
      <c r="O728" s="50" t="s">
        <v>3100</v>
      </c>
      <c r="P728" s="50" t="s">
        <v>3100</v>
      </c>
    </row>
    <row r="729" spans="1:16" ht="12.75" customHeight="1" x14ac:dyDescent="0.25">
      <c r="A729" s="311">
        <v>726</v>
      </c>
      <c r="B729" s="311" t="s">
        <v>69</v>
      </c>
      <c r="C729" s="311" t="s">
        <v>69</v>
      </c>
      <c r="D729" s="311" t="s">
        <v>69</v>
      </c>
      <c r="E729" s="337" t="s">
        <v>69</v>
      </c>
      <c r="F729" s="311" t="s">
        <v>78</v>
      </c>
      <c r="G729" s="311" t="s">
        <v>237</v>
      </c>
      <c r="H729" s="311" t="s">
        <v>413</v>
      </c>
      <c r="I729" s="311" t="s">
        <v>56</v>
      </c>
      <c r="J729" s="50" t="s">
        <v>1892</v>
      </c>
      <c r="K729" s="50" t="s">
        <v>1892</v>
      </c>
      <c r="L729" s="50" t="s">
        <v>1893</v>
      </c>
      <c r="M729" s="50" t="s">
        <v>3101</v>
      </c>
      <c r="N729" s="50" t="s">
        <v>3101</v>
      </c>
      <c r="O729" s="50" t="s">
        <v>3101</v>
      </c>
      <c r="P729" s="50" t="s">
        <v>3101</v>
      </c>
    </row>
    <row r="730" spans="1:16" ht="12.75" customHeight="1" x14ac:dyDescent="0.25">
      <c r="A730" s="311">
        <v>727</v>
      </c>
      <c r="B730" s="311" t="s">
        <v>84</v>
      </c>
      <c r="C730" s="311" t="s">
        <v>462</v>
      </c>
      <c r="D730" s="311" t="s">
        <v>462</v>
      </c>
      <c r="E730" s="337" t="s">
        <v>462</v>
      </c>
      <c r="F730" s="311" t="s">
        <v>137</v>
      </c>
      <c r="G730" s="311" t="s">
        <v>236</v>
      </c>
      <c r="H730" s="311" t="s">
        <v>413</v>
      </c>
      <c r="I730" s="311" t="s">
        <v>56</v>
      </c>
      <c r="J730" s="50" t="s">
        <v>1892</v>
      </c>
      <c r="K730" s="50" t="s">
        <v>1892</v>
      </c>
      <c r="L730" s="50" t="s">
        <v>1893</v>
      </c>
      <c r="M730" s="50" t="s">
        <v>3102</v>
      </c>
      <c r="N730" s="50" t="s">
        <v>3103</v>
      </c>
      <c r="O730" s="50" t="s">
        <v>3103</v>
      </c>
      <c r="P730" s="50" t="s">
        <v>3103</v>
      </c>
    </row>
    <row r="731" spans="1:16" ht="12.75" customHeight="1" x14ac:dyDescent="0.25">
      <c r="A731" s="311">
        <v>728</v>
      </c>
      <c r="B731" s="311" t="s">
        <v>123</v>
      </c>
      <c r="C731" s="311" t="s">
        <v>462</v>
      </c>
      <c r="D731" s="311" t="s">
        <v>462</v>
      </c>
      <c r="E731" s="337" t="s">
        <v>462</v>
      </c>
      <c r="F731" s="311" t="s">
        <v>137</v>
      </c>
      <c r="G731" s="311" t="s">
        <v>236</v>
      </c>
      <c r="H731" s="311" t="s">
        <v>413</v>
      </c>
      <c r="I731" s="311" t="s">
        <v>56</v>
      </c>
      <c r="J731" s="50" t="s">
        <v>1892</v>
      </c>
      <c r="K731" s="50" t="s">
        <v>1892</v>
      </c>
      <c r="L731" s="50" t="s">
        <v>1893</v>
      </c>
      <c r="M731" s="50" t="s">
        <v>3104</v>
      </c>
      <c r="N731" s="50" t="s">
        <v>3103</v>
      </c>
      <c r="O731" s="50" t="s">
        <v>3103</v>
      </c>
      <c r="P731" s="50" t="s">
        <v>3103</v>
      </c>
    </row>
    <row r="732" spans="1:16" ht="12.75" customHeight="1" x14ac:dyDescent="0.25">
      <c r="A732" s="311">
        <v>729</v>
      </c>
      <c r="B732" s="311" t="s">
        <v>75</v>
      </c>
      <c r="C732" s="311" t="s">
        <v>462</v>
      </c>
      <c r="D732" s="311" t="s">
        <v>462</v>
      </c>
      <c r="E732" s="337" t="s">
        <v>462</v>
      </c>
      <c r="F732" s="311" t="s">
        <v>137</v>
      </c>
      <c r="G732" s="311" t="s">
        <v>236</v>
      </c>
      <c r="H732" s="311" t="s">
        <v>413</v>
      </c>
      <c r="I732" s="311" t="s">
        <v>56</v>
      </c>
      <c r="J732" s="50" t="s">
        <v>1892</v>
      </c>
      <c r="K732" s="50" t="s">
        <v>1892</v>
      </c>
      <c r="L732" s="50" t="s">
        <v>1893</v>
      </c>
      <c r="M732" s="50" t="s">
        <v>3105</v>
      </c>
      <c r="N732" s="50" t="s">
        <v>3103</v>
      </c>
      <c r="O732" s="50" t="s">
        <v>3103</v>
      </c>
      <c r="P732" s="50" t="s">
        <v>3103</v>
      </c>
    </row>
    <row r="733" spans="1:16" ht="12.75" customHeight="1" x14ac:dyDescent="0.25">
      <c r="A733" s="311">
        <v>730</v>
      </c>
      <c r="B733" s="311" t="s">
        <v>63</v>
      </c>
      <c r="C733" s="311" t="s">
        <v>63</v>
      </c>
      <c r="D733" s="311" t="s">
        <v>462</v>
      </c>
      <c r="E733" s="337" t="s">
        <v>63</v>
      </c>
      <c r="F733" s="311" t="s">
        <v>137</v>
      </c>
      <c r="G733" s="311" t="s">
        <v>236</v>
      </c>
      <c r="H733" s="311" t="s">
        <v>413</v>
      </c>
      <c r="I733" s="311" t="s">
        <v>56</v>
      </c>
      <c r="J733" s="50" t="s">
        <v>1892</v>
      </c>
      <c r="K733" s="50" t="s">
        <v>1892</v>
      </c>
      <c r="L733" s="50" t="s">
        <v>1893</v>
      </c>
      <c r="M733" s="50" t="s">
        <v>3106</v>
      </c>
      <c r="N733" s="50" t="s">
        <v>3106</v>
      </c>
      <c r="O733" s="50" t="s">
        <v>3103</v>
      </c>
      <c r="P733" s="50" t="s">
        <v>3106</v>
      </c>
    </row>
    <row r="734" spans="1:16" ht="12.75" customHeight="1" x14ac:dyDescent="0.25">
      <c r="A734" s="311">
        <v>731</v>
      </c>
      <c r="B734" s="311" t="s">
        <v>140</v>
      </c>
      <c r="C734" s="311" t="s">
        <v>140</v>
      </c>
      <c r="D734" s="311" t="s">
        <v>462</v>
      </c>
      <c r="E734" s="337" t="s">
        <v>140</v>
      </c>
      <c r="F734" s="311" t="s">
        <v>137</v>
      </c>
      <c r="G734" s="311" t="s">
        <v>236</v>
      </c>
      <c r="H734" s="311" t="s">
        <v>413</v>
      </c>
      <c r="I734" s="311" t="s">
        <v>56</v>
      </c>
      <c r="J734" s="50" t="s">
        <v>1892</v>
      </c>
      <c r="K734" s="50" t="s">
        <v>1892</v>
      </c>
      <c r="L734" s="50" t="s">
        <v>1893</v>
      </c>
      <c r="M734" s="50" t="s">
        <v>3107</v>
      </c>
      <c r="N734" s="50" t="s">
        <v>3107</v>
      </c>
      <c r="O734" s="50" t="s">
        <v>3103</v>
      </c>
      <c r="P734" s="50" t="s">
        <v>3107</v>
      </c>
    </row>
    <row r="735" spans="1:16" ht="12.75" customHeight="1" x14ac:dyDescent="0.25">
      <c r="A735" s="311">
        <v>732</v>
      </c>
      <c r="B735" s="311" t="s">
        <v>121</v>
      </c>
      <c r="C735" s="311" t="s">
        <v>121</v>
      </c>
      <c r="D735" s="311" t="s">
        <v>462</v>
      </c>
      <c r="E735" s="337" t="s">
        <v>121</v>
      </c>
      <c r="F735" s="311" t="s">
        <v>137</v>
      </c>
      <c r="G735" s="311" t="s">
        <v>236</v>
      </c>
      <c r="H735" s="311" t="s">
        <v>413</v>
      </c>
      <c r="I735" s="311" t="s">
        <v>56</v>
      </c>
      <c r="J735" s="50" t="s">
        <v>1892</v>
      </c>
      <c r="K735" s="50" t="s">
        <v>1892</v>
      </c>
      <c r="L735" s="50" t="s">
        <v>1893</v>
      </c>
      <c r="M735" s="50" t="s">
        <v>3108</v>
      </c>
      <c r="N735" s="50" t="s">
        <v>3108</v>
      </c>
      <c r="O735" s="50" t="s">
        <v>3103</v>
      </c>
      <c r="P735" s="50" t="s">
        <v>3108</v>
      </c>
    </row>
    <row r="736" spans="1:16" ht="12.75" customHeight="1" x14ac:dyDescent="0.25">
      <c r="A736" s="311">
        <v>733</v>
      </c>
      <c r="B736" s="311" t="s">
        <v>87</v>
      </c>
      <c r="C736" s="311" t="s">
        <v>87</v>
      </c>
      <c r="D736" s="311" t="s">
        <v>462</v>
      </c>
      <c r="E736" s="337" t="s">
        <v>87</v>
      </c>
      <c r="F736" s="311" t="s">
        <v>137</v>
      </c>
      <c r="G736" s="311" t="s">
        <v>236</v>
      </c>
      <c r="H736" s="311" t="s">
        <v>413</v>
      </c>
      <c r="I736" s="311" t="s">
        <v>56</v>
      </c>
      <c r="J736" s="50" t="s">
        <v>1892</v>
      </c>
      <c r="K736" s="50" t="s">
        <v>1892</v>
      </c>
      <c r="L736" s="50" t="s">
        <v>1893</v>
      </c>
      <c r="M736" s="50" t="s">
        <v>3109</v>
      </c>
      <c r="N736" s="50" t="s">
        <v>3109</v>
      </c>
      <c r="O736" s="50" t="s">
        <v>3103</v>
      </c>
      <c r="P736" s="50" t="s">
        <v>3109</v>
      </c>
    </row>
    <row r="737" spans="1:16" ht="12.75" customHeight="1" x14ac:dyDescent="0.25">
      <c r="A737" s="311">
        <v>734</v>
      </c>
      <c r="B737" s="311" t="s">
        <v>125</v>
      </c>
      <c r="C737" s="311" t="s">
        <v>125</v>
      </c>
      <c r="D737" s="311" t="s">
        <v>125</v>
      </c>
      <c r="E737" s="337" t="s">
        <v>125</v>
      </c>
      <c r="F737" s="311" t="s">
        <v>137</v>
      </c>
      <c r="G737" s="311" t="s">
        <v>236</v>
      </c>
      <c r="H737" s="311" t="s">
        <v>413</v>
      </c>
      <c r="I737" s="311" t="s">
        <v>56</v>
      </c>
      <c r="J737" s="50" t="s">
        <v>1892</v>
      </c>
      <c r="K737" s="50" t="s">
        <v>1892</v>
      </c>
      <c r="L737" s="50" t="s">
        <v>1893</v>
      </c>
      <c r="M737" s="50" t="s">
        <v>3110</v>
      </c>
      <c r="N737" s="50" t="s">
        <v>3110</v>
      </c>
      <c r="O737" s="50" t="s">
        <v>3110</v>
      </c>
      <c r="P737" s="50" t="s">
        <v>3110</v>
      </c>
    </row>
    <row r="738" spans="1:16" ht="12.75" customHeight="1" x14ac:dyDescent="0.25">
      <c r="A738" s="311">
        <v>735</v>
      </c>
      <c r="B738" s="311" t="s">
        <v>134</v>
      </c>
      <c r="C738" s="311" t="s">
        <v>134</v>
      </c>
      <c r="D738" s="311" t="s">
        <v>134</v>
      </c>
      <c r="E738" s="337" t="s">
        <v>134</v>
      </c>
      <c r="F738" s="311" t="s">
        <v>137</v>
      </c>
      <c r="G738" s="311" t="s">
        <v>236</v>
      </c>
      <c r="H738" s="311" t="s">
        <v>413</v>
      </c>
      <c r="I738" s="311" t="s">
        <v>56</v>
      </c>
      <c r="J738" s="50" t="s">
        <v>1892</v>
      </c>
      <c r="K738" s="50" t="s">
        <v>1892</v>
      </c>
      <c r="L738" s="50" t="s">
        <v>1893</v>
      </c>
      <c r="M738" s="50" t="s">
        <v>3111</v>
      </c>
      <c r="N738" s="50" t="s">
        <v>3111</v>
      </c>
      <c r="O738" s="50" t="s">
        <v>3111</v>
      </c>
      <c r="P738" s="50" t="s">
        <v>3111</v>
      </c>
    </row>
    <row r="739" spans="1:16" ht="12.75" customHeight="1" x14ac:dyDescent="0.25">
      <c r="A739" s="311">
        <v>736</v>
      </c>
      <c r="B739" s="311" t="s">
        <v>141</v>
      </c>
      <c r="C739" s="311" t="s">
        <v>141</v>
      </c>
      <c r="D739" s="311" t="s">
        <v>141</v>
      </c>
      <c r="E739" s="337" t="s">
        <v>141</v>
      </c>
      <c r="F739" s="311" t="s">
        <v>137</v>
      </c>
      <c r="G739" s="311" t="s">
        <v>236</v>
      </c>
      <c r="H739" s="311" t="s">
        <v>413</v>
      </c>
      <c r="I739" s="311" t="s">
        <v>56</v>
      </c>
      <c r="J739" s="50" t="s">
        <v>1892</v>
      </c>
      <c r="K739" s="50" t="s">
        <v>1892</v>
      </c>
      <c r="L739" s="50" t="s">
        <v>1893</v>
      </c>
      <c r="M739" s="50" t="s">
        <v>3112</v>
      </c>
      <c r="N739" s="50" t="s">
        <v>3112</v>
      </c>
      <c r="O739" s="50" t="s">
        <v>3112</v>
      </c>
      <c r="P739" s="50" t="s">
        <v>3112</v>
      </c>
    </row>
    <row r="740" spans="1:16" ht="12.75" customHeight="1" x14ac:dyDescent="0.25">
      <c r="A740" s="311">
        <v>737</v>
      </c>
      <c r="B740" s="311" t="s">
        <v>69</v>
      </c>
      <c r="C740" s="311" t="s">
        <v>69</v>
      </c>
      <c r="D740" s="311" t="s">
        <v>69</v>
      </c>
      <c r="E740" s="337" t="s">
        <v>69</v>
      </c>
      <c r="F740" s="311" t="s">
        <v>137</v>
      </c>
      <c r="G740" s="311" t="s">
        <v>236</v>
      </c>
      <c r="H740" s="311" t="s">
        <v>413</v>
      </c>
      <c r="I740" s="311" t="s">
        <v>56</v>
      </c>
      <c r="J740" s="50" t="s">
        <v>1892</v>
      </c>
      <c r="K740" s="50" t="s">
        <v>1892</v>
      </c>
      <c r="L740" s="50" t="s">
        <v>1893</v>
      </c>
      <c r="M740" s="50" t="s">
        <v>3113</v>
      </c>
      <c r="N740" s="50" t="s">
        <v>3113</v>
      </c>
      <c r="O740" s="50" t="s">
        <v>3113</v>
      </c>
      <c r="P740" s="50" t="s">
        <v>3113</v>
      </c>
    </row>
    <row r="741" spans="1:16" ht="12.75" customHeight="1" x14ac:dyDescent="0.25">
      <c r="A741" s="311">
        <v>738</v>
      </c>
      <c r="B741" s="311" t="s">
        <v>84</v>
      </c>
      <c r="C741" s="311" t="s">
        <v>462</v>
      </c>
      <c r="D741" s="311" t="s">
        <v>462</v>
      </c>
      <c r="E741" s="337" t="s">
        <v>462</v>
      </c>
      <c r="F741" s="311" t="s">
        <v>137</v>
      </c>
      <c r="G741" s="311" t="s">
        <v>23</v>
      </c>
      <c r="H741" s="311" t="s">
        <v>413</v>
      </c>
      <c r="I741" s="311" t="s">
        <v>56</v>
      </c>
      <c r="J741" s="50" t="s">
        <v>1892</v>
      </c>
      <c r="K741" s="50" t="s">
        <v>1892</v>
      </c>
      <c r="L741" s="50" t="s">
        <v>1893</v>
      </c>
      <c r="M741" s="50" t="s">
        <v>3114</v>
      </c>
      <c r="N741" s="50" t="s">
        <v>3115</v>
      </c>
      <c r="O741" s="50" t="s">
        <v>3115</v>
      </c>
      <c r="P741" s="50" t="s">
        <v>3115</v>
      </c>
    </row>
    <row r="742" spans="1:16" ht="12.75" customHeight="1" x14ac:dyDescent="0.25">
      <c r="A742" s="311">
        <v>739</v>
      </c>
      <c r="B742" s="311" t="s">
        <v>123</v>
      </c>
      <c r="C742" s="311" t="s">
        <v>462</v>
      </c>
      <c r="D742" s="311" t="s">
        <v>462</v>
      </c>
      <c r="E742" s="337" t="s">
        <v>462</v>
      </c>
      <c r="F742" s="311" t="s">
        <v>137</v>
      </c>
      <c r="G742" s="311" t="s">
        <v>23</v>
      </c>
      <c r="H742" s="311" t="s">
        <v>413</v>
      </c>
      <c r="I742" s="311" t="s">
        <v>56</v>
      </c>
      <c r="J742" s="50" t="s">
        <v>1892</v>
      </c>
      <c r="K742" s="50" t="s">
        <v>1892</v>
      </c>
      <c r="L742" s="50" t="s">
        <v>1893</v>
      </c>
      <c r="M742" s="50" t="s">
        <v>3116</v>
      </c>
      <c r="N742" s="50" t="s">
        <v>3115</v>
      </c>
      <c r="O742" s="50" t="s">
        <v>3115</v>
      </c>
      <c r="P742" s="50" t="s">
        <v>3115</v>
      </c>
    </row>
    <row r="743" spans="1:16" ht="12.75" customHeight="1" x14ac:dyDescent="0.25">
      <c r="A743" s="311">
        <v>740</v>
      </c>
      <c r="B743" s="311" t="s">
        <v>75</v>
      </c>
      <c r="C743" s="311" t="s">
        <v>462</v>
      </c>
      <c r="D743" s="311" t="s">
        <v>462</v>
      </c>
      <c r="E743" s="337" t="s">
        <v>462</v>
      </c>
      <c r="F743" s="311" t="s">
        <v>137</v>
      </c>
      <c r="G743" s="311" t="s">
        <v>23</v>
      </c>
      <c r="H743" s="311" t="s">
        <v>413</v>
      </c>
      <c r="I743" s="311" t="s">
        <v>56</v>
      </c>
      <c r="J743" s="50" t="s">
        <v>1892</v>
      </c>
      <c r="K743" s="50" t="s">
        <v>1892</v>
      </c>
      <c r="L743" s="50" t="s">
        <v>1893</v>
      </c>
      <c r="M743" s="50" t="s">
        <v>3117</v>
      </c>
      <c r="N743" s="50" t="s">
        <v>3115</v>
      </c>
      <c r="O743" s="50" t="s">
        <v>3115</v>
      </c>
      <c r="P743" s="50" t="s">
        <v>3115</v>
      </c>
    </row>
    <row r="744" spans="1:16" ht="12.75" customHeight="1" x14ac:dyDescent="0.25">
      <c r="A744" s="311">
        <v>741</v>
      </c>
      <c r="B744" s="311" t="s">
        <v>63</v>
      </c>
      <c r="C744" s="311" t="s">
        <v>63</v>
      </c>
      <c r="D744" s="311" t="s">
        <v>462</v>
      </c>
      <c r="E744" s="337" t="s">
        <v>63</v>
      </c>
      <c r="F744" s="311" t="s">
        <v>137</v>
      </c>
      <c r="G744" s="311" t="s">
        <v>23</v>
      </c>
      <c r="H744" s="311" t="s">
        <v>413</v>
      </c>
      <c r="I744" s="311" t="s">
        <v>56</v>
      </c>
      <c r="J744" s="50" t="s">
        <v>1892</v>
      </c>
      <c r="K744" s="50" t="s">
        <v>1892</v>
      </c>
      <c r="L744" s="50" t="s">
        <v>1893</v>
      </c>
      <c r="M744" s="50" t="s">
        <v>3118</v>
      </c>
      <c r="N744" s="50" t="s">
        <v>3118</v>
      </c>
      <c r="O744" s="50" t="s">
        <v>3115</v>
      </c>
      <c r="P744" s="50" t="s">
        <v>3118</v>
      </c>
    </row>
    <row r="745" spans="1:16" ht="12.75" customHeight="1" x14ac:dyDescent="0.25">
      <c r="A745" s="311">
        <v>742</v>
      </c>
      <c r="B745" s="311" t="s">
        <v>140</v>
      </c>
      <c r="C745" s="311" t="s">
        <v>140</v>
      </c>
      <c r="D745" s="311" t="s">
        <v>462</v>
      </c>
      <c r="E745" s="337" t="s">
        <v>140</v>
      </c>
      <c r="F745" s="311" t="s">
        <v>137</v>
      </c>
      <c r="G745" s="311" t="s">
        <v>23</v>
      </c>
      <c r="H745" s="311" t="s">
        <v>413</v>
      </c>
      <c r="I745" s="311" t="s">
        <v>56</v>
      </c>
      <c r="J745" s="50" t="s">
        <v>1892</v>
      </c>
      <c r="K745" s="50" t="s">
        <v>1892</v>
      </c>
      <c r="L745" s="50" t="s">
        <v>1893</v>
      </c>
      <c r="M745" s="50" t="s">
        <v>3119</v>
      </c>
      <c r="N745" s="50" t="s">
        <v>3119</v>
      </c>
      <c r="O745" s="50" t="s">
        <v>3115</v>
      </c>
      <c r="P745" s="50" t="s">
        <v>3119</v>
      </c>
    </row>
    <row r="746" spans="1:16" ht="12.75" customHeight="1" x14ac:dyDescent="0.25">
      <c r="A746" s="311">
        <v>743</v>
      </c>
      <c r="B746" s="311" t="s">
        <v>121</v>
      </c>
      <c r="C746" s="311" t="s">
        <v>121</v>
      </c>
      <c r="D746" s="311" t="s">
        <v>462</v>
      </c>
      <c r="E746" s="337" t="s">
        <v>121</v>
      </c>
      <c r="F746" s="311" t="s">
        <v>137</v>
      </c>
      <c r="G746" s="311" t="s">
        <v>23</v>
      </c>
      <c r="H746" s="311" t="s">
        <v>413</v>
      </c>
      <c r="I746" s="311" t="s">
        <v>56</v>
      </c>
      <c r="J746" s="50" t="s">
        <v>1892</v>
      </c>
      <c r="K746" s="50" t="s">
        <v>1892</v>
      </c>
      <c r="L746" s="50" t="s">
        <v>1893</v>
      </c>
      <c r="M746" s="50" t="s">
        <v>3120</v>
      </c>
      <c r="N746" s="50" t="s">
        <v>3120</v>
      </c>
      <c r="O746" s="50" t="s">
        <v>3115</v>
      </c>
      <c r="P746" s="50" t="s">
        <v>3120</v>
      </c>
    </row>
    <row r="747" spans="1:16" ht="12.75" customHeight="1" x14ac:dyDescent="0.25">
      <c r="A747" s="311">
        <v>744</v>
      </c>
      <c r="B747" s="311" t="s">
        <v>87</v>
      </c>
      <c r="C747" s="311" t="s">
        <v>87</v>
      </c>
      <c r="D747" s="311" t="s">
        <v>462</v>
      </c>
      <c r="E747" s="337" t="s">
        <v>87</v>
      </c>
      <c r="F747" s="311" t="s">
        <v>137</v>
      </c>
      <c r="G747" s="311" t="s">
        <v>23</v>
      </c>
      <c r="H747" s="311" t="s">
        <v>413</v>
      </c>
      <c r="I747" s="311" t="s">
        <v>56</v>
      </c>
      <c r="J747" s="50" t="s">
        <v>1892</v>
      </c>
      <c r="K747" s="50" t="s">
        <v>1892</v>
      </c>
      <c r="L747" s="50" t="s">
        <v>1893</v>
      </c>
      <c r="M747" s="50" t="s">
        <v>3121</v>
      </c>
      <c r="N747" s="50" t="s">
        <v>3121</v>
      </c>
      <c r="O747" s="50" t="s">
        <v>3115</v>
      </c>
      <c r="P747" s="50" t="s">
        <v>3121</v>
      </c>
    </row>
    <row r="748" spans="1:16" ht="12.75" customHeight="1" x14ac:dyDescent="0.25">
      <c r="A748" s="311">
        <v>745</v>
      </c>
      <c r="B748" s="311" t="s">
        <v>125</v>
      </c>
      <c r="C748" s="311" t="s">
        <v>125</v>
      </c>
      <c r="D748" s="311" t="s">
        <v>125</v>
      </c>
      <c r="E748" s="337" t="s">
        <v>125</v>
      </c>
      <c r="F748" s="311" t="s">
        <v>137</v>
      </c>
      <c r="G748" s="311" t="s">
        <v>23</v>
      </c>
      <c r="H748" s="311" t="s">
        <v>413</v>
      </c>
      <c r="I748" s="311" t="s">
        <v>56</v>
      </c>
      <c r="J748" s="50" t="s">
        <v>1892</v>
      </c>
      <c r="K748" s="50" t="s">
        <v>1892</v>
      </c>
      <c r="L748" s="50" t="s">
        <v>1893</v>
      </c>
      <c r="M748" s="50" t="s">
        <v>3122</v>
      </c>
      <c r="N748" s="50" t="s">
        <v>3122</v>
      </c>
      <c r="O748" s="50" t="s">
        <v>3122</v>
      </c>
      <c r="P748" s="50" t="s">
        <v>3122</v>
      </c>
    </row>
    <row r="749" spans="1:16" ht="12.75" customHeight="1" x14ac:dyDescent="0.25">
      <c r="A749" s="311">
        <v>746</v>
      </c>
      <c r="B749" s="311" t="s">
        <v>134</v>
      </c>
      <c r="C749" s="311" t="s">
        <v>134</v>
      </c>
      <c r="D749" s="311" t="s">
        <v>134</v>
      </c>
      <c r="E749" s="337" t="s">
        <v>134</v>
      </c>
      <c r="F749" s="311" t="s">
        <v>137</v>
      </c>
      <c r="G749" s="311" t="s">
        <v>23</v>
      </c>
      <c r="H749" s="311" t="s">
        <v>413</v>
      </c>
      <c r="I749" s="311" t="s">
        <v>56</v>
      </c>
      <c r="J749" s="50" t="s">
        <v>1892</v>
      </c>
      <c r="K749" s="50" t="s">
        <v>1892</v>
      </c>
      <c r="L749" s="50" t="s">
        <v>1893</v>
      </c>
      <c r="M749" s="50" t="s">
        <v>3123</v>
      </c>
      <c r="N749" s="50" t="s">
        <v>3123</v>
      </c>
      <c r="O749" s="50" t="s">
        <v>3123</v>
      </c>
      <c r="P749" s="50" t="s">
        <v>3123</v>
      </c>
    </row>
    <row r="750" spans="1:16" ht="12.75" customHeight="1" x14ac:dyDescent="0.25">
      <c r="A750" s="311">
        <v>747</v>
      </c>
      <c r="B750" s="311" t="s">
        <v>141</v>
      </c>
      <c r="C750" s="311" t="s">
        <v>141</v>
      </c>
      <c r="D750" s="311" t="s">
        <v>141</v>
      </c>
      <c r="E750" s="337" t="s">
        <v>141</v>
      </c>
      <c r="F750" s="311" t="s">
        <v>137</v>
      </c>
      <c r="G750" s="311" t="s">
        <v>23</v>
      </c>
      <c r="H750" s="311" t="s">
        <v>413</v>
      </c>
      <c r="I750" s="311" t="s">
        <v>56</v>
      </c>
      <c r="J750" s="50" t="s">
        <v>1892</v>
      </c>
      <c r="K750" s="50" t="s">
        <v>1892</v>
      </c>
      <c r="L750" s="50" t="s">
        <v>1893</v>
      </c>
      <c r="M750" s="50" t="s">
        <v>3124</v>
      </c>
      <c r="N750" s="50" t="s">
        <v>3124</v>
      </c>
      <c r="O750" s="50" t="s">
        <v>3124</v>
      </c>
      <c r="P750" s="50" t="s">
        <v>3124</v>
      </c>
    </row>
    <row r="751" spans="1:16" ht="12.75" customHeight="1" x14ac:dyDescent="0.25">
      <c r="A751" s="311">
        <v>748</v>
      </c>
      <c r="B751" s="311" t="s">
        <v>69</v>
      </c>
      <c r="C751" s="311" t="s">
        <v>69</v>
      </c>
      <c r="D751" s="311" t="s">
        <v>69</v>
      </c>
      <c r="E751" s="337" t="s">
        <v>69</v>
      </c>
      <c r="F751" s="311" t="s">
        <v>137</v>
      </c>
      <c r="G751" s="311" t="s">
        <v>23</v>
      </c>
      <c r="H751" s="311" t="s">
        <v>413</v>
      </c>
      <c r="I751" s="311" t="s">
        <v>56</v>
      </c>
      <c r="J751" s="50" t="s">
        <v>1892</v>
      </c>
      <c r="K751" s="50" t="s">
        <v>1892</v>
      </c>
      <c r="L751" s="50" t="s">
        <v>1893</v>
      </c>
      <c r="M751" s="50" t="s">
        <v>3125</v>
      </c>
      <c r="N751" s="50" t="s">
        <v>3125</v>
      </c>
      <c r="O751" s="50" t="s">
        <v>3125</v>
      </c>
      <c r="P751" s="50" t="s">
        <v>3125</v>
      </c>
    </row>
    <row r="752" spans="1:16" ht="12.75" customHeight="1" x14ac:dyDescent="0.25">
      <c r="A752" s="311">
        <v>749</v>
      </c>
      <c r="B752" s="311" t="s">
        <v>84</v>
      </c>
      <c r="C752" s="311" t="s">
        <v>462</v>
      </c>
      <c r="D752" s="311" t="s">
        <v>462</v>
      </c>
      <c r="E752" s="337" t="s">
        <v>462</v>
      </c>
      <c r="F752" s="311" t="s">
        <v>137</v>
      </c>
      <c r="G752" s="311" t="s">
        <v>237</v>
      </c>
      <c r="H752" s="311" t="s">
        <v>413</v>
      </c>
      <c r="I752" s="311" t="s">
        <v>56</v>
      </c>
      <c r="J752" s="50" t="s">
        <v>1892</v>
      </c>
      <c r="K752" s="50" t="s">
        <v>1892</v>
      </c>
      <c r="L752" s="50" t="s">
        <v>1893</v>
      </c>
      <c r="M752" s="50" t="s">
        <v>3126</v>
      </c>
      <c r="N752" s="50" t="s">
        <v>3127</v>
      </c>
      <c r="O752" s="50" t="s">
        <v>3127</v>
      </c>
      <c r="P752" s="50" t="s">
        <v>3127</v>
      </c>
    </row>
    <row r="753" spans="1:16" ht="12.75" customHeight="1" x14ac:dyDescent="0.25">
      <c r="A753" s="311">
        <v>750</v>
      </c>
      <c r="B753" s="311" t="s">
        <v>123</v>
      </c>
      <c r="C753" s="311" t="s">
        <v>462</v>
      </c>
      <c r="D753" s="311" t="s">
        <v>462</v>
      </c>
      <c r="E753" s="337" t="s">
        <v>462</v>
      </c>
      <c r="F753" s="311" t="s">
        <v>137</v>
      </c>
      <c r="G753" s="311" t="s">
        <v>237</v>
      </c>
      <c r="H753" s="311" t="s">
        <v>413</v>
      </c>
      <c r="I753" s="311" t="s">
        <v>56</v>
      </c>
      <c r="J753" s="50" t="s">
        <v>1892</v>
      </c>
      <c r="K753" s="50" t="s">
        <v>1892</v>
      </c>
      <c r="L753" s="50" t="s">
        <v>1893</v>
      </c>
      <c r="M753" s="50" t="s">
        <v>3128</v>
      </c>
      <c r="N753" s="50" t="s">
        <v>3127</v>
      </c>
      <c r="O753" s="50" t="s">
        <v>3127</v>
      </c>
      <c r="P753" s="50" t="s">
        <v>3127</v>
      </c>
    </row>
    <row r="754" spans="1:16" ht="12.75" customHeight="1" x14ac:dyDescent="0.25">
      <c r="A754" s="311">
        <v>751</v>
      </c>
      <c r="B754" s="311" t="s">
        <v>75</v>
      </c>
      <c r="C754" s="311" t="s">
        <v>462</v>
      </c>
      <c r="D754" s="311" t="s">
        <v>462</v>
      </c>
      <c r="E754" s="337" t="s">
        <v>462</v>
      </c>
      <c r="F754" s="311" t="s">
        <v>137</v>
      </c>
      <c r="G754" s="311" t="s">
        <v>237</v>
      </c>
      <c r="H754" s="311" t="s">
        <v>413</v>
      </c>
      <c r="I754" s="311" t="s">
        <v>56</v>
      </c>
      <c r="J754" s="50" t="s">
        <v>1892</v>
      </c>
      <c r="K754" s="50" t="s">
        <v>1892</v>
      </c>
      <c r="L754" s="50" t="s">
        <v>1893</v>
      </c>
      <c r="M754" s="50" t="s">
        <v>3129</v>
      </c>
      <c r="N754" s="50" t="s">
        <v>3127</v>
      </c>
      <c r="O754" s="50" t="s">
        <v>3127</v>
      </c>
      <c r="P754" s="50" t="s">
        <v>3127</v>
      </c>
    </row>
    <row r="755" spans="1:16" ht="12.75" customHeight="1" x14ac:dyDescent="0.25">
      <c r="A755" s="311">
        <v>752</v>
      </c>
      <c r="B755" s="311" t="s">
        <v>63</v>
      </c>
      <c r="C755" s="311" t="s">
        <v>63</v>
      </c>
      <c r="D755" s="311" t="s">
        <v>462</v>
      </c>
      <c r="E755" s="337" t="s">
        <v>63</v>
      </c>
      <c r="F755" s="311" t="s">
        <v>137</v>
      </c>
      <c r="G755" s="311" t="s">
        <v>237</v>
      </c>
      <c r="H755" s="311" t="s">
        <v>413</v>
      </c>
      <c r="I755" s="311" t="s">
        <v>56</v>
      </c>
      <c r="J755" s="50" t="s">
        <v>1892</v>
      </c>
      <c r="K755" s="50" t="s">
        <v>1892</v>
      </c>
      <c r="L755" s="50" t="s">
        <v>1893</v>
      </c>
      <c r="M755" s="50" t="s">
        <v>3130</v>
      </c>
      <c r="N755" s="50" t="s">
        <v>3130</v>
      </c>
      <c r="O755" s="50" t="s">
        <v>3127</v>
      </c>
      <c r="P755" s="50" t="s">
        <v>3130</v>
      </c>
    </row>
    <row r="756" spans="1:16" ht="12.75" customHeight="1" x14ac:dyDescent="0.25">
      <c r="A756" s="311">
        <v>753</v>
      </c>
      <c r="B756" s="311" t="s">
        <v>140</v>
      </c>
      <c r="C756" s="311" t="s">
        <v>140</v>
      </c>
      <c r="D756" s="311" t="s">
        <v>462</v>
      </c>
      <c r="E756" s="337" t="s">
        <v>140</v>
      </c>
      <c r="F756" s="311" t="s">
        <v>137</v>
      </c>
      <c r="G756" s="311" t="s">
        <v>237</v>
      </c>
      <c r="H756" s="311" t="s">
        <v>413</v>
      </c>
      <c r="I756" s="311" t="s">
        <v>56</v>
      </c>
      <c r="J756" s="50" t="s">
        <v>1892</v>
      </c>
      <c r="K756" s="50" t="s">
        <v>1892</v>
      </c>
      <c r="L756" s="50" t="s">
        <v>1893</v>
      </c>
      <c r="M756" s="50" t="s">
        <v>3131</v>
      </c>
      <c r="N756" s="50" t="s">
        <v>3131</v>
      </c>
      <c r="O756" s="50" t="s">
        <v>3127</v>
      </c>
      <c r="P756" s="50" t="s">
        <v>3131</v>
      </c>
    </row>
    <row r="757" spans="1:16" ht="12.75" customHeight="1" x14ac:dyDescent="0.25">
      <c r="A757" s="311">
        <v>754</v>
      </c>
      <c r="B757" s="311" t="s">
        <v>121</v>
      </c>
      <c r="C757" s="311" t="s">
        <v>121</v>
      </c>
      <c r="D757" s="311" t="s">
        <v>462</v>
      </c>
      <c r="E757" s="337" t="s">
        <v>121</v>
      </c>
      <c r="F757" s="311" t="s">
        <v>137</v>
      </c>
      <c r="G757" s="311" t="s">
        <v>237</v>
      </c>
      <c r="H757" s="311" t="s">
        <v>413</v>
      </c>
      <c r="I757" s="311" t="s">
        <v>56</v>
      </c>
      <c r="J757" s="50" t="s">
        <v>1892</v>
      </c>
      <c r="K757" s="50" t="s">
        <v>1892</v>
      </c>
      <c r="L757" s="50" t="s">
        <v>1893</v>
      </c>
      <c r="M757" s="50" t="s">
        <v>3132</v>
      </c>
      <c r="N757" s="50" t="s">
        <v>3132</v>
      </c>
      <c r="O757" s="50" t="s">
        <v>3127</v>
      </c>
      <c r="P757" s="50" t="s">
        <v>3132</v>
      </c>
    </row>
    <row r="758" spans="1:16" ht="12.75" customHeight="1" x14ac:dyDescent="0.25">
      <c r="A758" s="311">
        <v>755</v>
      </c>
      <c r="B758" s="311" t="s">
        <v>87</v>
      </c>
      <c r="C758" s="311" t="s">
        <v>87</v>
      </c>
      <c r="D758" s="311" t="s">
        <v>462</v>
      </c>
      <c r="E758" s="337" t="s">
        <v>87</v>
      </c>
      <c r="F758" s="311" t="s">
        <v>137</v>
      </c>
      <c r="G758" s="311" t="s">
        <v>237</v>
      </c>
      <c r="H758" s="311" t="s">
        <v>413</v>
      </c>
      <c r="I758" s="311" t="s">
        <v>56</v>
      </c>
      <c r="J758" s="50" t="s">
        <v>1892</v>
      </c>
      <c r="K758" s="50" t="s">
        <v>1892</v>
      </c>
      <c r="L758" s="50" t="s">
        <v>1893</v>
      </c>
      <c r="M758" s="50" t="s">
        <v>3133</v>
      </c>
      <c r="N758" s="50" t="s">
        <v>3133</v>
      </c>
      <c r="O758" s="50" t="s">
        <v>3127</v>
      </c>
      <c r="P758" s="50" t="s">
        <v>3133</v>
      </c>
    </row>
    <row r="759" spans="1:16" ht="12.75" customHeight="1" x14ac:dyDescent="0.25">
      <c r="A759" s="311">
        <v>756</v>
      </c>
      <c r="B759" s="311" t="s">
        <v>125</v>
      </c>
      <c r="C759" s="311" t="s">
        <v>125</v>
      </c>
      <c r="D759" s="311" t="s">
        <v>125</v>
      </c>
      <c r="E759" s="337" t="s">
        <v>125</v>
      </c>
      <c r="F759" s="311" t="s">
        <v>137</v>
      </c>
      <c r="G759" s="311" t="s">
        <v>237</v>
      </c>
      <c r="H759" s="311" t="s">
        <v>413</v>
      </c>
      <c r="I759" s="311" t="s">
        <v>56</v>
      </c>
      <c r="J759" s="50" t="s">
        <v>1892</v>
      </c>
      <c r="K759" s="50" t="s">
        <v>1892</v>
      </c>
      <c r="L759" s="50" t="s">
        <v>1893</v>
      </c>
      <c r="M759" s="50" t="s">
        <v>3134</v>
      </c>
      <c r="N759" s="50" t="s">
        <v>3134</v>
      </c>
      <c r="O759" s="50" t="s">
        <v>3134</v>
      </c>
      <c r="P759" s="50" t="s">
        <v>3134</v>
      </c>
    </row>
    <row r="760" spans="1:16" ht="12.75" customHeight="1" x14ac:dyDescent="0.25">
      <c r="A760" s="311">
        <v>757</v>
      </c>
      <c r="B760" s="311" t="s">
        <v>134</v>
      </c>
      <c r="C760" s="311" t="s">
        <v>134</v>
      </c>
      <c r="D760" s="311" t="s">
        <v>134</v>
      </c>
      <c r="E760" s="337" t="s">
        <v>134</v>
      </c>
      <c r="F760" s="311" t="s">
        <v>137</v>
      </c>
      <c r="G760" s="311" t="s">
        <v>237</v>
      </c>
      <c r="H760" s="311" t="s">
        <v>413</v>
      </c>
      <c r="I760" s="311" t="s">
        <v>56</v>
      </c>
      <c r="J760" s="50" t="s">
        <v>1892</v>
      </c>
      <c r="K760" s="50" t="s">
        <v>1892</v>
      </c>
      <c r="L760" s="50" t="s">
        <v>1893</v>
      </c>
      <c r="M760" s="50" t="s">
        <v>3135</v>
      </c>
      <c r="N760" s="50" t="s">
        <v>3135</v>
      </c>
      <c r="O760" s="50" t="s">
        <v>3135</v>
      </c>
      <c r="P760" s="50" t="s">
        <v>3135</v>
      </c>
    </row>
    <row r="761" spans="1:16" ht="12.75" customHeight="1" x14ac:dyDescent="0.25">
      <c r="A761" s="311">
        <v>758</v>
      </c>
      <c r="B761" s="311" t="s">
        <v>141</v>
      </c>
      <c r="C761" s="311" t="s">
        <v>141</v>
      </c>
      <c r="D761" s="311" t="s">
        <v>141</v>
      </c>
      <c r="E761" s="337" t="s">
        <v>141</v>
      </c>
      <c r="F761" s="311" t="s">
        <v>137</v>
      </c>
      <c r="G761" s="311" t="s">
        <v>237</v>
      </c>
      <c r="H761" s="311" t="s">
        <v>413</v>
      </c>
      <c r="I761" s="311" t="s">
        <v>56</v>
      </c>
      <c r="J761" s="50" t="s">
        <v>1892</v>
      </c>
      <c r="K761" s="50" t="s">
        <v>1892</v>
      </c>
      <c r="L761" s="50" t="s">
        <v>1893</v>
      </c>
      <c r="M761" s="50" t="s">
        <v>3136</v>
      </c>
      <c r="N761" s="50" t="s">
        <v>3136</v>
      </c>
      <c r="O761" s="50" t="s">
        <v>3136</v>
      </c>
      <c r="P761" s="50" t="s">
        <v>3136</v>
      </c>
    </row>
    <row r="762" spans="1:16" ht="12.75" customHeight="1" x14ac:dyDescent="0.25">
      <c r="A762" s="311">
        <v>759</v>
      </c>
      <c r="B762" s="311" t="s">
        <v>69</v>
      </c>
      <c r="C762" s="311" t="s">
        <v>69</v>
      </c>
      <c r="D762" s="311" t="s">
        <v>69</v>
      </c>
      <c r="E762" s="337" t="s">
        <v>69</v>
      </c>
      <c r="F762" s="311" t="s">
        <v>137</v>
      </c>
      <c r="G762" s="311" t="s">
        <v>237</v>
      </c>
      <c r="H762" s="311" t="s">
        <v>413</v>
      </c>
      <c r="I762" s="311" t="s">
        <v>56</v>
      </c>
      <c r="J762" s="50" t="s">
        <v>1892</v>
      </c>
      <c r="K762" s="50" t="s">
        <v>1892</v>
      </c>
      <c r="L762" s="50" t="s">
        <v>1893</v>
      </c>
      <c r="M762" s="50" t="s">
        <v>3137</v>
      </c>
      <c r="N762" s="50" t="s">
        <v>3137</v>
      </c>
      <c r="O762" s="50" t="s">
        <v>3137</v>
      </c>
      <c r="P762" s="50" t="s">
        <v>3137</v>
      </c>
    </row>
    <row r="763" spans="1:16" ht="12.75" customHeight="1" x14ac:dyDescent="0.25">
      <c r="A763" s="311">
        <v>760</v>
      </c>
      <c r="B763" s="311" t="s">
        <v>84</v>
      </c>
      <c r="C763" s="311" t="s">
        <v>462</v>
      </c>
      <c r="D763" s="311" t="s">
        <v>462</v>
      </c>
      <c r="E763" s="337" t="s">
        <v>462</v>
      </c>
      <c r="F763" s="311" t="s">
        <v>265</v>
      </c>
      <c r="G763" s="311" t="s">
        <v>236</v>
      </c>
      <c r="H763" s="311" t="s">
        <v>413</v>
      </c>
      <c r="I763" s="311" t="s">
        <v>56</v>
      </c>
      <c r="J763" s="50" t="s">
        <v>1892</v>
      </c>
      <c r="K763" s="50" t="s">
        <v>1892</v>
      </c>
      <c r="L763" s="50" t="s">
        <v>1893</v>
      </c>
      <c r="M763" s="50" t="s">
        <v>3138</v>
      </c>
      <c r="N763" s="50" t="s">
        <v>3139</v>
      </c>
      <c r="O763" s="50" t="s">
        <v>3139</v>
      </c>
      <c r="P763" s="50" t="s">
        <v>3139</v>
      </c>
    </row>
    <row r="764" spans="1:16" ht="12.75" customHeight="1" x14ac:dyDescent="0.25">
      <c r="A764" s="311">
        <v>761</v>
      </c>
      <c r="B764" s="311" t="s">
        <v>123</v>
      </c>
      <c r="C764" s="311" t="s">
        <v>462</v>
      </c>
      <c r="D764" s="311" t="s">
        <v>462</v>
      </c>
      <c r="E764" s="337" t="s">
        <v>462</v>
      </c>
      <c r="F764" s="311" t="s">
        <v>265</v>
      </c>
      <c r="G764" s="311" t="s">
        <v>236</v>
      </c>
      <c r="H764" s="311" t="s">
        <v>413</v>
      </c>
      <c r="I764" s="311" t="s">
        <v>56</v>
      </c>
      <c r="J764" s="50" t="s">
        <v>1892</v>
      </c>
      <c r="K764" s="50" t="s">
        <v>1892</v>
      </c>
      <c r="L764" s="50" t="s">
        <v>1893</v>
      </c>
      <c r="M764" s="50" t="s">
        <v>3140</v>
      </c>
      <c r="N764" s="50" t="s">
        <v>3139</v>
      </c>
      <c r="O764" s="50" t="s">
        <v>3139</v>
      </c>
      <c r="P764" s="50" t="s">
        <v>3139</v>
      </c>
    </row>
    <row r="765" spans="1:16" ht="12.75" customHeight="1" x14ac:dyDescent="0.25">
      <c r="A765" s="311">
        <v>762</v>
      </c>
      <c r="B765" s="311" t="s">
        <v>75</v>
      </c>
      <c r="C765" s="311" t="s">
        <v>462</v>
      </c>
      <c r="D765" s="311" t="s">
        <v>462</v>
      </c>
      <c r="E765" s="337" t="s">
        <v>462</v>
      </c>
      <c r="F765" s="311" t="s">
        <v>265</v>
      </c>
      <c r="G765" s="311" t="s">
        <v>236</v>
      </c>
      <c r="H765" s="311" t="s">
        <v>413</v>
      </c>
      <c r="I765" s="311" t="s">
        <v>56</v>
      </c>
      <c r="J765" s="50" t="s">
        <v>1892</v>
      </c>
      <c r="K765" s="50" t="s">
        <v>1892</v>
      </c>
      <c r="L765" s="50" t="s">
        <v>1893</v>
      </c>
      <c r="M765" s="50" t="s">
        <v>3141</v>
      </c>
      <c r="N765" s="50" t="s">
        <v>3139</v>
      </c>
      <c r="O765" s="50" t="s">
        <v>3139</v>
      </c>
      <c r="P765" s="50" t="s">
        <v>3139</v>
      </c>
    </row>
    <row r="766" spans="1:16" ht="12.75" customHeight="1" x14ac:dyDescent="0.25">
      <c r="A766" s="311">
        <v>763</v>
      </c>
      <c r="B766" s="311" t="s">
        <v>63</v>
      </c>
      <c r="C766" s="311" t="s">
        <v>63</v>
      </c>
      <c r="D766" s="311" t="s">
        <v>462</v>
      </c>
      <c r="E766" s="337" t="s">
        <v>63</v>
      </c>
      <c r="F766" s="311" t="s">
        <v>265</v>
      </c>
      <c r="G766" s="311" t="s">
        <v>236</v>
      </c>
      <c r="H766" s="311" t="s">
        <v>413</v>
      </c>
      <c r="I766" s="311" t="s">
        <v>56</v>
      </c>
      <c r="J766" s="50" t="s">
        <v>1892</v>
      </c>
      <c r="K766" s="50" t="s">
        <v>1892</v>
      </c>
      <c r="L766" s="50" t="s">
        <v>1893</v>
      </c>
      <c r="M766" s="50" t="s">
        <v>3142</v>
      </c>
      <c r="N766" s="50" t="s">
        <v>3142</v>
      </c>
      <c r="O766" s="50" t="s">
        <v>3139</v>
      </c>
      <c r="P766" s="50" t="s">
        <v>3142</v>
      </c>
    </row>
    <row r="767" spans="1:16" ht="12.75" customHeight="1" x14ac:dyDescent="0.25">
      <c r="A767" s="311">
        <v>764</v>
      </c>
      <c r="B767" s="311" t="s">
        <v>140</v>
      </c>
      <c r="C767" s="311" t="s">
        <v>140</v>
      </c>
      <c r="D767" s="311" t="s">
        <v>462</v>
      </c>
      <c r="E767" s="337" t="s">
        <v>140</v>
      </c>
      <c r="F767" s="311" t="s">
        <v>265</v>
      </c>
      <c r="G767" s="311" t="s">
        <v>236</v>
      </c>
      <c r="H767" s="311" t="s">
        <v>413</v>
      </c>
      <c r="I767" s="311" t="s">
        <v>56</v>
      </c>
      <c r="J767" s="50" t="s">
        <v>1892</v>
      </c>
      <c r="K767" s="50" t="s">
        <v>1892</v>
      </c>
      <c r="L767" s="50" t="s">
        <v>1893</v>
      </c>
      <c r="M767" s="50" t="s">
        <v>3143</v>
      </c>
      <c r="N767" s="50" t="s">
        <v>3143</v>
      </c>
      <c r="O767" s="50" t="s">
        <v>3139</v>
      </c>
      <c r="P767" s="50" t="s">
        <v>3143</v>
      </c>
    </row>
    <row r="768" spans="1:16" ht="12.75" customHeight="1" x14ac:dyDescent="0.25">
      <c r="A768" s="311">
        <v>765</v>
      </c>
      <c r="B768" s="311" t="s">
        <v>121</v>
      </c>
      <c r="C768" s="311" t="s">
        <v>121</v>
      </c>
      <c r="D768" s="311" t="s">
        <v>462</v>
      </c>
      <c r="E768" s="337" t="s">
        <v>121</v>
      </c>
      <c r="F768" s="311" t="s">
        <v>265</v>
      </c>
      <c r="G768" s="311" t="s">
        <v>236</v>
      </c>
      <c r="H768" s="311" t="s">
        <v>413</v>
      </c>
      <c r="I768" s="311" t="s">
        <v>56</v>
      </c>
      <c r="J768" s="50" t="s">
        <v>1892</v>
      </c>
      <c r="K768" s="50" t="s">
        <v>1892</v>
      </c>
      <c r="L768" s="50" t="s">
        <v>1893</v>
      </c>
      <c r="M768" s="50" t="s">
        <v>3144</v>
      </c>
      <c r="N768" s="50" t="s">
        <v>3144</v>
      </c>
      <c r="O768" s="50" t="s">
        <v>3139</v>
      </c>
      <c r="P768" s="50" t="s">
        <v>3144</v>
      </c>
    </row>
    <row r="769" spans="1:16" ht="12.75" customHeight="1" x14ac:dyDescent="0.25">
      <c r="A769" s="311">
        <v>766</v>
      </c>
      <c r="B769" s="311" t="s">
        <v>87</v>
      </c>
      <c r="C769" s="311" t="s">
        <v>87</v>
      </c>
      <c r="D769" s="311" t="s">
        <v>462</v>
      </c>
      <c r="E769" s="337" t="s">
        <v>87</v>
      </c>
      <c r="F769" s="311" t="s">
        <v>265</v>
      </c>
      <c r="G769" s="311" t="s">
        <v>236</v>
      </c>
      <c r="H769" s="311" t="s">
        <v>413</v>
      </c>
      <c r="I769" s="311" t="s">
        <v>56</v>
      </c>
      <c r="J769" s="50" t="s">
        <v>1892</v>
      </c>
      <c r="K769" s="50" t="s">
        <v>1892</v>
      </c>
      <c r="L769" s="50" t="s">
        <v>1893</v>
      </c>
      <c r="M769" s="50" t="s">
        <v>3145</v>
      </c>
      <c r="N769" s="50" t="s">
        <v>3145</v>
      </c>
      <c r="O769" s="50" t="s">
        <v>3139</v>
      </c>
      <c r="P769" s="50" t="s">
        <v>3145</v>
      </c>
    </row>
    <row r="770" spans="1:16" ht="12.75" customHeight="1" x14ac:dyDescent="0.25">
      <c r="A770" s="311">
        <v>767</v>
      </c>
      <c r="B770" s="311" t="s">
        <v>125</v>
      </c>
      <c r="C770" s="311" t="s">
        <v>125</v>
      </c>
      <c r="D770" s="311" t="s">
        <v>125</v>
      </c>
      <c r="E770" s="337" t="s">
        <v>125</v>
      </c>
      <c r="F770" s="311" t="s">
        <v>265</v>
      </c>
      <c r="G770" s="311" t="s">
        <v>236</v>
      </c>
      <c r="H770" s="311" t="s">
        <v>413</v>
      </c>
      <c r="I770" s="311" t="s">
        <v>56</v>
      </c>
      <c r="J770" s="50" t="s">
        <v>1892</v>
      </c>
      <c r="K770" s="50" t="s">
        <v>1892</v>
      </c>
      <c r="L770" s="50" t="s">
        <v>1893</v>
      </c>
      <c r="M770" s="50" t="s">
        <v>3146</v>
      </c>
      <c r="N770" s="50" t="s">
        <v>3146</v>
      </c>
      <c r="O770" s="50" t="s">
        <v>3146</v>
      </c>
      <c r="P770" s="50" t="s">
        <v>3146</v>
      </c>
    </row>
    <row r="771" spans="1:16" ht="12.75" customHeight="1" x14ac:dyDescent="0.25">
      <c r="A771" s="311">
        <v>768</v>
      </c>
      <c r="B771" s="311" t="s">
        <v>134</v>
      </c>
      <c r="C771" s="311" t="s">
        <v>134</v>
      </c>
      <c r="D771" s="311" t="s">
        <v>134</v>
      </c>
      <c r="E771" s="337" t="s">
        <v>134</v>
      </c>
      <c r="F771" s="311" t="s">
        <v>265</v>
      </c>
      <c r="G771" s="311" t="s">
        <v>236</v>
      </c>
      <c r="H771" s="311" t="s">
        <v>413</v>
      </c>
      <c r="I771" s="311" t="s">
        <v>56</v>
      </c>
      <c r="J771" s="50" t="s">
        <v>1892</v>
      </c>
      <c r="K771" s="50" t="s">
        <v>1892</v>
      </c>
      <c r="L771" s="50" t="s">
        <v>1893</v>
      </c>
      <c r="M771" s="50" t="s">
        <v>3147</v>
      </c>
      <c r="N771" s="50" t="s">
        <v>3147</v>
      </c>
      <c r="O771" s="50" t="s">
        <v>3147</v>
      </c>
      <c r="P771" s="50" t="s">
        <v>3147</v>
      </c>
    </row>
    <row r="772" spans="1:16" ht="12.75" customHeight="1" x14ac:dyDescent="0.25">
      <c r="A772" s="311">
        <v>769</v>
      </c>
      <c r="B772" s="311" t="s">
        <v>141</v>
      </c>
      <c r="C772" s="311" t="s">
        <v>141</v>
      </c>
      <c r="D772" s="311" t="s">
        <v>141</v>
      </c>
      <c r="E772" s="337" t="s">
        <v>141</v>
      </c>
      <c r="F772" s="311" t="s">
        <v>265</v>
      </c>
      <c r="G772" s="311" t="s">
        <v>236</v>
      </c>
      <c r="H772" s="311" t="s">
        <v>413</v>
      </c>
      <c r="I772" s="311" t="s">
        <v>56</v>
      </c>
      <c r="J772" s="50" t="s">
        <v>1892</v>
      </c>
      <c r="K772" s="50" t="s">
        <v>1892</v>
      </c>
      <c r="L772" s="50" t="s">
        <v>1893</v>
      </c>
      <c r="M772" s="50" t="s">
        <v>3148</v>
      </c>
      <c r="N772" s="50" t="s">
        <v>3148</v>
      </c>
      <c r="O772" s="50" t="s">
        <v>3148</v>
      </c>
      <c r="P772" s="50" t="s">
        <v>3148</v>
      </c>
    </row>
    <row r="773" spans="1:16" ht="12.75" customHeight="1" x14ac:dyDescent="0.25">
      <c r="A773" s="311">
        <v>770</v>
      </c>
      <c r="B773" s="311" t="s">
        <v>69</v>
      </c>
      <c r="C773" s="311" t="s">
        <v>69</v>
      </c>
      <c r="D773" s="311" t="s">
        <v>69</v>
      </c>
      <c r="E773" s="337" t="s">
        <v>69</v>
      </c>
      <c r="F773" s="311" t="s">
        <v>265</v>
      </c>
      <c r="G773" s="311" t="s">
        <v>236</v>
      </c>
      <c r="H773" s="311" t="s">
        <v>413</v>
      </c>
      <c r="I773" s="311" t="s">
        <v>56</v>
      </c>
      <c r="J773" s="50" t="s">
        <v>1892</v>
      </c>
      <c r="K773" s="50" t="s">
        <v>1892</v>
      </c>
      <c r="L773" s="50" t="s">
        <v>1893</v>
      </c>
      <c r="M773" s="50" t="s">
        <v>3149</v>
      </c>
      <c r="N773" s="50" t="s">
        <v>3149</v>
      </c>
      <c r="O773" s="50" t="s">
        <v>3149</v>
      </c>
      <c r="P773" s="50" t="s">
        <v>3149</v>
      </c>
    </row>
    <row r="774" spans="1:16" ht="12.75" customHeight="1" x14ac:dyDescent="0.25">
      <c r="A774" s="311">
        <v>771</v>
      </c>
      <c r="B774" s="311" t="s">
        <v>84</v>
      </c>
      <c r="C774" s="311" t="s">
        <v>462</v>
      </c>
      <c r="D774" s="311" t="s">
        <v>462</v>
      </c>
      <c r="E774" s="337" t="s">
        <v>462</v>
      </c>
      <c r="F774" s="311" t="s">
        <v>265</v>
      </c>
      <c r="G774" s="311" t="s">
        <v>23</v>
      </c>
      <c r="H774" s="311" t="s">
        <v>413</v>
      </c>
      <c r="I774" s="311" t="s">
        <v>56</v>
      </c>
      <c r="J774" s="50" t="s">
        <v>1892</v>
      </c>
      <c r="K774" s="50" t="s">
        <v>1892</v>
      </c>
      <c r="L774" s="50" t="s">
        <v>1893</v>
      </c>
      <c r="M774" s="50" t="s">
        <v>3150</v>
      </c>
      <c r="N774" s="50" t="s">
        <v>3151</v>
      </c>
      <c r="O774" s="50" t="s">
        <v>3151</v>
      </c>
      <c r="P774" s="50" t="s">
        <v>3151</v>
      </c>
    </row>
    <row r="775" spans="1:16" ht="12.75" customHeight="1" x14ac:dyDescent="0.25">
      <c r="A775" s="311">
        <v>772</v>
      </c>
      <c r="B775" s="311" t="s">
        <v>123</v>
      </c>
      <c r="C775" s="311" t="s">
        <v>462</v>
      </c>
      <c r="D775" s="311" t="s">
        <v>462</v>
      </c>
      <c r="E775" s="337" t="s">
        <v>462</v>
      </c>
      <c r="F775" s="311" t="s">
        <v>265</v>
      </c>
      <c r="G775" s="311" t="s">
        <v>23</v>
      </c>
      <c r="H775" s="311" t="s">
        <v>413</v>
      </c>
      <c r="I775" s="311" t="s">
        <v>56</v>
      </c>
      <c r="J775" s="50" t="s">
        <v>1892</v>
      </c>
      <c r="K775" s="50" t="s">
        <v>1892</v>
      </c>
      <c r="L775" s="50" t="s">
        <v>1893</v>
      </c>
      <c r="M775" s="50" t="s">
        <v>3152</v>
      </c>
      <c r="N775" s="50" t="s">
        <v>3151</v>
      </c>
      <c r="O775" s="50" t="s">
        <v>3151</v>
      </c>
      <c r="P775" s="50" t="s">
        <v>3151</v>
      </c>
    </row>
    <row r="776" spans="1:16" ht="12.75" customHeight="1" x14ac:dyDescent="0.25">
      <c r="A776" s="311">
        <v>773</v>
      </c>
      <c r="B776" s="311" t="s">
        <v>75</v>
      </c>
      <c r="C776" s="311" t="s">
        <v>462</v>
      </c>
      <c r="D776" s="311" t="s">
        <v>462</v>
      </c>
      <c r="E776" s="337" t="s">
        <v>462</v>
      </c>
      <c r="F776" s="311" t="s">
        <v>265</v>
      </c>
      <c r="G776" s="311" t="s">
        <v>23</v>
      </c>
      <c r="H776" s="311" t="s">
        <v>413</v>
      </c>
      <c r="I776" s="311" t="s">
        <v>56</v>
      </c>
      <c r="J776" s="50" t="s">
        <v>1892</v>
      </c>
      <c r="K776" s="50" t="s">
        <v>1892</v>
      </c>
      <c r="L776" s="50" t="s">
        <v>1893</v>
      </c>
      <c r="M776" s="50" t="s">
        <v>3153</v>
      </c>
      <c r="N776" s="50" t="s">
        <v>3151</v>
      </c>
      <c r="O776" s="50" t="s">
        <v>3151</v>
      </c>
      <c r="P776" s="50" t="s">
        <v>3151</v>
      </c>
    </row>
    <row r="777" spans="1:16" ht="12.75" customHeight="1" x14ac:dyDescent="0.25">
      <c r="A777" s="311">
        <v>774</v>
      </c>
      <c r="B777" s="311" t="s">
        <v>63</v>
      </c>
      <c r="C777" s="311" t="s">
        <v>63</v>
      </c>
      <c r="D777" s="311" t="s">
        <v>462</v>
      </c>
      <c r="E777" s="337" t="s">
        <v>63</v>
      </c>
      <c r="F777" s="311" t="s">
        <v>265</v>
      </c>
      <c r="G777" s="311" t="s">
        <v>23</v>
      </c>
      <c r="H777" s="311" t="s">
        <v>413</v>
      </c>
      <c r="I777" s="311" t="s">
        <v>56</v>
      </c>
      <c r="J777" s="50" t="s">
        <v>1892</v>
      </c>
      <c r="K777" s="50" t="s">
        <v>1892</v>
      </c>
      <c r="L777" s="50" t="s">
        <v>1893</v>
      </c>
      <c r="M777" s="50" t="s">
        <v>3154</v>
      </c>
      <c r="N777" s="50" t="s">
        <v>3154</v>
      </c>
      <c r="O777" s="50" t="s">
        <v>3151</v>
      </c>
      <c r="P777" s="50" t="s">
        <v>3154</v>
      </c>
    </row>
    <row r="778" spans="1:16" ht="12.75" customHeight="1" x14ac:dyDescent="0.25">
      <c r="A778" s="311">
        <v>775</v>
      </c>
      <c r="B778" s="311" t="s">
        <v>140</v>
      </c>
      <c r="C778" s="311" t="s">
        <v>140</v>
      </c>
      <c r="D778" s="311" t="s">
        <v>462</v>
      </c>
      <c r="E778" s="337" t="s">
        <v>140</v>
      </c>
      <c r="F778" s="311" t="s">
        <v>265</v>
      </c>
      <c r="G778" s="311" t="s">
        <v>23</v>
      </c>
      <c r="H778" s="311" t="s">
        <v>413</v>
      </c>
      <c r="I778" s="311" t="s">
        <v>56</v>
      </c>
      <c r="J778" s="50" t="s">
        <v>1892</v>
      </c>
      <c r="K778" s="50" t="s">
        <v>1892</v>
      </c>
      <c r="L778" s="50" t="s">
        <v>1893</v>
      </c>
      <c r="M778" s="50" t="s">
        <v>3155</v>
      </c>
      <c r="N778" s="50" t="s">
        <v>3155</v>
      </c>
      <c r="O778" s="50" t="s">
        <v>3151</v>
      </c>
      <c r="P778" s="50" t="s">
        <v>3155</v>
      </c>
    </row>
    <row r="779" spans="1:16" ht="12.75" customHeight="1" x14ac:dyDescent="0.25">
      <c r="A779" s="311">
        <v>776</v>
      </c>
      <c r="B779" s="311" t="s">
        <v>121</v>
      </c>
      <c r="C779" s="311" t="s">
        <v>121</v>
      </c>
      <c r="D779" s="311" t="s">
        <v>462</v>
      </c>
      <c r="E779" s="337" t="s">
        <v>121</v>
      </c>
      <c r="F779" s="311" t="s">
        <v>265</v>
      </c>
      <c r="G779" s="311" t="s">
        <v>23</v>
      </c>
      <c r="H779" s="311" t="s">
        <v>413</v>
      </c>
      <c r="I779" s="311" t="s">
        <v>56</v>
      </c>
      <c r="J779" s="50" t="s">
        <v>1892</v>
      </c>
      <c r="K779" s="50" t="s">
        <v>1892</v>
      </c>
      <c r="L779" s="50" t="s">
        <v>1893</v>
      </c>
      <c r="M779" s="50" t="s">
        <v>3156</v>
      </c>
      <c r="N779" s="50" t="s">
        <v>3156</v>
      </c>
      <c r="O779" s="50" t="s">
        <v>3151</v>
      </c>
      <c r="P779" s="50" t="s">
        <v>3156</v>
      </c>
    </row>
    <row r="780" spans="1:16" ht="12.75" customHeight="1" x14ac:dyDescent="0.25">
      <c r="A780" s="311">
        <v>777</v>
      </c>
      <c r="B780" s="311" t="s">
        <v>87</v>
      </c>
      <c r="C780" s="311" t="s">
        <v>87</v>
      </c>
      <c r="D780" s="311" t="s">
        <v>462</v>
      </c>
      <c r="E780" s="337" t="s">
        <v>87</v>
      </c>
      <c r="F780" s="311" t="s">
        <v>265</v>
      </c>
      <c r="G780" s="311" t="s">
        <v>23</v>
      </c>
      <c r="H780" s="311" t="s">
        <v>413</v>
      </c>
      <c r="I780" s="311" t="s">
        <v>56</v>
      </c>
      <c r="J780" s="50" t="s">
        <v>1892</v>
      </c>
      <c r="K780" s="50" t="s">
        <v>1892</v>
      </c>
      <c r="L780" s="50" t="s">
        <v>1893</v>
      </c>
      <c r="M780" s="50" t="s">
        <v>3157</v>
      </c>
      <c r="N780" s="50" t="s">
        <v>3157</v>
      </c>
      <c r="O780" s="50" t="s">
        <v>3151</v>
      </c>
      <c r="P780" s="50" t="s">
        <v>3157</v>
      </c>
    </row>
    <row r="781" spans="1:16" ht="12.75" customHeight="1" x14ac:dyDescent="0.25">
      <c r="A781" s="311">
        <v>778</v>
      </c>
      <c r="B781" s="311" t="s">
        <v>125</v>
      </c>
      <c r="C781" s="311" t="s">
        <v>125</v>
      </c>
      <c r="D781" s="311" t="s">
        <v>125</v>
      </c>
      <c r="E781" s="337" t="s">
        <v>125</v>
      </c>
      <c r="F781" s="311" t="s">
        <v>265</v>
      </c>
      <c r="G781" s="311" t="s">
        <v>23</v>
      </c>
      <c r="H781" s="311" t="s">
        <v>413</v>
      </c>
      <c r="I781" s="311" t="s">
        <v>56</v>
      </c>
      <c r="J781" s="50" t="s">
        <v>1892</v>
      </c>
      <c r="K781" s="50" t="s">
        <v>1892</v>
      </c>
      <c r="L781" s="50" t="s">
        <v>1893</v>
      </c>
      <c r="M781" s="50" t="s">
        <v>3158</v>
      </c>
      <c r="N781" s="50" t="s">
        <v>3158</v>
      </c>
      <c r="O781" s="50" t="s">
        <v>3158</v>
      </c>
      <c r="P781" s="50" t="s">
        <v>3158</v>
      </c>
    </row>
    <row r="782" spans="1:16" ht="12.75" customHeight="1" x14ac:dyDescent="0.25">
      <c r="A782" s="311">
        <v>779</v>
      </c>
      <c r="B782" s="311" t="s">
        <v>134</v>
      </c>
      <c r="C782" s="311" t="s">
        <v>134</v>
      </c>
      <c r="D782" s="311" t="s">
        <v>134</v>
      </c>
      <c r="E782" s="337" t="s">
        <v>134</v>
      </c>
      <c r="F782" s="311" t="s">
        <v>265</v>
      </c>
      <c r="G782" s="311" t="s">
        <v>23</v>
      </c>
      <c r="H782" s="311" t="s">
        <v>413</v>
      </c>
      <c r="I782" s="311" t="s">
        <v>56</v>
      </c>
      <c r="J782" s="50" t="s">
        <v>1892</v>
      </c>
      <c r="K782" s="50" t="s">
        <v>1892</v>
      </c>
      <c r="L782" s="50" t="s">
        <v>1893</v>
      </c>
      <c r="M782" s="50" t="s">
        <v>3159</v>
      </c>
      <c r="N782" s="50" t="s">
        <v>3159</v>
      </c>
      <c r="O782" s="50" t="s">
        <v>3159</v>
      </c>
      <c r="P782" s="50" t="s">
        <v>3159</v>
      </c>
    </row>
    <row r="783" spans="1:16" ht="12.75" customHeight="1" x14ac:dyDescent="0.25">
      <c r="A783" s="311">
        <v>780</v>
      </c>
      <c r="B783" s="311" t="s">
        <v>141</v>
      </c>
      <c r="C783" s="311" t="s">
        <v>141</v>
      </c>
      <c r="D783" s="311" t="s">
        <v>141</v>
      </c>
      <c r="E783" s="337" t="s">
        <v>141</v>
      </c>
      <c r="F783" s="311" t="s">
        <v>265</v>
      </c>
      <c r="G783" s="311" t="s">
        <v>23</v>
      </c>
      <c r="H783" s="311" t="s">
        <v>413</v>
      </c>
      <c r="I783" s="311" t="s">
        <v>56</v>
      </c>
      <c r="J783" s="50" t="s">
        <v>1892</v>
      </c>
      <c r="K783" s="50" t="s">
        <v>1892</v>
      </c>
      <c r="L783" s="50" t="s">
        <v>1893</v>
      </c>
      <c r="M783" s="50" t="s">
        <v>3160</v>
      </c>
      <c r="N783" s="50" t="s">
        <v>3160</v>
      </c>
      <c r="O783" s="50" t="s">
        <v>3160</v>
      </c>
      <c r="P783" s="50" t="s">
        <v>3160</v>
      </c>
    </row>
    <row r="784" spans="1:16" ht="12.75" customHeight="1" x14ac:dyDescent="0.25">
      <c r="A784" s="311">
        <v>781</v>
      </c>
      <c r="B784" s="311" t="s">
        <v>69</v>
      </c>
      <c r="C784" s="311" t="s">
        <v>69</v>
      </c>
      <c r="D784" s="311" t="s">
        <v>69</v>
      </c>
      <c r="E784" s="337" t="s">
        <v>69</v>
      </c>
      <c r="F784" s="311" t="s">
        <v>265</v>
      </c>
      <c r="G784" s="311" t="s">
        <v>23</v>
      </c>
      <c r="H784" s="311" t="s">
        <v>413</v>
      </c>
      <c r="I784" s="311" t="s">
        <v>56</v>
      </c>
      <c r="J784" s="50" t="s">
        <v>1892</v>
      </c>
      <c r="K784" s="50" t="s">
        <v>1892</v>
      </c>
      <c r="L784" s="50" t="s">
        <v>1893</v>
      </c>
      <c r="M784" s="50" t="s">
        <v>3161</v>
      </c>
      <c r="N784" s="50" t="s">
        <v>3161</v>
      </c>
      <c r="O784" s="50" t="s">
        <v>3161</v>
      </c>
      <c r="P784" s="50" t="s">
        <v>3161</v>
      </c>
    </row>
    <row r="785" spans="1:16" ht="12.75" customHeight="1" x14ac:dyDescent="0.25">
      <c r="A785" s="311">
        <v>782</v>
      </c>
      <c r="B785" s="311" t="s">
        <v>84</v>
      </c>
      <c r="C785" s="311" t="s">
        <v>462</v>
      </c>
      <c r="D785" s="311" t="s">
        <v>462</v>
      </c>
      <c r="E785" s="337" t="s">
        <v>462</v>
      </c>
      <c r="F785" s="311" t="s">
        <v>265</v>
      </c>
      <c r="G785" s="311" t="s">
        <v>237</v>
      </c>
      <c r="H785" s="311" t="s">
        <v>413</v>
      </c>
      <c r="I785" s="311" t="s">
        <v>56</v>
      </c>
      <c r="J785" s="50" t="s">
        <v>1892</v>
      </c>
      <c r="K785" s="50" t="s">
        <v>1892</v>
      </c>
      <c r="L785" s="50" t="s">
        <v>1893</v>
      </c>
      <c r="M785" s="50" t="s">
        <v>3162</v>
      </c>
      <c r="N785" s="50" t="s">
        <v>3163</v>
      </c>
      <c r="O785" s="50" t="s">
        <v>3163</v>
      </c>
      <c r="P785" s="50" t="s">
        <v>3163</v>
      </c>
    </row>
    <row r="786" spans="1:16" ht="12.75" customHeight="1" x14ac:dyDescent="0.25">
      <c r="A786" s="311">
        <v>783</v>
      </c>
      <c r="B786" s="311" t="s">
        <v>123</v>
      </c>
      <c r="C786" s="311" t="s">
        <v>462</v>
      </c>
      <c r="D786" s="311" t="s">
        <v>462</v>
      </c>
      <c r="E786" s="337" t="s">
        <v>462</v>
      </c>
      <c r="F786" s="311" t="s">
        <v>265</v>
      </c>
      <c r="G786" s="311" t="s">
        <v>237</v>
      </c>
      <c r="H786" s="311" t="s">
        <v>413</v>
      </c>
      <c r="I786" s="311" t="s">
        <v>56</v>
      </c>
      <c r="J786" s="50" t="s">
        <v>1892</v>
      </c>
      <c r="K786" s="50" t="s">
        <v>1892</v>
      </c>
      <c r="L786" s="50" t="s">
        <v>1893</v>
      </c>
      <c r="M786" s="50" t="s">
        <v>3164</v>
      </c>
      <c r="N786" s="50" t="s">
        <v>3163</v>
      </c>
      <c r="O786" s="50" t="s">
        <v>3163</v>
      </c>
      <c r="P786" s="50" t="s">
        <v>3163</v>
      </c>
    </row>
    <row r="787" spans="1:16" ht="12.75" customHeight="1" x14ac:dyDescent="0.25">
      <c r="A787" s="311">
        <v>784</v>
      </c>
      <c r="B787" s="311" t="s">
        <v>75</v>
      </c>
      <c r="C787" s="311" t="s">
        <v>462</v>
      </c>
      <c r="D787" s="311" t="s">
        <v>462</v>
      </c>
      <c r="E787" s="337" t="s">
        <v>462</v>
      </c>
      <c r="F787" s="311" t="s">
        <v>265</v>
      </c>
      <c r="G787" s="311" t="s">
        <v>237</v>
      </c>
      <c r="H787" s="311" t="s">
        <v>413</v>
      </c>
      <c r="I787" s="311" t="s">
        <v>56</v>
      </c>
      <c r="J787" s="50" t="s">
        <v>1892</v>
      </c>
      <c r="K787" s="50" t="s">
        <v>1892</v>
      </c>
      <c r="L787" s="50" t="s">
        <v>1893</v>
      </c>
      <c r="M787" s="50" t="s">
        <v>3165</v>
      </c>
      <c r="N787" s="50" t="s">
        <v>3163</v>
      </c>
      <c r="O787" s="50" t="s">
        <v>3163</v>
      </c>
      <c r="P787" s="50" t="s">
        <v>3163</v>
      </c>
    </row>
    <row r="788" spans="1:16" ht="12.75" customHeight="1" x14ac:dyDescent="0.25">
      <c r="A788" s="311">
        <v>785</v>
      </c>
      <c r="B788" s="311" t="s">
        <v>63</v>
      </c>
      <c r="C788" s="311" t="s">
        <v>63</v>
      </c>
      <c r="D788" s="311" t="s">
        <v>462</v>
      </c>
      <c r="E788" s="337" t="s">
        <v>63</v>
      </c>
      <c r="F788" s="311" t="s">
        <v>265</v>
      </c>
      <c r="G788" s="311" t="s">
        <v>237</v>
      </c>
      <c r="H788" s="311" t="s">
        <v>413</v>
      </c>
      <c r="I788" s="311" t="s">
        <v>56</v>
      </c>
      <c r="J788" s="50" t="s">
        <v>1892</v>
      </c>
      <c r="K788" s="50" t="s">
        <v>1892</v>
      </c>
      <c r="L788" s="50" t="s">
        <v>1893</v>
      </c>
      <c r="M788" s="50" t="s">
        <v>3166</v>
      </c>
      <c r="N788" s="50" t="s">
        <v>3166</v>
      </c>
      <c r="O788" s="50" t="s">
        <v>3163</v>
      </c>
      <c r="P788" s="50" t="s">
        <v>3166</v>
      </c>
    </row>
    <row r="789" spans="1:16" ht="12.75" customHeight="1" x14ac:dyDescent="0.25">
      <c r="A789" s="311">
        <v>786</v>
      </c>
      <c r="B789" s="311" t="s">
        <v>140</v>
      </c>
      <c r="C789" s="311" t="s">
        <v>140</v>
      </c>
      <c r="D789" s="311" t="s">
        <v>462</v>
      </c>
      <c r="E789" s="337" t="s">
        <v>140</v>
      </c>
      <c r="F789" s="311" t="s">
        <v>265</v>
      </c>
      <c r="G789" s="311" t="s">
        <v>237</v>
      </c>
      <c r="H789" s="311" t="s">
        <v>413</v>
      </c>
      <c r="I789" s="311" t="s">
        <v>56</v>
      </c>
      <c r="J789" s="50" t="s">
        <v>1892</v>
      </c>
      <c r="K789" s="50" t="s">
        <v>1892</v>
      </c>
      <c r="L789" s="50" t="s">
        <v>1893</v>
      </c>
      <c r="M789" s="50" t="s">
        <v>3167</v>
      </c>
      <c r="N789" s="50" t="s">
        <v>3167</v>
      </c>
      <c r="O789" s="50" t="s">
        <v>3163</v>
      </c>
      <c r="P789" s="50" t="s">
        <v>3167</v>
      </c>
    </row>
    <row r="790" spans="1:16" ht="12.75" customHeight="1" x14ac:dyDescent="0.25">
      <c r="A790" s="311">
        <v>787</v>
      </c>
      <c r="B790" s="311" t="s">
        <v>121</v>
      </c>
      <c r="C790" s="311" t="s">
        <v>121</v>
      </c>
      <c r="D790" s="311" t="s">
        <v>462</v>
      </c>
      <c r="E790" s="337" t="s">
        <v>121</v>
      </c>
      <c r="F790" s="311" t="s">
        <v>265</v>
      </c>
      <c r="G790" s="311" t="s">
        <v>237</v>
      </c>
      <c r="H790" s="311" t="s">
        <v>413</v>
      </c>
      <c r="I790" s="311" t="s">
        <v>56</v>
      </c>
      <c r="J790" s="50" t="s">
        <v>1892</v>
      </c>
      <c r="K790" s="50" t="s">
        <v>1892</v>
      </c>
      <c r="L790" s="50" t="s">
        <v>1893</v>
      </c>
      <c r="M790" s="50" t="s">
        <v>3168</v>
      </c>
      <c r="N790" s="50" t="s">
        <v>3168</v>
      </c>
      <c r="O790" s="50" t="s">
        <v>3163</v>
      </c>
      <c r="P790" s="50" t="s">
        <v>3168</v>
      </c>
    </row>
    <row r="791" spans="1:16" ht="12.75" customHeight="1" x14ac:dyDescent="0.25">
      <c r="A791" s="311">
        <v>788</v>
      </c>
      <c r="B791" s="311" t="s">
        <v>87</v>
      </c>
      <c r="C791" s="311" t="s">
        <v>87</v>
      </c>
      <c r="D791" s="311" t="s">
        <v>462</v>
      </c>
      <c r="E791" s="337" t="s">
        <v>87</v>
      </c>
      <c r="F791" s="311" t="s">
        <v>265</v>
      </c>
      <c r="G791" s="311" t="s">
        <v>237</v>
      </c>
      <c r="H791" s="311" t="s">
        <v>413</v>
      </c>
      <c r="I791" s="311" t="s">
        <v>56</v>
      </c>
      <c r="J791" s="50" t="s">
        <v>1892</v>
      </c>
      <c r="K791" s="50" t="s">
        <v>1892</v>
      </c>
      <c r="L791" s="50" t="s">
        <v>1893</v>
      </c>
      <c r="M791" s="50" t="s">
        <v>3169</v>
      </c>
      <c r="N791" s="50" t="s">
        <v>3169</v>
      </c>
      <c r="O791" s="50" t="s">
        <v>3163</v>
      </c>
      <c r="P791" s="50" t="s">
        <v>3169</v>
      </c>
    </row>
    <row r="792" spans="1:16" ht="12.75" customHeight="1" x14ac:dyDescent="0.25">
      <c r="A792" s="311">
        <v>789</v>
      </c>
      <c r="B792" s="311" t="s">
        <v>125</v>
      </c>
      <c r="C792" s="311" t="s">
        <v>125</v>
      </c>
      <c r="D792" s="311" t="s">
        <v>125</v>
      </c>
      <c r="E792" s="337" t="s">
        <v>125</v>
      </c>
      <c r="F792" s="311" t="s">
        <v>265</v>
      </c>
      <c r="G792" s="311" t="s">
        <v>237</v>
      </c>
      <c r="H792" s="311" t="s">
        <v>413</v>
      </c>
      <c r="I792" s="311" t="s">
        <v>56</v>
      </c>
      <c r="J792" s="50" t="s">
        <v>1892</v>
      </c>
      <c r="K792" s="50" t="s">
        <v>1892</v>
      </c>
      <c r="L792" s="50" t="s">
        <v>1893</v>
      </c>
      <c r="M792" s="50" t="s">
        <v>3170</v>
      </c>
      <c r="N792" s="50" t="s">
        <v>3170</v>
      </c>
      <c r="O792" s="50" t="s">
        <v>3170</v>
      </c>
      <c r="P792" s="50" t="s">
        <v>3170</v>
      </c>
    </row>
    <row r="793" spans="1:16" ht="12.75" customHeight="1" x14ac:dyDescent="0.25">
      <c r="A793" s="311">
        <v>790</v>
      </c>
      <c r="B793" s="311" t="s">
        <v>134</v>
      </c>
      <c r="C793" s="311" t="s">
        <v>134</v>
      </c>
      <c r="D793" s="311" t="s">
        <v>134</v>
      </c>
      <c r="E793" s="337" t="s">
        <v>134</v>
      </c>
      <c r="F793" s="311" t="s">
        <v>265</v>
      </c>
      <c r="G793" s="311" t="s">
        <v>237</v>
      </c>
      <c r="H793" s="311" t="s">
        <v>413</v>
      </c>
      <c r="I793" s="311" t="s">
        <v>56</v>
      </c>
      <c r="J793" s="50" t="s">
        <v>1892</v>
      </c>
      <c r="K793" s="50" t="s">
        <v>1892</v>
      </c>
      <c r="L793" s="50" t="s">
        <v>1893</v>
      </c>
      <c r="M793" s="50" t="s">
        <v>3171</v>
      </c>
      <c r="N793" s="50" t="s">
        <v>3171</v>
      </c>
      <c r="O793" s="50" t="s">
        <v>3171</v>
      </c>
      <c r="P793" s="50" t="s">
        <v>3171</v>
      </c>
    </row>
    <row r="794" spans="1:16" ht="12.75" customHeight="1" x14ac:dyDescent="0.25">
      <c r="A794" s="311">
        <v>791</v>
      </c>
      <c r="B794" s="311" t="s">
        <v>141</v>
      </c>
      <c r="C794" s="311" t="s">
        <v>141</v>
      </c>
      <c r="D794" s="311" t="s">
        <v>141</v>
      </c>
      <c r="E794" s="337" t="s">
        <v>141</v>
      </c>
      <c r="F794" s="311" t="s">
        <v>265</v>
      </c>
      <c r="G794" s="311" t="s">
        <v>237</v>
      </c>
      <c r="H794" s="311" t="s">
        <v>413</v>
      </c>
      <c r="I794" s="311" t="s">
        <v>56</v>
      </c>
      <c r="J794" s="50" t="s">
        <v>1892</v>
      </c>
      <c r="K794" s="50" t="s">
        <v>1892</v>
      </c>
      <c r="L794" s="50" t="s">
        <v>1893</v>
      </c>
      <c r="M794" s="50" t="s">
        <v>3172</v>
      </c>
      <c r="N794" s="50" t="s">
        <v>3172</v>
      </c>
      <c r="O794" s="50" t="s">
        <v>3172</v>
      </c>
      <c r="P794" s="50" t="s">
        <v>3172</v>
      </c>
    </row>
    <row r="795" spans="1:16" ht="12.75" customHeight="1" x14ac:dyDescent="0.25">
      <c r="A795" s="311">
        <v>792</v>
      </c>
      <c r="B795" s="311" t="s">
        <v>69</v>
      </c>
      <c r="C795" s="311" t="s">
        <v>69</v>
      </c>
      <c r="D795" s="311" t="s">
        <v>69</v>
      </c>
      <c r="E795" s="337" t="s">
        <v>69</v>
      </c>
      <c r="F795" s="311" t="s">
        <v>265</v>
      </c>
      <c r="G795" s="311" t="s">
        <v>237</v>
      </c>
      <c r="H795" s="311" t="s">
        <v>413</v>
      </c>
      <c r="I795" s="311" t="s">
        <v>56</v>
      </c>
      <c r="J795" s="50" t="s">
        <v>1892</v>
      </c>
      <c r="K795" s="50" t="s">
        <v>1892</v>
      </c>
      <c r="L795" s="50" t="s">
        <v>1893</v>
      </c>
      <c r="M795" s="50" t="s">
        <v>3173</v>
      </c>
      <c r="N795" s="50" t="s">
        <v>3173</v>
      </c>
      <c r="O795" s="50" t="s">
        <v>3173</v>
      </c>
      <c r="P795" s="50" t="s">
        <v>3173</v>
      </c>
    </row>
    <row r="796" spans="1:16" ht="12.75" customHeight="1" x14ac:dyDescent="0.25">
      <c r="A796" s="311">
        <v>793</v>
      </c>
      <c r="B796" s="311" t="s">
        <v>84</v>
      </c>
      <c r="C796" s="311" t="s">
        <v>462</v>
      </c>
      <c r="D796" s="311" t="s">
        <v>462</v>
      </c>
      <c r="E796" s="337" t="s">
        <v>462</v>
      </c>
      <c r="F796" s="311" t="s">
        <v>296</v>
      </c>
      <c r="G796" s="311" t="s">
        <v>236</v>
      </c>
      <c r="H796" s="311" t="s">
        <v>413</v>
      </c>
      <c r="I796" s="311" t="s">
        <v>56</v>
      </c>
      <c r="J796" s="50" t="s">
        <v>1892</v>
      </c>
      <c r="K796" s="50" t="s">
        <v>1892</v>
      </c>
      <c r="L796" s="50" t="s">
        <v>1893</v>
      </c>
      <c r="M796" s="50" t="s">
        <v>3174</v>
      </c>
      <c r="N796" s="50" t="s">
        <v>3175</v>
      </c>
      <c r="O796" s="50" t="s">
        <v>3175</v>
      </c>
      <c r="P796" s="50" t="s">
        <v>3175</v>
      </c>
    </row>
    <row r="797" spans="1:16" ht="12.75" customHeight="1" x14ac:dyDescent="0.25">
      <c r="A797" s="311">
        <v>794</v>
      </c>
      <c r="B797" s="311" t="s">
        <v>123</v>
      </c>
      <c r="C797" s="311" t="s">
        <v>462</v>
      </c>
      <c r="D797" s="311" t="s">
        <v>462</v>
      </c>
      <c r="E797" s="337" t="s">
        <v>462</v>
      </c>
      <c r="F797" s="311" t="s">
        <v>296</v>
      </c>
      <c r="G797" s="311" t="s">
        <v>236</v>
      </c>
      <c r="H797" s="311" t="s">
        <v>413</v>
      </c>
      <c r="I797" s="311" t="s">
        <v>56</v>
      </c>
      <c r="J797" s="50" t="s">
        <v>1892</v>
      </c>
      <c r="K797" s="50" t="s">
        <v>1892</v>
      </c>
      <c r="L797" s="50" t="s">
        <v>1893</v>
      </c>
      <c r="M797" s="50" t="s">
        <v>3176</v>
      </c>
      <c r="N797" s="50" t="s">
        <v>3175</v>
      </c>
      <c r="O797" s="50" t="s">
        <v>3175</v>
      </c>
      <c r="P797" s="50" t="s">
        <v>3175</v>
      </c>
    </row>
    <row r="798" spans="1:16" ht="12.75" customHeight="1" x14ac:dyDescent="0.25">
      <c r="A798" s="311">
        <v>795</v>
      </c>
      <c r="B798" s="311" t="s">
        <v>75</v>
      </c>
      <c r="C798" s="311" t="s">
        <v>462</v>
      </c>
      <c r="D798" s="311" t="s">
        <v>462</v>
      </c>
      <c r="E798" s="337" t="s">
        <v>462</v>
      </c>
      <c r="F798" s="311" t="s">
        <v>296</v>
      </c>
      <c r="G798" s="311" t="s">
        <v>236</v>
      </c>
      <c r="H798" s="311" t="s">
        <v>413</v>
      </c>
      <c r="I798" s="311" t="s">
        <v>56</v>
      </c>
      <c r="J798" s="50" t="s">
        <v>1892</v>
      </c>
      <c r="K798" s="50" t="s">
        <v>1892</v>
      </c>
      <c r="L798" s="50" t="s">
        <v>1893</v>
      </c>
      <c r="M798" s="50" t="s">
        <v>3177</v>
      </c>
      <c r="N798" s="50" t="s">
        <v>3175</v>
      </c>
      <c r="O798" s="50" t="s">
        <v>3175</v>
      </c>
      <c r="P798" s="50" t="s">
        <v>3175</v>
      </c>
    </row>
    <row r="799" spans="1:16" ht="12.75" customHeight="1" x14ac:dyDescent="0.25">
      <c r="A799" s="311">
        <v>796</v>
      </c>
      <c r="B799" s="311" t="s">
        <v>63</v>
      </c>
      <c r="C799" s="311" t="s">
        <v>63</v>
      </c>
      <c r="D799" s="311" t="s">
        <v>462</v>
      </c>
      <c r="E799" s="337" t="s">
        <v>63</v>
      </c>
      <c r="F799" s="311" t="s">
        <v>296</v>
      </c>
      <c r="G799" s="311" t="s">
        <v>236</v>
      </c>
      <c r="H799" s="311" t="s">
        <v>413</v>
      </c>
      <c r="I799" s="311" t="s">
        <v>56</v>
      </c>
      <c r="J799" s="50" t="s">
        <v>1892</v>
      </c>
      <c r="K799" s="50" t="s">
        <v>1892</v>
      </c>
      <c r="L799" s="50" t="s">
        <v>1893</v>
      </c>
      <c r="M799" s="50" t="s">
        <v>3178</v>
      </c>
      <c r="N799" s="50" t="s">
        <v>3178</v>
      </c>
      <c r="O799" s="50" t="s">
        <v>3175</v>
      </c>
      <c r="P799" s="50" t="s">
        <v>3178</v>
      </c>
    </row>
    <row r="800" spans="1:16" ht="12.75" customHeight="1" x14ac:dyDescent="0.25">
      <c r="A800" s="311">
        <v>797</v>
      </c>
      <c r="B800" s="311" t="s">
        <v>140</v>
      </c>
      <c r="C800" s="311" t="s">
        <v>140</v>
      </c>
      <c r="D800" s="311" t="s">
        <v>462</v>
      </c>
      <c r="E800" s="337" t="s">
        <v>140</v>
      </c>
      <c r="F800" s="311" t="s">
        <v>296</v>
      </c>
      <c r="G800" s="311" t="s">
        <v>236</v>
      </c>
      <c r="H800" s="311" t="s">
        <v>413</v>
      </c>
      <c r="I800" s="311" t="s">
        <v>56</v>
      </c>
      <c r="J800" s="50" t="s">
        <v>1892</v>
      </c>
      <c r="K800" s="50" t="s">
        <v>1892</v>
      </c>
      <c r="L800" s="50" t="s">
        <v>1893</v>
      </c>
      <c r="M800" s="50" t="s">
        <v>3179</v>
      </c>
      <c r="N800" s="50" t="s">
        <v>3179</v>
      </c>
      <c r="O800" s="50" t="s">
        <v>3175</v>
      </c>
      <c r="P800" s="50" t="s">
        <v>3179</v>
      </c>
    </row>
    <row r="801" spans="1:16" ht="12.75" customHeight="1" x14ac:dyDescent="0.25">
      <c r="A801" s="311">
        <v>798</v>
      </c>
      <c r="B801" s="311" t="s">
        <v>121</v>
      </c>
      <c r="C801" s="311" t="s">
        <v>121</v>
      </c>
      <c r="D801" s="311" t="s">
        <v>462</v>
      </c>
      <c r="E801" s="337" t="s">
        <v>121</v>
      </c>
      <c r="F801" s="311" t="s">
        <v>296</v>
      </c>
      <c r="G801" s="311" t="s">
        <v>236</v>
      </c>
      <c r="H801" s="311" t="s">
        <v>413</v>
      </c>
      <c r="I801" s="311" t="s">
        <v>56</v>
      </c>
      <c r="J801" s="50" t="s">
        <v>1892</v>
      </c>
      <c r="K801" s="50" t="s">
        <v>1892</v>
      </c>
      <c r="L801" s="50" t="s">
        <v>1893</v>
      </c>
      <c r="M801" s="50" t="s">
        <v>3180</v>
      </c>
      <c r="N801" s="50" t="s">
        <v>3180</v>
      </c>
      <c r="O801" s="50" t="s">
        <v>3175</v>
      </c>
      <c r="P801" s="50" t="s">
        <v>3180</v>
      </c>
    </row>
    <row r="802" spans="1:16" ht="12.75" customHeight="1" x14ac:dyDescent="0.25">
      <c r="A802" s="311">
        <v>799</v>
      </c>
      <c r="B802" s="311" t="s">
        <v>87</v>
      </c>
      <c r="C802" s="311" t="s">
        <v>87</v>
      </c>
      <c r="D802" s="311" t="s">
        <v>462</v>
      </c>
      <c r="E802" s="337" t="s">
        <v>87</v>
      </c>
      <c r="F802" s="311" t="s">
        <v>296</v>
      </c>
      <c r="G802" s="311" t="s">
        <v>236</v>
      </c>
      <c r="H802" s="311" t="s">
        <v>413</v>
      </c>
      <c r="I802" s="311" t="s">
        <v>56</v>
      </c>
      <c r="J802" s="50" t="s">
        <v>1892</v>
      </c>
      <c r="K802" s="50" t="s">
        <v>1892</v>
      </c>
      <c r="L802" s="50" t="s">
        <v>1893</v>
      </c>
      <c r="M802" s="50" t="s">
        <v>3181</v>
      </c>
      <c r="N802" s="50" t="s">
        <v>3181</v>
      </c>
      <c r="O802" s="50" t="s">
        <v>3175</v>
      </c>
      <c r="P802" s="50" t="s">
        <v>3181</v>
      </c>
    </row>
    <row r="803" spans="1:16" ht="12.75" customHeight="1" x14ac:dyDescent="0.25">
      <c r="A803" s="311">
        <v>800</v>
      </c>
      <c r="B803" s="311" t="s">
        <v>125</v>
      </c>
      <c r="C803" s="311" t="s">
        <v>125</v>
      </c>
      <c r="D803" s="311" t="s">
        <v>125</v>
      </c>
      <c r="E803" s="337" t="s">
        <v>125</v>
      </c>
      <c r="F803" s="311" t="s">
        <v>296</v>
      </c>
      <c r="G803" s="311" t="s">
        <v>236</v>
      </c>
      <c r="H803" s="311" t="s">
        <v>413</v>
      </c>
      <c r="I803" s="311" t="s">
        <v>56</v>
      </c>
      <c r="J803" s="50" t="s">
        <v>1892</v>
      </c>
      <c r="K803" s="50" t="s">
        <v>1892</v>
      </c>
      <c r="L803" s="50" t="s">
        <v>1893</v>
      </c>
      <c r="M803" s="50" t="s">
        <v>3182</v>
      </c>
      <c r="N803" s="50" t="s">
        <v>3182</v>
      </c>
      <c r="O803" s="50" t="s">
        <v>3182</v>
      </c>
      <c r="P803" s="50" t="s">
        <v>3182</v>
      </c>
    </row>
    <row r="804" spans="1:16" ht="12.75" customHeight="1" x14ac:dyDescent="0.25">
      <c r="A804" s="311">
        <v>801</v>
      </c>
      <c r="B804" s="311" t="s">
        <v>134</v>
      </c>
      <c r="C804" s="311" t="s">
        <v>134</v>
      </c>
      <c r="D804" s="311" t="s">
        <v>134</v>
      </c>
      <c r="E804" s="337" t="s">
        <v>134</v>
      </c>
      <c r="F804" s="311" t="s">
        <v>296</v>
      </c>
      <c r="G804" s="311" t="s">
        <v>236</v>
      </c>
      <c r="H804" s="311" t="s">
        <v>413</v>
      </c>
      <c r="I804" s="311" t="s">
        <v>56</v>
      </c>
      <c r="J804" s="50" t="s">
        <v>1892</v>
      </c>
      <c r="K804" s="50" t="s">
        <v>1892</v>
      </c>
      <c r="L804" s="50" t="s">
        <v>1893</v>
      </c>
      <c r="M804" s="50" t="s">
        <v>3183</v>
      </c>
      <c r="N804" s="50" t="s">
        <v>3183</v>
      </c>
      <c r="O804" s="50" t="s">
        <v>3183</v>
      </c>
      <c r="P804" s="50" t="s">
        <v>3183</v>
      </c>
    </row>
    <row r="805" spans="1:16" ht="12.75" customHeight="1" x14ac:dyDescent="0.25">
      <c r="A805" s="311">
        <v>802</v>
      </c>
      <c r="B805" s="311" t="s">
        <v>141</v>
      </c>
      <c r="C805" s="311" t="s">
        <v>141</v>
      </c>
      <c r="D805" s="311" t="s">
        <v>141</v>
      </c>
      <c r="E805" s="337" t="s">
        <v>141</v>
      </c>
      <c r="F805" s="311" t="s">
        <v>296</v>
      </c>
      <c r="G805" s="311" t="s">
        <v>236</v>
      </c>
      <c r="H805" s="311" t="s">
        <v>413</v>
      </c>
      <c r="I805" s="311" t="s">
        <v>56</v>
      </c>
      <c r="J805" s="50" t="s">
        <v>1892</v>
      </c>
      <c r="K805" s="50" t="s">
        <v>1892</v>
      </c>
      <c r="L805" s="50" t="s">
        <v>1893</v>
      </c>
      <c r="M805" s="50" t="s">
        <v>3184</v>
      </c>
      <c r="N805" s="50" t="s">
        <v>3184</v>
      </c>
      <c r="O805" s="50" t="s">
        <v>3184</v>
      </c>
      <c r="P805" s="50" t="s">
        <v>3184</v>
      </c>
    </row>
    <row r="806" spans="1:16" ht="12.75" customHeight="1" x14ac:dyDescent="0.25">
      <c r="A806" s="311">
        <v>803</v>
      </c>
      <c r="B806" s="311" t="s">
        <v>69</v>
      </c>
      <c r="C806" s="311" t="s">
        <v>69</v>
      </c>
      <c r="D806" s="311" t="s">
        <v>69</v>
      </c>
      <c r="E806" s="337" t="s">
        <v>69</v>
      </c>
      <c r="F806" s="311" t="s">
        <v>296</v>
      </c>
      <c r="G806" s="311" t="s">
        <v>236</v>
      </c>
      <c r="H806" s="311" t="s">
        <v>413</v>
      </c>
      <c r="I806" s="311" t="s">
        <v>56</v>
      </c>
      <c r="J806" s="50" t="s">
        <v>1892</v>
      </c>
      <c r="K806" s="50" t="s">
        <v>1892</v>
      </c>
      <c r="L806" s="50" t="s">
        <v>1893</v>
      </c>
      <c r="M806" s="50" t="s">
        <v>3185</v>
      </c>
      <c r="N806" s="50" t="s">
        <v>3185</v>
      </c>
      <c r="O806" s="50" t="s">
        <v>3185</v>
      </c>
      <c r="P806" s="50" t="s">
        <v>3185</v>
      </c>
    </row>
    <row r="807" spans="1:16" ht="12.75" customHeight="1" x14ac:dyDescent="0.25">
      <c r="A807" s="311">
        <v>804</v>
      </c>
      <c r="B807" s="311" t="s">
        <v>84</v>
      </c>
      <c r="C807" s="311" t="s">
        <v>462</v>
      </c>
      <c r="D807" s="311" t="s">
        <v>462</v>
      </c>
      <c r="E807" s="337" t="s">
        <v>462</v>
      </c>
      <c r="F807" s="311" t="s">
        <v>296</v>
      </c>
      <c r="G807" s="311" t="s">
        <v>23</v>
      </c>
      <c r="H807" s="311" t="s">
        <v>413</v>
      </c>
      <c r="I807" s="311" t="s">
        <v>56</v>
      </c>
      <c r="J807" s="50" t="s">
        <v>1892</v>
      </c>
      <c r="K807" s="50" t="s">
        <v>1892</v>
      </c>
      <c r="L807" s="50" t="s">
        <v>1893</v>
      </c>
      <c r="M807" s="50" t="s">
        <v>3186</v>
      </c>
      <c r="N807" s="50" t="s">
        <v>3187</v>
      </c>
      <c r="O807" s="50" t="s">
        <v>3187</v>
      </c>
      <c r="P807" s="50" t="s">
        <v>3187</v>
      </c>
    </row>
    <row r="808" spans="1:16" ht="12.75" customHeight="1" x14ac:dyDescent="0.25">
      <c r="A808" s="311">
        <v>805</v>
      </c>
      <c r="B808" s="311" t="s">
        <v>123</v>
      </c>
      <c r="C808" s="311" t="s">
        <v>462</v>
      </c>
      <c r="D808" s="311" t="s">
        <v>462</v>
      </c>
      <c r="E808" s="337" t="s">
        <v>462</v>
      </c>
      <c r="F808" s="311" t="s">
        <v>296</v>
      </c>
      <c r="G808" s="311" t="s">
        <v>23</v>
      </c>
      <c r="H808" s="311" t="s">
        <v>413</v>
      </c>
      <c r="I808" s="311" t="s">
        <v>56</v>
      </c>
      <c r="J808" s="50" t="s">
        <v>1892</v>
      </c>
      <c r="K808" s="50" t="s">
        <v>1892</v>
      </c>
      <c r="L808" s="50" t="s">
        <v>1893</v>
      </c>
      <c r="M808" s="50" t="s">
        <v>3188</v>
      </c>
      <c r="N808" s="50" t="s">
        <v>3187</v>
      </c>
      <c r="O808" s="50" t="s">
        <v>3187</v>
      </c>
      <c r="P808" s="50" t="s">
        <v>3187</v>
      </c>
    </row>
    <row r="809" spans="1:16" ht="12.75" customHeight="1" x14ac:dyDescent="0.25">
      <c r="A809" s="311">
        <v>806</v>
      </c>
      <c r="B809" s="311" t="s">
        <v>75</v>
      </c>
      <c r="C809" s="311" t="s">
        <v>462</v>
      </c>
      <c r="D809" s="311" t="s">
        <v>462</v>
      </c>
      <c r="E809" s="337" t="s">
        <v>462</v>
      </c>
      <c r="F809" s="311" t="s">
        <v>296</v>
      </c>
      <c r="G809" s="311" t="s">
        <v>23</v>
      </c>
      <c r="H809" s="311" t="s">
        <v>413</v>
      </c>
      <c r="I809" s="311" t="s">
        <v>56</v>
      </c>
      <c r="J809" s="50" t="s">
        <v>1892</v>
      </c>
      <c r="K809" s="50" t="s">
        <v>1892</v>
      </c>
      <c r="L809" s="50" t="s">
        <v>1893</v>
      </c>
      <c r="M809" s="50" t="s">
        <v>3189</v>
      </c>
      <c r="N809" s="50" t="s">
        <v>3187</v>
      </c>
      <c r="O809" s="50" t="s">
        <v>3187</v>
      </c>
      <c r="P809" s="50" t="s">
        <v>3187</v>
      </c>
    </row>
    <row r="810" spans="1:16" ht="12.75" customHeight="1" x14ac:dyDescent="0.25">
      <c r="A810" s="311">
        <v>807</v>
      </c>
      <c r="B810" s="311" t="s">
        <v>63</v>
      </c>
      <c r="C810" s="311" t="s">
        <v>63</v>
      </c>
      <c r="D810" s="311" t="s">
        <v>462</v>
      </c>
      <c r="E810" s="337" t="s">
        <v>63</v>
      </c>
      <c r="F810" s="311" t="s">
        <v>296</v>
      </c>
      <c r="G810" s="311" t="s">
        <v>23</v>
      </c>
      <c r="H810" s="311" t="s">
        <v>413</v>
      </c>
      <c r="I810" s="311" t="s">
        <v>56</v>
      </c>
      <c r="J810" s="50" t="s">
        <v>1892</v>
      </c>
      <c r="K810" s="50" t="s">
        <v>1892</v>
      </c>
      <c r="L810" s="50" t="s">
        <v>1893</v>
      </c>
      <c r="M810" s="50" t="s">
        <v>3190</v>
      </c>
      <c r="N810" s="50" t="s">
        <v>3190</v>
      </c>
      <c r="O810" s="50" t="s">
        <v>3187</v>
      </c>
      <c r="P810" s="50" t="s">
        <v>3190</v>
      </c>
    </row>
    <row r="811" spans="1:16" ht="12.75" customHeight="1" x14ac:dyDescent="0.25">
      <c r="A811" s="311">
        <v>808</v>
      </c>
      <c r="B811" s="311" t="s">
        <v>140</v>
      </c>
      <c r="C811" s="311" t="s">
        <v>140</v>
      </c>
      <c r="D811" s="311" t="s">
        <v>462</v>
      </c>
      <c r="E811" s="337" t="s">
        <v>140</v>
      </c>
      <c r="F811" s="311" t="s">
        <v>296</v>
      </c>
      <c r="G811" s="311" t="s">
        <v>23</v>
      </c>
      <c r="H811" s="311" t="s">
        <v>413</v>
      </c>
      <c r="I811" s="311" t="s">
        <v>56</v>
      </c>
      <c r="J811" s="50" t="s">
        <v>1892</v>
      </c>
      <c r="K811" s="50" t="s">
        <v>1892</v>
      </c>
      <c r="L811" s="50" t="s">
        <v>1893</v>
      </c>
      <c r="M811" s="50" t="s">
        <v>3191</v>
      </c>
      <c r="N811" s="50" t="s">
        <v>3191</v>
      </c>
      <c r="O811" s="50" t="s">
        <v>3187</v>
      </c>
      <c r="P811" s="50" t="s">
        <v>3191</v>
      </c>
    </row>
    <row r="812" spans="1:16" ht="12.75" customHeight="1" x14ac:dyDescent="0.25">
      <c r="A812" s="311">
        <v>809</v>
      </c>
      <c r="B812" s="311" t="s">
        <v>121</v>
      </c>
      <c r="C812" s="311" t="s">
        <v>121</v>
      </c>
      <c r="D812" s="311" t="s">
        <v>462</v>
      </c>
      <c r="E812" s="337" t="s">
        <v>121</v>
      </c>
      <c r="F812" s="311" t="s">
        <v>296</v>
      </c>
      <c r="G812" s="311" t="s">
        <v>23</v>
      </c>
      <c r="H812" s="311" t="s">
        <v>413</v>
      </c>
      <c r="I812" s="311" t="s">
        <v>56</v>
      </c>
      <c r="J812" s="50" t="s">
        <v>1892</v>
      </c>
      <c r="K812" s="50" t="s">
        <v>1892</v>
      </c>
      <c r="L812" s="50" t="s">
        <v>1893</v>
      </c>
      <c r="M812" s="50" t="s">
        <v>3192</v>
      </c>
      <c r="N812" s="50" t="s">
        <v>3192</v>
      </c>
      <c r="O812" s="50" t="s">
        <v>3187</v>
      </c>
      <c r="P812" s="50" t="s">
        <v>3192</v>
      </c>
    </row>
    <row r="813" spans="1:16" ht="12.75" customHeight="1" x14ac:dyDescent="0.25">
      <c r="A813" s="311">
        <v>810</v>
      </c>
      <c r="B813" s="311" t="s">
        <v>87</v>
      </c>
      <c r="C813" s="311" t="s">
        <v>87</v>
      </c>
      <c r="D813" s="311" t="s">
        <v>462</v>
      </c>
      <c r="E813" s="337" t="s">
        <v>87</v>
      </c>
      <c r="F813" s="311" t="s">
        <v>296</v>
      </c>
      <c r="G813" s="311" t="s">
        <v>23</v>
      </c>
      <c r="H813" s="311" t="s">
        <v>413</v>
      </c>
      <c r="I813" s="311" t="s">
        <v>56</v>
      </c>
      <c r="J813" s="50" t="s">
        <v>1892</v>
      </c>
      <c r="K813" s="50" t="s">
        <v>1892</v>
      </c>
      <c r="L813" s="50" t="s">
        <v>1893</v>
      </c>
      <c r="M813" s="50" t="s">
        <v>3193</v>
      </c>
      <c r="N813" s="50" t="s">
        <v>3193</v>
      </c>
      <c r="O813" s="50" t="s">
        <v>3187</v>
      </c>
      <c r="P813" s="50" t="s">
        <v>3193</v>
      </c>
    </row>
    <row r="814" spans="1:16" ht="12.75" customHeight="1" x14ac:dyDescent="0.25">
      <c r="A814" s="311">
        <v>811</v>
      </c>
      <c r="B814" s="311" t="s">
        <v>125</v>
      </c>
      <c r="C814" s="311" t="s">
        <v>125</v>
      </c>
      <c r="D814" s="311" t="s">
        <v>125</v>
      </c>
      <c r="E814" s="337" t="s">
        <v>125</v>
      </c>
      <c r="F814" s="311" t="s">
        <v>296</v>
      </c>
      <c r="G814" s="311" t="s">
        <v>23</v>
      </c>
      <c r="H814" s="311" t="s">
        <v>413</v>
      </c>
      <c r="I814" s="311" t="s">
        <v>56</v>
      </c>
      <c r="J814" s="50" t="s">
        <v>1892</v>
      </c>
      <c r="K814" s="50" t="s">
        <v>1892</v>
      </c>
      <c r="L814" s="50" t="s">
        <v>1893</v>
      </c>
      <c r="M814" s="50" t="s">
        <v>3194</v>
      </c>
      <c r="N814" s="50" t="s">
        <v>3194</v>
      </c>
      <c r="O814" s="50" t="s">
        <v>3194</v>
      </c>
      <c r="P814" s="50" t="s">
        <v>3194</v>
      </c>
    </row>
    <row r="815" spans="1:16" ht="12.75" customHeight="1" x14ac:dyDescent="0.25">
      <c r="A815" s="311">
        <v>812</v>
      </c>
      <c r="B815" s="311" t="s">
        <v>134</v>
      </c>
      <c r="C815" s="311" t="s">
        <v>134</v>
      </c>
      <c r="D815" s="311" t="s">
        <v>134</v>
      </c>
      <c r="E815" s="337" t="s">
        <v>134</v>
      </c>
      <c r="F815" s="311" t="s">
        <v>296</v>
      </c>
      <c r="G815" s="311" t="s">
        <v>23</v>
      </c>
      <c r="H815" s="311" t="s">
        <v>413</v>
      </c>
      <c r="I815" s="311" t="s">
        <v>56</v>
      </c>
      <c r="J815" s="50" t="s">
        <v>1892</v>
      </c>
      <c r="K815" s="50" t="s">
        <v>1892</v>
      </c>
      <c r="L815" s="50" t="s">
        <v>1893</v>
      </c>
      <c r="M815" s="50" t="s">
        <v>3195</v>
      </c>
      <c r="N815" s="50" t="s">
        <v>3195</v>
      </c>
      <c r="O815" s="50" t="s">
        <v>3195</v>
      </c>
      <c r="P815" s="50" t="s">
        <v>3195</v>
      </c>
    </row>
    <row r="816" spans="1:16" ht="12.75" customHeight="1" x14ac:dyDescent="0.25">
      <c r="A816" s="311">
        <v>813</v>
      </c>
      <c r="B816" s="311" t="s">
        <v>141</v>
      </c>
      <c r="C816" s="311" t="s">
        <v>141</v>
      </c>
      <c r="D816" s="311" t="s">
        <v>141</v>
      </c>
      <c r="E816" s="337" t="s">
        <v>141</v>
      </c>
      <c r="F816" s="311" t="s">
        <v>296</v>
      </c>
      <c r="G816" s="311" t="s">
        <v>23</v>
      </c>
      <c r="H816" s="311" t="s">
        <v>413</v>
      </c>
      <c r="I816" s="311" t="s">
        <v>56</v>
      </c>
      <c r="J816" s="50" t="s">
        <v>1892</v>
      </c>
      <c r="K816" s="50" t="s">
        <v>1892</v>
      </c>
      <c r="L816" s="50" t="s">
        <v>1893</v>
      </c>
      <c r="M816" s="50" t="s">
        <v>3196</v>
      </c>
      <c r="N816" s="50" t="s">
        <v>3196</v>
      </c>
      <c r="O816" s="50" t="s">
        <v>3196</v>
      </c>
      <c r="P816" s="50" t="s">
        <v>3196</v>
      </c>
    </row>
    <row r="817" spans="1:16" ht="12.75" customHeight="1" x14ac:dyDescent="0.25">
      <c r="A817" s="311">
        <v>814</v>
      </c>
      <c r="B817" s="311" t="s">
        <v>69</v>
      </c>
      <c r="C817" s="311" t="s">
        <v>69</v>
      </c>
      <c r="D817" s="311" t="s">
        <v>69</v>
      </c>
      <c r="E817" s="337" t="s">
        <v>69</v>
      </c>
      <c r="F817" s="311" t="s">
        <v>296</v>
      </c>
      <c r="G817" s="311" t="s">
        <v>23</v>
      </c>
      <c r="H817" s="311" t="s">
        <v>413</v>
      </c>
      <c r="I817" s="311" t="s">
        <v>56</v>
      </c>
      <c r="J817" s="50" t="s">
        <v>1892</v>
      </c>
      <c r="K817" s="50" t="s">
        <v>1892</v>
      </c>
      <c r="L817" s="50" t="s">
        <v>1893</v>
      </c>
      <c r="M817" s="50" t="s">
        <v>3197</v>
      </c>
      <c r="N817" s="50" t="s">
        <v>3197</v>
      </c>
      <c r="O817" s="50" t="s">
        <v>3197</v>
      </c>
      <c r="P817" s="50" t="s">
        <v>3197</v>
      </c>
    </row>
    <row r="818" spans="1:16" ht="12.75" customHeight="1" x14ac:dyDescent="0.25">
      <c r="A818" s="311">
        <v>815</v>
      </c>
      <c r="B818" s="311" t="s">
        <v>84</v>
      </c>
      <c r="C818" s="311" t="s">
        <v>462</v>
      </c>
      <c r="D818" s="311" t="s">
        <v>462</v>
      </c>
      <c r="E818" s="337" t="s">
        <v>462</v>
      </c>
      <c r="F818" s="311" t="s">
        <v>296</v>
      </c>
      <c r="G818" s="311" t="s">
        <v>237</v>
      </c>
      <c r="H818" s="311" t="s">
        <v>413</v>
      </c>
      <c r="I818" s="311" t="s">
        <v>56</v>
      </c>
      <c r="J818" s="50" t="s">
        <v>1892</v>
      </c>
      <c r="K818" s="50" t="s">
        <v>1892</v>
      </c>
      <c r="L818" s="50" t="s">
        <v>1893</v>
      </c>
      <c r="M818" s="50" t="s">
        <v>3198</v>
      </c>
      <c r="N818" s="50" t="s">
        <v>3199</v>
      </c>
      <c r="O818" s="50" t="s">
        <v>3199</v>
      </c>
      <c r="P818" s="50" t="s">
        <v>3199</v>
      </c>
    </row>
    <row r="819" spans="1:16" ht="12.75" customHeight="1" x14ac:dyDescent="0.25">
      <c r="A819" s="311">
        <v>816</v>
      </c>
      <c r="B819" s="311" t="s">
        <v>123</v>
      </c>
      <c r="C819" s="311" t="s">
        <v>462</v>
      </c>
      <c r="D819" s="311" t="s">
        <v>462</v>
      </c>
      <c r="E819" s="337" t="s">
        <v>462</v>
      </c>
      <c r="F819" s="311" t="s">
        <v>296</v>
      </c>
      <c r="G819" s="311" t="s">
        <v>237</v>
      </c>
      <c r="H819" s="311" t="s">
        <v>413</v>
      </c>
      <c r="I819" s="311" t="s">
        <v>56</v>
      </c>
      <c r="J819" s="50" t="s">
        <v>1892</v>
      </c>
      <c r="K819" s="50" t="s">
        <v>1892</v>
      </c>
      <c r="L819" s="50" t="s">
        <v>1893</v>
      </c>
      <c r="M819" s="50" t="s">
        <v>3200</v>
      </c>
      <c r="N819" s="50" t="s">
        <v>3199</v>
      </c>
      <c r="O819" s="50" t="s">
        <v>3199</v>
      </c>
      <c r="P819" s="50" t="s">
        <v>3199</v>
      </c>
    </row>
    <row r="820" spans="1:16" ht="12.75" customHeight="1" x14ac:dyDescent="0.25">
      <c r="A820" s="311">
        <v>817</v>
      </c>
      <c r="B820" s="311" t="s">
        <v>75</v>
      </c>
      <c r="C820" s="311" t="s">
        <v>462</v>
      </c>
      <c r="D820" s="311" t="s">
        <v>462</v>
      </c>
      <c r="E820" s="337" t="s">
        <v>462</v>
      </c>
      <c r="F820" s="311" t="s">
        <v>296</v>
      </c>
      <c r="G820" s="311" t="s">
        <v>237</v>
      </c>
      <c r="H820" s="311" t="s">
        <v>413</v>
      </c>
      <c r="I820" s="311" t="s">
        <v>56</v>
      </c>
      <c r="J820" s="50" t="s">
        <v>1892</v>
      </c>
      <c r="K820" s="50" t="s">
        <v>1892</v>
      </c>
      <c r="L820" s="50" t="s">
        <v>1893</v>
      </c>
      <c r="M820" s="50" t="s">
        <v>3201</v>
      </c>
      <c r="N820" s="50" t="s">
        <v>3199</v>
      </c>
      <c r="O820" s="50" t="s">
        <v>3199</v>
      </c>
      <c r="P820" s="50" t="s">
        <v>3199</v>
      </c>
    </row>
    <row r="821" spans="1:16" ht="12.75" customHeight="1" x14ac:dyDescent="0.25">
      <c r="A821" s="311">
        <v>818</v>
      </c>
      <c r="B821" s="311" t="s">
        <v>63</v>
      </c>
      <c r="C821" s="311" t="s">
        <v>63</v>
      </c>
      <c r="D821" s="311" t="s">
        <v>462</v>
      </c>
      <c r="E821" s="337" t="s">
        <v>63</v>
      </c>
      <c r="F821" s="311" t="s">
        <v>296</v>
      </c>
      <c r="G821" s="311" t="s">
        <v>237</v>
      </c>
      <c r="H821" s="311" t="s">
        <v>413</v>
      </c>
      <c r="I821" s="311" t="s">
        <v>56</v>
      </c>
      <c r="J821" s="50" t="s">
        <v>1892</v>
      </c>
      <c r="K821" s="50" t="s">
        <v>1892</v>
      </c>
      <c r="L821" s="50" t="s">
        <v>1893</v>
      </c>
      <c r="M821" s="50" t="s">
        <v>3202</v>
      </c>
      <c r="N821" s="50" t="s">
        <v>3202</v>
      </c>
      <c r="O821" s="50" t="s">
        <v>3199</v>
      </c>
      <c r="P821" s="50" t="s">
        <v>3202</v>
      </c>
    </row>
    <row r="822" spans="1:16" ht="12.75" customHeight="1" x14ac:dyDescent="0.25">
      <c r="A822" s="311">
        <v>819</v>
      </c>
      <c r="B822" s="311" t="s">
        <v>140</v>
      </c>
      <c r="C822" s="311" t="s">
        <v>140</v>
      </c>
      <c r="D822" s="311" t="s">
        <v>462</v>
      </c>
      <c r="E822" s="337" t="s">
        <v>140</v>
      </c>
      <c r="F822" s="311" t="s">
        <v>296</v>
      </c>
      <c r="G822" s="311" t="s">
        <v>237</v>
      </c>
      <c r="H822" s="311" t="s">
        <v>413</v>
      </c>
      <c r="I822" s="311" t="s">
        <v>56</v>
      </c>
      <c r="J822" s="50" t="s">
        <v>1892</v>
      </c>
      <c r="K822" s="50" t="s">
        <v>1892</v>
      </c>
      <c r="L822" s="50" t="s">
        <v>1893</v>
      </c>
      <c r="M822" s="50" t="s">
        <v>3203</v>
      </c>
      <c r="N822" s="50" t="s">
        <v>3203</v>
      </c>
      <c r="O822" s="50" t="s">
        <v>3199</v>
      </c>
      <c r="P822" s="50" t="s">
        <v>3203</v>
      </c>
    </row>
    <row r="823" spans="1:16" ht="12.75" customHeight="1" x14ac:dyDescent="0.25">
      <c r="A823" s="311">
        <v>820</v>
      </c>
      <c r="B823" s="311" t="s">
        <v>121</v>
      </c>
      <c r="C823" s="311" t="s">
        <v>121</v>
      </c>
      <c r="D823" s="311" t="s">
        <v>462</v>
      </c>
      <c r="E823" s="337" t="s">
        <v>121</v>
      </c>
      <c r="F823" s="311" t="s">
        <v>296</v>
      </c>
      <c r="G823" s="311" t="s">
        <v>237</v>
      </c>
      <c r="H823" s="311" t="s">
        <v>413</v>
      </c>
      <c r="I823" s="311" t="s">
        <v>56</v>
      </c>
      <c r="J823" s="50" t="s">
        <v>1892</v>
      </c>
      <c r="K823" s="50" t="s">
        <v>1892</v>
      </c>
      <c r="L823" s="50" t="s">
        <v>1893</v>
      </c>
      <c r="M823" s="50" t="s">
        <v>3204</v>
      </c>
      <c r="N823" s="50" t="s">
        <v>3204</v>
      </c>
      <c r="O823" s="50" t="s">
        <v>3199</v>
      </c>
      <c r="P823" s="50" t="s">
        <v>3204</v>
      </c>
    </row>
    <row r="824" spans="1:16" ht="12.75" customHeight="1" x14ac:dyDescent="0.25">
      <c r="A824" s="311">
        <v>821</v>
      </c>
      <c r="B824" s="311" t="s">
        <v>87</v>
      </c>
      <c r="C824" s="311" t="s">
        <v>87</v>
      </c>
      <c r="D824" s="311" t="s">
        <v>462</v>
      </c>
      <c r="E824" s="337" t="s">
        <v>87</v>
      </c>
      <c r="F824" s="311" t="s">
        <v>296</v>
      </c>
      <c r="G824" s="311" t="s">
        <v>237</v>
      </c>
      <c r="H824" s="311" t="s">
        <v>413</v>
      </c>
      <c r="I824" s="311" t="s">
        <v>56</v>
      </c>
      <c r="J824" s="50" t="s">
        <v>1892</v>
      </c>
      <c r="K824" s="50" t="s">
        <v>1892</v>
      </c>
      <c r="L824" s="50" t="s">
        <v>1893</v>
      </c>
      <c r="M824" s="50" t="s">
        <v>3205</v>
      </c>
      <c r="N824" s="50" t="s">
        <v>3205</v>
      </c>
      <c r="O824" s="50" t="s">
        <v>3199</v>
      </c>
      <c r="P824" s="50" t="s">
        <v>3205</v>
      </c>
    </row>
    <row r="825" spans="1:16" ht="12.75" customHeight="1" x14ac:dyDescent="0.25">
      <c r="A825" s="311">
        <v>822</v>
      </c>
      <c r="B825" s="311" t="s">
        <v>125</v>
      </c>
      <c r="C825" s="311" t="s">
        <v>125</v>
      </c>
      <c r="D825" s="311" t="s">
        <v>125</v>
      </c>
      <c r="E825" s="337" t="s">
        <v>125</v>
      </c>
      <c r="F825" s="311" t="s">
        <v>296</v>
      </c>
      <c r="G825" s="311" t="s">
        <v>237</v>
      </c>
      <c r="H825" s="311" t="s">
        <v>413</v>
      </c>
      <c r="I825" s="311" t="s">
        <v>56</v>
      </c>
      <c r="J825" s="50" t="s">
        <v>1892</v>
      </c>
      <c r="K825" s="50" t="s">
        <v>1892</v>
      </c>
      <c r="L825" s="50" t="s">
        <v>1893</v>
      </c>
      <c r="M825" s="50" t="s">
        <v>3206</v>
      </c>
      <c r="N825" s="50" t="s">
        <v>3206</v>
      </c>
      <c r="O825" s="50" t="s">
        <v>3206</v>
      </c>
      <c r="P825" s="50" t="s">
        <v>3206</v>
      </c>
    </row>
    <row r="826" spans="1:16" ht="12.75" customHeight="1" x14ac:dyDescent="0.25">
      <c r="A826" s="311">
        <v>823</v>
      </c>
      <c r="B826" s="311" t="s">
        <v>134</v>
      </c>
      <c r="C826" s="311" t="s">
        <v>134</v>
      </c>
      <c r="D826" s="311" t="s">
        <v>134</v>
      </c>
      <c r="E826" s="337" t="s">
        <v>134</v>
      </c>
      <c r="F826" s="311" t="s">
        <v>296</v>
      </c>
      <c r="G826" s="311" t="s">
        <v>237</v>
      </c>
      <c r="H826" s="311" t="s">
        <v>413</v>
      </c>
      <c r="I826" s="311" t="s">
        <v>56</v>
      </c>
      <c r="J826" s="50" t="s">
        <v>1892</v>
      </c>
      <c r="K826" s="50" t="s">
        <v>1892</v>
      </c>
      <c r="L826" s="50" t="s">
        <v>1893</v>
      </c>
      <c r="M826" s="50" t="s">
        <v>3207</v>
      </c>
      <c r="N826" s="50" t="s">
        <v>3207</v>
      </c>
      <c r="O826" s="50" t="s">
        <v>3207</v>
      </c>
      <c r="P826" s="50" t="s">
        <v>3207</v>
      </c>
    </row>
    <row r="827" spans="1:16" ht="12.75" customHeight="1" x14ac:dyDescent="0.25">
      <c r="A827" s="311">
        <v>824</v>
      </c>
      <c r="B827" s="311" t="s">
        <v>141</v>
      </c>
      <c r="C827" s="311" t="s">
        <v>141</v>
      </c>
      <c r="D827" s="311" t="s">
        <v>141</v>
      </c>
      <c r="E827" s="337" t="s">
        <v>141</v>
      </c>
      <c r="F827" s="311" t="s">
        <v>296</v>
      </c>
      <c r="G827" s="311" t="s">
        <v>237</v>
      </c>
      <c r="H827" s="311" t="s">
        <v>413</v>
      </c>
      <c r="I827" s="311" t="s">
        <v>56</v>
      </c>
      <c r="J827" s="50" t="s">
        <v>1892</v>
      </c>
      <c r="K827" s="50" t="s">
        <v>1892</v>
      </c>
      <c r="L827" s="50" t="s">
        <v>1893</v>
      </c>
      <c r="M827" s="50" t="s">
        <v>3208</v>
      </c>
      <c r="N827" s="50" t="s">
        <v>3208</v>
      </c>
      <c r="O827" s="50" t="s">
        <v>3208</v>
      </c>
      <c r="P827" s="50" t="s">
        <v>3208</v>
      </c>
    </row>
    <row r="828" spans="1:16" ht="12.75" customHeight="1" x14ac:dyDescent="0.25">
      <c r="A828" s="311">
        <v>825</v>
      </c>
      <c r="B828" s="311" t="s">
        <v>69</v>
      </c>
      <c r="C828" s="311" t="s">
        <v>69</v>
      </c>
      <c r="D828" s="311" t="s">
        <v>69</v>
      </c>
      <c r="E828" s="337" t="s">
        <v>69</v>
      </c>
      <c r="F828" s="311" t="s">
        <v>296</v>
      </c>
      <c r="G828" s="311" t="s">
        <v>237</v>
      </c>
      <c r="H828" s="311" t="s">
        <v>413</v>
      </c>
      <c r="I828" s="311" t="s">
        <v>56</v>
      </c>
      <c r="J828" s="50" t="s">
        <v>1892</v>
      </c>
      <c r="K828" s="50" t="s">
        <v>1892</v>
      </c>
      <c r="L828" s="50" t="s">
        <v>1893</v>
      </c>
      <c r="M828" s="50" t="s">
        <v>3209</v>
      </c>
      <c r="N828" s="50" t="s">
        <v>3209</v>
      </c>
      <c r="O828" s="50" t="s">
        <v>3209</v>
      </c>
      <c r="P828" s="50" t="s">
        <v>3209</v>
      </c>
    </row>
    <row r="829" spans="1:16" ht="12.75" customHeight="1" x14ac:dyDescent="0.25">
      <c r="A829" s="311">
        <v>826</v>
      </c>
      <c r="B829" s="311" t="s">
        <v>84</v>
      </c>
      <c r="C829" s="311" t="s">
        <v>462</v>
      </c>
      <c r="D829" s="311" t="s">
        <v>462</v>
      </c>
      <c r="E829" s="337" t="s">
        <v>462</v>
      </c>
      <c r="F829" s="311" t="s">
        <v>82</v>
      </c>
      <c r="G829" s="311" t="s">
        <v>236</v>
      </c>
      <c r="H829" s="311" t="s">
        <v>381</v>
      </c>
      <c r="I829" s="311" t="s">
        <v>56</v>
      </c>
      <c r="J829" s="50" t="s">
        <v>1892</v>
      </c>
      <c r="K829" s="50" t="s">
        <v>1892</v>
      </c>
      <c r="L829" s="50" t="s">
        <v>1893</v>
      </c>
      <c r="M829" s="50" t="s">
        <v>3210</v>
      </c>
      <c r="N829" s="50" t="s">
        <v>3211</v>
      </c>
      <c r="O829" s="50" t="s">
        <v>3211</v>
      </c>
      <c r="P829" s="50" t="s">
        <v>3211</v>
      </c>
    </row>
    <row r="830" spans="1:16" ht="12.75" customHeight="1" x14ac:dyDescent="0.25">
      <c r="A830" s="311">
        <v>827</v>
      </c>
      <c r="B830" s="311" t="s">
        <v>123</v>
      </c>
      <c r="C830" s="311" t="s">
        <v>462</v>
      </c>
      <c r="D830" s="311" t="s">
        <v>462</v>
      </c>
      <c r="E830" s="337" t="s">
        <v>462</v>
      </c>
      <c r="F830" s="311" t="s">
        <v>82</v>
      </c>
      <c r="G830" s="311" t="s">
        <v>236</v>
      </c>
      <c r="H830" s="311" t="s">
        <v>381</v>
      </c>
      <c r="I830" s="311" t="s">
        <v>56</v>
      </c>
      <c r="J830" s="50" t="s">
        <v>1892</v>
      </c>
      <c r="K830" s="50" t="s">
        <v>1892</v>
      </c>
      <c r="L830" s="50" t="s">
        <v>1893</v>
      </c>
      <c r="M830" s="50" t="s">
        <v>3212</v>
      </c>
      <c r="N830" s="50" t="s">
        <v>3211</v>
      </c>
      <c r="O830" s="50" t="s">
        <v>3211</v>
      </c>
      <c r="P830" s="50" t="s">
        <v>3211</v>
      </c>
    </row>
    <row r="831" spans="1:16" ht="12.75" customHeight="1" x14ac:dyDescent="0.25">
      <c r="A831" s="311">
        <v>828</v>
      </c>
      <c r="B831" s="311" t="s">
        <v>75</v>
      </c>
      <c r="C831" s="311" t="s">
        <v>462</v>
      </c>
      <c r="D831" s="311" t="s">
        <v>462</v>
      </c>
      <c r="E831" s="337" t="s">
        <v>462</v>
      </c>
      <c r="F831" s="311" t="s">
        <v>82</v>
      </c>
      <c r="G831" s="311" t="s">
        <v>236</v>
      </c>
      <c r="H831" s="311" t="s">
        <v>381</v>
      </c>
      <c r="I831" s="311" t="s">
        <v>56</v>
      </c>
      <c r="J831" s="50" t="s">
        <v>1892</v>
      </c>
      <c r="K831" s="50" t="s">
        <v>1892</v>
      </c>
      <c r="L831" s="50" t="s">
        <v>1893</v>
      </c>
      <c r="M831" s="50" t="s">
        <v>3213</v>
      </c>
      <c r="N831" s="50" t="s">
        <v>3211</v>
      </c>
      <c r="O831" s="50" t="s">
        <v>3211</v>
      </c>
      <c r="P831" s="50" t="s">
        <v>3211</v>
      </c>
    </row>
    <row r="832" spans="1:16" ht="12.75" customHeight="1" x14ac:dyDescent="0.25">
      <c r="A832" s="311">
        <v>829</v>
      </c>
      <c r="B832" s="311" t="s">
        <v>63</v>
      </c>
      <c r="C832" s="311" t="s">
        <v>63</v>
      </c>
      <c r="D832" s="311" t="s">
        <v>462</v>
      </c>
      <c r="E832" s="337" t="s">
        <v>63</v>
      </c>
      <c r="F832" s="311" t="s">
        <v>82</v>
      </c>
      <c r="G832" s="311" t="s">
        <v>236</v>
      </c>
      <c r="H832" s="311" t="s">
        <v>381</v>
      </c>
      <c r="I832" s="311" t="s">
        <v>56</v>
      </c>
      <c r="J832" s="50" t="s">
        <v>1892</v>
      </c>
      <c r="K832" s="50" t="s">
        <v>1892</v>
      </c>
      <c r="L832" s="50" t="s">
        <v>1893</v>
      </c>
      <c r="M832" s="50" t="s">
        <v>3214</v>
      </c>
      <c r="N832" s="50" t="s">
        <v>3214</v>
      </c>
      <c r="O832" s="50" t="s">
        <v>3211</v>
      </c>
      <c r="P832" s="50" t="s">
        <v>3214</v>
      </c>
    </row>
    <row r="833" spans="1:16" ht="12.75" customHeight="1" x14ac:dyDescent="0.25">
      <c r="A833" s="311">
        <v>830</v>
      </c>
      <c r="B833" s="311" t="s">
        <v>140</v>
      </c>
      <c r="C833" s="311" t="s">
        <v>140</v>
      </c>
      <c r="D833" s="311" t="s">
        <v>462</v>
      </c>
      <c r="E833" s="337" t="s">
        <v>140</v>
      </c>
      <c r="F833" s="311" t="s">
        <v>82</v>
      </c>
      <c r="G833" s="311" t="s">
        <v>236</v>
      </c>
      <c r="H833" s="311" t="s">
        <v>381</v>
      </c>
      <c r="I833" s="311" t="s">
        <v>56</v>
      </c>
      <c r="J833" s="50" t="s">
        <v>1892</v>
      </c>
      <c r="K833" s="50" t="s">
        <v>1892</v>
      </c>
      <c r="L833" s="50" t="s">
        <v>1893</v>
      </c>
      <c r="M833" s="50" t="s">
        <v>3215</v>
      </c>
      <c r="N833" s="50" t="s">
        <v>3215</v>
      </c>
      <c r="O833" s="50" t="s">
        <v>3211</v>
      </c>
      <c r="P833" s="50" t="s">
        <v>3215</v>
      </c>
    </row>
    <row r="834" spans="1:16" ht="12.75" customHeight="1" x14ac:dyDescent="0.25">
      <c r="A834" s="311">
        <v>831</v>
      </c>
      <c r="B834" s="311" t="s">
        <v>121</v>
      </c>
      <c r="C834" s="311" t="s">
        <v>121</v>
      </c>
      <c r="D834" s="311" t="s">
        <v>462</v>
      </c>
      <c r="E834" s="337" t="s">
        <v>121</v>
      </c>
      <c r="F834" s="311" t="s">
        <v>82</v>
      </c>
      <c r="G834" s="311" t="s">
        <v>236</v>
      </c>
      <c r="H834" s="311" t="s">
        <v>381</v>
      </c>
      <c r="I834" s="311" t="s">
        <v>56</v>
      </c>
      <c r="J834" s="50" t="s">
        <v>1892</v>
      </c>
      <c r="K834" s="50" t="s">
        <v>1892</v>
      </c>
      <c r="L834" s="50" t="s">
        <v>1893</v>
      </c>
      <c r="M834" s="50" t="s">
        <v>3216</v>
      </c>
      <c r="N834" s="50" t="s">
        <v>3216</v>
      </c>
      <c r="O834" s="50" t="s">
        <v>3211</v>
      </c>
      <c r="P834" s="50" t="s">
        <v>3216</v>
      </c>
    </row>
    <row r="835" spans="1:16" ht="12.75" customHeight="1" x14ac:dyDescent="0.25">
      <c r="A835" s="311">
        <v>832</v>
      </c>
      <c r="B835" s="311" t="s">
        <v>87</v>
      </c>
      <c r="C835" s="311" t="s">
        <v>87</v>
      </c>
      <c r="D835" s="311" t="s">
        <v>462</v>
      </c>
      <c r="E835" s="337" t="s">
        <v>87</v>
      </c>
      <c r="F835" s="311" t="s">
        <v>82</v>
      </c>
      <c r="G835" s="311" t="s">
        <v>236</v>
      </c>
      <c r="H835" s="311" t="s">
        <v>381</v>
      </c>
      <c r="I835" s="311" t="s">
        <v>56</v>
      </c>
      <c r="J835" s="50" t="s">
        <v>1892</v>
      </c>
      <c r="K835" s="50" t="s">
        <v>1892</v>
      </c>
      <c r="L835" s="50" t="s">
        <v>1893</v>
      </c>
      <c r="M835" s="50" t="s">
        <v>3217</v>
      </c>
      <c r="N835" s="50" t="s">
        <v>3217</v>
      </c>
      <c r="O835" s="50" t="s">
        <v>3211</v>
      </c>
      <c r="P835" s="50" t="s">
        <v>3217</v>
      </c>
    </row>
    <row r="836" spans="1:16" ht="12.75" customHeight="1" x14ac:dyDescent="0.25">
      <c r="A836" s="311">
        <v>833</v>
      </c>
      <c r="B836" s="311" t="s">
        <v>125</v>
      </c>
      <c r="C836" s="311" t="s">
        <v>125</v>
      </c>
      <c r="D836" s="311" t="s">
        <v>125</v>
      </c>
      <c r="E836" s="337" t="s">
        <v>125</v>
      </c>
      <c r="F836" s="311" t="s">
        <v>82</v>
      </c>
      <c r="G836" s="311" t="s">
        <v>236</v>
      </c>
      <c r="H836" s="311" t="s">
        <v>381</v>
      </c>
      <c r="I836" s="311" t="s">
        <v>56</v>
      </c>
      <c r="J836" s="50" t="s">
        <v>1892</v>
      </c>
      <c r="K836" s="50" t="s">
        <v>1892</v>
      </c>
      <c r="L836" s="50" t="s">
        <v>1893</v>
      </c>
      <c r="M836" s="50" t="s">
        <v>3218</v>
      </c>
      <c r="N836" s="50" t="s">
        <v>3218</v>
      </c>
      <c r="O836" s="50" t="s">
        <v>3218</v>
      </c>
      <c r="P836" s="50" t="s">
        <v>3218</v>
      </c>
    </row>
    <row r="837" spans="1:16" ht="12.75" customHeight="1" x14ac:dyDescent="0.25">
      <c r="A837" s="311">
        <v>834</v>
      </c>
      <c r="B837" s="311" t="s">
        <v>134</v>
      </c>
      <c r="C837" s="311" t="s">
        <v>134</v>
      </c>
      <c r="D837" s="311" t="s">
        <v>134</v>
      </c>
      <c r="E837" s="337" t="s">
        <v>134</v>
      </c>
      <c r="F837" s="311" t="s">
        <v>82</v>
      </c>
      <c r="G837" s="311" t="s">
        <v>236</v>
      </c>
      <c r="H837" s="311" t="s">
        <v>381</v>
      </c>
      <c r="I837" s="311" t="s">
        <v>56</v>
      </c>
      <c r="J837" s="50" t="s">
        <v>1892</v>
      </c>
      <c r="K837" s="50" t="s">
        <v>1892</v>
      </c>
      <c r="L837" s="50" t="s">
        <v>1893</v>
      </c>
      <c r="M837" s="50" t="s">
        <v>3219</v>
      </c>
      <c r="N837" s="50" t="s">
        <v>3219</v>
      </c>
      <c r="O837" s="50" t="s">
        <v>3219</v>
      </c>
      <c r="P837" s="50" t="s">
        <v>3219</v>
      </c>
    </row>
    <row r="838" spans="1:16" ht="12.75" customHeight="1" x14ac:dyDescent="0.25">
      <c r="A838" s="311">
        <v>835</v>
      </c>
      <c r="B838" s="311" t="s">
        <v>141</v>
      </c>
      <c r="C838" s="311" t="s">
        <v>141</v>
      </c>
      <c r="D838" s="311" t="s">
        <v>141</v>
      </c>
      <c r="E838" s="337" t="s">
        <v>141</v>
      </c>
      <c r="F838" s="311" t="s">
        <v>82</v>
      </c>
      <c r="G838" s="311" t="s">
        <v>236</v>
      </c>
      <c r="H838" s="311" t="s">
        <v>381</v>
      </c>
      <c r="I838" s="311" t="s">
        <v>56</v>
      </c>
      <c r="J838" s="50" t="s">
        <v>1892</v>
      </c>
      <c r="K838" s="50" t="s">
        <v>1892</v>
      </c>
      <c r="L838" s="50" t="s">
        <v>1893</v>
      </c>
      <c r="M838" s="50" t="s">
        <v>3220</v>
      </c>
      <c r="N838" s="50" t="s">
        <v>3220</v>
      </c>
      <c r="O838" s="50" t="s">
        <v>3220</v>
      </c>
      <c r="P838" s="50" t="s">
        <v>3220</v>
      </c>
    </row>
    <row r="839" spans="1:16" ht="12.75" customHeight="1" x14ac:dyDescent="0.25">
      <c r="A839" s="311">
        <v>836</v>
      </c>
      <c r="B839" s="311" t="s">
        <v>69</v>
      </c>
      <c r="C839" s="311" t="s">
        <v>69</v>
      </c>
      <c r="D839" s="311" t="s">
        <v>69</v>
      </c>
      <c r="E839" s="337" t="s">
        <v>69</v>
      </c>
      <c r="F839" s="311" t="s">
        <v>82</v>
      </c>
      <c r="G839" s="311" t="s">
        <v>236</v>
      </c>
      <c r="H839" s="311" t="s">
        <v>381</v>
      </c>
      <c r="I839" s="311" t="s">
        <v>56</v>
      </c>
      <c r="J839" s="50" t="s">
        <v>1892</v>
      </c>
      <c r="K839" s="50" t="s">
        <v>1892</v>
      </c>
      <c r="L839" s="50" t="s">
        <v>1893</v>
      </c>
      <c r="M839" s="50" t="s">
        <v>3221</v>
      </c>
      <c r="N839" s="50" t="s">
        <v>3221</v>
      </c>
      <c r="O839" s="50" t="s">
        <v>3221</v>
      </c>
      <c r="P839" s="50" t="s">
        <v>3221</v>
      </c>
    </row>
    <row r="840" spans="1:16" ht="12.75" customHeight="1" x14ac:dyDescent="0.25">
      <c r="A840" s="311">
        <v>837</v>
      </c>
      <c r="B840" s="311" t="s">
        <v>84</v>
      </c>
      <c r="C840" s="311" t="s">
        <v>462</v>
      </c>
      <c r="D840" s="311" t="s">
        <v>462</v>
      </c>
      <c r="E840" s="337" t="s">
        <v>462</v>
      </c>
      <c r="F840" s="311" t="s">
        <v>82</v>
      </c>
      <c r="G840" s="311" t="s">
        <v>23</v>
      </c>
      <c r="H840" s="311" t="s">
        <v>381</v>
      </c>
      <c r="I840" s="311" t="s">
        <v>56</v>
      </c>
      <c r="J840" s="50" t="s">
        <v>1892</v>
      </c>
      <c r="K840" s="50" t="s">
        <v>1892</v>
      </c>
      <c r="L840" s="50" t="s">
        <v>1893</v>
      </c>
      <c r="M840" s="50" t="s">
        <v>3222</v>
      </c>
      <c r="N840" s="50" t="s">
        <v>3223</v>
      </c>
      <c r="O840" s="50" t="s">
        <v>3223</v>
      </c>
      <c r="P840" s="50" t="s">
        <v>3223</v>
      </c>
    </row>
    <row r="841" spans="1:16" ht="12.75" customHeight="1" x14ac:dyDescent="0.25">
      <c r="A841" s="311">
        <v>838</v>
      </c>
      <c r="B841" s="311" t="s">
        <v>123</v>
      </c>
      <c r="C841" s="311" t="s">
        <v>462</v>
      </c>
      <c r="D841" s="311" t="s">
        <v>462</v>
      </c>
      <c r="E841" s="337" t="s">
        <v>462</v>
      </c>
      <c r="F841" s="311" t="s">
        <v>82</v>
      </c>
      <c r="G841" s="311" t="s">
        <v>23</v>
      </c>
      <c r="H841" s="311" t="s">
        <v>381</v>
      </c>
      <c r="I841" s="311" t="s">
        <v>56</v>
      </c>
      <c r="J841" s="50" t="s">
        <v>1892</v>
      </c>
      <c r="K841" s="50" t="s">
        <v>1892</v>
      </c>
      <c r="L841" s="50" t="s">
        <v>1893</v>
      </c>
      <c r="M841" s="50" t="s">
        <v>3224</v>
      </c>
      <c r="N841" s="50" t="s">
        <v>3223</v>
      </c>
      <c r="O841" s="50" t="s">
        <v>3223</v>
      </c>
      <c r="P841" s="50" t="s">
        <v>3223</v>
      </c>
    </row>
    <row r="842" spans="1:16" ht="12.75" customHeight="1" x14ac:dyDescent="0.25">
      <c r="A842" s="311">
        <v>839</v>
      </c>
      <c r="B842" s="311" t="s">
        <v>75</v>
      </c>
      <c r="C842" s="311" t="s">
        <v>462</v>
      </c>
      <c r="D842" s="311" t="s">
        <v>462</v>
      </c>
      <c r="E842" s="337" t="s">
        <v>462</v>
      </c>
      <c r="F842" s="311" t="s">
        <v>82</v>
      </c>
      <c r="G842" s="311" t="s">
        <v>23</v>
      </c>
      <c r="H842" s="311" t="s">
        <v>381</v>
      </c>
      <c r="I842" s="311" t="s">
        <v>56</v>
      </c>
      <c r="J842" s="50" t="s">
        <v>1892</v>
      </c>
      <c r="K842" s="50" t="s">
        <v>1892</v>
      </c>
      <c r="L842" s="50" t="s">
        <v>1893</v>
      </c>
      <c r="M842" s="50" t="s">
        <v>3225</v>
      </c>
      <c r="N842" s="50" t="s">
        <v>3223</v>
      </c>
      <c r="O842" s="50" t="s">
        <v>3223</v>
      </c>
      <c r="P842" s="50" t="s">
        <v>3223</v>
      </c>
    </row>
    <row r="843" spans="1:16" ht="12.75" customHeight="1" x14ac:dyDescent="0.25">
      <c r="A843" s="311">
        <v>840</v>
      </c>
      <c r="B843" s="311" t="s">
        <v>63</v>
      </c>
      <c r="C843" s="311" t="s">
        <v>63</v>
      </c>
      <c r="D843" s="311" t="s">
        <v>462</v>
      </c>
      <c r="E843" s="337" t="s">
        <v>63</v>
      </c>
      <c r="F843" s="311" t="s">
        <v>82</v>
      </c>
      <c r="G843" s="311" t="s">
        <v>23</v>
      </c>
      <c r="H843" s="311" t="s">
        <v>381</v>
      </c>
      <c r="I843" s="311" t="s">
        <v>56</v>
      </c>
      <c r="J843" s="50" t="s">
        <v>1892</v>
      </c>
      <c r="K843" s="50" t="s">
        <v>1892</v>
      </c>
      <c r="L843" s="50" t="s">
        <v>1893</v>
      </c>
      <c r="M843" s="50" t="s">
        <v>3226</v>
      </c>
      <c r="N843" s="50" t="s">
        <v>3226</v>
      </c>
      <c r="O843" s="50" t="s">
        <v>3223</v>
      </c>
      <c r="P843" s="50" t="s">
        <v>3226</v>
      </c>
    </row>
    <row r="844" spans="1:16" ht="12.75" customHeight="1" x14ac:dyDescent="0.25">
      <c r="A844" s="311">
        <v>841</v>
      </c>
      <c r="B844" s="311" t="s">
        <v>140</v>
      </c>
      <c r="C844" s="311" t="s">
        <v>140</v>
      </c>
      <c r="D844" s="311" t="s">
        <v>462</v>
      </c>
      <c r="E844" s="337" t="s">
        <v>140</v>
      </c>
      <c r="F844" s="311" t="s">
        <v>82</v>
      </c>
      <c r="G844" s="311" t="s">
        <v>23</v>
      </c>
      <c r="H844" s="311" t="s">
        <v>381</v>
      </c>
      <c r="I844" s="311" t="s">
        <v>56</v>
      </c>
      <c r="J844" s="50" t="s">
        <v>1892</v>
      </c>
      <c r="K844" s="50" t="s">
        <v>1892</v>
      </c>
      <c r="L844" s="50" t="s">
        <v>1893</v>
      </c>
      <c r="M844" s="50" t="s">
        <v>3227</v>
      </c>
      <c r="N844" s="50" t="s">
        <v>3227</v>
      </c>
      <c r="O844" s="50" t="s">
        <v>3223</v>
      </c>
      <c r="P844" s="50" t="s">
        <v>3227</v>
      </c>
    </row>
    <row r="845" spans="1:16" ht="12.75" customHeight="1" x14ac:dyDescent="0.25">
      <c r="A845" s="311">
        <v>842</v>
      </c>
      <c r="B845" s="311" t="s">
        <v>121</v>
      </c>
      <c r="C845" s="311" t="s">
        <v>121</v>
      </c>
      <c r="D845" s="311" t="s">
        <v>462</v>
      </c>
      <c r="E845" s="337" t="s">
        <v>121</v>
      </c>
      <c r="F845" s="311" t="s">
        <v>82</v>
      </c>
      <c r="G845" s="311" t="s">
        <v>23</v>
      </c>
      <c r="H845" s="311" t="s">
        <v>381</v>
      </c>
      <c r="I845" s="311" t="s">
        <v>56</v>
      </c>
      <c r="J845" s="50" t="s">
        <v>1892</v>
      </c>
      <c r="K845" s="50" t="s">
        <v>1892</v>
      </c>
      <c r="L845" s="50" t="s">
        <v>1893</v>
      </c>
      <c r="M845" s="50" t="s">
        <v>3228</v>
      </c>
      <c r="N845" s="50" t="s">
        <v>3228</v>
      </c>
      <c r="O845" s="50" t="s">
        <v>3223</v>
      </c>
      <c r="P845" s="50" t="s">
        <v>3228</v>
      </c>
    </row>
    <row r="846" spans="1:16" ht="12.75" customHeight="1" x14ac:dyDescent="0.25">
      <c r="A846" s="311">
        <v>843</v>
      </c>
      <c r="B846" s="311" t="s">
        <v>87</v>
      </c>
      <c r="C846" s="311" t="s">
        <v>87</v>
      </c>
      <c r="D846" s="311" t="s">
        <v>462</v>
      </c>
      <c r="E846" s="337" t="s">
        <v>87</v>
      </c>
      <c r="F846" s="311" t="s">
        <v>82</v>
      </c>
      <c r="G846" s="311" t="s">
        <v>23</v>
      </c>
      <c r="H846" s="311" t="s">
        <v>381</v>
      </c>
      <c r="I846" s="311" t="s">
        <v>56</v>
      </c>
      <c r="J846" s="50" t="s">
        <v>1892</v>
      </c>
      <c r="K846" s="50" t="s">
        <v>1892</v>
      </c>
      <c r="L846" s="50" t="s">
        <v>1893</v>
      </c>
      <c r="M846" s="50" t="s">
        <v>3229</v>
      </c>
      <c r="N846" s="50" t="s">
        <v>3229</v>
      </c>
      <c r="O846" s="50" t="s">
        <v>3223</v>
      </c>
      <c r="P846" s="50" t="s">
        <v>3229</v>
      </c>
    </row>
    <row r="847" spans="1:16" ht="12.75" customHeight="1" x14ac:dyDescent="0.25">
      <c r="A847" s="311">
        <v>844</v>
      </c>
      <c r="B847" s="311" t="s">
        <v>125</v>
      </c>
      <c r="C847" s="311" t="s">
        <v>125</v>
      </c>
      <c r="D847" s="311" t="s">
        <v>125</v>
      </c>
      <c r="E847" s="337" t="s">
        <v>125</v>
      </c>
      <c r="F847" s="311" t="s">
        <v>82</v>
      </c>
      <c r="G847" s="311" t="s">
        <v>23</v>
      </c>
      <c r="H847" s="311" t="s">
        <v>381</v>
      </c>
      <c r="I847" s="311" t="s">
        <v>56</v>
      </c>
      <c r="J847" s="50" t="s">
        <v>1892</v>
      </c>
      <c r="K847" s="50" t="s">
        <v>1892</v>
      </c>
      <c r="L847" s="50" t="s">
        <v>1893</v>
      </c>
      <c r="M847" s="50" t="s">
        <v>3230</v>
      </c>
      <c r="N847" s="50" t="s">
        <v>3230</v>
      </c>
      <c r="O847" s="50" t="s">
        <v>3230</v>
      </c>
      <c r="P847" s="50" t="s">
        <v>3230</v>
      </c>
    </row>
    <row r="848" spans="1:16" ht="12.75" customHeight="1" x14ac:dyDescent="0.25">
      <c r="A848" s="311">
        <v>845</v>
      </c>
      <c r="B848" s="311" t="s">
        <v>134</v>
      </c>
      <c r="C848" s="311" t="s">
        <v>134</v>
      </c>
      <c r="D848" s="311" t="s">
        <v>134</v>
      </c>
      <c r="E848" s="337" t="s">
        <v>134</v>
      </c>
      <c r="F848" s="311" t="s">
        <v>82</v>
      </c>
      <c r="G848" s="311" t="s">
        <v>23</v>
      </c>
      <c r="H848" s="311" t="s">
        <v>381</v>
      </c>
      <c r="I848" s="311" t="s">
        <v>56</v>
      </c>
      <c r="J848" s="50" t="s">
        <v>1892</v>
      </c>
      <c r="K848" s="50" t="s">
        <v>1892</v>
      </c>
      <c r="L848" s="50" t="s">
        <v>1893</v>
      </c>
      <c r="M848" s="50" t="s">
        <v>3231</v>
      </c>
      <c r="N848" s="50" t="s">
        <v>3231</v>
      </c>
      <c r="O848" s="50" t="s">
        <v>3231</v>
      </c>
      <c r="P848" s="50" t="s">
        <v>3231</v>
      </c>
    </row>
    <row r="849" spans="1:16" ht="12.75" customHeight="1" x14ac:dyDescent="0.25">
      <c r="A849" s="311">
        <v>846</v>
      </c>
      <c r="B849" s="311" t="s">
        <v>141</v>
      </c>
      <c r="C849" s="311" t="s">
        <v>141</v>
      </c>
      <c r="D849" s="311" t="s">
        <v>141</v>
      </c>
      <c r="E849" s="337" t="s">
        <v>141</v>
      </c>
      <c r="F849" s="311" t="s">
        <v>82</v>
      </c>
      <c r="G849" s="311" t="s">
        <v>23</v>
      </c>
      <c r="H849" s="311" t="s">
        <v>381</v>
      </c>
      <c r="I849" s="311" t="s">
        <v>56</v>
      </c>
      <c r="J849" s="50" t="s">
        <v>1892</v>
      </c>
      <c r="K849" s="50" t="s">
        <v>1892</v>
      </c>
      <c r="L849" s="50" t="s">
        <v>1893</v>
      </c>
      <c r="M849" s="50" t="s">
        <v>3232</v>
      </c>
      <c r="N849" s="50" t="s">
        <v>3232</v>
      </c>
      <c r="O849" s="50" t="s">
        <v>3232</v>
      </c>
      <c r="P849" s="50" t="s">
        <v>3232</v>
      </c>
    </row>
    <row r="850" spans="1:16" ht="12.75" customHeight="1" x14ac:dyDescent="0.25">
      <c r="A850" s="311">
        <v>847</v>
      </c>
      <c r="B850" s="311" t="s">
        <v>69</v>
      </c>
      <c r="C850" s="311" t="s">
        <v>69</v>
      </c>
      <c r="D850" s="311" t="s">
        <v>69</v>
      </c>
      <c r="E850" s="337" t="s">
        <v>69</v>
      </c>
      <c r="F850" s="311" t="s">
        <v>82</v>
      </c>
      <c r="G850" s="311" t="s">
        <v>23</v>
      </c>
      <c r="H850" s="311" t="s">
        <v>381</v>
      </c>
      <c r="I850" s="311" t="s">
        <v>56</v>
      </c>
      <c r="J850" s="50" t="s">
        <v>1892</v>
      </c>
      <c r="K850" s="50" t="s">
        <v>1892</v>
      </c>
      <c r="L850" s="50" t="s">
        <v>1893</v>
      </c>
      <c r="M850" s="50" t="s">
        <v>3233</v>
      </c>
      <c r="N850" s="50" t="s">
        <v>3233</v>
      </c>
      <c r="O850" s="50" t="s">
        <v>3233</v>
      </c>
      <c r="P850" s="50" t="s">
        <v>3233</v>
      </c>
    </row>
    <row r="851" spans="1:16" ht="12.75" customHeight="1" x14ac:dyDescent="0.25">
      <c r="A851" s="311">
        <v>848</v>
      </c>
      <c r="B851" s="311" t="s">
        <v>84</v>
      </c>
      <c r="C851" s="311" t="s">
        <v>462</v>
      </c>
      <c r="D851" s="311" t="s">
        <v>462</v>
      </c>
      <c r="E851" s="337" t="s">
        <v>462</v>
      </c>
      <c r="F851" s="311" t="s">
        <v>82</v>
      </c>
      <c r="G851" s="311" t="s">
        <v>237</v>
      </c>
      <c r="H851" s="311" t="s">
        <v>381</v>
      </c>
      <c r="I851" s="311" t="s">
        <v>56</v>
      </c>
      <c r="J851" s="50" t="s">
        <v>1892</v>
      </c>
      <c r="K851" s="50" t="s">
        <v>1892</v>
      </c>
      <c r="L851" s="50" t="s">
        <v>1893</v>
      </c>
      <c r="M851" s="50" t="s">
        <v>3234</v>
      </c>
      <c r="N851" s="50" t="s">
        <v>3235</v>
      </c>
      <c r="O851" s="50" t="s">
        <v>3235</v>
      </c>
      <c r="P851" s="50" t="s">
        <v>3235</v>
      </c>
    </row>
    <row r="852" spans="1:16" ht="12.75" customHeight="1" x14ac:dyDescent="0.25">
      <c r="A852" s="311">
        <v>849</v>
      </c>
      <c r="B852" s="311" t="s">
        <v>123</v>
      </c>
      <c r="C852" s="311" t="s">
        <v>462</v>
      </c>
      <c r="D852" s="311" t="s">
        <v>462</v>
      </c>
      <c r="E852" s="337" t="s">
        <v>462</v>
      </c>
      <c r="F852" s="311" t="s">
        <v>82</v>
      </c>
      <c r="G852" s="311" t="s">
        <v>237</v>
      </c>
      <c r="H852" s="311" t="s">
        <v>381</v>
      </c>
      <c r="I852" s="311" t="s">
        <v>56</v>
      </c>
      <c r="J852" s="50" t="s">
        <v>1892</v>
      </c>
      <c r="K852" s="50" t="s">
        <v>1892</v>
      </c>
      <c r="L852" s="50" t="s">
        <v>1893</v>
      </c>
      <c r="M852" s="50" t="s">
        <v>3236</v>
      </c>
      <c r="N852" s="50" t="s">
        <v>3235</v>
      </c>
      <c r="O852" s="50" t="s">
        <v>3235</v>
      </c>
      <c r="P852" s="50" t="s">
        <v>3235</v>
      </c>
    </row>
    <row r="853" spans="1:16" ht="12.75" customHeight="1" x14ac:dyDescent="0.25">
      <c r="A853" s="311">
        <v>850</v>
      </c>
      <c r="B853" s="311" t="s">
        <v>75</v>
      </c>
      <c r="C853" s="311" t="s">
        <v>462</v>
      </c>
      <c r="D853" s="311" t="s">
        <v>462</v>
      </c>
      <c r="E853" s="337" t="s">
        <v>462</v>
      </c>
      <c r="F853" s="311" t="s">
        <v>82</v>
      </c>
      <c r="G853" s="311" t="s">
        <v>237</v>
      </c>
      <c r="H853" s="311" t="s">
        <v>381</v>
      </c>
      <c r="I853" s="311" t="s">
        <v>56</v>
      </c>
      <c r="J853" s="50" t="s">
        <v>1892</v>
      </c>
      <c r="K853" s="50" t="s">
        <v>1892</v>
      </c>
      <c r="L853" s="50" t="s">
        <v>1893</v>
      </c>
      <c r="M853" s="50" t="s">
        <v>3237</v>
      </c>
      <c r="N853" s="50" t="s">
        <v>3235</v>
      </c>
      <c r="O853" s="50" t="s">
        <v>3235</v>
      </c>
      <c r="P853" s="50" t="s">
        <v>3235</v>
      </c>
    </row>
    <row r="854" spans="1:16" ht="12.75" customHeight="1" x14ac:dyDescent="0.25">
      <c r="A854" s="311">
        <v>851</v>
      </c>
      <c r="B854" s="311" t="s">
        <v>63</v>
      </c>
      <c r="C854" s="311" t="s">
        <v>63</v>
      </c>
      <c r="D854" s="311" t="s">
        <v>462</v>
      </c>
      <c r="E854" s="337" t="s">
        <v>63</v>
      </c>
      <c r="F854" s="311" t="s">
        <v>82</v>
      </c>
      <c r="G854" s="311" t="s">
        <v>237</v>
      </c>
      <c r="H854" s="311" t="s">
        <v>381</v>
      </c>
      <c r="I854" s="311" t="s">
        <v>56</v>
      </c>
      <c r="J854" s="50" t="s">
        <v>1892</v>
      </c>
      <c r="K854" s="50" t="s">
        <v>1892</v>
      </c>
      <c r="L854" s="50" t="s">
        <v>1893</v>
      </c>
      <c r="M854" s="50" t="s">
        <v>3238</v>
      </c>
      <c r="N854" s="50" t="s">
        <v>3238</v>
      </c>
      <c r="O854" s="50" t="s">
        <v>3235</v>
      </c>
      <c r="P854" s="50" t="s">
        <v>3238</v>
      </c>
    </row>
    <row r="855" spans="1:16" ht="12.75" customHeight="1" x14ac:dyDescent="0.25">
      <c r="A855" s="311">
        <v>852</v>
      </c>
      <c r="B855" s="311" t="s">
        <v>140</v>
      </c>
      <c r="C855" s="311" t="s">
        <v>140</v>
      </c>
      <c r="D855" s="311" t="s">
        <v>462</v>
      </c>
      <c r="E855" s="337" t="s">
        <v>140</v>
      </c>
      <c r="F855" s="311" t="s">
        <v>82</v>
      </c>
      <c r="G855" s="311" t="s">
        <v>237</v>
      </c>
      <c r="H855" s="311" t="s">
        <v>381</v>
      </c>
      <c r="I855" s="311" t="s">
        <v>56</v>
      </c>
      <c r="J855" s="50" t="s">
        <v>1892</v>
      </c>
      <c r="K855" s="50" t="s">
        <v>1892</v>
      </c>
      <c r="L855" s="50" t="s">
        <v>1893</v>
      </c>
      <c r="M855" s="50" t="s">
        <v>3239</v>
      </c>
      <c r="N855" s="50" t="s">
        <v>3239</v>
      </c>
      <c r="O855" s="50" t="s">
        <v>3235</v>
      </c>
      <c r="P855" s="50" t="s">
        <v>3239</v>
      </c>
    </row>
    <row r="856" spans="1:16" ht="12.75" customHeight="1" x14ac:dyDescent="0.25">
      <c r="A856" s="311">
        <v>853</v>
      </c>
      <c r="B856" s="311" t="s">
        <v>121</v>
      </c>
      <c r="C856" s="311" t="s">
        <v>121</v>
      </c>
      <c r="D856" s="311" t="s">
        <v>462</v>
      </c>
      <c r="E856" s="337" t="s">
        <v>121</v>
      </c>
      <c r="F856" s="311" t="s">
        <v>82</v>
      </c>
      <c r="G856" s="311" t="s">
        <v>237</v>
      </c>
      <c r="H856" s="311" t="s">
        <v>381</v>
      </c>
      <c r="I856" s="311" t="s">
        <v>56</v>
      </c>
      <c r="J856" s="50" t="s">
        <v>1892</v>
      </c>
      <c r="K856" s="50" t="s">
        <v>1892</v>
      </c>
      <c r="L856" s="50" t="s">
        <v>1893</v>
      </c>
      <c r="M856" s="50" t="s">
        <v>3240</v>
      </c>
      <c r="N856" s="50" t="s">
        <v>3240</v>
      </c>
      <c r="O856" s="50" t="s">
        <v>3235</v>
      </c>
      <c r="P856" s="50" t="s">
        <v>3240</v>
      </c>
    </row>
    <row r="857" spans="1:16" ht="12.75" customHeight="1" x14ac:dyDescent="0.25">
      <c r="A857" s="311">
        <v>854</v>
      </c>
      <c r="B857" s="311" t="s">
        <v>87</v>
      </c>
      <c r="C857" s="311" t="s">
        <v>87</v>
      </c>
      <c r="D857" s="311" t="s">
        <v>462</v>
      </c>
      <c r="E857" s="337" t="s">
        <v>87</v>
      </c>
      <c r="F857" s="311" t="s">
        <v>82</v>
      </c>
      <c r="G857" s="311" t="s">
        <v>237</v>
      </c>
      <c r="H857" s="311" t="s">
        <v>381</v>
      </c>
      <c r="I857" s="311" t="s">
        <v>56</v>
      </c>
      <c r="J857" s="50" t="s">
        <v>1892</v>
      </c>
      <c r="K857" s="50" t="s">
        <v>1892</v>
      </c>
      <c r="L857" s="50" t="s">
        <v>1893</v>
      </c>
      <c r="M857" s="50" t="s">
        <v>3241</v>
      </c>
      <c r="N857" s="50" t="s">
        <v>3241</v>
      </c>
      <c r="O857" s="50" t="s">
        <v>3235</v>
      </c>
      <c r="P857" s="50" t="s">
        <v>3241</v>
      </c>
    </row>
    <row r="858" spans="1:16" ht="12.75" customHeight="1" x14ac:dyDescent="0.25">
      <c r="A858" s="311">
        <v>855</v>
      </c>
      <c r="B858" s="311" t="s">
        <v>125</v>
      </c>
      <c r="C858" s="311" t="s">
        <v>125</v>
      </c>
      <c r="D858" s="311" t="s">
        <v>125</v>
      </c>
      <c r="E858" s="337" t="s">
        <v>125</v>
      </c>
      <c r="F858" s="311" t="s">
        <v>82</v>
      </c>
      <c r="G858" s="311" t="s">
        <v>237</v>
      </c>
      <c r="H858" s="311" t="s">
        <v>381</v>
      </c>
      <c r="I858" s="311" t="s">
        <v>56</v>
      </c>
      <c r="J858" s="50" t="s">
        <v>1892</v>
      </c>
      <c r="K858" s="50" t="s">
        <v>1892</v>
      </c>
      <c r="L858" s="50" t="s">
        <v>1893</v>
      </c>
      <c r="M858" s="50" t="s">
        <v>3242</v>
      </c>
      <c r="N858" s="50" t="s">
        <v>3242</v>
      </c>
      <c r="O858" s="50" t="s">
        <v>3242</v>
      </c>
      <c r="P858" s="50" t="s">
        <v>3242</v>
      </c>
    </row>
    <row r="859" spans="1:16" ht="12.75" customHeight="1" x14ac:dyDescent="0.25">
      <c r="A859" s="311">
        <v>856</v>
      </c>
      <c r="B859" s="311" t="s">
        <v>134</v>
      </c>
      <c r="C859" s="311" t="s">
        <v>134</v>
      </c>
      <c r="D859" s="311" t="s">
        <v>134</v>
      </c>
      <c r="E859" s="337" t="s">
        <v>134</v>
      </c>
      <c r="F859" s="311" t="s">
        <v>82</v>
      </c>
      <c r="G859" s="311" t="s">
        <v>237</v>
      </c>
      <c r="H859" s="311" t="s">
        <v>381</v>
      </c>
      <c r="I859" s="311" t="s">
        <v>56</v>
      </c>
      <c r="J859" s="50" t="s">
        <v>1892</v>
      </c>
      <c r="K859" s="50" t="s">
        <v>1892</v>
      </c>
      <c r="L859" s="50" t="s">
        <v>1893</v>
      </c>
      <c r="M859" s="50" t="s">
        <v>3243</v>
      </c>
      <c r="N859" s="50" t="s">
        <v>3243</v>
      </c>
      <c r="O859" s="50" t="s">
        <v>3243</v>
      </c>
      <c r="P859" s="50" t="s">
        <v>3243</v>
      </c>
    </row>
    <row r="860" spans="1:16" ht="12.75" customHeight="1" x14ac:dyDescent="0.25">
      <c r="A860" s="311">
        <v>857</v>
      </c>
      <c r="B860" s="311" t="s">
        <v>141</v>
      </c>
      <c r="C860" s="311" t="s">
        <v>141</v>
      </c>
      <c r="D860" s="311" t="s">
        <v>141</v>
      </c>
      <c r="E860" s="337" t="s">
        <v>141</v>
      </c>
      <c r="F860" s="311" t="s">
        <v>82</v>
      </c>
      <c r="G860" s="311" t="s">
        <v>237</v>
      </c>
      <c r="H860" s="311" t="s">
        <v>381</v>
      </c>
      <c r="I860" s="311" t="s">
        <v>56</v>
      </c>
      <c r="J860" s="50" t="s">
        <v>1892</v>
      </c>
      <c r="K860" s="50" t="s">
        <v>1892</v>
      </c>
      <c r="L860" s="50" t="s">
        <v>1893</v>
      </c>
      <c r="M860" s="50" t="s">
        <v>3244</v>
      </c>
      <c r="N860" s="50" t="s">
        <v>3244</v>
      </c>
      <c r="O860" s="50" t="s">
        <v>3244</v>
      </c>
      <c r="P860" s="50" t="s">
        <v>3244</v>
      </c>
    </row>
    <row r="861" spans="1:16" ht="12.75" customHeight="1" x14ac:dyDescent="0.25">
      <c r="A861" s="311">
        <v>858</v>
      </c>
      <c r="B861" s="311" t="s">
        <v>69</v>
      </c>
      <c r="C861" s="311" t="s">
        <v>69</v>
      </c>
      <c r="D861" s="311" t="s">
        <v>69</v>
      </c>
      <c r="E861" s="337" t="s">
        <v>69</v>
      </c>
      <c r="F861" s="311" t="s">
        <v>82</v>
      </c>
      <c r="G861" s="311" t="s">
        <v>237</v>
      </c>
      <c r="H861" s="311" t="s">
        <v>381</v>
      </c>
      <c r="I861" s="311" t="s">
        <v>56</v>
      </c>
      <c r="J861" s="50" t="s">
        <v>1892</v>
      </c>
      <c r="K861" s="50" t="s">
        <v>1892</v>
      </c>
      <c r="L861" s="50" t="s">
        <v>1893</v>
      </c>
      <c r="M861" s="50" t="s">
        <v>3245</v>
      </c>
      <c r="N861" s="50" t="s">
        <v>3245</v>
      </c>
      <c r="O861" s="50" t="s">
        <v>3245</v>
      </c>
      <c r="P861" s="50" t="s">
        <v>3245</v>
      </c>
    </row>
    <row r="862" spans="1:16" ht="12.75" customHeight="1" x14ac:dyDescent="0.25">
      <c r="A862" s="311">
        <v>859</v>
      </c>
      <c r="B862" s="311" t="s">
        <v>84</v>
      </c>
      <c r="C862" s="311" t="s">
        <v>462</v>
      </c>
      <c r="D862" s="311" t="s">
        <v>462</v>
      </c>
      <c r="E862" s="337" t="s">
        <v>462</v>
      </c>
      <c r="F862" s="311" t="s">
        <v>138</v>
      </c>
      <c r="G862" s="311" t="s">
        <v>236</v>
      </c>
      <c r="H862" s="311" t="s">
        <v>464</v>
      </c>
      <c r="I862" s="311" t="s">
        <v>56</v>
      </c>
      <c r="J862" s="50" t="s">
        <v>1892</v>
      </c>
      <c r="K862" s="50" t="s">
        <v>1892</v>
      </c>
      <c r="L862" s="50" t="s">
        <v>1893</v>
      </c>
      <c r="M862" s="50" t="s">
        <v>3246</v>
      </c>
      <c r="N862" s="50" t="s">
        <v>3247</v>
      </c>
      <c r="O862" s="50" t="s">
        <v>3247</v>
      </c>
      <c r="P862" s="50" t="s">
        <v>3247</v>
      </c>
    </row>
    <row r="863" spans="1:16" ht="12.75" customHeight="1" x14ac:dyDescent="0.25">
      <c r="A863" s="311">
        <v>860</v>
      </c>
      <c r="B863" s="311" t="s">
        <v>123</v>
      </c>
      <c r="C863" s="311" t="s">
        <v>462</v>
      </c>
      <c r="D863" s="311" t="s">
        <v>462</v>
      </c>
      <c r="E863" s="337" t="s">
        <v>462</v>
      </c>
      <c r="F863" s="311" t="s">
        <v>138</v>
      </c>
      <c r="G863" s="311" t="s">
        <v>236</v>
      </c>
      <c r="H863" s="311" t="s">
        <v>464</v>
      </c>
      <c r="I863" s="311" t="s">
        <v>56</v>
      </c>
      <c r="J863" s="50" t="s">
        <v>1892</v>
      </c>
      <c r="K863" s="50" t="s">
        <v>1892</v>
      </c>
      <c r="L863" s="50" t="s">
        <v>1893</v>
      </c>
      <c r="M863" s="50" t="s">
        <v>3248</v>
      </c>
      <c r="N863" s="50" t="s">
        <v>3247</v>
      </c>
      <c r="O863" s="50" t="s">
        <v>3247</v>
      </c>
      <c r="P863" s="50" t="s">
        <v>3247</v>
      </c>
    </row>
    <row r="864" spans="1:16" ht="12.75" customHeight="1" x14ac:dyDescent="0.25">
      <c r="A864" s="311">
        <v>861</v>
      </c>
      <c r="B864" s="311" t="s">
        <v>75</v>
      </c>
      <c r="C864" s="311" t="s">
        <v>462</v>
      </c>
      <c r="D864" s="311" t="s">
        <v>462</v>
      </c>
      <c r="E864" s="337" t="s">
        <v>462</v>
      </c>
      <c r="F864" s="311" t="s">
        <v>138</v>
      </c>
      <c r="G864" s="311" t="s">
        <v>236</v>
      </c>
      <c r="H864" s="311" t="s">
        <v>464</v>
      </c>
      <c r="I864" s="311" t="s">
        <v>56</v>
      </c>
      <c r="J864" s="50" t="s">
        <v>1892</v>
      </c>
      <c r="K864" s="50" t="s">
        <v>1892</v>
      </c>
      <c r="L864" s="50" t="s">
        <v>1893</v>
      </c>
      <c r="M864" s="50" t="s">
        <v>3249</v>
      </c>
      <c r="N864" s="50" t="s">
        <v>3247</v>
      </c>
      <c r="O864" s="50" t="s">
        <v>3247</v>
      </c>
      <c r="P864" s="50" t="s">
        <v>3247</v>
      </c>
    </row>
    <row r="865" spans="1:16" ht="12.75" customHeight="1" x14ac:dyDescent="0.25">
      <c r="A865" s="311">
        <v>862</v>
      </c>
      <c r="B865" s="311" t="s">
        <v>63</v>
      </c>
      <c r="C865" s="311" t="s">
        <v>63</v>
      </c>
      <c r="D865" s="311" t="s">
        <v>462</v>
      </c>
      <c r="E865" s="337" t="s">
        <v>63</v>
      </c>
      <c r="F865" s="311" t="s">
        <v>138</v>
      </c>
      <c r="G865" s="311" t="s">
        <v>236</v>
      </c>
      <c r="H865" s="311" t="s">
        <v>464</v>
      </c>
      <c r="I865" s="311" t="s">
        <v>56</v>
      </c>
      <c r="J865" s="50" t="s">
        <v>1892</v>
      </c>
      <c r="K865" s="50" t="s">
        <v>1892</v>
      </c>
      <c r="L865" s="50" t="s">
        <v>1893</v>
      </c>
      <c r="M865" s="50" t="s">
        <v>3250</v>
      </c>
      <c r="N865" s="50" t="s">
        <v>3250</v>
      </c>
      <c r="O865" s="50" t="s">
        <v>3247</v>
      </c>
      <c r="P865" s="50" t="s">
        <v>3250</v>
      </c>
    </row>
    <row r="866" spans="1:16" ht="12.75" customHeight="1" x14ac:dyDescent="0.25">
      <c r="A866" s="311">
        <v>863</v>
      </c>
      <c r="B866" s="311" t="s">
        <v>140</v>
      </c>
      <c r="C866" s="311" t="s">
        <v>140</v>
      </c>
      <c r="D866" s="311" t="s">
        <v>462</v>
      </c>
      <c r="E866" s="337" t="s">
        <v>140</v>
      </c>
      <c r="F866" s="311" t="s">
        <v>138</v>
      </c>
      <c r="G866" s="311" t="s">
        <v>236</v>
      </c>
      <c r="H866" s="311" t="s">
        <v>464</v>
      </c>
      <c r="I866" s="311" t="s">
        <v>56</v>
      </c>
      <c r="J866" s="50" t="s">
        <v>1892</v>
      </c>
      <c r="K866" s="50" t="s">
        <v>1892</v>
      </c>
      <c r="L866" s="50" t="s">
        <v>1893</v>
      </c>
      <c r="M866" s="50" t="s">
        <v>3251</v>
      </c>
      <c r="N866" s="50" t="s">
        <v>3251</v>
      </c>
      <c r="O866" s="50" t="s">
        <v>3247</v>
      </c>
      <c r="P866" s="50" t="s">
        <v>3251</v>
      </c>
    </row>
    <row r="867" spans="1:16" ht="12.75" customHeight="1" x14ac:dyDescent="0.25">
      <c r="A867" s="311">
        <v>864</v>
      </c>
      <c r="B867" s="311" t="s">
        <v>121</v>
      </c>
      <c r="C867" s="311" t="s">
        <v>121</v>
      </c>
      <c r="D867" s="311" t="s">
        <v>462</v>
      </c>
      <c r="E867" s="337" t="s">
        <v>121</v>
      </c>
      <c r="F867" s="311" t="s">
        <v>138</v>
      </c>
      <c r="G867" s="311" t="s">
        <v>236</v>
      </c>
      <c r="H867" s="311" t="s">
        <v>464</v>
      </c>
      <c r="I867" s="311" t="s">
        <v>56</v>
      </c>
      <c r="J867" s="50" t="s">
        <v>1892</v>
      </c>
      <c r="K867" s="50" t="s">
        <v>1892</v>
      </c>
      <c r="L867" s="50" t="s">
        <v>1893</v>
      </c>
      <c r="M867" s="50" t="s">
        <v>3252</v>
      </c>
      <c r="N867" s="50" t="s">
        <v>3252</v>
      </c>
      <c r="O867" s="50" t="s">
        <v>3247</v>
      </c>
      <c r="P867" s="50" t="s">
        <v>3252</v>
      </c>
    </row>
    <row r="868" spans="1:16" ht="12.75" customHeight="1" x14ac:dyDescent="0.25">
      <c r="A868" s="311">
        <v>865</v>
      </c>
      <c r="B868" s="311" t="s">
        <v>87</v>
      </c>
      <c r="C868" s="311" t="s">
        <v>87</v>
      </c>
      <c r="D868" s="311" t="s">
        <v>462</v>
      </c>
      <c r="E868" s="337" t="s">
        <v>87</v>
      </c>
      <c r="F868" s="311" t="s">
        <v>138</v>
      </c>
      <c r="G868" s="311" t="s">
        <v>236</v>
      </c>
      <c r="H868" s="311" t="s">
        <v>464</v>
      </c>
      <c r="I868" s="311" t="s">
        <v>56</v>
      </c>
      <c r="J868" s="50" t="s">
        <v>1892</v>
      </c>
      <c r="K868" s="50" t="s">
        <v>1892</v>
      </c>
      <c r="L868" s="50" t="s">
        <v>1893</v>
      </c>
      <c r="M868" s="50" t="s">
        <v>3253</v>
      </c>
      <c r="N868" s="50" t="s">
        <v>3253</v>
      </c>
      <c r="O868" s="50" t="s">
        <v>3247</v>
      </c>
      <c r="P868" s="50" t="s">
        <v>3253</v>
      </c>
    </row>
    <row r="869" spans="1:16" ht="12.75" customHeight="1" x14ac:dyDescent="0.25">
      <c r="A869" s="311">
        <v>866</v>
      </c>
      <c r="B869" s="311" t="s">
        <v>125</v>
      </c>
      <c r="C869" s="311" t="s">
        <v>125</v>
      </c>
      <c r="D869" s="311" t="s">
        <v>125</v>
      </c>
      <c r="E869" s="337" t="s">
        <v>125</v>
      </c>
      <c r="F869" s="311" t="s">
        <v>138</v>
      </c>
      <c r="G869" s="311" t="s">
        <v>236</v>
      </c>
      <c r="H869" s="311" t="s">
        <v>464</v>
      </c>
      <c r="I869" s="311" t="s">
        <v>56</v>
      </c>
      <c r="J869" s="50" t="s">
        <v>1892</v>
      </c>
      <c r="K869" s="50" t="s">
        <v>1892</v>
      </c>
      <c r="L869" s="50" t="s">
        <v>1893</v>
      </c>
      <c r="M869" s="50" t="s">
        <v>3254</v>
      </c>
      <c r="N869" s="50" t="s">
        <v>3254</v>
      </c>
      <c r="O869" s="50" t="s">
        <v>3254</v>
      </c>
      <c r="P869" s="50" t="s">
        <v>3254</v>
      </c>
    </row>
    <row r="870" spans="1:16" ht="12.75" customHeight="1" x14ac:dyDescent="0.25">
      <c r="A870" s="311">
        <v>867</v>
      </c>
      <c r="B870" s="311" t="s">
        <v>134</v>
      </c>
      <c r="C870" s="311" t="s">
        <v>134</v>
      </c>
      <c r="D870" s="311" t="s">
        <v>134</v>
      </c>
      <c r="E870" s="337" t="s">
        <v>134</v>
      </c>
      <c r="F870" s="311" t="s">
        <v>138</v>
      </c>
      <c r="G870" s="311" t="s">
        <v>236</v>
      </c>
      <c r="H870" s="311" t="s">
        <v>464</v>
      </c>
      <c r="I870" s="311" t="s">
        <v>56</v>
      </c>
      <c r="J870" s="50" t="s">
        <v>1892</v>
      </c>
      <c r="K870" s="50" t="s">
        <v>1892</v>
      </c>
      <c r="L870" s="50" t="s">
        <v>1893</v>
      </c>
      <c r="M870" s="50" t="s">
        <v>3255</v>
      </c>
      <c r="N870" s="50" t="s">
        <v>3255</v>
      </c>
      <c r="O870" s="50" t="s">
        <v>3255</v>
      </c>
      <c r="P870" s="50" t="s">
        <v>3255</v>
      </c>
    </row>
    <row r="871" spans="1:16" ht="12.75" customHeight="1" x14ac:dyDescent="0.25">
      <c r="A871" s="311">
        <v>868</v>
      </c>
      <c r="B871" s="311" t="s">
        <v>141</v>
      </c>
      <c r="C871" s="311" t="s">
        <v>141</v>
      </c>
      <c r="D871" s="311" t="s">
        <v>141</v>
      </c>
      <c r="E871" s="337" t="s">
        <v>141</v>
      </c>
      <c r="F871" s="311" t="s">
        <v>138</v>
      </c>
      <c r="G871" s="311" t="s">
        <v>236</v>
      </c>
      <c r="H871" s="311" t="s">
        <v>464</v>
      </c>
      <c r="I871" s="311" t="s">
        <v>56</v>
      </c>
      <c r="J871" s="50" t="s">
        <v>1892</v>
      </c>
      <c r="K871" s="50" t="s">
        <v>1892</v>
      </c>
      <c r="L871" s="50" t="s">
        <v>1893</v>
      </c>
      <c r="M871" s="50" t="s">
        <v>3256</v>
      </c>
      <c r="N871" s="50" t="s">
        <v>3256</v>
      </c>
      <c r="O871" s="50" t="s">
        <v>3256</v>
      </c>
      <c r="P871" s="50" t="s">
        <v>3256</v>
      </c>
    </row>
    <row r="872" spans="1:16" ht="12.75" customHeight="1" x14ac:dyDescent="0.25">
      <c r="A872" s="311">
        <v>869</v>
      </c>
      <c r="B872" s="311" t="s">
        <v>69</v>
      </c>
      <c r="C872" s="311" t="s">
        <v>69</v>
      </c>
      <c r="D872" s="311" t="s">
        <v>69</v>
      </c>
      <c r="E872" s="337" t="s">
        <v>69</v>
      </c>
      <c r="F872" s="311" t="s">
        <v>138</v>
      </c>
      <c r="G872" s="311" t="s">
        <v>236</v>
      </c>
      <c r="H872" s="311" t="s">
        <v>464</v>
      </c>
      <c r="I872" s="311" t="s">
        <v>56</v>
      </c>
      <c r="J872" s="50" t="s">
        <v>1892</v>
      </c>
      <c r="K872" s="50" t="s">
        <v>1892</v>
      </c>
      <c r="L872" s="50" t="s">
        <v>1893</v>
      </c>
      <c r="M872" s="50" t="s">
        <v>3257</v>
      </c>
      <c r="N872" s="50" t="s">
        <v>3257</v>
      </c>
      <c r="O872" s="50" t="s">
        <v>3257</v>
      </c>
      <c r="P872" s="50" t="s">
        <v>3257</v>
      </c>
    </row>
    <row r="873" spans="1:16" ht="12.75" customHeight="1" x14ac:dyDescent="0.25">
      <c r="A873" s="311">
        <v>870</v>
      </c>
      <c r="B873" s="311" t="s">
        <v>84</v>
      </c>
      <c r="C873" s="311" t="s">
        <v>462</v>
      </c>
      <c r="D873" s="311" t="s">
        <v>462</v>
      </c>
      <c r="E873" s="337" t="s">
        <v>462</v>
      </c>
      <c r="F873" s="311" t="s">
        <v>138</v>
      </c>
      <c r="G873" s="311" t="s">
        <v>23</v>
      </c>
      <c r="H873" s="311" t="s">
        <v>464</v>
      </c>
      <c r="I873" s="311" t="s">
        <v>56</v>
      </c>
      <c r="J873" s="50" t="s">
        <v>1892</v>
      </c>
      <c r="K873" s="50" t="s">
        <v>1892</v>
      </c>
      <c r="L873" s="50" t="s">
        <v>1893</v>
      </c>
      <c r="M873" s="50" t="s">
        <v>3258</v>
      </c>
      <c r="N873" s="50" t="s">
        <v>3259</v>
      </c>
      <c r="O873" s="50" t="s">
        <v>3259</v>
      </c>
      <c r="P873" s="50" t="s">
        <v>3259</v>
      </c>
    </row>
    <row r="874" spans="1:16" ht="12.75" customHeight="1" x14ac:dyDescent="0.25">
      <c r="A874" s="311">
        <v>871</v>
      </c>
      <c r="B874" s="311" t="s">
        <v>123</v>
      </c>
      <c r="C874" s="311" t="s">
        <v>462</v>
      </c>
      <c r="D874" s="311" t="s">
        <v>462</v>
      </c>
      <c r="E874" s="337" t="s">
        <v>462</v>
      </c>
      <c r="F874" s="311" t="s">
        <v>138</v>
      </c>
      <c r="G874" s="311" t="s">
        <v>23</v>
      </c>
      <c r="H874" s="311" t="s">
        <v>464</v>
      </c>
      <c r="I874" s="311" t="s">
        <v>56</v>
      </c>
      <c r="J874" s="50" t="s">
        <v>1892</v>
      </c>
      <c r="K874" s="50" t="s">
        <v>1892</v>
      </c>
      <c r="L874" s="50" t="s">
        <v>1893</v>
      </c>
      <c r="M874" s="50" t="s">
        <v>3260</v>
      </c>
      <c r="N874" s="50" t="s">
        <v>3259</v>
      </c>
      <c r="O874" s="50" t="s">
        <v>3259</v>
      </c>
      <c r="P874" s="50" t="s">
        <v>3259</v>
      </c>
    </row>
    <row r="875" spans="1:16" ht="12.75" customHeight="1" x14ac:dyDescent="0.25">
      <c r="A875" s="311">
        <v>872</v>
      </c>
      <c r="B875" s="311" t="s">
        <v>75</v>
      </c>
      <c r="C875" s="311" t="s">
        <v>462</v>
      </c>
      <c r="D875" s="311" t="s">
        <v>462</v>
      </c>
      <c r="E875" s="337" t="s">
        <v>462</v>
      </c>
      <c r="F875" s="311" t="s">
        <v>138</v>
      </c>
      <c r="G875" s="311" t="s">
        <v>23</v>
      </c>
      <c r="H875" s="311" t="s">
        <v>464</v>
      </c>
      <c r="I875" s="311" t="s">
        <v>56</v>
      </c>
      <c r="J875" s="50" t="s">
        <v>1892</v>
      </c>
      <c r="K875" s="50" t="s">
        <v>1892</v>
      </c>
      <c r="L875" s="50" t="s">
        <v>1893</v>
      </c>
      <c r="M875" s="50" t="s">
        <v>3261</v>
      </c>
      <c r="N875" s="50" t="s">
        <v>3259</v>
      </c>
      <c r="O875" s="50" t="s">
        <v>3259</v>
      </c>
      <c r="P875" s="50" t="s">
        <v>3259</v>
      </c>
    </row>
    <row r="876" spans="1:16" ht="12.75" customHeight="1" x14ac:dyDescent="0.25">
      <c r="A876" s="311">
        <v>873</v>
      </c>
      <c r="B876" s="311" t="s">
        <v>63</v>
      </c>
      <c r="C876" s="311" t="s">
        <v>63</v>
      </c>
      <c r="D876" s="311" t="s">
        <v>462</v>
      </c>
      <c r="E876" s="337" t="s">
        <v>63</v>
      </c>
      <c r="F876" s="311" t="s">
        <v>138</v>
      </c>
      <c r="G876" s="311" t="s">
        <v>23</v>
      </c>
      <c r="H876" s="311" t="s">
        <v>464</v>
      </c>
      <c r="I876" s="311" t="s">
        <v>56</v>
      </c>
      <c r="J876" s="50" t="s">
        <v>1892</v>
      </c>
      <c r="K876" s="50" t="s">
        <v>1892</v>
      </c>
      <c r="L876" s="50" t="s">
        <v>1893</v>
      </c>
      <c r="M876" s="50" t="s">
        <v>3262</v>
      </c>
      <c r="N876" s="50" t="s">
        <v>3262</v>
      </c>
      <c r="O876" s="50" t="s">
        <v>3259</v>
      </c>
      <c r="P876" s="50" t="s">
        <v>3262</v>
      </c>
    </row>
    <row r="877" spans="1:16" ht="12.75" customHeight="1" x14ac:dyDescent="0.25">
      <c r="A877" s="311">
        <v>874</v>
      </c>
      <c r="B877" s="311" t="s">
        <v>140</v>
      </c>
      <c r="C877" s="311" t="s">
        <v>140</v>
      </c>
      <c r="D877" s="311" t="s">
        <v>462</v>
      </c>
      <c r="E877" s="337" t="s">
        <v>140</v>
      </c>
      <c r="F877" s="311" t="s">
        <v>138</v>
      </c>
      <c r="G877" s="311" t="s">
        <v>23</v>
      </c>
      <c r="H877" s="311" t="s">
        <v>464</v>
      </c>
      <c r="I877" s="311" t="s">
        <v>56</v>
      </c>
      <c r="J877" s="50" t="s">
        <v>1892</v>
      </c>
      <c r="K877" s="50" t="s">
        <v>1892</v>
      </c>
      <c r="L877" s="50" t="s">
        <v>1893</v>
      </c>
      <c r="M877" s="50" t="s">
        <v>3263</v>
      </c>
      <c r="N877" s="50" t="s">
        <v>3263</v>
      </c>
      <c r="O877" s="50" t="s">
        <v>3259</v>
      </c>
      <c r="P877" s="50" t="s">
        <v>3263</v>
      </c>
    </row>
    <row r="878" spans="1:16" ht="12.75" customHeight="1" x14ac:dyDescent="0.25">
      <c r="A878" s="311">
        <v>875</v>
      </c>
      <c r="B878" s="311" t="s">
        <v>121</v>
      </c>
      <c r="C878" s="311" t="s">
        <v>121</v>
      </c>
      <c r="D878" s="311" t="s">
        <v>462</v>
      </c>
      <c r="E878" s="337" t="s">
        <v>121</v>
      </c>
      <c r="F878" s="311" t="s">
        <v>138</v>
      </c>
      <c r="G878" s="311" t="s">
        <v>23</v>
      </c>
      <c r="H878" s="311" t="s">
        <v>464</v>
      </c>
      <c r="I878" s="311" t="s">
        <v>56</v>
      </c>
      <c r="J878" s="50" t="s">
        <v>1892</v>
      </c>
      <c r="K878" s="50" t="s">
        <v>1892</v>
      </c>
      <c r="L878" s="50" t="s">
        <v>1893</v>
      </c>
      <c r="M878" s="50" t="s">
        <v>3264</v>
      </c>
      <c r="N878" s="50" t="s">
        <v>3264</v>
      </c>
      <c r="O878" s="50" t="s">
        <v>3259</v>
      </c>
      <c r="P878" s="50" t="s">
        <v>3264</v>
      </c>
    </row>
    <row r="879" spans="1:16" ht="12.75" customHeight="1" x14ac:dyDescent="0.25">
      <c r="A879" s="311">
        <v>876</v>
      </c>
      <c r="B879" s="311" t="s">
        <v>87</v>
      </c>
      <c r="C879" s="311" t="s">
        <v>87</v>
      </c>
      <c r="D879" s="311" t="s">
        <v>462</v>
      </c>
      <c r="E879" s="337" t="s">
        <v>87</v>
      </c>
      <c r="F879" s="311" t="s">
        <v>138</v>
      </c>
      <c r="G879" s="311" t="s">
        <v>23</v>
      </c>
      <c r="H879" s="311" t="s">
        <v>464</v>
      </c>
      <c r="I879" s="311" t="s">
        <v>56</v>
      </c>
      <c r="J879" s="50" t="s">
        <v>1892</v>
      </c>
      <c r="K879" s="50" t="s">
        <v>1892</v>
      </c>
      <c r="L879" s="50" t="s">
        <v>1893</v>
      </c>
      <c r="M879" s="50" t="s">
        <v>3265</v>
      </c>
      <c r="N879" s="50" t="s">
        <v>3265</v>
      </c>
      <c r="O879" s="50" t="s">
        <v>3259</v>
      </c>
      <c r="P879" s="50" t="s">
        <v>3265</v>
      </c>
    </row>
    <row r="880" spans="1:16" ht="12.75" customHeight="1" x14ac:dyDescent="0.25">
      <c r="A880" s="311">
        <v>877</v>
      </c>
      <c r="B880" s="311" t="s">
        <v>125</v>
      </c>
      <c r="C880" s="311" t="s">
        <v>125</v>
      </c>
      <c r="D880" s="311" t="s">
        <v>125</v>
      </c>
      <c r="E880" s="337" t="s">
        <v>125</v>
      </c>
      <c r="F880" s="311" t="s">
        <v>138</v>
      </c>
      <c r="G880" s="311" t="s">
        <v>23</v>
      </c>
      <c r="H880" s="311" t="s">
        <v>464</v>
      </c>
      <c r="I880" s="311" t="s">
        <v>56</v>
      </c>
      <c r="J880" s="50" t="s">
        <v>1892</v>
      </c>
      <c r="K880" s="50" t="s">
        <v>1892</v>
      </c>
      <c r="L880" s="50" t="s">
        <v>1893</v>
      </c>
      <c r="M880" s="50" t="s">
        <v>3266</v>
      </c>
      <c r="N880" s="50" t="s">
        <v>3266</v>
      </c>
      <c r="O880" s="50" t="s">
        <v>3266</v>
      </c>
      <c r="P880" s="50" t="s">
        <v>3266</v>
      </c>
    </row>
    <row r="881" spans="1:16" ht="12.75" customHeight="1" x14ac:dyDescent="0.25">
      <c r="A881" s="311">
        <v>878</v>
      </c>
      <c r="B881" s="311" t="s">
        <v>134</v>
      </c>
      <c r="C881" s="311" t="s">
        <v>134</v>
      </c>
      <c r="D881" s="311" t="s">
        <v>134</v>
      </c>
      <c r="E881" s="337" t="s">
        <v>134</v>
      </c>
      <c r="F881" s="311" t="s">
        <v>138</v>
      </c>
      <c r="G881" s="311" t="s">
        <v>23</v>
      </c>
      <c r="H881" s="311" t="s">
        <v>464</v>
      </c>
      <c r="I881" s="311" t="s">
        <v>56</v>
      </c>
      <c r="J881" s="50" t="s">
        <v>1892</v>
      </c>
      <c r="K881" s="50" t="s">
        <v>1892</v>
      </c>
      <c r="L881" s="50" t="s">
        <v>1893</v>
      </c>
      <c r="M881" s="50" t="s">
        <v>3267</v>
      </c>
      <c r="N881" s="50" t="s">
        <v>3267</v>
      </c>
      <c r="O881" s="50" t="s">
        <v>3267</v>
      </c>
      <c r="P881" s="50" t="s">
        <v>3267</v>
      </c>
    </row>
    <row r="882" spans="1:16" ht="12.75" customHeight="1" x14ac:dyDescent="0.25">
      <c r="A882" s="311">
        <v>879</v>
      </c>
      <c r="B882" s="311" t="s">
        <v>141</v>
      </c>
      <c r="C882" s="311" t="s">
        <v>141</v>
      </c>
      <c r="D882" s="311" t="s">
        <v>141</v>
      </c>
      <c r="E882" s="337" t="s">
        <v>141</v>
      </c>
      <c r="F882" s="311" t="s">
        <v>138</v>
      </c>
      <c r="G882" s="311" t="s">
        <v>23</v>
      </c>
      <c r="H882" s="311" t="s">
        <v>464</v>
      </c>
      <c r="I882" s="311" t="s">
        <v>56</v>
      </c>
      <c r="J882" s="50" t="s">
        <v>1892</v>
      </c>
      <c r="K882" s="50" t="s">
        <v>1892</v>
      </c>
      <c r="L882" s="50" t="s">
        <v>1893</v>
      </c>
      <c r="M882" s="50" t="s">
        <v>3268</v>
      </c>
      <c r="N882" s="50" t="s">
        <v>3268</v>
      </c>
      <c r="O882" s="50" t="s">
        <v>3268</v>
      </c>
      <c r="P882" s="50" t="s">
        <v>3268</v>
      </c>
    </row>
    <row r="883" spans="1:16" ht="12.75" customHeight="1" x14ac:dyDescent="0.25">
      <c r="A883" s="311">
        <v>880</v>
      </c>
      <c r="B883" s="311" t="s">
        <v>69</v>
      </c>
      <c r="C883" s="311" t="s">
        <v>69</v>
      </c>
      <c r="D883" s="311" t="s">
        <v>69</v>
      </c>
      <c r="E883" s="337" t="s">
        <v>69</v>
      </c>
      <c r="F883" s="311" t="s">
        <v>138</v>
      </c>
      <c r="G883" s="311" t="s">
        <v>23</v>
      </c>
      <c r="H883" s="311" t="s">
        <v>464</v>
      </c>
      <c r="I883" s="311" t="s">
        <v>56</v>
      </c>
      <c r="J883" s="50" t="s">
        <v>1892</v>
      </c>
      <c r="K883" s="50" t="s">
        <v>1892</v>
      </c>
      <c r="L883" s="50" t="s">
        <v>1893</v>
      </c>
      <c r="M883" s="50" t="s">
        <v>3269</v>
      </c>
      <c r="N883" s="50" t="s">
        <v>3269</v>
      </c>
      <c r="O883" s="50" t="s">
        <v>3269</v>
      </c>
      <c r="P883" s="50" t="s">
        <v>3269</v>
      </c>
    </row>
    <row r="884" spans="1:16" ht="12.75" customHeight="1" x14ac:dyDescent="0.25">
      <c r="A884" s="311">
        <v>881</v>
      </c>
      <c r="B884" s="311" t="s">
        <v>84</v>
      </c>
      <c r="C884" s="311" t="s">
        <v>462</v>
      </c>
      <c r="D884" s="311" t="s">
        <v>462</v>
      </c>
      <c r="E884" s="337" t="s">
        <v>462</v>
      </c>
      <c r="F884" s="311" t="s">
        <v>138</v>
      </c>
      <c r="G884" s="311" t="s">
        <v>237</v>
      </c>
      <c r="H884" s="311" t="s">
        <v>464</v>
      </c>
      <c r="I884" s="311" t="s">
        <v>56</v>
      </c>
      <c r="J884" s="50" t="s">
        <v>1892</v>
      </c>
      <c r="K884" s="50" t="s">
        <v>1892</v>
      </c>
      <c r="L884" s="50" t="s">
        <v>1893</v>
      </c>
      <c r="M884" s="50" t="s">
        <v>3270</v>
      </c>
      <c r="N884" s="50" t="s">
        <v>3271</v>
      </c>
      <c r="O884" s="50" t="s">
        <v>3271</v>
      </c>
      <c r="P884" s="50" t="s">
        <v>3271</v>
      </c>
    </row>
    <row r="885" spans="1:16" ht="12.75" customHeight="1" x14ac:dyDescent="0.25">
      <c r="A885" s="311">
        <v>882</v>
      </c>
      <c r="B885" s="311" t="s">
        <v>123</v>
      </c>
      <c r="C885" s="311" t="s">
        <v>462</v>
      </c>
      <c r="D885" s="311" t="s">
        <v>462</v>
      </c>
      <c r="E885" s="337" t="s">
        <v>462</v>
      </c>
      <c r="F885" s="311" t="s">
        <v>138</v>
      </c>
      <c r="G885" s="311" t="s">
        <v>237</v>
      </c>
      <c r="H885" s="311" t="s">
        <v>464</v>
      </c>
      <c r="I885" s="311" t="s">
        <v>56</v>
      </c>
      <c r="J885" s="50" t="s">
        <v>1892</v>
      </c>
      <c r="K885" s="50" t="s">
        <v>1892</v>
      </c>
      <c r="L885" s="50" t="s">
        <v>1893</v>
      </c>
      <c r="M885" s="50" t="s">
        <v>3272</v>
      </c>
      <c r="N885" s="50" t="s">
        <v>3271</v>
      </c>
      <c r="O885" s="50" t="s">
        <v>3271</v>
      </c>
      <c r="P885" s="50" t="s">
        <v>3271</v>
      </c>
    </row>
    <row r="886" spans="1:16" ht="12.75" customHeight="1" x14ac:dyDescent="0.25">
      <c r="A886" s="311">
        <v>883</v>
      </c>
      <c r="B886" s="311" t="s">
        <v>75</v>
      </c>
      <c r="C886" s="311" t="s">
        <v>462</v>
      </c>
      <c r="D886" s="311" t="s">
        <v>462</v>
      </c>
      <c r="E886" s="337" t="s">
        <v>462</v>
      </c>
      <c r="F886" s="311" t="s">
        <v>138</v>
      </c>
      <c r="G886" s="311" t="s">
        <v>237</v>
      </c>
      <c r="H886" s="311" t="s">
        <v>464</v>
      </c>
      <c r="I886" s="311" t="s">
        <v>56</v>
      </c>
      <c r="J886" s="50" t="s">
        <v>1892</v>
      </c>
      <c r="K886" s="50" t="s">
        <v>1892</v>
      </c>
      <c r="L886" s="50" t="s">
        <v>1893</v>
      </c>
      <c r="M886" s="50" t="s">
        <v>3273</v>
      </c>
      <c r="N886" s="50" t="s">
        <v>3271</v>
      </c>
      <c r="O886" s="50" t="s">
        <v>3271</v>
      </c>
      <c r="P886" s="50" t="s">
        <v>3271</v>
      </c>
    </row>
    <row r="887" spans="1:16" ht="12.75" customHeight="1" x14ac:dyDescent="0.25">
      <c r="A887" s="311">
        <v>884</v>
      </c>
      <c r="B887" s="311" t="s">
        <v>63</v>
      </c>
      <c r="C887" s="311" t="s">
        <v>63</v>
      </c>
      <c r="D887" s="311" t="s">
        <v>462</v>
      </c>
      <c r="E887" s="337" t="s">
        <v>63</v>
      </c>
      <c r="F887" s="311" t="s">
        <v>138</v>
      </c>
      <c r="G887" s="311" t="s">
        <v>237</v>
      </c>
      <c r="H887" s="311" t="s">
        <v>464</v>
      </c>
      <c r="I887" s="311" t="s">
        <v>56</v>
      </c>
      <c r="J887" s="50" t="s">
        <v>1892</v>
      </c>
      <c r="K887" s="50" t="s">
        <v>1892</v>
      </c>
      <c r="L887" s="50" t="s">
        <v>1893</v>
      </c>
      <c r="M887" s="50" t="s">
        <v>3274</v>
      </c>
      <c r="N887" s="50" t="s">
        <v>3274</v>
      </c>
      <c r="O887" s="50" t="s">
        <v>3271</v>
      </c>
      <c r="P887" s="50" t="s">
        <v>3274</v>
      </c>
    </row>
    <row r="888" spans="1:16" ht="12.75" customHeight="1" x14ac:dyDescent="0.25">
      <c r="A888" s="311">
        <v>885</v>
      </c>
      <c r="B888" s="311" t="s">
        <v>140</v>
      </c>
      <c r="C888" s="311" t="s">
        <v>140</v>
      </c>
      <c r="D888" s="311" t="s">
        <v>462</v>
      </c>
      <c r="E888" s="337" t="s">
        <v>140</v>
      </c>
      <c r="F888" s="311" t="s">
        <v>138</v>
      </c>
      <c r="G888" s="311" t="s">
        <v>237</v>
      </c>
      <c r="H888" s="311" t="s">
        <v>464</v>
      </c>
      <c r="I888" s="311" t="s">
        <v>56</v>
      </c>
      <c r="J888" s="50" t="s">
        <v>1892</v>
      </c>
      <c r="K888" s="50" t="s">
        <v>1892</v>
      </c>
      <c r="L888" s="50" t="s">
        <v>1893</v>
      </c>
      <c r="M888" s="50" t="s">
        <v>3275</v>
      </c>
      <c r="N888" s="50" t="s">
        <v>3275</v>
      </c>
      <c r="O888" s="50" t="s">
        <v>3271</v>
      </c>
      <c r="P888" s="50" t="s">
        <v>3275</v>
      </c>
    </row>
    <row r="889" spans="1:16" ht="12.75" customHeight="1" x14ac:dyDescent="0.25">
      <c r="A889" s="311">
        <v>886</v>
      </c>
      <c r="B889" s="311" t="s">
        <v>121</v>
      </c>
      <c r="C889" s="311" t="s">
        <v>121</v>
      </c>
      <c r="D889" s="311" t="s">
        <v>462</v>
      </c>
      <c r="E889" s="337" t="s">
        <v>121</v>
      </c>
      <c r="F889" s="311" t="s">
        <v>138</v>
      </c>
      <c r="G889" s="311" t="s">
        <v>237</v>
      </c>
      <c r="H889" s="311" t="s">
        <v>464</v>
      </c>
      <c r="I889" s="311" t="s">
        <v>56</v>
      </c>
      <c r="J889" s="50" t="s">
        <v>1892</v>
      </c>
      <c r="K889" s="50" t="s">
        <v>1892</v>
      </c>
      <c r="L889" s="50" t="s">
        <v>1893</v>
      </c>
      <c r="M889" s="50" t="s">
        <v>3276</v>
      </c>
      <c r="N889" s="50" t="s">
        <v>3276</v>
      </c>
      <c r="O889" s="50" t="s">
        <v>3271</v>
      </c>
      <c r="P889" s="50" t="s">
        <v>3276</v>
      </c>
    </row>
    <row r="890" spans="1:16" ht="12.75" customHeight="1" x14ac:dyDescent="0.25">
      <c r="A890" s="311">
        <v>887</v>
      </c>
      <c r="B890" s="311" t="s">
        <v>87</v>
      </c>
      <c r="C890" s="311" t="s">
        <v>87</v>
      </c>
      <c r="D890" s="311" t="s">
        <v>462</v>
      </c>
      <c r="E890" s="337" t="s">
        <v>87</v>
      </c>
      <c r="F890" s="311" t="s">
        <v>138</v>
      </c>
      <c r="G890" s="311" t="s">
        <v>237</v>
      </c>
      <c r="H890" s="311" t="s">
        <v>464</v>
      </c>
      <c r="I890" s="311" t="s">
        <v>56</v>
      </c>
      <c r="J890" s="50" t="s">
        <v>1892</v>
      </c>
      <c r="K890" s="50" t="s">
        <v>1892</v>
      </c>
      <c r="L890" s="50" t="s">
        <v>1893</v>
      </c>
      <c r="M890" s="50" t="s">
        <v>3277</v>
      </c>
      <c r="N890" s="50" t="s">
        <v>3277</v>
      </c>
      <c r="O890" s="50" t="s">
        <v>3271</v>
      </c>
      <c r="P890" s="50" t="s">
        <v>3277</v>
      </c>
    </row>
    <row r="891" spans="1:16" ht="12.75" customHeight="1" x14ac:dyDescent="0.25">
      <c r="A891" s="311">
        <v>888</v>
      </c>
      <c r="B891" s="311" t="s">
        <v>125</v>
      </c>
      <c r="C891" s="311" t="s">
        <v>125</v>
      </c>
      <c r="D891" s="311" t="s">
        <v>125</v>
      </c>
      <c r="E891" s="337" t="s">
        <v>125</v>
      </c>
      <c r="F891" s="311" t="s">
        <v>138</v>
      </c>
      <c r="G891" s="311" t="s">
        <v>237</v>
      </c>
      <c r="H891" s="311" t="s">
        <v>464</v>
      </c>
      <c r="I891" s="311" t="s">
        <v>56</v>
      </c>
      <c r="J891" s="50" t="s">
        <v>1892</v>
      </c>
      <c r="K891" s="50" t="s">
        <v>1892</v>
      </c>
      <c r="L891" s="50" t="s">
        <v>1893</v>
      </c>
      <c r="M891" s="50" t="s">
        <v>3278</v>
      </c>
      <c r="N891" s="50" t="s">
        <v>3278</v>
      </c>
      <c r="O891" s="50" t="s">
        <v>3278</v>
      </c>
      <c r="P891" s="50" t="s">
        <v>3278</v>
      </c>
    </row>
    <row r="892" spans="1:16" ht="12.75" customHeight="1" x14ac:dyDescent="0.25">
      <c r="A892" s="311">
        <v>889</v>
      </c>
      <c r="B892" s="311" t="s">
        <v>134</v>
      </c>
      <c r="C892" s="311" t="s">
        <v>134</v>
      </c>
      <c r="D892" s="311" t="s">
        <v>134</v>
      </c>
      <c r="E892" s="337" t="s">
        <v>134</v>
      </c>
      <c r="F892" s="311" t="s">
        <v>138</v>
      </c>
      <c r="G892" s="311" t="s">
        <v>237</v>
      </c>
      <c r="H892" s="311" t="s">
        <v>464</v>
      </c>
      <c r="I892" s="311" t="s">
        <v>56</v>
      </c>
      <c r="J892" s="50" t="s">
        <v>1892</v>
      </c>
      <c r="K892" s="50" t="s">
        <v>1892</v>
      </c>
      <c r="L892" s="50" t="s">
        <v>1893</v>
      </c>
      <c r="M892" s="50" t="s">
        <v>3279</v>
      </c>
      <c r="N892" s="50" t="s">
        <v>3279</v>
      </c>
      <c r="O892" s="50" t="s">
        <v>3279</v>
      </c>
      <c r="P892" s="50" t="s">
        <v>3279</v>
      </c>
    </row>
    <row r="893" spans="1:16" ht="12.75" customHeight="1" x14ac:dyDescent="0.25">
      <c r="A893" s="311">
        <v>890</v>
      </c>
      <c r="B893" s="311" t="s">
        <v>141</v>
      </c>
      <c r="C893" s="311" t="s">
        <v>141</v>
      </c>
      <c r="D893" s="311" t="s">
        <v>141</v>
      </c>
      <c r="E893" s="337" t="s">
        <v>141</v>
      </c>
      <c r="F893" s="311" t="s">
        <v>138</v>
      </c>
      <c r="G893" s="311" t="s">
        <v>237</v>
      </c>
      <c r="H893" s="311" t="s">
        <v>464</v>
      </c>
      <c r="I893" s="311" t="s">
        <v>56</v>
      </c>
      <c r="J893" s="50" t="s">
        <v>1892</v>
      </c>
      <c r="K893" s="50" t="s">
        <v>1892</v>
      </c>
      <c r="L893" s="50" t="s">
        <v>1893</v>
      </c>
      <c r="M893" s="50" t="s">
        <v>3280</v>
      </c>
      <c r="N893" s="50" t="s">
        <v>3280</v>
      </c>
      <c r="O893" s="50" t="s">
        <v>3280</v>
      </c>
      <c r="P893" s="50" t="s">
        <v>3280</v>
      </c>
    </row>
    <row r="894" spans="1:16" ht="12.75" customHeight="1" x14ac:dyDescent="0.25">
      <c r="A894" s="311">
        <v>891</v>
      </c>
      <c r="B894" s="311" t="s">
        <v>69</v>
      </c>
      <c r="C894" s="311" t="s">
        <v>69</v>
      </c>
      <c r="D894" s="311" t="s">
        <v>69</v>
      </c>
      <c r="E894" s="337" t="s">
        <v>69</v>
      </c>
      <c r="F894" s="311" t="s">
        <v>138</v>
      </c>
      <c r="G894" s="311" t="s">
        <v>237</v>
      </c>
      <c r="H894" s="311" t="s">
        <v>464</v>
      </c>
      <c r="I894" s="311" t="s">
        <v>56</v>
      </c>
      <c r="J894" s="50" t="s">
        <v>1892</v>
      </c>
      <c r="K894" s="50" t="s">
        <v>1892</v>
      </c>
      <c r="L894" s="50" t="s">
        <v>1893</v>
      </c>
      <c r="M894" s="50" t="s">
        <v>3281</v>
      </c>
      <c r="N894" s="50" t="s">
        <v>3281</v>
      </c>
      <c r="O894" s="50" t="s">
        <v>3281</v>
      </c>
      <c r="P894" s="50" t="s">
        <v>3281</v>
      </c>
    </row>
    <row r="895" spans="1:16" ht="12.75" customHeight="1" x14ac:dyDescent="0.25">
      <c r="A895" s="311">
        <v>892</v>
      </c>
      <c r="B895" s="311" t="s">
        <v>84</v>
      </c>
      <c r="C895" s="311" t="s">
        <v>462</v>
      </c>
      <c r="D895" s="311" t="s">
        <v>462</v>
      </c>
      <c r="E895" s="337" t="s">
        <v>462</v>
      </c>
      <c r="F895" s="311" t="s">
        <v>240</v>
      </c>
      <c r="G895" s="311" t="s">
        <v>236</v>
      </c>
      <c r="H895" s="311" t="s">
        <v>381</v>
      </c>
      <c r="I895" s="311" t="s">
        <v>56</v>
      </c>
      <c r="J895" s="50" t="s">
        <v>1892</v>
      </c>
      <c r="K895" s="50" t="s">
        <v>1892</v>
      </c>
      <c r="L895" s="50" t="s">
        <v>1893</v>
      </c>
      <c r="M895" s="50" t="s">
        <v>3282</v>
      </c>
      <c r="N895" s="50" t="s">
        <v>3283</v>
      </c>
      <c r="O895" s="50" t="s">
        <v>3283</v>
      </c>
      <c r="P895" s="50" t="s">
        <v>3283</v>
      </c>
    </row>
    <row r="896" spans="1:16" ht="12.75" customHeight="1" x14ac:dyDescent="0.25">
      <c r="A896" s="311">
        <v>893</v>
      </c>
      <c r="B896" s="311" t="s">
        <v>123</v>
      </c>
      <c r="C896" s="311" t="s">
        <v>462</v>
      </c>
      <c r="D896" s="311" t="s">
        <v>462</v>
      </c>
      <c r="E896" s="337" t="s">
        <v>462</v>
      </c>
      <c r="F896" s="311" t="s">
        <v>240</v>
      </c>
      <c r="G896" s="311" t="s">
        <v>236</v>
      </c>
      <c r="H896" s="311" t="s">
        <v>381</v>
      </c>
      <c r="I896" s="311" t="s">
        <v>56</v>
      </c>
      <c r="J896" s="50" t="s">
        <v>1892</v>
      </c>
      <c r="K896" s="50" t="s">
        <v>1892</v>
      </c>
      <c r="L896" s="50" t="s">
        <v>1893</v>
      </c>
      <c r="M896" s="50" t="s">
        <v>3284</v>
      </c>
      <c r="N896" s="50" t="s">
        <v>3283</v>
      </c>
      <c r="O896" s="50" t="s">
        <v>3283</v>
      </c>
      <c r="P896" s="50" t="s">
        <v>3283</v>
      </c>
    </row>
    <row r="897" spans="1:16" ht="12.75" customHeight="1" x14ac:dyDescent="0.25">
      <c r="A897" s="311">
        <v>894</v>
      </c>
      <c r="B897" s="311" t="s">
        <v>75</v>
      </c>
      <c r="C897" s="311" t="s">
        <v>462</v>
      </c>
      <c r="D897" s="311" t="s">
        <v>462</v>
      </c>
      <c r="E897" s="337" t="s">
        <v>462</v>
      </c>
      <c r="F897" s="311" t="s">
        <v>240</v>
      </c>
      <c r="G897" s="311" t="s">
        <v>236</v>
      </c>
      <c r="H897" s="311" t="s">
        <v>381</v>
      </c>
      <c r="I897" s="311" t="s">
        <v>56</v>
      </c>
      <c r="J897" s="50" t="s">
        <v>1892</v>
      </c>
      <c r="K897" s="50" t="s">
        <v>1892</v>
      </c>
      <c r="L897" s="50" t="s">
        <v>1893</v>
      </c>
      <c r="M897" s="50" t="s">
        <v>3285</v>
      </c>
      <c r="N897" s="50" t="s">
        <v>3283</v>
      </c>
      <c r="O897" s="50" t="s">
        <v>3283</v>
      </c>
      <c r="P897" s="50" t="s">
        <v>3283</v>
      </c>
    </row>
    <row r="898" spans="1:16" ht="12.75" customHeight="1" x14ac:dyDescent="0.25">
      <c r="A898" s="311">
        <v>895</v>
      </c>
      <c r="B898" s="311" t="s">
        <v>63</v>
      </c>
      <c r="C898" s="311" t="s">
        <v>63</v>
      </c>
      <c r="D898" s="311" t="s">
        <v>462</v>
      </c>
      <c r="E898" s="337" t="s">
        <v>63</v>
      </c>
      <c r="F898" s="311" t="s">
        <v>240</v>
      </c>
      <c r="G898" s="311" t="s">
        <v>236</v>
      </c>
      <c r="H898" s="311" t="s">
        <v>381</v>
      </c>
      <c r="I898" s="311" t="s">
        <v>56</v>
      </c>
      <c r="J898" s="50" t="s">
        <v>1892</v>
      </c>
      <c r="K898" s="50" t="s">
        <v>1892</v>
      </c>
      <c r="L898" s="50" t="s">
        <v>1893</v>
      </c>
      <c r="M898" s="50" t="s">
        <v>3286</v>
      </c>
      <c r="N898" s="50" t="s">
        <v>3286</v>
      </c>
      <c r="O898" s="50" t="s">
        <v>3283</v>
      </c>
      <c r="P898" s="50" t="s">
        <v>3286</v>
      </c>
    </row>
    <row r="899" spans="1:16" ht="12.75" customHeight="1" x14ac:dyDescent="0.25">
      <c r="A899" s="311">
        <v>896</v>
      </c>
      <c r="B899" s="311" t="s">
        <v>140</v>
      </c>
      <c r="C899" s="311" t="s">
        <v>140</v>
      </c>
      <c r="D899" s="311" t="s">
        <v>462</v>
      </c>
      <c r="E899" s="337" t="s">
        <v>140</v>
      </c>
      <c r="F899" s="311" t="s">
        <v>240</v>
      </c>
      <c r="G899" s="311" t="s">
        <v>236</v>
      </c>
      <c r="H899" s="311" t="s">
        <v>381</v>
      </c>
      <c r="I899" s="311" t="s">
        <v>56</v>
      </c>
      <c r="J899" s="50" t="s">
        <v>1892</v>
      </c>
      <c r="K899" s="50" t="s">
        <v>1892</v>
      </c>
      <c r="L899" s="50" t="s">
        <v>1893</v>
      </c>
      <c r="M899" s="50" t="s">
        <v>3287</v>
      </c>
      <c r="N899" s="50" t="s">
        <v>3287</v>
      </c>
      <c r="O899" s="50" t="s">
        <v>3283</v>
      </c>
      <c r="P899" s="50" t="s">
        <v>3287</v>
      </c>
    </row>
    <row r="900" spans="1:16" ht="12.75" customHeight="1" x14ac:dyDescent="0.25">
      <c r="A900" s="311">
        <v>897</v>
      </c>
      <c r="B900" s="311" t="s">
        <v>121</v>
      </c>
      <c r="C900" s="311" t="s">
        <v>121</v>
      </c>
      <c r="D900" s="311" t="s">
        <v>462</v>
      </c>
      <c r="E900" s="337" t="s">
        <v>121</v>
      </c>
      <c r="F900" s="311" t="s">
        <v>240</v>
      </c>
      <c r="G900" s="311" t="s">
        <v>236</v>
      </c>
      <c r="H900" s="311" t="s">
        <v>381</v>
      </c>
      <c r="I900" s="311" t="s">
        <v>56</v>
      </c>
      <c r="J900" s="50" t="s">
        <v>1892</v>
      </c>
      <c r="K900" s="50" t="s">
        <v>1892</v>
      </c>
      <c r="L900" s="50" t="s">
        <v>1893</v>
      </c>
      <c r="M900" s="50" t="s">
        <v>3288</v>
      </c>
      <c r="N900" s="50" t="s">
        <v>3288</v>
      </c>
      <c r="O900" s="50" t="s">
        <v>3283</v>
      </c>
      <c r="P900" s="50" t="s">
        <v>3288</v>
      </c>
    </row>
    <row r="901" spans="1:16" ht="12.75" customHeight="1" x14ac:dyDescent="0.25">
      <c r="A901" s="311">
        <v>898</v>
      </c>
      <c r="B901" s="311" t="s">
        <v>87</v>
      </c>
      <c r="C901" s="311" t="s">
        <v>87</v>
      </c>
      <c r="D901" s="311" t="s">
        <v>462</v>
      </c>
      <c r="E901" s="337" t="s">
        <v>87</v>
      </c>
      <c r="F901" s="311" t="s">
        <v>240</v>
      </c>
      <c r="G901" s="311" t="s">
        <v>236</v>
      </c>
      <c r="H901" s="311" t="s">
        <v>381</v>
      </c>
      <c r="I901" s="311" t="s">
        <v>56</v>
      </c>
      <c r="J901" s="50" t="s">
        <v>1892</v>
      </c>
      <c r="K901" s="50" t="s">
        <v>1892</v>
      </c>
      <c r="L901" s="50" t="s">
        <v>1893</v>
      </c>
      <c r="M901" s="50" t="s">
        <v>3289</v>
      </c>
      <c r="N901" s="50" t="s">
        <v>3289</v>
      </c>
      <c r="O901" s="50" t="s">
        <v>3283</v>
      </c>
      <c r="P901" s="50" t="s">
        <v>3289</v>
      </c>
    </row>
    <row r="902" spans="1:16" ht="12.75" customHeight="1" x14ac:dyDescent="0.25">
      <c r="A902" s="311">
        <v>899</v>
      </c>
      <c r="B902" s="311" t="s">
        <v>125</v>
      </c>
      <c r="C902" s="311" t="s">
        <v>125</v>
      </c>
      <c r="D902" s="311" t="s">
        <v>125</v>
      </c>
      <c r="E902" s="337" t="s">
        <v>125</v>
      </c>
      <c r="F902" s="311" t="s">
        <v>240</v>
      </c>
      <c r="G902" s="311" t="s">
        <v>236</v>
      </c>
      <c r="H902" s="311" t="s">
        <v>381</v>
      </c>
      <c r="I902" s="311" t="s">
        <v>56</v>
      </c>
      <c r="J902" s="50" t="s">
        <v>1892</v>
      </c>
      <c r="K902" s="50" t="s">
        <v>1892</v>
      </c>
      <c r="L902" s="50" t="s">
        <v>1893</v>
      </c>
      <c r="M902" s="50" t="s">
        <v>3290</v>
      </c>
      <c r="N902" s="50" t="s">
        <v>3290</v>
      </c>
      <c r="O902" s="50" t="s">
        <v>3290</v>
      </c>
      <c r="P902" s="50" t="s">
        <v>3290</v>
      </c>
    </row>
    <row r="903" spans="1:16" ht="12.75" customHeight="1" x14ac:dyDescent="0.25">
      <c r="A903" s="311">
        <v>900</v>
      </c>
      <c r="B903" s="311" t="s">
        <v>134</v>
      </c>
      <c r="C903" s="311" t="s">
        <v>134</v>
      </c>
      <c r="D903" s="311" t="s">
        <v>134</v>
      </c>
      <c r="E903" s="337" t="s">
        <v>134</v>
      </c>
      <c r="F903" s="311" t="s">
        <v>240</v>
      </c>
      <c r="G903" s="311" t="s">
        <v>236</v>
      </c>
      <c r="H903" s="311" t="s">
        <v>381</v>
      </c>
      <c r="I903" s="311" t="s">
        <v>56</v>
      </c>
      <c r="J903" s="50" t="s">
        <v>1892</v>
      </c>
      <c r="K903" s="50" t="s">
        <v>1892</v>
      </c>
      <c r="L903" s="50" t="s">
        <v>1893</v>
      </c>
      <c r="M903" s="50" t="s">
        <v>3291</v>
      </c>
      <c r="N903" s="50" t="s">
        <v>3291</v>
      </c>
      <c r="O903" s="50" t="s">
        <v>3291</v>
      </c>
      <c r="P903" s="50" t="s">
        <v>3291</v>
      </c>
    </row>
    <row r="904" spans="1:16" ht="12.75" customHeight="1" x14ac:dyDescent="0.25">
      <c r="A904" s="311">
        <v>901</v>
      </c>
      <c r="B904" s="311" t="s">
        <v>141</v>
      </c>
      <c r="C904" s="311" t="s">
        <v>141</v>
      </c>
      <c r="D904" s="311" t="s">
        <v>141</v>
      </c>
      <c r="E904" s="337" t="s">
        <v>141</v>
      </c>
      <c r="F904" s="311" t="s">
        <v>240</v>
      </c>
      <c r="G904" s="311" t="s">
        <v>236</v>
      </c>
      <c r="H904" s="311" t="s">
        <v>381</v>
      </c>
      <c r="I904" s="311" t="s">
        <v>56</v>
      </c>
      <c r="J904" s="50" t="s">
        <v>1892</v>
      </c>
      <c r="K904" s="50" t="s">
        <v>1892</v>
      </c>
      <c r="L904" s="50" t="s">
        <v>1893</v>
      </c>
      <c r="M904" s="50" t="s">
        <v>3292</v>
      </c>
      <c r="N904" s="50" t="s">
        <v>3292</v>
      </c>
      <c r="O904" s="50" t="s">
        <v>3292</v>
      </c>
      <c r="P904" s="50" t="s">
        <v>3292</v>
      </c>
    </row>
    <row r="905" spans="1:16" ht="12.75" customHeight="1" x14ac:dyDescent="0.25">
      <c r="A905" s="311">
        <v>902</v>
      </c>
      <c r="B905" s="311" t="s">
        <v>69</v>
      </c>
      <c r="C905" s="311" t="s">
        <v>69</v>
      </c>
      <c r="D905" s="311" t="s">
        <v>69</v>
      </c>
      <c r="E905" s="337" t="s">
        <v>69</v>
      </c>
      <c r="F905" s="311" t="s">
        <v>240</v>
      </c>
      <c r="G905" s="311" t="s">
        <v>236</v>
      </c>
      <c r="H905" s="311" t="s">
        <v>381</v>
      </c>
      <c r="I905" s="311" t="s">
        <v>56</v>
      </c>
      <c r="J905" s="50" t="s">
        <v>1892</v>
      </c>
      <c r="K905" s="50" t="s">
        <v>1892</v>
      </c>
      <c r="L905" s="50" t="s">
        <v>1893</v>
      </c>
      <c r="M905" s="50" t="s">
        <v>3293</v>
      </c>
      <c r="N905" s="50" t="s">
        <v>3293</v>
      </c>
      <c r="O905" s="50" t="s">
        <v>3293</v>
      </c>
      <c r="P905" s="50" t="s">
        <v>3293</v>
      </c>
    </row>
    <row r="906" spans="1:16" ht="12.75" customHeight="1" x14ac:dyDescent="0.25">
      <c r="A906" s="311">
        <v>903</v>
      </c>
      <c r="B906" s="311" t="s">
        <v>84</v>
      </c>
      <c r="C906" s="311" t="s">
        <v>462</v>
      </c>
      <c r="D906" s="311" t="s">
        <v>462</v>
      </c>
      <c r="E906" s="337" t="s">
        <v>462</v>
      </c>
      <c r="F906" s="311" t="s">
        <v>240</v>
      </c>
      <c r="G906" s="311" t="s">
        <v>23</v>
      </c>
      <c r="H906" s="311" t="s">
        <v>381</v>
      </c>
      <c r="I906" s="311" t="s">
        <v>56</v>
      </c>
      <c r="J906" s="50" t="s">
        <v>1892</v>
      </c>
      <c r="K906" s="50" t="s">
        <v>1892</v>
      </c>
      <c r="L906" s="50" t="s">
        <v>1893</v>
      </c>
      <c r="M906" s="50" t="s">
        <v>3294</v>
      </c>
      <c r="N906" s="50" t="s">
        <v>3295</v>
      </c>
      <c r="O906" s="50" t="s">
        <v>3295</v>
      </c>
      <c r="P906" s="50" t="s">
        <v>3295</v>
      </c>
    </row>
    <row r="907" spans="1:16" ht="12.75" customHeight="1" x14ac:dyDescent="0.25">
      <c r="A907" s="311">
        <v>904</v>
      </c>
      <c r="B907" s="311" t="s">
        <v>123</v>
      </c>
      <c r="C907" s="311" t="s">
        <v>462</v>
      </c>
      <c r="D907" s="311" t="s">
        <v>462</v>
      </c>
      <c r="E907" s="337" t="s">
        <v>462</v>
      </c>
      <c r="F907" s="311" t="s">
        <v>240</v>
      </c>
      <c r="G907" s="311" t="s">
        <v>23</v>
      </c>
      <c r="H907" s="311" t="s">
        <v>381</v>
      </c>
      <c r="I907" s="311" t="s">
        <v>56</v>
      </c>
      <c r="J907" s="50" t="s">
        <v>1892</v>
      </c>
      <c r="K907" s="50" t="s">
        <v>1892</v>
      </c>
      <c r="L907" s="50" t="s">
        <v>1893</v>
      </c>
      <c r="M907" s="50" t="s">
        <v>3296</v>
      </c>
      <c r="N907" s="50" t="s">
        <v>3295</v>
      </c>
      <c r="O907" s="50" t="s">
        <v>3295</v>
      </c>
      <c r="P907" s="50" t="s">
        <v>3295</v>
      </c>
    </row>
    <row r="908" spans="1:16" ht="12.75" customHeight="1" x14ac:dyDescent="0.25">
      <c r="A908" s="311">
        <v>905</v>
      </c>
      <c r="B908" s="311" t="s">
        <v>75</v>
      </c>
      <c r="C908" s="311" t="s">
        <v>462</v>
      </c>
      <c r="D908" s="311" t="s">
        <v>462</v>
      </c>
      <c r="E908" s="337" t="s">
        <v>462</v>
      </c>
      <c r="F908" s="311" t="s">
        <v>240</v>
      </c>
      <c r="G908" s="311" t="s">
        <v>23</v>
      </c>
      <c r="H908" s="311" t="s">
        <v>381</v>
      </c>
      <c r="I908" s="311" t="s">
        <v>56</v>
      </c>
      <c r="J908" s="50" t="s">
        <v>1892</v>
      </c>
      <c r="K908" s="50" t="s">
        <v>1892</v>
      </c>
      <c r="L908" s="50" t="s">
        <v>1893</v>
      </c>
      <c r="M908" s="50" t="s">
        <v>3297</v>
      </c>
      <c r="N908" s="50" t="s">
        <v>3295</v>
      </c>
      <c r="O908" s="50" t="s">
        <v>3295</v>
      </c>
      <c r="P908" s="50" t="s">
        <v>3295</v>
      </c>
    </row>
    <row r="909" spans="1:16" ht="12.75" customHeight="1" x14ac:dyDescent="0.25">
      <c r="A909" s="311">
        <v>906</v>
      </c>
      <c r="B909" s="311" t="s">
        <v>63</v>
      </c>
      <c r="C909" s="311" t="s">
        <v>63</v>
      </c>
      <c r="D909" s="311" t="s">
        <v>462</v>
      </c>
      <c r="E909" s="337" t="s">
        <v>63</v>
      </c>
      <c r="F909" s="311" t="s">
        <v>240</v>
      </c>
      <c r="G909" s="311" t="s">
        <v>23</v>
      </c>
      <c r="H909" s="311" t="s">
        <v>381</v>
      </c>
      <c r="I909" s="311" t="s">
        <v>56</v>
      </c>
      <c r="J909" s="50" t="s">
        <v>1892</v>
      </c>
      <c r="K909" s="50" t="s">
        <v>1892</v>
      </c>
      <c r="L909" s="50" t="s">
        <v>1893</v>
      </c>
      <c r="M909" s="50" t="s">
        <v>3298</v>
      </c>
      <c r="N909" s="50" t="s">
        <v>3298</v>
      </c>
      <c r="O909" s="50" t="s">
        <v>3295</v>
      </c>
      <c r="P909" s="50" t="s">
        <v>3298</v>
      </c>
    </row>
    <row r="910" spans="1:16" ht="12.75" customHeight="1" x14ac:dyDescent="0.25">
      <c r="A910" s="311">
        <v>907</v>
      </c>
      <c r="B910" s="311" t="s">
        <v>140</v>
      </c>
      <c r="C910" s="311" t="s">
        <v>140</v>
      </c>
      <c r="D910" s="311" t="s">
        <v>462</v>
      </c>
      <c r="E910" s="337" t="s">
        <v>140</v>
      </c>
      <c r="F910" s="311" t="s">
        <v>240</v>
      </c>
      <c r="G910" s="311" t="s">
        <v>23</v>
      </c>
      <c r="H910" s="311" t="s">
        <v>381</v>
      </c>
      <c r="I910" s="311" t="s">
        <v>56</v>
      </c>
      <c r="J910" s="50" t="s">
        <v>1892</v>
      </c>
      <c r="K910" s="50" t="s">
        <v>1892</v>
      </c>
      <c r="L910" s="50" t="s">
        <v>1893</v>
      </c>
      <c r="M910" s="50" t="s">
        <v>3299</v>
      </c>
      <c r="N910" s="50" t="s">
        <v>3299</v>
      </c>
      <c r="O910" s="50" t="s">
        <v>3295</v>
      </c>
      <c r="P910" s="50" t="s">
        <v>3299</v>
      </c>
    </row>
    <row r="911" spans="1:16" ht="12.75" customHeight="1" x14ac:dyDescent="0.25">
      <c r="A911" s="311">
        <v>908</v>
      </c>
      <c r="B911" s="311" t="s">
        <v>121</v>
      </c>
      <c r="C911" s="311" t="s">
        <v>121</v>
      </c>
      <c r="D911" s="311" t="s">
        <v>462</v>
      </c>
      <c r="E911" s="337" t="s">
        <v>121</v>
      </c>
      <c r="F911" s="311" t="s">
        <v>240</v>
      </c>
      <c r="G911" s="311" t="s">
        <v>23</v>
      </c>
      <c r="H911" s="311" t="s">
        <v>381</v>
      </c>
      <c r="I911" s="311" t="s">
        <v>56</v>
      </c>
      <c r="J911" s="50" t="s">
        <v>1892</v>
      </c>
      <c r="K911" s="50" t="s">
        <v>1892</v>
      </c>
      <c r="L911" s="50" t="s">
        <v>1893</v>
      </c>
      <c r="M911" s="50" t="s">
        <v>3300</v>
      </c>
      <c r="N911" s="50" t="s">
        <v>3300</v>
      </c>
      <c r="O911" s="50" t="s">
        <v>3295</v>
      </c>
      <c r="P911" s="50" t="s">
        <v>3300</v>
      </c>
    </row>
    <row r="912" spans="1:16" ht="12.75" customHeight="1" x14ac:dyDescent="0.25">
      <c r="A912" s="311">
        <v>909</v>
      </c>
      <c r="B912" s="311" t="s">
        <v>87</v>
      </c>
      <c r="C912" s="311" t="s">
        <v>87</v>
      </c>
      <c r="D912" s="311" t="s">
        <v>462</v>
      </c>
      <c r="E912" s="337" t="s">
        <v>87</v>
      </c>
      <c r="F912" s="311" t="s">
        <v>240</v>
      </c>
      <c r="G912" s="311" t="s">
        <v>23</v>
      </c>
      <c r="H912" s="311" t="s">
        <v>381</v>
      </c>
      <c r="I912" s="311" t="s">
        <v>56</v>
      </c>
      <c r="J912" s="50" t="s">
        <v>1892</v>
      </c>
      <c r="K912" s="50" t="s">
        <v>1892</v>
      </c>
      <c r="L912" s="50" t="s">
        <v>1893</v>
      </c>
      <c r="M912" s="50" t="s">
        <v>3301</v>
      </c>
      <c r="N912" s="50" t="s">
        <v>3301</v>
      </c>
      <c r="O912" s="50" t="s">
        <v>3295</v>
      </c>
      <c r="P912" s="50" t="s">
        <v>3301</v>
      </c>
    </row>
    <row r="913" spans="1:16" ht="12.75" customHeight="1" x14ac:dyDescent="0.25">
      <c r="A913" s="311">
        <v>910</v>
      </c>
      <c r="B913" s="311" t="s">
        <v>125</v>
      </c>
      <c r="C913" s="311" t="s">
        <v>125</v>
      </c>
      <c r="D913" s="311" t="s">
        <v>125</v>
      </c>
      <c r="E913" s="337" t="s">
        <v>125</v>
      </c>
      <c r="F913" s="311" t="s">
        <v>240</v>
      </c>
      <c r="G913" s="311" t="s">
        <v>23</v>
      </c>
      <c r="H913" s="311" t="s">
        <v>381</v>
      </c>
      <c r="I913" s="311" t="s">
        <v>56</v>
      </c>
      <c r="J913" s="50" t="s">
        <v>1892</v>
      </c>
      <c r="K913" s="50" t="s">
        <v>1892</v>
      </c>
      <c r="L913" s="50" t="s">
        <v>1893</v>
      </c>
      <c r="M913" s="50" t="s">
        <v>3302</v>
      </c>
      <c r="N913" s="50" t="s">
        <v>3302</v>
      </c>
      <c r="O913" s="50" t="s">
        <v>3302</v>
      </c>
      <c r="P913" s="50" t="s">
        <v>3302</v>
      </c>
    </row>
    <row r="914" spans="1:16" ht="12.75" customHeight="1" x14ac:dyDescent="0.25">
      <c r="A914" s="311">
        <v>911</v>
      </c>
      <c r="B914" s="311" t="s">
        <v>134</v>
      </c>
      <c r="C914" s="311" t="s">
        <v>134</v>
      </c>
      <c r="D914" s="311" t="s">
        <v>134</v>
      </c>
      <c r="E914" s="337" t="s">
        <v>134</v>
      </c>
      <c r="F914" s="311" t="s">
        <v>240</v>
      </c>
      <c r="G914" s="311" t="s">
        <v>23</v>
      </c>
      <c r="H914" s="311" t="s">
        <v>381</v>
      </c>
      <c r="I914" s="311" t="s">
        <v>56</v>
      </c>
      <c r="J914" s="50" t="s">
        <v>1892</v>
      </c>
      <c r="K914" s="50" t="s">
        <v>1892</v>
      </c>
      <c r="L914" s="50" t="s">
        <v>1893</v>
      </c>
      <c r="M914" s="50" t="s">
        <v>3303</v>
      </c>
      <c r="N914" s="50" t="s">
        <v>3303</v>
      </c>
      <c r="O914" s="50" t="s">
        <v>3303</v>
      </c>
      <c r="P914" s="50" t="s">
        <v>3303</v>
      </c>
    </row>
    <row r="915" spans="1:16" ht="12.75" customHeight="1" x14ac:dyDescent="0.25">
      <c r="A915" s="311">
        <v>912</v>
      </c>
      <c r="B915" s="311" t="s">
        <v>141</v>
      </c>
      <c r="C915" s="311" t="s">
        <v>141</v>
      </c>
      <c r="D915" s="311" t="s">
        <v>141</v>
      </c>
      <c r="E915" s="337" t="s">
        <v>141</v>
      </c>
      <c r="F915" s="311" t="s">
        <v>240</v>
      </c>
      <c r="G915" s="311" t="s">
        <v>23</v>
      </c>
      <c r="H915" s="311" t="s">
        <v>381</v>
      </c>
      <c r="I915" s="311" t="s">
        <v>56</v>
      </c>
      <c r="J915" s="50" t="s">
        <v>1892</v>
      </c>
      <c r="K915" s="50" t="s">
        <v>1892</v>
      </c>
      <c r="L915" s="50" t="s">
        <v>1893</v>
      </c>
      <c r="M915" s="50" t="s">
        <v>3304</v>
      </c>
      <c r="N915" s="50" t="s">
        <v>3304</v>
      </c>
      <c r="O915" s="50" t="s">
        <v>3304</v>
      </c>
      <c r="P915" s="50" t="s">
        <v>3304</v>
      </c>
    </row>
    <row r="916" spans="1:16" ht="12.75" customHeight="1" x14ac:dyDescent="0.25">
      <c r="A916" s="311">
        <v>913</v>
      </c>
      <c r="B916" s="311" t="s">
        <v>69</v>
      </c>
      <c r="C916" s="311" t="s">
        <v>69</v>
      </c>
      <c r="D916" s="311" t="s">
        <v>69</v>
      </c>
      <c r="E916" s="337" t="s">
        <v>69</v>
      </c>
      <c r="F916" s="311" t="s">
        <v>240</v>
      </c>
      <c r="G916" s="311" t="s">
        <v>23</v>
      </c>
      <c r="H916" s="311" t="s">
        <v>381</v>
      </c>
      <c r="I916" s="311" t="s">
        <v>56</v>
      </c>
      <c r="J916" s="50" t="s">
        <v>1892</v>
      </c>
      <c r="K916" s="50" t="s">
        <v>1892</v>
      </c>
      <c r="L916" s="50" t="s">
        <v>1893</v>
      </c>
      <c r="M916" s="50" t="s">
        <v>3305</v>
      </c>
      <c r="N916" s="50" t="s">
        <v>3305</v>
      </c>
      <c r="O916" s="50" t="s">
        <v>3305</v>
      </c>
      <c r="P916" s="50" t="s">
        <v>3305</v>
      </c>
    </row>
    <row r="917" spans="1:16" ht="12.75" customHeight="1" x14ac:dyDescent="0.25">
      <c r="A917" s="311">
        <v>914</v>
      </c>
      <c r="B917" s="311" t="s">
        <v>84</v>
      </c>
      <c r="C917" s="311" t="s">
        <v>462</v>
      </c>
      <c r="D917" s="311" t="s">
        <v>462</v>
      </c>
      <c r="E917" s="337" t="s">
        <v>462</v>
      </c>
      <c r="F917" s="311" t="s">
        <v>240</v>
      </c>
      <c r="G917" s="311" t="s">
        <v>237</v>
      </c>
      <c r="H917" s="311" t="s">
        <v>381</v>
      </c>
      <c r="I917" s="311" t="s">
        <v>56</v>
      </c>
      <c r="J917" s="50" t="s">
        <v>1892</v>
      </c>
      <c r="K917" s="50" t="s">
        <v>1892</v>
      </c>
      <c r="L917" s="50" t="s">
        <v>1893</v>
      </c>
      <c r="M917" s="50" t="s">
        <v>3306</v>
      </c>
      <c r="N917" s="50" t="s">
        <v>3307</v>
      </c>
      <c r="O917" s="50" t="s">
        <v>3307</v>
      </c>
      <c r="P917" s="50" t="s">
        <v>3307</v>
      </c>
    </row>
    <row r="918" spans="1:16" ht="12.75" customHeight="1" x14ac:dyDescent="0.25">
      <c r="A918" s="311">
        <v>915</v>
      </c>
      <c r="B918" s="311" t="s">
        <v>123</v>
      </c>
      <c r="C918" s="311" t="s">
        <v>462</v>
      </c>
      <c r="D918" s="311" t="s">
        <v>462</v>
      </c>
      <c r="E918" s="337" t="s">
        <v>462</v>
      </c>
      <c r="F918" s="311" t="s">
        <v>240</v>
      </c>
      <c r="G918" s="311" t="s">
        <v>237</v>
      </c>
      <c r="H918" s="311" t="s">
        <v>381</v>
      </c>
      <c r="I918" s="311" t="s">
        <v>56</v>
      </c>
      <c r="J918" s="50" t="s">
        <v>1892</v>
      </c>
      <c r="K918" s="50" t="s">
        <v>1892</v>
      </c>
      <c r="L918" s="50" t="s">
        <v>1893</v>
      </c>
      <c r="M918" s="50" t="s">
        <v>3308</v>
      </c>
      <c r="N918" s="50" t="s">
        <v>3307</v>
      </c>
      <c r="O918" s="50" t="s">
        <v>3307</v>
      </c>
      <c r="P918" s="50" t="s">
        <v>3307</v>
      </c>
    </row>
    <row r="919" spans="1:16" ht="12.75" customHeight="1" x14ac:dyDescent="0.25">
      <c r="A919" s="311">
        <v>916</v>
      </c>
      <c r="B919" s="311" t="s">
        <v>75</v>
      </c>
      <c r="C919" s="311" t="s">
        <v>462</v>
      </c>
      <c r="D919" s="311" t="s">
        <v>462</v>
      </c>
      <c r="E919" s="337" t="s">
        <v>462</v>
      </c>
      <c r="F919" s="311" t="s">
        <v>240</v>
      </c>
      <c r="G919" s="311" t="s">
        <v>237</v>
      </c>
      <c r="H919" s="311" t="s">
        <v>381</v>
      </c>
      <c r="I919" s="311" t="s">
        <v>56</v>
      </c>
      <c r="J919" s="50" t="s">
        <v>1892</v>
      </c>
      <c r="K919" s="50" t="s">
        <v>1892</v>
      </c>
      <c r="L919" s="50" t="s">
        <v>1893</v>
      </c>
      <c r="M919" s="50" t="s">
        <v>3309</v>
      </c>
      <c r="N919" s="50" t="s">
        <v>3307</v>
      </c>
      <c r="O919" s="50" t="s">
        <v>3307</v>
      </c>
      <c r="P919" s="50" t="s">
        <v>3307</v>
      </c>
    </row>
    <row r="920" spans="1:16" ht="12.75" customHeight="1" x14ac:dyDescent="0.25">
      <c r="A920" s="311">
        <v>917</v>
      </c>
      <c r="B920" s="311" t="s">
        <v>63</v>
      </c>
      <c r="C920" s="311" t="s">
        <v>63</v>
      </c>
      <c r="D920" s="311" t="s">
        <v>462</v>
      </c>
      <c r="E920" s="337" t="s">
        <v>63</v>
      </c>
      <c r="F920" s="311" t="s">
        <v>240</v>
      </c>
      <c r="G920" s="311" t="s">
        <v>237</v>
      </c>
      <c r="H920" s="311" t="s">
        <v>381</v>
      </c>
      <c r="I920" s="311" t="s">
        <v>56</v>
      </c>
      <c r="J920" s="50" t="s">
        <v>1892</v>
      </c>
      <c r="K920" s="50" t="s">
        <v>1892</v>
      </c>
      <c r="L920" s="50" t="s">
        <v>1893</v>
      </c>
      <c r="M920" s="50" t="s">
        <v>3310</v>
      </c>
      <c r="N920" s="50" t="s">
        <v>3310</v>
      </c>
      <c r="O920" s="50" t="s">
        <v>3307</v>
      </c>
      <c r="P920" s="50" t="s">
        <v>3310</v>
      </c>
    </row>
    <row r="921" spans="1:16" ht="12.75" customHeight="1" x14ac:dyDescent="0.25">
      <c r="A921" s="311">
        <v>918</v>
      </c>
      <c r="B921" s="311" t="s">
        <v>140</v>
      </c>
      <c r="C921" s="311" t="s">
        <v>140</v>
      </c>
      <c r="D921" s="311" t="s">
        <v>462</v>
      </c>
      <c r="E921" s="337" t="s">
        <v>140</v>
      </c>
      <c r="F921" s="311" t="s">
        <v>240</v>
      </c>
      <c r="G921" s="311" t="s">
        <v>237</v>
      </c>
      <c r="H921" s="311" t="s">
        <v>381</v>
      </c>
      <c r="I921" s="311" t="s">
        <v>56</v>
      </c>
      <c r="J921" s="50" t="s">
        <v>1892</v>
      </c>
      <c r="K921" s="50" t="s">
        <v>1892</v>
      </c>
      <c r="L921" s="50" t="s">
        <v>1893</v>
      </c>
      <c r="M921" s="50" t="s">
        <v>3311</v>
      </c>
      <c r="N921" s="50" t="s">
        <v>3311</v>
      </c>
      <c r="O921" s="50" t="s">
        <v>3307</v>
      </c>
      <c r="P921" s="50" t="s">
        <v>3311</v>
      </c>
    </row>
    <row r="922" spans="1:16" ht="12.75" customHeight="1" x14ac:dyDescent="0.25">
      <c r="A922" s="311">
        <v>919</v>
      </c>
      <c r="B922" s="311" t="s">
        <v>121</v>
      </c>
      <c r="C922" s="311" t="s">
        <v>121</v>
      </c>
      <c r="D922" s="311" t="s">
        <v>462</v>
      </c>
      <c r="E922" s="337" t="s">
        <v>121</v>
      </c>
      <c r="F922" s="311" t="s">
        <v>240</v>
      </c>
      <c r="G922" s="311" t="s">
        <v>237</v>
      </c>
      <c r="H922" s="311" t="s">
        <v>381</v>
      </c>
      <c r="I922" s="311" t="s">
        <v>56</v>
      </c>
      <c r="J922" s="50" t="s">
        <v>1892</v>
      </c>
      <c r="K922" s="50" t="s">
        <v>1892</v>
      </c>
      <c r="L922" s="50" t="s">
        <v>1893</v>
      </c>
      <c r="M922" s="50" t="s">
        <v>3312</v>
      </c>
      <c r="N922" s="50" t="s">
        <v>3312</v>
      </c>
      <c r="O922" s="50" t="s">
        <v>3307</v>
      </c>
      <c r="P922" s="50" t="s">
        <v>3312</v>
      </c>
    </row>
    <row r="923" spans="1:16" ht="12.75" customHeight="1" x14ac:dyDescent="0.25">
      <c r="A923" s="311">
        <v>920</v>
      </c>
      <c r="B923" s="311" t="s">
        <v>87</v>
      </c>
      <c r="C923" s="311" t="s">
        <v>87</v>
      </c>
      <c r="D923" s="311" t="s">
        <v>462</v>
      </c>
      <c r="E923" s="337" t="s">
        <v>87</v>
      </c>
      <c r="F923" s="311" t="s">
        <v>240</v>
      </c>
      <c r="G923" s="311" t="s">
        <v>237</v>
      </c>
      <c r="H923" s="311" t="s">
        <v>381</v>
      </c>
      <c r="I923" s="311" t="s">
        <v>56</v>
      </c>
      <c r="J923" s="50" t="s">
        <v>1892</v>
      </c>
      <c r="K923" s="50" t="s">
        <v>1892</v>
      </c>
      <c r="L923" s="50" t="s">
        <v>1893</v>
      </c>
      <c r="M923" s="50" t="s">
        <v>3313</v>
      </c>
      <c r="N923" s="50" t="s">
        <v>3313</v>
      </c>
      <c r="O923" s="50" t="s">
        <v>3307</v>
      </c>
      <c r="P923" s="50" t="s">
        <v>3313</v>
      </c>
    </row>
    <row r="924" spans="1:16" ht="12.75" customHeight="1" x14ac:dyDescent="0.25">
      <c r="A924" s="311">
        <v>921</v>
      </c>
      <c r="B924" s="311" t="s">
        <v>125</v>
      </c>
      <c r="C924" s="311" t="s">
        <v>125</v>
      </c>
      <c r="D924" s="311" t="s">
        <v>125</v>
      </c>
      <c r="E924" s="337" t="s">
        <v>125</v>
      </c>
      <c r="F924" s="311" t="s">
        <v>240</v>
      </c>
      <c r="G924" s="311" t="s">
        <v>237</v>
      </c>
      <c r="H924" s="311" t="s">
        <v>381</v>
      </c>
      <c r="I924" s="311" t="s">
        <v>56</v>
      </c>
      <c r="J924" s="50" t="s">
        <v>1892</v>
      </c>
      <c r="K924" s="50" t="s">
        <v>1892</v>
      </c>
      <c r="L924" s="50" t="s">
        <v>1893</v>
      </c>
      <c r="M924" s="50" t="s">
        <v>3314</v>
      </c>
      <c r="N924" s="50" t="s">
        <v>3314</v>
      </c>
      <c r="O924" s="50" t="s">
        <v>3314</v>
      </c>
      <c r="P924" s="50" t="s">
        <v>3314</v>
      </c>
    </row>
    <row r="925" spans="1:16" ht="12.75" customHeight="1" x14ac:dyDescent="0.25">
      <c r="A925" s="311">
        <v>922</v>
      </c>
      <c r="B925" s="311" t="s">
        <v>134</v>
      </c>
      <c r="C925" s="311" t="s">
        <v>134</v>
      </c>
      <c r="D925" s="311" t="s">
        <v>134</v>
      </c>
      <c r="E925" s="337" t="s">
        <v>134</v>
      </c>
      <c r="F925" s="311" t="s">
        <v>240</v>
      </c>
      <c r="G925" s="311" t="s">
        <v>237</v>
      </c>
      <c r="H925" s="311" t="s">
        <v>381</v>
      </c>
      <c r="I925" s="311" t="s">
        <v>56</v>
      </c>
      <c r="J925" s="50" t="s">
        <v>1892</v>
      </c>
      <c r="K925" s="50" t="s">
        <v>1892</v>
      </c>
      <c r="L925" s="50" t="s">
        <v>1893</v>
      </c>
      <c r="M925" s="50" t="s">
        <v>3315</v>
      </c>
      <c r="N925" s="50" t="s">
        <v>3315</v>
      </c>
      <c r="O925" s="50" t="s">
        <v>3315</v>
      </c>
      <c r="P925" s="50" t="s">
        <v>3315</v>
      </c>
    </row>
    <row r="926" spans="1:16" ht="12.75" customHeight="1" x14ac:dyDescent="0.25">
      <c r="A926" s="311">
        <v>923</v>
      </c>
      <c r="B926" s="311" t="s">
        <v>141</v>
      </c>
      <c r="C926" s="311" t="s">
        <v>141</v>
      </c>
      <c r="D926" s="311" t="s">
        <v>141</v>
      </c>
      <c r="E926" s="337" t="s">
        <v>141</v>
      </c>
      <c r="F926" s="311" t="s">
        <v>240</v>
      </c>
      <c r="G926" s="311" t="s">
        <v>237</v>
      </c>
      <c r="H926" s="311" t="s">
        <v>381</v>
      </c>
      <c r="I926" s="311" t="s">
        <v>56</v>
      </c>
      <c r="J926" s="50" t="s">
        <v>1892</v>
      </c>
      <c r="K926" s="50" t="s">
        <v>1892</v>
      </c>
      <c r="L926" s="50" t="s">
        <v>1893</v>
      </c>
      <c r="M926" s="50" t="s">
        <v>3316</v>
      </c>
      <c r="N926" s="50" t="s">
        <v>3316</v>
      </c>
      <c r="O926" s="50" t="s">
        <v>3316</v>
      </c>
      <c r="P926" s="50" t="s">
        <v>3316</v>
      </c>
    </row>
    <row r="927" spans="1:16" ht="12.75" customHeight="1" x14ac:dyDescent="0.25">
      <c r="A927" s="311">
        <v>924</v>
      </c>
      <c r="B927" s="311" t="s">
        <v>69</v>
      </c>
      <c r="C927" s="311" t="s">
        <v>69</v>
      </c>
      <c r="D927" s="311" t="s">
        <v>69</v>
      </c>
      <c r="E927" s="337" t="s">
        <v>69</v>
      </c>
      <c r="F927" s="311" t="s">
        <v>240</v>
      </c>
      <c r="G927" s="311" t="s">
        <v>237</v>
      </c>
      <c r="H927" s="311" t="s">
        <v>381</v>
      </c>
      <c r="I927" s="311" t="s">
        <v>56</v>
      </c>
      <c r="J927" s="50" t="s">
        <v>1892</v>
      </c>
      <c r="K927" s="50" t="s">
        <v>1892</v>
      </c>
      <c r="L927" s="50" t="s">
        <v>1893</v>
      </c>
      <c r="M927" s="50" t="s">
        <v>3317</v>
      </c>
      <c r="N927" s="50" t="s">
        <v>3317</v>
      </c>
      <c r="O927" s="50" t="s">
        <v>3317</v>
      </c>
      <c r="P927" s="50" t="s">
        <v>3317</v>
      </c>
    </row>
    <row r="928" spans="1:16" ht="12.75" customHeight="1" x14ac:dyDescent="0.25">
      <c r="A928" s="311">
        <v>925</v>
      </c>
      <c r="B928" s="311" t="s">
        <v>84</v>
      </c>
      <c r="C928" s="311" t="s">
        <v>462</v>
      </c>
      <c r="D928" s="311" t="s">
        <v>462</v>
      </c>
      <c r="E928" s="337" t="s">
        <v>462</v>
      </c>
      <c r="F928" s="311" t="s">
        <v>67</v>
      </c>
      <c r="G928" s="311" t="s">
        <v>236</v>
      </c>
      <c r="H928" s="311" t="s">
        <v>381</v>
      </c>
      <c r="I928" s="311" t="s">
        <v>56</v>
      </c>
      <c r="J928" s="50" t="s">
        <v>1892</v>
      </c>
      <c r="K928" s="50" t="s">
        <v>1892</v>
      </c>
      <c r="L928" s="50" t="s">
        <v>1893</v>
      </c>
      <c r="M928" s="50" t="s">
        <v>3318</v>
      </c>
      <c r="N928" s="50" t="s">
        <v>3319</v>
      </c>
      <c r="O928" s="50" t="s">
        <v>3319</v>
      </c>
      <c r="P928" s="50" t="s">
        <v>3319</v>
      </c>
    </row>
    <row r="929" spans="1:16" ht="12.75" customHeight="1" x14ac:dyDescent="0.25">
      <c r="A929" s="311">
        <v>926</v>
      </c>
      <c r="B929" s="311" t="s">
        <v>123</v>
      </c>
      <c r="C929" s="311" t="s">
        <v>462</v>
      </c>
      <c r="D929" s="311" t="s">
        <v>462</v>
      </c>
      <c r="E929" s="337" t="s">
        <v>462</v>
      </c>
      <c r="F929" s="311" t="s">
        <v>67</v>
      </c>
      <c r="G929" s="311" t="s">
        <v>236</v>
      </c>
      <c r="H929" s="311" t="s">
        <v>381</v>
      </c>
      <c r="I929" s="311" t="s">
        <v>56</v>
      </c>
      <c r="J929" s="50" t="s">
        <v>1892</v>
      </c>
      <c r="K929" s="50" t="s">
        <v>1892</v>
      </c>
      <c r="L929" s="50" t="s">
        <v>1893</v>
      </c>
      <c r="M929" s="50" t="s">
        <v>3320</v>
      </c>
      <c r="N929" s="50" t="s">
        <v>3319</v>
      </c>
      <c r="O929" s="50" t="s">
        <v>3319</v>
      </c>
      <c r="P929" s="50" t="s">
        <v>3319</v>
      </c>
    </row>
    <row r="930" spans="1:16" ht="12.75" customHeight="1" x14ac:dyDescent="0.25">
      <c r="A930" s="311">
        <v>927</v>
      </c>
      <c r="B930" s="311" t="s">
        <v>75</v>
      </c>
      <c r="C930" s="311" t="s">
        <v>462</v>
      </c>
      <c r="D930" s="311" t="s">
        <v>462</v>
      </c>
      <c r="E930" s="337" t="s">
        <v>462</v>
      </c>
      <c r="F930" s="311" t="s">
        <v>67</v>
      </c>
      <c r="G930" s="311" t="s">
        <v>236</v>
      </c>
      <c r="H930" s="311" t="s">
        <v>381</v>
      </c>
      <c r="I930" s="311" t="s">
        <v>56</v>
      </c>
      <c r="J930" s="50" t="s">
        <v>1892</v>
      </c>
      <c r="K930" s="50" t="s">
        <v>1892</v>
      </c>
      <c r="L930" s="50" t="s">
        <v>1893</v>
      </c>
      <c r="M930" s="50" t="s">
        <v>3321</v>
      </c>
      <c r="N930" s="50" t="s">
        <v>3319</v>
      </c>
      <c r="O930" s="50" t="s">
        <v>3319</v>
      </c>
      <c r="P930" s="50" t="s">
        <v>3319</v>
      </c>
    </row>
    <row r="931" spans="1:16" ht="12.75" customHeight="1" x14ac:dyDescent="0.25">
      <c r="A931" s="311">
        <v>928</v>
      </c>
      <c r="B931" s="311" t="s">
        <v>63</v>
      </c>
      <c r="C931" s="311" t="s">
        <v>63</v>
      </c>
      <c r="D931" s="311" t="s">
        <v>462</v>
      </c>
      <c r="E931" s="337" t="s">
        <v>63</v>
      </c>
      <c r="F931" s="311" t="s">
        <v>67</v>
      </c>
      <c r="G931" s="311" t="s">
        <v>236</v>
      </c>
      <c r="H931" s="311" t="s">
        <v>381</v>
      </c>
      <c r="I931" s="311" t="s">
        <v>56</v>
      </c>
      <c r="J931" s="50" t="s">
        <v>1892</v>
      </c>
      <c r="K931" s="50" t="s">
        <v>1892</v>
      </c>
      <c r="L931" s="50" t="s">
        <v>1893</v>
      </c>
      <c r="M931" s="50" t="s">
        <v>3322</v>
      </c>
      <c r="N931" s="50" t="s">
        <v>3322</v>
      </c>
      <c r="O931" s="50" t="s">
        <v>3319</v>
      </c>
      <c r="P931" s="50" t="s">
        <v>3322</v>
      </c>
    </row>
    <row r="932" spans="1:16" ht="12.75" customHeight="1" x14ac:dyDescent="0.25">
      <c r="A932" s="311">
        <v>929</v>
      </c>
      <c r="B932" s="311" t="s">
        <v>140</v>
      </c>
      <c r="C932" s="311" t="s">
        <v>140</v>
      </c>
      <c r="D932" s="311" t="s">
        <v>462</v>
      </c>
      <c r="E932" s="337" t="s">
        <v>140</v>
      </c>
      <c r="F932" s="311" t="s">
        <v>67</v>
      </c>
      <c r="G932" s="311" t="s">
        <v>236</v>
      </c>
      <c r="H932" s="311" t="s">
        <v>381</v>
      </c>
      <c r="I932" s="311" t="s">
        <v>56</v>
      </c>
      <c r="J932" s="50" t="s">
        <v>1892</v>
      </c>
      <c r="K932" s="50" t="s">
        <v>1892</v>
      </c>
      <c r="L932" s="50" t="s">
        <v>1893</v>
      </c>
      <c r="M932" s="50" t="s">
        <v>3323</v>
      </c>
      <c r="N932" s="50" t="s">
        <v>3323</v>
      </c>
      <c r="O932" s="50" t="s">
        <v>3319</v>
      </c>
      <c r="P932" s="50" t="s">
        <v>3323</v>
      </c>
    </row>
    <row r="933" spans="1:16" ht="12.75" customHeight="1" x14ac:dyDescent="0.25">
      <c r="A933" s="311">
        <v>930</v>
      </c>
      <c r="B933" s="311" t="s">
        <v>121</v>
      </c>
      <c r="C933" s="311" t="s">
        <v>121</v>
      </c>
      <c r="D933" s="311" t="s">
        <v>462</v>
      </c>
      <c r="E933" s="337" t="s">
        <v>121</v>
      </c>
      <c r="F933" s="311" t="s">
        <v>67</v>
      </c>
      <c r="G933" s="311" t="s">
        <v>236</v>
      </c>
      <c r="H933" s="311" t="s">
        <v>381</v>
      </c>
      <c r="I933" s="311" t="s">
        <v>56</v>
      </c>
      <c r="J933" s="50" t="s">
        <v>1892</v>
      </c>
      <c r="K933" s="50" t="s">
        <v>1892</v>
      </c>
      <c r="L933" s="50" t="s">
        <v>1893</v>
      </c>
      <c r="M933" s="50" t="s">
        <v>3324</v>
      </c>
      <c r="N933" s="50" t="s">
        <v>3324</v>
      </c>
      <c r="O933" s="50" t="s">
        <v>3319</v>
      </c>
      <c r="P933" s="50" t="s">
        <v>3324</v>
      </c>
    </row>
    <row r="934" spans="1:16" ht="12.75" customHeight="1" x14ac:dyDescent="0.25">
      <c r="A934" s="311">
        <v>931</v>
      </c>
      <c r="B934" s="311" t="s">
        <v>87</v>
      </c>
      <c r="C934" s="311" t="s">
        <v>87</v>
      </c>
      <c r="D934" s="311" t="s">
        <v>462</v>
      </c>
      <c r="E934" s="337" t="s">
        <v>87</v>
      </c>
      <c r="F934" s="311" t="s">
        <v>67</v>
      </c>
      <c r="G934" s="311" t="s">
        <v>236</v>
      </c>
      <c r="H934" s="311" t="s">
        <v>381</v>
      </c>
      <c r="I934" s="311" t="s">
        <v>56</v>
      </c>
      <c r="J934" s="50" t="s">
        <v>1892</v>
      </c>
      <c r="K934" s="50" t="s">
        <v>1892</v>
      </c>
      <c r="L934" s="50" t="s">
        <v>1893</v>
      </c>
      <c r="M934" s="50" t="s">
        <v>3325</v>
      </c>
      <c r="N934" s="50" t="s">
        <v>3325</v>
      </c>
      <c r="O934" s="50" t="s">
        <v>3319</v>
      </c>
      <c r="P934" s="50" t="s">
        <v>3325</v>
      </c>
    </row>
    <row r="935" spans="1:16" ht="12.75" customHeight="1" x14ac:dyDescent="0.25">
      <c r="A935" s="311">
        <v>932</v>
      </c>
      <c r="B935" s="311" t="s">
        <v>125</v>
      </c>
      <c r="C935" s="311" t="s">
        <v>125</v>
      </c>
      <c r="D935" s="311" t="s">
        <v>125</v>
      </c>
      <c r="E935" s="337" t="s">
        <v>125</v>
      </c>
      <c r="F935" s="311" t="s">
        <v>67</v>
      </c>
      <c r="G935" s="311" t="s">
        <v>236</v>
      </c>
      <c r="H935" s="311" t="s">
        <v>381</v>
      </c>
      <c r="I935" s="311" t="s">
        <v>56</v>
      </c>
      <c r="J935" s="50" t="s">
        <v>1892</v>
      </c>
      <c r="K935" s="50" t="s">
        <v>1892</v>
      </c>
      <c r="L935" s="50" t="s">
        <v>1893</v>
      </c>
      <c r="M935" s="50" t="s">
        <v>3326</v>
      </c>
      <c r="N935" s="50" t="s">
        <v>3326</v>
      </c>
      <c r="O935" s="50" t="s">
        <v>3326</v>
      </c>
      <c r="P935" s="50" t="s">
        <v>3326</v>
      </c>
    </row>
    <row r="936" spans="1:16" ht="12.75" customHeight="1" x14ac:dyDescent="0.25">
      <c r="A936" s="311">
        <v>933</v>
      </c>
      <c r="B936" s="311" t="s">
        <v>134</v>
      </c>
      <c r="C936" s="311" t="s">
        <v>134</v>
      </c>
      <c r="D936" s="311" t="s">
        <v>134</v>
      </c>
      <c r="E936" s="337" t="s">
        <v>134</v>
      </c>
      <c r="F936" s="311" t="s">
        <v>67</v>
      </c>
      <c r="G936" s="311" t="s">
        <v>236</v>
      </c>
      <c r="H936" s="311" t="s">
        <v>381</v>
      </c>
      <c r="I936" s="311" t="s">
        <v>56</v>
      </c>
      <c r="J936" s="50" t="s">
        <v>1892</v>
      </c>
      <c r="K936" s="50" t="s">
        <v>1892</v>
      </c>
      <c r="L936" s="50" t="s">
        <v>1893</v>
      </c>
      <c r="M936" s="50" t="s">
        <v>3327</v>
      </c>
      <c r="N936" s="50" t="s">
        <v>3327</v>
      </c>
      <c r="O936" s="50" t="s">
        <v>3327</v>
      </c>
      <c r="P936" s="50" t="s">
        <v>3327</v>
      </c>
    </row>
    <row r="937" spans="1:16" ht="12.75" customHeight="1" x14ac:dyDescent="0.25">
      <c r="A937" s="311">
        <v>934</v>
      </c>
      <c r="B937" s="311" t="s">
        <v>141</v>
      </c>
      <c r="C937" s="311" t="s">
        <v>141</v>
      </c>
      <c r="D937" s="311" t="s">
        <v>141</v>
      </c>
      <c r="E937" s="337" t="s">
        <v>141</v>
      </c>
      <c r="F937" s="311" t="s">
        <v>67</v>
      </c>
      <c r="G937" s="311" t="s">
        <v>236</v>
      </c>
      <c r="H937" s="311" t="s">
        <v>381</v>
      </c>
      <c r="I937" s="311" t="s">
        <v>56</v>
      </c>
      <c r="J937" s="50" t="s">
        <v>1892</v>
      </c>
      <c r="K937" s="50" t="s">
        <v>1892</v>
      </c>
      <c r="L937" s="50" t="s">
        <v>1893</v>
      </c>
      <c r="M937" s="50" t="s">
        <v>3328</v>
      </c>
      <c r="N937" s="50" t="s">
        <v>3328</v>
      </c>
      <c r="O937" s="50" t="s">
        <v>3328</v>
      </c>
      <c r="P937" s="50" t="s">
        <v>3328</v>
      </c>
    </row>
    <row r="938" spans="1:16" ht="12.75" customHeight="1" x14ac:dyDescent="0.25">
      <c r="A938" s="311">
        <v>935</v>
      </c>
      <c r="B938" s="311" t="s">
        <v>69</v>
      </c>
      <c r="C938" s="311" t="s">
        <v>69</v>
      </c>
      <c r="D938" s="311" t="s">
        <v>69</v>
      </c>
      <c r="E938" s="337" t="s">
        <v>69</v>
      </c>
      <c r="F938" s="311" t="s">
        <v>67</v>
      </c>
      <c r="G938" s="311" t="s">
        <v>236</v>
      </c>
      <c r="H938" s="311" t="s">
        <v>381</v>
      </c>
      <c r="I938" s="311" t="s">
        <v>56</v>
      </c>
      <c r="J938" s="50" t="s">
        <v>1892</v>
      </c>
      <c r="K938" s="50" t="s">
        <v>1892</v>
      </c>
      <c r="L938" s="50" t="s">
        <v>1893</v>
      </c>
      <c r="M938" s="50" t="s">
        <v>3329</v>
      </c>
      <c r="N938" s="50" t="s">
        <v>3329</v>
      </c>
      <c r="O938" s="50" t="s">
        <v>3329</v>
      </c>
      <c r="P938" s="50" t="s">
        <v>3329</v>
      </c>
    </row>
    <row r="939" spans="1:16" ht="12.75" customHeight="1" x14ac:dyDescent="0.25">
      <c r="A939" s="311">
        <v>936</v>
      </c>
      <c r="B939" s="311" t="s">
        <v>84</v>
      </c>
      <c r="C939" s="311" t="s">
        <v>462</v>
      </c>
      <c r="D939" s="311" t="s">
        <v>462</v>
      </c>
      <c r="E939" s="337" t="s">
        <v>462</v>
      </c>
      <c r="F939" s="311" t="s">
        <v>67</v>
      </c>
      <c r="G939" s="311" t="s">
        <v>23</v>
      </c>
      <c r="H939" s="311" t="s">
        <v>381</v>
      </c>
      <c r="I939" s="311" t="s">
        <v>56</v>
      </c>
      <c r="J939" s="50" t="s">
        <v>1892</v>
      </c>
      <c r="K939" s="50" t="s">
        <v>1892</v>
      </c>
      <c r="L939" s="50" t="s">
        <v>1893</v>
      </c>
      <c r="M939" s="50" t="s">
        <v>3330</v>
      </c>
      <c r="N939" s="50" t="s">
        <v>3331</v>
      </c>
      <c r="O939" s="50" t="s">
        <v>3331</v>
      </c>
      <c r="P939" s="50" t="s">
        <v>3331</v>
      </c>
    </row>
    <row r="940" spans="1:16" ht="12.75" customHeight="1" x14ac:dyDescent="0.25">
      <c r="A940" s="311">
        <v>937</v>
      </c>
      <c r="B940" s="311" t="s">
        <v>123</v>
      </c>
      <c r="C940" s="311" t="s">
        <v>462</v>
      </c>
      <c r="D940" s="311" t="s">
        <v>462</v>
      </c>
      <c r="E940" s="337" t="s">
        <v>462</v>
      </c>
      <c r="F940" s="311" t="s">
        <v>67</v>
      </c>
      <c r="G940" s="311" t="s">
        <v>23</v>
      </c>
      <c r="H940" s="311" t="s">
        <v>381</v>
      </c>
      <c r="I940" s="311" t="s">
        <v>56</v>
      </c>
      <c r="J940" s="50" t="s">
        <v>1892</v>
      </c>
      <c r="K940" s="50" t="s">
        <v>1892</v>
      </c>
      <c r="L940" s="50" t="s">
        <v>1893</v>
      </c>
      <c r="M940" s="50" t="s">
        <v>3332</v>
      </c>
      <c r="N940" s="50" t="s">
        <v>3331</v>
      </c>
      <c r="O940" s="50" t="s">
        <v>3331</v>
      </c>
      <c r="P940" s="50" t="s">
        <v>3331</v>
      </c>
    </row>
    <row r="941" spans="1:16" ht="12.75" customHeight="1" x14ac:dyDescent="0.25">
      <c r="A941" s="311">
        <v>938</v>
      </c>
      <c r="B941" s="311" t="s">
        <v>75</v>
      </c>
      <c r="C941" s="311" t="s">
        <v>462</v>
      </c>
      <c r="D941" s="311" t="s">
        <v>462</v>
      </c>
      <c r="E941" s="337" t="s">
        <v>462</v>
      </c>
      <c r="F941" s="311" t="s">
        <v>67</v>
      </c>
      <c r="G941" s="311" t="s">
        <v>23</v>
      </c>
      <c r="H941" s="311" t="s">
        <v>381</v>
      </c>
      <c r="I941" s="311" t="s">
        <v>56</v>
      </c>
      <c r="J941" s="50" t="s">
        <v>1892</v>
      </c>
      <c r="K941" s="50" t="s">
        <v>1892</v>
      </c>
      <c r="L941" s="50" t="s">
        <v>1893</v>
      </c>
      <c r="M941" s="50" t="s">
        <v>3333</v>
      </c>
      <c r="N941" s="50" t="s">
        <v>3331</v>
      </c>
      <c r="O941" s="50" t="s">
        <v>3331</v>
      </c>
      <c r="P941" s="50" t="s">
        <v>3331</v>
      </c>
    </row>
    <row r="942" spans="1:16" ht="12.75" customHeight="1" x14ac:dyDescent="0.25">
      <c r="A942" s="311">
        <v>939</v>
      </c>
      <c r="B942" s="311" t="s">
        <v>63</v>
      </c>
      <c r="C942" s="311" t="s">
        <v>63</v>
      </c>
      <c r="D942" s="311" t="s">
        <v>462</v>
      </c>
      <c r="E942" s="337" t="s">
        <v>63</v>
      </c>
      <c r="F942" s="311" t="s">
        <v>67</v>
      </c>
      <c r="G942" s="311" t="s">
        <v>23</v>
      </c>
      <c r="H942" s="311" t="s">
        <v>381</v>
      </c>
      <c r="I942" s="311" t="s">
        <v>56</v>
      </c>
      <c r="J942" s="50" t="s">
        <v>1892</v>
      </c>
      <c r="K942" s="50" t="s">
        <v>1892</v>
      </c>
      <c r="L942" s="50" t="s">
        <v>1893</v>
      </c>
      <c r="M942" s="50" t="s">
        <v>3334</v>
      </c>
      <c r="N942" s="50" t="s">
        <v>3334</v>
      </c>
      <c r="O942" s="50" t="s">
        <v>3331</v>
      </c>
      <c r="P942" s="50" t="s">
        <v>3334</v>
      </c>
    </row>
    <row r="943" spans="1:16" ht="12.75" customHeight="1" x14ac:dyDescent="0.25">
      <c r="A943" s="311">
        <v>940</v>
      </c>
      <c r="B943" s="311" t="s">
        <v>140</v>
      </c>
      <c r="C943" s="311" t="s">
        <v>140</v>
      </c>
      <c r="D943" s="311" t="s">
        <v>462</v>
      </c>
      <c r="E943" s="337" t="s">
        <v>140</v>
      </c>
      <c r="F943" s="311" t="s">
        <v>67</v>
      </c>
      <c r="G943" s="311" t="s">
        <v>23</v>
      </c>
      <c r="H943" s="311" t="s">
        <v>381</v>
      </c>
      <c r="I943" s="311" t="s">
        <v>56</v>
      </c>
      <c r="J943" s="50" t="s">
        <v>1892</v>
      </c>
      <c r="K943" s="50" t="s">
        <v>1892</v>
      </c>
      <c r="L943" s="50" t="s">
        <v>1893</v>
      </c>
      <c r="M943" s="50" t="s">
        <v>3335</v>
      </c>
      <c r="N943" s="50" t="s">
        <v>3335</v>
      </c>
      <c r="O943" s="50" t="s">
        <v>3331</v>
      </c>
      <c r="P943" s="50" t="s">
        <v>3335</v>
      </c>
    </row>
    <row r="944" spans="1:16" ht="12.75" customHeight="1" x14ac:dyDescent="0.25">
      <c r="A944" s="311">
        <v>941</v>
      </c>
      <c r="B944" s="311" t="s">
        <v>121</v>
      </c>
      <c r="C944" s="311" t="s">
        <v>121</v>
      </c>
      <c r="D944" s="311" t="s">
        <v>462</v>
      </c>
      <c r="E944" s="337" t="s">
        <v>121</v>
      </c>
      <c r="F944" s="311" t="s">
        <v>67</v>
      </c>
      <c r="G944" s="311" t="s">
        <v>23</v>
      </c>
      <c r="H944" s="311" t="s">
        <v>381</v>
      </c>
      <c r="I944" s="311" t="s">
        <v>56</v>
      </c>
      <c r="J944" s="50" t="s">
        <v>1892</v>
      </c>
      <c r="K944" s="50" t="s">
        <v>1892</v>
      </c>
      <c r="L944" s="50" t="s">
        <v>1893</v>
      </c>
      <c r="M944" s="50" t="s">
        <v>3336</v>
      </c>
      <c r="N944" s="50" t="s">
        <v>3336</v>
      </c>
      <c r="O944" s="50" t="s">
        <v>3331</v>
      </c>
      <c r="P944" s="50" t="s">
        <v>3336</v>
      </c>
    </row>
    <row r="945" spans="1:16" ht="12.75" customHeight="1" x14ac:dyDescent="0.25">
      <c r="A945" s="311">
        <v>942</v>
      </c>
      <c r="B945" s="311" t="s">
        <v>87</v>
      </c>
      <c r="C945" s="311" t="s">
        <v>87</v>
      </c>
      <c r="D945" s="311" t="s">
        <v>462</v>
      </c>
      <c r="E945" s="337" t="s">
        <v>87</v>
      </c>
      <c r="F945" s="311" t="s">
        <v>67</v>
      </c>
      <c r="G945" s="311" t="s">
        <v>23</v>
      </c>
      <c r="H945" s="311" t="s">
        <v>381</v>
      </c>
      <c r="I945" s="311" t="s">
        <v>56</v>
      </c>
      <c r="J945" s="50" t="s">
        <v>1892</v>
      </c>
      <c r="K945" s="50" t="s">
        <v>1892</v>
      </c>
      <c r="L945" s="50" t="s">
        <v>1893</v>
      </c>
      <c r="M945" s="50" t="s">
        <v>3337</v>
      </c>
      <c r="N945" s="50" t="s">
        <v>3337</v>
      </c>
      <c r="O945" s="50" t="s">
        <v>3331</v>
      </c>
      <c r="P945" s="50" t="s">
        <v>3337</v>
      </c>
    </row>
    <row r="946" spans="1:16" ht="12.75" customHeight="1" x14ac:dyDescent="0.25">
      <c r="A946" s="311">
        <v>943</v>
      </c>
      <c r="B946" s="311" t="s">
        <v>125</v>
      </c>
      <c r="C946" s="311" t="s">
        <v>125</v>
      </c>
      <c r="D946" s="311" t="s">
        <v>125</v>
      </c>
      <c r="E946" s="337" t="s">
        <v>125</v>
      </c>
      <c r="F946" s="311" t="s">
        <v>67</v>
      </c>
      <c r="G946" s="311" t="s">
        <v>23</v>
      </c>
      <c r="H946" s="311" t="s">
        <v>381</v>
      </c>
      <c r="I946" s="311" t="s">
        <v>56</v>
      </c>
      <c r="J946" s="50" t="s">
        <v>1892</v>
      </c>
      <c r="K946" s="50" t="s">
        <v>1892</v>
      </c>
      <c r="L946" s="50" t="s">
        <v>1893</v>
      </c>
      <c r="M946" s="50" t="s">
        <v>3338</v>
      </c>
      <c r="N946" s="50" t="s">
        <v>3338</v>
      </c>
      <c r="O946" s="50" t="s">
        <v>3338</v>
      </c>
      <c r="P946" s="50" t="s">
        <v>3338</v>
      </c>
    </row>
    <row r="947" spans="1:16" ht="12.75" customHeight="1" x14ac:dyDescent="0.25">
      <c r="A947" s="311">
        <v>944</v>
      </c>
      <c r="B947" s="311" t="s">
        <v>134</v>
      </c>
      <c r="C947" s="311" t="s">
        <v>134</v>
      </c>
      <c r="D947" s="311" t="s">
        <v>134</v>
      </c>
      <c r="E947" s="337" t="s">
        <v>134</v>
      </c>
      <c r="F947" s="311" t="s">
        <v>67</v>
      </c>
      <c r="G947" s="311" t="s">
        <v>23</v>
      </c>
      <c r="H947" s="311" t="s">
        <v>381</v>
      </c>
      <c r="I947" s="311" t="s">
        <v>56</v>
      </c>
      <c r="J947" s="50" t="s">
        <v>1892</v>
      </c>
      <c r="K947" s="50" t="s">
        <v>1892</v>
      </c>
      <c r="L947" s="50" t="s">
        <v>1893</v>
      </c>
      <c r="M947" s="50" t="s">
        <v>3339</v>
      </c>
      <c r="N947" s="50" t="s">
        <v>3339</v>
      </c>
      <c r="O947" s="50" t="s">
        <v>3339</v>
      </c>
      <c r="P947" s="50" t="s">
        <v>3339</v>
      </c>
    </row>
    <row r="948" spans="1:16" ht="12.75" customHeight="1" x14ac:dyDescent="0.25">
      <c r="A948" s="311">
        <v>945</v>
      </c>
      <c r="B948" s="311" t="s">
        <v>141</v>
      </c>
      <c r="C948" s="311" t="s">
        <v>141</v>
      </c>
      <c r="D948" s="311" t="s">
        <v>141</v>
      </c>
      <c r="E948" s="337" t="s">
        <v>141</v>
      </c>
      <c r="F948" s="311" t="s">
        <v>67</v>
      </c>
      <c r="G948" s="311" t="s">
        <v>23</v>
      </c>
      <c r="H948" s="311" t="s">
        <v>381</v>
      </c>
      <c r="I948" s="311" t="s">
        <v>56</v>
      </c>
      <c r="J948" s="50" t="s">
        <v>1892</v>
      </c>
      <c r="K948" s="50" t="s">
        <v>1892</v>
      </c>
      <c r="L948" s="50" t="s">
        <v>1893</v>
      </c>
      <c r="M948" s="50" t="s">
        <v>3340</v>
      </c>
      <c r="N948" s="50" t="s">
        <v>3340</v>
      </c>
      <c r="O948" s="50" t="s">
        <v>3340</v>
      </c>
      <c r="P948" s="50" t="s">
        <v>3340</v>
      </c>
    </row>
    <row r="949" spans="1:16" ht="12.75" customHeight="1" x14ac:dyDescent="0.25">
      <c r="A949" s="311">
        <v>946</v>
      </c>
      <c r="B949" s="311" t="s">
        <v>69</v>
      </c>
      <c r="C949" s="311" t="s">
        <v>69</v>
      </c>
      <c r="D949" s="311" t="s">
        <v>69</v>
      </c>
      <c r="E949" s="337" t="s">
        <v>69</v>
      </c>
      <c r="F949" s="311" t="s">
        <v>67</v>
      </c>
      <c r="G949" s="311" t="s">
        <v>23</v>
      </c>
      <c r="H949" s="311" t="s">
        <v>381</v>
      </c>
      <c r="I949" s="311" t="s">
        <v>56</v>
      </c>
      <c r="J949" s="50" t="s">
        <v>1892</v>
      </c>
      <c r="K949" s="50" t="s">
        <v>1892</v>
      </c>
      <c r="L949" s="50" t="s">
        <v>1893</v>
      </c>
      <c r="M949" s="50" t="s">
        <v>3341</v>
      </c>
      <c r="N949" s="50" t="s">
        <v>3341</v>
      </c>
      <c r="O949" s="50" t="s">
        <v>3341</v>
      </c>
      <c r="P949" s="50" t="s">
        <v>3341</v>
      </c>
    </row>
    <row r="950" spans="1:16" ht="12.75" customHeight="1" x14ac:dyDescent="0.25">
      <c r="A950" s="311">
        <v>947</v>
      </c>
      <c r="B950" s="311" t="s">
        <v>84</v>
      </c>
      <c r="C950" s="311" t="s">
        <v>462</v>
      </c>
      <c r="D950" s="311" t="s">
        <v>462</v>
      </c>
      <c r="E950" s="337" t="s">
        <v>462</v>
      </c>
      <c r="F950" s="311" t="s">
        <v>67</v>
      </c>
      <c r="G950" s="311" t="s">
        <v>237</v>
      </c>
      <c r="H950" s="311" t="s">
        <v>381</v>
      </c>
      <c r="I950" s="311" t="s">
        <v>56</v>
      </c>
      <c r="J950" s="50" t="s">
        <v>1892</v>
      </c>
      <c r="K950" s="50" t="s">
        <v>1892</v>
      </c>
      <c r="L950" s="50" t="s">
        <v>1893</v>
      </c>
      <c r="M950" s="50" t="s">
        <v>3342</v>
      </c>
      <c r="N950" s="50" t="s">
        <v>3343</v>
      </c>
      <c r="O950" s="50" t="s">
        <v>3343</v>
      </c>
      <c r="P950" s="50" t="s">
        <v>3343</v>
      </c>
    </row>
    <row r="951" spans="1:16" ht="12.75" customHeight="1" x14ac:dyDescent="0.25">
      <c r="A951" s="311">
        <v>948</v>
      </c>
      <c r="B951" s="311" t="s">
        <v>123</v>
      </c>
      <c r="C951" s="311" t="s">
        <v>462</v>
      </c>
      <c r="D951" s="311" t="s">
        <v>462</v>
      </c>
      <c r="E951" s="337" t="s">
        <v>462</v>
      </c>
      <c r="F951" s="311" t="s">
        <v>67</v>
      </c>
      <c r="G951" s="311" t="s">
        <v>237</v>
      </c>
      <c r="H951" s="311" t="s">
        <v>381</v>
      </c>
      <c r="I951" s="311" t="s">
        <v>56</v>
      </c>
      <c r="J951" s="50" t="s">
        <v>1892</v>
      </c>
      <c r="K951" s="50" t="s">
        <v>1892</v>
      </c>
      <c r="L951" s="50" t="s">
        <v>1893</v>
      </c>
      <c r="M951" s="50" t="s">
        <v>3344</v>
      </c>
      <c r="N951" s="50" t="s">
        <v>3343</v>
      </c>
      <c r="O951" s="50" t="s">
        <v>3343</v>
      </c>
      <c r="P951" s="50" t="s">
        <v>3343</v>
      </c>
    </row>
    <row r="952" spans="1:16" ht="12.75" customHeight="1" x14ac:dyDescent="0.25">
      <c r="A952" s="311">
        <v>949</v>
      </c>
      <c r="B952" s="311" t="s">
        <v>75</v>
      </c>
      <c r="C952" s="311" t="s">
        <v>462</v>
      </c>
      <c r="D952" s="311" t="s">
        <v>462</v>
      </c>
      <c r="E952" s="337" t="s">
        <v>462</v>
      </c>
      <c r="F952" s="311" t="s">
        <v>67</v>
      </c>
      <c r="G952" s="311" t="s">
        <v>237</v>
      </c>
      <c r="H952" s="311" t="s">
        <v>381</v>
      </c>
      <c r="I952" s="311" t="s">
        <v>56</v>
      </c>
      <c r="J952" s="50" t="s">
        <v>1892</v>
      </c>
      <c r="K952" s="50" t="s">
        <v>1892</v>
      </c>
      <c r="L952" s="50" t="s">
        <v>1893</v>
      </c>
      <c r="M952" s="50" t="s">
        <v>3345</v>
      </c>
      <c r="N952" s="50" t="s">
        <v>3343</v>
      </c>
      <c r="O952" s="50" t="s">
        <v>3343</v>
      </c>
      <c r="P952" s="50" t="s">
        <v>3343</v>
      </c>
    </row>
    <row r="953" spans="1:16" ht="12.75" customHeight="1" x14ac:dyDescent="0.25">
      <c r="A953" s="311">
        <v>950</v>
      </c>
      <c r="B953" s="311" t="s">
        <v>63</v>
      </c>
      <c r="C953" s="311" t="s">
        <v>63</v>
      </c>
      <c r="D953" s="311" t="s">
        <v>462</v>
      </c>
      <c r="E953" s="337" t="s">
        <v>63</v>
      </c>
      <c r="F953" s="311" t="s">
        <v>67</v>
      </c>
      <c r="G953" s="311" t="s">
        <v>237</v>
      </c>
      <c r="H953" s="311" t="s">
        <v>381</v>
      </c>
      <c r="I953" s="311" t="s">
        <v>56</v>
      </c>
      <c r="J953" s="50" t="s">
        <v>1892</v>
      </c>
      <c r="K953" s="50" t="s">
        <v>1892</v>
      </c>
      <c r="L953" s="50" t="s">
        <v>1893</v>
      </c>
      <c r="M953" s="50" t="s">
        <v>3346</v>
      </c>
      <c r="N953" s="50" t="s">
        <v>3346</v>
      </c>
      <c r="O953" s="50" t="s">
        <v>3343</v>
      </c>
      <c r="P953" s="50" t="s">
        <v>3346</v>
      </c>
    </row>
    <row r="954" spans="1:16" ht="12.75" customHeight="1" x14ac:dyDescent="0.25">
      <c r="A954" s="311">
        <v>951</v>
      </c>
      <c r="B954" s="311" t="s">
        <v>140</v>
      </c>
      <c r="C954" s="311" t="s">
        <v>140</v>
      </c>
      <c r="D954" s="311" t="s">
        <v>462</v>
      </c>
      <c r="E954" s="337" t="s">
        <v>140</v>
      </c>
      <c r="F954" s="311" t="s">
        <v>67</v>
      </c>
      <c r="G954" s="311" t="s">
        <v>237</v>
      </c>
      <c r="H954" s="311" t="s">
        <v>381</v>
      </c>
      <c r="I954" s="311" t="s">
        <v>56</v>
      </c>
      <c r="J954" s="50" t="s">
        <v>1892</v>
      </c>
      <c r="K954" s="50" t="s">
        <v>1892</v>
      </c>
      <c r="L954" s="50" t="s">
        <v>1893</v>
      </c>
      <c r="M954" s="50" t="s">
        <v>3347</v>
      </c>
      <c r="N954" s="50" t="s">
        <v>3347</v>
      </c>
      <c r="O954" s="50" t="s">
        <v>3343</v>
      </c>
      <c r="P954" s="50" t="s">
        <v>3347</v>
      </c>
    </row>
    <row r="955" spans="1:16" ht="12.75" customHeight="1" x14ac:dyDescent="0.25">
      <c r="A955" s="311">
        <v>952</v>
      </c>
      <c r="B955" s="311" t="s">
        <v>121</v>
      </c>
      <c r="C955" s="311" t="s">
        <v>121</v>
      </c>
      <c r="D955" s="311" t="s">
        <v>462</v>
      </c>
      <c r="E955" s="337" t="s">
        <v>121</v>
      </c>
      <c r="F955" s="311" t="s">
        <v>67</v>
      </c>
      <c r="G955" s="311" t="s">
        <v>237</v>
      </c>
      <c r="H955" s="311" t="s">
        <v>381</v>
      </c>
      <c r="I955" s="311" t="s">
        <v>56</v>
      </c>
      <c r="J955" s="50" t="s">
        <v>1892</v>
      </c>
      <c r="K955" s="50" t="s">
        <v>1892</v>
      </c>
      <c r="L955" s="50" t="s">
        <v>1893</v>
      </c>
      <c r="M955" s="50" t="s">
        <v>3348</v>
      </c>
      <c r="N955" s="50" t="s">
        <v>3348</v>
      </c>
      <c r="O955" s="50" t="s">
        <v>3343</v>
      </c>
      <c r="P955" s="50" t="s">
        <v>3348</v>
      </c>
    </row>
    <row r="956" spans="1:16" ht="12.75" customHeight="1" x14ac:dyDescent="0.25">
      <c r="A956" s="311">
        <v>953</v>
      </c>
      <c r="B956" s="311" t="s">
        <v>87</v>
      </c>
      <c r="C956" s="311" t="s">
        <v>87</v>
      </c>
      <c r="D956" s="311" t="s">
        <v>462</v>
      </c>
      <c r="E956" s="337" t="s">
        <v>87</v>
      </c>
      <c r="F956" s="311" t="s">
        <v>67</v>
      </c>
      <c r="G956" s="311" t="s">
        <v>237</v>
      </c>
      <c r="H956" s="311" t="s">
        <v>381</v>
      </c>
      <c r="I956" s="311" t="s">
        <v>56</v>
      </c>
      <c r="J956" s="50" t="s">
        <v>1892</v>
      </c>
      <c r="K956" s="50" t="s">
        <v>1892</v>
      </c>
      <c r="L956" s="50" t="s">
        <v>1893</v>
      </c>
      <c r="M956" s="50" t="s">
        <v>3349</v>
      </c>
      <c r="N956" s="50" t="s">
        <v>3349</v>
      </c>
      <c r="O956" s="50" t="s">
        <v>3343</v>
      </c>
      <c r="P956" s="50" t="s">
        <v>3349</v>
      </c>
    </row>
    <row r="957" spans="1:16" ht="12.75" customHeight="1" x14ac:dyDescent="0.25">
      <c r="A957" s="311">
        <v>954</v>
      </c>
      <c r="B957" s="311" t="s">
        <v>125</v>
      </c>
      <c r="C957" s="311" t="s">
        <v>125</v>
      </c>
      <c r="D957" s="311" t="s">
        <v>125</v>
      </c>
      <c r="E957" s="337" t="s">
        <v>125</v>
      </c>
      <c r="F957" s="311" t="s">
        <v>67</v>
      </c>
      <c r="G957" s="311" t="s">
        <v>237</v>
      </c>
      <c r="H957" s="311" t="s">
        <v>381</v>
      </c>
      <c r="I957" s="311" t="s">
        <v>56</v>
      </c>
      <c r="J957" s="50" t="s">
        <v>1892</v>
      </c>
      <c r="K957" s="50" t="s">
        <v>1892</v>
      </c>
      <c r="L957" s="50" t="s">
        <v>1893</v>
      </c>
      <c r="M957" s="50" t="s">
        <v>3350</v>
      </c>
      <c r="N957" s="50" t="s">
        <v>3350</v>
      </c>
      <c r="O957" s="50" t="s">
        <v>3350</v>
      </c>
      <c r="P957" s="50" t="s">
        <v>3350</v>
      </c>
    </row>
    <row r="958" spans="1:16" ht="12.75" customHeight="1" x14ac:dyDescent="0.25">
      <c r="A958" s="311">
        <v>955</v>
      </c>
      <c r="B958" s="311" t="s">
        <v>134</v>
      </c>
      <c r="C958" s="311" t="s">
        <v>134</v>
      </c>
      <c r="D958" s="311" t="s">
        <v>134</v>
      </c>
      <c r="E958" s="337" t="s">
        <v>134</v>
      </c>
      <c r="F958" s="311" t="s">
        <v>67</v>
      </c>
      <c r="G958" s="311" t="s">
        <v>237</v>
      </c>
      <c r="H958" s="311" t="s">
        <v>381</v>
      </c>
      <c r="I958" s="311" t="s">
        <v>56</v>
      </c>
      <c r="J958" s="50" t="s">
        <v>1892</v>
      </c>
      <c r="K958" s="50" t="s">
        <v>1892</v>
      </c>
      <c r="L958" s="50" t="s">
        <v>1893</v>
      </c>
      <c r="M958" s="50" t="s">
        <v>3351</v>
      </c>
      <c r="N958" s="50" t="s">
        <v>3351</v>
      </c>
      <c r="O958" s="50" t="s">
        <v>3351</v>
      </c>
      <c r="P958" s="50" t="s">
        <v>3351</v>
      </c>
    </row>
    <row r="959" spans="1:16" ht="12.75" customHeight="1" x14ac:dyDescent="0.25">
      <c r="A959" s="311">
        <v>956</v>
      </c>
      <c r="B959" s="311" t="s">
        <v>141</v>
      </c>
      <c r="C959" s="311" t="s">
        <v>141</v>
      </c>
      <c r="D959" s="311" t="s">
        <v>141</v>
      </c>
      <c r="E959" s="337" t="s">
        <v>141</v>
      </c>
      <c r="F959" s="311" t="s">
        <v>67</v>
      </c>
      <c r="G959" s="311" t="s">
        <v>237</v>
      </c>
      <c r="H959" s="311" t="s">
        <v>381</v>
      </c>
      <c r="I959" s="311" t="s">
        <v>56</v>
      </c>
      <c r="J959" s="50" t="s">
        <v>1892</v>
      </c>
      <c r="K959" s="50" t="s">
        <v>1892</v>
      </c>
      <c r="L959" s="50" t="s">
        <v>1893</v>
      </c>
      <c r="M959" s="50" t="s">
        <v>3352</v>
      </c>
      <c r="N959" s="50" t="s">
        <v>3352</v>
      </c>
      <c r="O959" s="50" t="s">
        <v>3352</v>
      </c>
      <c r="P959" s="50" t="s">
        <v>3352</v>
      </c>
    </row>
    <row r="960" spans="1:16" ht="12.75" customHeight="1" x14ac:dyDescent="0.25">
      <c r="A960" s="311">
        <v>957</v>
      </c>
      <c r="B960" s="311" t="s">
        <v>69</v>
      </c>
      <c r="C960" s="311" t="s">
        <v>69</v>
      </c>
      <c r="D960" s="311" t="s">
        <v>69</v>
      </c>
      <c r="E960" s="337" t="s">
        <v>69</v>
      </c>
      <c r="F960" s="311" t="s">
        <v>67</v>
      </c>
      <c r="G960" s="311" t="s">
        <v>237</v>
      </c>
      <c r="H960" s="311" t="s">
        <v>381</v>
      </c>
      <c r="I960" s="311" t="s">
        <v>56</v>
      </c>
      <c r="J960" s="50" t="s">
        <v>1892</v>
      </c>
      <c r="K960" s="50" t="s">
        <v>1892</v>
      </c>
      <c r="L960" s="50" t="s">
        <v>1893</v>
      </c>
      <c r="M960" s="50" t="s">
        <v>3353</v>
      </c>
      <c r="N960" s="50" t="s">
        <v>3353</v>
      </c>
      <c r="O960" s="50" t="s">
        <v>3353</v>
      </c>
      <c r="P960" s="50" t="s">
        <v>3353</v>
      </c>
    </row>
    <row r="961" spans="1:16" ht="12.75" customHeight="1" x14ac:dyDescent="0.25">
      <c r="A961" s="311">
        <v>958</v>
      </c>
      <c r="B961" s="311" t="s">
        <v>84</v>
      </c>
      <c r="C961" s="311" t="s">
        <v>462</v>
      </c>
      <c r="D961" s="311" t="s">
        <v>462</v>
      </c>
      <c r="E961" s="337" t="s">
        <v>462</v>
      </c>
      <c r="F961" s="311" t="s">
        <v>308</v>
      </c>
      <c r="G961" s="311" t="s">
        <v>236</v>
      </c>
      <c r="H961" s="311" t="s">
        <v>384</v>
      </c>
      <c r="I961" s="311" t="s">
        <v>56</v>
      </c>
      <c r="J961" s="50" t="s">
        <v>1892</v>
      </c>
      <c r="K961" s="50" t="s">
        <v>1892</v>
      </c>
      <c r="L961" s="50" t="s">
        <v>1893</v>
      </c>
      <c r="M961" s="50" t="s">
        <v>3354</v>
      </c>
      <c r="N961" s="50" t="s">
        <v>3355</v>
      </c>
      <c r="O961" s="50" t="s">
        <v>3355</v>
      </c>
      <c r="P961" s="50" t="s">
        <v>3355</v>
      </c>
    </row>
    <row r="962" spans="1:16" ht="12.75" customHeight="1" x14ac:dyDescent="0.25">
      <c r="A962" s="311">
        <v>959</v>
      </c>
      <c r="B962" s="311" t="s">
        <v>123</v>
      </c>
      <c r="C962" s="311" t="s">
        <v>462</v>
      </c>
      <c r="D962" s="311" t="s">
        <v>462</v>
      </c>
      <c r="E962" s="337" t="s">
        <v>462</v>
      </c>
      <c r="F962" s="311" t="s">
        <v>308</v>
      </c>
      <c r="G962" s="311" t="s">
        <v>236</v>
      </c>
      <c r="H962" s="311" t="s">
        <v>384</v>
      </c>
      <c r="I962" s="311" t="s">
        <v>56</v>
      </c>
      <c r="J962" s="50" t="s">
        <v>1892</v>
      </c>
      <c r="K962" s="50" t="s">
        <v>1892</v>
      </c>
      <c r="L962" s="50" t="s">
        <v>1893</v>
      </c>
      <c r="M962" s="50" t="s">
        <v>3356</v>
      </c>
      <c r="N962" s="50" t="s">
        <v>3355</v>
      </c>
      <c r="O962" s="50" t="s">
        <v>3355</v>
      </c>
      <c r="P962" s="50" t="s">
        <v>3355</v>
      </c>
    </row>
    <row r="963" spans="1:16" ht="12.75" customHeight="1" x14ac:dyDescent="0.25">
      <c r="A963" s="311">
        <v>960</v>
      </c>
      <c r="B963" s="311" t="s">
        <v>75</v>
      </c>
      <c r="C963" s="311" t="s">
        <v>462</v>
      </c>
      <c r="D963" s="311" t="s">
        <v>462</v>
      </c>
      <c r="E963" s="337" t="s">
        <v>462</v>
      </c>
      <c r="F963" s="311" t="s">
        <v>308</v>
      </c>
      <c r="G963" s="311" t="s">
        <v>236</v>
      </c>
      <c r="H963" s="311" t="s">
        <v>384</v>
      </c>
      <c r="I963" s="311" t="s">
        <v>56</v>
      </c>
      <c r="J963" s="50" t="s">
        <v>1892</v>
      </c>
      <c r="K963" s="50" t="s">
        <v>1892</v>
      </c>
      <c r="L963" s="50" t="s">
        <v>1893</v>
      </c>
      <c r="M963" s="50" t="s">
        <v>3357</v>
      </c>
      <c r="N963" s="50" t="s">
        <v>3355</v>
      </c>
      <c r="O963" s="50" t="s">
        <v>3355</v>
      </c>
      <c r="P963" s="50" t="s">
        <v>3355</v>
      </c>
    </row>
    <row r="964" spans="1:16" ht="12.75" customHeight="1" x14ac:dyDescent="0.25">
      <c r="A964" s="311">
        <v>961</v>
      </c>
      <c r="B964" s="311" t="s">
        <v>63</v>
      </c>
      <c r="C964" s="311" t="s">
        <v>63</v>
      </c>
      <c r="D964" s="311" t="s">
        <v>462</v>
      </c>
      <c r="E964" s="337" t="s">
        <v>63</v>
      </c>
      <c r="F964" s="311" t="s">
        <v>308</v>
      </c>
      <c r="G964" s="311" t="s">
        <v>236</v>
      </c>
      <c r="H964" s="311" t="s">
        <v>384</v>
      </c>
      <c r="I964" s="311" t="s">
        <v>56</v>
      </c>
      <c r="J964" s="50" t="s">
        <v>1892</v>
      </c>
      <c r="K964" s="50" t="s">
        <v>1892</v>
      </c>
      <c r="L964" s="50" t="s">
        <v>1893</v>
      </c>
      <c r="M964" s="50" t="s">
        <v>3358</v>
      </c>
      <c r="N964" s="50" t="s">
        <v>3358</v>
      </c>
      <c r="O964" s="50" t="s">
        <v>3355</v>
      </c>
      <c r="P964" s="50" t="s">
        <v>3358</v>
      </c>
    </row>
    <row r="965" spans="1:16" ht="12.75" customHeight="1" x14ac:dyDescent="0.25">
      <c r="A965" s="311">
        <v>962</v>
      </c>
      <c r="B965" s="311" t="s">
        <v>140</v>
      </c>
      <c r="C965" s="311" t="s">
        <v>140</v>
      </c>
      <c r="D965" s="311" t="s">
        <v>462</v>
      </c>
      <c r="E965" s="337" t="s">
        <v>140</v>
      </c>
      <c r="F965" s="311" t="s">
        <v>308</v>
      </c>
      <c r="G965" s="311" t="s">
        <v>236</v>
      </c>
      <c r="H965" s="311" t="s">
        <v>384</v>
      </c>
      <c r="I965" s="311" t="s">
        <v>56</v>
      </c>
      <c r="J965" s="50" t="s">
        <v>1892</v>
      </c>
      <c r="K965" s="50" t="s">
        <v>1892</v>
      </c>
      <c r="L965" s="50" t="s">
        <v>1893</v>
      </c>
      <c r="M965" s="50" t="s">
        <v>3359</v>
      </c>
      <c r="N965" s="50" t="s">
        <v>3359</v>
      </c>
      <c r="O965" s="50" t="s">
        <v>3355</v>
      </c>
      <c r="P965" s="50" t="s">
        <v>3359</v>
      </c>
    </row>
    <row r="966" spans="1:16" ht="12.75" customHeight="1" x14ac:dyDescent="0.25">
      <c r="A966" s="311">
        <v>963</v>
      </c>
      <c r="B966" s="311" t="s">
        <v>121</v>
      </c>
      <c r="C966" s="311" t="s">
        <v>121</v>
      </c>
      <c r="D966" s="311" t="s">
        <v>462</v>
      </c>
      <c r="E966" s="337" t="s">
        <v>121</v>
      </c>
      <c r="F966" s="311" t="s">
        <v>308</v>
      </c>
      <c r="G966" s="311" t="s">
        <v>236</v>
      </c>
      <c r="H966" s="311" t="s">
        <v>384</v>
      </c>
      <c r="I966" s="311" t="s">
        <v>56</v>
      </c>
      <c r="J966" s="50" t="s">
        <v>1892</v>
      </c>
      <c r="K966" s="50" t="s">
        <v>1892</v>
      </c>
      <c r="L966" s="50" t="s">
        <v>1893</v>
      </c>
      <c r="M966" s="50" t="s">
        <v>3360</v>
      </c>
      <c r="N966" s="50" t="s">
        <v>3360</v>
      </c>
      <c r="O966" s="50" t="s">
        <v>3355</v>
      </c>
      <c r="P966" s="50" t="s">
        <v>3360</v>
      </c>
    </row>
    <row r="967" spans="1:16" ht="12.75" customHeight="1" x14ac:dyDescent="0.25">
      <c r="A967" s="311">
        <v>964</v>
      </c>
      <c r="B967" s="311" t="s">
        <v>87</v>
      </c>
      <c r="C967" s="311" t="s">
        <v>87</v>
      </c>
      <c r="D967" s="311" t="s">
        <v>462</v>
      </c>
      <c r="E967" s="337" t="s">
        <v>87</v>
      </c>
      <c r="F967" s="311" t="s">
        <v>308</v>
      </c>
      <c r="G967" s="311" t="s">
        <v>236</v>
      </c>
      <c r="H967" s="311" t="s">
        <v>384</v>
      </c>
      <c r="I967" s="311" t="s">
        <v>56</v>
      </c>
      <c r="J967" s="50" t="s">
        <v>1892</v>
      </c>
      <c r="K967" s="50" t="s">
        <v>1892</v>
      </c>
      <c r="L967" s="50" t="s">
        <v>1893</v>
      </c>
      <c r="M967" s="50" t="s">
        <v>3361</v>
      </c>
      <c r="N967" s="50" t="s">
        <v>3361</v>
      </c>
      <c r="O967" s="50" t="s">
        <v>3355</v>
      </c>
      <c r="P967" s="50" t="s">
        <v>3361</v>
      </c>
    </row>
    <row r="968" spans="1:16" ht="12.75" customHeight="1" x14ac:dyDescent="0.25">
      <c r="A968" s="311">
        <v>965</v>
      </c>
      <c r="B968" s="311" t="s">
        <v>125</v>
      </c>
      <c r="C968" s="311" t="s">
        <v>125</v>
      </c>
      <c r="D968" s="311" t="s">
        <v>125</v>
      </c>
      <c r="E968" s="337" t="s">
        <v>125</v>
      </c>
      <c r="F968" s="311" t="s">
        <v>308</v>
      </c>
      <c r="G968" s="311" t="s">
        <v>236</v>
      </c>
      <c r="H968" s="311" t="s">
        <v>384</v>
      </c>
      <c r="I968" s="311" t="s">
        <v>56</v>
      </c>
      <c r="J968" s="50" t="s">
        <v>1892</v>
      </c>
      <c r="K968" s="50" t="s">
        <v>1892</v>
      </c>
      <c r="L968" s="50" t="s">
        <v>1893</v>
      </c>
      <c r="M968" s="50" t="s">
        <v>3362</v>
      </c>
      <c r="N968" s="50" t="s">
        <v>3362</v>
      </c>
      <c r="O968" s="50" t="s">
        <v>3362</v>
      </c>
      <c r="P968" s="50" t="s">
        <v>3362</v>
      </c>
    </row>
    <row r="969" spans="1:16" ht="12.75" customHeight="1" x14ac:dyDescent="0.25">
      <c r="A969" s="311">
        <v>966</v>
      </c>
      <c r="B969" s="311" t="s">
        <v>134</v>
      </c>
      <c r="C969" s="311" t="s">
        <v>134</v>
      </c>
      <c r="D969" s="311" t="s">
        <v>134</v>
      </c>
      <c r="E969" s="337" t="s">
        <v>134</v>
      </c>
      <c r="F969" s="311" t="s">
        <v>308</v>
      </c>
      <c r="G969" s="311" t="s">
        <v>236</v>
      </c>
      <c r="H969" s="311" t="s">
        <v>384</v>
      </c>
      <c r="I969" s="311" t="s">
        <v>56</v>
      </c>
      <c r="J969" s="50" t="s">
        <v>1892</v>
      </c>
      <c r="K969" s="50" t="s">
        <v>1892</v>
      </c>
      <c r="L969" s="50" t="s">
        <v>1893</v>
      </c>
      <c r="M969" s="50" t="s">
        <v>3363</v>
      </c>
      <c r="N969" s="50" t="s">
        <v>3363</v>
      </c>
      <c r="O969" s="50" t="s">
        <v>3363</v>
      </c>
      <c r="P969" s="50" t="s">
        <v>3363</v>
      </c>
    </row>
    <row r="970" spans="1:16" ht="12.75" customHeight="1" x14ac:dyDescent="0.25">
      <c r="A970" s="311">
        <v>967</v>
      </c>
      <c r="B970" s="311" t="s">
        <v>141</v>
      </c>
      <c r="C970" s="311" t="s">
        <v>141</v>
      </c>
      <c r="D970" s="311" t="s">
        <v>141</v>
      </c>
      <c r="E970" s="337" t="s">
        <v>141</v>
      </c>
      <c r="F970" s="311" t="s">
        <v>308</v>
      </c>
      <c r="G970" s="311" t="s">
        <v>236</v>
      </c>
      <c r="H970" s="311" t="s">
        <v>384</v>
      </c>
      <c r="I970" s="311" t="s">
        <v>56</v>
      </c>
      <c r="J970" s="50" t="s">
        <v>1892</v>
      </c>
      <c r="K970" s="50" t="s">
        <v>1892</v>
      </c>
      <c r="L970" s="50" t="s">
        <v>1893</v>
      </c>
      <c r="M970" s="50" t="s">
        <v>3364</v>
      </c>
      <c r="N970" s="50" t="s">
        <v>3364</v>
      </c>
      <c r="O970" s="50" t="s">
        <v>3364</v>
      </c>
      <c r="P970" s="50" t="s">
        <v>3364</v>
      </c>
    </row>
    <row r="971" spans="1:16" ht="12.75" customHeight="1" x14ac:dyDescent="0.25">
      <c r="A971" s="311">
        <v>968</v>
      </c>
      <c r="B971" s="311" t="s">
        <v>69</v>
      </c>
      <c r="C971" s="311" t="s">
        <v>69</v>
      </c>
      <c r="D971" s="311" t="s">
        <v>69</v>
      </c>
      <c r="E971" s="337" t="s">
        <v>69</v>
      </c>
      <c r="F971" s="311" t="s">
        <v>308</v>
      </c>
      <c r="G971" s="311" t="s">
        <v>236</v>
      </c>
      <c r="H971" s="311" t="s">
        <v>384</v>
      </c>
      <c r="I971" s="311" t="s">
        <v>56</v>
      </c>
      <c r="J971" s="50" t="s">
        <v>1892</v>
      </c>
      <c r="K971" s="50" t="s">
        <v>1892</v>
      </c>
      <c r="L971" s="50" t="s">
        <v>1893</v>
      </c>
      <c r="M971" s="50" t="s">
        <v>3365</v>
      </c>
      <c r="N971" s="50" t="s">
        <v>3365</v>
      </c>
      <c r="O971" s="50" t="s">
        <v>3365</v>
      </c>
      <c r="P971" s="50" t="s">
        <v>3365</v>
      </c>
    </row>
    <row r="972" spans="1:16" ht="12.75" customHeight="1" x14ac:dyDescent="0.25">
      <c r="A972" s="311">
        <v>969</v>
      </c>
      <c r="B972" s="311" t="s">
        <v>84</v>
      </c>
      <c r="C972" s="311" t="s">
        <v>462</v>
      </c>
      <c r="D972" s="311" t="s">
        <v>462</v>
      </c>
      <c r="E972" s="337" t="s">
        <v>462</v>
      </c>
      <c r="F972" s="311" t="s">
        <v>308</v>
      </c>
      <c r="G972" s="311" t="s">
        <v>23</v>
      </c>
      <c r="H972" s="311" t="s">
        <v>384</v>
      </c>
      <c r="I972" s="311" t="s">
        <v>56</v>
      </c>
      <c r="J972" s="50" t="s">
        <v>1892</v>
      </c>
      <c r="K972" s="50" t="s">
        <v>1892</v>
      </c>
      <c r="L972" s="50" t="s">
        <v>1893</v>
      </c>
      <c r="M972" s="50" t="s">
        <v>3366</v>
      </c>
      <c r="N972" s="50" t="s">
        <v>3367</v>
      </c>
      <c r="O972" s="50" t="s">
        <v>3367</v>
      </c>
      <c r="P972" s="50" t="s">
        <v>3367</v>
      </c>
    </row>
    <row r="973" spans="1:16" ht="12.75" customHeight="1" x14ac:dyDescent="0.25">
      <c r="A973" s="311">
        <v>970</v>
      </c>
      <c r="B973" s="311" t="s">
        <v>123</v>
      </c>
      <c r="C973" s="311" t="s">
        <v>462</v>
      </c>
      <c r="D973" s="311" t="s">
        <v>462</v>
      </c>
      <c r="E973" s="337" t="s">
        <v>462</v>
      </c>
      <c r="F973" s="311" t="s">
        <v>308</v>
      </c>
      <c r="G973" s="311" t="s">
        <v>23</v>
      </c>
      <c r="H973" s="311" t="s">
        <v>384</v>
      </c>
      <c r="I973" s="311" t="s">
        <v>56</v>
      </c>
      <c r="J973" s="50" t="s">
        <v>1892</v>
      </c>
      <c r="K973" s="50" t="s">
        <v>1892</v>
      </c>
      <c r="L973" s="50" t="s">
        <v>1893</v>
      </c>
      <c r="M973" s="50" t="s">
        <v>3368</v>
      </c>
      <c r="N973" s="50" t="s">
        <v>3367</v>
      </c>
      <c r="O973" s="50" t="s">
        <v>3367</v>
      </c>
      <c r="P973" s="50" t="s">
        <v>3367</v>
      </c>
    </row>
    <row r="974" spans="1:16" ht="12.75" customHeight="1" x14ac:dyDescent="0.25">
      <c r="A974" s="311">
        <v>971</v>
      </c>
      <c r="B974" s="311" t="s">
        <v>75</v>
      </c>
      <c r="C974" s="311" t="s">
        <v>462</v>
      </c>
      <c r="D974" s="311" t="s">
        <v>462</v>
      </c>
      <c r="E974" s="337" t="s">
        <v>462</v>
      </c>
      <c r="F974" s="311" t="s">
        <v>308</v>
      </c>
      <c r="G974" s="311" t="s">
        <v>23</v>
      </c>
      <c r="H974" s="311" t="s">
        <v>384</v>
      </c>
      <c r="I974" s="311" t="s">
        <v>56</v>
      </c>
      <c r="J974" s="50" t="s">
        <v>1892</v>
      </c>
      <c r="K974" s="50" t="s">
        <v>1892</v>
      </c>
      <c r="L974" s="50" t="s">
        <v>1893</v>
      </c>
      <c r="M974" s="50" t="s">
        <v>3369</v>
      </c>
      <c r="N974" s="50" t="s">
        <v>3367</v>
      </c>
      <c r="O974" s="50" t="s">
        <v>3367</v>
      </c>
      <c r="P974" s="50" t="s">
        <v>3367</v>
      </c>
    </row>
    <row r="975" spans="1:16" ht="12.75" customHeight="1" x14ac:dyDescent="0.25">
      <c r="A975" s="311">
        <v>972</v>
      </c>
      <c r="B975" s="311" t="s">
        <v>63</v>
      </c>
      <c r="C975" s="311" t="s">
        <v>63</v>
      </c>
      <c r="D975" s="311" t="s">
        <v>462</v>
      </c>
      <c r="E975" s="337" t="s">
        <v>63</v>
      </c>
      <c r="F975" s="311" t="s">
        <v>308</v>
      </c>
      <c r="G975" s="311" t="s">
        <v>23</v>
      </c>
      <c r="H975" s="311" t="s">
        <v>384</v>
      </c>
      <c r="I975" s="311" t="s">
        <v>56</v>
      </c>
      <c r="J975" s="50" t="s">
        <v>1892</v>
      </c>
      <c r="K975" s="50" t="s">
        <v>1892</v>
      </c>
      <c r="L975" s="50" t="s">
        <v>1893</v>
      </c>
      <c r="M975" s="50" t="s">
        <v>3370</v>
      </c>
      <c r="N975" s="50" t="s">
        <v>3370</v>
      </c>
      <c r="O975" s="50" t="s">
        <v>3367</v>
      </c>
      <c r="P975" s="50" t="s">
        <v>3370</v>
      </c>
    </row>
    <row r="976" spans="1:16" ht="12.75" customHeight="1" x14ac:dyDescent="0.25">
      <c r="A976" s="311">
        <v>973</v>
      </c>
      <c r="B976" s="311" t="s">
        <v>140</v>
      </c>
      <c r="C976" s="311" t="s">
        <v>140</v>
      </c>
      <c r="D976" s="311" t="s">
        <v>462</v>
      </c>
      <c r="E976" s="337" t="s">
        <v>140</v>
      </c>
      <c r="F976" s="311" t="s">
        <v>308</v>
      </c>
      <c r="G976" s="311" t="s">
        <v>23</v>
      </c>
      <c r="H976" s="311" t="s">
        <v>384</v>
      </c>
      <c r="I976" s="311" t="s">
        <v>56</v>
      </c>
      <c r="J976" s="50" t="s">
        <v>1892</v>
      </c>
      <c r="K976" s="50" t="s">
        <v>1892</v>
      </c>
      <c r="L976" s="50" t="s">
        <v>1893</v>
      </c>
      <c r="M976" s="50" t="s">
        <v>3371</v>
      </c>
      <c r="N976" s="50" t="s">
        <v>3371</v>
      </c>
      <c r="O976" s="50" t="s">
        <v>3367</v>
      </c>
      <c r="P976" s="50" t="s">
        <v>3371</v>
      </c>
    </row>
    <row r="977" spans="1:16" ht="12.75" customHeight="1" x14ac:dyDescent="0.25">
      <c r="A977" s="311">
        <v>974</v>
      </c>
      <c r="B977" s="311" t="s">
        <v>121</v>
      </c>
      <c r="C977" s="311" t="s">
        <v>121</v>
      </c>
      <c r="D977" s="311" t="s">
        <v>462</v>
      </c>
      <c r="E977" s="337" t="s">
        <v>121</v>
      </c>
      <c r="F977" s="311" t="s">
        <v>308</v>
      </c>
      <c r="G977" s="311" t="s">
        <v>23</v>
      </c>
      <c r="H977" s="311" t="s">
        <v>384</v>
      </c>
      <c r="I977" s="311" t="s">
        <v>56</v>
      </c>
      <c r="J977" s="50" t="s">
        <v>1892</v>
      </c>
      <c r="K977" s="50" t="s">
        <v>1892</v>
      </c>
      <c r="L977" s="50" t="s">
        <v>1893</v>
      </c>
      <c r="M977" s="50" t="s">
        <v>3372</v>
      </c>
      <c r="N977" s="50" t="s">
        <v>3372</v>
      </c>
      <c r="O977" s="50" t="s">
        <v>3367</v>
      </c>
      <c r="P977" s="50" t="s">
        <v>3372</v>
      </c>
    </row>
    <row r="978" spans="1:16" ht="12.75" customHeight="1" x14ac:dyDescent="0.25">
      <c r="A978" s="311">
        <v>975</v>
      </c>
      <c r="B978" s="311" t="s">
        <v>87</v>
      </c>
      <c r="C978" s="311" t="s">
        <v>87</v>
      </c>
      <c r="D978" s="311" t="s">
        <v>462</v>
      </c>
      <c r="E978" s="337" t="s">
        <v>87</v>
      </c>
      <c r="F978" s="311" t="s">
        <v>308</v>
      </c>
      <c r="G978" s="311" t="s">
        <v>23</v>
      </c>
      <c r="H978" s="311" t="s">
        <v>384</v>
      </c>
      <c r="I978" s="311" t="s">
        <v>56</v>
      </c>
      <c r="J978" s="50" t="s">
        <v>1892</v>
      </c>
      <c r="K978" s="50" t="s">
        <v>1892</v>
      </c>
      <c r="L978" s="50" t="s">
        <v>1893</v>
      </c>
      <c r="M978" s="50" t="s">
        <v>3373</v>
      </c>
      <c r="N978" s="50" t="s">
        <v>3373</v>
      </c>
      <c r="O978" s="50" t="s">
        <v>3367</v>
      </c>
      <c r="P978" s="50" t="s">
        <v>3373</v>
      </c>
    </row>
    <row r="979" spans="1:16" ht="12.75" customHeight="1" x14ac:dyDescent="0.25">
      <c r="A979" s="311">
        <v>976</v>
      </c>
      <c r="B979" s="311" t="s">
        <v>125</v>
      </c>
      <c r="C979" s="311" t="s">
        <v>125</v>
      </c>
      <c r="D979" s="311" t="s">
        <v>125</v>
      </c>
      <c r="E979" s="337" t="s">
        <v>125</v>
      </c>
      <c r="F979" s="311" t="s">
        <v>308</v>
      </c>
      <c r="G979" s="311" t="s">
        <v>23</v>
      </c>
      <c r="H979" s="311" t="s">
        <v>384</v>
      </c>
      <c r="I979" s="311" t="s">
        <v>56</v>
      </c>
      <c r="J979" s="50" t="s">
        <v>1892</v>
      </c>
      <c r="K979" s="50" t="s">
        <v>1892</v>
      </c>
      <c r="L979" s="50" t="s">
        <v>1893</v>
      </c>
      <c r="M979" s="50" t="s">
        <v>3374</v>
      </c>
      <c r="N979" s="50" t="s">
        <v>3374</v>
      </c>
      <c r="O979" s="50" t="s">
        <v>3374</v>
      </c>
      <c r="P979" s="50" t="s">
        <v>3374</v>
      </c>
    </row>
    <row r="980" spans="1:16" ht="12.75" customHeight="1" x14ac:dyDescent="0.25">
      <c r="A980" s="311">
        <v>977</v>
      </c>
      <c r="B980" s="311" t="s">
        <v>134</v>
      </c>
      <c r="C980" s="311" t="s">
        <v>134</v>
      </c>
      <c r="D980" s="311" t="s">
        <v>134</v>
      </c>
      <c r="E980" s="337" t="s">
        <v>134</v>
      </c>
      <c r="F980" s="311" t="s">
        <v>308</v>
      </c>
      <c r="G980" s="311" t="s">
        <v>23</v>
      </c>
      <c r="H980" s="311" t="s">
        <v>384</v>
      </c>
      <c r="I980" s="311" t="s">
        <v>56</v>
      </c>
      <c r="J980" s="50" t="s">
        <v>1892</v>
      </c>
      <c r="K980" s="50" t="s">
        <v>1892</v>
      </c>
      <c r="L980" s="50" t="s">
        <v>1893</v>
      </c>
      <c r="M980" s="50" t="s">
        <v>3375</v>
      </c>
      <c r="N980" s="50" t="s">
        <v>3375</v>
      </c>
      <c r="O980" s="50" t="s">
        <v>3375</v>
      </c>
      <c r="P980" s="50" t="s">
        <v>3375</v>
      </c>
    </row>
    <row r="981" spans="1:16" ht="12.75" customHeight="1" x14ac:dyDescent="0.25">
      <c r="A981" s="311">
        <v>978</v>
      </c>
      <c r="B981" s="311" t="s">
        <v>141</v>
      </c>
      <c r="C981" s="311" t="s">
        <v>141</v>
      </c>
      <c r="D981" s="311" t="s">
        <v>141</v>
      </c>
      <c r="E981" s="337" t="s">
        <v>141</v>
      </c>
      <c r="F981" s="311" t="s">
        <v>308</v>
      </c>
      <c r="G981" s="311" t="s">
        <v>23</v>
      </c>
      <c r="H981" s="311" t="s">
        <v>384</v>
      </c>
      <c r="I981" s="311" t="s">
        <v>56</v>
      </c>
      <c r="J981" s="50" t="s">
        <v>1892</v>
      </c>
      <c r="K981" s="50" t="s">
        <v>1892</v>
      </c>
      <c r="L981" s="50" t="s">
        <v>1893</v>
      </c>
      <c r="M981" s="50" t="s">
        <v>3376</v>
      </c>
      <c r="N981" s="50" t="s">
        <v>3376</v>
      </c>
      <c r="O981" s="50" t="s">
        <v>3376</v>
      </c>
      <c r="P981" s="50" t="s">
        <v>3376</v>
      </c>
    </row>
    <row r="982" spans="1:16" ht="12.75" customHeight="1" x14ac:dyDescent="0.25">
      <c r="A982" s="311">
        <v>979</v>
      </c>
      <c r="B982" s="311" t="s">
        <v>69</v>
      </c>
      <c r="C982" s="311" t="s">
        <v>69</v>
      </c>
      <c r="D982" s="311" t="s">
        <v>69</v>
      </c>
      <c r="E982" s="337" t="s">
        <v>69</v>
      </c>
      <c r="F982" s="311" t="s">
        <v>308</v>
      </c>
      <c r="G982" s="311" t="s">
        <v>23</v>
      </c>
      <c r="H982" s="311" t="s">
        <v>384</v>
      </c>
      <c r="I982" s="311" t="s">
        <v>56</v>
      </c>
      <c r="J982" s="50" t="s">
        <v>1892</v>
      </c>
      <c r="K982" s="50" t="s">
        <v>1892</v>
      </c>
      <c r="L982" s="50" t="s">
        <v>1893</v>
      </c>
      <c r="M982" s="50" t="s">
        <v>3377</v>
      </c>
      <c r="N982" s="50" t="s">
        <v>3377</v>
      </c>
      <c r="O982" s="50" t="s">
        <v>3377</v>
      </c>
      <c r="P982" s="50" t="s">
        <v>3377</v>
      </c>
    </row>
    <row r="983" spans="1:16" ht="12.75" customHeight="1" x14ac:dyDescent="0.25">
      <c r="A983" s="311">
        <v>980</v>
      </c>
      <c r="B983" s="311" t="s">
        <v>84</v>
      </c>
      <c r="C983" s="311" t="s">
        <v>462</v>
      </c>
      <c r="D983" s="311" t="s">
        <v>462</v>
      </c>
      <c r="E983" s="337" t="s">
        <v>462</v>
      </c>
      <c r="F983" s="311" t="s">
        <v>308</v>
      </c>
      <c r="G983" s="311" t="s">
        <v>237</v>
      </c>
      <c r="H983" s="311" t="s">
        <v>384</v>
      </c>
      <c r="I983" s="311" t="s">
        <v>56</v>
      </c>
      <c r="J983" s="50" t="s">
        <v>1892</v>
      </c>
      <c r="K983" s="50" t="s">
        <v>1892</v>
      </c>
      <c r="L983" s="50" t="s">
        <v>1893</v>
      </c>
      <c r="M983" s="50" t="s">
        <v>3378</v>
      </c>
      <c r="N983" s="50" t="s">
        <v>3379</v>
      </c>
      <c r="O983" s="50" t="s">
        <v>3379</v>
      </c>
      <c r="P983" s="50" t="s">
        <v>3379</v>
      </c>
    </row>
    <row r="984" spans="1:16" ht="12.75" customHeight="1" x14ac:dyDescent="0.25">
      <c r="A984" s="311">
        <v>981</v>
      </c>
      <c r="B984" s="311" t="s">
        <v>123</v>
      </c>
      <c r="C984" s="311" t="s">
        <v>462</v>
      </c>
      <c r="D984" s="311" t="s">
        <v>462</v>
      </c>
      <c r="E984" s="337" t="s">
        <v>462</v>
      </c>
      <c r="F984" s="311" t="s">
        <v>308</v>
      </c>
      <c r="G984" s="311" t="s">
        <v>237</v>
      </c>
      <c r="H984" s="311" t="s">
        <v>384</v>
      </c>
      <c r="I984" s="311" t="s">
        <v>56</v>
      </c>
      <c r="J984" s="50" t="s">
        <v>1892</v>
      </c>
      <c r="K984" s="50" t="s">
        <v>1892</v>
      </c>
      <c r="L984" s="50" t="s">
        <v>1893</v>
      </c>
      <c r="M984" s="50" t="s">
        <v>3380</v>
      </c>
      <c r="N984" s="50" t="s">
        <v>3379</v>
      </c>
      <c r="O984" s="50" t="s">
        <v>3379</v>
      </c>
      <c r="P984" s="50" t="s">
        <v>3379</v>
      </c>
    </row>
    <row r="985" spans="1:16" ht="12.75" customHeight="1" x14ac:dyDescent="0.25">
      <c r="A985" s="311">
        <v>982</v>
      </c>
      <c r="B985" s="311" t="s">
        <v>75</v>
      </c>
      <c r="C985" s="311" t="s">
        <v>462</v>
      </c>
      <c r="D985" s="311" t="s">
        <v>462</v>
      </c>
      <c r="E985" s="337" t="s">
        <v>462</v>
      </c>
      <c r="F985" s="311" t="s">
        <v>308</v>
      </c>
      <c r="G985" s="311" t="s">
        <v>237</v>
      </c>
      <c r="H985" s="311" t="s">
        <v>384</v>
      </c>
      <c r="I985" s="311" t="s">
        <v>56</v>
      </c>
      <c r="J985" s="50" t="s">
        <v>1892</v>
      </c>
      <c r="K985" s="50" t="s">
        <v>1892</v>
      </c>
      <c r="L985" s="50" t="s">
        <v>1893</v>
      </c>
      <c r="M985" s="50" t="s">
        <v>3381</v>
      </c>
      <c r="N985" s="50" t="s">
        <v>3379</v>
      </c>
      <c r="O985" s="50" t="s">
        <v>3379</v>
      </c>
      <c r="P985" s="50" t="s">
        <v>3379</v>
      </c>
    </row>
    <row r="986" spans="1:16" ht="12.75" customHeight="1" x14ac:dyDescent="0.25">
      <c r="A986" s="311">
        <v>983</v>
      </c>
      <c r="B986" s="311" t="s">
        <v>63</v>
      </c>
      <c r="C986" s="311" t="s">
        <v>63</v>
      </c>
      <c r="D986" s="311" t="s">
        <v>462</v>
      </c>
      <c r="E986" s="337" t="s">
        <v>63</v>
      </c>
      <c r="F986" s="311" t="s">
        <v>308</v>
      </c>
      <c r="G986" s="311" t="s">
        <v>237</v>
      </c>
      <c r="H986" s="311" t="s">
        <v>384</v>
      </c>
      <c r="I986" s="311" t="s">
        <v>56</v>
      </c>
      <c r="J986" s="50" t="s">
        <v>1892</v>
      </c>
      <c r="K986" s="50" t="s">
        <v>1892</v>
      </c>
      <c r="L986" s="50" t="s">
        <v>1893</v>
      </c>
      <c r="M986" s="50" t="s">
        <v>3382</v>
      </c>
      <c r="N986" s="50" t="s">
        <v>3382</v>
      </c>
      <c r="O986" s="50" t="s">
        <v>3379</v>
      </c>
      <c r="P986" s="50" t="s">
        <v>3382</v>
      </c>
    </row>
    <row r="987" spans="1:16" ht="12.75" customHeight="1" x14ac:dyDescent="0.25">
      <c r="A987" s="311">
        <v>984</v>
      </c>
      <c r="B987" s="311" t="s">
        <v>140</v>
      </c>
      <c r="C987" s="311" t="s">
        <v>140</v>
      </c>
      <c r="D987" s="311" t="s">
        <v>462</v>
      </c>
      <c r="E987" s="337" t="s">
        <v>140</v>
      </c>
      <c r="F987" s="311" t="s">
        <v>308</v>
      </c>
      <c r="G987" s="311" t="s">
        <v>237</v>
      </c>
      <c r="H987" s="311" t="s">
        <v>384</v>
      </c>
      <c r="I987" s="311" t="s">
        <v>56</v>
      </c>
      <c r="J987" s="50" t="s">
        <v>1892</v>
      </c>
      <c r="K987" s="50" t="s">
        <v>1892</v>
      </c>
      <c r="L987" s="50" t="s">
        <v>1893</v>
      </c>
      <c r="M987" s="50" t="s">
        <v>3383</v>
      </c>
      <c r="N987" s="50" t="s">
        <v>3383</v>
      </c>
      <c r="O987" s="50" t="s">
        <v>3379</v>
      </c>
      <c r="P987" s="50" t="s">
        <v>3383</v>
      </c>
    </row>
    <row r="988" spans="1:16" ht="12.75" customHeight="1" x14ac:dyDescent="0.25">
      <c r="A988" s="311">
        <v>985</v>
      </c>
      <c r="B988" s="311" t="s">
        <v>121</v>
      </c>
      <c r="C988" s="311" t="s">
        <v>121</v>
      </c>
      <c r="D988" s="311" t="s">
        <v>462</v>
      </c>
      <c r="E988" s="337" t="s">
        <v>121</v>
      </c>
      <c r="F988" s="311" t="s">
        <v>308</v>
      </c>
      <c r="G988" s="311" t="s">
        <v>237</v>
      </c>
      <c r="H988" s="311" t="s">
        <v>384</v>
      </c>
      <c r="I988" s="311" t="s">
        <v>56</v>
      </c>
      <c r="J988" s="50" t="s">
        <v>1892</v>
      </c>
      <c r="K988" s="50" t="s">
        <v>1892</v>
      </c>
      <c r="L988" s="50" t="s">
        <v>1893</v>
      </c>
      <c r="M988" s="50" t="s">
        <v>3384</v>
      </c>
      <c r="N988" s="50" t="s">
        <v>3384</v>
      </c>
      <c r="O988" s="50" t="s">
        <v>3379</v>
      </c>
      <c r="P988" s="50" t="s">
        <v>3384</v>
      </c>
    </row>
    <row r="989" spans="1:16" ht="12.75" customHeight="1" x14ac:dyDescent="0.25">
      <c r="A989" s="311">
        <v>986</v>
      </c>
      <c r="B989" s="311" t="s">
        <v>87</v>
      </c>
      <c r="C989" s="311" t="s">
        <v>87</v>
      </c>
      <c r="D989" s="311" t="s">
        <v>462</v>
      </c>
      <c r="E989" s="337" t="s">
        <v>87</v>
      </c>
      <c r="F989" s="311" t="s">
        <v>308</v>
      </c>
      <c r="G989" s="311" t="s">
        <v>237</v>
      </c>
      <c r="H989" s="311" t="s">
        <v>384</v>
      </c>
      <c r="I989" s="311" t="s">
        <v>56</v>
      </c>
      <c r="J989" s="50" t="s">
        <v>1892</v>
      </c>
      <c r="K989" s="50" t="s">
        <v>1892</v>
      </c>
      <c r="L989" s="50" t="s">
        <v>1893</v>
      </c>
      <c r="M989" s="50" t="s">
        <v>3385</v>
      </c>
      <c r="N989" s="50" t="s">
        <v>3385</v>
      </c>
      <c r="O989" s="50" t="s">
        <v>3379</v>
      </c>
      <c r="P989" s="50" t="s">
        <v>3385</v>
      </c>
    </row>
    <row r="990" spans="1:16" ht="12.75" customHeight="1" x14ac:dyDescent="0.25">
      <c r="A990" s="311">
        <v>987</v>
      </c>
      <c r="B990" s="311" t="s">
        <v>125</v>
      </c>
      <c r="C990" s="311" t="s">
        <v>125</v>
      </c>
      <c r="D990" s="311" t="s">
        <v>125</v>
      </c>
      <c r="E990" s="337" t="s">
        <v>125</v>
      </c>
      <c r="F990" s="311" t="s">
        <v>308</v>
      </c>
      <c r="G990" s="311" t="s">
        <v>237</v>
      </c>
      <c r="H990" s="311" t="s">
        <v>384</v>
      </c>
      <c r="I990" s="311" t="s">
        <v>56</v>
      </c>
      <c r="J990" s="50" t="s">
        <v>1892</v>
      </c>
      <c r="K990" s="50" t="s">
        <v>1892</v>
      </c>
      <c r="L990" s="50" t="s">
        <v>1893</v>
      </c>
      <c r="M990" s="50" t="s">
        <v>3386</v>
      </c>
      <c r="N990" s="50" t="s">
        <v>3386</v>
      </c>
      <c r="O990" s="50" t="s">
        <v>3386</v>
      </c>
      <c r="P990" s="50" t="s">
        <v>3386</v>
      </c>
    </row>
    <row r="991" spans="1:16" ht="12.75" customHeight="1" x14ac:dyDescent="0.25">
      <c r="A991" s="311">
        <v>988</v>
      </c>
      <c r="B991" s="311" t="s">
        <v>134</v>
      </c>
      <c r="C991" s="311" t="s">
        <v>134</v>
      </c>
      <c r="D991" s="311" t="s">
        <v>134</v>
      </c>
      <c r="E991" s="337" t="s">
        <v>134</v>
      </c>
      <c r="F991" s="311" t="s">
        <v>308</v>
      </c>
      <c r="G991" s="311" t="s">
        <v>237</v>
      </c>
      <c r="H991" s="311" t="s">
        <v>384</v>
      </c>
      <c r="I991" s="311" t="s">
        <v>56</v>
      </c>
      <c r="J991" s="50" t="s">
        <v>1892</v>
      </c>
      <c r="K991" s="50" t="s">
        <v>1892</v>
      </c>
      <c r="L991" s="50" t="s">
        <v>1893</v>
      </c>
      <c r="M991" s="50" t="s">
        <v>3387</v>
      </c>
      <c r="N991" s="50" t="s">
        <v>3387</v>
      </c>
      <c r="O991" s="50" t="s">
        <v>3387</v>
      </c>
      <c r="P991" s="50" t="s">
        <v>3387</v>
      </c>
    </row>
    <row r="992" spans="1:16" ht="12.75" customHeight="1" x14ac:dyDescent="0.25">
      <c r="A992" s="311">
        <v>989</v>
      </c>
      <c r="B992" s="311" t="s">
        <v>141</v>
      </c>
      <c r="C992" s="311" t="s">
        <v>141</v>
      </c>
      <c r="D992" s="311" t="s">
        <v>141</v>
      </c>
      <c r="E992" s="337" t="s">
        <v>141</v>
      </c>
      <c r="F992" s="311" t="s">
        <v>308</v>
      </c>
      <c r="G992" s="311" t="s">
        <v>237</v>
      </c>
      <c r="H992" s="311" t="s">
        <v>384</v>
      </c>
      <c r="I992" s="311" t="s">
        <v>56</v>
      </c>
      <c r="J992" s="50" t="s">
        <v>1892</v>
      </c>
      <c r="K992" s="50" t="s">
        <v>1892</v>
      </c>
      <c r="L992" s="50" t="s">
        <v>1893</v>
      </c>
      <c r="M992" s="50" t="s">
        <v>3388</v>
      </c>
      <c r="N992" s="50" t="s">
        <v>3388</v>
      </c>
      <c r="O992" s="50" t="s">
        <v>3388</v>
      </c>
      <c r="P992" s="50" t="s">
        <v>3388</v>
      </c>
    </row>
    <row r="993" spans="1:16" ht="12.75" customHeight="1" x14ac:dyDescent="0.25">
      <c r="A993" s="311">
        <v>990</v>
      </c>
      <c r="B993" s="311" t="s">
        <v>69</v>
      </c>
      <c r="C993" s="311" t="s">
        <v>69</v>
      </c>
      <c r="D993" s="311" t="s">
        <v>69</v>
      </c>
      <c r="E993" s="337" t="s">
        <v>69</v>
      </c>
      <c r="F993" s="311" t="s">
        <v>308</v>
      </c>
      <c r="G993" s="311" t="s">
        <v>237</v>
      </c>
      <c r="H993" s="311" t="s">
        <v>384</v>
      </c>
      <c r="I993" s="311" t="s">
        <v>56</v>
      </c>
      <c r="J993" s="50" t="s">
        <v>1892</v>
      </c>
      <c r="K993" s="50" t="s">
        <v>1892</v>
      </c>
      <c r="L993" s="50" t="s">
        <v>1893</v>
      </c>
      <c r="M993" s="50" t="s">
        <v>3389</v>
      </c>
      <c r="N993" s="50" t="s">
        <v>3389</v>
      </c>
      <c r="O993" s="50" t="s">
        <v>3389</v>
      </c>
      <c r="P993" s="50" t="s">
        <v>3389</v>
      </c>
    </row>
    <row r="994" spans="1:16" ht="12.75" customHeight="1" x14ac:dyDescent="0.25">
      <c r="A994" s="311">
        <v>991</v>
      </c>
      <c r="B994" s="311" t="s">
        <v>84</v>
      </c>
      <c r="C994" s="311" t="s">
        <v>462</v>
      </c>
      <c r="D994" s="311" t="s">
        <v>462</v>
      </c>
      <c r="E994" s="337" t="s">
        <v>462</v>
      </c>
      <c r="F994" s="311" t="s">
        <v>97</v>
      </c>
      <c r="G994" s="311" t="s">
        <v>236</v>
      </c>
      <c r="H994" s="311" t="s">
        <v>384</v>
      </c>
      <c r="I994" s="311" t="s">
        <v>56</v>
      </c>
      <c r="J994" s="50" t="s">
        <v>1892</v>
      </c>
      <c r="K994" s="50" t="s">
        <v>1892</v>
      </c>
      <c r="L994" s="50" t="s">
        <v>1893</v>
      </c>
      <c r="M994" s="50" t="s">
        <v>3390</v>
      </c>
      <c r="N994" s="50" t="s">
        <v>3391</v>
      </c>
      <c r="O994" s="50" t="s">
        <v>3391</v>
      </c>
      <c r="P994" s="50" t="s">
        <v>3391</v>
      </c>
    </row>
    <row r="995" spans="1:16" ht="12.75" customHeight="1" x14ac:dyDescent="0.25">
      <c r="A995" s="311">
        <v>992</v>
      </c>
      <c r="B995" s="311" t="s">
        <v>123</v>
      </c>
      <c r="C995" s="311" t="s">
        <v>462</v>
      </c>
      <c r="D995" s="311" t="s">
        <v>462</v>
      </c>
      <c r="E995" s="337" t="s">
        <v>462</v>
      </c>
      <c r="F995" s="311" t="s">
        <v>97</v>
      </c>
      <c r="G995" s="311" t="s">
        <v>236</v>
      </c>
      <c r="H995" s="311" t="s">
        <v>384</v>
      </c>
      <c r="I995" s="311" t="s">
        <v>56</v>
      </c>
      <c r="J995" s="50" t="s">
        <v>1892</v>
      </c>
      <c r="K995" s="50" t="s">
        <v>1892</v>
      </c>
      <c r="L995" s="50" t="s">
        <v>1893</v>
      </c>
      <c r="M995" s="50" t="s">
        <v>3392</v>
      </c>
      <c r="N995" s="50" t="s">
        <v>3391</v>
      </c>
      <c r="O995" s="50" t="s">
        <v>3391</v>
      </c>
      <c r="P995" s="50" t="s">
        <v>3391</v>
      </c>
    </row>
    <row r="996" spans="1:16" ht="12.75" customHeight="1" x14ac:dyDescent="0.25">
      <c r="A996" s="311">
        <v>993</v>
      </c>
      <c r="B996" s="311" t="s">
        <v>75</v>
      </c>
      <c r="C996" s="311" t="s">
        <v>462</v>
      </c>
      <c r="D996" s="311" t="s">
        <v>462</v>
      </c>
      <c r="E996" s="337" t="s">
        <v>462</v>
      </c>
      <c r="F996" s="311" t="s">
        <v>97</v>
      </c>
      <c r="G996" s="311" t="s">
        <v>236</v>
      </c>
      <c r="H996" s="311" t="s">
        <v>384</v>
      </c>
      <c r="I996" s="311" t="s">
        <v>56</v>
      </c>
      <c r="J996" s="50" t="s">
        <v>1892</v>
      </c>
      <c r="K996" s="50" t="s">
        <v>1892</v>
      </c>
      <c r="L996" s="50" t="s">
        <v>1893</v>
      </c>
      <c r="M996" s="50" t="s">
        <v>3393</v>
      </c>
      <c r="N996" s="50" t="s">
        <v>3391</v>
      </c>
      <c r="O996" s="50" t="s">
        <v>3391</v>
      </c>
      <c r="P996" s="50" t="s">
        <v>3391</v>
      </c>
    </row>
    <row r="997" spans="1:16" ht="12.75" customHeight="1" x14ac:dyDescent="0.25">
      <c r="A997" s="311">
        <v>994</v>
      </c>
      <c r="B997" s="311" t="s">
        <v>63</v>
      </c>
      <c r="C997" s="311" t="s">
        <v>63</v>
      </c>
      <c r="D997" s="311" t="s">
        <v>462</v>
      </c>
      <c r="E997" s="337" t="s">
        <v>63</v>
      </c>
      <c r="F997" s="311" t="s">
        <v>97</v>
      </c>
      <c r="G997" s="311" t="s">
        <v>236</v>
      </c>
      <c r="H997" s="311" t="s">
        <v>384</v>
      </c>
      <c r="I997" s="311" t="s">
        <v>56</v>
      </c>
      <c r="J997" s="50" t="s">
        <v>1892</v>
      </c>
      <c r="K997" s="50" t="s">
        <v>1892</v>
      </c>
      <c r="L997" s="50" t="s">
        <v>1893</v>
      </c>
      <c r="M997" s="50" t="s">
        <v>3394</v>
      </c>
      <c r="N997" s="50" t="s">
        <v>3394</v>
      </c>
      <c r="O997" s="50" t="s">
        <v>3391</v>
      </c>
      <c r="P997" s="50" t="s">
        <v>3394</v>
      </c>
    </row>
    <row r="998" spans="1:16" ht="12.75" customHeight="1" x14ac:dyDescent="0.25">
      <c r="A998" s="311">
        <v>995</v>
      </c>
      <c r="B998" s="311" t="s">
        <v>140</v>
      </c>
      <c r="C998" s="311" t="s">
        <v>140</v>
      </c>
      <c r="D998" s="311" t="s">
        <v>462</v>
      </c>
      <c r="E998" s="337" t="s">
        <v>140</v>
      </c>
      <c r="F998" s="311" t="s">
        <v>97</v>
      </c>
      <c r="G998" s="311" t="s">
        <v>236</v>
      </c>
      <c r="H998" s="311" t="s">
        <v>384</v>
      </c>
      <c r="I998" s="311" t="s">
        <v>56</v>
      </c>
      <c r="J998" s="50" t="s">
        <v>1892</v>
      </c>
      <c r="K998" s="50" t="s">
        <v>1892</v>
      </c>
      <c r="L998" s="50" t="s">
        <v>1893</v>
      </c>
      <c r="M998" s="50" t="s">
        <v>3395</v>
      </c>
      <c r="N998" s="50" t="s">
        <v>3395</v>
      </c>
      <c r="O998" s="50" t="s">
        <v>3391</v>
      </c>
      <c r="P998" s="50" t="s">
        <v>3395</v>
      </c>
    </row>
    <row r="999" spans="1:16" ht="12.75" customHeight="1" x14ac:dyDescent="0.25">
      <c r="A999" s="311">
        <v>996</v>
      </c>
      <c r="B999" s="311" t="s">
        <v>121</v>
      </c>
      <c r="C999" s="311" t="s">
        <v>121</v>
      </c>
      <c r="D999" s="311" t="s">
        <v>462</v>
      </c>
      <c r="E999" s="337" t="s">
        <v>121</v>
      </c>
      <c r="F999" s="311" t="s">
        <v>97</v>
      </c>
      <c r="G999" s="311" t="s">
        <v>236</v>
      </c>
      <c r="H999" s="311" t="s">
        <v>384</v>
      </c>
      <c r="I999" s="311" t="s">
        <v>56</v>
      </c>
      <c r="J999" s="50" t="s">
        <v>1892</v>
      </c>
      <c r="K999" s="50" t="s">
        <v>1892</v>
      </c>
      <c r="L999" s="50" t="s">
        <v>1893</v>
      </c>
      <c r="M999" s="50" t="s">
        <v>3396</v>
      </c>
      <c r="N999" s="50" t="s">
        <v>3396</v>
      </c>
      <c r="O999" s="50" t="s">
        <v>3391</v>
      </c>
      <c r="P999" s="50" t="s">
        <v>3396</v>
      </c>
    </row>
    <row r="1000" spans="1:16" ht="12.75" customHeight="1" x14ac:dyDescent="0.25">
      <c r="A1000" s="311">
        <v>997</v>
      </c>
      <c r="B1000" s="311" t="s">
        <v>87</v>
      </c>
      <c r="C1000" s="311" t="s">
        <v>87</v>
      </c>
      <c r="D1000" s="311" t="s">
        <v>462</v>
      </c>
      <c r="E1000" s="337" t="s">
        <v>87</v>
      </c>
      <c r="F1000" s="311" t="s">
        <v>97</v>
      </c>
      <c r="G1000" s="311" t="s">
        <v>236</v>
      </c>
      <c r="H1000" s="311" t="s">
        <v>384</v>
      </c>
      <c r="I1000" s="311" t="s">
        <v>56</v>
      </c>
      <c r="J1000" s="50" t="s">
        <v>1892</v>
      </c>
      <c r="K1000" s="50" t="s">
        <v>1892</v>
      </c>
      <c r="L1000" s="50" t="s">
        <v>1893</v>
      </c>
      <c r="M1000" s="50" t="s">
        <v>3397</v>
      </c>
      <c r="N1000" s="50" t="s">
        <v>3397</v>
      </c>
      <c r="O1000" s="50" t="s">
        <v>3391</v>
      </c>
      <c r="P1000" s="50" t="s">
        <v>3397</v>
      </c>
    </row>
    <row r="1001" spans="1:16" ht="12.75" customHeight="1" x14ac:dyDescent="0.25">
      <c r="A1001" s="311">
        <v>998</v>
      </c>
      <c r="B1001" s="311" t="s">
        <v>125</v>
      </c>
      <c r="C1001" s="311" t="s">
        <v>125</v>
      </c>
      <c r="D1001" s="311" t="s">
        <v>125</v>
      </c>
      <c r="E1001" s="337" t="s">
        <v>125</v>
      </c>
      <c r="F1001" s="311" t="s">
        <v>97</v>
      </c>
      <c r="G1001" s="311" t="s">
        <v>236</v>
      </c>
      <c r="H1001" s="311" t="s">
        <v>384</v>
      </c>
      <c r="I1001" s="311" t="s">
        <v>56</v>
      </c>
      <c r="J1001" s="50" t="s">
        <v>1892</v>
      </c>
      <c r="K1001" s="50" t="s">
        <v>1892</v>
      </c>
      <c r="L1001" s="50" t="s">
        <v>1893</v>
      </c>
      <c r="M1001" s="50" t="s">
        <v>3398</v>
      </c>
      <c r="N1001" s="50" t="s">
        <v>3398</v>
      </c>
      <c r="O1001" s="50" t="s">
        <v>3398</v>
      </c>
      <c r="P1001" s="50" t="s">
        <v>3398</v>
      </c>
    </row>
    <row r="1002" spans="1:16" ht="12.75" customHeight="1" x14ac:dyDescent="0.25">
      <c r="A1002" s="311">
        <v>999</v>
      </c>
      <c r="B1002" s="311" t="s">
        <v>134</v>
      </c>
      <c r="C1002" s="311" t="s">
        <v>134</v>
      </c>
      <c r="D1002" s="311" t="s">
        <v>134</v>
      </c>
      <c r="E1002" s="337" t="s">
        <v>134</v>
      </c>
      <c r="F1002" s="311" t="s">
        <v>97</v>
      </c>
      <c r="G1002" s="311" t="s">
        <v>236</v>
      </c>
      <c r="H1002" s="311" t="s">
        <v>384</v>
      </c>
      <c r="I1002" s="311" t="s">
        <v>56</v>
      </c>
      <c r="J1002" s="50" t="s">
        <v>1892</v>
      </c>
      <c r="K1002" s="50" t="s">
        <v>1892</v>
      </c>
      <c r="L1002" s="50" t="s">
        <v>1893</v>
      </c>
      <c r="M1002" s="50" t="s">
        <v>3399</v>
      </c>
      <c r="N1002" s="50" t="s">
        <v>3399</v>
      </c>
      <c r="O1002" s="50" t="s">
        <v>3399</v>
      </c>
      <c r="P1002" s="50" t="s">
        <v>3399</v>
      </c>
    </row>
    <row r="1003" spans="1:16" ht="12.75" customHeight="1" x14ac:dyDescent="0.25">
      <c r="A1003" s="311">
        <v>1000</v>
      </c>
      <c r="B1003" s="311" t="s">
        <v>141</v>
      </c>
      <c r="C1003" s="311" t="s">
        <v>141</v>
      </c>
      <c r="D1003" s="311" t="s">
        <v>141</v>
      </c>
      <c r="E1003" s="337" t="s">
        <v>141</v>
      </c>
      <c r="F1003" s="311" t="s">
        <v>97</v>
      </c>
      <c r="G1003" s="311" t="s">
        <v>236</v>
      </c>
      <c r="H1003" s="311" t="s">
        <v>384</v>
      </c>
      <c r="I1003" s="311" t="s">
        <v>56</v>
      </c>
      <c r="J1003" s="50" t="s">
        <v>1892</v>
      </c>
      <c r="K1003" s="50" t="s">
        <v>1892</v>
      </c>
      <c r="L1003" s="50" t="s">
        <v>1893</v>
      </c>
      <c r="M1003" s="50" t="s">
        <v>3400</v>
      </c>
      <c r="N1003" s="50" t="s">
        <v>3400</v>
      </c>
      <c r="O1003" s="50" t="s">
        <v>3400</v>
      </c>
      <c r="P1003" s="50" t="s">
        <v>3400</v>
      </c>
    </row>
    <row r="1004" spans="1:16" ht="12.75" customHeight="1" x14ac:dyDescent="0.25">
      <c r="A1004" s="311">
        <v>1001</v>
      </c>
      <c r="B1004" s="311" t="s">
        <v>69</v>
      </c>
      <c r="C1004" s="311" t="s">
        <v>69</v>
      </c>
      <c r="D1004" s="311" t="s">
        <v>69</v>
      </c>
      <c r="E1004" s="337" t="s">
        <v>69</v>
      </c>
      <c r="F1004" s="311" t="s">
        <v>97</v>
      </c>
      <c r="G1004" s="311" t="s">
        <v>236</v>
      </c>
      <c r="H1004" s="311" t="s">
        <v>384</v>
      </c>
      <c r="I1004" s="311" t="s">
        <v>56</v>
      </c>
      <c r="J1004" s="50" t="s">
        <v>1892</v>
      </c>
      <c r="K1004" s="50" t="s">
        <v>1892</v>
      </c>
      <c r="L1004" s="50" t="s">
        <v>1893</v>
      </c>
      <c r="M1004" s="50" t="s">
        <v>3401</v>
      </c>
      <c r="N1004" s="50" t="s">
        <v>3401</v>
      </c>
      <c r="O1004" s="50" t="s">
        <v>3401</v>
      </c>
      <c r="P1004" s="50" t="s">
        <v>3401</v>
      </c>
    </row>
    <row r="1005" spans="1:16" ht="12.75" customHeight="1" x14ac:dyDescent="0.25">
      <c r="A1005" s="311">
        <v>1002</v>
      </c>
      <c r="B1005" s="311" t="s">
        <v>84</v>
      </c>
      <c r="C1005" s="311" t="s">
        <v>462</v>
      </c>
      <c r="D1005" s="311" t="s">
        <v>462</v>
      </c>
      <c r="E1005" s="337" t="s">
        <v>462</v>
      </c>
      <c r="F1005" s="311" t="s">
        <v>97</v>
      </c>
      <c r="G1005" s="311" t="s">
        <v>23</v>
      </c>
      <c r="H1005" s="311" t="s">
        <v>384</v>
      </c>
      <c r="I1005" s="311" t="s">
        <v>56</v>
      </c>
      <c r="J1005" s="50" t="s">
        <v>1892</v>
      </c>
      <c r="K1005" s="50" t="s">
        <v>1892</v>
      </c>
      <c r="L1005" s="50" t="s">
        <v>1893</v>
      </c>
      <c r="M1005" s="50" t="s">
        <v>3402</v>
      </c>
      <c r="N1005" s="50" t="s">
        <v>3403</v>
      </c>
      <c r="O1005" s="50" t="s">
        <v>3403</v>
      </c>
      <c r="P1005" s="50" t="s">
        <v>3403</v>
      </c>
    </row>
    <row r="1006" spans="1:16" ht="12.75" customHeight="1" x14ac:dyDescent="0.25">
      <c r="A1006" s="311">
        <v>1003</v>
      </c>
      <c r="B1006" s="311" t="s">
        <v>123</v>
      </c>
      <c r="C1006" s="311" t="s">
        <v>462</v>
      </c>
      <c r="D1006" s="311" t="s">
        <v>462</v>
      </c>
      <c r="E1006" s="337" t="s">
        <v>462</v>
      </c>
      <c r="F1006" s="311" t="s">
        <v>97</v>
      </c>
      <c r="G1006" s="311" t="s">
        <v>23</v>
      </c>
      <c r="H1006" s="311" t="s">
        <v>384</v>
      </c>
      <c r="I1006" s="311" t="s">
        <v>56</v>
      </c>
      <c r="J1006" s="50" t="s">
        <v>1892</v>
      </c>
      <c r="K1006" s="50" t="s">
        <v>1892</v>
      </c>
      <c r="L1006" s="50" t="s">
        <v>1893</v>
      </c>
      <c r="M1006" s="50" t="s">
        <v>3404</v>
      </c>
      <c r="N1006" s="50" t="s">
        <v>3403</v>
      </c>
      <c r="O1006" s="50" t="s">
        <v>3403</v>
      </c>
      <c r="P1006" s="50" t="s">
        <v>3403</v>
      </c>
    </row>
    <row r="1007" spans="1:16" ht="12.75" customHeight="1" x14ac:dyDescent="0.25">
      <c r="A1007" s="311">
        <v>1004</v>
      </c>
      <c r="B1007" s="311" t="s">
        <v>75</v>
      </c>
      <c r="C1007" s="311" t="s">
        <v>462</v>
      </c>
      <c r="D1007" s="311" t="s">
        <v>462</v>
      </c>
      <c r="E1007" s="337" t="s">
        <v>462</v>
      </c>
      <c r="F1007" s="311" t="s">
        <v>97</v>
      </c>
      <c r="G1007" s="311" t="s">
        <v>23</v>
      </c>
      <c r="H1007" s="311" t="s">
        <v>384</v>
      </c>
      <c r="I1007" s="311" t="s">
        <v>56</v>
      </c>
      <c r="J1007" s="50" t="s">
        <v>1892</v>
      </c>
      <c r="K1007" s="50" t="s">
        <v>1892</v>
      </c>
      <c r="L1007" s="50" t="s">
        <v>1893</v>
      </c>
      <c r="M1007" s="50" t="s">
        <v>3405</v>
      </c>
      <c r="N1007" s="50" t="s">
        <v>3403</v>
      </c>
      <c r="O1007" s="50" t="s">
        <v>3403</v>
      </c>
      <c r="P1007" s="50" t="s">
        <v>3403</v>
      </c>
    </row>
    <row r="1008" spans="1:16" ht="12.75" customHeight="1" x14ac:dyDescent="0.25">
      <c r="A1008" s="311">
        <v>1005</v>
      </c>
      <c r="B1008" s="311" t="s">
        <v>63</v>
      </c>
      <c r="C1008" s="311" t="s">
        <v>63</v>
      </c>
      <c r="D1008" s="311" t="s">
        <v>462</v>
      </c>
      <c r="E1008" s="337" t="s">
        <v>63</v>
      </c>
      <c r="F1008" s="311" t="s">
        <v>97</v>
      </c>
      <c r="G1008" s="311" t="s">
        <v>23</v>
      </c>
      <c r="H1008" s="311" t="s">
        <v>384</v>
      </c>
      <c r="I1008" s="311" t="s">
        <v>56</v>
      </c>
      <c r="J1008" s="50" t="s">
        <v>1892</v>
      </c>
      <c r="K1008" s="50" t="s">
        <v>1892</v>
      </c>
      <c r="L1008" s="50" t="s">
        <v>1893</v>
      </c>
      <c r="M1008" s="50" t="s">
        <v>3406</v>
      </c>
      <c r="N1008" s="50" t="s">
        <v>3406</v>
      </c>
      <c r="O1008" s="50" t="s">
        <v>3403</v>
      </c>
      <c r="P1008" s="50" t="s">
        <v>3406</v>
      </c>
    </row>
    <row r="1009" spans="1:16" ht="12.75" customHeight="1" x14ac:dyDescent="0.25">
      <c r="A1009" s="311">
        <v>1006</v>
      </c>
      <c r="B1009" s="311" t="s">
        <v>140</v>
      </c>
      <c r="C1009" s="311" t="s">
        <v>140</v>
      </c>
      <c r="D1009" s="311" t="s">
        <v>462</v>
      </c>
      <c r="E1009" s="337" t="s">
        <v>140</v>
      </c>
      <c r="F1009" s="311" t="s">
        <v>97</v>
      </c>
      <c r="G1009" s="311" t="s">
        <v>23</v>
      </c>
      <c r="H1009" s="311" t="s">
        <v>384</v>
      </c>
      <c r="I1009" s="311" t="s">
        <v>56</v>
      </c>
      <c r="J1009" s="50" t="s">
        <v>1892</v>
      </c>
      <c r="K1009" s="50" t="s">
        <v>1892</v>
      </c>
      <c r="L1009" s="50" t="s">
        <v>1893</v>
      </c>
      <c r="M1009" s="50" t="s">
        <v>3407</v>
      </c>
      <c r="N1009" s="50" t="s">
        <v>3407</v>
      </c>
      <c r="O1009" s="50" t="s">
        <v>3403</v>
      </c>
      <c r="P1009" s="50" t="s">
        <v>3407</v>
      </c>
    </row>
    <row r="1010" spans="1:16" ht="12.75" customHeight="1" x14ac:dyDescent="0.25">
      <c r="A1010" s="311">
        <v>1007</v>
      </c>
      <c r="B1010" s="311" t="s">
        <v>121</v>
      </c>
      <c r="C1010" s="311" t="s">
        <v>121</v>
      </c>
      <c r="D1010" s="311" t="s">
        <v>462</v>
      </c>
      <c r="E1010" s="337" t="s">
        <v>121</v>
      </c>
      <c r="F1010" s="311" t="s">
        <v>97</v>
      </c>
      <c r="G1010" s="311" t="s">
        <v>23</v>
      </c>
      <c r="H1010" s="311" t="s">
        <v>384</v>
      </c>
      <c r="I1010" s="311" t="s">
        <v>56</v>
      </c>
      <c r="J1010" s="50" t="s">
        <v>1892</v>
      </c>
      <c r="K1010" s="50" t="s">
        <v>1892</v>
      </c>
      <c r="L1010" s="50" t="s">
        <v>1893</v>
      </c>
      <c r="M1010" s="50" t="s">
        <v>3408</v>
      </c>
      <c r="N1010" s="50" t="s">
        <v>3408</v>
      </c>
      <c r="O1010" s="50" t="s">
        <v>3403</v>
      </c>
      <c r="P1010" s="50" t="s">
        <v>3408</v>
      </c>
    </row>
    <row r="1011" spans="1:16" ht="12.75" customHeight="1" x14ac:dyDescent="0.25">
      <c r="A1011" s="311">
        <v>1008</v>
      </c>
      <c r="B1011" s="311" t="s">
        <v>87</v>
      </c>
      <c r="C1011" s="311" t="s">
        <v>87</v>
      </c>
      <c r="D1011" s="311" t="s">
        <v>462</v>
      </c>
      <c r="E1011" s="337" t="s">
        <v>87</v>
      </c>
      <c r="F1011" s="311" t="s">
        <v>97</v>
      </c>
      <c r="G1011" s="311" t="s">
        <v>23</v>
      </c>
      <c r="H1011" s="311" t="s">
        <v>384</v>
      </c>
      <c r="I1011" s="311" t="s">
        <v>56</v>
      </c>
      <c r="J1011" s="50" t="s">
        <v>1892</v>
      </c>
      <c r="K1011" s="50" t="s">
        <v>1892</v>
      </c>
      <c r="L1011" s="50" t="s">
        <v>1893</v>
      </c>
      <c r="M1011" s="50" t="s">
        <v>3409</v>
      </c>
      <c r="N1011" s="50" t="s">
        <v>3409</v>
      </c>
      <c r="O1011" s="50" t="s">
        <v>3403</v>
      </c>
      <c r="P1011" s="50" t="s">
        <v>3409</v>
      </c>
    </row>
    <row r="1012" spans="1:16" ht="12.75" customHeight="1" x14ac:dyDescent="0.25">
      <c r="A1012" s="311">
        <v>1009</v>
      </c>
      <c r="B1012" s="311" t="s">
        <v>125</v>
      </c>
      <c r="C1012" s="311" t="s">
        <v>125</v>
      </c>
      <c r="D1012" s="311" t="s">
        <v>125</v>
      </c>
      <c r="E1012" s="337" t="s">
        <v>125</v>
      </c>
      <c r="F1012" s="311" t="s">
        <v>97</v>
      </c>
      <c r="G1012" s="311" t="s">
        <v>23</v>
      </c>
      <c r="H1012" s="311" t="s">
        <v>384</v>
      </c>
      <c r="I1012" s="311" t="s">
        <v>56</v>
      </c>
      <c r="J1012" s="50" t="s">
        <v>1892</v>
      </c>
      <c r="K1012" s="50" t="s">
        <v>1892</v>
      </c>
      <c r="L1012" s="50" t="s">
        <v>1893</v>
      </c>
      <c r="M1012" s="50" t="s">
        <v>3410</v>
      </c>
      <c r="N1012" s="50" t="s">
        <v>3410</v>
      </c>
      <c r="O1012" s="50" t="s">
        <v>3410</v>
      </c>
      <c r="P1012" s="50" t="s">
        <v>3410</v>
      </c>
    </row>
    <row r="1013" spans="1:16" ht="12.75" customHeight="1" x14ac:dyDescent="0.25">
      <c r="A1013" s="311">
        <v>1010</v>
      </c>
      <c r="B1013" s="311" t="s">
        <v>134</v>
      </c>
      <c r="C1013" s="311" t="s">
        <v>134</v>
      </c>
      <c r="D1013" s="311" t="s">
        <v>134</v>
      </c>
      <c r="E1013" s="337" t="s">
        <v>134</v>
      </c>
      <c r="F1013" s="311" t="s">
        <v>97</v>
      </c>
      <c r="G1013" s="311" t="s">
        <v>23</v>
      </c>
      <c r="H1013" s="311" t="s">
        <v>384</v>
      </c>
      <c r="I1013" s="311" t="s">
        <v>56</v>
      </c>
      <c r="J1013" s="50" t="s">
        <v>1892</v>
      </c>
      <c r="K1013" s="50" t="s">
        <v>1892</v>
      </c>
      <c r="L1013" s="50" t="s">
        <v>1893</v>
      </c>
      <c r="M1013" s="50" t="s">
        <v>3411</v>
      </c>
      <c r="N1013" s="50" t="s">
        <v>3411</v>
      </c>
      <c r="O1013" s="50" t="s">
        <v>3411</v>
      </c>
      <c r="P1013" s="50" t="s">
        <v>3411</v>
      </c>
    </row>
    <row r="1014" spans="1:16" ht="12.75" customHeight="1" x14ac:dyDescent="0.25">
      <c r="A1014" s="311">
        <v>1011</v>
      </c>
      <c r="B1014" s="311" t="s">
        <v>141</v>
      </c>
      <c r="C1014" s="311" t="s">
        <v>141</v>
      </c>
      <c r="D1014" s="311" t="s">
        <v>141</v>
      </c>
      <c r="E1014" s="337" t="s">
        <v>141</v>
      </c>
      <c r="F1014" s="311" t="s">
        <v>97</v>
      </c>
      <c r="G1014" s="311" t="s">
        <v>23</v>
      </c>
      <c r="H1014" s="311" t="s">
        <v>384</v>
      </c>
      <c r="I1014" s="311" t="s">
        <v>56</v>
      </c>
      <c r="J1014" s="50" t="s">
        <v>1892</v>
      </c>
      <c r="K1014" s="50" t="s">
        <v>1892</v>
      </c>
      <c r="L1014" s="50" t="s">
        <v>1893</v>
      </c>
      <c r="M1014" s="50" t="s">
        <v>3412</v>
      </c>
      <c r="N1014" s="50" t="s">
        <v>3412</v>
      </c>
      <c r="O1014" s="50" t="s">
        <v>3412</v>
      </c>
      <c r="P1014" s="50" t="s">
        <v>3412</v>
      </c>
    </row>
    <row r="1015" spans="1:16" ht="12.75" customHeight="1" x14ac:dyDescent="0.25">
      <c r="A1015" s="311">
        <v>1012</v>
      </c>
      <c r="B1015" s="311" t="s">
        <v>69</v>
      </c>
      <c r="C1015" s="311" t="s">
        <v>69</v>
      </c>
      <c r="D1015" s="311" t="s">
        <v>69</v>
      </c>
      <c r="E1015" s="337" t="s">
        <v>69</v>
      </c>
      <c r="F1015" s="311" t="s">
        <v>97</v>
      </c>
      <c r="G1015" s="311" t="s">
        <v>23</v>
      </c>
      <c r="H1015" s="311" t="s">
        <v>384</v>
      </c>
      <c r="I1015" s="311" t="s">
        <v>56</v>
      </c>
      <c r="J1015" s="50" t="s">
        <v>1892</v>
      </c>
      <c r="K1015" s="50" t="s">
        <v>1892</v>
      </c>
      <c r="L1015" s="50" t="s">
        <v>1893</v>
      </c>
      <c r="M1015" s="50" t="s">
        <v>3413</v>
      </c>
      <c r="N1015" s="50" t="s">
        <v>3413</v>
      </c>
      <c r="O1015" s="50" t="s">
        <v>3413</v>
      </c>
      <c r="P1015" s="50" t="s">
        <v>3413</v>
      </c>
    </row>
    <row r="1016" spans="1:16" ht="12.75" customHeight="1" x14ac:dyDescent="0.25">
      <c r="A1016" s="311">
        <v>1013</v>
      </c>
      <c r="B1016" s="311" t="s">
        <v>84</v>
      </c>
      <c r="C1016" s="311" t="s">
        <v>462</v>
      </c>
      <c r="D1016" s="311" t="s">
        <v>462</v>
      </c>
      <c r="E1016" s="337" t="s">
        <v>462</v>
      </c>
      <c r="F1016" s="311" t="s">
        <v>97</v>
      </c>
      <c r="G1016" s="311" t="s">
        <v>237</v>
      </c>
      <c r="H1016" s="311" t="s">
        <v>384</v>
      </c>
      <c r="I1016" s="311" t="s">
        <v>56</v>
      </c>
      <c r="J1016" s="50" t="s">
        <v>1892</v>
      </c>
      <c r="K1016" s="50" t="s">
        <v>1892</v>
      </c>
      <c r="L1016" s="50" t="s">
        <v>1893</v>
      </c>
      <c r="M1016" s="50" t="s">
        <v>3414</v>
      </c>
      <c r="N1016" s="50" t="s">
        <v>3415</v>
      </c>
      <c r="O1016" s="50" t="s">
        <v>3415</v>
      </c>
      <c r="P1016" s="50" t="s">
        <v>3415</v>
      </c>
    </row>
    <row r="1017" spans="1:16" ht="12.75" customHeight="1" x14ac:dyDescent="0.25">
      <c r="A1017" s="311">
        <v>1014</v>
      </c>
      <c r="B1017" s="311" t="s">
        <v>123</v>
      </c>
      <c r="C1017" s="311" t="s">
        <v>462</v>
      </c>
      <c r="D1017" s="311" t="s">
        <v>462</v>
      </c>
      <c r="E1017" s="337" t="s">
        <v>462</v>
      </c>
      <c r="F1017" s="311" t="s">
        <v>97</v>
      </c>
      <c r="G1017" s="311" t="s">
        <v>237</v>
      </c>
      <c r="H1017" s="311" t="s">
        <v>384</v>
      </c>
      <c r="I1017" s="311" t="s">
        <v>56</v>
      </c>
      <c r="J1017" s="50" t="s">
        <v>1892</v>
      </c>
      <c r="K1017" s="50" t="s">
        <v>1892</v>
      </c>
      <c r="L1017" s="50" t="s">
        <v>1893</v>
      </c>
      <c r="M1017" s="50" t="s">
        <v>3416</v>
      </c>
      <c r="N1017" s="50" t="s">
        <v>3415</v>
      </c>
      <c r="O1017" s="50" t="s">
        <v>3415</v>
      </c>
      <c r="P1017" s="50" t="s">
        <v>3415</v>
      </c>
    </row>
    <row r="1018" spans="1:16" ht="12.75" customHeight="1" x14ac:dyDescent="0.25">
      <c r="A1018" s="311">
        <v>1015</v>
      </c>
      <c r="B1018" s="311" t="s">
        <v>75</v>
      </c>
      <c r="C1018" s="311" t="s">
        <v>462</v>
      </c>
      <c r="D1018" s="311" t="s">
        <v>462</v>
      </c>
      <c r="E1018" s="337" t="s">
        <v>462</v>
      </c>
      <c r="F1018" s="311" t="s">
        <v>97</v>
      </c>
      <c r="G1018" s="311" t="s">
        <v>237</v>
      </c>
      <c r="H1018" s="311" t="s">
        <v>384</v>
      </c>
      <c r="I1018" s="311" t="s">
        <v>56</v>
      </c>
      <c r="J1018" s="50" t="s">
        <v>1892</v>
      </c>
      <c r="K1018" s="50" t="s">
        <v>1892</v>
      </c>
      <c r="L1018" s="50" t="s">
        <v>1893</v>
      </c>
      <c r="M1018" s="50" t="s">
        <v>3417</v>
      </c>
      <c r="N1018" s="50" t="s">
        <v>3415</v>
      </c>
      <c r="O1018" s="50" t="s">
        <v>3415</v>
      </c>
      <c r="P1018" s="50" t="s">
        <v>3415</v>
      </c>
    </row>
    <row r="1019" spans="1:16" ht="12.75" customHeight="1" x14ac:dyDescent="0.25">
      <c r="A1019" s="311">
        <v>1016</v>
      </c>
      <c r="B1019" s="311" t="s">
        <v>63</v>
      </c>
      <c r="C1019" s="311" t="s">
        <v>63</v>
      </c>
      <c r="D1019" s="311" t="s">
        <v>462</v>
      </c>
      <c r="E1019" s="337" t="s">
        <v>63</v>
      </c>
      <c r="F1019" s="311" t="s">
        <v>97</v>
      </c>
      <c r="G1019" s="311" t="s">
        <v>237</v>
      </c>
      <c r="H1019" s="311" t="s">
        <v>384</v>
      </c>
      <c r="I1019" s="311" t="s">
        <v>56</v>
      </c>
      <c r="J1019" s="50" t="s">
        <v>1892</v>
      </c>
      <c r="K1019" s="50" t="s">
        <v>1892</v>
      </c>
      <c r="L1019" s="50" t="s">
        <v>1893</v>
      </c>
      <c r="M1019" s="50" t="s">
        <v>3418</v>
      </c>
      <c r="N1019" s="50" t="s">
        <v>3418</v>
      </c>
      <c r="O1019" s="50" t="s">
        <v>3415</v>
      </c>
      <c r="P1019" s="50" t="s">
        <v>3418</v>
      </c>
    </row>
    <row r="1020" spans="1:16" ht="12.75" customHeight="1" x14ac:dyDescent="0.25">
      <c r="A1020" s="311">
        <v>1017</v>
      </c>
      <c r="B1020" s="311" t="s">
        <v>140</v>
      </c>
      <c r="C1020" s="311" t="s">
        <v>140</v>
      </c>
      <c r="D1020" s="311" t="s">
        <v>462</v>
      </c>
      <c r="E1020" s="337" t="s">
        <v>140</v>
      </c>
      <c r="F1020" s="311" t="s">
        <v>97</v>
      </c>
      <c r="G1020" s="311" t="s">
        <v>237</v>
      </c>
      <c r="H1020" s="311" t="s">
        <v>384</v>
      </c>
      <c r="I1020" s="311" t="s">
        <v>56</v>
      </c>
      <c r="J1020" s="50" t="s">
        <v>1892</v>
      </c>
      <c r="K1020" s="50" t="s">
        <v>1892</v>
      </c>
      <c r="L1020" s="50" t="s">
        <v>1893</v>
      </c>
      <c r="M1020" s="50" t="s">
        <v>3419</v>
      </c>
      <c r="N1020" s="50" t="s">
        <v>3419</v>
      </c>
      <c r="O1020" s="50" t="s">
        <v>3415</v>
      </c>
      <c r="P1020" s="50" t="s">
        <v>3419</v>
      </c>
    </row>
    <row r="1021" spans="1:16" ht="12.75" customHeight="1" x14ac:dyDescent="0.25">
      <c r="A1021" s="311">
        <v>1018</v>
      </c>
      <c r="B1021" s="311" t="s">
        <v>121</v>
      </c>
      <c r="C1021" s="311" t="s">
        <v>121</v>
      </c>
      <c r="D1021" s="311" t="s">
        <v>462</v>
      </c>
      <c r="E1021" s="337" t="s">
        <v>121</v>
      </c>
      <c r="F1021" s="311" t="s">
        <v>97</v>
      </c>
      <c r="G1021" s="311" t="s">
        <v>237</v>
      </c>
      <c r="H1021" s="311" t="s">
        <v>384</v>
      </c>
      <c r="I1021" s="311" t="s">
        <v>56</v>
      </c>
      <c r="J1021" s="50" t="s">
        <v>1892</v>
      </c>
      <c r="K1021" s="50" t="s">
        <v>1892</v>
      </c>
      <c r="L1021" s="50" t="s">
        <v>1893</v>
      </c>
      <c r="M1021" s="50" t="s">
        <v>3420</v>
      </c>
      <c r="N1021" s="50" t="s">
        <v>3420</v>
      </c>
      <c r="O1021" s="50" t="s">
        <v>3415</v>
      </c>
      <c r="P1021" s="50" t="s">
        <v>3420</v>
      </c>
    </row>
    <row r="1022" spans="1:16" ht="12.75" customHeight="1" x14ac:dyDescent="0.25">
      <c r="A1022" s="311">
        <v>1019</v>
      </c>
      <c r="B1022" s="311" t="s">
        <v>87</v>
      </c>
      <c r="C1022" s="311" t="s">
        <v>87</v>
      </c>
      <c r="D1022" s="311" t="s">
        <v>462</v>
      </c>
      <c r="E1022" s="337" t="s">
        <v>87</v>
      </c>
      <c r="F1022" s="311" t="s">
        <v>97</v>
      </c>
      <c r="G1022" s="311" t="s">
        <v>237</v>
      </c>
      <c r="H1022" s="311" t="s">
        <v>384</v>
      </c>
      <c r="I1022" s="311" t="s">
        <v>56</v>
      </c>
      <c r="J1022" s="50" t="s">
        <v>1892</v>
      </c>
      <c r="K1022" s="50" t="s">
        <v>1892</v>
      </c>
      <c r="L1022" s="50" t="s">
        <v>1893</v>
      </c>
      <c r="M1022" s="50" t="s">
        <v>3421</v>
      </c>
      <c r="N1022" s="50" t="s">
        <v>3421</v>
      </c>
      <c r="O1022" s="50" t="s">
        <v>3415</v>
      </c>
      <c r="P1022" s="50" t="s">
        <v>3421</v>
      </c>
    </row>
    <row r="1023" spans="1:16" ht="12.75" customHeight="1" x14ac:dyDescent="0.25">
      <c r="A1023" s="311">
        <v>1020</v>
      </c>
      <c r="B1023" s="311" t="s">
        <v>125</v>
      </c>
      <c r="C1023" s="311" t="s">
        <v>125</v>
      </c>
      <c r="D1023" s="311" t="s">
        <v>125</v>
      </c>
      <c r="E1023" s="337" t="s">
        <v>125</v>
      </c>
      <c r="F1023" s="311" t="s">
        <v>97</v>
      </c>
      <c r="G1023" s="311" t="s">
        <v>237</v>
      </c>
      <c r="H1023" s="311" t="s">
        <v>384</v>
      </c>
      <c r="I1023" s="311" t="s">
        <v>56</v>
      </c>
      <c r="J1023" s="50" t="s">
        <v>1892</v>
      </c>
      <c r="K1023" s="50" t="s">
        <v>1892</v>
      </c>
      <c r="L1023" s="50" t="s">
        <v>1893</v>
      </c>
      <c r="M1023" s="50" t="s">
        <v>3422</v>
      </c>
      <c r="N1023" s="50" t="s">
        <v>3422</v>
      </c>
      <c r="O1023" s="50" t="s">
        <v>3422</v>
      </c>
      <c r="P1023" s="50" t="s">
        <v>3422</v>
      </c>
    </row>
    <row r="1024" spans="1:16" ht="12.75" customHeight="1" x14ac:dyDescent="0.25">
      <c r="A1024" s="311">
        <v>1021</v>
      </c>
      <c r="B1024" s="311" t="s">
        <v>134</v>
      </c>
      <c r="C1024" s="311" t="s">
        <v>134</v>
      </c>
      <c r="D1024" s="311" t="s">
        <v>134</v>
      </c>
      <c r="E1024" s="337" t="s">
        <v>134</v>
      </c>
      <c r="F1024" s="311" t="s">
        <v>97</v>
      </c>
      <c r="G1024" s="311" t="s">
        <v>237</v>
      </c>
      <c r="H1024" s="311" t="s">
        <v>384</v>
      </c>
      <c r="I1024" s="311" t="s">
        <v>56</v>
      </c>
      <c r="J1024" s="50" t="s">
        <v>1892</v>
      </c>
      <c r="K1024" s="50" t="s">
        <v>1892</v>
      </c>
      <c r="L1024" s="50" t="s">
        <v>1893</v>
      </c>
      <c r="M1024" s="50" t="s">
        <v>3423</v>
      </c>
      <c r="N1024" s="50" t="s">
        <v>3423</v>
      </c>
      <c r="O1024" s="50" t="s">
        <v>3423</v>
      </c>
      <c r="P1024" s="50" t="s">
        <v>3423</v>
      </c>
    </row>
    <row r="1025" spans="1:16" ht="12.75" customHeight="1" x14ac:dyDescent="0.25">
      <c r="A1025" s="311">
        <v>1022</v>
      </c>
      <c r="B1025" s="311" t="s">
        <v>141</v>
      </c>
      <c r="C1025" s="311" t="s">
        <v>141</v>
      </c>
      <c r="D1025" s="311" t="s">
        <v>141</v>
      </c>
      <c r="E1025" s="337" t="s">
        <v>141</v>
      </c>
      <c r="F1025" s="311" t="s">
        <v>97</v>
      </c>
      <c r="G1025" s="311" t="s">
        <v>237</v>
      </c>
      <c r="H1025" s="311" t="s">
        <v>384</v>
      </c>
      <c r="I1025" s="311" t="s">
        <v>56</v>
      </c>
      <c r="J1025" s="50" t="s">
        <v>1892</v>
      </c>
      <c r="K1025" s="50" t="s">
        <v>1892</v>
      </c>
      <c r="L1025" s="50" t="s">
        <v>1893</v>
      </c>
      <c r="M1025" s="50" t="s">
        <v>3424</v>
      </c>
      <c r="N1025" s="50" t="s">
        <v>3424</v>
      </c>
      <c r="O1025" s="50" t="s">
        <v>3424</v>
      </c>
      <c r="P1025" s="50" t="s">
        <v>3424</v>
      </c>
    </row>
    <row r="1026" spans="1:16" ht="12.75" customHeight="1" x14ac:dyDescent="0.25">
      <c r="A1026" s="311">
        <v>1023</v>
      </c>
      <c r="B1026" s="311" t="s">
        <v>69</v>
      </c>
      <c r="C1026" s="311" t="s">
        <v>69</v>
      </c>
      <c r="D1026" s="311" t="s">
        <v>69</v>
      </c>
      <c r="E1026" s="337" t="s">
        <v>69</v>
      </c>
      <c r="F1026" s="311" t="s">
        <v>97</v>
      </c>
      <c r="G1026" s="311" t="s">
        <v>237</v>
      </c>
      <c r="H1026" s="311" t="s">
        <v>384</v>
      </c>
      <c r="I1026" s="311" t="s">
        <v>56</v>
      </c>
      <c r="J1026" s="50" t="s">
        <v>1892</v>
      </c>
      <c r="K1026" s="50" t="s">
        <v>1892</v>
      </c>
      <c r="L1026" s="50" t="s">
        <v>1893</v>
      </c>
      <c r="M1026" s="50" t="s">
        <v>3425</v>
      </c>
      <c r="N1026" s="50" t="s">
        <v>3425</v>
      </c>
      <c r="O1026" s="50" t="s">
        <v>3425</v>
      </c>
      <c r="P1026" s="50" t="s">
        <v>3425</v>
      </c>
    </row>
    <row r="1027" spans="1:16" ht="12.75" customHeight="1" x14ac:dyDescent="0.25">
      <c r="A1027" s="311">
        <v>1024</v>
      </c>
      <c r="B1027" s="311" t="s">
        <v>84</v>
      </c>
      <c r="C1027" s="311" t="s">
        <v>462</v>
      </c>
      <c r="D1027" s="311" t="s">
        <v>462</v>
      </c>
      <c r="E1027" s="337" t="s">
        <v>462</v>
      </c>
      <c r="F1027" s="311" t="s">
        <v>73</v>
      </c>
      <c r="G1027" s="311" t="s">
        <v>236</v>
      </c>
      <c r="H1027" s="311" t="s">
        <v>385</v>
      </c>
      <c r="I1027" s="311" t="s">
        <v>56</v>
      </c>
      <c r="J1027" s="50" t="s">
        <v>1892</v>
      </c>
      <c r="K1027" s="50" t="s">
        <v>1892</v>
      </c>
      <c r="L1027" s="50" t="s">
        <v>1893</v>
      </c>
      <c r="M1027" s="50" t="s">
        <v>3426</v>
      </c>
      <c r="N1027" s="50" t="s">
        <v>3427</v>
      </c>
      <c r="O1027" s="50" t="s">
        <v>3427</v>
      </c>
      <c r="P1027" s="50" t="s">
        <v>3427</v>
      </c>
    </row>
    <row r="1028" spans="1:16" ht="12.75" customHeight="1" x14ac:dyDescent="0.25">
      <c r="A1028" s="311">
        <v>1025</v>
      </c>
      <c r="B1028" s="311" t="s">
        <v>123</v>
      </c>
      <c r="C1028" s="311" t="s">
        <v>462</v>
      </c>
      <c r="D1028" s="311" t="s">
        <v>462</v>
      </c>
      <c r="E1028" s="337" t="s">
        <v>462</v>
      </c>
      <c r="F1028" s="311" t="s">
        <v>73</v>
      </c>
      <c r="G1028" s="311" t="s">
        <v>236</v>
      </c>
      <c r="H1028" s="311" t="s">
        <v>385</v>
      </c>
      <c r="I1028" s="311" t="s">
        <v>56</v>
      </c>
      <c r="J1028" s="50" t="s">
        <v>1892</v>
      </c>
      <c r="K1028" s="50" t="s">
        <v>1892</v>
      </c>
      <c r="L1028" s="50" t="s">
        <v>1893</v>
      </c>
      <c r="M1028" s="50" t="s">
        <v>3428</v>
      </c>
      <c r="N1028" s="50" t="s">
        <v>3427</v>
      </c>
      <c r="O1028" s="50" t="s">
        <v>3427</v>
      </c>
      <c r="P1028" s="50" t="s">
        <v>3427</v>
      </c>
    </row>
    <row r="1029" spans="1:16" ht="12.75" customHeight="1" x14ac:dyDescent="0.25">
      <c r="A1029" s="311">
        <v>1026</v>
      </c>
      <c r="B1029" s="311" t="s">
        <v>75</v>
      </c>
      <c r="C1029" s="311" t="s">
        <v>462</v>
      </c>
      <c r="D1029" s="311" t="s">
        <v>462</v>
      </c>
      <c r="E1029" s="337" t="s">
        <v>462</v>
      </c>
      <c r="F1029" s="311" t="s">
        <v>73</v>
      </c>
      <c r="G1029" s="311" t="s">
        <v>236</v>
      </c>
      <c r="H1029" s="311" t="s">
        <v>385</v>
      </c>
      <c r="I1029" s="311" t="s">
        <v>56</v>
      </c>
      <c r="J1029" s="50" t="s">
        <v>1892</v>
      </c>
      <c r="K1029" s="50" t="s">
        <v>1892</v>
      </c>
      <c r="L1029" s="50" t="s">
        <v>1893</v>
      </c>
      <c r="M1029" s="50" t="s">
        <v>3429</v>
      </c>
      <c r="N1029" s="50" t="s">
        <v>3427</v>
      </c>
      <c r="O1029" s="50" t="s">
        <v>3427</v>
      </c>
      <c r="P1029" s="50" t="s">
        <v>3427</v>
      </c>
    </row>
    <row r="1030" spans="1:16" ht="12.75" customHeight="1" x14ac:dyDescent="0.25">
      <c r="A1030" s="311">
        <v>1027</v>
      </c>
      <c r="B1030" s="311" t="s">
        <v>63</v>
      </c>
      <c r="C1030" s="311" t="s">
        <v>63</v>
      </c>
      <c r="D1030" s="311" t="s">
        <v>462</v>
      </c>
      <c r="E1030" s="337" t="s">
        <v>63</v>
      </c>
      <c r="F1030" s="311" t="s">
        <v>73</v>
      </c>
      <c r="G1030" s="311" t="s">
        <v>236</v>
      </c>
      <c r="H1030" s="311" t="s">
        <v>385</v>
      </c>
      <c r="I1030" s="311" t="s">
        <v>56</v>
      </c>
      <c r="J1030" s="50" t="s">
        <v>1892</v>
      </c>
      <c r="K1030" s="50" t="s">
        <v>1892</v>
      </c>
      <c r="L1030" s="50" t="s">
        <v>1893</v>
      </c>
      <c r="M1030" s="50" t="s">
        <v>3430</v>
      </c>
      <c r="N1030" s="50" t="s">
        <v>3430</v>
      </c>
      <c r="O1030" s="50" t="s">
        <v>3427</v>
      </c>
      <c r="P1030" s="50" t="s">
        <v>3430</v>
      </c>
    </row>
    <row r="1031" spans="1:16" ht="12.75" customHeight="1" x14ac:dyDescent="0.25">
      <c r="A1031" s="311">
        <v>1028</v>
      </c>
      <c r="B1031" s="311" t="s">
        <v>140</v>
      </c>
      <c r="C1031" s="311" t="s">
        <v>140</v>
      </c>
      <c r="D1031" s="311" t="s">
        <v>462</v>
      </c>
      <c r="E1031" s="337" t="s">
        <v>140</v>
      </c>
      <c r="F1031" s="311" t="s">
        <v>73</v>
      </c>
      <c r="G1031" s="311" t="s">
        <v>236</v>
      </c>
      <c r="H1031" s="311" t="s">
        <v>385</v>
      </c>
      <c r="I1031" s="311" t="s">
        <v>56</v>
      </c>
      <c r="J1031" s="50" t="s">
        <v>1892</v>
      </c>
      <c r="K1031" s="50" t="s">
        <v>1892</v>
      </c>
      <c r="L1031" s="50" t="s">
        <v>1893</v>
      </c>
      <c r="M1031" s="50" t="s">
        <v>3431</v>
      </c>
      <c r="N1031" s="50" t="s">
        <v>3431</v>
      </c>
      <c r="O1031" s="50" t="s">
        <v>3427</v>
      </c>
      <c r="P1031" s="50" t="s">
        <v>3431</v>
      </c>
    </row>
    <row r="1032" spans="1:16" ht="12.75" customHeight="1" x14ac:dyDescent="0.25">
      <c r="A1032" s="311">
        <v>1029</v>
      </c>
      <c r="B1032" s="311" t="s">
        <v>121</v>
      </c>
      <c r="C1032" s="311" t="s">
        <v>121</v>
      </c>
      <c r="D1032" s="311" t="s">
        <v>462</v>
      </c>
      <c r="E1032" s="337" t="s">
        <v>121</v>
      </c>
      <c r="F1032" s="311" t="s">
        <v>73</v>
      </c>
      <c r="G1032" s="311" t="s">
        <v>236</v>
      </c>
      <c r="H1032" s="311" t="s">
        <v>385</v>
      </c>
      <c r="I1032" s="311" t="s">
        <v>56</v>
      </c>
      <c r="J1032" s="50" t="s">
        <v>1892</v>
      </c>
      <c r="K1032" s="50" t="s">
        <v>1892</v>
      </c>
      <c r="L1032" s="50" t="s">
        <v>1893</v>
      </c>
      <c r="M1032" s="50" t="s">
        <v>3432</v>
      </c>
      <c r="N1032" s="50" t="s">
        <v>3432</v>
      </c>
      <c r="O1032" s="50" t="s">
        <v>3427</v>
      </c>
      <c r="P1032" s="50" t="s">
        <v>3432</v>
      </c>
    </row>
    <row r="1033" spans="1:16" ht="12.75" customHeight="1" x14ac:dyDescent="0.25">
      <c r="A1033" s="311">
        <v>1030</v>
      </c>
      <c r="B1033" s="311" t="s">
        <v>87</v>
      </c>
      <c r="C1033" s="311" t="s">
        <v>87</v>
      </c>
      <c r="D1033" s="311" t="s">
        <v>462</v>
      </c>
      <c r="E1033" s="337" t="s">
        <v>87</v>
      </c>
      <c r="F1033" s="311" t="s">
        <v>73</v>
      </c>
      <c r="G1033" s="311" t="s">
        <v>236</v>
      </c>
      <c r="H1033" s="311" t="s">
        <v>385</v>
      </c>
      <c r="I1033" s="311" t="s">
        <v>56</v>
      </c>
      <c r="J1033" s="50" t="s">
        <v>1892</v>
      </c>
      <c r="K1033" s="50" t="s">
        <v>1892</v>
      </c>
      <c r="L1033" s="50" t="s">
        <v>1893</v>
      </c>
      <c r="M1033" s="50" t="s">
        <v>3433</v>
      </c>
      <c r="N1033" s="50" t="s">
        <v>3433</v>
      </c>
      <c r="O1033" s="50" t="s">
        <v>3427</v>
      </c>
      <c r="P1033" s="50" t="s">
        <v>3433</v>
      </c>
    </row>
    <row r="1034" spans="1:16" ht="12.75" customHeight="1" x14ac:dyDescent="0.25">
      <c r="A1034" s="311">
        <v>1031</v>
      </c>
      <c r="B1034" s="311" t="s">
        <v>125</v>
      </c>
      <c r="C1034" s="311" t="s">
        <v>125</v>
      </c>
      <c r="D1034" s="311" t="s">
        <v>125</v>
      </c>
      <c r="E1034" s="337" t="s">
        <v>125</v>
      </c>
      <c r="F1034" s="311" t="s">
        <v>73</v>
      </c>
      <c r="G1034" s="311" t="s">
        <v>236</v>
      </c>
      <c r="H1034" s="311" t="s">
        <v>385</v>
      </c>
      <c r="I1034" s="311" t="s">
        <v>56</v>
      </c>
      <c r="J1034" s="50" t="s">
        <v>1892</v>
      </c>
      <c r="K1034" s="50" t="s">
        <v>1892</v>
      </c>
      <c r="L1034" s="50" t="s">
        <v>1893</v>
      </c>
      <c r="M1034" s="50" t="s">
        <v>3434</v>
      </c>
      <c r="N1034" s="50" t="s">
        <v>3434</v>
      </c>
      <c r="O1034" s="50" t="s">
        <v>3434</v>
      </c>
      <c r="P1034" s="50" t="s">
        <v>3434</v>
      </c>
    </row>
    <row r="1035" spans="1:16" ht="12.75" customHeight="1" x14ac:dyDescent="0.25">
      <c r="A1035" s="311">
        <v>1032</v>
      </c>
      <c r="B1035" s="311" t="s">
        <v>134</v>
      </c>
      <c r="C1035" s="311" t="s">
        <v>134</v>
      </c>
      <c r="D1035" s="311" t="s">
        <v>134</v>
      </c>
      <c r="E1035" s="337" t="s">
        <v>134</v>
      </c>
      <c r="F1035" s="311" t="s">
        <v>73</v>
      </c>
      <c r="G1035" s="311" t="s">
        <v>236</v>
      </c>
      <c r="H1035" s="311" t="s">
        <v>385</v>
      </c>
      <c r="I1035" s="311" t="s">
        <v>56</v>
      </c>
      <c r="J1035" s="50" t="s">
        <v>1892</v>
      </c>
      <c r="K1035" s="50" t="s">
        <v>1892</v>
      </c>
      <c r="L1035" s="50" t="s">
        <v>1893</v>
      </c>
      <c r="M1035" s="50" t="s">
        <v>3435</v>
      </c>
      <c r="N1035" s="50" t="s">
        <v>3435</v>
      </c>
      <c r="O1035" s="50" t="s">
        <v>3435</v>
      </c>
      <c r="P1035" s="50" t="s">
        <v>3435</v>
      </c>
    </row>
    <row r="1036" spans="1:16" ht="12.75" customHeight="1" x14ac:dyDescent="0.25">
      <c r="A1036" s="311">
        <v>1033</v>
      </c>
      <c r="B1036" s="311" t="s">
        <v>141</v>
      </c>
      <c r="C1036" s="311" t="s">
        <v>141</v>
      </c>
      <c r="D1036" s="311" t="s">
        <v>141</v>
      </c>
      <c r="E1036" s="337" t="s">
        <v>141</v>
      </c>
      <c r="F1036" s="311" t="s">
        <v>73</v>
      </c>
      <c r="G1036" s="311" t="s">
        <v>236</v>
      </c>
      <c r="H1036" s="311" t="s">
        <v>385</v>
      </c>
      <c r="I1036" s="311" t="s">
        <v>56</v>
      </c>
      <c r="J1036" s="50" t="s">
        <v>1892</v>
      </c>
      <c r="K1036" s="50" t="s">
        <v>1892</v>
      </c>
      <c r="L1036" s="50" t="s">
        <v>1893</v>
      </c>
      <c r="M1036" s="50" t="s">
        <v>3436</v>
      </c>
      <c r="N1036" s="50" t="s">
        <v>3436</v>
      </c>
      <c r="O1036" s="50" t="s">
        <v>3436</v>
      </c>
      <c r="P1036" s="50" t="s">
        <v>3436</v>
      </c>
    </row>
    <row r="1037" spans="1:16" ht="12.75" customHeight="1" x14ac:dyDescent="0.25">
      <c r="A1037" s="311">
        <v>1034</v>
      </c>
      <c r="B1037" s="311" t="s">
        <v>69</v>
      </c>
      <c r="C1037" s="311" t="s">
        <v>69</v>
      </c>
      <c r="D1037" s="311" t="s">
        <v>69</v>
      </c>
      <c r="E1037" s="337" t="s">
        <v>69</v>
      </c>
      <c r="F1037" s="311" t="s">
        <v>73</v>
      </c>
      <c r="G1037" s="311" t="s">
        <v>236</v>
      </c>
      <c r="H1037" s="311" t="s">
        <v>385</v>
      </c>
      <c r="I1037" s="311" t="s">
        <v>56</v>
      </c>
      <c r="J1037" s="50" t="s">
        <v>1892</v>
      </c>
      <c r="K1037" s="50" t="s">
        <v>1892</v>
      </c>
      <c r="L1037" s="50" t="s">
        <v>1893</v>
      </c>
      <c r="M1037" s="50" t="s">
        <v>3437</v>
      </c>
      <c r="N1037" s="50" t="s">
        <v>3437</v>
      </c>
      <c r="O1037" s="50" t="s">
        <v>3437</v>
      </c>
      <c r="P1037" s="50" t="s">
        <v>3437</v>
      </c>
    </row>
    <row r="1038" spans="1:16" ht="12.75" customHeight="1" x14ac:dyDescent="0.25">
      <c r="A1038" s="311">
        <v>1035</v>
      </c>
      <c r="B1038" s="311" t="s">
        <v>84</v>
      </c>
      <c r="C1038" s="311" t="s">
        <v>462</v>
      </c>
      <c r="D1038" s="311" t="s">
        <v>462</v>
      </c>
      <c r="E1038" s="337" t="s">
        <v>462</v>
      </c>
      <c r="F1038" s="311" t="s">
        <v>73</v>
      </c>
      <c r="G1038" s="311" t="s">
        <v>23</v>
      </c>
      <c r="H1038" s="311" t="s">
        <v>385</v>
      </c>
      <c r="I1038" s="311" t="s">
        <v>56</v>
      </c>
      <c r="J1038" s="50" t="s">
        <v>1892</v>
      </c>
      <c r="K1038" s="50" t="s">
        <v>1892</v>
      </c>
      <c r="L1038" s="50" t="s">
        <v>1893</v>
      </c>
      <c r="M1038" s="50" t="s">
        <v>3438</v>
      </c>
      <c r="N1038" s="50" t="s">
        <v>3439</v>
      </c>
      <c r="O1038" s="50" t="s">
        <v>3439</v>
      </c>
      <c r="P1038" s="50" t="s">
        <v>3439</v>
      </c>
    </row>
    <row r="1039" spans="1:16" ht="12.75" customHeight="1" x14ac:dyDescent="0.25">
      <c r="A1039" s="311">
        <v>1036</v>
      </c>
      <c r="B1039" s="311" t="s">
        <v>123</v>
      </c>
      <c r="C1039" s="311" t="s">
        <v>462</v>
      </c>
      <c r="D1039" s="311" t="s">
        <v>462</v>
      </c>
      <c r="E1039" s="337" t="s">
        <v>462</v>
      </c>
      <c r="F1039" s="311" t="s">
        <v>73</v>
      </c>
      <c r="G1039" s="311" t="s">
        <v>23</v>
      </c>
      <c r="H1039" s="311" t="s">
        <v>385</v>
      </c>
      <c r="I1039" s="311" t="s">
        <v>56</v>
      </c>
      <c r="J1039" s="50" t="s">
        <v>1892</v>
      </c>
      <c r="K1039" s="50" t="s">
        <v>1892</v>
      </c>
      <c r="L1039" s="50" t="s">
        <v>1893</v>
      </c>
      <c r="M1039" s="50" t="s">
        <v>3440</v>
      </c>
      <c r="N1039" s="50" t="s">
        <v>3439</v>
      </c>
      <c r="O1039" s="50" t="s">
        <v>3439</v>
      </c>
      <c r="P1039" s="50" t="s">
        <v>3439</v>
      </c>
    </row>
    <row r="1040" spans="1:16" ht="12.75" customHeight="1" x14ac:dyDescent="0.25">
      <c r="A1040" s="311">
        <v>1037</v>
      </c>
      <c r="B1040" s="311" t="s">
        <v>75</v>
      </c>
      <c r="C1040" s="311" t="s">
        <v>462</v>
      </c>
      <c r="D1040" s="311" t="s">
        <v>462</v>
      </c>
      <c r="E1040" s="337" t="s">
        <v>462</v>
      </c>
      <c r="F1040" s="311" t="s">
        <v>73</v>
      </c>
      <c r="G1040" s="311" t="s">
        <v>23</v>
      </c>
      <c r="H1040" s="311" t="s">
        <v>385</v>
      </c>
      <c r="I1040" s="311" t="s">
        <v>56</v>
      </c>
      <c r="J1040" s="50" t="s">
        <v>1892</v>
      </c>
      <c r="K1040" s="50" t="s">
        <v>1892</v>
      </c>
      <c r="L1040" s="50" t="s">
        <v>1893</v>
      </c>
      <c r="M1040" s="50" t="s">
        <v>3441</v>
      </c>
      <c r="N1040" s="50" t="s">
        <v>3439</v>
      </c>
      <c r="O1040" s="50" t="s">
        <v>3439</v>
      </c>
      <c r="P1040" s="50" t="s">
        <v>3439</v>
      </c>
    </row>
    <row r="1041" spans="1:16" ht="12.75" customHeight="1" x14ac:dyDescent="0.25">
      <c r="A1041" s="311">
        <v>1038</v>
      </c>
      <c r="B1041" s="311" t="s">
        <v>63</v>
      </c>
      <c r="C1041" s="311" t="s">
        <v>63</v>
      </c>
      <c r="D1041" s="311" t="s">
        <v>462</v>
      </c>
      <c r="E1041" s="337" t="s">
        <v>63</v>
      </c>
      <c r="F1041" s="311" t="s">
        <v>73</v>
      </c>
      <c r="G1041" s="311" t="s">
        <v>23</v>
      </c>
      <c r="H1041" s="311" t="s">
        <v>385</v>
      </c>
      <c r="I1041" s="311" t="s">
        <v>56</v>
      </c>
      <c r="J1041" s="50" t="s">
        <v>1892</v>
      </c>
      <c r="K1041" s="50" t="s">
        <v>1892</v>
      </c>
      <c r="L1041" s="50" t="s">
        <v>1893</v>
      </c>
      <c r="M1041" s="50" t="s">
        <v>3442</v>
      </c>
      <c r="N1041" s="50" t="s">
        <v>3442</v>
      </c>
      <c r="O1041" s="50" t="s">
        <v>3439</v>
      </c>
      <c r="P1041" s="50" t="s">
        <v>3442</v>
      </c>
    </row>
    <row r="1042" spans="1:16" ht="12.75" customHeight="1" x14ac:dyDescent="0.25">
      <c r="A1042" s="311">
        <v>1039</v>
      </c>
      <c r="B1042" s="311" t="s">
        <v>140</v>
      </c>
      <c r="C1042" s="311" t="s">
        <v>140</v>
      </c>
      <c r="D1042" s="311" t="s">
        <v>462</v>
      </c>
      <c r="E1042" s="337" t="s">
        <v>140</v>
      </c>
      <c r="F1042" s="311" t="s">
        <v>73</v>
      </c>
      <c r="G1042" s="311" t="s">
        <v>23</v>
      </c>
      <c r="H1042" s="311" t="s">
        <v>385</v>
      </c>
      <c r="I1042" s="311" t="s">
        <v>56</v>
      </c>
      <c r="J1042" s="50" t="s">
        <v>1892</v>
      </c>
      <c r="K1042" s="50" t="s">
        <v>1892</v>
      </c>
      <c r="L1042" s="50" t="s">
        <v>1893</v>
      </c>
      <c r="M1042" s="50" t="s">
        <v>3443</v>
      </c>
      <c r="N1042" s="50" t="s">
        <v>3443</v>
      </c>
      <c r="O1042" s="50" t="s">
        <v>3439</v>
      </c>
      <c r="P1042" s="50" t="s">
        <v>3443</v>
      </c>
    </row>
    <row r="1043" spans="1:16" ht="12.75" customHeight="1" x14ac:dyDescent="0.25">
      <c r="A1043" s="311">
        <v>1040</v>
      </c>
      <c r="B1043" s="311" t="s">
        <v>121</v>
      </c>
      <c r="C1043" s="311" t="s">
        <v>121</v>
      </c>
      <c r="D1043" s="311" t="s">
        <v>462</v>
      </c>
      <c r="E1043" s="337" t="s">
        <v>121</v>
      </c>
      <c r="F1043" s="311" t="s">
        <v>73</v>
      </c>
      <c r="G1043" s="311" t="s">
        <v>23</v>
      </c>
      <c r="H1043" s="311" t="s">
        <v>385</v>
      </c>
      <c r="I1043" s="311" t="s">
        <v>56</v>
      </c>
      <c r="J1043" s="50" t="s">
        <v>1892</v>
      </c>
      <c r="K1043" s="50" t="s">
        <v>1892</v>
      </c>
      <c r="L1043" s="50" t="s">
        <v>1893</v>
      </c>
      <c r="M1043" s="50" t="s">
        <v>3444</v>
      </c>
      <c r="N1043" s="50" t="s">
        <v>3444</v>
      </c>
      <c r="O1043" s="50" t="s">
        <v>3439</v>
      </c>
      <c r="P1043" s="50" t="s">
        <v>3444</v>
      </c>
    </row>
    <row r="1044" spans="1:16" ht="12.75" customHeight="1" x14ac:dyDescent="0.25">
      <c r="A1044" s="311">
        <v>1041</v>
      </c>
      <c r="B1044" s="311" t="s">
        <v>87</v>
      </c>
      <c r="C1044" s="311" t="s">
        <v>87</v>
      </c>
      <c r="D1044" s="311" t="s">
        <v>462</v>
      </c>
      <c r="E1044" s="337" t="s">
        <v>87</v>
      </c>
      <c r="F1044" s="311" t="s">
        <v>73</v>
      </c>
      <c r="G1044" s="311" t="s">
        <v>23</v>
      </c>
      <c r="H1044" s="311" t="s">
        <v>385</v>
      </c>
      <c r="I1044" s="311" t="s">
        <v>56</v>
      </c>
      <c r="J1044" s="50" t="s">
        <v>1892</v>
      </c>
      <c r="K1044" s="50" t="s">
        <v>1892</v>
      </c>
      <c r="L1044" s="50" t="s">
        <v>1893</v>
      </c>
      <c r="M1044" s="50" t="s">
        <v>3445</v>
      </c>
      <c r="N1044" s="50" t="s">
        <v>3445</v>
      </c>
      <c r="O1044" s="50" t="s">
        <v>3439</v>
      </c>
      <c r="P1044" s="50" t="s">
        <v>3445</v>
      </c>
    </row>
    <row r="1045" spans="1:16" ht="12.75" customHeight="1" x14ac:dyDescent="0.25">
      <c r="A1045" s="311">
        <v>1042</v>
      </c>
      <c r="B1045" s="311" t="s">
        <v>125</v>
      </c>
      <c r="C1045" s="311" t="s">
        <v>125</v>
      </c>
      <c r="D1045" s="311" t="s">
        <v>125</v>
      </c>
      <c r="E1045" s="337" t="s">
        <v>125</v>
      </c>
      <c r="F1045" s="311" t="s">
        <v>73</v>
      </c>
      <c r="G1045" s="311" t="s">
        <v>23</v>
      </c>
      <c r="H1045" s="311" t="s">
        <v>385</v>
      </c>
      <c r="I1045" s="311" t="s">
        <v>56</v>
      </c>
      <c r="J1045" s="50" t="s">
        <v>1892</v>
      </c>
      <c r="K1045" s="50" t="s">
        <v>1892</v>
      </c>
      <c r="L1045" s="50" t="s">
        <v>1893</v>
      </c>
      <c r="M1045" s="50" t="s">
        <v>3446</v>
      </c>
      <c r="N1045" s="50" t="s">
        <v>3446</v>
      </c>
      <c r="O1045" s="50" t="s">
        <v>3446</v>
      </c>
      <c r="P1045" s="50" t="s">
        <v>3446</v>
      </c>
    </row>
    <row r="1046" spans="1:16" ht="12.75" customHeight="1" x14ac:dyDescent="0.25">
      <c r="A1046" s="311">
        <v>1043</v>
      </c>
      <c r="B1046" s="311" t="s">
        <v>134</v>
      </c>
      <c r="C1046" s="311" t="s">
        <v>134</v>
      </c>
      <c r="D1046" s="311" t="s">
        <v>134</v>
      </c>
      <c r="E1046" s="337" t="s">
        <v>134</v>
      </c>
      <c r="F1046" s="311" t="s">
        <v>73</v>
      </c>
      <c r="G1046" s="311" t="s">
        <v>23</v>
      </c>
      <c r="H1046" s="311" t="s">
        <v>385</v>
      </c>
      <c r="I1046" s="311" t="s">
        <v>56</v>
      </c>
      <c r="J1046" s="50" t="s">
        <v>1892</v>
      </c>
      <c r="K1046" s="50" t="s">
        <v>1892</v>
      </c>
      <c r="L1046" s="50" t="s">
        <v>1893</v>
      </c>
      <c r="M1046" s="50" t="s">
        <v>3447</v>
      </c>
      <c r="N1046" s="50" t="s">
        <v>3447</v>
      </c>
      <c r="O1046" s="50" t="s">
        <v>3447</v>
      </c>
      <c r="P1046" s="50" t="s">
        <v>3447</v>
      </c>
    </row>
    <row r="1047" spans="1:16" ht="12.75" customHeight="1" x14ac:dyDescent="0.25">
      <c r="A1047" s="311">
        <v>1044</v>
      </c>
      <c r="B1047" s="311" t="s">
        <v>141</v>
      </c>
      <c r="C1047" s="311" t="s">
        <v>141</v>
      </c>
      <c r="D1047" s="311" t="s">
        <v>141</v>
      </c>
      <c r="E1047" s="337" t="s">
        <v>141</v>
      </c>
      <c r="F1047" s="311" t="s">
        <v>73</v>
      </c>
      <c r="G1047" s="311" t="s">
        <v>23</v>
      </c>
      <c r="H1047" s="311" t="s">
        <v>385</v>
      </c>
      <c r="I1047" s="311" t="s">
        <v>56</v>
      </c>
      <c r="J1047" s="50" t="s">
        <v>1892</v>
      </c>
      <c r="K1047" s="50" t="s">
        <v>1892</v>
      </c>
      <c r="L1047" s="50" t="s">
        <v>1893</v>
      </c>
      <c r="M1047" s="50" t="s">
        <v>3448</v>
      </c>
      <c r="N1047" s="50" t="s">
        <v>3448</v>
      </c>
      <c r="O1047" s="50" t="s">
        <v>3448</v>
      </c>
      <c r="P1047" s="50" t="s">
        <v>3448</v>
      </c>
    </row>
    <row r="1048" spans="1:16" ht="12.75" customHeight="1" x14ac:dyDescent="0.25">
      <c r="A1048" s="311">
        <v>1045</v>
      </c>
      <c r="B1048" s="311" t="s">
        <v>69</v>
      </c>
      <c r="C1048" s="311" t="s">
        <v>69</v>
      </c>
      <c r="D1048" s="311" t="s">
        <v>69</v>
      </c>
      <c r="E1048" s="337" t="s">
        <v>69</v>
      </c>
      <c r="F1048" s="311" t="s">
        <v>73</v>
      </c>
      <c r="G1048" s="311" t="s">
        <v>23</v>
      </c>
      <c r="H1048" s="311" t="s">
        <v>385</v>
      </c>
      <c r="I1048" s="311" t="s">
        <v>56</v>
      </c>
      <c r="J1048" s="50" t="s">
        <v>1892</v>
      </c>
      <c r="K1048" s="50" t="s">
        <v>1892</v>
      </c>
      <c r="L1048" s="50" t="s">
        <v>1893</v>
      </c>
      <c r="M1048" s="50" t="s">
        <v>3449</v>
      </c>
      <c r="N1048" s="50" t="s">
        <v>3449</v>
      </c>
      <c r="O1048" s="50" t="s">
        <v>3449</v>
      </c>
      <c r="P1048" s="50" t="s">
        <v>3449</v>
      </c>
    </row>
    <row r="1049" spans="1:16" ht="12.75" customHeight="1" x14ac:dyDescent="0.25">
      <c r="A1049" s="311">
        <v>1046</v>
      </c>
      <c r="B1049" s="311" t="s">
        <v>84</v>
      </c>
      <c r="C1049" s="311" t="s">
        <v>462</v>
      </c>
      <c r="D1049" s="311" t="s">
        <v>462</v>
      </c>
      <c r="E1049" s="337" t="s">
        <v>462</v>
      </c>
      <c r="F1049" s="311" t="s">
        <v>73</v>
      </c>
      <c r="G1049" s="311" t="s">
        <v>237</v>
      </c>
      <c r="H1049" s="311" t="s">
        <v>385</v>
      </c>
      <c r="I1049" s="311" t="s">
        <v>56</v>
      </c>
      <c r="J1049" s="50" t="s">
        <v>1892</v>
      </c>
      <c r="K1049" s="50" t="s">
        <v>1892</v>
      </c>
      <c r="L1049" s="50" t="s">
        <v>1893</v>
      </c>
      <c r="M1049" s="50" t="s">
        <v>3450</v>
      </c>
      <c r="N1049" s="50" t="s">
        <v>3451</v>
      </c>
      <c r="O1049" s="50" t="s">
        <v>3451</v>
      </c>
      <c r="P1049" s="50" t="s">
        <v>3451</v>
      </c>
    </row>
    <row r="1050" spans="1:16" ht="12.75" customHeight="1" x14ac:dyDescent="0.25">
      <c r="A1050" s="311">
        <v>1047</v>
      </c>
      <c r="B1050" s="311" t="s">
        <v>123</v>
      </c>
      <c r="C1050" s="311" t="s">
        <v>462</v>
      </c>
      <c r="D1050" s="311" t="s">
        <v>462</v>
      </c>
      <c r="E1050" s="337" t="s">
        <v>462</v>
      </c>
      <c r="F1050" s="311" t="s">
        <v>73</v>
      </c>
      <c r="G1050" s="311" t="s">
        <v>237</v>
      </c>
      <c r="H1050" s="311" t="s">
        <v>385</v>
      </c>
      <c r="I1050" s="311" t="s">
        <v>56</v>
      </c>
      <c r="J1050" s="50" t="s">
        <v>1892</v>
      </c>
      <c r="K1050" s="50" t="s">
        <v>1892</v>
      </c>
      <c r="L1050" s="50" t="s">
        <v>1893</v>
      </c>
      <c r="M1050" s="50" t="s">
        <v>3452</v>
      </c>
      <c r="N1050" s="50" t="s">
        <v>3451</v>
      </c>
      <c r="O1050" s="50" t="s">
        <v>3451</v>
      </c>
      <c r="P1050" s="50" t="s">
        <v>3451</v>
      </c>
    </row>
    <row r="1051" spans="1:16" ht="12.75" customHeight="1" x14ac:dyDescent="0.25">
      <c r="A1051" s="311">
        <v>1048</v>
      </c>
      <c r="B1051" s="311" t="s">
        <v>75</v>
      </c>
      <c r="C1051" s="311" t="s">
        <v>462</v>
      </c>
      <c r="D1051" s="311" t="s">
        <v>462</v>
      </c>
      <c r="E1051" s="337" t="s">
        <v>462</v>
      </c>
      <c r="F1051" s="311" t="s">
        <v>73</v>
      </c>
      <c r="G1051" s="311" t="s">
        <v>237</v>
      </c>
      <c r="H1051" s="311" t="s">
        <v>385</v>
      </c>
      <c r="I1051" s="311" t="s">
        <v>56</v>
      </c>
      <c r="J1051" s="50" t="s">
        <v>1892</v>
      </c>
      <c r="K1051" s="50" t="s">
        <v>1892</v>
      </c>
      <c r="L1051" s="50" t="s">
        <v>1893</v>
      </c>
      <c r="M1051" s="50" t="s">
        <v>3453</v>
      </c>
      <c r="N1051" s="50" t="s">
        <v>3451</v>
      </c>
      <c r="O1051" s="50" t="s">
        <v>3451</v>
      </c>
      <c r="P1051" s="50" t="s">
        <v>3451</v>
      </c>
    </row>
    <row r="1052" spans="1:16" ht="12.75" customHeight="1" x14ac:dyDescent="0.25">
      <c r="A1052" s="311">
        <v>1049</v>
      </c>
      <c r="B1052" s="311" t="s">
        <v>63</v>
      </c>
      <c r="C1052" s="311" t="s">
        <v>63</v>
      </c>
      <c r="D1052" s="311" t="s">
        <v>462</v>
      </c>
      <c r="E1052" s="337" t="s">
        <v>63</v>
      </c>
      <c r="F1052" s="311" t="s">
        <v>73</v>
      </c>
      <c r="G1052" s="311" t="s">
        <v>237</v>
      </c>
      <c r="H1052" s="311" t="s">
        <v>385</v>
      </c>
      <c r="I1052" s="311" t="s">
        <v>56</v>
      </c>
      <c r="J1052" s="50" t="s">
        <v>1892</v>
      </c>
      <c r="K1052" s="50" t="s">
        <v>1892</v>
      </c>
      <c r="L1052" s="50" t="s">
        <v>1893</v>
      </c>
      <c r="M1052" s="50" t="s">
        <v>3454</v>
      </c>
      <c r="N1052" s="50" t="s">
        <v>3454</v>
      </c>
      <c r="O1052" s="50" t="s">
        <v>3451</v>
      </c>
      <c r="P1052" s="50" t="s">
        <v>3454</v>
      </c>
    </row>
    <row r="1053" spans="1:16" ht="12.75" customHeight="1" x14ac:dyDescent="0.25">
      <c r="A1053" s="311">
        <v>1050</v>
      </c>
      <c r="B1053" s="311" t="s">
        <v>140</v>
      </c>
      <c r="C1053" s="311" t="s">
        <v>140</v>
      </c>
      <c r="D1053" s="311" t="s">
        <v>462</v>
      </c>
      <c r="E1053" s="337" t="s">
        <v>140</v>
      </c>
      <c r="F1053" s="311" t="s">
        <v>73</v>
      </c>
      <c r="G1053" s="311" t="s">
        <v>237</v>
      </c>
      <c r="H1053" s="311" t="s">
        <v>385</v>
      </c>
      <c r="I1053" s="311" t="s">
        <v>56</v>
      </c>
      <c r="J1053" s="50" t="s">
        <v>1892</v>
      </c>
      <c r="K1053" s="50" t="s">
        <v>1892</v>
      </c>
      <c r="L1053" s="50" t="s">
        <v>1893</v>
      </c>
      <c r="M1053" s="50" t="s">
        <v>3455</v>
      </c>
      <c r="N1053" s="50" t="s">
        <v>3455</v>
      </c>
      <c r="O1053" s="50" t="s">
        <v>3451</v>
      </c>
      <c r="P1053" s="50" t="s">
        <v>3455</v>
      </c>
    </row>
    <row r="1054" spans="1:16" ht="12.75" customHeight="1" x14ac:dyDescent="0.25">
      <c r="A1054" s="311">
        <v>1051</v>
      </c>
      <c r="B1054" s="311" t="s">
        <v>121</v>
      </c>
      <c r="C1054" s="311" t="s">
        <v>121</v>
      </c>
      <c r="D1054" s="311" t="s">
        <v>462</v>
      </c>
      <c r="E1054" s="337" t="s">
        <v>121</v>
      </c>
      <c r="F1054" s="311" t="s">
        <v>73</v>
      </c>
      <c r="G1054" s="311" t="s">
        <v>237</v>
      </c>
      <c r="H1054" s="311" t="s">
        <v>385</v>
      </c>
      <c r="I1054" s="311" t="s">
        <v>56</v>
      </c>
      <c r="J1054" s="50" t="s">
        <v>1892</v>
      </c>
      <c r="K1054" s="50" t="s">
        <v>1892</v>
      </c>
      <c r="L1054" s="50" t="s">
        <v>1893</v>
      </c>
      <c r="M1054" s="50" t="s">
        <v>3456</v>
      </c>
      <c r="N1054" s="50" t="s">
        <v>3456</v>
      </c>
      <c r="O1054" s="50" t="s">
        <v>3451</v>
      </c>
      <c r="P1054" s="50" t="s">
        <v>3456</v>
      </c>
    </row>
    <row r="1055" spans="1:16" ht="12.75" customHeight="1" x14ac:dyDescent="0.25">
      <c r="A1055" s="311">
        <v>1052</v>
      </c>
      <c r="B1055" s="311" t="s">
        <v>87</v>
      </c>
      <c r="C1055" s="311" t="s">
        <v>87</v>
      </c>
      <c r="D1055" s="311" t="s">
        <v>462</v>
      </c>
      <c r="E1055" s="337" t="s">
        <v>87</v>
      </c>
      <c r="F1055" s="311" t="s">
        <v>73</v>
      </c>
      <c r="G1055" s="311" t="s">
        <v>237</v>
      </c>
      <c r="H1055" s="311" t="s">
        <v>385</v>
      </c>
      <c r="I1055" s="311" t="s">
        <v>56</v>
      </c>
      <c r="J1055" s="50" t="s">
        <v>1892</v>
      </c>
      <c r="K1055" s="50" t="s">
        <v>1892</v>
      </c>
      <c r="L1055" s="50" t="s">
        <v>1893</v>
      </c>
      <c r="M1055" s="50" t="s">
        <v>3457</v>
      </c>
      <c r="N1055" s="50" t="s">
        <v>3457</v>
      </c>
      <c r="O1055" s="50" t="s">
        <v>3451</v>
      </c>
      <c r="P1055" s="50" t="s">
        <v>3457</v>
      </c>
    </row>
    <row r="1056" spans="1:16" ht="12.75" customHeight="1" x14ac:dyDescent="0.25">
      <c r="A1056" s="311">
        <v>1053</v>
      </c>
      <c r="B1056" s="311" t="s">
        <v>125</v>
      </c>
      <c r="C1056" s="311" t="s">
        <v>125</v>
      </c>
      <c r="D1056" s="311" t="s">
        <v>125</v>
      </c>
      <c r="E1056" s="337" t="s">
        <v>125</v>
      </c>
      <c r="F1056" s="311" t="s">
        <v>73</v>
      </c>
      <c r="G1056" s="311" t="s">
        <v>237</v>
      </c>
      <c r="H1056" s="311" t="s">
        <v>385</v>
      </c>
      <c r="I1056" s="311" t="s">
        <v>56</v>
      </c>
      <c r="J1056" s="50" t="s">
        <v>1892</v>
      </c>
      <c r="K1056" s="50" t="s">
        <v>1892</v>
      </c>
      <c r="L1056" s="50" t="s">
        <v>1893</v>
      </c>
      <c r="M1056" s="50" t="s">
        <v>3458</v>
      </c>
      <c r="N1056" s="50" t="s">
        <v>3458</v>
      </c>
      <c r="O1056" s="50" t="s">
        <v>3458</v>
      </c>
      <c r="P1056" s="50" t="s">
        <v>3458</v>
      </c>
    </row>
    <row r="1057" spans="1:16" ht="12.75" customHeight="1" x14ac:dyDescent="0.25">
      <c r="A1057" s="311">
        <v>1054</v>
      </c>
      <c r="B1057" s="311" t="s">
        <v>134</v>
      </c>
      <c r="C1057" s="311" t="s">
        <v>134</v>
      </c>
      <c r="D1057" s="311" t="s">
        <v>134</v>
      </c>
      <c r="E1057" s="337" t="s">
        <v>134</v>
      </c>
      <c r="F1057" s="311" t="s">
        <v>73</v>
      </c>
      <c r="G1057" s="311" t="s">
        <v>237</v>
      </c>
      <c r="H1057" s="311" t="s">
        <v>385</v>
      </c>
      <c r="I1057" s="311" t="s">
        <v>56</v>
      </c>
      <c r="J1057" s="50" t="s">
        <v>1892</v>
      </c>
      <c r="K1057" s="50" t="s">
        <v>1892</v>
      </c>
      <c r="L1057" s="50" t="s">
        <v>1893</v>
      </c>
      <c r="M1057" s="50" t="s">
        <v>3459</v>
      </c>
      <c r="N1057" s="50" t="s">
        <v>3459</v>
      </c>
      <c r="O1057" s="50" t="s">
        <v>3459</v>
      </c>
      <c r="P1057" s="50" t="s">
        <v>3459</v>
      </c>
    </row>
    <row r="1058" spans="1:16" ht="12.75" customHeight="1" x14ac:dyDescent="0.25">
      <c r="A1058" s="311">
        <v>1055</v>
      </c>
      <c r="B1058" s="311" t="s">
        <v>141</v>
      </c>
      <c r="C1058" s="311" t="s">
        <v>141</v>
      </c>
      <c r="D1058" s="311" t="s">
        <v>141</v>
      </c>
      <c r="E1058" s="337" t="s">
        <v>141</v>
      </c>
      <c r="F1058" s="311" t="s">
        <v>73</v>
      </c>
      <c r="G1058" s="311" t="s">
        <v>237</v>
      </c>
      <c r="H1058" s="311" t="s">
        <v>385</v>
      </c>
      <c r="I1058" s="311" t="s">
        <v>56</v>
      </c>
      <c r="J1058" s="50" t="s">
        <v>1892</v>
      </c>
      <c r="K1058" s="50" t="s">
        <v>1892</v>
      </c>
      <c r="L1058" s="50" t="s">
        <v>1893</v>
      </c>
      <c r="M1058" s="50" t="s">
        <v>3460</v>
      </c>
      <c r="N1058" s="50" t="s">
        <v>3460</v>
      </c>
      <c r="O1058" s="50" t="s">
        <v>3460</v>
      </c>
      <c r="P1058" s="50" t="s">
        <v>3460</v>
      </c>
    </row>
    <row r="1059" spans="1:16" ht="12.75" customHeight="1" x14ac:dyDescent="0.25">
      <c r="A1059" s="311">
        <v>1056</v>
      </c>
      <c r="B1059" s="311" t="s">
        <v>69</v>
      </c>
      <c r="C1059" s="311" t="s">
        <v>69</v>
      </c>
      <c r="D1059" s="311" t="s">
        <v>69</v>
      </c>
      <c r="E1059" s="337" t="s">
        <v>69</v>
      </c>
      <c r="F1059" s="311" t="s">
        <v>73</v>
      </c>
      <c r="G1059" s="311" t="s">
        <v>237</v>
      </c>
      <c r="H1059" s="311" t="s">
        <v>385</v>
      </c>
      <c r="I1059" s="311" t="s">
        <v>56</v>
      </c>
      <c r="J1059" s="50" t="s">
        <v>1892</v>
      </c>
      <c r="K1059" s="50" t="s">
        <v>1892</v>
      </c>
      <c r="L1059" s="50" t="s">
        <v>1893</v>
      </c>
      <c r="M1059" s="50" t="s">
        <v>3461</v>
      </c>
      <c r="N1059" s="50" t="s">
        <v>3461</v>
      </c>
      <c r="O1059" s="50" t="s">
        <v>3461</v>
      </c>
      <c r="P1059" s="50" t="s">
        <v>3461</v>
      </c>
    </row>
    <row r="1060" spans="1:16" ht="12.75" customHeight="1" x14ac:dyDescent="0.25">
      <c r="A1060" s="311">
        <v>1057</v>
      </c>
      <c r="B1060" s="311" t="s">
        <v>84</v>
      </c>
      <c r="C1060" s="311" t="s">
        <v>462</v>
      </c>
      <c r="D1060" s="311" t="s">
        <v>462</v>
      </c>
      <c r="E1060" s="337" t="s">
        <v>462</v>
      </c>
      <c r="F1060" s="311" t="s">
        <v>274</v>
      </c>
      <c r="G1060" s="311" t="s">
        <v>236</v>
      </c>
      <c r="H1060" s="311" t="s">
        <v>463</v>
      </c>
      <c r="I1060" s="311" t="s">
        <v>56</v>
      </c>
      <c r="J1060" s="50" t="s">
        <v>1892</v>
      </c>
      <c r="K1060" s="50" t="s">
        <v>1892</v>
      </c>
      <c r="L1060" s="50" t="s">
        <v>1893</v>
      </c>
      <c r="M1060" s="50" t="s">
        <v>3462</v>
      </c>
      <c r="N1060" s="50" t="s">
        <v>3463</v>
      </c>
      <c r="O1060" s="50" t="s">
        <v>3463</v>
      </c>
      <c r="P1060" s="50" t="s">
        <v>3463</v>
      </c>
    </row>
    <row r="1061" spans="1:16" ht="12.75" customHeight="1" x14ac:dyDescent="0.25">
      <c r="A1061" s="311">
        <v>1058</v>
      </c>
      <c r="B1061" s="311" t="s">
        <v>123</v>
      </c>
      <c r="C1061" s="311" t="s">
        <v>462</v>
      </c>
      <c r="D1061" s="311" t="s">
        <v>462</v>
      </c>
      <c r="E1061" s="337" t="s">
        <v>462</v>
      </c>
      <c r="F1061" s="311" t="s">
        <v>274</v>
      </c>
      <c r="G1061" s="311" t="s">
        <v>236</v>
      </c>
      <c r="H1061" s="311" t="s">
        <v>463</v>
      </c>
      <c r="I1061" s="311" t="s">
        <v>56</v>
      </c>
      <c r="J1061" s="50" t="s">
        <v>1892</v>
      </c>
      <c r="K1061" s="50" t="s">
        <v>1892</v>
      </c>
      <c r="L1061" s="50" t="s">
        <v>1893</v>
      </c>
      <c r="M1061" s="50" t="s">
        <v>3464</v>
      </c>
      <c r="N1061" s="50" t="s">
        <v>3463</v>
      </c>
      <c r="O1061" s="50" t="s">
        <v>3463</v>
      </c>
      <c r="P1061" s="50" t="s">
        <v>3463</v>
      </c>
    </row>
    <row r="1062" spans="1:16" ht="12.75" customHeight="1" x14ac:dyDescent="0.25">
      <c r="A1062" s="311">
        <v>1059</v>
      </c>
      <c r="B1062" s="311" t="s">
        <v>75</v>
      </c>
      <c r="C1062" s="311" t="s">
        <v>462</v>
      </c>
      <c r="D1062" s="311" t="s">
        <v>462</v>
      </c>
      <c r="E1062" s="337" t="s">
        <v>462</v>
      </c>
      <c r="F1062" s="311" t="s">
        <v>274</v>
      </c>
      <c r="G1062" s="311" t="s">
        <v>236</v>
      </c>
      <c r="H1062" s="311" t="s">
        <v>463</v>
      </c>
      <c r="I1062" s="311" t="s">
        <v>56</v>
      </c>
      <c r="J1062" s="50" t="s">
        <v>1892</v>
      </c>
      <c r="K1062" s="50" t="s">
        <v>1892</v>
      </c>
      <c r="L1062" s="50" t="s">
        <v>1893</v>
      </c>
      <c r="M1062" s="50" t="s">
        <v>3465</v>
      </c>
      <c r="N1062" s="50" t="s">
        <v>3463</v>
      </c>
      <c r="O1062" s="50" t="s">
        <v>3463</v>
      </c>
      <c r="P1062" s="50" t="s">
        <v>3463</v>
      </c>
    </row>
    <row r="1063" spans="1:16" ht="12.75" customHeight="1" x14ac:dyDescent="0.25">
      <c r="A1063" s="311">
        <v>1060</v>
      </c>
      <c r="B1063" s="311" t="s">
        <v>63</v>
      </c>
      <c r="C1063" s="311" t="s">
        <v>63</v>
      </c>
      <c r="D1063" s="311" t="s">
        <v>462</v>
      </c>
      <c r="E1063" s="337" t="s">
        <v>63</v>
      </c>
      <c r="F1063" s="311" t="s">
        <v>274</v>
      </c>
      <c r="G1063" s="311" t="s">
        <v>236</v>
      </c>
      <c r="H1063" s="311" t="s">
        <v>463</v>
      </c>
      <c r="I1063" s="311" t="s">
        <v>56</v>
      </c>
      <c r="J1063" s="50" t="s">
        <v>1892</v>
      </c>
      <c r="K1063" s="50" t="s">
        <v>1892</v>
      </c>
      <c r="L1063" s="50" t="s">
        <v>1893</v>
      </c>
      <c r="M1063" s="50" t="s">
        <v>3466</v>
      </c>
      <c r="N1063" s="50" t="s">
        <v>3466</v>
      </c>
      <c r="O1063" s="50" t="s">
        <v>3463</v>
      </c>
      <c r="P1063" s="50" t="s">
        <v>3466</v>
      </c>
    </row>
    <row r="1064" spans="1:16" ht="12.75" customHeight="1" x14ac:dyDescent="0.25">
      <c r="A1064" s="311">
        <v>1061</v>
      </c>
      <c r="B1064" s="311" t="s">
        <v>140</v>
      </c>
      <c r="C1064" s="311" t="s">
        <v>140</v>
      </c>
      <c r="D1064" s="311" t="s">
        <v>462</v>
      </c>
      <c r="E1064" s="337" t="s">
        <v>140</v>
      </c>
      <c r="F1064" s="311" t="s">
        <v>274</v>
      </c>
      <c r="G1064" s="311" t="s">
        <v>236</v>
      </c>
      <c r="H1064" s="311" t="s">
        <v>463</v>
      </c>
      <c r="I1064" s="311" t="s">
        <v>56</v>
      </c>
      <c r="J1064" s="50" t="s">
        <v>1892</v>
      </c>
      <c r="K1064" s="50" t="s">
        <v>1892</v>
      </c>
      <c r="L1064" s="50" t="s">
        <v>1893</v>
      </c>
      <c r="M1064" s="50" t="s">
        <v>3467</v>
      </c>
      <c r="N1064" s="50" t="s">
        <v>3467</v>
      </c>
      <c r="O1064" s="50" t="s">
        <v>3463</v>
      </c>
      <c r="P1064" s="50" t="s">
        <v>3467</v>
      </c>
    </row>
    <row r="1065" spans="1:16" ht="12.75" customHeight="1" x14ac:dyDescent="0.25">
      <c r="A1065" s="311">
        <v>1062</v>
      </c>
      <c r="B1065" s="311" t="s">
        <v>121</v>
      </c>
      <c r="C1065" s="311" t="s">
        <v>121</v>
      </c>
      <c r="D1065" s="311" t="s">
        <v>462</v>
      </c>
      <c r="E1065" s="337" t="s">
        <v>121</v>
      </c>
      <c r="F1065" s="311" t="s">
        <v>274</v>
      </c>
      <c r="G1065" s="311" t="s">
        <v>236</v>
      </c>
      <c r="H1065" s="311" t="s">
        <v>463</v>
      </c>
      <c r="I1065" s="311" t="s">
        <v>56</v>
      </c>
      <c r="J1065" s="50" t="s">
        <v>1892</v>
      </c>
      <c r="K1065" s="50" t="s">
        <v>1892</v>
      </c>
      <c r="L1065" s="50" t="s">
        <v>1893</v>
      </c>
      <c r="M1065" s="50" t="s">
        <v>3468</v>
      </c>
      <c r="N1065" s="50" t="s">
        <v>3468</v>
      </c>
      <c r="O1065" s="50" t="s">
        <v>3463</v>
      </c>
      <c r="P1065" s="50" t="s">
        <v>3468</v>
      </c>
    </row>
    <row r="1066" spans="1:16" ht="12.75" customHeight="1" x14ac:dyDescent="0.25">
      <c r="A1066" s="311">
        <v>1063</v>
      </c>
      <c r="B1066" s="311" t="s">
        <v>87</v>
      </c>
      <c r="C1066" s="311" t="s">
        <v>87</v>
      </c>
      <c r="D1066" s="311" t="s">
        <v>462</v>
      </c>
      <c r="E1066" s="337" t="s">
        <v>87</v>
      </c>
      <c r="F1066" s="311" t="s">
        <v>274</v>
      </c>
      <c r="G1066" s="311" t="s">
        <v>236</v>
      </c>
      <c r="H1066" s="311" t="s">
        <v>463</v>
      </c>
      <c r="I1066" s="311" t="s">
        <v>56</v>
      </c>
      <c r="J1066" s="50" t="s">
        <v>1892</v>
      </c>
      <c r="K1066" s="50" t="s">
        <v>1892</v>
      </c>
      <c r="L1066" s="50" t="s">
        <v>1893</v>
      </c>
      <c r="M1066" s="50" t="s">
        <v>3469</v>
      </c>
      <c r="N1066" s="50" t="s">
        <v>3469</v>
      </c>
      <c r="O1066" s="50" t="s">
        <v>3463</v>
      </c>
      <c r="P1066" s="50" t="s">
        <v>3469</v>
      </c>
    </row>
    <row r="1067" spans="1:16" ht="12.75" customHeight="1" x14ac:dyDescent="0.25">
      <c r="A1067" s="311">
        <v>1064</v>
      </c>
      <c r="B1067" s="311" t="s">
        <v>125</v>
      </c>
      <c r="C1067" s="311" t="s">
        <v>125</v>
      </c>
      <c r="D1067" s="311" t="s">
        <v>125</v>
      </c>
      <c r="E1067" s="337" t="s">
        <v>125</v>
      </c>
      <c r="F1067" s="311" t="s">
        <v>274</v>
      </c>
      <c r="G1067" s="311" t="s">
        <v>236</v>
      </c>
      <c r="H1067" s="311" t="s">
        <v>463</v>
      </c>
      <c r="I1067" s="311" t="s">
        <v>56</v>
      </c>
      <c r="J1067" s="50" t="s">
        <v>1892</v>
      </c>
      <c r="K1067" s="50" t="s">
        <v>1892</v>
      </c>
      <c r="L1067" s="50" t="s">
        <v>1893</v>
      </c>
      <c r="M1067" s="50" t="s">
        <v>3470</v>
      </c>
      <c r="N1067" s="50" t="s">
        <v>3470</v>
      </c>
      <c r="O1067" s="50" t="s">
        <v>3470</v>
      </c>
      <c r="P1067" s="50" t="s">
        <v>3470</v>
      </c>
    </row>
    <row r="1068" spans="1:16" ht="12.75" customHeight="1" x14ac:dyDescent="0.25">
      <c r="A1068" s="311">
        <v>1065</v>
      </c>
      <c r="B1068" s="311" t="s">
        <v>134</v>
      </c>
      <c r="C1068" s="311" t="s">
        <v>134</v>
      </c>
      <c r="D1068" s="311" t="s">
        <v>134</v>
      </c>
      <c r="E1068" s="337" t="s">
        <v>134</v>
      </c>
      <c r="F1068" s="311" t="s">
        <v>274</v>
      </c>
      <c r="G1068" s="311" t="s">
        <v>236</v>
      </c>
      <c r="H1068" s="311" t="s">
        <v>463</v>
      </c>
      <c r="I1068" s="311" t="s">
        <v>56</v>
      </c>
      <c r="J1068" s="50" t="s">
        <v>1892</v>
      </c>
      <c r="K1068" s="50" t="s">
        <v>1892</v>
      </c>
      <c r="L1068" s="50" t="s">
        <v>1893</v>
      </c>
      <c r="M1068" s="50" t="s">
        <v>3471</v>
      </c>
      <c r="N1068" s="50" t="s">
        <v>3471</v>
      </c>
      <c r="O1068" s="50" t="s">
        <v>3471</v>
      </c>
      <c r="P1068" s="50" t="s">
        <v>3471</v>
      </c>
    </row>
    <row r="1069" spans="1:16" ht="12.75" customHeight="1" x14ac:dyDescent="0.25">
      <c r="A1069" s="311">
        <v>1066</v>
      </c>
      <c r="B1069" s="311" t="s">
        <v>141</v>
      </c>
      <c r="C1069" s="311" t="s">
        <v>141</v>
      </c>
      <c r="D1069" s="311" t="s">
        <v>141</v>
      </c>
      <c r="E1069" s="337" t="s">
        <v>141</v>
      </c>
      <c r="F1069" s="311" t="s">
        <v>274</v>
      </c>
      <c r="G1069" s="311" t="s">
        <v>236</v>
      </c>
      <c r="H1069" s="311" t="s">
        <v>463</v>
      </c>
      <c r="I1069" s="311" t="s">
        <v>56</v>
      </c>
      <c r="J1069" s="50" t="s">
        <v>1892</v>
      </c>
      <c r="K1069" s="50" t="s">
        <v>1892</v>
      </c>
      <c r="L1069" s="50" t="s">
        <v>1893</v>
      </c>
      <c r="M1069" s="50" t="s">
        <v>3472</v>
      </c>
      <c r="N1069" s="50" t="s">
        <v>3472</v>
      </c>
      <c r="O1069" s="50" t="s">
        <v>3472</v>
      </c>
      <c r="P1069" s="50" t="s">
        <v>3472</v>
      </c>
    </row>
    <row r="1070" spans="1:16" ht="12.75" customHeight="1" x14ac:dyDescent="0.25">
      <c r="A1070" s="311">
        <v>1067</v>
      </c>
      <c r="B1070" s="311" t="s">
        <v>69</v>
      </c>
      <c r="C1070" s="311" t="s">
        <v>69</v>
      </c>
      <c r="D1070" s="311" t="s">
        <v>69</v>
      </c>
      <c r="E1070" s="337" t="s">
        <v>69</v>
      </c>
      <c r="F1070" s="311" t="s">
        <v>274</v>
      </c>
      <c r="G1070" s="311" t="s">
        <v>236</v>
      </c>
      <c r="H1070" s="311" t="s">
        <v>463</v>
      </c>
      <c r="I1070" s="311" t="s">
        <v>56</v>
      </c>
      <c r="J1070" s="50" t="s">
        <v>1892</v>
      </c>
      <c r="K1070" s="50" t="s">
        <v>1892</v>
      </c>
      <c r="L1070" s="50" t="s">
        <v>1893</v>
      </c>
      <c r="M1070" s="50" t="s">
        <v>3473</v>
      </c>
      <c r="N1070" s="50" t="s">
        <v>3473</v>
      </c>
      <c r="O1070" s="50" t="s">
        <v>3473</v>
      </c>
      <c r="P1070" s="50" t="s">
        <v>3473</v>
      </c>
    </row>
    <row r="1071" spans="1:16" ht="12.75" customHeight="1" x14ac:dyDescent="0.25">
      <c r="A1071" s="311">
        <v>1068</v>
      </c>
      <c r="B1071" s="311" t="s">
        <v>84</v>
      </c>
      <c r="C1071" s="311" t="s">
        <v>462</v>
      </c>
      <c r="D1071" s="311" t="s">
        <v>462</v>
      </c>
      <c r="E1071" s="337" t="s">
        <v>462</v>
      </c>
      <c r="F1071" s="311" t="s">
        <v>274</v>
      </c>
      <c r="G1071" s="311" t="s">
        <v>23</v>
      </c>
      <c r="H1071" s="311" t="s">
        <v>463</v>
      </c>
      <c r="I1071" s="311" t="s">
        <v>56</v>
      </c>
      <c r="J1071" s="50" t="s">
        <v>1892</v>
      </c>
      <c r="K1071" s="50" t="s">
        <v>1892</v>
      </c>
      <c r="L1071" s="50" t="s">
        <v>1893</v>
      </c>
      <c r="M1071" s="50" t="s">
        <v>3474</v>
      </c>
      <c r="N1071" s="50" t="s">
        <v>3475</v>
      </c>
      <c r="O1071" s="50" t="s">
        <v>3475</v>
      </c>
      <c r="P1071" s="50" t="s">
        <v>3475</v>
      </c>
    </row>
    <row r="1072" spans="1:16" ht="12.75" customHeight="1" x14ac:dyDescent="0.25">
      <c r="A1072" s="311">
        <v>1069</v>
      </c>
      <c r="B1072" s="311" t="s">
        <v>123</v>
      </c>
      <c r="C1072" s="311" t="s">
        <v>462</v>
      </c>
      <c r="D1072" s="311" t="s">
        <v>462</v>
      </c>
      <c r="E1072" s="337" t="s">
        <v>462</v>
      </c>
      <c r="F1072" s="311" t="s">
        <v>274</v>
      </c>
      <c r="G1072" s="311" t="s">
        <v>23</v>
      </c>
      <c r="H1072" s="311" t="s">
        <v>463</v>
      </c>
      <c r="I1072" s="311" t="s">
        <v>56</v>
      </c>
      <c r="J1072" s="50" t="s">
        <v>1892</v>
      </c>
      <c r="K1072" s="50" t="s">
        <v>1892</v>
      </c>
      <c r="L1072" s="50" t="s">
        <v>1893</v>
      </c>
      <c r="M1072" s="50" t="s">
        <v>3476</v>
      </c>
      <c r="N1072" s="50" t="s">
        <v>3475</v>
      </c>
      <c r="O1072" s="50" t="s">
        <v>3475</v>
      </c>
      <c r="P1072" s="50" t="s">
        <v>3475</v>
      </c>
    </row>
    <row r="1073" spans="1:16" ht="12.75" customHeight="1" x14ac:dyDescent="0.25">
      <c r="A1073" s="311">
        <v>1070</v>
      </c>
      <c r="B1073" s="311" t="s">
        <v>75</v>
      </c>
      <c r="C1073" s="311" t="s">
        <v>462</v>
      </c>
      <c r="D1073" s="311" t="s">
        <v>462</v>
      </c>
      <c r="E1073" s="337" t="s">
        <v>462</v>
      </c>
      <c r="F1073" s="311" t="s">
        <v>274</v>
      </c>
      <c r="G1073" s="311" t="s">
        <v>23</v>
      </c>
      <c r="H1073" s="311" t="s">
        <v>463</v>
      </c>
      <c r="I1073" s="311" t="s">
        <v>56</v>
      </c>
      <c r="J1073" s="50" t="s">
        <v>1892</v>
      </c>
      <c r="K1073" s="50" t="s">
        <v>1892</v>
      </c>
      <c r="L1073" s="50" t="s">
        <v>1893</v>
      </c>
      <c r="M1073" s="50" t="s">
        <v>3477</v>
      </c>
      <c r="N1073" s="50" t="s">
        <v>3475</v>
      </c>
      <c r="O1073" s="50" t="s">
        <v>3475</v>
      </c>
      <c r="P1073" s="50" t="s">
        <v>3475</v>
      </c>
    </row>
    <row r="1074" spans="1:16" ht="12.75" customHeight="1" x14ac:dyDescent="0.25">
      <c r="A1074" s="311">
        <v>1071</v>
      </c>
      <c r="B1074" s="311" t="s">
        <v>63</v>
      </c>
      <c r="C1074" s="311" t="s">
        <v>63</v>
      </c>
      <c r="D1074" s="311" t="s">
        <v>462</v>
      </c>
      <c r="E1074" s="337" t="s">
        <v>63</v>
      </c>
      <c r="F1074" s="311" t="s">
        <v>274</v>
      </c>
      <c r="G1074" s="311" t="s">
        <v>23</v>
      </c>
      <c r="H1074" s="311" t="s">
        <v>463</v>
      </c>
      <c r="I1074" s="311" t="s">
        <v>56</v>
      </c>
      <c r="J1074" s="50" t="s">
        <v>1892</v>
      </c>
      <c r="K1074" s="50" t="s">
        <v>1892</v>
      </c>
      <c r="L1074" s="50" t="s">
        <v>1893</v>
      </c>
      <c r="M1074" s="50" t="s">
        <v>3478</v>
      </c>
      <c r="N1074" s="50" t="s">
        <v>3478</v>
      </c>
      <c r="O1074" s="50" t="s">
        <v>3475</v>
      </c>
      <c r="P1074" s="50" t="s">
        <v>3478</v>
      </c>
    </row>
    <row r="1075" spans="1:16" ht="12.75" customHeight="1" x14ac:dyDescent="0.25">
      <c r="A1075" s="311">
        <v>1072</v>
      </c>
      <c r="B1075" s="311" t="s">
        <v>140</v>
      </c>
      <c r="C1075" s="311" t="s">
        <v>140</v>
      </c>
      <c r="D1075" s="311" t="s">
        <v>462</v>
      </c>
      <c r="E1075" s="337" t="s">
        <v>140</v>
      </c>
      <c r="F1075" s="311" t="s">
        <v>274</v>
      </c>
      <c r="G1075" s="311" t="s">
        <v>23</v>
      </c>
      <c r="H1075" s="311" t="s">
        <v>463</v>
      </c>
      <c r="I1075" s="311" t="s">
        <v>56</v>
      </c>
      <c r="J1075" s="50" t="s">
        <v>1892</v>
      </c>
      <c r="K1075" s="50" t="s">
        <v>1892</v>
      </c>
      <c r="L1075" s="50" t="s">
        <v>1893</v>
      </c>
      <c r="M1075" s="50" t="s">
        <v>3479</v>
      </c>
      <c r="N1075" s="50" t="s">
        <v>3479</v>
      </c>
      <c r="O1075" s="50" t="s">
        <v>3475</v>
      </c>
      <c r="P1075" s="50" t="s">
        <v>3479</v>
      </c>
    </row>
    <row r="1076" spans="1:16" ht="12.75" customHeight="1" x14ac:dyDescent="0.25">
      <c r="A1076" s="311">
        <v>1073</v>
      </c>
      <c r="B1076" s="311" t="s">
        <v>121</v>
      </c>
      <c r="C1076" s="311" t="s">
        <v>121</v>
      </c>
      <c r="D1076" s="311" t="s">
        <v>462</v>
      </c>
      <c r="E1076" s="337" t="s">
        <v>121</v>
      </c>
      <c r="F1076" s="311" t="s">
        <v>274</v>
      </c>
      <c r="G1076" s="311" t="s">
        <v>23</v>
      </c>
      <c r="H1076" s="311" t="s">
        <v>463</v>
      </c>
      <c r="I1076" s="311" t="s">
        <v>56</v>
      </c>
      <c r="J1076" s="50" t="s">
        <v>1892</v>
      </c>
      <c r="K1076" s="50" t="s">
        <v>1892</v>
      </c>
      <c r="L1076" s="50" t="s">
        <v>1893</v>
      </c>
      <c r="M1076" s="50" t="s">
        <v>3480</v>
      </c>
      <c r="N1076" s="50" t="s">
        <v>3480</v>
      </c>
      <c r="O1076" s="50" t="s">
        <v>3475</v>
      </c>
      <c r="P1076" s="50" t="s">
        <v>3480</v>
      </c>
    </row>
    <row r="1077" spans="1:16" ht="12.75" customHeight="1" x14ac:dyDescent="0.25">
      <c r="A1077" s="311">
        <v>1074</v>
      </c>
      <c r="B1077" s="311" t="s">
        <v>87</v>
      </c>
      <c r="C1077" s="311" t="s">
        <v>87</v>
      </c>
      <c r="D1077" s="311" t="s">
        <v>462</v>
      </c>
      <c r="E1077" s="337" t="s">
        <v>87</v>
      </c>
      <c r="F1077" s="311" t="s">
        <v>274</v>
      </c>
      <c r="G1077" s="311" t="s">
        <v>23</v>
      </c>
      <c r="H1077" s="311" t="s">
        <v>463</v>
      </c>
      <c r="I1077" s="311" t="s">
        <v>56</v>
      </c>
      <c r="J1077" s="50" t="s">
        <v>1892</v>
      </c>
      <c r="K1077" s="50" t="s">
        <v>1892</v>
      </c>
      <c r="L1077" s="50" t="s">
        <v>1893</v>
      </c>
      <c r="M1077" s="50" t="s">
        <v>3481</v>
      </c>
      <c r="N1077" s="50" t="s">
        <v>3481</v>
      </c>
      <c r="O1077" s="50" t="s">
        <v>3475</v>
      </c>
      <c r="P1077" s="50" t="s">
        <v>3481</v>
      </c>
    </row>
    <row r="1078" spans="1:16" ht="12.75" customHeight="1" x14ac:dyDescent="0.25">
      <c r="A1078" s="311">
        <v>1075</v>
      </c>
      <c r="B1078" s="311" t="s">
        <v>125</v>
      </c>
      <c r="C1078" s="311" t="s">
        <v>125</v>
      </c>
      <c r="D1078" s="311" t="s">
        <v>125</v>
      </c>
      <c r="E1078" s="337" t="s">
        <v>125</v>
      </c>
      <c r="F1078" s="311" t="s">
        <v>274</v>
      </c>
      <c r="G1078" s="311" t="s">
        <v>23</v>
      </c>
      <c r="H1078" s="311" t="s">
        <v>463</v>
      </c>
      <c r="I1078" s="311" t="s">
        <v>56</v>
      </c>
      <c r="J1078" s="50" t="s">
        <v>1892</v>
      </c>
      <c r="K1078" s="50" t="s">
        <v>1892</v>
      </c>
      <c r="L1078" s="50" t="s">
        <v>1893</v>
      </c>
      <c r="M1078" s="50" t="s">
        <v>3482</v>
      </c>
      <c r="N1078" s="50" t="s">
        <v>3482</v>
      </c>
      <c r="O1078" s="50" t="s">
        <v>3482</v>
      </c>
      <c r="P1078" s="50" t="s">
        <v>3482</v>
      </c>
    </row>
    <row r="1079" spans="1:16" ht="12.75" customHeight="1" x14ac:dyDescent="0.25">
      <c r="A1079" s="311">
        <v>1076</v>
      </c>
      <c r="B1079" s="311" t="s">
        <v>134</v>
      </c>
      <c r="C1079" s="311" t="s">
        <v>134</v>
      </c>
      <c r="D1079" s="311" t="s">
        <v>134</v>
      </c>
      <c r="E1079" s="337" t="s">
        <v>134</v>
      </c>
      <c r="F1079" s="311" t="s">
        <v>274</v>
      </c>
      <c r="G1079" s="311" t="s">
        <v>23</v>
      </c>
      <c r="H1079" s="311" t="s">
        <v>463</v>
      </c>
      <c r="I1079" s="311" t="s">
        <v>56</v>
      </c>
      <c r="J1079" s="50" t="s">
        <v>1892</v>
      </c>
      <c r="K1079" s="50" t="s">
        <v>1892</v>
      </c>
      <c r="L1079" s="50" t="s">
        <v>1893</v>
      </c>
      <c r="M1079" s="50" t="s">
        <v>3483</v>
      </c>
      <c r="N1079" s="50" t="s">
        <v>3483</v>
      </c>
      <c r="O1079" s="50" t="s">
        <v>3483</v>
      </c>
      <c r="P1079" s="50" t="s">
        <v>3483</v>
      </c>
    </row>
    <row r="1080" spans="1:16" ht="12.75" customHeight="1" x14ac:dyDescent="0.25">
      <c r="A1080" s="311">
        <v>1077</v>
      </c>
      <c r="B1080" s="311" t="s">
        <v>141</v>
      </c>
      <c r="C1080" s="311" t="s">
        <v>141</v>
      </c>
      <c r="D1080" s="311" t="s">
        <v>141</v>
      </c>
      <c r="E1080" s="337" t="s">
        <v>141</v>
      </c>
      <c r="F1080" s="311" t="s">
        <v>274</v>
      </c>
      <c r="G1080" s="311" t="s">
        <v>23</v>
      </c>
      <c r="H1080" s="311" t="s">
        <v>463</v>
      </c>
      <c r="I1080" s="311" t="s">
        <v>56</v>
      </c>
      <c r="J1080" s="50" t="s">
        <v>1892</v>
      </c>
      <c r="K1080" s="50" t="s">
        <v>1892</v>
      </c>
      <c r="L1080" s="50" t="s">
        <v>1893</v>
      </c>
      <c r="M1080" s="50" t="s">
        <v>3484</v>
      </c>
      <c r="N1080" s="50" t="s">
        <v>3484</v>
      </c>
      <c r="O1080" s="50" t="s">
        <v>3484</v>
      </c>
      <c r="P1080" s="50" t="s">
        <v>3484</v>
      </c>
    </row>
    <row r="1081" spans="1:16" ht="12.75" customHeight="1" x14ac:dyDescent="0.25">
      <c r="A1081" s="311">
        <v>1078</v>
      </c>
      <c r="B1081" s="311" t="s">
        <v>69</v>
      </c>
      <c r="C1081" s="311" t="s">
        <v>69</v>
      </c>
      <c r="D1081" s="311" t="s">
        <v>69</v>
      </c>
      <c r="E1081" s="337" t="s">
        <v>69</v>
      </c>
      <c r="F1081" s="311" t="s">
        <v>274</v>
      </c>
      <c r="G1081" s="311" t="s">
        <v>23</v>
      </c>
      <c r="H1081" s="311" t="s">
        <v>463</v>
      </c>
      <c r="I1081" s="311" t="s">
        <v>56</v>
      </c>
      <c r="J1081" s="50" t="s">
        <v>1892</v>
      </c>
      <c r="K1081" s="50" t="s">
        <v>1892</v>
      </c>
      <c r="L1081" s="50" t="s">
        <v>1893</v>
      </c>
      <c r="M1081" s="50" t="s">
        <v>3485</v>
      </c>
      <c r="N1081" s="50" t="s">
        <v>3485</v>
      </c>
      <c r="O1081" s="50" t="s">
        <v>3485</v>
      </c>
      <c r="P1081" s="50" t="s">
        <v>3485</v>
      </c>
    </row>
    <row r="1082" spans="1:16" ht="12.75" customHeight="1" x14ac:dyDescent="0.25">
      <c r="A1082" s="311">
        <v>1079</v>
      </c>
      <c r="B1082" s="311" t="s">
        <v>84</v>
      </c>
      <c r="C1082" s="311" t="s">
        <v>462</v>
      </c>
      <c r="D1082" s="311" t="s">
        <v>462</v>
      </c>
      <c r="E1082" s="337" t="s">
        <v>462</v>
      </c>
      <c r="F1082" s="311" t="s">
        <v>274</v>
      </c>
      <c r="G1082" s="311" t="s">
        <v>237</v>
      </c>
      <c r="H1082" s="311" t="s">
        <v>463</v>
      </c>
      <c r="I1082" s="311" t="s">
        <v>56</v>
      </c>
      <c r="J1082" s="50" t="s">
        <v>1892</v>
      </c>
      <c r="K1082" s="50" t="s">
        <v>1892</v>
      </c>
      <c r="L1082" s="50" t="s">
        <v>1893</v>
      </c>
      <c r="M1082" s="50" t="s">
        <v>3486</v>
      </c>
      <c r="N1082" s="50" t="s">
        <v>3487</v>
      </c>
      <c r="O1082" s="50" t="s">
        <v>3487</v>
      </c>
      <c r="P1082" s="50" t="s">
        <v>3487</v>
      </c>
    </row>
    <row r="1083" spans="1:16" ht="12.75" customHeight="1" x14ac:dyDescent="0.25">
      <c r="A1083" s="311">
        <v>1080</v>
      </c>
      <c r="B1083" s="311" t="s">
        <v>123</v>
      </c>
      <c r="C1083" s="311" t="s">
        <v>462</v>
      </c>
      <c r="D1083" s="311" t="s">
        <v>462</v>
      </c>
      <c r="E1083" s="337" t="s">
        <v>462</v>
      </c>
      <c r="F1083" s="311" t="s">
        <v>274</v>
      </c>
      <c r="G1083" s="311" t="s">
        <v>237</v>
      </c>
      <c r="H1083" s="311" t="s">
        <v>463</v>
      </c>
      <c r="I1083" s="311" t="s">
        <v>56</v>
      </c>
      <c r="J1083" s="50" t="s">
        <v>1892</v>
      </c>
      <c r="K1083" s="50" t="s">
        <v>1892</v>
      </c>
      <c r="L1083" s="50" t="s">
        <v>1893</v>
      </c>
      <c r="M1083" s="50" t="s">
        <v>3488</v>
      </c>
      <c r="N1083" s="50" t="s">
        <v>3487</v>
      </c>
      <c r="O1083" s="50" t="s">
        <v>3487</v>
      </c>
      <c r="P1083" s="50" t="s">
        <v>3487</v>
      </c>
    </row>
    <row r="1084" spans="1:16" ht="12.75" customHeight="1" x14ac:dyDescent="0.25">
      <c r="A1084" s="311">
        <v>1081</v>
      </c>
      <c r="B1084" s="311" t="s">
        <v>75</v>
      </c>
      <c r="C1084" s="311" t="s">
        <v>462</v>
      </c>
      <c r="D1084" s="311" t="s">
        <v>462</v>
      </c>
      <c r="E1084" s="337" t="s">
        <v>462</v>
      </c>
      <c r="F1084" s="311" t="s">
        <v>274</v>
      </c>
      <c r="G1084" s="311" t="s">
        <v>237</v>
      </c>
      <c r="H1084" s="311" t="s">
        <v>463</v>
      </c>
      <c r="I1084" s="311" t="s">
        <v>56</v>
      </c>
      <c r="J1084" s="50" t="s">
        <v>1892</v>
      </c>
      <c r="K1084" s="50" t="s">
        <v>1892</v>
      </c>
      <c r="L1084" s="50" t="s">
        <v>1893</v>
      </c>
      <c r="M1084" s="50" t="s">
        <v>3489</v>
      </c>
      <c r="N1084" s="50" t="s">
        <v>3487</v>
      </c>
      <c r="O1084" s="50" t="s">
        <v>3487</v>
      </c>
      <c r="P1084" s="50" t="s">
        <v>3487</v>
      </c>
    </row>
    <row r="1085" spans="1:16" ht="12.75" customHeight="1" x14ac:dyDescent="0.25">
      <c r="A1085" s="311">
        <v>1082</v>
      </c>
      <c r="B1085" s="311" t="s">
        <v>63</v>
      </c>
      <c r="C1085" s="311" t="s">
        <v>63</v>
      </c>
      <c r="D1085" s="311" t="s">
        <v>462</v>
      </c>
      <c r="E1085" s="337" t="s">
        <v>63</v>
      </c>
      <c r="F1085" s="311" t="s">
        <v>274</v>
      </c>
      <c r="G1085" s="311" t="s">
        <v>237</v>
      </c>
      <c r="H1085" s="311" t="s">
        <v>463</v>
      </c>
      <c r="I1085" s="311" t="s">
        <v>56</v>
      </c>
      <c r="J1085" s="50" t="s">
        <v>1892</v>
      </c>
      <c r="K1085" s="50" t="s">
        <v>1892</v>
      </c>
      <c r="L1085" s="50" t="s">
        <v>1893</v>
      </c>
      <c r="M1085" s="50" t="s">
        <v>3490</v>
      </c>
      <c r="N1085" s="50" t="s">
        <v>3490</v>
      </c>
      <c r="O1085" s="50" t="s">
        <v>3487</v>
      </c>
      <c r="P1085" s="50" t="s">
        <v>3490</v>
      </c>
    </row>
    <row r="1086" spans="1:16" ht="12.75" customHeight="1" x14ac:dyDescent="0.25">
      <c r="A1086" s="311">
        <v>1083</v>
      </c>
      <c r="B1086" s="311" t="s">
        <v>140</v>
      </c>
      <c r="C1086" s="311" t="s">
        <v>140</v>
      </c>
      <c r="D1086" s="311" t="s">
        <v>462</v>
      </c>
      <c r="E1086" s="337" t="s">
        <v>140</v>
      </c>
      <c r="F1086" s="311" t="s">
        <v>274</v>
      </c>
      <c r="G1086" s="311" t="s">
        <v>237</v>
      </c>
      <c r="H1086" s="311" t="s">
        <v>463</v>
      </c>
      <c r="I1086" s="311" t="s">
        <v>56</v>
      </c>
      <c r="J1086" s="50" t="s">
        <v>1892</v>
      </c>
      <c r="K1086" s="50" t="s">
        <v>1892</v>
      </c>
      <c r="L1086" s="50" t="s">
        <v>1893</v>
      </c>
      <c r="M1086" s="50" t="s">
        <v>3491</v>
      </c>
      <c r="N1086" s="50" t="s">
        <v>3491</v>
      </c>
      <c r="O1086" s="50" t="s">
        <v>3487</v>
      </c>
      <c r="P1086" s="50" t="s">
        <v>3491</v>
      </c>
    </row>
    <row r="1087" spans="1:16" ht="12.75" customHeight="1" x14ac:dyDescent="0.25">
      <c r="A1087" s="311">
        <v>1084</v>
      </c>
      <c r="B1087" s="311" t="s">
        <v>121</v>
      </c>
      <c r="C1087" s="311" t="s">
        <v>121</v>
      </c>
      <c r="D1087" s="311" t="s">
        <v>462</v>
      </c>
      <c r="E1087" s="337" t="s">
        <v>121</v>
      </c>
      <c r="F1087" s="311" t="s">
        <v>274</v>
      </c>
      <c r="G1087" s="311" t="s">
        <v>237</v>
      </c>
      <c r="H1087" s="311" t="s">
        <v>463</v>
      </c>
      <c r="I1087" s="311" t="s">
        <v>56</v>
      </c>
      <c r="J1087" s="50" t="s">
        <v>1892</v>
      </c>
      <c r="K1087" s="50" t="s">
        <v>1892</v>
      </c>
      <c r="L1087" s="50" t="s">
        <v>1893</v>
      </c>
      <c r="M1087" s="50" t="s">
        <v>3492</v>
      </c>
      <c r="N1087" s="50" t="s">
        <v>3492</v>
      </c>
      <c r="O1087" s="50" t="s">
        <v>3487</v>
      </c>
      <c r="P1087" s="50" t="s">
        <v>3492</v>
      </c>
    </row>
    <row r="1088" spans="1:16" ht="12.75" customHeight="1" x14ac:dyDescent="0.25">
      <c r="A1088" s="311">
        <v>1085</v>
      </c>
      <c r="B1088" s="311" t="s">
        <v>87</v>
      </c>
      <c r="C1088" s="311" t="s">
        <v>87</v>
      </c>
      <c r="D1088" s="311" t="s">
        <v>462</v>
      </c>
      <c r="E1088" s="337" t="s">
        <v>87</v>
      </c>
      <c r="F1088" s="311" t="s">
        <v>274</v>
      </c>
      <c r="G1088" s="311" t="s">
        <v>237</v>
      </c>
      <c r="H1088" s="311" t="s">
        <v>463</v>
      </c>
      <c r="I1088" s="311" t="s">
        <v>56</v>
      </c>
      <c r="J1088" s="50" t="s">
        <v>1892</v>
      </c>
      <c r="K1088" s="50" t="s">
        <v>1892</v>
      </c>
      <c r="L1088" s="50" t="s">
        <v>1893</v>
      </c>
      <c r="M1088" s="50" t="s">
        <v>3493</v>
      </c>
      <c r="N1088" s="50" t="s">
        <v>3493</v>
      </c>
      <c r="O1088" s="50" t="s">
        <v>3487</v>
      </c>
      <c r="P1088" s="50" t="s">
        <v>3493</v>
      </c>
    </row>
    <row r="1089" spans="1:16" ht="12.75" customHeight="1" x14ac:dyDescent="0.25">
      <c r="A1089" s="311">
        <v>1086</v>
      </c>
      <c r="B1089" s="311" t="s">
        <v>125</v>
      </c>
      <c r="C1089" s="311" t="s">
        <v>125</v>
      </c>
      <c r="D1089" s="311" t="s">
        <v>125</v>
      </c>
      <c r="E1089" s="337" t="s">
        <v>125</v>
      </c>
      <c r="F1089" s="311" t="s">
        <v>274</v>
      </c>
      <c r="G1089" s="311" t="s">
        <v>237</v>
      </c>
      <c r="H1089" s="311" t="s">
        <v>463</v>
      </c>
      <c r="I1089" s="311" t="s">
        <v>56</v>
      </c>
      <c r="J1089" s="50" t="s">
        <v>1892</v>
      </c>
      <c r="K1089" s="50" t="s">
        <v>1892</v>
      </c>
      <c r="L1089" s="50" t="s">
        <v>1893</v>
      </c>
      <c r="M1089" s="50" t="s">
        <v>3494</v>
      </c>
      <c r="N1089" s="50" t="s">
        <v>3494</v>
      </c>
      <c r="O1089" s="50" t="s">
        <v>3494</v>
      </c>
      <c r="P1089" s="50" t="s">
        <v>3494</v>
      </c>
    </row>
    <row r="1090" spans="1:16" ht="12.75" customHeight="1" x14ac:dyDescent="0.25">
      <c r="A1090" s="311">
        <v>1087</v>
      </c>
      <c r="B1090" s="311" t="s">
        <v>134</v>
      </c>
      <c r="C1090" s="311" t="s">
        <v>134</v>
      </c>
      <c r="D1090" s="311" t="s">
        <v>134</v>
      </c>
      <c r="E1090" s="337" t="s">
        <v>134</v>
      </c>
      <c r="F1090" s="311" t="s">
        <v>274</v>
      </c>
      <c r="G1090" s="311" t="s">
        <v>237</v>
      </c>
      <c r="H1090" s="311" t="s">
        <v>463</v>
      </c>
      <c r="I1090" s="311" t="s">
        <v>56</v>
      </c>
      <c r="J1090" s="50" t="s">
        <v>1892</v>
      </c>
      <c r="K1090" s="50" t="s">
        <v>1892</v>
      </c>
      <c r="L1090" s="50" t="s">
        <v>1893</v>
      </c>
      <c r="M1090" s="50" t="s">
        <v>3495</v>
      </c>
      <c r="N1090" s="50" t="s">
        <v>3495</v>
      </c>
      <c r="O1090" s="50" t="s">
        <v>3495</v>
      </c>
      <c r="P1090" s="50" t="s">
        <v>3495</v>
      </c>
    </row>
    <row r="1091" spans="1:16" ht="12.75" customHeight="1" x14ac:dyDescent="0.25">
      <c r="A1091" s="311">
        <v>1088</v>
      </c>
      <c r="B1091" s="311" t="s">
        <v>141</v>
      </c>
      <c r="C1091" s="311" t="s">
        <v>141</v>
      </c>
      <c r="D1091" s="311" t="s">
        <v>141</v>
      </c>
      <c r="E1091" s="337" t="s">
        <v>141</v>
      </c>
      <c r="F1091" s="311" t="s">
        <v>274</v>
      </c>
      <c r="G1091" s="311" t="s">
        <v>237</v>
      </c>
      <c r="H1091" s="311" t="s">
        <v>463</v>
      </c>
      <c r="I1091" s="311" t="s">
        <v>56</v>
      </c>
      <c r="J1091" s="50" t="s">
        <v>1892</v>
      </c>
      <c r="K1091" s="50" t="s">
        <v>1892</v>
      </c>
      <c r="L1091" s="50" t="s">
        <v>1893</v>
      </c>
      <c r="M1091" s="50" t="s">
        <v>3496</v>
      </c>
      <c r="N1091" s="50" t="s">
        <v>3496</v>
      </c>
      <c r="O1091" s="50" t="s">
        <v>3496</v>
      </c>
      <c r="P1091" s="50" t="s">
        <v>3496</v>
      </c>
    </row>
    <row r="1092" spans="1:16" ht="12.75" customHeight="1" x14ac:dyDescent="0.25">
      <c r="A1092" s="311">
        <v>1089</v>
      </c>
      <c r="B1092" s="311" t="s">
        <v>69</v>
      </c>
      <c r="C1092" s="311" t="s">
        <v>69</v>
      </c>
      <c r="D1092" s="311" t="s">
        <v>69</v>
      </c>
      <c r="E1092" s="337" t="s">
        <v>69</v>
      </c>
      <c r="F1092" s="311" t="s">
        <v>274</v>
      </c>
      <c r="G1092" s="311" t="s">
        <v>237</v>
      </c>
      <c r="H1092" s="311" t="s">
        <v>463</v>
      </c>
      <c r="I1092" s="311" t="s">
        <v>56</v>
      </c>
      <c r="J1092" s="50" t="s">
        <v>1892</v>
      </c>
      <c r="K1092" s="50" t="s">
        <v>1892</v>
      </c>
      <c r="L1092" s="50" t="s">
        <v>1893</v>
      </c>
      <c r="M1092" s="50" t="s">
        <v>3497</v>
      </c>
      <c r="N1092" s="50" t="s">
        <v>3497</v>
      </c>
      <c r="O1092" s="50" t="s">
        <v>3497</v>
      </c>
      <c r="P1092" s="50" t="s">
        <v>3497</v>
      </c>
    </row>
    <row r="1093" spans="1:16" ht="12.75" customHeight="1" x14ac:dyDescent="0.25">
      <c r="A1093" s="311">
        <v>1090</v>
      </c>
      <c r="B1093" s="311" t="s">
        <v>84</v>
      </c>
      <c r="C1093" s="311" t="s">
        <v>462</v>
      </c>
      <c r="D1093" s="311" t="s">
        <v>462</v>
      </c>
      <c r="E1093" s="337" t="s">
        <v>462</v>
      </c>
      <c r="F1093" s="311" t="s">
        <v>61</v>
      </c>
      <c r="G1093" s="311" t="s">
        <v>236</v>
      </c>
      <c r="H1093" s="311" t="s">
        <v>463</v>
      </c>
      <c r="I1093" s="311" t="s">
        <v>56</v>
      </c>
      <c r="J1093" s="50" t="s">
        <v>1892</v>
      </c>
      <c r="K1093" s="50" t="s">
        <v>1892</v>
      </c>
      <c r="L1093" s="50" t="s">
        <v>1893</v>
      </c>
      <c r="M1093" s="50" t="s">
        <v>3498</v>
      </c>
      <c r="N1093" s="50" t="s">
        <v>3499</v>
      </c>
      <c r="O1093" s="50" t="s">
        <v>3499</v>
      </c>
      <c r="P1093" s="50" t="s">
        <v>3499</v>
      </c>
    </row>
    <row r="1094" spans="1:16" ht="12.75" customHeight="1" x14ac:dyDescent="0.25">
      <c r="A1094" s="311">
        <v>1091</v>
      </c>
      <c r="B1094" s="311" t="s">
        <v>123</v>
      </c>
      <c r="C1094" s="311" t="s">
        <v>462</v>
      </c>
      <c r="D1094" s="311" t="s">
        <v>462</v>
      </c>
      <c r="E1094" s="337" t="s">
        <v>462</v>
      </c>
      <c r="F1094" s="311" t="s">
        <v>61</v>
      </c>
      <c r="G1094" s="311" t="s">
        <v>236</v>
      </c>
      <c r="H1094" s="311" t="s">
        <v>463</v>
      </c>
      <c r="I1094" s="311" t="s">
        <v>56</v>
      </c>
      <c r="J1094" s="50" t="s">
        <v>1892</v>
      </c>
      <c r="K1094" s="50" t="s">
        <v>1892</v>
      </c>
      <c r="L1094" s="50" t="s">
        <v>1893</v>
      </c>
      <c r="M1094" s="50" t="s">
        <v>3500</v>
      </c>
      <c r="N1094" s="50" t="s">
        <v>3499</v>
      </c>
      <c r="O1094" s="50" t="s">
        <v>3499</v>
      </c>
      <c r="P1094" s="50" t="s">
        <v>3499</v>
      </c>
    </row>
    <row r="1095" spans="1:16" ht="12.75" customHeight="1" x14ac:dyDescent="0.25">
      <c r="A1095" s="311">
        <v>1092</v>
      </c>
      <c r="B1095" s="311" t="s">
        <v>75</v>
      </c>
      <c r="C1095" s="311" t="s">
        <v>462</v>
      </c>
      <c r="D1095" s="311" t="s">
        <v>462</v>
      </c>
      <c r="E1095" s="337" t="s">
        <v>462</v>
      </c>
      <c r="F1095" s="311" t="s">
        <v>61</v>
      </c>
      <c r="G1095" s="311" t="s">
        <v>236</v>
      </c>
      <c r="H1095" s="311" t="s">
        <v>463</v>
      </c>
      <c r="I1095" s="311" t="s">
        <v>56</v>
      </c>
      <c r="J1095" s="50" t="s">
        <v>1892</v>
      </c>
      <c r="K1095" s="50" t="s">
        <v>1892</v>
      </c>
      <c r="L1095" s="50" t="s">
        <v>1893</v>
      </c>
      <c r="M1095" s="50" t="s">
        <v>3501</v>
      </c>
      <c r="N1095" s="50" t="s">
        <v>3499</v>
      </c>
      <c r="O1095" s="50" t="s">
        <v>3499</v>
      </c>
      <c r="P1095" s="50" t="s">
        <v>3499</v>
      </c>
    </row>
    <row r="1096" spans="1:16" ht="12.75" customHeight="1" x14ac:dyDescent="0.25">
      <c r="A1096" s="311">
        <v>1093</v>
      </c>
      <c r="B1096" s="311" t="s">
        <v>63</v>
      </c>
      <c r="C1096" s="311" t="s">
        <v>63</v>
      </c>
      <c r="D1096" s="311" t="s">
        <v>462</v>
      </c>
      <c r="E1096" s="337" t="s">
        <v>63</v>
      </c>
      <c r="F1096" s="311" t="s">
        <v>61</v>
      </c>
      <c r="G1096" s="311" t="s">
        <v>236</v>
      </c>
      <c r="H1096" s="311" t="s">
        <v>463</v>
      </c>
      <c r="I1096" s="311" t="s">
        <v>56</v>
      </c>
      <c r="J1096" s="50" t="s">
        <v>1892</v>
      </c>
      <c r="K1096" s="50" t="s">
        <v>1892</v>
      </c>
      <c r="L1096" s="50" t="s">
        <v>1893</v>
      </c>
      <c r="M1096" s="50" t="s">
        <v>3502</v>
      </c>
      <c r="N1096" s="50" t="s">
        <v>3502</v>
      </c>
      <c r="O1096" s="50" t="s">
        <v>3499</v>
      </c>
      <c r="P1096" s="50" t="s">
        <v>3502</v>
      </c>
    </row>
    <row r="1097" spans="1:16" ht="12.75" customHeight="1" x14ac:dyDescent="0.25">
      <c r="A1097" s="311">
        <v>1094</v>
      </c>
      <c r="B1097" s="311" t="s">
        <v>140</v>
      </c>
      <c r="C1097" s="311" t="s">
        <v>140</v>
      </c>
      <c r="D1097" s="311" t="s">
        <v>462</v>
      </c>
      <c r="E1097" s="337" t="s">
        <v>140</v>
      </c>
      <c r="F1097" s="311" t="s">
        <v>61</v>
      </c>
      <c r="G1097" s="311" t="s">
        <v>236</v>
      </c>
      <c r="H1097" s="311" t="s">
        <v>463</v>
      </c>
      <c r="I1097" s="311" t="s">
        <v>56</v>
      </c>
      <c r="J1097" s="50" t="s">
        <v>1892</v>
      </c>
      <c r="K1097" s="50" t="s">
        <v>1892</v>
      </c>
      <c r="L1097" s="50" t="s">
        <v>1893</v>
      </c>
      <c r="M1097" s="50" t="s">
        <v>3503</v>
      </c>
      <c r="N1097" s="50" t="s">
        <v>3503</v>
      </c>
      <c r="O1097" s="50" t="s">
        <v>3499</v>
      </c>
      <c r="P1097" s="50" t="s">
        <v>3503</v>
      </c>
    </row>
    <row r="1098" spans="1:16" ht="12.75" customHeight="1" x14ac:dyDescent="0.25">
      <c r="A1098" s="311">
        <v>1095</v>
      </c>
      <c r="B1098" s="311" t="s">
        <v>121</v>
      </c>
      <c r="C1098" s="311" t="s">
        <v>121</v>
      </c>
      <c r="D1098" s="311" t="s">
        <v>462</v>
      </c>
      <c r="E1098" s="337" t="s">
        <v>121</v>
      </c>
      <c r="F1098" s="311" t="s">
        <v>61</v>
      </c>
      <c r="G1098" s="311" t="s">
        <v>236</v>
      </c>
      <c r="H1098" s="311" t="s">
        <v>463</v>
      </c>
      <c r="I1098" s="311" t="s">
        <v>56</v>
      </c>
      <c r="J1098" s="50" t="s">
        <v>1892</v>
      </c>
      <c r="K1098" s="50" t="s">
        <v>1892</v>
      </c>
      <c r="L1098" s="50" t="s">
        <v>1893</v>
      </c>
      <c r="M1098" s="50" t="s">
        <v>3504</v>
      </c>
      <c r="N1098" s="50" t="s">
        <v>3504</v>
      </c>
      <c r="O1098" s="50" t="s">
        <v>3499</v>
      </c>
      <c r="P1098" s="50" t="s">
        <v>3504</v>
      </c>
    </row>
    <row r="1099" spans="1:16" ht="12.75" customHeight="1" x14ac:dyDescent="0.25">
      <c r="A1099" s="311">
        <v>1096</v>
      </c>
      <c r="B1099" s="311" t="s">
        <v>87</v>
      </c>
      <c r="C1099" s="311" t="s">
        <v>87</v>
      </c>
      <c r="D1099" s="311" t="s">
        <v>462</v>
      </c>
      <c r="E1099" s="337" t="s">
        <v>87</v>
      </c>
      <c r="F1099" s="311" t="s">
        <v>61</v>
      </c>
      <c r="G1099" s="311" t="s">
        <v>236</v>
      </c>
      <c r="H1099" s="311" t="s">
        <v>463</v>
      </c>
      <c r="I1099" s="311" t="s">
        <v>56</v>
      </c>
      <c r="J1099" s="50" t="s">
        <v>1892</v>
      </c>
      <c r="K1099" s="50" t="s">
        <v>1892</v>
      </c>
      <c r="L1099" s="50" t="s">
        <v>1893</v>
      </c>
      <c r="M1099" s="50" t="s">
        <v>3505</v>
      </c>
      <c r="N1099" s="50" t="s">
        <v>3505</v>
      </c>
      <c r="O1099" s="50" t="s">
        <v>3499</v>
      </c>
      <c r="P1099" s="50" t="s">
        <v>3505</v>
      </c>
    </row>
    <row r="1100" spans="1:16" ht="12.75" customHeight="1" x14ac:dyDescent="0.25">
      <c r="A1100" s="311">
        <v>1097</v>
      </c>
      <c r="B1100" s="311" t="s">
        <v>125</v>
      </c>
      <c r="C1100" s="311" t="s">
        <v>125</v>
      </c>
      <c r="D1100" s="311" t="s">
        <v>125</v>
      </c>
      <c r="E1100" s="337" t="s">
        <v>125</v>
      </c>
      <c r="F1100" s="311" t="s">
        <v>61</v>
      </c>
      <c r="G1100" s="311" t="s">
        <v>236</v>
      </c>
      <c r="H1100" s="311" t="s">
        <v>463</v>
      </c>
      <c r="I1100" s="311" t="s">
        <v>56</v>
      </c>
      <c r="J1100" s="50" t="s">
        <v>1892</v>
      </c>
      <c r="K1100" s="50" t="s">
        <v>1892</v>
      </c>
      <c r="L1100" s="50" t="s">
        <v>1893</v>
      </c>
      <c r="M1100" s="50" t="s">
        <v>3506</v>
      </c>
      <c r="N1100" s="50" t="s">
        <v>3506</v>
      </c>
      <c r="O1100" s="50" t="s">
        <v>3506</v>
      </c>
      <c r="P1100" s="50" t="s">
        <v>3506</v>
      </c>
    </row>
    <row r="1101" spans="1:16" ht="12.75" customHeight="1" x14ac:dyDescent="0.25">
      <c r="A1101" s="311">
        <v>1098</v>
      </c>
      <c r="B1101" s="311" t="s">
        <v>134</v>
      </c>
      <c r="C1101" s="311" t="s">
        <v>134</v>
      </c>
      <c r="D1101" s="311" t="s">
        <v>134</v>
      </c>
      <c r="E1101" s="337" t="s">
        <v>134</v>
      </c>
      <c r="F1101" s="311" t="s">
        <v>61</v>
      </c>
      <c r="G1101" s="311" t="s">
        <v>236</v>
      </c>
      <c r="H1101" s="311" t="s">
        <v>463</v>
      </c>
      <c r="I1101" s="311" t="s">
        <v>56</v>
      </c>
      <c r="J1101" s="50" t="s">
        <v>1892</v>
      </c>
      <c r="K1101" s="50" t="s">
        <v>1892</v>
      </c>
      <c r="L1101" s="50" t="s">
        <v>1893</v>
      </c>
      <c r="M1101" s="50" t="s">
        <v>3507</v>
      </c>
      <c r="N1101" s="50" t="s">
        <v>3507</v>
      </c>
      <c r="O1101" s="50" t="s">
        <v>3507</v>
      </c>
      <c r="P1101" s="50" t="s">
        <v>3507</v>
      </c>
    </row>
    <row r="1102" spans="1:16" ht="12.75" customHeight="1" x14ac:dyDescent="0.25">
      <c r="A1102" s="311">
        <v>1099</v>
      </c>
      <c r="B1102" s="311" t="s">
        <v>141</v>
      </c>
      <c r="C1102" s="311" t="s">
        <v>141</v>
      </c>
      <c r="D1102" s="311" t="s">
        <v>141</v>
      </c>
      <c r="E1102" s="337" t="s">
        <v>141</v>
      </c>
      <c r="F1102" s="311" t="s">
        <v>61</v>
      </c>
      <c r="G1102" s="311" t="s">
        <v>236</v>
      </c>
      <c r="H1102" s="311" t="s">
        <v>463</v>
      </c>
      <c r="I1102" s="311" t="s">
        <v>56</v>
      </c>
      <c r="J1102" s="50" t="s">
        <v>1892</v>
      </c>
      <c r="K1102" s="50" t="s">
        <v>1892</v>
      </c>
      <c r="L1102" s="50" t="s">
        <v>1893</v>
      </c>
      <c r="M1102" s="50" t="s">
        <v>3508</v>
      </c>
      <c r="N1102" s="50" t="s">
        <v>3508</v>
      </c>
      <c r="O1102" s="50" t="s">
        <v>3508</v>
      </c>
      <c r="P1102" s="50" t="s">
        <v>3508</v>
      </c>
    </row>
    <row r="1103" spans="1:16" ht="12.75" customHeight="1" x14ac:dyDescent="0.25">
      <c r="A1103" s="311">
        <v>1100</v>
      </c>
      <c r="B1103" s="311" t="s">
        <v>69</v>
      </c>
      <c r="C1103" s="311" t="s">
        <v>69</v>
      </c>
      <c r="D1103" s="311" t="s">
        <v>69</v>
      </c>
      <c r="E1103" s="337" t="s">
        <v>69</v>
      </c>
      <c r="F1103" s="311" t="s">
        <v>61</v>
      </c>
      <c r="G1103" s="311" t="s">
        <v>236</v>
      </c>
      <c r="H1103" s="311" t="s">
        <v>463</v>
      </c>
      <c r="I1103" s="311" t="s">
        <v>56</v>
      </c>
      <c r="J1103" s="50" t="s">
        <v>1892</v>
      </c>
      <c r="K1103" s="50" t="s">
        <v>1892</v>
      </c>
      <c r="L1103" s="50" t="s">
        <v>1893</v>
      </c>
      <c r="M1103" s="50" t="s">
        <v>3509</v>
      </c>
      <c r="N1103" s="50" t="s">
        <v>3509</v>
      </c>
      <c r="O1103" s="50" t="s">
        <v>3509</v>
      </c>
      <c r="P1103" s="50" t="s">
        <v>3509</v>
      </c>
    </row>
    <row r="1104" spans="1:16" ht="12.75" customHeight="1" x14ac:dyDescent="0.25">
      <c r="A1104" s="311">
        <v>1101</v>
      </c>
      <c r="B1104" s="311" t="s">
        <v>84</v>
      </c>
      <c r="C1104" s="311" t="s">
        <v>462</v>
      </c>
      <c r="D1104" s="311" t="s">
        <v>462</v>
      </c>
      <c r="E1104" s="337" t="s">
        <v>462</v>
      </c>
      <c r="F1104" s="311" t="s">
        <v>61</v>
      </c>
      <c r="G1104" s="311" t="s">
        <v>23</v>
      </c>
      <c r="H1104" s="311" t="s">
        <v>463</v>
      </c>
      <c r="I1104" s="311" t="s">
        <v>56</v>
      </c>
      <c r="J1104" s="50" t="s">
        <v>1892</v>
      </c>
      <c r="K1104" s="50" t="s">
        <v>1892</v>
      </c>
      <c r="L1104" s="50" t="s">
        <v>1893</v>
      </c>
      <c r="M1104" s="50" t="s">
        <v>3510</v>
      </c>
      <c r="N1104" s="50" t="s">
        <v>3511</v>
      </c>
      <c r="O1104" s="50" t="s">
        <v>3511</v>
      </c>
      <c r="P1104" s="50" t="s">
        <v>3511</v>
      </c>
    </row>
    <row r="1105" spans="1:16" ht="12.75" customHeight="1" x14ac:dyDescent="0.25">
      <c r="A1105" s="311">
        <v>1102</v>
      </c>
      <c r="B1105" s="311" t="s">
        <v>123</v>
      </c>
      <c r="C1105" s="311" t="s">
        <v>462</v>
      </c>
      <c r="D1105" s="311" t="s">
        <v>462</v>
      </c>
      <c r="E1105" s="337" t="s">
        <v>462</v>
      </c>
      <c r="F1105" s="311" t="s">
        <v>61</v>
      </c>
      <c r="G1105" s="311" t="s">
        <v>23</v>
      </c>
      <c r="H1105" s="311" t="s">
        <v>463</v>
      </c>
      <c r="I1105" s="311" t="s">
        <v>56</v>
      </c>
      <c r="J1105" s="50" t="s">
        <v>1892</v>
      </c>
      <c r="K1105" s="50" t="s">
        <v>1892</v>
      </c>
      <c r="L1105" s="50" t="s">
        <v>1893</v>
      </c>
      <c r="M1105" s="50" t="s">
        <v>3512</v>
      </c>
      <c r="N1105" s="50" t="s">
        <v>3511</v>
      </c>
      <c r="O1105" s="50" t="s">
        <v>3511</v>
      </c>
      <c r="P1105" s="50" t="s">
        <v>3511</v>
      </c>
    </row>
    <row r="1106" spans="1:16" ht="12.75" customHeight="1" x14ac:dyDescent="0.25">
      <c r="A1106" s="311">
        <v>1103</v>
      </c>
      <c r="B1106" s="311" t="s">
        <v>75</v>
      </c>
      <c r="C1106" s="311" t="s">
        <v>462</v>
      </c>
      <c r="D1106" s="311" t="s">
        <v>462</v>
      </c>
      <c r="E1106" s="337" t="s">
        <v>462</v>
      </c>
      <c r="F1106" s="311" t="s">
        <v>61</v>
      </c>
      <c r="G1106" s="311" t="s">
        <v>23</v>
      </c>
      <c r="H1106" s="311" t="s">
        <v>463</v>
      </c>
      <c r="I1106" s="311" t="s">
        <v>56</v>
      </c>
      <c r="J1106" s="50" t="s">
        <v>1892</v>
      </c>
      <c r="K1106" s="50" t="s">
        <v>1892</v>
      </c>
      <c r="L1106" s="50" t="s">
        <v>1893</v>
      </c>
      <c r="M1106" s="50" t="s">
        <v>3513</v>
      </c>
      <c r="N1106" s="50" t="s">
        <v>3511</v>
      </c>
      <c r="O1106" s="50" t="s">
        <v>3511</v>
      </c>
      <c r="P1106" s="50" t="s">
        <v>3511</v>
      </c>
    </row>
    <row r="1107" spans="1:16" ht="12.75" customHeight="1" x14ac:dyDescent="0.25">
      <c r="A1107" s="311">
        <v>1104</v>
      </c>
      <c r="B1107" s="311" t="s">
        <v>63</v>
      </c>
      <c r="C1107" s="311" t="s">
        <v>63</v>
      </c>
      <c r="D1107" s="311" t="s">
        <v>462</v>
      </c>
      <c r="E1107" s="337" t="s">
        <v>63</v>
      </c>
      <c r="F1107" s="311" t="s">
        <v>61</v>
      </c>
      <c r="G1107" s="311" t="s">
        <v>23</v>
      </c>
      <c r="H1107" s="311" t="s">
        <v>463</v>
      </c>
      <c r="I1107" s="311" t="s">
        <v>56</v>
      </c>
      <c r="J1107" s="50" t="s">
        <v>1892</v>
      </c>
      <c r="K1107" s="50" t="s">
        <v>1892</v>
      </c>
      <c r="L1107" s="50" t="s">
        <v>1893</v>
      </c>
      <c r="M1107" s="50" t="s">
        <v>3514</v>
      </c>
      <c r="N1107" s="50" t="s">
        <v>3514</v>
      </c>
      <c r="O1107" s="50" t="s">
        <v>3511</v>
      </c>
      <c r="P1107" s="50" t="s">
        <v>3514</v>
      </c>
    </row>
    <row r="1108" spans="1:16" ht="12.75" customHeight="1" x14ac:dyDescent="0.25">
      <c r="A1108" s="311">
        <v>1105</v>
      </c>
      <c r="B1108" s="311" t="s">
        <v>140</v>
      </c>
      <c r="C1108" s="311" t="s">
        <v>140</v>
      </c>
      <c r="D1108" s="311" t="s">
        <v>462</v>
      </c>
      <c r="E1108" s="337" t="s">
        <v>140</v>
      </c>
      <c r="F1108" s="311" t="s">
        <v>61</v>
      </c>
      <c r="G1108" s="311" t="s">
        <v>23</v>
      </c>
      <c r="H1108" s="311" t="s">
        <v>463</v>
      </c>
      <c r="I1108" s="311" t="s">
        <v>56</v>
      </c>
      <c r="J1108" s="50" t="s">
        <v>1892</v>
      </c>
      <c r="K1108" s="50" t="s">
        <v>1892</v>
      </c>
      <c r="L1108" s="50" t="s">
        <v>1893</v>
      </c>
      <c r="M1108" s="50" t="s">
        <v>3515</v>
      </c>
      <c r="N1108" s="50" t="s">
        <v>3515</v>
      </c>
      <c r="O1108" s="50" t="s">
        <v>3511</v>
      </c>
      <c r="P1108" s="50" t="s">
        <v>3515</v>
      </c>
    </row>
    <row r="1109" spans="1:16" ht="12.75" customHeight="1" x14ac:dyDescent="0.25">
      <c r="A1109" s="311">
        <v>1106</v>
      </c>
      <c r="B1109" s="311" t="s">
        <v>121</v>
      </c>
      <c r="C1109" s="311" t="s">
        <v>121</v>
      </c>
      <c r="D1109" s="311" t="s">
        <v>462</v>
      </c>
      <c r="E1109" s="337" t="s">
        <v>121</v>
      </c>
      <c r="F1109" s="311" t="s">
        <v>61</v>
      </c>
      <c r="G1109" s="311" t="s">
        <v>23</v>
      </c>
      <c r="H1109" s="311" t="s">
        <v>463</v>
      </c>
      <c r="I1109" s="311" t="s">
        <v>56</v>
      </c>
      <c r="J1109" s="50" t="s">
        <v>1892</v>
      </c>
      <c r="K1109" s="50" t="s">
        <v>1892</v>
      </c>
      <c r="L1109" s="50" t="s">
        <v>1893</v>
      </c>
      <c r="M1109" s="50" t="s">
        <v>3516</v>
      </c>
      <c r="N1109" s="50" t="s">
        <v>3516</v>
      </c>
      <c r="O1109" s="50" t="s">
        <v>3511</v>
      </c>
      <c r="P1109" s="50" t="s">
        <v>3516</v>
      </c>
    </row>
    <row r="1110" spans="1:16" ht="12.75" customHeight="1" x14ac:dyDescent="0.25">
      <c r="A1110" s="311">
        <v>1107</v>
      </c>
      <c r="B1110" s="311" t="s">
        <v>87</v>
      </c>
      <c r="C1110" s="311" t="s">
        <v>87</v>
      </c>
      <c r="D1110" s="311" t="s">
        <v>462</v>
      </c>
      <c r="E1110" s="337" t="s">
        <v>87</v>
      </c>
      <c r="F1110" s="311" t="s">
        <v>61</v>
      </c>
      <c r="G1110" s="311" t="s">
        <v>23</v>
      </c>
      <c r="H1110" s="311" t="s">
        <v>463</v>
      </c>
      <c r="I1110" s="311" t="s">
        <v>56</v>
      </c>
      <c r="J1110" s="50" t="s">
        <v>1892</v>
      </c>
      <c r="K1110" s="50" t="s">
        <v>1892</v>
      </c>
      <c r="L1110" s="50" t="s">
        <v>1893</v>
      </c>
      <c r="M1110" s="50" t="s">
        <v>3517</v>
      </c>
      <c r="N1110" s="50" t="s">
        <v>3517</v>
      </c>
      <c r="O1110" s="50" t="s">
        <v>3511</v>
      </c>
      <c r="P1110" s="50" t="s">
        <v>3517</v>
      </c>
    </row>
    <row r="1111" spans="1:16" ht="12.75" customHeight="1" x14ac:dyDescent="0.25">
      <c r="A1111" s="311">
        <v>1108</v>
      </c>
      <c r="B1111" s="311" t="s">
        <v>125</v>
      </c>
      <c r="C1111" s="311" t="s">
        <v>125</v>
      </c>
      <c r="D1111" s="311" t="s">
        <v>125</v>
      </c>
      <c r="E1111" s="337" t="s">
        <v>125</v>
      </c>
      <c r="F1111" s="311" t="s">
        <v>61</v>
      </c>
      <c r="G1111" s="311" t="s">
        <v>23</v>
      </c>
      <c r="H1111" s="311" t="s">
        <v>463</v>
      </c>
      <c r="I1111" s="311" t="s">
        <v>56</v>
      </c>
      <c r="J1111" s="50" t="s">
        <v>1892</v>
      </c>
      <c r="K1111" s="50" t="s">
        <v>1892</v>
      </c>
      <c r="L1111" s="50" t="s">
        <v>1893</v>
      </c>
      <c r="M1111" s="50" t="s">
        <v>3518</v>
      </c>
      <c r="N1111" s="50" t="s">
        <v>3518</v>
      </c>
      <c r="O1111" s="50" t="s">
        <v>3518</v>
      </c>
      <c r="P1111" s="50" t="s">
        <v>3518</v>
      </c>
    </row>
    <row r="1112" spans="1:16" ht="12.75" customHeight="1" x14ac:dyDescent="0.25">
      <c r="A1112" s="311">
        <v>1109</v>
      </c>
      <c r="B1112" s="311" t="s">
        <v>134</v>
      </c>
      <c r="C1112" s="311" t="s">
        <v>134</v>
      </c>
      <c r="D1112" s="311" t="s">
        <v>134</v>
      </c>
      <c r="E1112" s="337" t="s">
        <v>134</v>
      </c>
      <c r="F1112" s="311" t="s">
        <v>61</v>
      </c>
      <c r="G1112" s="311" t="s">
        <v>23</v>
      </c>
      <c r="H1112" s="311" t="s">
        <v>463</v>
      </c>
      <c r="I1112" s="311" t="s">
        <v>56</v>
      </c>
      <c r="J1112" s="50" t="s">
        <v>1892</v>
      </c>
      <c r="K1112" s="50" t="s">
        <v>1892</v>
      </c>
      <c r="L1112" s="50" t="s">
        <v>1893</v>
      </c>
      <c r="M1112" s="50" t="s">
        <v>3519</v>
      </c>
      <c r="N1112" s="50" t="s">
        <v>3519</v>
      </c>
      <c r="O1112" s="50" t="s">
        <v>3519</v>
      </c>
      <c r="P1112" s="50" t="s">
        <v>3519</v>
      </c>
    </row>
    <row r="1113" spans="1:16" ht="12.75" customHeight="1" x14ac:dyDescent="0.25">
      <c r="A1113" s="311">
        <v>1110</v>
      </c>
      <c r="B1113" s="311" t="s">
        <v>141</v>
      </c>
      <c r="C1113" s="311" t="s">
        <v>141</v>
      </c>
      <c r="D1113" s="311" t="s">
        <v>141</v>
      </c>
      <c r="E1113" s="337" t="s">
        <v>141</v>
      </c>
      <c r="F1113" s="311" t="s">
        <v>61</v>
      </c>
      <c r="G1113" s="311" t="s">
        <v>23</v>
      </c>
      <c r="H1113" s="311" t="s">
        <v>463</v>
      </c>
      <c r="I1113" s="311" t="s">
        <v>56</v>
      </c>
      <c r="J1113" s="50" t="s">
        <v>1892</v>
      </c>
      <c r="K1113" s="50" t="s">
        <v>1892</v>
      </c>
      <c r="L1113" s="50" t="s">
        <v>1893</v>
      </c>
      <c r="M1113" s="50" t="s">
        <v>3520</v>
      </c>
      <c r="N1113" s="50" t="s">
        <v>3520</v>
      </c>
      <c r="O1113" s="50" t="s">
        <v>3520</v>
      </c>
      <c r="P1113" s="50" t="s">
        <v>3520</v>
      </c>
    </row>
    <row r="1114" spans="1:16" ht="12.75" customHeight="1" x14ac:dyDescent="0.25">
      <c r="A1114" s="311">
        <v>1111</v>
      </c>
      <c r="B1114" s="311" t="s">
        <v>69</v>
      </c>
      <c r="C1114" s="311" t="s">
        <v>69</v>
      </c>
      <c r="D1114" s="311" t="s">
        <v>69</v>
      </c>
      <c r="E1114" s="337" t="s">
        <v>69</v>
      </c>
      <c r="F1114" s="311" t="s">
        <v>61</v>
      </c>
      <c r="G1114" s="311" t="s">
        <v>23</v>
      </c>
      <c r="H1114" s="311" t="s">
        <v>463</v>
      </c>
      <c r="I1114" s="311" t="s">
        <v>56</v>
      </c>
      <c r="J1114" s="50" t="s">
        <v>1892</v>
      </c>
      <c r="K1114" s="50" t="s">
        <v>1892</v>
      </c>
      <c r="L1114" s="50" t="s">
        <v>1893</v>
      </c>
      <c r="M1114" s="50" t="s">
        <v>3521</v>
      </c>
      <c r="N1114" s="50" t="s">
        <v>3521</v>
      </c>
      <c r="O1114" s="50" t="s">
        <v>3521</v>
      </c>
      <c r="P1114" s="50" t="s">
        <v>3521</v>
      </c>
    </row>
    <row r="1115" spans="1:16" ht="12.75" customHeight="1" x14ac:dyDescent="0.25">
      <c r="A1115" s="311">
        <v>1112</v>
      </c>
      <c r="B1115" s="311" t="s">
        <v>84</v>
      </c>
      <c r="C1115" s="311" t="s">
        <v>462</v>
      </c>
      <c r="D1115" s="311" t="s">
        <v>462</v>
      </c>
      <c r="E1115" s="337" t="s">
        <v>462</v>
      </c>
      <c r="F1115" s="311" t="s">
        <v>61</v>
      </c>
      <c r="G1115" s="311" t="s">
        <v>237</v>
      </c>
      <c r="H1115" s="311" t="s">
        <v>463</v>
      </c>
      <c r="I1115" s="311" t="s">
        <v>56</v>
      </c>
      <c r="J1115" s="50" t="s">
        <v>1892</v>
      </c>
      <c r="K1115" s="50" t="s">
        <v>1892</v>
      </c>
      <c r="L1115" s="50" t="s">
        <v>1893</v>
      </c>
      <c r="M1115" s="50" t="s">
        <v>3522</v>
      </c>
      <c r="N1115" s="50" t="s">
        <v>3523</v>
      </c>
      <c r="O1115" s="50" t="s">
        <v>3523</v>
      </c>
      <c r="P1115" s="50" t="s">
        <v>3523</v>
      </c>
    </row>
    <row r="1116" spans="1:16" ht="12.75" customHeight="1" x14ac:dyDescent="0.25">
      <c r="A1116" s="311">
        <v>1113</v>
      </c>
      <c r="B1116" s="311" t="s">
        <v>123</v>
      </c>
      <c r="C1116" s="311" t="s">
        <v>462</v>
      </c>
      <c r="D1116" s="311" t="s">
        <v>462</v>
      </c>
      <c r="E1116" s="337" t="s">
        <v>462</v>
      </c>
      <c r="F1116" s="311" t="s">
        <v>61</v>
      </c>
      <c r="G1116" s="311" t="s">
        <v>237</v>
      </c>
      <c r="H1116" s="311" t="s">
        <v>463</v>
      </c>
      <c r="I1116" s="311" t="s">
        <v>56</v>
      </c>
      <c r="J1116" s="50" t="s">
        <v>1892</v>
      </c>
      <c r="K1116" s="50" t="s">
        <v>1892</v>
      </c>
      <c r="L1116" s="50" t="s">
        <v>1893</v>
      </c>
      <c r="M1116" s="50" t="s">
        <v>3524</v>
      </c>
      <c r="N1116" s="50" t="s">
        <v>3523</v>
      </c>
      <c r="O1116" s="50" t="s">
        <v>3523</v>
      </c>
      <c r="P1116" s="50" t="s">
        <v>3523</v>
      </c>
    </row>
    <row r="1117" spans="1:16" ht="12.75" customHeight="1" x14ac:dyDescent="0.25">
      <c r="A1117" s="311">
        <v>1114</v>
      </c>
      <c r="B1117" s="311" t="s">
        <v>75</v>
      </c>
      <c r="C1117" s="311" t="s">
        <v>462</v>
      </c>
      <c r="D1117" s="311" t="s">
        <v>462</v>
      </c>
      <c r="E1117" s="337" t="s">
        <v>462</v>
      </c>
      <c r="F1117" s="311" t="s">
        <v>61</v>
      </c>
      <c r="G1117" s="311" t="s">
        <v>237</v>
      </c>
      <c r="H1117" s="311" t="s">
        <v>463</v>
      </c>
      <c r="I1117" s="311" t="s">
        <v>56</v>
      </c>
      <c r="J1117" s="50" t="s">
        <v>1892</v>
      </c>
      <c r="K1117" s="50" t="s">
        <v>1892</v>
      </c>
      <c r="L1117" s="50" t="s">
        <v>1893</v>
      </c>
      <c r="M1117" s="50" t="s">
        <v>3525</v>
      </c>
      <c r="N1117" s="50" t="s">
        <v>3523</v>
      </c>
      <c r="O1117" s="50" t="s">
        <v>3523</v>
      </c>
      <c r="P1117" s="50" t="s">
        <v>3523</v>
      </c>
    </row>
    <row r="1118" spans="1:16" ht="12.75" customHeight="1" x14ac:dyDescent="0.25">
      <c r="A1118" s="311">
        <v>1115</v>
      </c>
      <c r="B1118" s="311" t="s">
        <v>63</v>
      </c>
      <c r="C1118" s="311" t="s">
        <v>63</v>
      </c>
      <c r="D1118" s="311" t="s">
        <v>462</v>
      </c>
      <c r="E1118" s="337" t="s">
        <v>63</v>
      </c>
      <c r="F1118" s="311" t="s">
        <v>61</v>
      </c>
      <c r="G1118" s="311" t="s">
        <v>237</v>
      </c>
      <c r="H1118" s="311" t="s">
        <v>463</v>
      </c>
      <c r="I1118" s="311" t="s">
        <v>56</v>
      </c>
      <c r="J1118" s="50" t="s">
        <v>1892</v>
      </c>
      <c r="K1118" s="50" t="s">
        <v>1892</v>
      </c>
      <c r="L1118" s="50" t="s">
        <v>1893</v>
      </c>
      <c r="M1118" s="50" t="s">
        <v>3526</v>
      </c>
      <c r="N1118" s="50" t="s">
        <v>3526</v>
      </c>
      <c r="O1118" s="50" t="s">
        <v>3523</v>
      </c>
      <c r="P1118" s="50" t="s">
        <v>3526</v>
      </c>
    </row>
    <row r="1119" spans="1:16" ht="12.75" customHeight="1" x14ac:dyDescent="0.25">
      <c r="A1119" s="311">
        <v>1116</v>
      </c>
      <c r="B1119" s="311" t="s">
        <v>140</v>
      </c>
      <c r="C1119" s="311" t="s">
        <v>140</v>
      </c>
      <c r="D1119" s="311" t="s">
        <v>462</v>
      </c>
      <c r="E1119" s="337" t="s">
        <v>140</v>
      </c>
      <c r="F1119" s="311" t="s">
        <v>61</v>
      </c>
      <c r="G1119" s="311" t="s">
        <v>237</v>
      </c>
      <c r="H1119" s="311" t="s">
        <v>463</v>
      </c>
      <c r="I1119" s="311" t="s">
        <v>56</v>
      </c>
      <c r="J1119" s="50" t="s">
        <v>1892</v>
      </c>
      <c r="K1119" s="50" t="s">
        <v>1892</v>
      </c>
      <c r="L1119" s="50" t="s">
        <v>1893</v>
      </c>
      <c r="M1119" s="50" t="s">
        <v>3527</v>
      </c>
      <c r="N1119" s="50" t="s">
        <v>3527</v>
      </c>
      <c r="O1119" s="50" t="s">
        <v>3523</v>
      </c>
      <c r="P1119" s="50" t="s">
        <v>3527</v>
      </c>
    </row>
    <row r="1120" spans="1:16" ht="12.75" customHeight="1" x14ac:dyDescent="0.25">
      <c r="A1120" s="311">
        <v>1117</v>
      </c>
      <c r="B1120" s="311" t="s">
        <v>121</v>
      </c>
      <c r="C1120" s="311" t="s">
        <v>121</v>
      </c>
      <c r="D1120" s="311" t="s">
        <v>462</v>
      </c>
      <c r="E1120" s="337" t="s">
        <v>121</v>
      </c>
      <c r="F1120" s="311" t="s">
        <v>61</v>
      </c>
      <c r="G1120" s="311" t="s">
        <v>237</v>
      </c>
      <c r="H1120" s="311" t="s">
        <v>463</v>
      </c>
      <c r="I1120" s="311" t="s">
        <v>56</v>
      </c>
      <c r="J1120" s="50" t="s">
        <v>1892</v>
      </c>
      <c r="K1120" s="50" t="s">
        <v>1892</v>
      </c>
      <c r="L1120" s="50" t="s">
        <v>1893</v>
      </c>
      <c r="M1120" s="50" t="s">
        <v>3528</v>
      </c>
      <c r="N1120" s="50" t="s">
        <v>3528</v>
      </c>
      <c r="O1120" s="50" t="s">
        <v>3523</v>
      </c>
      <c r="P1120" s="50" t="s">
        <v>3528</v>
      </c>
    </row>
    <row r="1121" spans="1:16" ht="12.75" customHeight="1" x14ac:dyDescent="0.25">
      <c r="A1121" s="311">
        <v>1118</v>
      </c>
      <c r="B1121" s="311" t="s">
        <v>87</v>
      </c>
      <c r="C1121" s="311" t="s">
        <v>87</v>
      </c>
      <c r="D1121" s="311" t="s">
        <v>462</v>
      </c>
      <c r="E1121" s="337" t="s">
        <v>87</v>
      </c>
      <c r="F1121" s="311" t="s">
        <v>61</v>
      </c>
      <c r="G1121" s="311" t="s">
        <v>237</v>
      </c>
      <c r="H1121" s="311" t="s">
        <v>463</v>
      </c>
      <c r="I1121" s="311" t="s">
        <v>56</v>
      </c>
      <c r="J1121" s="50" t="s">
        <v>1892</v>
      </c>
      <c r="K1121" s="50" t="s">
        <v>1892</v>
      </c>
      <c r="L1121" s="50" t="s">
        <v>1893</v>
      </c>
      <c r="M1121" s="50" t="s">
        <v>3529</v>
      </c>
      <c r="N1121" s="50" t="s">
        <v>3529</v>
      </c>
      <c r="O1121" s="50" t="s">
        <v>3523</v>
      </c>
      <c r="P1121" s="50" t="s">
        <v>3529</v>
      </c>
    </row>
    <row r="1122" spans="1:16" ht="12.75" customHeight="1" x14ac:dyDescent="0.25">
      <c r="A1122" s="311">
        <v>1119</v>
      </c>
      <c r="B1122" s="311" t="s">
        <v>125</v>
      </c>
      <c r="C1122" s="311" t="s">
        <v>125</v>
      </c>
      <c r="D1122" s="311" t="s">
        <v>125</v>
      </c>
      <c r="E1122" s="337" t="s">
        <v>125</v>
      </c>
      <c r="F1122" s="311" t="s">
        <v>61</v>
      </c>
      <c r="G1122" s="311" t="s">
        <v>237</v>
      </c>
      <c r="H1122" s="311" t="s">
        <v>463</v>
      </c>
      <c r="I1122" s="311" t="s">
        <v>56</v>
      </c>
      <c r="J1122" s="50" t="s">
        <v>1892</v>
      </c>
      <c r="K1122" s="50" t="s">
        <v>1892</v>
      </c>
      <c r="L1122" s="50" t="s">
        <v>1893</v>
      </c>
      <c r="M1122" s="50" t="s">
        <v>3530</v>
      </c>
      <c r="N1122" s="50" t="s">
        <v>3530</v>
      </c>
      <c r="O1122" s="50" t="s">
        <v>3530</v>
      </c>
      <c r="P1122" s="50" t="s">
        <v>3530</v>
      </c>
    </row>
    <row r="1123" spans="1:16" ht="12.75" customHeight="1" x14ac:dyDescent="0.25">
      <c r="A1123" s="311">
        <v>1120</v>
      </c>
      <c r="B1123" s="311" t="s">
        <v>134</v>
      </c>
      <c r="C1123" s="311" t="s">
        <v>134</v>
      </c>
      <c r="D1123" s="311" t="s">
        <v>134</v>
      </c>
      <c r="E1123" s="337" t="s">
        <v>134</v>
      </c>
      <c r="F1123" s="311" t="s">
        <v>61</v>
      </c>
      <c r="G1123" s="311" t="s">
        <v>237</v>
      </c>
      <c r="H1123" s="311" t="s">
        <v>463</v>
      </c>
      <c r="I1123" s="311" t="s">
        <v>56</v>
      </c>
      <c r="J1123" s="50" t="s">
        <v>1892</v>
      </c>
      <c r="K1123" s="50" t="s">
        <v>1892</v>
      </c>
      <c r="L1123" s="50" t="s">
        <v>1893</v>
      </c>
      <c r="M1123" s="50" t="s">
        <v>3531</v>
      </c>
      <c r="N1123" s="50" t="s">
        <v>3531</v>
      </c>
      <c r="O1123" s="50" t="s">
        <v>3531</v>
      </c>
      <c r="P1123" s="50" t="s">
        <v>3531</v>
      </c>
    </row>
    <row r="1124" spans="1:16" ht="12.75" customHeight="1" x14ac:dyDescent="0.25">
      <c r="A1124" s="311">
        <v>1121</v>
      </c>
      <c r="B1124" s="311" t="s">
        <v>141</v>
      </c>
      <c r="C1124" s="311" t="s">
        <v>141</v>
      </c>
      <c r="D1124" s="311" t="s">
        <v>141</v>
      </c>
      <c r="E1124" s="337" t="s">
        <v>141</v>
      </c>
      <c r="F1124" s="311" t="s">
        <v>61</v>
      </c>
      <c r="G1124" s="311" t="s">
        <v>237</v>
      </c>
      <c r="H1124" s="311" t="s">
        <v>463</v>
      </c>
      <c r="I1124" s="311" t="s">
        <v>56</v>
      </c>
      <c r="J1124" s="50" t="s">
        <v>1892</v>
      </c>
      <c r="K1124" s="50" t="s">
        <v>1892</v>
      </c>
      <c r="L1124" s="50" t="s">
        <v>1893</v>
      </c>
      <c r="M1124" s="50" t="s">
        <v>3532</v>
      </c>
      <c r="N1124" s="50" t="s">
        <v>3532</v>
      </c>
      <c r="O1124" s="50" t="s">
        <v>3532</v>
      </c>
      <c r="P1124" s="50" t="s">
        <v>3532</v>
      </c>
    </row>
    <row r="1125" spans="1:16" ht="12.75" customHeight="1" x14ac:dyDescent="0.25">
      <c r="A1125" s="311">
        <v>1122</v>
      </c>
      <c r="B1125" s="311" t="s">
        <v>69</v>
      </c>
      <c r="C1125" s="311" t="s">
        <v>69</v>
      </c>
      <c r="D1125" s="311" t="s">
        <v>69</v>
      </c>
      <c r="E1125" s="337" t="s">
        <v>69</v>
      </c>
      <c r="F1125" s="311" t="s">
        <v>61</v>
      </c>
      <c r="G1125" s="311" t="s">
        <v>237</v>
      </c>
      <c r="H1125" s="311" t="s">
        <v>463</v>
      </c>
      <c r="I1125" s="311" t="s">
        <v>56</v>
      </c>
      <c r="J1125" s="50" t="s">
        <v>1892</v>
      </c>
      <c r="K1125" s="50" t="s">
        <v>1892</v>
      </c>
      <c r="L1125" s="50" t="s">
        <v>1893</v>
      </c>
      <c r="M1125" s="50" t="s">
        <v>3533</v>
      </c>
      <c r="N1125" s="50" t="s">
        <v>3533</v>
      </c>
      <c r="O1125" s="50" t="s">
        <v>3533</v>
      </c>
      <c r="P1125" s="50" t="s">
        <v>3533</v>
      </c>
    </row>
    <row r="1126" spans="1:16" ht="12.75" customHeight="1" x14ac:dyDescent="0.25">
      <c r="A1126" s="311">
        <v>1123</v>
      </c>
      <c r="B1126" s="311" t="s">
        <v>72</v>
      </c>
      <c r="C1126" s="311" t="s">
        <v>462</v>
      </c>
      <c r="D1126" s="311" t="s">
        <v>462</v>
      </c>
      <c r="E1126" s="337" t="s">
        <v>462</v>
      </c>
      <c r="F1126" s="311" t="s">
        <v>269</v>
      </c>
      <c r="G1126" s="311" t="s">
        <v>236</v>
      </c>
      <c r="H1126" s="311" t="s">
        <v>408</v>
      </c>
      <c r="I1126" s="311" t="s">
        <v>56</v>
      </c>
      <c r="J1126" s="50" t="s">
        <v>1892</v>
      </c>
      <c r="K1126" s="50" t="s">
        <v>1892</v>
      </c>
      <c r="L1126" s="50" t="s">
        <v>1893</v>
      </c>
      <c r="M1126" s="50" t="s">
        <v>3534</v>
      </c>
      <c r="N1126" s="50" t="s">
        <v>3535</v>
      </c>
      <c r="O1126" s="50" t="s">
        <v>3535</v>
      </c>
      <c r="P1126" s="50" t="s">
        <v>3535</v>
      </c>
    </row>
    <row r="1127" spans="1:16" ht="12.75" customHeight="1" x14ac:dyDescent="0.25">
      <c r="A1127" s="311">
        <v>1124</v>
      </c>
      <c r="B1127" s="311" t="s">
        <v>99</v>
      </c>
      <c r="C1127" s="311" t="s">
        <v>462</v>
      </c>
      <c r="D1127" s="311" t="s">
        <v>462</v>
      </c>
      <c r="E1127" s="337" t="s">
        <v>462</v>
      </c>
      <c r="F1127" s="311" t="s">
        <v>269</v>
      </c>
      <c r="G1127" s="311" t="s">
        <v>236</v>
      </c>
      <c r="H1127" s="311" t="s">
        <v>408</v>
      </c>
      <c r="I1127" s="311" t="s">
        <v>56</v>
      </c>
      <c r="J1127" s="50" t="s">
        <v>1892</v>
      </c>
      <c r="K1127" s="50" t="s">
        <v>1892</v>
      </c>
      <c r="L1127" s="50" t="s">
        <v>1893</v>
      </c>
      <c r="M1127" s="50" t="s">
        <v>3536</v>
      </c>
      <c r="N1127" s="50" t="s">
        <v>3535</v>
      </c>
      <c r="O1127" s="50" t="s">
        <v>3535</v>
      </c>
      <c r="P1127" s="50" t="s">
        <v>3535</v>
      </c>
    </row>
    <row r="1128" spans="1:16" ht="12.75" customHeight="1" x14ac:dyDescent="0.25">
      <c r="A1128" s="311">
        <v>1125</v>
      </c>
      <c r="B1128" s="311" t="s">
        <v>60</v>
      </c>
      <c r="C1128" s="311" t="s">
        <v>462</v>
      </c>
      <c r="D1128" s="311" t="s">
        <v>462</v>
      </c>
      <c r="E1128" s="337" t="s">
        <v>462</v>
      </c>
      <c r="F1128" s="311" t="s">
        <v>269</v>
      </c>
      <c r="G1128" s="311" t="s">
        <v>236</v>
      </c>
      <c r="H1128" s="311" t="s">
        <v>408</v>
      </c>
      <c r="I1128" s="311" t="s">
        <v>56</v>
      </c>
      <c r="J1128" s="50" t="s">
        <v>1892</v>
      </c>
      <c r="K1128" s="50" t="s">
        <v>1892</v>
      </c>
      <c r="L1128" s="50" t="s">
        <v>1893</v>
      </c>
      <c r="M1128" s="50" t="s">
        <v>3537</v>
      </c>
      <c r="N1128" s="50" t="s">
        <v>3535</v>
      </c>
      <c r="O1128" s="50" t="s">
        <v>3535</v>
      </c>
      <c r="P1128" s="50" t="s">
        <v>3535</v>
      </c>
    </row>
    <row r="1129" spans="1:16" ht="12.75" customHeight="1" x14ac:dyDescent="0.25">
      <c r="A1129" s="311">
        <v>1126</v>
      </c>
      <c r="B1129" s="311" t="s">
        <v>94</v>
      </c>
      <c r="C1129" s="311" t="s">
        <v>462</v>
      </c>
      <c r="D1129" s="311" t="s">
        <v>462</v>
      </c>
      <c r="E1129" s="337" t="s">
        <v>462</v>
      </c>
      <c r="F1129" s="311" t="s">
        <v>269</v>
      </c>
      <c r="G1129" s="311" t="s">
        <v>236</v>
      </c>
      <c r="H1129" s="311" t="s">
        <v>408</v>
      </c>
      <c r="I1129" s="311" t="s">
        <v>56</v>
      </c>
      <c r="J1129" s="50" t="s">
        <v>1892</v>
      </c>
      <c r="K1129" s="50" t="s">
        <v>1892</v>
      </c>
      <c r="L1129" s="50" t="s">
        <v>1893</v>
      </c>
      <c r="M1129" s="50" t="s">
        <v>3538</v>
      </c>
      <c r="N1129" s="50" t="s">
        <v>3535</v>
      </c>
      <c r="O1129" s="50" t="s">
        <v>3535</v>
      </c>
      <c r="P1129" s="50" t="s">
        <v>3535</v>
      </c>
    </row>
    <row r="1130" spans="1:16" ht="12.75" customHeight="1" x14ac:dyDescent="0.25">
      <c r="A1130" s="311">
        <v>1127</v>
      </c>
      <c r="B1130" s="311" t="s">
        <v>84</v>
      </c>
      <c r="C1130" s="311" t="s">
        <v>462</v>
      </c>
      <c r="D1130" s="311" t="s">
        <v>462</v>
      </c>
      <c r="E1130" s="337" t="s">
        <v>462</v>
      </c>
      <c r="F1130" s="311" t="s">
        <v>269</v>
      </c>
      <c r="G1130" s="311" t="s">
        <v>236</v>
      </c>
      <c r="H1130" s="311" t="s">
        <v>408</v>
      </c>
      <c r="I1130" s="311" t="s">
        <v>56</v>
      </c>
      <c r="J1130" s="50" t="s">
        <v>1892</v>
      </c>
      <c r="K1130" s="50" t="s">
        <v>1892</v>
      </c>
      <c r="L1130" s="50" t="s">
        <v>1893</v>
      </c>
      <c r="M1130" s="50" t="s">
        <v>3539</v>
      </c>
      <c r="N1130" s="50" t="s">
        <v>3535</v>
      </c>
      <c r="O1130" s="50" t="s">
        <v>3535</v>
      </c>
      <c r="P1130" s="50" t="s">
        <v>3535</v>
      </c>
    </row>
    <row r="1131" spans="1:16" ht="12.75" customHeight="1" x14ac:dyDescent="0.25">
      <c r="A1131" s="311">
        <v>1128</v>
      </c>
      <c r="B1131" s="311" t="s">
        <v>123</v>
      </c>
      <c r="C1131" s="311" t="s">
        <v>462</v>
      </c>
      <c r="D1131" s="311" t="s">
        <v>462</v>
      </c>
      <c r="E1131" s="337" t="s">
        <v>462</v>
      </c>
      <c r="F1131" s="311" t="s">
        <v>269</v>
      </c>
      <c r="G1131" s="311" t="s">
        <v>236</v>
      </c>
      <c r="H1131" s="311" t="s">
        <v>408</v>
      </c>
      <c r="I1131" s="311" t="s">
        <v>56</v>
      </c>
      <c r="J1131" s="50" t="s">
        <v>1892</v>
      </c>
      <c r="K1131" s="50" t="s">
        <v>1892</v>
      </c>
      <c r="L1131" s="50" t="s">
        <v>1893</v>
      </c>
      <c r="M1131" s="50" t="s">
        <v>3540</v>
      </c>
      <c r="N1131" s="50" t="s">
        <v>3535</v>
      </c>
      <c r="O1131" s="50" t="s">
        <v>3535</v>
      </c>
      <c r="P1131" s="50" t="s">
        <v>3535</v>
      </c>
    </row>
    <row r="1132" spans="1:16" ht="12.75" customHeight="1" x14ac:dyDescent="0.25">
      <c r="A1132" s="311">
        <v>1129</v>
      </c>
      <c r="B1132" s="311" t="s">
        <v>75</v>
      </c>
      <c r="C1132" s="311" t="s">
        <v>462</v>
      </c>
      <c r="D1132" s="311" t="s">
        <v>462</v>
      </c>
      <c r="E1132" s="337" t="s">
        <v>462</v>
      </c>
      <c r="F1132" s="311" t="s">
        <v>269</v>
      </c>
      <c r="G1132" s="311" t="s">
        <v>236</v>
      </c>
      <c r="H1132" s="311" t="s">
        <v>408</v>
      </c>
      <c r="I1132" s="311" t="s">
        <v>56</v>
      </c>
      <c r="J1132" s="50" t="s">
        <v>1892</v>
      </c>
      <c r="K1132" s="50" t="s">
        <v>1892</v>
      </c>
      <c r="L1132" s="50" t="s">
        <v>1893</v>
      </c>
      <c r="M1132" s="50" t="s">
        <v>3541</v>
      </c>
      <c r="N1132" s="50" t="s">
        <v>3535</v>
      </c>
      <c r="O1132" s="50" t="s">
        <v>3535</v>
      </c>
      <c r="P1132" s="50" t="s">
        <v>3535</v>
      </c>
    </row>
    <row r="1133" spans="1:16" ht="12.75" customHeight="1" x14ac:dyDescent="0.25">
      <c r="A1133" s="311">
        <v>1130</v>
      </c>
      <c r="B1133" s="311" t="s">
        <v>72</v>
      </c>
      <c r="C1133" s="311" t="s">
        <v>462</v>
      </c>
      <c r="D1133" s="311" t="s">
        <v>462</v>
      </c>
      <c r="E1133" s="337" t="s">
        <v>462</v>
      </c>
      <c r="F1133" s="311" t="s">
        <v>269</v>
      </c>
      <c r="G1133" s="311" t="s">
        <v>23</v>
      </c>
      <c r="H1133" s="311" t="s">
        <v>408</v>
      </c>
      <c r="I1133" s="311" t="s">
        <v>56</v>
      </c>
      <c r="J1133" s="50" t="s">
        <v>1892</v>
      </c>
      <c r="K1133" s="50" t="s">
        <v>1892</v>
      </c>
      <c r="L1133" s="50" t="s">
        <v>1893</v>
      </c>
      <c r="M1133" s="50" t="s">
        <v>3542</v>
      </c>
      <c r="N1133" s="50" t="s">
        <v>3543</v>
      </c>
      <c r="O1133" s="50" t="s">
        <v>3543</v>
      </c>
      <c r="P1133" s="50" t="s">
        <v>3543</v>
      </c>
    </row>
    <row r="1134" spans="1:16" ht="12.75" customHeight="1" x14ac:dyDescent="0.25">
      <c r="A1134" s="311">
        <v>1131</v>
      </c>
      <c r="B1134" s="311" t="s">
        <v>99</v>
      </c>
      <c r="C1134" s="311" t="s">
        <v>462</v>
      </c>
      <c r="D1134" s="311" t="s">
        <v>462</v>
      </c>
      <c r="E1134" s="337" t="s">
        <v>462</v>
      </c>
      <c r="F1134" s="311" t="s">
        <v>269</v>
      </c>
      <c r="G1134" s="311" t="s">
        <v>23</v>
      </c>
      <c r="H1134" s="311" t="s">
        <v>408</v>
      </c>
      <c r="I1134" s="311" t="s">
        <v>56</v>
      </c>
      <c r="J1134" s="50" t="s">
        <v>1892</v>
      </c>
      <c r="K1134" s="50" t="s">
        <v>1892</v>
      </c>
      <c r="L1134" s="50" t="s">
        <v>1893</v>
      </c>
      <c r="M1134" s="50" t="s">
        <v>3544</v>
      </c>
      <c r="N1134" s="50" t="s">
        <v>3543</v>
      </c>
      <c r="O1134" s="50" t="s">
        <v>3543</v>
      </c>
      <c r="P1134" s="50" t="s">
        <v>3543</v>
      </c>
    </row>
    <row r="1135" spans="1:16" ht="12.75" customHeight="1" x14ac:dyDescent="0.25">
      <c r="A1135" s="311">
        <v>1132</v>
      </c>
      <c r="B1135" s="311" t="s">
        <v>60</v>
      </c>
      <c r="C1135" s="311" t="s">
        <v>462</v>
      </c>
      <c r="D1135" s="311" t="s">
        <v>462</v>
      </c>
      <c r="E1135" s="337" t="s">
        <v>462</v>
      </c>
      <c r="F1135" s="311" t="s">
        <v>269</v>
      </c>
      <c r="G1135" s="311" t="s">
        <v>23</v>
      </c>
      <c r="H1135" s="311" t="s">
        <v>408</v>
      </c>
      <c r="I1135" s="311" t="s">
        <v>56</v>
      </c>
      <c r="J1135" s="50" t="s">
        <v>1892</v>
      </c>
      <c r="K1135" s="50" t="s">
        <v>1892</v>
      </c>
      <c r="L1135" s="50" t="s">
        <v>1893</v>
      </c>
      <c r="M1135" s="50" t="s">
        <v>3545</v>
      </c>
      <c r="N1135" s="50" t="s">
        <v>3543</v>
      </c>
      <c r="O1135" s="50" t="s">
        <v>3543</v>
      </c>
      <c r="P1135" s="50" t="s">
        <v>3543</v>
      </c>
    </row>
    <row r="1136" spans="1:16" ht="12.75" customHeight="1" x14ac:dyDescent="0.25">
      <c r="A1136" s="311">
        <v>1133</v>
      </c>
      <c r="B1136" s="311" t="s">
        <v>94</v>
      </c>
      <c r="C1136" s="311" t="s">
        <v>462</v>
      </c>
      <c r="D1136" s="311" t="s">
        <v>462</v>
      </c>
      <c r="E1136" s="337" t="s">
        <v>462</v>
      </c>
      <c r="F1136" s="311" t="s">
        <v>269</v>
      </c>
      <c r="G1136" s="311" t="s">
        <v>23</v>
      </c>
      <c r="H1136" s="311" t="s">
        <v>408</v>
      </c>
      <c r="I1136" s="311" t="s">
        <v>56</v>
      </c>
      <c r="J1136" s="50" t="s">
        <v>1892</v>
      </c>
      <c r="K1136" s="50" t="s">
        <v>1892</v>
      </c>
      <c r="L1136" s="50" t="s">
        <v>1893</v>
      </c>
      <c r="M1136" s="50" t="s">
        <v>3546</v>
      </c>
      <c r="N1136" s="50" t="s">
        <v>3543</v>
      </c>
      <c r="O1136" s="50" t="s">
        <v>3543</v>
      </c>
      <c r="P1136" s="50" t="s">
        <v>3543</v>
      </c>
    </row>
    <row r="1137" spans="1:16" ht="12.75" customHeight="1" x14ac:dyDescent="0.25">
      <c r="A1137" s="311">
        <v>1134</v>
      </c>
      <c r="B1137" s="311" t="s">
        <v>84</v>
      </c>
      <c r="C1137" s="311" t="s">
        <v>462</v>
      </c>
      <c r="D1137" s="311" t="s">
        <v>462</v>
      </c>
      <c r="E1137" s="337" t="s">
        <v>462</v>
      </c>
      <c r="F1137" s="311" t="s">
        <v>269</v>
      </c>
      <c r="G1137" s="311" t="s">
        <v>23</v>
      </c>
      <c r="H1137" s="311" t="s">
        <v>408</v>
      </c>
      <c r="I1137" s="311" t="s">
        <v>56</v>
      </c>
      <c r="J1137" s="50" t="s">
        <v>1892</v>
      </c>
      <c r="K1137" s="50" t="s">
        <v>1892</v>
      </c>
      <c r="L1137" s="50" t="s">
        <v>1893</v>
      </c>
      <c r="M1137" s="50" t="s">
        <v>3547</v>
      </c>
      <c r="N1137" s="50" t="s">
        <v>3543</v>
      </c>
      <c r="O1137" s="50" t="s">
        <v>3543</v>
      </c>
      <c r="P1137" s="50" t="s">
        <v>3543</v>
      </c>
    </row>
    <row r="1138" spans="1:16" ht="12.75" customHeight="1" x14ac:dyDescent="0.25">
      <c r="A1138" s="311">
        <v>1135</v>
      </c>
      <c r="B1138" s="311" t="s">
        <v>123</v>
      </c>
      <c r="C1138" s="311" t="s">
        <v>462</v>
      </c>
      <c r="D1138" s="311" t="s">
        <v>462</v>
      </c>
      <c r="E1138" s="337" t="s">
        <v>462</v>
      </c>
      <c r="F1138" s="311" t="s">
        <v>269</v>
      </c>
      <c r="G1138" s="311" t="s">
        <v>23</v>
      </c>
      <c r="H1138" s="311" t="s">
        <v>408</v>
      </c>
      <c r="I1138" s="311" t="s">
        <v>56</v>
      </c>
      <c r="J1138" s="50" t="s">
        <v>1892</v>
      </c>
      <c r="K1138" s="50" t="s">
        <v>1892</v>
      </c>
      <c r="L1138" s="50" t="s">
        <v>1893</v>
      </c>
      <c r="M1138" s="50" t="s">
        <v>3548</v>
      </c>
      <c r="N1138" s="50" t="s">
        <v>3543</v>
      </c>
      <c r="O1138" s="50" t="s">
        <v>3543</v>
      </c>
      <c r="P1138" s="50" t="s">
        <v>3543</v>
      </c>
    </row>
    <row r="1139" spans="1:16" ht="12.75" customHeight="1" x14ac:dyDescent="0.25">
      <c r="A1139" s="311">
        <v>1136</v>
      </c>
      <c r="B1139" s="311" t="s">
        <v>75</v>
      </c>
      <c r="C1139" s="311" t="s">
        <v>462</v>
      </c>
      <c r="D1139" s="311" t="s">
        <v>462</v>
      </c>
      <c r="E1139" s="337" t="s">
        <v>462</v>
      </c>
      <c r="F1139" s="311" t="s">
        <v>269</v>
      </c>
      <c r="G1139" s="311" t="s">
        <v>23</v>
      </c>
      <c r="H1139" s="311" t="s">
        <v>408</v>
      </c>
      <c r="I1139" s="311" t="s">
        <v>56</v>
      </c>
      <c r="J1139" s="50" t="s">
        <v>1892</v>
      </c>
      <c r="K1139" s="50" t="s">
        <v>1892</v>
      </c>
      <c r="L1139" s="50" t="s">
        <v>1893</v>
      </c>
      <c r="M1139" s="50" t="s">
        <v>3549</v>
      </c>
      <c r="N1139" s="50" t="s">
        <v>3543</v>
      </c>
      <c r="O1139" s="50" t="s">
        <v>3543</v>
      </c>
      <c r="P1139" s="50" t="s">
        <v>3543</v>
      </c>
    </row>
    <row r="1140" spans="1:16" ht="12.75" customHeight="1" x14ac:dyDescent="0.25">
      <c r="A1140" s="311">
        <v>1137</v>
      </c>
      <c r="B1140" s="311" t="s">
        <v>72</v>
      </c>
      <c r="C1140" s="311" t="s">
        <v>462</v>
      </c>
      <c r="D1140" s="311" t="s">
        <v>462</v>
      </c>
      <c r="E1140" s="337" t="s">
        <v>462</v>
      </c>
      <c r="F1140" s="311" t="s">
        <v>269</v>
      </c>
      <c r="G1140" s="311" t="s">
        <v>237</v>
      </c>
      <c r="H1140" s="311" t="s">
        <v>408</v>
      </c>
      <c r="I1140" s="311" t="s">
        <v>56</v>
      </c>
      <c r="J1140" s="50" t="s">
        <v>1892</v>
      </c>
      <c r="K1140" s="50" t="s">
        <v>1892</v>
      </c>
      <c r="L1140" s="50" t="s">
        <v>1893</v>
      </c>
      <c r="M1140" s="50" t="s">
        <v>3550</v>
      </c>
      <c r="N1140" s="50" t="s">
        <v>3551</v>
      </c>
      <c r="O1140" s="50" t="s">
        <v>3551</v>
      </c>
      <c r="P1140" s="50" t="s">
        <v>3551</v>
      </c>
    </row>
    <row r="1141" spans="1:16" ht="12.75" customHeight="1" x14ac:dyDescent="0.25">
      <c r="A1141" s="311">
        <v>1138</v>
      </c>
      <c r="B1141" s="311" t="s">
        <v>99</v>
      </c>
      <c r="C1141" s="311" t="s">
        <v>462</v>
      </c>
      <c r="D1141" s="311" t="s">
        <v>462</v>
      </c>
      <c r="E1141" s="337" t="s">
        <v>462</v>
      </c>
      <c r="F1141" s="311" t="s">
        <v>269</v>
      </c>
      <c r="G1141" s="311" t="s">
        <v>237</v>
      </c>
      <c r="H1141" s="311" t="s">
        <v>408</v>
      </c>
      <c r="I1141" s="311" t="s">
        <v>56</v>
      </c>
      <c r="J1141" s="50" t="s">
        <v>1892</v>
      </c>
      <c r="K1141" s="50" t="s">
        <v>1892</v>
      </c>
      <c r="L1141" s="50" t="s">
        <v>1893</v>
      </c>
      <c r="M1141" s="50" t="s">
        <v>3552</v>
      </c>
      <c r="N1141" s="50" t="s">
        <v>3551</v>
      </c>
      <c r="O1141" s="50" t="s">
        <v>3551</v>
      </c>
      <c r="P1141" s="50" t="s">
        <v>3551</v>
      </c>
    </row>
    <row r="1142" spans="1:16" ht="12.75" customHeight="1" x14ac:dyDescent="0.25">
      <c r="A1142" s="311">
        <v>1139</v>
      </c>
      <c r="B1142" s="311" t="s">
        <v>60</v>
      </c>
      <c r="C1142" s="311" t="s">
        <v>462</v>
      </c>
      <c r="D1142" s="311" t="s">
        <v>462</v>
      </c>
      <c r="E1142" s="337" t="s">
        <v>462</v>
      </c>
      <c r="F1142" s="311" t="s">
        <v>269</v>
      </c>
      <c r="G1142" s="311" t="s">
        <v>237</v>
      </c>
      <c r="H1142" s="311" t="s">
        <v>408</v>
      </c>
      <c r="I1142" s="311" t="s">
        <v>56</v>
      </c>
      <c r="J1142" s="50" t="s">
        <v>1892</v>
      </c>
      <c r="K1142" s="50" t="s">
        <v>1892</v>
      </c>
      <c r="L1142" s="50" t="s">
        <v>1893</v>
      </c>
      <c r="M1142" s="50" t="s">
        <v>3553</v>
      </c>
      <c r="N1142" s="50" t="s">
        <v>3551</v>
      </c>
      <c r="O1142" s="50" t="s">
        <v>3551</v>
      </c>
      <c r="P1142" s="50" t="s">
        <v>3551</v>
      </c>
    </row>
    <row r="1143" spans="1:16" ht="12.75" customHeight="1" x14ac:dyDescent="0.25">
      <c r="A1143" s="311">
        <v>1140</v>
      </c>
      <c r="B1143" s="311" t="s">
        <v>94</v>
      </c>
      <c r="C1143" s="311" t="s">
        <v>462</v>
      </c>
      <c r="D1143" s="311" t="s">
        <v>462</v>
      </c>
      <c r="E1143" s="337" t="s">
        <v>462</v>
      </c>
      <c r="F1143" s="311" t="s">
        <v>269</v>
      </c>
      <c r="G1143" s="311" t="s">
        <v>237</v>
      </c>
      <c r="H1143" s="311" t="s">
        <v>408</v>
      </c>
      <c r="I1143" s="311" t="s">
        <v>56</v>
      </c>
      <c r="J1143" s="50" t="s">
        <v>1892</v>
      </c>
      <c r="K1143" s="50" t="s">
        <v>1892</v>
      </c>
      <c r="L1143" s="50" t="s">
        <v>1893</v>
      </c>
      <c r="M1143" s="50" t="s">
        <v>3554</v>
      </c>
      <c r="N1143" s="50" t="s">
        <v>3551</v>
      </c>
      <c r="O1143" s="50" t="s">
        <v>3551</v>
      </c>
      <c r="P1143" s="50" t="s">
        <v>3551</v>
      </c>
    </row>
    <row r="1144" spans="1:16" ht="12.75" customHeight="1" x14ac:dyDescent="0.25">
      <c r="A1144" s="311">
        <v>1141</v>
      </c>
      <c r="B1144" s="311" t="s">
        <v>84</v>
      </c>
      <c r="C1144" s="311" t="s">
        <v>462</v>
      </c>
      <c r="D1144" s="311" t="s">
        <v>462</v>
      </c>
      <c r="E1144" s="337" t="s">
        <v>462</v>
      </c>
      <c r="F1144" s="311" t="s">
        <v>269</v>
      </c>
      <c r="G1144" s="311" t="s">
        <v>237</v>
      </c>
      <c r="H1144" s="311" t="s">
        <v>408</v>
      </c>
      <c r="I1144" s="311" t="s">
        <v>56</v>
      </c>
      <c r="J1144" s="50" t="s">
        <v>1892</v>
      </c>
      <c r="K1144" s="50" t="s">
        <v>1892</v>
      </c>
      <c r="L1144" s="50" t="s">
        <v>1893</v>
      </c>
      <c r="M1144" s="50" t="s">
        <v>3555</v>
      </c>
      <c r="N1144" s="50" t="s">
        <v>3551</v>
      </c>
      <c r="O1144" s="50" t="s">
        <v>3551</v>
      </c>
      <c r="P1144" s="50" t="s">
        <v>3551</v>
      </c>
    </row>
    <row r="1145" spans="1:16" ht="12.75" customHeight="1" x14ac:dyDescent="0.25">
      <c r="A1145" s="311">
        <v>1142</v>
      </c>
      <c r="B1145" s="311" t="s">
        <v>123</v>
      </c>
      <c r="C1145" s="311" t="s">
        <v>462</v>
      </c>
      <c r="D1145" s="311" t="s">
        <v>462</v>
      </c>
      <c r="E1145" s="337" t="s">
        <v>462</v>
      </c>
      <c r="F1145" s="311" t="s">
        <v>269</v>
      </c>
      <c r="G1145" s="311" t="s">
        <v>237</v>
      </c>
      <c r="H1145" s="311" t="s">
        <v>408</v>
      </c>
      <c r="I1145" s="311" t="s">
        <v>56</v>
      </c>
      <c r="J1145" s="50" t="s">
        <v>1892</v>
      </c>
      <c r="K1145" s="50" t="s">
        <v>1892</v>
      </c>
      <c r="L1145" s="50" t="s">
        <v>1893</v>
      </c>
      <c r="M1145" s="50" t="s">
        <v>3556</v>
      </c>
      <c r="N1145" s="50" t="s">
        <v>3551</v>
      </c>
      <c r="O1145" s="50" t="s">
        <v>3551</v>
      </c>
      <c r="P1145" s="50" t="s">
        <v>3551</v>
      </c>
    </row>
    <row r="1146" spans="1:16" ht="12.75" customHeight="1" x14ac:dyDescent="0.25">
      <c r="A1146" s="311">
        <v>1143</v>
      </c>
      <c r="B1146" s="311" t="s">
        <v>75</v>
      </c>
      <c r="C1146" s="311" t="s">
        <v>462</v>
      </c>
      <c r="D1146" s="311" t="s">
        <v>462</v>
      </c>
      <c r="E1146" s="337" t="s">
        <v>462</v>
      </c>
      <c r="F1146" s="311" t="s">
        <v>269</v>
      </c>
      <c r="G1146" s="311" t="s">
        <v>237</v>
      </c>
      <c r="H1146" s="311" t="s">
        <v>408</v>
      </c>
      <c r="I1146" s="311" t="s">
        <v>56</v>
      </c>
      <c r="J1146" s="50" t="s">
        <v>1892</v>
      </c>
      <c r="K1146" s="50" t="s">
        <v>1892</v>
      </c>
      <c r="L1146" s="50" t="s">
        <v>1893</v>
      </c>
      <c r="M1146" s="50" t="s">
        <v>3557</v>
      </c>
      <c r="N1146" s="50" t="s">
        <v>3551</v>
      </c>
      <c r="O1146" s="50" t="s">
        <v>3551</v>
      </c>
      <c r="P1146" s="50" t="s">
        <v>3551</v>
      </c>
    </row>
    <row r="1147" spans="1:16" ht="12.75" customHeight="1" x14ac:dyDescent="0.25">
      <c r="A1147" s="311">
        <v>1144</v>
      </c>
      <c r="B1147" s="311" t="s">
        <v>72</v>
      </c>
      <c r="C1147" s="311" t="s">
        <v>462</v>
      </c>
      <c r="D1147" s="311" t="s">
        <v>462</v>
      </c>
      <c r="E1147" s="337" t="s">
        <v>462</v>
      </c>
      <c r="F1147" s="311" t="s">
        <v>281</v>
      </c>
      <c r="G1147" s="311" t="s">
        <v>236</v>
      </c>
      <c r="H1147" s="311" t="s">
        <v>408</v>
      </c>
      <c r="I1147" s="311" t="s">
        <v>56</v>
      </c>
      <c r="J1147" s="50" t="s">
        <v>1892</v>
      </c>
      <c r="K1147" s="50" t="s">
        <v>1892</v>
      </c>
      <c r="L1147" s="50" t="s">
        <v>1893</v>
      </c>
      <c r="M1147" s="50" t="s">
        <v>3558</v>
      </c>
      <c r="N1147" s="50" t="s">
        <v>3559</v>
      </c>
      <c r="O1147" s="50" t="s">
        <v>3559</v>
      </c>
      <c r="P1147" s="50" t="s">
        <v>3559</v>
      </c>
    </row>
    <row r="1148" spans="1:16" ht="12.75" customHeight="1" x14ac:dyDescent="0.25">
      <c r="A1148" s="311">
        <v>1145</v>
      </c>
      <c r="B1148" s="311" t="s">
        <v>99</v>
      </c>
      <c r="C1148" s="311" t="s">
        <v>462</v>
      </c>
      <c r="D1148" s="311" t="s">
        <v>462</v>
      </c>
      <c r="E1148" s="337" t="s">
        <v>462</v>
      </c>
      <c r="F1148" s="311" t="s">
        <v>281</v>
      </c>
      <c r="G1148" s="311" t="s">
        <v>236</v>
      </c>
      <c r="H1148" s="311" t="s">
        <v>408</v>
      </c>
      <c r="I1148" s="311" t="s">
        <v>56</v>
      </c>
      <c r="J1148" s="50" t="s">
        <v>1892</v>
      </c>
      <c r="K1148" s="50" t="s">
        <v>1892</v>
      </c>
      <c r="L1148" s="50" t="s">
        <v>1893</v>
      </c>
      <c r="M1148" s="50" t="s">
        <v>3560</v>
      </c>
      <c r="N1148" s="50" t="s">
        <v>3559</v>
      </c>
      <c r="O1148" s="50" t="s">
        <v>3559</v>
      </c>
      <c r="P1148" s="50" t="s">
        <v>3559</v>
      </c>
    </row>
    <row r="1149" spans="1:16" ht="12.75" customHeight="1" x14ac:dyDescent="0.25">
      <c r="A1149" s="311">
        <v>1146</v>
      </c>
      <c r="B1149" s="311" t="s">
        <v>60</v>
      </c>
      <c r="C1149" s="311" t="s">
        <v>462</v>
      </c>
      <c r="D1149" s="311" t="s">
        <v>462</v>
      </c>
      <c r="E1149" s="337" t="s">
        <v>462</v>
      </c>
      <c r="F1149" s="311" t="s">
        <v>281</v>
      </c>
      <c r="G1149" s="311" t="s">
        <v>236</v>
      </c>
      <c r="H1149" s="311" t="s">
        <v>408</v>
      </c>
      <c r="I1149" s="311" t="s">
        <v>56</v>
      </c>
      <c r="J1149" s="50" t="s">
        <v>1892</v>
      </c>
      <c r="K1149" s="50" t="s">
        <v>1892</v>
      </c>
      <c r="L1149" s="50" t="s">
        <v>1893</v>
      </c>
      <c r="M1149" s="50" t="s">
        <v>3561</v>
      </c>
      <c r="N1149" s="50" t="s">
        <v>3559</v>
      </c>
      <c r="O1149" s="50" t="s">
        <v>3559</v>
      </c>
      <c r="P1149" s="50" t="s">
        <v>3559</v>
      </c>
    </row>
    <row r="1150" spans="1:16" ht="12.75" customHeight="1" x14ac:dyDescent="0.25">
      <c r="A1150" s="311">
        <v>1147</v>
      </c>
      <c r="B1150" s="311" t="s">
        <v>94</v>
      </c>
      <c r="C1150" s="311" t="s">
        <v>462</v>
      </c>
      <c r="D1150" s="311" t="s">
        <v>462</v>
      </c>
      <c r="E1150" s="337" t="s">
        <v>462</v>
      </c>
      <c r="F1150" s="311" t="s">
        <v>281</v>
      </c>
      <c r="G1150" s="311" t="s">
        <v>236</v>
      </c>
      <c r="H1150" s="311" t="s">
        <v>408</v>
      </c>
      <c r="I1150" s="311" t="s">
        <v>56</v>
      </c>
      <c r="J1150" s="50" t="s">
        <v>1892</v>
      </c>
      <c r="K1150" s="50" t="s">
        <v>1892</v>
      </c>
      <c r="L1150" s="50" t="s">
        <v>1893</v>
      </c>
      <c r="M1150" s="50" t="s">
        <v>3562</v>
      </c>
      <c r="N1150" s="50" t="s">
        <v>3559</v>
      </c>
      <c r="O1150" s="50" t="s">
        <v>3559</v>
      </c>
      <c r="P1150" s="50" t="s">
        <v>3559</v>
      </c>
    </row>
    <row r="1151" spans="1:16" ht="12.75" customHeight="1" x14ac:dyDescent="0.25">
      <c r="A1151" s="311">
        <v>1148</v>
      </c>
      <c r="B1151" s="311" t="s">
        <v>84</v>
      </c>
      <c r="C1151" s="311" t="s">
        <v>462</v>
      </c>
      <c r="D1151" s="311" t="s">
        <v>462</v>
      </c>
      <c r="E1151" s="337" t="s">
        <v>462</v>
      </c>
      <c r="F1151" s="311" t="s">
        <v>281</v>
      </c>
      <c r="G1151" s="311" t="s">
        <v>236</v>
      </c>
      <c r="H1151" s="311" t="s">
        <v>408</v>
      </c>
      <c r="I1151" s="311" t="s">
        <v>56</v>
      </c>
      <c r="J1151" s="50" t="s">
        <v>1892</v>
      </c>
      <c r="K1151" s="50" t="s">
        <v>1892</v>
      </c>
      <c r="L1151" s="50" t="s">
        <v>1893</v>
      </c>
      <c r="M1151" s="50" t="s">
        <v>3563</v>
      </c>
      <c r="N1151" s="50" t="s">
        <v>3559</v>
      </c>
      <c r="O1151" s="50" t="s">
        <v>3559</v>
      </c>
      <c r="P1151" s="50" t="s">
        <v>3559</v>
      </c>
    </row>
    <row r="1152" spans="1:16" ht="12.75" customHeight="1" x14ac:dyDescent="0.25">
      <c r="A1152" s="311">
        <v>1149</v>
      </c>
      <c r="B1152" s="311" t="s">
        <v>123</v>
      </c>
      <c r="C1152" s="311" t="s">
        <v>462</v>
      </c>
      <c r="D1152" s="311" t="s">
        <v>462</v>
      </c>
      <c r="E1152" s="337" t="s">
        <v>462</v>
      </c>
      <c r="F1152" s="311" t="s">
        <v>281</v>
      </c>
      <c r="G1152" s="311" t="s">
        <v>236</v>
      </c>
      <c r="H1152" s="311" t="s">
        <v>408</v>
      </c>
      <c r="I1152" s="311" t="s">
        <v>56</v>
      </c>
      <c r="J1152" s="50" t="s">
        <v>1892</v>
      </c>
      <c r="K1152" s="50" t="s">
        <v>1892</v>
      </c>
      <c r="L1152" s="50" t="s">
        <v>1893</v>
      </c>
      <c r="M1152" s="50" t="s">
        <v>3564</v>
      </c>
      <c r="N1152" s="50" t="s">
        <v>3559</v>
      </c>
      <c r="O1152" s="50" t="s">
        <v>3559</v>
      </c>
      <c r="P1152" s="50" t="s">
        <v>3559</v>
      </c>
    </row>
    <row r="1153" spans="1:16" ht="12.75" customHeight="1" x14ac:dyDescent="0.25">
      <c r="A1153" s="311">
        <v>1150</v>
      </c>
      <c r="B1153" s="311" t="s">
        <v>75</v>
      </c>
      <c r="C1153" s="311" t="s">
        <v>462</v>
      </c>
      <c r="D1153" s="311" t="s">
        <v>462</v>
      </c>
      <c r="E1153" s="337" t="s">
        <v>462</v>
      </c>
      <c r="F1153" s="311" t="s">
        <v>281</v>
      </c>
      <c r="G1153" s="311" t="s">
        <v>236</v>
      </c>
      <c r="H1153" s="311" t="s">
        <v>408</v>
      </c>
      <c r="I1153" s="311" t="s">
        <v>56</v>
      </c>
      <c r="J1153" s="50" t="s">
        <v>1892</v>
      </c>
      <c r="K1153" s="50" t="s">
        <v>1892</v>
      </c>
      <c r="L1153" s="50" t="s">
        <v>1893</v>
      </c>
      <c r="M1153" s="50" t="s">
        <v>3565</v>
      </c>
      <c r="N1153" s="50" t="s">
        <v>3559</v>
      </c>
      <c r="O1153" s="50" t="s">
        <v>3559</v>
      </c>
      <c r="P1153" s="50" t="s">
        <v>3559</v>
      </c>
    </row>
    <row r="1154" spans="1:16" ht="12.75" customHeight="1" x14ac:dyDescent="0.25">
      <c r="A1154" s="311">
        <v>1151</v>
      </c>
      <c r="B1154" s="311" t="s">
        <v>72</v>
      </c>
      <c r="C1154" s="311" t="s">
        <v>462</v>
      </c>
      <c r="D1154" s="311" t="s">
        <v>462</v>
      </c>
      <c r="E1154" s="337" t="s">
        <v>462</v>
      </c>
      <c r="F1154" s="311" t="s">
        <v>281</v>
      </c>
      <c r="G1154" s="311" t="s">
        <v>23</v>
      </c>
      <c r="H1154" s="311" t="s">
        <v>408</v>
      </c>
      <c r="I1154" s="311" t="s">
        <v>56</v>
      </c>
      <c r="J1154" s="50" t="s">
        <v>1892</v>
      </c>
      <c r="K1154" s="50" t="s">
        <v>1892</v>
      </c>
      <c r="L1154" s="50" t="s">
        <v>1893</v>
      </c>
      <c r="M1154" s="50" t="s">
        <v>3566</v>
      </c>
      <c r="N1154" s="50" t="s">
        <v>3567</v>
      </c>
      <c r="O1154" s="50" t="s">
        <v>3567</v>
      </c>
      <c r="P1154" s="50" t="s">
        <v>3567</v>
      </c>
    </row>
    <row r="1155" spans="1:16" ht="12.75" customHeight="1" x14ac:dyDescent="0.25">
      <c r="A1155" s="311">
        <v>1152</v>
      </c>
      <c r="B1155" s="311" t="s">
        <v>99</v>
      </c>
      <c r="C1155" s="311" t="s">
        <v>462</v>
      </c>
      <c r="D1155" s="311" t="s">
        <v>462</v>
      </c>
      <c r="E1155" s="337" t="s">
        <v>462</v>
      </c>
      <c r="F1155" s="311" t="s">
        <v>281</v>
      </c>
      <c r="G1155" s="311" t="s">
        <v>23</v>
      </c>
      <c r="H1155" s="311" t="s">
        <v>408</v>
      </c>
      <c r="I1155" s="311" t="s">
        <v>56</v>
      </c>
      <c r="J1155" s="50" t="s">
        <v>1892</v>
      </c>
      <c r="K1155" s="50" t="s">
        <v>1892</v>
      </c>
      <c r="L1155" s="50" t="s">
        <v>1893</v>
      </c>
      <c r="M1155" s="50" t="s">
        <v>3568</v>
      </c>
      <c r="N1155" s="50" t="s">
        <v>3567</v>
      </c>
      <c r="O1155" s="50" t="s">
        <v>3567</v>
      </c>
      <c r="P1155" s="50" t="s">
        <v>3567</v>
      </c>
    </row>
    <row r="1156" spans="1:16" ht="12.75" customHeight="1" x14ac:dyDescent="0.25">
      <c r="A1156" s="311">
        <v>1153</v>
      </c>
      <c r="B1156" s="311" t="s">
        <v>60</v>
      </c>
      <c r="C1156" s="311" t="s">
        <v>462</v>
      </c>
      <c r="D1156" s="311" t="s">
        <v>462</v>
      </c>
      <c r="E1156" s="337" t="s">
        <v>462</v>
      </c>
      <c r="F1156" s="311" t="s">
        <v>281</v>
      </c>
      <c r="G1156" s="311" t="s">
        <v>23</v>
      </c>
      <c r="H1156" s="311" t="s">
        <v>408</v>
      </c>
      <c r="I1156" s="311" t="s">
        <v>56</v>
      </c>
      <c r="J1156" s="50" t="s">
        <v>1892</v>
      </c>
      <c r="K1156" s="50" t="s">
        <v>1892</v>
      </c>
      <c r="L1156" s="50" t="s">
        <v>1893</v>
      </c>
      <c r="M1156" s="50" t="s">
        <v>3569</v>
      </c>
      <c r="N1156" s="50" t="s">
        <v>3567</v>
      </c>
      <c r="O1156" s="50" t="s">
        <v>3567</v>
      </c>
      <c r="P1156" s="50" t="s">
        <v>3567</v>
      </c>
    </row>
    <row r="1157" spans="1:16" ht="12.75" customHeight="1" x14ac:dyDescent="0.25">
      <c r="A1157" s="311">
        <v>1154</v>
      </c>
      <c r="B1157" s="311" t="s">
        <v>94</v>
      </c>
      <c r="C1157" s="311" t="s">
        <v>462</v>
      </c>
      <c r="D1157" s="311" t="s">
        <v>462</v>
      </c>
      <c r="E1157" s="337" t="s">
        <v>462</v>
      </c>
      <c r="F1157" s="311" t="s">
        <v>281</v>
      </c>
      <c r="G1157" s="311" t="s">
        <v>23</v>
      </c>
      <c r="H1157" s="311" t="s">
        <v>408</v>
      </c>
      <c r="I1157" s="311" t="s">
        <v>56</v>
      </c>
      <c r="J1157" s="50" t="s">
        <v>1892</v>
      </c>
      <c r="K1157" s="50" t="s">
        <v>1892</v>
      </c>
      <c r="L1157" s="50" t="s">
        <v>1893</v>
      </c>
      <c r="M1157" s="50" t="s">
        <v>3570</v>
      </c>
      <c r="N1157" s="50" t="s">
        <v>3567</v>
      </c>
      <c r="O1157" s="50" t="s">
        <v>3567</v>
      </c>
      <c r="P1157" s="50" t="s">
        <v>3567</v>
      </c>
    </row>
    <row r="1158" spans="1:16" ht="12.75" customHeight="1" x14ac:dyDescent="0.25">
      <c r="A1158" s="311">
        <v>1155</v>
      </c>
      <c r="B1158" s="311" t="s">
        <v>84</v>
      </c>
      <c r="C1158" s="311" t="s">
        <v>462</v>
      </c>
      <c r="D1158" s="311" t="s">
        <v>462</v>
      </c>
      <c r="E1158" s="337" t="s">
        <v>462</v>
      </c>
      <c r="F1158" s="311" t="s">
        <v>281</v>
      </c>
      <c r="G1158" s="311" t="s">
        <v>23</v>
      </c>
      <c r="H1158" s="311" t="s">
        <v>408</v>
      </c>
      <c r="I1158" s="311" t="s">
        <v>56</v>
      </c>
      <c r="J1158" s="50" t="s">
        <v>1892</v>
      </c>
      <c r="K1158" s="50" t="s">
        <v>1892</v>
      </c>
      <c r="L1158" s="50" t="s">
        <v>1893</v>
      </c>
      <c r="M1158" s="50" t="s">
        <v>3571</v>
      </c>
      <c r="N1158" s="50" t="s">
        <v>3567</v>
      </c>
      <c r="O1158" s="50" t="s">
        <v>3567</v>
      </c>
      <c r="P1158" s="50" t="s">
        <v>3567</v>
      </c>
    </row>
    <row r="1159" spans="1:16" ht="12.75" customHeight="1" x14ac:dyDescent="0.25">
      <c r="A1159" s="311">
        <v>1156</v>
      </c>
      <c r="B1159" s="311" t="s">
        <v>123</v>
      </c>
      <c r="C1159" s="311" t="s">
        <v>462</v>
      </c>
      <c r="D1159" s="311" t="s">
        <v>462</v>
      </c>
      <c r="E1159" s="337" t="s">
        <v>462</v>
      </c>
      <c r="F1159" s="311" t="s">
        <v>281</v>
      </c>
      <c r="G1159" s="311" t="s">
        <v>23</v>
      </c>
      <c r="H1159" s="311" t="s">
        <v>408</v>
      </c>
      <c r="I1159" s="311" t="s">
        <v>56</v>
      </c>
      <c r="J1159" s="50" t="s">
        <v>1892</v>
      </c>
      <c r="K1159" s="50" t="s">
        <v>1892</v>
      </c>
      <c r="L1159" s="50" t="s">
        <v>1893</v>
      </c>
      <c r="M1159" s="50" t="s">
        <v>3572</v>
      </c>
      <c r="N1159" s="50" t="s">
        <v>3567</v>
      </c>
      <c r="O1159" s="50" t="s">
        <v>3567</v>
      </c>
      <c r="P1159" s="50" t="s">
        <v>3567</v>
      </c>
    </row>
    <row r="1160" spans="1:16" ht="12.75" customHeight="1" x14ac:dyDescent="0.25">
      <c r="A1160" s="311">
        <v>1157</v>
      </c>
      <c r="B1160" s="311" t="s">
        <v>75</v>
      </c>
      <c r="C1160" s="311" t="s">
        <v>462</v>
      </c>
      <c r="D1160" s="311" t="s">
        <v>462</v>
      </c>
      <c r="E1160" s="337" t="s">
        <v>462</v>
      </c>
      <c r="F1160" s="311" t="s">
        <v>281</v>
      </c>
      <c r="G1160" s="311" t="s">
        <v>23</v>
      </c>
      <c r="H1160" s="311" t="s">
        <v>408</v>
      </c>
      <c r="I1160" s="311" t="s">
        <v>56</v>
      </c>
      <c r="J1160" s="50" t="s">
        <v>1892</v>
      </c>
      <c r="K1160" s="50" t="s">
        <v>1892</v>
      </c>
      <c r="L1160" s="50" t="s">
        <v>1893</v>
      </c>
      <c r="M1160" s="50" t="s">
        <v>3573</v>
      </c>
      <c r="N1160" s="50" t="s">
        <v>3567</v>
      </c>
      <c r="O1160" s="50" t="s">
        <v>3567</v>
      </c>
      <c r="P1160" s="50" t="s">
        <v>3567</v>
      </c>
    </row>
    <row r="1161" spans="1:16" ht="12.75" customHeight="1" x14ac:dyDescent="0.25">
      <c r="A1161" s="311">
        <v>1158</v>
      </c>
      <c r="B1161" s="311" t="s">
        <v>72</v>
      </c>
      <c r="C1161" s="311" t="s">
        <v>462</v>
      </c>
      <c r="D1161" s="311" t="s">
        <v>462</v>
      </c>
      <c r="E1161" s="337" t="s">
        <v>462</v>
      </c>
      <c r="F1161" s="311" t="s">
        <v>281</v>
      </c>
      <c r="G1161" s="311" t="s">
        <v>237</v>
      </c>
      <c r="H1161" s="311" t="s">
        <v>408</v>
      </c>
      <c r="I1161" s="311" t="s">
        <v>56</v>
      </c>
      <c r="J1161" s="50" t="s">
        <v>1892</v>
      </c>
      <c r="K1161" s="50" t="s">
        <v>1892</v>
      </c>
      <c r="L1161" s="50" t="s">
        <v>1893</v>
      </c>
      <c r="M1161" s="50" t="s">
        <v>3574</v>
      </c>
      <c r="N1161" s="50" t="s">
        <v>3575</v>
      </c>
      <c r="O1161" s="50" t="s">
        <v>3575</v>
      </c>
      <c r="P1161" s="50" t="s">
        <v>3575</v>
      </c>
    </row>
    <row r="1162" spans="1:16" ht="12.75" customHeight="1" x14ac:dyDescent="0.25">
      <c r="A1162" s="311">
        <v>1159</v>
      </c>
      <c r="B1162" s="311" t="s">
        <v>99</v>
      </c>
      <c r="C1162" s="311" t="s">
        <v>462</v>
      </c>
      <c r="D1162" s="311" t="s">
        <v>462</v>
      </c>
      <c r="E1162" s="337" t="s">
        <v>462</v>
      </c>
      <c r="F1162" s="311" t="s">
        <v>281</v>
      </c>
      <c r="G1162" s="311" t="s">
        <v>237</v>
      </c>
      <c r="H1162" s="311" t="s">
        <v>408</v>
      </c>
      <c r="I1162" s="311" t="s">
        <v>56</v>
      </c>
      <c r="J1162" s="50" t="s">
        <v>1892</v>
      </c>
      <c r="K1162" s="50" t="s">
        <v>1892</v>
      </c>
      <c r="L1162" s="50" t="s">
        <v>1893</v>
      </c>
      <c r="M1162" s="50" t="s">
        <v>3576</v>
      </c>
      <c r="N1162" s="50" t="s">
        <v>3575</v>
      </c>
      <c r="O1162" s="50" t="s">
        <v>3575</v>
      </c>
      <c r="P1162" s="50" t="s">
        <v>3575</v>
      </c>
    </row>
    <row r="1163" spans="1:16" ht="12.75" customHeight="1" x14ac:dyDescent="0.25">
      <c r="A1163" s="311">
        <v>1160</v>
      </c>
      <c r="B1163" s="311" t="s">
        <v>60</v>
      </c>
      <c r="C1163" s="311" t="s">
        <v>462</v>
      </c>
      <c r="D1163" s="311" t="s">
        <v>462</v>
      </c>
      <c r="E1163" s="337" t="s">
        <v>462</v>
      </c>
      <c r="F1163" s="311" t="s">
        <v>281</v>
      </c>
      <c r="G1163" s="311" t="s">
        <v>237</v>
      </c>
      <c r="H1163" s="311" t="s">
        <v>408</v>
      </c>
      <c r="I1163" s="311" t="s">
        <v>56</v>
      </c>
      <c r="J1163" s="50" t="s">
        <v>1892</v>
      </c>
      <c r="K1163" s="50" t="s">
        <v>1892</v>
      </c>
      <c r="L1163" s="50" t="s">
        <v>1893</v>
      </c>
      <c r="M1163" s="50" t="s">
        <v>3577</v>
      </c>
      <c r="N1163" s="50" t="s">
        <v>3575</v>
      </c>
      <c r="O1163" s="50" t="s">
        <v>3575</v>
      </c>
      <c r="P1163" s="50" t="s">
        <v>3575</v>
      </c>
    </row>
    <row r="1164" spans="1:16" ht="12.75" customHeight="1" x14ac:dyDescent="0.25">
      <c r="A1164" s="311">
        <v>1161</v>
      </c>
      <c r="B1164" s="311" t="s">
        <v>94</v>
      </c>
      <c r="C1164" s="311" t="s">
        <v>462</v>
      </c>
      <c r="D1164" s="311" t="s">
        <v>462</v>
      </c>
      <c r="E1164" s="337" t="s">
        <v>462</v>
      </c>
      <c r="F1164" s="311" t="s">
        <v>281</v>
      </c>
      <c r="G1164" s="311" t="s">
        <v>237</v>
      </c>
      <c r="H1164" s="311" t="s">
        <v>408</v>
      </c>
      <c r="I1164" s="311" t="s">
        <v>56</v>
      </c>
      <c r="J1164" s="50" t="s">
        <v>1892</v>
      </c>
      <c r="K1164" s="50" t="s">
        <v>1892</v>
      </c>
      <c r="L1164" s="50" t="s">
        <v>1893</v>
      </c>
      <c r="M1164" s="50" t="s">
        <v>3578</v>
      </c>
      <c r="N1164" s="50" t="s">
        <v>3575</v>
      </c>
      <c r="O1164" s="50" t="s">
        <v>3575</v>
      </c>
      <c r="P1164" s="50" t="s">
        <v>3575</v>
      </c>
    </row>
    <row r="1165" spans="1:16" ht="12.75" customHeight="1" x14ac:dyDescent="0.25">
      <c r="A1165" s="311">
        <v>1162</v>
      </c>
      <c r="B1165" s="311" t="s">
        <v>84</v>
      </c>
      <c r="C1165" s="311" t="s">
        <v>462</v>
      </c>
      <c r="D1165" s="311" t="s">
        <v>462</v>
      </c>
      <c r="E1165" s="337" t="s">
        <v>462</v>
      </c>
      <c r="F1165" s="311" t="s">
        <v>281</v>
      </c>
      <c r="G1165" s="311" t="s">
        <v>237</v>
      </c>
      <c r="H1165" s="311" t="s">
        <v>408</v>
      </c>
      <c r="I1165" s="311" t="s">
        <v>56</v>
      </c>
      <c r="J1165" s="50" t="s">
        <v>1892</v>
      </c>
      <c r="K1165" s="50" t="s">
        <v>1892</v>
      </c>
      <c r="L1165" s="50" t="s">
        <v>1893</v>
      </c>
      <c r="M1165" s="50" t="s">
        <v>3579</v>
      </c>
      <c r="N1165" s="50" t="s">
        <v>3575</v>
      </c>
      <c r="O1165" s="50" t="s">
        <v>3575</v>
      </c>
      <c r="P1165" s="50" t="s">
        <v>3575</v>
      </c>
    </row>
    <row r="1166" spans="1:16" ht="12.75" customHeight="1" x14ac:dyDescent="0.25">
      <c r="A1166" s="311">
        <v>1163</v>
      </c>
      <c r="B1166" s="311" t="s">
        <v>123</v>
      </c>
      <c r="C1166" s="311" t="s">
        <v>462</v>
      </c>
      <c r="D1166" s="311" t="s">
        <v>462</v>
      </c>
      <c r="E1166" s="337" t="s">
        <v>462</v>
      </c>
      <c r="F1166" s="311" t="s">
        <v>281</v>
      </c>
      <c r="G1166" s="311" t="s">
        <v>237</v>
      </c>
      <c r="H1166" s="311" t="s">
        <v>408</v>
      </c>
      <c r="I1166" s="311" t="s">
        <v>56</v>
      </c>
      <c r="J1166" s="50" t="s">
        <v>1892</v>
      </c>
      <c r="K1166" s="50" t="s">
        <v>1892</v>
      </c>
      <c r="L1166" s="50" t="s">
        <v>1893</v>
      </c>
      <c r="M1166" s="50" t="s">
        <v>3580</v>
      </c>
      <c r="N1166" s="50" t="s">
        <v>3575</v>
      </c>
      <c r="O1166" s="50" t="s">
        <v>3575</v>
      </c>
      <c r="P1166" s="50" t="s">
        <v>3575</v>
      </c>
    </row>
    <row r="1167" spans="1:16" ht="12.75" customHeight="1" x14ac:dyDescent="0.25">
      <c r="A1167" s="311">
        <v>1164</v>
      </c>
      <c r="B1167" s="311" t="s">
        <v>75</v>
      </c>
      <c r="C1167" s="311" t="s">
        <v>462</v>
      </c>
      <c r="D1167" s="311" t="s">
        <v>462</v>
      </c>
      <c r="E1167" s="337" t="s">
        <v>462</v>
      </c>
      <c r="F1167" s="311" t="s">
        <v>281</v>
      </c>
      <c r="G1167" s="311" t="s">
        <v>237</v>
      </c>
      <c r="H1167" s="311" t="s">
        <v>408</v>
      </c>
      <c r="I1167" s="311" t="s">
        <v>56</v>
      </c>
      <c r="J1167" s="50" t="s">
        <v>1892</v>
      </c>
      <c r="K1167" s="50" t="s">
        <v>1892</v>
      </c>
      <c r="L1167" s="50" t="s">
        <v>1893</v>
      </c>
      <c r="M1167" s="50" t="s">
        <v>3581</v>
      </c>
      <c r="N1167" s="50" t="s">
        <v>3575</v>
      </c>
      <c r="O1167" s="50" t="s">
        <v>3575</v>
      </c>
      <c r="P1167" s="50" t="s">
        <v>3575</v>
      </c>
    </row>
    <row r="1168" spans="1:16" ht="12.75" customHeight="1" x14ac:dyDescent="0.25">
      <c r="A1168" s="311">
        <v>1165</v>
      </c>
      <c r="B1168" s="311" t="s">
        <v>72</v>
      </c>
      <c r="C1168" s="311" t="s">
        <v>462</v>
      </c>
      <c r="D1168" s="311" t="s">
        <v>462</v>
      </c>
      <c r="E1168" s="337" t="s">
        <v>462</v>
      </c>
      <c r="F1168" s="311" t="s">
        <v>272</v>
      </c>
      <c r="G1168" s="311" t="s">
        <v>236</v>
      </c>
      <c r="H1168" s="311" t="s">
        <v>408</v>
      </c>
      <c r="I1168" s="311" t="s">
        <v>56</v>
      </c>
      <c r="J1168" s="50" t="s">
        <v>1892</v>
      </c>
      <c r="K1168" s="50" t="s">
        <v>1892</v>
      </c>
      <c r="L1168" s="50" t="s">
        <v>1893</v>
      </c>
      <c r="M1168" s="50" t="s">
        <v>3582</v>
      </c>
      <c r="N1168" s="50" t="s">
        <v>3583</v>
      </c>
      <c r="O1168" s="50" t="s">
        <v>3583</v>
      </c>
      <c r="P1168" s="50" t="s">
        <v>3583</v>
      </c>
    </row>
    <row r="1169" spans="1:16" ht="12.75" customHeight="1" x14ac:dyDescent="0.25">
      <c r="A1169" s="311">
        <v>1166</v>
      </c>
      <c r="B1169" s="311" t="s">
        <v>99</v>
      </c>
      <c r="C1169" s="311" t="s">
        <v>462</v>
      </c>
      <c r="D1169" s="311" t="s">
        <v>462</v>
      </c>
      <c r="E1169" s="337" t="s">
        <v>462</v>
      </c>
      <c r="F1169" s="311" t="s">
        <v>272</v>
      </c>
      <c r="G1169" s="311" t="s">
        <v>236</v>
      </c>
      <c r="H1169" s="311" t="s">
        <v>408</v>
      </c>
      <c r="I1169" s="311" t="s">
        <v>56</v>
      </c>
      <c r="J1169" s="50" t="s">
        <v>1892</v>
      </c>
      <c r="K1169" s="50" t="s">
        <v>1892</v>
      </c>
      <c r="L1169" s="50" t="s">
        <v>1893</v>
      </c>
      <c r="M1169" s="50" t="s">
        <v>3584</v>
      </c>
      <c r="N1169" s="50" t="s">
        <v>3583</v>
      </c>
      <c r="O1169" s="50" t="s">
        <v>3583</v>
      </c>
      <c r="P1169" s="50" t="s">
        <v>3583</v>
      </c>
    </row>
    <row r="1170" spans="1:16" ht="12.75" customHeight="1" x14ac:dyDescent="0.25">
      <c r="A1170" s="311">
        <v>1167</v>
      </c>
      <c r="B1170" s="311" t="s">
        <v>60</v>
      </c>
      <c r="C1170" s="311" t="s">
        <v>462</v>
      </c>
      <c r="D1170" s="311" t="s">
        <v>462</v>
      </c>
      <c r="E1170" s="337" t="s">
        <v>462</v>
      </c>
      <c r="F1170" s="311" t="s">
        <v>272</v>
      </c>
      <c r="G1170" s="311" t="s">
        <v>236</v>
      </c>
      <c r="H1170" s="311" t="s">
        <v>408</v>
      </c>
      <c r="I1170" s="311" t="s">
        <v>56</v>
      </c>
      <c r="J1170" s="50" t="s">
        <v>1892</v>
      </c>
      <c r="K1170" s="50" t="s">
        <v>1892</v>
      </c>
      <c r="L1170" s="50" t="s">
        <v>1893</v>
      </c>
      <c r="M1170" s="50" t="s">
        <v>3585</v>
      </c>
      <c r="N1170" s="50" t="s">
        <v>3583</v>
      </c>
      <c r="O1170" s="50" t="s">
        <v>3583</v>
      </c>
      <c r="P1170" s="50" t="s">
        <v>3583</v>
      </c>
    </row>
    <row r="1171" spans="1:16" ht="12.75" customHeight="1" x14ac:dyDescent="0.25">
      <c r="A1171" s="311">
        <v>1168</v>
      </c>
      <c r="B1171" s="311" t="s">
        <v>94</v>
      </c>
      <c r="C1171" s="311" t="s">
        <v>462</v>
      </c>
      <c r="D1171" s="311" t="s">
        <v>462</v>
      </c>
      <c r="E1171" s="337" t="s">
        <v>462</v>
      </c>
      <c r="F1171" s="311" t="s">
        <v>272</v>
      </c>
      <c r="G1171" s="311" t="s">
        <v>236</v>
      </c>
      <c r="H1171" s="311" t="s">
        <v>408</v>
      </c>
      <c r="I1171" s="311" t="s">
        <v>56</v>
      </c>
      <c r="J1171" s="50" t="s">
        <v>1892</v>
      </c>
      <c r="K1171" s="50" t="s">
        <v>1892</v>
      </c>
      <c r="L1171" s="50" t="s">
        <v>1893</v>
      </c>
      <c r="M1171" s="50" t="s">
        <v>3586</v>
      </c>
      <c r="N1171" s="50" t="s">
        <v>3583</v>
      </c>
      <c r="O1171" s="50" t="s">
        <v>3583</v>
      </c>
      <c r="P1171" s="50" t="s">
        <v>3583</v>
      </c>
    </row>
    <row r="1172" spans="1:16" ht="12.75" customHeight="1" x14ac:dyDescent="0.25">
      <c r="A1172" s="311">
        <v>1169</v>
      </c>
      <c r="B1172" s="311" t="s">
        <v>84</v>
      </c>
      <c r="C1172" s="311" t="s">
        <v>462</v>
      </c>
      <c r="D1172" s="311" t="s">
        <v>462</v>
      </c>
      <c r="E1172" s="337" t="s">
        <v>462</v>
      </c>
      <c r="F1172" s="311" t="s">
        <v>272</v>
      </c>
      <c r="G1172" s="311" t="s">
        <v>236</v>
      </c>
      <c r="H1172" s="311" t="s">
        <v>408</v>
      </c>
      <c r="I1172" s="311" t="s">
        <v>56</v>
      </c>
      <c r="J1172" s="50" t="s">
        <v>1892</v>
      </c>
      <c r="K1172" s="50" t="s">
        <v>1892</v>
      </c>
      <c r="L1172" s="50" t="s">
        <v>1893</v>
      </c>
      <c r="M1172" s="50" t="s">
        <v>3587</v>
      </c>
      <c r="N1172" s="50" t="s">
        <v>3583</v>
      </c>
      <c r="O1172" s="50" t="s">
        <v>3583</v>
      </c>
      <c r="P1172" s="50" t="s">
        <v>3583</v>
      </c>
    </row>
    <row r="1173" spans="1:16" ht="12.75" customHeight="1" x14ac:dyDescent="0.25">
      <c r="A1173" s="311">
        <v>1170</v>
      </c>
      <c r="B1173" s="311" t="s">
        <v>123</v>
      </c>
      <c r="C1173" s="311" t="s">
        <v>462</v>
      </c>
      <c r="D1173" s="311" t="s">
        <v>462</v>
      </c>
      <c r="E1173" s="337" t="s">
        <v>462</v>
      </c>
      <c r="F1173" s="311" t="s">
        <v>272</v>
      </c>
      <c r="G1173" s="311" t="s">
        <v>236</v>
      </c>
      <c r="H1173" s="311" t="s">
        <v>408</v>
      </c>
      <c r="I1173" s="311" t="s">
        <v>56</v>
      </c>
      <c r="J1173" s="50" t="s">
        <v>1892</v>
      </c>
      <c r="K1173" s="50" t="s">
        <v>1892</v>
      </c>
      <c r="L1173" s="50" t="s">
        <v>1893</v>
      </c>
      <c r="M1173" s="50" t="s">
        <v>3588</v>
      </c>
      <c r="N1173" s="50" t="s">
        <v>3583</v>
      </c>
      <c r="O1173" s="50" t="s">
        <v>3583</v>
      </c>
      <c r="P1173" s="50" t="s">
        <v>3583</v>
      </c>
    </row>
    <row r="1174" spans="1:16" ht="12.75" customHeight="1" x14ac:dyDescent="0.25">
      <c r="A1174" s="311">
        <v>1171</v>
      </c>
      <c r="B1174" s="311" t="s">
        <v>75</v>
      </c>
      <c r="C1174" s="311" t="s">
        <v>462</v>
      </c>
      <c r="D1174" s="311" t="s">
        <v>462</v>
      </c>
      <c r="E1174" s="337" t="s">
        <v>462</v>
      </c>
      <c r="F1174" s="311" t="s">
        <v>272</v>
      </c>
      <c r="G1174" s="311" t="s">
        <v>236</v>
      </c>
      <c r="H1174" s="311" t="s">
        <v>408</v>
      </c>
      <c r="I1174" s="311" t="s">
        <v>56</v>
      </c>
      <c r="J1174" s="50" t="s">
        <v>1892</v>
      </c>
      <c r="K1174" s="50" t="s">
        <v>1892</v>
      </c>
      <c r="L1174" s="50" t="s">
        <v>1893</v>
      </c>
      <c r="M1174" s="50" t="s">
        <v>3589</v>
      </c>
      <c r="N1174" s="50" t="s">
        <v>3583</v>
      </c>
      <c r="O1174" s="50" t="s">
        <v>3583</v>
      </c>
      <c r="P1174" s="50" t="s">
        <v>3583</v>
      </c>
    </row>
    <row r="1175" spans="1:16" ht="12.75" customHeight="1" x14ac:dyDescent="0.25">
      <c r="A1175" s="311">
        <v>1172</v>
      </c>
      <c r="B1175" s="311" t="s">
        <v>72</v>
      </c>
      <c r="C1175" s="311" t="s">
        <v>462</v>
      </c>
      <c r="D1175" s="311" t="s">
        <v>462</v>
      </c>
      <c r="E1175" s="337" t="s">
        <v>462</v>
      </c>
      <c r="F1175" s="311" t="s">
        <v>272</v>
      </c>
      <c r="G1175" s="311" t="s">
        <v>23</v>
      </c>
      <c r="H1175" s="311" t="s">
        <v>408</v>
      </c>
      <c r="I1175" s="311" t="s">
        <v>56</v>
      </c>
      <c r="J1175" s="50" t="s">
        <v>1892</v>
      </c>
      <c r="K1175" s="50" t="s">
        <v>1892</v>
      </c>
      <c r="L1175" s="50" t="s">
        <v>1893</v>
      </c>
      <c r="M1175" s="50" t="s">
        <v>3590</v>
      </c>
      <c r="N1175" s="50" t="s">
        <v>3591</v>
      </c>
      <c r="O1175" s="50" t="s">
        <v>3591</v>
      </c>
      <c r="P1175" s="50" t="s">
        <v>3591</v>
      </c>
    </row>
    <row r="1176" spans="1:16" ht="12.75" customHeight="1" x14ac:dyDescent="0.25">
      <c r="A1176" s="311">
        <v>1173</v>
      </c>
      <c r="B1176" s="311" t="s">
        <v>99</v>
      </c>
      <c r="C1176" s="311" t="s">
        <v>462</v>
      </c>
      <c r="D1176" s="311" t="s">
        <v>462</v>
      </c>
      <c r="E1176" s="337" t="s">
        <v>462</v>
      </c>
      <c r="F1176" s="311" t="s">
        <v>272</v>
      </c>
      <c r="G1176" s="311" t="s">
        <v>23</v>
      </c>
      <c r="H1176" s="311" t="s">
        <v>408</v>
      </c>
      <c r="I1176" s="311" t="s">
        <v>56</v>
      </c>
      <c r="J1176" s="50" t="s">
        <v>1892</v>
      </c>
      <c r="K1176" s="50" t="s">
        <v>1892</v>
      </c>
      <c r="L1176" s="50" t="s">
        <v>1893</v>
      </c>
      <c r="M1176" s="50" t="s">
        <v>3592</v>
      </c>
      <c r="N1176" s="50" t="s">
        <v>3591</v>
      </c>
      <c r="O1176" s="50" t="s">
        <v>3591</v>
      </c>
      <c r="P1176" s="50" t="s">
        <v>3591</v>
      </c>
    </row>
    <row r="1177" spans="1:16" ht="12.75" customHeight="1" x14ac:dyDescent="0.25">
      <c r="A1177" s="311">
        <v>1174</v>
      </c>
      <c r="B1177" s="311" t="s">
        <v>60</v>
      </c>
      <c r="C1177" s="311" t="s">
        <v>462</v>
      </c>
      <c r="D1177" s="311" t="s">
        <v>462</v>
      </c>
      <c r="E1177" s="337" t="s">
        <v>462</v>
      </c>
      <c r="F1177" s="311" t="s">
        <v>272</v>
      </c>
      <c r="G1177" s="311" t="s">
        <v>23</v>
      </c>
      <c r="H1177" s="311" t="s">
        <v>408</v>
      </c>
      <c r="I1177" s="311" t="s">
        <v>56</v>
      </c>
      <c r="J1177" s="50" t="s">
        <v>1892</v>
      </c>
      <c r="K1177" s="50" t="s">
        <v>1892</v>
      </c>
      <c r="L1177" s="50" t="s">
        <v>1893</v>
      </c>
      <c r="M1177" s="50" t="s">
        <v>3593</v>
      </c>
      <c r="N1177" s="50" t="s">
        <v>3591</v>
      </c>
      <c r="O1177" s="50" t="s">
        <v>3591</v>
      </c>
      <c r="P1177" s="50" t="s">
        <v>3591</v>
      </c>
    </row>
    <row r="1178" spans="1:16" ht="12.75" customHeight="1" x14ac:dyDescent="0.25">
      <c r="A1178" s="311">
        <v>1175</v>
      </c>
      <c r="B1178" s="311" t="s">
        <v>94</v>
      </c>
      <c r="C1178" s="311" t="s">
        <v>462</v>
      </c>
      <c r="D1178" s="311" t="s">
        <v>462</v>
      </c>
      <c r="E1178" s="337" t="s">
        <v>462</v>
      </c>
      <c r="F1178" s="311" t="s">
        <v>272</v>
      </c>
      <c r="G1178" s="311" t="s">
        <v>23</v>
      </c>
      <c r="H1178" s="311" t="s">
        <v>408</v>
      </c>
      <c r="I1178" s="311" t="s">
        <v>56</v>
      </c>
      <c r="J1178" s="50" t="s">
        <v>1892</v>
      </c>
      <c r="K1178" s="50" t="s">
        <v>1892</v>
      </c>
      <c r="L1178" s="50" t="s">
        <v>1893</v>
      </c>
      <c r="M1178" s="50" t="s">
        <v>3594</v>
      </c>
      <c r="N1178" s="50" t="s">
        <v>3591</v>
      </c>
      <c r="O1178" s="50" t="s">
        <v>3591</v>
      </c>
      <c r="P1178" s="50" t="s">
        <v>3591</v>
      </c>
    </row>
    <row r="1179" spans="1:16" ht="12.75" customHeight="1" x14ac:dyDescent="0.25">
      <c r="A1179" s="311">
        <v>1176</v>
      </c>
      <c r="B1179" s="311" t="s">
        <v>84</v>
      </c>
      <c r="C1179" s="311" t="s">
        <v>462</v>
      </c>
      <c r="D1179" s="311" t="s">
        <v>462</v>
      </c>
      <c r="E1179" s="337" t="s">
        <v>462</v>
      </c>
      <c r="F1179" s="311" t="s">
        <v>272</v>
      </c>
      <c r="G1179" s="311" t="s">
        <v>23</v>
      </c>
      <c r="H1179" s="311" t="s">
        <v>408</v>
      </c>
      <c r="I1179" s="311" t="s">
        <v>56</v>
      </c>
      <c r="J1179" s="50" t="s">
        <v>1892</v>
      </c>
      <c r="K1179" s="50" t="s">
        <v>1892</v>
      </c>
      <c r="L1179" s="50" t="s">
        <v>1893</v>
      </c>
      <c r="M1179" s="50" t="s">
        <v>3595</v>
      </c>
      <c r="N1179" s="50" t="s">
        <v>3591</v>
      </c>
      <c r="O1179" s="50" t="s">
        <v>3591</v>
      </c>
      <c r="P1179" s="50" t="s">
        <v>3591</v>
      </c>
    </row>
    <row r="1180" spans="1:16" ht="12.75" customHeight="1" x14ac:dyDescent="0.25">
      <c r="A1180" s="311">
        <v>1177</v>
      </c>
      <c r="B1180" s="311" t="s">
        <v>123</v>
      </c>
      <c r="C1180" s="311" t="s">
        <v>462</v>
      </c>
      <c r="D1180" s="311" t="s">
        <v>462</v>
      </c>
      <c r="E1180" s="337" t="s">
        <v>462</v>
      </c>
      <c r="F1180" s="311" t="s">
        <v>272</v>
      </c>
      <c r="G1180" s="311" t="s">
        <v>23</v>
      </c>
      <c r="H1180" s="311" t="s">
        <v>408</v>
      </c>
      <c r="I1180" s="311" t="s">
        <v>56</v>
      </c>
      <c r="J1180" s="50" t="s">
        <v>1892</v>
      </c>
      <c r="K1180" s="50" t="s">
        <v>1892</v>
      </c>
      <c r="L1180" s="50" t="s">
        <v>1893</v>
      </c>
      <c r="M1180" s="50" t="s">
        <v>3596</v>
      </c>
      <c r="N1180" s="50" t="s">
        <v>3591</v>
      </c>
      <c r="O1180" s="50" t="s">
        <v>3591</v>
      </c>
      <c r="P1180" s="50" t="s">
        <v>3591</v>
      </c>
    </row>
    <row r="1181" spans="1:16" ht="12.75" customHeight="1" x14ac:dyDescent="0.25">
      <c r="A1181" s="311">
        <v>1178</v>
      </c>
      <c r="B1181" s="311" t="s">
        <v>75</v>
      </c>
      <c r="C1181" s="311" t="s">
        <v>462</v>
      </c>
      <c r="D1181" s="311" t="s">
        <v>462</v>
      </c>
      <c r="E1181" s="337" t="s">
        <v>462</v>
      </c>
      <c r="F1181" s="311" t="s">
        <v>272</v>
      </c>
      <c r="G1181" s="311" t="s">
        <v>23</v>
      </c>
      <c r="H1181" s="311" t="s">
        <v>408</v>
      </c>
      <c r="I1181" s="311" t="s">
        <v>56</v>
      </c>
      <c r="J1181" s="50" t="s">
        <v>1892</v>
      </c>
      <c r="K1181" s="50" t="s">
        <v>1892</v>
      </c>
      <c r="L1181" s="50" t="s">
        <v>1893</v>
      </c>
      <c r="M1181" s="50" t="s">
        <v>3597</v>
      </c>
      <c r="N1181" s="50" t="s">
        <v>3591</v>
      </c>
      <c r="O1181" s="50" t="s">
        <v>3591</v>
      </c>
      <c r="P1181" s="50" t="s">
        <v>3591</v>
      </c>
    </row>
    <row r="1182" spans="1:16" ht="12.75" customHeight="1" x14ac:dyDescent="0.25">
      <c r="A1182" s="311">
        <v>1179</v>
      </c>
      <c r="B1182" s="311" t="s">
        <v>72</v>
      </c>
      <c r="C1182" s="311" t="s">
        <v>462</v>
      </c>
      <c r="D1182" s="311" t="s">
        <v>462</v>
      </c>
      <c r="E1182" s="337" t="s">
        <v>462</v>
      </c>
      <c r="F1182" s="311" t="s">
        <v>272</v>
      </c>
      <c r="G1182" s="311" t="s">
        <v>237</v>
      </c>
      <c r="H1182" s="311" t="s">
        <v>408</v>
      </c>
      <c r="I1182" s="311" t="s">
        <v>56</v>
      </c>
      <c r="J1182" s="50" t="s">
        <v>1892</v>
      </c>
      <c r="K1182" s="50" t="s">
        <v>1892</v>
      </c>
      <c r="L1182" s="50" t="s">
        <v>1893</v>
      </c>
      <c r="M1182" s="50" t="s">
        <v>3598</v>
      </c>
      <c r="N1182" s="50" t="s">
        <v>3599</v>
      </c>
      <c r="O1182" s="50" t="s">
        <v>3599</v>
      </c>
      <c r="P1182" s="50" t="s">
        <v>3599</v>
      </c>
    </row>
    <row r="1183" spans="1:16" ht="12.75" customHeight="1" x14ac:dyDescent="0.25">
      <c r="A1183" s="311">
        <v>1180</v>
      </c>
      <c r="B1183" s="311" t="s">
        <v>99</v>
      </c>
      <c r="C1183" s="311" t="s">
        <v>462</v>
      </c>
      <c r="D1183" s="311" t="s">
        <v>462</v>
      </c>
      <c r="E1183" s="337" t="s">
        <v>462</v>
      </c>
      <c r="F1183" s="311" t="s">
        <v>272</v>
      </c>
      <c r="G1183" s="311" t="s">
        <v>237</v>
      </c>
      <c r="H1183" s="311" t="s">
        <v>408</v>
      </c>
      <c r="I1183" s="311" t="s">
        <v>56</v>
      </c>
      <c r="J1183" s="50" t="s">
        <v>1892</v>
      </c>
      <c r="K1183" s="50" t="s">
        <v>1892</v>
      </c>
      <c r="L1183" s="50" t="s">
        <v>1893</v>
      </c>
      <c r="M1183" s="50" t="s">
        <v>3600</v>
      </c>
      <c r="N1183" s="50" t="s">
        <v>3599</v>
      </c>
      <c r="O1183" s="50" t="s">
        <v>3599</v>
      </c>
      <c r="P1183" s="50" t="s">
        <v>3599</v>
      </c>
    </row>
    <row r="1184" spans="1:16" ht="12.75" customHeight="1" x14ac:dyDescent="0.25">
      <c r="A1184" s="311">
        <v>1181</v>
      </c>
      <c r="B1184" s="311" t="s">
        <v>60</v>
      </c>
      <c r="C1184" s="311" t="s">
        <v>462</v>
      </c>
      <c r="D1184" s="311" t="s">
        <v>462</v>
      </c>
      <c r="E1184" s="337" t="s">
        <v>462</v>
      </c>
      <c r="F1184" s="311" t="s">
        <v>272</v>
      </c>
      <c r="G1184" s="311" t="s">
        <v>237</v>
      </c>
      <c r="H1184" s="311" t="s">
        <v>408</v>
      </c>
      <c r="I1184" s="311" t="s">
        <v>56</v>
      </c>
      <c r="J1184" s="50" t="s">
        <v>1892</v>
      </c>
      <c r="K1184" s="50" t="s">
        <v>1892</v>
      </c>
      <c r="L1184" s="50" t="s">
        <v>1893</v>
      </c>
      <c r="M1184" s="50" t="s">
        <v>3601</v>
      </c>
      <c r="N1184" s="50" t="s">
        <v>3599</v>
      </c>
      <c r="O1184" s="50" t="s">
        <v>3599</v>
      </c>
      <c r="P1184" s="50" t="s">
        <v>3599</v>
      </c>
    </row>
    <row r="1185" spans="1:16" ht="12.75" customHeight="1" x14ac:dyDescent="0.25">
      <c r="A1185" s="311">
        <v>1182</v>
      </c>
      <c r="B1185" s="311" t="s">
        <v>94</v>
      </c>
      <c r="C1185" s="311" t="s">
        <v>462</v>
      </c>
      <c r="D1185" s="311" t="s">
        <v>462</v>
      </c>
      <c r="E1185" s="337" t="s">
        <v>462</v>
      </c>
      <c r="F1185" s="311" t="s">
        <v>272</v>
      </c>
      <c r="G1185" s="311" t="s">
        <v>237</v>
      </c>
      <c r="H1185" s="311" t="s">
        <v>408</v>
      </c>
      <c r="I1185" s="311" t="s">
        <v>56</v>
      </c>
      <c r="J1185" s="50" t="s">
        <v>1892</v>
      </c>
      <c r="K1185" s="50" t="s">
        <v>1892</v>
      </c>
      <c r="L1185" s="50" t="s">
        <v>1893</v>
      </c>
      <c r="M1185" s="50" t="s">
        <v>3602</v>
      </c>
      <c r="N1185" s="50" t="s">
        <v>3599</v>
      </c>
      <c r="O1185" s="50" t="s">
        <v>3599</v>
      </c>
      <c r="P1185" s="50" t="s">
        <v>3599</v>
      </c>
    </row>
    <row r="1186" spans="1:16" ht="12.75" customHeight="1" x14ac:dyDescent="0.25">
      <c r="A1186" s="311">
        <v>1183</v>
      </c>
      <c r="B1186" s="311" t="s">
        <v>84</v>
      </c>
      <c r="C1186" s="311" t="s">
        <v>462</v>
      </c>
      <c r="D1186" s="311" t="s">
        <v>462</v>
      </c>
      <c r="E1186" s="337" t="s">
        <v>462</v>
      </c>
      <c r="F1186" s="311" t="s">
        <v>272</v>
      </c>
      <c r="G1186" s="311" t="s">
        <v>237</v>
      </c>
      <c r="H1186" s="311" t="s">
        <v>408</v>
      </c>
      <c r="I1186" s="311" t="s">
        <v>56</v>
      </c>
      <c r="J1186" s="50" t="s">
        <v>1892</v>
      </c>
      <c r="K1186" s="50" t="s">
        <v>1892</v>
      </c>
      <c r="L1186" s="50" t="s">
        <v>1893</v>
      </c>
      <c r="M1186" s="50" t="s">
        <v>3603</v>
      </c>
      <c r="N1186" s="50" t="s">
        <v>3599</v>
      </c>
      <c r="O1186" s="50" t="s">
        <v>3599</v>
      </c>
      <c r="P1186" s="50" t="s">
        <v>3599</v>
      </c>
    </row>
    <row r="1187" spans="1:16" ht="12.75" customHeight="1" x14ac:dyDescent="0.25">
      <c r="A1187" s="311">
        <v>1184</v>
      </c>
      <c r="B1187" s="311" t="s">
        <v>123</v>
      </c>
      <c r="C1187" s="311" t="s">
        <v>462</v>
      </c>
      <c r="D1187" s="311" t="s">
        <v>462</v>
      </c>
      <c r="E1187" s="337" t="s">
        <v>462</v>
      </c>
      <c r="F1187" s="311" t="s">
        <v>272</v>
      </c>
      <c r="G1187" s="311" t="s">
        <v>237</v>
      </c>
      <c r="H1187" s="311" t="s">
        <v>408</v>
      </c>
      <c r="I1187" s="311" t="s">
        <v>56</v>
      </c>
      <c r="J1187" s="50" t="s">
        <v>1892</v>
      </c>
      <c r="K1187" s="50" t="s">
        <v>1892</v>
      </c>
      <c r="L1187" s="50" t="s">
        <v>1893</v>
      </c>
      <c r="M1187" s="50" t="s">
        <v>3604</v>
      </c>
      <c r="N1187" s="50" t="s">
        <v>3599</v>
      </c>
      <c r="O1187" s="50" t="s">
        <v>3599</v>
      </c>
      <c r="P1187" s="50" t="s">
        <v>3599</v>
      </c>
    </row>
    <row r="1188" spans="1:16" ht="12.75" customHeight="1" x14ac:dyDescent="0.25">
      <c r="A1188" s="311">
        <v>1185</v>
      </c>
      <c r="B1188" s="311" t="s">
        <v>75</v>
      </c>
      <c r="C1188" s="311" t="s">
        <v>462</v>
      </c>
      <c r="D1188" s="311" t="s">
        <v>462</v>
      </c>
      <c r="E1188" s="337" t="s">
        <v>462</v>
      </c>
      <c r="F1188" s="311" t="s">
        <v>272</v>
      </c>
      <c r="G1188" s="311" t="s">
        <v>237</v>
      </c>
      <c r="H1188" s="311" t="s">
        <v>408</v>
      </c>
      <c r="I1188" s="311" t="s">
        <v>56</v>
      </c>
      <c r="J1188" s="50" t="s">
        <v>1892</v>
      </c>
      <c r="K1188" s="50" t="s">
        <v>1892</v>
      </c>
      <c r="L1188" s="50" t="s">
        <v>1893</v>
      </c>
      <c r="M1188" s="50" t="s">
        <v>3605</v>
      </c>
      <c r="N1188" s="50" t="s">
        <v>3599</v>
      </c>
      <c r="O1188" s="50" t="s">
        <v>3599</v>
      </c>
      <c r="P1188" s="50" t="s">
        <v>3599</v>
      </c>
    </row>
    <row r="1189" spans="1:16" ht="12.75" customHeight="1" x14ac:dyDescent="0.25">
      <c r="A1189" s="311">
        <v>1186</v>
      </c>
      <c r="B1189" s="311" t="s">
        <v>72</v>
      </c>
      <c r="C1189" s="311" t="s">
        <v>462</v>
      </c>
      <c r="D1189" s="311" t="s">
        <v>462</v>
      </c>
      <c r="E1189" s="337" t="s">
        <v>462</v>
      </c>
      <c r="F1189" s="311" t="s">
        <v>285</v>
      </c>
      <c r="G1189" s="311" t="s">
        <v>236</v>
      </c>
      <c r="H1189" s="311" t="s">
        <v>408</v>
      </c>
      <c r="I1189" s="311" t="s">
        <v>56</v>
      </c>
      <c r="J1189" s="50" t="s">
        <v>1892</v>
      </c>
      <c r="K1189" s="50" t="s">
        <v>1892</v>
      </c>
      <c r="L1189" s="50" t="s">
        <v>1893</v>
      </c>
      <c r="M1189" s="50" t="s">
        <v>3606</v>
      </c>
      <c r="N1189" s="50" t="s">
        <v>3607</v>
      </c>
      <c r="O1189" s="50" t="s">
        <v>3607</v>
      </c>
      <c r="P1189" s="50" t="s">
        <v>3607</v>
      </c>
    </row>
    <row r="1190" spans="1:16" ht="12.75" customHeight="1" x14ac:dyDescent="0.25">
      <c r="A1190" s="311">
        <v>1187</v>
      </c>
      <c r="B1190" s="311" t="s">
        <v>99</v>
      </c>
      <c r="C1190" s="311" t="s">
        <v>462</v>
      </c>
      <c r="D1190" s="311" t="s">
        <v>462</v>
      </c>
      <c r="E1190" s="337" t="s">
        <v>462</v>
      </c>
      <c r="F1190" s="311" t="s">
        <v>285</v>
      </c>
      <c r="G1190" s="311" t="s">
        <v>236</v>
      </c>
      <c r="H1190" s="311" t="s">
        <v>408</v>
      </c>
      <c r="I1190" s="311" t="s">
        <v>56</v>
      </c>
      <c r="J1190" s="50" t="s">
        <v>1892</v>
      </c>
      <c r="K1190" s="50" t="s">
        <v>1892</v>
      </c>
      <c r="L1190" s="50" t="s">
        <v>1893</v>
      </c>
      <c r="M1190" s="50" t="s">
        <v>3608</v>
      </c>
      <c r="N1190" s="50" t="s">
        <v>3607</v>
      </c>
      <c r="O1190" s="50" t="s">
        <v>3607</v>
      </c>
      <c r="P1190" s="50" t="s">
        <v>3607</v>
      </c>
    </row>
    <row r="1191" spans="1:16" ht="12.75" customHeight="1" x14ac:dyDescent="0.25">
      <c r="A1191" s="311">
        <v>1188</v>
      </c>
      <c r="B1191" s="311" t="s">
        <v>60</v>
      </c>
      <c r="C1191" s="311" t="s">
        <v>462</v>
      </c>
      <c r="D1191" s="311" t="s">
        <v>462</v>
      </c>
      <c r="E1191" s="337" t="s">
        <v>462</v>
      </c>
      <c r="F1191" s="311" t="s">
        <v>285</v>
      </c>
      <c r="G1191" s="311" t="s">
        <v>236</v>
      </c>
      <c r="H1191" s="311" t="s">
        <v>408</v>
      </c>
      <c r="I1191" s="311" t="s">
        <v>56</v>
      </c>
      <c r="J1191" s="50" t="s">
        <v>1892</v>
      </c>
      <c r="K1191" s="50" t="s">
        <v>1892</v>
      </c>
      <c r="L1191" s="50" t="s">
        <v>1893</v>
      </c>
      <c r="M1191" s="50" t="s">
        <v>3609</v>
      </c>
      <c r="N1191" s="50" t="s">
        <v>3607</v>
      </c>
      <c r="O1191" s="50" t="s">
        <v>3607</v>
      </c>
      <c r="P1191" s="50" t="s">
        <v>3607</v>
      </c>
    </row>
    <row r="1192" spans="1:16" ht="12.75" customHeight="1" x14ac:dyDescent="0.25">
      <c r="A1192" s="311">
        <v>1189</v>
      </c>
      <c r="B1192" s="311" t="s">
        <v>94</v>
      </c>
      <c r="C1192" s="311" t="s">
        <v>462</v>
      </c>
      <c r="D1192" s="311" t="s">
        <v>462</v>
      </c>
      <c r="E1192" s="337" t="s">
        <v>462</v>
      </c>
      <c r="F1192" s="311" t="s">
        <v>285</v>
      </c>
      <c r="G1192" s="311" t="s">
        <v>236</v>
      </c>
      <c r="H1192" s="311" t="s">
        <v>408</v>
      </c>
      <c r="I1192" s="311" t="s">
        <v>56</v>
      </c>
      <c r="J1192" s="50" t="s">
        <v>1892</v>
      </c>
      <c r="K1192" s="50" t="s">
        <v>1892</v>
      </c>
      <c r="L1192" s="50" t="s">
        <v>1893</v>
      </c>
      <c r="M1192" s="50" t="s">
        <v>3610</v>
      </c>
      <c r="N1192" s="50" t="s">
        <v>3607</v>
      </c>
      <c r="O1192" s="50" t="s">
        <v>3607</v>
      </c>
      <c r="P1192" s="50" t="s">
        <v>3607</v>
      </c>
    </row>
    <row r="1193" spans="1:16" ht="12.75" customHeight="1" x14ac:dyDescent="0.25">
      <c r="A1193" s="311">
        <v>1190</v>
      </c>
      <c r="B1193" s="311" t="s">
        <v>84</v>
      </c>
      <c r="C1193" s="311" t="s">
        <v>462</v>
      </c>
      <c r="D1193" s="311" t="s">
        <v>462</v>
      </c>
      <c r="E1193" s="337" t="s">
        <v>462</v>
      </c>
      <c r="F1193" s="311" t="s">
        <v>285</v>
      </c>
      <c r="G1193" s="311" t="s">
        <v>236</v>
      </c>
      <c r="H1193" s="311" t="s">
        <v>408</v>
      </c>
      <c r="I1193" s="311" t="s">
        <v>56</v>
      </c>
      <c r="J1193" s="50" t="s">
        <v>1892</v>
      </c>
      <c r="K1193" s="50" t="s">
        <v>1892</v>
      </c>
      <c r="L1193" s="50" t="s">
        <v>1893</v>
      </c>
      <c r="M1193" s="50" t="s">
        <v>3611</v>
      </c>
      <c r="N1193" s="50" t="s">
        <v>3607</v>
      </c>
      <c r="O1193" s="50" t="s">
        <v>3607</v>
      </c>
      <c r="P1193" s="50" t="s">
        <v>3607</v>
      </c>
    </row>
    <row r="1194" spans="1:16" ht="12.75" customHeight="1" x14ac:dyDescent="0.25">
      <c r="A1194" s="311">
        <v>1191</v>
      </c>
      <c r="B1194" s="311" t="s">
        <v>123</v>
      </c>
      <c r="C1194" s="311" t="s">
        <v>462</v>
      </c>
      <c r="D1194" s="311" t="s">
        <v>462</v>
      </c>
      <c r="E1194" s="337" t="s">
        <v>462</v>
      </c>
      <c r="F1194" s="311" t="s">
        <v>285</v>
      </c>
      <c r="G1194" s="311" t="s">
        <v>236</v>
      </c>
      <c r="H1194" s="311" t="s">
        <v>408</v>
      </c>
      <c r="I1194" s="311" t="s">
        <v>56</v>
      </c>
      <c r="J1194" s="50" t="s">
        <v>1892</v>
      </c>
      <c r="K1194" s="50" t="s">
        <v>1892</v>
      </c>
      <c r="L1194" s="50" t="s">
        <v>1893</v>
      </c>
      <c r="M1194" s="50" t="s">
        <v>3612</v>
      </c>
      <c r="N1194" s="50" t="s">
        <v>3607</v>
      </c>
      <c r="O1194" s="50" t="s">
        <v>3607</v>
      </c>
      <c r="P1194" s="50" t="s">
        <v>3607</v>
      </c>
    </row>
    <row r="1195" spans="1:16" ht="12.75" customHeight="1" x14ac:dyDescent="0.25">
      <c r="A1195" s="311">
        <v>1192</v>
      </c>
      <c r="B1195" s="311" t="s">
        <v>75</v>
      </c>
      <c r="C1195" s="311" t="s">
        <v>462</v>
      </c>
      <c r="D1195" s="311" t="s">
        <v>462</v>
      </c>
      <c r="E1195" s="337" t="s">
        <v>462</v>
      </c>
      <c r="F1195" s="311" t="s">
        <v>285</v>
      </c>
      <c r="G1195" s="311" t="s">
        <v>236</v>
      </c>
      <c r="H1195" s="311" t="s">
        <v>408</v>
      </c>
      <c r="I1195" s="311" t="s">
        <v>56</v>
      </c>
      <c r="J1195" s="50" t="s">
        <v>1892</v>
      </c>
      <c r="K1195" s="50" t="s">
        <v>1892</v>
      </c>
      <c r="L1195" s="50" t="s">
        <v>1893</v>
      </c>
      <c r="M1195" s="50" t="s">
        <v>3613</v>
      </c>
      <c r="N1195" s="50" t="s">
        <v>3607</v>
      </c>
      <c r="O1195" s="50" t="s">
        <v>3607</v>
      </c>
      <c r="P1195" s="50" t="s">
        <v>3607</v>
      </c>
    </row>
    <row r="1196" spans="1:16" ht="12.75" customHeight="1" x14ac:dyDescent="0.25">
      <c r="A1196" s="311">
        <v>1193</v>
      </c>
      <c r="B1196" s="311" t="s">
        <v>72</v>
      </c>
      <c r="C1196" s="311" t="s">
        <v>462</v>
      </c>
      <c r="D1196" s="311" t="s">
        <v>462</v>
      </c>
      <c r="E1196" s="337" t="s">
        <v>462</v>
      </c>
      <c r="F1196" s="311" t="s">
        <v>285</v>
      </c>
      <c r="G1196" s="311" t="s">
        <v>23</v>
      </c>
      <c r="H1196" s="311" t="s">
        <v>408</v>
      </c>
      <c r="I1196" s="311" t="s">
        <v>56</v>
      </c>
      <c r="J1196" s="50" t="s">
        <v>1892</v>
      </c>
      <c r="K1196" s="50" t="s">
        <v>1892</v>
      </c>
      <c r="L1196" s="50" t="s">
        <v>1893</v>
      </c>
      <c r="M1196" s="50" t="s">
        <v>3614</v>
      </c>
      <c r="N1196" s="50" t="s">
        <v>3615</v>
      </c>
      <c r="O1196" s="50" t="s">
        <v>3615</v>
      </c>
      <c r="P1196" s="50" t="s">
        <v>3615</v>
      </c>
    </row>
    <row r="1197" spans="1:16" ht="12.75" customHeight="1" x14ac:dyDescent="0.25">
      <c r="A1197" s="311">
        <v>1194</v>
      </c>
      <c r="B1197" s="311" t="s">
        <v>99</v>
      </c>
      <c r="C1197" s="311" t="s">
        <v>462</v>
      </c>
      <c r="D1197" s="311" t="s">
        <v>462</v>
      </c>
      <c r="E1197" s="337" t="s">
        <v>462</v>
      </c>
      <c r="F1197" s="311" t="s">
        <v>285</v>
      </c>
      <c r="G1197" s="311" t="s">
        <v>23</v>
      </c>
      <c r="H1197" s="311" t="s">
        <v>408</v>
      </c>
      <c r="I1197" s="311" t="s">
        <v>56</v>
      </c>
      <c r="J1197" s="50" t="s">
        <v>1892</v>
      </c>
      <c r="K1197" s="50" t="s">
        <v>1892</v>
      </c>
      <c r="L1197" s="50" t="s">
        <v>1893</v>
      </c>
      <c r="M1197" s="50" t="s">
        <v>3616</v>
      </c>
      <c r="N1197" s="50" t="s">
        <v>3615</v>
      </c>
      <c r="O1197" s="50" t="s">
        <v>3615</v>
      </c>
      <c r="P1197" s="50" t="s">
        <v>3615</v>
      </c>
    </row>
    <row r="1198" spans="1:16" ht="12.75" customHeight="1" x14ac:dyDescent="0.25">
      <c r="A1198" s="311">
        <v>1195</v>
      </c>
      <c r="B1198" s="311" t="s">
        <v>60</v>
      </c>
      <c r="C1198" s="311" t="s">
        <v>462</v>
      </c>
      <c r="D1198" s="311" t="s">
        <v>462</v>
      </c>
      <c r="E1198" s="337" t="s">
        <v>462</v>
      </c>
      <c r="F1198" s="311" t="s">
        <v>285</v>
      </c>
      <c r="G1198" s="311" t="s">
        <v>23</v>
      </c>
      <c r="H1198" s="311" t="s">
        <v>408</v>
      </c>
      <c r="I1198" s="311" t="s">
        <v>56</v>
      </c>
      <c r="J1198" s="50" t="s">
        <v>1892</v>
      </c>
      <c r="K1198" s="50" t="s">
        <v>1892</v>
      </c>
      <c r="L1198" s="50" t="s">
        <v>1893</v>
      </c>
      <c r="M1198" s="50" t="s">
        <v>3617</v>
      </c>
      <c r="N1198" s="50" t="s">
        <v>3615</v>
      </c>
      <c r="O1198" s="50" t="s">
        <v>3615</v>
      </c>
      <c r="P1198" s="50" t="s">
        <v>3615</v>
      </c>
    </row>
    <row r="1199" spans="1:16" ht="12.75" customHeight="1" x14ac:dyDescent="0.25">
      <c r="A1199" s="311">
        <v>1196</v>
      </c>
      <c r="B1199" s="311" t="s">
        <v>94</v>
      </c>
      <c r="C1199" s="311" t="s">
        <v>462</v>
      </c>
      <c r="D1199" s="311" t="s">
        <v>462</v>
      </c>
      <c r="E1199" s="337" t="s">
        <v>462</v>
      </c>
      <c r="F1199" s="311" t="s">
        <v>285</v>
      </c>
      <c r="G1199" s="311" t="s">
        <v>23</v>
      </c>
      <c r="H1199" s="311" t="s">
        <v>408</v>
      </c>
      <c r="I1199" s="311" t="s">
        <v>56</v>
      </c>
      <c r="J1199" s="50" t="s">
        <v>1892</v>
      </c>
      <c r="K1199" s="50" t="s">
        <v>1892</v>
      </c>
      <c r="L1199" s="50" t="s">
        <v>1893</v>
      </c>
      <c r="M1199" s="50" t="s">
        <v>3618</v>
      </c>
      <c r="N1199" s="50" t="s">
        <v>3615</v>
      </c>
      <c r="O1199" s="50" t="s">
        <v>3615</v>
      </c>
      <c r="P1199" s="50" t="s">
        <v>3615</v>
      </c>
    </row>
    <row r="1200" spans="1:16" ht="12.75" customHeight="1" x14ac:dyDescent="0.25">
      <c r="A1200" s="311">
        <v>1197</v>
      </c>
      <c r="B1200" s="311" t="s">
        <v>84</v>
      </c>
      <c r="C1200" s="311" t="s">
        <v>462</v>
      </c>
      <c r="D1200" s="311" t="s">
        <v>462</v>
      </c>
      <c r="E1200" s="337" t="s">
        <v>462</v>
      </c>
      <c r="F1200" s="311" t="s">
        <v>285</v>
      </c>
      <c r="G1200" s="311" t="s">
        <v>23</v>
      </c>
      <c r="H1200" s="311" t="s">
        <v>408</v>
      </c>
      <c r="I1200" s="311" t="s">
        <v>56</v>
      </c>
      <c r="J1200" s="50" t="s">
        <v>1892</v>
      </c>
      <c r="K1200" s="50" t="s">
        <v>1892</v>
      </c>
      <c r="L1200" s="50" t="s">
        <v>1893</v>
      </c>
      <c r="M1200" s="50" t="s">
        <v>3619</v>
      </c>
      <c r="N1200" s="50" t="s">
        <v>3615</v>
      </c>
      <c r="O1200" s="50" t="s">
        <v>3615</v>
      </c>
      <c r="P1200" s="50" t="s">
        <v>3615</v>
      </c>
    </row>
    <row r="1201" spans="1:16" ht="12.75" customHeight="1" x14ac:dyDescent="0.25">
      <c r="A1201" s="311">
        <v>1198</v>
      </c>
      <c r="B1201" s="311" t="s">
        <v>123</v>
      </c>
      <c r="C1201" s="311" t="s">
        <v>462</v>
      </c>
      <c r="D1201" s="311" t="s">
        <v>462</v>
      </c>
      <c r="E1201" s="337" t="s">
        <v>462</v>
      </c>
      <c r="F1201" s="311" t="s">
        <v>285</v>
      </c>
      <c r="G1201" s="311" t="s">
        <v>23</v>
      </c>
      <c r="H1201" s="311" t="s">
        <v>408</v>
      </c>
      <c r="I1201" s="311" t="s">
        <v>56</v>
      </c>
      <c r="J1201" s="50" t="s">
        <v>1892</v>
      </c>
      <c r="K1201" s="50" t="s">
        <v>1892</v>
      </c>
      <c r="L1201" s="50" t="s">
        <v>1893</v>
      </c>
      <c r="M1201" s="50" t="s">
        <v>3620</v>
      </c>
      <c r="N1201" s="50" t="s">
        <v>3615</v>
      </c>
      <c r="O1201" s="50" t="s">
        <v>3615</v>
      </c>
      <c r="P1201" s="50" t="s">
        <v>3615</v>
      </c>
    </row>
    <row r="1202" spans="1:16" ht="12.75" customHeight="1" x14ac:dyDescent="0.25">
      <c r="A1202" s="311">
        <v>1199</v>
      </c>
      <c r="B1202" s="311" t="s">
        <v>75</v>
      </c>
      <c r="C1202" s="311" t="s">
        <v>462</v>
      </c>
      <c r="D1202" s="311" t="s">
        <v>462</v>
      </c>
      <c r="E1202" s="337" t="s">
        <v>462</v>
      </c>
      <c r="F1202" s="311" t="s">
        <v>285</v>
      </c>
      <c r="G1202" s="311" t="s">
        <v>23</v>
      </c>
      <c r="H1202" s="311" t="s">
        <v>408</v>
      </c>
      <c r="I1202" s="311" t="s">
        <v>56</v>
      </c>
      <c r="J1202" s="50" t="s">
        <v>1892</v>
      </c>
      <c r="K1202" s="50" t="s">
        <v>1892</v>
      </c>
      <c r="L1202" s="50" t="s">
        <v>1893</v>
      </c>
      <c r="M1202" s="50" t="s">
        <v>3621</v>
      </c>
      <c r="N1202" s="50" t="s">
        <v>3615</v>
      </c>
      <c r="O1202" s="50" t="s">
        <v>3615</v>
      </c>
      <c r="P1202" s="50" t="s">
        <v>3615</v>
      </c>
    </row>
    <row r="1203" spans="1:16" ht="12.75" customHeight="1" x14ac:dyDescent="0.25">
      <c r="A1203" s="311">
        <v>1200</v>
      </c>
      <c r="B1203" s="311" t="s">
        <v>72</v>
      </c>
      <c r="C1203" s="311" t="s">
        <v>462</v>
      </c>
      <c r="D1203" s="311" t="s">
        <v>462</v>
      </c>
      <c r="E1203" s="337" t="s">
        <v>462</v>
      </c>
      <c r="F1203" s="311" t="s">
        <v>285</v>
      </c>
      <c r="G1203" s="311" t="s">
        <v>237</v>
      </c>
      <c r="H1203" s="311" t="s">
        <v>408</v>
      </c>
      <c r="I1203" s="311" t="s">
        <v>56</v>
      </c>
      <c r="J1203" s="50" t="s">
        <v>1892</v>
      </c>
      <c r="K1203" s="50" t="s">
        <v>1892</v>
      </c>
      <c r="L1203" s="50" t="s">
        <v>1893</v>
      </c>
      <c r="M1203" s="50" t="s">
        <v>3622</v>
      </c>
      <c r="N1203" s="50" t="s">
        <v>3623</v>
      </c>
      <c r="O1203" s="50" t="s">
        <v>3623</v>
      </c>
      <c r="P1203" s="50" t="s">
        <v>3623</v>
      </c>
    </row>
    <row r="1204" spans="1:16" ht="12.75" customHeight="1" x14ac:dyDescent="0.25">
      <c r="A1204" s="311">
        <v>1201</v>
      </c>
      <c r="B1204" s="311" t="s">
        <v>99</v>
      </c>
      <c r="C1204" s="311" t="s">
        <v>462</v>
      </c>
      <c r="D1204" s="311" t="s">
        <v>462</v>
      </c>
      <c r="E1204" s="337" t="s">
        <v>462</v>
      </c>
      <c r="F1204" s="311" t="s">
        <v>285</v>
      </c>
      <c r="G1204" s="311" t="s">
        <v>237</v>
      </c>
      <c r="H1204" s="311" t="s">
        <v>408</v>
      </c>
      <c r="I1204" s="311" t="s">
        <v>56</v>
      </c>
      <c r="J1204" s="50" t="s">
        <v>1892</v>
      </c>
      <c r="K1204" s="50" t="s">
        <v>1892</v>
      </c>
      <c r="L1204" s="50" t="s">
        <v>1893</v>
      </c>
      <c r="M1204" s="50" t="s">
        <v>3624</v>
      </c>
      <c r="N1204" s="50" t="s">
        <v>3623</v>
      </c>
      <c r="O1204" s="50" t="s">
        <v>3623</v>
      </c>
      <c r="P1204" s="50" t="s">
        <v>3623</v>
      </c>
    </row>
    <row r="1205" spans="1:16" ht="12.75" customHeight="1" x14ac:dyDescent="0.25">
      <c r="A1205" s="311">
        <v>1202</v>
      </c>
      <c r="B1205" s="311" t="s">
        <v>60</v>
      </c>
      <c r="C1205" s="311" t="s">
        <v>462</v>
      </c>
      <c r="D1205" s="311" t="s">
        <v>462</v>
      </c>
      <c r="E1205" s="337" t="s">
        <v>462</v>
      </c>
      <c r="F1205" s="311" t="s">
        <v>285</v>
      </c>
      <c r="G1205" s="311" t="s">
        <v>237</v>
      </c>
      <c r="H1205" s="311" t="s">
        <v>408</v>
      </c>
      <c r="I1205" s="311" t="s">
        <v>56</v>
      </c>
      <c r="J1205" s="50" t="s">
        <v>1892</v>
      </c>
      <c r="K1205" s="50" t="s">
        <v>1892</v>
      </c>
      <c r="L1205" s="50" t="s">
        <v>1893</v>
      </c>
      <c r="M1205" s="50" t="s">
        <v>3625</v>
      </c>
      <c r="N1205" s="50" t="s">
        <v>3623</v>
      </c>
      <c r="O1205" s="50" t="s">
        <v>3623</v>
      </c>
      <c r="P1205" s="50" t="s">
        <v>3623</v>
      </c>
    </row>
    <row r="1206" spans="1:16" ht="12.75" customHeight="1" x14ac:dyDescent="0.25">
      <c r="A1206" s="311">
        <v>1203</v>
      </c>
      <c r="B1206" s="311" t="s">
        <v>94</v>
      </c>
      <c r="C1206" s="311" t="s">
        <v>462</v>
      </c>
      <c r="D1206" s="311" t="s">
        <v>462</v>
      </c>
      <c r="E1206" s="337" t="s">
        <v>462</v>
      </c>
      <c r="F1206" s="311" t="s">
        <v>285</v>
      </c>
      <c r="G1206" s="311" t="s">
        <v>237</v>
      </c>
      <c r="H1206" s="311" t="s">
        <v>408</v>
      </c>
      <c r="I1206" s="311" t="s">
        <v>56</v>
      </c>
      <c r="J1206" s="50" t="s">
        <v>1892</v>
      </c>
      <c r="K1206" s="50" t="s">
        <v>1892</v>
      </c>
      <c r="L1206" s="50" t="s">
        <v>1893</v>
      </c>
      <c r="M1206" s="50" t="s">
        <v>3626</v>
      </c>
      <c r="N1206" s="50" t="s">
        <v>3623</v>
      </c>
      <c r="O1206" s="50" t="s">
        <v>3623</v>
      </c>
      <c r="P1206" s="50" t="s">
        <v>3623</v>
      </c>
    </row>
    <row r="1207" spans="1:16" ht="12.75" customHeight="1" x14ac:dyDescent="0.25">
      <c r="A1207" s="311">
        <v>1204</v>
      </c>
      <c r="B1207" s="311" t="s">
        <v>84</v>
      </c>
      <c r="C1207" s="311" t="s">
        <v>462</v>
      </c>
      <c r="D1207" s="311" t="s">
        <v>462</v>
      </c>
      <c r="E1207" s="337" t="s">
        <v>462</v>
      </c>
      <c r="F1207" s="311" t="s">
        <v>285</v>
      </c>
      <c r="G1207" s="311" t="s">
        <v>237</v>
      </c>
      <c r="H1207" s="311" t="s">
        <v>408</v>
      </c>
      <c r="I1207" s="311" t="s">
        <v>56</v>
      </c>
      <c r="J1207" s="50" t="s">
        <v>1892</v>
      </c>
      <c r="K1207" s="50" t="s">
        <v>1892</v>
      </c>
      <c r="L1207" s="50" t="s">
        <v>1893</v>
      </c>
      <c r="M1207" s="50" t="s">
        <v>3627</v>
      </c>
      <c r="N1207" s="50" t="s">
        <v>3623</v>
      </c>
      <c r="O1207" s="50" t="s">
        <v>3623</v>
      </c>
      <c r="P1207" s="50" t="s">
        <v>3623</v>
      </c>
    </row>
    <row r="1208" spans="1:16" ht="12.75" customHeight="1" x14ac:dyDescent="0.25">
      <c r="A1208" s="311">
        <v>1205</v>
      </c>
      <c r="B1208" s="311" t="s">
        <v>123</v>
      </c>
      <c r="C1208" s="311" t="s">
        <v>462</v>
      </c>
      <c r="D1208" s="311" t="s">
        <v>462</v>
      </c>
      <c r="E1208" s="337" t="s">
        <v>462</v>
      </c>
      <c r="F1208" s="311" t="s">
        <v>285</v>
      </c>
      <c r="G1208" s="311" t="s">
        <v>237</v>
      </c>
      <c r="H1208" s="311" t="s">
        <v>408</v>
      </c>
      <c r="I1208" s="311" t="s">
        <v>56</v>
      </c>
      <c r="J1208" s="50" t="s">
        <v>1892</v>
      </c>
      <c r="K1208" s="50" t="s">
        <v>1892</v>
      </c>
      <c r="L1208" s="50" t="s">
        <v>1893</v>
      </c>
      <c r="M1208" s="50" t="s">
        <v>3628</v>
      </c>
      <c r="N1208" s="50" t="s">
        <v>3623</v>
      </c>
      <c r="O1208" s="50" t="s">
        <v>3623</v>
      </c>
      <c r="P1208" s="50" t="s">
        <v>3623</v>
      </c>
    </row>
    <row r="1209" spans="1:16" ht="12.75" customHeight="1" x14ac:dyDescent="0.25">
      <c r="A1209" s="311">
        <v>1206</v>
      </c>
      <c r="B1209" s="311" t="s">
        <v>75</v>
      </c>
      <c r="C1209" s="311" t="s">
        <v>462</v>
      </c>
      <c r="D1209" s="311" t="s">
        <v>462</v>
      </c>
      <c r="E1209" s="337" t="s">
        <v>462</v>
      </c>
      <c r="F1209" s="311" t="s">
        <v>285</v>
      </c>
      <c r="G1209" s="311" t="s">
        <v>237</v>
      </c>
      <c r="H1209" s="311" t="s">
        <v>408</v>
      </c>
      <c r="I1209" s="311" t="s">
        <v>56</v>
      </c>
      <c r="J1209" s="50" t="s">
        <v>1892</v>
      </c>
      <c r="K1209" s="50" t="s">
        <v>1892</v>
      </c>
      <c r="L1209" s="50" t="s">
        <v>1893</v>
      </c>
      <c r="M1209" s="50" t="s">
        <v>3629</v>
      </c>
      <c r="N1209" s="50" t="s">
        <v>3623</v>
      </c>
      <c r="O1209" s="50" t="s">
        <v>3623</v>
      </c>
      <c r="P1209" s="50" t="s">
        <v>3623</v>
      </c>
    </row>
    <row r="1210" spans="1:16" ht="12.75" customHeight="1" x14ac:dyDescent="0.25">
      <c r="A1210" s="311">
        <v>1207</v>
      </c>
      <c r="B1210" s="311" t="s">
        <v>72</v>
      </c>
      <c r="C1210" s="311" t="s">
        <v>462</v>
      </c>
      <c r="D1210" s="311" t="s">
        <v>462</v>
      </c>
      <c r="E1210" s="337" t="s">
        <v>462</v>
      </c>
      <c r="F1210" s="311" t="s">
        <v>302</v>
      </c>
      <c r="G1210" s="311" t="s">
        <v>236</v>
      </c>
      <c r="H1210" s="311" t="s">
        <v>408</v>
      </c>
      <c r="I1210" s="311" t="s">
        <v>56</v>
      </c>
      <c r="J1210" s="50" t="s">
        <v>1892</v>
      </c>
      <c r="K1210" s="50" t="s">
        <v>1892</v>
      </c>
      <c r="L1210" s="50" t="s">
        <v>1893</v>
      </c>
      <c r="M1210" s="50" t="s">
        <v>3630</v>
      </c>
      <c r="N1210" s="50" t="s">
        <v>3631</v>
      </c>
      <c r="O1210" s="50" t="s">
        <v>3631</v>
      </c>
      <c r="P1210" s="50" t="s">
        <v>3631</v>
      </c>
    </row>
    <row r="1211" spans="1:16" ht="12.75" customHeight="1" x14ac:dyDescent="0.25">
      <c r="A1211" s="311">
        <v>1208</v>
      </c>
      <c r="B1211" s="311" t="s">
        <v>99</v>
      </c>
      <c r="C1211" s="311" t="s">
        <v>462</v>
      </c>
      <c r="D1211" s="311" t="s">
        <v>462</v>
      </c>
      <c r="E1211" s="337" t="s">
        <v>462</v>
      </c>
      <c r="F1211" s="311" t="s">
        <v>302</v>
      </c>
      <c r="G1211" s="311" t="s">
        <v>236</v>
      </c>
      <c r="H1211" s="311" t="s">
        <v>408</v>
      </c>
      <c r="I1211" s="311" t="s">
        <v>56</v>
      </c>
      <c r="J1211" s="50" t="s">
        <v>1892</v>
      </c>
      <c r="K1211" s="50" t="s">
        <v>1892</v>
      </c>
      <c r="L1211" s="50" t="s">
        <v>1893</v>
      </c>
      <c r="M1211" s="50" t="s">
        <v>3632</v>
      </c>
      <c r="N1211" s="50" t="s">
        <v>3631</v>
      </c>
      <c r="O1211" s="50" t="s">
        <v>3631</v>
      </c>
      <c r="P1211" s="50" t="s">
        <v>3631</v>
      </c>
    </row>
    <row r="1212" spans="1:16" ht="12.75" customHeight="1" x14ac:dyDescent="0.25">
      <c r="A1212" s="311">
        <v>1209</v>
      </c>
      <c r="B1212" s="311" t="s">
        <v>60</v>
      </c>
      <c r="C1212" s="311" t="s">
        <v>462</v>
      </c>
      <c r="D1212" s="311" t="s">
        <v>462</v>
      </c>
      <c r="E1212" s="337" t="s">
        <v>462</v>
      </c>
      <c r="F1212" s="311" t="s">
        <v>302</v>
      </c>
      <c r="G1212" s="311" t="s">
        <v>236</v>
      </c>
      <c r="H1212" s="311" t="s">
        <v>408</v>
      </c>
      <c r="I1212" s="311" t="s">
        <v>56</v>
      </c>
      <c r="J1212" s="50" t="s">
        <v>1892</v>
      </c>
      <c r="K1212" s="50" t="s">
        <v>1892</v>
      </c>
      <c r="L1212" s="50" t="s">
        <v>1893</v>
      </c>
      <c r="M1212" s="50" t="s">
        <v>3633</v>
      </c>
      <c r="N1212" s="50" t="s">
        <v>3631</v>
      </c>
      <c r="O1212" s="50" t="s">
        <v>3631</v>
      </c>
      <c r="P1212" s="50" t="s">
        <v>3631</v>
      </c>
    </row>
    <row r="1213" spans="1:16" ht="12.75" customHeight="1" x14ac:dyDescent="0.25">
      <c r="A1213" s="311">
        <v>1210</v>
      </c>
      <c r="B1213" s="311" t="s">
        <v>94</v>
      </c>
      <c r="C1213" s="311" t="s">
        <v>462</v>
      </c>
      <c r="D1213" s="311" t="s">
        <v>462</v>
      </c>
      <c r="E1213" s="337" t="s">
        <v>462</v>
      </c>
      <c r="F1213" s="311" t="s">
        <v>302</v>
      </c>
      <c r="G1213" s="311" t="s">
        <v>236</v>
      </c>
      <c r="H1213" s="311" t="s">
        <v>408</v>
      </c>
      <c r="I1213" s="311" t="s">
        <v>56</v>
      </c>
      <c r="J1213" s="50" t="s">
        <v>1892</v>
      </c>
      <c r="K1213" s="50" t="s">
        <v>1892</v>
      </c>
      <c r="L1213" s="50" t="s">
        <v>1893</v>
      </c>
      <c r="M1213" s="50" t="s">
        <v>3634</v>
      </c>
      <c r="N1213" s="50" t="s">
        <v>3631</v>
      </c>
      <c r="O1213" s="50" t="s">
        <v>3631</v>
      </c>
      <c r="P1213" s="50" t="s">
        <v>3631</v>
      </c>
    </row>
    <row r="1214" spans="1:16" ht="12.75" customHeight="1" x14ac:dyDescent="0.25">
      <c r="A1214" s="311">
        <v>1211</v>
      </c>
      <c r="B1214" s="311" t="s">
        <v>84</v>
      </c>
      <c r="C1214" s="311" t="s">
        <v>462</v>
      </c>
      <c r="D1214" s="311" t="s">
        <v>462</v>
      </c>
      <c r="E1214" s="337" t="s">
        <v>462</v>
      </c>
      <c r="F1214" s="311" t="s">
        <v>302</v>
      </c>
      <c r="G1214" s="311" t="s">
        <v>236</v>
      </c>
      <c r="H1214" s="311" t="s">
        <v>408</v>
      </c>
      <c r="I1214" s="311" t="s">
        <v>56</v>
      </c>
      <c r="J1214" s="50" t="s">
        <v>1892</v>
      </c>
      <c r="K1214" s="50" t="s">
        <v>1892</v>
      </c>
      <c r="L1214" s="50" t="s">
        <v>1893</v>
      </c>
      <c r="M1214" s="50" t="s">
        <v>3635</v>
      </c>
      <c r="N1214" s="50" t="s">
        <v>3631</v>
      </c>
      <c r="O1214" s="50" t="s">
        <v>3631</v>
      </c>
      <c r="P1214" s="50" t="s">
        <v>3631</v>
      </c>
    </row>
    <row r="1215" spans="1:16" ht="12.75" customHeight="1" x14ac:dyDescent="0.25">
      <c r="A1215" s="311">
        <v>1212</v>
      </c>
      <c r="B1215" s="311" t="s">
        <v>123</v>
      </c>
      <c r="C1215" s="311" t="s">
        <v>462</v>
      </c>
      <c r="D1215" s="311" t="s">
        <v>462</v>
      </c>
      <c r="E1215" s="337" t="s">
        <v>462</v>
      </c>
      <c r="F1215" s="311" t="s">
        <v>302</v>
      </c>
      <c r="G1215" s="311" t="s">
        <v>236</v>
      </c>
      <c r="H1215" s="311" t="s">
        <v>408</v>
      </c>
      <c r="I1215" s="311" t="s">
        <v>56</v>
      </c>
      <c r="J1215" s="50" t="s">
        <v>1892</v>
      </c>
      <c r="K1215" s="50" t="s">
        <v>1892</v>
      </c>
      <c r="L1215" s="50" t="s">
        <v>1893</v>
      </c>
      <c r="M1215" s="50" t="s">
        <v>3636</v>
      </c>
      <c r="N1215" s="50" t="s">
        <v>3631</v>
      </c>
      <c r="O1215" s="50" t="s">
        <v>3631</v>
      </c>
      <c r="P1215" s="50" t="s">
        <v>3631</v>
      </c>
    </row>
    <row r="1216" spans="1:16" ht="12.75" customHeight="1" x14ac:dyDescent="0.25">
      <c r="A1216" s="311">
        <v>1213</v>
      </c>
      <c r="B1216" s="311" t="s">
        <v>75</v>
      </c>
      <c r="C1216" s="311" t="s">
        <v>462</v>
      </c>
      <c r="D1216" s="311" t="s">
        <v>462</v>
      </c>
      <c r="E1216" s="337" t="s">
        <v>462</v>
      </c>
      <c r="F1216" s="311" t="s">
        <v>302</v>
      </c>
      <c r="G1216" s="311" t="s">
        <v>236</v>
      </c>
      <c r="H1216" s="311" t="s">
        <v>408</v>
      </c>
      <c r="I1216" s="311" t="s">
        <v>56</v>
      </c>
      <c r="J1216" s="50" t="s">
        <v>1892</v>
      </c>
      <c r="K1216" s="50" t="s">
        <v>1892</v>
      </c>
      <c r="L1216" s="50" t="s">
        <v>1893</v>
      </c>
      <c r="M1216" s="50" t="s">
        <v>3637</v>
      </c>
      <c r="N1216" s="50" t="s">
        <v>3631</v>
      </c>
      <c r="O1216" s="50" t="s">
        <v>3631</v>
      </c>
      <c r="P1216" s="50" t="s">
        <v>3631</v>
      </c>
    </row>
    <row r="1217" spans="1:16" ht="12.75" customHeight="1" x14ac:dyDescent="0.25">
      <c r="A1217" s="311">
        <v>1214</v>
      </c>
      <c r="B1217" s="311" t="s">
        <v>72</v>
      </c>
      <c r="C1217" s="311" t="s">
        <v>462</v>
      </c>
      <c r="D1217" s="311" t="s">
        <v>462</v>
      </c>
      <c r="E1217" s="337" t="s">
        <v>462</v>
      </c>
      <c r="F1217" s="311" t="s">
        <v>302</v>
      </c>
      <c r="G1217" s="311" t="s">
        <v>23</v>
      </c>
      <c r="H1217" s="311" t="s">
        <v>408</v>
      </c>
      <c r="I1217" s="311" t="s">
        <v>56</v>
      </c>
      <c r="J1217" s="50" t="s">
        <v>1892</v>
      </c>
      <c r="K1217" s="50" t="s">
        <v>1892</v>
      </c>
      <c r="L1217" s="50" t="s">
        <v>1893</v>
      </c>
      <c r="M1217" s="50" t="s">
        <v>3638</v>
      </c>
      <c r="N1217" s="50" t="s">
        <v>3639</v>
      </c>
      <c r="O1217" s="50" t="s">
        <v>3639</v>
      </c>
      <c r="P1217" s="50" t="s">
        <v>3639</v>
      </c>
    </row>
    <row r="1218" spans="1:16" ht="12.75" customHeight="1" x14ac:dyDescent="0.25">
      <c r="A1218" s="311">
        <v>1215</v>
      </c>
      <c r="B1218" s="311" t="s">
        <v>99</v>
      </c>
      <c r="C1218" s="311" t="s">
        <v>462</v>
      </c>
      <c r="D1218" s="311" t="s">
        <v>462</v>
      </c>
      <c r="E1218" s="337" t="s">
        <v>462</v>
      </c>
      <c r="F1218" s="311" t="s">
        <v>302</v>
      </c>
      <c r="G1218" s="311" t="s">
        <v>23</v>
      </c>
      <c r="H1218" s="311" t="s">
        <v>408</v>
      </c>
      <c r="I1218" s="311" t="s">
        <v>56</v>
      </c>
      <c r="J1218" s="50" t="s">
        <v>1892</v>
      </c>
      <c r="K1218" s="50" t="s">
        <v>1892</v>
      </c>
      <c r="L1218" s="50" t="s">
        <v>1893</v>
      </c>
      <c r="M1218" s="50" t="s">
        <v>3640</v>
      </c>
      <c r="N1218" s="50" t="s">
        <v>3639</v>
      </c>
      <c r="O1218" s="50" t="s">
        <v>3639</v>
      </c>
      <c r="P1218" s="50" t="s">
        <v>3639</v>
      </c>
    </row>
    <row r="1219" spans="1:16" ht="12.75" customHeight="1" x14ac:dyDescent="0.25">
      <c r="A1219" s="311">
        <v>1216</v>
      </c>
      <c r="B1219" s="311" t="s">
        <v>60</v>
      </c>
      <c r="C1219" s="311" t="s">
        <v>462</v>
      </c>
      <c r="D1219" s="311" t="s">
        <v>462</v>
      </c>
      <c r="E1219" s="337" t="s">
        <v>462</v>
      </c>
      <c r="F1219" s="311" t="s">
        <v>302</v>
      </c>
      <c r="G1219" s="311" t="s">
        <v>23</v>
      </c>
      <c r="H1219" s="311" t="s">
        <v>408</v>
      </c>
      <c r="I1219" s="311" t="s">
        <v>56</v>
      </c>
      <c r="J1219" s="50" t="s">
        <v>1892</v>
      </c>
      <c r="K1219" s="50" t="s">
        <v>1892</v>
      </c>
      <c r="L1219" s="50" t="s">
        <v>1893</v>
      </c>
      <c r="M1219" s="50" t="s">
        <v>3641</v>
      </c>
      <c r="N1219" s="50" t="s">
        <v>3639</v>
      </c>
      <c r="O1219" s="50" t="s">
        <v>3639</v>
      </c>
      <c r="P1219" s="50" t="s">
        <v>3639</v>
      </c>
    </row>
    <row r="1220" spans="1:16" ht="12.75" customHeight="1" x14ac:dyDescent="0.25">
      <c r="A1220" s="311">
        <v>1217</v>
      </c>
      <c r="B1220" s="311" t="s">
        <v>94</v>
      </c>
      <c r="C1220" s="311" t="s">
        <v>462</v>
      </c>
      <c r="D1220" s="311" t="s">
        <v>462</v>
      </c>
      <c r="E1220" s="337" t="s">
        <v>462</v>
      </c>
      <c r="F1220" s="311" t="s">
        <v>302</v>
      </c>
      <c r="G1220" s="311" t="s">
        <v>23</v>
      </c>
      <c r="H1220" s="311" t="s">
        <v>408</v>
      </c>
      <c r="I1220" s="311" t="s">
        <v>56</v>
      </c>
      <c r="J1220" s="50" t="s">
        <v>1892</v>
      </c>
      <c r="K1220" s="50" t="s">
        <v>1892</v>
      </c>
      <c r="L1220" s="50" t="s">
        <v>1893</v>
      </c>
      <c r="M1220" s="50" t="s">
        <v>3642</v>
      </c>
      <c r="N1220" s="50" t="s">
        <v>3639</v>
      </c>
      <c r="O1220" s="50" t="s">
        <v>3639</v>
      </c>
      <c r="P1220" s="50" t="s">
        <v>3639</v>
      </c>
    </row>
    <row r="1221" spans="1:16" ht="12.75" customHeight="1" x14ac:dyDescent="0.25">
      <c r="A1221" s="311">
        <v>1218</v>
      </c>
      <c r="B1221" s="311" t="s">
        <v>84</v>
      </c>
      <c r="C1221" s="311" t="s">
        <v>462</v>
      </c>
      <c r="D1221" s="311" t="s">
        <v>462</v>
      </c>
      <c r="E1221" s="337" t="s">
        <v>462</v>
      </c>
      <c r="F1221" s="311" t="s">
        <v>302</v>
      </c>
      <c r="G1221" s="311" t="s">
        <v>23</v>
      </c>
      <c r="H1221" s="311" t="s">
        <v>408</v>
      </c>
      <c r="I1221" s="311" t="s">
        <v>56</v>
      </c>
      <c r="J1221" s="50" t="s">
        <v>1892</v>
      </c>
      <c r="K1221" s="50" t="s">
        <v>1892</v>
      </c>
      <c r="L1221" s="50" t="s">
        <v>1893</v>
      </c>
      <c r="M1221" s="50" t="s">
        <v>3643</v>
      </c>
      <c r="N1221" s="50" t="s">
        <v>3639</v>
      </c>
      <c r="O1221" s="50" t="s">
        <v>3639</v>
      </c>
      <c r="P1221" s="50" t="s">
        <v>3639</v>
      </c>
    </row>
    <row r="1222" spans="1:16" ht="12.75" customHeight="1" x14ac:dyDescent="0.25">
      <c r="A1222" s="311">
        <v>1219</v>
      </c>
      <c r="B1222" s="311" t="s">
        <v>123</v>
      </c>
      <c r="C1222" s="311" t="s">
        <v>462</v>
      </c>
      <c r="D1222" s="311" t="s">
        <v>462</v>
      </c>
      <c r="E1222" s="337" t="s">
        <v>462</v>
      </c>
      <c r="F1222" s="311" t="s">
        <v>302</v>
      </c>
      <c r="G1222" s="311" t="s">
        <v>23</v>
      </c>
      <c r="H1222" s="311" t="s">
        <v>408</v>
      </c>
      <c r="I1222" s="311" t="s">
        <v>56</v>
      </c>
      <c r="J1222" s="50" t="s">
        <v>1892</v>
      </c>
      <c r="K1222" s="50" t="s">
        <v>1892</v>
      </c>
      <c r="L1222" s="50" t="s">
        <v>1893</v>
      </c>
      <c r="M1222" s="50" t="s">
        <v>3644</v>
      </c>
      <c r="N1222" s="50" t="s">
        <v>3639</v>
      </c>
      <c r="O1222" s="50" t="s">
        <v>3639</v>
      </c>
      <c r="P1222" s="50" t="s">
        <v>3639</v>
      </c>
    </row>
    <row r="1223" spans="1:16" ht="12.75" customHeight="1" x14ac:dyDescent="0.25">
      <c r="A1223" s="311">
        <v>1220</v>
      </c>
      <c r="B1223" s="311" t="s">
        <v>75</v>
      </c>
      <c r="C1223" s="311" t="s">
        <v>462</v>
      </c>
      <c r="D1223" s="311" t="s">
        <v>462</v>
      </c>
      <c r="E1223" s="337" t="s">
        <v>462</v>
      </c>
      <c r="F1223" s="311" t="s">
        <v>302</v>
      </c>
      <c r="G1223" s="311" t="s">
        <v>23</v>
      </c>
      <c r="H1223" s="311" t="s">
        <v>408</v>
      </c>
      <c r="I1223" s="311" t="s">
        <v>56</v>
      </c>
      <c r="J1223" s="50" t="s">
        <v>1892</v>
      </c>
      <c r="K1223" s="50" t="s">
        <v>1892</v>
      </c>
      <c r="L1223" s="50" t="s">
        <v>1893</v>
      </c>
      <c r="M1223" s="50" t="s">
        <v>3645</v>
      </c>
      <c r="N1223" s="50" t="s">
        <v>3639</v>
      </c>
      <c r="O1223" s="50" t="s">
        <v>3639</v>
      </c>
      <c r="P1223" s="50" t="s">
        <v>3639</v>
      </c>
    </row>
    <row r="1224" spans="1:16" ht="12.75" customHeight="1" x14ac:dyDescent="0.25">
      <c r="A1224" s="311">
        <v>1221</v>
      </c>
      <c r="B1224" s="311" t="s">
        <v>72</v>
      </c>
      <c r="C1224" s="311" t="s">
        <v>462</v>
      </c>
      <c r="D1224" s="311" t="s">
        <v>462</v>
      </c>
      <c r="E1224" s="337" t="s">
        <v>462</v>
      </c>
      <c r="F1224" s="311" t="s">
        <v>302</v>
      </c>
      <c r="G1224" s="311" t="s">
        <v>237</v>
      </c>
      <c r="H1224" s="311" t="s">
        <v>408</v>
      </c>
      <c r="I1224" s="311" t="s">
        <v>56</v>
      </c>
      <c r="J1224" s="50" t="s">
        <v>1892</v>
      </c>
      <c r="K1224" s="50" t="s">
        <v>1892</v>
      </c>
      <c r="L1224" s="50" t="s">
        <v>1893</v>
      </c>
      <c r="M1224" s="50" t="s">
        <v>3646</v>
      </c>
      <c r="N1224" s="50" t="s">
        <v>3647</v>
      </c>
      <c r="O1224" s="50" t="s">
        <v>3647</v>
      </c>
      <c r="P1224" s="50" t="s">
        <v>3647</v>
      </c>
    </row>
    <row r="1225" spans="1:16" ht="12.75" customHeight="1" x14ac:dyDescent="0.25">
      <c r="A1225" s="311">
        <v>1222</v>
      </c>
      <c r="B1225" s="311" t="s">
        <v>99</v>
      </c>
      <c r="C1225" s="311" t="s">
        <v>462</v>
      </c>
      <c r="D1225" s="311" t="s">
        <v>462</v>
      </c>
      <c r="E1225" s="337" t="s">
        <v>462</v>
      </c>
      <c r="F1225" s="311" t="s">
        <v>302</v>
      </c>
      <c r="G1225" s="311" t="s">
        <v>237</v>
      </c>
      <c r="H1225" s="311" t="s">
        <v>408</v>
      </c>
      <c r="I1225" s="311" t="s">
        <v>56</v>
      </c>
      <c r="J1225" s="50" t="s">
        <v>1892</v>
      </c>
      <c r="K1225" s="50" t="s">
        <v>1892</v>
      </c>
      <c r="L1225" s="50" t="s">
        <v>1893</v>
      </c>
      <c r="M1225" s="50" t="s">
        <v>3648</v>
      </c>
      <c r="N1225" s="50" t="s">
        <v>3647</v>
      </c>
      <c r="O1225" s="50" t="s">
        <v>3647</v>
      </c>
      <c r="P1225" s="50" t="s">
        <v>3647</v>
      </c>
    </row>
    <row r="1226" spans="1:16" ht="12.75" customHeight="1" x14ac:dyDescent="0.25">
      <c r="A1226" s="311">
        <v>1223</v>
      </c>
      <c r="B1226" s="311" t="s">
        <v>60</v>
      </c>
      <c r="C1226" s="311" t="s">
        <v>462</v>
      </c>
      <c r="D1226" s="311" t="s">
        <v>462</v>
      </c>
      <c r="E1226" s="337" t="s">
        <v>462</v>
      </c>
      <c r="F1226" s="311" t="s">
        <v>302</v>
      </c>
      <c r="G1226" s="311" t="s">
        <v>237</v>
      </c>
      <c r="H1226" s="311" t="s">
        <v>408</v>
      </c>
      <c r="I1226" s="311" t="s">
        <v>56</v>
      </c>
      <c r="J1226" s="50" t="s">
        <v>1892</v>
      </c>
      <c r="K1226" s="50" t="s">
        <v>1892</v>
      </c>
      <c r="L1226" s="50" t="s">
        <v>1893</v>
      </c>
      <c r="M1226" s="50" t="s">
        <v>3649</v>
      </c>
      <c r="N1226" s="50" t="s">
        <v>3647</v>
      </c>
      <c r="O1226" s="50" t="s">
        <v>3647</v>
      </c>
      <c r="P1226" s="50" t="s">
        <v>3647</v>
      </c>
    </row>
    <row r="1227" spans="1:16" ht="12.75" customHeight="1" x14ac:dyDescent="0.25">
      <c r="A1227" s="311">
        <v>1224</v>
      </c>
      <c r="B1227" s="311" t="s">
        <v>94</v>
      </c>
      <c r="C1227" s="311" t="s">
        <v>462</v>
      </c>
      <c r="D1227" s="311" t="s">
        <v>462</v>
      </c>
      <c r="E1227" s="337" t="s">
        <v>462</v>
      </c>
      <c r="F1227" s="311" t="s">
        <v>302</v>
      </c>
      <c r="G1227" s="311" t="s">
        <v>237</v>
      </c>
      <c r="H1227" s="311" t="s">
        <v>408</v>
      </c>
      <c r="I1227" s="311" t="s">
        <v>56</v>
      </c>
      <c r="J1227" s="50" t="s">
        <v>1892</v>
      </c>
      <c r="K1227" s="50" t="s">
        <v>1892</v>
      </c>
      <c r="L1227" s="50" t="s">
        <v>1893</v>
      </c>
      <c r="M1227" s="50" t="s">
        <v>3650</v>
      </c>
      <c r="N1227" s="50" t="s">
        <v>3647</v>
      </c>
      <c r="O1227" s="50" t="s">
        <v>3647</v>
      </c>
      <c r="P1227" s="50" t="s">
        <v>3647</v>
      </c>
    </row>
    <row r="1228" spans="1:16" ht="12.75" customHeight="1" x14ac:dyDescent="0.25">
      <c r="A1228" s="311">
        <v>1225</v>
      </c>
      <c r="B1228" s="311" t="s">
        <v>84</v>
      </c>
      <c r="C1228" s="311" t="s">
        <v>462</v>
      </c>
      <c r="D1228" s="311" t="s">
        <v>462</v>
      </c>
      <c r="E1228" s="337" t="s">
        <v>462</v>
      </c>
      <c r="F1228" s="311" t="s">
        <v>302</v>
      </c>
      <c r="G1228" s="311" t="s">
        <v>237</v>
      </c>
      <c r="H1228" s="311" t="s">
        <v>408</v>
      </c>
      <c r="I1228" s="311" t="s">
        <v>56</v>
      </c>
      <c r="J1228" s="50" t="s">
        <v>1892</v>
      </c>
      <c r="K1228" s="50" t="s">
        <v>1892</v>
      </c>
      <c r="L1228" s="50" t="s">
        <v>1893</v>
      </c>
      <c r="M1228" s="50" t="s">
        <v>3651</v>
      </c>
      <c r="N1228" s="50" t="s">
        <v>3647</v>
      </c>
      <c r="O1228" s="50" t="s">
        <v>3647</v>
      </c>
      <c r="P1228" s="50" t="s">
        <v>3647</v>
      </c>
    </row>
    <row r="1229" spans="1:16" ht="12.75" customHeight="1" x14ac:dyDescent="0.25">
      <c r="A1229" s="311">
        <v>1226</v>
      </c>
      <c r="B1229" s="311" t="s">
        <v>123</v>
      </c>
      <c r="C1229" s="311" t="s">
        <v>462</v>
      </c>
      <c r="D1229" s="311" t="s">
        <v>462</v>
      </c>
      <c r="E1229" s="337" t="s">
        <v>462</v>
      </c>
      <c r="F1229" s="311" t="s">
        <v>302</v>
      </c>
      <c r="G1229" s="311" t="s">
        <v>237</v>
      </c>
      <c r="H1229" s="311" t="s">
        <v>408</v>
      </c>
      <c r="I1229" s="311" t="s">
        <v>56</v>
      </c>
      <c r="J1229" s="50" t="s">
        <v>1892</v>
      </c>
      <c r="K1229" s="50" t="s">
        <v>1892</v>
      </c>
      <c r="L1229" s="50" t="s">
        <v>1893</v>
      </c>
      <c r="M1229" s="50" t="s">
        <v>3652</v>
      </c>
      <c r="N1229" s="50" t="s">
        <v>3647</v>
      </c>
      <c r="O1229" s="50" t="s">
        <v>3647</v>
      </c>
      <c r="P1229" s="50" t="s">
        <v>3647</v>
      </c>
    </row>
    <row r="1230" spans="1:16" ht="15" x14ac:dyDescent="0.25">
      <c r="A1230" s="311">
        <v>1227</v>
      </c>
      <c r="B1230" s="311" t="s">
        <v>75</v>
      </c>
      <c r="C1230" s="311" t="s">
        <v>462</v>
      </c>
      <c r="D1230" s="311" t="s">
        <v>462</v>
      </c>
      <c r="E1230" s="337" t="s">
        <v>462</v>
      </c>
      <c r="F1230" s="311" t="s">
        <v>302</v>
      </c>
      <c r="G1230" s="311" t="s">
        <v>237</v>
      </c>
      <c r="H1230" s="311" t="s">
        <v>408</v>
      </c>
      <c r="I1230" s="311" t="s">
        <v>56</v>
      </c>
      <c r="J1230" s="50" t="s">
        <v>1892</v>
      </c>
      <c r="K1230" s="50" t="s">
        <v>1892</v>
      </c>
      <c r="L1230" s="50" t="s">
        <v>1893</v>
      </c>
      <c r="M1230" s="50" t="s">
        <v>3653</v>
      </c>
      <c r="N1230" s="50" t="s">
        <v>3647</v>
      </c>
      <c r="O1230" s="50" t="s">
        <v>3647</v>
      </c>
      <c r="P1230" s="50" t="s">
        <v>3647</v>
      </c>
    </row>
    <row r="1231" spans="1:16" ht="12.75" customHeight="1" x14ac:dyDescent="0.25">
      <c r="A1231" s="311">
        <v>1228</v>
      </c>
      <c r="B1231" s="311" t="s">
        <v>72</v>
      </c>
      <c r="C1231" s="311" t="s">
        <v>462</v>
      </c>
      <c r="D1231" s="311" t="s">
        <v>462</v>
      </c>
      <c r="E1231" s="337" t="s">
        <v>462</v>
      </c>
      <c r="F1231" s="311" t="s">
        <v>299</v>
      </c>
      <c r="G1231" s="311" t="s">
        <v>236</v>
      </c>
      <c r="H1231" s="311" t="s">
        <v>408</v>
      </c>
      <c r="I1231" s="311" t="s">
        <v>56</v>
      </c>
      <c r="J1231" s="50" t="s">
        <v>1892</v>
      </c>
      <c r="K1231" s="50" t="s">
        <v>1892</v>
      </c>
      <c r="L1231" s="50" t="s">
        <v>1893</v>
      </c>
      <c r="M1231" s="50" t="s">
        <v>3654</v>
      </c>
      <c r="N1231" s="50" t="s">
        <v>3655</v>
      </c>
      <c r="O1231" s="50" t="s">
        <v>3655</v>
      </c>
      <c r="P1231" s="50" t="s">
        <v>3655</v>
      </c>
    </row>
    <row r="1232" spans="1:16" ht="12.75" customHeight="1" x14ac:dyDescent="0.25">
      <c r="A1232" s="311">
        <v>1229</v>
      </c>
      <c r="B1232" s="311" t="s">
        <v>99</v>
      </c>
      <c r="C1232" s="311" t="s">
        <v>462</v>
      </c>
      <c r="D1232" s="311" t="s">
        <v>462</v>
      </c>
      <c r="E1232" s="337" t="s">
        <v>462</v>
      </c>
      <c r="F1232" s="311" t="s">
        <v>299</v>
      </c>
      <c r="G1232" s="311" t="s">
        <v>236</v>
      </c>
      <c r="H1232" s="311" t="s">
        <v>408</v>
      </c>
      <c r="I1232" s="311" t="s">
        <v>56</v>
      </c>
      <c r="J1232" s="50" t="s">
        <v>1892</v>
      </c>
      <c r="K1232" s="50" t="s">
        <v>1892</v>
      </c>
      <c r="L1232" s="50" t="s">
        <v>1893</v>
      </c>
      <c r="M1232" s="50" t="s">
        <v>3656</v>
      </c>
      <c r="N1232" s="50" t="s">
        <v>3655</v>
      </c>
      <c r="O1232" s="50" t="s">
        <v>3655</v>
      </c>
      <c r="P1232" s="50" t="s">
        <v>3655</v>
      </c>
    </row>
    <row r="1233" spans="1:16" ht="12.75" customHeight="1" x14ac:dyDescent="0.25">
      <c r="A1233" s="311">
        <v>1230</v>
      </c>
      <c r="B1233" s="311" t="s">
        <v>60</v>
      </c>
      <c r="C1233" s="311" t="s">
        <v>462</v>
      </c>
      <c r="D1233" s="311" t="s">
        <v>462</v>
      </c>
      <c r="E1233" s="337" t="s">
        <v>462</v>
      </c>
      <c r="F1233" s="311" t="s">
        <v>299</v>
      </c>
      <c r="G1233" s="311" t="s">
        <v>236</v>
      </c>
      <c r="H1233" s="311" t="s">
        <v>408</v>
      </c>
      <c r="I1233" s="311" t="s">
        <v>56</v>
      </c>
      <c r="J1233" s="50" t="s">
        <v>1892</v>
      </c>
      <c r="K1233" s="50" t="s">
        <v>1892</v>
      </c>
      <c r="L1233" s="50" t="s">
        <v>1893</v>
      </c>
      <c r="M1233" s="50" t="s">
        <v>3657</v>
      </c>
      <c r="N1233" s="50" t="s">
        <v>3655</v>
      </c>
      <c r="O1233" s="50" t="s">
        <v>3655</v>
      </c>
      <c r="P1233" s="50" t="s">
        <v>3655</v>
      </c>
    </row>
    <row r="1234" spans="1:16" ht="12.75" customHeight="1" x14ac:dyDescent="0.25">
      <c r="A1234" s="311">
        <v>1231</v>
      </c>
      <c r="B1234" s="311" t="s">
        <v>94</v>
      </c>
      <c r="C1234" s="311" t="s">
        <v>462</v>
      </c>
      <c r="D1234" s="311" t="s">
        <v>462</v>
      </c>
      <c r="E1234" s="337" t="s">
        <v>462</v>
      </c>
      <c r="F1234" s="311" t="s">
        <v>299</v>
      </c>
      <c r="G1234" s="311" t="s">
        <v>236</v>
      </c>
      <c r="H1234" s="311" t="s">
        <v>408</v>
      </c>
      <c r="I1234" s="311" t="s">
        <v>56</v>
      </c>
      <c r="J1234" s="50" t="s">
        <v>1892</v>
      </c>
      <c r="K1234" s="50" t="s">
        <v>1892</v>
      </c>
      <c r="L1234" s="50" t="s">
        <v>1893</v>
      </c>
      <c r="M1234" s="50" t="s">
        <v>3658</v>
      </c>
      <c r="N1234" s="50" t="s">
        <v>3655</v>
      </c>
      <c r="O1234" s="50" t="s">
        <v>3655</v>
      </c>
      <c r="P1234" s="50" t="s">
        <v>3655</v>
      </c>
    </row>
    <row r="1235" spans="1:16" ht="12.75" customHeight="1" x14ac:dyDescent="0.25">
      <c r="A1235" s="311">
        <v>1232</v>
      </c>
      <c r="B1235" s="311" t="s">
        <v>84</v>
      </c>
      <c r="C1235" s="311" t="s">
        <v>462</v>
      </c>
      <c r="D1235" s="311" t="s">
        <v>462</v>
      </c>
      <c r="E1235" s="337" t="s">
        <v>462</v>
      </c>
      <c r="F1235" s="311" t="s">
        <v>299</v>
      </c>
      <c r="G1235" s="311" t="s">
        <v>236</v>
      </c>
      <c r="H1235" s="311" t="s">
        <v>408</v>
      </c>
      <c r="I1235" s="311" t="s">
        <v>56</v>
      </c>
      <c r="J1235" s="50" t="s">
        <v>1892</v>
      </c>
      <c r="K1235" s="50" t="s">
        <v>1892</v>
      </c>
      <c r="L1235" s="50" t="s">
        <v>1893</v>
      </c>
      <c r="M1235" s="50" t="s">
        <v>3659</v>
      </c>
      <c r="N1235" s="50" t="s">
        <v>3655</v>
      </c>
      <c r="O1235" s="50" t="s">
        <v>3655</v>
      </c>
      <c r="P1235" s="50" t="s">
        <v>3655</v>
      </c>
    </row>
    <row r="1236" spans="1:16" ht="12.75" customHeight="1" x14ac:dyDescent="0.25">
      <c r="A1236" s="311">
        <v>1233</v>
      </c>
      <c r="B1236" s="311" t="s">
        <v>123</v>
      </c>
      <c r="C1236" s="311" t="s">
        <v>462</v>
      </c>
      <c r="D1236" s="311" t="s">
        <v>462</v>
      </c>
      <c r="E1236" s="337" t="s">
        <v>462</v>
      </c>
      <c r="F1236" s="311" t="s">
        <v>299</v>
      </c>
      <c r="G1236" s="311" t="s">
        <v>236</v>
      </c>
      <c r="H1236" s="311" t="s">
        <v>408</v>
      </c>
      <c r="I1236" s="311" t="s">
        <v>56</v>
      </c>
      <c r="J1236" s="50" t="s">
        <v>1892</v>
      </c>
      <c r="K1236" s="50" t="s">
        <v>1892</v>
      </c>
      <c r="L1236" s="50" t="s">
        <v>1893</v>
      </c>
      <c r="M1236" s="50" t="s">
        <v>3660</v>
      </c>
      <c r="N1236" s="50" t="s">
        <v>3655</v>
      </c>
      <c r="O1236" s="50" t="s">
        <v>3655</v>
      </c>
      <c r="P1236" s="50" t="s">
        <v>3655</v>
      </c>
    </row>
    <row r="1237" spans="1:16" ht="12.75" customHeight="1" x14ac:dyDescent="0.25">
      <c r="A1237" s="311">
        <v>1234</v>
      </c>
      <c r="B1237" s="311" t="s">
        <v>75</v>
      </c>
      <c r="C1237" s="311" t="s">
        <v>462</v>
      </c>
      <c r="D1237" s="311" t="s">
        <v>462</v>
      </c>
      <c r="E1237" s="337" t="s">
        <v>462</v>
      </c>
      <c r="F1237" s="311" t="s">
        <v>299</v>
      </c>
      <c r="G1237" s="311" t="s">
        <v>236</v>
      </c>
      <c r="H1237" s="311" t="s">
        <v>408</v>
      </c>
      <c r="I1237" s="311" t="s">
        <v>56</v>
      </c>
      <c r="J1237" s="50" t="s">
        <v>1892</v>
      </c>
      <c r="K1237" s="50" t="s">
        <v>1892</v>
      </c>
      <c r="L1237" s="50" t="s">
        <v>1893</v>
      </c>
      <c r="M1237" s="50" t="s">
        <v>3661</v>
      </c>
      <c r="N1237" s="50" t="s">
        <v>3655</v>
      </c>
      <c r="O1237" s="50" t="s">
        <v>3655</v>
      </c>
      <c r="P1237" s="50" t="s">
        <v>3655</v>
      </c>
    </row>
    <row r="1238" spans="1:16" ht="12.75" customHeight="1" x14ac:dyDescent="0.25">
      <c r="A1238" s="311">
        <v>1235</v>
      </c>
      <c r="B1238" s="311" t="s">
        <v>72</v>
      </c>
      <c r="C1238" s="311" t="s">
        <v>462</v>
      </c>
      <c r="D1238" s="311" t="s">
        <v>462</v>
      </c>
      <c r="E1238" s="337" t="s">
        <v>462</v>
      </c>
      <c r="F1238" s="311" t="s">
        <v>299</v>
      </c>
      <c r="G1238" s="311" t="s">
        <v>23</v>
      </c>
      <c r="H1238" s="311" t="s">
        <v>408</v>
      </c>
      <c r="I1238" s="311" t="s">
        <v>56</v>
      </c>
      <c r="J1238" s="50" t="s">
        <v>1892</v>
      </c>
      <c r="K1238" s="50" t="s">
        <v>1892</v>
      </c>
      <c r="L1238" s="50" t="s">
        <v>1893</v>
      </c>
      <c r="M1238" s="50" t="s">
        <v>3662</v>
      </c>
      <c r="N1238" s="50" t="s">
        <v>3663</v>
      </c>
      <c r="O1238" s="50" t="s">
        <v>3663</v>
      </c>
      <c r="P1238" s="50" t="s">
        <v>3663</v>
      </c>
    </row>
    <row r="1239" spans="1:16" ht="12.75" customHeight="1" x14ac:dyDescent="0.25">
      <c r="A1239" s="311">
        <v>1236</v>
      </c>
      <c r="B1239" s="311" t="s">
        <v>99</v>
      </c>
      <c r="C1239" s="311" t="s">
        <v>462</v>
      </c>
      <c r="D1239" s="311" t="s">
        <v>462</v>
      </c>
      <c r="E1239" s="337" t="s">
        <v>462</v>
      </c>
      <c r="F1239" s="311" t="s">
        <v>299</v>
      </c>
      <c r="G1239" s="311" t="s">
        <v>23</v>
      </c>
      <c r="H1239" s="311" t="s">
        <v>408</v>
      </c>
      <c r="I1239" s="311" t="s">
        <v>56</v>
      </c>
      <c r="J1239" s="50" t="s">
        <v>1892</v>
      </c>
      <c r="K1239" s="50" t="s">
        <v>1892</v>
      </c>
      <c r="L1239" s="50" t="s">
        <v>1893</v>
      </c>
      <c r="M1239" s="50" t="s">
        <v>3664</v>
      </c>
      <c r="N1239" s="50" t="s">
        <v>3663</v>
      </c>
      <c r="O1239" s="50" t="s">
        <v>3663</v>
      </c>
      <c r="P1239" s="50" t="s">
        <v>3663</v>
      </c>
    </row>
    <row r="1240" spans="1:16" ht="12.75" customHeight="1" x14ac:dyDescent="0.25">
      <c r="A1240" s="311">
        <v>1237</v>
      </c>
      <c r="B1240" s="311" t="s">
        <v>60</v>
      </c>
      <c r="C1240" s="311" t="s">
        <v>462</v>
      </c>
      <c r="D1240" s="311" t="s">
        <v>462</v>
      </c>
      <c r="E1240" s="337" t="s">
        <v>462</v>
      </c>
      <c r="F1240" s="311" t="s">
        <v>299</v>
      </c>
      <c r="G1240" s="311" t="s">
        <v>23</v>
      </c>
      <c r="H1240" s="311" t="s">
        <v>408</v>
      </c>
      <c r="I1240" s="311" t="s">
        <v>56</v>
      </c>
      <c r="J1240" s="50" t="s">
        <v>1892</v>
      </c>
      <c r="K1240" s="50" t="s">
        <v>1892</v>
      </c>
      <c r="L1240" s="50" t="s">
        <v>1893</v>
      </c>
      <c r="M1240" s="50" t="s">
        <v>3665</v>
      </c>
      <c r="N1240" s="50" t="s">
        <v>3663</v>
      </c>
      <c r="O1240" s="50" t="s">
        <v>3663</v>
      </c>
      <c r="P1240" s="50" t="s">
        <v>3663</v>
      </c>
    </row>
    <row r="1241" spans="1:16" ht="12.75" customHeight="1" x14ac:dyDescent="0.25">
      <c r="A1241" s="311">
        <v>1238</v>
      </c>
      <c r="B1241" s="311" t="s">
        <v>94</v>
      </c>
      <c r="C1241" s="311" t="s">
        <v>462</v>
      </c>
      <c r="D1241" s="311" t="s">
        <v>462</v>
      </c>
      <c r="E1241" s="337" t="s">
        <v>462</v>
      </c>
      <c r="F1241" s="311" t="s">
        <v>299</v>
      </c>
      <c r="G1241" s="311" t="s">
        <v>23</v>
      </c>
      <c r="H1241" s="311" t="s">
        <v>408</v>
      </c>
      <c r="I1241" s="311" t="s">
        <v>56</v>
      </c>
      <c r="J1241" s="50" t="s">
        <v>1892</v>
      </c>
      <c r="K1241" s="50" t="s">
        <v>1892</v>
      </c>
      <c r="L1241" s="50" t="s">
        <v>1893</v>
      </c>
      <c r="M1241" s="50" t="s">
        <v>3666</v>
      </c>
      <c r="N1241" s="50" t="s">
        <v>3663</v>
      </c>
      <c r="O1241" s="50" t="s">
        <v>3663</v>
      </c>
      <c r="P1241" s="50" t="s">
        <v>3663</v>
      </c>
    </row>
    <row r="1242" spans="1:16" ht="12.75" customHeight="1" x14ac:dyDescent="0.25">
      <c r="A1242" s="311">
        <v>1239</v>
      </c>
      <c r="B1242" s="311" t="s">
        <v>84</v>
      </c>
      <c r="C1242" s="311" t="s">
        <v>462</v>
      </c>
      <c r="D1242" s="311" t="s">
        <v>462</v>
      </c>
      <c r="E1242" s="337" t="s">
        <v>462</v>
      </c>
      <c r="F1242" s="311" t="s">
        <v>299</v>
      </c>
      <c r="G1242" s="311" t="s">
        <v>23</v>
      </c>
      <c r="H1242" s="311" t="s">
        <v>408</v>
      </c>
      <c r="I1242" s="311" t="s">
        <v>56</v>
      </c>
      <c r="J1242" s="50" t="s">
        <v>1892</v>
      </c>
      <c r="K1242" s="50" t="s">
        <v>1892</v>
      </c>
      <c r="L1242" s="50" t="s">
        <v>1893</v>
      </c>
      <c r="M1242" s="50" t="s">
        <v>3667</v>
      </c>
      <c r="N1242" s="50" t="s">
        <v>3663</v>
      </c>
      <c r="O1242" s="50" t="s">
        <v>3663</v>
      </c>
      <c r="P1242" s="50" t="s">
        <v>3663</v>
      </c>
    </row>
    <row r="1243" spans="1:16" ht="12.75" customHeight="1" x14ac:dyDescent="0.25">
      <c r="A1243" s="311">
        <v>1240</v>
      </c>
      <c r="B1243" s="311" t="s">
        <v>123</v>
      </c>
      <c r="C1243" s="311" t="s">
        <v>462</v>
      </c>
      <c r="D1243" s="311" t="s">
        <v>462</v>
      </c>
      <c r="E1243" s="337" t="s">
        <v>462</v>
      </c>
      <c r="F1243" s="311" t="s">
        <v>299</v>
      </c>
      <c r="G1243" s="311" t="s">
        <v>23</v>
      </c>
      <c r="H1243" s="311" t="s">
        <v>408</v>
      </c>
      <c r="I1243" s="311" t="s">
        <v>56</v>
      </c>
      <c r="J1243" s="50" t="s">
        <v>1892</v>
      </c>
      <c r="K1243" s="50" t="s">
        <v>1892</v>
      </c>
      <c r="L1243" s="50" t="s">
        <v>1893</v>
      </c>
      <c r="M1243" s="50" t="s">
        <v>3668</v>
      </c>
      <c r="N1243" s="50" t="s">
        <v>3663</v>
      </c>
      <c r="O1243" s="50" t="s">
        <v>3663</v>
      </c>
      <c r="P1243" s="50" t="s">
        <v>3663</v>
      </c>
    </row>
    <row r="1244" spans="1:16" ht="12.75" customHeight="1" x14ac:dyDescent="0.25">
      <c r="A1244" s="311">
        <v>1241</v>
      </c>
      <c r="B1244" s="311" t="s">
        <v>75</v>
      </c>
      <c r="C1244" s="311" t="s">
        <v>462</v>
      </c>
      <c r="D1244" s="311" t="s">
        <v>462</v>
      </c>
      <c r="E1244" s="337" t="s">
        <v>462</v>
      </c>
      <c r="F1244" s="311" t="s">
        <v>299</v>
      </c>
      <c r="G1244" s="311" t="s">
        <v>23</v>
      </c>
      <c r="H1244" s="311" t="s">
        <v>408</v>
      </c>
      <c r="I1244" s="311" t="s">
        <v>56</v>
      </c>
      <c r="J1244" s="50" t="s">
        <v>1892</v>
      </c>
      <c r="K1244" s="50" t="s">
        <v>1892</v>
      </c>
      <c r="L1244" s="50" t="s">
        <v>1893</v>
      </c>
      <c r="M1244" s="50" t="s">
        <v>3669</v>
      </c>
      <c r="N1244" s="50" t="s">
        <v>3663</v>
      </c>
      <c r="O1244" s="50" t="s">
        <v>3663</v>
      </c>
      <c r="P1244" s="50" t="s">
        <v>3663</v>
      </c>
    </row>
    <row r="1245" spans="1:16" ht="12.75" customHeight="1" x14ac:dyDescent="0.25">
      <c r="A1245" s="311">
        <v>1242</v>
      </c>
      <c r="B1245" s="311" t="s">
        <v>72</v>
      </c>
      <c r="C1245" s="311" t="s">
        <v>462</v>
      </c>
      <c r="D1245" s="311" t="s">
        <v>462</v>
      </c>
      <c r="E1245" s="337" t="s">
        <v>462</v>
      </c>
      <c r="F1245" s="311" t="s">
        <v>299</v>
      </c>
      <c r="G1245" s="311" t="s">
        <v>237</v>
      </c>
      <c r="H1245" s="311" t="s">
        <v>408</v>
      </c>
      <c r="I1245" s="311" t="s">
        <v>56</v>
      </c>
      <c r="J1245" s="50" t="s">
        <v>1892</v>
      </c>
      <c r="K1245" s="50" t="s">
        <v>1892</v>
      </c>
      <c r="L1245" s="50" t="s">
        <v>1893</v>
      </c>
      <c r="M1245" s="50" t="s">
        <v>3670</v>
      </c>
      <c r="N1245" s="50" t="s">
        <v>3671</v>
      </c>
      <c r="O1245" s="50" t="s">
        <v>3671</v>
      </c>
      <c r="P1245" s="50" t="s">
        <v>3671</v>
      </c>
    </row>
    <row r="1246" spans="1:16" ht="12.75" customHeight="1" x14ac:dyDescent="0.25">
      <c r="A1246" s="311">
        <v>1243</v>
      </c>
      <c r="B1246" s="311" t="s">
        <v>99</v>
      </c>
      <c r="C1246" s="311" t="s">
        <v>462</v>
      </c>
      <c r="D1246" s="311" t="s">
        <v>462</v>
      </c>
      <c r="E1246" s="337" t="s">
        <v>462</v>
      </c>
      <c r="F1246" s="311" t="s">
        <v>299</v>
      </c>
      <c r="G1246" s="311" t="s">
        <v>237</v>
      </c>
      <c r="H1246" s="311" t="s">
        <v>408</v>
      </c>
      <c r="I1246" s="311" t="s">
        <v>56</v>
      </c>
      <c r="J1246" s="50" t="s">
        <v>1892</v>
      </c>
      <c r="K1246" s="50" t="s">
        <v>1892</v>
      </c>
      <c r="L1246" s="50" t="s">
        <v>1893</v>
      </c>
      <c r="M1246" s="50" t="s">
        <v>3672</v>
      </c>
      <c r="N1246" s="50" t="s">
        <v>3671</v>
      </c>
      <c r="O1246" s="50" t="s">
        <v>3671</v>
      </c>
      <c r="P1246" s="50" t="s">
        <v>3671</v>
      </c>
    </row>
    <row r="1247" spans="1:16" ht="12.75" customHeight="1" x14ac:dyDescent="0.25">
      <c r="A1247" s="311">
        <v>1244</v>
      </c>
      <c r="B1247" s="311" t="s">
        <v>60</v>
      </c>
      <c r="C1247" s="311" t="s">
        <v>462</v>
      </c>
      <c r="D1247" s="311" t="s">
        <v>462</v>
      </c>
      <c r="E1247" s="337" t="s">
        <v>462</v>
      </c>
      <c r="F1247" s="311" t="s">
        <v>299</v>
      </c>
      <c r="G1247" s="311" t="s">
        <v>237</v>
      </c>
      <c r="H1247" s="311" t="s">
        <v>408</v>
      </c>
      <c r="I1247" s="311" t="s">
        <v>56</v>
      </c>
      <c r="J1247" s="50" t="s">
        <v>1892</v>
      </c>
      <c r="K1247" s="50" t="s">
        <v>1892</v>
      </c>
      <c r="L1247" s="50" t="s">
        <v>1893</v>
      </c>
      <c r="M1247" s="50" t="s">
        <v>3673</v>
      </c>
      <c r="N1247" s="50" t="s">
        <v>3671</v>
      </c>
      <c r="O1247" s="50" t="s">
        <v>3671</v>
      </c>
      <c r="P1247" s="50" t="s">
        <v>3671</v>
      </c>
    </row>
    <row r="1248" spans="1:16" ht="12.75" customHeight="1" x14ac:dyDescent="0.25">
      <c r="A1248" s="311">
        <v>1245</v>
      </c>
      <c r="B1248" s="311" t="s">
        <v>94</v>
      </c>
      <c r="C1248" s="311" t="s">
        <v>462</v>
      </c>
      <c r="D1248" s="311" t="s">
        <v>462</v>
      </c>
      <c r="E1248" s="337" t="s">
        <v>462</v>
      </c>
      <c r="F1248" s="311" t="s">
        <v>299</v>
      </c>
      <c r="G1248" s="311" t="s">
        <v>237</v>
      </c>
      <c r="H1248" s="311" t="s">
        <v>408</v>
      </c>
      <c r="I1248" s="311" t="s">
        <v>56</v>
      </c>
      <c r="J1248" s="50" t="s">
        <v>1892</v>
      </c>
      <c r="K1248" s="50" t="s">
        <v>1892</v>
      </c>
      <c r="L1248" s="50" t="s">
        <v>1893</v>
      </c>
      <c r="M1248" s="50" t="s">
        <v>3674</v>
      </c>
      <c r="N1248" s="50" t="s">
        <v>3671</v>
      </c>
      <c r="O1248" s="50" t="s">
        <v>3671</v>
      </c>
      <c r="P1248" s="50" t="s">
        <v>3671</v>
      </c>
    </row>
    <row r="1249" spans="1:16" ht="12.75" customHeight="1" x14ac:dyDescent="0.25">
      <c r="A1249" s="311">
        <v>1246</v>
      </c>
      <c r="B1249" s="311" t="s">
        <v>84</v>
      </c>
      <c r="C1249" s="311" t="s">
        <v>462</v>
      </c>
      <c r="D1249" s="311" t="s">
        <v>462</v>
      </c>
      <c r="E1249" s="337" t="s">
        <v>462</v>
      </c>
      <c r="F1249" s="311" t="s">
        <v>299</v>
      </c>
      <c r="G1249" s="311" t="s">
        <v>237</v>
      </c>
      <c r="H1249" s="311" t="s">
        <v>408</v>
      </c>
      <c r="I1249" s="311" t="s">
        <v>56</v>
      </c>
      <c r="J1249" s="50" t="s">
        <v>1892</v>
      </c>
      <c r="K1249" s="50" t="s">
        <v>1892</v>
      </c>
      <c r="L1249" s="50" t="s">
        <v>1893</v>
      </c>
      <c r="M1249" s="50" t="s">
        <v>3675</v>
      </c>
      <c r="N1249" s="50" t="s">
        <v>3671</v>
      </c>
      <c r="O1249" s="50" t="s">
        <v>3671</v>
      </c>
      <c r="P1249" s="50" t="s">
        <v>3671</v>
      </c>
    </row>
    <row r="1250" spans="1:16" ht="12.75" customHeight="1" x14ac:dyDescent="0.25">
      <c r="A1250" s="311">
        <v>1247</v>
      </c>
      <c r="B1250" s="311" t="s">
        <v>123</v>
      </c>
      <c r="C1250" s="311" t="s">
        <v>462</v>
      </c>
      <c r="D1250" s="311" t="s">
        <v>462</v>
      </c>
      <c r="E1250" s="337" t="s">
        <v>462</v>
      </c>
      <c r="F1250" s="311" t="s">
        <v>299</v>
      </c>
      <c r="G1250" s="311" t="s">
        <v>237</v>
      </c>
      <c r="H1250" s="311" t="s">
        <v>408</v>
      </c>
      <c r="I1250" s="311" t="s">
        <v>56</v>
      </c>
      <c r="J1250" s="50" t="s">
        <v>1892</v>
      </c>
      <c r="K1250" s="50" t="s">
        <v>1892</v>
      </c>
      <c r="L1250" s="50" t="s">
        <v>1893</v>
      </c>
      <c r="M1250" s="50" t="s">
        <v>3676</v>
      </c>
      <c r="N1250" s="50" t="s">
        <v>3671</v>
      </c>
      <c r="O1250" s="50" t="s">
        <v>3671</v>
      </c>
      <c r="P1250" s="50" t="s">
        <v>3671</v>
      </c>
    </row>
    <row r="1251" spans="1:16" ht="12.75" customHeight="1" x14ac:dyDescent="0.25">
      <c r="A1251" s="311">
        <v>1248</v>
      </c>
      <c r="B1251" s="311" t="s">
        <v>75</v>
      </c>
      <c r="C1251" s="311" t="s">
        <v>462</v>
      </c>
      <c r="D1251" s="311" t="s">
        <v>462</v>
      </c>
      <c r="E1251" s="337" t="s">
        <v>462</v>
      </c>
      <c r="F1251" s="311" t="s">
        <v>299</v>
      </c>
      <c r="G1251" s="311" t="s">
        <v>237</v>
      </c>
      <c r="H1251" s="311" t="s">
        <v>408</v>
      </c>
      <c r="I1251" s="311" t="s">
        <v>56</v>
      </c>
      <c r="J1251" s="50" t="s">
        <v>1892</v>
      </c>
      <c r="K1251" s="50" t="s">
        <v>1892</v>
      </c>
      <c r="L1251" s="50" t="s">
        <v>1893</v>
      </c>
      <c r="M1251" s="50" t="s">
        <v>3677</v>
      </c>
      <c r="N1251" s="50" t="s">
        <v>3671</v>
      </c>
      <c r="O1251" s="50" t="s">
        <v>3671</v>
      </c>
      <c r="P1251" s="50" t="s">
        <v>3671</v>
      </c>
    </row>
    <row r="1252" spans="1:16" ht="12.75" customHeight="1" x14ac:dyDescent="0.25">
      <c r="A1252" s="311">
        <v>1249</v>
      </c>
      <c r="B1252" s="311" t="s">
        <v>72</v>
      </c>
      <c r="C1252" s="311" t="s">
        <v>462</v>
      </c>
      <c r="D1252" s="311" t="s">
        <v>462</v>
      </c>
      <c r="E1252" s="337" t="s">
        <v>462</v>
      </c>
      <c r="F1252" s="311" t="s">
        <v>103</v>
      </c>
      <c r="G1252" s="311" t="s">
        <v>236</v>
      </c>
      <c r="H1252" s="311" t="s">
        <v>408</v>
      </c>
      <c r="I1252" s="311" t="s">
        <v>56</v>
      </c>
      <c r="J1252" s="50" t="s">
        <v>1892</v>
      </c>
      <c r="K1252" s="50" t="s">
        <v>1892</v>
      </c>
      <c r="L1252" s="50" t="s">
        <v>1893</v>
      </c>
      <c r="M1252" s="50" t="s">
        <v>3678</v>
      </c>
      <c r="N1252" s="50" t="s">
        <v>3679</v>
      </c>
      <c r="O1252" s="50" t="s">
        <v>3679</v>
      </c>
      <c r="P1252" s="50" t="s">
        <v>3679</v>
      </c>
    </row>
    <row r="1253" spans="1:16" ht="12.75" customHeight="1" x14ac:dyDescent="0.25">
      <c r="A1253" s="311">
        <v>1250</v>
      </c>
      <c r="B1253" s="311" t="s">
        <v>99</v>
      </c>
      <c r="C1253" s="311" t="s">
        <v>462</v>
      </c>
      <c r="D1253" s="311" t="s">
        <v>462</v>
      </c>
      <c r="E1253" s="337" t="s">
        <v>462</v>
      </c>
      <c r="F1253" s="311" t="s">
        <v>103</v>
      </c>
      <c r="G1253" s="311" t="s">
        <v>236</v>
      </c>
      <c r="H1253" s="311" t="s">
        <v>408</v>
      </c>
      <c r="I1253" s="311" t="s">
        <v>56</v>
      </c>
      <c r="J1253" s="50" t="s">
        <v>1892</v>
      </c>
      <c r="K1253" s="50" t="s">
        <v>1892</v>
      </c>
      <c r="L1253" s="50" t="s">
        <v>1893</v>
      </c>
      <c r="M1253" s="50" t="s">
        <v>3680</v>
      </c>
      <c r="N1253" s="50" t="s">
        <v>3679</v>
      </c>
      <c r="O1253" s="50" t="s">
        <v>3679</v>
      </c>
      <c r="P1253" s="50" t="s">
        <v>3679</v>
      </c>
    </row>
    <row r="1254" spans="1:16" ht="12.75" customHeight="1" x14ac:dyDescent="0.25">
      <c r="A1254" s="311">
        <v>1251</v>
      </c>
      <c r="B1254" s="311" t="s">
        <v>60</v>
      </c>
      <c r="C1254" s="311" t="s">
        <v>462</v>
      </c>
      <c r="D1254" s="311" t="s">
        <v>462</v>
      </c>
      <c r="E1254" s="337" t="s">
        <v>462</v>
      </c>
      <c r="F1254" s="311" t="s">
        <v>103</v>
      </c>
      <c r="G1254" s="311" t="s">
        <v>236</v>
      </c>
      <c r="H1254" s="311" t="s">
        <v>408</v>
      </c>
      <c r="I1254" s="311" t="s">
        <v>56</v>
      </c>
      <c r="J1254" s="50" t="s">
        <v>1892</v>
      </c>
      <c r="K1254" s="50" t="s">
        <v>1892</v>
      </c>
      <c r="L1254" s="50" t="s">
        <v>1893</v>
      </c>
      <c r="M1254" s="50" t="s">
        <v>3681</v>
      </c>
      <c r="N1254" s="50" t="s">
        <v>3679</v>
      </c>
      <c r="O1254" s="50" t="s">
        <v>3679</v>
      </c>
      <c r="P1254" s="50" t="s">
        <v>3679</v>
      </c>
    </row>
    <row r="1255" spans="1:16" ht="12.75" customHeight="1" x14ac:dyDescent="0.25">
      <c r="A1255" s="311">
        <v>1252</v>
      </c>
      <c r="B1255" s="311" t="s">
        <v>94</v>
      </c>
      <c r="C1255" s="311" t="s">
        <v>462</v>
      </c>
      <c r="D1255" s="311" t="s">
        <v>462</v>
      </c>
      <c r="E1255" s="337" t="s">
        <v>462</v>
      </c>
      <c r="F1255" s="311" t="s">
        <v>103</v>
      </c>
      <c r="G1255" s="311" t="s">
        <v>236</v>
      </c>
      <c r="H1255" s="311" t="s">
        <v>408</v>
      </c>
      <c r="I1255" s="311" t="s">
        <v>56</v>
      </c>
      <c r="J1255" s="50" t="s">
        <v>1892</v>
      </c>
      <c r="K1255" s="50" t="s">
        <v>1892</v>
      </c>
      <c r="L1255" s="50" t="s">
        <v>1893</v>
      </c>
      <c r="M1255" s="50" t="s">
        <v>3682</v>
      </c>
      <c r="N1255" s="50" t="s">
        <v>3679</v>
      </c>
      <c r="O1255" s="50" t="s">
        <v>3679</v>
      </c>
      <c r="P1255" s="50" t="s">
        <v>3679</v>
      </c>
    </row>
    <row r="1256" spans="1:16" ht="12.75" customHeight="1" x14ac:dyDescent="0.25">
      <c r="A1256" s="311">
        <v>1253</v>
      </c>
      <c r="B1256" s="311" t="s">
        <v>84</v>
      </c>
      <c r="C1256" s="311" t="s">
        <v>462</v>
      </c>
      <c r="D1256" s="311" t="s">
        <v>462</v>
      </c>
      <c r="E1256" s="337" t="s">
        <v>462</v>
      </c>
      <c r="F1256" s="311" t="s">
        <v>103</v>
      </c>
      <c r="G1256" s="311" t="s">
        <v>236</v>
      </c>
      <c r="H1256" s="311" t="s">
        <v>408</v>
      </c>
      <c r="I1256" s="311" t="s">
        <v>56</v>
      </c>
      <c r="J1256" s="50" t="s">
        <v>1892</v>
      </c>
      <c r="K1256" s="50" t="s">
        <v>1892</v>
      </c>
      <c r="L1256" s="50" t="s">
        <v>1893</v>
      </c>
      <c r="M1256" s="50" t="s">
        <v>3683</v>
      </c>
      <c r="N1256" s="50" t="s">
        <v>3679</v>
      </c>
      <c r="O1256" s="50" t="s">
        <v>3679</v>
      </c>
      <c r="P1256" s="50" t="s">
        <v>3679</v>
      </c>
    </row>
    <row r="1257" spans="1:16" ht="12.75" customHeight="1" x14ac:dyDescent="0.25">
      <c r="A1257" s="311">
        <v>1254</v>
      </c>
      <c r="B1257" s="311" t="s">
        <v>123</v>
      </c>
      <c r="C1257" s="311" t="s">
        <v>462</v>
      </c>
      <c r="D1257" s="311" t="s">
        <v>462</v>
      </c>
      <c r="E1257" s="337" t="s">
        <v>462</v>
      </c>
      <c r="F1257" s="311" t="s">
        <v>103</v>
      </c>
      <c r="G1257" s="311" t="s">
        <v>236</v>
      </c>
      <c r="H1257" s="311" t="s">
        <v>408</v>
      </c>
      <c r="I1257" s="311" t="s">
        <v>56</v>
      </c>
      <c r="J1257" s="50" t="s">
        <v>1892</v>
      </c>
      <c r="K1257" s="50" t="s">
        <v>1892</v>
      </c>
      <c r="L1257" s="50" t="s">
        <v>1893</v>
      </c>
      <c r="M1257" s="50" t="s">
        <v>3684</v>
      </c>
      <c r="N1257" s="50" t="s">
        <v>3679</v>
      </c>
      <c r="O1257" s="50" t="s">
        <v>3679</v>
      </c>
      <c r="P1257" s="50" t="s">
        <v>3679</v>
      </c>
    </row>
    <row r="1258" spans="1:16" ht="12.75" customHeight="1" x14ac:dyDescent="0.25">
      <c r="A1258" s="311">
        <v>1255</v>
      </c>
      <c r="B1258" s="311" t="s">
        <v>75</v>
      </c>
      <c r="C1258" s="311" t="s">
        <v>462</v>
      </c>
      <c r="D1258" s="311" t="s">
        <v>462</v>
      </c>
      <c r="E1258" s="337" t="s">
        <v>462</v>
      </c>
      <c r="F1258" s="311" t="s">
        <v>103</v>
      </c>
      <c r="G1258" s="311" t="s">
        <v>236</v>
      </c>
      <c r="H1258" s="311" t="s">
        <v>408</v>
      </c>
      <c r="I1258" s="311" t="s">
        <v>56</v>
      </c>
      <c r="J1258" s="50" t="s">
        <v>1892</v>
      </c>
      <c r="K1258" s="50" t="s">
        <v>1892</v>
      </c>
      <c r="L1258" s="50" t="s">
        <v>1893</v>
      </c>
      <c r="M1258" s="50" t="s">
        <v>3685</v>
      </c>
      <c r="N1258" s="50" t="s">
        <v>3679</v>
      </c>
      <c r="O1258" s="50" t="s">
        <v>3679</v>
      </c>
      <c r="P1258" s="50" t="s">
        <v>3679</v>
      </c>
    </row>
    <row r="1259" spans="1:16" ht="12.75" customHeight="1" x14ac:dyDescent="0.25">
      <c r="A1259" s="311">
        <v>1256</v>
      </c>
      <c r="B1259" s="311" t="s">
        <v>72</v>
      </c>
      <c r="C1259" s="311" t="s">
        <v>462</v>
      </c>
      <c r="D1259" s="311" t="s">
        <v>462</v>
      </c>
      <c r="E1259" s="337" t="s">
        <v>462</v>
      </c>
      <c r="F1259" s="311" t="s">
        <v>103</v>
      </c>
      <c r="G1259" s="311" t="s">
        <v>23</v>
      </c>
      <c r="H1259" s="311" t="s">
        <v>408</v>
      </c>
      <c r="I1259" s="311" t="s">
        <v>56</v>
      </c>
      <c r="J1259" s="50" t="s">
        <v>1892</v>
      </c>
      <c r="K1259" s="50" t="s">
        <v>1892</v>
      </c>
      <c r="L1259" s="50" t="s">
        <v>1893</v>
      </c>
      <c r="M1259" s="50" t="s">
        <v>3686</v>
      </c>
      <c r="N1259" s="50" t="s">
        <v>3687</v>
      </c>
      <c r="O1259" s="50" t="s">
        <v>3687</v>
      </c>
      <c r="P1259" s="50" t="s">
        <v>3687</v>
      </c>
    </row>
    <row r="1260" spans="1:16" ht="12.75" customHeight="1" x14ac:dyDescent="0.25">
      <c r="A1260" s="311">
        <v>1257</v>
      </c>
      <c r="B1260" s="311" t="s">
        <v>99</v>
      </c>
      <c r="C1260" s="311" t="s">
        <v>462</v>
      </c>
      <c r="D1260" s="311" t="s">
        <v>462</v>
      </c>
      <c r="E1260" s="337" t="s">
        <v>462</v>
      </c>
      <c r="F1260" s="311" t="s">
        <v>103</v>
      </c>
      <c r="G1260" s="311" t="s">
        <v>23</v>
      </c>
      <c r="H1260" s="311" t="s">
        <v>408</v>
      </c>
      <c r="I1260" s="311" t="s">
        <v>56</v>
      </c>
      <c r="J1260" s="50" t="s">
        <v>1892</v>
      </c>
      <c r="K1260" s="50" t="s">
        <v>1892</v>
      </c>
      <c r="L1260" s="50" t="s">
        <v>1893</v>
      </c>
      <c r="M1260" s="50" t="s">
        <v>3688</v>
      </c>
      <c r="N1260" s="50" t="s">
        <v>3687</v>
      </c>
      <c r="O1260" s="50" t="s">
        <v>3687</v>
      </c>
      <c r="P1260" s="50" t="s">
        <v>3687</v>
      </c>
    </row>
    <row r="1261" spans="1:16" ht="12.75" customHeight="1" x14ac:dyDescent="0.25">
      <c r="A1261" s="311">
        <v>1258</v>
      </c>
      <c r="B1261" s="311" t="s">
        <v>60</v>
      </c>
      <c r="C1261" s="311" t="s">
        <v>462</v>
      </c>
      <c r="D1261" s="311" t="s">
        <v>462</v>
      </c>
      <c r="E1261" s="337" t="s">
        <v>462</v>
      </c>
      <c r="F1261" s="311" t="s">
        <v>103</v>
      </c>
      <c r="G1261" s="311" t="s">
        <v>23</v>
      </c>
      <c r="H1261" s="311" t="s">
        <v>408</v>
      </c>
      <c r="I1261" s="311" t="s">
        <v>56</v>
      </c>
      <c r="J1261" s="50" t="s">
        <v>1892</v>
      </c>
      <c r="K1261" s="50" t="s">
        <v>1892</v>
      </c>
      <c r="L1261" s="50" t="s">
        <v>1893</v>
      </c>
      <c r="M1261" s="50" t="s">
        <v>3689</v>
      </c>
      <c r="N1261" s="50" t="s">
        <v>3687</v>
      </c>
      <c r="O1261" s="50" t="s">
        <v>3687</v>
      </c>
      <c r="P1261" s="50" t="s">
        <v>3687</v>
      </c>
    </row>
    <row r="1262" spans="1:16" ht="12.75" customHeight="1" x14ac:dyDescent="0.25">
      <c r="A1262" s="311">
        <v>1259</v>
      </c>
      <c r="B1262" s="311" t="s">
        <v>94</v>
      </c>
      <c r="C1262" s="311" t="s">
        <v>462</v>
      </c>
      <c r="D1262" s="311" t="s">
        <v>462</v>
      </c>
      <c r="E1262" s="337" t="s">
        <v>462</v>
      </c>
      <c r="F1262" s="311" t="s">
        <v>103</v>
      </c>
      <c r="G1262" s="311" t="s">
        <v>23</v>
      </c>
      <c r="H1262" s="311" t="s">
        <v>408</v>
      </c>
      <c r="I1262" s="311" t="s">
        <v>56</v>
      </c>
      <c r="J1262" s="50" t="s">
        <v>1892</v>
      </c>
      <c r="K1262" s="50" t="s">
        <v>1892</v>
      </c>
      <c r="L1262" s="50" t="s">
        <v>1893</v>
      </c>
      <c r="M1262" s="50" t="s">
        <v>3690</v>
      </c>
      <c r="N1262" s="50" t="s">
        <v>3687</v>
      </c>
      <c r="O1262" s="50" t="s">
        <v>3687</v>
      </c>
      <c r="P1262" s="50" t="s">
        <v>3687</v>
      </c>
    </row>
    <row r="1263" spans="1:16" ht="12.75" customHeight="1" x14ac:dyDescent="0.25">
      <c r="A1263" s="311">
        <v>1260</v>
      </c>
      <c r="B1263" s="311" t="s">
        <v>84</v>
      </c>
      <c r="C1263" s="311" t="s">
        <v>462</v>
      </c>
      <c r="D1263" s="311" t="s">
        <v>462</v>
      </c>
      <c r="E1263" s="337" t="s">
        <v>462</v>
      </c>
      <c r="F1263" s="311" t="s">
        <v>103</v>
      </c>
      <c r="G1263" s="311" t="s">
        <v>23</v>
      </c>
      <c r="H1263" s="311" t="s">
        <v>408</v>
      </c>
      <c r="I1263" s="311" t="s">
        <v>56</v>
      </c>
      <c r="J1263" s="50" t="s">
        <v>1892</v>
      </c>
      <c r="K1263" s="50" t="s">
        <v>1892</v>
      </c>
      <c r="L1263" s="50" t="s">
        <v>1893</v>
      </c>
      <c r="M1263" s="50" t="s">
        <v>3691</v>
      </c>
      <c r="N1263" s="50" t="s">
        <v>3687</v>
      </c>
      <c r="O1263" s="50" t="s">
        <v>3687</v>
      </c>
      <c r="P1263" s="50" t="s">
        <v>3687</v>
      </c>
    </row>
    <row r="1264" spans="1:16" ht="12.75" customHeight="1" x14ac:dyDescent="0.25">
      <c r="A1264" s="311">
        <v>1261</v>
      </c>
      <c r="B1264" s="311" t="s">
        <v>123</v>
      </c>
      <c r="C1264" s="311" t="s">
        <v>462</v>
      </c>
      <c r="D1264" s="311" t="s">
        <v>462</v>
      </c>
      <c r="E1264" s="337" t="s">
        <v>462</v>
      </c>
      <c r="F1264" s="311" t="s">
        <v>103</v>
      </c>
      <c r="G1264" s="311" t="s">
        <v>23</v>
      </c>
      <c r="H1264" s="311" t="s">
        <v>408</v>
      </c>
      <c r="I1264" s="311" t="s">
        <v>56</v>
      </c>
      <c r="J1264" s="50" t="s">
        <v>1892</v>
      </c>
      <c r="K1264" s="50" t="s">
        <v>1892</v>
      </c>
      <c r="L1264" s="50" t="s">
        <v>1893</v>
      </c>
      <c r="M1264" s="50" t="s">
        <v>3692</v>
      </c>
      <c r="N1264" s="50" t="s">
        <v>3687</v>
      </c>
      <c r="O1264" s="50" t="s">
        <v>3687</v>
      </c>
      <c r="P1264" s="50" t="s">
        <v>3687</v>
      </c>
    </row>
    <row r="1265" spans="1:16" ht="12.75" customHeight="1" x14ac:dyDescent="0.25">
      <c r="A1265" s="311">
        <v>1262</v>
      </c>
      <c r="B1265" s="311" t="s">
        <v>75</v>
      </c>
      <c r="C1265" s="311" t="s">
        <v>462</v>
      </c>
      <c r="D1265" s="311" t="s">
        <v>462</v>
      </c>
      <c r="E1265" s="337" t="s">
        <v>462</v>
      </c>
      <c r="F1265" s="311" t="s">
        <v>103</v>
      </c>
      <c r="G1265" s="311" t="s">
        <v>23</v>
      </c>
      <c r="H1265" s="311" t="s">
        <v>408</v>
      </c>
      <c r="I1265" s="311" t="s">
        <v>56</v>
      </c>
      <c r="J1265" s="50" t="s">
        <v>1892</v>
      </c>
      <c r="K1265" s="50" t="s">
        <v>1892</v>
      </c>
      <c r="L1265" s="50" t="s">
        <v>1893</v>
      </c>
      <c r="M1265" s="50" t="s">
        <v>3693</v>
      </c>
      <c r="N1265" s="50" t="s">
        <v>3687</v>
      </c>
      <c r="O1265" s="50" t="s">
        <v>3687</v>
      </c>
      <c r="P1265" s="50" t="s">
        <v>3687</v>
      </c>
    </row>
    <row r="1266" spans="1:16" ht="12.75" customHeight="1" x14ac:dyDescent="0.25">
      <c r="A1266" s="311">
        <v>1263</v>
      </c>
      <c r="B1266" s="311" t="s">
        <v>72</v>
      </c>
      <c r="C1266" s="311" t="s">
        <v>462</v>
      </c>
      <c r="D1266" s="311" t="s">
        <v>462</v>
      </c>
      <c r="E1266" s="337" t="s">
        <v>462</v>
      </c>
      <c r="F1266" s="311" t="s">
        <v>103</v>
      </c>
      <c r="G1266" s="311" t="s">
        <v>237</v>
      </c>
      <c r="H1266" s="311" t="s">
        <v>408</v>
      </c>
      <c r="I1266" s="311" t="s">
        <v>56</v>
      </c>
      <c r="J1266" s="50" t="s">
        <v>1892</v>
      </c>
      <c r="K1266" s="50" t="s">
        <v>1892</v>
      </c>
      <c r="L1266" s="50" t="s">
        <v>1893</v>
      </c>
      <c r="M1266" s="50" t="s">
        <v>3694</v>
      </c>
      <c r="N1266" s="50" t="s">
        <v>3695</v>
      </c>
      <c r="O1266" s="50" t="s">
        <v>3695</v>
      </c>
      <c r="P1266" s="50" t="s">
        <v>3695</v>
      </c>
    </row>
    <row r="1267" spans="1:16" ht="12.75" customHeight="1" x14ac:dyDescent="0.25">
      <c r="A1267" s="311">
        <v>1264</v>
      </c>
      <c r="B1267" s="311" t="s">
        <v>99</v>
      </c>
      <c r="C1267" s="311" t="s">
        <v>462</v>
      </c>
      <c r="D1267" s="311" t="s">
        <v>462</v>
      </c>
      <c r="E1267" s="337" t="s">
        <v>462</v>
      </c>
      <c r="F1267" s="311" t="s">
        <v>103</v>
      </c>
      <c r="G1267" s="311" t="s">
        <v>237</v>
      </c>
      <c r="H1267" s="311" t="s">
        <v>408</v>
      </c>
      <c r="I1267" s="311" t="s">
        <v>56</v>
      </c>
      <c r="J1267" s="50" t="s">
        <v>1892</v>
      </c>
      <c r="K1267" s="50" t="s">
        <v>1892</v>
      </c>
      <c r="L1267" s="50" t="s">
        <v>1893</v>
      </c>
      <c r="M1267" s="50" t="s">
        <v>3696</v>
      </c>
      <c r="N1267" s="50" t="s">
        <v>3695</v>
      </c>
      <c r="O1267" s="50" t="s">
        <v>3695</v>
      </c>
      <c r="P1267" s="50" t="s">
        <v>3695</v>
      </c>
    </row>
    <row r="1268" spans="1:16" ht="12.75" customHeight="1" x14ac:dyDescent="0.25">
      <c r="A1268" s="311">
        <v>1265</v>
      </c>
      <c r="B1268" s="311" t="s">
        <v>60</v>
      </c>
      <c r="C1268" s="311" t="s">
        <v>462</v>
      </c>
      <c r="D1268" s="311" t="s">
        <v>462</v>
      </c>
      <c r="E1268" s="337" t="s">
        <v>462</v>
      </c>
      <c r="F1268" s="311" t="s">
        <v>103</v>
      </c>
      <c r="G1268" s="311" t="s">
        <v>237</v>
      </c>
      <c r="H1268" s="311" t="s">
        <v>408</v>
      </c>
      <c r="I1268" s="311" t="s">
        <v>56</v>
      </c>
      <c r="J1268" s="50" t="s">
        <v>1892</v>
      </c>
      <c r="K1268" s="50" t="s">
        <v>1892</v>
      </c>
      <c r="L1268" s="50" t="s">
        <v>1893</v>
      </c>
      <c r="M1268" s="50" t="s">
        <v>3697</v>
      </c>
      <c r="N1268" s="50" t="s">
        <v>3695</v>
      </c>
      <c r="O1268" s="50" t="s">
        <v>3695</v>
      </c>
      <c r="P1268" s="50" t="s">
        <v>3695</v>
      </c>
    </row>
    <row r="1269" spans="1:16" ht="12.75" customHeight="1" x14ac:dyDescent="0.25">
      <c r="A1269" s="311">
        <v>1266</v>
      </c>
      <c r="B1269" s="311" t="s">
        <v>94</v>
      </c>
      <c r="C1269" s="311" t="s">
        <v>462</v>
      </c>
      <c r="D1269" s="311" t="s">
        <v>462</v>
      </c>
      <c r="E1269" s="337" t="s">
        <v>462</v>
      </c>
      <c r="F1269" s="311" t="s">
        <v>103</v>
      </c>
      <c r="G1269" s="311" t="s">
        <v>237</v>
      </c>
      <c r="H1269" s="311" t="s">
        <v>408</v>
      </c>
      <c r="I1269" s="311" t="s">
        <v>56</v>
      </c>
      <c r="J1269" s="50" t="s">
        <v>1892</v>
      </c>
      <c r="K1269" s="50" t="s">
        <v>1892</v>
      </c>
      <c r="L1269" s="50" t="s">
        <v>1893</v>
      </c>
      <c r="M1269" s="50" t="s">
        <v>3698</v>
      </c>
      <c r="N1269" s="50" t="s">
        <v>3695</v>
      </c>
      <c r="O1269" s="50" t="s">
        <v>3695</v>
      </c>
      <c r="P1269" s="50" t="s">
        <v>3695</v>
      </c>
    </row>
    <row r="1270" spans="1:16" ht="12.75" customHeight="1" x14ac:dyDescent="0.25">
      <c r="A1270" s="311">
        <v>1267</v>
      </c>
      <c r="B1270" s="311" t="s">
        <v>84</v>
      </c>
      <c r="C1270" s="311" t="s">
        <v>462</v>
      </c>
      <c r="D1270" s="311" t="s">
        <v>462</v>
      </c>
      <c r="E1270" s="337" t="s">
        <v>462</v>
      </c>
      <c r="F1270" s="311" t="s">
        <v>103</v>
      </c>
      <c r="G1270" s="311" t="s">
        <v>237</v>
      </c>
      <c r="H1270" s="311" t="s">
        <v>408</v>
      </c>
      <c r="I1270" s="311" t="s">
        <v>56</v>
      </c>
      <c r="J1270" s="50" t="s">
        <v>1892</v>
      </c>
      <c r="K1270" s="50" t="s">
        <v>1892</v>
      </c>
      <c r="L1270" s="50" t="s">
        <v>1893</v>
      </c>
      <c r="M1270" s="50" t="s">
        <v>3699</v>
      </c>
      <c r="N1270" s="50" t="s">
        <v>3695</v>
      </c>
      <c r="O1270" s="50" t="s">
        <v>3695</v>
      </c>
      <c r="P1270" s="50" t="s">
        <v>3695</v>
      </c>
    </row>
    <row r="1271" spans="1:16" ht="12.75" customHeight="1" x14ac:dyDescent="0.25">
      <c r="A1271" s="311">
        <v>1268</v>
      </c>
      <c r="B1271" s="311" t="s">
        <v>123</v>
      </c>
      <c r="C1271" s="311" t="s">
        <v>462</v>
      </c>
      <c r="D1271" s="311" t="s">
        <v>462</v>
      </c>
      <c r="E1271" s="337" t="s">
        <v>462</v>
      </c>
      <c r="F1271" s="311" t="s">
        <v>103</v>
      </c>
      <c r="G1271" s="311" t="s">
        <v>237</v>
      </c>
      <c r="H1271" s="311" t="s">
        <v>408</v>
      </c>
      <c r="I1271" s="311" t="s">
        <v>56</v>
      </c>
      <c r="J1271" s="50" t="s">
        <v>1892</v>
      </c>
      <c r="K1271" s="50" t="s">
        <v>1892</v>
      </c>
      <c r="L1271" s="50" t="s">
        <v>1893</v>
      </c>
      <c r="M1271" s="50" t="s">
        <v>3700</v>
      </c>
      <c r="N1271" s="50" t="s">
        <v>3695</v>
      </c>
      <c r="O1271" s="50" t="s">
        <v>3695</v>
      </c>
      <c r="P1271" s="50" t="s">
        <v>3695</v>
      </c>
    </row>
    <row r="1272" spans="1:16" ht="12.75" customHeight="1" x14ac:dyDescent="0.25">
      <c r="A1272" s="311">
        <v>1269</v>
      </c>
      <c r="B1272" s="311" t="s">
        <v>75</v>
      </c>
      <c r="C1272" s="311" t="s">
        <v>462</v>
      </c>
      <c r="D1272" s="311" t="s">
        <v>462</v>
      </c>
      <c r="E1272" s="337" t="s">
        <v>462</v>
      </c>
      <c r="F1272" s="311" t="s">
        <v>103</v>
      </c>
      <c r="G1272" s="311" t="s">
        <v>237</v>
      </c>
      <c r="H1272" s="311" t="s">
        <v>408</v>
      </c>
      <c r="I1272" s="311" t="s">
        <v>56</v>
      </c>
      <c r="J1272" s="50" t="s">
        <v>1892</v>
      </c>
      <c r="K1272" s="50" t="s">
        <v>1892</v>
      </c>
      <c r="L1272" s="50" t="s">
        <v>1893</v>
      </c>
      <c r="M1272" s="50" t="s">
        <v>3701</v>
      </c>
      <c r="N1272" s="50" t="s">
        <v>3695</v>
      </c>
      <c r="O1272" s="50" t="s">
        <v>3695</v>
      </c>
      <c r="P1272" s="50" t="s">
        <v>3695</v>
      </c>
    </row>
    <row r="1273" spans="1:16" ht="12.75" customHeight="1" x14ac:dyDescent="0.25">
      <c r="A1273" s="311">
        <v>1270</v>
      </c>
      <c r="B1273" s="311" t="s">
        <v>63</v>
      </c>
      <c r="C1273" s="311" t="s">
        <v>63</v>
      </c>
      <c r="D1273" s="311" t="s">
        <v>462</v>
      </c>
      <c r="E1273" s="337" t="s">
        <v>63</v>
      </c>
      <c r="F1273" s="311" t="s">
        <v>269</v>
      </c>
      <c r="G1273" s="311" t="s">
        <v>236</v>
      </c>
      <c r="H1273" s="311" t="s">
        <v>407</v>
      </c>
      <c r="I1273" s="311" t="s">
        <v>66</v>
      </c>
      <c r="J1273" s="50" t="s">
        <v>1892</v>
      </c>
      <c r="K1273" s="50" t="s">
        <v>1892</v>
      </c>
      <c r="L1273" s="50" t="s">
        <v>1893</v>
      </c>
      <c r="M1273" s="50" t="s">
        <v>3702</v>
      </c>
      <c r="N1273" s="50" t="s">
        <v>3702</v>
      </c>
      <c r="O1273" s="50" t="s">
        <v>3535</v>
      </c>
      <c r="P1273" s="50" t="s">
        <v>3702</v>
      </c>
    </row>
    <row r="1274" spans="1:16" ht="12.75" customHeight="1" x14ac:dyDescent="0.25">
      <c r="A1274" s="311">
        <v>1271</v>
      </c>
      <c r="B1274" s="311" t="s">
        <v>140</v>
      </c>
      <c r="C1274" s="311" t="s">
        <v>140</v>
      </c>
      <c r="D1274" s="311" t="s">
        <v>462</v>
      </c>
      <c r="E1274" s="337" t="s">
        <v>140</v>
      </c>
      <c r="F1274" s="311" t="s">
        <v>269</v>
      </c>
      <c r="G1274" s="311" t="s">
        <v>236</v>
      </c>
      <c r="H1274" s="311" t="s">
        <v>407</v>
      </c>
      <c r="I1274" s="311" t="s">
        <v>66</v>
      </c>
      <c r="J1274" s="50" t="s">
        <v>1892</v>
      </c>
      <c r="K1274" s="50" t="s">
        <v>1892</v>
      </c>
      <c r="L1274" s="50" t="s">
        <v>1893</v>
      </c>
      <c r="M1274" s="50" t="s">
        <v>3703</v>
      </c>
      <c r="N1274" s="50" t="s">
        <v>3703</v>
      </c>
      <c r="O1274" s="50" t="s">
        <v>3535</v>
      </c>
      <c r="P1274" s="50" t="s">
        <v>3703</v>
      </c>
    </row>
    <row r="1275" spans="1:16" ht="12.75" customHeight="1" x14ac:dyDescent="0.25">
      <c r="A1275" s="311">
        <v>1272</v>
      </c>
      <c r="B1275" s="311" t="s">
        <v>121</v>
      </c>
      <c r="C1275" s="311" t="s">
        <v>121</v>
      </c>
      <c r="D1275" s="311" t="s">
        <v>462</v>
      </c>
      <c r="E1275" s="337" t="s">
        <v>121</v>
      </c>
      <c r="F1275" s="311" t="s">
        <v>269</v>
      </c>
      <c r="G1275" s="311" t="s">
        <v>236</v>
      </c>
      <c r="H1275" s="311" t="s">
        <v>407</v>
      </c>
      <c r="I1275" s="311" t="s">
        <v>66</v>
      </c>
      <c r="J1275" s="50" t="s">
        <v>1892</v>
      </c>
      <c r="K1275" s="50" t="s">
        <v>1892</v>
      </c>
      <c r="L1275" s="50" t="s">
        <v>1893</v>
      </c>
      <c r="M1275" s="50" t="s">
        <v>3704</v>
      </c>
      <c r="N1275" s="50" t="s">
        <v>3704</v>
      </c>
      <c r="O1275" s="50" t="s">
        <v>3535</v>
      </c>
      <c r="P1275" s="50" t="s">
        <v>3704</v>
      </c>
    </row>
    <row r="1276" spans="1:16" ht="12.75" customHeight="1" x14ac:dyDescent="0.25">
      <c r="A1276" s="311">
        <v>1273</v>
      </c>
      <c r="B1276" s="311" t="s">
        <v>87</v>
      </c>
      <c r="C1276" s="311" t="s">
        <v>87</v>
      </c>
      <c r="D1276" s="311" t="s">
        <v>462</v>
      </c>
      <c r="E1276" s="337" t="s">
        <v>87</v>
      </c>
      <c r="F1276" s="311" t="s">
        <v>269</v>
      </c>
      <c r="G1276" s="311" t="s">
        <v>236</v>
      </c>
      <c r="H1276" s="311" t="s">
        <v>407</v>
      </c>
      <c r="I1276" s="311" t="s">
        <v>66</v>
      </c>
      <c r="J1276" s="50" t="s">
        <v>1892</v>
      </c>
      <c r="K1276" s="50" t="s">
        <v>1892</v>
      </c>
      <c r="L1276" s="50" t="s">
        <v>1893</v>
      </c>
      <c r="M1276" s="50" t="s">
        <v>3705</v>
      </c>
      <c r="N1276" s="50" t="s">
        <v>3705</v>
      </c>
      <c r="O1276" s="50" t="s">
        <v>3535</v>
      </c>
      <c r="P1276" s="50" t="s">
        <v>3705</v>
      </c>
    </row>
    <row r="1277" spans="1:16" ht="12.75" customHeight="1" x14ac:dyDescent="0.25">
      <c r="A1277" s="311">
        <v>1274</v>
      </c>
      <c r="B1277" s="311" t="s">
        <v>125</v>
      </c>
      <c r="C1277" s="311" t="s">
        <v>125</v>
      </c>
      <c r="D1277" s="311" t="s">
        <v>125</v>
      </c>
      <c r="E1277" s="337" t="s">
        <v>125</v>
      </c>
      <c r="F1277" s="311" t="s">
        <v>269</v>
      </c>
      <c r="G1277" s="311" t="s">
        <v>236</v>
      </c>
      <c r="H1277" s="311" t="s">
        <v>407</v>
      </c>
      <c r="I1277" s="311" t="s">
        <v>66</v>
      </c>
      <c r="J1277" s="50" t="s">
        <v>1892</v>
      </c>
      <c r="K1277" s="50" t="s">
        <v>1892</v>
      </c>
      <c r="L1277" s="50" t="s">
        <v>1893</v>
      </c>
      <c r="M1277" s="50" t="s">
        <v>3706</v>
      </c>
      <c r="N1277" s="50" t="s">
        <v>3706</v>
      </c>
      <c r="O1277" s="50" t="s">
        <v>3706</v>
      </c>
      <c r="P1277" s="50" t="s">
        <v>3706</v>
      </c>
    </row>
    <row r="1278" spans="1:16" ht="12.75" customHeight="1" x14ac:dyDescent="0.25">
      <c r="A1278" s="311">
        <v>1275</v>
      </c>
      <c r="B1278" s="311" t="s">
        <v>134</v>
      </c>
      <c r="C1278" s="311" t="s">
        <v>134</v>
      </c>
      <c r="D1278" s="311" t="s">
        <v>134</v>
      </c>
      <c r="E1278" s="337" t="s">
        <v>134</v>
      </c>
      <c r="F1278" s="311" t="s">
        <v>269</v>
      </c>
      <c r="G1278" s="311" t="s">
        <v>236</v>
      </c>
      <c r="H1278" s="311" t="s">
        <v>407</v>
      </c>
      <c r="I1278" s="311" t="s">
        <v>66</v>
      </c>
      <c r="J1278" s="50" t="s">
        <v>1892</v>
      </c>
      <c r="K1278" s="50" t="s">
        <v>1892</v>
      </c>
      <c r="L1278" s="50" t="s">
        <v>1893</v>
      </c>
      <c r="M1278" s="50" t="s">
        <v>3707</v>
      </c>
      <c r="N1278" s="50" t="s">
        <v>3707</v>
      </c>
      <c r="O1278" s="50" t="s">
        <v>3707</v>
      </c>
      <c r="P1278" s="50" t="s">
        <v>3707</v>
      </c>
    </row>
    <row r="1279" spans="1:16" ht="12.75" customHeight="1" x14ac:dyDescent="0.25">
      <c r="A1279" s="311">
        <v>1276</v>
      </c>
      <c r="B1279" s="311" t="s">
        <v>141</v>
      </c>
      <c r="C1279" s="311" t="s">
        <v>141</v>
      </c>
      <c r="D1279" s="311" t="s">
        <v>141</v>
      </c>
      <c r="E1279" s="337" t="s">
        <v>141</v>
      </c>
      <c r="F1279" s="311" t="s">
        <v>269</v>
      </c>
      <c r="G1279" s="311" t="s">
        <v>236</v>
      </c>
      <c r="H1279" s="311" t="s">
        <v>407</v>
      </c>
      <c r="I1279" s="311" t="s">
        <v>66</v>
      </c>
      <c r="J1279" s="50" t="s">
        <v>1892</v>
      </c>
      <c r="K1279" s="50" t="s">
        <v>1892</v>
      </c>
      <c r="L1279" s="50" t="s">
        <v>1893</v>
      </c>
      <c r="M1279" s="50" t="s">
        <v>3708</v>
      </c>
      <c r="N1279" s="50" t="s">
        <v>3708</v>
      </c>
      <c r="O1279" s="50" t="s">
        <v>3708</v>
      </c>
      <c r="P1279" s="50" t="s">
        <v>3708</v>
      </c>
    </row>
    <row r="1280" spans="1:16" ht="12.75" customHeight="1" x14ac:dyDescent="0.25">
      <c r="A1280" s="311">
        <v>1277</v>
      </c>
      <c r="B1280" s="311" t="s">
        <v>69</v>
      </c>
      <c r="C1280" s="311" t="s">
        <v>69</v>
      </c>
      <c r="D1280" s="311" t="s">
        <v>69</v>
      </c>
      <c r="E1280" s="337" t="s">
        <v>69</v>
      </c>
      <c r="F1280" s="311" t="s">
        <v>269</v>
      </c>
      <c r="G1280" s="311" t="s">
        <v>236</v>
      </c>
      <c r="H1280" s="311" t="s">
        <v>407</v>
      </c>
      <c r="I1280" s="311" t="s">
        <v>66</v>
      </c>
      <c r="J1280" s="50" t="s">
        <v>1892</v>
      </c>
      <c r="K1280" s="50" t="s">
        <v>1892</v>
      </c>
      <c r="L1280" s="50" t="s">
        <v>1893</v>
      </c>
      <c r="M1280" s="50" t="s">
        <v>3709</v>
      </c>
      <c r="N1280" s="50" t="s">
        <v>3709</v>
      </c>
      <c r="O1280" s="50" t="s">
        <v>3709</v>
      </c>
      <c r="P1280" s="50" t="s">
        <v>3709</v>
      </c>
    </row>
    <row r="1281" spans="1:16" ht="12.75" customHeight="1" x14ac:dyDescent="0.25">
      <c r="A1281" s="311">
        <v>1278</v>
      </c>
      <c r="B1281" s="311" t="s">
        <v>63</v>
      </c>
      <c r="C1281" s="311" t="s">
        <v>63</v>
      </c>
      <c r="D1281" s="311" t="s">
        <v>462</v>
      </c>
      <c r="E1281" s="337" t="s">
        <v>63</v>
      </c>
      <c r="F1281" s="311" t="s">
        <v>269</v>
      </c>
      <c r="G1281" s="311" t="s">
        <v>23</v>
      </c>
      <c r="H1281" s="311" t="s">
        <v>407</v>
      </c>
      <c r="I1281" s="311" t="s">
        <v>66</v>
      </c>
      <c r="J1281" s="50" t="s">
        <v>1892</v>
      </c>
      <c r="K1281" s="50" t="s">
        <v>1892</v>
      </c>
      <c r="L1281" s="50" t="s">
        <v>1893</v>
      </c>
      <c r="M1281" s="50" t="s">
        <v>3710</v>
      </c>
      <c r="N1281" s="50" t="s">
        <v>3710</v>
      </c>
      <c r="O1281" s="50" t="s">
        <v>3543</v>
      </c>
      <c r="P1281" s="50" t="s">
        <v>3710</v>
      </c>
    </row>
    <row r="1282" spans="1:16" ht="12.75" customHeight="1" x14ac:dyDescent="0.25">
      <c r="A1282" s="311">
        <v>1279</v>
      </c>
      <c r="B1282" s="311" t="s">
        <v>140</v>
      </c>
      <c r="C1282" s="311" t="s">
        <v>140</v>
      </c>
      <c r="D1282" s="311" t="s">
        <v>462</v>
      </c>
      <c r="E1282" s="337" t="s">
        <v>140</v>
      </c>
      <c r="F1282" s="311" t="s">
        <v>269</v>
      </c>
      <c r="G1282" s="311" t="s">
        <v>23</v>
      </c>
      <c r="H1282" s="311" t="s">
        <v>407</v>
      </c>
      <c r="I1282" s="311" t="s">
        <v>66</v>
      </c>
      <c r="J1282" s="50" t="s">
        <v>1892</v>
      </c>
      <c r="K1282" s="50" t="s">
        <v>1892</v>
      </c>
      <c r="L1282" s="50" t="s">
        <v>1893</v>
      </c>
      <c r="M1282" s="50" t="s">
        <v>3711</v>
      </c>
      <c r="N1282" s="50" t="s">
        <v>3711</v>
      </c>
      <c r="O1282" s="50" t="s">
        <v>3543</v>
      </c>
      <c r="P1282" s="50" t="s">
        <v>3711</v>
      </c>
    </row>
    <row r="1283" spans="1:16" ht="12.75" customHeight="1" x14ac:dyDescent="0.25">
      <c r="A1283" s="311">
        <v>1280</v>
      </c>
      <c r="B1283" s="311" t="s">
        <v>121</v>
      </c>
      <c r="C1283" s="311" t="s">
        <v>121</v>
      </c>
      <c r="D1283" s="311" t="s">
        <v>462</v>
      </c>
      <c r="E1283" s="337" t="s">
        <v>121</v>
      </c>
      <c r="F1283" s="311" t="s">
        <v>269</v>
      </c>
      <c r="G1283" s="311" t="s">
        <v>23</v>
      </c>
      <c r="H1283" s="311" t="s">
        <v>407</v>
      </c>
      <c r="I1283" s="311" t="s">
        <v>66</v>
      </c>
      <c r="J1283" s="50" t="s">
        <v>1892</v>
      </c>
      <c r="K1283" s="50" t="s">
        <v>1892</v>
      </c>
      <c r="L1283" s="50" t="s">
        <v>1893</v>
      </c>
      <c r="M1283" s="50" t="s">
        <v>3712</v>
      </c>
      <c r="N1283" s="50" t="s">
        <v>3712</v>
      </c>
      <c r="O1283" s="50" t="s">
        <v>3543</v>
      </c>
      <c r="P1283" s="50" t="s">
        <v>3712</v>
      </c>
    </row>
    <row r="1284" spans="1:16" ht="12.75" customHeight="1" x14ac:dyDescent="0.25">
      <c r="A1284" s="311">
        <v>1281</v>
      </c>
      <c r="B1284" s="311" t="s">
        <v>87</v>
      </c>
      <c r="C1284" s="311" t="s">
        <v>87</v>
      </c>
      <c r="D1284" s="311" t="s">
        <v>462</v>
      </c>
      <c r="E1284" s="337" t="s">
        <v>87</v>
      </c>
      <c r="F1284" s="311" t="s">
        <v>269</v>
      </c>
      <c r="G1284" s="311" t="s">
        <v>23</v>
      </c>
      <c r="H1284" s="311" t="s">
        <v>407</v>
      </c>
      <c r="I1284" s="311" t="s">
        <v>66</v>
      </c>
      <c r="J1284" s="50" t="s">
        <v>1892</v>
      </c>
      <c r="K1284" s="50" t="s">
        <v>1892</v>
      </c>
      <c r="L1284" s="50" t="s">
        <v>1893</v>
      </c>
      <c r="M1284" s="50" t="s">
        <v>3713</v>
      </c>
      <c r="N1284" s="50" t="s">
        <v>3713</v>
      </c>
      <c r="O1284" s="50" t="s">
        <v>3543</v>
      </c>
      <c r="P1284" s="50" t="s">
        <v>3713</v>
      </c>
    </row>
    <row r="1285" spans="1:16" ht="12.75" customHeight="1" x14ac:dyDescent="0.25">
      <c r="A1285" s="311">
        <v>1282</v>
      </c>
      <c r="B1285" s="311" t="s">
        <v>125</v>
      </c>
      <c r="C1285" s="311" t="s">
        <v>125</v>
      </c>
      <c r="D1285" s="311" t="s">
        <v>125</v>
      </c>
      <c r="E1285" s="337" t="s">
        <v>125</v>
      </c>
      <c r="F1285" s="311" t="s">
        <v>269</v>
      </c>
      <c r="G1285" s="311" t="s">
        <v>23</v>
      </c>
      <c r="H1285" s="311" t="s">
        <v>407</v>
      </c>
      <c r="I1285" s="311" t="s">
        <v>66</v>
      </c>
      <c r="J1285" s="50" t="s">
        <v>1892</v>
      </c>
      <c r="K1285" s="50" t="s">
        <v>1892</v>
      </c>
      <c r="L1285" s="50" t="s">
        <v>1893</v>
      </c>
      <c r="M1285" s="50" t="s">
        <v>3714</v>
      </c>
      <c r="N1285" s="50" t="s">
        <v>3714</v>
      </c>
      <c r="O1285" s="50" t="s">
        <v>3714</v>
      </c>
      <c r="P1285" s="50" t="s">
        <v>3714</v>
      </c>
    </row>
    <row r="1286" spans="1:16" ht="12.75" customHeight="1" x14ac:dyDescent="0.25">
      <c r="A1286" s="311">
        <v>1283</v>
      </c>
      <c r="B1286" s="311" t="s">
        <v>134</v>
      </c>
      <c r="C1286" s="311" t="s">
        <v>134</v>
      </c>
      <c r="D1286" s="311" t="s">
        <v>134</v>
      </c>
      <c r="E1286" s="337" t="s">
        <v>134</v>
      </c>
      <c r="F1286" s="311" t="s">
        <v>269</v>
      </c>
      <c r="G1286" s="311" t="s">
        <v>23</v>
      </c>
      <c r="H1286" s="311" t="s">
        <v>407</v>
      </c>
      <c r="I1286" s="311" t="s">
        <v>66</v>
      </c>
      <c r="J1286" s="50" t="s">
        <v>1892</v>
      </c>
      <c r="K1286" s="50" t="s">
        <v>1892</v>
      </c>
      <c r="L1286" s="50" t="s">
        <v>1893</v>
      </c>
      <c r="M1286" s="50" t="s">
        <v>3715</v>
      </c>
      <c r="N1286" s="50" t="s">
        <v>3715</v>
      </c>
      <c r="O1286" s="50" t="s">
        <v>3715</v>
      </c>
      <c r="P1286" s="50" t="s">
        <v>3715</v>
      </c>
    </row>
    <row r="1287" spans="1:16" ht="12.75" customHeight="1" x14ac:dyDescent="0.25">
      <c r="A1287" s="311">
        <v>1284</v>
      </c>
      <c r="B1287" s="311" t="s">
        <v>141</v>
      </c>
      <c r="C1287" s="311" t="s">
        <v>141</v>
      </c>
      <c r="D1287" s="311" t="s">
        <v>141</v>
      </c>
      <c r="E1287" s="337" t="s">
        <v>141</v>
      </c>
      <c r="F1287" s="311" t="s">
        <v>269</v>
      </c>
      <c r="G1287" s="311" t="s">
        <v>23</v>
      </c>
      <c r="H1287" s="311" t="s">
        <v>407</v>
      </c>
      <c r="I1287" s="311" t="s">
        <v>66</v>
      </c>
      <c r="J1287" s="50" t="s">
        <v>1892</v>
      </c>
      <c r="K1287" s="50" t="s">
        <v>1892</v>
      </c>
      <c r="L1287" s="50" t="s">
        <v>1893</v>
      </c>
      <c r="M1287" s="50" t="s">
        <v>3716</v>
      </c>
      <c r="N1287" s="50" t="s">
        <v>3716</v>
      </c>
      <c r="O1287" s="50" t="s">
        <v>3716</v>
      </c>
      <c r="P1287" s="50" t="s">
        <v>3716</v>
      </c>
    </row>
    <row r="1288" spans="1:16" ht="12.75" customHeight="1" x14ac:dyDescent="0.25">
      <c r="A1288" s="311">
        <v>1285</v>
      </c>
      <c r="B1288" s="311" t="s">
        <v>69</v>
      </c>
      <c r="C1288" s="311" t="s">
        <v>69</v>
      </c>
      <c r="D1288" s="311" t="s">
        <v>69</v>
      </c>
      <c r="E1288" s="337" t="s">
        <v>69</v>
      </c>
      <c r="F1288" s="311" t="s">
        <v>269</v>
      </c>
      <c r="G1288" s="311" t="s">
        <v>23</v>
      </c>
      <c r="H1288" s="311" t="s">
        <v>407</v>
      </c>
      <c r="I1288" s="311" t="s">
        <v>66</v>
      </c>
      <c r="J1288" s="50" t="s">
        <v>1892</v>
      </c>
      <c r="K1288" s="50" t="s">
        <v>1892</v>
      </c>
      <c r="L1288" s="50" t="s">
        <v>1893</v>
      </c>
      <c r="M1288" s="50" t="s">
        <v>3717</v>
      </c>
      <c r="N1288" s="50" t="s">
        <v>3717</v>
      </c>
      <c r="O1288" s="50" t="s">
        <v>3717</v>
      </c>
      <c r="P1288" s="50" t="s">
        <v>3717</v>
      </c>
    </row>
    <row r="1289" spans="1:16" ht="12.75" customHeight="1" x14ac:dyDescent="0.25">
      <c r="A1289" s="311">
        <v>1286</v>
      </c>
      <c r="B1289" s="311" t="s">
        <v>63</v>
      </c>
      <c r="C1289" s="311" t="s">
        <v>63</v>
      </c>
      <c r="D1289" s="311" t="s">
        <v>462</v>
      </c>
      <c r="E1289" s="337" t="s">
        <v>63</v>
      </c>
      <c r="F1289" s="311" t="s">
        <v>269</v>
      </c>
      <c r="G1289" s="311" t="s">
        <v>237</v>
      </c>
      <c r="H1289" s="311" t="s">
        <v>407</v>
      </c>
      <c r="I1289" s="311" t="s">
        <v>66</v>
      </c>
      <c r="J1289" s="50" t="s">
        <v>1892</v>
      </c>
      <c r="K1289" s="50" t="s">
        <v>1892</v>
      </c>
      <c r="L1289" s="50" t="s">
        <v>1893</v>
      </c>
      <c r="M1289" s="50" t="s">
        <v>3718</v>
      </c>
      <c r="N1289" s="50" t="s">
        <v>3718</v>
      </c>
      <c r="O1289" s="50" t="s">
        <v>3551</v>
      </c>
      <c r="P1289" s="50" t="s">
        <v>3718</v>
      </c>
    </row>
    <row r="1290" spans="1:16" ht="12.75" customHeight="1" x14ac:dyDescent="0.25">
      <c r="A1290" s="311">
        <v>1287</v>
      </c>
      <c r="B1290" s="311" t="s">
        <v>140</v>
      </c>
      <c r="C1290" s="311" t="s">
        <v>140</v>
      </c>
      <c r="D1290" s="311" t="s">
        <v>462</v>
      </c>
      <c r="E1290" s="337" t="s">
        <v>140</v>
      </c>
      <c r="F1290" s="311" t="s">
        <v>269</v>
      </c>
      <c r="G1290" s="311" t="s">
        <v>237</v>
      </c>
      <c r="H1290" s="311" t="s">
        <v>407</v>
      </c>
      <c r="I1290" s="311" t="s">
        <v>66</v>
      </c>
      <c r="J1290" s="50" t="s">
        <v>1892</v>
      </c>
      <c r="K1290" s="50" t="s">
        <v>1892</v>
      </c>
      <c r="L1290" s="50" t="s">
        <v>1893</v>
      </c>
      <c r="M1290" s="50" t="s">
        <v>3719</v>
      </c>
      <c r="N1290" s="50" t="s">
        <v>3719</v>
      </c>
      <c r="O1290" s="50" t="s">
        <v>3551</v>
      </c>
      <c r="P1290" s="50" t="s">
        <v>3719</v>
      </c>
    </row>
    <row r="1291" spans="1:16" ht="12.75" customHeight="1" x14ac:dyDescent="0.25">
      <c r="A1291" s="311">
        <v>1288</v>
      </c>
      <c r="B1291" s="311" t="s">
        <v>121</v>
      </c>
      <c r="C1291" s="311" t="s">
        <v>121</v>
      </c>
      <c r="D1291" s="311" t="s">
        <v>462</v>
      </c>
      <c r="E1291" s="337" t="s">
        <v>121</v>
      </c>
      <c r="F1291" s="311" t="s">
        <v>269</v>
      </c>
      <c r="G1291" s="311" t="s">
        <v>237</v>
      </c>
      <c r="H1291" s="311" t="s">
        <v>407</v>
      </c>
      <c r="I1291" s="311" t="s">
        <v>66</v>
      </c>
      <c r="J1291" s="50" t="s">
        <v>1892</v>
      </c>
      <c r="K1291" s="50" t="s">
        <v>1892</v>
      </c>
      <c r="L1291" s="50" t="s">
        <v>1893</v>
      </c>
      <c r="M1291" s="50" t="s">
        <v>3720</v>
      </c>
      <c r="N1291" s="50" t="s">
        <v>3720</v>
      </c>
      <c r="O1291" s="50" t="s">
        <v>3551</v>
      </c>
      <c r="P1291" s="50" t="s">
        <v>3720</v>
      </c>
    </row>
    <row r="1292" spans="1:16" ht="12.75" customHeight="1" x14ac:dyDescent="0.25">
      <c r="A1292" s="311">
        <v>1289</v>
      </c>
      <c r="B1292" s="311" t="s">
        <v>87</v>
      </c>
      <c r="C1292" s="311" t="s">
        <v>87</v>
      </c>
      <c r="D1292" s="311" t="s">
        <v>462</v>
      </c>
      <c r="E1292" s="337" t="s">
        <v>87</v>
      </c>
      <c r="F1292" s="311" t="s">
        <v>269</v>
      </c>
      <c r="G1292" s="311" t="s">
        <v>237</v>
      </c>
      <c r="H1292" s="311" t="s">
        <v>407</v>
      </c>
      <c r="I1292" s="311" t="s">
        <v>66</v>
      </c>
      <c r="J1292" s="50" t="s">
        <v>1892</v>
      </c>
      <c r="K1292" s="50" t="s">
        <v>1892</v>
      </c>
      <c r="L1292" s="50" t="s">
        <v>1893</v>
      </c>
      <c r="M1292" s="50" t="s">
        <v>3721</v>
      </c>
      <c r="N1292" s="50" t="s">
        <v>3721</v>
      </c>
      <c r="O1292" s="50" t="s">
        <v>3551</v>
      </c>
      <c r="P1292" s="50" t="s">
        <v>3721</v>
      </c>
    </row>
    <row r="1293" spans="1:16" ht="12.75" customHeight="1" x14ac:dyDescent="0.25">
      <c r="A1293" s="311">
        <v>1290</v>
      </c>
      <c r="B1293" s="311" t="s">
        <v>125</v>
      </c>
      <c r="C1293" s="311" t="s">
        <v>125</v>
      </c>
      <c r="D1293" s="311" t="s">
        <v>125</v>
      </c>
      <c r="E1293" s="337" t="s">
        <v>125</v>
      </c>
      <c r="F1293" s="311" t="s">
        <v>269</v>
      </c>
      <c r="G1293" s="311" t="s">
        <v>237</v>
      </c>
      <c r="H1293" s="311" t="s">
        <v>407</v>
      </c>
      <c r="I1293" s="311" t="s">
        <v>66</v>
      </c>
      <c r="J1293" s="50" t="s">
        <v>1892</v>
      </c>
      <c r="K1293" s="50" t="s">
        <v>1892</v>
      </c>
      <c r="L1293" s="50" t="s">
        <v>1893</v>
      </c>
      <c r="M1293" s="50" t="s">
        <v>3722</v>
      </c>
      <c r="N1293" s="50" t="s">
        <v>3722</v>
      </c>
      <c r="O1293" s="50" t="s">
        <v>3722</v>
      </c>
      <c r="P1293" s="50" t="s">
        <v>3722</v>
      </c>
    </row>
    <row r="1294" spans="1:16" ht="12.75" customHeight="1" x14ac:dyDescent="0.25">
      <c r="A1294" s="311">
        <v>1291</v>
      </c>
      <c r="B1294" s="311" t="s">
        <v>134</v>
      </c>
      <c r="C1294" s="311" t="s">
        <v>134</v>
      </c>
      <c r="D1294" s="311" t="s">
        <v>134</v>
      </c>
      <c r="E1294" s="337" t="s">
        <v>134</v>
      </c>
      <c r="F1294" s="311" t="s">
        <v>269</v>
      </c>
      <c r="G1294" s="311" t="s">
        <v>237</v>
      </c>
      <c r="H1294" s="311" t="s">
        <v>407</v>
      </c>
      <c r="I1294" s="311" t="s">
        <v>66</v>
      </c>
      <c r="J1294" s="50" t="s">
        <v>1892</v>
      </c>
      <c r="K1294" s="50" t="s">
        <v>1892</v>
      </c>
      <c r="L1294" s="50" t="s">
        <v>1893</v>
      </c>
      <c r="M1294" s="50" t="s">
        <v>3723</v>
      </c>
      <c r="N1294" s="50" t="s">
        <v>3723</v>
      </c>
      <c r="O1294" s="50" t="s">
        <v>3723</v>
      </c>
      <c r="P1294" s="50" t="s">
        <v>3723</v>
      </c>
    </row>
    <row r="1295" spans="1:16" ht="12.75" customHeight="1" x14ac:dyDescent="0.25">
      <c r="A1295" s="311">
        <v>1292</v>
      </c>
      <c r="B1295" s="311" t="s">
        <v>141</v>
      </c>
      <c r="C1295" s="311" t="s">
        <v>141</v>
      </c>
      <c r="D1295" s="311" t="s">
        <v>141</v>
      </c>
      <c r="E1295" s="337" t="s">
        <v>141</v>
      </c>
      <c r="F1295" s="311" t="s">
        <v>269</v>
      </c>
      <c r="G1295" s="311" t="s">
        <v>237</v>
      </c>
      <c r="H1295" s="311" t="s">
        <v>407</v>
      </c>
      <c r="I1295" s="311" t="s">
        <v>66</v>
      </c>
      <c r="J1295" s="50" t="s">
        <v>1892</v>
      </c>
      <c r="K1295" s="50" t="s">
        <v>1892</v>
      </c>
      <c r="L1295" s="50" t="s">
        <v>1893</v>
      </c>
      <c r="M1295" s="50" t="s">
        <v>3724</v>
      </c>
      <c r="N1295" s="50" t="s">
        <v>3724</v>
      </c>
      <c r="O1295" s="50" t="s">
        <v>3724</v>
      </c>
      <c r="P1295" s="50" t="s">
        <v>3724</v>
      </c>
    </row>
    <row r="1296" spans="1:16" ht="12.75" customHeight="1" x14ac:dyDescent="0.25">
      <c r="A1296" s="311">
        <v>1293</v>
      </c>
      <c r="B1296" s="311" t="s">
        <v>69</v>
      </c>
      <c r="C1296" s="311" t="s">
        <v>69</v>
      </c>
      <c r="D1296" s="311" t="s">
        <v>69</v>
      </c>
      <c r="E1296" s="337" t="s">
        <v>69</v>
      </c>
      <c r="F1296" s="311" t="s">
        <v>269</v>
      </c>
      <c r="G1296" s="311" t="s">
        <v>237</v>
      </c>
      <c r="H1296" s="311" t="s">
        <v>407</v>
      </c>
      <c r="I1296" s="311" t="s">
        <v>66</v>
      </c>
      <c r="J1296" s="50" t="s">
        <v>1892</v>
      </c>
      <c r="K1296" s="50" t="s">
        <v>1892</v>
      </c>
      <c r="L1296" s="50" t="s">
        <v>1893</v>
      </c>
      <c r="M1296" s="50" t="s">
        <v>3725</v>
      </c>
      <c r="N1296" s="50" t="s">
        <v>3725</v>
      </c>
      <c r="O1296" s="50" t="s">
        <v>3725</v>
      </c>
      <c r="P1296" s="50" t="s">
        <v>3725</v>
      </c>
    </row>
    <row r="1297" spans="1:16" ht="12.75" customHeight="1" x14ac:dyDescent="0.25">
      <c r="A1297" s="311">
        <v>1294</v>
      </c>
      <c r="B1297" s="311" t="s">
        <v>63</v>
      </c>
      <c r="C1297" s="311" t="s">
        <v>63</v>
      </c>
      <c r="D1297" s="311" t="s">
        <v>462</v>
      </c>
      <c r="E1297" s="337" t="s">
        <v>63</v>
      </c>
      <c r="F1297" s="311" t="s">
        <v>281</v>
      </c>
      <c r="G1297" s="311" t="s">
        <v>236</v>
      </c>
      <c r="H1297" s="311" t="s">
        <v>407</v>
      </c>
      <c r="I1297" s="311" t="s">
        <v>66</v>
      </c>
      <c r="J1297" s="50" t="s">
        <v>1892</v>
      </c>
      <c r="K1297" s="50" t="s">
        <v>1892</v>
      </c>
      <c r="L1297" s="50" t="s">
        <v>1893</v>
      </c>
      <c r="M1297" s="50" t="s">
        <v>3726</v>
      </c>
      <c r="N1297" s="50" t="s">
        <v>3726</v>
      </c>
      <c r="O1297" s="50" t="s">
        <v>3559</v>
      </c>
      <c r="P1297" s="50" t="s">
        <v>3726</v>
      </c>
    </row>
    <row r="1298" spans="1:16" ht="12.75" customHeight="1" x14ac:dyDescent="0.25">
      <c r="A1298" s="311">
        <v>1295</v>
      </c>
      <c r="B1298" s="311" t="s">
        <v>140</v>
      </c>
      <c r="C1298" s="311" t="s">
        <v>140</v>
      </c>
      <c r="D1298" s="311" t="s">
        <v>462</v>
      </c>
      <c r="E1298" s="337" t="s">
        <v>140</v>
      </c>
      <c r="F1298" s="311" t="s">
        <v>281</v>
      </c>
      <c r="G1298" s="311" t="s">
        <v>236</v>
      </c>
      <c r="H1298" s="311" t="s">
        <v>407</v>
      </c>
      <c r="I1298" s="311" t="s">
        <v>66</v>
      </c>
      <c r="J1298" s="50" t="s">
        <v>1892</v>
      </c>
      <c r="K1298" s="50" t="s">
        <v>1892</v>
      </c>
      <c r="L1298" s="50" t="s">
        <v>1893</v>
      </c>
      <c r="M1298" s="50" t="s">
        <v>3727</v>
      </c>
      <c r="N1298" s="50" t="s">
        <v>3727</v>
      </c>
      <c r="O1298" s="50" t="s">
        <v>3559</v>
      </c>
      <c r="P1298" s="50" t="s">
        <v>3727</v>
      </c>
    </row>
    <row r="1299" spans="1:16" ht="12.75" customHeight="1" x14ac:dyDescent="0.25">
      <c r="A1299" s="311">
        <v>1296</v>
      </c>
      <c r="B1299" s="311" t="s">
        <v>121</v>
      </c>
      <c r="C1299" s="311" t="s">
        <v>121</v>
      </c>
      <c r="D1299" s="311" t="s">
        <v>462</v>
      </c>
      <c r="E1299" s="337" t="s">
        <v>121</v>
      </c>
      <c r="F1299" s="311" t="s">
        <v>281</v>
      </c>
      <c r="G1299" s="311" t="s">
        <v>236</v>
      </c>
      <c r="H1299" s="311" t="s">
        <v>407</v>
      </c>
      <c r="I1299" s="311" t="s">
        <v>66</v>
      </c>
      <c r="J1299" s="50" t="s">
        <v>1892</v>
      </c>
      <c r="K1299" s="50" t="s">
        <v>1892</v>
      </c>
      <c r="L1299" s="50" t="s">
        <v>1893</v>
      </c>
      <c r="M1299" s="50" t="s">
        <v>3728</v>
      </c>
      <c r="N1299" s="50" t="s">
        <v>3728</v>
      </c>
      <c r="O1299" s="50" t="s">
        <v>3559</v>
      </c>
      <c r="P1299" s="50" t="s">
        <v>3728</v>
      </c>
    </row>
    <row r="1300" spans="1:16" ht="12.75" customHeight="1" x14ac:dyDescent="0.25">
      <c r="A1300" s="311">
        <v>1297</v>
      </c>
      <c r="B1300" s="311" t="s">
        <v>87</v>
      </c>
      <c r="C1300" s="311" t="s">
        <v>87</v>
      </c>
      <c r="D1300" s="311" t="s">
        <v>462</v>
      </c>
      <c r="E1300" s="337" t="s">
        <v>87</v>
      </c>
      <c r="F1300" s="311" t="s">
        <v>281</v>
      </c>
      <c r="G1300" s="311" t="s">
        <v>236</v>
      </c>
      <c r="H1300" s="311" t="s">
        <v>407</v>
      </c>
      <c r="I1300" s="311" t="s">
        <v>66</v>
      </c>
      <c r="J1300" s="50" t="s">
        <v>1892</v>
      </c>
      <c r="K1300" s="50" t="s">
        <v>1892</v>
      </c>
      <c r="L1300" s="50" t="s">
        <v>1893</v>
      </c>
      <c r="M1300" s="50" t="s">
        <v>3729</v>
      </c>
      <c r="N1300" s="50" t="s">
        <v>3729</v>
      </c>
      <c r="O1300" s="50" t="s">
        <v>3559</v>
      </c>
      <c r="P1300" s="50" t="s">
        <v>3729</v>
      </c>
    </row>
    <row r="1301" spans="1:16" ht="12.75" customHeight="1" x14ac:dyDescent="0.25">
      <c r="A1301" s="311">
        <v>1298</v>
      </c>
      <c r="B1301" s="311" t="s">
        <v>125</v>
      </c>
      <c r="C1301" s="311" t="s">
        <v>125</v>
      </c>
      <c r="D1301" s="311" t="s">
        <v>125</v>
      </c>
      <c r="E1301" s="337" t="s">
        <v>125</v>
      </c>
      <c r="F1301" s="311" t="s">
        <v>281</v>
      </c>
      <c r="G1301" s="311" t="s">
        <v>236</v>
      </c>
      <c r="H1301" s="311" t="s">
        <v>407</v>
      </c>
      <c r="I1301" s="311" t="s">
        <v>66</v>
      </c>
      <c r="J1301" s="50" t="s">
        <v>1892</v>
      </c>
      <c r="K1301" s="50" t="s">
        <v>1892</v>
      </c>
      <c r="L1301" s="50" t="s">
        <v>1893</v>
      </c>
      <c r="M1301" s="50" t="s">
        <v>3730</v>
      </c>
      <c r="N1301" s="50" t="s">
        <v>3730</v>
      </c>
      <c r="O1301" s="50" t="s">
        <v>3730</v>
      </c>
      <c r="P1301" s="50" t="s">
        <v>3730</v>
      </c>
    </row>
    <row r="1302" spans="1:16" ht="12.75" customHeight="1" x14ac:dyDescent="0.25">
      <c r="A1302" s="311">
        <v>1299</v>
      </c>
      <c r="B1302" s="311" t="s">
        <v>134</v>
      </c>
      <c r="C1302" s="311" t="s">
        <v>134</v>
      </c>
      <c r="D1302" s="311" t="s">
        <v>134</v>
      </c>
      <c r="E1302" s="337" t="s">
        <v>134</v>
      </c>
      <c r="F1302" s="311" t="s">
        <v>281</v>
      </c>
      <c r="G1302" s="311" t="s">
        <v>236</v>
      </c>
      <c r="H1302" s="311" t="s">
        <v>407</v>
      </c>
      <c r="I1302" s="311" t="s">
        <v>66</v>
      </c>
      <c r="J1302" s="50" t="s">
        <v>1892</v>
      </c>
      <c r="K1302" s="50" t="s">
        <v>1892</v>
      </c>
      <c r="L1302" s="50" t="s">
        <v>1893</v>
      </c>
      <c r="M1302" s="50" t="s">
        <v>3731</v>
      </c>
      <c r="N1302" s="50" t="s">
        <v>3731</v>
      </c>
      <c r="O1302" s="50" t="s">
        <v>3731</v>
      </c>
      <c r="P1302" s="50" t="s">
        <v>3731</v>
      </c>
    </row>
    <row r="1303" spans="1:16" ht="12.75" customHeight="1" x14ac:dyDescent="0.25">
      <c r="A1303" s="311">
        <v>1300</v>
      </c>
      <c r="B1303" s="311" t="s">
        <v>141</v>
      </c>
      <c r="C1303" s="311" t="s">
        <v>141</v>
      </c>
      <c r="D1303" s="311" t="s">
        <v>141</v>
      </c>
      <c r="E1303" s="337" t="s">
        <v>141</v>
      </c>
      <c r="F1303" s="311" t="s">
        <v>281</v>
      </c>
      <c r="G1303" s="311" t="s">
        <v>236</v>
      </c>
      <c r="H1303" s="311" t="s">
        <v>407</v>
      </c>
      <c r="I1303" s="311" t="s">
        <v>66</v>
      </c>
      <c r="J1303" s="50" t="s">
        <v>1892</v>
      </c>
      <c r="K1303" s="50" t="s">
        <v>1892</v>
      </c>
      <c r="L1303" s="50" t="s">
        <v>1893</v>
      </c>
      <c r="M1303" s="50" t="s">
        <v>3732</v>
      </c>
      <c r="N1303" s="50" t="s">
        <v>3732</v>
      </c>
      <c r="O1303" s="50" t="s">
        <v>3732</v>
      </c>
      <c r="P1303" s="50" t="s">
        <v>3732</v>
      </c>
    </row>
    <row r="1304" spans="1:16" ht="12.75" customHeight="1" x14ac:dyDescent="0.25">
      <c r="A1304" s="311">
        <v>1301</v>
      </c>
      <c r="B1304" s="311" t="s">
        <v>69</v>
      </c>
      <c r="C1304" s="311" t="s">
        <v>69</v>
      </c>
      <c r="D1304" s="311" t="s">
        <v>69</v>
      </c>
      <c r="E1304" s="337" t="s">
        <v>69</v>
      </c>
      <c r="F1304" s="311" t="s">
        <v>281</v>
      </c>
      <c r="G1304" s="311" t="s">
        <v>236</v>
      </c>
      <c r="H1304" s="311" t="s">
        <v>407</v>
      </c>
      <c r="I1304" s="311" t="s">
        <v>66</v>
      </c>
      <c r="J1304" s="50" t="s">
        <v>1892</v>
      </c>
      <c r="K1304" s="50" t="s">
        <v>1892</v>
      </c>
      <c r="L1304" s="50" t="s">
        <v>1893</v>
      </c>
      <c r="M1304" s="50" t="s">
        <v>3733</v>
      </c>
      <c r="N1304" s="50" t="s">
        <v>3733</v>
      </c>
      <c r="O1304" s="50" t="s">
        <v>3733</v>
      </c>
      <c r="P1304" s="50" t="s">
        <v>3733</v>
      </c>
    </row>
    <row r="1305" spans="1:16" ht="12.75" customHeight="1" x14ac:dyDescent="0.25">
      <c r="A1305" s="311">
        <v>1302</v>
      </c>
      <c r="B1305" s="311" t="s">
        <v>63</v>
      </c>
      <c r="C1305" s="311" t="s">
        <v>63</v>
      </c>
      <c r="D1305" s="311" t="s">
        <v>462</v>
      </c>
      <c r="E1305" s="337" t="s">
        <v>63</v>
      </c>
      <c r="F1305" s="311" t="s">
        <v>281</v>
      </c>
      <c r="G1305" s="311" t="s">
        <v>23</v>
      </c>
      <c r="H1305" s="311" t="s">
        <v>407</v>
      </c>
      <c r="I1305" s="311" t="s">
        <v>66</v>
      </c>
      <c r="J1305" s="50" t="s">
        <v>1892</v>
      </c>
      <c r="K1305" s="50" t="s">
        <v>1892</v>
      </c>
      <c r="L1305" s="50" t="s">
        <v>1893</v>
      </c>
      <c r="M1305" s="50" t="s">
        <v>3734</v>
      </c>
      <c r="N1305" s="50" t="s">
        <v>3734</v>
      </c>
      <c r="O1305" s="50" t="s">
        <v>3567</v>
      </c>
      <c r="P1305" s="50" t="s">
        <v>3734</v>
      </c>
    </row>
    <row r="1306" spans="1:16" ht="12.75" customHeight="1" x14ac:dyDescent="0.25">
      <c r="A1306" s="311">
        <v>1303</v>
      </c>
      <c r="B1306" s="311" t="s">
        <v>140</v>
      </c>
      <c r="C1306" s="311" t="s">
        <v>140</v>
      </c>
      <c r="D1306" s="311" t="s">
        <v>462</v>
      </c>
      <c r="E1306" s="337" t="s">
        <v>140</v>
      </c>
      <c r="F1306" s="311" t="s">
        <v>281</v>
      </c>
      <c r="G1306" s="311" t="s">
        <v>23</v>
      </c>
      <c r="H1306" s="311" t="s">
        <v>407</v>
      </c>
      <c r="I1306" s="311" t="s">
        <v>66</v>
      </c>
      <c r="J1306" s="50" t="s">
        <v>1892</v>
      </c>
      <c r="K1306" s="50" t="s">
        <v>1892</v>
      </c>
      <c r="L1306" s="50" t="s">
        <v>1893</v>
      </c>
      <c r="M1306" s="50" t="s">
        <v>3735</v>
      </c>
      <c r="N1306" s="50" t="s">
        <v>3735</v>
      </c>
      <c r="O1306" s="50" t="s">
        <v>3567</v>
      </c>
      <c r="P1306" s="50" t="s">
        <v>3735</v>
      </c>
    </row>
    <row r="1307" spans="1:16" ht="12.75" customHeight="1" x14ac:dyDescent="0.25">
      <c r="A1307" s="311">
        <v>1304</v>
      </c>
      <c r="B1307" s="311" t="s">
        <v>121</v>
      </c>
      <c r="C1307" s="311" t="s">
        <v>121</v>
      </c>
      <c r="D1307" s="311" t="s">
        <v>462</v>
      </c>
      <c r="E1307" s="337" t="s">
        <v>121</v>
      </c>
      <c r="F1307" s="311" t="s">
        <v>281</v>
      </c>
      <c r="G1307" s="311" t="s">
        <v>23</v>
      </c>
      <c r="H1307" s="311" t="s">
        <v>407</v>
      </c>
      <c r="I1307" s="311" t="s">
        <v>66</v>
      </c>
      <c r="J1307" s="50" t="s">
        <v>1892</v>
      </c>
      <c r="K1307" s="50" t="s">
        <v>1892</v>
      </c>
      <c r="L1307" s="50" t="s">
        <v>1893</v>
      </c>
      <c r="M1307" s="50" t="s">
        <v>3736</v>
      </c>
      <c r="N1307" s="50" t="s">
        <v>3736</v>
      </c>
      <c r="O1307" s="50" t="s">
        <v>3567</v>
      </c>
      <c r="P1307" s="50" t="s">
        <v>3736</v>
      </c>
    </row>
    <row r="1308" spans="1:16" ht="12.75" customHeight="1" x14ac:dyDescent="0.25">
      <c r="A1308" s="311">
        <v>1305</v>
      </c>
      <c r="B1308" s="311" t="s">
        <v>87</v>
      </c>
      <c r="C1308" s="311" t="s">
        <v>87</v>
      </c>
      <c r="D1308" s="311" t="s">
        <v>462</v>
      </c>
      <c r="E1308" s="337" t="s">
        <v>87</v>
      </c>
      <c r="F1308" s="311" t="s">
        <v>281</v>
      </c>
      <c r="G1308" s="311" t="s">
        <v>23</v>
      </c>
      <c r="H1308" s="311" t="s">
        <v>407</v>
      </c>
      <c r="I1308" s="311" t="s">
        <v>66</v>
      </c>
      <c r="J1308" s="50" t="s">
        <v>1892</v>
      </c>
      <c r="K1308" s="50" t="s">
        <v>1892</v>
      </c>
      <c r="L1308" s="50" t="s">
        <v>1893</v>
      </c>
      <c r="M1308" s="50" t="s">
        <v>3737</v>
      </c>
      <c r="N1308" s="50" t="s">
        <v>3737</v>
      </c>
      <c r="O1308" s="50" t="s">
        <v>3567</v>
      </c>
      <c r="P1308" s="50" t="s">
        <v>3737</v>
      </c>
    </row>
    <row r="1309" spans="1:16" ht="12.75" customHeight="1" x14ac:dyDescent="0.25">
      <c r="A1309" s="311">
        <v>1306</v>
      </c>
      <c r="B1309" s="311" t="s">
        <v>125</v>
      </c>
      <c r="C1309" s="311" t="s">
        <v>125</v>
      </c>
      <c r="D1309" s="311" t="s">
        <v>125</v>
      </c>
      <c r="E1309" s="337" t="s">
        <v>125</v>
      </c>
      <c r="F1309" s="311" t="s">
        <v>281</v>
      </c>
      <c r="G1309" s="311" t="s">
        <v>23</v>
      </c>
      <c r="H1309" s="311" t="s">
        <v>407</v>
      </c>
      <c r="I1309" s="311" t="s">
        <v>66</v>
      </c>
      <c r="J1309" s="50" t="s">
        <v>1892</v>
      </c>
      <c r="K1309" s="50" t="s">
        <v>1892</v>
      </c>
      <c r="L1309" s="50" t="s">
        <v>1893</v>
      </c>
      <c r="M1309" s="50" t="s">
        <v>3738</v>
      </c>
      <c r="N1309" s="50" t="s">
        <v>3738</v>
      </c>
      <c r="O1309" s="50" t="s">
        <v>3738</v>
      </c>
      <c r="P1309" s="50" t="s">
        <v>3738</v>
      </c>
    </row>
    <row r="1310" spans="1:16" ht="12.75" customHeight="1" x14ac:dyDescent="0.25">
      <c r="A1310" s="311">
        <v>1307</v>
      </c>
      <c r="B1310" s="311" t="s">
        <v>134</v>
      </c>
      <c r="C1310" s="311" t="s">
        <v>134</v>
      </c>
      <c r="D1310" s="311" t="s">
        <v>134</v>
      </c>
      <c r="E1310" s="337" t="s">
        <v>134</v>
      </c>
      <c r="F1310" s="311" t="s">
        <v>281</v>
      </c>
      <c r="G1310" s="311" t="s">
        <v>23</v>
      </c>
      <c r="H1310" s="311" t="s">
        <v>407</v>
      </c>
      <c r="I1310" s="311" t="s">
        <v>66</v>
      </c>
      <c r="J1310" s="50" t="s">
        <v>1892</v>
      </c>
      <c r="K1310" s="50" t="s">
        <v>1892</v>
      </c>
      <c r="L1310" s="50" t="s">
        <v>1893</v>
      </c>
      <c r="M1310" s="50" t="s">
        <v>3739</v>
      </c>
      <c r="N1310" s="50" t="s">
        <v>3739</v>
      </c>
      <c r="O1310" s="50" t="s">
        <v>3739</v>
      </c>
      <c r="P1310" s="50" t="s">
        <v>3739</v>
      </c>
    </row>
    <row r="1311" spans="1:16" ht="12.75" customHeight="1" x14ac:dyDescent="0.25">
      <c r="A1311" s="311">
        <v>1308</v>
      </c>
      <c r="B1311" s="311" t="s">
        <v>141</v>
      </c>
      <c r="C1311" s="311" t="s">
        <v>141</v>
      </c>
      <c r="D1311" s="311" t="s">
        <v>141</v>
      </c>
      <c r="E1311" s="337" t="s">
        <v>141</v>
      </c>
      <c r="F1311" s="311" t="s">
        <v>281</v>
      </c>
      <c r="G1311" s="311" t="s">
        <v>23</v>
      </c>
      <c r="H1311" s="311" t="s">
        <v>407</v>
      </c>
      <c r="I1311" s="311" t="s">
        <v>66</v>
      </c>
      <c r="J1311" s="50" t="s">
        <v>1892</v>
      </c>
      <c r="K1311" s="50" t="s">
        <v>1892</v>
      </c>
      <c r="L1311" s="50" t="s">
        <v>1893</v>
      </c>
      <c r="M1311" s="50" t="s">
        <v>3740</v>
      </c>
      <c r="N1311" s="50" t="s">
        <v>3740</v>
      </c>
      <c r="O1311" s="50" t="s">
        <v>3740</v>
      </c>
      <c r="P1311" s="50" t="s">
        <v>3740</v>
      </c>
    </row>
    <row r="1312" spans="1:16" ht="12.75" customHeight="1" x14ac:dyDescent="0.25">
      <c r="A1312" s="311">
        <v>1309</v>
      </c>
      <c r="B1312" s="311" t="s">
        <v>69</v>
      </c>
      <c r="C1312" s="311" t="s">
        <v>69</v>
      </c>
      <c r="D1312" s="311" t="s">
        <v>69</v>
      </c>
      <c r="E1312" s="337" t="s">
        <v>69</v>
      </c>
      <c r="F1312" s="311" t="s">
        <v>281</v>
      </c>
      <c r="G1312" s="311" t="s">
        <v>23</v>
      </c>
      <c r="H1312" s="311" t="s">
        <v>407</v>
      </c>
      <c r="I1312" s="311" t="s">
        <v>66</v>
      </c>
      <c r="J1312" s="50" t="s">
        <v>1892</v>
      </c>
      <c r="K1312" s="50" t="s">
        <v>1892</v>
      </c>
      <c r="L1312" s="50" t="s">
        <v>1893</v>
      </c>
      <c r="M1312" s="50" t="s">
        <v>3741</v>
      </c>
      <c r="N1312" s="50" t="s">
        <v>3741</v>
      </c>
      <c r="O1312" s="50" t="s">
        <v>3741</v>
      </c>
      <c r="P1312" s="50" t="s">
        <v>3741</v>
      </c>
    </row>
    <row r="1313" spans="1:16" ht="12.75" customHeight="1" x14ac:dyDescent="0.25">
      <c r="A1313" s="311">
        <v>1310</v>
      </c>
      <c r="B1313" s="311" t="s">
        <v>63</v>
      </c>
      <c r="C1313" s="311" t="s">
        <v>63</v>
      </c>
      <c r="D1313" s="311" t="s">
        <v>462</v>
      </c>
      <c r="E1313" s="337" t="s">
        <v>63</v>
      </c>
      <c r="F1313" s="311" t="s">
        <v>281</v>
      </c>
      <c r="G1313" s="311" t="s">
        <v>237</v>
      </c>
      <c r="H1313" s="311" t="s">
        <v>407</v>
      </c>
      <c r="I1313" s="311" t="s">
        <v>66</v>
      </c>
      <c r="J1313" s="50" t="s">
        <v>1892</v>
      </c>
      <c r="K1313" s="50" t="s">
        <v>1892</v>
      </c>
      <c r="L1313" s="50" t="s">
        <v>1893</v>
      </c>
      <c r="M1313" s="50" t="s">
        <v>3742</v>
      </c>
      <c r="N1313" s="50" t="s">
        <v>3742</v>
      </c>
      <c r="O1313" s="50" t="s">
        <v>3575</v>
      </c>
      <c r="P1313" s="50" t="s">
        <v>3742</v>
      </c>
    </row>
    <row r="1314" spans="1:16" ht="12.75" customHeight="1" x14ac:dyDescent="0.25">
      <c r="A1314" s="311">
        <v>1311</v>
      </c>
      <c r="B1314" s="311" t="s">
        <v>140</v>
      </c>
      <c r="C1314" s="311" t="s">
        <v>140</v>
      </c>
      <c r="D1314" s="311" t="s">
        <v>462</v>
      </c>
      <c r="E1314" s="337" t="s">
        <v>140</v>
      </c>
      <c r="F1314" s="311" t="s">
        <v>281</v>
      </c>
      <c r="G1314" s="311" t="s">
        <v>237</v>
      </c>
      <c r="H1314" s="311" t="s">
        <v>407</v>
      </c>
      <c r="I1314" s="311" t="s">
        <v>66</v>
      </c>
      <c r="J1314" s="50" t="s">
        <v>1892</v>
      </c>
      <c r="K1314" s="50" t="s">
        <v>1892</v>
      </c>
      <c r="L1314" s="50" t="s">
        <v>1893</v>
      </c>
      <c r="M1314" s="50" t="s">
        <v>3743</v>
      </c>
      <c r="N1314" s="50" t="s">
        <v>3743</v>
      </c>
      <c r="O1314" s="50" t="s">
        <v>3575</v>
      </c>
      <c r="P1314" s="50" t="s">
        <v>3743</v>
      </c>
    </row>
    <row r="1315" spans="1:16" ht="12.75" customHeight="1" x14ac:dyDescent="0.25">
      <c r="A1315" s="311">
        <v>1312</v>
      </c>
      <c r="B1315" s="311" t="s">
        <v>121</v>
      </c>
      <c r="C1315" s="311" t="s">
        <v>121</v>
      </c>
      <c r="D1315" s="311" t="s">
        <v>462</v>
      </c>
      <c r="E1315" s="337" t="s">
        <v>121</v>
      </c>
      <c r="F1315" s="311" t="s">
        <v>281</v>
      </c>
      <c r="G1315" s="311" t="s">
        <v>237</v>
      </c>
      <c r="H1315" s="311" t="s">
        <v>407</v>
      </c>
      <c r="I1315" s="311" t="s">
        <v>66</v>
      </c>
      <c r="J1315" s="50" t="s">
        <v>1892</v>
      </c>
      <c r="K1315" s="50" t="s">
        <v>1892</v>
      </c>
      <c r="L1315" s="50" t="s">
        <v>1893</v>
      </c>
      <c r="M1315" s="50" t="s">
        <v>3744</v>
      </c>
      <c r="N1315" s="50" t="s">
        <v>3744</v>
      </c>
      <c r="O1315" s="50" t="s">
        <v>3575</v>
      </c>
      <c r="P1315" s="50" t="s">
        <v>3744</v>
      </c>
    </row>
    <row r="1316" spans="1:16" ht="12.75" customHeight="1" x14ac:dyDescent="0.25">
      <c r="A1316" s="311">
        <v>1313</v>
      </c>
      <c r="B1316" s="311" t="s">
        <v>87</v>
      </c>
      <c r="C1316" s="311" t="s">
        <v>87</v>
      </c>
      <c r="D1316" s="311" t="s">
        <v>462</v>
      </c>
      <c r="E1316" s="337" t="s">
        <v>87</v>
      </c>
      <c r="F1316" s="311" t="s">
        <v>281</v>
      </c>
      <c r="G1316" s="311" t="s">
        <v>237</v>
      </c>
      <c r="H1316" s="311" t="s">
        <v>407</v>
      </c>
      <c r="I1316" s="311" t="s">
        <v>66</v>
      </c>
      <c r="J1316" s="50" t="s">
        <v>1892</v>
      </c>
      <c r="K1316" s="50" t="s">
        <v>1892</v>
      </c>
      <c r="L1316" s="50" t="s">
        <v>1893</v>
      </c>
      <c r="M1316" s="50" t="s">
        <v>3745</v>
      </c>
      <c r="N1316" s="50" t="s">
        <v>3745</v>
      </c>
      <c r="O1316" s="50" t="s">
        <v>3575</v>
      </c>
      <c r="P1316" s="50" t="s">
        <v>3745</v>
      </c>
    </row>
    <row r="1317" spans="1:16" ht="12.75" customHeight="1" x14ac:dyDescent="0.25">
      <c r="A1317" s="311">
        <v>1314</v>
      </c>
      <c r="B1317" s="311" t="s">
        <v>125</v>
      </c>
      <c r="C1317" s="311" t="s">
        <v>125</v>
      </c>
      <c r="D1317" s="311" t="s">
        <v>125</v>
      </c>
      <c r="E1317" s="337" t="s">
        <v>125</v>
      </c>
      <c r="F1317" s="311" t="s">
        <v>281</v>
      </c>
      <c r="G1317" s="311" t="s">
        <v>237</v>
      </c>
      <c r="H1317" s="311" t="s">
        <v>407</v>
      </c>
      <c r="I1317" s="311" t="s">
        <v>66</v>
      </c>
      <c r="J1317" s="50" t="s">
        <v>1892</v>
      </c>
      <c r="K1317" s="50" t="s">
        <v>1892</v>
      </c>
      <c r="L1317" s="50" t="s">
        <v>1893</v>
      </c>
      <c r="M1317" s="50" t="s">
        <v>3746</v>
      </c>
      <c r="N1317" s="50" t="s">
        <v>3746</v>
      </c>
      <c r="O1317" s="50" t="s">
        <v>3746</v>
      </c>
      <c r="P1317" s="50" t="s">
        <v>3746</v>
      </c>
    </row>
    <row r="1318" spans="1:16" ht="12.75" customHeight="1" x14ac:dyDescent="0.25">
      <c r="A1318" s="311">
        <v>1315</v>
      </c>
      <c r="B1318" s="311" t="s">
        <v>134</v>
      </c>
      <c r="C1318" s="311" t="s">
        <v>134</v>
      </c>
      <c r="D1318" s="311" t="s">
        <v>134</v>
      </c>
      <c r="E1318" s="337" t="s">
        <v>134</v>
      </c>
      <c r="F1318" s="311" t="s">
        <v>281</v>
      </c>
      <c r="G1318" s="311" t="s">
        <v>237</v>
      </c>
      <c r="H1318" s="311" t="s">
        <v>407</v>
      </c>
      <c r="I1318" s="311" t="s">
        <v>66</v>
      </c>
      <c r="J1318" s="50" t="s">
        <v>1892</v>
      </c>
      <c r="K1318" s="50" t="s">
        <v>1892</v>
      </c>
      <c r="L1318" s="50" t="s">
        <v>1893</v>
      </c>
      <c r="M1318" s="50" t="s">
        <v>3747</v>
      </c>
      <c r="N1318" s="50" t="s">
        <v>3747</v>
      </c>
      <c r="O1318" s="50" t="s">
        <v>3747</v>
      </c>
      <c r="P1318" s="50" t="s">
        <v>3747</v>
      </c>
    </row>
    <row r="1319" spans="1:16" ht="12.75" customHeight="1" x14ac:dyDescent="0.25">
      <c r="A1319" s="311">
        <v>1316</v>
      </c>
      <c r="B1319" s="311" t="s">
        <v>141</v>
      </c>
      <c r="C1319" s="311" t="s">
        <v>141</v>
      </c>
      <c r="D1319" s="311" t="s">
        <v>141</v>
      </c>
      <c r="E1319" s="337" t="s">
        <v>141</v>
      </c>
      <c r="F1319" s="311" t="s">
        <v>281</v>
      </c>
      <c r="G1319" s="311" t="s">
        <v>237</v>
      </c>
      <c r="H1319" s="311" t="s">
        <v>407</v>
      </c>
      <c r="I1319" s="311" t="s">
        <v>66</v>
      </c>
      <c r="J1319" s="50" t="s">
        <v>1892</v>
      </c>
      <c r="K1319" s="50" t="s">
        <v>1892</v>
      </c>
      <c r="L1319" s="50" t="s">
        <v>1893</v>
      </c>
      <c r="M1319" s="50" t="s">
        <v>3748</v>
      </c>
      <c r="N1319" s="50" t="s">
        <v>3748</v>
      </c>
      <c r="O1319" s="50" t="s">
        <v>3748</v>
      </c>
      <c r="P1319" s="50" t="s">
        <v>3748</v>
      </c>
    </row>
    <row r="1320" spans="1:16" ht="12.75" customHeight="1" x14ac:dyDescent="0.25">
      <c r="A1320" s="311">
        <v>1317</v>
      </c>
      <c r="B1320" s="311" t="s">
        <v>69</v>
      </c>
      <c r="C1320" s="311" t="s">
        <v>69</v>
      </c>
      <c r="D1320" s="311" t="s">
        <v>69</v>
      </c>
      <c r="E1320" s="337" t="s">
        <v>69</v>
      </c>
      <c r="F1320" s="311" t="s">
        <v>281</v>
      </c>
      <c r="G1320" s="311" t="s">
        <v>237</v>
      </c>
      <c r="H1320" s="311" t="s">
        <v>407</v>
      </c>
      <c r="I1320" s="311" t="s">
        <v>66</v>
      </c>
      <c r="J1320" s="50" t="s">
        <v>1892</v>
      </c>
      <c r="K1320" s="50" t="s">
        <v>1892</v>
      </c>
      <c r="L1320" s="50" t="s">
        <v>1893</v>
      </c>
      <c r="M1320" s="50" t="s">
        <v>3749</v>
      </c>
      <c r="N1320" s="50" t="s">
        <v>3749</v>
      </c>
      <c r="O1320" s="50" t="s">
        <v>3749</v>
      </c>
      <c r="P1320" s="50" t="s">
        <v>3749</v>
      </c>
    </row>
    <row r="1321" spans="1:16" ht="12.75" customHeight="1" x14ac:dyDescent="0.25">
      <c r="A1321" s="311">
        <v>1318</v>
      </c>
      <c r="B1321" s="311" t="s">
        <v>63</v>
      </c>
      <c r="C1321" s="311" t="s">
        <v>63</v>
      </c>
      <c r="D1321" s="311" t="s">
        <v>462</v>
      </c>
      <c r="E1321" s="337" t="s">
        <v>63</v>
      </c>
      <c r="F1321" s="311" t="s">
        <v>272</v>
      </c>
      <c r="G1321" s="311" t="s">
        <v>236</v>
      </c>
      <c r="H1321" s="311" t="s">
        <v>407</v>
      </c>
      <c r="I1321" s="311" t="s">
        <v>66</v>
      </c>
      <c r="J1321" s="50" t="s">
        <v>1892</v>
      </c>
      <c r="K1321" s="50" t="s">
        <v>1892</v>
      </c>
      <c r="L1321" s="50" t="s">
        <v>1893</v>
      </c>
      <c r="M1321" s="50" t="s">
        <v>3750</v>
      </c>
      <c r="N1321" s="50" t="s">
        <v>3750</v>
      </c>
      <c r="O1321" s="50" t="s">
        <v>3583</v>
      </c>
      <c r="P1321" s="50" t="s">
        <v>3750</v>
      </c>
    </row>
    <row r="1322" spans="1:16" ht="12.75" customHeight="1" x14ac:dyDescent="0.25">
      <c r="A1322" s="311">
        <v>1319</v>
      </c>
      <c r="B1322" s="311" t="s">
        <v>140</v>
      </c>
      <c r="C1322" s="311" t="s">
        <v>140</v>
      </c>
      <c r="D1322" s="311" t="s">
        <v>462</v>
      </c>
      <c r="E1322" s="337" t="s">
        <v>140</v>
      </c>
      <c r="F1322" s="311" t="s">
        <v>272</v>
      </c>
      <c r="G1322" s="311" t="s">
        <v>236</v>
      </c>
      <c r="H1322" s="311" t="s">
        <v>407</v>
      </c>
      <c r="I1322" s="311" t="s">
        <v>66</v>
      </c>
      <c r="J1322" s="50" t="s">
        <v>1892</v>
      </c>
      <c r="K1322" s="50" t="s">
        <v>1892</v>
      </c>
      <c r="L1322" s="50" t="s">
        <v>1893</v>
      </c>
      <c r="M1322" s="50" t="s">
        <v>3751</v>
      </c>
      <c r="N1322" s="50" t="s">
        <v>3751</v>
      </c>
      <c r="O1322" s="50" t="s">
        <v>3583</v>
      </c>
      <c r="P1322" s="50" t="s">
        <v>3751</v>
      </c>
    </row>
    <row r="1323" spans="1:16" ht="12.75" customHeight="1" x14ac:dyDescent="0.25">
      <c r="A1323" s="311">
        <v>1320</v>
      </c>
      <c r="B1323" s="311" t="s">
        <v>121</v>
      </c>
      <c r="C1323" s="311" t="s">
        <v>121</v>
      </c>
      <c r="D1323" s="311" t="s">
        <v>462</v>
      </c>
      <c r="E1323" s="337" t="s">
        <v>121</v>
      </c>
      <c r="F1323" s="311" t="s">
        <v>272</v>
      </c>
      <c r="G1323" s="311" t="s">
        <v>236</v>
      </c>
      <c r="H1323" s="311" t="s">
        <v>407</v>
      </c>
      <c r="I1323" s="311" t="s">
        <v>66</v>
      </c>
      <c r="J1323" s="50" t="s">
        <v>1892</v>
      </c>
      <c r="K1323" s="50" t="s">
        <v>1892</v>
      </c>
      <c r="L1323" s="50" t="s">
        <v>1893</v>
      </c>
      <c r="M1323" s="50" t="s">
        <v>3752</v>
      </c>
      <c r="N1323" s="50" t="s">
        <v>3752</v>
      </c>
      <c r="O1323" s="50" t="s">
        <v>3583</v>
      </c>
      <c r="P1323" s="50" t="s">
        <v>3752</v>
      </c>
    </row>
    <row r="1324" spans="1:16" ht="12.75" customHeight="1" x14ac:dyDescent="0.25">
      <c r="A1324" s="311">
        <v>1321</v>
      </c>
      <c r="B1324" s="311" t="s">
        <v>87</v>
      </c>
      <c r="C1324" s="311" t="s">
        <v>87</v>
      </c>
      <c r="D1324" s="311" t="s">
        <v>462</v>
      </c>
      <c r="E1324" s="337" t="s">
        <v>87</v>
      </c>
      <c r="F1324" s="311" t="s">
        <v>272</v>
      </c>
      <c r="G1324" s="311" t="s">
        <v>236</v>
      </c>
      <c r="H1324" s="311" t="s">
        <v>407</v>
      </c>
      <c r="I1324" s="311" t="s">
        <v>66</v>
      </c>
      <c r="J1324" s="50" t="s">
        <v>1892</v>
      </c>
      <c r="K1324" s="50" t="s">
        <v>1892</v>
      </c>
      <c r="L1324" s="50" t="s">
        <v>1893</v>
      </c>
      <c r="M1324" s="50" t="s">
        <v>3753</v>
      </c>
      <c r="N1324" s="50" t="s">
        <v>3753</v>
      </c>
      <c r="O1324" s="50" t="s">
        <v>3583</v>
      </c>
      <c r="P1324" s="50" t="s">
        <v>3753</v>
      </c>
    </row>
    <row r="1325" spans="1:16" ht="12.75" customHeight="1" x14ac:dyDescent="0.25">
      <c r="A1325" s="311">
        <v>1322</v>
      </c>
      <c r="B1325" s="311" t="s">
        <v>125</v>
      </c>
      <c r="C1325" s="311" t="s">
        <v>125</v>
      </c>
      <c r="D1325" s="311" t="s">
        <v>125</v>
      </c>
      <c r="E1325" s="337" t="s">
        <v>125</v>
      </c>
      <c r="F1325" s="311" t="s">
        <v>272</v>
      </c>
      <c r="G1325" s="311" t="s">
        <v>236</v>
      </c>
      <c r="H1325" s="311" t="s">
        <v>407</v>
      </c>
      <c r="I1325" s="311" t="s">
        <v>66</v>
      </c>
      <c r="J1325" s="50" t="s">
        <v>1892</v>
      </c>
      <c r="K1325" s="50" t="s">
        <v>1892</v>
      </c>
      <c r="L1325" s="50" t="s">
        <v>1893</v>
      </c>
      <c r="M1325" s="50" t="s">
        <v>3754</v>
      </c>
      <c r="N1325" s="50" t="s">
        <v>3754</v>
      </c>
      <c r="O1325" s="50" t="s">
        <v>3754</v>
      </c>
      <c r="P1325" s="50" t="s">
        <v>3754</v>
      </c>
    </row>
    <row r="1326" spans="1:16" ht="12.75" customHeight="1" x14ac:dyDescent="0.25">
      <c r="A1326" s="311">
        <v>1323</v>
      </c>
      <c r="B1326" s="311" t="s">
        <v>134</v>
      </c>
      <c r="C1326" s="311" t="s">
        <v>134</v>
      </c>
      <c r="D1326" s="311" t="s">
        <v>134</v>
      </c>
      <c r="E1326" s="337" t="s">
        <v>134</v>
      </c>
      <c r="F1326" s="311" t="s">
        <v>272</v>
      </c>
      <c r="G1326" s="311" t="s">
        <v>236</v>
      </c>
      <c r="H1326" s="311" t="s">
        <v>407</v>
      </c>
      <c r="I1326" s="311" t="s">
        <v>66</v>
      </c>
      <c r="J1326" s="50" t="s">
        <v>1892</v>
      </c>
      <c r="K1326" s="50" t="s">
        <v>1892</v>
      </c>
      <c r="L1326" s="50" t="s">
        <v>1893</v>
      </c>
      <c r="M1326" s="50" t="s">
        <v>3755</v>
      </c>
      <c r="N1326" s="50" t="s">
        <v>3755</v>
      </c>
      <c r="O1326" s="50" t="s">
        <v>3755</v>
      </c>
      <c r="P1326" s="50" t="s">
        <v>3755</v>
      </c>
    </row>
    <row r="1327" spans="1:16" ht="12.75" customHeight="1" x14ac:dyDescent="0.25">
      <c r="A1327" s="311">
        <v>1324</v>
      </c>
      <c r="B1327" s="311" t="s">
        <v>141</v>
      </c>
      <c r="C1327" s="311" t="s">
        <v>141</v>
      </c>
      <c r="D1327" s="311" t="s">
        <v>141</v>
      </c>
      <c r="E1327" s="337" t="s">
        <v>141</v>
      </c>
      <c r="F1327" s="311" t="s">
        <v>272</v>
      </c>
      <c r="G1327" s="311" t="s">
        <v>236</v>
      </c>
      <c r="H1327" s="311" t="s">
        <v>407</v>
      </c>
      <c r="I1327" s="311" t="s">
        <v>66</v>
      </c>
      <c r="J1327" s="50" t="s">
        <v>1892</v>
      </c>
      <c r="K1327" s="50" t="s">
        <v>1892</v>
      </c>
      <c r="L1327" s="50" t="s">
        <v>1893</v>
      </c>
      <c r="M1327" s="50" t="s">
        <v>3756</v>
      </c>
      <c r="N1327" s="50" t="s">
        <v>3756</v>
      </c>
      <c r="O1327" s="50" t="s">
        <v>3756</v>
      </c>
      <c r="P1327" s="50" t="s">
        <v>3756</v>
      </c>
    </row>
    <row r="1328" spans="1:16" ht="12.75" customHeight="1" x14ac:dyDescent="0.25">
      <c r="A1328" s="311">
        <v>1325</v>
      </c>
      <c r="B1328" s="311" t="s">
        <v>69</v>
      </c>
      <c r="C1328" s="311" t="s">
        <v>69</v>
      </c>
      <c r="D1328" s="311" t="s">
        <v>69</v>
      </c>
      <c r="E1328" s="337" t="s">
        <v>69</v>
      </c>
      <c r="F1328" s="311" t="s">
        <v>272</v>
      </c>
      <c r="G1328" s="311" t="s">
        <v>236</v>
      </c>
      <c r="H1328" s="311" t="s">
        <v>407</v>
      </c>
      <c r="I1328" s="311" t="s">
        <v>66</v>
      </c>
      <c r="J1328" s="50" t="s">
        <v>1892</v>
      </c>
      <c r="K1328" s="50" t="s">
        <v>1892</v>
      </c>
      <c r="L1328" s="50" t="s">
        <v>1893</v>
      </c>
      <c r="M1328" s="50" t="s">
        <v>3757</v>
      </c>
      <c r="N1328" s="50" t="s">
        <v>3757</v>
      </c>
      <c r="O1328" s="50" t="s">
        <v>3757</v>
      </c>
      <c r="P1328" s="50" t="s">
        <v>3757</v>
      </c>
    </row>
    <row r="1329" spans="1:16" ht="12.75" customHeight="1" x14ac:dyDescent="0.25">
      <c r="A1329" s="311">
        <v>1326</v>
      </c>
      <c r="B1329" s="311" t="s">
        <v>63</v>
      </c>
      <c r="C1329" s="311" t="s">
        <v>63</v>
      </c>
      <c r="D1329" s="311" t="s">
        <v>462</v>
      </c>
      <c r="E1329" s="337" t="s">
        <v>63</v>
      </c>
      <c r="F1329" s="311" t="s">
        <v>272</v>
      </c>
      <c r="G1329" s="311" t="s">
        <v>23</v>
      </c>
      <c r="H1329" s="311" t="s">
        <v>407</v>
      </c>
      <c r="I1329" s="311" t="s">
        <v>66</v>
      </c>
      <c r="J1329" s="50" t="s">
        <v>1892</v>
      </c>
      <c r="K1329" s="50" t="s">
        <v>1892</v>
      </c>
      <c r="L1329" s="50" t="s">
        <v>1893</v>
      </c>
      <c r="M1329" s="50" t="s">
        <v>3758</v>
      </c>
      <c r="N1329" s="50" t="s">
        <v>3758</v>
      </c>
      <c r="O1329" s="50" t="s">
        <v>3591</v>
      </c>
      <c r="P1329" s="50" t="s">
        <v>3758</v>
      </c>
    </row>
    <row r="1330" spans="1:16" ht="12.75" customHeight="1" x14ac:dyDescent="0.25">
      <c r="A1330" s="311">
        <v>1327</v>
      </c>
      <c r="B1330" s="311" t="s">
        <v>140</v>
      </c>
      <c r="C1330" s="311" t="s">
        <v>140</v>
      </c>
      <c r="D1330" s="311" t="s">
        <v>462</v>
      </c>
      <c r="E1330" s="337" t="s">
        <v>140</v>
      </c>
      <c r="F1330" s="311" t="s">
        <v>272</v>
      </c>
      <c r="G1330" s="311" t="s">
        <v>23</v>
      </c>
      <c r="H1330" s="311" t="s">
        <v>407</v>
      </c>
      <c r="I1330" s="311" t="s">
        <v>66</v>
      </c>
      <c r="J1330" s="50" t="s">
        <v>1892</v>
      </c>
      <c r="K1330" s="50" t="s">
        <v>1892</v>
      </c>
      <c r="L1330" s="50" t="s">
        <v>1893</v>
      </c>
      <c r="M1330" s="50" t="s">
        <v>3759</v>
      </c>
      <c r="N1330" s="50" t="s">
        <v>3759</v>
      </c>
      <c r="O1330" s="50" t="s">
        <v>3591</v>
      </c>
      <c r="P1330" s="50" t="s">
        <v>3759</v>
      </c>
    </row>
    <row r="1331" spans="1:16" ht="12.75" customHeight="1" x14ac:dyDescent="0.25">
      <c r="A1331" s="311">
        <v>1328</v>
      </c>
      <c r="B1331" s="311" t="s">
        <v>121</v>
      </c>
      <c r="C1331" s="311" t="s">
        <v>121</v>
      </c>
      <c r="D1331" s="311" t="s">
        <v>462</v>
      </c>
      <c r="E1331" s="337" t="s">
        <v>121</v>
      </c>
      <c r="F1331" s="311" t="s">
        <v>272</v>
      </c>
      <c r="G1331" s="311" t="s">
        <v>23</v>
      </c>
      <c r="H1331" s="311" t="s">
        <v>407</v>
      </c>
      <c r="I1331" s="311" t="s">
        <v>66</v>
      </c>
      <c r="J1331" s="50" t="s">
        <v>1892</v>
      </c>
      <c r="K1331" s="50" t="s">
        <v>1892</v>
      </c>
      <c r="L1331" s="50" t="s">
        <v>1893</v>
      </c>
      <c r="M1331" s="50" t="s">
        <v>3760</v>
      </c>
      <c r="N1331" s="50" t="s">
        <v>3760</v>
      </c>
      <c r="O1331" s="50" t="s">
        <v>3591</v>
      </c>
      <c r="P1331" s="50" t="s">
        <v>3760</v>
      </c>
    </row>
    <row r="1332" spans="1:16" ht="12.75" customHeight="1" x14ac:dyDescent="0.25">
      <c r="A1332" s="311">
        <v>1329</v>
      </c>
      <c r="B1332" s="311" t="s">
        <v>87</v>
      </c>
      <c r="C1332" s="311" t="s">
        <v>87</v>
      </c>
      <c r="D1332" s="311" t="s">
        <v>462</v>
      </c>
      <c r="E1332" s="337" t="s">
        <v>87</v>
      </c>
      <c r="F1332" s="311" t="s">
        <v>272</v>
      </c>
      <c r="G1332" s="311" t="s">
        <v>23</v>
      </c>
      <c r="H1332" s="311" t="s">
        <v>407</v>
      </c>
      <c r="I1332" s="311" t="s">
        <v>66</v>
      </c>
      <c r="J1332" s="50" t="s">
        <v>1892</v>
      </c>
      <c r="K1332" s="50" t="s">
        <v>1892</v>
      </c>
      <c r="L1332" s="50" t="s">
        <v>1893</v>
      </c>
      <c r="M1332" s="50" t="s">
        <v>3761</v>
      </c>
      <c r="N1332" s="50" t="s">
        <v>3761</v>
      </c>
      <c r="O1332" s="50" t="s">
        <v>3591</v>
      </c>
      <c r="P1332" s="50" t="s">
        <v>3761</v>
      </c>
    </row>
    <row r="1333" spans="1:16" ht="12.75" customHeight="1" x14ac:dyDescent="0.25">
      <c r="A1333" s="311">
        <v>1330</v>
      </c>
      <c r="B1333" s="311" t="s">
        <v>125</v>
      </c>
      <c r="C1333" s="311" t="s">
        <v>125</v>
      </c>
      <c r="D1333" s="311" t="s">
        <v>125</v>
      </c>
      <c r="E1333" s="337" t="s">
        <v>125</v>
      </c>
      <c r="F1333" s="311" t="s">
        <v>272</v>
      </c>
      <c r="G1333" s="311" t="s">
        <v>23</v>
      </c>
      <c r="H1333" s="311" t="s">
        <v>407</v>
      </c>
      <c r="I1333" s="311" t="s">
        <v>66</v>
      </c>
      <c r="J1333" s="50" t="s">
        <v>1892</v>
      </c>
      <c r="K1333" s="50" t="s">
        <v>1892</v>
      </c>
      <c r="L1333" s="50" t="s">
        <v>1893</v>
      </c>
      <c r="M1333" s="50" t="s">
        <v>3762</v>
      </c>
      <c r="N1333" s="50" t="s">
        <v>3762</v>
      </c>
      <c r="O1333" s="50" t="s">
        <v>3762</v>
      </c>
      <c r="P1333" s="50" t="s">
        <v>3762</v>
      </c>
    </row>
    <row r="1334" spans="1:16" ht="12.75" customHeight="1" x14ac:dyDescent="0.25">
      <c r="A1334" s="311">
        <v>1331</v>
      </c>
      <c r="B1334" s="311" t="s">
        <v>134</v>
      </c>
      <c r="C1334" s="311" t="s">
        <v>134</v>
      </c>
      <c r="D1334" s="311" t="s">
        <v>134</v>
      </c>
      <c r="E1334" s="337" t="s">
        <v>134</v>
      </c>
      <c r="F1334" s="311" t="s">
        <v>272</v>
      </c>
      <c r="G1334" s="311" t="s">
        <v>23</v>
      </c>
      <c r="H1334" s="311" t="s">
        <v>407</v>
      </c>
      <c r="I1334" s="311" t="s">
        <v>66</v>
      </c>
      <c r="J1334" s="50" t="s">
        <v>1892</v>
      </c>
      <c r="K1334" s="50" t="s">
        <v>1892</v>
      </c>
      <c r="L1334" s="50" t="s">
        <v>1893</v>
      </c>
      <c r="M1334" s="50" t="s">
        <v>3763</v>
      </c>
      <c r="N1334" s="50" t="s">
        <v>3763</v>
      </c>
      <c r="O1334" s="50" t="s">
        <v>3763</v>
      </c>
      <c r="P1334" s="50" t="s">
        <v>3763</v>
      </c>
    </row>
    <row r="1335" spans="1:16" ht="12.75" customHeight="1" x14ac:dyDescent="0.25">
      <c r="A1335" s="311">
        <v>1332</v>
      </c>
      <c r="B1335" s="311" t="s">
        <v>141</v>
      </c>
      <c r="C1335" s="311" t="s">
        <v>141</v>
      </c>
      <c r="D1335" s="311" t="s">
        <v>141</v>
      </c>
      <c r="E1335" s="337" t="s">
        <v>141</v>
      </c>
      <c r="F1335" s="311" t="s">
        <v>272</v>
      </c>
      <c r="G1335" s="311" t="s">
        <v>23</v>
      </c>
      <c r="H1335" s="311" t="s">
        <v>407</v>
      </c>
      <c r="I1335" s="311" t="s">
        <v>66</v>
      </c>
      <c r="J1335" s="50" t="s">
        <v>1892</v>
      </c>
      <c r="K1335" s="50" t="s">
        <v>1892</v>
      </c>
      <c r="L1335" s="50" t="s">
        <v>1893</v>
      </c>
      <c r="M1335" s="50" t="s">
        <v>3764</v>
      </c>
      <c r="N1335" s="50" t="s">
        <v>3764</v>
      </c>
      <c r="O1335" s="50" t="s">
        <v>3764</v>
      </c>
      <c r="P1335" s="50" t="s">
        <v>3764</v>
      </c>
    </row>
    <row r="1336" spans="1:16" ht="12.75" customHeight="1" x14ac:dyDescent="0.25">
      <c r="A1336" s="311">
        <v>1333</v>
      </c>
      <c r="B1336" s="311" t="s">
        <v>69</v>
      </c>
      <c r="C1336" s="311" t="s">
        <v>69</v>
      </c>
      <c r="D1336" s="311" t="s">
        <v>69</v>
      </c>
      <c r="E1336" s="337" t="s">
        <v>69</v>
      </c>
      <c r="F1336" s="311" t="s">
        <v>272</v>
      </c>
      <c r="G1336" s="311" t="s">
        <v>23</v>
      </c>
      <c r="H1336" s="311" t="s">
        <v>407</v>
      </c>
      <c r="I1336" s="311" t="s">
        <v>66</v>
      </c>
      <c r="J1336" s="50" t="s">
        <v>1892</v>
      </c>
      <c r="K1336" s="50" t="s">
        <v>1892</v>
      </c>
      <c r="L1336" s="50" t="s">
        <v>1893</v>
      </c>
      <c r="M1336" s="50" t="s">
        <v>3765</v>
      </c>
      <c r="N1336" s="50" t="s">
        <v>3765</v>
      </c>
      <c r="O1336" s="50" t="s">
        <v>3765</v>
      </c>
      <c r="P1336" s="50" t="s">
        <v>3765</v>
      </c>
    </row>
    <row r="1337" spans="1:16" ht="12.75" customHeight="1" x14ac:dyDescent="0.25">
      <c r="A1337" s="311">
        <v>1334</v>
      </c>
      <c r="B1337" s="311" t="s">
        <v>63</v>
      </c>
      <c r="C1337" s="311" t="s">
        <v>63</v>
      </c>
      <c r="D1337" s="311" t="s">
        <v>462</v>
      </c>
      <c r="E1337" s="337" t="s">
        <v>63</v>
      </c>
      <c r="F1337" s="311" t="s">
        <v>272</v>
      </c>
      <c r="G1337" s="311" t="s">
        <v>237</v>
      </c>
      <c r="H1337" s="311" t="s">
        <v>407</v>
      </c>
      <c r="I1337" s="311" t="s">
        <v>66</v>
      </c>
      <c r="J1337" s="50" t="s">
        <v>1892</v>
      </c>
      <c r="K1337" s="50" t="s">
        <v>1892</v>
      </c>
      <c r="L1337" s="50" t="s">
        <v>1893</v>
      </c>
      <c r="M1337" s="50" t="s">
        <v>3766</v>
      </c>
      <c r="N1337" s="50" t="s">
        <v>3766</v>
      </c>
      <c r="O1337" s="50" t="s">
        <v>3599</v>
      </c>
      <c r="P1337" s="50" t="s">
        <v>3766</v>
      </c>
    </row>
    <row r="1338" spans="1:16" ht="12.75" customHeight="1" x14ac:dyDescent="0.25">
      <c r="A1338" s="311">
        <v>1335</v>
      </c>
      <c r="B1338" s="311" t="s">
        <v>140</v>
      </c>
      <c r="C1338" s="311" t="s">
        <v>140</v>
      </c>
      <c r="D1338" s="311" t="s">
        <v>462</v>
      </c>
      <c r="E1338" s="337" t="s">
        <v>140</v>
      </c>
      <c r="F1338" s="311" t="s">
        <v>272</v>
      </c>
      <c r="G1338" s="311" t="s">
        <v>237</v>
      </c>
      <c r="H1338" s="311" t="s">
        <v>407</v>
      </c>
      <c r="I1338" s="311" t="s">
        <v>66</v>
      </c>
      <c r="J1338" s="50" t="s">
        <v>1892</v>
      </c>
      <c r="K1338" s="50" t="s">
        <v>1892</v>
      </c>
      <c r="L1338" s="50" t="s">
        <v>1893</v>
      </c>
      <c r="M1338" s="50" t="s">
        <v>3767</v>
      </c>
      <c r="N1338" s="50" t="s">
        <v>3767</v>
      </c>
      <c r="O1338" s="50" t="s">
        <v>3599</v>
      </c>
      <c r="P1338" s="50" t="s">
        <v>3767</v>
      </c>
    </row>
    <row r="1339" spans="1:16" ht="12.75" customHeight="1" x14ac:dyDescent="0.25">
      <c r="A1339" s="311">
        <v>1336</v>
      </c>
      <c r="B1339" s="311" t="s">
        <v>121</v>
      </c>
      <c r="C1339" s="311" t="s">
        <v>121</v>
      </c>
      <c r="D1339" s="311" t="s">
        <v>462</v>
      </c>
      <c r="E1339" s="337" t="s">
        <v>121</v>
      </c>
      <c r="F1339" s="311" t="s">
        <v>272</v>
      </c>
      <c r="G1339" s="311" t="s">
        <v>237</v>
      </c>
      <c r="H1339" s="311" t="s">
        <v>407</v>
      </c>
      <c r="I1339" s="311" t="s">
        <v>66</v>
      </c>
      <c r="J1339" s="50" t="s">
        <v>1892</v>
      </c>
      <c r="K1339" s="50" t="s">
        <v>1892</v>
      </c>
      <c r="L1339" s="50" t="s">
        <v>1893</v>
      </c>
      <c r="M1339" s="50" t="s">
        <v>3768</v>
      </c>
      <c r="N1339" s="50" t="s">
        <v>3768</v>
      </c>
      <c r="O1339" s="50" t="s">
        <v>3599</v>
      </c>
      <c r="P1339" s="50" t="s">
        <v>3768</v>
      </c>
    </row>
    <row r="1340" spans="1:16" ht="12.75" customHeight="1" x14ac:dyDescent="0.25">
      <c r="A1340" s="311">
        <v>1337</v>
      </c>
      <c r="B1340" s="311" t="s">
        <v>87</v>
      </c>
      <c r="C1340" s="311" t="s">
        <v>87</v>
      </c>
      <c r="D1340" s="311" t="s">
        <v>462</v>
      </c>
      <c r="E1340" s="337" t="s">
        <v>87</v>
      </c>
      <c r="F1340" s="311" t="s">
        <v>272</v>
      </c>
      <c r="G1340" s="311" t="s">
        <v>237</v>
      </c>
      <c r="H1340" s="311" t="s">
        <v>407</v>
      </c>
      <c r="I1340" s="311" t="s">
        <v>66</v>
      </c>
      <c r="J1340" s="50" t="s">
        <v>1892</v>
      </c>
      <c r="K1340" s="50" t="s">
        <v>1892</v>
      </c>
      <c r="L1340" s="50" t="s">
        <v>1893</v>
      </c>
      <c r="M1340" s="50" t="s">
        <v>3769</v>
      </c>
      <c r="N1340" s="50" t="s">
        <v>3769</v>
      </c>
      <c r="O1340" s="50" t="s">
        <v>3599</v>
      </c>
      <c r="P1340" s="50" t="s">
        <v>3769</v>
      </c>
    </row>
    <row r="1341" spans="1:16" ht="12.75" customHeight="1" x14ac:dyDescent="0.25">
      <c r="A1341" s="311">
        <v>1338</v>
      </c>
      <c r="B1341" s="311" t="s">
        <v>125</v>
      </c>
      <c r="C1341" s="311" t="s">
        <v>125</v>
      </c>
      <c r="D1341" s="311" t="s">
        <v>125</v>
      </c>
      <c r="E1341" s="337" t="s">
        <v>125</v>
      </c>
      <c r="F1341" s="311" t="s">
        <v>272</v>
      </c>
      <c r="G1341" s="311" t="s">
        <v>237</v>
      </c>
      <c r="H1341" s="311" t="s">
        <v>407</v>
      </c>
      <c r="I1341" s="311" t="s">
        <v>66</v>
      </c>
      <c r="J1341" s="50" t="s">
        <v>1892</v>
      </c>
      <c r="K1341" s="50" t="s">
        <v>1892</v>
      </c>
      <c r="L1341" s="50" t="s">
        <v>1893</v>
      </c>
      <c r="M1341" s="50" t="s">
        <v>3770</v>
      </c>
      <c r="N1341" s="50" t="s">
        <v>3770</v>
      </c>
      <c r="O1341" s="50" t="s">
        <v>3770</v>
      </c>
      <c r="P1341" s="50" t="s">
        <v>3770</v>
      </c>
    </row>
    <row r="1342" spans="1:16" ht="12.75" customHeight="1" x14ac:dyDescent="0.25">
      <c r="A1342" s="311">
        <v>1339</v>
      </c>
      <c r="B1342" s="311" t="s">
        <v>134</v>
      </c>
      <c r="C1342" s="311" t="s">
        <v>134</v>
      </c>
      <c r="D1342" s="311" t="s">
        <v>134</v>
      </c>
      <c r="E1342" s="337" t="s">
        <v>134</v>
      </c>
      <c r="F1342" s="311" t="s">
        <v>272</v>
      </c>
      <c r="G1342" s="311" t="s">
        <v>237</v>
      </c>
      <c r="H1342" s="311" t="s">
        <v>407</v>
      </c>
      <c r="I1342" s="311" t="s">
        <v>66</v>
      </c>
      <c r="J1342" s="50" t="s">
        <v>1892</v>
      </c>
      <c r="K1342" s="50" t="s">
        <v>1892</v>
      </c>
      <c r="L1342" s="50" t="s">
        <v>1893</v>
      </c>
      <c r="M1342" s="50" t="s">
        <v>3771</v>
      </c>
      <c r="N1342" s="50" t="s">
        <v>3771</v>
      </c>
      <c r="O1342" s="50" t="s">
        <v>3771</v>
      </c>
      <c r="P1342" s="50" t="s">
        <v>3771</v>
      </c>
    </row>
    <row r="1343" spans="1:16" ht="12.75" customHeight="1" x14ac:dyDescent="0.25">
      <c r="A1343" s="311">
        <v>1340</v>
      </c>
      <c r="B1343" s="311" t="s">
        <v>141</v>
      </c>
      <c r="C1343" s="311" t="s">
        <v>141</v>
      </c>
      <c r="D1343" s="311" t="s">
        <v>141</v>
      </c>
      <c r="E1343" s="337" t="s">
        <v>141</v>
      </c>
      <c r="F1343" s="311" t="s">
        <v>272</v>
      </c>
      <c r="G1343" s="311" t="s">
        <v>237</v>
      </c>
      <c r="H1343" s="311" t="s">
        <v>407</v>
      </c>
      <c r="I1343" s="311" t="s">
        <v>66</v>
      </c>
      <c r="J1343" s="50" t="s">
        <v>1892</v>
      </c>
      <c r="K1343" s="50" t="s">
        <v>1892</v>
      </c>
      <c r="L1343" s="50" t="s">
        <v>1893</v>
      </c>
      <c r="M1343" s="50" t="s">
        <v>3772</v>
      </c>
      <c r="N1343" s="50" t="s">
        <v>3772</v>
      </c>
      <c r="O1343" s="50" t="s">
        <v>3772</v>
      </c>
      <c r="P1343" s="50" t="s">
        <v>3772</v>
      </c>
    </row>
    <row r="1344" spans="1:16" ht="12.75" customHeight="1" x14ac:dyDescent="0.25">
      <c r="A1344" s="311">
        <v>1341</v>
      </c>
      <c r="B1344" s="311" t="s">
        <v>69</v>
      </c>
      <c r="C1344" s="311" t="s">
        <v>69</v>
      </c>
      <c r="D1344" s="311" t="s">
        <v>69</v>
      </c>
      <c r="E1344" s="337" t="s">
        <v>69</v>
      </c>
      <c r="F1344" s="311" t="s">
        <v>272</v>
      </c>
      <c r="G1344" s="311" t="s">
        <v>237</v>
      </c>
      <c r="H1344" s="311" t="s">
        <v>407</v>
      </c>
      <c r="I1344" s="311" t="s">
        <v>66</v>
      </c>
      <c r="J1344" s="50" t="s">
        <v>1892</v>
      </c>
      <c r="K1344" s="50" t="s">
        <v>1892</v>
      </c>
      <c r="L1344" s="50" t="s">
        <v>1893</v>
      </c>
      <c r="M1344" s="50" t="s">
        <v>3773</v>
      </c>
      <c r="N1344" s="50" t="s">
        <v>3773</v>
      </c>
      <c r="O1344" s="50" t="s">
        <v>3773</v>
      </c>
      <c r="P1344" s="50" t="s">
        <v>3773</v>
      </c>
    </row>
    <row r="1345" spans="1:16" ht="12.75" customHeight="1" x14ac:dyDescent="0.25">
      <c r="A1345" s="311">
        <v>1342</v>
      </c>
      <c r="B1345" s="311" t="s">
        <v>63</v>
      </c>
      <c r="C1345" s="311" t="s">
        <v>63</v>
      </c>
      <c r="D1345" s="311" t="s">
        <v>462</v>
      </c>
      <c r="E1345" s="337" t="s">
        <v>63</v>
      </c>
      <c r="F1345" s="311" t="s">
        <v>285</v>
      </c>
      <c r="G1345" s="311" t="s">
        <v>236</v>
      </c>
      <c r="H1345" s="311" t="s">
        <v>407</v>
      </c>
      <c r="I1345" s="311" t="s">
        <v>66</v>
      </c>
      <c r="J1345" s="50" t="s">
        <v>1892</v>
      </c>
      <c r="K1345" s="50" t="s">
        <v>1892</v>
      </c>
      <c r="L1345" s="50" t="s">
        <v>1893</v>
      </c>
      <c r="M1345" s="50" t="s">
        <v>3774</v>
      </c>
      <c r="N1345" s="50" t="s">
        <v>3774</v>
      </c>
      <c r="O1345" s="50" t="s">
        <v>3607</v>
      </c>
      <c r="P1345" s="50" t="s">
        <v>3774</v>
      </c>
    </row>
    <row r="1346" spans="1:16" ht="12.75" customHeight="1" x14ac:dyDescent="0.25">
      <c r="A1346" s="311">
        <v>1343</v>
      </c>
      <c r="B1346" s="311" t="s">
        <v>140</v>
      </c>
      <c r="C1346" s="311" t="s">
        <v>140</v>
      </c>
      <c r="D1346" s="311" t="s">
        <v>462</v>
      </c>
      <c r="E1346" s="337" t="s">
        <v>140</v>
      </c>
      <c r="F1346" s="311" t="s">
        <v>285</v>
      </c>
      <c r="G1346" s="311" t="s">
        <v>236</v>
      </c>
      <c r="H1346" s="311" t="s">
        <v>407</v>
      </c>
      <c r="I1346" s="311" t="s">
        <v>66</v>
      </c>
      <c r="J1346" s="50" t="s">
        <v>1892</v>
      </c>
      <c r="K1346" s="50" t="s">
        <v>1892</v>
      </c>
      <c r="L1346" s="50" t="s">
        <v>1893</v>
      </c>
      <c r="M1346" s="50" t="s">
        <v>3775</v>
      </c>
      <c r="N1346" s="50" t="s">
        <v>3775</v>
      </c>
      <c r="O1346" s="50" t="s">
        <v>3607</v>
      </c>
      <c r="P1346" s="50" t="s">
        <v>3775</v>
      </c>
    </row>
    <row r="1347" spans="1:16" ht="12.75" customHeight="1" x14ac:dyDescent="0.25">
      <c r="A1347" s="311">
        <v>1344</v>
      </c>
      <c r="B1347" s="311" t="s">
        <v>121</v>
      </c>
      <c r="C1347" s="311" t="s">
        <v>121</v>
      </c>
      <c r="D1347" s="311" t="s">
        <v>462</v>
      </c>
      <c r="E1347" s="337" t="s">
        <v>121</v>
      </c>
      <c r="F1347" s="311" t="s">
        <v>285</v>
      </c>
      <c r="G1347" s="311" t="s">
        <v>236</v>
      </c>
      <c r="H1347" s="311" t="s">
        <v>407</v>
      </c>
      <c r="I1347" s="311" t="s">
        <v>66</v>
      </c>
      <c r="J1347" s="50" t="s">
        <v>1892</v>
      </c>
      <c r="K1347" s="50" t="s">
        <v>1892</v>
      </c>
      <c r="L1347" s="50" t="s">
        <v>1893</v>
      </c>
      <c r="M1347" s="50" t="s">
        <v>3776</v>
      </c>
      <c r="N1347" s="50" t="s">
        <v>3776</v>
      </c>
      <c r="O1347" s="50" t="s">
        <v>3607</v>
      </c>
      <c r="P1347" s="50" t="s">
        <v>3776</v>
      </c>
    </row>
    <row r="1348" spans="1:16" ht="12.75" customHeight="1" x14ac:dyDescent="0.25">
      <c r="A1348" s="311">
        <v>1345</v>
      </c>
      <c r="B1348" s="311" t="s">
        <v>87</v>
      </c>
      <c r="C1348" s="311" t="s">
        <v>87</v>
      </c>
      <c r="D1348" s="311" t="s">
        <v>462</v>
      </c>
      <c r="E1348" s="337" t="s">
        <v>87</v>
      </c>
      <c r="F1348" s="311" t="s">
        <v>285</v>
      </c>
      <c r="G1348" s="311" t="s">
        <v>236</v>
      </c>
      <c r="H1348" s="311" t="s">
        <v>407</v>
      </c>
      <c r="I1348" s="311" t="s">
        <v>66</v>
      </c>
      <c r="J1348" s="50" t="s">
        <v>1892</v>
      </c>
      <c r="K1348" s="50" t="s">
        <v>1892</v>
      </c>
      <c r="L1348" s="50" t="s">
        <v>1893</v>
      </c>
      <c r="M1348" s="50" t="s">
        <v>3777</v>
      </c>
      <c r="N1348" s="50" t="s">
        <v>3777</v>
      </c>
      <c r="O1348" s="50" t="s">
        <v>3607</v>
      </c>
      <c r="P1348" s="50" t="s">
        <v>3777</v>
      </c>
    </row>
    <row r="1349" spans="1:16" ht="12.75" customHeight="1" x14ac:dyDescent="0.25">
      <c r="A1349" s="311">
        <v>1346</v>
      </c>
      <c r="B1349" s="311" t="s">
        <v>125</v>
      </c>
      <c r="C1349" s="311" t="s">
        <v>125</v>
      </c>
      <c r="D1349" s="311" t="s">
        <v>125</v>
      </c>
      <c r="E1349" s="337" t="s">
        <v>125</v>
      </c>
      <c r="F1349" s="311" t="s">
        <v>285</v>
      </c>
      <c r="G1349" s="311" t="s">
        <v>236</v>
      </c>
      <c r="H1349" s="311" t="s">
        <v>407</v>
      </c>
      <c r="I1349" s="311" t="s">
        <v>66</v>
      </c>
      <c r="J1349" s="50" t="s">
        <v>1892</v>
      </c>
      <c r="K1349" s="50" t="s">
        <v>1892</v>
      </c>
      <c r="L1349" s="50" t="s">
        <v>1893</v>
      </c>
      <c r="M1349" s="50" t="s">
        <v>3778</v>
      </c>
      <c r="N1349" s="50" t="s">
        <v>3778</v>
      </c>
      <c r="O1349" s="50" t="s">
        <v>3778</v>
      </c>
      <c r="P1349" s="50" t="s">
        <v>3778</v>
      </c>
    </row>
    <row r="1350" spans="1:16" ht="12.75" customHeight="1" x14ac:dyDescent="0.25">
      <c r="A1350" s="311">
        <v>1347</v>
      </c>
      <c r="B1350" s="311" t="s">
        <v>134</v>
      </c>
      <c r="C1350" s="311" t="s">
        <v>134</v>
      </c>
      <c r="D1350" s="311" t="s">
        <v>134</v>
      </c>
      <c r="E1350" s="337" t="s">
        <v>134</v>
      </c>
      <c r="F1350" s="311" t="s">
        <v>285</v>
      </c>
      <c r="G1350" s="311" t="s">
        <v>236</v>
      </c>
      <c r="H1350" s="311" t="s">
        <v>407</v>
      </c>
      <c r="I1350" s="311" t="s">
        <v>66</v>
      </c>
      <c r="J1350" s="50" t="s">
        <v>1892</v>
      </c>
      <c r="K1350" s="50" t="s">
        <v>1892</v>
      </c>
      <c r="L1350" s="50" t="s">
        <v>1893</v>
      </c>
      <c r="M1350" s="50" t="s">
        <v>3779</v>
      </c>
      <c r="N1350" s="50" t="s">
        <v>3779</v>
      </c>
      <c r="O1350" s="50" t="s">
        <v>3779</v>
      </c>
      <c r="P1350" s="50" t="s">
        <v>3779</v>
      </c>
    </row>
    <row r="1351" spans="1:16" ht="12.75" customHeight="1" x14ac:dyDescent="0.25">
      <c r="A1351" s="311">
        <v>1348</v>
      </c>
      <c r="B1351" s="311" t="s">
        <v>141</v>
      </c>
      <c r="C1351" s="311" t="s">
        <v>141</v>
      </c>
      <c r="D1351" s="311" t="s">
        <v>141</v>
      </c>
      <c r="E1351" s="337" t="s">
        <v>141</v>
      </c>
      <c r="F1351" s="311" t="s">
        <v>285</v>
      </c>
      <c r="G1351" s="311" t="s">
        <v>236</v>
      </c>
      <c r="H1351" s="311" t="s">
        <v>407</v>
      </c>
      <c r="I1351" s="311" t="s">
        <v>66</v>
      </c>
      <c r="J1351" s="50" t="s">
        <v>1892</v>
      </c>
      <c r="K1351" s="50" t="s">
        <v>1892</v>
      </c>
      <c r="L1351" s="50" t="s">
        <v>1893</v>
      </c>
      <c r="M1351" s="50" t="s">
        <v>3780</v>
      </c>
      <c r="N1351" s="50" t="s">
        <v>3780</v>
      </c>
      <c r="O1351" s="50" t="s">
        <v>3780</v>
      </c>
      <c r="P1351" s="50" t="s">
        <v>3780</v>
      </c>
    </row>
    <row r="1352" spans="1:16" ht="12.75" customHeight="1" x14ac:dyDescent="0.25">
      <c r="A1352" s="311">
        <v>1349</v>
      </c>
      <c r="B1352" s="311" t="s">
        <v>69</v>
      </c>
      <c r="C1352" s="311" t="s">
        <v>69</v>
      </c>
      <c r="D1352" s="311" t="s">
        <v>69</v>
      </c>
      <c r="E1352" s="337" t="s">
        <v>69</v>
      </c>
      <c r="F1352" s="311" t="s">
        <v>285</v>
      </c>
      <c r="G1352" s="311" t="s">
        <v>236</v>
      </c>
      <c r="H1352" s="311" t="s">
        <v>407</v>
      </c>
      <c r="I1352" s="311" t="s">
        <v>66</v>
      </c>
      <c r="J1352" s="50" t="s">
        <v>1892</v>
      </c>
      <c r="K1352" s="50" t="s">
        <v>1892</v>
      </c>
      <c r="L1352" s="50" t="s">
        <v>1893</v>
      </c>
      <c r="M1352" s="50" t="s">
        <v>3781</v>
      </c>
      <c r="N1352" s="50" t="s">
        <v>3781</v>
      </c>
      <c r="O1352" s="50" t="s">
        <v>3781</v>
      </c>
      <c r="P1352" s="50" t="s">
        <v>3781</v>
      </c>
    </row>
    <row r="1353" spans="1:16" ht="12.75" customHeight="1" x14ac:dyDescent="0.25">
      <c r="A1353" s="311">
        <v>1350</v>
      </c>
      <c r="B1353" s="311" t="s">
        <v>63</v>
      </c>
      <c r="C1353" s="311" t="s">
        <v>63</v>
      </c>
      <c r="D1353" s="311" t="s">
        <v>462</v>
      </c>
      <c r="E1353" s="337" t="s">
        <v>63</v>
      </c>
      <c r="F1353" s="311" t="s">
        <v>285</v>
      </c>
      <c r="G1353" s="311" t="s">
        <v>23</v>
      </c>
      <c r="H1353" s="311" t="s">
        <v>407</v>
      </c>
      <c r="I1353" s="311" t="s">
        <v>66</v>
      </c>
      <c r="J1353" s="50" t="s">
        <v>1892</v>
      </c>
      <c r="K1353" s="50" t="s">
        <v>1892</v>
      </c>
      <c r="L1353" s="50" t="s">
        <v>1893</v>
      </c>
      <c r="M1353" s="50" t="s">
        <v>3782</v>
      </c>
      <c r="N1353" s="50" t="s">
        <v>3782</v>
      </c>
      <c r="O1353" s="50" t="s">
        <v>3615</v>
      </c>
      <c r="P1353" s="50" t="s">
        <v>3782</v>
      </c>
    </row>
    <row r="1354" spans="1:16" ht="12.75" customHeight="1" x14ac:dyDescent="0.25">
      <c r="A1354" s="311">
        <v>1351</v>
      </c>
      <c r="B1354" s="311" t="s">
        <v>140</v>
      </c>
      <c r="C1354" s="311" t="s">
        <v>140</v>
      </c>
      <c r="D1354" s="311" t="s">
        <v>462</v>
      </c>
      <c r="E1354" s="337" t="s">
        <v>140</v>
      </c>
      <c r="F1354" s="311" t="s">
        <v>285</v>
      </c>
      <c r="G1354" s="311" t="s">
        <v>23</v>
      </c>
      <c r="H1354" s="311" t="s">
        <v>407</v>
      </c>
      <c r="I1354" s="311" t="s">
        <v>66</v>
      </c>
      <c r="J1354" s="50" t="s">
        <v>1892</v>
      </c>
      <c r="K1354" s="50" t="s">
        <v>1892</v>
      </c>
      <c r="L1354" s="50" t="s">
        <v>1893</v>
      </c>
      <c r="M1354" s="50" t="s">
        <v>3783</v>
      </c>
      <c r="N1354" s="50" t="s">
        <v>3783</v>
      </c>
      <c r="O1354" s="50" t="s">
        <v>3615</v>
      </c>
      <c r="P1354" s="50" t="s">
        <v>3783</v>
      </c>
    </row>
    <row r="1355" spans="1:16" ht="12.75" customHeight="1" x14ac:dyDescent="0.25">
      <c r="A1355" s="311">
        <v>1352</v>
      </c>
      <c r="B1355" s="311" t="s">
        <v>121</v>
      </c>
      <c r="C1355" s="311" t="s">
        <v>121</v>
      </c>
      <c r="D1355" s="311" t="s">
        <v>462</v>
      </c>
      <c r="E1355" s="337" t="s">
        <v>121</v>
      </c>
      <c r="F1355" s="311" t="s">
        <v>285</v>
      </c>
      <c r="G1355" s="311" t="s">
        <v>23</v>
      </c>
      <c r="H1355" s="311" t="s">
        <v>407</v>
      </c>
      <c r="I1355" s="311" t="s">
        <v>66</v>
      </c>
      <c r="J1355" s="50" t="s">
        <v>1892</v>
      </c>
      <c r="K1355" s="50" t="s">
        <v>1892</v>
      </c>
      <c r="L1355" s="50" t="s">
        <v>1893</v>
      </c>
      <c r="M1355" s="50" t="s">
        <v>3784</v>
      </c>
      <c r="N1355" s="50" t="s">
        <v>3784</v>
      </c>
      <c r="O1355" s="50" t="s">
        <v>3615</v>
      </c>
      <c r="P1355" s="50" t="s">
        <v>3784</v>
      </c>
    </row>
    <row r="1356" spans="1:16" ht="12.75" customHeight="1" x14ac:dyDescent="0.25">
      <c r="A1356" s="311">
        <v>1353</v>
      </c>
      <c r="B1356" s="311" t="s">
        <v>87</v>
      </c>
      <c r="C1356" s="311" t="s">
        <v>87</v>
      </c>
      <c r="D1356" s="311" t="s">
        <v>462</v>
      </c>
      <c r="E1356" s="337" t="s">
        <v>87</v>
      </c>
      <c r="F1356" s="311" t="s">
        <v>285</v>
      </c>
      <c r="G1356" s="311" t="s">
        <v>23</v>
      </c>
      <c r="H1356" s="311" t="s">
        <v>407</v>
      </c>
      <c r="I1356" s="311" t="s">
        <v>66</v>
      </c>
      <c r="J1356" s="50" t="s">
        <v>1892</v>
      </c>
      <c r="K1356" s="50" t="s">
        <v>1892</v>
      </c>
      <c r="L1356" s="50" t="s">
        <v>1893</v>
      </c>
      <c r="M1356" s="50" t="s">
        <v>3785</v>
      </c>
      <c r="N1356" s="50" t="s">
        <v>3785</v>
      </c>
      <c r="O1356" s="50" t="s">
        <v>3615</v>
      </c>
      <c r="P1356" s="50" t="s">
        <v>3785</v>
      </c>
    </row>
    <row r="1357" spans="1:16" ht="12.75" customHeight="1" x14ac:dyDescent="0.25">
      <c r="A1357" s="311">
        <v>1354</v>
      </c>
      <c r="B1357" s="311" t="s">
        <v>125</v>
      </c>
      <c r="C1357" s="311" t="s">
        <v>125</v>
      </c>
      <c r="D1357" s="311" t="s">
        <v>125</v>
      </c>
      <c r="E1357" s="337" t="s">
        <v>125</v>
      </c>
      <c r="F1357" s="311" t="s">
        <v>285</v>
      </c>
      <c r="G1357" s="311" t="s">
        <v>23</v>
      </c>
      <c r="H1357" s="311" t="s">
        <v>407</v>
      </c>
      <c r="I1357" s="311" t="s">
        <v>66</v>
      </c>
      <c r="J1357" s="50" t="s">
        <v>1892</v>
      </c>
      <c r="K1357" s="50" t="s">
        <v>1892</v>
      </c>
      <c r="L1357" s="50" t="s">
        <v>1893</v>
      </c>
      <c r="M1357" s="50" t="s">
        <v>3786</v>
      </c>
      <c r="N1357" s="50" t="s">
        <v>3786</v>
      </c>
      <c r="O1357" s="50" t="s">
        <v>3786</v>
      </c>
      <c r="P1357" s="50" t="s">
        <v>3786</v>
      </c>
    </row>
    <row r="1358" spans="1:16" ht="12.75" customHeight="1" x14ac:dyDescent="0.25">
      <c r="A1358" s="311">
        <v>1355</v>
      </c>
      <c r="B1358" s="311" t="s">
        <v>134</v>
      </c>
      <c r="C1358" s="311" t="s">
        <v>134</v>
      </c>
      <c r="D1358" s="311" t="s">
        <v>134</v>
      </c>
      <c r="E1358" s="337" t="s">
        <v>134</v>
      </c>
      <c r="F1358" s="311" t="s">
        <v>285</v>
      </c>
      <c r="G1358" s="311" t="s">
        <v>23</v>
      </c>
      <c r="H1358" s="311" t="s">
        <v>407</v>
      </c>
      <c r="I1358" s="311" t="s">
        <v>66</v>
      </c>
      <c r="J1358" s="50" t="s">
        <v>1892</v>
      </c>
      <c r="K1358" s="50" t="s">
        <v>1892</v>
      </c>
      <c r="L1358" s="50" t="s">
        <v>1893</v>
      </c>
      <c r="M1358" s="50" t="s">
        <v>3787</v>
      </c>
      <c r="N1358" s="50" t="s">
        <v>3787</v>
      </c>
      <c r="O1358" s="50" t="s">
        <v>3787</v>
      </c>
      <c r="P1358" s="50" t="s">
        <v>3787</v>
      </c>
    </row>
    <row r="1359" spans="1:16" ht="12.75" customHeight="1" x14ac:dyDescent="0.25">
      <c r="A1359" s="311">
        <v>1356</v>
      </c>
      <c r="B1359" s="311" t="s">
        <v>141</v>
      </c>
      <c r="C1359" s="311" t="s">
        <v>141</v>
      </c>
      <c r="D1359" s="311" t="s">
        <v>141</v>
      </c>
      <c r="E1359" s="337" t="s">
        <v>141</v>
      </c>
      <c r="F1359" s="311" t="s">
        <v>285</v>
      </c>
      <c r="G1359" s="311" t="s">
        <v>23</v>
      </c>
      <c r="H1359" s="311" t="s">
        <v>407</v>
      </c>
      <c r="I1359" s="311" t="s">
        <v>66</v>
      </c>
      <c r="J1359" s="50" t="s">
        <v>1892</v>
      </c>
      <c r="K1359" s="50" t="s">
        <v>1892</v>
      </c>
      <c r="L1359" s="50" t="s">
        <v>1893</v>
      </c>
      <c r="M1359" s="50" t="s">
        <v>3788</v>
      </c>
      <c r="N1359" s="50" t="s">
        <v>3788</v>
      </c>
      <c r="O1359" s="50" t="s">
        <v>3788</v>
      </c>
      <c r="P1359" s="50" t="s">
        <v>3788</v>
      </c>
    </row>
    <row r="1360" spans="1:16" ht="12.75" customHeight="1" x14ac:dyDescent="0.25">
      <c r="A1360" s="311">
        <v>1357</v>
      </c>
      <c r="B1360" s="311" t="s">
        <v>69</v>
      </c>
      <c r="C1360" s="311" t="s">
        <v>69</v>
      </c>
      <c r="D1360" s="311" t="s">
        <v>69</v>
      </c>
      <c r="E1360" s="337" t="s">
        <v>69</v>
      </c>
      <c r="F1360" s="311" t="s">
        <v>285</v>
      </c>
      <c r="G1360" s="311" t="s">
        <v>23</v>
      </c>
      <c r="H1360" s="311" t="s">
        <v>407</v>
      </c>
      <c r="I1360" s="311" t="s">
        <v>66</v>
      </c>
      <c r="J1360" s="50" t="s">
        <v>1892</v>
      </c>
      <c r="K1360" s="50" t="s">
        <v>1892</v>
      </c>
      <c r="L1360" s="50" t="s">
        <v>1893</v>
      </c>
      <c r="M1360" s="50" t="s">
        <v>3789</v>
      </c>
      <c r="N1360" s="50" t="s">
        <v>3789</v>
      </c>
      <c r="O1360" s="50" t="s">
        <v>3789</v>
      </c>
      <c r="P1360" s="50" t="s">
        <v>3789</v>
      </c>
    </row>
    <row r="1361" spans="1:16" ht="12.75" customHeight="1" x14ac:dyDescent="0.25">
      <c r="A1361" s="311">
        <v>1358</v>
      </c>
      <c r="B1361" s="311" t="s">
        <v>63</v>
      </c>
      <c r="C1361" s="311" t="s">
        <v>63</v>
      </c>
      <c r="D1361" s="311" t="s">
        <v>462</v>
      </c>
      <c r="E1361" s="337" t="s">
        <v>63</v>
      </c>
      <c r="F1361" s="311" t="s">
        <v>285</v>
      </c>
      <c r="G1361" s="311" t="s">
        <v>237</v>
      </c>
      <c r="H1361" s="311" t="s">
        <v>407</v>
      </c>
      <c r="I1361" s="311" t="s">
        <v>66</v>
      </c>
      <c r="J1361" s="50" t="s">
        <v>1892</v>
      </c>
      <c r="K1361" s="50" t="s">
        <v>1892</v>
      </c>
      <c r="L1361" s="50" t="s">
        <v>1893</v>
      </c>
      <c r="M1361" s="50" t="s">
        <v>3790</v>
      </c>
      <c r="N1361" s="50" t="s">
        <v>3790</v>
      </c>
      <c r="O1361" s="50" t="s">
        <v>3623</v>
      </c>
      <c r="P1361" s="50" t="s">
        <v>3790</v>
      </c>
    </row>
    <row r="1362" spans="1:16" ht="12.75" customHeight="1" x14ac:dyDescent="0.25">
      <c r="A1362" s="311">
        <v>1359</v>
      </c>
      <c r="B1362" s="311" t="s">
        <v>140</v>
      </c>
      <c r="C1362" s="311" t="s">
        <v>140</v>
      </c>
      <c r="D1362" s="311" t="s">
        <v>462</v>
      </c>
      <c r="E1362" s="337" t="s">
        <v>140</v>
      </c>
      <c r="F1362" s="311" t="s">
        <v>285</v>
      </c>
      <c r="G1362" s="311" t="s">
        <v>237</v>
      </c>
      <c r="H1362" s="311" t="s">
        <v>407</v>
      </c>
      <c r="I1362" s="311" t="s">
        <v>66</v>
      </c>
      <c r="J1362" s="50" t="s">
        <v>1892</v>
      </c>
      <c r="K1362" s="50" t="s">
        <v>1892</v>
      </c>
      <c r="L1362" s="50" t="s">
        <v>1893</v>
      </c>
      <c r="M1362" s="50" t="s">
        <v>3791</v>
      </c>
      <c r="N1362" s="50" t="s">
        <v>3791</v>
      </c>
      <c r="O1362" s="50" t="s">
        <v>3623</v>
      </c>
      <c r="P1362" s="50" t="s">
        <v>3791</v>
      </c>
    </row>
    <row r="1363" spans="1:16" ht="12.75" customHeight="1" x14ac:dyDescent="0.25">
      <c r="A1363" s="311">
        <v>1360</v>
      </c>
      <c r="B1363" s="311" t="s">
        <v>121</v>
      </c>
      <c r="C1363" s="311" t="s">
        <v>121</v>
      </c>
      <c r="D1363" s="311" t="s">
        <v>462</v>
      </c>
      <c r="E1363" s="337" t="s">
        <v>121</v>
      </c>
      <c r="F1363" s="311" t="s">
        <v>285</v>
      </c>
      <c r="G1363" s="311" t="s">
        <v>237</v>
      </c>
      <c r="H1363" s="311" t="s">
        <v>407</v>
      </c>
      <c r="I1363" s="311" t="s">
        <v>66</v>
      </c>
      <c r="J1363" s="50" t="s">
        <v>1892</v>
      </c>
      <c r="K1363" s="50" t="s">
        <v>1892</v>
      </c>
      <c r="L1363" s="50" t="s">
        <v>1893</v>
      </c>
      <c r="M1363" s="50" t="s">
        <v>3792</v>
      </c>
      <c r="N1363" s="50" t="s">
        <v>3792</v>
      </c>
      <c r="O1363" s="50" t="s">
        <v>3623</v>
      </c>
      <c r="P1363" s="50" t="s">
        <v>3792</v>
      </c>
    </row>
    <row r="1364" spans="1:16" ht="12.75" customHeight="1" x14ac:dyDescent="0.25">
      <c r="A1364" s="311">
        <v>1361</v>
      </c>
      <c r="B1364" s="311" t="s">
        <v>87</v>
      </c>
      <c r="C1364" s="311" t="s">
        <v>87</v>
      </c>
      <c r="D1364" s="311" t="s">
        <v>462</v>
      </c>
      <c r="E1364" s="337" t="s">
        <v>87</v>
      </c>
      <c r="F1364" s="311" t="s">
        <v>285</v>
      </c>
      <c r="G1364" s="311" t="s">
        <v>237</v>
      </c>
      <c r="H1364" s="311" t="s">
        <v>407</v>
      </c>
      <c r="I1364" s="311" t="s">
        <v>66</v>
      </c>
      <c r="J1364" s="50" t="s">
        <v>1892</v>
      </c>
      <c r="K1364" s="50" t="s">
        <v>1892</v>
      </c>
      <c r="L1364" s="50" t="s">
        <v>1893</v>
      </c>
      <c r="M1364" s="50" t="s">
        <v>3793</v>
      </c>
      <c r="N1364" s="50" t="s">
        <v>3793</v>
      </c>
      <c r="O1364" s="50" t="s">
        <v>3623</v>
      </c>
      <c r="P1364" s="50" t="s">
        <v>3793</v>
      </c>
    </row>
    <row r="1365" spans="1:16" ht="12.75" customHeight="1" x14ac:dyDescent="0.25">
      <c r="A1365" s="311">
        <v>1362</v>
      </c>
      <c r="B1365" s="311" t="s">
        <v>125</v>
      </c>
      <c r="C1365" s="311" t="s">
        <v>125</v>
      </c>
      <c r="D1365" s="311" t="s">
        <v>125</v>
      </c>
      <c r="E1365" s="337" t="s">
        <v>125</v>
      </c>
      <c r="F1365" s="311" t="s">
        <v>285</v>
      </c>
      <c r="G1365" s="311" t="s">
        <v>237</v>
      </c>
      <c r="H1365" s="311" t="s">
        <v>407</v>
      </c>
      <c r="I1365" s="311" t="s">
        <v>66</v>
      </c>
      <c r="J1365" s="50" t="s">
        <v>1892</v>
      </c>
      <c r="K1365" s="50" t="s">
        <v>1892</v>
      </c>
      <c r="L1365" s="50" t="s">
        <v>1893</v>
      </c>
      <c r="M1365" s="50" t="s">
        <v>3794</v>
      </c>
      <c r="N1365" s="50" t="s">
        <v>3794</v>
      </c>
      <c r="O1365" s="50" t="s">
        <v>3794</v>
      </c>
      <c r="P1365" s="50" t="s">
        <v>3794</v>
      </c>
    </row>
    <row r="1366" spans="1:16" ht="12.75" customHeight="1" x14ac:dyDescent="0.25">
      <c r="A1366" s="311">
        <v>1363</v>
      </c>
      <c r="B1366" s="311" t="s">
        <v>134</v>
      </c>
      <c r="C1366" s="311" t="s">
        <v>134</v>
      </c>
      <c r="D1366" s="311" t="s">
        <v>134</v>
      </c>
      <c r="E1366" s="337" t="s">
        <v>134</v>
      </c>
      <c r="F1366" s="311" t="s">
        <v>285</v>
      </c>
      <c r="G1366" s="311" t="s">
        <v>237</v>
      </c>
      <c r="H1366" s="311" t="s">
        <v>407</v>
      </c>
      <c r="I1366" s="311" t="s">
        <v>66</v>
      </c>
      <c r="J1366" s="50" t="s">
        <v>1892</v>
      </c>
      <c r="K1366" s="50" t="s">
        <v>1892</v>
      </c>
      <c r="L1366" s="50" t="s">
        <v>1893</v>
      </c>
      <c r="M1366" s="50" t="s">
        <v>3795</v>
      </c>
      <c r="N1366" s="50" t="s">
        <v>3795</v>
      </c>
      <c r="O1366" s="50" t="s">
        <v>3795</v>
      </c>
      <c r="P1366" s="50" t="s">
        <v>3795</v>
      </c>
    </row>
    <row r="1367" spans="1:16" ht="12.75" customHeight="1" x14ac:dyDescent="0.25">
      <c r="A1367" s="311">
        <v>1364</v>
      </c>
      <c r="B1367" s="311" t="s">
        <v>141</v>
      </c>
      <c r="C1367" s="311" t="s">
        <v>141</v>
      </c>
      <c r="D1367" s="311" t="s">
        <v>141</v>
      </c>
      <c r="E1367" s="337" t="s">
        <v>141</v>
      </c>
      <c r="F1367" s="311" t="s">
        <v>285</v>
      </c>
      <c r="G1367" s="311" t="s">
        <v>237</v>
      </c>
      <c r="H1367" s="311" t="s">
        <v>407</v>
      </c>
      <c r="I1367" s="311" t="s">
        <v>66</v>
      </c>
      <c r="J1367" s="50" t="s">
        <v>1892</v>
      </c>
      <c r="K1367" s="50" t="s">
        <v>1892</v>
      </c>
      <c r="L1367" s="50" t="s">
        <v>1893</v>
      </c>
      <c r="M1367" s="50" t="s">
        <v>3796</v>
      </c>
      <c r="N1367" s="50" t="s">
        <v>3796</v>
      </c>
      <c r="O1367" s="50" t="s">
        <v>3796</v>
      </c>
      <c r="P1367" s="50" t="s">
        <v>3796</v>
      </c>
    </row>
    <row r="1368" spans="1:16" ht="12.75" customHeight="1" x14ac:dyDescent="0.25">
      <c r="A1368" s="311">
        <v>1365</v>
      </c>
      <c r="B1368" s="311" t="s">
        <v>69</v>
      </c>
      <c r="C1368" s="311" t="s">
        <v>69</v>
      </c>
      <c r="D1368" s="311" t="s">
        <v>69</v>
      </c>
      <c r="E1368" s="337" t="s">
        <v>69</v>
      </c>
      <c r="F1368" s="311" t="s">
        <v>285</v>
      </c>
      <c r="G1368" s="311" t="s">
        <v>237</v>
      </c>
      <c r="H1368" s="311" t="s">
        <v>407</v>
      </c>
      <c r="I1368" s="311" t="s">
        <v>66</v>
      </c>
      <c r="J1368" s="50" t="s">
        <v>1892</v>
      </c>
      <c r="K1368" s="50" t="s">
        <v>1892</v>
      </c>
      <c r="L1368" s="50" t="s">
        <v>1893</v>
      </c>
      <c r="M1368" s="50" t="s">
        <v>3797</v>
      </c>
      <c r="N1368" s="50" t="s">
        <v>3797</v>
      </c>
      <c r="O1368" s="50" t="s">
        <v>3797</v>
      </c>
      <c r="P1368" s="50" t="s">
        <v>3797</v>
      </c>
    </row>
    <row r="1369" spans="1:16" ht="12.75" customHeight="1" x14ac:dyDescent="0.25">
      <c r="A1369" s="311">
        <v>1366</v>
      </c>
      <c r="B1369" s="311" t="s">
        <v>63</v>
      </c>
      <c r="C1369" s="311" t="s">
        <v>63</v>
      </c>
      <c r="D1369" s="311" t="s">
        <v>462</v>
      </c>
      <c r="E1369" s="337" t="s">
        <v>63</v>
      </c>
      <c r="F1369" s="311" t="s">
        <v>302</v>
      </c>
      <c r="G1369" s="311" t="s">
        <v>236</v>
      </c>
      <c r="H1369" s="311" t="s">
        <v>407</v>
      </c>
      <c r="I1369" s="311" t="s">
        <v>66</v>
      </c>
      <c r="J1369" s="50" t="s">
        <v>1892</v>
      </c>
      <c r="K1369" s="50" t="s">
        <v>1892</v>
      </c>
      <c r="L1369" s="50" t="s">
        <v>1893</v>
      </c>
      <c r="M1369" s="50" t="s">
        <v>3798</v>
      </c>
      <c r="N1369" s="50" t="s">
        <v>3798</v>
      </c>
      <c r="O1369" s="50" t="s">
        <v>3631</v>
      </c>
      <c r="P1369" s="50" t="s">
        <v>3798</v>
      </c>
    </row>
    <row r="1370" spans="1:16" ht="12.75" customHeight="1" x14ac:dyDescent="0.25">
      <c r="A1370" s="311">
        <v>1367</v>
      </c>
      <c r="B1370" s="311" t="s">
        <v>140</v>
      </c>
      <c r="C1370" s="311" t="s">
        <v>140</v>
      </c>
      <c r="D1370" s="311" t="s">
        <v>462</v>
      </c>
      <c r="E1370" s="337" t="s">
        <v>140</v>
      </c>
      <c r="F1370" s="311" t="s">
        <v>302</v>
      </c>
      <c r="G1370" s="311" t="s">
        <v>236</v>
      </c>
      <c r="H1370" s="311" t="s">
        <v>407</v>
      </c>
      <c r="I1370" s="311" t="s">
        <v>66</v>
      </c>
      <c r="J1370" s="50" t="s">
        <v>1892</v>
      </c>
      <c r="K1370" s="50" t="s">
        <v>1892</v>
      </c>
      <c r="L1370" s="50" t="s">
        <v>1893</v>
      </c>
      <c r="M1370" s="50" t="s">
        <v>3799</v>
      </c>
      <c r="N1370" s="50" t="s">
        <v>3799</v>
      </c>
      <c r="O1370" s="50" t="s">
        <v>3631</v>
      </c>
      <c r="P1370" s="50" t="s">
        <v>3799</v>
      </c>
    </row>
    <row r="1371" spans="1:16" ht="12.75" customHeight="1" x14ac:dyDescent="0.25">
      <c r="A1371" s="311">
        <v>1368</v>
      </c>
      <c r="B1371" s="311" t="s">
        <v>121</v>
      </c>
      <c r="C1371" s="311" t="s">
        <v>121</v>
      </c>
      <c r="D1371" s="311" t="s">
        <v>462</v>
      </c>
      <c r="E1371" s="337" t="s">
        <v>121</v>
      </c>
      <c r="F1371" s="311" t="s">
        <v>302</v>
      </c>
      <c r="G1371" s="311" t="s">
        <v>236</v>
      </c>
      <c r="H1371" s="311" t="s">
        <v>407</v>
      </c>
      <c r="I1371" s="311" t="s">
        <v>66</v>
      </c>
      <c r="J1371" s="50" t="s">
        <v>1892</v>
      </c>
      <c r="K1371" s="50" t="s">
        <v>1892</v>
      </c>
      <c r="L1371" s="50" t="s">
        <v>1893</v>
      </c>
      <c r="M1371" s="50" t="s">
        <v>3800</v>
      </c>
      <c r="N1371" s="50" t="s">
        <v>3800</v>
      </c>
      <c r="O1371" s="50" t="s">
        <v>3631</v>
      </c>
      <c r="P1371" s="50" t="s">
        <v>3800</v>
      </c>
    </row>
    <row r="1372" spans="1:16" ht="12.75" customHeight="1" x14ac:dyDescent="0.25">
      <c r="A1372" s="311">
        <v>1369</v>
      </c>
      <c r="B1372" s="311" t="s">
        <v>87</v>
      </c>
      <c r="C1372" s="311" t="s">
        <v>87</v>
      </c>
      <c r="D1372" s="311" t="s">
        <v>462</v>
      </c>
      <c r="E1372" s="337" t="s">
        <v>87</v>
      </c>
      <c r="F1372" s="311" t="s">
        <v>302</v>
      </c>
      <c r="G1372" s="311" t="s">
        <v>236</v>
      </c>
      <c r="H1372" s="311" t="s">
        <v>407</v>
      </c>
      <c r="I1372" s="311" t="s">
        <v>66</v>
      </c>
      <c r="J1372" s="50" t="s">
        <v>1892</v>
      </c>
      <c r="K1372" s="50" t="s">
        <v>1892</v>
      </c>
      <c r="L1372" s="50" t="s">
        <v>1893</v>
      </c>
      <c r="M1372" s="50" t="s">
        <v>3801</v>
      </c>
      <c r="N1372" s="50" t="s">
        <v>3801</v>
      </c>
      <c r="O1372" s="50" t="s">
        <v>3631</v>
      </c>
      <c r="P1372" s="50" t="s">
        <v>3801</v>
      </c>
    </row>
    <row r="1373" spans="1:16" ht="12.75" customHeight="1" x14ac:dyDescent="0.25">
      <c r="A1373" s="311">
        <v>1370</v>
      </c>
      <c r="B1373" s="311" t="s">
        <v>125</v>
      </c>
      <c r="C1373" s="311" t="s">
        <v>125</v>
      </c>
      <c r="D1373" s="311" t="s">
        <v>125</v>
      </c>
      <c r="E1373" s="337" t="s">
        <v>125</v>
      </c>
      <c r="F1373" s="311" t="s">
        <v>302</v>
      </c>
      <c r="G1373" s="311" t="s">
        <v>236</v>
      </c>
      <c r="H1373" s="311" t="s">
        <v>407</v>
      </c>
      <c r="I1373" s="311" t="s">
        <v>66</v>
      </c>
      <c r="J1373" s="50" t="s">
        <v>1892</v>
      </c>
      <c r="K1373" s="50" t="s">
        <v>1892</v>
      </c>
      <c r="L1373" s="50" t="s">
        <v>1893</v>
      </c>
      <c r="M1373" s="50" t="s">
        <v>3802</v>
      </c>
      <c r="N1373" s="50" t="s">
        <v>3802</v>
      </c>
      <c r="O1373" s="50" t="s">
        <v>3802</v>
      </c>
      <c r="P1373" s="50" t="s">
        <v>3802</v>
      </c>
    </row>
    <row r="1374" spans="1:16" ht="12.75" customHeight="1" x14ac:dyDescent="0.25">
      <c r="A1374" s="311">
        <v>1371</v>
      </c>
      <c r="B1374" s="311" t="s">
        <v>134</v>
      </c>
      <c r="C1374" s="311" t="s">
        <v>134</v>
      </c>
      <c r="D1374" s="311" t="s">
        <v>134</v>
      </c>
      <c r="E1374" s="337" t="s">
        <v>134</v>
      </c>
      <c r="F1374" s="311" t="s">
        <v>302</v>
      </c>
      <c r="G1374" s="311" t="s">
        <v>236</v>
      </c>
      <c r="H1374" s="311" t="s">
        <v>407</v>
      </c>
      <c r="I1374" s="311" t="s">
        <v>66</v>
      </c>
      <c r="J1374" s="50" t="s">
        <v>1892</v>
      </c>
      <c r="K1374" s="50" t="s">
        <v>1892</v>
      </c>
      <c r="L1374" s="50" t="s">
        <v>1893</v>
      </c>
      <c r="M1374" s="50" t="s">
        <v>3803</v>
      </c>
      <c r="N1374" s="50" t="s">
        <v>3803</v>
      </c>
      <c r="O1374" s="50" t="s">
        <v>3803</v>
      </c>
      <c r="P1374" s="50" t="s">
        <v>3803</v>
      </c>
    </row>
    <row r="1375" spans="1:16" ht="12.75" customHeight="1" x14ac:dyDescent="0.25">
      <c r="A1375" s="311">
        <v>1372</v>
      </c>
      <c r="B1375" s="311" t="s">
        <v>141</v>
      </c>
      <c r="C1375" s="311" t="s">
        <v>141</v>
      </c>
      <c r="D1375" s="311" t="s">
        <v>141</v>
      </c>
      <c r="E1375" s="337" t="s">
        <v>141</v>
      </c>
      <c r="F1375" s="311" t="s">
        <v>302</v>
      </c>
      <c r="G1375" s="311" t="s">
        <v>236</v>
      </c>
      <c r="H1375" s="311" t="s">
        <v>407</v>
      </c>
      <c r="I1375" s="311" t="s">
        <v>66</v>
      </c>
      <c r="J1375" s="50" t="s">
        <v>1892</v>
      </c>
      <c r="K1375" s="50" t="s">
        <v>1892</v>
      </c>
      <c r="L1375" s="50" t="s">
        <v>1893</v>
      </c>
      <c r="M1375" s="50" t="s">
        <v>3804</v>
      </c>
      <c r="N1375" s="50" t="s">
        <v>3804</v>
      </c>
      <c r="O1375" s="50" t="s">
        <v>3804</v>
      </c>
      <c r="P1375" s="50" t="s">
        <v>3804</v>
      </c>
    </row>
    <row r="1376" spans="1:16" ht="12.75" customHeight="1" x14ac:dyDescent="0.25">
      <c r="A1376" s="311">
        <v>1373</v>
      </c>
      <c r="B1376" s="311" t="s">
        <v>69</v>
      </c>
      <c r="C1376" s="311" t="s">
        <v>69</v>
      </c>
      <c r="D1376" s="311" t="s">
        <v>69</v>
      </c>
      <c r="E1376" s="337" t="s">
        <v>69</v>
      </c>
      <c r="F1376" s="311" t="s">
        <v>302</v>
      </c>
      <c r="G1376" s="311" t="s">
        <v>236</v>
      </c>
      <c r="H1376" s="311" t="s">
        <v>407</v>
      </c>
      <c r="I1376" s="311" t="s">
        <v>66</v>
      </c>
      <c r="J1376" s="50" t="s">
        <v>1892</v>
      </c>
      <c r="K1376" s="50" t="s">
        <v>1892</v>
      </c>
      <c r="L1376" s="50" t="s">
        <v>1893</v>
      </c>
      <c r="M1376" s="50" t="s">
        <v>3805</v>
      </c>
      <c r="N1376" s="50" t="s">
        <v>3805</v>
      </c>
      <c r="O1376" s="50" t="s">
        <v>3805</v>
      </c>
      <c r="P1376" s="50" t="s">
        <v>3805</v>
      </c>
    </row>
    <row r="1377" spans="1:16" ht="12.75" customHeight="1" x14ac:dyDescent="0.25">
      <c r="A1377" s="311">
        <v>1374</v>
      </c>
      <c r="B1377" s="311" t="s">
        <v>63</v>
      </c>
      <c r="C1377" s="311" t="s">
        <v>63</v>
      </c>
      <c r="D1377" s="311" t="s">
        <v>462</v>
      </c>
      <c r="E1377" s="337" t="s">
        <v>63</v>
      </c>
      <c r="F1377" s="311" t="s">
        <v>302</v>
      </c>
      <c r="G1377" s="311" t="s">
        <v>23</v>
      </c>
      <c r="H1377" s="311" t="s">
        <v>407</v>
      </c>
      <c r="I1377" s="311" t="s">
        <v>66</v>
      </c>
      <c r="J1377" s="50" t="s">
        <v>1892</v>
      </c>
      <c r="K1377" s="50" t="s">
        <v>1892</v>
      </c>
      <c r="L1377" s="50" t="s">
        <v>1893</v>
      </c>
      <c r="M1377" s="50" t="s">
        <v>3806</v>
      </c>
      <c r="N1377" s="50" t="s">
        <v>3806</v>
      </c>
      <c r="O1377" s="50" t="s">
        <v>3639</v>
      </c>
      <c r="P1377" s="50" t="s">
        <v>3806</v>
      </c>
    </row>
    <row r="1378" spans="1:16" ht="12.75" customHeight="1" x14ac:dyDescent="0.25">
      <c r="A1378" s="311">
        <v>1375</v>
      </c>
      <c r="B1378" s="311" t="s">
        <v>140</v>
      </c>
      <c r="C1378" s="311" t="s">
        <v>140</v>
      </c>
      <c r="D1378" s="311" t="s">
        <v>462</v>
      </c>
      <c r="E1378" s="337" t="s">
        <v>140</v>
      </c>
      <c r="F1378" s="311" t="s">
        <v>302</v>
      </c>
      <c r="G1378" s="311" t="s">
        <v>23</v>
      </c>
      <c r="H1378" s="311" t="s">
        <v>407</v>
      </c>
      <c r="I1378" s="311" t="s">
        <v>66</v>
      </c>
      <c r="J1378" s="50" t="s">
        <v>1892</v>
      </c>
      <c r="K1378" s="50" t="s">
        <v>1892</v>
      </c>
      <c r="L1378" s="50" t="s">
        <v>1893</v>
      </c>
      <c r="M1378" s="50" t="s">
        <v>3807</v>
      </c>
      <c r="N1378" s="50" t="s">
        <v>3807</v>
      </c>
      <c r="O1378" s="50" t="s">
        <v>3639</v>
      </c>
      <c r="P1378" s="50" t="s">
        <v>3807</v>
      </c>
    </row>
    <row r="1379" spans="1:16" ht="12.75" customHeight="1" x14ac:dyDescent="0.25">
      <c r="A1379" s="311">
        <v>1376</v>
      </c>
      <c r="B1379" s="311" t="s">
        <v>121</v>
      </c>
      <c r="C1379" s="311" t="s">
        <v>121</v>
      </c>
      <c r="D1379" s="311" t="s">
        <v>462</v>
      </c>
      <c r="E1379" s="337" t="s">
        <v>121</v>
      </c>
      <c r="F1379" s="311" t="s">
        <v>302</v>
      </c>
      <c r="G1379" s="311" t="s">
        <v>23</v>
      </c>
      <c r="H1379" s="311" t="s">
        <v>407</v>
      </c>
      <c r="I1379" s="311" t="s">
        <v>66</v>
      </c>
      <c r="J1379" s="50" t="s">
        <v>1892</v>
      </c>
      <c r="K1379" s="50" t="s">
        <v>1892</v>
      </c>
      <c r="L1379" s="50" t="s">
        <v>1893</v>
      </c>
      <c r="M1379" s="50" t="s">
        <v>3808</v>
      </c>
      <c r="N1379" s="50" t="s">
        <v>3808</v>
      </c>
      <c r="O1379" s="50" t="s">
        <v>3639</v>
      </c>
      <c r="P1379" s="50" t="s">
        <v>3808</v>
      </c>
    </row>
    <row r="1380" spans="1:16" ht="12.75" customHeight="1" x14ac:dyDescent="0.25">
      <c r="A1380" s="311">
        <v>1377</v>
      </c>
      <c r="B1380" s="311" t="s">
        <v>87</v>
      </c>
      <c r="C1380" s="311" t="s">
        <v>87</v>
      </c>
      <c r="D1380" s="311" t="s">
        <v>462</v>
      </c>
      <c r="E1380" s="337" t="s">
        <v>87</v>
      </c>
      <c r="F1380" s="311" t="s">
        <v>302</v>
      </c>
      <c r="G1380" s="311" t="s">
        <v>23</v>
      </c>
      <c r="H1380" s="311" t="s">
        <v>407</v>
      </c>
      <c r="I1380" s="311" t="s">
        <v>66</v>
      </c>
      <c r="J1380" s="50" t="s">
        <v>1892</v>
      </c>
      <c r="K1380" s="50" t="s">
        <v>1892</v>
      </c>
      <c r="L1380" s="50" t="s">
        <v>1893</v>
      </c>
      <c r="M1380" s="50" t="s">
        <v>3809</v>
      </c>
      <c r="N1380" s="50" t="s">
        <v>3809</v>
      </c>
      <c r="O1380" s="50" t="s">
        <v>3639</v>
      </c>
      <c r="P1380" s="50" t="s">
        <v>3809</v>
      </c>
    </row>
    <row r="1381" spans="1:16" ht="12.75" customHeight="1" x14ac:dyDescent="0.25">
      <c r="A1381" s="311">
        <v>1378</v>
      </c>
      <c r="B1381" s="311" t="s">
        <v>125</v>
      </c>
      <c r="C1381" s="311" t="s">
        <v>125</v>
      </c>
      <c r="D1381" s="311" t="s">
        <v>125</v>
      </c>
      <c r="E1381" s="337" t="s">
        <v>125</v>
      </c>
      <c r="F1381" s="311" t="s">
        <v>302</v>
      </c>
      <c r="G1381" s="311" t="s">
        <v>23</v>
      </c>
      <c r="H1381" s="311" t="s">
        <v>407</v>
      </c>
      <c r="I1381" s="311" t="s">
        <v>66</v>
      </c>
      <c r="J1381" s="50" t="s">
        <v>1892</v>
      </c>
      <c r="K1381" s="50" t="s">
        <v>1892</v>
      </c>
      <c r="L1381" s="50" t="s">
        <v>1893</v>
      </c>
      <c r="M1381" s="50" t="s">
        <v>3810</v>
      </c>
      <c r="N1381" s="50" t="s">
        <v>3810</v>
      </c>
      <c r="O1381" s="50" t="s">
        <v>3810</v>
      </c>
      <c r="P1381" s="50" t="s">
        <v>3810</v>
      </c>
    </row>
    <row r="1382" spans="1:16" ht="12.75" customHeight="1" x14ac:dyDescent="0.25">
      <c r="A1382" s="311">
        <v>1379</v>
      </c>
      <c r="B1382" s="311" t="s">
        <v>134</v>
      </c>
      <c r="C1382" s="311" t="s">
        <v>134</v>
      </c>
      <c r="D1382" s="311" t="s">
        <v>134</v>
      </c>
      <c r="E1382" s="337" t="s">
        <v>134</v>
      </c>
      <c r="F1382" s="311" t="s">
        <v>302</v>
      </c>
      <c r="G1382" s="311" t="s">
        <v>23</v>
      </c>
      <c r="H1382" s="311" t="s">
        <v>407</v>
      </c>
      <c r="I1382" s="311" t="s">
        <v>66</v>
      </c>
      <c r="J1382" s="50" t="s">
        <v>1892</v>
      </c>
      <c r="K1382" s="50" t="s">
        <v>1892</v>
      </c>
      <c r="L1382" s="50" t="s">
        <v>1893</v>
      </c>
      <c r="M1382" s="50" t="s">
        <v>3811</v>
      </c>
      <c r="N1382" s="50" t="s">
        <v>3811</v>
      </c>
      <c r="O1382" s="50" t="s">
        <v>3811</v>
      </c>
      <c r="P1382" s="50" t="s">
        <v>3811</v>
      </c>
    </row>
    <row r="1383" spans="1:16" ht="12.75" customHeight="1" x14ac:dyDescent="0.25">
      <c r="A1383" s="311">
        <v>1380</v>
      </c>
      <c r="B1383" s="311" t="s">
        <v>141</v>
      </c>
      <c r="C1383" s="311" t="s">
        <v>141</v>
      </c>
      <c r="D1383" s="311" t="s">
        <v>141</v>
      </c>
      <c r="E1383" s="337" t="s">
        <v>141</v>
      </c>
      <c r="F1383" s="311" t="s">
        <v>302</v>
      </c>
      <c r="G1383" s="311" t="s">
        <v>23</v>
      </c>
      <c r="H1383" s="311" t="s">
        <v>407</v>
      </c>
      <c r="I1383" s="311" t="s">
        <v>66</v>
      </c>
      <c r="J1383" s="50" t="s">
        <v>1892</v>
      </c>
      <c r="K1383" s="50" t="s">
        <v>1892</v>
      </c>
      <c r="L1383" s="50" t="s">
        <v>1893</v>
      </c>
      <c r="M1383" s="50" t="s">
        <v>3812</v>
      </c>
      <c r="N1383" s="50" t="s">
        <v>3812</v>
      </c>
      <c r="O1383" s="50" t="s">
        <v>3812</v>
      </c>
      <c r="P1383" s="50" t="s">
        <v>3812</v>
      </c>
    </row>
    <row r="1384" spans="1:16" ht="12.75" customHeight="1" x14ac:dyDescent="0.25">
      <c r="A1384" s="311">
        <v>1381</v>
      </c>
      <c r="B1384" s="311" t="s">
        <v>69</v>
      </c>
      <c r="C1384" s="311" t="s">
        <v>69</v>
      </c>
      <c r="D1384" s="311" t="s">
        <v>69</v>
      </c>
      <c r="E1384" s="337" t="s">
        <v>69</v>
      </c>
      <c r="F1384" s="311" t="s">
        <v>302</v>
      </c>
      <c r="G1384" s="311" t="s">
        <v>23</v>
      </c>
      <c r="H1384" s="311" t="s">
        <v>407</v>
      </c>
      <c r="I1384" s="311" t="s">
        <v>66</v>
      </c>
      <c r="J1384" s="50" t="s">
        <v>1892</v>
      </c>
      <c r="K1384" s="50" t="s">
        <v>1892</v>
      </c>
      <c r="L1384" s="50" t="s">
        <v>1893</v>
      </c>
      <c r="M1384" s="50" t="s">
        <v>3813</v>
      </c>
      <c r="N1384" s="50" t="s">
        <v>3813</v>
      </c>
      <c r="O1384" s="50" t="s">
        <v>3813</v>
      </c>
      <c r="P1384" s="50" t="s">
        <v>3813</v>
      </c>
    </row>
    <row r="1385" spans="1:16" ht="12.75" customHeight="1" x14ac:dyDescent="0.25">
      <c r="A1385" s="311">
        <v>1382</v>
      </c>
      <c r="B1385" s="311" t="s">
        <v>63</v>
      </c>
      <c r="C1385" s="311" t="s">
        <v>63</v>
      </c>
      <c r="D1385" s="311" t="s">
        <v>462</v>
      </c>
      <c r="E1385" s="337" t="s">
        <v>63</v>
      </c>
      <c r="F1385" s="311" t="s">
        <v>302</v>
      </c>
      <c r="G1385" s="311" t="s">
        <v>237</v>
      </c>
      <c r="H1385" s="311" t="s">
        <v>407</v>
      </c>
      <c r="I1385" s="311" t="s">
        <v>66</v>
      </c>
      <c r="J1385" s="50" t="s">
        <v>1892</v>
      </c>
      <c r="K1385" s="50" t="s">
        <v>1892</v>
      </c>
      <c r="L1385" s="50" t="s">
        <v>1893</v>
      </c>
      <c r="M1385" s="50" t="s">
        <v>3814</v>
      </c>
      <c r="N1385" s="50" t="s">
        <v>3814</v>
      </c>
      <c r="O1385" s="50" t="s">
        <v>3647</v>
      </c>
      <c r="P1385" s="50" t="s">
        <v>3814</v>
      </c>
    </row>
    <row r="1386" spans="1:16" ht="12.75" customHeight="1" x14ac:dyDescent="0.25">
      <c r="A1386" s="311">
        <v>1383</v>
      </c>
      <c r="B1386" s="311" t="s">
        <v>140</v>
      </c>
      <c r="C1386" s="311" t="s">
        <v>140</v>
      </c>
      <c r="D1386" s="311" t="s">
        <v>462</v>
      </c>
      <c r="E1386" s="337" t="s">
        <v>140</v>
      </c>
      <c r="F1386" s="311" t="s">
        <v>302</v>
      </c>
      <c r="G1386" s="311" t="s">
        <v>237</v>
      </c>
      <c r="H1386" s="311" t="s">
        <v>407</v>
      </c>
      <c r="I1386" s="311" t="s">
        <v>66</v>
      </c>
      <c r="J1386" s="50" t="s">
        <v>1892</v>
      </c>
      <c r="K1386" s="50" t="s">
        <v>1892</v>
      </c>
      <c r="L1386" s="50" t="s">
        <v>1893</v>
      </c>
      <c r="M1386" s="50" t="s">
        <v>3815</v>
      </c>
      <c r="N1386" s="50" t="s">
        <v>3815</v>
      </c>
      <c r="O1386" s="50" t="s">
        <v>3647</v>
      </c>
      <c r="P1386" s="50" t="s">
        <v>3815</v>
      </c>
    </row>
    <row r="1387" spans="1:16" ht="12.75" customHeight="1" x14ac:dyDescent="0.25">
      <c r="A1387" s="311">
        <v>1384</v>
      </c>
      <c r="B1387" s="311" t="s">
        <v>121</v>
      </c>
      <c r="C1387" s="311" t="s">
        <v>121</v>
      </c>
      <c r="D1387" s="311" t="s">
        <v>462</v>
      </c>
      <c r="E1387" s="337" t="s">
        <v>121</v>
      </c>
      <c r="F1387" s="311" t="s">
        <v>302</v>
      </c>
      <c r="G1387" s="311" t="s">
        <v>237</v>
      </c>
      <c r="H1387" s="311" t="s">
        <v>407</v>
      </c>
      <c r="I1387" s="311" t="s">
        <v>66</v>
      </c>
      <c r="J1387" s="50" t="s">
        <v>1892</v>
      </c>
      <c r="K1387" s="50" t="s">
        <v>1892</v>
      </c>
      <c r="L1387" s="50" t="s">
        <v>1893</v>
      </c>
      <c r="M1387" s="50" t="s">
        <v>3816</v>
      </c>
      <c r="N1387" s="50" t="s">
        <v>3816</v>
      </c>
      <c r="O1387" s="50" t="s">
        <v>3647</v>
      </c>
      <c r="P1387" s="50" t="s">
        <v>3816</v>
      </c>
    </row>
    <row r="1388" spans="1:16" ht="12.75" customHeight="1" x14ac:dyDescent="0.25">
      <c r="A1388" s="311">
        <v>1385</v>
      </c>
      <c r="B1388" s="311" t="s">
        <v>87</v>
      </c>
      <c r="C1388" s="311" t="s">
        <v>87</v>
      </c>
      <c r="D1388" s="311" t="s">
        <v>462</v>
      </c>
      <c r="E1388" s="337" t="s">
        <v>87</v>
      </c>
      <c r="F1388" s="311" t="s">
        <v>302</v>
      </c>
      <c r="G1388" s="311" t="s">
        <v>237</v>
      </c>
      <c r="H1388" s="311" t="s">
        <v>407</v>
      </c>
      <c r="I1388" s="311" t="s">
        <v>66</v>
      </c>
      <c r="J1388" s="50" t="s">
        <v>1892</v>
      </c>
      <c r="K1388" s="50" t="s">
        <v>1892</v>
      </c>
      <c r="L1388" s="50" t="s">
        <v>1893</v>
      </c>
      <c r="M1388" s="50" t="s">
        <v>3817</v>
      </c>
      <c r="N1388" s="50" t="s">
        <v>3817</v>
      </c>
      <c r="O1388" s="50" t="s">
        <v>3647</v>
      </c>
      <c r="P1388" s="50" t="s">
        <v>3817</v>
      </c>
    </row>
    <row r="1389" spans="1:16" ht="12.75" customHeight="1" x14ac:dyDescent="0.25">
      <c r="A1389" s="311">
        <v>1386</v>
      </c>
      <c r="B1389" s="311" t="s">
        <v>125</v>
      </c>
      <c r="C1389" s="311" t="s">
        <v>125</v>
      </c>
      <c r="D1389" s="311" t="s">
        <v>125</v>
      </c>
      <c r="E1389" s="337" t="s">
        <v>125</v>
      </c>
      <c r="F1389" s="311" t="s">
        <v>302</v>
      </c>
      <c r="G1389" s="311" t="s">
        <v>237</v>
      </c>
      <c r="H1389" s="311" t="s">
        <v>407</v>
      </c>
      <c r="I1389" s="311" t="s">
        <v>66</v>
      </c>
      <c r="J1389" s="50" t="s">
        <v>1892</v>
      </c>
      <c r="K1389" s="50" t="s">
        <v>1892</v>
      </c>
      <c r="L1389" s="50" t="s">
        <v>1893</v>
      </c>
      <c r="M1389" s="50" t="s">
        <v>3818</v>
      </c>
      <c r="N1389" s="50" t="s">
        <v>3818</v>
      </c>
      <c r="O1389" s="50" t="s">
        <v>3818</v>
      </c>
      <c r="P1389" s="50" t="s">
        <v>3818</v>
      </c>
    </row>
    <row r="1390" spans="1:16" ht="12.75" customHeight="1" x14ac:dyDescent="0.25">
      <c r="A1390" s="311">
        <v>1387</v>
      </c>
      <c r="B1390" s="311" t="s">
        <v>134</v>
      </c>
      <c r="C1390" s="311" t="s">
        <v>134</v>
      </c>
      <c r="D1390" s="311" t="s">
        <v>134</v>
      </c>
      <c r="E1390" s="337" t="s">
        <v>134</v>
      </c>
      <c r="F1390" s="311" t="s">
        <v>302</v>
      </c>
      <c r="G1390" s="311" t="s">
        <v>237</v>
      </c>
      <c r="H1390" s="311" t="s">
        <v>407</v>
      </c>
      <c r="I1390" s="311" t="s">
        <v>66</v>
      </c>
      <c r="J1390" s="50" t="s">
        <v>1892</v>
      </c>
      <c r="K1390" s="50" t="s">
        <v>1892</v>
      </c>
      <c r="L1390" s="50" t="s">
        <v>1893</v>
      </c>
      <c r="M1390" s="50" t="s">
        <v>3819</v>
      </c>
      <c r="N1390" s="50" t="s">
        <v>3819</v>
      </c>
      <c r="O1390" s="50" t="s">
        <v>3819</v>
      </c>
      <c r="P1390" s="50" t="s">
        <v>3819</v>
      </c>
    </row>
    <row r="1391" spans="1:16" ht="12.75" customHeight="1" x14ac:dyDescent="0.25">
      <c r="A1391" s="311">
        <v>1388</v>
      </c>
      <c r="B1391" s="311" t="s">
        <v>141</v>
      </c>
      <c r="C1391" s="311" t="s">
        <v>141</v>
      </c>
      <c r="D1391" s="311" t="s">
        <v>141</v>
      </c>
      <c r="E1391" s="337" t="s">
        <v>141</v>
      </c>
      <c r="F1391" s="311" t="s">
        <v>302</v>
      </c>
      <c r="G1391" s="311" t="s">
        <v>237</v>
      </c>
      <c r="H1391" s="311" t="s">
        <v>407</v>
      </c>
      <c r="I1391" s="311" t="s">
        <v>66</v>
      </c>
      <c r="J1391" s="50" t="s">
        <v>1892</v>
      </c>
      <c r="K1391" s="50" t="s">
        <v>1892</v>
      </c>
      <c r="L1391" s="50" t="s">
        <v>1893</v>
      </c>
      <c r="M1391" s="50" t="s">
        <v>3820</v>
      </c>
      <c r="N1391" s="50" t="s">
        <v>3820</v>
      </c>
      <c r="O1391" s="50" t="s">
        <v>3820</v>
      </c>
      <c r="P1391" s="50" t="s">
        <v>3820</v>
      </c>
    </row>
    <row r="1392" spans="1:16" ht="12.75" customHeight="1" x14ac:dyDescent="0.25">
      <c r="A1392" s="311">
        <v>1389</v>
      </c>
      <c r="B1392" s="311" t="s">
        <v>69</v>
      </c>
      <c r="C1392" s="311" t="s">
        <v>69</v>
      </c>
      <c r="D1392" s="311" t="s">
        <v>69</v>
      </c>
      <c r="E1392" s="337" t="s">
        <v>69</v>
      </c>
      <c r="F1392" s="311" t="s">
        <v>302</v>
      </c>
      <c r="G1392" s="311" t="s">
        <v>237</v>
      </c>
      <c r="H1392" s="311" t="s">
        <v>407</v>
      </c>
      <c r="I1392" s="311" t="s">
        <v>66</v>
      </c>
      <c r="J1392" s="50" t="s">
        <v>1892</v>
      </c>
      <c r="K1392" s="50" t="s">
        <v>1892</v>
      </c>
      <c r="L1392" s="50" t="s">
        <v>1893</v>
      </c>
      <c r="M1392" s="50" t="s">
        <v>3821</v>
      </c>
      <c r="N1392" s="50" t="s">
        <v>3821</v>
      </c>
      <c r="O1392" s="50" t="s">
        <v>3821</v>
      </c>
      <c r="P1392" s="50" t="s">
        <v>3821</v>
      </c>
    </row>
    <row r="1393" spans="1:16" ht="12.75" customHeight="1" x14ac:dyDescent="0.25">
      <c r="A1393" s="311">
        <v>1390</v>
      </c>
      <c r="B1393" s="311" t="s">
        <v>63</v>
      </c>
      <c r="C1393" s="311" t="s">
        <v>63</v>
      </c>
      <c r="D1393" s="311" t="s">
        <v>462</v>
      </c>
      <c r="E1393" s="337" t="s">
        <v>63</v>
      </c>
      <c r="F1393" s="311" t="s">
        <v>299</v>
      </c>
      <c r="G1393" s="311" t="s">
        <v>236</v>
      </c>
      <c r="H1393" s="311" t="s">
        <v>407</v>
      </c>
      <c r="I1393" s="311" t="s">
        <v>66</v>
      </c>
      <c r="J1393" s="50" t="s">
        <v>1892</v>
      </c>
      <c r="K1393" s="50" t="s">
        <v>1892</v>
      </c>
      <c r="L1393" s="50" t="s">
        <v>1893</v>
      </c>
      <c r="M1393" s="50" t="s">
        <v>3822</v>
      </c>
      <c r="N1393" s="50" t="s">
        <v>3822</v>
      </c>
      <c r="O1393" s="50" t="s">
        <v>3655</v>
      </c>
      <c r="P1393" s="50" t="s">
        <v>3822</v>
      </c>
    </row>
    <row r="1394" spans="1:16" ht="12.75" customHeight="1" x14ac:dyDescent="0.25">
      <c r="A1394" s="311">
        <v>1391</v>
      </c>
      <c r="B1394" s="311" t="s">
        <v>140</v>
      </c>
      <c r="C1394" s="311" t="s">
        <v>140</v>
      </c>
      <c r="D1394" s="311" t="s">
        <v>462</v>
      </c>
      <c r="E1394" s="337" t="s">
        <v>140</v>
      </c>
      <c r="F1394" s="311" t="s">
        <v>299</v>
      </c>
      <c r="G1394" s="311" t="s">
        <v>236</v>
      </c>
      <c r="H1394" s="311" t="s">
        <v>407</v>
      </c>
      <c r="I1394" s="311" t="s">
        <v>66</v>
      </c>
      <c r="J1394" s="50" t="s">
        <v>1892</v>
      </c>
      <c r="K1394" s="50" t="s">
        <v>1892</v>
      </c>
      <c r="L1394" s="50" t="s">
        <v>1893</v>
      </c>
      <c r="M1394" s="50" t="s">
        <v>3823</v>
      </c>
      <c r="N1394" s="50" t="s">
        <v>3823</v>
      </c>
      <c r="O1394" s="50" t="s">
        <v>3655</v>
      </c>
      <c r="P1394" s="50" t="s">
        <v>3823</v>
      </c>
    </row>
    <row r="1395" spans="1:16" ht="12.75" customHeight="1" x14ac:dyDescent="0.25">
      <c r="A1395" s="311">
        <v>1392</v>
      </c>
      <c r="B1395" s="311" t="s">
        <v>121</v>
      </c>
      <c r="C1395" s="311" t="s">
        <v>121</v>
      </c>
      <c r="D1395" s="311" t="s">
        <v>462</v>
      </c>
      <c r="E1395" s="337" t="s">
        <v>121</v>
      </c>
      <c r="F1395" s="311" t="s">
        <v>299</v>
      </c>
      <c r="G1395" s="311" t="s">
        <v>236</v>
      </c>
      <c r="H1395" s="311" t="s">
        <v>407</v>
      </c>
      <c r="I1395" s="311" t="s">
        <v>66</v>
      </c>
      <c r="J1395" s="50" t="s">
        <v>1892</v>
      </c>
      <c r="K1395" s="50" t="s">
        <v>1892</v>
      </c>
      <c r="L1395" s="50" t="s">
        <v>1893</v>
      </c>
      <c r="M1395" s="50" t="s">
        <v>3824</v>
      </c>
      <c r="N1395" s="50" t="s">
        <v>3824</v>
      </c>
      <c r="O1395" s="50" t="s">
        <v>3655</v>
      </c>
      <c r="P1395" s="50" t="s">
        <v>3824</v>
      </c>
    </row>
    <row r="1396" spans="1:16" ht="12.75" customHeight="1" x14ac:dyDescent="0.25">
      <c r="A1396" s="311">
        <v>1393</v>
      </c>
      <c r="B1396" s="311" t="s">
        <v>87</v>
      </c>
      <c r="C1396" s="311" t="s">
        <v>87</v>
      </c>
      <c r="D1396" s="311" t="s">
        <v>462</v>
      </c>
      <c r="E1396" s="337" t="s">
        <v>87</v>
      </c>
      <c r="F1396" s="311" t="s">
        <v>299</v>
      </c>
      <c r="G1396" s="311" t="s">
        <v>236</v>
      </c>
      <c r="H1396" s="311" t="s">
        <v>407</v>
      </c>
      <c r="I1396" s="311" t="s">
        <v>66</v>
      </c>
      <c r="J1396" s="50" t="s">
        <v>1892</v>
      </c>
      <c r="K1396" s="50" t="s">
        <v>1892</v>
      </c>
      <c r="L1396" s="50" t="s">
        <v>1893</v>
      </c>
      <c r="M1396" s="50" t="s">
        <v>3825</v>
      </c>
      <c r="N1396" s="50" t="s">
        <v>3825</v>
      </c>
      <c r="O1396" s="50" t="s">
        <v>3655</v>
      </c>
      <c r="P1396" s="50" t="s">
        <v>3825</v>
      </c>
    </row>
    <row r="1397" spans="1:16" ht="12.75" customHeight="1" x14ac:dyDescent="0.25">
      <c r="A1397" s="311">
        <v>1394</v>
      </c>
      <c r="B1397" s="311" t="s">
        <v>125</v>
      </c>
      <c r="C1397" s="311" t="s">
        <v>125</v>
      </c>
      <c r="D1397" s="311" t="s">
        <v>125</v>
      </c>
      <c r="E1397" s="337" t="s">
        <v>125</v>
      </c>
      <c r="F1397" s="311" t="s">
        <v>299</v>
      </c>
      <c r="G1397" s="311" t="s">
        <v>236</v>
      </c>
      <c r="H1397" s="311" t="s">
        <v>407</v>
      </c>
      <c r="I1397" s="311" t="s">
        <v>66</v>
      </c>
      <c r="J1397" s="50" t="s">
        <v>1892</v>
      </c>
      <c r="K1397" s="50" t="s">
        <v>1892</v>
      </c>
      <c r="L1397" s="50" t="s">
        <v>1893</v>
      </c>
      <c r="M1397" s="50" t="s">
        <v>3826</v>
      </c>
      <c r="N1397" s="50" t="s">
        <v>3826</v>
      </c>
      <c r="O1397" s="50" t="s">
        <v>3826</v>
      </c>
      <c r="P1397" s="50" t="s">
        <v>3826</v>
      </c>
    </row>
    <row r="1398" spans="1:16" ht="12.75" customHeight="1" x14ac:dyDescent="0.25">
      <c r="A1398" s="311">
        <v>1395</v>
      </c>
      <c r="B1398" s="311" t="s">
        <v>134</v>
      </c>
      <c r="C1398" s="311" t="s">
        <v>134</v>
      </c>
      <c r="D1398" s="311" t="s">
        <v>134</v>
      </c>
      <c r="E1398" s="337" t="s">
        <v>134</v>
      </c>
      <c r="F1398" s="311" t="s">
        <v>299</v>
      </c>
      <c r="G1398" s="311" t="s">
        <v>236</v>
      </c>
      <c r="H1398" s="311" t="s">
        <v>407</v>
      </c>
      <c r="I1398" s="311" t="s">
        <v>66</v>
      </c>
      <c r="J1398" s="50" t="s">
        <v>1892</v>
      </c>
      <c r="K1398" s="50" t="s">
        <v>1892</v>
      </c>
      <c r="L1398" s="50" t="s">
        <v>1893</v>
      </c>
      <c r="M1398" s="50" t="s">
        <v>3827</v>
      </c>
      <c r="N1398" s="50" t="s">
        <v>3827</v>
      </c>
      <c r="O1398" s="50" t="s">
        <v>3827</v>
      </c>
      <c r="P1398" s="50" t="s">
        <v>3827</v>
      </c>
    </row>
    <row r="1399" spans="1:16" ht="12.75" customHeight="1" x14ac:dyDescent="0.25">
      <c r="A1399" s="311">
        <v>1396</v>
      </c>
      <c r="B1399" s="311" t="s">
        <v>141</v>
      </c>
      <c r="C1399" s="311" t="s">
        <v>141</v>
      </c>
      <c r="D1399" s="311" t="s">
        <v>141</v>
      </c>
      <c r="E1399" s="337" t="s">
        <v>141</v>
      </c>
      <c r="F1399" s="311" t="s">
        <v>299</v>
      </c>
      <c r="G1399" s="311" t="s">
        <v>236</v>
      </c>
      <c r="H1399" s="311" t="s">
        <v>407</v>
      </c>
      <c r="I1399" s="311" t="s">
        <v>66</v>
      </c>
      <c r="J1399" s="50" t="s">
        <v>1892</v>
      </c>
      <c r="K1399" s="50" t="s">
        <v>1892</v>
      </c>
      <c r="L1399" s="50" t="s">
        <v>1893</v>
      </c>
      <c r="M1399" s="50" t="s">
        <v>3828</v>
      </c>
      <c r="N1399" s="50" t="s">
        <v>3828</v>
      </c>
      <c r="O1399" s="50" t="s">
        <v>3828</v>
      </c>
      <c r="P1399" s="50" t="s">
        <v>3828</v>
      </c>
    </row>
    <row r="1400" spans="1:16" ht="12.75" customHeight="1" x14ac:dyDescent="0.25">
      <c r="A1400" s="311">
        <v>1397</v>
      </c>
      <c r="B1400" s="311" t="s">
        <v>69</v>
      </c>
      <c r="C1400" s="311" t="s">
        <v>69</v>
      </c>
      <c r="D1400" s="311" t="s">
        <v>69</v>
      </c>
      <c r="E1400" s="337" t="s">
        <v>69</v>
      </c>
      <c r="F1400" s="311" t="s">
        <v>299</v>
      </c>
      <c r="G1400" s="311" t="s">
        <v>236</v>
      </c>
      <c r="H1400" s="311" t="s">
        <v>407</v>
      </c>
      <c r="I1400" s="311" t="s">
        <v>66</v>
      </c>
      <c r="J1400" s="50" t="s">
        <v>1892</v>
      </c>
      <c r="K1400" s="50" t="s">
        <v>1892</v>
      </c>
      <c r="L1400" s="50" t="s">
        <v>1893</v>
      </c>
      <c r="M1400" s="50" t="s">
        <v>3829</v>
      </c>
      <c r="N1400" s="50" t="s">
        <v>3829</v>
      </c>
      <c r="O1400" s="50" t="s">
        <v>3829</v>
      </c>
      <c r="P1400" s="50" t="s">
        <v>3829</v>
      </c>
    </row>
    <row r="1401" spans="1:16" ht="12.75" customHeight="1" x14ac:dyDescent="0.25">
      <c r="A1401" s="311">
        <v>1398</v>
      </c>
      <c r="B1401" s="311" t="s">
        <v>63</v>
      </c>
      <c r="C1401" s="311" t="s">
        <v>63</v>
      </c>
      <c r="D1401" s="311" t="s">
        <v>462</v>
      </c>
      <c r="E1401" s="337" t="s">
        <v>63</v>
      </c>
      <c r="F1401" s="311" t="s">
        <v>299</v>
      </c>
      <c r="G1401" s="311" t="s">
        <v>23</v>
      </c>
      <c r="H1401" s="311" t="s">
        <v>407</v>
      </c>
      <c r="I1401" s="311" t="s">
        <v>66</v>
      </c>
      <c r="J1401" s="50" t="s">
        <v>1892</v>
      </c>
      <c r="K1401" s="50" t="s">
        <v>1892</v>
      </c>
      <c r="L1401" s="50" t="s">
        <v>1893</v>
      </c>
      <c r="M1401" s="50" t="s">
        <v>3830</v>
      </c>
      <c r="N1401" s="50" t="s">
        <v>3830</v>
      </c>
      <c r="O1401" s="50" t="s">
        <v>3663</v>
      </c>
      <c r="P1401" s="50" t="s">
        <v>3830</v>
      </c>
    </row>
    <row r="1402" spans="1:16" ht="12.75" customHeight="1" x14ac:dyDescent="0.25">
      <c r="A1402" s="311">
        <v>1399</v>
      </c>
      <c r="B1402" s="311" t="s">
        <v>140</v>
      </c>
      <c r="C1402" s="311" t="s">
        <v>140</v>
      </c>
      <c r="D1402" s="311" t="s">
        <v>462</v>
      </c>
      <c r="E1402" s="337" t="s">
        <v>140</v>
      </c>
      <c r="F1402" s="311" t="s">
        <v>299</v>
      </c>
      <c r="G1402" s="311" t="s">
        <v>23</v>
      </c>
      <c r="H1402" s="311" t="s">
        <v>407</v>
      </c>
      <c r="I1402" s="311" t="s">
        <v>66</v>
      </c>
      <c r="J1402" s="50" t="s">
        <v>1892</v>
      </c>
      <c r="K1402" s="50" t="s">
        <v>1892</v>
      </c>
      <c r="L1402" s="50" t="s">
        <v>1893</v>
      </c>
      <c r="M1402" s="50" t="s">
        <v>3831</v>
      </c>
      <c r="N1402" s="50" t="s">
        <v>3831</v>
      </c>
      <c r="O1402" s="50" t="s">
        <v>3663</v>
      </c>
      <c r="P1402" s="50" t="s">
        <v>3831</v>
      </c>
    </row>
    <row r="1403" spans="1:16" ht="12.75" customHeight="1" x14ac:dyDescent="0.25">
      <c r="A1403" s="311">
        <v>1400</v>
      </c>
      <c r="B1403" s="311" t="s">
        <v>121</v>
      </c>
      <c r="C1403" s="311" t="s">
        <v>121</v>
      </c>
      <c r="D1403" s="311" t="s">
        <v>462</v>
      </c>
      <c r="E1403" s="337" t="s">
        <v>121</v>
      </c>
      <c r="F1403" s="311" t="s">
        <v>299</v>
      </c>
      <c r="G1403" s="311" t="s">
        <v>23</v>
      </c>
      <c r="H1403" s="311" t="s">
        <v>407</v>
      </c>
      <c r="I1403" s="311" t="s">
        <v>66</v>
      </c>
      <c r="J1403" s="50" t="s">
        <v>1892</v>
      </c>
      <c r="K1403" s="50" t="s">
        <v>1892</v>
      </c>
      <c r="L1403" s="50" t="s">
        <v>1893</v>
      </c>
      <c r="M1403" s="50" t="s">
        <v>3832</v>
      </c>
      <c r="N1403" s="50" t="s">
        <v>3832</v>
      </c>
      <c r="O1403" s="50" t="s">
        <v>3663</v>
      </c>
      <c r="P1403" s="50" t="s">
        <v>3832</v>
      </c>
    </row>
    <row r="1404" spans="1:16" ht="12.75" customHeight="1" x14ac:dyDescent="0.25">
      <c r="A1404" s="311">
        <v>1401</v>
      </c>
      <c r="B1404" s="311" t="s">
        <v>87</v>
      </c>
      <c r="C1404" s="311" t="s">
        <v>87</v>
      </c>
      <c r="D1404" s="311" t="s">
        <v>462</v>
      </c>
      <c r="E1404" s="337" t="s">
        <v>87</v>
      </c>
      <c r="F1404" s="311" t="s">
        <v>299</v>
      </c>
      <c r="G1404" s="311" t="s">
        <v>23</v>
      </c>
      <c r="H1404" s="311" t="s">
        <v>407</v>
      </c>
      <c r="I1404" s="311" t="s">
        <v>66</v>
      </c>
      <c r="J1404" s="50" t="s">
        <v>1892</v>
      </c>
      <c r="K1404" s="50" t="s">
        <v>1892</v>
      </c>
      <c r="L1404" s="50" t="s">
        <v>1893</v>
      </c>
      <c r="M1404" s="50" t="s">
        <v>3833</v>
      </c>
      <c r="N1404" s="50" t="s">
        <v>3833</v>
      </c>
      <c r="O1404" s="50" t="s">
        <v>3663</v>
      </c>
      <c r="P1404" s="50" t="s">
        <v>3833</v>
      </c>
    </row>
    <row r="1405" spans="1:16" ht="12.75" customHeight="1" x14ac:dyDescent="0.25">
      <c r="A1405" s="311">
        <v>1402</v>
      </c>
      <c r="B1405" s="311" t="s">
        <v>125</v>
      </c>
      <c r="C1405" s="311" t="s">
        <v>125</v>
      </c>
      <c r="D1405" s="311" t="s">
        <v>125</v>
      </c>
      <c r="E1405" s="337" t="s">
        <v>125</v>
      </c>
      <c r="F1405" s="311" t="s">
        <v>299</v>
      </c>
      <c r="G1405" s="311" t="s">
        <v>23</v>
      </c>
      <c r="H1405" s="311" t="s">
        <v>407</v>
      </c>
      <c r="I1405" s="311" t="s">
        <v>66</v>
      </c>
      <c r="J1405" s="50" t="s">
        <v>1892</v>
      </c>
      <c r="K1405" s="50" t="s">
        <v>1892</v>
      </c>
      <c r="L1405" s="50" t="s">
        <v>1893</v>
      </c>
      <c r="M1405" s="50" t="s">
        <v>3834</v>
      </c>
      <c r="N1405" s="50" t="s">
        <v>3834</v>
      </c>
      <c r="O1405" s="50" t="s">
        <v>3834</v>
      </c>
      <c r="P1405" s="50" t="s">
        <v>3834</v>
      </c>
    </row>
    <row r="1406" spans="1:16" ht="12.75" customHeight="1" x14ac:dyDescent="0.25">
      <c r="A1406" s="311">
        <v>1403</v>
      </c>
      <c r="B1406" s="311" t="s">
        <v>134</v>
      </c>
      <c r="C1406" s="311" t="s">
        <v>134</v>
      </c>
      <c r="D1406" s="311" t="s">
        <v>134</v>
      </c>
      <c r="E1406" s="337" t="s">
        <v>134</v>
      </c>
      <c r="F1406" s="311" t="s">
        <v>299</v>
      </c>
      <c r="G1406" s="311" t="s">
        <v>23</v>
      </c>
      <c r="H1406" s="311" t="s">
        <v>407</v>
      </c>
      <c r="I1406" s="311" t="s">
        <v>66</v>
      </c>
      <c r="J1406" s="50" t="s">
        <v>1892</v>
      </c>
      <c r="K1406" s="50" t="s">
        <v>1892</v>
      </c>
      <c r="L1406" s="50" t="s">
        <v>1893</v>
      </c>
      <c r="M1406" s="50" t="s">
        <v>3835</v>
      </c>
      <c r="N1406" s="50" t="s">
        <v>3835</v>
      </c>
      <c r="O1406" s="50" t="s">
        <v>3835</v>
      </c>
      <c r="P1406" s="50" t="s">
        <v>3835</v>
      </c>
    </row>
    <row r="1407" spans="1:16" ht="12.75" customHeight="1" x14ac:dyDescent="0.25">
      <c r="A1407" s="311">
        <v>1404</v>
      </c>
      <c r="B1407" s="311" t="s">
        <v>141</v>
      </c>
      <c r="C1407" s="311" t="s">
        <v>141</v>
      </c>
      <c r="D1407" s="311" t="s">
        <v>141</v>
      </c>
      <c r="E1407" s="337" t="s">
        <v>141</v>
      </c>
      <c r="F1407" s="311" t="s">
        <v>299</v>
      </c>
      <c r="G1407" s="311" t="s">
        <v>23</v>
      </c>
      <c r="H1407" s="311" t="s">
        <v>407</v>
      </c>
      <c r="I1407" s="311" t="s">
        <v>66</v>
      </c>
      <c r="J1407" s="50" t="s">
        <v>1892</v>
      </c>
      <c r="K1407" s="50" t="s">
        <v>1892</v>
      </c>
      <c r="L1407" s="50" t="s">
        <v>1893</v>
      </c>
      <c r="M1407" s="50" t="s">
        <v>3836</v>
      </c>
      <c r="N1407" s="50" t="s">
        <v>3836</v>
      </c>
      <c r="O1407" s="50" t="s">
        <v>3836</v>
      </c>
      <c r="P1407" s="50" t="s">
        <v>3836</v>
      </c>
    </row>
    <row r="1408" spans="1:16" ht="12.75" customHeight="1" x14ac:dyDescent="0.25">
      <c r="A1408" s="311">
        <v>1405</v>
      </c>
      <c r="B1408" s="311" t="s">
        <v>69</v>
      </c>
      <c r="C1408" s="311" t="s">
        <v>69</v>
      </c>
      <c r="D1408" s="311" t="s">
        <v>69</v>
      </c>
      <c r="E1408" s="337" t="s">
        <v>69</v>
      </c>
      <c r="F1408" s="311" t="s">
        <v>299</v>
      </c>
      <c r="G1408" s="311" t="s">
        <v>23</v>
      </c>
      <c r="H1408" s="311" t="s">
        <v>407</v>
      </c>
      <c r="I1408" s="311" t="s">
        <v>66</v>
      </c>
      <c r="J1408" s="50" t="s">
        <v>1892</v>
      </c>
      <c r="K1408" s="50" t="s">
        <v>1892</v>
      </c>
      <c r="L1408" s="50" t="s">
        <v>1893</v>
      </c>
      <c r="M1408" s="50" t="s">
        <v>3837</v>
      </c>
      <c r="N1408" s="50" t="s">
        <v>3837</v>
      </c>
      <c r="O1408" s="50" t="s">
        <v>3837</v>
      </c>
      <c r="P1408" s="50" t="s">
        <v>3837</v>
      </c>
    </row>
    <row r="1409" spans="1:16" ht="12.75" customHeight="1" x14ac:dyDescent="0.25">
      <c r="A1409" s="311">
        <v>1406</v>
      </c>
      <c r="B1409" s="311" t="s">
        <v>63</v>
      </c>
      <c r="C1409" s="311" t="s">
        <v>63</v>
      </c>
      <c r="D1409" s="311" t="s">
        <v>462</v>
      </c>
      <c r="E1409" s="337" t="s">
        <v>63</v>
      </c>
      <c r="F1409" s="311" t="s">
        <v>299</v>
      </c>
      <c r="G1409" s="311" t="s">
        <v>237</v>
      </c>
      <c r="H1409" s="311" t="s">
        <v>407</v>
      </c>
      <c r="I1409" s="311" t="s">
        <v>66</v>
      </c>
      <c r="J1409" s="50" t="s">
        <v>1892</v>
      </c>
      <c r="K1409" s="50" t="s">
        <v>1892</v>
      </c>
      <c r="L1409" s="50" t="s">
        <v>1893</v>
      </c>
      <c r="M1409" s="50" t="s">
        <v>3838</v>
      </c>
      <c r="N1409" s="50" t="s">
        <v>3838</v>
      </c>
      <c r="O1409" s="50" t="s">
        <v>3671</v>
      </c>
      <c r="P1409" s="50" t="s">
        <v>3838</v>
      </c>
    </row>
    <row r="1410" spans="1:16" ht="12.75" customHeight="1" x14ac:dyDescent="0.25">
      <c r="A1410" s="311">
        <v>1407</v>
      </c>
      <c r="B1410" s="311" t="s">
        <v>140</v>
      </c>
      <c r="C1410" s="311" t="s">
        <v>140</v>
      </c>
      <c r="D1410" s="311" t="s">
        <v>462</v>
      </c>
      <c r="E1410" s="337" t="s">
        <v>140</v>
      </c>
      <c r="F1410" s="311" t="s">
        <v>299</v>
      </c>
      <c r="G1410" s="311" t="s">
        <v>237</v>
      </c>
      <c r="H1410" s="311" t="s">
        <v>407</v>
      </c>
      <c r="I1410" s="311" t="s">
        <v>66</v>
      </c>
      <c r="J1410" s="50" t="s">
        <v>1892</v>
      </c>
      <c r="K1410" s="50" t="s">
        <v>1892</v>
      </c>
      <c r="L1410" s="50" t="s">
        <v>1893</v>
      </c>
      <c r="M1410" s="50" t="s">
        <v>3839</v>
      </c>
      <c r="N1410" s="50" t="s">
        <v>3839</v>
      </c>
      <c r="O1410" s="50" t="s">
        <v>3671</v>
      </c>
      <c r="P1410" s="50" t="s">
        <v>3839</v>
      </c>
    </row>
    <row r="1411" spans="1:16" ht="12.75" customHeight="1" x14ac:dyDescent="0.25">
      <c r="A1411" s="311">
        <v>1408</v>
      </c>
      <c r="B1411" s="311" t="s">
        <v>121</v>
      </c>
      <c r="C1411" s="311" t="s">
        <v>121</v>
      </c>
      <c r="D1411" s="311" t="s">
        <v>462</v>
      </c>
      <c r="E1411" s="337" t="s">
        <v>121</v>
      </c>
      <c r="F1411" s="311" t="s">
        <v>299</v>
      </c>
      <c r="G1411" s="311" t="s">
        <v>237</v>
      </c>
      <c r="H1411" s="311" t="s">
        <v>407</v>
      </c>
      <c r="I1411" s="311" t="s">
        <v>66</v>
      </c>
      <c r="J1411" s="50" t="s">
        <v>1892</v>
      </c>
      <c r="K1411" s="50" t="s">
        <v>1892</v>
      </c>
      <c r="L1411" s="50" t="s">
        <v>1893</v>
      </c>
      <c r="M1411" s="50" t="s">
        <v>3840</v>
      </c>
      <c r="N1411" s="50" t="s">
        <v>3840</v>
      </c>
      <c r="O1411" s="50" t="s">
        <v>3671</v>
      </c>
      <c r="P1411" s="50" t="s">
        <v>3840</v>
      </c>
    </row>
    <row r="1412" spans="1:16" ht="12.75" customHeight="1" x14ac:dyDescent="0.25">
      <c r="A1412" s="311">
        <v>1409</v>
      </c>
      <c r="B1412" s="311" t="s">
        <v>87</v>
      </c>
      <c r="C1412" s="311" t="s">
        <v>87</v>
      </c>
      <c r="D1412" s="311" t="s">
        <v>462</v>
      </c>
      <c r="E1412" s="337" t="s">
        <v>87</v>
      </c>
      <c r="F1412" s="311" t="s">
        <v>299</v>
      </c>
      <c r="G1412" s="311" t="s">
        <v>237</v>
      </c>
      <c r="H1412" s="311" t="s">
        <v>407</v>
      </c>
      <c r="I1412" s="311" t="s">
        <v>66</v>
      </c>
      <c r="J1412" s="50" t="s">
        <v>1892</v>
      </c>
      <c r="K1412" s="50" t="s">
        <v>1892</v>
      </c>
      <c r="L1412" s="50" t="s">
        <v>1893</v>
      </c>
      <c r="M1412" s="50" t="s">
        <v>3841</v>
      </c>
      <c r="N1412" s="50" t="s">
        <v>3841</v>
      </c>
      <c r="O1412" s="50" t="s">
        <v>3671</v>
      </c>
      <c r="P1412" s="50" t="s">
        <v>3841</v>
      </c>
    </row>
    <row r="1413" spans="1:16" ht="12.75" customHeight="1" x14ac:dyDescent="0.25">
      <c r="A1413" s="311">
        <v>1410</v>
      </c>
      <c r="B1413" s="311" t="s">
        <v>125</v>
      </c>
      <c r="C1413" s="311" t="s">
        <v>125</v>
      </c>
      <c r="D1413" s="311" t="s">
        <v>125</v>
      </c>
      <c r="E1413" s="337" t="s">
        <v>125</v>
      </c>
      <c r="F1413" s="311" t="s">
        <v>299</v>
      </c>
      <c r="G1413" s="311" t="s">
        <v>237</v>
      </c>
      <c r="H1413" s="311" t="s">
        <v>407</v>
      </c>
      <c r="I1413" s="311" t="s">
        <v>66</v>
      </c>
      <c r="J1413" s="50" t="s">
        <v>1892</v>
      </c>
      <c r="K1413" s="50" t="s">
        <v>1892</v>
      </c>
      <c r="L1413" s="50" t="s">
        <v>1893</v>
      </c>
      <c r="M1413" s="50" t="s">
        <v>3842</v>
      </c>
      <c r="N1413" s="50" t="s">
        <v>3842</v>
      </c>
      <c r="O1413" s="50" t="s">
        <v>3842</v>
      </c>
      <c r="P1413" s="50" t="s">
        <v>3842</v>
      </c>
    </row>
    <row r="1414" spans="1:16" ht="12.75" customHeight="1" x14ac:dyDescent="0.25">
      <c r="A1414" s="311">
        <v>1411</v>
      </c>
      <c r="B1414" s="311" t="s">
        <v>134</v>
      </c>
      <c r="C1414" s="311" t="s">
        <v>134</v>
      </c>
      <c r="D1414" s="311" t="s">
        <v>134</v>
      </c>
      <c r="E1414" s="337" t="s">
        <v>134</v>
      </c>
      <c r="F1414" s="311" t="s">
        <v>299</v>
      </c>
      <c r="G1414" s="311" t="s">
        <v>237</v>
      </c>
      <c r="H1414" s="311" t="s">
        <v>407</v>
      </c>
      <c r="I1414" s="311" t="s">
        <v>66</v>
      </c>
      <c r="J1414" s="50" t="s">
        <v>1892</v>
      </c>
      <c r="K1414" s="50" t="s">
        <v>1892</v>
      </c>
      <c r="L1414" s="50" t="s">
        <v>1893</v>
      </c>
      <c r="M1414" s="50" t="s">
        <v>3843</v>
      </c>
      <c r="N1414" s="50" t="s">
        <v>3843</v>
      </c>
      <c r="O1414" s="50" t="s">
        <v>3843</v>
      </c>
      <c r="P1414" s="50" t="s">
        <v>3843</v>
      </c>
    </row>
    <row r="1415" spans="1:16" ht="12.75" customHeight="1" x14ac:dyDescent="0.25">
      <c r="A1415" s="311">
        <v>1412</v>
      </c>
      <c r="B1415" s="311" t="s">
        <v>141</v>
      </c>
      <c r="C1415" s="311" t="s">
        <v>141</v>
      </c>
      <c r="D1415" s="311" t="s">
        <v>141</v>
      </c>
      <c r="E1415" s="337" t="s">
        <v>141</v>
      </c>
      <c r="F1415" s="311" t="s">
        <v>299</v>
      </c>
      <c r="G1415" s="311" t="s">
        <v>237</v>
      </c>
      <c r="H1415" s="311" t="s">
        <v>407</v>
      </c>
      <c r="I1415" s="311" t="s">
        <v>66</v>
      </c>
      <c r="J1415" s="50" t="s">
        <v>1892</v>
      </c>
      <c r="K1415" s="50" t="s">
        <v>1892</v>
      </c>
      <c r="L1415" s="50" t="s">
        <v>1893</v>
      </c>
      <c r="M1415" s="50" t="s">
        <v>3844</v>
      </c>
      <c r="N1415" s="50" t="s">
        <v>3844</v>
      </c>
      <c r="O1415" s="50" t="s">
        <v>3844</v>
      </c>
      <c r="P1415" s="50" t="s">
        <v>3844</v>
      </c>
    </row>
    <row r="1416" spans="1:16" ht="12.75" customHeight="1" x14ac:dyDescent="0.25">
      <c r="A1416" s="311">
        <v>1413</v>
      </c>
      <c r="B1416" s="311" t="s">
        <v>69</v>
      </c>
      <c r="C1416" s="311" t="s">
        <v>69</v>
      </c>
      <c r="D1416" s="311" t="s">
        <v>69</v>
      </c>
      <c r="E1416" s="337" t="s">
        <v>69</v>
      </c>
      <c r="F1416" s="311" t="s">
        <v>299</v>
      </c>
      <c r="G1416" s="311" t="s">
        <v>237</v>
      </c>
      <c r="H1416" s="311" t="s">
        <v>407</v>
      </c>
      <c r="I1416" s="311" t="s">
        <v>66</v>
      </c>
      <c r="J1416" s="50" t="s">
        <v>1892</v>
      </c>
      <c r="K1416" s="50" t="s">
        <v>1892</v>
      </c>
      <c r="L1416" s="50" t="s">
        <v>1893</v>
      </c>
      <c r="M1416" s="50" t="s">
        <v>3845</v>
      </c>
      <c r="N1416" s="50" t="s">
        <v>3845</v>
      </c>
      <c r="O1416" s="50" t="s">
        <v>3845</v>
      </c>
      <c r="P1416" s="50" t="s">
        <v>3845</v>
      </c>
    </row>
    <row r="1417" spans="1:16" ht="12.75" customHeight="1" x14ac:dyDescent="0.25">
      <c r="A1417" s="311">
        <v>1414</v>
      </c>
      <c r="B1417" s="311" t="s">
        <v>63</v>
      </c>
      <c r="C1417" s="311" t="s">
        <v>63</v>
      </c>
      <c r="D1417" s="311" t="s">
        <v>462</v>
      </c>
      <c r="E1417" s="337" t="s">
        <v>63</v>
      </c>
      <c r="F1417" s="311" t="s">
        <v>103</v>
      </c>
      <c r="G1417" s="311" t="s">
        <v>236</v>
      </c>
      <c r="H1417" s="311" t="s">
        <v>407</v>
      </c>
      <c r="I1417" s="311" t="s">
        <v>66</v>
      </c>
      <c r="J1417" s="50" t="s">
        <v>1892</v>
      </c>
      <c r="K1417" s="50" t="s">
        <v>1892</v>
      </c>
      <c r="L1417" s="50" t="s">
        <v>1893</v>
      </c>
      <c r="M1417" s="50" t="s">
        <v>3846</v>
      </c>
      <c r="N1417" s="50" t="s">
        <v>3846</v>
      </c>
      <c r="O1417" s="50" t="s">
        <v>3679</v>
      </c>
      <c r="P1417" s="50" t="s">
        <v>3846</v>
      </c>
    </row>
    <row r="1418" spans="1:16" ht="12.75" customHeight="1" x14ac:dyDescent="0.25">
      <c r="A1418" s="311">
        <v>1415</v>
      </c>
      <c r="B1418" s="311" t="s">
        <v>140</v>
      </c>
      <c r="C1418" s="311" t="s">
        <v>140</v>
      </c>
      <c r="D1418" s="311" t="s">
        <v>462</v>
      </c>
      <c r="E1418" s="337" t="s">
        <v>140</v>
      </c>
      <c r="F1418" s="311" t="s">
        <v>103</v>
      </c>
      <c r="G1418" s="311" t="s">
        <v>236</v>
      </c>
      <c r="H1418" s="311" t="s">
        <v>407</v>
      </c>
      <c r="I1418" s="311" t="s">
        <v>66</v>
      </c>
      <c r="J1418" s="50" t="s">
        <v>1892</v>
      </c>
      <c r="K1418" s="50" t="s">
        <v>1892</v>
      </c>
      <c r="L1418" s="50" t="s">
        <v>1893</v>
      </c>
      <c r="M1418" s="50" t="s">
        <v>3847</v>
      </c>
      <c r="N1418" s="50" t="s">
        <v>3847</v>
      </c>
      <c r="O1418" s="50" t="s">
        <v>3679</v>
      </c>
      <c r="P1418" s="50" t="s">
        <v>3847</v>
      </c>
    </row>
    <row r="1419" spans="1:16" ht="12.75" customHeight="1" x14ac:dyDescent="0.25">
      <c r="A1419" s="311">
        <v>1416</v>
      </c>
      <c r="B1419" s="311" t="s">
        <v>121</v>
      </c>
      <c r="C1419" s="311" t="s">
        <v>121</v>
      </c>
      <c r="D1419" s="311" t="s">
        <v>462</v>
      </c>
      <c r="E1419" s="337" t="s">
        <v>121</v>
      </c>
      <c r="F1419" s="311" t="s">
        <v>103</v>
      </c>
      <c r="G1419" s="311" t="s">
        <v>236</v>
      </c>
      <c r="H1419" s="311" t="s">
        <v>407</v>
      </c>
      <c r="I1419" s="311" t="s">
        <v>66</v>
      </c>
      <c r="J1419" s="50" t="s">
        <v>1892</v>
      </c>
      <c r="K1419" s="50" t="s">
        <v>1892</v>
      </c>
      <c r="L1419" s="50" t="s">
        <v>1893</v>
      </c>
      <c r="M1419" s="50" t="s">
        <v>3848</v>
      </c>
      <c r="N1419" s="50" t="s">
        <v>3848</v>
      </c>
      <c r="O1419" s="50" t="s">
        <v>3679</v>
      </c>
      <c r="P1419" s="50" t="s">
        <v>3848</v>
      </c>
    </row>
    <row r="1420" spans="1:16" ht="12.75" customHeight="1" x14ac:dyDescent="0.25">
      <c r="A1420" s="311">
        <v>1417</v>
      </c>
      <c r="B1420" s="311" t="s">
        <v>87</v>
      </c>
      <c r="C1420" s="311" t="s">
        <v>87</v>
      </c>
      <c r="D1420" s="311" t="s">
        <v>462</v>
      </c>
      <c r="E1420" s="337" t="s">
        <v>87</v>
      </c>
      <c r="F1420" s="311" t="s">
        <v>103</v>
      </c>
      <c r="G1420" s="311" t="s">
        <v>236</v>
      </c>
      <c r="H1420" s="311" t="s">
        <v>407</v>
      </c>
      <c r="I1420" s="311" t="s">
        <v>66</v>
      </c>
      <c r="J1420" s="50" t="s">
        <v>1892</v>
      </c>
      <c r="K1420" s="50" t="s">
        <v>1892</v>
      </c>
      <c r="L1420" s="50" t="s">
        <v>1893</v>
      </c>
      <c r="M1420" s="50" t="s">
        <v>3849</v>
      </c>
      <c r="N1420" s="50" t="s">
        <v>3849</v>
      </c>
      <c r="O1420" s="50" t="s">
        <v>3679</v>
      </c>
      <c r="P1420" s="50" t="s">
        <v>3849</v>
      </c>
    </row>
    <row r="1421" spans="1:16" ht="12.75" customHeight="1" x14ac:dyDescent="0.25">
      <c r="A1421" s="311">
        <v>1418</v>
      </c>
      <c r="B1421" s="311" t="s">
        <v>125</v>
      </c>
      <c r="C1421" s="311" t="s">
        <v>125</v>
      </c>
      <c r="D1421" s="311" t="s">
        <v>125</v>
      </c>
      <c r="E1421" s="337" t="s">
        <v>125</v>
      </c>
      <c r="F1421" s="311" t="s">
        <v>103</v>
      </c>
      <c r="G1421" s="311" t="s">
        <v>236</v>
      </c>
      <c r="H1421" s="311" t="s">
        <v>407</v>
      </c>
      <c r="I1421" s="311" t="s">
        <v>66</v>
      </c>
      <c r="J1421" s="50" t="s">
        <v>1892</v>
      </c>
      <c r="K1421" s="50" t="s">
        <v>1892</v>
      </c>
      <c r="L1421" s="50" t="s">
        <v>1893</v>
      </c>
      <c r="M1421" s="50" t="s">
        <v>3850</v>
      </c>
      <c r="N1421" s="50" t="s">
        <v>3850</v>
      </c>
      <c r="O1421" s="50" t="s">
        <v>3850</v>
      </c>
      <c r="P1421" s="50" t="s">
        <v>3850</v>
      </c>
    </row>
    <row r="1422" spans="1:16" ht="12.75" customHeight="1" x14ac:dyDescent="0.25">
      <c r="A1422" s="311">
        <v>1419</v>
      </c>
      <c r="B1422" s="311" t="s">
        <v>134</v>
      </c>
      <c r="C1422" s="311" t="s">
        <v>134</v>
      </c>
      <c r="D1422" s="311" t="s">
        <v>134</v>
      </c>
      <c r="E1422" s="337" t="s">
        <v>134</v>
      </c>
      <c r="F1422" s="311" t="s">
        <v>103</v>
      </c>
      <c r="G1422" s="311" t="s">
        <v>236</v>
      </c>
      <c r="H1422" s="311" t="s">
        <v>407</v>
      </c>
      <c r="I1422" s="311" t="s">
        <v>66</v>
      </c>
      <c r="J1422" s="50" t="s">
        <v>1892</v>
      </c>
      <c r="K1422" s="50" t="s">
        <v>1892</v>
      </c>
      <c r="L1422" s="50" t="s">
        <v>1893</v>
      </c>
      <c r="M1422" s="50" t="s">
        <v>3851</v>
      </c>
      <c r="N1422" s="50" t="s">
        <v>3851</v>
      </c>
      <c r="O1422" s="50" t="s">
        <v>3851</v>
      </c>
      <c r="P1422" s="50" t="s">
        <v>3851</v>
      </c>
    </row>
    <row r="1423" spans="1:16" ht="12.75" customHeight="1" x14ac:dyDescent="0.25">
      <c r="A1423" s="311">
        <v>1420</v>
      </c>
      <c r="B1423" s="311" t="s">
        <v>141</v>
      </c>
      <c r="C1423" s="311" t="s">
        <v>141</v>
      </c>
      <c r="D1423" s="311" t="s">
        <v>141</v>
      </c>
      <c r="E1423" s="337" t="s">
        <v>141</v>
      </c>
      <c r="F1423" s="311" t="s">
        <v>103</v>
      </c>
      <c r="G1423" s="311" t="s">
        <v>236</v>
      </c>
      <c r="H1423" s="311" t="s">
        <v>407</v>
      </c>
      <c r="I1423" s="311" t="s">
        <v>66</v>
      </c>
      <c r="J1423" s="50" t="s">
        <v>1892</v>
      </c>
      <c r="K1423" s="50" t="s">
        <v>1892</v>
      </c>
      <c r="L1423" s="50" t="s">
        <v>1893</v>
      </c>
      <c r="M1423" s="50" t="s">
        <v>3852</v>
      </c>
      <c r="N1423" s="50" t="s">
        <v>3852</v>
      </c>
      <c r="O1423" s="50" t="s">
        <v>3852</v>
      </c>
      <c r="P1423" s="50" t="s">
        <v>3852</v>
      </c>
    </row>
    <row r="1424" spans="1:16" ht="12.75" customHeight="1" x14ac:dyDescent="0.25">
      <c r="A1424" s="311">
        <v>1421</v>
      </c>
      <c r="B1424" s="311" t="s">
        <v>69</v>
      </c>
      <c r="C1424" s="311" t="s">
        <v>69</v>
      </c>
      <c r="D1424" s="311" t="s">
        <v>69</v>
      </c>
      <c r="E1424" s="337" t="s">
        <v>69</v>
      </c>
      <c r="F1424" s="311" t="s">
        <v>103</v>
      </c>
      <c r="G1424" s="311" t="s">
        <v>236</v>
      </c>
      <c r="H1424" s="311" t="s">
        <v>407</v>
      </c>
      <c r="I1424" s="311" t="s">
        <v>66</v>
      </c>
      <c r="J1424" s="50" t="s">
        <v>1892</v>
      </c>
      <c r="K1424" s="50" t="s">
        <v>1892</v>
      </c>
      <c r="L1424" s="50" t="s">
        <v>1893</v>
      </c>
      <c r="M1424" s="50" t="s">
        <v>3853</v>
      </c>
      <c r="N1424" s="50" t="s">
        <v>3853</v>
      </c>
      <c r="O1424" s="50" t="s">
        <v>3853</v>
      </c>
      <c r="P1424" s="50" t="s">
        <v>3853</v>
      </c>
    </row>
    <row r="1425" spans="1:16" ht="12.75" customHeight="1" x14ac:dyDescent="0.25">
      <c r="A1425" s="311">
        <v>1422</v>
      </c>
      <c r="B1425" s="311" t="s">
        <v>63</v>
      </c>
      <c r="C1425" s="311" t="s">
        <v>63</v>
      </c>
      <c r="D1425" s="311" t="s">
        <v>462</v>
      </c>
      <c r="E1425" s="337" t="s">
        <v>63</v>
      </c>
      <c r="F1425" s="311" t="s">
        <v>103</v>
      </c>
      <c r="G1425" s="311" t="s">
        <v>23</v>
      </c>
      <c r="H1425" s="311" t="s">
        <v>407</v>
      </c>
      <c r="I1425" s="311" t="s">
        <v>66</v>
      </c>
      <c r="J1425" s="50" t="s">
        <v>1892</v>
      </c>
      <c r="K1425" s="50" t="s">
        <v>1892</v>
      </c>
      <c r="L1425" s="50" t="s">
        <v>1893</v>
      </c>
      <c r="M1425" s="50" t="s">
        <v>3854</v>
      </c>
      <c r="N1425" s="50" t="s">
        <v>3854</v>
      </c>
      <c r="O1425" s="50" t="s">
        <v>3687</v>
      </c>
      <c r="P1425" s="50" t="s">
        <v>3854</v>
      </c>
    </row>
    <row r="1426" spans="1:16" ht="12.75" customHeight="1" x14ac:dyDescent="0.25">
      <c r="A1426" s="311">
        <v>1423</v>
      </c>
      <c r="B1426" s="311" t="s">
        <v>140</v>
      </c>
      <c r="C1426" s="311" t="s">
        <v>140</v>
      </c>
      <c r="D1426" s="311" t="s">
        <v>462</v>
      </c>
      <c r="E1426" s="337" t="s">
        <v>140</v>
      </c>
      <c r="F1426" s="311" t="s">
        <v>103</v>
      </c>
      <c r="G1426" s="311" t="s">
        <v>23</v>
      </c>
      <c r="H1426" s="311" t="s">
        <v>407</v>
      </c>
      <c r="I1426" s="311" t="s">
        <v>66</v>
      </c>
      <c r="J1426" s="50" t="s">
        <v>1892</v>
      </c>
      <c r="K1426" s="50" t="s">
        <v>1892</v>
      </c>
      <c r="L1426" s="50" t="s">
        <v>1893</v>
      </c>
      <c r="M1426" s="50" t="s">
        <v>3855</v>
      </c>
      <c r="N1426" s="50" t="s">
        <v>3855</v>
      </c>
      <c r="O1426" s="50" t="s">
        <v>3687</v>
      </c>
      <c r="P1426" s="50" t="s">
        <v>3855</v>
      </c>
    </row>
    <row r="1427" spans="1:16" ht="12.75" customHeight="1" x14ac:dyDescent="0.25">
      <c r="A1427" s="311">
        <v>1424</v>
      </c>
      <c r="B1427" s="311" t="s">
        <v>121</v>
      </c>
      <c r="C1427" s="311" t="s">
        <v>121</v>
      </c>
      <c r="D1427" s="311" t="s">
        <v>462</v>
      </c>
      <c r="E1427" s="337" t="s">
        <v>121</v>
      </c>
      <c r="F1427" s="311" t="s">
        <v>103</v>
      </c>
      <c r="G1427" s="311" t="s">
        <v>23</v>
      </c>
      <c r="H1427" s="311" t="s">
        <v>407</v>
      </c>
      <c r="I1427" s="311" t="s">
        <v>66</v>
      </c>
      <c r="J1427" s="50" t="s">
        <v>1892</v>
      </c>
      <c r="K1427" s="50" t="s">
        <v>1892</v>
      </c>
      <c r="L1427" s="50" t="s">
        <v>1893</v>
      </c>
      <c r="M1427" s="50" t="s">
        <v>3856</v>
      </c>
      <c r="N1427" s="50" t="s">
        <v>3856</v>
      </c>
      <c r="O1427" s="50" t="s">
        <v>3687</v>
      </c>
      <c r="P1427" s="50" t="s">
        <v>3856</v>
      </c>
    </row>
    <row r="1428" spans="1:16" ht="12.75" customHeight="1" x14ac:dyDescent="0.25">
      <c r="A1428" s="311">
        <v>1425</v>
      </c>
      <c r="B1428" s="311" t="s">
        <v>87</v>
      </c>
      <c r="C1428" s="311" t="s">
        <v>87</v>
      </c>
      <c r="D1428" s="311" t="s">
        <v>462</v>
      </c>
      <c r="E1428" s="337" t="s">
        <v>87</v>
      </c>
      <c r="F1428" s="311" t="s">
        <v>103</v>
      </c>
      <c r="G1428" s="311" t="s">
        <v>23</v>
      </c>
      <c r="H1428" s="311" t="s">
        <v>407</v>
      </c>
      <c r="I1428" s="311" t="s">
        <v>66</v>
      </c>
      <c r="J1428" s="50" t="s">
        <v>1892</v>
      </c>
      <c r="K1428" s="50" t="s">
        <v>1892</v>
      </c>
      <c r="L1428" s="50" t="s">
        <v>1893</v>
      </c>
      <c r="M1428" s="50" t="s">
        <v>3857</v>
      </c>
      <c r="N1428" s="50" t="s">
        <v>3857</v>
      </c>
      <c r="O1428" s="50" t="s">
        <v>3687</v>
      </c>
      <c r="P1428" s="50" t="s">
        <v>3857</v>
      </c>
    </row>
    <row r="1429" spans="1:16" ht="12.75" customHeight="1" x14ac:dyDescent="0.25">
      <c r="A1429" s="311">
        <v>1426</v>
      </c>
      <c r="B1429" s="311" t="s">
        <v>125</v>
      </c>
      <c r="C1429" s="311" t="s">
        <v>125</v>
      </c>
      <c r="D1429" s="311" t="s">
        <v>125</v>
      </c>
      <c r="E1429" s="337" t="s">
        <v>125</v>
      </c>
      <c r="F1429" s="311" t="s">
        <v>103</v>
      </c>
      <c r="G1429" s="311" t="s">
        <v>23</v>
      </c>
      <c r="H1429" s="311" t="s">
        <v>407</v>
      </c>
      <c r="I1429" s="311" t="s">
        <v>66</v>
      </c>
      <c r="J1429" s="50" t="s">
        <v>1892</v>
      </c>
      <c r="K1429" s="50" t="s">
        <v>1892</v>
      </c>
      <c r="L1429" s="50" t="s">
        <v>1893</v>
      </c>
      <c r="M1429" s="50" t="s">
        <v>3858</v>
      </c>
      <c r="N1429" s="50" t="s">
        <v>3858</v>
      </c>
      <c r="O1429" s="50" t="s">
        <v>3858</v>
      </c>
      <c r="P1429" s="50" t="s">
        <v>3858</v>
      </c>
    </row>
    <row r="1430" spans="1:16" ht="12.75" customHeight="1" x14ac:dyDescent="0.25">
      <c r="A1430" s="311">
        <v>1427</v>
      </c>
      <c r="B1430" s="311" t="s">
        <v>134</v>
      </c>
      <c r="C1430" s="311" t="s">
        <v>134</v>
      </c>
      <c r="D1430" s="311" t="s">
        <v>134</v>
      </c>
      <c r="E1430" s="337" t="s">
        <v>134</v>
      </c>
      <c r="F1430" s="311" t="s">
        <v>103</v>
      </c>
      <c r="G1430" s="311" t="s">
        <v>23</v>
      </c>
      <c r="H1430" s="311" t="s">
        <v>407</v>
      </c>
      <c r="I1430" s="311" t="s">
        <v>66</v>
      </c>
      <c r="J1430" s="50" t="s">
        <v>1892</v>
      </c>
      <c r="K1430" s="50" t="s">
        <v>1892</v>
      </c>
      <c r="L1430" s="50" t="s">
        <v>1893</v>
      </c>
      <c r="M1430" s="50" t="s">
        <v>3859</v>
      </c>
      <c r="N1430" s="50" t="s">
        <v>3859</v>
      </c>
      <c r="O1430" s="50" t="s">
        <v>3859</v>
      </c>
      <c r="P1430" s="50" t="s">
        <v>3859</v>
      </c>
    </row>
    <row r="1431" spans="1:16" ht="12.75" customHeight="1" x14ac:dyDescent="0.25">
      <c r="A1431" s="311">
        <v>1428</v>
      </c>
      <c r="B1431" s="311" t="s">
        <v>141</v>
      </c>
      <c r="C1431" s="311" t="s">
        <v>141</v>
      </c>
      <c r="D1431" s="311" t="s">
        <v>141</v>
      </c>
      <c r="E1431" s="337" t="s">
        <v>141</v>
      </c>
      <c r="F1431" s="311" t="s">
        <v>103</v>
      </c>
      <c r="G1431" s="311" t="s">
        <v>23</v>
      </c>
      <c r="H1431" s="311" t="s">
        <v>407</v>
      </c>
      <c r="I1431" s="311" t="s">
        <v>66</v>
      </c>
      <c r="J1431" s="50" t="s">
        <v>1892</v>
      </c>
      <c r="K1431" s="50" t="s">
        <v>1892</v>
      </c>
      <c r="L1431" s="50" t="s">
        <v>1893</v>
      </c>
      <c r="M1431" s="50" t="s">
        <v>3860</v>
      </c>
      <c r="N1431" s="50" t="s">
        <v>3860</v>
      </c>
      <c r="O1431" s="50" t="s">
        <v>3860</v>
      </c>
      <c r="P1431" s="50" t="s">
        <v>3860</v>
      </c>
    </row>
    <row r="1432" spans="1:16" ht="12.75" customHeight="1" x14ac:dyDescent="0.25">
      <c r="A1432" s="311">
        <v>1429</v>
      </c>
      <c r="B1432" s="311" t="s">
        <v>69</v>
      </c>
      <c r="C1432" s="311" t="s">
        <v>69</v>
      </c>
      <c r="D1432" s="311" t="s">
        <v>69</v>
      </c>
      <c r="E1432" s="337" t="s">
        <v>69</v>
      </c>
      <c r="F1432" s="311" t="s">
        <v>103</v>
      </c>
      <c r="G1432" s="311" t="s">
        <v>23</v>
      </c>
      <c r="H1432" s="311" t="s">
        <v>407</v>
      </c>
      <c r="I1432" s="311" t="s">
        <v>66</v>
      </c>
      <c r="J1432" s="50" t="s">
        <v>1892</v>
      </c>
      <c r="K1432" s="50" t="s">
        <v>1892</v>
      </c>
      <c r="L1432" s="50" t="s">
        <v>1893</v>
      </c>
      <c r="M1432" s="50" t="s">
        <v>3861</v>
      </c>
      <c r="N1432" s="50" t="s">
        <v>3861</v>
      </c>
      <c r="O1432" s="50" t="s">
        <v>3861</v>
      </c>
      <c r="P1432" s="50" t="s">
        <v>3861</v>
      </c>
    </row>
    <row r="1433" spans="1:16" ht="12.75" customHeight="1" x14ac:dyDescent="0.25">
      <c r="A1433" s="311">
        <v>1430</v>
      </c>
      <c r="B1433" s="311" t="s">
        <v>63</v>
      </c>
      <c r="C1433" s="311" t="s">
        <v>63</v>
      </c>
      <c r="D1433" s="311" t="s">
        <v>462</v>
      </c>
      <c r="E1433" s="337" t="s">
        <v>63</v>
      </c>
      <c r="F1433" s="311" t="s">
        <v>103</v>
      </c>
      <c r="G1433" s="311" t="s">
        <v>237</v>
      </c>
      <c r="H1433" s="311" t="s">
        <v>407</v>
      </c>
      <c r="I1433" s="311" t="s">
        <v>66</v>
      </c>
      <c r="J1433" s="50" t="s">
        <v>1892</v>
      </c>
      <c r="K1433" s="50" t="s">
        <v>1892</v>
      </c>
      <c r="L1433" s="50" t="s">
        <v>1893</v>
      </c>
      <c r="M1433" s="50" t="s">
        <v>3862</v>
      </c>
      <c r="N1433" s="50" t="s">
        <v>3862</v>
      </c>
      <c r="O1433" s="50" t="s">
        <v>3695</v>
      </c>
      <c r="P1433" s="50" t="s">
        <v>3862</v>
      </c>
    </row>
    <row r="1434" spans="1:16" ht="12.75" customHeight="1" x14ac:dyDescent="0.25">
      <c r="A1434" s="311">
        <v>1431</v>
      </c>
      <c r="B1434" s="311" t="s">
        <v>140</v>
      </c>
      <c r="C1434" s="311" t="s">
        <v>140</v>
      </c>
      <c r="D1434" s="311" t="s">
        <v>462</v>
      </c>
      <c r="E1434" s="337" t="s">
        <v>140</v>
      </c>
      <c r="F1434" s="311" t="s">
        <v>103</v>
      </c>
      <c r="G1434" s="311" t="s">
        <v>237</v>
      </c>
      <c r="H1434" s="311" t="s">
        <v>407</v>
      </c>
      <c r="I1434" s="311" t="s">
        <v>66</v>
      </c>
      <c r="J1434" s="50" t="s">
        <v>1892</v>
      </c>
      <c r="K1434" s="50" t="s">
        <v>1892</v>
      </c>
      <c r="L1434" s="50" t="s">
        <v>1893</v>
      </c>
      <c r="M1434" s="50" t="s">
        <v>3863</v>
      </c>
      <c r="N1434" s="50" t="s">
        <v>3863</v>
      </c>
      <c r="O1434" s="50" t="s">
        <v>3695</v>
      </c>
      <c r="P1434" s="50" t="s">
        <v>3863</v>
      </c>
    </row>
    <row r="1435" spans="1:16" ht="12.75" customHeight="1" x14ac:dyDescent="0.25">
      <c r="A1435" s="311">
        <v>1432</v>
      </c>
      <c r="B1435" s="311" t="s">
        <v>121</v>
      </c>
      <c r="C1435" s="311" t="s">
        <v>121</v>
      </c>
      <c r="D1435" s="311" t="s">
        <v>462</v>
      </c>
      <c r="E1435" s="337" t="s">
        <v>121</v>
      </c>
      <c r="F1435" s="311" t="s">
        <v>103</v>
      </c>
      <c r="G1435" s="311" t="s">
        <v>237</v>
      </c>
      <c r="H1435" s="311" t="s">
        <v>407</v>
      </c>
      <c r="I1435" s="311" t="s">
        <v>66</v>
      </c>
      <c r="J1435" s="50" t="s">
        <v>1892</v>
      </c>
      <c r="K1435" s="50" t="s">
        <v>1892</v>
      </c>
      <c r="L1435" s="50" t="s">
        <v>1893</v>
      </c>
      <c r="M1435" s="50" t="s">
        <v>3864</v>
      </c>
      <c r="N1435" s="50" t="s">
        <v>3864</v>
      </c>
      <c r="O1435" s="50" t="s">
        <v>3695</v>
      </c>
      <c r="P1435" s="50" t="s">
        <v>3864</v>
      </c>
    </row>
    <row r="1436" spans="1:16" ht="12.75" customHeight="1" x14ac:dyDescent="0.25">
      <c r="A1436" s="311">
        <v>1433</v>
      </c>
      <c r="B1436" s="311" t="s">
        <v>87</v>
      </c>
      <c r="C1436" s="311" t="s">
        <v>87</v>
      </c>
      <c r="D1436" s="311" t="s">
        <v>462</v>
      </c>
      <c r="E1436" s="337" t="s">
        <v>87</v>
      </c>
      <c r="F1436" s="311" t="s">
        <v>103</v>
      </c>
      <c r="G1436" s="311" t="s">
        <v>237</v>
      </c>
      <c r="H1436" s="311" t="s">
        <v>407</v>
      </c>
      <c r="I1436" s="311" t="s">
        <v>66</v>
      </c>
      <c r="J1436" s="50" t="s">
        <v>1892</v>
      </c>
      <c r="K1436" s="50" t="s">
        <v>1892</v>
      </c>
      <c r="L1436" s="50" t="s">
        <v>1893</v>
      </c>
      <c r="M1436" s="50" t="s">
        <v>3865</v>
      </c>
      <c r="N1436" s="50" t="s">
        <v>3865</v>
      </c>
      <c r="O1436" s="50" t="s">
        <v>3695</v>
      </c>
      <c r="P1436" s="50" t="s">
        <v>3865</v>
      </c>
    </row>
    <row r="1437" spans="1:16" ht="12.75" customHeight="1" x14ac:dyDescent="0.25">
      <c r="A1437" s="311">
        <v>1434</v>
      </c>
      <c r="B1437" s="311" t="s">
        <v>125</v>
      </c>
      <c r="C1437" s="311" t="s">
        <v>125</v>
      </c>
      <c r="D1437" s="311" t="s">
        <v>125</v>
      </c>
      <c r="E1437" s="337" t="s">
        <v>125</v>
      </c>
      <c r="F1437" s="311" t="s">
        <v>103</v>
      </c>
      <c r="G1437" s="311" t="s">
        <v>237</v>
      </c>
      <c r="H1437" s="311" t="s">
        <v>407</v>
      </c>
      <c r="I1437" s="311" t="s">
        <v>66</v>
      </c>
      <c r="J1437" s="50" t="s">
        <v>1892</v>
      </c>
      <c r="K1437" s="50" t="s">
        <v>1892</v>
      </c>
      <c r="L1437" s="50" t="s">
        <v>1893</v>
      </c>
      <c r="M1437" s="50" t="s">
        <v>3866</v>
      </c>
      <c r="N1437" s="50" t="s">
        <v>3866</v>
      </c>
      <c r="O1437" s="50" t="s">
        <v>3866</v>
      </c>
      <c r="P1437" s="50" t="s">
        <v>3866</v>
      </c>
    </row>
    <row r="1438" spans="1:16" ht="12.75" customHeight="1" x14ac:dyDescent="0.25">
      <c r="A1438" s="311">
        <v>1435</v>
      </c>
      <c r="B1438" s="311" t="s">
        <v>134</v>
      </c>
      <c r="C1438" s="311" t="s">
        <v>134</v>
      </c>
      <c r="D1438" s="311" t="s">
        <v>134</v>
      </c>
      <c r="E1438" s="337" t="s">
        <v>134</v>
      </c>
      <c r="F1438" s="311" t="s">
        <v>103</v>
      </c>
      <c r="G1438" s="311" t="s">
        <v>237</v>
      </c>
      <c r="H1438" s="311" t="s">
        <v>407</v>
      </c>
      <c r="I1438" s="311" t="s">
        <v>66</v>
      </c>
      <c r="J1438" s="50" t="s">
        <v>1892</v>
      </c>
      <c r="K1438" s="50" t="s">
        <v>1892</v>
      </c>
      <c r="L1438" s="50" t="s">
        <v>1893</v>
      </c>
      <c r="M1438" s="50" t="s">
        <v>3867</v>
      </c>
      <c r="N1438" s="50" t="s">
        <v>3867</v>
      </c>
      <c r="O1438" s="50" t="s">
        <v>3867</v>
      </c>
      <c r="P1438" s="50" t="s">
        <v>3867</v>
      </c>
    </row>
    <row r="1439" spans="1:16" ht="12.75" customHeight="1" x14ac:dyDescent="0.25">
      <c r="A1439" s="311">
        <v>1436</v>
      </c>
      <c r="B1439" s="311" t="s">
        <v>141</v>
      </c>
      <c r="C1439" s="311" t="s">
        <v>141</v>
      </c>
      <c r="D1439" s="311" t="s">
        <v>141</v>
      </c>
      <c r="E1439" s="337" t="s">
        <v>141</v>
      </c>
      <c r="F1439" s="311" t="s">
        <v>103</v>
      </c>
      <c r="G1439" s="311" t="s">
        <v>237</v>
      </c>
      <c r="H1439" s="311" t="s">
        <v>407</v>
      </c>
      <c r="I1439" s="311" t="s">
        <v>66</v>
      </c>
      <c r="J1439" s="50" t="s">
        <v>1892</v>
      </c>
      <c r="K1439" s="50" t="s">
        <v>1892</v>
      </c>
      <c r="L1439" s="50" t="s">
        <v>1893</v>
      </c>
      <c r="M1439" s="50" t="s">
        <v>3868</v>
      </c>
      <c r="N1439" s="50" t="s">
        <v>3868</v>
      </c>
      <c r="O1439" s="50" t="s">
        <v>3868</v>
      </c>
      <c r="P1439" s="50" t="s">
        <v>3868</v>
      </c>
    </row>
    <row r="1440" spans="1:16" ht="12.75" customHeight="1" x14ac:dyDescent="0.25">
      <c r="A1440" s="311">
        <v>1437</v>
      </c>
      <c r="B1440" s="311" t="s">
        <v>69</v>
      </c>
      <c r="C1440" s="311" t="s">
        <v>69</v>
      </c>
      <c r="D1440" s="311" t="s">
        <v>69</v>
      </c>
      <c r="E1440" s="337" t="s">
        <v>69</v>
      </c>
      <c r="F1440" s="311" t="s">
        <v>103</v>
      </c>
      <c r="G1440" s="311" t="s">
        <v>237</v>
      </c>
      <c r="H1440" s="311" t="s">
        <v>407</v>
      </c>
      <c r="I1440" s="311" t="s">
        <v>66</v>
      </c>
      <c r="J1440" s="50" t="s">
        <v>1892</v>
      </c>
      <c r="K1440" s="50" t="s">
        <v>1892</v>
      </c>
      <c r="L1440" s="50" t="s">
        <v>1893</v>
      </c>
      <c r="M1440" s="50" t="s">
        <v>3869</v>
      </c>
      <c r="N1440" s="50" t="s">
        <v>3869</v>
      </c>
      <c r="O1440" s="50" t="s">
        <v>3869</v>
      </c>
      <c r="P1440" s="50" t="s">
        <v>3869</v>
      </c>
    </row>
    <row r="1441" spans="1:16" ht="12.75" customHeight="1" x14ac:dyDescent="0.25">
      <c r="A1441" s="311">
        <v>1438</v>
      </c>
      <c r="B1441" s="311" t="s">
        <v>84</v>
      </c>
      <c r="C1441" s="311" t="s">
        <v>462</v>
      </c>
      <c r="D1441" s="311" t="s">
        <v>462</v>
      </c>
      <c r="E1441" s="337" t="s">
        <v>462</v>
      </c>
      <c r="F1441" s="311" t="s">
        <v>248</v>
      </c>
      <c r="G1441" s="311" t="s">
        <v>236</v>
      </c>
      <c r="H1441" s="311" t="s">
        <v>358</v>
      </c>
      <c r="I1441" s="311" t="s">
        <v>56</v>
      </c>
      <c r="J1441" s="50" t="s">
        <v>1892</v>
      </c>
      <c r="K1441" s="50" t="s">
        <v>1892</v>
      </c>
      <c r="L1441" s="50" t="s">
        <v>1893</v>
      </c>
      <c r="M1441" s="50" t="s">
        <v>3870</v>
      </c>
      <c r="N1441" s="50" t="s">
        <v>3871</v>
      </c>
      <c r="O1441" s="50" t="s">
        <v>3871</v>
      </c>
      <c r="P1441" s="50" t="s">
        <v>3871</v>
      </c>
    </row>
    <row r="1442" spans="1:16" ht="12.75" customHeight="1" x14ac:dyDescent="0.25">
      <c r="A1442" s="311">
        <v>1439</v>
      </c>
      <c r="B1442" s="311" t="s">
        <v>123</v>
      </c>
      <c r="C1442" s="311" t="s">
        <v>462</v>
      </c>
      <c r="D1442" s="311" t="s">
        <v>462</v>
      </c>
      <c r="E1442" s="337" t="s">
        <v>462</v>
      </c>
      <c r="F1442" s="311" t="s">
        <v>248</v>
      </c>
      <c r="G1442" s="311" t="s">
        <v>236</v>
      </c>
      <c r="H1442" s="311" t="s">
        <v>358</v>
      </c>
      <c r="I1442" s="311" t="s">
        <v>56</v>
      </c>
      <c r="J1442" s="50" t="s">
        <v>1892</v>
      </c>
      <c r="K1442" s="50" t="s">
        <v>1892</v>
      </c>
      <c r="L1442" s="50" t="s">
        <v>1893</v>
      </c>
      <c r="M1442" s="50" t="s">
        <v>3872</v>
      </c>
      <c r="N1442" s="50" t="s">
        <v>3871</v>
      </c>
      <c r="O1442" s="50" t="s">
        <v>3871</v>
      </c>
      <c r="P1442" s="50" t="s">
        <v>3871</v>
      </c>
    </row>
    <row r="1443" spans="1:16" ht="12.75" customHeight="1" x14ac:dyDescent="0.25">
      <c r="A1443" s="311">
        <v>1440</v>
      </c>
      <c r="B1443" s="311" t="s">
        <v>75</v>
      </c>
      <c r="C1443" s="311" t="s">
        <v>462</v>
      </c>
      <c r="D1443" s="311" t="s">
        <v>462</v>
      </c>
      <c r="E1443" s="337" t="s">
        <v>462</v>
      </c>
      <c r="F1443" s="311" t="s">
        <v>248</v>
      </c>
      <c r="G1443" s="311" t="s">
        <v>236</v>
      </c>
      <c r="H1443" s="311" t="s">
        <v>358</v>
      </c>
      <c r="I1443" s="311" t="s">
        <v>56</v>
      </c>
      <c r="J1443" s="50" t="s">
        <v>1892</v>
      </c>
      <c r="K1443" s="50" t="s">
        <v>1892</v>
      </c>
      <c r="L1443" s="50" t="s">
        <v>1893</v>
      </c>
      <c r="M1443" s="50" t="s">
        <v>3873</v>
      </c>
      <c r="N1443" s="50" t="s">
        <v>3871</v>
      </c>
      <c r="O1443" s="50" t="s">
        <v>3871</v>
      </c>
      <c r="P1443" s="50" t="s">
        <v>3871</v>
      </c>
    </row>
    <row r="1444" spans="1:16" ht="12.75" customHeight="1" x14ac:dyDescent="0.25">
      <c r="A1444" s="311">
        <v>1441</v>
      </c>
      <c r="B1444" s="311" t="s">
        <v>63</v>
      </c>
      <c r="C1444" s="311" t="s">
        <v>63</v>
      </c>
      <c r="D1444" s="311" t="s">
        <v>462</v>
      </c>
      <c r="E1444" s="337" t="s">
        <v>63</v>
      </c>
      <c r="F1444" s="311" t="s">
        <v>248</v>
      </c>
      <c r="G1444" s="311" t="s">
        <v>236</v>
      </c>
      <c r="H1444" s="311" t="s">
        <v>358</v>
      </c>
      <c r="I1444" s="311" t="s">
        <v>56</v>
      </c>
      <c r="J1444" s="50" t="s">
        <v>1892</v>
      </c>
      <c r="K1444" s="50" t="s">
        <v>1892</v>
      </c>
      <c r="L1444" s="50" t="s">
        <v>1893</v>
      </c>
      <c r="M1444" s="50" t="s">
        <v>3874</v>
      </c>
      <c r="N1444" s="50" t="s">
        <v>3874</v>
      </c>
      <c r="O1444" s="50" t="s">
        <v>3871</v>
      </c>
      <c r="P1444" s="50" t="s">
        <v>3874</v>
      </c>
    </row>
    <row r="1445" spans="1:16" ht="12.75" customHeight="1" x14ac:dyDescent="0.25">
      <c r="A1445" s="311">
        <v>1442</v>
      </c>
      <c r="B1445" s="311" t="s">
        <v>140</v>
      </c>
      <c r="C1445" s="311" t="s">
        <v>140</v>
      </c>
      <c r="D1445" s="311" t="s">
        <v>462</v>
      </c>
      <c r="E1445" s="337" t="s">
        <v>140</v>
      </c>
      <c r="F1445" s="311" t="s">
        <v>248</v>
      </c>
      <c r="G1445" s="311" t="s">
        <v>236</v>
      </c>
      <c r="H1445" s="311" t="s">
        <v>358</v>
      </c>
      <c r="I1445" s="311" t="s">
        <v>56</v>
      </c>
      <c r="J1445" s="50" t="s">
        <v>1892</v>
      </c>
      <c r="K1445" s="50" t="s">
        <v>1892</v>
      </c>
      <c r="L1445" s="50" t="s">
        <v>1893</v>
      </c>
      <c r="M1445" s="50" t="s">
        <v>3875</v>
      </c>
      <c r="N1445" s="50" t="s">
        <v>3875</v>
      </c>
      <c r="O1445" s="50" t="s">
        <v>3871</v>
      </c>
      <c r="P1445" s="50" t="s">
        <v>3875</v>
      </c>
    </row>
    <row r="1446" spans="1:16" ht="12.75" customHeight="1" x14ac:dyDescent="0.25">
      <c r="A1446" s="311">
        <v>1443</v>
      </c>
      <c r="B1446" s="311" t="s">
        <v>121</v>
      </c>
      <c r="C1446" s="311" t="s">
        <v>121</v>
      </c>
      <c r="D1446" s="311" t="s">
        <v>462</v>
      </c>
      <c r="E1446" s="337" t="s">
        <v>121</v>
      </c>
      <c r="F1446" s="311" t="s">
        <v>248</v>
      </c>
      <c r="G1446" s="311" t="s">
        <v>236</v>
      </c>
      <c r="H1446" s="311" t="s">
        <v>358</v>
      </c>
      <c r="I1446" s="311" t="s">
        <v>56</v>
      </c>
      <c r="J1446" s="50" t="s">
        <v>1892</v>
      </c>
      <c r="K1446" s="50" t="s">
        <v>1892</v>
      </c>
      <c r="L1446" s="50" t="s">
        <v>1893</v>
      </c>
      <c r="M1446" s="50" t="s">
        <v>3876</v>
      </c>
      <c r="N1446" s="50" t="s">
        <v>3876</v>
      </c>
      <c r="O1446" s="50" t="s">
        <v>3871</v>
      </c>
      <c r="P1446" s="50" t="s">
        <v>3876</v>
      </c>
    </row>
    <row r="1447" spans="1:16" ht="12.75" customHeight="1" x14ac:dyDescent="0.25">
      <c r="A1447" s="311">
        <v>1444</v>
      </c>
      <c r="B1447" s="311" t="s">
        <v>87</v>
      </c>
      <c r="C1447" s="311" t="s">
        <v>87</v>
      </c>
      <c r="D1447" s="311" t="s">
        <v>462</v>
      </c>
      <c r="E1447" s="337" t="s">
        <v>87</v>
      </c>
      <c r="F1447" s="311" t="s">
        <v>248</v>
      </c>
      <c r="G1447" s="311" t="s">
        <v>236</v>
      </c>
      <c r="H1447" s="311" t="s">
        <v>358</v>
      </c>
      <c r="I1447" s="311" t="s">
        <v>56</v>
      </c>
      <c r="J1447" s="50" t="s">
        <v>1892</v>
      </c>
      <c r="K1447" s="50" t="s">
        <v>1892</v>
      </c>
      <c r="L1447" s="50" t="s">
        <v>1893</v>
      </c>
      <c r="M1447" s="50" t="s">
        <v>3877</v>
      </c>
      <c r="N1447" s="50" t="s">
        <v>3877</v>
      </c>
      <c r="O1447" s="50" t="s">
        <v>3871</v>
      </c>
      <c r="P1447" s="50" t="s">
        <v>3877</v>
      </c>
    </row>
    <row r="1448" spans="1:16" ht="12.75" customHeight="1" x14ac:dyDescent="0.25">
      <c r="A1448" s="311">
        <v>1445</v>
      </c>
      <c r="B1448" s="311" t="s">
        <v>125</v>
      </c>
      <c r="C1448" s="311" t="s">
        <v>125</v>
      </c>
      <c r="D1448" s="311" t="s">
        <v>125</v>
      </c>
      <c r="E1448" s="337" t="s">
        <v>125</v>
      </c>
      <c r="F1448" s="311" t="s">
        <v>248</v>
      </c>
      <c r="G1448" s="311" t="s">
        <v>236</v>
      </c>
      <c r="H1448" s="311" t="s">
        <v>358</v>
      </c>
      <c r="I1448" s="311" t="s">
        <v>56</v>
      </c>
      <c r="J1448" s="50" t="s">
        <v>1892</v>
      </c>
      <c r="K1448" s="50" t="s">
        <v>1892</v>
      </c>
      <c r="L1448" s="50" t="s">
        <v>1893</v>
      </c>
      <c r="M1448" s="50" t="s">
        <v>3878</v>
      </c>
      <c r="N1448" s="50" t="s">
        <v>3878</v>
      </c>
      <c r="O1448" s="50" t="s">
        <v>3878</v>
      </c>
      <c r="P1448" s="50" t="s">
        <v>3878</v>
      </c>
    </row>
    <row r="1449" spans="1:16" ht="12.75" customHeight="1" x14ac:dyDescent="0.25">
      <c r="A1449" s="311">
        <v>1446</v>
      </c>
      <c r="B1449" s="311" t="s">
        <v>134</v>
      </c>
      <c r="C1449" s="311" t="s">
        <v>134</v>
      </c>
      <c r="D1449" s="311" t="s">
        <v>134</v>
      </c>
      <c r="E1449" s="337" t="s">
        <v>134</v>
      </c>
      <c r="F1449" s="311" t="s">
        <v>248</v>
      </c>
      <c r="G1449" s="311" t="s">
        <v>236</v>
      </c>
      <c r="H1449" s="311" t="s">
        <v>358</v>
      </c>
      <c r="I1449" s="311" t="s">
        <v>56</v>
      </c>
      <c r="J1449" s="50" t="s">
        <v>1892</v>
      </c>
      <c r="K1449" s="50" t="s">
        <v>1892</v>
      </c>
      <c r="L1449" s="50" t="s">
        <v>1893</v>
      </c>
      <c r="M1449" s="50" t="s">
        <v>3879</v>
      </c>
      <c r="N1449" s="50" t="s">
        <v>3879</v>
      </c>
      <c r="O1449" s="50" t="s">
        <v>3879</v>
      </c>
      <c r="P1449" s="50" t="s">
        <v>3879</v>
      </c>
    </row>
    <row r="1450" spans="1:16" ht="12.75" customHeight="1" x14ac:dyDescent="0.25">
      <c r="A1450" s="311">
        <v>1447</v>
      </c>
      <c r="B1450" s="311" t="s">
        <v>141</v>
      </c>
      <c r="C1450" s="311" t="s">
        <v>141</v>
      </c>
      <c r="D1450" s="311" t="s">
        <v>141</v>
      </c>
      <c r="E1450" s="337" t="s">
        <v>141</v>
      </c>
      <c r="F1450" s="311" t="s">
        <v>248</v>
      </c>
      <c r="G1450" s="311" t="s">
        <v>236</v>
      </c>
      <c r="H1450" s="311" t="s">
        <v>358</v>
      </c>
      <c r="I1450" s="311" t="s">
        <v>56</v>
      </c>
      <c r="J1450" s="50" t="s">
        <v>1892</v>
      </c>
      <c r="K1450" s="50" t="s">
        <v>1892</v>
      </c>
      <c r="L1450" s="50" t="s">
        <v>1893</v>
      </c>
      <c r="M1450" s="50" t="s">
        <v>3880</v>
      </c>
      <c r="N1450" s="50" t="s">
        <v>3880</v>
      </c>
      <c r="O1450" s="50" t="s">
        <v>3880</v>
      </c>
      <c r="P1450" s="50" t="s">
        <v>3880</v>
      </c>
    </row>
    <row r="1451" spans="1:16" ht="12.75" customHeight="1" x14ac:dyDescent="0.25">
      <c r="A1451" s="311">
        <v>1448</v>
      </c>
      <c r="B1451" s="311" t="s">
        <v>69</v>
      </c>
      <c r="C1451" s="311" t="s">
        <v>69</v>
      </c>
      <c r="D1451" s="311" t="s">
        <v>69</v>
      </c>
      <c r="E1451" s="337" t="s">
        <v>69</v>
      </c>
      <c r="F1451" s="311" t="s">
        <v>248</v>
      </c>
      <c r="G1451" s="311" t="s">
        <v>236</v>
      </c>
      <c r="H1451" s="311" t="s">
        <v>358</v>
      </c>
      <c r="I1451" s="311" t="s">
        <v>56</v>
      </c>
      <c r="J1451" s="50" t="s">
        <v>1892</v>
      </c>
      <c r="K1451" s="50" t="s">
        <v>1892</v>
      </c>
      <c r="L1451" s="50" t="s">
        <v>1893</v>
      </c>
      <c r="M1451" s="50" t="s">
        <v>3881</v>
      </c>
      <c r="N1451" s="50" t="s">
        <v>3881</v>
      </c>
      <c r="O1451" s="50" t="s">
        <v>3881</v>
      </c>
      <c r="P1451" s="50" t="s">
        <v>3881</v>
      </c>
    </row>
    <row r="1452" spans="1:16" ht="12.75" customHeight="1" x14ac:dyDescent="0.25">
      <c r="A1452" s="311">
        <v>1449</v>
      </c>
      <c r="B1452" s="311" t="s">
        <v>84</v>
      </c>
      <c r="C1452" s="311" t="s">
        <v>462</v>
      </c>
      <c r="D1452" s="311" t="s">
        <v>462</v>
      </c>
      <c r="E1452" s="337" t="s">
        <v>462</v>
      </c>
      <c r="F1452" s="311" t="s">
        <v>248</v>
      </c>
      <c r="G1452" s="311" t="s">
        <v>23</v>
      </c>
      <c r="H1452" s="311" t="s">
        <v>358</v>
      </c>
      <c r="I1452" s="311" t="s">
        <v>56</v>
      </c>
      <c r="J1452" s="50" t="s">
        <v>1892</v>
      </c>
      <c r="K1452" s="50" t="s">
        <v>1892</v>
      </c>
      <c r="L1452" s="50" t="s">
        <v>1893</v>
      </c>
      <c r="M1452" s="50" t="s">
        <v>3882</v>
      </c>
      <c r="N1452" s="50" t="s">
        <v>3883</v>
      </c>
      <c r="O1452" s="50" t="s">
        <v>3883</v>
      </c>
      <c r="P1452" s="50" t="s">
        <v>3883</v>
      </c>
    </row>
    <row r="1453" spans="1:16" ht="12.75" customHeight="1" x14ac:dyDescent="0.25">
      <c r="A1453" s="311">
        <v>1450</v>
      </c>
      <c r="B1453" s="311" t="s">
        <v>123</v>
      </c>
      <c r="C1453" s="311" t="s">
        <v>462</v>
      </c>
      <c r="D1453" s="311" t="s">
        <v>462</v>
      </c>
      <c r="E1453" s="337" t="s">
        <v>462</v>
      </c>
      <c r="F1453" s="311" t="s">
        <v>248</v>
      </c>
      <c r="G1453" s="311" t="s">
        <v>23</v>
      </c>
      <c r="H1453" s="311" t="s">
        <v>358</v>
      </c>
      <c r="I1453" s="311" t="s">
        <v>56</v>
      </c>
      <c r="J1453" s="50" t="s">
        <v>1892</v>
      </c>
      <c r="K1453" s="50" t="s">
        <v>1892</v>
      </c>
      <c r="L1453" s="50" t="s">
        <v>1893</v>
      </c>
      <c r="M1453" s="50" t="s">
        <v>3884</v>
      </c>
      <c r="N1453" s="50" t="s">
        <v>3883</v>
      </c>
      <c r="O1453" s="50" t="s">
        <v>3883</v>
      </c>
      <c r="P1453" s="50" t="s">
        <v>3883</v>
      </c>
    </row>
    <row r="1454" spans="1:16" ht="12.75" customHeight="1" x14ac:dyDescent="0.25">
      <c r="A1454" s="311">
        <v>1451</v>
      </c>
      <c r="B1454" s="311" t="s">
        <v>75</v>
      </c>
      <c r="C1454" s="311" t="s">
        <v>462</v>
      </c>
      <c r="D1454" s="311" t="s">
        <v>462</v>
      </c>
      <c r="E1454" s="337" t="s">
        <v>462</v>
      </c>
      <c r="F1454" s="311" t="s">
        <v>248</v>
      </c>
      <c r="G1454" s="311" t="s">
        <v>23</v>
      </c>
      <c r="H1454" s="311" t="s">
        <v>358</v>
      </c>
      <c r="I1454" s="311" t="s">
        <v>56</v>
      </c>
      <c r="J1454" s="50" t="s">
        <v>1892</v>
      </c>
      <c r="K1454" s="50" t="s">
        <v>1892</v>
      </c>
      <c r="L1454" s="50" t="s">
        <v>1893</v>
      </c>
      <c r="M1454" s="50" t="s">
        <v>3885</v>
      </c>
      <c r="N1454" s="50" t="s">
        <v>3883</v>
      </c>
      <c r="O1454" s="50" t="s">
        <v>3883</v>
      </c>
      <c r="P1454" s="50" t="s">
        <v>3883</v>
      </c>
    </row>
    <row r="1455" spans="1:16" ht="12.75" customHeight="1" x14ac:dyDescent="0.25">
      <c r="A1455" s="311">
        <v>1452</v>
      </c>
      <c r="B1455" s="311" t="s">
        <v>63</v>
      </c>
      <c r="C1455" s="311" t="s">
        <v>63</v>
      </c>
      <c r="D1455" s="311" t="s">
        <v>462</v>
      </c>
      <c r="E1455" s="337" t="s">
        <v>63</v>
      </c>
      <c r="F1455" s="311" t="s">
        <v>248</v>
      </c>
      <c r="G1455" s="311" t="s">
        <v>23</v>
      </c>
      <c r="H1455" s="311" t="s">
        <v>358</v>
      </c>
      <c r="I1455" s="311" t="s">
        <v>56</v>
      </c>
      <c r="J1455" s="50" t="s">
        <v>1892</v>
      </c>
      <c r="K1455" s="50" t="s">
        <v>1892</v>
      </c>
      <c r="L1455" s="50" t="s">
        <v>1893</v>
      </c>
      <c r="M1455" s="50" t="s">
        <v>3886</v>
      </c>
      <c r="N1455" s="50" t="s">
        <v>3886</v>
      </c>
      <c r="O1455" s="50" t="s">
        <v>3883</v>
      </c>
      <c r="P1455" s="50" t="s">
        <v>3886</v>
      </c>
    </row>
    <row r="1456" spans="1:16" ht="12.75" customHeight="1" x14ac:dyDescent="0.25">
      <c r="A1456" s="311">
        <v>1453</v>
      </c>
      <c r="B1456" s="311" t="s">
        <v>140</v>
      </c>
      <c r="C1456" s="311" t="s">
        <v>140</v>
      </c>
      <c r="D1456" s="311" t="s">
        <v>462</v>
      </c>
      <c r="E1456" s="337" t="s">
        <v>140</v>
      </c>
      <c r="F1456" s="311" t="s">
        <v>248</v>
      </c>
      <c r="G1456" s="311" t="s">
        <v>23</v>
      </c>
      <c r="H1456" s="311" t="s">
        <v>358</v>
      </c>
      <c r="I1456" s="311" t="s">
        <v>56</v>
      </c>
      <c r="J1456" s="50" t="s">
        <v>1892</v>
      </c>
      <c r="K1456" s="50" t="s">
        <v>1892</v>
      </c>
      <c r="L1456" s="50" t="s">
        <v>1893</v>
      </c>
      <c r="M1456" s="50" t="s">
        <v>3887</v>
      </c>
      <c r="N1456" s="50" t="s">
        <v>3887</v>
      </c>
      <c r="O1456" s="50" t="s">
        <v>3883</v>
      </c>
      <c r="P1456" s="50" t="s">
        <v>3887</v>
      </c>
    </row>
    <row r="1457" spans="1:16" ht="12.75" customHeight="1" x14ac:dyDescent="0.25">
      <c r="A1457" s="311">
        <v>1454</v>
      </c>
      <c r="B1457" s="311" t="s">
        <v>121</v>
      </c>
      <c r="C1457" s="311" t="s">
        <v>121</v>
      </c>
      <c r="D1457" s="311" t="s">
        <v>462</v>
      </c>
      <c r="E1457" s="337" t="s">
        <v>121</v>
      </c>
      <c r="F1457" s="311" t="s">
        <v>248</v>
      </c>
      <c r="G1457" s="311" t="s">
        <v>23</v>
      </c>
      <c r="H1457" s="311" t="s">
        <v>358</v>
      </c>
      <c r="I1457" s="311" t="s">
        <v>56</v>
      </c>
      <c r="J1457" s="50" t="s">
        <v>1892</v>
      </c>
      <c r="K1457" s="50" t="s">
        <v>1892</v>
      </c>
      <c r="L1457" s="50" t="s">
        <v>1893</v>
      </c>
      <c r="M1457" s="50" t="s">
        <v>3888</v>
      </c>
      <c r="N1457" s="50" t="s">
        <v>3888</v>
      </c>
      <c r="O1457" s="50" t="s">
        <v>3883</v>
      </c>
      <c r="P1457" s="50" t="s">
        <v>3888</v>
      </c>
    </row>
    <row r="1458" spans="1:16" ht="12.75" customHeight="1" x14ac:dyDescent="0.25">
      <c r="A1458" s="311">
        <v>1455</v>
      </c>
      <c r="B1458" s="311" t="s">
        <v>87</v>
      </c>
      <c r="C1458" s="311" t="s">
        <v>87</v>
      </c>
      <c r="D1458" s="311" t="s">
        <v>462</v>
      </c>
      <c r="E1458" s="337" t="s">
        <v>87</v>
      </c>
      <c r="F1458" s="311" t="s">
        <v>248</v>
      </c>
      <c r="G1458" s="311" t="s">
        <v>23</v>
      </c>
      <c r="H1458" s="311" t="s">
        <v>358</v>
      </c>
      <c r="I1458" s="311" t="s">
        <v>56</v>
      </c>
      <c r="J1458" s="50" t="s">
        <v>1892</v>
      </c>
      <c r="K1458" s="50" t="s">
        <v>1892</v>
      </c>
      <c r="L1458" s="50" t="s">
        <v>1893</v>
      </c>
      <c r="M1458" s="50" t="s">
        <v>3889</v>
      </c>
      <c r="N1458" s="50" t="s">
        <v>3889</v>
      </c>
      <c r="O1458" s="50" t="s">
        <v>3883</v>
      </c>
      <c r="P1458" s="50" t="s">
        <v>3889</v>
      </c>
    </row>
    <row r="1459" spans="1:16" ht="12.75" customHeight="1" x14ac:dyDescent="0.25">
      <c r="A1459" s="311">
        <v>1456</v>
      </c>
      <c r="B1459" s="311" t="s">
        <v>125</v>
      </c>
      <c r="C1459" s="311" t="s">
        <v>125</v>
      </c>
      <c r="D1459" s="311" t="s">
        <v>125</v>
      </c>
      <c r="E1459" s="337" t="s">
        <v>125</v>
      </c>
      <c r="F1459" s="311" t="s">
        <v>248</v>
      </c>
      <c r="G1459" s="311" t="s">
        <v>23</v>
      </c>
      <c r="H1459" s="311" t="s">
        <v>358</v>
      </c>
      <c r="I1459" s="311" t="s">
        <v>56</v>
      </c>
      <c r="J1459" s="50" t="s">
        <v>1892</v>
      </c>
      <c r="K1459" s="50" t="s">
        <v>1892</v>
      </c>
      <c r="L1459" s="50" t="s">
        <v>1893</v>
      </c>
      <c r="M1459" s="50" t="s">
        <v>3890</v>
      </c>
      <c r="N1459" s="50" t="s">
        <v>3890</v>
      </c>
      <c r="O1459" s="50" t="s">
        <v>3890</v>
      </c>
      <c r="P1459" s="50" t="s">
        <v>3890</v>
      </c>
    </row>
    <row r="1460" spans="1:16" ht="12.75" customHeight="1" x14ac:dyDescent="0.25">
      <c r="A1460" s="311">
        <v>1457</v>
      </c>
      <c r="B1460" s="311" t="s">
        <v>134</v>
      </c>
      <c r="C1460" s="311" t="s">
        <v>134</v>
      </c>
      <c r="D1460" s="311" t="s">
        <v>134</v>
      </c>
      <c r="E1460" s="337" t="s">
        <v>134</v>
      </c>
      <c r="F1460" s="311" t="s">
        <v>248</v>
      </c>
      <c r="G1460" s="311" t="s">
        <v>23</v>
      </c>
      <c r="H1460" s="311" t="s">
        <v>358</v>
      </c>
      <c r="I1460" s="311" t="s">
        <v>56</v>
      </c>
      <c r="J1460" s="50" t="s">
        <v>1892</v>
      </c>
      <c r="K1460" s="50" t="s">
        <v>1892</v>
      </c>
      <c r="L1460" s="50" t="s">
        <v>1893</v>
      </c>
      <c r="M1460" s="50" t="s">
        <v>3891</v>
      </c>
      <c r="N1460" s="50" t="s">
        <v>3891</v>
      </c>
      <c r="O1460" s="50" t="s">
        <v>3891</v>
      </c>
      <c r="P1460" s="50" t="s">
        <v>3891</v>
      </c>
    </row>
    <row r="1461" spans="1:16" ht="12.75" customHeight="1" x14ac:dyDescent="0.25">
      <c r="A1461" s="311">
        <v>1458</v>
      </c>
      <c r="B1461" s="311" t="s">
        <v>141</v>
      </c>
      <c r="C1461" s="311" t="s">
        <v>141</v>
      </c>
      <c r="D1461" s="311" t="s">
        <v>141</v>
      </c>
      <c r="E1461" s="337" t="s">
        <v>141</v>
      </c>
      <c r="F1461" s="311" t="s">
        <v>248</v>
      </c>
      <c r="G1461" s="311" t="s">
        <v>23</v>
      </c>
      <c r="H1461" s="311" t="s">
        <v>358</v>
      </c>
      <c r="I1461" s="311" t="s">
        <v>56</v>
      </c>
      <c r="J1461" s="50" t="s">
        <v>1892</v>
      </c>
      <c r="K1461" s="50" t="s">
        <v>1892</v>
      </c>
      <c r="L1461" s="50" t="s">
        <v>1893</v>
      </c>
      <c r="M1461" s="50" t="s">
        <v>3892</v>
      </c>
      <c r="N1461" s="50" t="s">
        <v>3892</v>
      </c>
      <c r="O1461" s="50" t="s">
        <v>3892</v>
      </c>
      <c r="P1461" s="50" t="s">
        <v>3892</v>
      </c>
    </row>
    <row r="1462" spans="1:16" ht="12.75" customHeight="1" x14ac:dyDescent="0.25">
      <c r="A1462" s="311">
        <v>1459</v>
      </c>
      <c r="B1462" s="311" t="s">
        <v>69</v>
      </c>
      <c r="C1462" s="311" t="s">
        <v>69</v>
      </c>
      <c r="D1462" s="311" t="s">
        <v>69</v>
      </c>
      <c r="E1462" s="337" t="s">
        <v>69</v>
      </c>
      <c r="F1462" s="311" t="s">
        <v>248</v>
      </c>
      <c r="G1462" s="311" t="s">
        <v>23</v>
      </c>
      <c r="H1462" s="311" t="s">
        <v>358</v>
      </c>
      <c r="I1462" s="311" t="s">
        <v>56</v>
      </c>
      <c r="J1462" s="50" t="s">
        <v>1892</v>
      </c>
      <c r="K1462" s="50" t="s">
        <v>1892</v>
      </c>
      <c r="L1462" s="50" t="s">
        <v>1893</v>
      </c>
      <c r="M1462" s="50" t="s">
        <v>3893</v>
      </c>
      <c r="N1462" s="50" t="s">
        <v>3893</v>
      </c>
      <c r="O1462" s="50" t="s">
        <v>3893</v>
      </c>
      <c r="P1462" s="50" t="s">
        <v>3893</v>
      </c>
    </row>
    <row r="1463" spans="1:16" ht="12.75" customHeight="1" x14ac:dyDescent="0.25">
      <c r="A1463" s="311">
        <v>1460</v>
      </c>
      <c r="B1463" s="311" t="s">
        <v>84</v>
      </c>
      <c r="C1463" s="311" t="s">
        <v>462</v>
      </c>
      <c r="D1463" s="311" t="s">
        <v>462</v>
      </c>
      <c r="E1463" s="337" t="s">
        <v>462</v>
      </c>
      <c r="F1463" s="311" t="s">
        <v>248</v>
      </c>
      <c r="G1463" s="311" t="s">
        <v>237</v>
      </c>
      <c r="H1463" s="311" t="s">
        <v>358</v>
      </c>
      <c r="I1463" s="311" t="s">
        <v>56</v>
      </c>
      <c r="J1463" s="50" t="s">
        <v>1892</v>
      </c>
      <c r="K1463" s="50" t="s">
        <v>1892</v>
      </c>
      <c r="L1463" s="50" t="s">
        <v>1893</v>
      </c>
      <c r="M1463" s="50" t="s">
        <v>3894</v>
      </c>
      <c r="N1463" s="50" t="s">
        <v>3895</v>
      </c>
      <c r="O1463" s="50" t="s">
        <v>3895</v>
      </c>
      <c r="P1463" s="50" t="s">
        <v>3895</v>
      </c>
    </row>
    <row r="1464" spans="1:16" ht="12.75" customHeight="1" x14ac:dyDescent="0.25">
      <c r="A1464" s="311">
        <v>1461</v>
      </c>
      <c r="B1464" s="311" t="s">
        <v>123</v>
      </c>
      <c r="C1464" s="311" t="s">
        <v>462</v>
      </c>
      <c r="D1464" s="311" t="s">
        <v>462</v>
      </c>
      <c r="E1464" s="337" t="s">
        <v>462</v>
      </c>
      <c r="F1464" s="311" t="s">
        <v>248</v>
      </c>
      <c r="G1464" s="311" t="s">
        <v>237</v>
      </c>
      <c r="H1464" s="311" t="s">
        <v>358</v>
      </c>
      <c r="I1464" s="311" t="s">
        <v>56</v>
      </c>
      <c r="J1464" s="50" t="s">
        <v>1892</v>
      </c>
      <c r="K1464" s="50" t="s">
        <v>1892</v>
      </c>
      <c r="L1464" s="50" t="s">
        <v>1893</v>
      </c>
      <c r="M1464" s="50" t="s">
        <v>3896</v>
      </c>
      <c r="N1464" s="50" t="s">
        <v>3895</v>
      </c>
      <c r="O1464" s="50" t="s">
        <v>3895</v>
      </c>
      <c r="P1464" s="50" t="s">
        <v>3895</v>
      </c>
    </row>
    <row r="1465" spans="1:16" ht="12.75" customHeight="1" x14ac:dyDescent="0.25">
      <c r="A1465" s="311">
        <v>1462</v>
      </c>
      <c r="B1465" s="311" t="s">
        <v>75</v>
      </c>
      <c r="C1465" s="311" t="s">
        <v>462</v>
      </c>
      <c r="D1465" s="311" t="s">
        <v>462</v>
      </c>
      <c r="E1465" s="337" t="s">
        <v>462</v>
      </c>
      <c r="F1465" s="311" t="s">
        <v>248</v>
      </c>
      <c r="G1465" s="311" t="s">
        <v>237</v>
      </c>
      <c r="H1465" s="311" t="s">
        <v>358</v>
      </c>
      <c r="I1465" s="311" t="s">
        <v>56</v>
      </c>
      <c r="J1465" s="50" t="s">
        <v>1892</v>
      </c>
      <c r="K1465" s="50" t="s">
        <v>1892</v>
      </c>
      <c r="L1465" s="50" t="s">
        <v>1893</v>
      </c>
      <c r="M1465" s="50" t="s">
        <v>3897</v>
      </c>
      <c r="N1465" s="50" t="s">
        <v>3895</v>
      </c>
      <c r="O1465" s="50" t="s">
        <v>3895</v>
      </c>
      <c r="P1465" s="50" t="s">
        <v>3895</v>
      </c>
    </row>
    <row r="1466" spans="1:16" ht="12.75" customHeight="1" x14ac:dyDescent="0.25">
      <c r="A1466" s="311">
        <v>1463</v>
      </c>
      <c r="B1466" s="311" t="s">
        <v>63</v>
      </c>
      <c r="C1466" s="311" t="s">
        <v>63</v>
      </c>
      <c r="D1466" s="311" t="s">
        <v>462</v>
      </c>
      <c r="E1466" s="337" t="s">
        <v>63</v>
      </c>
      <c r="F1466" s="311" t="s">
        <v>248</v>
      </c>
      <c r="G1466" s="311" t="s">
        <v>237</v>
      </c>
      <c r="H1466" s="311" t="s">
        <v>358</v>
      </c>
      <c r="I1466" s="311" t="s">
        <v>56</v>
      </c>
      <c r="J1466" s="50" t="s">
        <v>1892</v>
      </c>
      <c r="K1466" s="50" t="s">
        <v>1892</v>
      </c>
      <c r="L1466" s="50" t="s">
        <v>1893</v>
      </c>
      <c r="M1466" s="50" t="s">
        <v>3898</v>
      </c>
      <c r="N1466" s="50" t="s">
        <v>3898</v>
      </c>
      <c r="O1466" s="50" t="s">
        <v>3895</v>
      </c>
      <c r="P1466" s="50" t="s">
        <v>3898</v>
      </c>
    </row>
    <row r="1467" spans="1:16" ht="12.75" customHeight="1" x14ac:dyDescent="0.25">
      <c r="A1467" s="311">
        <v>1464</v>
      </c>
      <c r="B1467" s="311" t="s">
        <v>140</v>
      </c>
      <c r="C1467" s="311" t="s">
        <v>140</v>
      </c>
      <c r="D1467" s="311" t="s">
        <v>462</v>
      </c>
      <c r="E1467" s="337" t="s">
        <v>140</v>
      </c>
      <c r="F1467" s="311" t="s">
        <v>248</v>
      </c>
      <c r="G1467" s="311" t="s">
        <v>237</v>
      </c>
      <c r="H1467" s="311" t="s">
        <v>358</v>
      </c>
      <c r="I1467" s="311" t="s">
        <v>56</v>
      </c>
      <c r="J1467" s="50" t="s">
        <v>1892</v>
      </c>
      <c r="K1467" s="50" t="s">
        <v>1892</v>
      </c>
      <c r="L1467" s="50" t="s">
        <v>1893</v>
      </c>
      <c r="M1467" s="50" t="s">
        <v>3899</v>
      </c>
      <c r="N1467" s="50" t="s">
        <v>3899</v>
      </c>
      <c r="O1467" s="50" t="s">
        <v>3895</v>
      </c>
      <c r="P1467" s="50" t="s">
        <v>3899</v>
      </c>
    </row>
    <row r="1468" spans="1:16" ht="12.75" customHeight="1" x14ac:dyDescent="0.25">
      <c r="A1468" s="311">
        <v>1465</v>
      </c>
      <c r="B1468" s="311" t="s">
        <v>121</v>
      </c>
      <c r="C1468" s="311" t="s">
        <v>121</v>
      </c>
      <c r="D1468" s="311" t="s">
        <v>462</v>
      </c>
      <c r="E1468" s="337" t="s">
        <v>121</v>
      </c>
      <c r="F1468" s="311" t="s">
        <v>248</v>
      </c>
      <c r="G1468" s="311" t="s">
        <v>237</v>
      </c>
      <c r="H1468" s="311" t="s">
        <v>358</v>
      </c>
      <c r="I1468" s="311" t="s">
        <v>56</v>
      </c>
      <c r="J1468" s="50" t="s">
        <v>1892</v>
      </c>
      <c r="K1468" s="50" t="s">
        <v>1892</v>
      </c>
      <c r="L1468" s="50" t="s">
        <v>1893</v>
      </c>
      <c r="M1468" s="50" t="s">
        <v>3900</v>
      </c>
      <c r="N1468" s="50" t="s">
        <v>3900</v>
      </c>
      <c r="O1468" s="50" t="s">
        <v>3895</v>
      </c>
      <c r="P1468" s="50" t="s">
        <v>3900</v>
      </c>
    </row>
    <row r="1469" spans="1:16" ht="12.75" customHeight="1" x14ac:dyDescent="0.25">
      <c r="A1469" s="311">
        <v>1466</v>
      </c>
      <c r="B1469" s="311" t="s">
        <v>87</v>
      </c>
      <c r="C1469" s="311" t="s">
        <v>87</v>
      </c>
      <c r="D1469" s="311" t="s">
        <v>462</v>
      </c>
      <c r="E1469" s="337" t="s">
        <v>87</v>
      </c>
      <c r="F1469" s="311" t="s">
        <v>248</v>
      </c>
      <c r="G1469" s="311" t="s">
        <v>237</v>
      </c>
      <c r="H1469" s="311" t="s">
        <v>358</v>
      </c>
      <c r="I1469" s="311" t="s">
        <v>56</v>
      </c>
      <c r="J1469" s="50" t="s">
        <v>1892</v>
      </c>
      <c r="K1469" s="50" t="s">
        <v>1892</v>
      </c>
      <c r="L1469" s="50" t="s">
        <v>1893</v>
      </c>
      <c r="M1469" s="50" t="s">
        <v>3901</v>
      </c>
      <c r="N1469" s="50" t="s">
        <v>3901</v>
      </c>
      <c r="O1469" s="50" t="s">
        <v>3895</v>
      </c>
      <c r="P1469" s="50" t="s">
        <v>3901</v>
      </c>
    </row>
    <row r="1470" spans="1:16" ht="12.75" customHeight="1" x14ac:dyDescent="0.25">
      <c r="A1470" s="311">
        <v>1467</v>
      </c>
      <c r="B1470" s="311" t="s">
        <v>125</v>
      </c>
      <c r="C1470" s="311" t="s">
        <v>125</v>
      </c>
      <c r="D1470" s="311" t="s">
        <v>125</v>
      </c>
      <c r="E1470" s="337" t="s">
        <v>125</v>
      </c>
      <c r="F1470" s="311" t="s">
        <v>248</v>
      </c>
      <c r="G1470" s="311" t="s">
        <v>237</v>
      </c>
      <c r="H1470" s="311" t="s">
        <v>358</v>
      </c>
      <c r="I1470" s="311" t="s">
        <v>56</v>
      </c>
      <c r="J1470" s="50" t="s">
        <v>1892</v>
      </c>
      <c r="K1470" s="50" t="s">
        <v>1892</v>
      </c>
      <c r="L1470" s="50" t="s">
        <v>1893</v>
      </c>
      <c r="M1470" s="50" t="s">
        <v>3902</v>
      </c>
      <c r="N1470" s="50" t="s">
        <v>3902</v>
      </c>
      <c r="O1470" s="50" t="s">
        <v>3902</v>
      </c>
      <c r="P1470" s="50" t="s">
        <v>3902</v>
      </c>
    </row>
    <row r="1471" spans="1:16" ht="12.75" customHeight="1" x14ac:dyDescent="0.25">
      <c r="A1471" s="311">
        <v>1468</v>
      </c>
      <c r="B1471" s="311" t="s">
        <v>134</v>
      </c>
      <c r="C1471" s="311" t="s">
        <v>134</v>
      </c>
      <c r="D1471" s="311" t="s">
        <v>134</v>
      </c>
      <c r="E1471" s="337" t="s">
        <v>134</v>
      </c>
      <c r="F1471" s="311" t="s">
        <v>248</v>
      </c>
      <c r="G1471" s="311" t="s">
        <v>237</v>
      </c>
      <c r="H1471" s="311" t="s">
        <v>358</v>
      </c>
      <c r="I1471" s="311" t="s">
        <v>56</v>
      </c>
      <c r="J1471" s="50" t="s">
        <v>1892</v>
      </c>
      <c r="K1471" s="50" t="s">
        <v>1892</v>
      </c>
      <c r="L1471" s="50" t="s">
        <v>1893</v>
      </c>
      <c r="M1471" s="50" t="s">
        <v>3903</v>
      </c>
      <c r="N1471" s="50" t="s">
        <v>3903</v>
      </c>
      <c r="O1471" s="50" t="s">
        <v>3903</v>
      </c>
      <c r="P1471" s="50" t="s">
        <v>3903</v>
      </c>
    </row>
    <row r="1472" spans="1:16" ht="12.75" customHeight="1" x14ac:dyDescent="0.25">
      <c r="A1472" s="311">
        <v>1469</v>
      </c>
      <c r="B1472" s="311" t="s">
        <v>141</v>
      </c>
      <c r="C1472" s="311" t="s">
        <v>141</v>
      </c>
      <c r="D1472" s="311" t="s">
        <v>141</v>
      </c>
      <c r="E1472" s="337" t="s">
        <v>141</v>
      </c>
      <c r="F1472" s="311" t="s">
        <v>248</v>
      </c>
      <c r="G1472" s="311" t="s">
        <v>237</v>
      </c>
      <c r="H1472" s="311" t="s">
        <v>358</v>
      </c>
      <c r="I1472" s="311" t="s">
        <v>56</v>
      </c>
      <c r="J1472" s="50" t="s">
        <v>1892</v>
      </c>
      <c r="K1472" s="50" t="s">
        <v>1892</v>
      </c>
      <c r="L1472" s="50" t="s">
        <v>1893</v>
      </c>
      <c r="M1472" s="50" t="s">
        <v>3904</v>
      </c>
      <c r="N1472" s="50" t="s">
        <v>3904</v>
      </c>
      <c r="O1472" s="50" t="s">
        <v>3904</v>
      </c>
      <c r="P1472" s="50" t="s">
        <v>3904</v>
      </c>
    </row>
    <row r="1473" spans="1:16" ht="12.75" customHeight="1" x14ac:dyDescent="0.25">
      <c r="A1473" s="311">
        <v>1470</v>
      </c>
      <c r="B1473" s="311" t="s">
        <v>69</v>
      </c>
      <c r="C1473" s="311" t="s">
        <v>69</v>
      </c>
      <c r="D1473" s="311" t="s">
        <v>69</v>
      </c>
      <c r="E1473" s="337" t="s">
        <v>69</v>
      </c>
      <c r="F1473" s="311" t="s">
        <v>248</v>
      </c>
      <c r="G1473" s="311" t="s">
        <v>237</v>
      </c>
      <c r="H1473" s="311" t="s">
        <v>358</v>
      </c>
      <c r="I1473" s="311" t="s">
        <v>56</v>
      </c>
      <c r="J1473" s="50" t="s">
        <v>1892</v>
      </c>
      <c r="K1473" s="50" t="s">
        <v>1892</v>
      </c>
      <c r="L1473" s="50" t="s">
        <v>1893</v>
      </c>
      <c r="M1473" s="50" t="s">
        <v>3905</v>
      </c>
      <c r="N1473" s="50" t="s">
        <v>3905</v>
      </c>
      <c r="O1473" s="50" t="s">
        <v>3905</v>
      </c>
      <c r="P1473" s="50" t="s">
        <v>3905</v>
      </c>
    </row>
    <row r="1474" spans="1:16" ht="12.75" customHeight="1" x14ac:dyDescent="0.25">
      <c r="A1474" s="311">
        <v>1471</v>
      </c>
      <c r="B1474" s="311" t="s">
        <v>84</v>
      </c>
      <c r="C1474" s="311" t="s">
        <v>462</v>
      </c>
      <c r="D1474" s="311" t="s">
        <v>462</v>
      </c>
      <c r="E1474" s="337" t="s">
        <v>462</v>
      </c>
      <c r="F1474" s="311" t="s">
        <v>288</v>
      </c>
      <c r="G1474" s="311" t="s">
        <v>236</v>
      </c>
      <c r="H1474" s="311" t="s">
        <v>363</v>
      </c>
      <c r="I1474" s="311" t="s">
        <v>56</v>
      </c>
      <c r="J1474" s="50" t="s">
        <v>1892</v>
      </c>
      <c r="K1474" s="50" t="s">
        <v>1892</v>
      </c>
      <c r="L1474" s="50" t="s">
        <v>1893</v>
      </c>
      <c r="M1474" s="50" t="s">
        <v>3906</v>
      </c>
      <c r="N1474" s="50" t="s">
        <v>3907</v>
      </c>
      <c r="O1474" s="50" t="s">
        <v>3907</v>
      </c>
      <c r="P1474" s="50" t="s">
        <v>3907</v>
      </c>
    </row>
    <row r="1475" spans="1:16" ht="12.75" customHeight="1" x14ac:dyDescent="0.25">
      <c r="A1475" s="311">
        <v>1472</v>
      </c>
      <c r="B1475" s="311" t="s">
        <v>123</v>
      </c>
      <c r="C1475" s="311" t="s">
        <v>462</v>
      </c>
      <c r="D1475" s="311" t="s">
        <v>462</v>
      </c>
      <c r="E1475" s="337" t="s">
        <v>462</v>
      </c>
      <c r="F1475" s="311" t="s">
        <v>288</v>
      </c>
      <c r="G1475" s="311" t="s">
        <v>236</v>
      </c>
      <c r="H1475" s="311" t="s">
        <v>363</v>
      </c>
      <c r="I1475" s="311" t="s">
        <v>56</v>
      </c>
      <c r="J1475" s="50" t="s">
        <v>1892</v>
      </c>
      <c r="K1475" s="50" t="s">
        <v>1892</v>
      </c>
      <c r="L1475" s="50" t="s">
        <v>1893</v>
      </c>
      <c r="M1475" s="50" t="s">
        <v>3908</v>
      </c>
      <c r="N1475" s="50" t="s">
        <v>3907</v>
      </c>
      <c r="O1475" s="50" t="s">
        <v>3907</v>
      </c>
      <c r="P1475" s="50" t="s">
        <v>3907</v>
      </c>
    </row>
    <row r="1476" spans="1:16" ht="12.75" customHeight="1" x14ac:dyDescent="0.25">
      <c r="A1476" s="311">
        <v>1473</v>
      </c>
      <c r="B1476" s="311" t="s">
        <v>75</v>
      </c>
      <c r="C1476" s="311" t="s">
        <v>462</v>
      </c>
      <c r="D1476" s="311" t="s">
        <v>462</v>
      </c>
      <c r="E1476" s="337" t="s">
        <v>462</v>
      </c>
      <c r="F1476" s="311" t="s">
        <v>288</v>
      </c>
      <c r="G1476" s="311" t="s">
        <v>236</v>
      </c>
      <c r="H1476" s="311" t="s">
        <v>363</v>
      </c>
      <c r="I1476" s="311" t="s">
        <v>56</v>
      </c>
      <c r="J1476" s="50" t="s">
        <v>1892</v>
      </c>
      <c r="K1476" s="50" t="s">
        <v>1892</v>
      </c>
      <c r="L1476" s="50" t="s">
        <v>1893</v>
      </c>
      <c r="M1476" s="50" t="s">
        <v>3909</v>
      </c>
      <c r="N1476" s="50" t="s">
        <v>3907</v>
      </c>
      <c r="O1476" s="50" t="s">
        <v>3907</v>
      </c>
      <c r="P1476" s="50" t="s">
        <v>3907</v>
      </c>
    </row>
    <row r="1477" spans="1:16" ht="12.75" customHeight="1" x14ac:dyDescent="0.25">
      <c r="A1477" s="311">
        <v>1474</v>
      </c>
      <c r="B1477" s="311" t="s">
        <v>63</v>
      </c>
      <c r="C1477" s="311" t="s">
        <v>63</v>
      </c>
      <c r="D1477" s="311" t="s">
        <v>462</v>
      </c>
      <c r="E1477" s="337" t="s">
        <v>63</v>
      </c>
      <c r="F1477" s="311" t="s">
        <v>288</v>
      </c>
      <c r="G1477" s="311" t="s">
        <v>236</v>
      </c>
      <c r="H1477" s="311" t="s">
        <v>363</v>
      </c>
      <c r="I1477" s="311" t="s">
        <v>56</v>
      </c>
      <c r="J1477" s="50" t="s">
        <v>1892</v>
      </c>
      <c r="K1477" s="50" t="s">
        <v>1892</v>
      </c>
      <c r="L1477" s="50" t="s">
        <v>1893</v>
      </c>
      <c r="M1477" s="50" t="s">
        <v>3910</v>
      </c>
      <c r="N1477" s="50" t="s">
        <v>3910</v>
      </c>
      <c r="O1477" s="50" t="s">
        <v>3907</v>
      </c>
      <c r="P1477" s="50" t="s">
        <v>3910</v>
      </c>
    </row>
    <row r="1478" spans="1:16" ht="12.75" customHeight="1" x14ac:dyDescent="0.25">
      <c r="A1478" s="311">
        <v>1475</v>
      </c>
      <c r="B1478" s="311" t="s">
        <v>140</v>
      </c>
      <c r="C1478" s="311" t="s">
        <v>140</v>
      </c>
      <c r="D1478" s="311" t="s">
        <v>462</v>
      </c>
      <c r="E1478" s="337" t="s">
        <v>140</v>
      </c>
      <c r="F1478" s="311" t="s">
        <v>288</v>
      </c>
      <c r="G1478" s="311" t="s">
        <v>236</v>
      </c>
      <c r="H1478" s="311" t="s">
        <v>363</v>
      </c>
      <c r="I1478" s="311" t="s">
        <v>56</v>
      </c>
      <c r="J1478" s="50" t="s">
        <v>1892</v>
      </c>
      <c r="K1478" s="50" t="s">
        <v>1892</v>
      </c>
      <c r="L1478" s="50" t="s">
        <v>1893</v>
      </c>
      <c r="M1478" s="50" t="s">
        <v>3911</v>
      </c>
      <c r="N1478" s="50" t="s">
        <v>3911</v>
      </c>
      <c r="O1478" s="50" t="s">
        <v>3907</v>
      </c>
      <c r="P1478" s="50" t="s">
        <v>3911</v>
      </c>
    </row>
    <row r="1479" spans="1:16" ht="12.75" customHeight="1" x14ac:dyDescent="0.25">
      <c r="A1479" s="311">
        <v>1476</v>
      </c>
      <c r="B1479" s="311" t="s">
        <v>121</v>
      </c>
      <c r="C1479" s="311" t="s">
        <v>121</v>
      </c>
      <c r="D1479" s="311" t="s">
        <v>462</v>
      </c>
      <c r="E1479" s="337" t="s">
        <v>121</v>
      </c>
      <c r="F1479" s="311" t="s">
        <v>288</v>
      </c>
      <c r="G1479" s="311" t="s">
        <v>236</v>
      </c>
      <c r="H1479" s="311" t="s">
        <v>363</v>
      </c>
      <c r="I1479" s="311" t="s">
        <v>56</v>
      </c>
      <c r="J1479" s="50" t="s">
        <v>1892</v>
      </c>
      <c r="K1479" s="50" t="s">
        <v>1892</v>
      </c>
      <c r="L1479" s="50" t="s">
        <v>1893</v>
      </c>
      <c r="M1479" s="50" t="s">
        <v>3912</v>
      </c>
      <c r="N1479" s="50" t="s">
        <v>3912</v>
      </c>
      <c r="O1479" s="50" t="s">
        <v>3907</v>
      </c>
      <c r="P1479" s="50" t="s">
        <v>3912</v>
      </c>
    </row>
    <row r="1480" spans="1:16" ht="12.75" customHeight="1" x14ac:dyDescent="0.25">
      <c r="A1480" s="311">
        <v>1477</v>
      </c>
      <c r="B1480" s="311" t="s">
        <v>87</v>
      </c>
      <c r="C1480" s="311" t="s">
        <v>87</v>
      </c>
      <c r="D1480" s="311" t="s">
        <v>462</v>
      </c>
      <c r="E1480" s="337" t="s">
        <v>87</v>
      </c>
      <c r="F1480" s="311" t="s">
        <v>288</v>
      </c>
      <c r="G1480" s="311" t="s">
        <v>236</v>
      </c>
      <c r="H1480" s="311" t="s">
        <v>363</v>
      </c>
      <c r="I1480" s="311" t="s">
        <v>56</v>
      </c>
      <c r="J1480" s="50" t="s">
        <v>1892</v>
      </c>
      <c r="K1480" s="50" t="s">
        <v>1892</v>
      </c>
      <c r="L1480" s="50" t="s">
        <v>1893</v>
      </c>
      <c r="M1480" s="50" t="s">
        <v>3913</v>
      </c>
      <c r="N1480" s="50" t="s">
        <v>3913</v>
      </c>
      <c r="O1480" s="50" t="s">
        <v>3907</v>
      </c>
      <c r="P1480" s="50" t="s">
        <v>3913</v>
      </c>
    </row>
    <row r="1481" spans="1:16" ht="12.75" customHeight="1" x14ac:dyDescent="0.25">
      <c r="A1481" s="311">
        <v>1478</v>
      </c>
      <c r="B1481" s="311" t="s">
        <v>125</v>
      </c>
      <c r="C1481" s="311" t="s">
        <v>125</v>
      </c>
      <c r="D1481" s="311" t="s">
        <v>125</v>
      </c>
      <c r="E1481" s="337" t="s">
        <v>125</v>
      </c>
      <c r="F1481" s="311" t="s">
        <v>288</v>
      </c>
      <c r="G1481" s="311" t="s">
        <v>236</v>
      </c>
      <c r="H1481" s="311" t="s">
        <v>363</v>
      </c>
      <c r="I1481" s="311" t="s">
        <v>56</v>
      </c>
      <c r="J1481" s="50" t="s">
        <v>1892</v>
      </c>
      <c r="K1481" s="50" t="s">
        <v>1892</v>
      </c>
      <c r="L1481" s="50" t="s">
        <v>1893</v>
      </c>
      <c r="M1481" s="50" t="s">
        <v>3914</v>
      </c>
      <c r="N1481" s="50" t="s">
        <v>3914</v>
      </c>
      <c r="O1481" s="50" t="s">
        <v>3914</v>
      </c>
      <c r="P1481" s="50" t="s">
        <v>3914</v>
      </c>
    </row>
    <row r="1482" spans="1:16" ht="12.75" customHeight="1" x14ac:dyDescent="0.25">
      <c r="A1482" s="311">
        <v>1479</v>
      </c>
      <c r="B1482" s="311" t="s">
        <v>134</v>
      </c>
      <c r="C1482" s="311" t="s">
        <v>134</v>
      </c>
      <c r="D1482" s="311" t="s">
        <v>134</v>
      </c>
      <c r="E1482" s="337" t="s">
        <v>134</v>
      </c>
      <c r="F1482" s="311" t="s">
        <v>288</v>
      </c>
      <c r="G1482" s="311" t="s">
        <v>236</v>
      </c>
      <c r="H1482" s="311" t="s">
        <v>363</v>
      </c>
      <c r="I1482" s="311" t="s">
        <v>56</v>
      </c>
      <c r="J1482" s="50" t="s">
        <v>1892</v>
      </c>
      <c r="K1482" s="50" t="s">
        <v>1892</v>
      </c>
      <c r="L1482" s="50" t="s">
        <v>1893</v>
      </c>
      <c r="M1482" s="50" t="s">
        <v>3915</v>
      </c>
      <c r="N1482" s="50" t="s">
        <v>3915</v>
      </c>
      <c r="O1482" s="50" t="s">
        <v>3915</v>
      </c>
      <c r="P1482" s="50" t="s">
        <v>3915</v>
      </c>
    </row>
    <row r="1483" spans="1:16" ht="12.75" customHeight="1" x14ac:dyDescent="0.25">
      <c r="A1483" s="311">
        <v>1480</v>
      </c>
      <c r="B1483" s="311" t="s">
        <v>141</v>
      </c>
      <c r="C1483" s="311" t="s">
        <v>141</v>
      </c>
      <c r="D1483" s="311" t="s">
        <v>141</v>
      </c>
      <c r="E1483" s="337" t="s">
        <v>141</v>
      </c>
      <c r="F1483" s="311" t="s">
        <v>288</v>
      </c>
      <c r="G1483" s="311" t="s">
        <v>236</v>
      </c>
      <c r="H1483" s="311" t="s">
        <v>363</v>
      </c>
      <c r="I1483" s="311" t="s">
        <v>56</v>
      </c>
      <c r="J1483" s="50" t="s">
        <v>1892</v>
      </c>
      <c r="K1483" s="50" t="s">
        <v>1892</v>
      </c>
      <c r="L1483" s="50" t="s">
        <v>1893</v>
      </c>
      <c r="M1483" s="50" t="s">
        <v>3916</v>
      </c>
      <c r="N1483" s="50" t="s">
        <v>3916</v>
      </c>
      <c r="O1483" s="50" t="s">
        <v>3916</v>
      </c>
      <c r="P1483" s="50" t="s">
        <v>3916</v>
      </c>
    </row>
    <row r="1484" spans="1:16" ht="12.75" customHeight="1" x14ac:dyDescent="0.25">
      <c r="A1484" s="311">
        <v>1481</v>
      </c>
      <c r="B1484" s="311" t="s">
        <v>69</v>
      </c>
      <c r="C1484" s="311" t="s">
        <v>69</v>
      </c>
      <c r="D1484" s="311" t="s">
        <v>69</v>
      </c>
      <c r="E1484" s="337" t="s">
        <v>69</v>
      </c>
      <c r="F1484" s="311" t="s">
        <v>288</v>
      </c>
      <c r="G1484" s="311" t="s">
        <v>236</v>
      </c>
      <c r="H1484" s="311" t="s">
        <v>363</v>
      </c>
      <c r="I1484" s="311" t="s">
        <v>56</v>
      </c>
      <c r="J1484" s="50" t="s">
        <v>1892</v>
      </c>
      <c r="K1484" s="50" t="s">
        <v>1892</v>
      </c>
      <c r="L1484" s="50" t="s">
        <v>1893</v>
      </c>
      <c r="M1484" s="50" t="s">
        <v>3917</v>
      </c>
      <c r="N1484" s="50" t="s">
        <v>3917</v>
      </c>
      <c r="O1484" s="50" t="s">
        <v>3917</v>
      </c>
      <c r="P1484" s="50" t="s">
        <v>3917</v>
      </c>
    </row>
    <row r="1485" spans="1:16" ht="12.75" customHeight="1" x14ac:dyDescent="0.25">
      <c r="A1485" s="311">
        <v>1482</v>
      </c>
      <c r="B1485" s="311" t="s">
        <v>84</v>
      </c>
      <c r="C1485" s="311" t="s">
        <v>462</v>
      </c>
      <c r="D1485" s="311" t="s">
        <v>462</v>
      </c>
      <c r="E1485" s="337" t="s">
        <v>462</v>
      </c>
      <c r="F1485" s="311" t="s">
        <v>288</v>
      </c>
      <c r="G1485" s="311" t="s">
        <v>23</v>
      </c>
      <c r="H1485" s="311" t="s">
        <v>363</v>
      </c>
      <c r="I1485" s="311" t="s">
        <v>56</v>
      </c>
      <c r="J1485" s="50" t="s">
        <v>1892</v>
      </c>
      <c r="K1485" s="50" t="s">
        <v>1892</v>
      </c>
      <c r="L1485" s="50" t="s">
        <v>1893</v>
      </c>
      <c r="M1485" s="50" t="s">
        <v>3918</v>
      </c>
      <c r="N1485" s="50" t="s">
        <v>3919</v>
      </c>
      <c r="O1485" s="50" t="s">
        <v>3919</v>
      </c>
      <c r="P1485" s="50" t="s">
        <v>3919</v>
      </c>
    </row>
    <row r="1486" spans="1:16" ht="12.75" customHeight="1" x14ac:dyDescent="0.25">
      <c r="A1486" s="311">
        <v>1483</v>
      </c>
      <c r="B1486" s="311" t="s">
        <v>123</v>
      </c>
      <c r="C1486" s="311" t="s">
        <v>462</v>
      </c>
      <c r="D1486" s="311" t="s">
        <v>462</v>
      </c>
      <c r="E1486" s="337" t="s">
        <v>462</v>
      </c>
      <c r="F1486" s="311" t="s">
        <v>288</v>
      </c>
      <c r="G1486" s="311" t="s">
        <v>23</v>
      </c>
      <c r="H1486" s="311" t="s">
        <v>363</v>
      </c>
      <c r="I1486" s="311" t="s">
        <v>56</v>
      </c>
      <c r="J1486" s="50" t="s">
        <v>1892</v>
      </c>
      <c r="K1486" s="50" t="s">
        <v>1892</v>
      </c>
      <c r="L1486" s="50" t="s">
        <v>1893</v>
      </c>
      <c r="M1486" s="50" t="s">
        <v>3920</v>
      </c>
      <c r="N1486" s="50" t="s">
        <v>3919</v>
      </c>
      <c r="O1486" s="50" t="s">
        <v>3919</v>
      </c>
      <c r="P1486" s="50" t="s">
        <v>3919</v>
      </c>
    </row>
    <row r="1487" spans="1:16" ht="12.75" customHeight="1" x14ac:dyDescent="0.25">
      <c r="A1487" s="311">
        <v>1484</v>
      </c>
      <c r="B1487" s="311" t="s">
        <v>75</v>
      </c>
      <c r="C1487" s="311" t="s">
        <v>462</v>
      </c>
      <c r="D1487" s="311" t="s">
        <v>462</v>
      </c>
      <c r="E1487" s="337" t="s">
        <v>462</v>
      </c>
      <c r="F1487" s="311" t="s">
        <v>288</v>
      </c>
      <c r="G1487" s="311" t="s">
        <v>23</v>
      </c>
      <c r="H1487" s="311" t="s">
        <v>363</v>
      </c>
      <c r="I1487" s="311" t="s">
        <v>56</v>
      </c>
      <c r="J1487" s="50" t="s">
        <v>1892</v>
      </c>
      <c r="K1487" s="50" t="s">
        <v>1892</v>
      </c>
      <c r="L1487" s="50" t="s">
        <v>1893</v>
      </c>
      <c r="M1487" s="50" t="s">
        <v>3921</v>
      </c>
      <c r="N1487" s="50" t="s">
        <v>3919</v>
      </c>
      <c r="O1487" s="50" t="s">
        <v>3919</v>
      </c>
      <c r="P1487" s="50" t="s">
        <v>3919</v>
      </c>
    </row>
    <row r="1488" spans="1:16" ht="12.75" customHeight="1" x14ac:dyDescent="0.25">
      <c r="A1488" s="311">
        <v>1485</v>
      </c>
      <c r="B1488" s="311" t="s">
        <v>63</v>
      </c>
      <c r="C1488" s="311" t="s">
        <v>63</v>
      </c>
      <c r="D1488" s="311" t="s">
        <v>462</v>
      </c>
      <c r="E1488" s="337" t="s">
        <v>63</v>
      </c>
      <c r="F1488" s="311" t="s">
        <v>288</v>
      </c>
      <c r="G1488" s="311" t="s">
        <v>23</v>
      </c>
      <c r="H1488" s="311" t="s">
        <v>363</v>
      </c>
      <c r="I1488" s="311" t="s">
        <v>56</v>
      </c>
      <c r="J1488" s="50" t="s">
        <v>1892</v>
      </c>
      <c r="K1488" s="50" t="s">
        <v>1892</v>
      </c>
      <c r="L1488" s="50" t="s">
        <v>1893</v>
      </c>
      <c r="M1488" s="50" t="s">
        <v>3922</v>
      </c>
      <c r="N1488" s="50" t="s">
        <v>3922</v>
      </c>
      <c r="O1488" s="50" t="s">
        <v>3919</v>
      </c>
      <c r="P1488" s="50" t="s">
        <v>3922</v>
      </c>
    </row>
    <row r="1489" spans="1:16" ht="12.75" customHeight="1" x14ac:dyDescent="0.25">
      <c r="A1489" s="311">
        <v>1486</v>
      </c>
      <c r="B1489" s="311" t="s">
        <v>140</v>
      </c>
      <c r="C1489" s="311" t="s">
        <v>140</v>
      </c>
      <c r="D1489" s="311" t="s">
        <v>462</v>
      </c>
      <c r="E1489" s="337" t="s">
        <v>140</v>
      </c>
      <c r="F1489" s="311" t="s">
        <v>288</v>
      </c>
      <c r="G1489" s="311" t="s">
        <v>23</v>
      </c>
      <c r="H1489" s="311" t="s">
        <v>363</v>
      </c>
      <c r="I1489" s="311" t="s">
        <v>56</v>
      </c>
      <c r="J1489" s="50" t="s">
        <v>1892</v>
      </c>
      <c r="K1489" s="50" t="s">
        <v>1892</v>
      </c>
      <c r="L1489" s="50" t="s">
        <v>1893</v>
      </c>
      <c r="M1489" s="50" t="s">
        <v>3923</v>
      </c>
      <c r="N1489" s="50" t="s">
        <v>3923</v>
      </c>
      <c r="O1489" s="50" t="s">
        <v>3919</v>
      </c>
      <c r="P1489" s="50" t="s">
        <v>3923</v>
      </c>
    </row>
    <row r="1490" spans="1:16" ht="12.75" customHeight="1" x14ac:dyDescent="0.25">
      <c r="A1490" s="311">
        <v>1487</v>
      </c>
      <c r="B1490" s="311" t="s">
        <v>121</v>
      </c>
      <c r="C1490" s="311" t="s">
        <v>121</v>
      </c>
      <c r="D1490" s="311" t="s">
        <v>462</v>
      </c>
      <c r="E1490" s="337" t="s">
        <v>121</v>
      </c>
      <c r="F1490" s="311" t="s">
        <v>288</v>
      </c>
      <c r="G1490" s="311" t="s">
        <v>23</v>
      </c>
      <c r="H1490" s="311" t="s">
        <v>363</v>
      </c>
      <c r="I1490" s="311" t="s">
        <v>56</v>
      </c>
      <c r="J1490" s="50" t="s">
        <v>1892</v>
      </c>
      <c r="K1490" s="50" t="s">
        <v>1892</v>
      </c>
      <c r="L1490" s="50" t="s">
        <v>1893</v>
      </c>
      <c r="M1490" s="50" t="s">
        <v>3924</v>
      </c>
      <c r="N1490" s="50" t="s">
        <v>3924</v>
      </c>
      <c r="O1490" s="50" t="s">
        <v>3919</v>
      </c>
      <c r="P1490" s="50" t="s">
        <v>3924</v>
      </c>
    </row>
    <row r="1491" spans="1:16" ht="12.75" customHeight="1" x14ac:dyDescent="0.25">
      <c r="A1491" s="311">
        <v>1488</v>
      </c>
      <c r="B1491" s="311" t="s">
        <v>87</v>
      </c>
      <c r="C1491" s="311" t="s">
        <v>87</v>
      </c>
      <c r="D1491" s="311" t="s">
        <v>462</v>
      </c>
      <c r="E1491" s="337" t="s">
        <v>87</v>
      </c>
      <c r="F1491" s="311" t="s">
        <v>288</v>
      </c>
      <c r="G1491" s="311" t="s">
        <v>23</v>
      </c>
      <c r="H1491" s="311" t="s">
        <v>363</v>
      </c>
      <c r="I1491" s="311" t="s">
        <v>56</v>
      </c>
      <c r="J1491" s="50" t="s">
        <v>1892</v>
      </c>
      <c r="K1491" s="50" t="s">
        <v>1892</v>
      </c>
      <c r="L1491" s="50" t="s">
        <v>1893</v>
      </c>
      <c r="M1491" s="50" t="s">
        <v>3925</v>
      </c>
      <c r="N1491" s="50" t="s">
        <v>3925</v>
      </c>
      <c r="O1491" s="50" t="s">
        <v>3919</v>
      </c>
      <c r="P1491" s="50" t="s">
        <v>3925</v>
      </c>
    </row>
    <row r="1492" spans="1:16" ht="12.75" customHeight="1" x14ac:dyDescent="0.25">
      <c r="A1492" s="311">
        <v>1489</v>
      </c>
      <c r="B1492" s="311" t="s">
        <v>125</v>
      </c>
      <c r="C1492" s="311" t="s">
        <v>125</v>
      </c>
      <c r="D1492" s="311" t="s">
        <v>125</v>
      </c>
      <c r="E1492" s="337" t="s">
        <v>125</v>
      </c>
      <c r="F1492" s="311" t="s">
        <v>288</v>
      </c>
      <c r="G1492" s="311" t="s">
        <v>23</v>
      </c>
      <c r="H1492" s="311" t="s">
        <v>363</v>
      </c>
      <c r="I1492" s="311" t="s">
        <v>56</v>
      </c>
      <c r="J1492" s="50" t="s">
        <v>1892</v>
      </c>
      <c r="K1492" s="50" t="s">
        <v>1892</v>
      </c>
      <c r="L1492" s="50" t="s">
        <v>1893</v>
      </c>
      <c r="M1492" s="50" t="s">
        <v>3926</v>
      </c>
      <c r="N1492" s="50" t="s">
        <v>3926</v>
      </c>
      <c r="O1492" s="50" t="s">
        <v>3926</v>
      </c>
      <c r="P1492" s="50" t="s">
        <v>3926</v>
      </c>
    </row>
    <row r="1493" spans="1:16" ht="12.75" customHeight="1" x14ac:dyDescent="0.25">
      <c r="A1493" s="311">
        <v>1490</v>
      </c>
      <c r="B1493" s="311" t="s">
        <v>134</v>
      </c>
      <c r="C1493" s="311" t="s">
        <v>134</v>
      </c>
      <c r="D1493" s="311" t="s">
        <v>134</v>
      </c>
      <c r="E1493" s="337" t="s">
        <v>134</v>
      </c>
      <c r="F1493" s="311" t="s">
        <v>288</v>
      </c>
      <c r="G1493" s="311" t="s">
        <v>23</v>
      </c>
      <c r="H1493" s="311" t="s">
        <v>363</v>
      </c>
      <c r="I1493" s="311" t="s">
        <v>56</v>
      </c>
      <c r="J1493" s="50" t="s">
        <v>1892</v>
      </c>
      <c r="K1493" s="50" t="s">
        <v>1892</v>
      </c>
      <c r="L1493" s="50" t="s">
        <v>1893</v>
      </c>
      <c r="M1493" s="50" t="s">
        <v>3927</v>
      </c>
      <c r="N1493" s="50" t="s">
        <v>3927</v>
      </c>
      <c r="O1493" s="50" t="s">
        <v>3927</v>
      </c>
      <c r="P1493" s="50" t="s">
        <v>3927</v>
      </c>
    </row>
    <row r="1494" spans="1:16" ht="12.75" customHeight="1" x14ac:dyDescent="0.25">
      <c r="A1494" s="311">
        <v>1491</v>
      </c>
      <c r="B1494" s="311" t="s">
        <v>141</v>
      </c>
      <c r="C1494" s="311" t="s">
        <v>141</v>
      </c>
      <c r="D1494" s="311" t="s">
        <v>141</v>
      </c>
      <c r="E1494" s="337" t="s">
        <v>141</v>
      </c>
      <c r="F1494" s="311" t="s">
        <v>288</v>
      </c>
      <c r="G1494" s="311" t="s">
        <v>23</v>
      </c>
      <c r="H1494" s="311" t="s">
        <v>363</v>
      </c>
      <c r="I1494" s="311" t="s">
        <v>56</v>
      </c>
      <c r="J1494" s="50" t="s">
        <v>1892</v>
      </c>
      <c r="K1494" s="50" t="s">
        <v>1892</v>
      </c>
      <c r="L1494" s="50" t="s">
        <v>1893</v>
      </c>
      <c r="M1494" s="50" t="s">
        <v>3928</v>
      </c>
      <c r="N1494" s="50" t="s">
        <v>3928</v>
      </c>
      <c r="O1494" s="50" t="s">
        <v>3928</v>
      </c>
      <c r="P1494" s="50" t="s">
        <v>3928</v>
      </c>
    </row>
    <row r="1495" spans="1:16" ht="12.75" customHeight="1" x14ac:dyDescent="0.25">
      <c r="A1495" s="311">
        <v>1492</v>
      </c>
      <c r="B1495" s="311" t="s">
        <v>69</v>
      </c>
      <c r="C1495" s="311" t="s">
        <v>69</v>
      </c>
      <c r="D1495" s="311" t="s">
        <v>69</v>
      </c>
      <c r="E1495" s="337" t="s">
        <v>69</v>
      </c>
      <c r="F1495" s="311" t="s">
        <v>288</v>
      </c>
      <c r="G1495" s="311" t="s">
        <v>23</v>
      </c>
      <c r="H1495" s="311" t="s">
        <v>363</v>
      </c>
      <c r="I1495" s="311" t="s">
        <v>56</v>
      </c>
      <c r="J1495" s="50" t="s">
        <v>1892</v>
      </c>
      <c r="K1495" s="50" t="s">
        <v>1892</v>
      </c>
      <c r="L1495" s="50" t="s">
        <v>1893</v>
      </c>
      <c r="M1495" s="50" t="s">
        <v>3929</v>
      </c>
      <c r="N1495" s="50" t="s">
        <v>3929</v>
      </c>
      <c r="O1495" s="50" t="s">
        <v>3929</v>
      </c>
      <c r="P1495" s="50" t="s">
        <v>3929</v>
      </c>
    </row>
    <row r="1496" spans="1:16" ht="12.75" customHeight="1" x14ac:dyDescent="0.25">
      <c r="A1496" s="311">
        <v>1493</v>
      </c>
      <c r="B1496" s="311" t="s">
        <v>84</v>
      </c>
      <c r="C1496" s="311" t="s">
        <v>462</v>
      </c>
      <c r="D1496" s="311" t="s">
        <v>462</v>
      </c>
      <c r="E1496" s="337" t="s">
        <v>462</v>
      </c>
      <c r="F1496" s="311" t="s">
        <v>288</v>
      </c>
      <c r="G1496" s="311" t="s">
        <v>237</v>
      </c>
      <c r="H1496" s="311" t="s">
        <v>363</v>
      </c>
      <c r="I1496" s="311" t="s">
        <v>56</v>
      </c>
      <c r="J1496" s="50" t="s">
        <v>1892</v>
      </c>
      <c r="K1496" s="50" t="s">
        <v>1892</v>
      </c>
      <c r="L1496" s="50" t="s">
        <v>1893</v>
      </c>
      <c r="M1496" s="50" t="s">
        <v>3930</v>
      </c>
      <c r="N1496" s="50" t="s">
        <v>3931</v>
      </c>
      <c r="O1496" s="50" t="s">
        <v>3931</v>
      </c>
      <c r="P1496" s="50" t="s">
        <v>3931</v>
      </c>
    </row>
    <row r="1497" spans="1:16" ht="12.75" customHeight="1" x14ac:dyDescent="0.25">
      <c r="A1497" s="311">
        <v>1494</v>
      </c>
      <c r="B1497" s="311" t="s">
        <v>123</v>
      </c>
      <c r="C1497" s="311" t="s">
        <v>462</v>
      </c>
      <c r="D1497" s="311" t="s">
        <v>462</v>
      </c>
      <c r="E1497" s="337" t="s">
        <v>462</v>
      </c>
      <c r="F1497" s="311" t="s">
        <v>288</v>
      </c>
      <c r="G1497" s="311" t="s">
        <v>237</v>
      </c>
      <c r="H1497" s="311" t="s">
        <v>363</v>
      </c>
      <c r="I1497" s="311" t="s">
        <v>56</v>
      </c>
      <c r="J1497" s="50" t="s">
        <v>1892</v>
      </c>
      <c r="K1497" s="50" t="s">
        <v>1892</v>
      </c>
      <c r="L1497" s="50" t="s">
        <v>1893</v>
      </c>
      <c r="M1497" s="50" t="s">
        <v>3932</v>
      </c>
      <c r="N1497" s="50" t="s">
        <v>3931</v>
      </c>
      <c r="O1497" s="50" t="s">
        <v>3931</v>
      </c>
      <c r="P1497" s="50" t="s">
        <v>3931</v>
      </c>
    </row>
    <row r="1498" spans="1:16" ht="12.75" customHeight="1" x14ac:dyDescent="0.25">
      <c r="A1498" s="311">
        <v>1495</v>
      </c>
      <c r="B1498" s="311" t="s">
        <v>75</v>
      </c>
      <c r="C1498" s="311" t="s">
        <v>462</v>
      </c>
      <c r="D1498" s="311" t="s">
        <v>462</v>
      </c>
      <c r="E1498" s="337" t="s">
        <v>462</v>
      </c>
      <c r="F1498" s="311" t="s">
        <v>288</v>
      </c>
      <c r="G1498" s="311" t="s">
        <v>237</v>
      </c>
      <c r="H1498" s="311" t="s">
        <v>363</v>
      </c>
      <c r="I1498" s="311" t="s">
        <v>56</v>
      </c>
      <c r="J1498" s="50" t="s">
        <v>1892</v>
      </c>
      <c r="K1498" s="50" t="s">
        <v>1892</v>
      </c>
      <c r="L1498" s="50" t="s">
        <v>1893</v>
      </c>
      <c r="M1498" s="50" t="s">
        <v>3933</v>
      </c>
      <c r="N1498" s="50" t="s">
        <v>3931</v>
      </c>
      <c r="O1498" s="50" t="s">
        <v>3931</v>
      </c>
      <c r="P1498" s="50" t="s">
        <v>3931</v>
      </c>
    </row>
    <row r="1499" spans="1:16" ht="12.75" customHeight="1" x14ac:dyDescent="0.25">
      <c r="A1499" s="311">
        <v>1496</v>
      </c>
      <c r="B1499" s="311" t="s">
        <v>63</v>
      </c>
      <c r="C1499" s="311" t="s">
        <v>63</v>
      </c>
      <c r="D1499" s="311" t="s">
        <v>462</v>
      </c>
      <c r="E1499" s="337" t="s">
        <v>63</v>
      </c>
      <c r="F1499" s="311" t="s">
        <v>288</v>
      </c>
      <c r="G1499" s="311" t="s">
        <v>237</v>
      </c>
      <c r="H1499" s="311" t="s">
        <v>363</v>
      </c>
      <c r="I1499" s="311" t="s">
        <v>56</v>
      </c>
      <c r="J1499" s="50" t="s">
        <v>1892</v>
      </c>
      <c r="K1499" s="50" t="s">
        <v>1892</v>
      </c>
      <c r="L1499" s="50" t="s">
        <v>1893</v>
      </c>
      <c r="M1499" s="50" t="s">
        <v>3934</v>
      </c>
      <c r="N1499" s="50" t="s">
        <v>3934</v>
      </c>
      <c r="O1499" s="50" t="s">
        <v>3931</v>
      </c>
      <c r="P1499" s="50" t="s">
        <v>3934</v>
      </c>
    </row>
    <row r="1500" spans="1:16" ht="12.75" customHeight="1" x14ac:dyDescent="0.25">
      <c r="A1500" s="311">
        <v>1497</v>
      </c>
      <c r="B1500" s="311" t="s">
        <v>140</v>
      </c>
      <c r="C1500" s="311" t="s">
        <v>140</v>
      </c>
      <c r="D1500" s="311" t="s">
        <v>462</v>
      </c>
      <c r="E1500" s="337" t="s">
        <v>140</v>
      </c>
      <c r="F1500" s="311" t="s">
        <v>288</v>
      </c>
      <c r="G1500" s="311" t="s">
        <v>237</v>
      </c>
      <c r="H1500" s="311" t="s">
        <v>363</v>
      </c>
      <c r="I1500" s="311" t="s">
        <v>56</v>
      </c>
      <c r="J1500" s="50" t="s">
        <v>1892</v>
      </c>
      <c r="K1500" s="50" t="s">
        <v>1892</v>
      </c>
      <c r="L1500" s="50" t="s">
        <v>1893</v>
      </c>
      <c r="M1500" s="50" t="s">
        <v>3935</v>
      </c>
      <c r="N1500" s="50" t="s">
        <v>3935</v>
      </c>
      <c r="O1500" s="50" t="s">
        <v>3931</v>
      </c>
      <c r="P1500" s="50" t="s">
        <v>3935</v>
      </c>
    </row>
    <row r="1501" spans="1:16" ht="12.75" customHeight="1" x14ac:dyDescent="0.25">
      <c r="A1501" s="311">
        <v>1498</v>
      </c>
      <c r="B1501" s="311" t="s">
        <v>121</v>
      </c>
      <c r="C1501" s="311" t="s">
        <v>121</v>
      </c>
      <c r="D1501" s="311" t="s">
        <v>462</v>
      </c>
      <c r="E1501" s="337" t="s">
        <v>121</v>
      </c>
      <c r="F1501" s="311" t="s">
        <v>288</v>
      </c>
      <c r="G1501" s="311" t="s">
        <v>237</v>
      </c>
      <c r="H1501" s="311" t="s">
        <v>363</v>
      </c>
      <c r="I1501" s="311" t="s">
        <v>56</v>
      </c>
      <c r="J1501" s="50" t="s">
        <v>1892</v>
      </c>
      <c r="K1501" s="50" t="s">
        <v>1892</v>
      </c>
      <c r="L1501" s="50" t="s">
        <v>1893</v>
      </c>
      <c r="M1501" s="50" t="s">
        <v>3936</v>
      </c>
      <c r="N1501" s="50" t="s">
        <v>3936</v>
      </c>
      <c r="O1501" s="50" t="s">
        <v>3931</v>
      </c>
      <c r="P1501" s="50" t="s">
        <v>3936</v>
      </c>
    </row>
    <row r="1502" spans="1:16" ht="12.75" customHeight="1" x14ac:dyDescent="0.25">
      <c r="A1502" s="311">
        <v>1499</v>
      </c>
      <c r="B1502" s="311" t="s">
        <v>87</v>
      </c>
      <c r="C1502" s="311" t="s">
        <v>87</v>
      </c>
      <c r="D1502" s="311" t="s">
        <v>462</v>
      </c>
      <c r="E1502" s="337" t="s">
        <v>87</v>
      </c>
      <c r="F1502" s="311" t="s">
        <v>288</v>
      </c>
      <c r="G1502" s="311" t="s">
        <v>237</v>
      </c>
      <c r="H1502" s="311" t="s">
        <v>363</v>
      </c>
      <c r="I1502" s="311" t="s">
        <v>56</v>
      </c>
      <c r="J1502" s="50" t="s">
        <v>1892</v>
      </c>
      <c r="K1502" s="50" t="s">
        <v>1892</v>
      </c>
      <c r="L1502" s="50" t="s">
        <v>1893</v>
      </c>
      <c r="M1502" s="50" t="s">
        <v>3937</v>
      </c>
      <c r="N1502" s="50" t="s">
        <v>3937</v>
      </c>
      <c r="O1502" s="50" t="s">
        <v>3931</v>
      </c>
      <c r="P1502" s="50" t="s">
        <v>3937</v>
      </c>
    </row>
    <row r="1503" spans="1:16" ht="12.75" customHeight="1" x14ac:dyDescent="0.25">
      <c r="A1503" s="311">
        <v>1500</v>
      </c>
      <c r="B1503" s="311" t="s">
        <v>125</v>
      </c>
      <c r="C1503" s="311" t="s">
        <v>125</v>
      </c>
      <c r="D1503" s="311" t="s">
        <v>125</v>
      </c>
      <c r="E1503" s="337" t="s">
        <v>125</v>
      </c>
      <c r="F1503" s="311" t="s">
        <v>288</v>
      </c>
      <c r="G1503" s="311" t="s">
        <v>237</v>
      </c>
      <c r="H1503" s="311" t="s">
        <v>363</v>
      </c>
      <c r="I1503" s="311" t="s">
        <v>56</v>
      </c>
      <c r="J1503" s="50" t="s">
        <v>1892</v>
      </c>
      <c r="K1503" s="50" t="s">
        <v>1892</v>
      </c>
      <c r="L1503" s="50" t="s">
        <v>1893</v>
      </c>
      <c r="M1503" s="50" t="s">
        <v>3938</v>
      </c>
      <c r="N1503" s="50" t="s">
        <v>3938</v>
      </c>
      <c r="O1503" s="50" t="s">
        <v>3938</v>
      </c>
      <c r="P1503" s="50" t="s">
        <v>3938</v>
      </c>
    </row>
    <row r="1504" spans="1:16" ht="12.75" customHeight="1" x14ac:dyDescent="0.25">
      <c r="A1504" s="311">
        <v>1501</v>
      </c>
      <c r="B1504" s="311" t="s">
        <v>134</v>
      </c>
      <c r="C1504" s="311" t="s">
        <v>134</v>
      </c>
      <c r="D1504" s="311" t="s">
        <v>134</v>
      </c>
      <c r="E1504" s="337" t="s">
        <v>134</v>
      </c>
      <c r="F1504" s="311" t="s">
        <v>288</v>
      </c>
      <c r="G1504" s="311" t="s">
        <v>237</v>
      </c>
      <c r="H1504" s="311" t="s">
        <v>363</v>
      </c>
      <c r="I1504" s="311" t="s">
        <v>56</v>
      </c>
      <c r="J1504" s="50" t="s">
        <v>1892</v>
      </c>
      <c r="K1504" s="50" t="s">
        <v>1892</v>
      </c>
      <c r="L1504" s="50" t="s">
        <v>1893</v>
      </c>
      <c r="M1504" s="50" t="s">
        <v>3939</v>
      </c>
      <c r="N1504" s="50" t="s">
        <v>3939</v>
      </c>
      <c r="O1504" s="50" t="s">
        <v>3939</v>
      </c>
      <c r="P1504" s="50" t="s">
        <v>3939</v>
      </c>
    </row>
    <row r="1505" spans="1:16" ht="12.75" customHeight="1" x14ac:dyDescent="0.25">
      <c r="A1505" s="311">
        <v>1502</v>
      </c>
      <c r="B1505" s="311" t="s">
        <v>141</v>
      </c>
      <c r="C1505" s="311" t="s">
        <v>141</v>
      </c>
      <c r="D1505" s="311" t="s">
        <v>141</v>
      </c>
      <c r="E1505" s="337" t="s">
        <v>141</v>
      </c>
      <c r="F1505" s="311" t="s">
        <v>288</v>
      </c>
      <c r="G1505" s="311" t="s">
        <v>237</v>
      </c>
      <c r="H1505" s="311" t="s">
        <v>363</v>
      </c>
      <c r="I1505" s="311" t="s">
        <v>56</v>
      </c>
      <c r="J1505" s="50" t="s">
        <v>1892</v>
      </c>
      <c r="K1505" s="50" t="s">
        <v>1892</v>
      </c>
      <c r="L1505" s="50" t="s">
        <v>1893</v>
      </c>
      <c r="M1505" s="50" t="s">
        <v>3940</v>
      </c>
      <c r="N1505" s="50" t="s">
        <v>3940</v>
      </c>
      <c r="O1505" s="50" t="s">
        <v>3940</v>
      </c>
      <c r="P1505" s="50" t="s">
        <v>3940</v>
      </c>
    </row>
    <row r="1506" spans="1:16" ht="12.75" customHeight="1" x14ac:dyDescent="0.25">
      <c r="A1506" s="311">
        <v>1503</v>
      </c>
      <c r="B1506" s="311" t="s">
        <v>69</v>
      </c>
      <c r="C1506" s="311" t="s">
        <v>69</v>
      </c>
      <c r="D1506" s="311" t="s">
        <v>69</v>
      </c>
      <c r="E1506" s="337" t="s">
        <v>69</v>
      </c>
      <c r="F1506" s="311" t="s">
        <v>288</v>
      </c>
      <c r="G1506" s="311" t="s">
        <v>237</v>
      </c>
      <c r="H1506" s="311" t="s">
        <v>363</v>
      </c>
      <c r="I1506" s="311" t="s">
        <v>56</v>
      </c>
      <c r="J1506" s="50" t="s">
        <v>1892</v>
      </c>
      <c r="K1506" s="50" t="s">
        <v>1892</v>
      </c>
      <c r="L1506" s="50" t="s">
        <v>1893</v>
      </c>
      <c r="M1506" s="50" t="s">
        <v>3941</v>
      </c>
      <c r="N1506" s="50" t="s">
        <v>3941</v>
      </c>
      <c r="O1506" s="50" t="s">
        <v>3941</v>
      </c>
      <c r="P1506" s="50" t="s">
        <v>3941</v>
      </c>
    </row>
    <row r="1507" spans="1:16" ht="12.75" customHeight="1" x14ac:dyDescent="0.25">
      <c r="A1507" s="311">
        <v>1504</v>
      </c>
      <c r="B1507" s="311" t="s">
        <v>84</v>
      </c>
      <c r="C1507" s="311" t="s">
        <v>462</v>
      </c>
      <c r="D1507" s="311" t="s">
        <v>462</v>
      </c>
      <c r="E1507" s="337" t="s">
        <v>462</v>
      </c>
      <c r="F1507" s="311" t="s">
        <v>290</v>
      </c>
      <c r="G1507" s="311" t="s">
        <v>236</v>
      </c>
      <c r="H1507" s="311" t="s">
        <v>365</v>
      </c>
      <c r="I1507" s="311" t="s">
        <v>56</v>
      </c>
      <c r="J1507" s="50" t="s">
        <v>1892</v>
      </c>
      <c r="K1507" s="50" t="s">
        <v>1892</v>
      </c>
      <c r="L1507" s="50" t="s">
        <v>1893</v>
      </c>
      <c r="M1507" s="50" t="s">
        <v>3942</v>
      </c>
      <c r="N1507" s="50" t="s">
        <v>3943</v>
      </c>
      <c r="O1507" s="50" t="s">
        <v>3943</v>
      </c>
      <c r="P1507" s="50" t="s">
        <v>3943</v>
      </c>
    </row>
    <row r="1508" spans="1:16" ht="12.75" customHeight="1" x14ac:dyDescent="0.25">
      <c r="A1508" s="311">
        <v>1505</v>
      </c>
      <c r="B1508" s="311" t="s">
        <v>123</v>
      </c>
      <c r="C1508" s="311" t="s">
        <v>462</v>
      </c>
      <c r="D1508" s="311" t="s">
        <v>462</v>
      </c>
      <c r="E1508" s="337" t="s">
        <v>462</v>
      </c>
      <c r="F1508" s="311" t="s">
        <v>290</v>
      </c>
      <c r="G1508" s="311" t="s">
        <v>236</v>
      </c>
      <c r="H1508" s="311" t="s">
        <v>365</v>
      </c>
      <c r="I1508" s="311" t="s">
        <v>56</v>
      </c>
      <c r="J1508" s="50" t="s">
        <v>1892</v>
      </c>
      <c r="K1508" s="50" t="s">
        <v>1892</v>
      </c>
      <c r="L1508" s="50" t="s">
        <v>1893</v>
      </c>
      <c r="M1508" s="50" t="s">
        <v>3944</v>
      </c>
      <c r="N1508" s="50" t="s">
        <v>3943</v>
      </c>
      <c r="O1508" s="50" t="s">
        <v>3943</v>
      </c>
      <c r="P1508" s="50" t="s">
        <v>3943</v>
      </c>
    </row>
    <row r="1509" spans="1:16" ht="12.75" customHeight="1" x14ac:dyDescent="0.25">
      <c r="A1509" s="311">
        <v>1506</v>
      </c>
      <c r="B1509" s="311" t="s">
        <v>75</v>
      </c>
      <c r="C1509" s="311" t="s">
        <v>462</v>
      </c>
      <c r="D1509" s="311" t="s">
        <v>462</v>
      </c>
      <c r="E1509" s="337" t="s">
        <v>462</v>
      </c>
      <c r="F1509" s="311" t="s">
        <v>290</v>
      </c>
      <c r="G1509" s="311" t="s">
        <v>236</v>
      </c>
      <c r="H1509" s="311" t="s">
        <v>365</v>
      </c>
      <c r="I1509" s="311" t="s">
        <v>56</v>
      </c>
      <c r="J1509" s="50" t="s">
        <v>1892</v>
      </c>
      <c r="K1509" s="50" t="s">
        <v>1892</v>
      </c>
      <c r="L1509" s="50" t="s">
        <v>1893</v>
      </c>
      <c r="M1509" s="50" t="s">
        <v>3945</v>
      </c>
      <c r="N1509" s="50" t="s">
        <v>3943</v>
      </c>
      <c r="O1509" s="50" t="s">
        <v>3943</v>
      </c>
      <c r="P1509" s="50" t="s">
        <v>3943</v>
      </c>
    </row>
    <row r="1510" spans="1:16" ht="12.75" customHeight="1" x14ac:dyDescent="0.25">
      <c r="A1510" s="311">
        <v>1507</v>
      </c>
      <c r="B1510" s="311" t="s">
        <v>63</v>
      </c>
      <c r="C1510" s="311" t="s">
        <v>63</v>
      </c>
      <c r="D1510" s="311" t="s">
        <v>462</v>
      </c>
      <c r="E1510" s="337" t="s">
        <v>63</v>
      </c>
      <c r="F1510" s="311" t="s">
        <v>290</v>
      </c>
      <c r="G1510" s="311" t="s">
        <v>236</v>
      </c>
      <c r="H1510" s="311" t="s">
        <v>365</v>
      </c>
      <c r="I1510" s="311" t="s">
        <v>56</v>
      </c>
      <c r="J1510" s="50" t="s">
        <v>1892</v>
      </c>
      <c r="K1510" s="50" t="s">
        <v>1892</v>
      </c>
      <c r="L1510" s="50" t="s">
        <v>1893</v>
      </c>
      <c r="M1510" s="50" t="s">
        <v>3946</v>
      </c>
      <c r="N1510" s="50" t="s">
        <v>3946</v>
      </c>
      <c r="O1510" s="50" t="s">
        <v>3943</v>
      </c>
      <c r="P1510" s="50" t="s">
        <v>3946</v>
      </c>
    </row>
    <row r="1511" spans="1:16" ht="12.75" customHeight="1" x14ac:dyDescent="0.25">
      <c r="A1511" s="311">
        <v>1508</v>
      </c>
      <c r="B1511" s="311" t="s">
        <v>140</v>
      </c>
      <c r="C1511" s="311" t="s">
        <v>140</v>
      </c>
      <c r="D1511" s="311" t="s">
        <v>462</v>
      </c>
      <c r="E1511" s="337" t="s">
        <v>140</v>
      </c>
      <c r="F1511" s="311" t="s">
        <v>290</v>
      </c>
      <c r="G1511" s="311" t="s">
        <v>236</v>
      </c>
      <c r="H1511" s="311" t="s">
        <v>365</v>
      </c>
      <c r="I1511" s="311" t="s">
        <v>56</v>
      </c>
      <c r="J1511" s="50" t="s">
        <v>1892</v>
      </c>
      <c r="K1511" s="50" t="s">
        <v>1892</v>
      </c>
      <c r="L1511" s="50" t="s">
        <v>1893</v>
      </c>
      <c r="M1511" s="50" t="s">
        <v>3947</v>
      </c>
      <c r="N1511" s="50" t="s">
        <v>3947</v>
      </c>
      <c r="O1511" s="50" t="s">
        <v>3943</v>
      </c>
      <c r="P1511" s="50" t="s">
        <v>3947</v>
      </c>
    </row>
    <row r="1512" spans="1:16" ht="12.75" customHeight="1" x14ac:dyDescent="0.25">
      <c r="A1512" s="311">
        <v>1509</v>
      </c>
      <c r="B1512" s="311" t="s">
        <v>121</v>
      </c>
      <c r="C1512" s="311" t="s">
        <v>121</v>
      </c>
      <c r="D1512" s="311" t="s">
        <v>462</v>
      </c>
      <c r="E1512" s="337" t="s">
        <v>121</v>
      </c>
      <c r="F1512" s="311" t="s">
        <v>290</v>
      </c>
      <c r="G1512" s="311" t="s">
        <v>236</v>
      </c>
      <c r="H1512" s="311" t="s">
        <v>365</v>
      </c>
      <c r="I1512" s="311" t="s">
        <v>56</v>
      </c>
      <c r="J1512" s="50" t="s">
        <v>1892</v>
      </c>
      <c r="K1512" s="50" t="s">
        <v>1892</v>
      </c>
      <c r="L1512" s="50" t="s">
        <v>1893</v>
      </c>
      <c r="M1512" s="50" t="s">
        <v>3948</v>
      </c>
      <c r="N1512" s="50" t="s">
        <v>3948</v>
      </c>
      <c r="O1512" s="50" t="s">
        <v>3943</v>
      </c>
      <c r="P1512" s="50" t="s">
        <v>3948</v>
      </c>
    </row>
    <row r="1513" spans="1:16" ht="12.75" customHeight="1" x14ac:dyDescent="0.25">
      <c r="A1513" s="311">
        <v>1510</v>
      </c>
      <c r="B1513" s="311" t="s">
        <v>87</v>
      </c>
      <c r="C1513" s="311" t="s">
        <v>87</v>
      </c>
      <c r="D1513" s="311" t="s">
        <v>462</v>
      </c>
      <c r="E1513" s="337" t="s">
        <v>87</v>
      </c>
      <c r="F1513" s="311" t="s">
        <v>290</v>
      </c>
      <c r="G1513" s="311" t="s">
        <v>236</v>
      </c>
      <c r="H1513" s="311" t="s">
        <v>365</v>
      </c>
      <c r="I1513" s="311" t="s">
        <v>56</v>
      </c>
      <c r="J1513" s="50" t="s">
        <v>1892</v>
      </c>
      <c r="K1513" s="50" t="s">
        <v>1892</v>
      </c>
      <c r="L1513" s="50" t="s">
        <v>1893</v>
      </c>
      <c r="M1513" s="50" t="s">
        <v>3949</v>
      </c>
      <c r="N1513" s="50" t="s">
        <v>3949</v>
      </c>
      <c r="O1513" s="50" t="s">
        <v>3943</v>
      </c>
      <c r="P1513" s="50" t="s">
        <v>3949</v>
      </c>
    </row>
    <row r="1514" spans="1:16" ht="12.75" customHeight="1" x14ac:dyDescent="0.25">
      <c r="A1514" s="311">
        <v>1511</v>
      </c>
      <c r="B1514" s="311" t="s">
        <v>125</v>
      </c>
      <c r="C1514" s="311" t="s">
        <v>125</v>
      </c>
      <c r="D1514" s="311" t="s">
        <v>125</v>
      </c>
      <c r="E1514" s="337" t="s">
        <v>125</v>
      </c>
      <c r="F1514" s="311" t="s">
        <v>290</v>
      </c>
      <c r="G1514" s="311" t="s">
        <v>236</v>
      </c>
      <c r="H1514" s="311" t="s">
        <v>365</v>
      </c>
      <c r="I1514" s="311" t="s">
        <v>56</v>
      </c>
      <c r="J1514" s="50" t="s">
        <v>1892</v>
      </c>
      <c r="K1514" s="50" t="s">
        <v>1892</v>
      </c>
      <c r="L1514" s="50" t="s">
        <v>1893</v>
      </c>
      <c r="M1514" s="50" t="s">
        <v>3950</v>
      </c>
      <c r="N1514" s="50" t="s">
        <v>3950</v>
      </c>
      <c r="O1514" s="50" t="s">
        <v>3950</v>
      </c>
      <c r="P1514" s="50" t="s">
        <v>3950</v>
      </c>
    </row>
    <row r="1515" spans="1:16" ht="12.75" customHeight="1" x14ac:dyDescent="0.25">
      <c r="A1515" s="311">
        <v>1512</v>
      </c>
      <c r="B1515" s="311" t="s">
        <v>134</v>
      </c>
      <c r="C1515" s="311" t="s">
        <v>134</v>
      </c>
      <c r="D1515" s="311" t="s">
        <v>134</v>
      </c>
      <c r="E1515" s="337" t="s">
        <v>134</v>
      </c>
      <c r="F1515" s="311" t="s">
        <v>290</v>
      </c>
      <c r="G1515" s="311" t="s">
        <v>236</v>
      </c>
      <c r="H1515" s="311" t="s">
        <v>365</v>
      </c>
      <c r="I1515" s="311" t="s">
        <v>56</v>
      </c>
      <c r="J1515" s="50" t="s">
        <v>1892</v>
      </c>
      <c r="K1515" s="50" t="s">
        <v>1892</v>
      </c>
      <c r="L1515" s="50" t="s">
        <v>1893</v>
      </c>
      <c r="M1515" s="50" t="s">
        <v>3951</v>
      </c>
      <c r="N1515" s="50" t="s">
        <v>3951</v>
      </c>
      <c r="O1515" s="50" t="s">
        <v>3951</v>
      </c>
      <c r="P1515" s="50" t="s">
        <v>3951</v>
      </c>
    </row>
    <row r="1516" spans="1:16" ht="12.75" customHeight="1" x14ac:dyDescent="0.25">
      <c r="A1516" s="311">
        <v>1513</v>
      </c>
      <c r="B1516" s="311" t="s">
        <v>141</v>
      </c>
      <c r="C1516" s="311" t="s">
        <v>141</v>
      </c>
      <c r="D1516" s="311" t="s">
        <v>141</v>
      </c>
      <c r="E1516" s="337" t="s">
        <v>141</v>
      </c>
      <c r="F1516" s="311" t="s">
        <v>290</v>
      </c>
      <c r="G1516" s="311" t="s">
        <v>236</v>
      </c>
      <c r="H1516" s="311" t="s">
        <v>365</v>
      </c>
      <c r="I1516" s="311" t="s">
        <v>56</v>
      </c>
      <c r="J1516" s="50" t="s">
        <v>1892</v>
      </c>
      <c r="K1516" s="50" t="s">
        <v>1892</v>
      </c>
      <c r="L1516" s="50" t="s">
        <v>1893</v>
      </c>
      <c r="M1516" s="50" t="s">
        <v>3952</v>
      </c>
      <c r="N1516" s="50" t="s">
        <v>3952</v>
      </c>
      <c r="O1516" s="50" t="s">
        <v>3952</v>
      </c>
      <c r="P1516" s="50" t="s">
        <v>3952</v>
      </c>
    </row>
    <row r="1517" spans="1:16" ht="12.75" customHeight="1" x14ac:dyDescent="0.25">
      <c r="A1517" s="311">
        <v>1514</v>
      </c>
      <c r="B1517" s="311" t="s">
        <v>69</v>
      </c>
      <c r="C1517" s="311" t="s">
        <v>69</v>
      </c>
      <c r="D1517" s="311" t="s">
        <v>69</v>
      </c>
      <c r="E1517" s="337" t="s">
        <v>69</v>
      </c>
      <c r="F1517" s="311" t="s">
        <v>290</v>
      </c>
      <c r="G1517" s="311" t="s">
        <v>236</v>
      </c>
      <c r="H1517" s="311" t="s">
        <v>365</v>
      </c>
      <c r="I1517" s="311" t="s">
        <v>56</v>
      </c>
      <c r="J1517" s="50" t="s">
        <v>1892</v>
      </c>
      <c r="K1517" s="50" t="s">
        <v>1892</v>
      </c>
      <c r="L1517" s="50" t="s">
        <v>1893</v>
      </c>
      <c r="M1517" s="50" t="s">
        <v>3953</v>
      </c>
      <c r="N1517" s="50" t="s">
        <v>3953</v>
      </c>
      <c r="O1517" s="50" t="s">
        <v>3953</v>
      </c>
      <c r="P1517" s="50" t="s">
        <v>3953</v>
      </c>
    </row>
    <row r="1518" spans="1:16" ht="12.75" customHeight="1" x14ac:dyDescent="0.25">
      <c r="A1518" s="311">
        <v>1515</v>
      </c>
      <c r="B1518" s="311" t="s">
        <v>84</v>
      </c>
      <c r="C1518" s="311" t="s">
        <v>462</v>
      </c>
      <c r="D1518" s="311" t="s">
        <v>462</v>
      </c>
      <c r="E1518" s="337" t="s">
        <v>462</v>
      </c>
      <c r="F1518" s="311" t="s">
        <v>290</v>
      </c>
      <c r="G1518" s="311" t="s">
        <v>23</v>
      </c>
      <c r="H1518" s="311" t="s">
        <v>365</v>
      </c>
      <c r="I1518" s="311" t="s">
        <v>56</v>
      </c>
      <c r="J1518" s="50" t="s">
        <v>1892</v>
      </c>
      <c r="K1518" s="50" t="s">
        <v>1892</v>
      </c>
      <c r="L1518" s="50" t="s">
        <v>1893</v>
      </c>
      <c r="M1518" s="50" t="s">
        <v>3954</v>
      </c>
      <c r="N1518" s="50" t="s">
        <v>3955</v>
      </c>
      <c r="O1518" s="50" t="s">
        <v>3955</v>
      </c>
      <c r="P1518" s="50" t="s">
        <v>3955</v>
      </c>
    </row>
    <row r="1519" spans="1:16" ht="12.75" customHeight="1" x14ac:dyDescent="0.25">
      <c r="A1519" s="311">
        <v>1516</v>
      </c>
      <c r="B1519" s="311" t="s">
        <v>123</v>
      </c>
      <c r="C1519" s="311" t="s">
        <v>462</v>
      </c>
      <c r="D1519" s="311" t="s">
        <v>462</v>
      </c>
      <c r="E1519" s="337" t="s">
        <v>462</v>
      </c>
      <c r="F1519" s="311" t="s">
        <v>290</v>
      </c>
      <c r="G1519" s="311" t="s">
        <v>23</v>
      </c>
      <c r="H1519" s="311" t="s">
        <v>365</v>
      </c>
      <c r="I1519" s="311" t="s">
        <v>56</v>
      </c>
      <c r="J1519" s="50" t="s">
        <v>1892</v>
      </c>
      <c r="K1519" s="50" t="s">
        <v>1892</v>
      </c>
      <c r="L1519" s="50" t="s">
        <v>1893</v>
      </c>
      <c r="M1519" s="50" t="s">
        <v>3956</v>
      </c>
      <c r="N1519" s="50" t="s">
        <v>3955</v>
      </c>
      <c r="O1519" s="50" t="s">
        <v>3955</v>
      </c>
      <c r="P1519" s="50" t="s">
        <v>3955</v>
      </c>
    </row>
    <row r="1520" spans="1:16" ht="12.75" customHeight="1" x14ac:dyDescent="0.25">
      <c r="A1520" s="311">
        <v>1517</v>
      </c>
      <c r="B1520" s="311" t="s">
        <v>75</v>
      </c>
      <c r="C1520" s="311" t="s">
        <v>462</v>
      </c>
      <c r="D1520" s="311" t="s">
        <v>462</v>
      </c>
      <c r="E1520" s="337" t="s">
        <v>462</v>
      </c>
      <c r="F1520" s="311" t="s">
        <v>290</v>
      </c>
      <c r="G1520" s="311" t="s">
        <v>23</v>
      </c>
      <c r="H1520" s="311" t="s">
        <v>365</v>
      </c>
      <c r="I1520" s="311" t="s">
        <v>56</v>
      </c>
      <c r="J1520" s="50" t="s">
        <v>1892</v>
      </c>
      <c r="K1520" s="50" t="s">
        <v>1892</v>
      </c>
      <c r="L1520" s="50" t="s">
        <v>1893</v>
      </c>
      <c r="M1520" s="50" t="s">
        <v>3957</v>
      </c>
      <c r="N1520" s="50" t="s">
        <v>3955</v>
      </c>
      <c r="O1520" s="50" t="s">
        <v>3955</v>
      </c>
      <c r="P1520" s="50" t="s">
        <v>3955</v>
      </c>
    </row>
    <row r="1521" spans="1:16" ht="12.75" customHeight="1" x14ac:dyDescent="0.25">
      <c r="A1521" s="311">
        <v>1518</v>
      </c>
      <c r="B1521" s="311" t="s">
        <v>63</v>
      </c>
      <c r="C1521" s="311" t="s">
        <v>63</v>
      </c>
      <c r="D1521" s="311" t="s">
        <v>462</v>
      </c>
      <c r="E1521" s="337" t="s">
        <v>63</v>
      </c>
      <c r="F1521" s="311" t="s">
        <v>290</v>
      </c>
      <c r="G1521" s="311" t="s">
        <v>23</v>
      </c>
      <c r="H1521" s="311" t="s">
        <v>365</v>
      </c>
      <c r="I1521" s="311" t="s">
        <v>56</v>
      </c>
      <c r="J1521" s="50" t="s">
        <v>1892</v>
      </c>
      <c r="K1521" s="50" t="s">
        <v>1892</v>
      </c>
      <c r="L1521" s="50" t="s">
        <v>1893</v>
      </c>
      <c r="M1521" s="50" t="s">
        <v>3958</v>
      </c>
      <c r="N1521" s="50" t="s">
        <v>3958</v>
      </c>
      <c r="O1521" s="50" t="s">
        <v>3955</v>
      </c>
      <c r="P1521" s="50" t="s">
        <v>3958</v>
      </c>
    </row>
    <row r="1522" spans="1:16" ht="12.75" customHeight="1" x14ac:dyDescent="0.25">
      <c r="A1522" s="311">
        <v>1519</v>
      </c>
      <c r="B1522" s="311" t="s">
        <v>140</v>
      </c>
      <c r="C1522" s="311" t="s">
        <v>140</v>
      </c>
      <c r="D1522" s="311" t="s">
        <v>462</v>
      </c>
      <c r="E1522" s="337" t="s">
        <v>140</v>
      </c>
      <c r="F1522" s="311" t="s">
        <v>290</v>
      </c>
      <c r="G1522" s="311" t="s">
        <v>23</v>
      </c>
      <c r="H1522" s="311" t="s">
        <v>365</v>
      </c>
      <c r="I1522" s="311" t="s">
        <v>56</v>
      </c>
      <c r="J1522" s="50" t="s">
        <v>1892</v>
      </c>
      <c r="K1522" s="50" t="s">
        <v>1892</v>
      </c>
      <c r="L1522" s="50" t="s">
        <v>1893</v>
      </c>
      <c r="M1522" s="50" t="s">
        <v>3959</v>
      </c>
      <c r="N1522" s="50" t="s">
        <v>3959</v>
      </c>
      <c r="O1522" s="50" t="s">
        <v>3955</v>
      </c>
      <c r="P1522" s="50" t="s">
        <v>3959</v>
      </c>
    </row>
    <row r="1523" spans="1:16" ht="12.75" customHeight="1" x14ac:dyDescent="0.25">
      <c r="A1523" s="311">
        <v>1520</v>
      </c>
      <c r="B1523" s="311" t="s">
        <v>121</v>
      </c>
      <c r="C1523" s="311" t="s">
        <v>121</v>
      </c>
      <c r="D1523" s="311" t="s">
        <v>462</v>
      </c>
      <c r="E1523" s="337" t="s">
        <v>121</v>
      </c>
      <c r="F1523" s="311" t="s">
        <v>290</v>
      </c>
      <c r="G1523" s="311" t="s">
        <v>23</v>
      </c>
      <c r="H1523" s="311" t="s">
        <v>365</v>
      </c>
      <c r="I1523" s="311" t="s">
        <v>56</v>
      </c>
      <c r="J1523" s="50" t="s">
        <v>1892</v>
      </c>
      <c r="K1523" s="50" t="s">
        <v>1892</v>
      </c>
      <c r="L1523" s="50" t="s">
        <v>1893</v>
      </c>
      <c r="M1523" s="50" t="s">
        <v>3960</v>
      </c>
      <c r="N1523" s="50" t="s">
        <v>3960</v>
      </c>
      <c r="O1523" s="50" t="s">
        <v>3955</v>
      </c>
      <c r="P1523" s="50" t="s">
        <v>3960</v>
      </c>
    </row>
    <row r="1524" spans="1:16" ht="12.75" customHeight="1" x14ac:dyDescent="0.25">
      <c r="A1524" s="311">
        <v>1521</v>
      </c>
      <c r="B1524" s="311" t="s">
        <v>87</v>
      </c>
      <c r="C1524" s="311" t="s">
        <v>87</v>
      </c>
      <c r="D1524" s="311" t="s">
        <v>462</v>
      </c>
      <c r="E1524" s="337" t="s">
        <v>87</v>
      </c>
      <c r="F1524" s="311" t="s">
        <v>290</v>
      </c>
      <c r="G1524" s="311" t="s">
        <v>23</v>
      </c>
      <c r="H1524" s="311" t="s">
        <v>365</v>
      </c>
      <c r="I1524" s="311" t="s">
        <v>56</v>
      </c>
      <c r="J1524" s="50" t="s">
        <v>1892</v>
      </c>
      <c r="K1524" s="50" t="s">
        <v>1892</v>
      </c>
      <c r="L1524" s="50" t="s">
        <v>1893</v>
      </c>
      <c r="M1524" s="50" t="s">
        <v>3961</v>
      </c>
      <c r="N1524" s="50" t="s">
        <v>3961</v>
      </c>
      <c r="O1524" s="50" t="s">
        <v>3955</v>
      </c>
      <c r="P1524" s="50" t="s">
        <v>3961</v>
      </c>
    </row>
    <row r="1525" spans="1:16" ht="12.75" customHeight="1" x14ac:dyDescent="0.25">
      <c r="A1525" s="311">
        <v>1522</v>
      </c>
      <c r="B1525" s="311" t="s">
        <v>125</v>
      </c>
      <c r="C1525" s="311" t="s">
        <v>125</v>
      </c>
      <c r="D1525" s="311" t="s">
        <v>125</v>
      </c>
      <c r="E1525" s="337" t="s">
        <v>125</v>
      </c>
      <c r="F1525" s="311" t="s">
        <v>290</v>
      </c>
      <c r="G1525" s="311" t="s">
        <v>23</v>
      </c>
      <c r="H1525" s="311" t="s">
        <v>365</v>
      </c>
      <c r="I1525" s="311" t="s">
        <v>56</v>
      </c>
      <c r="J1525" s="50" t="s">
        <v>1892</v>
      </c>
      <c r="K1525" s="50" t="s">
        <v>1892</v>
      </c>
      <c r="L1525" s="50" t="s">
        <v>1893</v>
      </c>
      <c r="M1525" s="50" t="s">
        <v>3962</v>
      </c>
      <c r="N1525" s="50" t="s">
        <v>3962</v>
      </c>
      <c r="O1525" s="50" t="s">
        <v>3962</v>
      </c>
      <c r="P1525" s="50" t="s">
        <v>3962</v>
      </c>
    </row>
    <row r="1526" spans="1:16" ht="12.75" customHeight="1" x14ac:dyDescent="0.25">
      <c r="A1526" s="311">
        <v>1523</v>
      </c>
      <c r="B1526" s="311" t="s">
        <v>134</v>
      </c>
      <c r="C1526" s="311" t="s">
        <v>134</v>
      </c>
      <c r="D1526" s="311" t="s">
        <v>134</v>
      </c>
      <c r="E1526" s="337" t="s">
        <v>134</v>
      </c>
      <c r="F1526" s="311" t="s">
        <v>290</v>
      </c>
      <c r="G1526" s="311" t="s">
        <v>23</v>
      </c>
      <c r="H1526" s="311" t="s">
        <v>365</v>
      </c>
      <c r="I1526" s="311" t="s">
        <v>56</v>
      </c>
      <c r="J1526" s="50" t="s">
        <v>1892</v>
      </c>
      <c r="K1526" s="50" t="s">
        <v>1892</v>
      </c>
      <c r="L1526" s="50" t="s">
        <v>1893</v>
      </c>
      <c r="M1526" s="50" t="s">
        <v>3963</v>
      </c>
      <c r="N1526" s="50" t="s">
        <v>3963</v>
      </c>
      <c r="O1526" s="50" t="s">
        <v>3963</v>
      </c>
      <c r="P1526" s="50" t="s">
        <v>3963</v>
      </c>
    </row>
    <row r="1527" spans="1:16" ht="12.75" customHeight="1" x14ac:dyDescent="0.25">
      <c r="A1527" s="311">
        <v>1524</v>
      </c>
      <c r="B1527" s="311" t="s">
        <v>141</v>
      </c>
      <c r="C1527" s="311" t="s">
        <v>141</v>
      </c>
      <c r="D1527" s="311" t="s">
        <v>141</v>
      </c>
      <c r="E1527" s="337" t="s">
        <v>141</v>
      </c>
      <c r="F1527" s="311" t="s">
        <v>290</v>
      </c>
      <c r="G1527" s="311" t="s">
        <v>23</v>
      </c>
      <c r="H1527" s="311" t="s">
        <v>365</v>
      </c>
      <c r="I1527" s="311" t="s">
        <v>56</v>
      </c>
      <c r="J1527" s="50" t="s">
        <v>1892</v>
      </c>
      <c r="K1527" s="50" t="s">
        <v>1892</v>
      </c>
      <c r="L1527" s="50" t="s">
        <v>1893</v>
      </c>
      <c r="M1527" s="50" t="s">
        <v>3964</v>
      </c>
      <c r="N1527" s="50" t="s">
        <v>3964</v>
      </c>
      <c r="O1527" s="50" t="s">
        <v>3964</v>
      </c>
      <c r="P1527" s="50" t="s">
        <v>3964</v>
      </c>
    </row>
    <row r="1528" spans="1:16" ht="12.75" customHeight="1" x14ac:dyDescent="0.25">
      <c r="A1528" s="311">
        <v>1525</v>
      </c>
      <c r="B1528" s="311" t="s">
        <v>69</v>
      </c>
      <c r="C1528" s="311" t="s">
        <v>69</v>
      </c>
      <c r="D1528" s="311" t="s">
        <v>69</v>
      </c>
      <c r="E1528" s="337" t="s">
        <v>69</v>
      </c>
      <c r="F1528" s="311" t="s">
        <v>290</v>
      </c>
      <c r="G1528" s="311" t="s">
        <v>23</v>
      </c>
      <c r="H1528" s="311" t="s">
        <v>365</v>
      </c>
      <c r="I1528" s="311" t="s">
        <v>56</v>
      </c>
      <c r="J1528" s="50" t="s">
        <v>1892</v>
      </c>
      <c r="K1528" s="50" t="s">
        <v>1892</v>
      </c>
      <c r="L1528" s="50" t="s">
        <v>1893</v>
      </c>
      <c r="M1528" s="50" t="s">
        <v>3965</v>
      </c>
      <c r="N1528" s="50" t="s">
        <v>3965</v>
      </c>
      <c r="O1528" s="50" t="s">
        <v>3965</v>
      </c>
      <c r="P1528" s="50" t="s">
        <v>3965</v>
      </c>
    </row>
    <row r="1529" spans="1:16" ht="12.75" customHeight="1" x14ac:dyDescent="0.25">
      <c r="A1529" s="311">
        <v>1526</v>
      </c>
      <c r="B1529" s="311" t="s">
        <v>84</v>
      </c>
      <c r="C1529" s="311" t="s">
        <v>462</v>
      </c>
      <c r="D1529" s="311" t="s">
        <v>462</v>
      </c>
      <c r="E1529" s="337" t="s">
        <v>462</v>
      </c>
      <c r="F1529" s="311" t="s">
        <v>290</v>
      </c>
      <c r="G1529" s="311" t="s">
        <v>237</v>
      </c>
      <c r="H1529" s="311" t="s">
        <v>365</v>
      </c>
      <c r="I1529" s="311" t="s">
        <v>56</v>
      </c>
      <c r="J1529" s="50" t="s">
        <v>1892</v>
      </c>
      <c r="K1529" s="50" t="s">
        <v>1892</v>
      </c>
      <c r="L1529" s="50" t="s">
        <v>1893</v>
      </c>
      <c r="M1529" s="50" t="s">
        <v>3966</v>
      </c>
      <c r="N1529" s="50" t="s">
        <v>3967</v>
      </c>
      <c r="O1529" s="50" t="s">
        <v>3967</v>
      </c>
      <c r="P1529" s="50" t="s">
        <v>3967</v>
      </c>
    </row>
    <row r="1530" spans="1:16" ht="12.75" customHeight="1" x14ac:dyDescent="0.25">
      <c r="A1530" s="311">
        <v>1527</v>
      </c>
      <c r="B1530" s="311" t="s">
        <v>123</v>
      </c>
      <c r="C1530" s="311" t="s">
        <v>462</v>
      </c>
      <c r="D1530" s="311" t="s">
        <v>462</v>
      </c>
      <c r="E1530" s="337" t="s">
        <v>462</v>
      </c>
      <c r="F1530" s="311" t="s">
        <v>290</v>
      </c>
      <c r="G1530" s="311" t="s">
        <v>237</v>
      </c>
      <c r="H1530" s="311" t="s">
        <v>365</v>
      </c>
      <c r="I1530" s="311" t="s">
        <v>56</v>
      </c>
      <c r="J1530" s="50" t="s">
        <v>1892</v>
      </c>
      <c r="K1530" s="50" t="s">
        <v>1892</v>
      </c>
      <c r="L1530" s="50" t="s">
        <v>1893</v>
      </c>
      <c r="M1530" s="50" t="s">
        <v>3968</v>
      </c>
      <c r="N1530" s="50" t="s">
        <v>3967</v>
      </c>
      <c r="O1530" s="50" t="s">
        <v>3967</v>
      </c>
      <c r="P1530" s="50" t="s">
        <v>3967</v>
      </c>
    </row>
    <row r="1531" spans="1:16" ht="12.75" customHeight="1" x14ac:dyDescent="0.25">
      <c r="A1531" s="311">
        <v>1528</v>
      </c>
      <c r="B1531" s="311" t="s">
        <v>75</v>
      </c>
      <c r="C1531" s="311" t="s">
        <v>462</v>
      </c>
      <c r="D1531" s="311" t="s">
        <v>462</v>
      </c>
      <c r="E1531" s="337" t="s">
        <v>462</v>
      </c>
      <c r="F1531" s="311" t="s">
        <v>290</v>
      </c>
      <c r="G1531" s="311" t="s">
        <v>237</v>
      </c>
      <c r="H1531" s="311" t="s">
        <v>365</v>
      </c>
      <c r="I1531" s="311" t="s">
        <v>56</v>
      </c>
      <c r="J1531" s="50" t="s">
        <v>1892</v>
      </c>
      <c r="K1531" s="50" t="s">
        <v>1892</v>
      </c>
      <c r="L1531" s="50" t="s">
        <v>1893</v>
      </c>
      <c r="M1531" s="50" t="s">
        <v>3969</v>
      </c>
      <c r="N1531" s="50" t="s">
        <v>3967</v>
      </c>
      <c r="O1531" s="50" t="s">
        <v>3967</v>
      </c>
      <c r="P1531" s="50" t="s">
        <v>3967</v>
      </c>
    </row>
    <row r="1532" spans="1:16" ht="12.75" customHeight="1" x14ac:dyDescent="0.25">
      <c r="A1532" s="311">
        <v>1529</v>
      </c>
      <c r="B1532" s="311" t="s">
        <v>63</v>
      </c>
      <c r="C1532" s="311" t="s">
        <v>63</v>
      </c>
      <c r="D1532" s="311" t="s">
        <v>462</v>
      </c>
      <c r="E1532" s="337" t="s">
        <v>63</v>
      </c>
      <c r="F1532" s="311" t="s">
        <v>290</v>
      </c>
      <c r="G1532" s="311" t="s">
        <v>237</v>
      </c>
      <c r="H1532" s="311" t="s">
        <v>365</v>
      </c>
      <c r="I1532" s="311" t="s">
        <v>56</v>
      </c>
      <c r="J1532" s="50" t="s">
        <v>1892</v>
      </c>
      <c r="K1532" s="50" t="s">
        <v>1892</v>
      </c>
      <c r="L1532" s="50" t="s">
        <v>1893</v>
      </c>
      <c r="M1532" s="50" t="s">
        <v>3970</v>
      </c>
      <c r="N1532" s="50" t="s">
        <v>3970</v>
      </c>
      <c r="O1532" s="50" t="s">
        <v>3967</v>
      </c>
      <c r="P1532" s="50" t="s">
        <v>3970</v>
      </c>
    </row>
    <row r="1533" spans="1:16" ht="12.75" customHeight="1" x14ac:dyDescent="0.25">
      <c r="A1533" s="311">
        <v>1530</v>
      </c>
      <c r="B1533" s="311" t="s">
        <v>140</v>
      </c>
      <c r="C1533" s="311" t="s">
        <v>140</v>
      </c>
      <c r="D1533" s="311" t="s">
        <v>462</v>
      </c>
      <c r="E1533" s="337" t="s">
        <v>140</v>
      </c>
      <c r="F1533" s="311" t="s">
        <v>290</v>
      </c>
      <c r="G1533" s="311" t="s">
        <v>237</v>
      </c>
      <c r="H1533" s="311" t="s">
        <v>365</v>
      </c>
      <c r="I1533" s="311" t="s">
        <v>56</v>
      </c>
      <c r="J1533" s="50" t="s">
        <v>1892</v>
      </c>
      <c r="K1533" s="50" t="s">
        <v>1892</v>
      </c>
      <c r="L1533" s="50" t="s">
        <v>1893</v>
      </c>
      <c r="M1533" s="50" t="s">
        <v>3971</v>
      </c>
      <c r="N1533" s="50" t="s">
        <v>3971</v>
      </c>
      <c r="O1533" s="50" t="s">
        <v>3967</v>
      </c>
      <c r="P1533" s="50" t="s">
        <v>3971</v>
      </c>
    </row>
    <row r="1534" spans="1:16" ht="12.75" customHeight="1" x14ac:dyDescent="0.25">
      <c r="A1534" s="311">
        <v>1531</v>
      </c>
      <c r="B1534" s="311" t="s">
        <v>121</v>
      </c>
      <c r="C1534" s="311" t="s">
        <v>121</v>
      </c>
      <c r="D1534" s="311" t="s">
        <v>462</v>
      </c>
      <c r="E1534" s="337" t="s">
        <v>121</v>
      </c>
      <c r="F1534" s="311" t="s">
        <v>290</v>
      </c>
      <c r="G1534" s="311" t="s">
        <v>237</v>
      </c>
      <c r="H1534" s="311" t="s">
        <v>365</v>
      </c>
      <c r="I1534" s="311" t="s">
        <v>56</v>
      </c>
      <c r="J1534" s="50" t="s">
        <v>1892</v>
      </c>
      <c r="K1534" s="50" t="s">
        <v>1892</v>
      </c>
      <c r="L1534" s="50" t="s">
        <v>1893</v>
      </c>
      <c r="M1534" s="50" t="s">
        <v>3972</v>
      </c>
      <c r="N1534" s="50" t="s">
        <v>3972</v>
      </c>
      <c r="O1534" s="50" t="s">
        <v>3967</v>
      </c>
      <c r="P1534" s="50" t="s">
        <v>3972</v>
      </c>
    </row>
    <row r="1535" spans="1:16" ht="12.75" customHeight="1" x14ac:dyDescent="0.25">
      <c r="A1535" s="311">
        <v>1532</v>
      </c>
      <c r="B1535" s="311" t="s">
        <v>87</v>
      </c>
      <c r="C1535" s="311" t="s">
        <v>87</v>
      </c>
      <c r="D1535" s="311" t="s">
        <v>462</v>
      </c>
      <c r="E1535" s="337" t="s">
        <v>87</v>
      </c>
      <c r="F1535" s="311" t="s">
        <v>290</v>
      </c>
      <c r="G1535" s="311" t="s">
        <v>237</v>
      </c>
      <c r="H1535" s="311" t="s">
        <v>365</v>
      </c>
      <c r="I1535" s="311" t="s">
        <v>56</v>
      </c>
      <c r="J1535" s="50" t="s">
        <v>1892</v>
      </c>
      <c r="K1535" s="50" t="s">
        <v>1892</v>
      </c>
      <c r="L1535" s="50" t="s">
        <v>1893</v>
      </c>
      <c r="M1535" s="50" t="s">
        <v>3973</v>
      </c>
      <c r="N1535" s="50" t="s">
        <v>3973</v>
      </c>
      <c r="O1535" s="50" t="s">
        <v>3967</v>
      </c>
      <c r="P1535" s="50" t="s">
        <v>3973</v>
      </c>
    </row>
    <row r="1536" spans="1:16" ht="12.75" customHeight="1" x14ac:dyDescent="0.25">
      <c r="A1536" s="311">
        <v>1533</v>
      </c>
      <c r="B1536" s="311" t="s">
        <v>125</v>
      </c>
      <c r="C1536" s="311" t="s">
        <v>125</v>
      </c>
      <c r="D1536" s="311" t="s">
        <v>125</v>
      </c>
      <c r="E1536" s="337" t="s">
        <v>125</v>
      </c>
      <c r="F1536" s="311" t="s">
        <v>290</v>
      </c>
      <c r="G1536" s="311" t="s">
        <v>237</v>
      </c>
      <c r="H1536" s="311" t="s">
        <v>365</v>
      </c>
      <c r="I1536" s="311" t="s">
        <v>56</v>
      </c>
      <c r="J1536" s="50" t="s">
        <v>1892</v>
      </c>
      <c r="K1536" s="50" t="s">
        <v>1892</v>
      </c>
      <c r="L1536" s="50" t="s">
        <v>1893</v>
      </c>
      <c r="M1536" s="50" t="s">
        <v>3974</v>
      </c>
      <c r="N1536" s="50" t="s">
        <v>3974</v>
      </c>
      <c r="O1536" s="50" t="s">
        <v>3974</v>
      </c>
      <c r="P1536" s="50" t="s">
        <v>3974</v>
      </c>
    </row>
    <row r="1537" spans="1:16" ht="12.75" customHeight="1" x14ac:dyDescent="0.25">
      <c r="A1537" s="311">
        <v>1534</v>
      </c>
      <c r="B1537" s="311" t="s">
        <v>134</v>
      </c>
      <c r="C1537" s="311" t="s">
        <v>134</v>
      </c>
      <c r="D1537" s="311" t="s">
        <v>134</v>
      </c>
      <c r="E1537" s="337" t="s">
        <v>134</v>
      </c>
      <c r="F1537" s="311" t="s">
        <v>290</v>
      </c>
      <c r="G1537" s="311" t="s">
        <v>237</v>
      </c>
      <c r="H1537" s="311" t="s">
        <v>365</v>
      </c>
      <c r="I1537" s="311" t="s">
        <v>56</v>
      </c>
      <c r="J1537" s="50" t="s">
        <v>1892</v>
      </c>
      <c r="K1537" s="50" t="s">
        <v>1892</v>
      </c>
      <c r="L1537" s="50" t="s">
        <v>1893</v>
      </c>
      <c r="M1537" s="50" t="s">
        <v>3975</v>
      </c>
      <c r="N1537" s="50" t="s">
        <v>3975</v>
      </c>
      <c r="O1537" s="50" t="s">
        <v>3975</v>
      </c>
      <c r="P1537" s="50" t="s">
        <v>3975</v>
      </c>
    </row>
    <row r="1538" spans="1:16" ht="12.75" customHeight="1" x14ac:dyDescent="0.25">
      <c r="A1538" s="311">
        <v>1535</v>
      </c>
      <c r="B1538" s="311" t="s">
        <v>141</v>
      </c>
      <c r="C1538" s="311" t="s">
        <v>141</v>
      </c>
      <c r="D1538" s="311" t="s">
        <v>141</v>
      </c>
      <c r="E1538" s="337" t="s">
        <v>141</v>
      </c>
      <c r="F1538" s="311" t="s">
        <v>290</v>
      </c>
      <c r="G1538" s="311" t="s">
        <v>237</v>
      </c>
      <c r="H1538" s="311" t="s">
        <v>365</v>
      </c>
      <c r="I1538" s="311" t="s">
        <v>56</v>
      </c>
      <c r="J1538" s="50" t="s">
        <v>1892</v>
      </c>
      <c r="K1538" s="50" t="s">
        <v>1892</v>
      </c>
      <c r="L1538" s="50" t="s">
        <v>1893</v>
      </c>
      <c r="M1538" s="50" t="s">
        <v>3976</v>
      </c>
      <c r="N1538" s="50" t="s">
        <v>3976</v>
      </c>
      <c r="O1538" s="50" t="s">
        <v>3976</v>
      </c>
      <c r="P1538" s="50" t="s">
        <v>3976</v>
      </c>
    </row>
    <row r="1539" spans="1:16" ht="12.75" customHeight="1" x14ac:dyDescent="0.25">
      <c r="A1539" s="311">
        <v>1536</v>
      </c>
      <c r="B1539" s="311" t="s">
        <v>69</v>
      </c>
      <c r="C1539" s="311" t="s">
        <v>69</v>
      </c>
      <c r="D1539" s="311" t="s">
        <v>69</v>
      </c>
      <c r="E1539" s="337" t="s">
        <v>69</v>
      </c>
      <c r="F1539" s="311" t="s">
        <v>290</v>
      </c>
      <c r="G1539" s="311" t="s">
        <v>237</v>
      </c>
      <c r="H1539" s="311" t="s">
        <v>365</v>
      </c>
      <c r="I1539" s="311" t="s">
        <v>56</v>
      </c>
      <c r="J1539" s="50" t="s">
        <v>1892</v>
      </c>
      <c r="K1539" s="50" t="s">
        <v>1892</v>
      </c>
      <c r="L1539" s="50" t="s">
        <v>1893</v>
      </c>
      <c r="M1539" s="50" t="s">
        <v>3977</v>
      </c>
      <c r="N1539" s="50" t="s">
        <v>3977</v>
      </c>
      <c r="O1539" s="50" t="s">
        <v>3977</v>
      </c>
      <c r="P1539" s="50" t="s">
        <v>3977</v>
      </c>
    </row>
    <row r="1540" spans="1:16" ht="12.75" customHeight="1" x14ac:dyDescent="0.25">
      <c r="A1540" s="311">
        <v>1537</v>
      </c>
      <c r="B1540" s="311" t="s">
        <v>84</v>
      </c>
      <c r="C1540" s="311" t="s">
        <v>462</v>
      </c>
      <c r="D1540" s="311" t="s">
        <v>462</v>
      </c>
      <c r="E1540" s="337" t="s">
        <v>462</v>
      </c>
      <c r="F1540" s="311" t="s">
        <v>294</v>
      </c>
      <c r="G1540" s="311" t="s">
        <v>236</v>
      </c>
      <c r="H1540" s="311" t="s">
        <v>367</v>
      </c>
      <c r="I1540" s="311" t="s">
        <v>56</v>
      </c>
      <c r="J1540" s="50" t="s">
        <v>1892</v>
      </c>
      <c r="K1540" s="50" t="s">
        <v>1892</v>
      </c>
      <c r="L1540" s="50" t="s">
        <v>1893</v>
      </c>
      <c r="M1540" s="50" t="s">
        <v>3978</v>
      </c>
      <c r="N1540" s="50" t="s">
        <v>3979</v>
      </c>
      <c r="O1540" s="50" t="s">
        <v>3979</v>
      </c>
      <c r="P1540" s="50" t="s">
        <v>3979</v>
      </c>
    </row>
    <row r="1541" spans="1:16" ht="12.75" customHeight="1" x14ac:dyDescent="0.25">
      <c r="A1541" s="311">
        <v>1538</v>
      </c>
      <c r="B1541" s="311" t="s">
        <v>123</v>
      </c>
      <c r="C1541" s="311" t="s">
        <v>462</v>
      </c>
      <c r="D1541" s="311" t="s">
        <v>462</v>
      </c>
      <c r="E1541" s="337" t="s">
        <v>462</v>
      </c>
      <c r="F1541" s="311" t="s">
        <v>294</v>
      </c>
      <c r="G1541" s="311" t="s">
        <v>236</v>
      </c>
      <c r="H1541" s="311" t="s">
        <v>367</v>
      </c>
      <c r="I1541" s="311" t="s">
        <v>56</v>
      </c>
      <c r="J1541" s="50" t="s">
        <v>1892</v>
      </c>
      <c r="K1541" s="50" t="s">
        <v>1892</v>
      </c>
      <c r="L1541" s="50" t="s">
        <v>1893</v>
      </c>
      <c r="M1541" s="50" t="s">
        <v>3980</v>
      </c>
      <c r="N1541" s="50" t="s">
        <v>3979</v>
      </c>
      <c r="O1541" s="50" t="s">
        <v>3979</v>
      </c>
      <c r="P1541" s="50" t="s">
        <v>3979</v>
      </c>
    </row>
    <row r="1542" spans="1:16" ht="12.75" customHeight="1" x14ac:dyDescent="0.25">
      <c r="A1542" s="311">
        <v>1539</v>
      </c>
      <c r="B1542" s="311" t="s">
        <v>75</v>
      </c>
      <c r="C1542" s="311" t="s">
        <v>462</v>
      </c>
      <c r="D1542" s="311" t="s">
        <v>462</v>
      </c>
      <c r="E1542" s="337" t="s">
        <v>462</v>
      </c>
      <c r="F1542" s="311" t="s">
        <v>294</v>
      </c>
      <c r="G1542" s="311" t="s">
        <v>236</v>
      </c>
      <c r="H1542" s="311" t="s">
        <v>367</v>
      </c>
      <c r="I1542" s="311" t="s">
        <v>56</v>
      </c>
      <c r="J1542" s="50" t="s">
        <v>1892</v>
      </c>
      <c r="K1542" s="50" t="s">
        <v>1892</v>
      </c>
      <c r="L1542" s="50" t="s">
        <v>1893</v>
      </c>
      <c r="M1542" s="50" t="s">
        <v>3981</v>
      </c>
      <c r="N1542" s="50" t="s">
        <v>3979</v>
      </c>
      <c r="O1542" s="50" t="s">
        <v>3979</v>
      </c>
      <c r="P1542" s="50" t="s">
        <v>3979</v>
      </c>
    </row>
    <row r="1543" spans="1:16" ht="12.75" customHeight="1" x14ac:dyDescent="0.25">
      <c r="A1543" s="311">
        <v>1540</v>
      </c>
      <c r="B1543" s="311" t="s">
        <v>63</v>
      </c>
      <c r="C1543" s="311" t="s">
        <v>63</v>
      </c>
      <c r="D1543" s="311" t="s">
        <v>462</v>
      </c>
      <c r="E1543" s="337" t="s">
        <v>63</v>
      </c>
      <c r="F1543" s="311" t="s">
        <v>294</v>
      </c>
      <c r="G1543" s="311" t="s">
        <v>236</v>
      </c>
      <c r="H1543" s="311" t="s">
        <v>367</v>
      </c>
      <c r="I1543" s="311" t="s">
        <v>56</v>
      </c>
      <c r="J1543" s="50" t="s">
        <v>1892</v>
      </c>
      <c r="K1543" s="50" t="s">
        <v>1892</v>
      </c>
      <c r="L1543" s="50" t="s">
        <v>1893</v>
      </c>
      <c r="M1543" s="50" t="s">
        <v>3982</v>
      </c>
      <c r="N1543" s="50" t="s">
        <v>3982</v>
      </c>
      <c r="O1543" s="50" t="s">
        <v>3979</v>
      </c>
      <c r="P1543" s="50" t="s">
        <v>3982</v>
      </c>
    </row>
    <row r="1544" spans="1:16" ht="12.75" customHeight="1" x14ac:dyDescent="0.25">
      <c r="A1544" s="311">
        <v>1541</v>
      </c>
      <c r="B1544" s="311" t="s">
        <v>140</v>
      </c>
      <c r="C1544" s="311" t="s">
        <v>140</v>
      </c>
      <c r="D1544" s="311" t="s">
        <v>462</v>
      </c>
      <c r="E1544" s="337" t="s">
        <v>140</v>
      </c>
      <c r="F1544" s="311" t="s">
        <v>294</v>
      </c>
      <c r="G1544" s="311" t="s">
        <v>236</v>
      </c>
      <c r="H1544" s="311" t="s">
        <v>367</v>
      </c>
      <c r="I1544" s="311" t="s">
        <v>56</v>
      </c>
      <c r="J1544" s="50" t="s">
        <v>1892</v>
      </c>
      <c r="K1544" s="50" t="s">
        <v>1892</v>
      </c>
      <c r="L1544" s="50" t="s">
        <v>1893</v>
      </c>
      <c r="M1544" s="50" t="s">
        <v>3983</v>
      </c>
      <c r="N1544" s="50" t="s">
        <v>3983</v>
      </c>
      <c r="O1544" s="50" t="s">
        <v>3979</v>
      </c>
      <c r="P1544" s="50" t="s">
        <v>3983</v>
      </c>
    </row>
    <row r="1545" spans="1:16" ht="12.75" customHeight="1" x14ac:dyDescent="0.25">
      <c r="A1545" s="311">
        <v>1542</v>
      </c>
      <c r="B1545" s="311" t="s">
        <v>121</v>
      </c>
      <c r="C1545" s="311" t="s">
        <v>121</v>
      </c>
      <c r="D1545" s="311" t="s">
        <v>462</v>
      </c>
      <c r="E1545" s="337" t="s">
        <v>121</v>
      </c>
      <c r="F1545" s="311" t="s">
        <v>294</v>
      </c>
      <c r="G1545" s="311" t="s">
        <v>236</v>
      </c>
      <c r="H1545" s="311" t="s">
        <v>367</v>
      </c>
      <c r="I1545" s="311" t="s">
        <v>56</v>
      </c>
      <c r="J1545" s="50" t="s">
        <v>1892</v>
      </c>
      <c r="K1545" s="50" t="s">
        <v>1892</v>
      </c>
      <c r="L1545" s="50" t="s">
        <v>1893</v>
      </c>
      <c r="M1545" s="50" t="s">
        <v>3984</v>
      </c>
      <c r="N1545" s="50" t="s">
        <v>3984</v>
      </c>
      <c r="O1545" s="50" t="s">
        <v>3979</v>
      </c>
      <c r="P1545" s="50" t="s">
        <v>3984</v>
      </c>
    </row>
    <row r="1546" spans="1:16" ht="12.75" customHeight="1" x14ac:dyDescent="0.25">
      <c r="A1546" s="311">
        <v>1543</v>
      </c>
      <c r="B1546" s="311" t="s">
        <v>87</v>
      </c>
      <c r="C1546" s="311" t="s">
        <v>87</v>
      </c>
      <c r="D1546" s="311" t="s">
        <v>462</v>
      </c>
      <c r="E1546" s="337" t="s">
        <v>87</v>
      </c>
      <c r="F1546" s="311" t="s">
        <v>294</v>
      </c>
      <c r="G1546" s="311" t="s">
        <v>236</v>
      </c>
      <c r="H1546" s="311" t="s">
        <v>367</v>
      </c>
      <c r="I1546" s="311" t="s">
        <v>56</v>
      </c>
      <c r="J1546" s="50" t="s">
        <v>1892</v>
      </c>
      <c r="K1546" s="50" t="s">
        <v>1892</v>
      </c>
      <c r="L1546" s="50" t="s">
        <v>1893</v>
      </c>
      <c r="M1546" s="50" t="s">
        <v>3985</v>
      </c>
      <c r="N1546" s="50" t="s">
        <v>3985</v>
      </c>
      <c r="O1546" s="50" t="s">
        <v>3979</v>
      </c>
      <c r="P1546" s="50" t="s">
        <v>3985</v>
      </c>
    </row>
    <row r="1547" spans="1:16" ht="12.75" customHeight="1" x14ac:dyDescent="0.25">
      <c r="A1547" s="311">
        <v>1544</v>
      </c>
      <c r="B1547" s="311" t="s">
        <v>125</v>
      </c>
      <c r="C1547" s="311" t="s">
        <v>125</v>
      </c>
      <c r="D1547" s="311" t="s">
        <v>125</v>
      </c>
      <c r="E1547" s="337" t="s">
        <v>125</v>
      </c>
      <c r="F1547" s="311" t="s">
        <v>294</v>
      </c>
      <c r="G1547" s="311" t="s">
        <v>236</v>
      </c>
      <c r="H1547" s="311" t="s">
        <v>367</v>
      </c>
      <c r="I1547" s="311" t="s">
        <v>56</v>
      </c>
      <c r="J1547" s="50" t="s">
        <v>1892</v>
      </c>
      <c r="K1547" s="50" t="s">
        <v>1892</v>
      </c>
      <c r="L1547" s="50" t="s">
        <v>1893</v>
      </c>
      <c r="M1547" s="50" t="s">
        <v>3986</v>
      </c>
      <c r="N1547" s="50" t="s">
        <v>3986</v>
      </c>
      <c r="O1547" s="50" t="s">
        <v>3986</v>
      </c>
      <c r="P1547" s="50" t="s">
        <v>3986</v>
      </c>
    </row>
    <row r="1548" spans="1:16" ht="12.75" customHeight="1" x14ac:dyDescent="0.25">
      <c r="A1548" s="311">
        <v>1545</v>
      </c>
      <c r="B1548" s="311" t="s">
        <v>134</v>
      </c>
      <c r="C1548" s="311" t="s">
        <v>134</v>
      </c>
      <c r="D1548" s="311" t="s">
        <v>134</v>
      </c>
      <c r="E1548" s="337" t="s">
        <v>134</v>
      </c>
      <c r="F1548" s="311" t="s">
        <v>294</v>
      </c>
      <c r="G1548" s="311" t="s">
        <v>236</v>
      </c>
      <c r="H1548" s="311" t="s">
        <v>367</v>
      </c>
      <c r="I1548" s="311" t="s">
        <v>56</v>
      </c>
      <c r="J1548" s="50" t="s">
        <v>1892</v>
      </c>
      <c r="K1548" s="50" t="s">
        <v>1892</v>
      </c>
      <c r="L1548" s="50" t="s">
        <v>1893</v>
      </c>
      <c r="M1548" s="50" t="s">
        <v>3987</v>
      </c>
      <c r="N1548" s="50" t="s">
        <v>3987</v>
      </c>
      <c r="O1548" s="50" t="s">
        <v>3987</v>
      </c>
      <c r="P1548" s="50" t="s">
        <v>3987</v>
      </c>
    </row>
    <row r="1549" spans="1:16" ht="12.75" customHeight="1" x14ac:dyDescent="0.25">
      <c r="A1549" s="311">
        <v>1546</v>
      </c>
      <c r="B1549" s="311" t="s">
        <v>141</v>
      </c>
      <c r="C1549" s="311" t="s">
        <v>141</v>
      </c>
      <c r="D1549" s="311" t="s">
        <v>141</v>
      </c>
      <c r="E1549" s="337" t="s">
        <v>141</v>
      </c>
      <c r="F1549" s="311" t="s">
        <v>294</v>
      </c>
      <c r="G1549" s="311" t="s">
        <v>236</v>
      </c>
      <c r="H1549" s="311" t="s">
        <v>367</v>
      </c>
      <c r="I1549" s="311" t="s">
        <v>56</v>
      </c>
      <c r="J1549" s="50" t="s">
        <v>1892</v>
      </c>
      <c r="K1549" s="50" t="s">
        <v>1892</v>
      </c>
      <c r="L1549" s="50" t="s">
        <v>1893</v>
      </c>
      <c r="M1549" s="50" t="s">
        <v>3988</v>
      </c>
      <c r="N1549" s="50" t="s">
        <v>3988</v>
      </c>
      <c r="O1549" s="50" t="s">
        <v>3988</v>
      </c>
      <c r="P1549" s="50" t="s">
        <v>3988</v>
      </c>
    </row>
    <row r="1550" spans="1:16" ht="12.75" customHeight="1" x14ac:dyDescent="0.25">
      <c r="A1550" s="311">
        <v>1547</v>
      </c>
      <c r="B1550" s="311" t="s">
        <v>69</v>
      </c>
      <c r="C1550" s="311" t="s">
        <v>69</v>
      </c>
      <c r="D1550" s="311" t="s">
        <v>69</v>
      </c>
      <c r="E1550" s="337" t="s">
        <v>69</v>
      </c>
      <c r="F1550" s="311" t="s">
        <v>294</v>
      </c>
      <c r="G1550" s="311" t="s">
        <v>236</v>
      </c>
      <c r="H1550" s="311" t="s">
        <v>367</v>
      </c>
      <c r="I1550" s="311" t="s">
        <v>56</v>
      </c>
      <c r="J1550" s="50" t="s">
        <v>1892</v>
      </c>
      <c r="K1550" s="50" t="s">
        <v>1892</v>
      </c>
      <c r="L1550" s="50" t="s">
        <v>1893</v>
      </c>
      <c r="M1550" s="50" t="s">
        <v>3989</v>
      </c>
      <c r="N1550" s="50" t="s">
        <v>3989</v>
      </c>
      <c r="O1550" s="50" t="s">
        <v>3989</v>
      </c>
      <c r="P1550" s="50" t="s">
        <v>3989</v>
      </c>
    </row>
    <row r="1551" spans="1:16" ht="12.75" customHeight="1" x14ac:dyDescent="0.25">
      <c r="A1551" s="311">
        <v>1548</v>
      </c>
      <c r="B1551" s="311" t="s">
        <v>84</v>
      </c>
      <c r="C1551" s="311" t="s">
        <v>462</v>
      </c>
      <c r="D1551" s="311" t="s">
        <v>462</v>
      </c>
      <c r="E1551" s="337" t="s">
        <v>462</v>
      </c>
      <c r="F1551" s="311" t="s">
        <v>294</v>
      </c>
      <c r="G1551" s="311" t="s">
        <v>23</v>
      </c>
      <c r="H1551" s="311" t="s">
        <v>367</v>
      </c>
      <c r="I1551" s="311" t="s">
        <v>56</v>
      </c>
      <c r="J1551" s="50" t="s">
        <v>1892</v>
      </c>
      <c r="K1551" s="50" t="s">
        <v>1892</v>
      </c>
      <c r="L1551" s="50" t="s">
        <v>1893</v>
      </c>
      <c r="M1551" s="50" t="s">
        <v>3990</v>
      </c>
      <c r="N1551" s="50" t="s">
        <v>3991</v>
      </c>
      <c r="O1551" s="50" t="s">
        <v>3991</v>
      </c>
      <c r="P1551" s="50" t="s">
        <v>3991</v>
      </c>
    </row>
    <row r="1552" spans="1:16" ht="12.75" customHeight="1" x14ac:dyDescent="0.25">
      <c r="A1552" s="311">
        <v>1549</v>
      </c>
      <c r="B1552" s="311" t="s">
        <v>123</v>
      </c>
      <c r="C1552" s="311" t="s">
        <v>462</v>
      </c>
      <c r="D1552" s="311" t="s">
        <v>462</v>
      </c>
      <c r="E1552" s="337" t="s">
        <v>462</v>
      </c>
      <c r="F1552" s="311" t="s">
        <v>294</v>
      </c>
      <c r="G1552" s="311" t="s">
        <v>23</v>
      </c>
      <c r="H1552" s="311" t="s">
        <v>367</v>
      </c>
      <c r="I1552" s="311" t="s">
        <v>56</v>
      </c>
      <c r="J1552" s="50" t="s">
        <v>1892</v>
      </c>
      <c r="K1552" s="50" t="s">
        <v>1892</v>
      </c>
      <c r="L1552" s="50" t="s">
        <v>1893</v>
      </c>
      <c r="M1552" s="50" t="s">
        <v>3992</v>
      </c>
      <c r="N1552" s="50" t="s">
        <v>3991</v>
      </c>
      <c r="O1552" s="50" t="s">
        <v>3991</v>
      </c>
      <c r="P1552" s="50" t="s">
        <v>3991</v>
      </c>
    </row>
    <row r="1553" spans="1:16" ht="12.75" customHeight="1" x14ac:dyDescent="0.25">
      <c r="A1553" s="311">
        <v>1550</v>
      </c>
      <c r="B1553" s="311" t="s">
        <v>75</v>
      </c>
      <c r="C1553" s="311" t="s">
        <v>462</v>
      </c>
      <c r="D1553" s="311" t="s">
        <v>462</v>
      </c>
      <c r="E1553" s="337" t="s">
        <v>462</v>
      </c>
      <c r="F1553" s="311" t="s">
        <v>294</v>
      </c>
      <c r="G1553" s="311" t="s">
        <v>23</v>
      </c>
      <c r="H1553" s="311" t="s">
        <v>367</v>
      </c>
      <c r="I1553" s="311" t="s">
        <v>56</v>
      </c>
      <c r="J1553" s="50" t="s">
        <v>1892</v>
      </c>
      <c r="K1553" s="50" t="s">
        <v>1892</v>
      </c>
      <c r="L1553" s="50" t="s">
        <v>1893</v>
      </c>
      <c r="M1553" s="50" t="s">
        <v>3993</v>
      </c>
      <c r="N1553" s="50" t="s">
        <v>3991</v>
      </c>
      <c r="O1553" s="50" t="s">
        <v>3991</v>
      </c>
      <c r="P1553" s="50" t="s">
        <v>3991</v>
      </c>
    </row>
    <row r="1554" spans="1:16" ht="12.75" customHeight="1" x14ac:dyDescent="0.25">
      <c r="A1554" s="311">
        <v>1551</v>
      </c>
      <c r="B1554" s="311" t="s">
        <v>63</v>
      </c>
      <c r="C1554" s="311" t="s">
        <v>63</v>
      </c>
      <c r="D1554" s="311" t="s">
        <v>462</v>
      </c>
      <c r="E1554" s="337" t="s">
        <v>63</v>
      </c>
      <c r="F1554" s="311" t="s">
        <v>294</v>
      </c>
      <c r="G1554" s="311" t="s">
        <v>23</v>
      </c>
      <c r="H1554" s="311" t="s">
        <v>367</v>
      </c>
      <c r="I1554" s="311" t="s">
        <v>56</v>
      </c>
      <c r="J1554" s="50" t="s">
        <v>1892</v>
      </c>
      <c r="K1554" s="50" t="s">
        <v>1892</v>
      </c>
      <c r="L1554" s="50" t="s">
        <v>1893</v>
      </c>
      <c r="M1554" s="50" t="s">
        <v>3994</v>
      </c>
      <c r="N1554" s="50" t="s">
        <v>3994</v>
      </c>
      <c r="O1554" s="50" t="s">
        <v>3991</v>
      </c>
      <c r="P1554" s="50" t="s">
        <v>3994</v>
      </c>
    </row>
    <row r="1555" spans="1:16" ht="12.75" customHeight="1" x14ac:dyDescent="0.25">
      <c r="A1555" s="311">
        <v>1552</v>
      </c>
      <c r="B1555" s="311" t="s">
        <v>140</v>
      </c>
      <c r="C1555" s="311" t="s">
        <v>140</v>
      </c>
      <c r="D1555" s="311" t="s">
        <v>462</v>
      </c>
      <c r="E1555" s="337" t="s">
        <v>140</v>
      </c>
      <c r="F1555" s="311" t="s">
        <v>294</v>
      </c>
      <c r="G1555" s="311" t="s">
        <v>23</v>
      </c>
      <c r="H1555" s="311" t="s">
        <v>367</v>
      </c>
      <c r="I1555" s="311" t="s">
        <v>56</v>
      </c>
      <c r="J1555" s="50" t="s">
        <v>1892</v>
      </c>
      <c r="K1555" s="50" t="s">
        <v>1892</v>
      </c>
      <c r="L1555" s="50" t="s">
        <v>1893</v>
      </c>
      <c r="M1555" s="50" t="s">
        <v>3995</v>
      </c>
      <c r="N1555" s="50" t="s">
        <v>3995</v>
      </c>
      <c r="O1555" s="50" t="s">
        <v>3991</v>
      </c>
      <c r="P1555" s="50" t="s">
        <v>3995</v>
      </c>
    </row>
    <row r="1556" spans="1:16" ht="12.75" customHeight="1" x14ac:dyDescent="0.25">
      <c r="A1556" s="311">
        <v>1553</v>
      </c>
      <c r="B1556" s="311" t="s">
        <v>121</v>
      </c>
      <c r="C1556" s="311" t="s">
        <v>121</v>
      </c>
      <c r="D1556" s="311" t="s">
        <v>462</v>
      </c>
      <c r="E1556" s="337" t="s">
        <v>121</v>
      </c>
      <c r="F1556" s="311" t="s">
        <v>294</v>
      </c>
      <c r="G1556" s="311" t="s">
        <v>23</v>
      </c>
      <c r="H1556" s="311" t="s">
        <v>367</v>
      </c>
      <c r="I1556" s="311" t="s">
        <v>56</v>
      </c>
      <c r="J1556" s="50" t="s">
        <v>1892</v>
      </c>
      <c r="K1556" s="50" t="s">
        <v>1892</v>
      </c>
      <c r="L1556" s="50" t="s">
        <v>1893</v>
      </c>
      <c r="M1556" s="50" t="s">
        <v>3996</v>
      </c>
      <c r="N1556" s="50" t="s">
        <v>3996</v>
      </c>
      <c r="O1556" s="50" t="s">
        <v>3991</v>
      </c>
      <c r="P1556" s="50" t="s">
        <v>3996</v>
      </c>
    </row>
    <row r="1557" spans="1:16" ht="12.75" customHeight="1" x14ac:dyDescent="0.25">
      <c r="A1557" s="311">
        <v>1554</v>
      </c>
      <c r="B1557" s="311" t="s">
        <v>87</v>
      </c>
      <c r="C1557" s="311" t="s">
        <v>87</v>
      </c>
      <c r="D1557" s="311" t="s">
        <v>462</v>
      </c>
      <c r="E1557" s="337" t="s">
        <v>87</v>
      </c>
      <c r="F1557" s="311" t="s">
        <v>294</v>
      </c>
      <c r="G1557" s="311" t="s">
        <v>23</v>
      </c>
      <c r="H1557" s="311" t="s">
        <v>367</v>
      </c>
      <c r="I1557" s="311" t="s">
        <v>56</v>
      </c>
      <c r="J1557" s="50" t="s">
        <v>1892</v>
      </c>
      <c r="K1557" s="50" t="s">
        <v>1892</v>
      </c>
      <c r="L1557" s="50" t="s">
        <v>1893</v>
      </c>
      <c r="M1557" s="50" t="s">
        <v>3997</v>
      </c>
      <c r="N1557" s="50" t="s">
        <v>3997</v>
      </c>
      <c r="O1557" s="50" t="s">
        <v>3991</v>
      </c>
      <c r="P1557" s="50" t="s">
        <v>3997</v>
      </c>
    </row>
    <row r="1558" spans="1:16" ht="12.75" customHeight="1" x14ac:dyDescent="0.25">
      <c r="A1558" s="311">
        <v>1555</v>
      </c>
      <c r="B1558" s="311" t="s">
        <v>125</v>
      </c>
      <c r="C1558" s="311" t="s">
        <v>125</v>
      </c>
      <c r="D1558" s="311" t="s">
        <v>125</v>
      </c>
      <c r="E1558" s="337" t="s">
        <v>125</v>
      </c>
      <c r="F1558" s="311" t="s">
        <v>294</v>
      </c>
      <c r="G1558" s="311" t="s">
        <v>23</v>
      </c>
      <c r="H1558" s="311" t="s">
        <v>367</v>
      </c>
      <c r="I1558" s="311" t="s">
        <v>56</v>
      </c>
      <c r="J1558" s="50" t="s">
        <v>1892</v>
      </c>
      <c r="K1558" s="50" t="s">
        <v>1892</v>
      </c>
      <c r="L1558" s="50" t="s">
        <v>1893</v>
      </c>
      <c r="M1558" s="50" t="s">
        <v>3998</v>
      </c>
      <c r="N1558" s="50" t="s">
        <v>3998</v>
      </c>
      <c r="O1558" s="50" t="s">
        <v>3998</v>
      </c>
      <c r="P1558" s="50" t="s">
        <v>3998</v>
      </c>
    </row>
    <row r="1559" spans="1:16" ht="12.75" customHeight="1" x14ac:dyDescent="0.25">
      <c r="A1559" s="311">
        <v>1556</v>
      </c>
      <c r="B1559" s="311" t="s">
        <v>134</v>
      </c>
      <c r="C1559" s="311" t="s">
        <v>134</v>
      </c>
      <c r="D1559" s="311" t="s">
        <v>134</v>
      </c>
      <c r="E1559" s="337" t="s">
        <v>134</v>
      </c>
      <c r="F1559" s="311" t="s">
        <v>294</v>
      </c>
      <c r="G1559" s="311" t="s">
        <v>23</v>
      </c>
      <c r="H1559" s="311" t="s">
        <v>367</v>
      </c>
      <c r="I1559" s="311" t="s">
        <v>56</v>
      </c>
      <c r="J1559" s="50" t="s">
        <v>1892</v>
      </c>
      <c r="K1559" s="50" t="s">
        <v>1892</v>
      </c>
      <c r="L1559" s="50" t="s">
        <v>1893</v>
      </c>
      <c r="M1559" s="50" t="s">
        <v>3999</v>
      </c>
      <c r="N1559" s="50" t="s">
        <v>3999</v>
      </c>
      <c r="O1559" s="50" t="s">
        <v>3999</v>
      </c>
      <c r="P1559" s="50" t="s">
        <v>3999</v>
      </c>
    </row>
    <row r="1560" spans="1:16" ht="12.75" customHeight="1" x14ac:dyDescent="0.25">
      <c r="A1560" s="311">
        <v>1557</v>
      </c>
      <c r="B1560" s="311" t="s">
        <v>141</v>
      </c>
      <c r="C1560" s="311" t="s">
        <v>141</v>
      </c>
      <c r="D1560" s="311" t="s">
        <v>141</v>
      </c>
      <c r="E1560" s="337" t="s">
        <v>141</v>
      </c>
      <c r="F1560" s="311" t="s">
        <v>294</v>
      </c>
      <c r="G1560" s="311" t="s">
        <v>23</v>
      </c>
      <c r="H1560" s="311" t="s">
        <v>367</v>
      </c>
      <c r="I1560" s="311" t="s">
        <v>56</v>
      </c>
      <c r="J1560" s="50" t="s">
        <v>1892</v>
      </c>
      <c r="K1560" s="50" t="s">
        <v>1892</v>
      </c>
      <c r="L1560" s="50" t="s">
        <v>1893</v>
      </c>
      <c r="M1560" s="50" t="s">
        <v>4000</v>
      </c>
      <c r="N1560" s="50" t="s">
        <v>4000</v>
      </c>
      <c r="O1560" s="50" t="s">
        <v>4000</v>
      </c>
      <c r="P1560" s="50" t="s">
        <v>4000</v>
      </c>
    </row>
    <row r="1561" spans="1:16" ht="12.75" customHeight="1" x14ac:dyDescent="0.25">
      <c r="A1561" s="311">
        <v>1558</v>
      </c>
      <c r="B1561" s="311" t="s">
        <v>69</v>
      </c>
      <c r="C1561" s="311" t="s">
        <v>69</v>
      </c>
      <c r="D1561" s="311" t="s">
        <v>69</v>
      </c>
      <c r="E1561" s="337" t="s">
        <v>69</v>
      </c>
      <c r="F1561" s="311" t="s">
        <v>294</v>
      </c>
      <c r="G1561" s="311" t="s">
        <v>23</v>
      </c>
      <c r="H1561" s="311" t="s">
        <v>367</v>
      </c>
      <c r="I1561" s="311" t="s">
        <v>56</v>
      </c>
      <c r="J1561" s="50" t="s">
        <v>1892</v>
      </c>
      <c r="K1561" s="50" t="s">
        <v>1892</v>
      </c>
      <c r="L1561" s="50" t="s">
        <v>1893</v>
      </c>
      <c r="M1561" s="50" t="s">
        <v>4001</v>
      </c>
      <c r="N1561" s="50" t="s">
        <v>4001</v>
      </c>
      <c r="O1561" s="50" t="s">
        <v>4001</v>
      </c>
      <c r="P1561" s="50" t="s">
        <v>4001</v>
      </c>
    </row>
    <row r="1562" spans="1:16" ht="12.75" customHeight="1" x14ac:dyDescent="0.25">
      <c r="A1562" s="311">
        <v>1559</v>
      </c>
      <c r="B1562" s="311" t="s">
        <v>84</v>
      </c>
      <c r="C1562" s="311" t="s">
        <v>462</v>
      </c>
      <c r="D1562" s="311" t="s">
        <v>462</v>
      </c>
      <c r="E1562" s="337" t="s">
        <v>462</v>
      </c>
      <c r="F1562" s="311" t="s">
        <v>294</v>
      </c>
      <c r="G1562" s="311" t="s">
        <v>237</v>
      </c>
      <c r="H1562" s="311" t="s">
        <v>367</v>
      </c>
      <c r="I1562" s="311" t="s">
        <v>56</v>
      </c>
      <c r="J1562" s="50" t="s">
        <v>1892</v>
      </c>
      <c r="K1562" s="50" t="s">
        <v>1892</v>
      </c>
      <c r="L1562" s="50" t="s">
        <v>1893</v>
      </c>
      <c r="M1562" s="50" t="s">
        <v>4002</v>
      </c>
      <c r="N1562" s="50" t="s">
        <v>4003</v>
      </c>
      <c r="O1562" s="50" t="s">
        <v>4003</v>
      </c>
      <c r="P1562" s="50" t="s">
        <v>4003</v>
      </c>
    </row>
    <row r="1563" spans="1:16" ht="12.75" customHeight="1" x14ac:dyDescent="0.25">
      <c r="A1563" s="311">
        <v>1560</v>
      </c>
      <c r="B1563" s="311" t="s">
        <v>123</v>
      </c>
      <c r="C1563" s="311" t="s">
        <v>462</v>
      </c>
      <c r="D1563" s="311" t="s">
        <v>462</v>
      </c>
      <c r="E1563" s="337" t="s">
        <v>462</v>
      </c>
      <c r="F1563" s="311" t="s">
        <v>294</v>
      </c>
      <c r="G1563" s="311" t="s">
        <v>237</v>
      </c>
      <c r="H1563" s="311" t="s">
        <v>367</v>
      </c>
      <c r="I1563" s="311" t="s">
        <v>56</v>
      </c>
      <c r="J1563" s="50" t="s">
        <v>1892</v>
      </c>
      <c r="K1563" s="50" t="s">
        <v>1892</v>
      </c>
      <c r="L1563" s="50" t="s">
        <v>1893</v>
      </c>
      <c r="M1563" s="50" t="s">
        <v>4004</v>
      </c>
      <c r="N1563" s="50" t="s">
        <v>4003</v>
      </c>
      <c r="O1563" s="50" t="s">
        <v>4003</v>
      </c>
      <c r="P1563" s="50" t="s">
        <v>4003</v>
      </c>
    </row>
    <row r="1564" spans="1:16" ht="12.75" customHeight="1" x14ac:dyDescent="0.25">
      <c r="A1564" s="311">
        <v>1561</v>
      </c>
      <c r="B1564" s="311" t="s">
        <v>75</v>
      </c>
      <c r="C1564" s="311" t="s">
        <v>462</v>
      </c>
      <c r="D1564" s="311" t="s">
        <v>462</v>
      </c>
      <c r="E1564" s="337" t="s">
        <v>462</v>
      </c>
      <c r="F1564" s="311" t="s">
        <v>294</v>
      </c>
      <c r="G1564" s="311" t="s">
        <v>237</v>
      </c>
      <c r="H1564" s="311" t="s">
        <v>367</v>
      </c>
      <c r="I1564" s="311" t="s">
        <v>56</v>
      </c>
      <c r="J1564" s="50" t="s">
        <v>1892</v>
      </c>
      <c r="K1564" s="50" t="s">
        <v>1892</v>
      </c>
      <c r="L1564" s="50" t="s">
        <v>1893</v>
      </c>
      <c r="M1564" s="50" t="s">
        <v>4005</v>
      </c>
      <c r="N1564" s="50" t="s">
        <v>4003</v>
      </c>
      <c r="O1564" s="50" t="s">
        <v>4003</v>
      </c>
      <c r="P1564" s="50" t="s">
        <v>4003</v>
      </c>
    </row>
    <row r="1565" spans="1:16" ht="12.75" customHeight="1" x14ac:dyDescent="0.25">
      <c r="A1565" s="311">
        <v>1562</v>
      </c>
      <c r="B1565" s="311" t="s">
        <v>63</v>
      </c>
      <c r="C1565" s="311" t="s">
        <v>63</v>
      </c>
      <c r="D1565" s="311" t="s">
        <v>462</v>
      </c>
      <c r="E1565" s="337" t="s">
        <v>63</v>
      </c>
      <c r="F1565" s="311" t="s">
        <v>294</v>
      </c>
      <c r="G1565" s="311" t="s">
        <v>237</v>
      </c>
      <c r="H1565" s="311" t="s">
        <v>367</v>
      </c>
      <c r="I1565" s="311" t="s">
        <v>56</v>
      </c>
      <c r="J1565" s="50" t="s">
        <v>1892</v>
      </c>
      <c r="K1565" s="50" t="s">
        <v>1892</v>
      </c>
      <c r="L1565" s="50" t="s">
        <v>1893</v>
      </c>
      <c r="M1565" s="50" t="s">
        <v>4006</v>
      </c>
      <c r="N1565" s="50" t="s">
        <v>4006</v>
      </c>
      <c r="O1565" s="50" t="s">
        <v>4003</v>
      </c>
      <c r="P1565" s="50" t="s">
        <v>4006</v>
      </c>
    </row>
    <row r="1566" spans="1:16" ht="12.75" customHeight="1" x14ac:dyDescent="0.25">
      <c r="A1566" s="311">
        <v>1563</v>
      </c>
      <c r="B1566" s="311" t="s">
        <v>140</v>
      </c>
      <c r="C1566" s="311" t="s">
        <v>140</v>
      </c>
      <c r="D1566" s="311" t="s">
        <v>462</v>
      </c>
      <c r="E1566" s="337" t="s">
        <v>140</v>
      </c>
      <c r="F1566" s="311" t="s">
        <v>294</v>
      </c>
      <c r="G1566" s="311" t="s">
        <v>237</v>
      </c>
      <c r="H1566" s="311" t="s">
        <v>367</v>
      </c>
      <c r="I1566" s="311" t="s">
        <v>56</v>
      </c>
      <c r="J1566" s="50" t="s">
        <v>1892</v>
      </c>
      <c r="K1566" s="50" t="s">
        <v>1892</v>
      </c>
      <c r="L1566" s="50" t="s">
        <v>1893</v>
      </c>
      <c r="M1566" s="50" t="s">
        <v>4007</v>
      </c>
      <c r="N1566" s="50" t="s">
        <v>4007</v>
      </c>
      <c r="O1566" s="50" t="s">
        <v>4003</v>
      </c>
      <c r="P1566" s="50" t="s">
        <v>4007</v>
      </c>
    </row>
    <row r="1567" spans="1:16" ht="12.75" customHeight="1" x14ac:dyDescent="0.25">
      <c r="A1567" s="311">
        <v>1564</v>
      </c>
      <c r="B1567" s="311" t="s">
        <v>121</v>
      </c>
      <c r="C1567" s="311" t="s">
        <v>121</v>
      </c>
      <c r="D1567" s="311" t="s">
        <v>462</v>
      </c>
      <c r="E1567" s="337" t="s">
        <v>121</v>
      </c>
      <c r="F1567" s="311" t="s">
        <v>294</v>
      </c>
      <c r="G1567" s="311" t="s">
        <v>237</v>
      </c>
      <c r="H1567" s="311" t="s">
        <v>367</v>
      </c>
      <c r="I1567" s="311" t="s">
        <v>56</v>
      </c>
      <c r="J1567" s="50" t="s">
        <v>1892</v>
      </c>
      <c r="K1567" s="50" t="s">
        <v>1892</v>
      </c>
      <c r="L1567" s="50" t="s">
        <v>1893</v>
      </c>
      <c r="M1567" s="50" t="s">
        <v>4008</v>
      </c>
      <c r="N1567" s="50" t="s">
        <v>4008</v>
      </c>
      <c r="O1567" s="50" t="s">
        <v>4003</v>
      </c>
      <c r="P1567" s="50" t="s">
        <v>4008</v>
      </c>
    </row>
    <row r="1568" spans="1:16" ht="12.75" customHeight="1" x14ac:dyDescent="0.25">
      <c r="A1568" s="311">
        <v>1565</v>
      </c>
      <c r="B1568" s="311" t="s">
        <v>87</v>
      </c>
      <c r="C1568" s="311" t="s">
        <v>87</v>
      </c>
      <c r="D1568" s="311" t="s">
        <v>462</v>
      </c>
      <c r="E1568" s="337" t="s">
        <v>87</v>
      </c>
      <c r="F1568" s="311" t="s">
        <v>294</v>
      </c>
      <c r="G1568" s="311" t="s">
        <v>237</v>
      </c>
      <c r="H1568" s="311" t="s">
        <v>367</v>
      </c>
      <c r="I1568" s="311" t="s">
        <v>56</v>
      </c>
      <c r="J1568" s="50" t="s">
        <v>1892</v>
      </c>
      <c r="K1568" s="50" t="s">
        <v>1892</v>
      </c>
      <c r="L1568" s="50" t="s">
        <v>1893</v>
      </c>
      <c r="M1568" s="50" t="s">
        <v>4009</v>
      </c>
      <c r="N1568" s="50" t="s">
        <v>4009</v>
      </c>
      <c r="O1568" s="50" t="s">
        <v>4003</v>
      </c>
      <c r="P1568" s="50" t="s">
        <v>4009</v>
      </c>
    </row>
    <row r="1569" spans="1:16" ht="12.75" customHeight="1" x14ac:dyDescent="0.25">
      <c r="A1569" s="311">
        <v>1566</v>
      </c>
      <c r="B1569" s="311" t="s">
        <v>125</v>
      </c>
      <c r="C1569" s="311" t="s">
        <v>125</v>
      </c>
      <c r="D1569" s="311" t="s">
        <v>125</v>
      </c>
      <c r="E1569" s="337" t="s">
        <v>125</v>
      </c>
      <c r="F1569" s="311" t="s">
        <v>294</v>
      </c>
      <c r="G1569" s="311" t="s">
        <v>237</v>
      </c>
      <c r="H1569" s="311" t="s">
        <v>367</v>
      </c>
      <c r="I1569" s="311" t="s">
        <v>56</v>
      </c>
      <c r="J1569" s="50" t="s">
        <v>1892</v>
      </c>
      <c r="K1569" s="50" t="s">
        <v>1892</v>
      </c>
      <c r="L1569" s="50" t="s">
        <v>1893</v>
      </c>
      <c r="M1569" s="50" t="s">
        <v>4010</v>
      </c>
      <c r="N1569" s="50" t="s">
        <v>4010</v>
      </c>
      <c r="O1569" s="50" t="s">
        <v>4010</v>
      </c>
      <c r="P1569" s="50" t="s">
        <v>4010</v>
      </c>
    </row>
    <row r="1570" spans="1:16" ht="12.75" customHeight="1" x14ac:dyDescent="0.25">
      <c r="A1570" s="311">
        <v>1567</v>
      </c>
      <c r="B1570" s="311" t="s">
        <v>134</v>
      </c>
      <c r="C1570" s="311" t="s">
        <v>134</v>
      </c>
      <c r="D1570" s="311" t="s">
        <v>134</v>
      </c>
      <c r="E1570" s="337" t="s">
        <v>134</v>
      </c>
      <c r="F1570" s="311" t="s">
        <v>294</v>
      </c>
      <c r="G1570" s="311" t="s">
        <v>237</v>
      </c>
      <c r="H1570" s="311" t="s">
        <v>367</v>
      </c>
      <c r="I1570" s="311" t="s">
        <v>56</v>
      </c>
      <c r="J1570" s="50" t="s">
        <v>1892</v>
      </c>
      <c r="K1570" s="50" t="s">
        <v>1892</v>
      </c>
      <c r="L1570" s="50" t="s">
        <v>1893</v>
      </c>
      <c r="M1570" s="50" t="s">
        <v>4011</v>
      </c>
      <c r="N1570" s="50" t="s">
        <v>4011</v>
      </c>
      <c r="O1570" s="50" t="s">
        <v>4011</v>
      </c>
      <c r="P1570" s="50" t="s">
        <v>4011</v>
      </c>
    </row>
    <row r="1571" spans="1:16" ht="12.75" customHeight="1" x14ac:dyDescent="0.25">
      <c r="A1571" s="311">
        <v>1568</v>
      </c>
      <c r="B1571" s="311" t="s">
        <v>141</v>
      </c>
      <c r="C1571" s="311" t="s">
        <v>141</v>
      </c>
      <c r="D1571" s="311" t="s">
        <v>141</v>
      </c>
      <c r="E1571" s="337" t="s">
        <v>141</v>
      </c>
      <c r="F1571" s="311" t="s">
        <v>294</v>
      </c>
      <c r="G1571" s="311" t="s">
        <v>237</v>
      </c>
      <c r="H1571" s="311" t="s">
        <v>367</v>
      </c>
      <c r="I1571" s="311" t="s">
        <v>56</v>
      </c>
      <c r="J1571" s="50" t="s">
        <v>1892</v>
      </c>
      <c r="K1571" s="50" t="s">
        <v>1892</v>
      </c>
      <c r="L1571" s="50" t="s">
        <v>1893</v>
      </c>
      <c r="M1571" s="50" t="s">
        <v>4012</v>
      </c>
      <c r="N1571" s="50" t="s">
        <v>4012</v>
      </c>
      <c r="O1571" s="50" t="s">
        <v>4012</v>
      </c>
      <c r="P1571" s="50" t="s">
        <v>4012</v>
      </c>
    </row>
    <row r="1572" spans="1:16" ht="12.75" customHeight="1" x14ac:dyDescent="0.25">
      <c r="A1572" s="311">
        <v>1569</v>
      </c>
      <c r="B1572" s="311" t="s">
        <v>69</v>
      </c>
      <c r="C1572" s="311" t="s">
        <v>69</v>
      </c>
      <c r="D1572" s="311" t="s">
        <v>69</v>
      </c>
      <c r="E1572" s="337" t="s">
        <v>69</v>
      </c>
      <c r="F1572" s="311" t="s">
        <v>294</v>
      </c>
      <c r="G1572" s="311" t="s">
        <v>237</v>
      </c>
      <c r="H1572" s="311" t="s">
        <v>367</v>
      </c>
      <c r="I1572" s="311" t="s">
        <v>56</v>
      </c>
      <c r="J1572" s="50" t="s">
        <v>1892</v>
      </c>
      <c r="K1572" s="50" t="s">
        <v>1892</v>
      </c>
      <c r="L1572" s="50" t="s">
        <v>1893</v>
      </c>
      <c r="M1572" s="50" t="s">
        <v>4013</v>
      </c>
      <c r="N1572" s="50" t="s">
        <v>4013</v>
      </c>
      <c r="O1572" s="50" t="s">
        <v>4013</v>
      </c>
      <c r="P1572" s="50" t="s">
        <v>4013</v>
      </c>
    </row>
    <row r="1573" spans="1:16" ht="12.75" customHeight="1" x14ac:dyDescent="0.25">
      <c r="A1573" s="311">
        <v>1570</v>
      </c>
      <c r="B1573" s="311" t="s">
        <v>84</v>
      </c>
      <c r="C1573" s="311" t="s">
        <v>462</v>
      </c>
      <c r="D1573" s="311" t="s">
        <v>462</v>
      </c>
      <c r="E1573" s="337" t="s">
        <v>462</v>
      </c>
      <c r="F1573" s="311" t="s">
        <v>266</v>
      </c>
      <c r="G1573" s="311" t="s">
        <v>236</v>
      </c>
      <c r="H1573" s="311" t="s">
        <v>361</v>
      </c>
      <c r="I1573" s="311" t="s">
        <v>56</v>
      </c>
      <c r="J1573" s="50" t="s">
        <v>1892</v>
      </c>
      <c r="K1573" s="50" t="s">
        <v>1892</v>
      </c>
      <c r="L1573" s="50" t="s">
        <v>1893</v>
      </c>
      <c r="M1573" s="50" t="s">
        <v>4014</v>
      </c>
      <c r="N1573" s="50" t="s">
        <v>4015</v>
      </c>
      <c r="O1573" s="50" t="s">
        <v>4015</v>
      </c>
      <c r="P1573" s="50" t="s">
        <v>4015</v>
      </c>
    </row>
    <row r="1574" spans="1:16" ht="12.75" customHeight="1" x14ac:dyDescent="0.25">
      <c r="A1574" s="311">
        <v>1571</v>
      </c>
      <c r="B1574" s="311" t="s">
        <v>123</v>
      </c>
      <c r="C1574" s="311" t="s">
        <v>462</v>
      </c>
      <c r="D1574" s="311" t="s">
        <v>462</v>
      </c>
      <c r="E1574" s="337" t="s">
        <v>462</v>
      </c>
      <c r="F1574" s="311" t="s">
        <v>266</v>
      </c>
      <c r="G1574" s="311" t="s">
        <v>236</v>
      </c>
      <c r="H1574" s="311" t="s">
        <v>361</v>
      </c>
      <c r="I1574" s="311" t="s">
        <v>56</v>
      </c>
      <c r="J1574" s="50" t="s">
        <v>1892</v>
      </c>
      <c r="K1574" s="50" t="s">
        <v>1892</v>
      </c>
      <c r="L1574" s="50" t="s">
        <v>1893</v>
      </c>
      <c r="M1574" s="50" t="s">
        <v>4016</v>
      </c>
      <c r="N1574" s="50" t="s">
        <v>4015</v>
      </c>
      <c r="O1574" s="50" t="s">
        <v>4015</v>
      </c>
      <c r="P1574" s="50" t="s">
        <v>4015</v>
      </c>
    </row>
    <row r="1575" spans="1:16" ht="12.75" customHeight="1" x14ac:dyDescent="0.25">
      <c r="A1575" s="311">
        <v>1572</v>
      </c>
      <c r="B1575" s="311" t="s">
        <v>75</v>
      </c>
      <c r="C1575" s="311" t="s">
        <v>462</v>
      </c>
      <c r="D1575" s="311" t="s">
        <v>462</v>
      </c>
      <c r="E1575" s="337" t="s">
        <v>462</v>
      </c>
      <c r="F1575" s="311" t="s">
        <v>266</v>
      </c>
      <c r="G1575" s="311" t="s">
        <v>236</v>
      </c>
      <c r="H1575" s="311" t="s">
        <v>361</v>
      </c>
      <c r="I1575" s="311" t="s">
        <v>56</v>
      </c>
      <c r="J1575" s="50" t="s">
        <v>1892</v>
      </c>
      <c r="K1575" s="50" t="s">
        <v>1892</v>
      </c>
      <c r="L1575" s="50" t="s">
        <v>1893</v>
      </c>
      <c r="M1575" s="50" t="s">
        <v>4017</v>
      </c>
      <c r="N1575" s="50" t="s">
        <v>4015</v>
      </c>
      <c r="O1575" s="50" t="s">
        <v>4015</v>
      </c>
      <c r="P1575" s="50" t="s">
        <v>4015</v>
      </c>
    </row>
    <row r="1576" spans="1:16" ht="12.75" customHeight="1" x14ac:dyDescent="0.25">
      <c r="A1576" s="311">
        <v>1573</v>
      </c>
      <c r="B1576" s="311" t="s">
        <v>63</v>
      </c>
      <c r="C1576" s="311" t="s">
        <v>63</v>
      </c>
      <c r="D1576" s="311" t="s">
        <v>462</v>
      </c>
      <c r="E1576" s="337" t="s">
        <v>63</v>
      </c>
      <c r="F1576" s="311" t="s">
        <v>266</v>
      </c>
      <c r="G1576" s="311" t="s">
        <v>236</v>
      </c>
      <c r="H1576" s="311" t="s">
        <v>361</v>
      </c>
      <c r="I1576" s="311" t="s">
        <v>56</v>
      </c>
      <c r="J1576" s="50" t="s">
        <v>1892</v>
      </c>
      <c r="K1576" s="50" t="s">
        <v>1892</v>
      </c>
      <c r="L1576" s="50" t="s">
        <v>1893</v>
      </c>
      <c r="M1576" s="50" t="s">
        <v>4018</v>
      </c>
      <c r="N1576" s="50" t="s">
        <v>4018</v>
      </c>
      <c r="O1576" s="50" t="s">
        <v>4015</v>
      </c>
      <c r="P1576" s="50" t="s">
        <v>4018</v>
      </c>
    </row>
    <row r="1577" spans="1:16" ht="12.75" customHeight="1" x14ac:dyDescent="0.25">
      <c r="A1577" s="311">
        <v>1574</v>
      </c>
      <c r="B1577" s="311" t="s">
        <v>140</v>
      </c>
      <c r="C1577" s="311" t="s">
        <v>140</v>
      </c>
      <c r="D1577" s="311" t="s">
        <v>462</v>
      </c>
      <c r="E1577" s="337" t="s">
        <v>140</v>
      </c>
      <c r="F1577" s="311" t="s">
        <v>266</v>
      </c>
      <c r="G1577" s="311" t="s">
        <v>236</v>
      </c>
      <c r="H1577" s="311" t="s">
        <v>361</v>
      </c>
      <c r="I1577" s="311" t="s">
        <v>56</v>
      </c>
      <c r="J1577" s="50" t="s">
        <v>1892</v>
      </c>
      <c r="K1577" s="50" t="s">
        <v>1892</v>
      </c>
      <c r="L1577" s="50" t="s">
        <v>1893</v>
      </c>
      <c r="M1577" s="50" t="s">
        <v>4019</v>
      </c>
      <c r="N1577" s="50" t="s">
        <v>4019</v>
      </c>
      <c r="O1577" s="50" t="s">
        <v>4015</v>
      </c>
      <c r="P1577" s="50" t="s">
        <v>4019</v>
      </c>
    </row>
    <row r="1578" spans="1:16" ht="12.75" customHeight="1" x14ac:dyDescent="0.25">
      <c r="A1578" s="311">
        <v>1575</v>
      </c>
      <c r="B1578" s="311" t="s">
        <v>121</v>
      </c>
      <c r="C1578" s="311" t="s">
        <v>121</v>
      </c>
      <c r="D1578" s="311" t="s">
        <v>462</v>
      </c>
      <c r="E1578" s="337" t="s">
        <v>121</v>
      </c>
      <c r="F1578" s="311" t="s">
        <v>266</v>
      </c>
      <c r="G1578" s="311" t="s">
        <v>236</v>
      </c>
      <c r="H1578" s="311" t="s">
        <v>361</v>
      </c>
      <c r="I1578" s="311" t="s">
        <v>56</v>
      </c>
      <c r="J1578" s="50" t="s">
        <v>1892</v>
      </c>
      <c r="K1578" s="50" t="s">
        <v>1892</v>
      </c>
      <c r="L1578" s="50" t="s">
        <v>1893</v>
      </c>
      <c r="M1578" s="50" t="s">
        <v>4020</v>
      </c>
      <c r="N1578" s="50" t="s">
        <v>4020</v>
      </c>
      <c r="O1578" s="50" t="s">
        <v>4015</v>
      </c>
      <c r="P1578" s="50" t="s">
        <v>4020</v>
      </c>
    </row>
    <row r="1579" spans="1:16" ht="12.75" customHeight="1" x14ac:dyDescent="0.25">
      <c r="A1579" s="311">
        <v>1576</v>
      </c>
      <c r="B1579" s="311" t="s">
        <v>87</v>
      </c>
      <c r="C1579" s="311" t="s">
        <v>87</v>
      </c>
      <c r="D1579" s="311" t="s">
        <v>462</v>
      </c>
      <c r="E1579" s="337" t="s">
        <v>87</v>
      </c>
      <c r="F1579" s="311" t="s">
        <v>266</v>
      </c>
      <c r="G1579" s="311" t="s">
        <v>236</v>
      </c>
      <c r="H1579" s="311" t="s">
        <v>361</v>
      </c>
      <c r="I1579" s="311" t="s">
        <v>56</v>
      </c>
      <c r="J1579" s="50" t="s">
        <v>1892</v>
      </c>
      <c r="K1579" s="50" t="s">
        <v>1892</v>
      </c>
      <c r="L1579" s="50" t="s">
        <v>1893</v>
      </c>
      <c r="M1579" s="50" t="s">
        <v>4021</v>
      </c>
      <c r="N1579" s="50" t="s">
        <v>4021</v>
      </c>
      <c r="O1579" s="50" t="s">
        <v>4015</v>
      </c>
      <c r="P1579" s="50" t="s">
        <v>4021</v>
      </c>
    </row>
    <row r="1580" spans="1:16" ht="12.75" customHeight="1" x14ac:dyDescent="0.25">
      <c r="A1580" s="311">
        <v>1577</v>
      </c>
      <c r="B1580" s="311" t="s">
        <v>125</v>
      </c>
      <c r="C1580" s="311" t="s">
        <v>125</v>
      </c>
      <c r="D1580" s="311" t="s">
        <v>125</v>
      </c>
      <c r="E1580" s="337" t="s">
        <v>125</v>
      </c>
      <c r="F1580" s="311" t="s">
        <v>266</v>
      </c>
      <c r="G1580" s="311" t="s">
        <v>236</v>
      </c>
      <c r="H1580" s="311" t="s">
        <v>361</v>
      </c>
      <c r="I1580" s="311" t="s">
        <v>56</v>
      </c>
      <c r="J1580" s="50" t="s">
        <v>1892</v>
      </c>
      <c r="K1580" s="50" t="s">
        <v>1892</v>
      </c>
      <c r="L1580" s="50" t="s">
        <v>1893</v>
      </c>
      <c r="M1580" s="50" t="s">
        <v>4022</v>
      </c>
      <c r="N1580" s="50" t="s">
        <v>4022</v>
      </c>
      <c r="O1580" s="50" t="s">
        <v>4022</v>
      </c>
      <c r="P1580" s="50" t="s">
        <v>4022</v>
      </c>
    </row>
    <row r="1581" spans="1:16" ht="12.75" customHeight="1" x14ac:dyDescent="0.25">
      <c r="A1581" s="311">
        <v>1578</v>
      </c>
      <c r="B1581" s="311" t="s">
        <v>134</v>
      </c>
      <c r="C1581" s="311" t="s">
        <v>134</v>
      </c>
      <c r="D1581" s="311" t="s">
        <v>134</v>
      </c>
      <c r="E1581" s="337" t="s">
        <v>134</v>
      </c>
      <c r="F1581" s="311" t="s">
        <v>266</v>
      </c>
      <c r="G1581" s="311" t="s">
        <v>236</v>
      </c>
      <c r="H1581" s="311" t="s">
        <v>361</v>
      </c>
      <c r="I1581" s="311" t="s">
        <v>56</v>
      </c>
      <c r="J1581" s="50" t="s">
        <v>1892</v>
      </c>
      <c r="K1581" s="50" t="s">
        <v>1892</v>
      </c>
      <c r="L1581" s="50" t="s">
        <v>1893</v>
      </c>
      <c r="M1581" s="50" t="s">
        <v>4023</v>
      </c>
      <c r="N1581" s="50" t="s">
        <v>4023</v>
      </c>
      <c r="O1581" s="50" t="s">
        <v>4023</v>
      </c>
      <c r="P1581" s="50" t="s">
        <v>4023</v>
      </c>
    </row>
    <row r="1582" spans="1:16" ht="12.75" customHeight="1" x14ac:dyDescent="0.25">
      <c r="A1582" s="311">
        <v>1579</v>
      </c>
      <c r="B1582" s="311" t="s">
        <v>141</v>
      </c>
      <c r="C1582" s="311" t="s">
        <v>141</v>
      </c>
      <c r="D1582" s="311" t="s">
        <v>141</v>
      </c>
      <c r="E1582" s="337" t="s">
        <v>141</v>
      </c>
      <c r="F1582" s="311" t="s">
        <v>266</v>
      </c>
      <c r="G1582" s="311" t="s">
        <v>236</v>
      </c>
      <c r="H1582" s="311" t="s">
        <v>361</v>
      </c>
      <c r="I1582" s="311" t="s">
        <v>56</v>
      </c>
      <c r="J1582" s="50" t="s">
        <v>1892</v>
      </c>
      <c r="K1582" s="50" t="s">
        <v>1892</v>
      </c>
      <c r="L1582" s="50" t="s">
        <v>1893</v>
      </c>
      <c r="M1582" s="50" t="s">
        <v>4024</v>
      </c>
      <c r="N1582" s="50" t="s">
        <v>4024</v>
      </c>
      <c r="O1582" s="50" t="s">
        <v>4024</v>
      </c>
      <c r="P1582" s="50" t="s">
        <v>4024</v>
      </c>
    </row>
    <row r="1583" spans="1:16" ht="12.75" customHeight="1" x14ac:dyDescent="0.25">
      <c r="A1583" s="311">
        <v>1704</v>
      </c>
      <c r="B1583" s="311" t="s">
        <v>69</v>
      </c>
      <c r="C1583" s="311" t="s">
        <v>69</v>
      </c>
      <c r="D1583" s="311" t="s">
        <v>69</v>
      </c>
      <c r="E1583" s="337" t="s">
        <v>69</v>
      </c>
      <c r="F1583" s="311" t="s">
        <v>266</v>
      </c>
      <c r="G1583" s="311" t="s">
        <v>236</v>
      </c>
      <c r="H1583" s="311" t="s">
        <v>361</v>
      </c>
      <c r="I1583" s="311" t="s">
        <v>56</v>
      </c>
      <c r="J1583" s="50" t="s">
        <v>1892</v>
      </c>
      <c r="K1583" s="50" t="s">
        <v>1892</v>
      </c>
      <c r="L1583" s="50" t="s">
        <v>1893</v>
      </c>
      <c r="M1583" s="50" t="s">
        <v>4025</v>
      </c>
      <c r="N1583" s="50" t="s">
        <v>4025</v>
      </c>
      <c r="O1583" s="50" t="s">
        <v>4025</v>
      </c>
      <c r="P1583" s="50" t="s">
        <v>4025</v>
      </c>
    </row>
    <row r="1584" spans="1:16" ht="12.75" customHeight="1" x14ac:dyDescent="0.25">
      <c r="A1584" s="311">
        <v>1581</v>
      </c>
      <c r="B1584" s="311" t="s">
        <v>84</v>
      </c>
      <c r="C1584" s="311" t="s">
        <v>462</v>
      </c>
      <c r="D1584" s="311" t="s">
        <v>462</v>
      </c>
      <c r="E1584" s="337" t="s">
        <v>462</v>
      </c>
      <c r="F1584" s="311" t="s">
        <v>266</v>
      </c>
      <c r="G1584" s="311" t="s">
        <v>23</v>
      </c>
      <c r="H1584" s="311" t="s">
        <v>361</v>
      </c>
      <c r="I1584" s="311" t="s">
        <v>56</v>
      </c>
      <c r="J1584" s="50" t="s">
        <v>1892</v>
      </c>
      <c r="K1584" s="50" t="s">
        <v>1892</v>
      </c>
      <c r="L1584" s="50" t="s">
        <v>1893</v>
      </c>
      <c r="M1584" s="50" t="s">
        <v>4026</v>
      </c>
      <c r="N1584" s="50" t="s">
        <v>4027</v>
      </c>
      <c r="O1584" s="50" t="s">
        <v>4027</v>
      </c>
      <c r="P1584" s="50" t="s">
        <v>4027</v>
      </c>
    </row>
    <row r="1585" spans="1:16" ht="12.75" customHeight="1" x14ac:dyDescent="0.25">
      <c r="A1585" s="311">
        <v>1582</v>
      </c>
      <c r="B1585" s="311" t="s">
        <v>123</v>
      </c>
      <c r="C1585" s="311" t="s">
        <v>462</v>
      </c>
      <c r="D1585" s="311" t="s">
        <v>462</v>
      </c>
      <c r="E1585" s="337" t="s">
        <v>462</v>
      </c>
      <c r="F1585" s="311" t="s">
        <v>266</v>
      </c>
      <c r="G1585" s="311" t="s">
        <v>23</v>
      </c>
      <c r="H1585" s="311" t="s">
        <v>361</v>
      </c>
      <c r="I1585" s="311" t="s">
        <v>56</v>
      </c>
      <c r="J1585" s="50" t="s">
        <v>1892</v>
      </c>
      <c r="K1585" s="50" t="s">
        <v>1892</v>
      </c>
      <c r="L1585" s="50" t="s">
        <v>1893</v>
      </c>
      <c r="M1585" s="50" t="s">
        <v>4028</v>
      </c>
      <c r="N1585" s="50" t="s">
        <v>4027</v>
      </c>
      <c r="O1585" s="50" t="s">
        <v>4027</v>
      </c>
      <c r="P1585" s="50" t="s">
        <v>4027</v>
      </c>
    </row>
    <row r="1586" spans="1:16" ht="12.75" customHeight="1" x14ac:dyDescent="0.25">
      <c r="A1586" s="311">
        <v>1583</v>
      </c>
      <c r="B1586" s="311" t="s">
        <v>75</v>
      </c>
      <c r="C1586" s="311" t="s">
        <v>462</v>
      </c>
      <c r="D1586" s="311" t="s">
        <v>462</v>
      </c>
      <c r="E1586" s="337" t="s">
        <v>462</v>
      </c>
      <c r="F1586" s="311" t="s">
        <v>266</v>
      </c>
      <c r="G1586" s="311" t="s">
        <v>23</v>
      </c>
      <c r="H1586" s="311" t="s">
        <v>361</v>
      </c>
      <c r="I1586" s="311" t="s">
        <v>56</v>
      </c>
      <c r="J1586" s="50" t="s">
        <v>1892</v>
      </c>
      <c r="K1586" s="50" t="s">
        <v>1892</v>
      </c>
      <c r="L1586" s="50" t="s">
        <v>1893</v>
      </c>
      <c r="M1586" s="50" t="s">
        <v>4029</v>
      </c>
      <c r="N1586" s="50" t="s">
        <v>4027</v>
      </c>
      <c r="O1586" s="50" t="s">
        <v>4027</v>
      </c>
      <c r="P1586" s="50" t="s">
        <v>4027</v>
      </c>
    </row>
    <row r="1587" spans="1:16" ht="12.75" customHeight="1" x14ac:dyDescent="0.25">
      <c r="A1587" s="311">
        <v>1584</v>
      </c>
      <c r="B1587" s="311" t="s">
        <v>63</v>
      </c>
      <c r="C1587" s="311" t="s">
        <v>63</v>
      </c>
      <c r="D1587" s="311" t="s">
        <v>462</v>
      </c>
      <c r="E1587" s="337" t="s">
        <v>63</v>
      </c>
      <c r="F1587" s="311" t="s">
        <v>266</v>
      </c>
      <c r="G1587" s="311" t="s">
        <v>23</v>
      </c>
      <c r="H1587" s="311" t="s">
        <v>361</v>
      </c>
      <c r="I1587" s="311" t="s">
        <v>56</v>
      </c>
      <c r="J1587" s="50" t="s">
        <v>1892</v>
      </c>
      <c r="K1587" s="50" t="s">
        <v>1892</v>
      </c>
      <c r="L1587" s="50" t="s">
        <v>1893</v>
      </c>
      <c r="M1587" s="50" t="s">
        <v>4030</v>
      </c>
      <c r="N1587" s="50" t="s">
        <v>4030</v>
      </c>
      <c r="O1587" s="50" t="s">
        <v>4027</v>
      </c>
      <c r="P1587" s="50" t="s">
        <v>4030</v>
      </c>
    </row>
    <row r="1588" spans="1:16" ht="12.75" customHeight="1" x14ac:dyDescent="0.25">
      <c r="A1588" s="311">
        <v>1585</v>
      </c>
      <c r="B1588" s="311" t="s">
        <v>140</v>
      </c>
      <c r="C1588" s="311" t="s">
        <v>140</v>
      </c>
      <c r="D1588" s="311" t="s">
        <v>462</v>
      </c>
      <c r="E1588" s="337" t="s">
        <v>140</v>
      </c>
      <c r="F1588" s="311" t="s">
        <v>266</v>
      </c>
      <c r="G1588" s="311" t="s">
        <v>23</v>
      </c>
      <c r="H1588" s="311" t="s">
        <v>361</v>
      </c>
      <c r="I1588" s="311" t="s">
        <v>56</v>
      </c>
      <c r="J1588" s="50" t="s">
        <v>1892</v>
      </c>
      <c r="K1588" s="50" t="s">
        <v>1892</v>
      </c>
      <c r="L1588" s="50" t="s">
        <v>1893</v>
      </c>
      <c r="M1588" s="50" t="s">
        <v>4031</v>
      </c>
      <c r="N1588" s="50" t="s">
        <v>4031</v>
      </c>
      <c r="O1588" s="50" t="s">
        <v>4027</v>
      </c>
      <c r="P1588" s="50" t="s">
        <v>4031</v>
      </c>
    </row>
    <row r="1589" spans="1:16" ht="12.75" customHeight="1" x14ac:dyDescent="0.25">
      <c r="A1589" s="311">
        <v>1586</v>
      </c>
      <c r="B1589" s="311" t="s">
        <v>121</v>
      </c>
      <c r="C1589" s="311" t="s">
        <v>121</v>
      </c>
      <c r="D1589" s="311" t="s">
        <v>462</v>
      </c>
      <c r="E1589" s="337" t="s">
        <v>121</v>
      </c>
      <c r="F1589" s="311" t="s">
        <v>266</v>
      </c>
      <c r="G1589" s="311" t="s">
        <v>23</v>
      </c>
      <c r="H1589" s="311" t="s">
        <v>361</v>
      </c>
      <c r="I1589" s="311" t="s">
        <v>56</v>
      </c>
      <c r="J1589" s="50" t="s">
        <v>1892</v>
      </c>
      <c r="K1589" s="50" t="s">
        <v>1892</v>
      </c>
      <c r="L1589" s="50" t="s">
        <v>1893</v>
      </c>
      <c r="M1589" s="50" t="s">
        <v>4032</v>
      </c>
      <c r="N1589" s="50" t="s">
        <v>4032</v>
      </c>
      <c r="O1589" s="50" t="s">
        <v>4027</v>
      </c>
      <c r="P1589" s="50" t="s">
        <v>4032</v>
      </c>
    </row>
    <row r="1590" spans="1:16" ht="12.75" customHeight="1" x14ac:dyDescent="0.25">
      <c r="A1590" s="311">
        <v>1587</v>
      </c>
      <c r="B1590" s="311" t="s">
        <v>87</v>
      </c>
      <c r="C1590" s="311" t="s">
        <v>87</v>
      </c>
      <c r="D1590" s="311" t="s">
        <v>462</v>
      </c>
      <c r="E1590" s="337" t="s">
        <v>87</v>
      </c>
      <c r="F1590" s="311" t="s">
        <v>266</v>
      </c>
      <c r="G1590" s="311" t="s">
        <v>23</v>
      </c>
      <c r="H1590" s="311" t="s">
        <v>361</v>
      </c>
      <c r="I1590" s="311" t="s">
        <v>56</v>
      </c>
      <c r="J1590" s="50" t="s">
        <v>1892</v>
      </c>
      <c r="K1590" s="50" t="s">
        <v>1892</v>
      </c>
      <c r="L1590" s="50" t="s">
        <v>1893</v>
      </c>
      <c r="M1590" s="50" t="s">
        <v>4033</v>
      </c>
      <c r="N1590" s="50" t="s">
        <v>4033</v>
      </c>
      <c r="O1590" s="50" t="s">
        <v>4027</v>
      </c>
      <c r="P1590" s="50" t="s">
        <v>4033</v>
      </c>
    </row>
    <row r="1591" spans="1:16" ht="12.75" customHeight="1" x14ac:dyDescent="0.25">
      <c r="A1591" s="311">
        <v>1588</v>
      </c>
      <c r="B1591" s="311" t="s">
        <v>125</v>
      </c>
      <c r="C1591" s="311" t="s">
        <v>125</v>
      </c>
      <c r="D1591" s="311" t="s">
        <v>125</v>
      </c>
      <c r="E1591" s="337" t="s">
        <v>125</v>
      </c>
      <c r="F1591" s="311" t="s">
        <v>266</v>
      </c>
      <c r="G1591" s="311" t="s">
        <v>23</v>
      </c>
      <c r="H1591" s="311" t="s">
        <v>361</v>
      </c>
      <c r="I1591" s="311" t="s">
        <v>56</v>
      </c>
      <c r="J1591" s="50" t="s">
        <v>1892</v>
      </c>
      <c r="K1591" s="50" t="s">
        <v>1892</v>
      </c>
      <c r="L1591" s="50" t="s">
        <v>1893</v>
      </c>
      <c r="M1591" s="50" t="s">
        <v>4034</v>
      </c>
      <c r="N1591" s="50" t="s">
        <v>4034</v>
      </c>
      <c r="O1591" s="50" t="s">
        <v>4034</v>
      </c>
      <c r="P1591" s="50" t="s">
        <v>4034</v>
      </c>
    </row>
    <row r="1592" spans="1:16" ht="12.75" customHeight="1" x14ac:dyDescent="0.25">
      <c r="A1592" s="311">
        <v>1589</v>
      </c>
      <c r="B1592" s="311" t="s">
        <v>134</v>
      </c>
      <c r="C1592" s="311" t="s">
        <v>134</v>
      </c>
      <c r="D1592" s="311" t="s">
        <v>134</v>
      </c>
      <c r="E1592" s="337" t="s">
        <v>134</v>
      </c>
      <c r="F1592" s="311" t="s">
        <v>266</v>
      </c>
      <c r="G1592" s="311" t="s">
        <v>23</v>
      </c>
      <c r="H1592" s="311" t="s">
        <v>361</v>
      </c>
      <c r="I1592" s="311" t="s">
        <v>56</v>
      </c>
      <c r="J1592" s="50" t="s">
        <v>1892</v>
      </c>
      <c r="K1592" s="50" t="s">
        <v>1892</v>
      </c>
      <c r="L1592" s="50" t="s">
        <v>1893</v>
      </c>
      <c r="M1592" s="50" t="s">
        <v>4035</v>
      </c>
      <c r="N1592" s="50" t="s">
        <v>4035</v>
      </c>
      <c r="O1592" s="50" t="s">
        <v>4035</v>
      </c>
      <c r="P1592" s="50" t="s">
        <v>4035</v>
      </c>
    </row>
    <row r="1593" spans="1:16" ht="12.75" customHeight="1" x14ac:dyDescent="0.25">
      <c r="A1593" s="311">
        <v>1590</v>
      </c>
      <c r="B1593" s="311" t="s">
        <v>141</v>
      </c>
      <c r="C1593" s="311" t="s">
        <v>141</v>
      </c>
      <c r="D1593" s="311" t="s">
        <v>141</v>
      </c>
      <c r="E1593" s="337" t="s">
        <v>141</v>
      </c>
      <c r="F1593" s="311" t="s">
        <v>266</v>
      </c>
      <c r="G1593" s="311" t="s">
        <v>23</v>
      </c>
      <c r="H1593" s="311" t="s">
        <v>361</v>
      </c>
      <c r="I1593" s="311" t="s">
        <v>56</v>
      </c>
      <c r="J1593" s="50" t="s">
        <v>1892</v>
      </c>
      <c r="K1593" s="50" t="s">
        <v>1892</v>
      </c>
      <c r="L1593" s="50" t="s">
        <v>1893</v>
      </c>
      <c r="M1593" s="50" t="s">
        <v>4036</v>
      </c>
      <c r="N1593" s="50" t="s">
        <v>4036</v>
      </c>
      <c r="O1593" s="50" t="s">
        <v>4036</v>
      </c>
      <c r="P1593" s="50" t="s">
        <v>4036</v>
      </c>
    </row>
    <row r="1594" spans="1:16" ht="12.75" customHeight="1" x14ac:dyDescent="0.25">
      <c r="A1594" s="311">
        <v>1591</v>
      </c>
      <c r="B1594" s="311" t="s">
        <v>69</v>
      </c>
      <c r="C1594" s="311" t="s">
        <v>69</v>
      </c>
      <c r="D1594" s="311" t="s">
        <v>69</v>
      </c>
      <c r="E1594" s="337" t="s">
        <v>69</v>
      </c>
      <c r="F1594" s="311" t="s">
        <v>266</v>
      </c>
      <c r="G1594" s="311" t="s">
        <v>23</v>
      </c>
      <c r="H1594" s="311" t="s">
        <v>361</v>
      </c>
      <c r="I1594" s="311" t="s">
        <v>56</v>
      </c>
      <c r="J1594" s="50" t="s">
        <v>1892</v>
      </c>
      <c r="K1594" s="50" t="s">
        <v>1892</v>
      </c>
      <c r="L1594" s="50" t="s">
        <v>1893</v>
      </c>
      <c r="M1594" s="50" t="s">
        <v>4037</v>
      </c>
      <c r="N1594" s="50" t="s">
        <v>4037</v>
      </c>
      <c r="O1594" s="50" t="s">
        <v>4037</v>
      </c>
      <c r="P1594" s="50" t="s">
        <v>4037</v>
      </c>
    </row>
    <row r="1595" spans="1:16" ht="12.75" customHeight="1" x14ac:dyDescent="0.25">
      <c r="A1595" s="311">
        <v>1592</v>
      </c>
      <c r="B1595" s="311" t="s">
        <v>84</v>
      </c>
      <c r="C1595" s="311" t="s">
        <v>462</v>
      </c>
      <c r="D1595" s="311" t="s">
        <v>462</v>
      </c>
      <c r="E1595" s="337" t="s">
        <v>462</v>
      </c>
      <c r="F1595" s="311" t="s">
        <v>266</v>
      </c>
      <c r="G1595" s="311" t="s">
        <v>237</v>
      </c>
      <c r="H1595" s="311" t="s">
        <v>361</v>
      </c>
      <c r="I1595" s="311" t="s">
        <v>56</v>
      </c>
      <c r="J1595" s="50" t="s">
        <v>1892</v>
      </c>
      <c r="K1595" s="50" t="s">
        <v>1892</v>
      </c>
      <c r="L1595" s="50" t="s">
        <v>1893</v>
      </c>
      <c r="M1595" s="50" t="s">
        <v>4038</v>
      </c>
      <c r="N1595" s="50" t="s">
        <v>4039</v>
      </c>
      <c r="O1595" s="50" t="s">
        <v>4039</v>
      </c>
      <c r="P1595" s="50" t="s">
        <v>4039</v>
      </c>
    </row>
    <row r="1596" spans="1:16" ht="12.75" customHeight="1" x14ac:dyDescent="0.25">
      <c r="A1596" s="311">
        <v>1593</v>
      </c>
      <c r="B1596" s="311" t="s">
        <v>123</v>
      </c>
      <c r="C1596" s="311" t="s">
        <v>462</v>
      </c>
      <c r="D1596" s="311" t="s">
        <v>462</v>
      </c>
      <c r="E1596" s="337" t="s">
        <v>462</v>
      </c>
      <c r="F1596" s="311" t="s">
        <v>266</v>
      </c>
      <c r="G1596" s="311" t="s">
        <v>237</v>
      </c>
      <c r="H1596" s="311" t="s">
        <v>361</v>
      </c>
      <c r="I1596" s="311" t="s">
        <v>56</v>
      </c>
      <c r="J1596" s="50" t="s">
        <v>1892</v>
      </c>
      <c r="K1596" s="50" t="s">
        <v>1892</v>
      </c>
      <c r="L1596" s="50" t="s">
        <v>1893</v>
      </c>
      <c r="M1596" s="50" t="s">
        <v>4040</v>
      </c>
      <c r="N1596" s="50" t="s">
        <v>4039</v>
      </c>
      <c r="O1596" s="50" t="s">
        <v>4039</v>
      </c>
      <c r="P1596" s="50" t="s">
        <v>4039</v>
      </c>
    </row>
    <row r="1597" spans="1:16" ht="12.75" customHeight="1" x14ac:dyDescent="0.25">
      <c r="A1597" s="311">
        <v>1594</v>
      </c>
      <c r="B1597" s="311" t="s">
        <v>75</v>
      </c>
      <c r="C1597" s="311" t="s">
        <v>462</v>
      </c>
      <c r="D1597" s="311" t="s">
        <v>462</v>
      </c>
      <c r="E1597" s="337" t="s">
        <v>462</v>
      </c>
      <c r="F1597" s="311" t="s">
        <v>266</v>
      </c>
      <c r="G1597" s="311" t="s">
        <v>237</v>
      </c>
      <c r="H1597" s="311" t="s">
        <v>361</v>
      </c>
      <c r="I1597" s="311" t="s">
        <v>56</v>
      </c>
      <c r="J1597" s="50" t="s">
        <v>1892</v>
      </c>
      <c r="K1597" s="50" t="s">
        <v>1892</v>
      </c>
      <c r="L1597" s="50" t="s">
        <v>1893</v>
      </c>
      <c r="M1597" s="50" t="s">
        <v>4041</v>
      </c>
      <c r="N1597" s="50" t="s">
        <v>4039</v>
      </c>
      <c r="O1597" s="50" t="s">
        <v>4039</v>
      </c>
      <c r="P1597" s="50" t="s">
        <v>4039</v>
      </c>
    </row>
    <row r="1598" spans="1:16" ht="12.75" customHeight="1" x14ac:dyDescent="0.25">
      <c r="A1598" s="311">
        <v>1595</v>
      </c>
      <c r="B1598" s="311" t="s">
        <v>63</v>
      </c>
      <c r="C1598" s="311" t="s">
        <v>63</v>
      </c>
      <c r="D1598" s="311" t="s">
        <v>462</v>
      </c>
      <c r="E1598" s="337" t="s">
        <v>63</v>
      </c>
      <c r="F1598" s="311" t="s">
        <v>266</v>
      </c>
      <c r="G1598" s="311" t="s">
        <v>237</v>
      </c>
      <c r="H1598" s="311" t="s">
        <v>361</v>
      </c>
      <c r="I1598" s="311" t="s">
        <v>56</v>
      </c>
      <c r="J1598" s="50" t="s">
        <v>1892</v>
      </c>
      <c r="K1598" s="50" t="s">
        <v>1892</v>
      </c>
      <c r="L1598" s="50" t="s">
        <v>1893</v>
      </c>
      <c r="M1598" s="50" t="s">
        <v>4042</v>
      </c>
      <c r="N1598" s="50" t="s">
        <v>4042</v>
      </c>
      <c r="O1598" s="50" t="s">
        <v>4039</v>
      </c>
      <c r="P1598" s="50" t="s">
        <v>4042</v>
      </c>
    </row>
    <row r="1599" spans="1:16" ht="12.75" customHeight="1" x14ac:dyDescent="0.25">
      <c r="A1599" s="311">
        <v>1596</v>
      </c>
      <c r="B1599" s="311" t="s">
        <v>140</v>
      </c>
      <c r="C1599" s="311" t="s">
        <v>140</v>
      </c>
      <c r="D1599" s="311" t="s">
        <v>462</v>
      </c>
      <c r="E1599" s="337" t="s">
        <v>140</v>
      </c>
      <c r="F1599" s="311" t="s">
        <v>266</v>
      </c>
      <c r="G1599" s="311" t="s">
        <v>237</v>
      </c>
      <c r="H1599" s="311" t="s">
        <v>361</v>
      </c>
      <c r="I1599" s="311" t="s">
        <v>56</v>
      </c>
      <c r="J1599" s="50" t="s">
        <v>1892</v>
      </c>
      <c r="K1599" s="50" t="s">
        <v>1892</v>
      </c>
      <c r="L1599" s="50" t="s">
        <v>1893</v>
      </c>
      <c r="M1599" s="50" t="s">
        <v>4043</v>
      </c>
      <c r="N1599" s="50" t="s">
        <v>4043</v>
      </c>
      <c r="O1599" s="50" t="s">
        <v>4039</v>
      </c>
      <c r="P1599" s="50" t="s">
        <v>4043</v>
      </c>
    </row>
    <row r="1600" spans="1:16" ht="12.75" customHeight="1" x14ac:dyDescent="0.25">
      <c r="A1600" s="311">
        <v>1597</v>
      </c>
      <c r="B1600" s="311" t="s">
        <v>121</v>
      </c>
      <c r="C1600" s="311" t="s">
        <v>121</v>
      </c>
      <c r="D1600" s="311" t="s">
        <v>462</v>
      </c>
      <c r="E1600" s="337" t="s">
        <v>121</v>
      </c>
      <c r="F1600" s="311" t="s">
        <v>266</v>
      </c>
      <c r="G1600" s="311" t="s">
        <v>237</v>
      </c>
      <c r="H1600" s="311" t="s">
        <v>361</v>
      </c>
      <c r="I1600" s="311" t="s">
        <v>56</v>
      </c>
      <c r="J1600" s="50" t="s">
        <v>1892</v>
      </c>
      <c r="K1600" s="50" t="s">
        <v>1892</v>
      </c>
      <c r="L1600" s="50" t="s">
        <v>1893</v>
      </c>
      <c r="M1600" s="50" t="s">
        <v>4044</v>
      </c>
      <c r="N1600" s="50" t="s">
        <v>4044</v>
      </c>
      <c r="O1600" s="50" t="s">
        <v>4039</v>
      </c>
      <c r="P1600" s="50" t="s">
        <v>4044</v>
      </c>
    </row>
    <row r="1601" spans="1:16" ht="12.75" customHeight="1" x14ac:dyDescent="0.25">
      <c r="A1601" s="311">
        <v>1598</v>
      </c>
      <c r="B1601" s="311" t="s">
        <v>87</v>
      </c>
      <c r="C1601" s="311" t="s">
        <v>87</v>
      </c>
      <c r="D1601" s="311" t="s">
        <v>462</v>
      </c>
      <c r="E1601" s="337" t="s">
        <v>87</v>
      </c>
      <c r="F1601" s="311" t="s">
        <v>266</v>
      </c>
      <c r="G1601" s="311" t="s">
        <v>237</v>
      </c>
      <c r="H1601" s="311" t="s">
        <v>361</v>
      </c>
      <c r="I1601" s="311" t="s">
        <v>56</v>
      </c>
      <c r="J1601" s="50" t="s">
        <v>1892</v>
      </c>
      <c r="K1601" s="50" t="s">
        <v>1892</v>
      </c>
      <c r="L1601" s="50" t="s">
        <v>1893</v>
      </c>
      <c r="M1601" s="50" t="s">
        <v>4045</v>
      </c>
      <c r="N1601" s="50" t="s">
        <v>4045</v>
      </c>
      <c r="O1601" s="50" t="s">
        <v>4039</v>
      </c>
      <c r="P1601" s="50" t="s">
        <v>4045</v>
      </c>
    </row>
    <row r="1602" spans="1:16" ht="12.75" customHeight="1" x14ac:dyDescent="0.25">
      <c r="A1602" s="311">
        <v>1599</v>
      </c>
      <c r="B1602" s="311" t="s">
        <v>125</v>
      </c>
      <c r="C1602" s="311" t="s">
        <v>125</v>
      </c>
      <c r="D1602" s="311" t="s">
        <v>125</v>
      </c>
      <c r="E1602" s="337" t="s">
        <v>125</v>
      </c>
      <c r="F1602" s="311" t="s">
        <v>266</v>
      </c>
      <c r="G1602" s="311" t="s">
        <v>237</v>
      </c>
      <c r="H1602" s="311" t="s">
        <v>361</v>
      </c>
      <c r="I1602" s="311" t="s">
        <v>56</v>
      </c>
      <c r="J1602" s="50" t="s">
        <v>1892</v>
      </c>
      <c r="K1602" s="50" t="s">
        <v>1892</v>
      </c>
      <c r="L1602" s="50" t="s">
        <v>1893</v>
      </c>
      <c r="M1602" s="50" t="s">
        <v>4046</v>
      </c>
      <c r="N1602" s="50" t="s">
        <v>4046</v>
      </c>
      <c r="O1602" s="50" t="s">
        <v>4046</v>
      </c>
      <c r="P1602" s="50" t="s">
        <v>4046</v>
      </c>
    </row>
    <row r="1603" spans="1:16" ht="12.75" customHeight="1" x14ac:dyDescent="0.25">
      <c r="A1603" s="311">
        <v>1600</v>
      </c>
      <c r="B1603" s="311" t="s">
        <v>134</v>
      </c>
      <c r="C1603" s="311" t="s">
        <v>134</v>
      </c>
      <c r="D1603" s="311" t="s">
        <v>134</v>
      </c>
      <c r="E1603" s="337" t="s">
        <v>134</v>
      </c>
      <c r="F1603" s="311" t="s">
        <v>266</v>
      </c>
      <c r="G1603" s="311" t="s">
        <v>237</v>
      </c>
      <c r="H1603" s="311" t="s">
        <v>361</v>
      </c>
      <c r="I1603" s="311" t="s">
        <v>56</v>
      </c>
      <c r="J1603" s="50" t="s">
        <v>1892</v>
      </c>
      <c r="K1603" s="50" t="s">
        <v>1892</v>
      </c>
      <c r="L1603" s="50" t="s">
        <v>1893</v>
      </c>
      <c r="M1603" s="50" t="s">
        <v>4047</v>
      </c>
      <c r="N1603" s="50" t="s">
        <v>4047</v>
      </c>
      <c r="O1603" s="50" t="s">
        <v>4047</v>
      </c>
      <c r="P1603" s="50" t="s">
        <v>4047</v>
      </c>
    </row>
    <row r="1604" spans="1:16" ht="12.75" customHeight="1" x14ac:dyDescent="0.25">
      <c r="A1604" s="311">
        <v>1601</v>
      </c>
      <c r="B1604" s="311" t="s">
        <v>141</v>
      </c>
      <c r="C1604" s="311" t="s">
        <v>141</v>
      </c>
      <c r="D1604" s="311" t="s">
        <v>141</v>
      </c>
      <c r="E1604" s="337" t="s">
        <v>141</v>
      </c>
      <c r="F1604" s="311" t="s">
        <v>266</v>
      </c>
      <c r="G1604" s="311" t="s">
        <v>237</v>
      </c>
      <c r="H1604" s="311" t="s">
        <v>361</v>
      </c>
      <c r="I1604" s="311" t="s">
        <v>56</v>
      </c>
      <c r="J1604" s="50" t="s">
        <v>1892</v>
      </c>
      <c r="K1604" s="50" t="s">
        <v>1892</v>
      </c>
      <c r="L1604" s="50" t="s">
        <v>1893</v>
      </c>
      <c r="M1604" s="50" t="s">
        <v>4048</v>
      </c>
      <c r="N1604" s="50" t="s">
        <v>4048</v>
      </c>
      <c r="O1604" s="50" t="s">
        <v>4048</v>
      </c>
      <c r="P1604" s="50" t="s">
        <v>4048</v>
      </c>
    </row>
    <row r="1605" spans="1:16" ht="12.75" customHeight="1" x14ac:dyDescent="0.25">
      <c r="A1605" s="311">
        <v>1602</v>
      </c>
      <c r="B1605" s="311" t="s">
        <v>69</v>
      </c>
      <c r="C1605" s="311" t="s">
        <v>69</v>
      </c>
      <c r="D1605" s="311" t="s">
        <v>69</v>
      </c>
      <c r="E1605" s="337" t="s">
        <v>69</v>
      </c>
      <c r="F1605" s="311" t="s">
        <v>266</v>
      </c>
      <c r="G1605" s="311" t="s">
        <v>237</v>
      </c>
      <c r="H1605" s="311" t="s">
        <v>361</v>
      </c>
      <c r="I1605" s="311" t="s">
        <v>56</v>
      </c>
      <c r="J1605" s="50" t="s">
        <v>1892</v>
      </c>
      <c r="K1605" s="50" t="s">
        <v>1892</v>
      </c>
      <c r="L1605" s="50" t="s">
        <v>1893</v>
      </c>
      <c r="M1605" s="50" t="s">
        <v>4049</v>
      </c>
      <c r="N1605" s="50" t="s">
        <v>4049</v>
      </c>
      <c r="O1605" s="50" t="s">
        <v>4049</v>
      </c>
      <c r="P1605" s="50" t="s">
        <v>4049</v>
      </c>
    </row>
    <row r="1606" spans="1:16" ht="12.75" customHeight="1" x14ac:dyDescent="0.25">
      <c r="A1606" s="311">
        <v>1603</v>
      </c>
      <c r="B1606" s="311" t="s">
        <v>84</v>
      </c>
      <c r="C1606" s="311" t="s">
        <v>462</v>
      </c>
      <c r="D1606" s="311" t="s">
        <v>462</v>
      </c>
      <c r="E1606" s="337" t="s">
        <v>462</v>
      </c>
      <c r="F1606" s="311" t="s">
        <v>306</v>
      </c>
      <c r="G1606" s="311" t="s">
        <v>236</v>
      </c>
      <c r="H1606" s="311" t="s">
        <v>369</v>
      </c>
      <c r="I1606" s="311" t="s">
        <v>56</v>
      </c>
      <c r="J1606" s="50" t="s">
        <v>1892</v>
      </c>
      <c r="K1606" s="50" t="s">
        <v>1892</v>
      </c>
      <c r="L1606" s="50" t="s">
        <v>1893</v>
      </c>
      <c r="M1606" s="50" t="s">
        <v>4050</v>
      </c>
      <c r="N1606" s="50" t="s">
        <v>4051</v>
      </c>
      <c r="O1606" s="50" t="s">
        <v>4051</v>
      </c>
      <c r="P1606" s="50" t="s">
        <v>4051</v>
      </c>
    </row>
    <row r="1607" spans="1:16" ht="12.75" customHeight="1" x14ac:dyDescent="0.25">
      <c r="A1607" s="311">
        <v>1604</v>
      </c>
      <c r="B1607" s="311" t="s">
        <v>123</v>
      </c>
      <c r="C1607" s="311" t="s">
        <v>462</v>
      </c>
      <c r="D1607" s="311" t="s">
        <v>462</v>
      </c>
      <c r="E1607" s="337" t="s">
        <v>462</v>
      </c>
      <c r="F1607" s="311" t="s">
        <v>306</v>
      </c>
      <c r="G1607" s="311" t="s">
        <v>236</v>
      </c>
      <c r="H1607" s="311" t="s">
        <v>369</v>
      </c>
      <c r="I1607" s="311" t="s">
        <v>56</v>
      </c>
      <c r="J1607" s="50" t="s">
        <v>1892</v>
      </c>
      <c r="K1607" s="50" t="s">
        <v>1892</v>
      </c>
      <c r="L1607" s="50" t="s">
        <v>1893</v>
      </c>
      <c r="M1607" s="50" t="s">
        <v>4052</v>
      </c>
      <c r="N1607" s="50" t="s">
        <v>4051</v>
      </c>
      <c r="O1607" s="50" t="s">
        <v>4051</v>
      </c>
      <c r="P1607" s="50" t="s">
        <v>4051</v>
      </c>
    </row>
    <row r="1608" spans="1:16" ht="12.75" customHeight="1" x14ac:dyDescent="0.25">
      <c r="A1608" s="311">
        <v>1605</v>
      </c>
      <c r="B1608" s="311" t="s">
        <v>75</v>
      </c>
      <c r="C1608" s="311" t="s">
        <v>462</v>
      </c>
      <c r="D1608" s="311" t="s">
        <v>462</v>
      </c>
      <c r="E1608" s="337" t="s">
        <v>462</v>
      </c>
      <c r="F1608" s="311" t="s">
        <v>306</v>
      </c>
      <c r="G1608" s="311" t="s">
        <v>236</v>
      </c>
      <c r="H1608" s="311" t="s">
        <v>369</v>
      </c>
      <c r="I1608" s="311" t="s">
        <v>56</v>
      </c>
      <c r="J1608" s="50" t="s">
        <v>1892</v>
      </c>
      <c r="K1608" s="50" t="s">
        <v>1892</v>
      </c>
      <c r="L1608" s="50" t="s">
        <v>1893</v>
      </c>
      <c r="M1608" s="50" t="s">
        <v>4053</v>
      </c>
      <c r="N1608" s="50" t="s">
        <v>4051</v>
      </c>
      <c r="O1608" s="50" t="s">
        <v>4051</v>
      </c>
      <c r="P1608" s="50" t="s">
        <v>4051</v>
      </c>
    </row>
    <row r="1609" spans="1:16" ht="12.75" customHeight="1" x14ac:dyDescent="0.25">
      <c r="A1609" s="311">
        <v>1606</v>
      </c>
      <c r="B1609" s="311" t="s">
        <v>63</v>
      </c>
      <c r="C1609" s="311" t="s">
        <v>63</v>
      </c>
      <c r="D1609" s="311" t="s">
        <v>462</v>
      </c>
      <c r="E1609" s="337" t="s">
        <v>63</v>
      </c>
      <c r="F1609" s="311" t="s">
        <v>306</v>
      </c>
      <c r="G1609" s="311" t="s">
        <v>236</v>
      </c>
      <c r="H1609" s="311" t="s">
        <v>369</v>
      </c>
      <c r="I1609" s="311" t="s">
        <v>56</v>
      </c>
      <c r="J1609" s="50" t="s">
        <v>1892</v>
      </c>
      <c r="K1609" s="50" t="s">
        <v>1892</v>
      </c>
      <c r="L1609" s="50" t="s">
        <v>1893</v>
      </c>
      <c r="M1609" s="50" t="s">
        <v>4054</v>
      </c>
      <c r="N1609" s="50" t="s">
        <v>4054</v>
      </c>
      <c r="O1609" s="50" t="s">
        <v>4051</v>
      </c>
      <c r="P1609" s="50" t="s">
        <v>4054</v>
      </c>
    </row>
    <row r="1610" spans="1:16" ht="12.75" customHeight="1" x14ac:dyDescent="0.25">
      <c r="A1610" s="311">
        <v>1607</v>
      </c>
      <c r="B1610" s="311" t="s">
        <v>140</v>
      </c>
      <c r="C1610" s="311" t="s">
        <v>140</v>
      </c>
      <c r="D1610" s="311" t="s">
        <v>462</v>
      </c>
      <c r="E1610" s="337" t="s">
        <v>140</v>
      </c>
      <c r="F1610" s="311" t="s">
        <v>306</v>
      </c>
      <c r="G1610" s="311" t="s">
        <v>236</v>
      </c>
      <c r="H1610" s="311" t="s">
        <v>369</v>
      </c>
      <c r="I1610" s="311" t="s">
        <v>56</v>
      </c>
      <c r="J1610" s="50" t="s">
        <v>1892</v>
      </c>
      <c r="K1610" s="50" t="s">
        <v>1892</v>
      </c>
      <c r="L1610" s="50" t="s">
        <v>1893</v>
      </c>
      <c r="M1610" s="50" t="s">
        <v>4055</v>
      </c>
      <c r="N1610" s="50" t="s">
        <v>4055</v>
      </c>
      <c r="O1610" s="50" t="s">
        <v>4051</v>
      </c>
      <c r="P1610" s="50" t="s">
        <v>4055</v>
      </c>
    </row>
    <row r="1611" spans="1:16" ht="12.75" customHeight="1" x14ac:dyDescent="0.25">
      <c r="A1611" s="311">
        <v>1608</v>
      </c>
      <c r="B1611" s="311" t="s">
        <v>121</v>
      </c>
      <c r="C1611" s="311" t="s">
        <v>121</v>
      </c>
      <c r="D1611" s="311" t="s">
        <v>462</v>
      </c>
      <c r="E1611" s="337" t="s">
        <v>121</v>
      </c>
      <c r="F1611" s="311" t="s">
        <v>306</v>
      </c>
      <c r="G1611" s="311" t="s">
        <v>236</v>
      </c>
      <c r="H1611" s="311" t="s">
        <v>369</v>
      </c>
      <c r="I1611" s="311" t="s">
        <v>56</v>
      </c>
      <c r="J1611" s="50" t="s">
        <v>1892</v>
      </c>
      <c r="K1611" s="50" t="s">
        <v>1892</v>
      </c>
      <c r="L1611" s="50" t="s">
        <v>1893</v>
      </c>
      <c r="M1611" s="50" t="s">
        <v>4056</v>
      </c>
      <c r="N1611" s="50" t="s">
        <v>4056</v>
      </c>
      <c r="O1611" s="50" t="s">
        <v>4051</v>
      </c>
      <c r="P1611" s="50" t="s">
        <v>4056</v>
      </c>
    </row>
    <row r="1612" spans="1:16" ht="12.75" customHeight="1" x14ac:dyDescent="0.25">
      <c r="A1612" s="311">
        <v>1609</v>
      </c>
      <c r="B1612" s="311" t="s">
        <v>87</v>
      </c>
      <c r="C1612" s="311" t="s">
        <v>87</v>
      </c>
      <c r="D1612" s="311" t="s">
        <v>462</v>
      </c>
      <c r="E1612" s="337" t="s">
        <v>87</v>
      </c>
      <c r="F1612" s="311" t="s">
        <v>306</v>
      </c>
      <c r="G1612" s="311" t="s">
        <v>236</v>
      </c>
      <c r="H1612" s="311" t="s">
        <v>369</v>
      </c>
      <c r="I1612" s="311" t="s">
        <v>56</v>
      </c>
      <c r="J1612" s="50" t="s">
        <v>1892</v>
      </c>
      <c r="K1612" s="50" t="s">
        <v>1892</v>
      </c>
      <c r="L1612" s="50" t="s">
        <v>1893</v>
      </c>
      <c r="M1612" s="50" t="s">
        <v>4057</v>
      </c>
      <c r="N1612" s="50" t="s">
        <v>4057</v>
      </c>
      <c r="O1612" s="50" t="s">
        <v>4051</v>
      </c>
      <c r="P1612" s="50" t="s">
        <v>4057</v>
      </c>
    </row>
    <row r="1613" spans="1:16" ht="12.75" customHeight="1" x14ac:dyDescent="0.25">
      <c r="A1613" s="311">
        <v>1610</v>
      </c>
      <c r="B1613" s="311" t="s">
        <v>125</v>
      </c>
      <c r="C1613" s="311" t="s">
        <v>125</v>
      </c>
      <c r="D1613" s="311" t="s">
        <v>125</v>
      </c>
      <c r="E1613" s="337" t="s">
        <v>125</v>
      </c>
      <c r="F1613" s="311" t="s">
        <v>306</v>
      </c>
      <c r="G1613" s="311" t="s">
        <v>236</v>
      </c>
      <c r="H1613" s="311" t="s">
        <v>369</v>
      </c>
      <c r="I1613" s="311" t="s">
        <v>56</v>
      </c>
      <c r="J1613" s="50" t="s">
        <v>1892</v>
      </c>
      <c r="K1613" s="50" t="s">
        <v>1892</v>
      </c>
      <c r="L1613" s="50" t="s">
        <v>1893</v>
      </c>
      <c r="M1613" s="50" t="s">
        <v>4058</v>
      </c>
      <c r="N1613" s="50" t="s">
        <v>4058</v>
      </c>
      <c r="O1613" s="50" t="s">
        <v>4058</v>
      </c>
      <c r="P1613" s="50" t="s">
        <v>4058</v>
      </c>
    </row>
    <row r="1614" spans="1:16" ht="12.75" customHeight="1" x14ac:dyDescent="0.25">
      <c r="A1614" s="311">
        <v>1611</v>
      </c>
      <c r="B1614" s="311" t="s">
        <v>134</v>
      </c>
      <c r="C1614" s="311" t="s">
        <v>134</v>
      </c>
      <c r="D1614" s="311" t="s">
        <v>134</v>
      </c>
      <c r="E1614" s="337" t="s">
        <v>134</v>
      </c>
      <c r="F1614" s="311" t="s">
        <v>306</v>
      </c>
      <c r="G1614" s="311" t="s">
        <v>236</v>
      </c>
      <c r="H1614" s="311" t="s">
        <v>369</v>
      </c>
      <c r="I1614" s="311" t="s">
        <v>56</v>
      </c>
      <c r="J1614" s="50" t="s">
        <v>1892</v>
      </c>
      <c r="K1614" s="50" t="s">
        <v>1892</v>
      </c>
      <c r="L1614" s="50" t="s">
        <v>1893</v>
      </c>
      <c r="M1614" s="50" t="s">
        <v>4059</v>
      </c>
      <c r="N1614" s="50" t="s">
        <v>4059</v>
      </c>
      <c r="O1614" s="50" t="s">
        <v>4059</v>
      </c>
      <c r="P1614" s="50" t="s">
        <v>4059</v>
      </c>
    </row>
    <row r="1615" spans="1:16" ht="12.75" customHeight="1" x14ac:dyDescent="0.25">
      <c r="A1615" s="311">
        <v>1612</v>
      </c>
      <c r="B1615" s="311" t="s">
        <v>141</v>
      </c>
      <c r="C1615" s="311" t="s">
        <v>141</v>
      </c>
      <c r="D1615" s="311" t="s">
        <v>141</v>
      </c>
      <c r="E1615" s="337" t="s">
        <v>141</v>
      </c>
      <c r="F1615" s="311" t="s">
        <v>306</v>
      </c>
      <c r="G1615" s="311" t="s">
        <v>236</v>
      </c>
      <c r="H1615" s="311" t="s">
        <v>369</v>
      </c>
      <c r="I1615" s="311" t="s">
        <v>56</v>
      </c>
      <c r="J1615" s="50" t="s">
        <v>1892</v>
      </c>
      <c r="K1615" s="50" t="s">
        <v>1892</v>
      </c>
      <c r="L1615" s="50" t="s">
        <v>1893</v>
      </c>
      <c r="M1615" s="50" t="s">
        <v>4060</v>
      </c>
      <c r="N1615" s="50" t="s">
        <v>4060</v>
      </c>
      <c r="O1615" s="50" t="s">
        <v>4060</v>
      </c>
      <c r="P1615" s="50" t="s">
        <v>4060</v>
      </c>
    </row>
    <row r="1616" spans="1:16" ht="12.75" customHeight="1" x14ac:dyDescent="0.25">
      <c r="A1616" s="311">
        <v>1613</v>
      </c>
      <c r="B1616" s="311" t="s">
        <v>69</v>
      </c>
      <c r="C1616" s="311" t="s">
        <v>69</v>
      </c>
      <c r="D1616" s="311" t="s">
        <v>69</v>
      </c>
      <c r="E1616" s="337" t="s">
        <v>69</v>
      </c>
      <c r="F1616" s="311" t="s">
        <v>306</v>
      </c>
      <c r="G1616" s="311" t="s">
        <v>236</v>
      </c>
      <c r="H1616" s="311" t="s">
        <v>369</v>
      </c>
      <c r="I1616" s="311" t="s">
        <v>56</v>
      </c>
      <c r="J1616" s="50" t="s">
        <v>1892</v>
      </c>
      <c r="K1616" s="50" t="s">
        <v>1892</v>
      </c>
      <c r="L1616" s="50" t="s">
        <v>1893</v>
      </c>
      <c r="M1616" s="50" t="s">
        <v>4061</v>
      </c>
      <c r="N1616" s="50" t="s">
        <v>4061</v>
      </c>
      <c r="O1616" s="50" t="s">
        <v>4061</v>
      </c>
      <c r="P1616" s="50" t="s">
        <v>4061</v>
      </c>
    </row>
    <row r="1617" spans="1:16" ht="12.75" customHeight="1" x14ac:dyDescent="0.25">
      <c r="A1617" s="311">
        <v>1614</v>
      </c>
      <c r="B1617" s="311" t="s">
        <v>84</v>
      </c>
      <c r="C1617" s="311" t="s">
        <v>462</v>
      </c>
      <c r="D1617" s="311" t="s">
        <v>462</v>
      </c>
      <c r="E1617" s="337" t="s">
        <v>462</v>
      </c>
      <c r="F1617" s="311" t="s">
        <v>306</v>
      </c>
      <c r="G1617" s="311" t="s">
        <v>23</v>
      </c>
      <c r="H1617" s="311" t="s">
        <v>369</v>
      </c>
      <c r="I1617" s="311" t="s">
        <v>56</v>
      </c>
      <c r="J1617" s="50" t="s">
        <v>1892</v>
      </c>
      <c r="K1617" s="50" t="s">
        <v>1892</v>
      </c>
      <c r="L1617" s="50" t="s">
        <v>1893</v>
      </c>
      <c r="M1617" s="50" t="s">
        <v>4062</v>
      </c>
      <c r="N1617" s="50" t="s">
        <v>4063</v>
      </c>
      <c r="O1617" s="50" t="s">
        <v>4063</v>
      </c>
      <c r="P1617" s="50" t="s">
        <v>4063</v>
      </c>
    </row>
    <row r="1618" spans="1:16" ht="12.75" customHeight="1" x14ac:dyDescent="0.25">
      <c r="A1618" s="311">
        <v>1615</v>
      </c>
      <c r="B1618" s="311" t="s">
        <v>123</v>
      </c>
      <c r="C1618" s="311" t="s">
        <v>462</v>
      </c>
      <c r="D1618" s="311" t="s">
        <v>462</v>
      </c>
      <c r="E1618" s="337" t="s">
        <v>462</v>
      </c>
      <c r="F1618" s="311" t="s">
        <v>306</v>
      </c>
      <c r="G1618" s="311" t="s">
        <v>23</v>
      </c>
      <c r="H1618" s="311" t="s">
        <v>369</v>
      </c>
      <c r="I1618" s="311" t="s">
        <v>56</v>
      </c>
      <c r="J1618" s="50" t="s">
        <v>1892</v>
      </c>
      <c r="K1618" s="50" t="s">
        <v>1892</v>
      </c>
      <c r="L1618" s="50" t="s">
        <v>1893</v>
      </c>
      <c r="M1618" s="50" t="s">
        <v>4064</v>
      </c>
      <c r="N1618" s="50" t="s">
        <v>4063</v>
      </c>
      <c r="O1618" s="50" t="s">
        <v>4063</v>
      </c>
      <c r="P1618" s="50" t="s">
        <v>4063</v>
      </c>
    </row>
    <row r="1619" spans="1:16" ht="12.75" customHeight="1" x14ac:dyDescent="0.25">
      <c r="A1619" s="311">
        <v>1616</v>
      </c>
      <c r="B1619" s="311" t="s">
        <v>75</v>
      </c>
      <c r="C1619" s="311" t="s">
        <v>462</v>
      </c>
      <c r="D1619" s="311" t="s">
        <v>462</v>
      </c>
      <c r="E1619" s="337" t="s">
        <v>462</v>
      </c>
      <c r="F1619" s="311" t="s">
        <v>306</v>
      </c>
      <c r="G1619" s="311" t="s">
        <v>23</v>
      </c>
      <c r="H1619" s="311" t="s">
        <v>369</v>
      </c>
      <c r="I1619" s="311" t="s">
        <v>56</v>
      </c>
      <c r="J1619" s="50" t="s">
        <v>1892</v>
      </c>
      <c r="K1619" s="50" t="s">
        <v>1892</v>
      </c>
      <c r="L1619" s="50" t="s">
        <v>1893</v>
      </c>
      <c r="M1619" s="50" t="s">
        <v>4065</v>
      </c>
      <c r="N1619" s="50" t="s">
        <v>4063</v>
      </c>
      <c r="O1619" s="50" t="s">
        <v>4063</v>
      </c>
      <c r="P1619" s="50" t="s">
        <v>4063</v>
      </c>
    </row>
    <row r="1620" spans="1:16" ht="12.75" customHeight="1" x14ac:dyDescent="0.25">
      <c r="A1620" s="311">
        <v>1617</v>
      </c>
      <c r="B1620" s="311" t="s">
        <v>63</v>
      </c>
      <c r="C1620" s="311" t="s">
        <v>63</v>
      </c>
      <c r="D1620" s="311" t="s">
        <v>462</v>
      </c>
      <c r="E1620" s="337" t="s">
        <v>63</v>
      </c>
      <c r="F1620" s="311" t="s">
        <v>306</v>
      </c>
      <c r="G1620" s="311" t="s">
        <v>23</v>
      </c>
      <c r="H1620" s="311" t="s">
        <v>369</v>
      </c>
      <c r="I1620" s="311" t="s">
        <v>56</v>
      </c>
      <c r="J1620" s="50" t="s">
        <v>1892</v>
      </c>
      <c r="K1620" s="50" t="s">
        <v>1892</v>
      </c>
      <c r="L1620" s="50" t="s">
        <v>1893</v>
      </c>
      <c r="M1620" s="50" t="s">
        <v>4066</v>
      </c>
      <c r="N1620" s="50" t="s">
        <v>4066</v>
      </c>
      <c r="O1620" s="50" t="s">
        <v>4063</v>
      </c>
      <c r="P1620" s="50" t="s">
        <v>4066</v>
      </c>
    </row>
    <row r="1621" spans="1:16" ht="12.75" customHeight="1" x14ac:dyDescent="0.25">
      <c r="A1621" s="311">
        <v>1618</v>
      </c>
      <c r="B1621" s="311" t="s">
        <v>140</v>
      </c>
      <c r="C1621" s="311" t="s">
        <v>140</v>
      </c>
      <c r="D1621" s="311" t="s">
        <v>462</v>
      </c>
      <c r="E1621" s="337" t="s">
        <v>140</v>
      </c>
      <c r="F1621" s="311" t="s">
        <v>306</v>
      </c>
      <c r="G1621" s="311" t="s">
        <v>23</v>
      </c>
      <c r="H1621" s="311" t="s">
        <v>369</v>
      </c>
      <c r="I1621" s="311" t="s">
        <v>56</v>
      </c>
      <c r="J1621" s="50" t="s">
        <v>1892</v>
      </c>
      <c r="K1621" s="50" t="s">
        <v>1892</v>
      </c>
      <c r="L1621" s="50" t="s">
        <v>1893</v>
      </c>
      <c r="M1621" s="50" t="s">
        <v>4067</v>
      </c>
      <c r="N1621" s="50" t="s">
        <v>4067</v>
      </c>
      <c r="O1621" s="50" t="s">
        <v>4063</v>
      </c>
      <c r="P1621" s="50" t="s">
        <v>4067</v>
      </c>
    </row>
    <row r="1622" spans="1:16" ht="12.75" customHeight="1" x14ac:dyDescent="0.25">
      <c r="A1622" s="311">
        <v>1619</v>
      </c>
      <c r="B1622" s="311" t="s">
        <v>121</v>
      </c>
      <c r="C1622" s="311" t="s">
        <v>121</v>
      </c>
      <c r="D1622" s="311" t="s">
        <v>462</v>
      </c>
      <c r="E1622" s="337" t="s">
        <v>121</v>
      </c>
      <c r="F1622" s="311" t="s">
        <v>306</v>
      </c>
      <c r="G1622" s="311" t="s">
        <v>23</v>
      </c>
      <c r="H1622" s="311" t="s">
        <v>369</v>
      </c>
      <c r="I1622" s="311" t="s">
        <v>56</v>
      </c>
      <c r="J1622" s="50" t="s">
        <v>1892</v>
      </c>
      <c r="K1622" s="50" t="s">
        <v>1892</v>
      </c>
      <c r="L1622" s="50" t="s">
        <v>1893</v>
      </c>
      <c r="M1622" s="50" t="s">
        <v>4068</v>
      </c>
      <c r="N1622" s="50" t="s">
        <v>4068</v>
      </c>
      <c r="O1622" s="50" t="s">
        <v>4063</v>
      </c>
      <c r="P1622" s="50" t="s">
        <v>4068</v>
      </c>
    </row>
    <row r="1623" spans="1:16" ht="12.75" customHeight="1" x14ac:dyDescent="0.25">
      <c r="A1623" s="311">
        <v>1620</v>
      </c>
      <c r="B1623" s="311" t="s">
        <v>87</v>
      </c>
      <c r="C1623" s="311" t="s">
        <v>87</v>
      </c>
      <c r="D1623" s="311" t="s">
        <v>462</v>
      </c>
      <c r="E1623" s="337" t="s">
        <v>87</v>
      </c>
      <c r="F1623" s="311" t="s">
        <v>306</v>
      </c>
      <c r="G1623" s="311" t="s">
        <v>23</v>
      </c>
      <c r="H1623" s="311" t="s">
        <v>369</v>
      </c>
      <c r="I1623" s="311" t="s">
        <v>56</v>
      </c>
      <c r="J1623" s="50" t="s">
        <v>1892</v>
      </c>
      <c r="K1623" s="50" t="s">
        <v>1892</v>
      </c>
      <c r="L1623" s="50" t="s">
        <v>1893</v>
      </c>
      <c r="M1623" s="50" t="s">
        <v>4069</v>
      </c>
      <c r="N1623" s="50" t="s">
        <v>4069</v>
      </c>
      <c r="O1623" s="50" t="s">
        <v>4063</v>
      </c>
      <c r="P1623" s="50" t="s">
        <v>4069</v>
      </c>
    </row>
    <row r="1624" spans="1:16" ht="12.75" customHeight="1" x14ac:dyDescent="0.25">
      <c r="A1624" s="311">
        <v>1621</v>
      </c>
      <c r="B1624" s="311" t="s">
        <v>125</v>
      </c>
      <c r="C1624" s="311" t="s">
        <v>125</v>
      </c>
      <c r="D1624" s="311" t="s">
        <v>125</v>
      </c>
      <c r="E1624" s="337" t="s">
        <v>125</v>
      </c>
      <c r="F1624" s="311" t="s">
        <v>306</v>
      </c>
      <c r="G1624" s="311" t="s">
        <v>23</v>
      </c>
      <c r="H1624" s="311" t="s">
        <v>369</v>
      </c>
      <c r="I1624" s="311" t="s">
        <v>56</v>
      </c>
      <c r="J1624" s="50" t="s">
        <v>1892</v>
      </c>
      <c r="K1624" s="50" t="s">
        <v>1892</v>
      </c>
      <c r="L1624" s="50" t="s">
        <v>1893</v>
      </c>
      <c r="M1624" s="50" t="s">
        <v>4070</v>
      </c>
      <c r="N1624" s="50" t="s">
        <v>4070</v>
      </c>
      <c r="O1624" s="50" t="s">
        <v>4070</v>
      </c>
      <c r="P1624" s="50" t="s">
        <v>4070</v>
      </c>
    </row>
    <row r="1625" spans="1:16" ht="12.75" customHeight="1" x14ac:dyDescent="0.25">
      <c r="A1625" s="311">
        <v>1622</v>
      </c>
      <c r="B1625" s="311" t="s">
        <v>134</v>
      </c>
      <c r="C1625" s="311" t="s">
        <v>134</v>
      </c>
      <c r="D1625" s="311" t="s">
        <v>134</v>
      </c>
      <c r="E1625" s="337" t="s">
        <v>134</v>
      </c>
      <c r="F1625" s="311" t="s">
        <v>306</v>
      </c>
      <c r="G1625" s="311" t="s">
        <v>23</v>
      </c>
      <c r="H1625" s="311" t="s">
        <v>369</v>
      </c>
      <c r="I1625" s="311" t="s">
        <v>56</v>
      </c>
      <c r="J1625" s="50" t="s">
        <v>1892</v>
      </c>
      <c r="K1625" s="50" t="s">
        <v>1892</v>
      </c>
      <c r="L1625" s="50" t="s">
        <v>1893</v>
      </c>
      <c r="M1625" s="50" t="s">
        <v>4071</v>
      </c>
      <c r="N1625" s="50" t="s">
        <v>4071</v>
      </c>
      <c r="O1625" s="50" t="s">
        <v>4071</v>
      </c>
      <c r="P1625" s="50" t="s">
        <v>4071</v>
      </c>
    </row>
    <row r="1626" spans="1:16" ht="12.75" customHeight="1" x14ac:dyDescent="0.25">
      <c r="A1626" s="311">
        <v>1623</v>
      </c>
      <c r="B1626" s="311" t="s">
        <v>141</v>
      </c>
      <c r="C1626" s="311" t="s">
        <v>141</v>
      </c>
      <c r="D1626" s="311" t="s">
        <v>141</v>
      </c>
      <c r="E1626" s="337" t="s">
        <v>141</v>
      </c>
      <c r="F1626" s="311" t="s">
        <v>306</v>
      </c>
      <c r="G1626" s="311" t="s">
        <v>23</v>
      </c>
      <c r="H1626" s="311" t="s">
        <v>369</v>
      </c>
      <c r="I1626" s="311" t="s">
        <v>56</v>
      </c>
      <c r="J1626" s="50" t="s">
        <v>1892</v>
      </c>
      <c r="K1626" s="50" t="s">
        <v>1892</v>
      </c>
      <c r="L1626" s="50" t="s">
        <v>1893</v>
      </c>
      <c r="M1626" s="50" t="s">
        <v>4072</v>
      </c>
      <c r="N1626" s="50" t="s">
        <v>4072</v>
      </c>
      <c r="O1626" s="50" t="s">
        <v>4072</v>
      </c>
      <c r="P1626" s="50" t="s">
        <v>4072</v>
      </c>
    </row>
    <row r="1627" spans="1:16" ht="12.75" customHeight="1" x14ac:dyDescent="0.25">
      <c r="A1627" s="311">
        <v>1624</v>
      </c>
      <c r="B1627" s="311" t="s">
        <v>69</v>
      </c>
      <c r="C1627" s="311" t="s">
        <v>69</v>
      </c>
      <c r="D1627" s="311" t="s">
        <v>69</v>
      </c>
      <c r="E1627" s="337" t="s">
        <v>69</v>
      </c>
      <c r="F1627" s="311" t="s">
        <v>306</v>
      </c>
      <c r="G1627" s="311" t="s">
        <v>23</v>
      </c>
      <c r="H1627" s="311" t="s">
        <v>369</v>
      </c>
      <c r="I1627" s="311" t="s">
        <v>56</v>
      </c>
      <c r="J1627" s="50" t="s">
        <v>1892</v>
      </c>
      <c r="K1627" s="50" t="s">
        <v>1892</v>
      </c>
      <c r="L1627" s="50" t="s">
        <v>1893</v>
      </c>
      <c r="M1627" s="50" t="s">
        <v>4073</v>
      </c>
      <c r="N1627" s="50" t="s">
        <v>4073</v>
      </c>
      <c r="O1627" s="50" t="s">
        <v>4073</v>
      </c>
      <c r="P1627" s="50" t="s">
        <v>4073</v>
      </c>
    </row>
    <row r="1628" spans="1:16" ht="12.75" customHeight="1" x14ac:dyDescent="0.25">
      <c r="A1628" s="311">
        <v>1625</v>
      </c>
      <c r="B1628" s="311" t="s">
        <v>84</v>
      </c>
      <c r="C1628" s="311" t="s">
        <v>462</v>
      </c>
      <c r="D1628" s="311" t="s">
        <v>462</v>
      </c>
      <c r="E1628" s="337" t="s">
        <v>462</v>
      </c>
      <c r="F1628" s="311" t="s">
        <v>306</v>
      </c>
      <c r="G1628" s="311" t="s">
        <v>237</v>
      </c>
      <c r="H1628" s="311" t="s">
        <v>369</v>
      </c>
      <c r="I1628" s="311" t="s">
        <v>56</v>
      </c>
      <c r="J1628" s="50" t="s">
        <v>1892</v>
      </c>
      <c r="K1628" s="50" t="s">
        <v>1892</v>
      </c>
      <c r="L1628" s="50" t="s">
        <v>1893</v>
      </c>
      <c r="M1628" s="50" t="s">
        <v>4074</v>
      </c>
      <c r="N1628" s="50" t="s">
        <v>4075</v>
      </c>
      <c r="O1628" s="50" t="s">
        <v>4075</v>
      </c>
      <c r="P1628" s="50" t="s">
        <v>4075</v>
      </c>
    </row>
    <row r="1629" spans="1:16" ht="12.75" customHeight="1" x14ac:dyDescent="0.25">
      <c r="A1629" s="311">
        <v>1626</v>
      </c>
      <c r="B1629" s="311" t="s">
        <v>123</v>
      </c>
      <c r="C1629" s="311" t="s">
        <v>462</v>
      </c>
      <c r="D1629" s="311" t="s">
        <v>462</v>
      </c>
      <c r="E1629" s="337" t="s">
        <v>462</v>
      </c>
      <c r="F1629" s="311" t="s">
        <v>306</v>
      </c>
      <c r="G1629" s="311" t="s">
        <v>237</v>
      </c>
      <c r="H1629" s="311" t="s">
        <v>369</v>
      </c>
      <c r="I1629" s="311" t="s">
        <v>56</v>
      </c>
      <c r="J1629" s="50" t="s">
        <v>1892</v>
      </c>
      <c r="K1629" s="50" t="s">
        <v>1892</v>
      </c>
      <c r="L1629" s="50" t="s">
        <v>1893</v>
      </c>
      <c r="M1629" s="50" t="s">
        <v>4076</v>
      </c>
      <c r="N1629" s="50" t="s">
        <v>4075</v>
      </c>
      <c r="O1629" s="50" t="s">
        <v>4075</v>
      </c>
      <c r="P1629" s="50" t="s">
        <v>4075</v>
      </c>
    </row>
    <row r="1630" spans="1:16" ht="12.75" customHeight="1" x14ac:dyDescent="0.25">
      <c r="A1630" s="311">
        <v>1627</v>
      </c>
      <c r="B1630" s="311" t="s">
        <v>75</v>
      </c>
      <c r="C1630" s="311" t="s">
        <v>462</v>
      </c>
      <c r="D1630" s="311" t="s">
        <v>462</v>
      </c>
      <c r="E1630" s="337" t="s">
        <v>462</v>
      </c>
      <c r="F1630" s="311" t="s">
        <v>306</v>
      </c>
      <c r="G1630" s="311" t="s">
        <v>237</v>
      </c>
      <c r="H1630" s="311" t="s">
        <v>369</v>
      </c>
      <c r="I1630" s="311" t="s">
        <v>56</v>
      </c>
      <c r="J1630" s="50" t="s">
        <v>1892</v>
      </c>
      <c r="K1630" s="50" t="s">
        <v>1892</v>
      </c>
      <c r="L1630" s="50" t="s">
        <v>1893</v>
      </c>
      <c r="M1630" s="50" t="s">
        <v>4077</v>
      </c>
      <c r="N1630" s="50" t="s">
        <v>4075</v>
      </c>
      <c r="O1630" s="50" t="s">
        <v>4075</v>
      </c>
      <c r="P1630" s="50" t="s">
        <v>4075</v>
      </c>
    </row>
    <row r="1631" spans="1:16" ht="12.75" customHeight="1" x14ac:dyDescent="0.25">
      <c r="A1631" s="311">
        <v>1628</v>
      </c>
      <c r="B1631" s="311" t="s">
        <v>63</v>
      </c>
      <c r="C1631" s="311" t="s">
        <v>63</v>
      </c>
      <c r="D1631" s="311" t="s">
        <v>462</v>
      </c>
      <c r="E1631" s="337" t="s">
        <v>63</v>
      </c>
      <c r="F1631" s="311" t="s">
        <v>306</v>
      </c>
      <c r="G1631" s="311" t="s">
        <v>237</v>
      </c>
      <c r="H1631" s="311" t="s">
        <v>369</v>
      </c>
      <c r="I1631" s="311" t="s">
        <v>56</v>
      </c>
      <c r="J1631" s="50" t="s">
        <v>1892</v>
      </c>
      <c r="K1631" s="50" t="s">
        <v>1892</v>
      </c>
      <c r="L1631" s="50" t="s">
        <v>1893</v>
      </c>
      <c r="M1631" s="50" t="s">
        <v>4078</v>
      </c>
      <c r="N1631" s="50" t="s">
        <v>4078</v>
      </c>
      <c r="O1631" s="50" t="s">
        <v>4075</v>
      </c>
      <c r="P1631" s="50" t="s">
        <v>4078</v>
      </c>
    </row>
    <row r="1632" spans="1:16" ht="12.75" customHeight="1" x14ac:dyDescent="0.25">
      <c r="A1632" s="311">
        <v>1629</v>
      </c>
      <c r="B1632" s="311" t="s">
        <v>140</v>
      </c>
      <c r="C1632" s="311" t="s">
        <v>140</v>
      </c>
      <c r="D1632" s="311" t="s">
        <v>462</v>
      </c>
      <c r="E1632" s="337" t="s">
        <v>140</v>
      </c>
      <c r="F1632" s="311" t="s">
        <v>306</v>
      </c>
      <c r="G1632" s="311" t="s">
        <v>237</v>
      </c>
      <c r="H1632" s="311" t="s">
        <v>369</v>
      </c>
      <c r="I1632" s="311" t="s">
        <v>56</v>
      </c>
      <c r="J1632" s="50" t="s">
        <v>1892</v>
      </c>
      <c r="K1632" s="50" t="s">
        <v>1892</v>
      </c>
      <c r="L1632" s="50" t="s">
        <v>1893</v>
      </c>
      <c r="M1632" s="50" t="s">
        <v>4079</v>
      </c>
      <c r="N1632" s="50" t="s">
        <v>4079</v>
      </c>
      <c r="O1632" s="50" t="s">
        <v>4075</v>
      </c>
      <c r="P1632" s="50" t="s">
        <v>4079</v>
      </c>
    </row>
    <row r="1633" spans="1:16" ht="12.75" customHeight="1" x14ac:dyDescent="0.25">
      <c r="A1633" s="311">
        <v>1630</v>
      </c>
      <c r="B1633" s="311" t="s">
        <v>121</v>
      </c>
      <c r="C1633" s="311" t="s">
        <v>121</v>
      </c>
      <c r="D1633" s="311" t="s">
        <v>462</v>
      </c>
      <c r="E1633" s="337" t="s">
        <v>121</v>
      </c>
      <c r="F1633" s="311" t="s">
        <v>306</v>
      </c>
      <c r="G1633" s="311" t="s">
        <v>237</v>
      </c>
      <c r="H1633" s="311" t="s">
        <v>369</v>
      </c>
      <c r="I1633" s="311" t="s">
        <v>56</v>
      </c>
      <c r="J1633" s="50" t="s">
        <v>1892</v>
      </c>
      <c r="K1633" s="50" t="s">
        <v>1892</v>
      </c>
      <c r="L1633" s="50" t="s">
        <v>1893</v>
      </c>
      <c r="M1633" s="50" t="s">
        <v>4080</v>
      </c>
      <c r="N1633" s="50" t="s">
        <v>4080</v>
      </c>
      <c r="O1633" s="50" t="s">
        <v>4075</v>
      </c>
      <c r="P1633" s="50" t="s">
        <v>4080</v>
      </c>
    </row>
    <row r="1634" spans="1:16" ht="12.75" customHeight="1" x14ac:dyDescent="0.25">
      <c r="A1634" s="311">
        <v>1631</v>
      </c>
      <c r="B1634" s="311" t="s">
        <v>87</v>
      </c>
      <c r="C1634" s="311" t="s">
        <v>87</v>
      </c>
      <c r="D1634" s="311" t="s">
        <v>462</v>
      </c>
      <c r="E1634" s="337" t="s">
        <v>87</v>
      </c>
      <c r="F1634" s="311" t="s">
        <v>306</v>
      </c>
      <c r="G1634" s="311" t="s">
        <v>237</v>
      </c>
      <c r="H1634" s="311" t="s">
        <v>369</v>
      </c>
      <c r="I1634" s="311" t="s">
        <v>56</v>
      </c>
      <c r="J1634" s="50" t="s">
        <v>1892</v>
      </c>
      <c r="K1634" s="50" t="s">
        <v>1892</v>
      </c>
      <c r="L1634" s="50" t="s">
        <v>1893</v>
      </c>
      <c r="M1634" s="50" t="s">
        <v>4081</v>
      </c>
      <c r="N1634" s="50" t="s">
        <v>4081</v>
      </c>
      <c r="O1634" s="50" t="s">
        <v>4075</v>
      </c>
      <c r="P1634" s="50" t="s">
        <v>4081</v>
      </c>
    </row>
    <row r="1635" spans="1:16" ht="12.75" customHeight="1" x14ac:dyDescent="0.25">
      <c r="A1635" s="311">
        <v>1632</v>
      </c>
      <c r="B1635" s="311" t="s">
        <v>125</v>
      </c>
      <c r="C1635" s="311" t="s">
        <v>125</v>
      </c>
      <c r="D1635" s="311" t="s">
        <v>125</v>
      </c>
      <c r="E1635" s="337" t="s">
        <v>125</v>
      </c>
      <c r="F1635" s="311" t="s">
        <v>306</v>
      </c>
      <c r="G1635" s="311" t="s">
        <v>237</v>
      </c>
      <c r="H1635" s="311" t="s">
        <v>369</v>
      </c>
      <c r="I1635" s="311" t="s">
        <v>56</v>
      </c>
      <c r="J1635" s="50" t="s">
        <v>1892</v>
      </c>
      <c r="K1635" s="50" t="s">
        <v>1892</v>
      </c>
      <c r="L1635" s="50" t="s">
        <v>1893</v>
      </c>
      <c r="M1635" s="50" t="s">
        <v>4082</v>
      </c>
      <c r="N1635" s="50" t="s">
        <v>4082</v>
      </c>
      <c r="O1635" s="50" t="s">
        <v>4082</v>
      </c>
      <c r="P1635" s="50" t="s">
        <v>4082</v>
      </c>
    </row>
    <row r="1636" spans="1:16" ht="12.75" customHeight="1" x14ac:dyDescent="0.25">
      <c r="A1636" s="311">
        <v>1633</v>
      </c>
      <c r="B1636" s="311" t="s">
        <v>134</v>
      </c>
      <c r="C1636" s="311" t="s">
        <v>134</v>
      </c>
      <c r="D1636" s="311" t="s">
        <v>134</v>
      </c>
      <c r="E1636" s="337" t="s">
        <v>134</v>
      </c>
      <c r="F1636" s="311" t="s">
        <v>306</v>
      </c>
      <c r="G1636" s="311" t="s">
        <v>237</v>
      </c>
      <c r="H1636" s="311" t="s">
        <v>369</v>
      </c>
      <c r="I1636" s="311" t="s">
        <v>56</v>
      </c>
      <c r="J1636" s="50" t="s">
        <v>1892</v>
      </c>
      <c r="K1636" s="50" t="s">
        <v>1892</v>
      </c>
      <c r="L1636" s="50" t="s">
        <v>1893</v>
      </c>
      <c r="M1636" s="50" t="s">
        <v>4083</v>
      </c>
      <c r="N1636" s="50" t="s">
        <v>4083</v>
      </c>
      <c r="O1636" s="50" t="s">
        <v>4083</v>
      </c>
      <c r="P1636" s="50" t="s">
        <v>4083</v>
      </c>
    </row>
    <row r="1637" spans="1:16" ht="12.75" customHeight="1" x14ac:dyDescent="0.25">
      <c r="A1637" s="311">
        <v>1634</v>
      </c>
      <c r="B1637" s="311" t="s">
        <v>141</v>
      </c>
      <c r="C1637" s="311" t="s">
        <v>141</v>
      </c>
      <c r="D1637" s="311" t="s">
        <v>141</v>
      </c>
      <c r="E1637" s="337" t="s">
        <v>141</v>
      </c>
      <c r="F1637" s="311" t="s">
        <v>306</v>
      </c>
      <c r="G1637" s="311" t="s">
        <v>237</v>
      </c>
      <c r="H1637" s="311" t="s">
        <v>369</v>
      </c>
      <c r="I1637" s="311" t="s">
        <v>56</v>
      </c>
      <c r="J1637" s="50" t="s">
        <v>1892</v>
      </c>
      <c r="K1637" s="50" t="s">
        <v>1892</v>
      </c>
      <c r="L1637" s="50" t="s">
        <v>1893</v>
      </c>
      <c r="M1637" s="50" t="s">
        <v>4084</v>
      </c>
      <c r="N1637" s="50" t="s">
        <v>4084</v>
      </c>
      <c r="O1637" s="50" t="s">
        <v>4084</v>
      </c>
      <c r="P1637" s="50" t="s">
        <v>4084</v>
      </c>
    </row>
    <row r="1638" spans="1:16" ht="12.75" customHeight="1" x14ac:dyDescent="0.25">
      <c r="A1638" s="311">
        <v>1635</v>
      </c>
      <c r="B1638" s="311" t="s">
        <v>69</v>
      </c>
      <c r="C1638" s="311" t="s">
        <v>69</v>
      </c>
      <c r="D1638" s="311" t="s">
        <v>69</v>
      </c>
      <c r="E1638" s="337" t="s">
        <v>69</v>
      </c>
      <c r="F1638" s="311" t="s">
        <v>306</v>
      </c>
      <c r="G1638" s="311" t="s">
        <v>237</v>
      </c>
      <c r="H1638" s="311" t="s">
        <v>369</v>
      </c>
      <c r="I1638" s="311" t="s">
        <v>56</v>
      </c>
      <c r="J1638" s="50" t="s">
        <v>1892</v>
      </c>
      <c r="K1638" s="50" t="s">
        <v>1892</v>
      </c>
      <c r="L1638" s="50" t="s">
        <v>1893</v>
      </c>
      <c r="M1638" s="50" t="s">
        <v>4085</v>
      </c>
      <c r="N1638" s="50" t="s">
        <v>4085</v>
      </c>
      <c r="O1638" s="50" t="s">
        <v>4085</v>
      </c>
      <c r="P1638" s="50" t="s">
        <v>4085</v>
      </c>
    </row>
    <row r="1639" spans="1:16" ht="12.75" customHeight="1" x14ac:dyDescent="0.25">
      <c r="A1639" s="311">
        <v>1636</v>
      </c>
      <c r="B1639" s="311" t="s">
        <v>84</v>
      </c>
      <c r="C1639" s="311" t="s">
        <v>462</v>
      </c>
      <c r="D1639" s="311" t="s">
        <v>462</v>
      </c>
      <c r="E1639" s="337" t="s">
        <v>462</v>
      </c>
      <c r="F1639" s="311" t="s">
        <v>300</v>
      </c>
      <c r="G1639" s="311" t="s">
        <v>236</v>
      </c>
      <c r="H1639" s="311" t="s">
        <v>368</v>
      </c>
      <c r="I1639" s="311" t="s">
        <v>56</v>
      </c>
      <c r="J1639" s="50" t="s">
        <v>1892</v>
      </c>
      <c r="K1639" s="50" t="s">
        <v>1892</v>
      </c>
      <c r="L1639" s="50" t="s">
        <v>1893</v>
      </c>
      <c r="M1639" s="50" t="s">
        <v>4086</v>
      </c>
      <c r="N1639" s="50" t="s">
        <v>4087</v>
      </c>
      <c r="O1639" s="50" t="s">
        <v>4087</v>
      </c>
      <c r="P1639" s="50" t="s">
        <v>4087</v>
      </c>
    </row>
    <row r="1640" spans="1:16" ht="12.75" customHeight="1" x14ac:dyDescent="0.25">
      <c r="A1640" s="311">
        <v>1637</v>
      </c>
      <c r="B1640" s="311" t="s">
        <v>123</v>
      </c>
      <c r="C1640" s="311" t="s">
        <v>462</v>
      </c>
      <c r="D1640" s="311" t="s">
        <v>462</v>
      </c>
      <c r="E1640" s="337" t="s">
        <v>462</v>
      </c>
      <c r="F1640" s="311" t="s">
        <v>300</v>
      </c>
      <c r="G1640" s="311" t="s">
        <v>236</v>
      </c>
      <c r="H1640" s="311" t="s">
        <v>368</v>
      </c>
      <c r="I1640" s="311" t="s">
        <v>56</v>
      </c>
      <c r="J1640" s="50" t="s">
        <v>1892</v>
      </c>
      <c r="K1640" s="50" t="s">
        <v>1892</v>
      </c>
      <c r="L1640" s="50" t="s">
        <v>1893</v>
      </c>
      <c r="M1640" s="50" t="s">
        <v>4088</v>
      </c>
      <c r="N1640" s="50" t="s">
        <v>4087</v>
      </c>
      <c r="O1640" s="50" t="s">
        <v>4087</v>
      </c>
      <c r="P1640" s="50" t="s">
        <v>4087</v>
      </c>
    </row>
    <row r="1641" spans="1:16" ht="12.75" customHeight="1" x14ac:dyDescent="0.25">
      <c r="A1641" s="311">
        <v>1638</v>
      </c>
      <c r="B1641" s="311" t="s">
        <v>75</v>
      </c>
      <c r="C1641" s="311" t="s">
        <v>462</v>
      </c>
      <c r="D1641" s="311" t="s">
        <v>462</v>
      </c>
      <c r="E1641" s="337" t="s">
        <v>462</v>
      </c>
      <c r="F1641" s="311" t="s">
        <v>300</v>
      </c>
      <c r="G1641" s="311" t="s">
        <v>236</v>
      </c>
      <c r="H1641" s="311" t="s">
        <v>368</v>
      </c>
      <c r="I1641" s="311" t="s">
        <v>56</v>
      </c>
      <c r="J1641" s="50" t="s">
        <v>1892</v>
      </c>
      <c r="K1641" s="50" t="s">
        <v>1892</v>
      </c>
      <c r="L1641" s="50" t="s">
        <v>1893</v>
      </c>
      <c r="M1641" s="50" t="s">
        <v>4089</v>
      </c>
      <c r="N1641" s="50" t="s">
        <v>4087</v>
      </c>
      <c r="O1641" s="50" t="s">
        <v>4087</v>
      </c>
      <c r="P1641" s="50" t="s">
        <v>4087</v>
      </c>
    </row>
    <row r="1642" spans="1:16" ht="12.75" customHeight="1" x14ac:dyDescent="0.25">
      <c r="A1642" s="311">
        <v>1639</v>
      </c>
      <c r="B1642" s="311" t="s">
        <v>63</v>
      </c>
      <c r="C1642" s="311" t="s">
        <v>63</v>
      </c>
      <c r="D1642" s="311" t="s">
        <v>462</v>
      </c>
      <c r="E1642" s="337" t="s">
        <v>63</v>
      </c>
      <c r="F1642" s="311" t="s">
        <v>300</v>
      </c>
      <c r="G1642" s="311" t="s">
        <v>236</v>
      </c>
      <c r="H1642" s="311" t="s">
        <v>368</v>
      </c>
      <c r="I1642" s="311" t="s">
        <v>56</v>
      </c>
      <c r="J1642" s="50" t="s">
        <v>1892</v>
      </c>
      <c r="K1642" s="50" t="s">
        <v>1892</v>
      </c>
      <c r="L1642" s="50" t="s">
        <v>1893</v>
      </c>
      <c r="M1642" s="50" t="s">
        <v>4090</v>
      </c>
      <c r="N1642" s="50" t="s">
        <v>4090</v>
      </c>
      <c r="O1642" s="50" t="s">
        <v>4087</v>
      </c>
      <c r="P1642" s="50" t="s">
        <v>4090</v>
      </c>
    </row>
    <row r="1643" spans="1:16" ht="12.75" customHeight="1" x14ac:dyDescent="0.25">
      <c r="A1643" s="311">
        <v>1640</v>
      </c>
      <c r="B1643" s="311" t="s">
        <v>140</v>
      </c>
      <c r="C1643" s="311" t="s">
        <v>140</v>
      </c>
      <c r="D1643" s="311" t="s">
        <v>462</v>
      </c>
      <c r="E1643" s="337" t="s">
        <v>140</v>
      </c>
      <c r="F1643" s="311" t="s">
        <v>300</v>
      </c>
      <c r="G1643" s="311" t="s">
        <v>236</v>
      </c>
      <c r="H1643" s="311" t="s">
        <v>368</v>
      </c>
      <c r="I1643" s="311" t="s">
        <v>56</v>
      </c>
      <c r="J1643" s="50" t="s">
        <v>1892</v>
      </c>
      <c r="K1643" s="50" t="s">
        <v>1892</v>
      </c>
      <c r="L1643" s="50" t="s">
        <v>1893</v>
      </c>
      <c r="M1643" s="50" t="s">
        <v>4091</v>
      </c>
      <c r="N1643" s="50" t="s">
        <v>4091</v>
      </c>
      <c r="O1643" s="50" t="s">
        <v>4087</v>
      </c>
      <c r="P1643" s="50" t="s">
        <v>4091</v>
      </c>
    </row>
    <row r="1644" spans="1:16" ht="12.75" customHeight="1" x14ac:dyDescent="0.25">
      <c r="A1644" s="311">
        <v>1641</v>
      </c>
      <c r="B1644" s="311" t="s">
        <v>121</v>
      </c>
      <c r="C1644" s="311" t="s">
        <v>121</v>
      </c>
      <c r="D1644" s="311" t="s">
        <v>462</v>
      </c>
      <c r="E1644" s="337" t="s">
        <v>121</v>
      </c>
      <c r="F1644" s="311" t="s">
        <v>300</v>
      </c>
      <c r="G1644" s="311" t="s">
        <v>236</v>
      </c>
      <c r="H1644" s="311" t="s">
        <v>368</v>
      </c>
      <c r="I1644" s="311" t="s">
        <v>56</v>
      </c>
      <c r="J1644" s="50" t="s">
        <v>1892</v>
      </c>
      <c r="K1644" s="50" t="s">
        <v>1892</v>
      </c>
      <c r="L1644" s="50" t="s">
        <v>1893</v>
      </c>
      <c r="M1644" s="50" t="s">
        <v>4092</v>
      </c>
      <c r="N1644" s="50" t="s">
        <v>4092</v>
      </c>
      <c r="O1644" s="50" t="s">
        <v>4087</v>
      </c>
      <c r="P1644" s="50" t="s">
        <v>4092</v>
      </c>
    </row>
    <row r="1645" spans="1:16" ht="12.75" customHeight="1" x14ac:dyDescent="0.25">
      <c r="A1645" s="311">
        <v>1642</v>
      </c>
      <c r="B1645" s="311" t="s">
        <v>87</v>
      </c>
      <c r="C1645" s="311" t="s">
        <v>87</v>
      </c>
      <c r="D1645" s="311" t="s">
        <v>462</v>
      </c>
      <c r="E1645" s="337" t="s">
        <v>87</v>
      </c>
      <c r="F1645" s="311" t="s">
        <v>300</v>
      </c>
      <c r="G1645" s="311" t="s">
        <v>236</v>
      </c>
      <c r="H1645" s="311" t="s">
        <v>368</v>
      </c>
      <c r="I1645" s="311" t="s">
        <v>56</v>
      </c>
      <c r="J1645" s="50" t="s">
        <v>1892</v>
      </c>
      <c r="K1645" s="50" t="s">
        <v>1892</v>
      </c>
      <c r="L1645" s="50" t="s">
        <v>1893</v>
      </c>
      <c r="M1645" s="50" t="s">
        <v>4093</v>
      </c>
      <c r="N1645" s="50" t="s">
        <v>4093</v>
      </c>
      <c r="O1645" s="50" t="s">
        <v>4087</v>
      </c>
      <c r="P1645" s="50" t="s">
        <v>4093</v>
      </c>
    </row>
    <row r="1646" spans="1:16" ht="12.75" customHeight="1" x14ac:dyDescent="0.25">
      <c r="A1646" s="311">
        <v>1643</v>
      </c>
      <c r="B1646" s="311" t="s">
        <v>125</v>
      </c>
      <c r="C1646" s="311" t="s">
        <v>125</v>
      </c>
      <c r="D1646" s="311" t="s">
        <v>125</v>
      </c>
      <c r="E1646" s="337" t="s">
        <v>125</v>
      </c>
      <c r="F1646" s="311" t="s">
        <v>300</v>
      </c>
      <c r="G1646" s="311" t="s">
        <v>236</v>
      </c>
      <c r="H1646" s="311" t="s">
        <v>368</v>
      </c>
      <c r="I1646" s="311" t="s">
        <v>56</v>
      </c>
      <c r="J1646" s="50" t="s">
        <v>1892</v>
      </c>
      <c r="K1646" s="50" t="s">
        <v>1892</v>
      </c>
      <c r="L1646" s="50" t="s">
        <v>1893</v>
      </c>
      <c r="M1646" s="50" t="s">
        <v>4094</v>
      </c>
      <c r="N1646" s="50" t="s">
        <v>4094</v>
      </c>
      <c r="O1646" s="50" t="s">
        <v>4094</v>
      </c>
      <c r="P1646" s="50" t="s">
        <v>4094</v>
      </c>
    </row>
    <row r="1647" spans="1:16" ht="12.75" customHeight="1" x14ac:dyDescent="0.25">
      <c r="A1647" s="311">
        <v>1644</v>
      </c>
      <c r="B1647" s="311" t="s">
        <v>134</v>
      </c>
      <c r="C1647" s="311" t="s">
        <v>134</v>
      </c>
      <c r="D1647" s="311" t="s">
        <v>134</v>
      </c>
      <c r="E1647" s="337" t="s">
        <v>134</v>
      </c>
      <c r="F1647" s="311" t="s">
        <v>300</v>
      </c>
      <c r="G1647" s="311" t="s">
        <v>236</v>
      </c>
      <c r="H1647" s="311" t="s">
        <v>368</v>
      </c>
      <c r="I1647" s="311" t="s">
        <v>56</v>
      </c>
      <c r="J1647" s="50" t="s">
        <v>1892</v>
      </c>
      <c r="K1647" s="50" t="s">
        <v>1892</v>
      </c>
      <c r="L1647" s="50" t="s">
        <v>1893</v>
      </c>
      <c r="M1647" s="50" t="s">
        <v>4095</v>
      </c>
      <c r="N1647" s="50" t="s">
        <v>4095</v>
      </c>
      <c r="O1647" s="50" t="s">
        <v>4095</v>
      </c>
      <c r="P1647" s="50" t="s">
        <v>4095</v>
      </c>
    </row>
    <row r="1648" spans="1:16" ht="12.75" customHeight="1" x14ac:dyDescent="0.25">
      <c r="A1648" s="311">
        <v>1645</v>
      </c>
      <c r="B1648" s="311" t="s">
        <v>141</v>
      </c>
      <c r="C1648" s="311" t="s">
        <v>141</v>
      </c>
      <c r="D1648" s="311" t="s">
        <v>141</v>
      </c>
      <c r="E1648" s="337" t="s">
        <v>141</v>
      </c>
      <c r="F1648" s="311" t="s">
        <v>300</v>
      </c>
      <c r="G1648" s="311" t="s">
        <v>236</v>
      </c>
      <c r="H1648" s="311" t="s">
        <v>368</v>
      </c>
      <c r="I1648" s="311" t="s">
        <v>56</v>
      </c>
      <c r="J1648" s="50" t="s">
        <v>1892</v>
      </c>
      <c r="K1648" s="50" t="s">
        <v>1892</v>
      </c>
      <c r="L1648" s="50" t="s">
        <v>1893</v>
      </c>
      <c r="M1648" s="50" t="s">
        <v>4096</v>
      </c>
      <c r="N1648" s="50" t="s">
        <v>4096</v>
      </c>
      <c r="O1648" s="50" t="s">
        <v>4096</v>
      </c>
      <c r="P1648" s="50" t="s">
        <v>4096</v>
      </c>
    </row>
    <row r="1649" spans="1:16" ht="12.75" customHeight="1" x14ac:dyDescent="0.25">
      <c r="A1649" s="311">
        <v>1646</v>
      </c>
      <c r="B1649" s="311" t="s">
        <v>69</v>
      </c>
      <c r="C1649" s="311" t="s">
        <v>69</v>
      </c>
      <c r="D1649" s="311" t="s">
        <v>69</v>
      </c>
      <c r="E1649" s="337" t="s">
        <v>69</v>
      </c>
      <c r="F1649" s="311" t="s">
        <v>300</v>
      </c>
      <c r="G1649" s="311" t="s">
        <v>236</v>
      </c>
      <c r="H1649" s="311" t="s">
        <v>368</v>
      </c>
      <c r="I1649" s="311" t="s">
        <v>56</v>
      </c>
      <c r="J1649" s="50" t="s">
        <v>1892</v>
      </c>
      <c r="K1649" s="50" t="s">
        <v>1892</v>
      </c>
      <c r="L1649" s="50" t="s">
        <v>1893</v>
      </c>
      <c r="M1649" s="50" t="s">
        <v>4097</v>
      </c>
      <c r="N1649" s="50" t="s">
        <v>4097</v>
      </c>
      <c r="O1649" s="50" t="s">
        <v>4097</v>
      </c>
      <c r="P1649" s="50" t="s">
        <v>4097</v>
      </c>
    </row>
    <row r="1650" spans="1:16" ht="12.75" customHeight="1" x14ac:dyDescent="0.25">
      <c r="A1650" s="311">
        <v>1647</v>
      </c>
      <c r="B1650" s="311" t="s">
        <v>84</v>
      </c>
      <c r="C1650" s="311" t="s">
        <v>462</v>
      </c>
      <c r="D1650" s="311" t="s">
        <v>462</v>
      </c>
      <c r="E1650" s="337" t="s">
        <v>462</v>
      </c>
      <c r="F1650" s="311" t="s">
        <v>300</v>
      </c>
      <c r="G1650" s="311" t="s">
        <v>23</v>
      </c>
      <c r="H1650" s="311" t="s">
        <v>368</v>
      </c>
      <c r="I1650" s="311" t="s">
        <v>56</v>
      </c>
      <c r="J1650" s="50" t="s">
        <v>1892</v>
      </c>
      <c r="K1650" s="50" t="s">
        <v>1892</v>
      </c>
      <c r="L1650" s="50" t="s">
        <v>1893</v>
      </c>
      <c r="M1650" s="50" t="s">
        <v>4098</v>
      </c>
      <c r="N1650" s="50" t="s">
        <v>4099</v>
      </c>
      <c r="O1650" s="50" t="s">
        <v>4099</v>
      </c>
      <c r="P1650" s="50" t="s">
        <v>4099</v>
      </c>
    </row>
    <row r="1651" spans="1:16" ht="12.75" customHeight="1" x14ac:dyDescent="0.25">
      <c r="A1651" s="311">
        <v>1648</v>
      </c>
      <c r="B1651" s="311" t="s">
        <v>123</v>
      </c>
      <c r="C1651" s="311" t="s">
        <v>462</v>
      </c>
      <c r="D1651" s="311" t="s">
        <v>462</v>
      </c>
      <c r="E1651" s="337" t="s">
        <v>462</v>
      </c>
      <c r="F1651" s="311" t="s">
        <v>300</v>
      </c>
      <c r="G1651" s="311" t="s">
        <v>23</v>
      </c>
      <c r="H1651" s="311" t="s">
        <v>368</v>
      </c>
      <c r="I1651" s="311" t="s">
        <v>56</v>
      </c>
      <c r="J1651" s="50" t="s">
        <v>1892</v>
      </c>
      <c r="K1651" s="50" t="s">
        <v>1892</v>
      </c>
      <c r="L1651" s="50" t="s">
        <v>1893</v>
      </c>
      <c r="M1651" s="50" t="s">
        <v>4100</v>
      </c>
      <c r="N1651" s="50" t="s">
        <v>4099</v>
      </c>
      <c r="O1651" s="50" t="s">
        <v>4099</v>
      </c>
      <c r="P1651" s="50" t="s">
        <v>4099</v>
      </c>
    </row>
    <row r="1652" spans="1:16" ht="12.75" customHeight="1" x14ac:dyDescent="0.25">
      <c r="A1652" s="311">
        <v>1649</v>
      </c>
      <c r="B1652" s="311" t="s">
        <v>75</v>
      </c>
      <c r="C1652" s="311" t="s">
        <v>462</v>
      </c>
      <c r="D1652" s="311" t="s">
        <v>462</v>
      </c>
      <c r="E1652" s="337" t="s">
        <v>462</v>
      </c>
      <c r="F1652" s="311" t="s">
        <v>300</v>
      </c>
      <c r="G1652" s="311" t="s">
        <v>23</v>
      </c>
      <c r="H1652" s="311" t="s">
        <v>368</v>
      </c>
      <c r="I1652" s="311" t="s">
        <v>56</v>
      </c>
      <c r="J1652" s="50" t="s">
        <v>1892</v>
      </c>
      <c r="K1652" s="50" t="s">
        <v>1892</v>
      </c>
      <c r="L1652" s="50" t="s">
        <v>1893</v>
      </c>
      <c r="M1652" s="50" t="s">
        <v>4101</v>
      </c>
      <c r="N1652" s="50" t="s">
        <v>4099</v>
      </c>
      <c r="O1652" s="50" t="s">
        <v>4099</v>
      </c>
      <c r="P1652" s="50" t="s">
        <v>4099</v>
      </c>
    </row>
    <row r="1653" spans="1:16" ht="12.75" customHeight="1" x14ac:dyDescent="0.25">
      <c r="A1653" s="311">
        <v>1650</v>
      </c>
      <c r="B1653" s="311" t="s">
        <v>63</v>
      </c>
      <c r="C1653" s="311" t="s">
        <v>63</v>
      </c>
      <c r="D1653" s="311" t="s">
        <v>462</v>
      </c>
      <c r="E1653" s="337" t="s">
        <v>63</v>
      </c>
      <c r="F1653" s="311" t="s">
        <v>300</v>
      </c>
      <c r="G1653" s="311" t="s">
        <v>23</v>
      </c>
      <c r="H1653" s="311" t="s">
        <v>368</v>
      </c>
      <c r="I1653" s="311" t="s">
        <v>56</v>
      </c>
      <c r="J1653" s="50" t="s">
        <v>1892</v>
      </c>
      <c r="K1653" s="50" t="s">
        <v>1892</v>
      </c>
      <c r="L1653" s="50" t="s">
        <v>1893</v>
      </c>
      <c r="M1653" s="50" t="s">
        <v>4102</v>
      </c>
      <c r="N1653" s="50" t="s">
        <v>4102</v>
      </c>
      <c r="O1653" s="50" t="s">
        <v>4099</v>
      </c>
      <c r="P1653" s="50" t="s">
        <v>4102</v>
      </c>
    </row>
    <row r="1654" spans="1:16" ht="12.75" customHeight="1" x14ac:dyDescent="0.25">
      <c r="A1654" s="311">
        <v>1651</v>
      </c>
      <c r="B1654" s="311" t="s">
        <v>140</v>
      </c>
      <c r="C1654" s="311" t="s">
        <v>140</v>
      </c>
      <c r="D1654" s="311" t="s">
        <v>462</v>
      </c>
      <c r="E1654" s="337" t="s">
        <v>140</v>
      </c>
      <c r="F1654" s="311" t="s">
        <v>300</v>
      </c>
      <c r="G1654" s="311" t="s">
        <v>23</v>
      </c>
      <c r="H1654" s="311" t="s">
        <v>368</v>
      </c>
      <c r="I1654" s="311" t="s">
        <v>56</v>
      </c>
      <c r="J1654" s="50" t="s">
        <v>1892</v>
      </c>
      <c r="K1654" s="50" t="s">
        <v>1892</v>
      </c>
      <c r="L1654" s="50" t="s">
        <v>1893</v>
      </c>
      <c r="M1654" s="50" t="s">
        <v>4103</v>
      </c>
      <c r="N1654" s="50" t="s">
        <v>4103</v>
      </c>
      <c r="O1654" s="50" t="s">
        <v>4099</v>
      </c>
      <c r="P1654" s="50" t="s">
        <v>4103</v>
      </c>
    </row>
    <row r="1655" spans="1:16" ht="12.75" customHeight="1" x14ac:dyDescent="0.25">
      <c r="A1655" s="311">
        <v>1652</v>
      </c>
      <c r="B1655" s="311" t="s">
        <v>121</v>
      </c>
      <c r="C1655" s="311" t="s">
        <v>121</v>
      </c>
      <c r="D1655" s="311" t="s">
        <v>462</v>
      </c>
      <c r="E1655" s="337" t="s">
        <v>121</v>
      </c>
      <c r="F1655" s="311" t="s">
        <v>300</v>
      </c>
      <c r="G1655" s="311" t="s">
        <v>23</v>
      </c>
      <c r="H1655" s="311" t="s">
        <v>368</v>
      </c>
      <c r="I1655" s="311" t="s">
        <v>56</v>
      </c>
      <c r="J1655" s="50" t="s">
        <v>1892</v>
      </c>
      <c r="K1655" s="50" t="s">
        <v>1892</v>
      </c>
      <c r="L1655" s="50" t="s">
        <v>1893</v>
      </c>
      <c r="M1655" s="50" t="s">
        <v>4104</v>
      </c>
      <c r="N1655" s="50" t="s">
        <v>4104</v>
      </c>
      <c r="O1655" s="50" t="s">
        <v>4099</v>
      </c>
      <c r="P1655" s="50" t="s">
        <v>4104</v>
      </c>
    </row>
    <row r="1656" spans="1:16" ht="12.75" customHeight="1" x14ac:dyDescent="0.25">
      <c r="A1656" s="311">
        <v>1653</v>
      </c>
      <c r="B1656" s="311" t="s">
        <v>87</v>
      </c>
      <c r="C1656" s="311" t="s">
        <v>87</v>
      </c>
      <c r="D1656" s="311" t="s">
        <v>462</v>
      </c>
      <c r="E1656" s="337" t="s">
        <v>87</v>
      </c>
      <c r="F1656" s="311" t="s">
        <v>300</v>
      </c>
      <c r="G1656" s="311" t="s">
        <v>23</v>
      </c>
      <c r="H1656" s="311" t="s">
        <v>368</v>
      </c>
      <c r="I1656" s="311" t="s">
        <v>56</v>
      </c>
      <c r="J1656" s="50" t="s">
        <v>1892</v>
      </c>
      <c r="K1656" s="50" t="s">
        <v>1892</v>
      </c>
      <c r="L1656" s="50" t="s">
        <v>1893</v>
      </c>
      <c r="M1656" s="50" t="s">
        <v>4105</v>
      </c>
      <c r="N1656" s="50" t="s">
        <v>4105</v>
      </c>
      <c r="O1656" s="50" t="s">
        <v>4099</v>
      </c>
      <c r="P1656" s="50" t="s">
        <v>4105</v>
      </c>
    </row>
    <row r="1657" spans="1:16" ht="12.75" customHeight="1" x14ac:dyDescent="0.25">
      <c r="A1657" s="311">
        <v>1654</v>
      </c>
      <c r="B1657" s="311" t="s">
        <v>125</v>
      </c>
      <c r="C1657" s="311" t="s">
        <v>125</v>
      </c>
      <c r="D1657" s="311" t="s">
        <v>125</v>
      </c>
      <c r="E1657" s="337" t="s">
        <v>125</v>
      </c>
      <c r="F1657" s="311" t="s">
        <v>300</v>
      </c>
      <c r="G1657" s="311" t="s">
        <v>23</v>
      </c>
      <c r="H1657" s="311" t="s">
        <v>368</v>
      </c>
      <c r="I1657" s="311" t="s">
        <v>56</v>
      </c>
      <c r="J1657" s="50" t="s">
        <v>1892</v>
      </c>
      <c r="K1657" s="50" t="s">
        <v>1892</v>
      </c>
      <c r="L1657" s="50" t="s">
        <v>1893</v>
      </c>
      <c r="M1657" s="50" t="s">
        <v>4106</v>
      </c>
      <c r="N1657" s="50" t="s">
        <v>4106</v>
      </c>
      <c r="O1657" s="50" t="s">
        <v>4106</v>
      </c>
      <c r="P1657" s="50" t="s">
        <v>4106</v>
      </c>
    </row>
    <row r="1658" spans="1:16" ht="12.75" customHeight="1" x14ac:dyDescent="0.25">
      <c r="A1658" s="311">
        <v>1655</v>
      </c>
      <c r="B1658" s="311" t="s">
        <v>134</v>
      </c>
      <c r="C1658" s="311" t="s">
        <v>134</v>
      </c>
      <c r="D1658" s="311" t="s">
        <v>134</v>
      </c>
      <c r="E1658" s="337" t="s">
        <v>134</v>
      </c>
      <c r="F1658" s="311" t="s">
        <v>300</v>
      </c>
      <c r="G1658" s="311" t="s">
        <v>23</v>
      </c>
      <c r="H1658" s="311" t="s">
        <v>368</v>
      </c>
      <c r="I1658" s="311" t="s">
        <v>56</v>
      </c>
      <c r="J1658" s="50" t="s">
        <v>1892</v>
      </c>
      <c r="K1658" s="50" t="s">
        <v>1892</v>
      </c>
      <c r="L1658" s="50" t="s">
        <v>1893</v>
      </c>
      <c r="M1658" s="50" t="s">
        <v>4107</v>
      </c>
      <c r="N1658" s="50" t="s">
        <v>4107</v>
      </c>
      <c r="O1658" s="50" t="s">
        <v>4107</v>
      </c>
      <c r="P1658" s="50" t="s">
        <v>4107</v>
      </c>
    </row>
    <row r="1659" spans="1:16" ht="12.75" customHeight="1" x14ac:dyDescent="0.25">
      <c r="A1659" s="311">
        <v>1656</v>
      </c>
      <c r="B1659" s="311" t="s">
        <v>141</v>
      </c>
      <c r="C1659" s="311" t="s">
        <v>141</v>
      </c>
      <c r="D1659" s="311" t="s">
        <v>141</v>
      </c>
      <c r="E1659" s="337" t="s">
        <v>141</v>
      </c>
      <c r="F1659" s="311" t="s">
        <v>300</v>
      </c>
      <c r="G1659" s="311" t="s">
        <v>23</v>
      </c>
      <c r="H1659" s="311" t="s">
        <v>368</v>
      </c>
      <c r="I1659" s="311" t="s">
        <v>56</v>
      </c>
      <c r="J1659" s="50" t="s">
        <v>1892</v>
      </c>
      <c r="K1659" s="50" t="s">
        <v>1892</v>
      </c>
      <c r="L1659" s="50" t="s">
        <v>1893</v>
      </c>
      <c r="M1659" s="50" t="s">
        <v>4108</v>
      </c>
      <c r="N1659" s="50" t="s">
        <v>4108</v>
      </c>
      <c r="O1659" s="50" t="s">
        <v>4108</v>
      </c>
      <c r="P1659" s="50" t="s">
        <v>4108</v>
      </c>
    </row>
    <row r="1660" spans="1:16" ht="12.75" customHeight="1" x14ac:dyDescent="0.25">
      <c r="A1660" s="311">
        <v>1657</v>
      </c>
      <c r="B1660" s="311" t="s">
        <v>69</v>
      </c>
      <c r="C1660" s="311" t="s">
        <v>69</v>
      </c>
      <c r="D1660" s="311" t="s">
        <v>69</v>
      </c>
      <c r="E1660" s="337" t="s">
        <v>69</v>
      </c>
      <c r="F1660" s="311" t="s">
        <v>300</v>
      </c>
      <c r="G1660" s="311" t="s">
        <v>23</v>
      </c>
      <c r="H1660" s="311" t="s">
        <v>368</v>
      </c>
      <c r="I1660" s="311" t="s">
        <v>56</v>
      </c>
      <c r="J1660" s="50" t="s">
        <v>1892</v>
      </c>
      <c r="K1660" s="50" t="s">
        <v>1892</v>
      </c>
      <c r="L1660" s="50" t="s">
        <v>1893</v>
      </c>
      <c r="M1660" s="50" t="s">
        <v>4109</v>
      </c>
      <c r="N1660" s="50" t="s">
        <v>4109</v>
      </c>
      <c r="O1660" s="50" t="s">
        <v>4109</v>
      </c>
      <c r="P1660" s="50" t="s">
        <v>4109</v>
      </c>
    </row>
    <row r="1661" spans="1:16" ht="12.75" customHeight="1" x14ac:dyDescent="0.25">
      <c r="A1661" s="311">
        <v>1658</v>
      </c>
      <c r="B1661" s="311" t="s">
        <v>84</v>
      </c>
      <c r="C1661" s="311" t="s">
        <v>462</v>
      </c>
      <c r="D1661" s="311" t="s">
        <v>462</v>
      </c>
      <c r="E1661" s="337" t="s">
        <v>462</v>
      </c>
      <c r="F1661" s="311" t="s">
        <v>300</v>
      </c>
      <c r="G1661" s="311" t="s">
        <v>237</v>
      </c>
      <c r="H1661" s="311" t="s">
        <v>368</v>
      </c>
      <c r="I1661" s="311" t="s">
        <v>56</v>
      </c>
      <c r="J1661" s="50" t="s">
        <v>1892</v>
      </c>
      <c r="K1661" s="50" t="s">
        <v>1892</v>
      </c>
      <c r="L1661" s="50" t="s">
        <v>1893</v>
      </c>
      <c r="M1661" s="50" t="s">
        <v>4110</v>
      </c>
      <c r="N1661" s="50" t="s">
        <v>4111</v>
      </c>
      <c r="O1661" s="50" t="s">
        <v>4111</v>
      </c>
      <c r="P1661" s="50" t="s">
        <v>4111</v>
      </c>
    </row>
    <row r="1662" spans="1:16" ht="12.75" customHeight="1" x14ac:dyDescent="0.25">
      <c r="A1662" s="311">
        <v>1659</v>
      </c>
      <c r="B1662" s="311" t="s">
        <v>123</v>
      </c>
      <c r="C1662" s="311" t="s">
        <v>462</v>
      </c>
      <c r="D1662" s="311" t="s">
        <v>462</v>
      </c>
      <c r="E1662" s="337" t="s">
        <v>462</v>
      </c>
      <c r="F1662" s="311" t="s">
        <v>300</v>
      </c>
      <c r="G1662" s="311" t="s">
        <v>237</v>
      </c>
      <c r="H1662" s="311" t="s">
        <v>368</v>
      </c>
      <c r="I1662" s="311" t="s">
        <v>56</v>
      </c>
      <c r="J1662" s="50" t="s">
        <v>1892</v>
      </c>
      <c r="K1662" s="50" t="s">
        <v>1892</v>
      </c>
      <c r="L1662" s="50" t="s">
        <v>1893</v>
      </c>
      <c r="M1662" s="50" t="s">
        <v>4112</v>
      </c>
      <c r="N1662" s="50" t="s">
        <v>4111</v>
      </c>
      <c r="O1662" s="50" t="s">
        <v>4111</v>
      </c>
      <c r="P1662" s="50" t="s">
        <v>4111</v>
      </c>
    </row>
    <row r="1663" spans="1:16" ht="12.75" customHeight="1" x14ac:dyDescent="0.25">
      <c r="A1663" s="311">
        <v>1660</v>
      </c>
      <c r="B1663" s="311" t="s">
        <v>75</v>
      </c>
      <c r="C1663" s="311" t="s">
        <v>462</v>
      </c>
      <c r="D1663" s="311" t="s">
        <v>462</v>
      </c>
      <c r="E1663" s="337" t="s">
        <v>462</v>
      </c>
      <c r="F1663" s="311" t="s">
        <v>300</v>
      </c>
      <c r="G1663" s="311" t="s">
        <v>237</v>
      </c>
      <c r="H1663" s="311" t="s">
        <v>368</v>
      </c>
      <c r="I1663" s="311" t="s">
        <v>56</v>
      </c>
      <c r="J1663" s="50" t="s">
        <v>1892</v>
      </c>
      <c r="K1663" s="50" t="s">
        <v>1892</v>
      </c>
      <c r="L1663" s="50" t="s">
        <v>1893</v>
      </c>
      <c r="M1663" s="50" t="s">
        <v>4113</v>
      </c>
      <c r="N1663" s="50" t="s">
        <v>4111</v>
      </c>
      <c r="O1663" s="50" t="s">
        <v>4111</v>
      </c>
      <c r="P1663" s="50" t="s">
        <v>4111</v>
      </c>
    </row>
    <row r="1664" spans="1:16" ht="12.75" customHeight="1" x14ac:dyDescent="0.25">
      <c r="A1664" s="311">
        <v>1661</v>
      </c>
      <c r="B1664" s="311" t="s">
        <v>63</v>
      </c>
      <c r="C1664" s="311" t="s">
        <v>63</v>
      </c>
      <c r="D1664" s="311" t="s">
        <v>462</v>
      </c>
      <c r="E1664" s="337" t="s">
        <v>63</v>
      </c>
      <c r="F1664" s="311" t="s">
        <v>300</v>
      </c>
      <c r="G1664" s="311" t="s">
        <v>237</v>
      </c>
      <c r="H1664" s="311" t="s">
        <v>368</v>
      </c>
      <c r="I1664" s="311" t="s">
        <v>56</v>
      </c>
      <c r="J1664" s="50" t="s">
        <v>1892</v>
      </c>
      <c r="K1664" s="50" t="s">
        <v>1892</v>
      </c>
      <c r="L1664" s="50" t="s">
        <v>1893</v>
      </c>
      <c r="M1664" s="50" t="s">
        <v>4114</v>
      </c>
      <c r="N1664" s="50" t="s">
        <v>4114</v>
      </c>
      <c r="O1664" s="50" t="s">
        <v>4111</v>
      </c>
      <c r="P1664" s="50" t="s">
        <v>4114</v>
      </c>
    </row>
    <row r="1665" spans="1:16" ht="12.75" customHeight="1" x14ac:dyDescent="0.25">
      <c r="A1665" s="311">
        <v>1662</v>
      </c>
      <c r="B1665" s="311" t="s">
        <v>140</v>
      </c>
      <c r="C1665" s="311" t="s">
        <v>140</v>
      </c>
      <c r="D1665" s="311" t="s">
        <v>462</v>
      </c>
      <c r="E1665" s="337" t="s">
        <v>140</v>
      </c>
      <c r="F1665" s="311" t="s">
        <v>300</v>
      </c>
      <c r="G1665" s="311" t="s">
        <v>237</v>
      </c>
      <c r="H1665" s="311" t="s">
        <v>368</v>
      </c>
      <c r="I1665" s="311" t="s">
        <v>56</v>
      </c>
      <c r="J1665" s="50" t="s">
        <v>1892</v>
      </c>
      <c r="K1665" s="50" t="s">
        <v>1892</v>
      </c>
      <c r="L1665" s="50" t="s">
        <v>1893</v>
      </c>
      <c r="M1665" s="50" t="s">
        <v>4115</v>
      </c>
      <c r="N1665" s="50" t="s">
        <v>4115</v>
      </c>
      <c r="O1665" s="50" t="s">
        <v>4111</v>
      </c>
      <c r="P1665" s="50" t="s">
        <v>4115</v>
      </c>
    </row>
    <row r="1666" spans="1:16" ht="12.75" customHeight="1" x14ac:dyDescent="0.25">
      <c r="A1666" s="311">
        <v>1663</v>
      </c>
      <c r="B1666" s="311" t="s">
        <v>121</v>
      </c>
      <c r="C1666" s="311" t="s">
        <v>121</v>
      </c>
      <c r="D1666" s="311" t="s">
        <v>462</v>
      </c>
      <c r="E1666" s="337" t="s">
        <v>121</v>
      </c>
      <c r="F1666" s="311" t="s">
        <v>300</v>
      </c>
      <c r="G1666" s="311" t="s">
        <v>237</v>
      </c>
      <c r="H1666" s="311" t="s">
        <v>368</v>
      </c>
      <c r="I1666" s="311" t="s">
        <v>56</v>
      </c>
      <c r="J1666" s="50" t="s">
        <v>1892</v>
      </c>
      <c r="K1666" s="50" t="s">
        <v>1892</v>
      </c>
      <c r="L1666" s="50" t="s">
        <v>1893</v>
      </c>
      <c r="M1666" s="50" t="s">
        <v>4116</v>
      </c>
      <c r="N1666" s="50" t="s">
        <v>4116</v>
      </c>
      <c r="O1666" s="50" t="s">
        <v>4111</v>
      </c>
      <c r="P1666" s="50" t="s">
        <v>4116</v>
      </c>
    </row>
    <row r="1667" spans="1:16" ht="12.75" customHeight="1" x14ac:dyDescent="0.25">
      <c r="A1667" s="311">
        <v>1664</v>
      </c>
      <c r="B1667" s="311" t="s">
        <v>87</v>
      </c>
      <c r="C1667" s="311" t="s">
        <v>87</v>
      </c>
      <c r="D1667" s="311" t="s">
        <v>462</v>
      </c>
      <c r="E1667" s="337" t="s">
        <v>87</v>
      </c>
      <c r="F1667" s="311" t="s">
        <v>300</v>
      </c>
      <c r="G1667" s="311" t="s">
        <v>237</v>
      </c>
      <c r="H1667" s="311" t="s">
        <v>368</v>
      </c>
      <c r="I1667" s="311" t="s">
        <v>56</v>
      </c>
      <c r="J1667" s="50" t="s">
        <v>1892</v>
      </c>
      <c r="K1667" s="50" t="s">
        <v>1892</v>
      </c>
      <c r="L1667" s="50" t="s">
        <v>1893</v>
      </c>
      <c r="M1667" s="50" t="s">
        <v>4117</v>
      </c>
      <c r="N1667" s="50" t="s">
        <v>4117</v>
      </c>
      <c r="O1667" s="50" t="s">
        <v>4111</v>
      </c>
      <c r="P1667" s="50" t="s">
        <v>4117</v>
      </c>
    </row>
    <row r="1668" spans="1:16" ht="12.75" customHeight="1" x14ac:dyDescent="0.25">
      <c r="A1668" s="311">
        <v>1665</v>
      </c>
      <c r="B1668" s="311" t="s">
        <v>125</v>
      </c>
      <c r="C1668" s="311" t="s">
        <v>125</v>
      </c>
      <c r="D1668" s="311" t="s">
        <v>125</v>
      </c>
      <c r="E1668" s="337" t="s">
        <v>125</v>
      </c>
      <c r="F1668" s="311" t="s">
        <v>300</v>
      </c>
      <c r="G1668" s="311" t="s">
        <v>237</v>
      </c>
      <c r="H1668" s="311" t="s">
        <v>368</v>
      </c>
      <c r="I1668" s="311" t="s">
        <v>56</v>
      </c>
      <c r="J1668" s="50" t="s">
        <v>1892</v>
      </c>
      <c r="K1668" s="50" t="s">
        <v>1892</v>
      </c>
      <c r="L1668" s="50" t="s">
        <v>1893</v>
      </c>
      <c r="M1668" s="50" t="s">
        <v>4118</v>
      </c>
      <c r="N1668" s="50" t="s">
        <v>4118</v>
      </c>
      <c r="O1668" s="50" t="s">
        <v>4118</v>
      </c>
      <c r="P1668" s="50" t="s">
        <v>4118</v>
      </c>
    </row>
    <row r="1669" spans="1:16" ht="12.75" customHeight="1" x14ac:dyDescent="0.25">
      <c r="A1669" s="311">
        <v>1666</v>
      </c>
      <c r="B1669" s="311" t="s">
        <v>134</v>
      </c>
      <c r="C1669" s="311" t="s">
        <v>134</v>
      </c>
      <c r="D1669" s="311" t="s">
        <v>134</v>
      </c>
      <c r="E1669" s="337" t="s">
        <v>134</v>
      </c>
      <c r="F1669" s="311" t="s">
        <v>300</v>
      </c>
      <c r="G1669" s="311" t="s">
        <v>237</v>
      </c>
      <c r="H1669" s="311" t="s">
        <v>368</v>
      </c>
      <c r="I1669" s="311" t="s">
        <v>56</v>
      </c>
      <c r="J1669" s="50" t="s">
        <v>1892</v>
      </c>
      <c r="K1669" s="50" t="s">
        <v>1892</v>
      </c>
      <c r="L1669" s="50" t="s">
        <v>1893</v>
      </c>
      <c r="M1669" s="50" t="s">
        <v>4119</v>
      </c>
      <c r="N1669" s="50" t="s">
        <v>4119</v>
      </c>
      <c r="O1669" s="50" t="s">
        <v>4119</v>
      </c>
      <c r="P1669" s="50" t="s">
        <v>4119</v>
      </c>
    </row>
    <row r="1670" spans="1:16" ht="12.75" customHeight="1" x14ac:dyDescent="0.25">
      <c r="A1670" s="311">
        <v>1667</v>
      </c>
      <c r="B1670" s="311" t="s">
        <v>141</v>
      </c>
      <c r="C1670" s="311" t="s">
        <v>141</v>
      </c>
      <c r="D1670" s="311" t="s">
        <v>141</v>
      </c>
      <c r="E1670" s="337" t="s">
        <v>141</v>
      </c>
      <c r="F1670" s="311" t="s">
        <v>300</v>
      </c>
      <c r="G1670" s="311" t="s">
        <v>237</v>
      </c>
      <c r="H1670" s="311" t="s">
        <v>368</v>
      </c>
      <c r="I1670" s="311" t="s">
        <v>56</v>
      </c>
      <c r="J1670" s="50" t="s">
        <v>1892</v>
      </c>
      <c r="K1670" s="50" t="s">
        <v>1892</v>
      </c>
      <c r="L1670" s="50" t="s">
        <v>1893</v>
      </c>
      <c r="M1670" s="50" t="s">
        <v>4120</v>
      </c>
      <c r="N1670" s="50" t="s">
        <v>4120</v>
      </c>
      <c r="O1670" s="50" t="s">
        <v>4120</v>
      </c>
      <c r="P1670" s="50" t="s">
        <v>4120</v>
      </c>
    </row>
    <row r="1671" spans="1:16" ht="12.75" customHeight="1" x14ac:dyDescent="0.25">
      <c r="A1671" s="311">
        <v>1668</v>
      </c>
      <c r="B1671" s="311" t="s">
        <v>69</v>
      </c>
      <c r="C1671" s="311" t="s">
        <v>69</v>
      </c>
      <c r="D1671" s="311" t="s">
        <v>69</v>
      </c>
      <c r="E1671" s="337" t="s">
        <v>69</v>
      </c>
      <c r="F1671" s="311" t="s">
        <v>300</v>
      </c>
      <c r="G1671" s="311" t="s">
        <v>237</v>
      </c>
      <c r="H1671" s="311" t="s">
        <v>368</v>
      </c>
      <c r="I1671" s="311" t="s">
        <v>56</v>
      </c>
      <c r="J1671" s="50" t="s">
        <v>1892</v>
      </c>
      <c r="K1671" s="50" t="s">
        <v>1892</v>
      </c>
      <c r="L1671" s="50" t="s">
        <v>1893</v>
      </c>
      <c r="M1671" s="50" t="s">
        <v>4121</v>
      </c>
      <c r="N1671" s="50" t="s">
        <v>4121</v>
      </c>
      <c r="O1671" s="50" t="s">
        <v>4121</v>
      </c>
      <c r="P1671" s="50" t="s">
        <v>4121</v>
      </c>
    </row>
    <row r="1672" spans="1:16" ht="12.75" customHeight="1" x14ac:dyDescent="0.25">
      <c r="A1672" s="311">
        <v>1669</v>
      </c>
      <c r="B1672" s="311" t="s">
        <v>84</v>
      </c>
      <c r="C1672" s="311" t="s">
        <v>462</v>
      </c>
      <c r="D1672" s="311" t="s">
        <v>462</v>
      </c>
      <c r="E1672" s="337" t="s">
        <v>462</v>
      </c>
      <c r="F1672" s="311" t="s">
        <v>292</v>
      </c>
      <c r="G1672" s="311" t="s">
        <v>236</v>
      </c>
      <c r="H1672" s="311" t="s">
        <v>366</v>
      </c>
      <c r="I1672" s="311" t="s">
        <v>56</v>
      </c>
      <c r="J1672" s="50" t="s">
        <v>1892</v>
      </c>
      <c r="K1672" s="50" t="s">
        <v>1892</v>
      </c>
      <c r="L1672" s="50" t="s">
        <v>1893</v>
      </c>
      <c r="M1672" s="50" t="s">
        <v>4122</v>
      </c>
      <c r="N1672" s="50" t="s">
        <v>4123</v>
      </c>
      <c r="O1672" s="50" t="s">
        <v>4123</v>
      </c>
      <c r="P1672" s="50" t="s">
        <v>4123</v>
      </c>
    </row>
    <row r="1673" spans="1:16" ht="12.75" customHeight="1" x14ac:dyDescent="0.25">
      <c r="A1673" s="311">
        <v>1670</v>
      </c>
      <c r="B1673" s="311" t="s">
        <v>123</v>
      </c>
      <c r="C1673" s="311" t="s">
        <v>462</v>
      </c>
      <c r="D1673" s="311" t="s">
        <v>462</v>
      </c>
      <c r="E1673" s="337" t="s">
        <v>462</v>
      </c>
      <c r="F1673" s="311" t="s">
        <v>292</v>
      </c>
      <c r="G1673" s="311" t="s">
        <v>236</v>
      </c>
      <c r="H1673" s="311" t="s">
        <v>366</v>
      </c>
      <c r="I1673" s="311" t="s">
        <v>56</v>
      </c>
      <c r="J1673" s="50" t="s">
        <v>1892</v>
      </c>
      <c r="K1673" s="50" t="s">
        <v>1892</v>
      </c>
      <c r="L1673" s="50" t="s">
        <v>1893</v>
      </c>
      <c r="M1673" s="50" t="s">
        <v>4124</v>
      </c>
      <c r="N1673" s="50" t="s">
        <v>4123</v>
      </c>
      <c r="O1673" s="50" t="s">
        <v>4123</v>
      </c>
      <c r="P1673" s="50" t="s">
        <v>4123</v>
      </c>
    </row>
    <row r="1674" spans="1:16" ht="12.75" customHeight="1" x14ac:dyDescent="0.25">
      <c r="A1674" s="311">
        <v>1671</v>
      </c>
      <c r="B1674" s="311" t="s">
        <v>75</v>
      </c>
      <c r="C1674" s="311" t="s">
        <v>462</v>
      </c>
      <c r="D1674" s="311" t="s">
        <v>462</v>
      </c>
      <c r="E1674" s="337" t="s">
        <v>462</v>
      </c>
      <c r="F1674" s="311" t="s">
        <v>292</v>
      </c>
      <c r="G1674" s="311" t="s">
        <v>236</v>
      </c>
      <c r="H1674" s="311" t="s">
        <v>366</v>
      </c>
      <c r="I1674" s="311" t="s">
        <v>56</v>
      </c>
      <c r="J1674" s="50" t="s">
        <v>1892</v>
      </c>
      <c r="K1674" s="50" t="s">
        <v>1892</v>
      </c>
      <c r="L1674" s="50" t="s">
        <v>1893</v>
      </c>
      <c r="M1674" s="50" t="s">
        <v>4125</v>
      </c>
      <c r="N1674" s="50" t="s">
        <v>4123</v>
      </c>
      <c r="O1674" s="50" t="s">
        <v>4123</v>
      </c>
      <c r="P1674" s="50" t="s">
        <v>4123</v>
      </c>
    </row>
    <row r="1675" spans="1:16" ht="12.75" customHeight="1" x14ac:dyDescent="0.25">
      <c r="A1675" s="311">
        <v>1672</v>
      </c>
      <c r="B1675" s="311" t="s">
        <v>63</v>
      </c>
      <c r="C1675" s="311" t="s">
        <v>63</v>
      </c>
      <c r="D1675" s="311" t="s">
        <v>462</v>
      </c>
      <c r="E1675" s="337" t="s">
        <v>63</v>
      </c>
      <c r="F1675" s="311" t="s">
        <v>292</v>
      </c>
      <c r="G1675" s="311" t="s">
        <v>236</v>
      </c>
      <c r="H1675" s="311" t="s">
        <v>366</v>
      </c>
      <c r="I1675" s="311" t="s">
        <v>56</v>
      </c>
      <c r="J1675" s="50" t="s">
        <v>1892</v>
      </c>
      <c r="K1675" s="50" t="s">
        <v>1892</v>
      </c>
      <c r="L1675" s="50" t="s">
        <v>1893</v>
      </c>
      <c r="M1675" s="50" t="s">
        <v>4126</v>
      </c>
      <c r="N1675" s="50" t="s">
        <v>4126</v>
      </c>
      <c r="O1675" s="50" t="s">
        <v>4123</v>
      </c>
      <c r="P1675" s="50" t="s">
        <v>4126</v>
      </c>
    </row>
    <row r="1676" spans="1:16" ht="12.75" customHeight="1" x14ac:dyDescent="0.25">
      <c r="A1676" s="311">
        <v>1673</v>
      </c>
      <c r="B1676" s="311" t="s">
        <v>140</v>
      </c>
      <c r="C1676" s="311" t="s">
        <v>140</v>
      </c>
      <c r="D1676" s="311" t="s">
        <v>462</v>
      </c>
      <c r="E1676" s="337" t="s">
        <v>140</v>
      </c>
      <c r="F1676" s="311" t="s">
        <v>292</v>
      </c>
      <c r="G1676" s="311" t="s">
        <v>236</v>
      </c>
      <c r="H1676" s="311" t="s">
        <v>366</v>
      </c>
      <c r="I1676" s="311" t="s">
        <v>56</v>
      </c>
      <c r="J1676" s="50" t="s">
        <v>1892</v>
      </c>
      <c r="K1676" s="50" t="s">
        <v>1892</v>
      </c>
      <c r="L1676" s="50" t="s">
        <v>1893</v>
      </c>
      <c r="M1676" s="50" t="s">
        <v>4127</v>
      </c>
      <c r="N1676" s="50" t="s">
        <v>4127</v>
      </c>
      <c r="O1676" s="50" t="s">
        <v>4123</v>
      </c>
      <c r="P1676" s="50" t="s">
        <v>4127</v>
      </c>
    </row>
    <row r="1677" spans="1:16" ht="12.75" customHeight="1" x14ac:dyDescent="0.25">
      <c r="A1677" s="311">
        <v>1674</v>
      </c>
      <c r="B1677" s="311" t="s">
        <v>121</v>
      </c>
      <c r="C1677" s="311" t="s">
        <v>121</v>
      </c>
      <c r="D1677" s="311" t="s">
        <v>462</v>
      </c>
      <c r="E1677" s="337" t="s">
        <v>121</v>
      </c>
      <c r="F1677" s="311" t="s">
        <v>292</v>
      </c>
      <c r="G1677" s="311" t="s">
        <v>236</v>
      </c>
      <c r="H1677" s="311" t="s">
        <v>366</v>
      </c>
      <c r="I1677" s="311" t="s">
        <v>56</v>
      </c>
      <c r="J1677" s="50" t="s">
        <v>1892</v>
      </c>
      <c r="K1677" s="50" t="s">
        <v>1892</v>
      </c>
      <c r="L1677" s="50" t="s">
        <v>1893</v>
      </c>
      <c r="M1677" s="50" t="s">
        <v>4128</v>
      </c>
      <c r="N1677" s="50" t="s">
        <v>4128</v>
      </c>
      <c r="O1677" s="50" t="s">
        <v>4123</v>
      </c>
      <c r="P1677" s="50" t="s">
        <v>4128</v>
      </c>
    </row>
    <row r="1678" spans="1:16" ht="12.75" customHeight="1" x14ac:dyDescent="0.25">
      <c r="A1678" s="311">
        <v>1675</v>
      </c>
      <c r="B1678" s="311" t="s">
        <v>87</v>
      </c>
      <c r="C1678" s="311" t="s">
        <v>87</v>
      </c>
      <c r="D1678" s="311" t="s">
        <v>462</v>
      </c>
      <c r="E1678" s="337" t="s">
        <v>87</v>
      </c>
      <c r="F1678" s="311" t="s">
        <v>292</v>
      </c>
      <c r="G1678" s="311" t="s">
        <v>236</v>
      </c>
      <c r="H1678" s="311" t="s">
        <v>366</v>
      </c>
      <c r="I1678" s="311" t="s">
        <v>56</v>
      </c>
      <c r="J1678" s="50" t="s">
        <v>1892</v>
      </c>
      <c r="K1678" s="50" t="s">
        <v>1892</v>
      </c>
      <c r="L1678" s="50" t="s">
        <v>1893</v>
      </c>
      <c r="M1678" s="50" t="s">
        <v>4129</v>
      </c>
      <c r="N1678" s="50" t="s">
        <v>4129</v>
      </c>
      <c r="O1678" s="50" t="s">
        <v>4123</v>
      </c>
      <c r="P1678" s="50" t="s">
        <v>4129</v>
      </c>
    </row>
    <row r="1679" spans="1:16" ht="12.75" customHeight="1" x14ac:dyDescent="0.25">
      <c r="A1679" s="311">
        <v>1676</v>
      </c>
      <c r="B1679" s="311" t="s">
        <v>125</v>
      </c>
      <c r="C1679" s="311" t="s">
        <v>125</v>
      </c>
      <c r="D1679" s="311" t="s">
        <v>125</v>
      </c>
      <c r="E1679" s="337" t="s">
        <v>125</v>
      </c>
      <c r="F1679" s="311" t="s">
        <v>292</v>
      </c>
      <c r="G1679" s="311" t="s">
        <v>236</v>
      </c>
      <c r="H1679" s="311" t="s">
        <v>366</v>
      </c>
      <c r="I1679" s="311" t="s">
        <v>56</v>
      </c>
      <c r="J1679" s="50" t="s">
        <v>1892</v>
      </c>
      <c r="K1679" s="50" t="s">
        <v>1892</v>
      </c>
      <c r="L1679" s="50" t="s">
        <v>1893</v>
      </c>
      <c r="M1679" s="50" t="s">
        <v>4130</v>
      </c>
      <c r="N1679" s="50" t="s">
        <v>4130</v>
      </c>
      <c r="O1679" s="50" t="s">
        <v>4130</v>
      </c>
      <c r="P1679" s="50" t="s">
        <v>4130</v>
      </c>
    </row>
    <row r="1680" spans="1:16" ht="12.75" customHeight="1" x14ac:dyDescent="0.25">
      <c r="A1680" s="311">
        <v>1677</v>
      </c>
      <c r="B1680" s="311" t="s">
        <v>134</v>
      </c>
      <c r="C1680" s="311" t="s">
        <v>134</v>
      </c>
      <c r="D1680" s="311" t="s">
        <v>134</v>
      </c>
      <c r="E1680" s="337" t="s">
        <v>134</v>
      </c>
      <c r="F1680" s="311" t="s">
        <v>292</v>
      </c>
      <c r="G1680" s="311" t="s">
        <v>236</v>
      </c>
      <c r="H1680" s="311" t="s">
        <v>366</v>
      </c>
      <c r="I1680" s="311" t="s">
        <v>56</v>
      </c>
      <c r="J1680" s="50" t="s">
        <v>1892</v>
      </c>
      <c r="K1680" s="50" t="s">
        <v>1892</v>
      </c>
      <c r="L1680" s="50" t="s">
        <v>1893</v>
      </c>
      <c r="M1680" s="50" t="s">
        <v>4131</v>
      </c>
      <c r="N1680" s="50" t="s">
        <v>4131</v>
      </c>
      <c r="O1680" s="50" t="s">
        <v>4131</v>
      </c>
      <c r="P1680" s="50" t="s">
        <v>4131</v>
      </c>
    </row>
    <row r="1681" spans="1:16" ht="12.75" customHeight="1" x14ac:dyDescent="0.25">
      <c r="A1681" s="311">
        <v>1678</v>
      </c>
      <c r="B1681" s="311" t="s">
        <v>141</v>
      </c>
      <c r="C1681" s="311" t="s">
        <v>141</v>
      </c>
      <c r="D1681" s="311" t="s">
        <v>141</v>
      </c>
      <c r="E1681" s="337" t="s">
        <v>141</v>
      </c>
      <c r="F1681" s="311" t="s">
        <v>292</v>
      </c>
      <c r="G1681" s="311" t="s">
        <v>236</v>
      </c>
      <c r="H1681" s="311" t="s">
        <v>366</v>
      </c>
      <c r="I1681" s="311" t="s">
        <v>56</v>
      </c>
      <c r="J1681" s="50" t="s">
        <v>1892</v>
      </c>
      <c r="K1681" s="50" t="s">
        <v>1892</v>
      </c>
      <c r="L1681" s="50" t="s">
        <v>1893</v>
      </c>
      <c r="M1681" s="50" t="s">
        <v>4132</v>
      </c>
      <c r="N1681" s="50" t="s">
        <v>4132</v>
      </c>
      <c r="O1681" s="50" t="s">
        <v>4132</v>
      </c>
      <c r="P1681" s="50" t="s">
        <v>4132</v>
      </c>
    </row>
    <row r="1682" spans="1:16" ht="12.75" customHeight="1" x14ac:dyDescent="0.25">
      <c r="A1682" s="311">
        <v>1679</v>
      </c>
      <c r="B1682" s="311" t="s">
        <v>69</v>
      </c>
      <c r="C1682" s="311" t="s">
        <v>69</v>
      </c>
      <c r="D1682" s="311" t="s">
        <v>69</v>
      </c>
      <c r="E1682" s="337" t="s">
        <v>69</v>
      </c>
      <c r="F1682" s="311" t="s">
        <v>292</v>
      </c>
      <c r="G1682" s="311" t="s">
        <v>236</v>
      </c>
      <c r="H1682" s="311" t="s">
        <v>366</v>
      </c>
      <c r="I1682" s="311" t="s">
        <v>56</v>
      </c>
      <c r="J1682" s="50" t="s">
        <v>1892</v>
      </c>
      <c r="K1682" s="50" t="s">
        <v>1892</v>
      </c>
      <c r="L1682" s="50" t="s">
        <v>1893</v>
      </c>
      <c r="M1682" s="50" t="s">
        <v>4133</v>
      </c>
      <c r="N1682" s="50" t="s">
        <v>4133</v>
      </c>
      <c r="O1682" s="50" t="s">
        <v>4133</v>
      </c>
      <c r="P1682" s="50" t="s">
        <v>4133</v>
      </c>
    </row>
    <row r="1683" spans="1:16" ht="12.75" customHeight="1" x14ac:dyDescent="0.25">
      <c r="A1683" s="311">
        <v>1680</v>
      </c>
      <c r="B1683" s="311" t="s">
        <v>84</v>
      </c>
      <c r="C1683" s="311" t="s">
        <v>462</v>
      </c>
      <c r="D1683" s="311" t="s">
        <v>462</v>
      </c>
      <c r="E1683" s="337" t="s">
        <v>462</v>
      </c>
      <c r="F1683" s="311" t="s">
        <v>292</v>
      </c>
      <c r="G1683" s="311" t="s">
        <v>23</v>
      </c>
      <c r="H1683" s="311" t="s">
        <v>366</v>
      </c>
      <c r="I1683" s="311" t="s">
        <v>56</v>
      </c>
      <c r="J1683" s="50" t="s">
        <v>1892</v>
      </c>
      <c r="K1683" s="50" t="s">
        <v>1892</v>
      </c>
      <c r="L1683" s="50" t="s">
        <v>1893</v>
      </c>
      <c r="M1683" s="50" t="s">
        <v>4134</v>
      </c>
      <c r="N1683" s="50" t="s">
        <v>4135</v>
      </c>
      <c r="O1683" s="50" t="s">
        <v>4135</v>
      </c>
      <c r="P1683" s="50" t="s">
        <v>4135</v>
      </c>
    </row>
    <row r="1684" spans="1:16" ht="12.75" customHeight="1" x14ac:dyDescent="0.25">
      <c r="A1684" s="311">
        <v>1681</v>
      </c>
      <c r="B1684" s="311" t="s">
        <v>123</v>
      </c>
      <c r="C1684" s="311" t="s">
        <v>462</v>
      </c>
      <c r="D1684" s="311" t="s">
        <v>462</v>
      </c>
      <c r="E1684" s="337" t="s">
        <v>462</v>
      </c>
      <c r="F1684" s="311" t="s">
        <v>292</v>
      </c>
      <c r="G1684" s="311" t="s">
        <v>23</v>
      </c>
      <c r="H1684" s="311" t="s">
        <v>366</v>
      </c>
      <c r="I1684" s="311" t="s">
        <v>56</v>
      </c>
      <c r="J1684" s="50" t="s">
        <v>1892</v>
      </c>
      <c r="K1684" s="50" t="s">
        <v>1892</v>
      </c>
      <c r="L1684" s="50" t="s">
        <v>1893</v>
      </c>
      <c r="M1684" s="50" t="s">
        <v>4136</v>
      </c>
      <c r="N1684" s="50" t="s">
        <v>4135</v>
      </c>
      <c r="O1684" s="50" t="s">
        <v>4135</v>
      </c>
      <c r="P1684" s="50" t="s">
        <v>4135</v>
      </c>
    </row>
    <row r="1685" spans="1:16" ht="12.75" customHeight="1" x14ac:dyDescent="0.25">
      <c r="A1685" s="311">
        <v>1682</v>
      </c>
      <c r="B1685" s="311" t="s">
        <v>75</v>
      </c>
      <c r="C1685" s="311" t="s">
        <v>462</v>
      </c>
      <c r="D1685" s="311" t="s">
        <v>462</v>
      </c>
      <c r="E1685" s="337" t="s">
        <v>462</v>
      </c>
      <c r="F1685" s="311" t="s">
        <v>292</v>
      </c>
      <c r="G1685" s="311" t="s">
        <v>23</v>
      </c>
      <c r="H1685" s="311" t="s">
        <v>366</v>
      </c>
      <c r="I1685" s="311" t="s">
        <v>56</v>
      </c>
      <c r="J1685" s="50" t="s">
        <v>1892</v>
      </c>
      <c r="K1685" s="50" t="s">
        <v>1892</v>
      </c>
      <c r="L1685" s="50" t="s">
        <v>1893</v>
      </c>
      <c r="M1685" s="50" t="s">
        <v>4137</v>
      </c>
      <c r="N1685" s="50" t="s">
        <v>4135</v>
      </c>
      <c r="O1685" s="50" t="s">
        <v>4135</v>
      </c>
      <c r="P1685" s="50" t="s">
        <v>4135</v>
      </c>
    </row>
    <row r="1686" spans="1:16" ht="12.75" customHeight="1" x14ac:dyDescent="0.25">
      <c r="A1686" s="311">
        <v>1683</v>
      </c>
      <c r="B1686" s="311" t="s">
        <v>63</v>
      </c>
      <c r="C1686" s="311" t="s">
        <v>63</v>
      </c>
      <c r="D1686" s="311" t="s">
        <v>462</v>
      </c>
      <c r="E1686" s="337" t="s">
        <v>63</v>
      </c>
      <c r="F1686" s="311" t="s">
        <v>292</v>
      </c>
      <c r="G1686" s="311" t="s">
        <v>23</v>
      </c>
      <c r="H1686" s="311" t="s">
        <v>366</v>
      </c>
      <c r="I1686" s="311" t="s">
        <v>56</v>
      </c>
      <c r="J1686" s="50" t="s">
        <v>1892</v>
      </c>
      <c r="K1686" s="50" t="s">
        <v>1892</v>
      </c>
      <c r="L1686" s="50" t="s">
        <v>1893</v>
      </c>
      <c r="M1686" s="50" t="s">
        <v>4138</v>
      </c>
      <c r="N1686" s="50" t="s">
        <v>4138</v>
      </c>
      <c r="O1686" s="50" t="s">
        <v>4135</v>
      </c>
      <c r="P1686" s="50" t="s">
        <v>4138</v>
      </c>
    </row>
    <row r="1687" spans="1:16" ht="12.75" customHeight="1" x14ac:dyDescent="0.25">
      <c r="A1687" s="311">
        <v>1684</v>
      </c>
      <c r="B1687" s="311" t="s">
        <v>140</v>
      </c>
      <c r="C1687" s="311" t="s">
        <v>140</v>
      </c>
      <c r="D1687" s="311" t="s">
        <v>462</v>
      </c>
      <c r="E1687" s="337" t="s">
        <v>140</v>
      </c>
      <c r="F1687" s="311" t="s">
        <v>292</v>
      </c>
      <c r="G1687" s="311" t="s">
        <v>23</v>
      </c>
      <c r="H1687" s="311" t="s">
        <v>366</v>
      </c>
      <c r="I1687" s="311" t="s">
        <v>56</v>
      </c>
      <c r="J1687" s="50" t="s">
        <v>1892</v>
      </c>
      <c r="K1687" s="50" t="s">
        <v>1892</v>
      </c>
      <c r="L1687" s="50" t="s">
        <v>1893</v>
      </c>
      <c r="M1687" s="50" t="s">
        <v>4139</v>
      </c>
      <c r="N1687" s="50" t="s">
        <v>4139</v>
      </c>
      <c r="O1687" s="50" t="s">
        <v>4135</v>
      </c>
      <c r="P1687" s="50" t="s">
        <v>4139</v>
      </c>
    </row>
    <row r="1688" spans="1:16" ht="12.75" customHeight="1" x14ac:dyDescent="0.25">
      <c r="A1688" s="311">
        <v>1685</v>
      </c>
      <c r="B1688" s="311" t="s">
        <v>121</v>
      </c>
      <c r="C1688" s="311" t="s">
        <v>121</v>
      </c>
      <c r="D1688" s="311" t="s">
        <v>462</v>
      </c>
      <c r="E1688" s="337" t="s">
        <v>121</v>
      </c>
      <c r="F1688" s="311" t="s">
        <v>292</v>
      </c>
      <c r="G1688" s="311" t="s">
        <v>23</v>
      </c>
      <c r="H1688" s="311" t="s">
        <v>366</v>
      </c>
      <c r="I1688" s="311" t="s">
        <v>56</v>
      </c>
      <c r="J1688" s="50" t="s">
        <v>1892</v>
      </c>
      <c r="K1688" s="50" t="s">
        <v>1892</v>
      </c>
      <c r="L1688" s="50" t="s">
        <v>1893</v>
      </c>
      <c r="M1688" s="50" t="s">
        <v>4140</v>
      </c>
      <c r="N1688" s="50" t="s">
        <v>4140</v>
      </c>
      <c r="O1688" s="50" t="s">
        <v>4135</v>
      </c>
      <c r="P1688" s="50" t="s">
        <v>4140</v>
      </c>
    </row>
    <row r="1689" spans="1:16" ht="12.75" customHeight="1" x14ac:dyDescent="0.25">
      <c r="A1689" s="311">
        <v>1686</v>
      </c>
      <c r="B1689" s="311" t="s">
        <v>87</v>
      </c>
      <c r="C1689" s="311" t="s">
        <v>87</v>
      </c>
      <c r="D1689" s="311" t="s">
        <v>462</v>
      </c>
      <c r="E1689" s="337" t="s">
        <v>87</v>
      </c>
      <c r="F1689" s="311" t="s">
        <v>292</v>
      </c>
      <c r="G1689" s="311" t="s">
        <v>23</v>
      </c>
      <c r="H1689" s="311" t="s">
        <v>366</v>
      </c>
      <c r="I1689" s="311" t="s">
        <v>56</v>
      </c>
      <c r="J1689" s="50" t="s">
        <v>1892</v>
      </c>
      <c r="K1689" s="50" t="s">
        <v>1892</v>
      </c>
      <c r="L1689" s="50" t="s">
        <v>1893</v>
      </c>
      <c r="M1689" s="50" t="s">
        <v>4141</v>
      </c>
      <c r="N1689" s="50" t="s">
        <v>4141</v>
      </c>
      <c r="O1689" s="50" t="s">
        <v>4135</v>
      </c>
      <c r="P1689" s="50" t="s">
        <v>4141</v>
      </c>
    </row>
    <row r="1690" spans="1:16" ht="12.75" customHeight="1" x14ac:dyDescent="0.25">
      <c r="A1690" s="311">
        <v>1687</v>
      </c>
      <c r="B1690" s="311" t="s">
        <v>125</v>
      </c>
      <c r="C1690" s="311" t="s">
        <v>125</v>
      </c>
      <c r="D1690" s="311" t="s">
        <v>125</v>
      </c>
      <c r="E1690" s="337" t="s">
        <v>125</v>
      </c>
      <c r="F1690" s="311" t="s">
        <v>292</v>
      </c>
      <c r="G1690" s="311" t="s">
        <v>23</v>
      </c>
      <c r="H1690" s="311" t="s">
        <v>366</v>
      </c>
      <c r="I1690" s="311" t="s">
        <v>56</v>
      </c>
      <c r="J1690" s="50" t="s">
        <v>1892</v>
      </c>
      <c r="K1690" s="50" t="s">
        <v>1892</v>
      </c>
      <c r="L1690" s="50" t="s">
        <v>1893</v>
      </c>
      <c r="M1690" s="50" t="s">
        <v>4142</v>
      </c>
      <c r="N1690" s="50" t="s">
        <v>4142</v>
      </c>
      <c r="O1690" s="50" t="s">
        <v>4142</v>
      </c>
      <c r="P1690" s="50" t="s">
        <v>4142</v>
      </c>
    </row>
    <row r="1691" spans="1:16" ht="12.75" customHeight="1" x14ac:dyDescent="0.25">
      <c r="A1691" s="311">
        <v>1688</v>
      </c>
      <c r="B1691" s="311" t="s">
        <v>134</v>
      </c>
      <c r="C1691" s="311" t="s">
        <v>134</v>
      </c>
      <c r="D1691" s="311" t="s">
        <v>134</v>
      </c>
      <c r="E1691" s="337" t="s">
        <v>134</v>
      </c>
      <c r="F1691" s="311" t="s">
        <v>292</v>
      </c>
      <c r="G1691" s="311" t="s">
        <v>23</v>
      </c>
      <c r="H1691" s="311" t="s">
        <v>366</v>
      </c>
      <c r="I1691" s="311" t="s">
        <v>56</v>
      </c>
      <c r="J1691" s="50" t="s">
        <v>1892</v>
      </c>
      <c r="K1691" s="50" t="s">
        <v>1892</v>
      </c>
      <c r="L1691" s="50" t="s">
        <v>1893</v>
      </c>
      <c r="M1691" s="50" t="s">
        <v>4143</v>
      </c>
      <c r="N1691" s="50" t="s">
        <v>4143</v>
      </c>
      <c r="O1691" s="50" t="s">
        <v>4143</v>
      </c>
      <c r="P1691" s="50" t="s">
        <v>4143</v>
      </c>
    </row>
    <row r="1692" spans="1:16" ht="12.75" customHeight="1" x14ac:dyDescent="0.25">
      <c r="A1692" s="311">
        <v>1689</v>
      </c>
      <c r="B1692" s="311" t="s">
        <v>141</v>
      </c>
      <c r="C1692" s="311" t="s">
        <v>141</v>
      </c>
      <c r="D1692" s="311" t="s">
        <v>141</v>
      </c>
      <c r="E1692" s="337" t="s">
        <v>141</v>
      </c>
      <c r="F1692" s="311" t="s">
        <v>292</v>
      </c>
      <c r="G1692" s="311" t="s">
        <v>23</v>
      </c>
      <c r="H1692" s="311" t="s">
        <v>366</v>
      </c>
      <c r="I1692" s="311" t="s">
        <v>56</v>
      </c>
      <c r="J1692" s="50" t="s">
        <v>1892</v>
      </c>
      <c r="K1692" s="50" t="s">
        <v>1892</v>
      </c>
      <c r="L1692" s="50" t="s">
        <v>1893</v>
      </c>
      <c r="M1692" s="50" t="s">
        <v>4144</v>
      </c>
      <c r="N1692" s="50" t="s">
        <v>4144</v>
      </c>
      <c r="O1692" s="50" t="s">
        <v>4144</v>
      </c>
      <c r="P1692" s="50" t="s">
        <v>4144</v>
      </c>
    </row>
    <row r="1693" spans="1:16" ht="12.75" customHeight="1" x14ac:dyDescent="0.25">
      <c r="A1693" s="311">
        <v>1690</v>
      </c>
      <c r="B1693" s="311" t="s">
        <v>69</v>
      </c>
      <c r="C1693" s="311" t="s">
        <v>69</v>
      </c>
      <c r="D1693" s="311" t="s">
        <v>69</v>
      </c>
      <c r="E1693" s="337" t="s">
        <v>69</v>
      </c>
      <c r="F1693" s="311" t="s">
        <v>292</v>
      </c>
      <c r="G1693" s="311" t="s">
        <v>23</v>
      </c>
      <c r="H1693" s="311" t="s">
        <v>366</v>
      </c>
      <c r="I1693" s="311" t="s">
        <v>56</v>
      </c>
      <c r="J1693" s="50" t="s">
        <v>1892</v>
      </c>
      <c r="K1693" s="50" t="s">
        <v>1892</v>
      </c>
      <c r="L1693" s="50" t="s">
        <v>1893</v>
      </c>
      <c r="M1693" s="50" t="s">
        <v>4145</v>
      </c>
      <c r="N1693" s="50" t="s">
        <v>4145</v>
      </c>
      <c r="O1693" s="50" t="s">
        <v>4145</v>
      </c>
      <c r="P1693" s="50" t="s">
        <v>4145</v>
      </c>
    </row>
    <row r="1694" spans="1:16" ht="12.75" customHeight="1" x14ac:dyDescent="0.25">
      <c r="A1694" s="311">
        <v>1691</v>
      </c>
      <c r="B1694" s="311" t="s">
        <v>84</v>
      </c>
      <c r="C1694" s="311" t="s">
        <v>462</v>
      </c>
      <c r="D1694" s="311" t="s">
        <v>462</v>
      </c>
      <c r="E1694" s="337" t="s">
        <v>462</v>
      </c>
      <c r="F1694" s="311" t="s">
        <v>292</v>
      </c>
      <c r="G1694" s="311" t="s">
        <v>237</v>
      </c>
      <c r="H1694" s="311" t="s">
        <v>366</v>
      </c>
      <c r="I1694" s="311" t="s">
        <v>56</v>
      </c>
      <c r="J1694" s="50" t="s">
        <v>1892</v>
      </c>
      <c r="K1694" s="50" t="s">
        <v>1892</v>
      </c>
      <c r="L1694" s="50" t="s">
        <v>1893</v>
      </c>
      <c r="M1694" s="50" t="s">
        <v>4146</v>
      </c>
      <c r="N1694" s="50" t="s">
        <v>4147</v>
      </c>
      <c r="O1694" s="50" t="s">
        <v>4147</v>
      </c>
      <c r="P1694" s="50" t="s">
        <v>4147</v>
      </c>
    </row>
    <row r="1695" spans="1:16" ht="12.75" customHeight="1" x14ac:dyDescent="0.25">
      <c r="A1695" s="311">
        <v>1692</v>
      </c>
      <c r="B1695" s="311" t="s">
        <v>123</v>
      </c>
      <c r="C1695" s="311" t="s">
        <v>462</v>
      </c>
      <c r="D1695" s="311" t="s">
        <v>462</v>
      </c>
      <c r="E1695" s="337" t="s">
        <v>462</v>
      </c>
      <c r="F1695" s="311" t="s">
        <v>292</v>
      </c>
      <c r="G1695" s="311" t="s">
        <v>237</v>
      </c>
      <c r="H1695" s="311" t="s">
        <v>366</v>
      </c>
      <c r="I1695" s="311" t="s">
        <v>56</v>
      </c>
      <c r="J1695" s="50" t="s">
        <v>1892</v>
      </c>
      <c r="K1695" s="50" t="s">
        <v>1892</v>
      </c>
      <c r="L1695" s="50" t="s">
        <v>1893</v>
      </c>
      <c r="M1695" s="50" t="s">
        <v>4148</v>
      </c>
      <c r="N1695" s="50" t="s">
        <v>4147</v>
      </c>
      <c r="O1695" s="50" t="s">
        <v>4147</v>
      </c>
      <c r="P1695" s="50" t="s">
        <v>4147</v>
      </c>
    </row>
    <row r="1696" spans="1:16" ht="12.75" customHeight="1" x14ac:dyDescent="0.25">
      <c r="A1696" s="311">
        <v>1693</v>
      </c>
      <c r="B1696" s="311" t="s">
        <v>75</v>
      </c>
      <c r="C1696" s="311" t="s">
        <v>462</v>
      </c>
      <c r="D1696" s="311" t="s">
        <v>462</v>
      </c>
      <c r="E1696" s="337" t="s">
        <v>462</v>
      </c>
      <c r="F1696" s="311" t="s">
        <v>292</v>
      </c>
      <c r="G1696" s="311" t="s">
        <v>237</v>
      </c>
      <c r="H1696" s="311" t="s">
        <v>366</v>
      </c>
      <c r="I1696" s="311" t="s">
        <v>56</v>
      </c>
      <c r="J1696" s="50" t="s">
        <v>1892</v>
      </c>
      <c r="K1696" s="50" t="s">
        <v>1892</v>
      </c>
      <c r="L1696" s="50" t="s">
        <v>1893</v>
      </c>
      <c r="M1696" s="50" t="s">
        <v>4149</v>
      </c>
      <c r="N1696" s="50" t="s">
        <v>4147</v>
      </c>
      <c r="O1696" s="50" t="s">
        <v>4147</v>
      </c>
      <c r="P1696" s="50" t="s">
        <v>4147</v>
      </c>
    </row>
    <row r="1697" spans="1:16" ht="12.75" customHeight="1" x14ac:dyDescent="0.25">
      <c r="A1697" s="311">
        <v>1694</v>
      </c>
      <c r="B1697" s="311" t="s">
        <v>63</v>
      </c>
      <c r="C1697" s="311" t="s">
        <v>63</v>
      </c>
      <c r="D1697" s="311" t="s">
        <v>462</v>
      </c>
      <c r="E1697" s="337" t="s">
        <v>63</v>
      </c>
      <c r="F1697" s="311" t="s">
        <v>292</v>
      </c>
      <c r="G1697" s="311" t="s">
        <v>237</v>
      </c>
      <c r="H1697" s="311" t="s">
        <v>366</v>
      </c>
      <c r="I1697" s="311" t="s">
        <v>56</v>
      </c>
      <c r="J1697" s="50" t="s">
        <v>1892</v>
      </c>
      <c r="K1697" s="50" t="s">
        <v>1892</v>
      </c>
      <c r="L1697" s="50" t="s">
        <v>1893</v>
      </c>
      <c r="M1697" s="50" t="s">
        <v>4150</v>
      </c>
      <c r="N1697" s="50" t="s">
        <v>4150</v>
      </c>
      <c r="O1697" s="50" t="s">
        <v>4147</v>
      </c>
      <c r="P1697" s="50" t="s">
        <v>4150</v>
      </c>
    </row>
    <row r="1698" spans="1:16" ht="12.75" customHeight="1" x14ac:dyDescent="0.25">
      <c r="A1698" s="311">
        <v>1695</v>
      </c>
      <c r="B1698" s="311" t="s">
        <v>140</v>
      </c>
      <c r="C1698" s="311" t="s">
        <v>140</v>
      </c>
      <c r="D1698" s="311" t="s">
        <v>462</v>
      </c>
      <c r="E1698" s="337" t="s">
        <v>140</v>
      </c>
      <c r="F1698" s="311" t="s">
        <v>292</v>
      </c>
      <c r="G1698" s="311" t="s">
        <v>237</v>
      </c>
      <c r="H1698" s="311" t="s">
        <v>366</v>
      </c>
      <c r="I1698" s="311" t="s">
        <v>56</v>
      </c>
      <c r="J1698" s="50" t="s">
        <v>1892</v>
      </c>
      <c r="K1698" s="50" t="s">
        <v>1892</v>
      </c>
      <c r="L1698" s="50" t="s">
        <v>1893</v>
      </c>
      <c r="M1698" s="50" t="s">
        <v>4151</v>
      </c>
      <c r="N1698" s="50" t="s">
        <v>4151</v>
      </c>
      <c r="O1698" s="50" t="s">
        <v>4147</v>
      </c>
      <c r="P1698" s="50" t="s">
        <v>4151</v>
      </c>
    </row>
    <row r="1699" spans="1:16" ht="12.75" customHeight="1" x14ac:dyDescent="0.25">
      <c r="A1699" s="311">
        <v>1696</v>
      </c>
      <c r="B1699" s="311" t="s">
        <v>121</v>
      </c>
      <c r="C1699" s="311" t="s">
        <v>121</v>
      </c>
      <c r="D1699" s="311" t="s">
        <v>462</v>
      </c>
      <c r="E1699" s="337" t="s">
        <v>121</v>
      </c>
      <c r="F1699" s="311" t="s">
        <v>292</v>
      </c>
      <c r="G1699" s="311" t="s">
        <v>237</v>
      </c>
      <c r="H1699" s="311" t="s">
        <v>366</v>
      </c>
      <c r="I1699" s="311" t="s">
        <v>56</v>
      </c>
      <c r="J1699" s="50" t="s">
        <v>1892</v>
      </c>
      <c r="K1699" s="50" t="s">
        <v>1892</v>
      </c>
      <c r="L1699" s="50" t="s">
        <v>1893</v>
      </c>
      <c r="M1699" s="50" t="s">
        <v>4152</v>
      </c>
      <c r="N1699" s="50" t="s">
        <v>4152</v>
      </c>
      <c r="O1699" s="50" t="s">
        <v>4147</v>
      </c>
      <c r="P1699" s="50" t="s">
        <v>4152</v>
      </c>
    </row>
    <row r="1700" spans="1:16" ht="12.75" customHeight="1" x14ac:dyDescent="0.25">
      <c r="A1700" s="311">
        <v>1697</v>
      </c>
      <c r="B1700" s="311" t="s">
        <v>87</v>
      </c>
      <c r="C1700" s="311" t="s">
        <v>87</v>
      </c>
      <c r="D1700" s="311" t="s">
        <v>462</v>
      </c>
      <c r="E1700" s="337" t="s">
        <v>87</v>
      </c>
      <c r="F1700" s="311" t="s">
        <v>292</v>
      </c>
      <c r="G1700" s="311" t="s">
        <v>237</v>
      </c>
      <c r="H1700" s="311" t="s">
        <v>366</v>
      </c>
      <c r="I1700" s="311" t="s">
        <v>56</v>
      </c>
      <c r="J1700" s="50" t="s">
        <v>1892</v>
      </c>
      <c r="K1700" s="50" t="s">
        <v>1892</v>
      </c>
      <c r="L1700" s="50" t="s">
        <v>1893</v>
      </c>
      <c r="M1700" s="50" t="s">
        <v>4153</v>
      </c>
      <c r="N1700" s="50" t="s">
        <v>4153</v>
      </c>
      <c r="O1700" s="50" t="s">
        <v>4147</v>
      </c>
      <c r="P1700" s="50" t="s">
        <v>4153</v>
      </c>
    </row>
    <row r="1701" spans="1:16" ht="12.75" customHeight="1" x14ac:dyDescent="0.25">
      <c r="A1701" s="311">
        <v>1698</v>
      </c>
      <c r="B1701" s="311" t="s">
        <v>125</v>
      </c>
      <c r="C1701" s="311" t="s">
        <v>125</v>
      </c>
      <c r="D1701" s="311" t="s">
        <v>125</v>
      </c>
      <c r="E1701" s="337" t="s">
        <v>125</v>
      </c>
      <c r="F1701" s="311" t="s">
        <v>292</v>
      </c>
      <c r="G1701" s="311" t="s">
        <v>237</v>
      </c>
      <c r="H1701" s="311" t="s">
        <v>366</v>
      </c>
      <c r="I1701" s="311" t="s">
        <v>56</v>
      </c>
      <c r="J1701" s="50" t="s">
        <v>1892</v>
      </c>
      <c r="K1701" s="50" t="s">
        <v>1892</v>
      </c>
      <c r="L1701" s="50" t="s">
        <v>1893</v>
      </c>
      <c r="M1701" s="50" t="s">
        <v>4154</v>
      </c>
      <c r="N1701" s="50" t="s">
        <v>4154</v>
      </c>
      <c r="O1701" s="50" t="s">
        <v>4154</v>
      </c>
      <c r="P1701" s="50" t="s">
        <v>4154</v>
      </c>
    </row>
    <row r="1702" spans="1:16" ht="12.75" customHeight="1" x14ac:dyDescent="0.25">
      <c r="A1702" s="311">
        <v>1699</v>
      </c>
      <c r="B1702" s="311" t="s">
        <v>134</v>
      </c>
      <c r="C1702" s="311" t="s">
        <v>134</v>
      </c>
      <c r="D1702" s="311" t="s">
        <v>134</v>
      </c>
      <c r="E1702" s="337" t="s">
        <v>134</v>
      </c>
      <c r="F1702" s="311" t="s">
        <v>292</v>
      </c>
      <c r="G1702" s="311" t="s">
        <v>237</v>
      </c>
      <c r="H1702" s="311" t="s">
        <v>366</v>
      </c>
      <c r="I1702" s="311" t="s">
        <v>56</v>
      </c>
      <c r="J1702" s="50" t="s">
        <v>1892</v>
      </c>
      <c r="K1702" s="50" t="s">
        <v>1892</v>
      </c>
      <c r="L1702" s="50" t="s">
        <v>1893</v>
      </c>
      <c r="M1702" s="50" t="s">
        <v>4155</v>
      </c>
      <c r="N1702" s="50" t="s">
        <v>4155</v>
      </c>
      <c r="O1702" s="50" t="s">
        <v>4155</v>
      </c>
      <c r="P1702" s="50" t="s">
        <v>4155</v>
      </c>
    </row>
    <row r="1703" spans="1:16" ht="12.75" customHeight="1" x14ac:dyDescent="0.25">
      <c r="A1703" s="311">
        <v>1700</v>
      </c>
      <c r="B1703" s="311" t="s">
        <v>141</v>
      </c>
      <c r="C1703" s="311" t="s">
        <v>141</v>
      </c>
      <c r="D1703" s="311" t="s">
        <v>141</v>
      </c>
      <c r="E1703" s="337" t="s">
        <v>141</v>
      </c>
      <c r="F1703" s="311" t="s">
        <v>292</v>
      </c>
      <c r="G1703" s="311" t="s">
        <v>237</v>
      </c>
      <c r="H1703" s="311" t="s">
        <v>366</v>
      </c>
      <c r="I1703" s="311" t="s">
        <v>56</v>
      </c>
      <c r="J1703" s="50" t="s">
        <v>1892</v>
      </c>
      <c r="K1703" s="50" t="s">
        <v>1892</v>
      </c>
      <c r="L1703" s="50" t="s">
        <v>1893</v>
      </c>
      <c r="M1703" s="50" t="s">
        <v>4156</v>
      </c>
      <c r="N1703" s="50" t="s">
        <v>4156</v>
      </c>
      <c r="O1703" s="50" t="s">
        <v>4156</v>
      </c>
      <c r="P1703" s="50" t="s">
        <v>4156</v>
      </c>
    </row>
    <row r="1704" spans="1:16" ht="12.75" customHeight="1" x14ac:dyDescent="0.25">
      <c r="A1704" s="311">
        <v>1701</v>
      </c>
      <c r="B1704" s="311" t="s">
        <v>69</v>
      </c>
      <c r="C1704" s="311" t="s">
        <v>69</v>
      </c>
      <c r="D1704" s="311" t="s">
        <v>69</v>
      </c>
      <c r="E1704" s="337" t="s">
        <v>69</v>
      </c>
      <c r="F1704" s="311" t="s">
        <v>292</v>
      </c>
      <c r="G1704" s="311" t="s">
        <v>237</v>
      </c>
      <c r="H1704" s="311" t="s">
        <v>366</v>
      </c>
      <c r="I1704" s="311" t="s">
        <v>56</v>
      </c>
      <c r="J1704" s="50" t="s">
        <v>1892</v>
      </c>
      <c r="K1704" s="50" t="s">
        <v>1892</v>
      </c>
      <c r="L1704" s="50" t="s">
        <v>1893</v>
      </c>
      <c r="M1704" s="50" t="s">
        <v>4157</v>
      </c>
      <c r="N1704" s="50" t="s">
        <v>4157</v>
      </c>
      <c r="O1704" s="50" t="s">
        <v>4157</v>
      </c>
      <c r="P1704" s="50" t="s">
        <v>4157</v>
      </c>
    </row>
    <row r="1705" spans="1:16" ht="12.75" customHeight="1" x14ac:dyDescent="0.25">
      <c r="A1705" s="311">
        <v>1702</v>
      </c>
      <c r="B1705" s="311" t="s">
        <v>84</v>
      </c>
      <c r="C1705" s="311" t="s">
        <v>462</v>
      </c>
      <c r="D1705" s="311" t="s">
        <v>462</v>
      </c>
      <c r="E1705" s="337" t="s">
        <v>462</v>
      </c>
      <c r="F1705" s="311" t="s">
        <v>289</v>
      </c>
      <c r="G1705" s="311" t="s">
        <v>236</v>
      </c>
      <c r="H1705" s="311" t="s">
        <v>364</v>
      </c>
      <c r="I1705" s="311" t="s">
        <v>56</v>
      </c>
      <c r="J1705" s="50" t="s">
        <v>1892</v>
      </c>
      <c r="K1705" s="50" t="s">
        <v>1892</v>
      </c>
      <c r="L1705" s="50" t="s">
        <v>1893</v>
      </c>
      <c r="M1705" s="50" t="s">
        <v>4158</v>
      </c>
      <c r="N1705" s="50" t="s">
        <v>4159</v>
      </c>
      <c r="O1705" s="50" t="s">
        <v>4159</v>
      </c>
      <c r="P1705" s="50" t="s">
        <v>4159</v>
      </c>
    </row>
    <row r="1706" spans="1:16" ht="12.75" customHeight="1" x14ac:dyDescent="0.25">
      <c r="A1706" s="311">
        <v>1703</v>
      </c>
      <c r="B1706" s="311" t="s">
        <v>123</v>
      </c>
      <c r="C1706" s="311" t="s">
        <v>462</v>
      </c>
      <c r="D1706" s="311" t="s">
        <v>462</v>
      </c>
      <c r="E1706" s="337" t="s">
        <v>462</v>
      </c>
      <c r="F1706" s="311" t="s">
        <v>289</v>
      </c>
      <c r="G1706" s="311" t="s">
        <v>236</v>
      </c>
      <c r="H1706" s="311" t="s">
        <v>364</v>
      </c>
      <c r="I1706" s="311" t="s">
        <v>56</v>
      </c>
      <c r="J1706" s="50" t="s">
        <v>1892</v>
      </c>
      <c r="K1706" s="50" t="s">
        <v>1892</v>
      </c>
      <c r="L1706" s="50" t="s">
        <v>1893</v>
      </c>
      <c r="M1706" s="50" t="s">
        <v>4160</v>
      </c>
      <c r="N1706" s="50" t="s">
        <v>4159</v>
      </c>
      <c r="O1706" s="50" t="s">
        <v>4159</v>
      </c>
      <c r="P1706" s="50" t="s">
        <v>4159</v>
      </c>
    </row>
    <row r="1707" spans="1:16" ht="12.75" customHeight="1" x14ac:dyDescent="0.25">
      <c r="A1707" s="311">
        <v>1704</v>
      </c>
      <c r="B1707" s="311" t="s">
        <v>75</v>
      </c>
      <c r="C1707" s="311" t="s">
        <v>462</v>
      </c>
      <c r="D1707" s="311" t="s">
        <v>462</v>
      </c>
      <c r="E1707" s="337" t="s">
        <v>462</v>
      </c>
      <c r="F1707" s="311" t="s">
        <v>289</v>
      </c>
      <c r="G1707" s="311" t="s">
        <v>236</v>
      </c>
      <c r="H1707" s="311" t="s">
        <v>364</v>
      </c>
      <c r="I1707" s="311" t="s">
        <v>56</v>
      </c>
      <c r="J1707" s="50" t="s">
        <v>1892</v>
      </c>
      <c r="K1707" s="50" t="s">
        <v>1892</v>
      </c>
      <c r="L1707" s="50" t="s">
        <v>1893</v>
      </c>
      <c r="M1707" s="50" t="s">
        <v>4161</v>
      </c>
      <c r="N1707" s="50" t="s">
        <v>4159</v>
      </c>
      <c r="O1707" s="50" t="s">
        <v>4159</v>
      </c>
      <c r="P1707" s="50" t="s">
        <v>4159</v>
      </c>
    </row>
    <row r="1708" spans="1:16" ht="12.75" customHeight="1" x14ac:dyDescent="0.25">
      <c r="A1708" s="311">
        <v>1705</v>
      </c>
      <c r="B1708" s="311" t="s">
        <v>63</v>
      </c>
      <c r="C1708" s="311" t="s">
        <v>63</v>
      </c>
      <c r="D1708" s="311" t="s">
        <v>462</v>
      </c>
      <c r="E1708" s="337" t="s">
        <v>63</v>
      </c>
      <c r="F1708" s="311" t="s">
        <v>289</v>
      </c>
      <c r="G1708" s="311" t="s">
        <v>236</v>
      </c>
      <c r="H1708" s="311" t="s">
        <v>364</v>
      </c>
      <c r="I1708" s="311" t="s">
        <v>56</v>
      </c>
      <c r="J1708" s="50" t="s">
        <v>1892</v>
      </c>
      <c r="K1708" s="50" t="s">
        <v>1892</v>
      </c>
      <c r="L1708" s="50" t="s">
        <v>1893</v>
      </c>
      <c r="M1708" s="50" t="s">
        <v>4162</v>
      </c>
      <c r="N1708" s="50" t="s">
        <v>4162</v>
      </c>
      <c r="O1708" s="50" t="s">
        <v>4159</v>
      </c>
      <c r="P1708" s="50" t="s">
        <v>4162</v>
      </c>
    </row>
    <row r="1709" spans="1:16" ht="12.75" customHeight="1" x14ac:dyDescent="0.25">
      <c r="A1709" s="311">
        <v>1706</v>
      </c>
      <c r="B1709" s="311" t="s">
        <v>140</v>
      </c>
      <c r="C1709" s="311" t="s">
        <v>140</v>
      </c>
      <c r="D1709" s="311" t="s">
        <v>462</v>
      </c>
      <c r="E1709" s="337" t="s">
        <v>140</v>
      </c>
      <c r="F1709" s="311" t="s">
        <v>289</v>
      </c>
      <c r="G1709" s="311" t="s">
        <v>236</v>
      </c>
      <c r="H1709" s="311" t="s">
        <v>364</v>
      </c>
      <c r="I1709" s="311" t="s">
        <v>56</v>
      </c>
      <c r="J1709" s="50" t="s">
        <v>1892</v>
      </c>
      <c r="K1709" s="50" t="s">
        <v>1892</v>
      </c>
      <c r="L1709" s="50" t="s">
        <v>1893</v>
      </c>
      <c r="M1709" s="50" t="s">
        <v>4163</v>
      </c>
      <c r="N1709" s="50" t="s">
        <v>4163</v>
      </c>
      <c r="O1709" s="50" t="s">
        <v>4159</v>
      </c>
      <c r="P1709" s="50" t="s">
        <v>4163</v>
      </c>
    </row>
    <row r="1710" spans="1:16" ht="12.75" customHeight="1" x14ac:dyDescent="0.25">
      <c r="A1710" s="311">
        <v>1707</v>
      </c>
      <c r="B1710" s="311" t="s">
        <v>121</v>
      </c>
      <c r="C1710" s="311" t="s">
        <v>121</v>
      </c>
      <c r="D1710" s="311" t="s">
        <v>462</v>
      </c>
      <c r="E1710" s="337" t="s">
        <v>121</v>
      </c>
      <c r="F1710" s="311" t="s">
        <v>289</v>
      </c>
      <c r="G1710" s="311" t="s">
        <v>236</v>
      </c>
      <c r="H1710" s="311" t="s">
        <v>364</v>
      </c>
      <c r="I1710" s="311" t="s">
        <v>56</v>
      </c>
      <c r="J1710" s="50" t="s">
        <v>1892</v>
      </c>
      <c r="K1710" s="50" t="s">
        <v>1892</v>
      </c>
      <c r="L1710" s="50" t="s">
        <v>1893</v>
      </c>
      <c r="M1710" s="50" t="s">
        <v>4164</v>
      </c>
      <c r="N1710" s="50" t="s">
        <v>4164</v>
      </c>
      <c r="O1710" s="50" t="s">
        <v>4159</v>
      </c>
      <c r="P1710" s="50" t="s">
        <v>4164</v>
      </c>
    </row>
    <row r="1711" spans="1:16" ht="12.75" customHeight="1" x14ac:dyDescent="0.25">
      <c r="A1711" s="311">
        <v>1708</v>
      </c>
      <c r="B1711" s="311" t="s">
        <v>87</v>
      </c>
      <c r="C1711" s="311" t="s">
        <v>87</v>
      </c>
      <c r="D1711" s="311" t="s">
        <v>462</v>
      </c>
      <c r="E1711" s="337" t="s">
        <v>87</v>
      </c>
      <c r="F1711" s="311" t="s">
        <v>289</v>
      </c>
      <c r="G1711" s="311" t="s">
        <v>236</v>
      </c>
      <c r="H1711" s="311" t="s">
        <v>364</v>
      </c>
      <c r="I1711" s="311" t="s">
        <v>56</v>
      </c>
      <c r="J1711" s="50" t="s">
        <v>1892</v>
      </c>
      <c r="K1711" s="50" t="s">
        <v>1892</v>
      </c>
      <c r="L1711" s="50" t="s">
        <v>1893</v>
      </c>
      <c r="M1711" s="50" t="s">
        <v>4165</v>
      </c>
      <c r="N1711" s="50" t="s">
        <v>4165</v>
      </c>
      <c r="O1711" s="50" t="s">
        <v>4159</v>
      </c>
      <c r="P1711" s="50" t="s">
        <v>4165</v>
      </c>
    </row>
    <row r="1712" spans="1:16" ht="12.75" customHeight="1" x14ac:dyDescent="0.25">
      <c r="A1712" s="311">
        <v>1709</v>
      </c>
      <c r="B1712" s="311" t="s">
        <v>125</v>
      </c>
      <c r="C1712" s="311" t="s">
        <v>125</v>
      </c>
      <c r="D1712" s="311" t="s">
        <v>125</v>
      </c>
      <c r="E1712" s="337" t="s">
        <v>125</v>
      </c>
      <c r="F1712" s="311" t="s">
        <v>289</v>
      </c>
      <c r="G1712" s="311" t="s">
        <v>236</v>
      </c>
      <c r="H1712" s="311" t="s">
        <v>364</v>
      </c>
      <c r="I1712" s="311" t="s">
        <v>56</v>
      </c>
      <c r="J1712" s="50" t="s">
        <v>1892</v>
      </c>
      <c r="K1712" s="50" t="s">
        <v>1892</v>
      </c>
      <c r="L1712" s="50" t="s">
        <v>1893</v>
      </c>
      <c r="M1712" s="50" t="s">
        <v>4166</v>
      </c>
      <c r="N1712" s="50" t="s">
        <v>4166</v>
      </c>
      <c r="O1712" s="50" t="s">
        <v>4166</v>
      </c>
      <c r="P1712" s="50" t="s">
        <v>4166</v>
      </c>
    </row>
    <row r="1713" spans="1:16" ht="12.75" customHeight="1" x14ac:dyDescent="0.25">
      <c r="A1713" s="311">
        <v>1710</v>
      </c>
      <c r="B1713" s="311" t="s">
        <v>134</v>
      </c>
      <c r="C1713" s="311" t="s">
        <v>134</v>
      </c>
      <c r="D1713" s="311" t="s">
        <v>134</v>
      </c>
      <c r="E1713" s="337" t="s">
        <v>134</v>
      </c>
      <c r="F1713" s="311" t="s">
        <v>289</v>
      </c>
      <c r="G1713" s="311" t="s">
        <v>236</v>
      </c>
      <c r="H1713" s="311" t="s">
        <v>364</v>
      </c>
      <c r="I1713" s="311" t="s">
        <v>56</v>
      </c>
      <c r="J1713" s="50" t="s">
        <v>1892</v>
      </c>
      <c r="K1713" s="50" t="s">
        <v>1892</v>
      </c>
      <c r="L1713" s="50" t="s">
        <v>1893</v>
      </c>
      <c r="M1713" s="50" t="s">
        <v>4167</v>
      </c>
      <c r="N1713" s="50" t="s">
        <v>4167</v>
      </c>
      <c r="O1713" s="50" t="s">
        <v>4167</v>
      </c>
      <c r="P1713" s="50" t="s">
        <v>4167</v>
      </c>
    </row>
    <row r="1714" spans="1:16" ht="12.75" customHeight="1" x14ac:dyDescent="0.25">
      <c r="A1714" s="311">
        <v>1711</v>
      </c>
      <c r="B1714" s="311" t="s">
        <v>141</v>
      </c>
      <c r="C1714" s="311" t="s">
        <v>141</v>
      </c>
      <c r="D1714" s="311" t="s">
        <v>141</v>
      </c>
      <c r="E1714" s="337" t="s">
        <v>141</v>
      </c>
      <c r="F1714" s="311" t="s">
        <v>289</v>
      </c>
      <c r="G1714" s="311" t="s">
        <v>236</v>
      </c>
      <c r="H1714" s="311" t="s">
        <v>364</v>
      </c>
      <c r="I1714" s="311" t="s">
        <v>56</v>
      </c>
      <c r="J1714" s="50" t="s">
        <v>1892</v>
      </c>
      <c r="K1714" s="50" t="s">
        <v>1892</v>
      </c>
      <c r="L1714" s="50" t="s">
        <v>1893</v>
      </c>
      <c r="M1714" s="50" t="s">
        <v>4168</v>
      </c>
      <c r="N1714" s="50" t="s">
        <v>4168</v>
      </c>
      <c r="O1714" s="50" t="s">
        <v>4168</v>
      </c>
      <c r="P1714" s="50" t="s">
        <v>4168</v>
      </c>
    </row>
    <row r="1715" spans="1:16" ht="12.75" customHeight="1" x14ac:dyDescent="0.25">
      <c r="A1715" s="311">
        <v>1712</v>
      </c>
      <c r="B1715" s="311" t="s">
        <v>69</v>
      </c>
      <c r="C1715" s="311" t="s">
        <v>69</v>
      </c>
      <c r="D1715" s="311" t="s">
        <v>69</v>
      </c>
      <c r="E1715" s="337" t="s">
        <v>69</v>
      </c>
      <c r="F1715" s="311" t="s">
        <v>289</v>
      </c>
      <c r="G1715" s="311" t="s">
        <v>236</v>
      </c>
      <c r="H1715" s="311" t="s">
        <v>364</v>
      </c>
      <c r="I1715" s="311" t="s">
        <v>56</v>
      </c>
      <c r="J1715" s="50" t="s">
        <v>1892</v>
      </c>
      <c r="K1715" s="50" t="s">
        <v>1892</v>
      </c>
      <c r="L1715" s="50" t="s">
        <v>1893</v>
      </c>
      <c r="M1715" s="50" t="s">
        <v>4169</v>
      </c>
      <c r="N1715" s="50" t="s">
        <v>4169</v>
      </c>
      <c r="O1715" s="50" t="s">
        <v>4169</v>
      </c>
      <c r="P1715" s="50" t="s">
        <v>4169</v>
      </c>
    </row>
    <row r="1716" spans="1:16" ht="12.75" customHeight="1" x14ac:dyDescent="0.25">
      <c r="A1716" s="311">
        <v>1713</v>
      </c>
      <c r="B1716" s="311" t="s">
        <v>84</v>
      </c>
      <c r="C1716" s="311" t="s">
        <v>462</v>
      </c>
      <c r="D1716" s="311" t="s">
        <v>462</v>
      </c>
      <c r="E1716" s="337" t="s">
        <v>462</v>
      </c>
      <c r="F1716" s="311" t="s">
        <v>289</v>
      </c>
      <c r="G1716" s="311" t="s">
        <v>23</v>
      </c>
      <c r="H1716" s="311" t="s">
        <v>364</v>
      </c>
      <c r="I1716" s="311" t="s">
        <v>56</v>
      </c>
      <c r="J1716" s="50" t="s">
        <v>1892</v>
      </c>
      <c r="K1716" s="50" t="s">
        <v>1892</v>
      </c>
      <c r="L1716" s="50" t="s">
        <v>1893</v>
      </c>
      <c r="M1716" s="50" t="s">
        <v>4170</v>
      </c>
      <c r="N1716" s="50" t="s">
        <v>4171</v>
      </c>
      <c r="O1716" s="50" t="s">
        <v>4171</v>
      </c>
      <c r="P1716" s="50" t="s">
        <v>4171</v>
      </c>
    </row>
    <row r="1717" spans="1:16" ht="12.75" customHeight="1" x14ac:dyDescent="0.25">
      <c r="A1717" s="311">
        <v>1714</v>
      </c>
      <c r="B1717" s="311" t="s">
        <v>123</v>
      </c>
      <c r="C1717" s="311" t="s">
        <v>462</v>
      </c>
      <c r="D1717" s="311" t="s">
        <v>462</v>
      </c>
      <c r="E1717" s="337" t="s">
        <v>462</v>
      </c>
      <c r="F1717" s="311" t="s">
        <v>289</v>
      </c>
      <c r="G1717" s="311" t="s">
        <v>23</v>
      </c>
      <c r="H1717" s="311" t="s">
        <v>364</v>
      </c>
      <c r="I1717" s="311" t="s">
        <v>56</v>
      </c>
      <c r="J1717" s="50" t="s">
        <v>1892</v>
      </c>
      <c r="K1717" s="50" t="s">
        <v>1892</v>
      </c>
      <c r="L1717" s="50" t="s">
        <v>1893</v>
      </c>
      <c r="M1717" s="50" t="s">
        <v>4172</v>
      </c>
      <c r="N1717" s="50" t="s">
        <v>4171</v>
      </c>
      <c r="O1717" s="50" t="s">
        <v>4171</v>
      </c>
      <c r="P1717" s="50" t="s">
        <v>4171</v>
      </c>
    </row>
    <row r="1718" spans="1:16" ht="12.75" customHeight="1" x14ac:dyDescent="0.25">
      <c r="A1718" s="311">
        <v>1715</v>
      </c>
      <c r="B1718" s="311" t="s">
        <v>75</v>
      </c>
      <c r="C1718" s="311" t="s">
        <v>462</v>
      </c>
      <c r="D1718" s="311" t="s">
        <v>462</v>
      </c>
      <c r="E1718" s="337" t="s">
        <v>462</v>
      </c>
      <c r="F1718" s="311" t="s">
        <v>289</v>
      </c>
      <c r="G1718" s="311" t="s">
        <v>23</v>
      </c>
      <c r="H1718" s="311" t="s">
        <v>364</v>
      </c>
      <c r="I1718" s="311" t="s">
        <v>56</v>
      </c>
      <c r="J1718" s="50" t="s">
        <v>1892</v>
      </c>
      <c r="K1718" s="50" t="s">
        <v>1892</v>
      </c>
      <c r="L1718" s="50" t="s">
        <v>1893</v>
      </c>
      <c r="M1718" s="50" t="s">
        <v>4173</v>
      </c>
      <c r="N1718" s="50" t="s">
        <v>4171</v>
      </c>
      <c r="O1718" s="50" t="s">
        <v>4171</v>
      </c>
      <c r="P1718" s="50" t="s">
        <v>4171</v>
      </c>
    </row>
    <row r="1719" spans="1:16" ht="12.75" customHeight="1" x14ac:dyDescent="0.25">
      <c r="A1719" s="311">
        <v>1716</v>
      </c>
      <c r="B1719" s="311" t="s">
        <v>63</v>
      </c>
      <c r="C1719" s="311" t="s">
        <v>63</v>
      </c>
      <c r="D1719" s="311" t="s">
        <v>462</v>
      </c>
      <c r="E1719" s="337" t="s">
        <v>63</v>
      </c>
      <c r="F1719" s="311" t="s">
        <v>289</v>
      </c>
      <c r="G1719" s="311" t="s">
        <v>23</v>
      </c>
      <c r="H1719" s="311" t="s">
        <v>364</v>
      </c>
      <c r="I1719" s="311" t="s">
        <v>56</v>
      </c>
      <c r="J1719" s="50" t="s">
        <v>1892</v>
      </c>
      <c r="K1719" s="50" t="s">
        <v>1892</v>
      </c>
      <c r="L1719" s="50" t="s">
        <v>1893</v>
      </c>
      <c r="M1719" s="50" t="s">
        <v>4174</v>
      </c>
      <c r="N1719" s="50" t="s">
        <v>4174</v>
      </c>
      <c r="O1719" s="50" t="s">
        <v>4171</v>
      </c>
      <c r="P1719" s="50" t="s">
        <v>4174</v>
      </c>
    </row>
    <row r="1720" spans="1:16" ht="12.75" customHeight="1" x14ac:dyDescent="0.25">
      <c r="A1720" s="311">
        <v>1717</v>
      </c>
      <c r="B1720" s="311" t="s">
        <v>140</v>
      </c>
      <c r="C1720" s="311" t="s">
        <v>140</v>
      </c>
      <c r="D1720" s="311" t="s">
        <v>462</v>
      </c>
      <c r="E1720" s="337" t="s">
        <v>140</v>
      </c>
      <c r="F1720" s="311" t="s">
        <v>289</v>
      </c>
      <c r="G1720" s="311" t="s">
        <v>23</v>
      </c>
      <c r="H1720" s="311" t="s">
        <v>364</v>
      </c>
      <c r="I1720" s="311" t="s">
        <v>56</v>
      </c>
      <c r="J1720" s="50" t="s">
        <v>1892</v>
      </c>
      <c r="K1720" s="50" t="s">
        <v>1892</v>
      </c>
      <c r="L1720" s="50" t="s">
        <v>1893</v>
      </c>
      <c r="M1720" s="50" t="s">
        <v>4175</v>
      </c>
      <c r="N1720" s="50" t="s">
        <v>4175</v>
      </c>
      <c r="O1720" s="50" t="s">
        <v>4171</v>
      </c>
      <c r="P1720" s="50" t="s">
        <v>4175</v>
      </c>
    </row>
    <row r="1721" spans="1:16" ht="12.75" customHeight="1" x14ac:dyDescent="0.25">
      <c r="A1721" s="311">
        <v>1718</v>
      </c>
      <c r="B1721" s="311" t="s">
        <v>121</v>
      </c>
      <c r="C1721" s="311" t="s">
        <v>121</v>
      </c>
      <c r="D1721" s="311" t="s">
        <v>462</v>
      </c>
      <c r="E1721" s="337" t="s">
        <v>121</v>
      </c>
      <c r="F1721" s="311" t="s">
        <v>289</v>
      </c>
      <c r="G1721" s="311" t="s">
        <v>23</v>
      </c>
      <c r="H1721" s="311" t="s">
        <v>364</v>
      </c>
      <c r="I1721" s="311" t="s">
        <v>56</v>
      </c>
      <c r="J1721" s="50" t="s">
        <v>1892</v>
      </c>
      <c r="K1721" s="50" t="s">
        <v>1892</v>
      </c>
      <c r="L1721" s="50" t="s">
        <v>1893</v>
      </c>
      <c r="M1721" s="50" t="s">
        <v>4176</v>
      </c>
      <c r="N1721" s="50" t="s">
        <v>4176</v>
      </c>
      <c r="O1721" s="50" t="s">
        <v>4171</v>
      </c>
      <c r="P1721" s="50" t="s">
        <v>4176</v>
      </c>
    </row>
    <row r="1722" spans="1:16" ht="12.75" customHeight="1" x14ac:dyDescent="0.25">
      <c r="A1722" s="311">
        <v>1719</v>
      </c>
      <c r="B1722" s="311" t="s">
        <v>87</v>
      </c>
      <c r="C1722" s="311" t="s">
        <v>87</v>
      </c>
      <c r="D1722" s="311" t="s">
        <v>462</v>
      </c>
      <c r="E1722" s="337" t="s">
        <v>87</v>
      </c>
      <c r="F1722" s="311" t="s">
        <v>289</v>
      </c>
      <c r="G1722" s="311" t="s">
        <v>23</v>
      </c>
      <c r="H1722" s="311" t="s">
        <v>364</v>
      </c>
      <c r="I1722" s="311" t="s">
        <v>56</v>
      </c>
      <c r="J1722" s="50" t="s">
        <v>1892</v>
      </c>
      <c r="K1722" s="50" t="s">
        <v>1892</v>
      </c>
      <c r="L1722" s="50" t="s">
        <v>1893</v>
      </c>
      <c r="M1722" s="50" t="s">
        <v>4177</v>
      </c>
      <c r="N1722" s="50" t="s">
        <v>4177</v>
      </c>
      <c r="O1722" s="50" t="s">
        <v>4171</v>
      </c>
      <c r="P1722" s="50" t="s">
        <v>4177</v>
      </c>
    </row>
    <row r="1723" spans="1:16" ht="12.75" customHeight="1" x14ac:dyDescent="0.25">
      <c r="A1723" s="311">
        <v>1720</v>
      </c>
      <c r="B1723" s="311" t="s">
        <v>125</v>
      </c>
      <c r="C1723" s="311" t="s">
        <v>125</v>
      </c>
      <c r="D1723" s="311" t="s">
        <v>125</v>
      </c>
      <c r="E1723" s="337" t="s">
        <v>125</v>
      </c>
      <c r="F1723" s="311" t="s">
        <v>289</v>
      </c>
      <c r="G1723" s="311" t="s">
        <v>23</v>
      </c>
      <c r="H1723" s="311" t="s">
        <v>364</v>
      </c>
      <c r="I1723" s="311" t="s">
        <v>56</v>
      </c>
      <c r="J1723" s="50" t="s">
        <v>1892</v>
      </c>
      <c r="K1723" s="50" t="s">
        <v>1892</v>
      </c>
      <c r="L1723" s="50" t="s">
        <v>1893</v>
      </c>
      <c r="M1723" s="50" t="s">
        <v>4178</v>
      </c>
      <c r="N1723" s="50" t="s">
        <v>4178</v>
      </c>
      <c r="O1723" s="50" t="s">
        <v>4178</v>
      </c>
      <c r="P1723" s="50" t="s">
        <v>4178</v>
      </c>
    </row>
    <row r="1724" spans="1:16" ht="12.75" customHeight="1" x14ac:dyDescent="0.25">
      <c r="A1724" s="311">
        <v>1721</v>
      </c>
      <c r="B1724" s="311" t="s">
        <v>134</v>
      </c>
      <c r="C1724" s="311" t="s">
        <v>134</v>
      </c>
      <c r="D1724" s="311" t="s">
        <v>134</v>
      </c>
      <c r="E1724" s="337" t="s">
        <v>134</v>
      </c>
      <c r="F1724" s="311" t="s">
        <v>289</v>
      </c>
      <c r="G1724" s="311" t="s">
        <v>23</v>
      </c>
      <c r="H1724" s="311" t="s">
        <v>364</v>
      </c>
      <c r="I1724" s="311" t="s">
        <v>56</v>
      </c>
      <c r="J1724" s="50" t="s">
        <v>1892</v>
      </c>
      <c r="K1724" s="50" t="s">
        <v>1892</v>
      </c>
      <c r="L1724" s="50" t="s">
        <v>1893</v>
      </c>
      <c r="M1724" s="50" t="s">
        <v>4179</v>
      </c>
      <c r="N1724" s="50" t="s">
        <v>4179</v>
      </c>
      <c r="O1724" s="50" t="s">
        <v>4179</v>
      </c>
      <c r="P1724" s="50" t="s">
        <v>4179</v>
      </c>
    </row>
    <row r="1725" spans="1:16" ht="12.75" customHeight="1" x14ac:dyDescent="0.25">
      <c r="A1725" s="311">
        <v>1722</v>
      </c>
      <c r="B1725" s="311" t="s">
        <v>141</v>
      </c>
      <c r="C1725" s="311" t="s">
        <v>141</v>
      </c>
      <c r="D1725" s="311" t="s">
        <v>141</v>
      </c>
      <c r="E1725" s="337" t="s">
        <v>141</v>
      </c>
      <c r="F1725" s="311" t="s">
        <v>289</v>
      </c>
      <c r="G1725" s="311" t="s">
        <v>23</v>
      </c>
      <c r="H1725" s="311" t="s">
        <v>364</v>
      </c>
      <c r="I1725" s="311" t="s">
        <v>56</v>
      </c>
      <c r="J1725" s="50" t="s">
        <v>1892</v>
      </c>
      <c r="K1725" s="50" t="s">
        <v>1892</v>
      </c>
      <c r="L1725" s="50" t="s">
        <v>1893</v>
      </c>
      <c r="M1725" s="50" t="s">
        <v>4180</v>
      </c>
      <c r="N1725" s="50" t="s">
        <v>4180</v>
      </c>
      <c r="O1725" s="50" t="s">
        <v>4180</v>
      </c>
      <c r="P1725" s="50" t="s">
        <v>4180</v>
      </c>
    </row>
    <row r="1726" spans="1:16" ht="12.75" customHeight="1" x14ac:dyDescent="0.25">
      <c r="A1726" s="311">
        <v>1723</v>
      </c>
      <c r="B1726" s="311" t="s">
        <v>69</v>
      </c>
      <c r="C1726" s="311" t="s">
        <v>69</v>
      </c>
      <c r="D1726" s="311" t="s">
        <v>69</v>
      </c>
      <c r="E1726" s="337" t="s">
        <v>69</v>
      </c>
      <c r="F1726" s="311" t="s">
        <v>289</v>
      </c>
      <c r="G1726" s="311" t="s">
        <v>23</v>
      </c>
      <c r="H1726" s="311" t="s">
        <v>364</v>
      </c>
      <c r="I1726" s="311" t="s">
        <v>56</v>
      </c>
      <c r="J1726" s="50" t="s">
        <v>1892</v>
      </c>
      <c r="K1726" s="50" t="s">
        <v>1892</v>
      </c>
      <c r="L1726" s="50" t="s">
        <v>1893</v>
      </c>
      <c r="M1726" s="50" t="s">
        <v>4181</v>
      </c>
      <c r="N1726" s="50" t="s">
        <v>4181</v>
      </c>
      <c r="O1726" s="50" t="s">
        <v>4181</v>
      </c>
      <c r="P1726" s="50" t="s">
        <v>4181</v>
      </c>
    </row>
    <row r="1727" spans="1:16" ht="12.75" customHeight="1" x14ac:dyDescent="0.25">
      <c r="A1727" s="311">
        <v>1724</v>
      </c>
      <c r="B1727" s="311" t="s">
        <v>84</v>
      </c>
      <c r="C1727" s="311" t="s">
        <v>462</v>
      </c>
      <c r="D1727" s="311" t="s">
        <v>462</v>
      </c>
      <c r="E1727" s="337" t="s">
        <v>462</v>
      </c>
      <c r="F1727" s="311" t="s">
        <v>289</v>
      </c>
      <c r="G1727" s="311" t="s">
        <v>237</v>
      </c>
      <c r="H1727" s="311" t="s">
        <v>364</v>
      </c>
      <c r="I1727" s="311" t="s">
        <v>56</v>
      </c>
      <c r="J1727" s="50" t="s">
        <v>1892</v>
      </c>
      <c r="K1727" s="50" t="s">
        <v>1892</v>
      </c>
      <c r="L1727" s="50" t="s">
        <v>1893</v>
      </c>
      <c r="M1727" s="50" t="s">
        <v>4182</v>
      </c>
      <c r="N1727" s="50" t="s">
        <v>4183</v>
      </c>
      <c r="O1727" s="50" t="s">
        <v>4183</v>
      </c>
      <c r="P1727" s="50" t="s">
        <v>4183</v>
      </c>
    </row>
    <row r="1728" spans="1:16" ht="12.75" customHeight="1" x14ac:dyDescent="0.25">
      <c r="A1728" s="311">
        <v>1725</v>
      </c>
      <c r="B1728" s="311" t="s">
        <v>123</v>
      </c>
      <c r="C1728" s="311" t="s">
        <v>462</v>
      </c>
      <c r="D1728" s="311" t="s">
        <v>462</v>
      </c>
      <c r="E1728" s="337" t="s">
        <v>462</v>
      </c>
      <c r="F1728" s="311" t="s">
        <v>289</v>
      </c>
      <c r="G1728" s="311" t="s">
        <v>237</v>
      </c>
      <c r="H1728" s="311" t="s">
        <v>364</v>
      </c>
      <c r="I1728" s="311" t="s">
        <v>56</v>
      </c>
      <c r="J1728" s="50" t="s">
        <v>1892</v>
      </c>
      <c r="K1728" s="50" t="s">
        <v>1892</v>
      </c>
      <c r="L1728" s="50" t="s">
        <v>1893</v>
      </c>
      <c r="M1728" s="50" t="s">
        <v>4184</v>
      </c>
      <c r="N1728" s="50" t="s">
        <v>4183</v>
      </c>
      <c r="O1728" s="50" t="s">
        <v>4183</v>
      </c>
      <c r="P1728" s="50" t="s">
        <v>4183</v>
      </c>
    </row>
    <row r="1729" spans="1:16" ht="12.75" customHeight="1" x14ac:dyDescent="0.25">
      <c r="A1729" s="311">
        <v>1726</v>
      </c>
      <c r="B1729" s="311" t="s">
        <v>75</v>
      </c>
      <c r="C1729" s="311" t="s">
        <v>462</v>
      </c>
      <c r="D1729" s="311" t="s">
        <v>462</v>
      </c>
      <c r="E1729" s="337" t="s">
        <v>462</v>
      </c>
      <c r="F1729" s="311" t="s">
        <v>289</v>
      </c>
      <c r="G1729" s="311" t="s">
        <v>237</v>
      </c>
      <c r="H1729" s="311" t="s">
        <v>364</v>
      </c>
      <c r="I1729" s="311" t="s">
        <v>56</v>
      </c>
      <c r="J1729" s="50" t="s">
        <v>1892</v>
      </c>
      <c r="K1729" s="50" t="s">
        <v>1892</v>
      </c>
      <c r="L1729" s="50" t="s">
        <v>1893</v>
      </c>
      <c r="M1729" s="50" t="s">
        <v>4185</v>
      </c>
      <c r="N1729" s="50" t="s">
        <v>4183</v>
      </c>
      <c r="O1729" s="50" t="s">
        <v>4183</v>
      </c>
      <c r="P1729" s="50" t="s">
        <v>4183</v>
      </c>
    </row>
    <row r="1730" spans="1:16" ht="12.75" customHeight="1" x14ac:dyDescent="0.25">
      <c r="A1730" s="311">
        <v>1727</v>
      </c>
      <c r="B1730" s="311" t="s">
        <v>63</v>
      </c>
      <c r="C1730" s="311" t="s">
        <v>63</v>
      </c>
      <c r="D1730" s="311" t="s">
        <v>462</v>
      </c>
      <c r="E1730" s="337" t="s">
        <v>63</v>
      </c>
      <c r="F1730" s="311" t="s">
        <v>289</v>
      </c>
      <c r="G1730" s="311" t="s">
        <v>237</v>
      </c>
      <c r="H1730" s="311" t="s">
        <v>364</v>
      </c>
      <c r="I1730" s="311" t="s">
        <v>56</v>
      </c>
      <c r="J1730" s="50" t="s">
        <v>1892</v>
      </c>
      <c r="K1730" s="50" t="s">
        <v>1892</v>
      </c>
      <c r="L1730" s="50" t="s">
        <v>1893</v>
      </c>
      <c r="M1730" s="50" t="s">
        <v>4186</v>
      </c>
      <c r="N1730" s="50" t="s">
        <v>4186</v>
      </c>
      <c r="O1730" s="50" t="s">
        <v>4183</v>
      </c>
      <c r="P1730" s="50" t="s">
        <v>4186</v>
      </c>
    </row>
    <row r="1731" spans="1:16" ht="12.75" customHeight="1" x14ac:dyDescent="0.25">
      <c r="A1731" s="311">
        <v>1728</v>
      </c>
      <c r="B1731" s="311" t="s">
        <v>140</v>
      </c>
      <c r="C1731" s="311" t="s">
        <v>140</v>
      </c>
      <c r="D1731" s="311" t="s">
        <v>462</v>
      </c>
      <c r="E1731" s="337" t="s">
        <v>140</v>
      </c>
      <c r="F1731" s="311" t="s">
        <v>289</v>
      </c>
      <c r="G1731" s="311" t="s">
        <v>237</v>
      </c>
      <c r="H1731" s="311" t="s">
        <v>364</v>
      </c>
      <c r="I1731" s="311" t="s">
        <v>56</v>
      </c>
      <c r="J1731" s="50" t="s">
        <v>1892</v>
      </c>
      <c r="K1731" s="50" t="s">
        <v>1892</v>
      </c>
      <c r="L1731" s="50" t="s">
        <v>1893</v>
      </c>
      <c r="M1731" s="50" t="s">
        <v>4187</v>
      </c>
      <c r="N1731" s="50" t="s">
        <v>4187</v>
      </c>
      <c r="O1731" s="50" t="s">
        <v>4183</v>
      </c>
      <c r="P1731" s="50" t="s">
        <v>4187</v>
      </c>
    </row>
    <row r="1732" spans="1:16" ht="12.75" customHeight="1" x14ac:dyDescent="0.25">
      <c r="A1732" s="311">
        <v>1729</v>
      </c>
      <c r="B1732" s="311" t="s">
        <v>121</v>
      </c>
      <c r="C1732" s="311" t="s">
        <v>121</v>
      </c>
      <c r="D1732" s="311" t="s">
        <v>462</v>
      </c>
      <c r="E1732" s="337" t="s">
        <v>121</v>
      </c>
      <c r="F1732" s="311" t="s">
        <v>289</v>
      </c>
      <c r="G1732" s="311" t="s">
        <v>237</v>
      </c>
      <c r="H1732" s="311" t="s">
        <v>364</v>
      </c>
      <c r="I1732" s="311" t="s">
        <v>56</v>
      </c>
      <c r="J1732" s="50" t="s">
        <v>1892</v>
      </c>
      <c r="K1732" s="50" t="s">
        <v>1892</v>
      </c>
      <c r="L1732" s="50" t="s">
        <v>1893</v>
      </c>
      <c r="M1732" s="50" t="s">
        <v>4188</v>
      </c>
      <c r="N1732" s="50" t="s">
        <v>4188</v>
      </c>
      <c r="O1732" s="50" t="s">
        <v>4183</v>
      </c>
      <c r="P1732" s="50" t="s">
        <v>4188</v>
      </c>
    </row>
    <row r="1733" spans="1:16" ht="12.75" customHeight="1" x14ac:dyDescent="0.25">
      <c r="A1733" s="311">
        <v>1730</v>
      </c>
      <c r="B1733" s="311" t="s">
        <v>87</v>
      </c>
      <c r="C1733" s="311" t="s">
        <v>87</v>
      </c>
      <c r="D1733" s="311" t="s">
        <v>462</v>
      </c>
      <c r="E1733" s="337" t="s">
        <v>87</v>
      </c>
      <c r="F1733" s="311" t="s">
        <v>289</v>
      </c>
      <c r="G1733" s="311" t="s">
        <v>237</v>
      </c>
      <c r="H1733" s="311" t="s">
        <v>364</v>
      </c>
      <c r="I1733" s="311" t="s">
        <v>56</v>
      </c>
      <c r="J1733" s="50" t="s">
        <v>1892</v>
      </c>
      <c r="K1733" s="50" t="s">
        <v>1892</v>
      </c>
      <c r="L1733" s="50" t="s">
        <v>1893</v>
      </c>
      <c r="M1733" s="50" t="s">
        <v>4189</v>
      </c>
      <c r="N1733" s="50" t="s">
        <v>4189</v>
      </c>
      <c r="O1733" s="50" t="s">
        <v>4183</v>
      </c>
      <c r="P1733" s="50" t="s">
        <v>4189</v>
      </c>
    </row>
    <row r="1734" spans="1:16" ht="12.75" customHeight="1" x14ac:dyDescent="0.25">
      <c r="A1734" s="311">
        <v>1731</v>
      </c>
      <c r="B1734" s="311" t="s">
        <v>125</v>
      </c>
      <c r="C1734" s="311" t="s">
        <v>125</v>
      </c>
      <c r="D1734" s="311" t="s">
        <v>125</v>
      </c>
      <c r="E1734" s="337" t="s">
        <v>125</v>
      </c>
      <c r="F1734" s="311" t="s">
        <v>289</v>
      </c>
      <c r="G1734" s="311" t="s">
        <v>237</v>
      </c>
      <c r="H1734" s="311" t="s">
        <v>364</v>
      </c>
      <c r="I1734" s="311" t="s">
        <v>56</v>
      </c>
      <c r="J1734" s="50" t="s">
        <v>1892</v>
      </c>
      <c r="K1734" s="50" t="s">
        <v>1892</v>
      </c>
      <c r="L1734" s="50" t="s">
        <v>1893</v>
      </c>
      <c r="M1734" s="50" t="s">
        <v>4190</v>
      </c>
      <c r="N1734" s="50" t="s">
        <v>4190</v>
      </c>
      <c r="O1734" s="50" t="s">
        <v>4190</v>
      </c>
      <c r="P1734" s="50" t="s">
        <v>4190</v>
      </c>
    </row>
    <row r="1735" spans="1:16" ht="12.75" customHeight="1" x14ac:dyDescent="0.25">
      <c r="A1735" s="311">
        <v>1732</v>
      </c>
      <c r="B1735" s="311" t="s">
        <v>134</v>
      </c>
      <c r="C1735" s="311" t="s">
        <v>134</v>
      </c>
      <c r="D1735" s="311" t="s">
        <v>134</v>
      </c>
      <c r="E1735" s="337" t="s">
        <v>134</v>
      </c>
      <c r="F1735" s="311" t="s">
        <v>289</v>
      </c>
      <c r="G1735" s="311" t="s">
        <v>237</v>
      </c>
      <c r="H1735" s="311" t="s">
        <v>364</v>
      </c>
      <c r="I1735" s="311" t="s">
        <v>56</v>
      </c>
      <c r="J1735" s="50" t="s">
        <v>1892</v>
      </c>
      <c r="K1735" s="50" t="s">
        <v>1892</v>
      </c>
      <c r="L1735" s="50" t="s">
        <v>1893</v>
      </c>
      <c r="M1735" s="50" t="s">
        <v>4191</v>
      </c>
      <c r="N1735" s="50" t="s">
        <v>4191</v>
      </c>
      <c r="O1735" s="50" t="s">
        <v>4191</v>
      </c>
      <c r="P1735" s="50" t="s">
        <v>4191</v>
      </c>
    </row>
    <row r="1736" spans="1:16" ht="12.75" customHeight="1" x14ac:dyDescent="0.25">
      <c r="A1736" s="311">
        <v>1733</v>
      </c>
      <c r="B1736" s="311" t="s">
        <v>141</v>
      </c>
      <c r="C1736" s="311" t="s">
        <v>141</v>
      </c>
      <c r="D1736" s="311" t="s">
        <v>141</v>
      </c>
      <c r="E1736" s="337" t="s">
        <v>141</v>
      </c>
      <c r="F1736" s="311" t="s">
        <v>289</v>
      </c>
      <c r="G1736" s="311" t="s">
        <v>237</v>
      </c>
      <c r="H1736" s="311" t="s">
        <v>364</v>
      </c>
      <c r="I1736" s="311" t="s">
        <v>56</v>
      </c>
      <c r="J1736" s="50" t="s">
        <v>1892</v>
      </c>
      <c r="K1736" s="50" t="s">
        <v>1892</v>
      </c>
      <c r="L1736" s="50" t="s">
        <v>1893</v>
      </c>
      <c r="M1736" s="50" t="s">
        <v>4192</v>
      </c>
      <c r="N1736" s="50" t="s">
        <v>4192</v>
      </c>
      <c r="O1736" s="50" t="s">
        <v>4192</v>
      </c>
      <c r="P1736" s="50" t="s">
        <v>4192</v>
      </c>
    </row>
    <row r="1737" spans="1:16" ht="12.75" customHeight="1" x14ac:dyDescent="0.25">
      <c r="A1737" s="311">
        <v>1734</v>
      </c>
      <c r="B1737" s="311" t="s">
        <v>69</v>
      </c>
      <c r="C1737" s="311" t="s">
        <v>69</v>
      </c>
      <c r="D1737" s="311" t="s">
        <v>69</v>
      </c>
      <c r="E1737" s="337" t="s">
        <v>69</v>
      </c>
      <c r="F1737" s="311" t="s">
        <v>289</v>
      </c>
      <c r="G1737" s="311" t="s">
        <v>237</v>
      </c>
      <c r="H1737" s="311" t="s">
        <v>364</v>
      </c>
      <c r="I1737" s="311" t="s">
        <v>56</v>
      </c>
      <c r="J1737" s="50" t="s">
        <v>1892</v>
      </c>
      <c r="K1737" s="50" t="s">
        <v>1892</v>
      </c>
      <c r="L1737" s="50" t="s">
        <v>1893</v>
      </c>
      <c r="M1737" s="50" t="s">
        <v>4193</v>
      </c>
      <c r="N1737" s="50" t="s">
        <v>4193</v>
      </c>
      <c r="O1737" s="50" t="s">
        <v>4193</v>
      </c>
      <c r="P1737" s="50" t="s">
        <v>4193</v>
      </c>
    </row>
    <row r="1738" spans="1:16" ht="12.75" customHeight="1" x14ac:dyDescent="0.25">
      <c r="A1738" s="311">
        <v>1735</v>
      </c>
      <c r="B1738" s="311" t="s">
        <v>84</v>
      </c>
      <c r="C1738" s="311" t="s">
        <v>462</v>
      </c>
      <c r="D1738" s="311" t="s">
        <v>462</v>
      </c>
      <c r="E1738" s="337" t="s">
        <v>462</v>
      </c>
      <c r="F1738" s="311" t="s">
        <v>249</v>
      </c>
      <c r="G1738" s="311" t="s">
        <v>236</v>
      </c>
      <c r="H1738" s="311" t="s">
        <v>359</v>
      </c>
      <c r="I1738" s="311" t="s">
        <v>56</v>
      </c>
      <c r="J1738" s="50" t="s">
        <v>1892</v>
      </c>
      <c r="K1738" s="50" t="s">
        <v>1892</v>
      </c>
      <c r="L1738" s="50" t="s">
        <v>1893</v>
      </c>
      <c r="M1738" s="50" t="s">
        <v>4194</v>
      </c>
      <c r="N1738" s="50" t="s">
        <v>4195</v>
      </c>
      <c r="O1738" s="50" t="s">
        <v>4195</v>
      </c>
      <c r="P1738" s="50" t="s">
        <v>4195</v>
      </c>
    </row>
    <row r="1739" spans="1:16" ht="12.75" customHeight="1" x14ac:dyDescent="0.25">
      <c r="A1739" s="311">
        <v>1736</v>
      </c>
      <c r="B1739" s="311" t="s">
        <v>123</v>
      </c>
      <c r="C1739" s="311" t="s">
        <v>462</v>
      </c>
      <c r="D1739" s="311" t="s">
        <v>462</v>
      </c>
      <c r="E1739" s="337" t="s">
        <v>462</v>
      </c>
      <c r="F1739" s="311" t="s">
        <v>249</v>
      </c>
      <c r="G1739" s="311" t="s">
        <v>236</v>
      </c>
      <c r="H1739" s="311" t="s">
        <v>359</v>
      </c>
      <c r="I1739" s="311" t="s">
        <v>56</v>
      </c>
      <c r="J1739" s="50" t="s">
        <v>1892</v>
      </c>
      <c r="K1739" s="50" t="s">
        <v>1892</v>
      </c>
      <c r="L1739" s="50" t="s">
        <v>1893</v>
      </c>
      <c r="M1739" s="50" t="s">
        <v>4196</v>
      </c>
      <c r="N1739" s="50" t="s">
        <v>4195</v>
      </c>
      <c r="O1739" s="50" t="s">
        <v>4195</v>
      </c>
      <c r="P1739" s="50" t="s">
        <v>4195</v>
      </c>
    </row>
    <row r="1740" spans="1:16" ht="12.75" customHeight="1" x14ac:dyDescent="0.25">
      <c r="A1740" s="311">
        <v>1737</v>
      </c>
      <c r="B1740" s="311" t="s">
        <v>75</v>
      </c>
      <c r="C1740" s="311" t="s">
        <v>462</v>
      </c>
      <c r="D1740" s="311" t="s">
        <v>462</v>
      </c>
      <c r="E1740" s="337" t="s">
        <v>462</v>
      </c>
      <c r="F1740" s="311" t="s">
        <v>249</v>
      </c>
      <c r="G1740" s="311" t="s">
        <v>236</v>
      </c>
      <c r="H1740" s="311" t="s">
        <v>359</v>
      </c>
      <c r="I1740" s="311" t="s">
        <v>56</v>
      </c>
      <c r="J1740" s="50" t="s">
        <v>1892</v>
      </c>
      <c r="K1740" s="50" t="s">
        <v>1892</v>
      </c>
      <c r="L1740" s="50" t="s">
        <v>1893</v>
      </c>
      <c r="M1740" s="50" t="s">
        <v>4197</v>
      </c>
      <c r="N1740" s="50" t="s">
        <v>4195</v>
      </c>
      <c r="O1740" s="50" t="s">
        <v>4195</v>
      </c>
      <c r="P1740" s="50" t="s">
        <v>4195</v>
      </c>
    </row>
    <row r="1741" spans="1:16" ht="12.75" customHeight="1" x14ac:dyDescent="0.25">
      <c r="A1741" s="311">
        <v>1738</v>
      </c>
      <c r="B1741" s="311" t="s">
        <v>63</v>
      </c>
      <c r="C1741" s="311" t="s">
        <v>63</v>
      </c>
      <c r="D1741" s="311" t="s">
        <v>462</v>
      </c>
      <c r="E1741" s="337" t="s">
        <v>63</v>
      </c>
      <c r="F1741" s="311" t="s">
        <v>249</v>
      </c>
      <c r="G1741" s="311" t="s">
        <v>236</v>
      </c>
      <c r="H1741" s="311" t="s">
        <v>359</v>
      </c>
      <c r="I1741" s="311" t="s">
        <v>56</v>
      </c>
      <c r="J1741" s="50" t="s">
        <v>1892</v>
      </c>
      <c r="K1741" s="50" t="s">
        <v>1892</v>
      </c>
      <c r="L1741" s="50" t="s">
        <v>1893</v>
      </c>
      <c r="M1741" s="50" t="s">
        <v>4198</v>
      </c>
      <c r="N1741" s="50" t="s">
        <v>4198</v>
      </c>
      <c r="O1741" s="50" t="s">
        <v>4195</v>
      </c>
      <c r="P1741" s="50" t="s">
        <v>4198</v>
      </c>
    </row>
    <row r="1742" spans="1:16" ht="12.75" customHeight="1" x14ac:dyDescent="0.25">
      <c r="A1742" s="311">
        <v>1739</v>
      </c>
      <c r="B1742" s="311" t="s">
        <v>140</v>
      </c>
      <c r="C1742" s="311" t="s">
        <v>140</v>
      </c>
      <c r="D1742" s="311" t="s">
        <v>462</v>
      </c>
      <c r="E1742" s="337" t="s">
        <v>140</v>
      </c>
      <c r="F1742" s="311" t="s">
        <v>249</v>
      </c>
      <c r="G1742" s="311" t="s">
        <v>236</v>
      </c>
      <c r="H1742" s="311" t="s">
        <v>359</v>
      </c>
      <c r="I1742" s="311" t="s">
        <v>56</v>
      </c>
      <c r="J1742" s="50" t="s">
        <v>1892</v>
      </c>
      <c r="K1742" s="50" t="s">
        <v>1892</v>
      </c>
      <c r="L1742" s="50" t="s">
        <v>1893</v>
      </c>
      <c r="M1742" s="50" t="s">
        <v>4199</v>
      </c>
      <c r="N1742" s="50" t="s">
        <v>4199</v>
      </c>
      <c r="O1742" s="50" t="s">
        <v>4195</v>
      </c>
      <c r="P1742" s="50" t="s">
        <v>4199</v>
      </c>
    </row>
    <row r="1743" spans="1:16" ht="12.75" customHeight="1" x14ac:dyDescent="0.25">
      <c r="A1743" s="311">
        <v>1740</v>
      </c>
      <c r="B1743" s="311" t="s">
        <v>121</v>
      </c>
      <c r="C1743" s="311" t="s">
        <v>121</v>
      </c>
      <c r="D1743" s="311" t="s">
        <v>462</v>
      </c>
      <c r="E1743" s="337" t="s">
        <v>121</v>
      </c>
      <c r="F1743" s="311" t="s">
        <v>249</v>
      </c>
      <c r="G1743" s="311" t="s">
        <v>236</v>
      </c>
      <c r="H1743" s="311" t="s">
        <v>359</v>
      </c>
      <c r="I1743" s="311" t="s">
        <v>56</v>
      </c>
      <c r="J1743" s="50" t="s">
        <v>1892</v>
      </c>
      <c r="K1743" s="50" t="s">
        <v>1892</v>
      </c>
      <c r="L1743" s="50" t="s">
        <v>1893</v>
      </c>
      <c r="M1743" s="50" t="s">
        <v>4200</v>
      </c>
      <c r="N1743" s="50" t="s">
        <v>4200</v>
      </c>
      <c r="O1743" s="50" t="s">
        <v>4195</v>
      </c>
      <c r="P1743" s="50" t="s">
        <v>4200</v>
      </c>
    </row>
    <row r="1744" spans="1:16" ht="12.75" customHeight="1" x14ac:dyDescent="0.25">
      <c r="A1744" s="311">
        <v>1741</v>
      </c>
      <c r="B1744" s="311" t="s">
        <v>87</v>
      </c>
      <c r="C1744" s="311" t="s">
        <v>87</v>
      </c>
      <c r="D1744" s="311" t="s">
        <v>462</v>
      </c>
      <c r="E1744" s="337" t="s">
        <v>87</v>
      </c>
      <c r="F1744" s="311" t="s">
        <v>249</v>
      </c>
      <c r="G1744" s="311" t="s">
        <v>236</v>
      </c>
      <c r="H1744" s="311" t="s">
        <v>359</v>
      </c>
      <c r="I1744" s="311" t="s">
        <v>56</v>
      </c>
      <c r="J1744" s="50" t="s">
        <v>1892</v>
      </c>
      <c r="K1744" s="50" t="s">
        <v>1892</v>
      </c>
      <c r="L1744" s="50" t="s">
        <v>1893</v>
      </c>
      <c r="M1744" s="50" t="s">
        <v>4201</v>
      </c>
      <c r="N1744" s="50" t="s">
        <v>4201</v>
      </c>
      <c r="O1744" s="50" t="s">
        <v>4195</v>
      </c>
      <c r="P1744" s="50" t="s">
        <v>4201</v>
      </c>
    </row>
    <row r="1745" spans="1:16" ht="12.75" customHeight="1" x14ac:dyDescent="0.25">
      <c r="A1745" s="311">
        <v>1742</v>
      </c>
      <c r="B1745" s="311" t="s">
        <v>125</v>
      </c>
      <c r="C1745" s="311" t="s">
        <v>125</v>
      </c>
      <c r="D1745" s="311" t="s">
        <v>125</v>
      </c>
      <c r="E1745" s="337" t="s">
        <v>125</v>
      </c>
      <c r="F1745" s="311" t="s">
        <v>249</v>
      </c>
      <c r="G1745" s="311" t="s">
        <v>236</v>
      </c>
      <c r="H1745" s="311" t="s">
        <v>359</v>
      </c>
      <c r="I1745" s="311" t="s">
        <v>56</v>
      </c>
      <c r="J1745" s="50" t="s">
        <v>1892</v>
      </c>
      <c r="K1745" s="50" t="s">
        <v>1892</v>
      </c>
      <c r="L1745" s="50" t="s">
        <v>1893</v>
      </c>
      <c r="M1745" s="50" t="s">
        <v>4202</v>
      </c>
      <c r="N1745" s="50" t="s">
        <v>4202</v>
      </c>
      <c r="O1745" s="50" t="s">
        <v>4202</v>
      </c>
      <c r="P1745" s="50" t="s">
        <v>4202</v>
      </c>
    </row>
    <row r="1746" spans="1:16" ht="12.75" customHeight="1" x14ac:dyDescent="0.25">
      <c r="A1746" s="311">
        <v>1743</v>
      </c>
      <c r="B1746" s="311" t="s">
        <v>134</v>
      </c>
      <c r="C1746" s="311" t="s">
        <v>134</v>
      </c>
      <c r="D1746" s="311" t="s">
        <v>134</v>
      </c>
      <c r="E1746" s="337" t="s">
        <v>134</v>
      </c>
      <c r="F1746" s="311" t="s">
        <v>249</v>
      </c>
      <c r="G1746" s="311" t="s">
        <v>236</v>
      </c>
      <c r="H1746" s="311" t="s">
        <v>359</v>
      </c>
      <c r="I1746" s="311" t="s">
        <v>56</v>
      </c>
      <c r="J1746" s="50" t="s">
        <v>1892</v>
      </c>
      <c r="K1746" s="50" t="s">
        <v>1892</v>
      </c>
      <c r="L1746" s="50" t="s">
        <v>1893</v>
      </c>
      <c r="M1746" s="50" t="s">
        <v>4203</v>
      </c>
      <c r="N1746" s="50" t="s">
        <v>4203</v>
      </c>
      <c r="O1746" s="50" t="s">
        <v>4203</v>
      </c>
      <c r="P1746" s="50" t="s">
        <v>4203</v>
      </c>
    </row>
    <row r="1747" spans="1:16" ht="12.75" customHeight="1" x14ac:dyDescent="0.25">
      <c r="A1747" s="311">
        <v>1744</v>
      </c>
      <c r="B1747" s="311" t="s">
        <v>141</v>
      </c>
      <c r="C1747" s="311" t="s">
        <v>141</v>
      </c>
      <c r="D1747" s="311" t="s">
        <v>141</v>
      </c>
      <c r="E1747" s="337" t="s">
        <v>141</v>
      </c>
      <c r="F1747" s="311" t="s">
        <v>249</v>
      </c>
      <c r="G1747" s="311" t="s">
        <v>236</v>
      </c>
      <c r="H1747" s="311" t="s">
        <v>359</v>
      </c>
      <c r="I1747" s="311" t="s">
        <v>56</v>
      </c>
      <c r="J1747" s="50" t="s">
        <v>1892</v>
      </c>
      <c r="K1747" s="50" t="s">
        <v>1892</v>
      </c>
      <c r="L1747" s="50" t="s">
        <v>1893</v>
      </c>
      <c r="M1747" s="50" t="s">
        <v>4204</v>
      </c>
      <c r="N1747" s="50" t="s">
        <v>4204</v>
      </c>
      <c r="O1747" s="50" t="s">
        <v>4204</v>
      </c>
      <c r="P1747" s="50" t="s">
        <v>4204</v>
      </c>
    </row>
    <row r="1748" spans="1:16" ht="12.75" customHeight="1" x14ac:dyDescent="0.25">
      <c r="A1748" s="311">
        <v>1745</v>
      </c>
      <c r="B1748" s="311" t="s">
        <v>69</v>
      </c>
      <c r="C1748" s="311" t="s">
        <v>69</v>
      </c>
      <c r="D1748" s="311" t="s">
        <v>69</v>
      </c>
      <c r="E1748" s="337" t="s">
        <v>69</v>
      </c>
      <c r="F1748" s="311" t="s">
        <v>249</v>
      </c>
      <c r="G1748" s="311" t="s">
        <v>236</v>
      </c>
      <c r="H1748" s="311" t="s">
        <v>359</v>
      </c>
      <c r="I1748" s="311" t="s">
        <v>56</v>
      </c>
      <c r="J1748" s="50" t="s">
        <v>1892</v>
      </c>
      <c r="K1748" s="50" t="s">
        <v>1892</v>
      </c>
      <c r="L1748" s="50" t="s">
        <v>1893</v>
      </c>
      <c r="M1748" s="50" t="s">
        <v>4205</v>
      </c>
      <c r="N1748" s="50" t="s">
        <v>4205</v>
      </c>
      <c r="O1748" s="50" t="s">
        <v>4205</v>
      </c>
      <c r="P1748" s="50" t="s">
        <v>4205</v>
      </c>
    </row>
    <row r="1749" spans="1:16" ht="12.75" customHeight="1" x14ac:dyDescent="0.25">
      <c r="A1749" s="311">
        <v>1746</v>
      </c>
      <c r="B1749" s="311" t="s">
        <v>84</v>
      </c>
      <c r="C1749" s="311" t="s">
        <v>462</v>
      </c>
      <c r="D1749" s="311" t="s">
        <v>462</v>
      </c>
      <c r="E1749" s="337" t="s">
        <v>462</v>
      </c>
      <c r="F1749" s="311" t="s">
        <v>249</v>
      </c>
      <c r="G1749" s="311" t="s">
        <v>23</v>
      </c>
      <c r="H1749" s="311" t="s">
        <v>359</v>
      </c>
      <c r="I1749" s="311" t="s">
        <v>56</v>
      </c>
      <c r="J1749" s="50" t="s">
        <v>1892</v>
      </c>
      <c r="K1749" s="50" t="s">
        <v>1892</v>
      </c>
      <c r="L1749" s="50" t="s">
        <v>1893</v>
      </c>
      <c r="M1749" s="50" t="s">
        <v>4206</v>
      </c>
      <c r="N1749" s="50" t="s">
        <v>4207</v>
      </c>
      <c r="O1749" s="50" t="s">
        <v>4207</v>
      </c>
      <c r="P1749" s="50" t="s">
        <v>4207</v>
      </c>
    </row>
    <row r="1750" spans="1:16" ht="12.75" customHeight="1" x14ac:dyDescent="0.25">
      <c r="A1750" s="311">
        <v>1747</v>
      </c>
      <c r="B1750" s="311" t="s">
        <v>123</v>
      </c>
      <c r="C1750" s="311" t="s">
        <v>462</v>
      </c>
      <c r="D1750" s="311" t="s">
        <v>462</v>
      </c>
      <c r="E1750" s="337" t="s">
        <v>462</v>
      </c>
      <c r="F1750" s="311" t="s">
        <v>249</v>
      </c>
      <c r="G1750" s="311" t="s">
        <v>23</v>
      </c>
      <c r="H1750" s="311" t="s">
        <v>359</v>
      </c>
      <c r="I1750" s="311" t="s">
        <v>56</v>
      </c>
      <c r="J1750" s="50" t="s">
        <v>1892</v>
      </c>
      <c r="K1750" s="50" t="s">
        <v>1892</v>
      </c>
      <c r="L1750" s="50" t="s">
        <v>1893</v>
      </c>
      <c r="M1750" s="50" t="s">
        <v>4208</v>
      </c>
      <c r="N1750" s="50" t="s">
        <v>4207</v>
      </c>
      <c r="O1750" s="50" t="s">
        <v>4207</v>
      </c>
      <c r="P1750" s="50" t="s">
        <v>4207</v>
      </c>
    </row>
    <row r="1751" spans="1:16" ht="12.75" customHeight="1" x14ac:dyDescent="0.25">
      <c r="A1751" s="311">
        <v>1748</v>
      </c>
      <c r="B1751" s="311" t="s">
        <v>75</v>
      </c>
      <c r="C1751" s="311" t="s">
        <v>462</v>
      </c>
      <c r="D1751" s="311" t="s">
        <v>462</v>
      </c>
      <c r="E1751" s="337" t="s">
        <v>462</v>
      </c>
      <c r="F1751" s="311" t="s">
        <v>249</v>
      </c>
      <c r="G1751" s="311" t="s">
        <v>23</v>
      </c>
      <c r="H1751" s="311" t="s">
        <v>359</v>
      </c>
      <c r="I1751" s="311" t="s">
        <v>56</v>
      </c>
      <c r="J1751" s="50" t="s">
        <v>1892</v>
      </c>
      <c r="K1751" s="50" t="s">
        <v>1892</v>
      </c>
      <c r="L1751" s="50" t="s">
        <v>1893</v>
      </c>
      <c r="M1751" s="50" t="s">
        <v>4209</v>
      </c>
      <c r="N1751" s="50" t="s">
        <v>4207</v>
      </c>
      <c r="O1751" s="50" t="s">
        <v>4207</v>
      </c>
      <c r="P1751" s="50" t="s">
        <v>4207</v>
      </c>
    </row>
    <row r="1752" spans="1:16" ht="12.75" customHeight="1" x14ac:dyDescent="0.25">
      <c r="A1752" s="311">
        <v>1749</v>
      </c>
      <c r="B1752" s="311" t="s">
        <v>63</v>
      </c>
      <c r="C1752" s="311" t="s">
        <v>63</v>
      </c>
      <c r="D1752" s="311" t="s">
        <v>462</v>
      </c>
      <c r="E1752" s="337" t="s">
        <v>63</v>
      </c>
      <c r="F1752" s="311" t="s">
        <v>249</v>
      </c>
      <c r="G1752" s="311" t="s">
        <v>23</v>
      </c>
      <c r="H1752" s="311" t="s">
        <v>359</v>
      </c>
      <c r="I1752" s="311" t="s">
        <v>56</v>
      </c>
      <c r="J1752" s="50" t="s">
        <v>1892</v>
      </c>
      <c r="K1752" s="50" t="s">
        <v>1892</v>
      </c>
      <c r="L1752" s="50" t="s">
        <v>1893</v>
      </c>
      <c r="M1752" s="50" t="s">
        <v>4210</v>
      </c>
      <c r="N1752" s="50" t="s">
        <v>4210</v>
      </c>
      <c r="O1752" s="50" t="s">
        <v>4207</v>
      </c>
      <c r="P1752" s="50" t="s">
        <v>4210</v>
      </c>
    </row>
    <row r="1753" spans="1:16" ht="12.75" customHeight="1" x14ac:dyDescent="0.25">
      <c r="A1753" s="311">
        <v>1750</v>
      </c>
      <c r="B1753" s="311" t="s">
        <v>140</v>
      </c>
      <c r="C1753" s="311" t="s">
        <v>140</v>
      </c>
      <c r="D1753" s="311" t="s">
        <v>462</v>
      </c>
      <c r="E1753" s="337" t="s">
        <v>140</v>
      </c>
      <c r="F1753" s="311" t="s">
        <v>249</v>
      </c>
      <c r="G1753" s="311" t="s">
        <v>23</v>
      </c>
      <c r="H1753" s="311" t="s">
        <v>359</v>
      </c>
      <c r="I1753" s="311" t="s">
        <v>56</v>
      </c>
      <c r="J1753" s="50" t="s">
        <v>1892</v>
      </c>
      <c r="K1753" s="50" t="s">
        <v>1892</v>
      </c>
      <c r="L1753" s="50" t="s">
        <v>1893</v>
      </c>
      <c r="M1753" s="50" t="s">
        <v>4211</v>
      </c>
      <c r="N1753" s="50" t="s">
        <v>4211</v>
      </c>
      <c r="O1753" s="50" t="s">
        <v>4207</v>
      </c>
      <c r="P1753" s="50" t="s">
        <v>4211</v>
      </c>
    </row>
    <row r="1754" spans="1:16" ht="12.75" customHeight="1" x14ac:dyDescent="0.25">
      <c r="A1754" s="311">
        <v>1751</v>
      </c>
      <c r="B1754" s="311" t="s">
        <v>121</v>
      </c>
      <c r="C1754" s="311" t="s">
        <v>121</v>
      </c>
      <c r="D1754" s="311" t="s">
        <v>462</v>
      </c>
      <c r="E1754" s="337" t="s">
        <v>121</v>
      </c>
      <c r="F1754" s="311" t="s">
        <v>249</v>
      </c>
      <c r="G1754" s="311" t="s">
        <v>23</v>
      </c>
      <c r="H1754" s="311" t="s">
        <v>359</v>
      </c>
      <c r="I1754" s="311" t="s">
        <v>56</v>
      </c>
      <c r="J1754" s="50" t="s">
        <v>1892</v>
      </c>
      <c r="K1754" s="50" t="s">
        <v>1892</v>
      </c>
      <c r="L1754" s="50" t="s">
        <v>1893</v>
      </c>
      <c r="M1754" s="50" t="s">
        <v>4212</v>
      </c>
      <c r="N1754" s="50" t="s">
        <v>4212</v>
      </c>
      <c r="O1754" s="50" t="s">
        <v>4207</v>
      </c>
      <c r="P1754" s="50" t="s">
        <v>4212</v>
      </c>
    </row>
    <row r="1755" spans="1:16" ht="12.75" customHeight="1" x14ac:dyDescent="0.25">
      <c r="A1755" s="311">
        <v>1752</v>
      </c>
      <c r="B1755" s="311" t="s">
        <v>87</v>
      </c>
      <c r="C1755" s="311" t="s">
        <v>87</v>
      </c>
      <c r="D1755" s="311" t="s">
        <v>462</v>
      </c>
      <c r="E1755" s="337" t="s">
        <v>87</v>
      </c>
      <c r="F1755" s="311" t="s">
        <v>249</v>
      </c>
      <c r="G1755" s="311" t="s">
        <v>23</v>
      </c>
      <c r="H1755" s="311" t="s">
        <v>359</v>
      </c>
      <c r="I1755" s="311" t="s">
        <v>56</v>
      </c>
      <c r="J1755" s="50" t="s">
        <v>1892</v>
      </c>
      <c r="K1755" s="50" t="s">
        <v>1892</v>
      </c>
      <c r="L1755" s="50" t="s">
        <v>1893</v>
      </c>
      <c r="M1755" s="50" t="s">
        <v>4213</v>
      </c>
      <c r="N1755" s="50" t="s">
        <v>4213</v>
      </c>
      <c r="O1755" s="50" t="s">
        <v>4207</v>
      </c>
      <c r="P1755" s="50" t="s">
        <v>4213</v>
      </c>
    </row>
    <row r="1756" spans="1:16" ht="12.75" customHeight="1" x14ac:dyDescent="0.25">
      <c r="A1756" s="311">
        <v>1753</v>
      </c>
      <c r="B1756" s="311" t="s">
        <v>125</v>
      </c>
      <c r="C1756" s="311" t="s">
        <v>125</v>
      </c>
      <c r="D1756" s="311" t="s">
        <v>125</v>
      </c>
      <c r="E1756" s="337" t="s">
        <v>125</v>
      </c>
      <c r="F1756" s="311" t="s">
        <v>249</v>
      </c>
      <c r="G1756" s="311" t="s">
        <v>23</v>
      </c>
      <c r="H1756" s="311" t="s">
        <v>359</v>
      </c>
      <c r="I1756" s="311" t="s">
        <v>56</v>
      </c>
      <c r="J1756" s="50" t="s">
        <v>1892</v>
      </c>
      <c r="K1756" s="50" t="s">
        <v>1892</v>
      </c>
      <c r="L1756" s="50" t="s">
        <v>1893</v>
      </c>
      <c r="M1756" s="50" t="s">
        <v>4214</v>
      </c>
      <c r="N1756" s="50" t="s">
        <v>4214</v>
      </c>
      <c r="O1756" s="50" t="s">
        <v>4214</v>
      </c>
      <c r="P1756" s="50" t="s">
        <v>4214</v>
      </c>
    </row>
    <row r="1757" spans="1:16" ht="12.75" customHeight="1" x14ac:dyDescent="0.25">
      <c r="A1757" s="311">
        <v>1754</v>
      </c>
      <c r="B1757" s="311" t="s">
        <v>134</v>
      </c>
      <c r="C1757" s="311" t="s">
        <v>134</v>
      </c>
      <c r="D1757" s="311" t="s">
        <v>134</v>
      </c>
      <c r="E1757" s="337" t="s">
        <v>134</v>
      </c>
      <c r="F1757" s="311" t="s">
        <v>249</v>
      </c>
      <c r="G1757" s="311" t="s">
        <v>23</v>
      </c>
      <c r="H1757" s="311" t="s">
        <v>359</v>
      </c>
      <c r="I1757" s="311" t="s">
        <v>56</v>
      </c>
      <c r="J1757" s="50" t="s">
        <v>1892</v>
      </c>
      <c r="K1757" s="50" t="s">
        <v>1892</v>
      </c>
      <c r="L1757" s="50" t="s">
        <v>1893</v>
      </c>
      <c r="M1757" s="50" t="s">
        <v>4215</v>
      </c>
      <c r="N1757" s="50" t="s">
        <v>4215</v>
      </c>
      <c r="O1757" s="50" t="s">
        <v>4215</v>
      </c>
      <c r="P1757" s="50" t="s">
        <v>4215</v>
      </c>
    </row>
    <row r="1758" spans="1:16" ht="12.75" customHeight="1" x14ac:dyDescent="0.25">
      <c r="A1758" s="311">
        <v>1755</v>
      </c>
      <c r="B1758" s="311" t="s">
        <v>141</v>
      </c>
      <c r="C1758" s="311" t="s">
        <v>141</v>
      </c>
      <c r="D1758" s="311" t="s">
        <v>141</v>
      </c>
      <c r="E1758" s="337" t="s">
        <v>141</v>
      </c>
      <c r="F1758" s="311" t="s">
        <v>249</v>
      </c>
      <c r="G1758" s="311" t="s">
        <v>23</v>
      </c>
      <c r="H1758" s="311" t="s">
        <v>359</v>
      </c>
      <c r="I1758" s="311" t="s">
        <v>56</v>
      </c>
      <c r="J1758" s="50" t="s">
        <v>1892</v>
      </c>
      <c r="K1758" s="50" t="s">
        <v>1892</v>
      </c>
      <c r="L1758" s="50" t="s">
        <v>1893</v>
      </c>
      <c r="M1758" s="50" t="s">
        <v>4216</v>
      </c>
      <c r="N1758" s="50" t="s">
        <v>4216</v>
      </c>
      <c r="O1758" s="50" t="s">
        <v>4216</v>
      </c>
      <c r="P1758" s="50" t="s">
        <v>4216</v>
      </c>
    </row>
    <row r="1759" spans="1:16" ht="12.75" customHeight="1" x14ac:dyDescent="0.25">
      <c r="A1759" s="311">
        <v>1756</v>
      </c>
      <c r="B1759" s="311" t="s">
        <v>69</v>
      </c>
      <c r="C1759" s="311" t="s">
        <v>69</v>
      </c>
      <c r="D1759" s="311" t="s">
        <v>69</v>
      </c>
      <c r="E1759" s="337" t="s">
        <v>69</v>
      </c>
      <c r="F1759" s="311" t="s">
        <v>249</v>
      </c>
      <c r="G1759" s="311" t="s">
        <v>23</v>
      </c>
      <c r="H1759" s="311" t="s">
        <v>359</v>
      </c>
      <c r="I1759" s="311" t="s">
        <v>56</v>
      </c>
      <c r="J1759" s="50" t="s">
        <v>1892</v>
      </c>
      <c r="K1759" s="50" t="s">
        <v>1892</v>
      </c>
      <c r="L1759" s="50" t="s">
        <v>1893</v>
      </c>
      <c r="M1759" s="50" t="s">
        <v>4217</v>
      </c>
      <c r="N1759" s="50" t="s">
        <v>4217</v>
      </c>
      <c r="O1759" s="50" t="s">
        <v>4217</v>
      </c>
      <c r="P1759" s="50" t="s">
        <v>4217</v>
      </c>
    </row>
    <row r="1760" spans="1:16" ht="12.75" customHeight="1" x14ac:dyDescent="0.25">
      <c r="A1760" s="311">
        <v>1757</v>
      </c>
      <c r="B1760" s="311" t="s">
        <v>84</v>
      </c>
      <c r="C1760" s="311" t="s">
        <v>462</v>
      </c>
      <c r="D1760" s="311" t="s">
        <v>462</v>
      </c>
      <c r="E1760" s="337" t="s">
        <v>462</v>
      </c>
      <c r="F1760" s="311" t="s">
        <v>249</v>
      </c>
      <c r="G1760" s="311" t="s">
        <v>237</v>
      </c>
      <c r="H1760" s="311" t="s">
        <v>359</v>
      </c>
      <c r="I1760" s="311" t="s">
        <v>56</v>
      </c>
      <c r="J1760" s="50" t="s">
        <v>1892</v>
      </c>
      <c r="K1760" s="50" t="s">
        <v>1892</v>
      </c>
      <c r="L1760" s="50" t="s">
        <v>1893</v>
      </c>
      <c r="M1760" s="50" t="s">
        <v>4218</v>
      </c>
      <c r="N1760" s="50" t="s">
        <v>4219</v>
      </c>
      <c r="O1760" s="50" t="s">
        <v>4219</v>
      </c>
      <c r="P1760" s="50" t="s">
        <v>4219</v>
      </c>
    </row>
    <row r="1761" spans="1:16" ht="12.75" customHeight="1" x14ac:dyDescent="0.25">
      <c r="A1761" s="311">
        <v>1758</v>
      </c>
      <c r="B1761" s="311" t="s">
        <v>123</v>
      </c>
      <c r="C1761" s="311" t="s">
        <v>462</v>
      </c>
      <c r="D1761" s="311" t="s">
        <v>462</v>
      </c>
      <c r="E1761" s="337" t="s">
        <v>462</v>
      </c>
      <c r="F1761" s="311" t="s">
        <v>249</v>
      </c>
      <c r="G1761" s="311" t="s">
        <v>237</v>
      </c>
      <c r="H1761" s="311" t="s">
        <v>359</v>
      </c>
      <c r="I1761" s="311" t="s">
        <v>56</v>
      </c>
      <c r="J1761" s="50" t="s">
        <v>1892</v>
      </c>
      <c r="K1761" s="50" t="s">
        <v>1892</v>
      </c>
      <c r="L1761" s="50" t="s">
        <v>1893</v>
      </c>
      <c r="M1761" s="50" t="s">
        <v>4220</v>
      </c>
      <c r="N1761" s="50" t="s">
        <v>4219</v>
      </c>
      <c r="O1761" s="50" t="s">
        <v>4219</v>
      </c>
      <c r="P1761" s="50" t="s">
        <v>4219</v>
      </c>
    </row>
    <row r="1762" spans="1:16" ht="12.75" customHeight="1" x14ac:dyDescent="0.25">
      <c r="A1762" s="311">
        <v>1759</v>
      </c>
      <c r="B1762" s="311" t="s">
        <v>75</v>
      </c>
      <c r="C1762" s="311" t="s">
        <v>462</v>
      </c>
      <c r="D1762" s="311" t="s">
        <v>462</v>
      </c>
      <c r="E1762" s="337" t="s">
        <v>462</v>
      </c>
      <c r="F1762" s="311" t="s">
        <v>249</v>
      </c>
      <c r="G1762" s="311" t="s">
        <v>237</v>
      </c>
      <c r="H1762" s="311" t="s">
        <v>359</v>
      </c>
      <c r="I1762" s="311" t="s">
        <v>56</v>
      </c>
      <c r="J1762" s="50" t="s">
        <v>1892</v>
      </c>
      <c r="K1762" s="50" t="s">
        <v>1892</v>
      </c>
      <c r="L1762" s="50" t="s">
        <v>1893</v>
      </c>
      <c r="M1762" s="50" t="s">
        <v>4221</v>
      </c>
      <c r="N1762" s="50" t="s">
        <v>4219</v>
      </c>
      <c r="O1762" s="50" t="s">
        <v>4219</v>
      </c>
      <c r="P1762" s="50" t="s">
        <v>4219</v>
      </c>
    </row>
    <row r="1763" spans="1:16" ht="12.75" customHeight="1" x14ac:dyDescent="0.25">
      <c r="A1763" s="311">
        <v>1760</v>
      </c>
      <c r="B1763" s="311" t="s">
        <v>63</v>
      </c>
      <c r="C1763" s="311" t="s">
        <v>63</v>
      </c>
      <c r="D1763" s="311" t="s">
        <v>462</v>
      </c>
      <c r="E1763" s="337" t="s">
        <v>63</v>
      </c>
      <c r="F1763" s="311" t="s">
        <v>249</v>
      </c>
      <c r="G1763" s="311" t="s">
        <v>237</v>
      </c>
      <c r="H1763" s="311" t="s">
        <v>359</v>
      </c>
      <c r="I1763" s="311" t="s">
        <v>56</v>
      </c>
      <c r="J1763" s="50" t="s">
        <v>1892</v>
      </c>
      <c r="K1763" s="50" t="s">
        <v>1892</v>
      </c>
      <c r="L1763" s="50" t="s">
        <v>1893</v>
      </c>
      <c r="M1763" s="50" t="s">
        <v>4222</v>
      </c>
      <c r="N1763" s="50" t="s">
        <v>4222</v>
      </c>
      <c r="O1763" s="50" t="s">
        <v>4219</v>
      </c>
      <c r="P1763" s="50" t="s">
        <v>4222</v>
      </c>
    </row>
    <row r="1764" spans="1:16" ht="12.75" customHeight="1" x14ac:dyDescent="0.25">
      <c r="A1764" s="311">
        <v>1761</v>
      </c>
      <c r="B1764" s="311" t="s">
        <v>140</v>
      </c>
      <c r="C1764" s="311" t="s">
        <v>140</v>
      </c>
      <c r="D1764" s="311" t="s">
        <v>462</v>
      </c>
      <c r="E1764" s="337" t="s">
        <v>140</v>
      </c>
      <c r="F1764" s="311" t="s">
        <v>249</v>
      </c>
      <c r="G1764" s="311" t="s">
        <v>237</v>
      </c>
      <c r="H1764" s="311" t="s">
        <v>359</v>
      </c>
      <c r="I1764" s="311" t="s">
        <v>56</v>
      </c>
      <c r="J1764" s="50" t="s">
        <v>1892</v>
      </c>
      <c r="K1764" s="50" t="s">
        <v>1892</v>
      </c>
      <c r="L1764" s="50" t="s">
        <v>1893</v>
      </c>
      <c r="M1764" s="50" t="s">
        <v>4223</v>
      </c>
      <c r="N1764" s="50" t="s">
        <v>4223</v>
      </c>
      <c r="O1764" s="50" t="s">
        <v>4219</v>
      </c>
      <c r="P1764" s="50" t="s">
        <v>4223</v>
      </c>
    </row>
    <row r="1765" spans="1:16" ht="12.75" customHeight="1" x14ac:dyDescent="0.25">
      <c r="A1765" s="311">
        <v>1762</v>
      </c>
      <c r="B1765" s="311" t="s">
        <v>121</v>
      </c>
      <c r="C1765" s="311" t="s">
        <v>121</v>
      </c>
      <c r="D1765" s="311" t="s">
        <v>462</v>
      </c>
      <c r="E1765" s="337" t="s">
        <v>121</v>
      </c>
      <c r="F1765" s="311" t="s">
        <v>249</v>
      </c>
      <c r="G1765" s="311" t="s">
        <v>237</v>
      </c>
      <c r="H1765" s="311" t="s">
        <v>359</v>
      </c>
      <c r="I1765" s="311" t="s">
        <v>56</v>
      </c>
      <c r="J1765" s="50" t="s">
        <v>1892</v>
      </c>
      <c r="K1765" s="50" t="s">
        <v>1892</v>
      </c>
      <c r="L1765" s="50" t="s">
        <v>1893</v>
      </c>
      <c r="M1765" s="50" t="s">
        <v>4224</v>
      </c>
      <c r="N1765" s="50" t="s">
        <v>4224</v>
      </c>
      <c r="O1765" s="50" t="s">
        <v>4219</v>
      </c>
      <c r="P1765" s="50" t="s">
        <v>4224</v>
      </c>
    </row>
    <row r="1766" spans="1:16" ht="12.75" customHeight="1" x14ac:dyDescent="0.25">
      <c r="A1766" s="311">
        <v>1763</v>
      </c>
      <c r="B1766" s="311" t="s">
        <v>87</v>
      </c>
      <c r="C1766" s="311" t="s">
        <v>87</v>
      </c>
      <c r="D1766" s="311" t="s">
        <v>462</v>
      </c>
      <c r="E1766" s="337" t="s">
        <v>87</v>
      </c>
      <c r="F1766" s="311" t="s">
        <v>249</v>
      </c>
      <c r="G1766" s="311" t="s">
        <v>237</v>
      </c>
      <c r="H1766" s="311" t="s">
        <v>359</v>
      </c>
      <c r="I1766" s="311" t="s">
        <v>56</v>
      </c>
      <c r="J1766" s="50" t="s">
        <v>1892</v>
      </c>
      <c r="K1766" s="50" t="s">
        <v>1892</v>
      </c>
      <c r="L1766" s="50" t="s">
        <v>1893</v>
      </c>
      <c r="M1766" s="50" t="s">
        <v>4225</v>
      </c>
      <c r="N1766" s="50" t="s">
        <v>4225</v>
      </c>
      <c r="O1766" s="50" t="s">
        <v>4219</v>
      </c>
      <c r="P1766" s="50" t="s">
        <v>4225</v>
      </c>
    </row>
    <row r="1767" spans="1:16" ht="12.75" customHeight="1" x14ac:dyDescent="0.25">
      <c r="A1767" s="311">
        <v>1764</v>
      </c>
      <c r="B1767" s="311" t="s">
        <v>125</v>
      </c>
      <c r="C1767" s="311" t="s">
        <v>125</v>
      </c>
      <c r="D1767" s="311" t="s">
        <v>125</v>
      </c>
      <c r="E1767" s="337" t="s">
        <v>125</v>
      </c>
      <c r="F1767" s="311" t="s">
        <v>249</v>
      </c>
      <c r="G1767" s="311" t="s">
        <v>237</v>
      </c>
      <c r="H1767" s="311" t="s">
        <v>359</v>
      </c>
      <c r="I1767" s="311" t="s">
        <v>56</v>
      </c>
      <c r="J1767" s="50" t="s">
        <v>1892</v>
      </c>
      <c r="K1767" s="50" t="s">
        <v>1892</v>
      </c>
      <c r="L1767" s="50" t="s">
        <v>1893</v>
      </c>
      <c r="M1767" s="50" t="s">
        <v>4226</v>
      </c>
      <c r="N1767" s="50" t="s">
        <v>4226</v>
      </c>
      <c r="O1767" s="50" t="s">
        <v>4226</v>
      </c>
      <c r="P1767" s="50" t="s">
        <v>4226</v>
      </c>
    </row>
    <row r="1768" spans="1:16" ht="12.75" customHeight="1" x14ac:dyDescent="0.25">
      <c r="A1768" s="311">
        <v>1765</v>
      </c>
      <c r="B1768" s="311" t="s">
        <v>134</v>
      </c>
      <c r="C1768" s="311" t="s">
        <v>134</v>
      </c>
      <c r="D1768" s="311" t="s">
        <v>134</v>
      </c>
      <c r="E1768" s="337" t="s">
        <v>134</v>
      </c>
      <c r="F1768" s="311" t="s">
        <v>249</v>
      </c>
      <c r="G1768" s="311" t="s">
        <v>237</v>
      </c>
      <c r="H1768" s="311" t="s">
        <v>359</v>
      </c>
      <c r="I1768" s="311" t="s">
        <v>56</v>
      </c>
      <c r="J1768" s="50" t="s">
        <v>1892</v>
      </c>
      <c r="K1768" s="50" t="s">
        <v>1892</v>
      </c>
      <c r="L1768" s="50" t="s">
        <v>1893</v>
      </c>
      <c r="M1768" s="50" t="s">
        <v>4227</v>
      </c>
      <c r="N1768" s="50" t="s">
        <v>4227</v>
      </c>
      <c r="O1768" s="50" t="s">
        <v>4227</v>
      </c>
      <c r="P1768" s="50" t="s">
        <v>4227</v>
      </c>
    </row>
    <row r="1769" spans="1:16" ht="12.75" customHeight="1" x14ac:dyDescent="0.25">
      <c r="A1769" s="311">
        <v>1766</v>
      </c>
      <c r="B1769" s="311" t="s">
        <v>141</v>
      </c>
      <c r="C1769" s="311" t="s">
        <v>141</v>
      </c>
      <c r="D1769" s="311" t="s">
        <v>141</v>
      </c>
      <c r="E1769" s="337" t="s">
        <v>141</v>
      </c>
      <c r="F1769" s="311" t="s">
        <v>249</v>
      </c>
      <c r="G1769" s="311" t="s">
        <v>237</v>
      </c>
      <c r="H1769" s="311" t="s">
        <v>359</v>
      </c>
      <c r="I1769" s="311" t="s">
        <v>56</v>
      </c>
      <c r="J1769" s="50" t="s">
        <v>1892</v>
      </c>
      <c r="K1769" s="50" t="s">
        <v>1892</v>
      </c>
      <c r="L1769" s="50" t="s">
        <v>1893</v>
      </c>
      <c r="M1769" s="50" t="s">
        <v>4228</v>
      </c>
      <c r="N1769" s="50" t="s">
        <v>4228</v>
      </c>
      <c r="O1769" s="50" t="s">
        <v>4228</v>
      </c>
      <c r="P1769" s="50" t="s">
        <v>4228</v>
      </c>
    </row>
    <row r="1770" spans="1:16" ht="12.75" customHeight="1" x14ac:dyDescent="0.25">
      <c r="A1770" s="311">
        <v>1767</v>
      </c>
      <c r="B1770" s="311" t="s">
        <v>69</v>
      </c>
      <c r="C1770" s="311" t="s">
        <v>69</v>
      </c>
      <c r="D1770" s="311" t="s">
        <v>69</v>
      </c>
      <c r="E1770" s="337" t="s">
        <v>69</v>
      </c>
      <c r="F1770" s="311" t="s">
        <v>249</v>
      </c>
      <c r="G1770" s="311" t="s">
        <v>237</v>
      </c>
      <c r="H1770" s="311" t="s">
        <v>359</v>
      </c>
      <c r="I1770" s="311" t="s">
        <v>56</v>
      </c>
      <c r="J1770" s="50" t="s">
        <v>1892</v>
      </c>
      <c r="K1770" s="50" t="s">
        <v>1892</v>
      </c>
      <c r="L1770" s="50" t="s">
        <v>1893</v>
      </c>
      <c r="M1770" s="50" t="s">
        <v>4229</v>
      </c>
      <c r="N1770" s="50" t="s">
        <v>4229</v>
      </c>
      <c r="O1770" s="50" t="s">
        <v>4229</v>
      </c>
      <c r="P1770" s="50" t="s">
        <v>4229</v>
      </c>
    </row>
    <row r="1771" spans="1:16" ht="12.75" customHeight="1" x14ac:dyDescent="0.25">
      <c r="A1771" s="311">
        <v>1768</v>
      </c>
      <c r="B1771" s="311" t="s">
        <v>84</v>
      </c>
      <c r="C1771" s="311" t="s">
        <v>462</v>
      </c>
      <c r="D1771" s="311" t="s">
        <v>462</v>
      </c>
      <c r="E1771" s="337" t="s">
        <v>462</v>
      </c>
      <c r="F1771" s="311" t="s">
        <v>250</v>
      </c>
      <c r="G1771" s="311" t="s">
        <v>236</v>
      </c>
      <c r="H1771" s="311" t="s">
        <v>360</v>
      </c>
      <c r="I1771" s="311" t="s">
        <v>56</v>
      </c>
      <c r="J1771" s="50" t="s">
        <v>1892</v>
      </c>
      <c r="K1771" s="50" t="s">
        <v>1892</v>
      </c>
      <c r="L1771" s="50" t="s">
        <v>1893</v>
      </c>
      <c r="M1771" s="50" t="s">
        <v>4230</v>
      </c>
      <c r="N1771" s="50" t="s">
        <v>4231</v>
      </c>
      <c r="O1771" s="50" t="s">
        <v>4231</v>
      </c>
      <c r="P1771" s="50" t="s">
        <v>4231</v>
      </c>
    </row>
    <row r="1772" spans="1:16" ht="12.75" customHeight="1" x14ac:dyDescent="0.25">
      <c r="A1772" s="311">
        <v>1769</v>
      </c>
      <c r="B1772" s="311" t="s">
        <v>123</v>
      </c>
      <c r="C1772" s="311" t="s">
        <v>462</v>
      </c>
      <c r="D1772" s="311" t="s">
        <v>462</v>
      </c>
      <c r="E1772" s="337" t="s">
        <v>462</v>
      </c>
      <c r="F1772" s="311" t="s">
        <v>250</v>
      </c>
      <c r="G1772" s="311" t="s">
        <v>236</v>
      </c>
      <c r="H1772" s="311" t="s">
        <v>360</v>
      </c>
      <c r="I1772" s="311" t="s">
        <v>56</v>
      </c>
      <c r="J1772" s="50" t="s">
        <v>1892</v>
      </c>
      <c r="K1772" s="50" t="s">
        <v>1892</v>
      </c>
      <c r="L1772" s="50" t="s">
        <v>1893</v>
      </c>
      <c r="M1772" s="50" t="s">
        <v>4232</v>
      </c>
      <c r="N1772" s="50" t="s">
        <v>4231</v>
      </c>
      <c r="O1772" s="50" t="s">
        <v>4231</v>
      </c>
      <c r="P1772" s="50" t="s">
        <v>4231</v>
      </c>
    </row>
    <row r="1773" spans="1:16" ht="12.75" customHeight="1" x14ac:dyDescent="0.25">
      <c r="A1773" s="311">
        <v>1770</v>
      </c>
      <c r="B1773" s="311" t="s">
        <v>75</v>
      </c>
      <c r="C1773" s="311" t="s">
        <v>462</v>
      </c>
      <c r="D1773" s="311" t="s">
        <v>462</v>
      </c>
      <c r="E1773" s="337" t="s">
        <v>462</v>
      </c>
      <c r="F1773" s="311" t="s">
        <v>250</v>
      </c>
      <c r="G1773" s="311" t="s">
        <v>236</v>
      </c>
      <c r="H1773" s="311" t="s">
        <v>360</v>
      </c>
      <c r="I1773" s="311" t="s">
        <v>56</v>
      </c>
      <c r="J1773" s="50" t="s">
        <v>1892</v>
      </c>
      <c r="K1773" s="50" t="s">
        <v>1892</v>
      </c>
      <c r="L1773" s="50" t="s">
        <v>1893</v>
      </c>
      <c r="M1773" s="50" t="s">
        <v>4233</v>
      </c>
      <c r="N1773" s="50" t="s">
        <v>4231</v>
      </c>
      <c r="O1773" s="50" t="s">
        <v>4231</v>
      </c>
      <c r="P1773" s="50" t="s">
        <v>4231</v>
      </c>
    </row>
    <row r="1774" spans="1:16" ht="12.75" customHeight="1" x14ac:dyDescent="0.25">
      <c r="A1774" s="311">
        <v>1771</v>
      </c>
      <c r="B1774" s="311" t="s">
        <v>63</v>
      </c>
      <c r="C1774" s="311" t="s">
        <v>63</v>
      </c>
      <c r="D1774" s="311" t="s">
        <v>462</v>
      </c>
      <c r="E1774" s="337" t="s">
        <v>63</v>
      </c>
      <c r="F1774" s="311" t="s">
        <v>250</v>
      </c>
      <c r="G1774" s="311" t="s">
        <v>236</v>
      </c>
      <c r="H1774" s="311" t="s">
        <v>360</v>
      </c>
      <c r="I1774" s="311" t="s">
        <v>56</v>
      </c>
      <c r="J1774" s="50" t="s">
        <v>1892</v>
      </c>
      <c r="K1774" s="50" t="s">
        <v>1892</v>
      </c>
      <c r="L1774" s="50" t="s">
        <v>1893</v>
      </c>
      <c r="M1774" s="50" t="s">
        <v>4234</v>
      </c>
      <c r="N1774" s="50" t="s">
        <v>4234</v>
      </c>
      <c r="O1774" s="50" t="s">
        <v>4231</v>
      </c>
      <c r="P1774" s="50" t="s">
        <v>4234</v>
      </c>
    </row>
    <row r="1775" spans="1:16" ht="12.75" customHeight="1" x14ac:dyDescent="0.25">
      <c r="A1775" s="311">
        <v>1772</v>
      </c>
      <c r="B1775" s="311" t="s">
        <v>140</v>
      </c>
      <c r="C1775" s="311" t="s">
        <v>140</v>
      </c>
      <c r="D1775" s="311" t="s">
        <v>462</v>
      </c>
      <c r="E1775" s="337" t="s">
        <v>140</v>
      </c>
      <c r="F1775" s="311" t="s">
        <v>250</v>
      </c>
      <c r="G1775" s="311" t="s">
        <v>236</v>
      </c>
      <c r="H1775" s="311" t="s">
        <v>360</v>
      </c>
      <c r="I1775" s="311" t="s">
        <v>56</v>
      </c>
      <c r="J1775" s="50" t="s">
        <v>1892</v>
      </c>
      <c r="K1775" s="50" t="s">
        <v>1892</v>
      </c>
      <c r="L1775" s="50" t="s">
        <v>1893</v>
      </c>
      <c r="M1775" s="50" t="s">
        <v>4235</v>
      </c>
      <c r="N1775" s="50" t="s">
        <v>4235</v>
      </c>
      <c r="O1775" s="50" t="s">
        <v>4231</v>
      </c>
      <c r="P1775" s="50" t="s">
        <v>4235</v>
      </c>
    </row>
    <row r="1776" spans="1:16" ht="12.75" customHeight="1" x14ac:dyDescent="0.25">
      <c r="A1776" s="311">
        <v>1773</v>
      </c>
      <c r="B1776" s="311" t="s">
        <v>121</v>
      </c>
      <c r="C1776" s="311" t="s">
        <v>121</v>
      </c>
      <c r="D1776" s="311" t="s">
        <v>462</v>
      </c>
      <c r="E1776" s="337" t="s">
        <v>121</v>
      </c>
      <c r="F1776" s="311" t="s">
        <v>250</v>
      </c>
      <c r="G1776" s="311" t="s">
        <v>236</v>
      </c>
      <c r="H1776" s="311" t="s">
        <v>360</v>
      </c>
      <c r="I1776" s="311" t="s">
        <v>56</v>
      </c>
      <c r="J1776" s="50" t="s">
        <v>1892</v>
      </c>
      <c r="K1776" s="50" t="s">
        <v>1892</v>
      </c>
      <c r="L1776" s="50" t="s">
        <v>1893</v>
      </c>
      <c r="M1776" s="50" t="s">
        <v>4236</v>
      </c>
      <c r="N1776" s="50" t="s">
        <v>4236</v>
      </c>
      <c r="O1776" s="50" t="s">
        <v>4231</v>
      </c>
      <c r="P1776" s="50" t="s">
        <v>4236</v>
      </c>
    </row>
    <row r="1777" spans="1:16" ht="12.75" customHeight="1" x14ac:dyDescent="0.25">
      <c r="A1777" s="311">
        <v>1774</v>
      </c>
      <c r="B1777" s="311" t="s">
        <v>87</v>
      </c>
      <c r="C1777" s="311" t="s">
        <v>87</v>
      </c>
      <c r="D1777" s="311" t="s">
        <v>462</v>
      </c>
      <c r="E1777" s="337" t="s">
        <v>87</v>
      </c>
      <c r="F1777" s="311" t="s">
        <v>250</v>
      </c>
      <c r="G1777" s="311" t="s">
        <v>236</v>
      </c>
      <c r="H1777" s="311" t="s">
        <v>360</v>
      </c>
      <c r="I1777" s="311" t="s">
        <v>56</v>
      </c>
      <c r="J1777" s="50" t="s">
        <v>1892</v>
      </c>
      <c r="K1777" s="50" t="s">
        <v>1892</v>
      </c>
      <c r="L1777" s="50" t="s">
        <v>1893</v>
      </c>
      <c r="M1777" s="50" t="s">
        <v>4237</v>
      </c>
      <c r="N1777" s="50" t="s">
        <v>4237</v>
      </c>
      <c r="O1777" s="50" t="s">
        <v>4231</v>
      </c>
      <c r="P1777" s="50" t="s">
        <v>4237</v>
      </c>
    </row>
    <row r="1778" spans="1:16" ht="12.75" customHeight="1" x14ac:dyDescent="0.25">
      <c r="A1778" s="311">
        <v>1775</v>
      </c>
      <c r="B1778" s="311" t="s">
        <v>125</v>
      </c>
      <c r="C1778" s="311" t="s">
        <v>125</v>
      </c>
      <c r="D1778" s="311" t="s">
        <v>125</v>
      </c>
      <c r="E1778" s="337" t="s">
        <v>125</v>
      </c>
      <c r="F1778" s="311" t="s">
        <v>250</v>
      </c>
      <c r="G1778" s="311" t="s">
        <v>236</v>
      </c>
      <c r="H1778" s="311" t="s">
        <v>360</v>
      </c>
      <c r="I1778" s="311" t="s">
        <v>56</v>
      </c>
      <c r="J1778" s="50" t="s">
        <v>1892</v>
      </c>
      <c r="K1778" s="50" t="s">
        <v>1892</v>
      </c>
      <c r="L1778" s="50" t="s">
        <v>1893</v>
      </c>
      <c r="M1778" s="50" t="s">
        <v>4238</v>
      </c>
      <c r="N1778" s="50" t="s">
        <v>4238</v>
      </c>
      <c r="O1778" s="50" t="s">
        <v>4238</v>
      </c>
      <c r="P1778" s="50" t="s">
        <v>4238</v>
      </c>
    </row>
    <row r="1779" spans="1:16" ht="12.75" customHeight="1" x14ac:dyDescent="0.25">
      <c r="A1779" s="311">
        <v>1776</v>
      </c>
      <c r="B1779" s="311" t="s">
        <v>134</v>
      </c>
      <c r="C1779" s="311" t="s">
        <v>134</v>
      </c>
      <c r="D1779" s="311" t="s">
        <v>134</v>
      </c>
      <c r="E1779" s="337" t="s">
        <v>134</v>
      </c>
      <c r="F1779" s="311" t="s">
        <v>250</v>
      </c>
      <c r="G1779" s="311" t="s">
        <v>236</v>
      </c>
      <c r="H1779" s="311" t="s">
        <v>360</v>
      </c>
      <c r="I1779" s="311" t="s">
        <v>56</v>
      </c>
      <c r="J1779" s="50" t="s">
        <v>1892</v>
      </c>
      <c r="K1779" s="50" t="s">
        <v>1892</v>
      </c>
      <c r="L1779" s="50" t="s">
        <v>1893</v>
      </c>
      <c r="M1779" s="50" t="s">
        <v>4239</v>
      </c>
      <c r="N1779" s="50" t="s">
        <v>4239</v>
      </c>
      <c r="O1779" s="50" t="s">
        <v>4239</v>
      </c>
      <c r="P1779" s="50" t="s">
        <v>4239</v>
      </c>
    </row>
    <row r="1780" spans="1:16" ht="12.75" customHeight="1" x14ac:dyDescent="0.25">
      <c r="A1780" s="311">
        <v>1777</v>
      </c>
      <c r="B1780" s="311" t="s">
        <v>141</v>
      </c>
      <c r="C1780" s="311" t="s">
        <v>141</v>
      </c>
      <c r="D1780" s="311" t="s">
        <v>141</v>
      </c>
      <c r="E1780" s="337" t="s">
        <v>141</v>
      </c>
      <c r="F1780" s="311" t="s">
        <v>250</v>
      </c>
      <c r="G1780" s="311" t="s">
        <v>236</v>
      </c>
      <c r="H1780" s="311" t="s">
        <v>360</v>
      </c>
      <c r="I1780" s="311" t="s">
        <v>56</v>
      </c>
      <c r="J1780" s="50" t="s">
        <v>1892</v>
      </c>
      <c r="K1780" s="50" t="s">
        <v>1892</v>
      </c>
      <c r="L1780" s="50" t="s">
        <v>1893</v>
      </c>
      <c r="M1780" s="50" t="s">
        <v>4240</v>
      </c>
      <c r="N1780" s="50" t="s">
        <v>4240</v>
      </c>
      <c r="O1780" s="50" t="s">
        <v>4240</v>
      </c>
      <c r="P1780" s="50" t="s">
        <v>4240</v>
      </c>
    </row>
    <row r="1781" spans="1:16" ht="12.75" customHeight="1" x14ac:dyDescent="0.25">
      <c r="A1781" s="311">
        <v>1778</v>
      </c>
      <c r="B1781" s="311" t="s">
        <v>69</v>
      </c>
      <c r="C1781" s="311" t="s">
        <v>69</v>
      </c>
      <c r="D1781" s="311" t="s">
        <v>69</v>
      </c>
      <c r="E1781" s="337" t="s">
        <v>69</v>
      </c>
      <c r="F1781" s="311" t="s">
        <v>250</v>
      </c>
      <c r="G1781" s="311" t="s">
        <v>236</v>
      </c>
      <c r="H1781" s="311" t="s">
        <v>360</v>
      </c>
      <c r="I1781" s="311" t="s">
        <v>56</v>
      </c>
      <c r="J1781" s="50" t="s">
        <v>1892</v>
      </c>
      <c r="K1781" s="50" t="s">
        <v>1892</v>
      </c>
      <c r="L1781" s="50" t="s">
        <v>1893</v>
      </c>
      <c r="M1781" s="50" t="s">
        <v>4241</v>
      </c>
      <c r="N1781" s="50" t="s">
        <v>4241</v>
      </c>
      <c r="O1781" s="50" t="s">
        <v>4241</v>
      </c>
      <c r="P1781" s="50" t="s">
        <v>4241</v>
      </c>
    </row>
    <row r="1782" spans="1:16" ht="12.75" customHeight="1" x14ac:dyDescent="0.25">
      <c r="A1782" s="311">
        <v>1779</v>
      </c>
      <c r="B1782" s="311" t="s">
        <v>84</v>
      </c>
      <c r="C1782" s="311" t="s">
        <v>462</v>
      </c>
      <c r="D1782" s="311" t="s">
        <v>462</v>
      </c>
      <c r="E1782" s="337" t="s">
        <v>462</v>
      </c>
      <c r="F1782" s="311" t="s">
        <v>250</v>
      </c>
      <c r="G1782" s="311" t="s">
        <v>23</v>
      </c>
      <c r="H1782" s="311" t="s">
        <v>360</v>
      </c>
      <c r="I1782" s="311" t="s">
        <v>56</v>
      </c>
      <c r="J1782" s="50" t="s">
        <v>1892</v>
      </c>
      <c r="K1782" s="50" t="s">
        <v>1892</v>
      </c>
      <c r="L1782" s="50" t="s">
        <v>1893</v>
      </c>
      <c r="M1782" s="50" t="s">
        <v>4242</v>
      </c>
      <c r="N1782" s="50" t="s">
        <v>4243</v>
      </c>
      <c r="O1782" s="50" t="s">
        <v>4243</v>
      </c>
      <c r="P1782" s="50" t="s">
        <v>4243</v>
      </c>
    </row>
    <row r="1783" spans="1:16" ht="12.75" customHeight="1" x14ac:dyDescent="0.25">
      <c r="A1783" s="311">
        <v>1780</v>
      </c>
      <c r="B1783" s="311" t="s">
        <v>123</v>
      </c>
      <c r="C1783" s="311" t="s">
        <v>462</v>
      </c>
      <c r="D1783" s="311" t="s">
        <v>462</v>
      </c>
      <c r="E1783" s="337" t="s">
        <v>462</v>
      </c>
      <c r="F1783" s="311" t="s">
        <v>250</v>
      </c>
      <c r="G1783" s="311" t="s">
        <v>23</v>
      </c>
      <c r="H1783" s="311" t="s">
        <v>360</v>
      </c>
      <c r="I1783" s="311" t="s">
        <v>56</v>
      </c>
      <c r="J1783" s="50" t="s">
        <v>1892</v>
      </c>
      <c r="K1783" s="50" t="s">
        <v>1892</v>
      </c>
      <c r="L1783" s="50" t="s">
        <v>1893</v>
      </c>
      <c r="M1783" s="50" t="s">
        <v>4244</v>
      </c>
      <c r="N1783" s="50" t="s">
        <v>4243</v>
      </c>
      <c r="O1783" s="50" t="s">
        <v>4243</v>
      </c>
      <c r="P1783" s="50" t="s">
        <v>4243</v>
      </c>
    </row>
    <row r="1784" spans="1:16" ht="12.75" customHeight="1" x14ac:dyDescent="0.25">
      <c r="A1784" s="311">
        <v>1781</v>
      </c>
      <c r="B1784" s="311" t="s">
        <v>75</v>
      </c>
      <c r="C1784" s="311" t="s">
        <v>462</v>
      </c>
      <c r="D1784" s="311" t="s">
        <v>462</v>
      </c>
      <c r="E1784" s="337" t="s">
        <v>462</v>
      </c>
      <c r="F1784" s="311" t="s">
        <v>250</v>
      </c>
      <c r="G1784" s="311" t="s">
        <v>23</v>
      </c>
      <c r="H1784" s="311" t="s">
        <v>360</v>
      </c>
      <c r="I1784" s="311" t="s">
        <v>56</v>
      </c>
      <c r="J1784" s="50" t="s">
        <v>1892</v>
      </c>
      <c r="K1784" s="50" t="s">
        <v>1892</v>
      </c>
      <c r="L1784" s="50" t="s">
        <v>1893</v>
      </c>
      <c r="M1784" s="50" t="s">
        <v>4245</v>
      </c>
      <c r="N1784" s="50" t="s">
        <v>4243</v>
      </c>
      <c r="O1784" s="50" t="s">
        <v>4243</v>
      </c>
      <c r="P1784" s="50" t="s">
        <v>4243</v>
      </c>
    </row>
    <row r="1785" spans="1:16" ht="12.75" customHeight="1" x14ac:dyDescent="0.25">
      <c r="A1785" s="311">
        <v>1782</v>
      </c>
      <c r="B1785" s="311" t="s">
        <v>63</v>
      </c>
      <c r="C1785" s="311" t="s">
        <v>63</v>
      </c>
      <c r="D1785" s="311" t="s">
        <v>462</v>
      </c>
      <c r="E1785" s="337" t="s">
        <v>63</v>
      </c>
      <c r="F1785" s="311" t="s">
        <v>250</v>
      </c>
      <c r="G1785" s="311" t="s">
        <v>23</v>
      </c>
      <c r="H1785" s="311" t="s">
        <v>360</v>
      </c>
      <c r="I1785" s="311" t="s">
        <v>56</v>
      </c>
      <c r="J1785" s="50" t="s">
        <v>1892</v>
      </c>
      <c r="K1785" s="50" t="s">
        <v>1892</v>
      </c>
      <c r="L1785" s="50" t="s">
        <v>1893</v>
      </c>
      <c r="M1785" s="50" t="s">
        <v>4246</v>
      </c>
      <c r="N1785" s="50" t="s">
        <v>4246</v>
      </c>
      <c r="O1785" s="50" t="s">
        <v>4243</v>
      </c>
      <c r="P1785" s="50" t="s">
        <v>4246</v>
      </c>
    </row>
    <row r="1786" spans="1:16" ht="12.75" customHeight="1" x14ac:dyDescent="0.25">
      <c r="A1786" s="311">
        <v>1783</v>
      </c>
      <c r="B1786" s="311" t="s">
        <v>140</v>
      </c>
      <c r="C1786" s="311" t="s">
        <v>140</v>
      </c>
      <c r="D1786" s="311" t="s">
        <v>462</v>
      </c>
      <c r="E1786" s="337" t="s">
        <v>140</v>
      </c>
      <c r="F1786" s="311" t="s">
        <v>250</v>
      </c>
      <c r="G1786" s="311" t="s">
        <v>23</v>
      </c>
      <c r="H1786" s="311" t="s">
        <v>360</v>
      </c>
      <c r="I1786" s="311" t="s">
        <v>56</v>
      </c>
      <c r="J1786" s="50" t="s">
        <v>1892</v>
      </c>
      <c r="K1786" s="50" t="s">
        <v>1892</v>
      </c>
      <c r="L1786" s="50" t="s">
        <v>1893</v>
      </c>
      <c r="M1786" s="50" t="s">
        <v>4247</v>
      </c>
      <c r="N1786" s="50" t="s">
        <v>4247</v>
      </c>
      <c r="O1786" s="50" t="s">
        <v>4243</v>
      </c>
      <c r="P1786" s="50" t="s">
        <v>4247</v>
      </c>
    </row>
    <row r="1787" spans="1:16" ht="12.75" customHeight="1" x14ac:dyDescent="0.25">
      <c r="A1787" s="311">
        <v>1784</v>
      </c>
      <c r="B1787" s="311" t="s">
        <v>121</v>
      </c>
      <c r="C1787" s="311" t="s">
        <v>121</v>
      </c>
      <c r="D1787" s="311" t="s">
        <v>462</v>
      </c>
      <c r="E1787" s="337" t="s">
        <v>121</v>
      </c>
      <c r="F1787" s="311" t="s">
        <v>250</v>
      </c>
      <c r="G1787" s="311" t="s">
        <v>23</v>
      </c>
      <c r="H1787" s="311" t="s">
        <v>360</v>
      </c>
      <c r="I1787" s="311" t="s">
        <v>56</v>
      </c>
      <c r="J1787" s="50" t="s">
        <v>1892</v>
      </c>
      <c r="K1787" s="50" t="s">
        <v>1892</v>
      </c>
      <c r="L1787" s="50" t="s">
        <v>1893</v>
      </c>
      <c r="M1787" s="50" t="s">
        <v>4248</v>
      </c>
      <c r="N1787" s="50" t="s">
        <v>4248</v>
      </c>
      <c r="O1787" s="50" t="s">
        <v>4243</v>
      </c>
      <c r="P1787" s="50" t="s">
        <v>4248</v>
      </c>
    </row>
    <row r="1788" spans="1:16" ht="12.75" customHeight="1" x14ac:dyDescent="0.25">
      <c r="A1788" s="311">
        <v>1785</v>
      </c>
      <c r="B1788" s="311" t="s">
        <v>87</v>
      </c>
      <c r="C1788" s="311" t="s">
        <v>87</v>
      </c>
      <c r="D1788" s="311" t="s">
        <v>462</v>
      </c>
      <c r="E1788" s="337" t="s">
        <v>87</v>
      </c>
      <c r="F1788" s="311" t="s">
        <v>250</v>
      </c>
      <c r="G1788" s="311" t="s">
        <v>23</v>
      </c>
      <c r="H1788" s="311" t="s">
        <v>360</v>
      </c>
      <c r="I1788" s="311" t="s">
        <v>56</v>
      </c>
      <c r="J1788" s="50" t="s">
        <v>1892</v>
      </c>
      <c r="K1788" s="50" t="s">
        <v>1892</v>
      </c>
      <c r="L1788" s="50" t="s">
        <v>1893</v>
      </c>
      <c r="M1788" s="50" t="s">
        <v>4249</v>
      </c>
      <c r="N1788" s="50" t="s">
        <v>4249</v>
      </c>
      <c r="O1788" s="50" t="s">
        <v>4243</v>
      </c>
      <c r="P1788" s="50" t="s">
        <v>4249</v>
      </c>
    </row>
    <row r="1789" spans="1:16" ht="12.75" customHeight="1" x14ac:dyDescent="0.25">
      <c r="A1789" s="311">
        <v>1786</v>
      </c>
      <c r="B1789" s="311" t="s">
        <v>125</v>
      </c>
      <c r="C1789" s="311" t="s">
        <v>125</v>
      </c>
      <c r="D1789" s="311" t="s">
        <v>125</v>
      </c>
      <c r="E1789" s="337" t="s">
        <v>125</v>
      </c>
      <c r="F1789" s="311" t="s">
        <v>250</v>
      </c>
      <c r="G1789" s="311" t="s">
        <v>23</v>
      </c>
      <c r="H1789" s="311" t="s">
        <v>360</v>
      </c>
      <c r="I1789" s="311" t="s">
        <v>56</v>
      </c>
      <c r="J1789" s="50" t="s">
        <v>1892</v>
      </c>
      <c r="K1789" s="50" t="s">
        <v>1892</v>
      </c>
      <c r="L1789" s="50" t="s">
        <v>1893</v>
      </c>
      <c r="M1789" s="50" t="s">
        <v>4250</v>
      </c>
      <c r="N1789" s="50" t="s">
        <v>4250</v>
      </c>
      <c r="O1789" s="50" t="s">
        <v>4250</v>
      </c>
      <c r="P1789" s="50" t="s">
        <v>4250</v>
      </c>
    </row>
    <row r="1790" spans="1:16" ht="12.75" customHeight="1" x14ac:dyDescent="0.25">
      <c r="A1790" s="311">
        <v>1787</v>
      </c>
      <c r="B1790" s="311" t="s">
        <v>134</v>
      </c>
      <c r="C1790" s="311" t="s">
        <v>134</v>
      </c>
      <c r="D1790" s="311" t="s">
        <v>134</v>
      </c>
      <c r="E1790" s="337" t="s">
        <v>134</v>
      </c>
      <c r="F1790" s="311" t="s">
        <v>250</v>
      </c>
      <c r="G1790" s="311" t="s">
        <v>23</v>
      </c>
      <c r="H1790" s="311" t="s">
        <v>360</v>
      </c>
      <c r="I1790" s="311" t="s">
        <v>56</v>
      </c>
      <c r="J1790" s="50" t="s">
        <v>1892</v>
      </c>
      <c r="K1790" s="50" t="s">
        <v>1892</v>
      </c>
      <c r="L1790" s="50" t="s">
        <v>1893</v>
      </c>
      <c r="M1790" s="50" t="s">
        <v>4251</v>
      </c>
      <c r="N1790" s="50" t="s">
        <v>4251</v>
      </c>
      <c r="O1790" s="50" t="s">
        <v>4251</v>
      </c>
      <c r="P1790" s="50" t="s">
        <v>4251</v>
      </c>
    </row>
    <row r="1791" spans="1:16" ht="12.75" customHeight="1" x14ac:dyDescent="0.25">
      <c r="A1791" s="311">
        <v>1788</v>
      </c>
      <c r="B1791" s="311" t="s">
        <v>141</v>
      </c>
      <c r="C1791" s="311" t="s">
        <v>141</v>
      </c>
      <c r="D1791" s="311" t="s">
        <v>141</v>
      </c>
      <c r="E1791" s="337" t="s">
        <v>141</v>
      </c>
      <c r="F1791" s="311" t="s">
        <v>250</v>
      </c>
      <c r="G1791" s="311" t="s">
        <v>23</v>
      </c>
      <c r="H1791" s="311" t="s">
        <v>360</v>
      </c>
      <c r="I1791" s="311" t="s">
        <v>56</v>
      </c>
      <c r="J1791" s="50" t="s">
        <v>1892</v>
      </c>
      <c r="K1791" s="50" t="s">
        <v>1892</v>
      </c>
      <c r="L1791" s="50" t="s">
        <v>1893</v>
      </c>
      <c r="M1791" s="50" t="s">
        <v>4252</v>
      </c>
      <c r="N1791" s="50" t="s">
        <v>4252</v>
      </c>
      <c r="O1791" s="50" t="s">
        <v>4252</v>
      </c>
      <c r="P1791" s="50" t="s">
        <v>4252</v>
      </c>
    </row>
    <row r="1792" spans="1:16" ht="12.75" customHeight="1" x14ac:dyDescent="0.25">
      <c r="A1792" s="311">
        <v>1789</v>
      </c>
      <c r="B1792" s="311" t="s">
        <v>69</v>
      </c>
      <c r="C1792" s="311" t="s">
        <v>69</v>
      </c>
      <c r="D1792" s="311" t="s">
        <v>69</v>
      </c>
      <c r="E1792" s="337" t="s">
        <v>69</v>
      </c>
      <c r="F1792" s="311" t="s">
        <v>250</v>
      </c>
      <c r="G1792" s="311" t="s">
        <v>23</v>
      </c>
      <c r="H1792" s="311" t="s">
        <v>360</v>
      </c>
      <c r="I1792" s="311" t="s">
        <v>56</v>
      </c>
      <c r="J1792" s="50" t="s">
        <v>1892</v>
      </c>
      <c r="K1792" s="50" t="s">
        <v>1892</v>
      </c>
      <c r="L1792" s="50" t="s">
        <v>1893</v>
      </c>
      <c r="M1792" s="50" t="s">
        <v>4253</v>
      </c>
      <c r="N1792" s="50" t="s">
        <v>4253</v>
      </c>
      <c r="O1792" s="50" t="s">
        <v>4253</v>
      </c>
      <c r="P1792" s="50" t="s">
        <v>4253</v>
      </c>
    </row>
    <row r="1793" spans="1:16" ht="12.75" customHeight="1" x14ac:dyDescent="0.25">
      <c r="A1793" s="311">
        <v>1790</v>
      </c>
      <c r="B1793" s="311" t="s">
        <v>84</v>
      </c>
      <c r="C1793" s="311" t="s">
        <v>462</v>
      </c>
      <c r="D1793" s="311" t="s">
        <v>462</v>
      </c>
      <c r="E1793" s="337" t="s">
        <v>462</v>
      </c>
      <c r="F1793" s="311" t="s">
        <v>250</v>
      </c>
      <c r="G1793" s="311" t="s">
        <v>237</v>
      </c>
      <c r="H1793" s="311" t="s">
        <v>360</v>
      </c>
      <c r="I1793" s="311" t="s">
        <v>56</v>
      </c>
      <c r="J1793" s="50" t="s">
        <v>1892</v>
      </c>
      <c r="K1793" s="50" t="s">
        <v>1892</v>
      </c>
      <c r="L1793" s="50" t="s">
        <v>1893</v>
      </c>
      <c r="M1793" s="50" t="s">
        <v>4254</v>
      </c>
      <c r="N1793" s="50" t="s">
        <v>4255</v>
      </c>
      <c r="O1793" s="50" t="s">
        <v>4255</v>
      </c>
      <c r="P1793" s="50" t="s">
        <v>4255</v>
      </c>
    </row>
    <row r="1794" spans="1:16" ht="12.75" customHeight="1" x14ac:dyDescent="0.25">
      <c r="A1794" s="311">
        <v>1791</v>
      </c>
      <c r="B1794" s="311" t="s">
        <v>123</v>
      </c>
      <c r="C1794" s="311" t="s">
        <v>462</v>
      </c>
      <c r="D1794" s="311" t="s">
        <v>462</v>
      </c>
      <c r="E1794" s="337" t="s">
        <v>462</v>
      </c>
      <c r="F1794" s="311" t="s">
        <v>250</v>
      </c>
      <c r="G1794" s="311" t="s">
        <v>237</v>
      </c>
      <c r="H1794" s="311" t="s">
        <v>360</v>
      </c>
      <c r="I1794" s="311" t="s">
        <v>56</v>
      </c>
      <c r="J1794" s="50" t="s">
        <v>1892</v>
      </c>
      <c r="K1794" s="50" t="s">
        <v>1892</v>
      </c>
      <c r="L1794" s="50" t="s">
        <v>1893</v>
      </c>
      <c r="M1794" s="50" t="s">
        <v>4256</v>
      </c>
      <c r="N1794" s="50" t="s">
        <v>4255</v>
      </c>
      <c r="O1794" s="50" t="s">
        <v>4255</v>
      </c>
      <c r="P1794" s="50" t="s">
        <v>4255</v>
      </c>
    </row>
    <row r="1795" spans="1:16" ht="12.75" customHeight="1" x14ac:dyDescent="0.25">
      <c r="A1795" s="311">
        <v>1792</v>
      </c>
      <c r="B1795" s="311" t="s">
        <v>75</v>
      </c>
      <c r="C1795" s="311" t="s">
        <v>462</v>
      </c>
      <c r="D1795" s="311" t="s">
        <v>462</v>
      </c>
      <c r="E1795" s="337" t="s">
        <v>462</v>
      </c>
      <c r="F1795" s="311" t="s">
        <v>250</v>
      </c>
      <c r="G1795" s="311" t="s">
        <v>237</v>
      </c>
      <c r="H1795" s="311" t="s">
        <v>360</v>
      </c>
      <c r="I1795" s="311" t="s">
        <v>56</v>
      </c>
      <c r="J1795" s="50" t="s">
        <v>1892</v>
      </c>
      <c r="K1795" s="50" t="s">
        <v>1892</v>
      </c>
      <c r="L1795" s="50" t="s">
        <v>1893</v>
      </c>
      <c r="M1795" s="50" t="s">
        <v>4257</v>
      </c>
      <c r="N1795" s="50" t="s">
        <v>4255</v>
      </c>
      <c r="O1795" s="50" t="s">
        <v>4255</v>
      </c>
      <c r="P1795" s="50" t="s">
        <v>4255</v>
      </c>
    </row>
    <row r="1796" spans="1:16" ht="12.75" customHeight="1" x14ac:dyDescent="0.25">
      <c r="A1796" s="311">
        <v>1793</v>
      </c>
      <c r="B1796" s="311" t="s">
        <v>63</v>
      </c>
      <c r="C1796" s="311" t="s">
        <v>63</v>
      </c>
      <c r="D1796" s="311" t="s">
        <v>462</v>
      </c>
      <c r="E1796" s="337" t="s">
        <v>63</v>
      </c>
      <c r="F1796" s="311" t="s">
        <v>250</v>
      </c>
      <c r="G1796" s="311" t="s">
        <v>237</v>
      </c>
      <c r="H1796" s="311" t="s">
        <v>360</v>
      </c>
      <c r="I1796" s="311" t="s">
        <v>56</v>
      </c>
      <c r="J1796" s="50" t="s">
        <v>1892</v>
      </c>
      <c r="K1796" s="50" t="s">
        <v>1892</v>
      </c>
      <c r="L1796" s="50" t="s">
        <v>1893</v>
      </c>
      <c r="M1796" s="50" t="s">
        <v>4258</v>
      </c>
      <c r="N1796" s="50" t="s">
        <v>4258</v>
      </c>
      <c r="O1796" s="50" t="s">
        <v>4255</v>
      </c>
      <c r="P1796" s="50" t="s">
        <v>4258</v>
      </c>
    </row>
    <row r="1797" spans="1:16" ht="12.75" customHeight="1" x14ac:dyDescent="0.25">
      <c r="A1797" s="311">
        <v>1794</v>
      </c>
      <c r="B1797" s="311" t="s">
        <v>140</v>
      </c>
      <c r="C1797" s="311" t="s">
        <v>140</v>
      </c>
      <c r="D1797" s="311" t="s">
        <v>462</v>
      </c>
      <c r="E1797" s="337" t="s">
        <v>140</v>
      </c>
      <c r="F1797" s="311" t="s">
        <v>250</v>
      </c>
      <c r="G1797" s="311" t="s">
        <v>237</v>
      </c>
      <c r="H1797" s="311" t="s">
        <v>360</v>
      </c>
      <c r="I1797" s="311" t="s">
        <v>56</v>
      </c>
      <c r="J1797" s="50" t="s">
        <v>1892</v>
      </c>
      <c r="K1797" s="50" t="s">
        <v>1892</v>
      </c>
      <c r="L1797" s="50" t="s">
        <v>1893</v>
      </c>
      <c r="M1797" s="50" t="s">
        <v>4259</v>
      </c>
      <c r="N1797" s="50" t="s">
        <v>4259</v>
      </c>
      <c r="O1797" s="50" t="s">
        <v>4255</v>
      </c>
      <c r="P1797" s="50" t="s">
        <v>4259</v>
      </c>
    </row>
    <row r="1798" spans="1:16" ht="12.75" customHeight="1" x14ac:dyDescent="0.25">
      <c r="A1798" s="311">
        <v>1795</v>
      </c>
      <c r="B1798" s="311" t="s">
        <v>121</v>
      </c>
      <c r="C1798" s="311" t="s">
        <v>121</v>
      </c>
      <c r="D1798" s="311" t="s">
        <v>462</v>
      </c>
      <c r="E1798" s="337" t="s">
        <v>121</v>
      </c>
      <c r="F1798" s="311" t="s">
        <v>250</v>
      </c>
      <c r="G1798" s="311" t="s">
        <v>237</v>
      </c>
      <c r="H1798" s="311" t="s">
        <v>360</v>
      </c>
      <c r="I1798" s="311" t="s">
        <v>56</v>
      </c>
      <c r="J1798" s="50" t="s">
        <v>1892</v>
      </c>
      <c r="K1798" s="50" t="s">
        <v>1892</v>
      </c>
      <c r="L1798" s="50" t="s">
        <v>1893</v>
      </c>
      <c r="M1798" s="50" t="s">
        <v>4260</v>
      </c>
      <c r="N1798" s="50" t="s">
        <v>4260</v>
      </c>
      <c r="O1798" s="50" t="s">
        <v>4255</v>
      </c>
      <c r="P1798" s="50" t="s">
        <v>4260</v>
      </c>
    </row>
    <row r="1799" spans="1:16" ht="12.75" customHeight="1" x14ac:dyDescent="0.25">
      <c r="A1799" s="311">
        <v>1796</v>
      </c>
      <c r="B1799" s="311" t="s">
        <v>87</v>
      </c>
      <c r="C1799" s="311" t="s">
        <v>87</v>
      </c>
      <c r="D1799" s="311" t="s">
        <v>462</v>
      </c>
      <c r="E1799" s="337" t="s">
        <v>87</v>
      </c>
      <c r="F1799" s="311" t="s">
        <v>250</v>
      </c>
      <c r="G1799" s="311" t="s">
        <v>237</v>
      </c>
      <c r="H1799" s="311" t="s">
        <v>360</v>
      </c>
      <c r="I1799" s="311" t="s">
        <v>56</v>
      </c>
      <c r="J1799" s="50" t="s">
        <v>1892</v>
      </c>
      <c r="K1799" s="50" t="s">
        <v>1892</v>
      </c>
      <c r="L1799" s="50" t="s">
        <v>1893</v>
      </c>
      <c r="M1799" s="50" t="s">
        <v>4261</v>
      </c>
      <c r="N1799" s="50" t="s">
        <v>4261</v>
      </c>
      <c r="O1799" s="50" t="s">
        <v>4255</v>
      </c>
      <c r="P1799" s="50" t="s">
        <v>4261</v>
      </c>
    </row>
    <row r="1800" spans="1:16" ht="12.75" customHeight="1" x14ac:dyDescent="0.25">
      <c r="A1800" s="311">
        <v>1797</v>
      </c>
      <c r="B1800" s="311" t="s">
        <v>125</v>
      </c>
      <c r="C1800" s="311" t="s">
        <v>125</v>
      </c>
      <c r="D1800" s="311" t="s">
        <v>125</v>
      </c>
      <c r="E1800" s="337" t="s">
        <v>125</v>
      </c>
      <c r="F1800" s="311" t="s">
        <v>250</v>
      </c>
      <c r="G1800" s="311" t="s">
        <v>237</v>
      </c>
      <c r="H1800" s="311" t="s">
        <v>360</v>
      </c>
      <c r="I1800" s="311" t="s">
        <v>56</v>
      </c>
      <c r="J1800" s="50" t="s">
        <v>1892</v>
      </c>
      <c r="K1800" s="50" t="s">
        <v>1892</v>
      </c>
      <c r="L1800" s="50" t="s">
        <v>1893</v>
      </c>
      <c r="M1800" s="50" t="s">
        <v>4262</v>
      </c>
      <c r="N1800" s="50" t="s">
        <v>4262</v>
      </c>
      <c r="O1800" s="50" t="s">
        <v>4262</v>
      </c>
      <c r="P1800" s="50" t="s">
        <v>4262</v>
      </c>
    </row>
    <row r="1801" spans="1:16" ht="12.75" customHeight="1" x14ac:dyDescent="0.25">
      <c r="A1801" s="311">
        <v>1798</v>
      </c>
      <c r="B1801" s="311" t="s">
        <v>134</v>
      </c>
      <c r="C1801" s="311" t="s">
        <v>134</v>
      </c>
      <c r="D1801" s="311" t="s">
        <v>134</v>
      </c>
      <c r="E1801" s="337" t="s">
        <v>134</v>
      </c>
      <c r="F1801" s="311" t="s">
        <v>250</v>
      </c>
      <c r="G1801" s="311" t="s">
        <v>237</v>
      </c>
      <c r="H1801" s="311" t="s">
        <v>360</v>
      </c>
      <c r="I1801" s="311" t="s">
        <v>56</v>
      </c>
      <c r="J1801" s="50" t="s">
        <v>1892</v>
      </c>
      <c r="K1801" s="50" t="s">
        <v>1892</v>
      </c>
      <c r="L1801" s="50" t="s">
        <v>1893</v>
      </c>
      <c r="M1801" s="50" t="s">
        <v>4263</v>
      </c>
      <c r="N1801" s="50" t="s">
        <v>4263</v>
      </c>
      <c r="O1801" s="50" t="s">
        <v>4263</v>
      </c>
      <c r="P1801" s="50" t="s">
        <v>4263</v>
      </c>
    </row>
    <row r="1802" spans="1:16" ht="12.75" customHeight="1" x14ac:dyDescent="0.25">
      <c r="A1802" s="311">
        <v>1799</v>
      </c>
      <c r="B1802" s="311" t="s">
        <v>141</v>
      </c>
      <c r="C1802" s="311" t="s">
        <v>141</v>
      </c>
      <c r="D1802" s="311" t="s">
        <v>141</v>
      </c>
      <c r="E1802" s="337" t="s">
        <v>141</v>
      </c>
      <c r="F1802" s="311" t="s">
        <v>250</v>
      </c>
      <c r="G1802" s="311" t="s">
        <v>237</v>
      </c>
      <c r="H1802" s="311" t="s">
        <v>360</v>
      </c>
      <c r="I1802" s="311" t="s">
        <v>56</v>
      </c>
      <c r="J1802" s="50" t="s">
        <v>1892</v>
      </c>
      <c r="K1802" s="50" t="s">
        <v>1892</v>
      </c>
      <c r="L1802" s="50" t="s">
        <v>1893</v>
      </c>
      <c r="M1802" s="50" t="s">
        <v>4264</v>
      </c>
      <c r="N1802" s="50" t="s">
        <v>4264</v>
      </c>
      <c r="O1802" s="50" t="s">
        <v>4264</v>
      </c>
      <c r="P1802" s="50" t="s">
        <v>4264</v>
      </c>
    </row>
    <row r="1803" spans="1:16" ht="12.75" customHeight="1" x14ac:dyDescent="0.25">
      <c r="A1803" s="311">
        <v>1800</v>
      </c>
      <c r="B1803" s="311" t="s">
        <v>69</v>
      </c>
      <c r="C1803" s="311" t="s">
        <v>69</v>
      </c>
      <c r="D1803" s="311" t="s">
        <v>69</v>
      </c>
      <c r="E1803" s="337" t="s">
        <v>69</v>
      </c>
      <c r="F1803" s="311" t="s">
        <v>250</v>
      </c>
      <c r="G1803" s="311" t="s">
        <v>237</v>
      </c>
      <c r="H1803" s="311" t="s">
        <v>360</v>
      </c>
      <c r="I1803" s="311" t="s">
        <v>56</v>
      </c>
      <c r="J1803" s="50" t="s">
        <v>1892</v>
      </c>
      <c r="K1803" s="50" t="s">
        <v>1892</v>
      </c>
      <c r="L1803" s="50" t="s">
        <v>1893</v>
      </c>
      <c r="M1803" s="50" t="s">
        <v>4265</v>
      </c>
      <c r="N1803" s="50" t="s">
        <v>4265</v>
      </c>
      <c r="O1803" s="50" t="s">
        <v>4265</v>
      </c>
      <c r="P1803" s="50" t="s">
        <v>4265</v>
      </c>
    </row>
    <row r="1804" spans="1:16" ht="12.75" customHeight="1" x14ac:dyDescent="0.25">
      <c r="A1804" s="311">
        <v>1801</v>
      </c>
      <c r="B1804" s="311" t="s">
        <v>84</v>
      </c>
      <c r="C1804" s="311" t="s">
        <v>462</v>
      </c>
      <c r="D1804" s="311" t="s">
        <v>462</v>
      </c>
      <c r="E1804" s="337" t="s">
        <v>462</v>
      </c>
      <c r="F1804" s="311" t="s">
        <v>127</v>
      </c>
      <c r="G1804" s="311" t="s">
        <v>236</v>
      </c>
      <c r="H1804" s="311" t="s">
        <v>362</v>
      </c>
      <c r="I1804" s="311" t="s">
        <v>56</v>
      </c>
      <c r="J1804" s="50" t="s">
        <v>1892</v>
      </c>
      <c r="K1804" s="50" t="s">
        <v>1892</v>
      </c>
      <c r="L1804" s="50" t="s">
        <v>1893</v>
      </c>
      <c r="M1804" s="50" t="s">
        <v>4266</v>
      </c>
      <c r="N1804" s="50" t="s">
        <v>4267</v>
      </c>
      <c r="O1804" s="50" t="s">
        <v>4267</v>
      </c>
      <c r="P1804" s="50" t="s">
        <v>4267</v>
      </c>
    </row>
    <row r="1805" spans="1:16" ht="12.75" customHeight="1" x14ac:dyDescent="0.25">
      <c r="A1805" s="311">
        <v>1802</v>
      </c>
      <c r="B1805" s="311" t="s">
        <v>123</v>
      </c>
      <c r="C1805" s="311" t="s">
        <v>462</v>
      </c>
      <c r="D1805" s="311" t="s">
        <v>462</v>
      </c>
      <c r="E1805" s="337" t="s">
        <v>462</v>
      </c>
      <c r="F1805" s="311" t="s">
        <v>127</v>
      </c>
      <c r="G1805" s="311" t="s">
        <v>236</v>
      </c>
      <c r="H1805" s="311" t="s">
        <v>362</v>
      </c>
      <c r="I1805" s="311" t="s">
        <v>56</v>
      </c>
      <c r="J1805" s="50" t="s">
        <v>1892</v>
      </c>
      <c r="K1805" s="50" t="s">
        <v>1892</v>
      </c>
      <c r="L1805" s="50" t="s">
        <v>1893</v>
      </c>
      <c r="M1805" s="50" t="s">
        <v>4268</v>
      </c>
      <c r="N1805" s="50" t="s">
        <v>4267</v>
      </c>
      <c r="O1805" s="50" t="s">
        <v>4267</v>
      </c>
      <c r="P1805" s="50" t="s">
        <v>4267</v>
      </c>
    </row>
    <row r="1806" spans="1:16" ht="12.75" customHeight="1" x14ac:dyDescent="0.25">
      <c r="A1806" s="311">
        <v>1803</v>
      </c>
      <c r="B1806" s="311" t="s">
        <v>75</v>
      </c>
      <c r="C1806" s="311" t="s">
        <v>462</v>
      </c>
      <c r="D1806" s="311" t="s">
        <v>462</v>
      </c>
      <c r="E1806" s="337" t="s">
        <v>462</v>
      </c>
      <c r="F1806" s="311" t="s">
        <v>127</v>
      </c>
      <c r="G1806" s="311" t="s">
        <v>236</v>
      </c>
      <c r="H1806" s="311" t="s">
        <v>362</v>
      </c>
      <c r="I1806" s="311" t="s">
        <v>56</v>
      </c>
      <c r="J1806" s="50" t="s">
        <v>1892</v>
      </c>
      <c r="K1806" s="50" t="s">
        <v>1892</v>
      </c>
      <c r="L1806" s="50" t="s">
        <v>1893</v>
      </c>
      <c r="M1806" s="50" t="s">
        <v>4269</v>
      </c>
      <c r="N1806" s="50" t="s">
        <v>4267</v>
      </c>
      <c r="O1806" s="50" t="s">
        <v>4267</v>
      </c>
      <c r="P1806" s="50" t="s">
        <v>4267</v>
      </c>
    </row>
    <row r="1807" spans="1:16" ht="12.75" customHeight="1" x14ac:dyDescent="0.25">
      <c r="A1807" s="311">
        <v>1804</v>
      </c>
      <c r="B1807" s="311" t="s">
        <v>63</v>
      </c>
      <c r="C1807" s="311" t="s">
        <v>63</v>
      </c>
      <c r="D1807" s="311" t="s">
        <v>462</v>
      </c>
      <c r="E1807" s="337" t="s">
        <v>63</v>
      </c>
      <c r="F1807" s="311" t="s">
        <v>127</v>
      </c>
      <c r="G1807" s="311" t="s">
        <v>236</v>
      </c>
      <c r="H1807" s="311" t="s">
        <v>362</v>
      </c>
      <c r="I1807" s="311" t="s">
        <v>56</v>
      </c>
      <c r="J1807" s="50" t="s">
        <v>1892</v>
      </c>
      <c r="K1807" s="50" t="s">
        <v>1892</v>
      </c>
      <c r="L1807" s="50" t="s">
        <v>1893</v>
      </c>
      <c r="M1807" s="50" t="s">
        <v>4270</v>
      </c>
      <c r="N1807" s="50" t="s">
        <v>4270</v>
      </c>
      <c r="O1807" s="50" t="s">
        <v>4267</v>
      </c>
      <c r="P1807" s="50" t="s">
        <v>4270</v>
      </c>
    </row>
    <row r="1808" spans="1:16" ht="12.75" customHeight="1" x14ac:dyDescent="0.25">
      <c r="A1808" s="311">
        <v>1805</v>
      </c>
      <c r="B1808" s="311" t="s">
        <v>140</v>
      </c>
      <c r="C1808" s="311" t="s">
        <v>140</v>
      </c>
      <c r="D1808" s="311" t="s">
        <v>462</v>
      </c>
      <c r="E1808" s="337" t="s">
        <v>140</v>
      </c>
      <c r="F1808" s="311" t="s">
        <v>127</v>
      </c>
      <c r="G1808" s="311" t="s">
        <v>236</v>
      </c>
      <c r="H1808" s="311" t="s">
        <v>362</v>
      </c>
      <c r="I1808" s="311" t="s">
        <v>56</v>
      </c>
      <c r="J1808" s="50" t="s">
        <v>1892</v>
      </c>
      <c r="K1808" s="50" t="s">
        <v>1892</v>
      </c>
      <c r="L1808" s="50" t="s">
        <v>1893</v>
      </c>
      <c r="M1808" s="50" t="s">
        <v>4271</v>
      </c>
      <c r="N1808" s="50" t="s">
        <v>4271</v>
      </c>
      <c r="O1808" s="50" t="s">
        <v>4267</v>
      </c>
      <c r="P1808" s="50" t="s">
        <v>4271</v>
      </c>
    </row>
    <row r="1809" spans="1:16" ht="12.75" customHeight="1" x14ac:dyDescent="0.25">
      <c r="A1809" s="311">
        <v>1806</v>
      </c>
      <c r="B1809" s="311" t="s">
        <v>121</v>
      </c>
      <c r="C1809" s="311" t="s">
        <v>121</v>
      </c>
      <c r="D1809" s="311" t="s">
        <v>462</v>
      </c>
      <c r="E1809" s="337" t="s">
        <v>121</v>
      </c>
      <c r="F1809" s="311" t="s">
        <v>127</v>
      </c>
      <c r="G1809" s="311" t="s">
        <v>236</v>
      </c>
      <c r="H1809" s="311" t="s">
        <v>362</v>
      </c>
      <c r="I1809" s="311" t="s">
        <v>56</v>
      </c>
      <c r="J1809" s="50" t="s">
        <v>1892</v>
      </c>
      <c r="K1809" s="50" t="s">
        <v>1892</v>
      </c>
      <c r="L1809" s="50" t="s">
        <v>1893</v>
      </c>
      <c r="M1809" s="50" t="s">
        <v>4272</v>
      </c>
      <c r="N1809" s="50" t="s">
        <v>4272</v>
      </c>
      <c r="O1809" s="50" t="s">
        <v>4267</v>
      </c>
      <c r="P1809" s="50" t="s">
        <v>4272</v>
      </c>
    </row>
    <row r="1810" spans="1:16" ht="12.75" customHeight="1" x14ac:dyDescent="0.25">
      <c r="A1810" s="311">
        <v>1807</v>
      </c>
      <c r="B1810" s="311" t="s">
        <v>87</v>
      </c>
      <c r="C1810" s="311" t="s">
        <v>87</v>
      </c>
      <c r="D1810" s="311" t="s">
        <v>462</v>
      </c>
      <c r="E1810" s="337" t="s">
        <v>87</v>
      </c>
      <c r="F1810" s="311" t="s">
        <v>127</v>
      </c>
      <c r="G1810" s="311" t="s">
        <v>236</v>
      </c>
      <c r="H1810" s="311" t="s">
        <v>362</v>
      </c>
      <c r="I1810" s="311" t="s">
        <v>56</v>
      </c>
      <c r="J1810" s="50" t="s">
        <v>1892</v>
      </c>
      <c r="K1810" s="50" t="s">
        <v>1892</v>
      </c>
      <c r="L1810" s="50" t="s">
        <v>1893</v>
      </c>
      <c r="M1810" s="50" t="s">
        <v>4273</v>
      </c>
      <c r="N1810" s="50" t="s">
        <v>4273</v>
      </c>
      <c r="O1810" s="50" t="s">
        <v>4267</v>
      </c>
      <c r="P1810" s="50" t="s">
        <v>4273</v>
      </c>
    </row>
    <row r="1811" spans="1:16" ht="12.75" customHeight="1" x14ac:dyDescent="0.25">
      <c r="A1811" s="311">
        <v>1808</v>
      </c>
      <c r="B1811" s="311" t="s">
        <v>125</v>
      </c>
      <c r="C1811" s="311" t="s">
        <v>125</v>
      </c>
      <c r="D1811" s="311" t="s">
        <v>125</v>
      </c>
      <c r="E1811" s="337" t="s">
        <v>125</v>
      </c>
      <c r="F1811" s="311" t="s">
        <v>127</v>
      </c>
      <c r="G1811" s="311" t="s">
        <v>236</v>
      </c>
      <c r="H1811" s="311" t="s">
        <v>362</v>
      </c>
      <c r="I1811" s="311" t="s">
        <v>56</v>
      </c>
      <c r="J1811" s="50" t="s">
        <v>1892</v>
      </c>
      <c r="K1811" s="50" t="s">
        <v>1892</v>
      </c>
      <c r="L1811" s="50" t="s">
        <v>1893</v>
      </c>
      <c r="M1811" s="50" t="s">
        <v>4274</v>
      </c>
      <c r="N1811" s="50" t="s">
        <v>4274</v>
      </c>
      <c r="O1811" s="50" t="s">
        <v>4274</v>
      </c>
      <c r="P1811" s="50" t="s">
        <v>4274</v>
      </c>
    </row>
    <row r="1812" spans="1:16" ht="12.75" customHeight="1" x14ac:dyDescent="0.25">
      <c r="A1812" s="311">
        <v>1809</v>
      </c>
      <c r="B1812" s="311" t="s">
        <v>134</v>
      </c>
      <c r="C1812" s="311" t="s">
        <v>134</v>
      </c>
      <c r="D1812" s="311" t="s">
        <v>134</v>
      </c>
      <c r="E1812" s="337" t="s">
        <v>134</v>
      </c>
      <c r="F1812" s="311" t="s">
        <v>127</v>
      </c>
      <c r="G1812" s="311" t="s">
        <v>236</v>
      </c>
      <c r="H1812" s="311" t="s">
        <v>362</v>
      </c>
      <c r="I1812" s="311" t="s">
        <v>56</v>
      </c>
      <c r="J1812" s="50" t="s">
        <v>1892</v>
      </c>
      <c r="K1812" s="50" t="s">
        <v>1892</v>
      </c>
      <c r="L1812" s="50" t="s">
        <v>1893</v>
      </c>
      <c r="M1812" s="50" t="s">
        <v>4275</v>
      </c>
      <c r="N1812" s="50" t="s">
        <v>4275</v>
      </c>
      <c r="O1812" s="50" t="s">
        <v>4275</v>
      </c>
      <c r="P1812" s="50" t="s">
        <v>4275</v>
      </c>
    </row>
    <row r="1813" spans="1:16" ht="12.75" customHeight="1" x14ac:dyDescent="0.25">
      <c r="A1813" s="311">
        <v>1810</v>
      </c>
      <c r="B1813" s="311" t="s">
        <v>141</v>
      </c>
      <c r="C1813" s="311" t="s">
        <v>141</v>
      </c>
      <c r="D1813" s="311" t="s">
        <v>141</v>
      </c>
      <c r="E1813" s="337" t="s">
        <v>141</v>
      </c>
      <c r="F1813" s="311" t="s">
        <v>127</v>
      </c>
      <c r="G1813" s="311" t="s">
        <v>236</v>
      </c>
      <c r="H1813" s="311" t="s">
        <v>362</v>
      </c>
      <c r="I1813" s="311" t="s">
        <v>56</v>
      </c>
      <c r="J1813" s="50" t="s">
        <v>1892</v>
      </c>
      <c r="K1813" s="50" t="s">
        <v>1892</v>
      </c>
      <c r="L1813" s="50" t="s">
        <v>1893</v>
      </c>
      <c r="M1813" s="50" t="s">
        <v>4276</v>
      </c>
      <c r="N1813" s="50" t="s">
        <v>4276</v>
      </c>
      <c r="O1813" s="50" t="s">
        <v>4276</v>
      </c>
      <c r="P1813" s="50" t="s">
        <v>4276</v>
      </c>
    </row>
    <row r="1814" spans="1:16" ht="12.75" customHeight="1" x14ac:dyDescent="0.25">
      <c r="A1814" s="311">
        <v>1811</v>
      </c>
      <c r="B1814" s="311" t="s">
        <v>69</v>
      </c>
      <c r="C1814" s="311" t="s">
        <v>69</v>
      </c>
      <c r="D1814" s="311" t="s">
        <v>69</v>
      </c>
      <c r="E1814" s="337" t="s">
        <v>69</v>
      </c>
      <c r="F1814" s="311" t="s">
        <v>127</v>
      </c>
      <c r="G1814" s="311" t="s">
        <v>236</v>
      </c>
      <c r="H1814" s="311" t="s">
        <v>362</v>
      </c>
      <c r="I1814" s="311" t="s">
        <v>56</v>
      </c>
      <c r="J1814" s="50" t="s">
        <v>1892</v>
      </c>
      <c r="K1814" s="50" t="s">
        <v>1892</v>
      </c>
      <c r="L1814" s="50" t="s">
        <v>1893</v>
      </c>
      <c r="M1814" s="50" t="s">
        <v>4277</v>
      </c>
      <c r="N1814" s="50" t="s">
        <v>4277</v>
      </c>
      <c r="O1814" s="50" t="s">
        <v>4277</v>
      </c>
      <c r="P1814" s="50" t="s">
        <v>4277</v>
      </c>
    </row>
    <row r="1815" spans="1:16" ht="12.75" customHeight="1" x14ac:dyDescent="0.25">
      <c r="A1815" s="311">
        <v>1812</v>
      </c>
      <c r="B1815" s="311" t="s">
        <v>84</v>
      </c>
      <c r="C1815" s="311" t="s">
        <v>462</v>
      </c>
      <c r="D1815" s="311" t="s">
        <v>462</v>
      </c>
      <c r="E1815" s="337" t="s">
        <v>462</v>
      </c>
      <c r="F1815" s="311" t="s">
        <v>127</v>
      </c>
      <c r="G1815" s="311" t="s">
        <v>23</v>
      </c>
      <c r="H1815" s="311" t="s">
        <v>362</v>
      </c>
      <c r="I1815" s="311" t="s">
        <v>56</v>
      </c>
      <c r="J1815" s="50" t="s">
        <v>1892</v>
      </c>
      <c r="K1815" s="50" t="s">
        <v>1892</v>
      </c>
      <c r="L1815" s="50" t="s">
        <v>1893</v>
      </c>
      <c r="M1815" s="50" t="s">
        <v>4278</v>
      </c>
      <c r="N1815" s="50" t="s">
        <v>4279</v>
      </c>
      <c r="O1815" s="50" t="s">
        <v>4279</v>
      </c>
      <c r="P1815" s="50" t="s">
        <v>4279</v>
      </c>
    </row>
    <row r="1816" spans="1:16" ht="12.75" customHeight="1" x14ac:dyDescent="0.25">
      <c r="A1816" s="311">
        <v>1813</v>
      </c>
      <c r="B1816" s="311" t="s">
        <v>123</v>
      </c>
      <c r="C1816" s="311" t="s">
        <v>462</v>
      </c>
      <c r="D1816" s="311" t="s">
        <v>462</v>
      </c>
      <c r="E1816" s="337" t="s">
        <v>462</v>
      </c>
      <c r="F1816" s="311" t="s">
        <v>127</v>
      </c>
      <c r="G1816" s="311" t="s">
        <v>23</v>
      </c>
      <c r="H1816" s="311" t="s">
        <v>362</v>
      </c>
      <c r="I1816" s="311" t="s">
        <v>56</v>
      </c>
      <c r="J1816" s="50" t="s">
        <v>1892</v>
      </c>
      <c r="K1816" s="50" t="s">
        <v>1892</v>
      </c>
      <c r="L1816" s="50" t="s">
        <v>1893</v>
      </c>
      <c r="M1816" s="50" t="s">
        <v>4280</v>
      </c>
      <c r="N1816" s="50" t="s">
        <v>4279</v>
      </c>
      <c r="O1816" s="50" t="s">
        <v>4279</v>
      </c>
      <c r="P1816" s="50" t="s">
        <v>4279</v>
      </c>
    </row>
    <row r="1817" spans="1:16" ht="12.75" customHeight="1" x14ac:dyDescent="0.25">
      <c r="A1817" s="311">
        <v>1814</v>
      </c>
      <c r="B1817" s="311" t="s">
        <v>75</v>
      </c>
      <c r="C1817" s="311" t="s">
        <v>462</v>
      </c>
      <c r="D1817" s="311" t="s">
        <v>462</v>
      </c>
      <c r="E1817" s="337" t="s">
        <v>462</v>
      </c>
      <c r="F1817" s="311" t="s">
        <v>127</v>
      </c>
      <c r="G1817" s="311" t="s">
        <v>23</v>
      </c>
      <c r="H1817" s="311" t="s">
        <v>362</v>
      </c>
      <c r="I1817" s="311" t="s">
        <v>56</v>
      </c>
      <c r="J1817" s="50" t="s">
        <v>1892</v>
      </c>
      <c r="K1817" s="50" t="s">
        <v>1892</v>
      </c>
      <c r="L1817" s="50" t="s">
        <v>1893</v>
      </c>
      <c r="M1817" s="50" t="s">
        <v>4281</v>
      </c>
      <c r="N1817" s="50" t="s">
        <v>4279</v>
      </c>
      <c r="O1817" s="50" t="s">
        <v>4279</v>
      </c>
      <c r="P1817" s="50" t="s">
        <v>4279</v>
      </c>
    </row>
    <row r="1818" spans="1:16" ht="12.75" customHeight="1" x14ac:dyDescent="0.25">
      <c r="A1818" s="311">
        <v>1815</v>
      </c>
      <c r="B1818" s="311" t="s">
        <v>63</v>
      </c>
      <c r="C1818" s="311" t="s">
        <v>63</v>
      </c>
      <c r="D1818" s="311" t="s">
        <v>462</v>
      </c>
      <c r="E1818" s="337" t="s">
        <v>63</v>
      </c>
      <c r="F1818" s="311" t="s">
        <v>127</v>
      </c>
      <c r="G1818" s="311" t="s">
        <v>23</v>
      </c>
      <c r="H1818" s="311" t="s">
        <v>362</v>
      </c>
      <c r="I1818" s="311" t="s">
        <v>56</v>
      </c>
      <c r="J1818" s="50" t="s">
        <v>1892</v>
      </c>
      <c r="K1818" s="50" t="s">
        <v>1892</v>
      </c>
      <c r="L1818" s="50" t="s">
        <v>1893</v>
      </c>
      <c r="M1818" s="50" t="s">
        <v>4282</v>
      </c>
      <c r="N1818" s="50" t="s">
        <v>4282</v>
      </c>
      <c r="O1818" s="50" t="s">
        <v>4279</v>
      </c>
      <c r="P1818" s="50" t="s">
        <v>4282</v>
      </c>
    </row>
    <row r="1819" spans="1:16" ht="12.75" customHeight="1" x14ac:dyDescent="0.25">
      <c r="A1819" s="311">
        <v>1816</v>
      </c>
      <c r="B1819" s="311" t="s">
        <v>140</v>
      </c>
      <c r="C1819" s="311" t="s">
        <v>140</v>
      </c>
      <c r="D1819" s="311" t="s">
        <v>462</v>
      </c>
      <c r="E1819" s="337" t="s">
        <v>140</v>
      </c>
      <c r="F1819" s="311" t="s">
        <v>127</v>
      </c>
      <c r="G1819" s="311" t="s">
        <v>23</v>
      </c>
      <c r="H1819" s="311" t="s">
        <v>362</v>
      </c>
      <c r="I1819" s="311" t="s">
        <v>56</v>
      </c>
      <c r="J1819" s="50" t="s">
        <v>1892</v>
      </c>
      <c r="K1819" s="50" t="s">
        <v>1892</v>
      </c>
      <c r="L1819" s="50" t="s">
        <v>1893</v>
      </c>
      <c r="M1819" s="50" t="s">
        <v>4283</v>
      </c>
      <c r="N1819" s="50" t="s">
        <v>4283</v>
      </c>
      <c r="O1819" s="50" t="s">
        <v>4279</v>
      </c>
      <c r="P1819" s="50" t="s">
        <v>4283</v>
      </c>
    </row>
    <row r="1820" spans="1:16" ht="12.75" customHeight="1" x14ac:dyDescent="0.25">
      <c r="A1820" s="311">
        <v>1817</v>
      </c>
      <c r="B1820" s="311" t="s">
        <v>121</v>
      </c>
      <c r="C1820" s="311" t="s">
        <v>121</v>
      </c>
      <c r="D1820" s="311" t="s">
        <v>462</v>
      </c>
      <c r="E1820" s="337" t="s">
        <v>121</v>
      </c>
      <c r="F1820" s="311" t="s">
        <v>127</v>
      </c>
      <c r="G1820" s="311" t="s">
        <v>23</v>
      </c>
      <c r="H1820" s="311" t="s">
        <v>362</v>
      </c>
      <c r="I1820" s="311" t="s">
        <v>56</v>
      </c>
      <c r="J1820" s="50" t="s">
        <v>1892</v>
      </c>
      <c r="K1820" s="50" t="s">
        <v>1892</v>
      </c>
      <c r="L1820" s="50" t="s">
        <v>1893</v>
      </c>
      <c r="M1820" s="50" t="s">
        <v>4284</v>
      </c>
      <c r="N1820" s="50" t="s">
        <v>4284</v>
      </c>
      <c r="O1820" s="50" t="s">
        <v>4279</v>
      </c>
      <c r="P1820" s="50" t="s">
        <v>4284</v>
      </c>
    </row>
    <row r="1821" spans="1:16" ht="12.75" customHeight="1" x14ac:dyDescent="0.25">
      <c r="A1821" s="311">
        <v>1818</v>
      </c>
      <c r="B1821" s="311" t="s">
        <v>87</v>
      </c>
      <c r="C1821" s="311" t="s">
        <v>87</v>
      </c>
      <c r="D1821" s="311" t="s">
        <v>462</v>
      </c>
      <c r="E1821" s="337" t="s">
        <v>87</v>
      </c>
      <c r="F1821" s="311" t="s">
        <v>127</v>
      </c>
      <c r="G1821" s="311" t="s">
        <v>23</v>
      </c>
      <c r="H1821" s="311" t="s">
        <v>362</v>
      </c>
      <c r="I1821" s="311" t="s">
        <v>56</v>
      </c>
      <c r="J1821" s="50" t="s">
        <v>1892</v>
      </c>
      <c r="K1821" s="50" t="s">
        <v>1892</v>
      </c>
      <c r="L1821" s="50" t="s">
        <v>1893</v>
      </c>
      <c r="M1821" s="50" t="s">
        <v>4285</v>
      </c>
      <c r="N1821" s="50" t="s">
        <v>4285</v>
      </c>
      <c r="O1821" s="50" t="s">
        <v>4279</v>
      </c>
      <c r="P1821" s="50" t="s">
        <v>4285</v>
      </c>
    </row>
    <row r="1822" spans="1:16" ht="12.75" customHeight="1" x14ac:dyDescent="0.25">
      <c r="A1822" s="311">
        <v>1819</v>
      </c>
      <c r="B1822" s="311" t="s">
        <v>125</v>
      </c>
      <c r="C1822" s="311" t="s">
        <v>125</v>
      </c>
      <c r="D1822" s="311" t="s">
        <v>125</v>
      </c>
      <c r="E1822" s="337" t="s">
        <v>125</v>
      </c>
      <c r="F1822" s="311" t="s">
        <v>127</v>
      </c>
      <c r="G1822" s="311" t="s">
        <v>23</v>
      </c>
      <c r="H1822" s="311" t="s">
        <v>362</v>
      </c>
      <c r="I1822" s="311" t="s">
        <v>56</v>
      </c>
      <c r="J1822" s="50" t="s">
        <v>1892</v>
      </c>
      <c r="K1822" s="50" t="s">
        <v>1892</v>
      </c>
      <c r="L1822" s="50" t="s">
        <v>1893</v>
      </c>
      <c r="M1822" s="50" t="s">
        <v>4286</v>
      </c>
      <c r="N1822" s="50" t="s">
        <v>4286</v>
      </c>
      <c r="O1822" s="50" t="s">
        <v>4286</v>
      </c>
      <c r="P1822" s="50" t="s">
        <v>4286</v>
      </c>
    </row>
    <row r="1823" spans="1:16" ht="12.75" customHeight="1" x14ac:dyDescent="0.25">
      <c r="A1823" s="311">
        <v>1820</v>
      </c>
      <c r="B1823" s="311" t="s">
        <v>134</v>
      </c>
      <c r="C1823" s="311" t="s">
        <v>134</v>
      </c>
      <c r="D1823" s="311" t="s">
        <v>134</v>
      </c>
      <c r="E1823" s="337" t="s">
        <v>134</v>
      </c>
      <c r="F1823" s="311" t="s">
        <v>127</v>
      </c>
      <c r="G1823" s="311" t="s">
        <v>23</v>
      </c>
      <c r="H1823" s="311" t="s">
        <v>362</v>
      </c>
      <c r="I1823" s="311" t="s">
        <v>56</v>
      </c>
      <c r="J1823" s="50" t="s">
        <v>1892</v>
      </c>
      <c r="K1823" s="50" t="s">
        <v>1892</v>
      </c>
      <c r="L1823" s="50" t="s">
        <v>1893</v>
      </c>
      <c r="M1823" s="50" t="s">
        <v>4287</v>
      </c>
      <c r="N1823" s="50" t="s">
        <v>4287</v>
      </c>
      <c r="O1823" s="50" t="s">
        <v>4287</v>
      </c>
      <c r="P1823" s="50" t="s">
        <v>4287</v>
      </c>
    </row>
    <row r="1824" spans="1:16" ht="12.75" customHeight="1" x14ac:dyDescent="0.25">
      <c r="A1824" s="311">
        <v>1821</v>
      </c>
      <c r="B1824" s="311" t="s">
        <v>141</v>
      </c>
      <c r="C1824" s="311" t="s">
        <v>141</v>
      </c>
      <c r="D1824" s="311" t="s">
        <v>141</v>
      </c>
      <c r="E1824" s="337" t="s">
        <v>141</v>
      </c>
      <c r="F1824" s="311" t="s">
        <v>127</v>
      </c>
      <c r="G1824" s="311" t="s">
        <v>23</v>
      </c>
      <c r="H1824" s="311" t="s">
        <v>362</v>
      </c>
      <c r="I1824" s="311" t="s">
        <v>56</v>
      </c>
      <c r="J1824" s="50" t="s">
        <v>1892</v>
      </c>
      <c r="K1824" s="50" t="s">
        <v>1892</v>
      </c>
      <c r="L1824" s="50" t="s">
        <v>1893</v>
      </c>
      <c r="M1824" s="50" t="s">
        <v>4288</v>
      </c>
      <c r="N1824" s="50" t="s">
        <v>4288</v>
      </c>
      <c r="O1824" s="50" t="s">
        <v>4288</v>
      </c>
      <c r="P1824" s="50" t="s">
        <v>4288</v>
      </c>
    </row>
    <row r="1825" spans="1:16" ht="12.75" customHeight="1" x14ac:dyDescent="0.25">
      <c r="A1825" s="311">
        <v>1822</v>
      </c>
      <c r="B1825" s="311" t="s">
        <v>69</v>
      </c>
      <c r="C1825" s="311" t="s">
        <v>69</v>
      </c>
      <c r="D1825" s="311" t="s">
        <v>69</v>
      </c>
      <c r="E1825" s="337" t="s">
        <v>69</v>
      </c>
      <c r="F1825" s="311" t="s">
        <v>127</v>
      </c>
      <c r="G1825" s="311" t="s">
        <v>23</v>
      </c>
      <c r="H1825" s="311" t="s">
        <v>362</v>
      </c>
      <c r="I1825" s="311" t="s">
        <v>56</v>
      </c>
      <c r="J1825" s="50" t="s">
        <v>1892</v>
      </c>
      <c r="K1825" s="50" t="s">
        <v>1892</v>
      </c>
      <c r="L1825" s="50" t="s">
        <v>1893</v>
      </c>
      <c r="M1825" s="50" t="s">
        <v>4289</v>
      </c>
      <c r="N1825" s="50" t="s">
        <v>4289</v>
      </c>
      <c r="O1825" s="50" t="s">
        <v>4289</v>
      </c>
      <c r="P1825" s="50" t="s">
        <v>4289</v>
      </c>
    </row>
    <row r="1826" spans="1:16" ht="12.75" customHeight="1" x14ac:dyDescent="0.25">
      <c r="A1826" s="311">
        <v>1823</v>
      </c>
      <c r="B1826" s="311" t="s">
        <v>84</v>
      </c>
      <c r="C1826" s="311" t="s">
        <v>462</v>
      </c>
      <c r="D1826" s="311" t="s">
        <v>462</v>
      </c>
      <c r="E1826" s="337" t="s">
        <v>462</v>
      </c>
      <c r="F1826" s="311" t="s">
        <v>127</v>
      </c>
      <c r="G1826" s="311" t="s">
        <v>237</v>
      </c>
      <c r="H1826" s="311" t="s">
        <v>362</v>
      </c>
      <c r="I1826" s="311" t="s">
        <v>56</v>
      </c>
      <c r="J1826" s="50" t="s">
        <v>1892</v>
      </c>
      <c r="K1826" s="50" t="s">
        <v>1892</v>
      </c>
      <c r="L1826" s="50" t="s">
        <v>1893</v>
      </c>
      <c r="M1826" s="50" t="s">
        <v>4290</v>
      </c>
      <c r="N1826" s="50" t="s">
        <v>4291</v>
      </c>
      <c r="O1826" s="50" t="s">
        <v>4291</v>
      </c>
      <c r="P1826" s="50" t="s">
        <v>4291</v>
      </c>
    </row>
    <row r="1827" spans="1:16" ht="12.75" customHeight="1" x14ac:dyDescent="0.25">
      <c r="A1827" s="311">
        <v>1824</v>
      </c>
      <c r="B1827" s="311" t="s">
        <v>123</v>
      </c>
      <c r="C1827" s="311" t="s">
        <v>462</v>
      </c>
      <c r="D1827" s="311" t="s">
        <v>462</v>
      </c>
      <c r="E1827" s="337" t="s">
        <v>462</v>
      </c>
      <c r="F1827" s="311" t="s">
        <v>127</v>
      </c>
      <c r="G1827" s="311" t="s">
        <v>237</v>
      </c>
      <c r="H1827" s="311" t="s">
        <v>362</v>
      </c>
      <c r="I1827" s="311" t="s">
        <v>56</v>
      </c>
      <c r="J1827" s="50" t="s">
        <v>1892</v>
      </c>
      <c r="K1827" s="50" t="s">
        <v>1892</v>
      </c>
      <c r="L1827" s="50" t="s">
        <v>1893</v>
      </c>
      <c r="M1827" s="50" t="s">
        <v>4292</v>
      </c>
      <c r="N1827" s="50" t="s">
        <v>4291</v>
      </c>
      <c r="O1827" s="50" t="s">
        <v>4291</v>
      </c>
      <c r="P1827" s="50" t="s">
        <v>4291</v>
      </c>
    </row>
    <row r="1828" spans="1:16" ht="12.75" customHeight="1" x14ac:dyDescent="0.25">
      <c r="A1828" s="311">
        <v>1825</v>
      </c>
      <c r="B1828" s="311" t="s">
        <v>75</v>
      </c>
      <c r="C1828" s="311" t="s">
        <v>462</v>
      </c>
      <c r="D1828" s="311" t="s">
        <v>462</v>
      </c>
      <c r="E1828" s="337" t="s">
        <v>462</v>
      </c>
      <c r="F1828" s="311" t="s">
        <v>127</v>
      </c>
      <c r="G1828" s="311" t="s">
        <v>237</v>
      </c>
      <c r="H1828" s="311" t="s">
        <v>362</v>
      </c>
      <c r="I1828" s="311" t="s">
        <v>56</v>
      </c>
      <c r="J1828" s="50" t="s">
        <v>1892</v>
      </c>
      <c r="K1828" s="50" t="s">
        <v>1892</v>
      </c>
      <c r="L1828" s="50" t="s">
        <v>1893</v>
      </c>
      <c r="M1828" s="50" t="s">
        <v>4293</v>
      </c>
      <c r="N1828" s="50" t="s">
        <v>4291</v>
      </c>
      <c r="O1828" s="50" t="s">
        <v>4291</v>
      </c>
      <c r="P1828" s="50" t="s">
        <v>4291</v>
      </c>
    </row>
    <row r="1829" spans="1:16" ht="12.75" customHeight="1" x14ac:dyDescent="0.25">
      <c r="A1829" s="311">
        <v>1826</v>
      </c>
      <c r="B1829" s="311" t="s">
        <v>63</v>
      </c>
      <c r="C1829" s="311" t="s">
        <v>63</v>
      </c>
      <c r="D1829" s="311" t="s">
        <v>462</v>
      </c>
      <c r="E1829" s="337" t="s">
        <v>63</v>
      </c>
      <c r="F1829" s="311" t="s">
        <v>127</v>
      </c>
      <c r="G1829" s="311" t="s">
        <v>237</v>
      </c>
      <c r="H1829" s="311" t="s">
        <v>362</v>
      </c>
      <c r="I1829" s="311" t="s">
        <v>56</v>
      </c>
      <c r="J1829" s="50" t="s">
        <v>1892</v>
      </c>
      <c r="K1829" s="50" t="s">
        <v>1892</v>
      </c>
      <c r="L1829" s="50" t="s">
        <v>1893</v>
      </c>
      <c r="M1829" s="50" t="s">
        <v>4294</v>
      </c>
      <c r="N1829" s="50" t="s">
        <v>4294</v>
      </c>
      <c r="O1829" s="50" t="s">
        <v>4291</v>
      </c>
      <c r="P1829" s="50" t="s">
        <v>4294</v>
      </c>
    </row>
    <row r="1830" spans="1:16" ht="12.75" customHeight="1" x14ac:dyDescent="0.25">
      <c r="A1830" s="311">
        <v>1827</v>
      </c>
      <c r="B1830" s="311" t="s">
        <v>140</v>
      </c>
      <c r="C1830" s="311" t="s">
        <v>140</v>
      </c>
      <c r="D1830" s="311" t="s">
        <v>462</v>
      </c>
      <c r="E1830" s="337" t="s">
        <v>140</v>
      </c>
      <c r="F1830" s="311" t="s">
        <v>127</v>
      </c>
      <c r="G1830" s="311" t="s">
        <v>237</v>
      </c>
      <c r="H1830" s="311" t="s">
        <v>362</v>
      </c>
      <c r="I1830" s="311" t="s">
        <v>56</v>
      </c>
      <c r="J1830" s="50" t="s">
        <v>1892</v>
      </c>
      <c r="K1830" s="50" t="s">
        <v>1892</v>
      </c>
      <c r="L1830" s="50" t="s">
        <v>1893</v>
      </c>
      <c r="M1830" s="50" t="s">
        <v>4295</v>
      </c>
      <c r="N1830" s="50" t="s">
        <v>4295</v>
      </c>
      <c r="O1830" s="50" t="s">
        <v>4291</v>
      </c>
      <c r="P1830" s="50" t="s">
        <v>4295</v>
      </c>
    </row>
    <row r="1831" spans="1:16" ht="12.75" customHeight="1" x14ac:dyDescent="0.25">
      <c r="A1831" s="311">
        <v>1828</v>
      </c>
      <c r="B1831" s="311" t="s">
        <v>121</v>
      </c>
      <c r="C1831" s="311" t="s">
        <v>121</v>
      </c>
      <c r="D1831" s="311" t="s">
        <v>462</v>
      </c>
      <c r="E1831" s="337" t="s">
        <v>121</v>
      </c>
      <c r="F1831" s="311" t="s">
        <v>127</v>
      </c>
      <c r="G1831" s="311" t="s">
        <v>237</v>
      </c>
      <c r="H1831" s="311" t="s">
        <v>362</v>
      </c>
      <c r="I1831" s="311" t="s">
        <v>56</v>
      </c>
      <c r="J1831" s="50" t="s">
        <v>1892</v>
      </c>
      <c r="K1831" s="50" t="s">
        <v>1892</v>
      </c>
      <c r="L1831" s="50" t="s">
        <v>1893</v>
      </c>
      <c r="M1831" s="50" t="s">
        <v>4296</v>
      </c>
      <c r="N1831" s="50" t="s">
        <v>4296</v>
      </c>
      <c r="O1831" s="50" t="s">
        <v>4291</v>
      </c>
      <c r="P1831" s="50" t="s">
        <v>4296</v>
      </c>
    </row>
    <row r="1832" spans="1:16" ht="12.75" customHeight="1" x14ac:dyDescent="0.25">
      <c r="A1832" s="311">
        <v>1829</v>
      </c>
      <c r="B1832" s="311" t="s">
        <v>87</v>
      </c>
      <c r="C1832" s="311" t="s">
        <v>87</v>
      </c>
      <c r="D1832" s="311" t="s">
        <v>462</v>
      </c>
      <c r="E1832" s="337" t="s">
        <v>87</v>
      </c>
      <c r="F1832" s="311" t="s">
        <v>127</v>
      </c>
      <c r="G1832" s="311" t="s">
        <v>237</v>
      </c>
      <c r="H1832" s="311" t="s">
        <v>362</v>
      </c>
      <c r="I1832" s="311" t="s">
        <v>56</v>
      </c>
      <c r="J1832" s="50" t="s">
        <v>1892</v>
      </c>
      <c r="K1832" s="50" t="s">
        <v>1892</v>
      </c>
      <c r="L1832" s="50" t="s">
        <v>1893</v>
      </c>
      <c r="M1832" s="50" t="s">
        <v>4297</v>
      </c>
      <c r="N1832" s="50" t="s">
        <v>4297</v>
      </c>
      <c r="O1832" s="50" t="s">
        <v>4291</v>
      </c>
      <c r="P1832" s="50" t="s">
        <v>4297</v>
      </c>
    </row>
    <row r="1833" spans="1:16" ht="12.75" customHeight="1" x14ac:dyDescent="0.25">
      <c r="A1833" s="311">
        <v>1830</v>
      </c>
      <c r="B1833" s="311" t="s">
        <v>125</v>
      </c>
      <c r="C1833" s="311" t="s">
        <v>125</v>
      </c>
      <c r="D1833" s="311" t="s">
        <v>125</v>
      </c>
      <c r="E1833" s="337" t="s">
        <v>125</v>
      </c>
      <c r="F1833" s="311" t="s">
        <v>127</v>
      </c>
      <c r="G1833" s="311" t="s">
        <v>237</v>
      </c>
      <c r="H1833" s="311" t="s">
        <v>362</v>
      </c>
      <c r="I1833" s="311" t="s">
        <v>56</v>
      </c>
      <c r="J1833" s="50" t="s">
        <v>1892</v>
      </c>
      <c r="K1833" s="50" t="s">
        <v>1892</v>
      </c>
      <c r="L1833" s="50" t="s">
        <v>1893</v>
      </c>
      <c r="M1833" s="50" t="s">
        <v>4298</v>
      </c>
      <c r="N1833" s="50" t="s">
        <v>4298</v>
      </c>
      <c r="O1833" s="50" t="s">
        <v>4298</v>
      </c>
      <c r="P1833" s="50" t="s">
        <v>4298</v>
      </c>
    </row>
    <row r="1834" spans="1:16" ht="12.75" customHeight="1" x14ac:dyDescent="0.25">
      <c r="A1834" s="311">
        <v>1831</v>
      </c>
      <c r="B1834" s="311" t="s">
        <v>134</v>
      </c>
      <c r="C1834" s="311" t="s">
        <v>134</v>
      </c>
      <c r="D1834" s="311" t="s">
        <v>134</v>
      </c>
      <c r="E1834" s="337" t="s">
        <v>134</v>
      </c>
      <c r="F1834" s="311" t="s">
        <v>127</v>
      </c>
      <c r="G1834" s="311" t="s">
        <v>237</v>
      </c>
      <c r="H1834" s="311" t="s">
        <v>362</v>
      </c>
      <c r="I1834" s="311" t="s">
        <v>56</v>
      </c>
      <c r="J1834" s="50" t="s">
        <v>1892</v>
      </c>
      <c r="K1834" s="50" t="s">
        <v>1892</v>
      </c>
      <c r="L1834" s="50" t="s">
        <v>1893</v>
      </c>
      <c r="M1834" s="50" t="s">
        <v>4299</v>
      </c>
      <c r="N1834" s="50" t="s">
        <v>4299</v>
      </c>
      <c r="O1834" s="50" t="s">
        <v>4299</v>
      </c>
      <c r="P1834" s="50" t="s">
        <v>4299</v>
      </c>
    </row>
    <row r="1835" spans="1:16" ht="12.75" customHeight="1" x14ac:dyDescent="0.25">
      <c r="A1835" s="311">
        <v>1832</v>
      </c>
      <c r="B1835" s="311" t="s">
        <v>141</v>
      </c>
      <c r="C1835" s="311" t="s">
        <v>141</v>
      </c>
      <c r="D1835" s="311" t="s">
        <v>141</v>
      </c>
      <c r="E1835" s="337" t="s">
        <v>141</v>
      </c>
      <c r="F1835" s="311" t="s">
        <v>127</v>
      </c>
      <c r="G1835" s="311" t="s">
        <v>237</v>
      </c>
      <c r="H1835" s="311" t="s">
        <v>362</v>
      </c>
      <c r="I1835" s="311" t="s">
        <v>56</v>
      </c>
      <c r="J1835" s="50" t="s">
        <v>1892</v>
      </c>
      <c r="K1835" s="50" t="s">
        <v>1892</v>
      </c>
      <c r="L1835" s="50" t="s">
        <v>1893</v>
      </c>
      <c r="M1835" s="50" t="s">
        <v>4300</v>
      </c>
      <c r="N1835" s="50" t="s">
        <v>4300</v>
      </c>
      <c r="O1835" s="50" t="s">
        <v>4300</v>
      </c>
      <c r="P1835" s="50" t="s">
        <v>4300</v>
      </c>
    </row>
    <row r="1836" spans="1:16" ht="12.75" customHeight="1" x14ac:dyDescent="0.25">
      <c r="A1836" s="311">
        <v>1833</v>
      </c>
      <c r="B1836" s="311" t="s">
        <v>69</v>
      </c>
      <c r="C1836" s="311" t="s">
        <v>69</v>
      </c>
      <c r="D1836" s="311" t="s">
        <v>69</v>
      </c>
      <c r="E1836" s="337" t="s">
        <v>69</v>
      </c>
      <c r="F1836" s="311" t="s">
        <v>127</v>
      </c>
      <c r="G1836" s="311" t="s">
        <v>237</v>
      </c>
      <c r="H1836" s="311" t="s">
        <v>362</v>
      </c>
      <c r="I1836" s="311" t="s">
        <v>56</v>
      </c>
      <c r="J1836" s="50" t="s">
        <v>1892</v>
      </c>
      <c r="K1836" s="50" t="s">
        <v>1892</v>
      </c>
      <c r="L1836" s="50" t="s">
        <v>1893</v>
      </c>
      <c r="M1836" s="50" t="s">
        <v>4301</v>
      </c>
      <c r="N1836" s="50" t="s">
        <v>4301</v>
      </c>
      <c r="O1836" s="50" t="s">
        <v>4301</v>
      </c>
      <c r="P1836" s="50" t="s">
        <v>4301</v>
      </c>
    </row>
    <row r="1837" spans="1:16" ht="12.75" customHeight="1" x14ac:dyDescent="0.25">
      <c r="A1837" s="311">
        <v>1834</v>
      </c>
      <c r="B1837" s="311" t="s">
        <v>84</v>
      </c>
      <c r="C1837" s="311" t="s">
        <v>462</v>
      </c>
      <c r="D1837" s="311" t="s">
        <v>462</v>
      </c>
      <c r="E1837" s="337" t="s">
        <v>462</v>
      </c>
      <c r="F1837" s="311" t="s">
        <v>263</v>
      </c>
      <c r="G1837" s="311" t="s">
        <v>236</v>
      </c>
      <c r="H1837" s="311" t="s">
        <v>405</v>
      </c>
      <c r="I1837" s="311" t="s">
        <v>56</v>
      </c>
      <c r="J1837" s="50" t="s">
        <v>1892</v>
      </c>
      <c r="K1837" s="50" t="s">
        <v>1892</v>
      </c>
      <c r="L1837" s="50" t="s">
        <v>1893</v>
      </c>
      <c r="M1837" s="50" t="s">
        <v>4302</v>
      </c>
      <c r="N1837" s="50" t="s">
        <v>4303</v>
      </c>
      <c r="O1837" s="50" t="s">
        <v>4303</v>
      </c>
      <c r="P1837" s="50" t="s">
        <v>4303</v>
      </c>
    </row>
    <row r="1838" spans="1:16" ht="12.75" customHeight="1" x14ac:dyDescent="0.25">
      <c r="A1838" s="311">
        <v>1835</v>
      </c>
      <c r="B1838" s="311" t="s">
        <v>123</v>
      </c>
      <c r="C1838" s="311" t="s">
        <v>462</v>
      </c>
      <c r="D1838" s="311" t="s">
        <v>462</v>
      </c>
      <c r="E1838" s="337" t="s">
        <v>462</v>
      </c>
      <c r="F1838" s="311" t="s">
        <v>263</v>
      </c>
      <c r="G1838" s="311" t="s">
        <v>236</v>
      </c>
      <c r="H1838" s="311" t="s">
        <v>405</v>
      </c>
      <c r="I1838" s="311" t="s">
        <v>56</v>
      </c>
      <c r="J1838" s="50" t="s">
        <v>1892</v>
      </c>
      <c r="K1838" s="50" t="s">
        <v>1892</v>
      </c>
      <c r="L1838" s="50" t="s">
        <v>1893</v>
      </c>
      <c r="M1838" s="50" t="s">
        <v>4304</v>
      </c>
      <c r="N1838" s="50" t="s">
        <v>4303</v>
      </c>
      <c r="O1838" s="50" t="s">
        <v>4303</v>
      </c>
      <c r="P1838" s="50" t="s">
        <v>4303</v>
      </c>
    </row>
    <row r="1839" spans="1:16" ht="12.75" customHeight="1" x14ac:dyDescent="0.25">
      <c r="A1839" s="311">
        <v>1836</v>
      </c>
      <c r="B1839" s="311" t="s">
        <v>75</v>
      </c>
      <c r="C1839" s="311" t="s">
        <v>462</v>
      </c>
      <c r="D1839" s="311" t="s">
        <v>462</v>
      </c>
      <c r="E1839" s="337" t="s">
        <v>462</v>
      </c>
      <c r="F1839" s="311" t="s">
        <v>263</v>
      </c>
      <c r="G1839" s="311" t="s">
        <v>236</v>
      </c>
      <c r="H1839" s="311" t="s">
        <v>405</v>
      </c>
      <c r="I1839" s="311" t="s">
        <v>56</v>
      </c>
      <c r="J1839" s="50" t="s">
        <v>1892</v>
      </c>
      <c r="K1839" s="50" t="s">
        <v>1892</v>
      </c>
      <c r="L1839" s="50" t="s">
        <v>1893</v>
      </c>
      <c r="M1839" s="50" t="s">
        <v>4305</v>
      </c>
      <c r="N1839" s="50" t="s">
        <v>4303</v>
      </c>
      <c r="O1839" s="50" t="s">
        <v>4303</v>
      </c>
      <c r="P1839" s="50" t="s">
        <v>4303</v>
      </c>
    </row>
    <row r="1840" spans="1:16" ht="12.75" customHeight="1" x14ac:dyDescent="0.25">
      <c r="A1840" s="311">
        <v>1837</v>
      </c>
      <c r="B1840" s="311" t="s">
        <v>63</v>
      </c>
      <c r="C1840" s="311" t="s">
        <v>63</v>
      </c>
      <c r="D1840" s="311" t="s">
        <v>462</v>
      </c>
      <c r="E1840" s="337" t="s">
        <v>63</v>
      </c>
      <c r="F1840" s="311" t="s">
        <v>263</v>
      </c>
      <c r="G1840" s="311" t="s">
        <v>236</v>
      </c>
      <c r="H1840" s="311" t="s">
        <v>405</v>
      </c>
      <c r="I1840" s="311" t="s">
        <v>56</v>
      </c>
      <c r="J1840" s="50" t="s">
        <v>1892</v>
      </c>
      <c r="K1840" s="50" t="s">
        <v>1892</v>
      </c>
      <c r="L1840" s="50" t="s">
        <v>1893</v>
      </c>
      <c r="M1840" s="50" t="s">
        <v>4306</v>
      </c>
      <c r="N1840" s="50" t="s">
        <v>4306</v>
      </c>
      <c r="O1840" s="50" t="s">
        <v>4303</v>
      </c>
      <c r="P1840" s="50" t="s">
        <v>4306</v>
      </c>
    </row>
    <row r="1841" spans="1:16" ht="12.75" customHeight="1" x14ac:dyDescent="0.25">
      <c r="A1841" s="311">
        <v>1838</v>
      </c>
      <c r="B1841" s="311" t="s">
        <v>140</v>
      </c>
      <c r="C1841" s="311" t="s">
        <v>140</v>
      </c>
      <c r="D1841" s="311" t="s">
        <v>462</v>
      </c>
      <c r="E1841" s="337" t="s">
        <v>140</v>
      </c>
      <c r="F1841" s="311" t="s">
        <v>263</v>
      </c>
      <c r="G1841" s="311" t="s">
        <v>236</v>
      </c>
      <c r="H1841" s="311" t="s">
        <v>405</v>
      </c>
      <c r="I1841" s="311" t="s">
        <v>56</v>
      </c>
      <c r="J1841" s="50" t="s">
        <v>1892</v>
      </c>
      <c r="K1841" s="50" t="s">
        <v>1892</v>
      </c>
      <c r="L1841" s="50" t="s">
        <v>1893</v>
      </c>
      <c r="M1841" s="50" t="s">
        <v>4307</v>
      </c>
      <c r="N1841" s="50" t="s">
        <v>4307</v>
      </c>
      <c r="O1841" s="50" t="s">
        <v>4303</v>
      </c>
      <c r="P1841" s="50" t="s">
        <v>4307</v>
      </c>
    </row>
    <row r="1842" spans="1:16" ht="12.75" customHeight="1" x14ac:dyDescent="0.25">
      <c r="A1842" s="311">
        <v>1839</v>
      </c>
      <c r="B1842" s="311" t="s">
        <v>121</v>
      </c>
      <c r="C1842" s="311" t="s">
        <v>121</v>
      </c>
      <c r="D1842" s="311" t="s">
        <v>462</v>
      </c>
      <c r="E1842" s="337" t="s">
        <v>121</v>
      </c>
      <c r="F1842" s="311" t="s">
        <v>263</v>
      </c>
      <c r="G1842" s="311" t="s">
        <v>236</v>
      </c>
      <c r="H1842" s="311" t="s">
        <v>405</v>
      </c>
      <c r="I1842" s="311" t="s">
        <v>56</v>
      </c>
      <c r="J1842" s="50" t="s">
        <v>1892</v>
      </c>
      <c r="K1842" s="50" t="s">
        <v>1892</v>
      </c>
      <c r="L1842" s="50" t="s">
        <v>1893</v>
      </c>
      <c r="M1842" s="50" t="s">
        <v>4308</v>
      </c>
      <c r="N1842" s="50" t="s">
        <v>4308</v>
      </c>
      <c r="O1842" s="50" t="s">
        <v>4303</v>
      </c>
      <c r="P1842" s="50" t="s">
        <v>4308</v>
      </c>
    </row>
    <row r="1843" spans="1:16" ht="12.75" customHeight="1" x14ac:dyDescent="0.25">
      <c r="A1843" s="311">
        <v>1840</v>
      </c>
      <c r="B1843" s="311" t="s">
        <v>87</v>
      </c>
      <c r="C1843" s="311" t="s">
        <v>87</v>
      </c>
      <c r="D1843" s="311" t="s">
        <v>462</v>
      </c>
      <c r="E1843" s="337" t="s">
        <v>87</v>
      </c>
      <c r="F1843" s="311" t="s">
        <v>263</v>
      </c>
      <c r="G1843" s="311" t="s">
        <v>236</v>
      </c>
      <c r="H1843" s="311" t="s">
        <v>405</v>
      </c>
      <c r="I1843" s="311" t="s">
        <v>56</v>
      </c>
      <c r="J1843" s="50" t="s">
        <v>1892</v>
      </c>
      <c r="K1843" s="50" t="s">
        <v>1892</v>
      </c>
      <c r="L1843" s="50" t="s">
        <v>1893</v>
      </c>
      <c r="M1843" s="50" t="s">
        <v>4309</v>
      </c>
      <c r="N1843" s="50" t="s">
        <v>4309</v>
      </c>
      <c r="O1843" s="50" t="s">
        <v>4303</v>
      </c>
      <c r="P1843" s="50" t="s">
        <v>4309</v>
      </c>
    </row>
    <row r="1844" spans="1:16" ht="12.75" customHeight="1" x14ac:dyDescent="0.25">
      <c r="A1844" s="311">
        <v>1841</v>
      </c>
      <c r="B1844" s="311" t="s">
        <v>125</v>
      </c>
      <c r="C1844" s="311" t="s">
        <v>125</v>
      </c>
      <c r="D1844" s="311" t="s">
        <v>125</v>
      </c>
      <c r="E1844" s="337" t="s">
        <v>125</v>
      </c>
      <c r="F1844" s="311" t="s">
        <v>263</v>
      </c>
      <c r="G1844" s="311" t="s">
        <v>236</v>
      </c>
      <c r="H1844" s="311" t="s">
        <v>405</v>
      </c>
      <c r="I1844" s="311" t="s">
        <v>56</v>
      </c>
      <c r="J1844" s="50" t="s">
        <v>1892</v>
      </c>
      <c r="K1844" s="50" t="s">
        <v>1892</v>
      </c>
      <c r="L1844" s="50" t="s">
        <v>1893</v>
      </c>
      <c r="M1844" s="50" t="s">
        <v>4310</v>
      </c>
      <c r="N1844" s="50" t="s">
        <v>4310</v>
      </c>
      <c r="O1844" s="50" t="s">
        <v>4310</v>
      </c>
      <c r="P1844" s="50" t="s">
        <v>4310</v>
      </c>
    </row>
    <row r="1845" spans="1:16" ht="12.75" customHeight="1" x14ac:dyDescent="0.25">
      <c r="A1845" s="311">
        <v>1842</v>
      </c>
      <c r="B1845" s="311" t="s">
        <v>134</v>
      </c>
      <c r="C1845" s="311" t="s">
        <v>134</v>
      </c>
      <c r="D1845" s="311" t="s">
        <v>134</v>
      </c>
      <c r="E1845" s="337" t="s">
        <v>134</v>
      </c>
      <c r="F1845" s="311" t="s">
        <v>263</v>
      </c>
      <c r="G1845" s="311" t="s">
        <v>236</v>
      </c>
      <c r="H1845" s="311" t="s">
        <v>405</v>
      </c>
      <c r="I1845" s="311" t="s">
        <v>56</v>
      </c>
      <c r="J1845" s="50" t="s">
        <v>1892</v>
      </c>
      <c r="K1845" s="50" t="s">
        <v>1892</v>
      </c>
      <c r="L1845" s="50" t="s">
        <v>1893</v>
      </c>
      <c r="M1845" s="50" t="s">
        <v>4311</v>
      </c>
      <c r="N1845" s="50" t="s">
        <v>4311</v>
      </c>
      <c r="O1845" s="50" t="s">
        <v>4311</v>
      </c>
      <c r="P1845" s="50" t="s">
        <v>4311</v>
      </c>
    </row>
    <row r="1846" spans="1:16" ht="12.75" customHeight="1" x14ac:dyDescent="0.25">
      <c r="A1846" s="311">
        <v>1843</v>
      </c>
      <c r="B1846" s="311" t="s">
        <v>141</v>
      </c>
      <c r="C1846" s="311" t="s">
        <v>141</v>
      </c>
      <c r="D1846" s="311" t="s">
        <v>141</v>
      </c>
      <c r="E1846" s="337" t="s">
        <v>141</v>
      </c>
      <c r="F1846" s="311" t="s">
        <v>263</v>
      </c>
      <c r="G1846" s="311" t="s">
        <v>236</v>
      </c>
      <c r="H1846" s="311" t="s">
        <v>405</v>
      </c>
      <c r="I1846" s="311" t="s">
        <v>56</v>
      </c>
      <c r="J1846" s="50" t="s">
        <v>1892</v>
      </c>
      <c r="K1846" s="50" t="s">
        <v>1892</v>
      </c>
      <c r="L1846" s="50" t="s">
        <v>1893</v>
      </c>
      <c r="M1846" s="50" t="s">
        <v>4312</v>
      </c>
      <c r="N1846" s="50" t="s">
        <v>4312</v>
      </c>
      <c r="O1846" s="50" t="s">
        <v>4312</v>
      </c>
      <c r="P1846" s="50" t="s">
        <v>4312</v>
      </c>
    </row>
    <row r="1847" spans="1:16" ht="12.75" customHeight="1" x14ac:dyDescent="0.25">
      <c r="A1847" s="311">
        <v>1844</v>
      </c>
      <c r="B1847" s="311" t="s">
        <v>69</v>
      </c>
      <c r="C1847" s="311" t="s">
        <v>69</v>
      </c>
      <c r="D1847" s="311" t="s">
        <v>69</v>
      </c>
      <c r="E1847" s="337" t="s">
        <v>69</v>
      </c>
      <c r="F1847" s="311" t="s">
        <v>263</v>
      </c>
      <c r="G1847" s="311" t="s">
        <v>236</v>
      </c>
      <c r="H1847" s="311" t="s">
        <v>405</v>
      </c>
      <c r="I1847" s="311" t="s">
        <v>56</v>
      </c>
      <c r="J1847" s="50" t="s">
        <v>1892</v>
      </c>
      <c r="K1847" s="50" t="s">
        <v>1892</v>
      </c>
      <c r="L1847" s="50" t="s">
        <v>1893</v>
      </c>
      <c r="M1847" s="50" t="s">
        <v>4313</v>
      </c>
      <c r="N1847" s="50" t="s">
        <v>4313</v>
      </c>
      <c r="O1847" s="50" t="s">
        <v>4313</v>
      </c>
      <c r="P1847" s="50" t="s">
        <v>4313</v>
      </c>
    </row>
    <row r="1848" spans="1:16" ht="12.75" customHeight="1" x14ac:dyDescent="0.25">
      <c r="A1848" s="311">
        <v>1845</v>
      </c>
      <c r="B1848" s="311" t="s">
        <v>84</v>
      </c>
      <c r="C1848" s="311" t="s">
        <v>462</v>
      </c>
      <c r="D1848" s="311" t="s">
        <v>462</v>
      </c>
      <c r="E1848" s="337" t="s">
        <v>462</v>
      </c>
      <c r="F1848" s="311" t="s">
        <v>263</v>
      </c>
      <c r="G1848" s="311" t="s">
        <v>23</v>
      </c>
      <c r="H1848" s="311" t="s">
        <v>405</v>
      </c>
      <c r="I1848" s="311" t="s">
        <v>56</v>
      </c>
      <c r="J1848" s="50" t="s">
        <v>1892</v>
      </c>
      <c r="K1848" s="50" t="s">
        <v>1892</v>
      </c>
      <c r="L1848" s="50" t="s">
        <v>1893</v>
      </c>
      <c r="M1848" s="50" t="s">
        <v>4314</v>
      </c>
      <c r="N1848" s="50" t="s">
        <v>4315</v>
      </c>
      <c r="O1848" s="50" t="s">
        <v>4315</v>
      </c>
      <c r="P1848" s="50" t="s">
        <v>4315</v>
      </c>
    </row>
    <row r="1849" spans="1:16" ht="12.75" customHeight="1" x14ac:dyDescent="0.25">
      <c r="A1849" s="311">
        <v>1846</v>
      </c>
      <c r="B1849" s="311" t="s">
        <v>123</v>
      </c>
      <c r="C1849" s="311" t="s">
        <v>462</v>
      </c>
      <c r="D1849" s="311" t="s">
        <v>462</v>
      </c>
      <c r="E1849" s="337" t="s">
        <v>462</v>
      </c>
      <c r="F1849" s="311" t="s">
        <v>263</v>
      </c>
      <c r="G1849" s="311" t="s">
        <v>23</v>
      </c>
      <c r="H1849" s="311" t="s">
        <v>405</v>
      </c>
      <c r="I1849" s="311" t="s">
        <v>56</v>
      </c>
      <c r="J1849" s="50" t="s">
        <v>1892</v>
      </c>
      <c r="K1849" s="50" t="s">
        <v>1892</v>
      </c>
      <c r="L1849" s="50" t="s">
        <v>1893</v>
      </c>
      <c r="M1849" s="50" t="s">
        <v>4316</v>
      </c>
      <c r="N1849" s="50" t="s">
        <v>4315</v>
      </c>
      <c r="O1849" s="50" t="s">
        <v>4315</v>
      </c>
      <c r="P1849" s="50" t="s">
        <v>4315</v>
      </c>
    </row>
    <row r="1850" spans="1:16" ht="12.75" customHeight="1" x14ac:dyDescent="0.25">
      <c r="A1850" s="311">
        <v>1847</v>
      </c>
      <c r="B1850" s="311" t="s">
        <v>75</v>
      </c>
      <c r="C1850" s="311" t="s">
        <v>462</v>
      </c>
      <c r="D1850" s="311" t="s">
        <v>462</v>
      </c>
      <c r="E1850" s="337" t="s">
        <v>462</v>
      </c>
      <c r="F1850" s="311" t="s">
        <v>263</v>
      </c>
      <c r="G1850" s="311" t="s">
        <v>23</v>
      </c>
      <c r="H1850" s="311" t="s">
        <v>405</v>
      </c>
      <c r="I1850" s="311" t="s">
        <v>56</v>
      </c>
      <c r="J1850" s="50" t="s">
        <v>1892</v>
      </c>
      <c r="K1850" s="50" t="s">
        <v>1892</v>
      </c>
      <c r="L1850" s="50" t="s">
        <v>1893</v>
      </c>
      <c r="M1850" s="50" t="s">
        <v>4317</v>
      </c>
      <c r="N1850" s="50" t="s">
        <v>4315</v>
      </c>
      <c r="O1850" s="50" t="s">
        <v>4315</v>
      </c>
      <c r="P1850" s="50" t="s">
        <v>4315</v>
      </c>
    </row>
    <row r="1851" spans="1:16" ht="12.75" customHeight="1" x14ac:dyDescent="0.25">
      <c r="A1851" s="311">
        <v>1848</v>
      </c>
      <c r="B1851" s="311" t="s">
        <v>63</v>
      </c>
      <c r="C1851" s="311" t="s">
        <v>63</v>
      </c>
      <c r="D1851" s="311" t="s">
        <v>462</v>
      </c>
      <c r="E1851" s="337" t="s">
        <v>63</v>
      </c>
      <c r="F1851" s="311" t="s">
        <v>263</v>
      </c>
      <c r="G1851" s="311" t="s">
        <v>23</v>
      </c>
      <c r="H1851" s="311" t="s">
        <v>405</v>
      </c>
      <c r="I1851" s="311" t="s">
        <v>56</v>
      </c>
      <c r="J1851" s="50" t="s">
        <v>1892</v>
      </c>
      <c r="K1851" s="50" t="s">
        <v>1892</v>
      </c>
      <c r="L1851" s="50" t="s">
        <v>1893</v>
      </c>
      <c r="M1851" s="50" t="s">
        <v>4318</v>
      </c>
      <c r="N1851" s="50" t="s">
        <v>4318</v>
      </c>
      <c r="O1851" s="50" t="s">
        <v>4315</v>
      </c>
      <c r="P1851" s="50" t="s">
        <v>4318</v>
      </c>
    </row>
    <row r="1852" spans="1:16" ht="12.75" customHeight="1" x14ac:dyDescent="0.25">
      <c r="A1852" s="311">
        <v>1849</v>
      </c>
      <c r="B1852" s="311" t="s">
        <v>140</v>
      </c>
      <c r="C1852" s="311" t="s">
        <v>140</v>
      </c>
      <c r="D1852" s="311" t="s">
        <v>462</v>
      </c>
      <c r="E1852" s="337" t="s">
        <v>140</v>
      </c>
      <c r="F1852" s="311" t="s">
        <v>263</v>
      </c>
      <c r="G1852" s="311" t="s">
        <v>23</v>
      </c>
      <c r="H1852" s="311" t="s">
        <v>405</v>
      </c>
      <c r="I1852" s="311" t="s">
        <v>56</v>
      </c>
      <c r="J1852" s="50" t="s">
        <v>1892</v>
      </c>
      <c r="K1852" s="50" t="s">
        <v>1892</v>
      </c>
      <c r="L1852" s="50" t="s">
        <v>1893</v>
      </c>
      <c r="M1852" s="50" t="s">
        <v>4319</v>
      </c>
      <c r="N1852" s="50" t="s">
        <v>4319</v>
      </c>
      <c r="O1852" s="50" t="s">
        <v>4315</v>
      </c>
      <c r="P1852" s="50" t="s">
        <v>4319</v>
      </c>
    </row>
    <row r="1853" spans="1:16" ht="12.75" customHeight="1" x14ac:dyDescent="0.25">
      <c r="A1853" s="311">
        <v>1850</v>
      </c>
      <c r="B1853" s="311" t="s">
        <v>121</v>
      </c>
      <c r="C1853" s="311" t="s">
        <v>121</v>
      </c>
      <c r="D1853" s="311" t="s">
        <v>462</v>
      </c>
      <c r="E1853" s="337" t="s">
        <v>121</v>
      </c>
      <c r="F1853" s="311" t="s">
        <v>263</v>
      </c>
      <c r="G1853" s="311" t="s">
        <v>23</v>
      </c>
      <c r="H1853" s="311" t="s">
        <v>405</v>
      </c>
      <c r="I1853" s="311" t="s">
        <v>56</v>
      </c>
      <c r="J1853" s="50" t="s">
        <v>1892</v>
      </c>
      <c r="K1853" s="50" t="s">
        <v>1892</v>
      </c>
      <c r="L1853" s="50" t="s">
        <v>1893</v>
      </c>
      <c r="M1853" s="50" t="s">
        <v>4320</v>
      </c>
      <c r="N1853" s="50" t="s">
        <v>4320</v>
      </c>
      <c r="O1853" s="50" t="s">
        <v>4315</v>
      </c>
      <c r="P1853" s="50" t="s">
        <v>4320</v>
      </c>
    </row>
    <row r="1854" spans="1:16" ht="12.75" customHeight="1" x14ac:dyDescent="0.25">
      <c r="A1854" s="311">
        <v>1851</v>
      </c>
      <c r="B1854" s="311" t="s">
        <v>87</v>
      </c>
      <c r="C1854" s="311" t="s">
        <v>87</v>
      </c>
      <c r="D1854" s="311" t="s">
        <v>462</v>
      </c>
      <c r="E1854" s="337" t="s">
        <v>87</v>
      </c>
      <c r="F1854" s="311" t="s">
        <v>263</v>
      </c>
      <c r="G1854" s="311" t="s">
        <v>23</v>
      </c>
      <c r="H1854" s="311" t="s">
        <v>405</v>
      </c>
      <c r="I1854" s="311" t="s">
        <v>56</v>
      </c>
      <c r="J1854" s="50" t="s">
        <v>1892</v>
      </c>
      <c r="K1854" s="50" t="s">
        <v>1892</v>
      </c>
      <c r="L1854" s="50" t="s">
        <v>1893</v>
      </c>
      <c r="M1854" s="50" t="s">
        <v>4321</v>
      </c>
      <c r="N1854" s="50" t="s">
        <v>4321</v>
      </c>
      <c r="O1854" s="50" t="s">
        <v>4315</v>
      </c>
      <c r="P1854" s="50" t="s">
        <v>4321</v>
      </c>
    </row>
    <row r="1855" spans="1:16" ht="12.75" customHeight="1" x14ac:dyDescent="0.25">
      <c r="A1855" s="311">
        <v>1852</v>
      </c>
      <c r="B1855" s="311" t="s">
        <v>125</v>
      </c>
      <c r="C1855" s="311" t="s">
        <v>125</v>
      </c>
      <c r="D1855" s="311" t="s">
        <v>125</v>
      </c>
      <c r="E1855" s="337" t="s">
        <v>125</v>
      </c>
      <c r="F1855" s="311" t="s">
        <v>263</v>
      </c>
      <c r="G1855" s="311" t="s">
        <v>23</v>
      </c>
      <c r="H1855" s="311" t="s">
        <v>405</v>
      </c>
      <c r="I1855" s="311" t="s">
        <v>56</v>
      </c>
      <c r="J1855" s="50" t="s">
        <v>1892</v>
      </c>
      <c r="K1855" s="50" t="s">
        <v>1892</v>
      </c>
      <c r="L1855" s="50" t="s">
        <v>1893</v>
      </c>
      <c r="M1855" s="50" t="s">
        <v>4322</v>
      </c>
      <c r="N1855" s="50" t="s">
        <v>4322</v>
      </c>
      <c r="O1855" s="50" t="s">
        <v>4322</v>
      </c>
      <c r="P1855" s="50" t="s">
        <v>4322</v>
      </c>
    </row>
    <row r="1856" spans="1:16" ht="12.75" customHeight="1" x14ac:dyDescent="0.25">
      <c r="A1856" s="311">
        <v>1853</v>
      </c>
      <c r="B1856" s="311" t="s">
        <v>134</v>
      </c>
      <c r="C1856" s="311" t="s">
        <v>134</v>
      </c>
      <c r="D1856" s="311" t="s">
        <v>134</v>
      </c>
      <c r="E1856" s="337" t="s">
        <v>134</v>
      </c>
      <c r="F1856" s="311" t="s">
        <v>263</v>
      </c>
      <c r="G1856" s="311" t="s">
        <v>23</v>
      </c>
      <c r="H1856" s="311" t="s">
        <v>405</v>
      </c>
      <c r="I1856" s="311" t="s">
        <v>56</v>
      </c>
      <c r="J1856" s="50" t="s">
        <v>1892</v>
      </c>
      <c r="K1856" s="50" t="s">
        <v>1892</v>
      </c>
      <c r="L1856" s="50" t="s">
        <v>1893</v>
      </c>
      <c r="M1856" s="50" t="s">
        <v>4323</v>
      </c>
      <c r="N1856" s="50" t="s">
        <v>4323</v>
      </c>
      <c r="O1856" s="50" t="s">
        <v>4323</v>
      </c>
      <c r="P1856" s="50" t="s">
        <v>4323</v>
      </c>
    </row>
    <row r="1857" spans="1:16" ht="12.75" customHeight="1" x14ac:dyDescent="0.25">
      <c r="A1857" s="311">
        <v>1854</v>
      </c>
      <c r="B1857" s="311" t="s">
        <v>141</v>
      </c>
      <c r="C1857" s="311" t="s">
        <v>141</v>
      </c>
      <c r="D1857" s="311" t="s">
        <v>141</v>
      </c>
      <c r="E1857" s="337" t="s">
        <v>141</v>
      </c>
      <c r="F1857" s="311" t="s">
        <v>263</v>
      </c>
      <c r="G1857" s="311" t="s">
        <v>23</v>
      </c>
      <c r="H1857" s="311" t="s">
        <v>405</v>
      </c>
      <c r="I1857" s="311" t="s">
        <v>56</v>
      </c>
      <c r="J1857" s="50" t="s">
        <v>1892</v>
      </c>
      <c r="K1857" s="50" t="s">
        <v>1892</v>
      </c>
      <c r="L1857" s="50" t="s">
        <v>1893</v>
      </c>
      <c r="M1857" s="50" t="s">
        <v>4324</v>
      </c>
      <c r="N1857" s="50" t="s">
        <v>4324</v>
      </c>
      <c r="O1857" s="50" t="s">
        <v>4324</v>
      </c>
      <c r="P1857" s="50" t="s">
        <v>4324</v>
      </c>
    </row>
    <row r="1858" spans="1:16" ht="12.75" customHeight="1" x14ac:dyDescent="0.25">
      <c r="A1858" s="311">
        <v>1855</v>
      </c>
      <c r="B1858" s="311" t="s">
        <v>69</v>
      </c>
      <c r="C1858" s="311" t="s">
        <v>69</v>
      </c>
      <c r="D1858" s="311" t="s">
        <v>69</v>
      </c>
      <c r="E1858" s="337" t="s">
        <v>69</v>
      </c>
      <c r="F1858" s="311" t="s">
        <v>263</v>
      </c>
      <c r="G1858" s="311" t="s">
        <v>23</v>
      </c>
      <c r="H1858" s="311" t="s">
        <v>405</v>
      </c>
      <c r="I1858" s="311" t="s">
        <v>56</v>
      </c>
      <c r="J1858" s="50" t="s">
        <v>1892</v>
      </c>
      <c r="K1858" s="50" t="s">
        <v>1892</v>
      </c>
      <c r="L1858" s="50" t="s">
        <v>1893</v>
      </c>
      <c r="M1858" s="50" t="s">
        <v>4325</v>
      </c>
      <c r="N1858" s="50" t="s">
        <v>4325</v>
      </c>
      <c r="O1858" s="50" t="s">
        <v>4325</v>
      </c>
      <c r="P1858" s="50" t="s">
        <v>4325</v>
      </c>
    </row>
    <row r="1859" spans="1:16" ht="12.75" customHeight="1" x14ac:dyDescent="0.25">
      <c r="A1859" s="311">
        <v>1856</v>
      </c>
      <c r="B1859" s="311" t="s">
        <v>84</v>
      </c>
      <c r="C1859" s="311" t="s">
        <v>462</v>
      </c>
      <c r="D1859" s="311" t="s">
        <v>462</v>
      </c>
      <c r="E1859" s="337" t="s">
        <v>462</v>
      </c>
      <c r="F1859" s="311" t="s">
        <v>263</v>
      </c>
      <c r="G1859" s="311" t="s">
        <v>237</v>
      </c>
      <c r="H1859" s="311" t="s">
        <v>405</v>
      </c>
      <c r="I1859" s="311" t="s">
        <v>56</v>
      </c>
      <c r="J1859" s="50" t="s">
        <v>1892</v>
      </c>
      <c r="K1859" s="50" t="s">
        <v>1892</v>
      </c>
      <c r="L1859" s="50" t="s">
        <v>1893</v>
      </c>
      <c r="M1859" s="50" t="s">
        <v>4326</v>
      </c>
      <c r="N1859" s="50" t="s">
        <v>4327</v>
      </c>
      <c r="O1859" s="50" t="s">
        <v>4327</v>
      </c>
      <c r="P1859" s="50" t="s">
        <v>4327</v>
      </c>
    </row>
    <row r="1860" spans="1:16" ht="12.75" customHeight="1" x14ac:dyDescent="0.25">
      <c r="A1860" s="311">
        <v>1857</v>
      </c>
      <c r="B1860" s="311" t="s">
        <v>123</v>
      </c>
      <c r="C1860" s="311" t="s">
        <v>462</v>
      </c>
      <c r="D1860" s="311" t="s">
        <v>462</v>
      </c>
      <c r="E1860" s="337" t="s">
        <v>462</v>
      </c>
      <c r="F1860" s="311" t="s">
        <v>263</v>
      </c>
      <c r="G1860" s="311" t="s">
        <v>237</v>
      </c>
      <c r="H1860" s="311" t="s">
        <v>405</v>
      </c>
      <c r="I1860" s="311" t="s">
        <v>56</v>
      </c>
      <c r="J1860" s="50" t="s">
        <v>1892</v>
      </c>
      <c r="K1860" s="50" t="s">
        <v>1892</v>
      </c>
      <c r="L1860" s="50" t="s">
        <v>1893</v>
      </c>
      <c r="M1860" s="50" t="s">
        <v>4328</v>
      </c>
      <c r="N1860" s="50" t="s">
        <v>4327</v>
      </c>
      <c r="O1860" s="50" t="s">
        <v>4327</v>
      </c>
      <c r="P1860" s="50" t="s">
        <v>4327</v>
      </c>
    </row>
    <row r="1861" spans="1:16" ht="12.75" customHeight="1" x14ac:dyDescent="0.25">
      <c r="A1861" s="311">
        <v>1858</v>
      </c>
      <c r="B1861" s="311" t="s">
        <v>75</v>
      </c>
      <c r="C1861" s="311" t="s">
        <v>462</v>
      </c>
      <c r="D1861" s="311" t="s">
        <v>462</v>
      </c>
      <c r="E1861" s="337" t="s">
        <v>462</v>
      </c>
      <c r="F1861" s="311" t="s">
        <v>263</v>
      </c>
      <c r="G1861" s="311" t="s">
        <v>237</v>
      </c>
      <c r="H1861" s="311" t="s">
        <v>405</v>
      </c>
      <c r="I1861" s="311" t="s">
        <v>56</v>
      </c>
      <c r="J1861" s="50" t="s">
        <v>1892</v>
      </c>
      <c r="K1861" s="50" t="s">
        <v>1892</v>
      </c>
      <c r="L1861" s="50" t="s">
        <v>1893</v>
      </c>
      <c r="M1861" s="50" t="s">
        <v>4329</v>
      </c>
      <c r="N1861" s="50" t="s">
        <v>4327</v>
      </c>
      <c r="O1861" s="50" t="s">
        <v>4327</v>
      </c>
      <c r="P1861" s="50" t="s">
        <v>4327</v>
      </c>
    </row>
    <row r="1862" spans="1:16" ht="12.75" customHeight="1" x14ac:dyDescent="0.25">
      <c r="A1862" s="311">
        <v>1859</v>
      </c>
      <c r="B1862" s="311" t="s">
        <v>63</v>
      </c>
      <c r="C1862" s="311" t="s">
        <v>63</v>
      </c>
      <c r="D1862" s="311" t="s">
        <v>462</v>
      </c>
      <c r="E1862" s="337" t="s">
        <v>63</v>
      </c>
      <c r="F1862" s="311" t="s">
        <v>263</v>
      </c>
      <c r="G1862" s="311" t="s">
        <v>237</v>
      </c>
      <c r="H1862" s="311" t="s">
        <v>405</v>
      </c>
      <c r="I1862" s="311" t="s">
        <v>56</v>
      </c>
      <c r="J1862" s="50" t="s">
        <v>1892</v>
      </c>
      <c r="K1862" s="50" t="s">
        <v>1892</v>
      </c>
      <c r="L1862" s="50" t="s">
        <v>1893</v>
      </c>
      <c r="M1862" s="50" t="s">
        <v>4330</v>
      </c>
      <c r="N1862" s="50" t="s">
        <v>4330</v>
      </c>
      <c r="O1862" s="50" t="s">
        <v>4327</v>
      </c>
      <c r="P1862" s="50" t="s">
        <v>4330</v>
      </c>
    </row>
    <row r="1863" spans="1:16" ht="12.75" customHeight="1" x14ac:dyDescent="0.25">
      <c r="A1863" s="311">
        <v>1860</v>
      </c>
      <c r="B1863" s="311" t="s">
        <v>140</v>
      </c>
      <c r="C1863" s="311" t="s">
        <v>140</v>
      </c>
      <c r="D1863" s="311" t="s">
        <v>462</v>
      </c>
      <c r="E1863" s="337" t="s">
        <v>140</v>
      </c>
      <c r="F1863" s="311" t="s">
        <v>263</v>
      </c>
      <c r="G1863" s="311" t="s">
        <v>237</v>
      </c>
      <c r="H1863" s="311" t="s">
        <v>405</v>
      </c>
      <c r="I1863" s="311" t="s">
        <v>56</v>
      </c>
      <c r="J1863" s="50" t="s">
        <v>1892</v>
      </c>
      <c r="K1863" s="50" t="s">
        <v>1892</v>
      </c>
      <c r="L1863" s="50" t="s">
        <v>1893</v>
      </c>
      <c r="M1863" s="50" t="s">
        <v>4331</v>
      </c>
      <c r="N1863" s="50" t="s">
        <v>4331</v>
      </c>
      <c r="O1863" s="50" t="s">
        <v>4327</v>
      </c>
      <c r="P1863" s="50" t="s">
        <v>4331</v>
      </c>
    </row>
    <row r="1864" spans="1:16" ht="12.75" customHeight="1" x14ac:dyDescent="0.25">
      <c r="A1864" s="311">
        <v>1861</v>
      </c>
      <c r="B1864" s="311" t="s">
        <v>121</v>
      </c>
      <c r="C1864" s="311" t="s">
        <v>121</v>
      </c>
      <c r="D1864" s="311" t="s">
        <v>462</v>
      </c>
      <c r="E1864" s="337" t="s">
        <v>121</v>
      </c>
      <c r="F1864" s="311" t="s">
        <v>263</v>
      </c>
      <c r="G1864" s="311" t="s">
        <v>237</v>
      </c>
      <c r="H1864" s="311" t="s">
        <v>405</v>
      </c>
      <c r="I1864" s="311" t="s">
        <v>56</v>
      </c>
      <c r="J1864" s="50" t="s">
        <v>1892</v>
      </c>
      <c r="K1864" s="50" t="s">
        <v>1892</v>
      </c>
      <c r="L1864" s="50" t="s">
        <v>1893</v>
      </c>
      <c r="M1864" s="50" t="s">
        <v>4332</v>
      </c>
      <c r="N1864" s="50" t="s">
        <v>4332</v>
      </c>
      <c r="O1864" s="50" t="s">
        <v>4327</v>
      </c>
      <c r="P1864" s="50" t="s">
        <v>4332</v>
      </c>
    </row>
    <row r="1865" spans="1:16" ht="12.75" customHeight="1" x14ac:dyDescent="0.25">
      <c r="A1865" s="311">
        <v>1862</v>
      </c>
      <c r="B1865" s="311" t="s">
        <v>87</v>
      </c>
      <c r="C1865" s="311" t="s">
        <v>87</v>
      </c>
      <c r="D1865" s="311" t="s">
        <v>462</v>
      </c>
      <c r="E1865" s="337" t="s">
        <v>87</v>
      </c>
      <c r="F1865" s="311" t="s">
        <v>263</v>
      </c>
      <c r="G1865" s="311" t="s">
        <v>237</v>
      </c>
      <c r="H1865" s="311" t="s">
        <v>405</v>
      </c>
      <c r="I1865" s="311" t="s">
        <v>56</v>
      </c>
      <c r="J1865" s="50" t="s">
        <v>1892</v>
      </c>
      <c r="K1865" s="50" t="s">
        <v>1892</v>
      </c>
      <c r="L1865" s="50" t="s">
        <v>1893</v>
      </c>
      <c r="M1865" s="50" t="s">
        <v>4333</v>
      </c>
      <c r="N1865" s="50" t="s">
        <v>4333</v>
      </c>
      <c r="O1865" s="50" t="s">
        <v>4327</v>
      </c>
      <c r="P1865" s="50" t="s">
        <v>4333</v>
      </c>
    </row>
    <row r="1866" spans="1:16" ht="12.75" customHeight="1" x14ac:dyDescent="0.25">
      <c r="A1866" s="311">
        <v>1863</v>
      </c>
      <c r="B1866" s="311" t="s">
        <v>125</v>
      </c>
      <c r="C1866" s="311" t="s">
        <v>125</v>
      </c>
      <c r="D1866" s="311" t="s">
        <v>125</v>
      </c>
      <c r="E1866" s="337" t="s">
        <v>125</v>
      </c>
      <c r="F1866" s="311" t="s">
        <v>263</v>
      </c>
      <c r="G1866" s="311" t="s">
        <v>237</v>
      </c>
      <c r="H1866" s="311" t="s">
        <v>405</v>
      </c>
      <c r="I1866" s="311" t="s">
        <v>56</v>
      </c>
      <c r="J1866" s="50" t="s">
        <v>1892</v>
      </c>
      <c r="K1866" s="50" t="s">
        <v>1892</v>
      </c>
      <c r="L1866" s="50" t="s">
        <v>1893</v>
      </c>
      <c r="M1866" s="50" t="s">
        <v>4334</v>
      </c>
      <c r="N1866" s="50" t="s">
        <v>4334</v>
      </c>
      <c r="O1866" s="50" t="s">
        <v>4334</v>
      </c>
      <c r="P1866" s="50" t="s">
        <v>4334</v>
      </c>
    </row>
    <row r="1867" spans="1:16" ht="12.75" customHeight="1" x14ac:dyDescent="0.25">
      <c r="A1867" s="311">
        <v>1864</v>
      </c>
      <c r="B1867" s="311" t="s">
        <v>134</v>
      </c>
      <c r="C1867" s="311" t="s">
        <v>134</v>
      </c>
      <c r="D1867" s="311" t="s">
        <v>134</v>
      </c>
      <c r="E1867" s="337" t="s">
        <v>134</v>
      </c>
      <c r="F1867" s="311" t="s">
        <v>263</v>
      </c>
      <c r="G1867" s="311" t="s">
        <v>237</v>
      </c>
      <c r="H1867" s="311" t="s">
        <v>405</v>
      </c>
      <c r="I1867" s="311" t="s">
        <v>56</v>
      </c>
      <c r="J1867" s="50" t="s">
        <v>1892</v>
      </c>
      <c r="K1867" s="50" t="s">
        <v>1892</v>
      </c>
      <c r="L1867" s="50" t="s">
        <v>1893</v>
      </c>
      <c r="M1867" s="50" t="s">
        <v>4335</v>
      </c>
      <c r="N1867" s="50" t="s">
        <v>4335</v>
      </c>
      <c r="O1867" s="50" t="s">
        <v>4335</v>
      </c>
      <c r="P1867" s="50" t="s">
        <v>4335</v>
      </c>
    </row>
    <row r="1868" spans="1:16" ht="12.75" customHeight="1" x14ac:dyDescent="0.25">
      <c r="A1868" s="311">
        <v>1865</v>
      </c>
      <c r="B1868" s="311" t="s">
        <v>141</v>
      </c>
      <c r="C1868" s="311" t="s">
        <v>141</v>
      </c>
      <c r="D1868" s="311" t="s">
        <v>141</v>
      </c>
      <c r="E1868" s="337" t="s">
        <v>141</v>
      </c>
      <c r="F1868" s="311" t="s">
        <v>263</v>
      </c>
      <c r="G1868" s="311" t="s">
        <v>237</v>
      </c>
      <c r="H1868" s="311" t="s">
        <v>405</v>
      </c>
      <c r="I1868" s="311" t="s">
        <v>56</v>
      </c>
      <c r="J1868" s="50" t="s">
        <v>1892</v>
      </c>
      <c r="K1868" s="50" t="s">
        <v>1892</v>
      </c>
      <c r="L1868" s="50" t="s">
        <v>1893</v>
      </c>
      <c r="M1868" s="50" t="s">
        <v>4336</v>
      </c>
      <c r="N1868" s="50" t="s">
        <v>4336</v>
      </c>
      <c r="O1868" s="50" t="s">
        <v>4336</v>
      </c>
      <c r="P1868" s="50" t="s">
        <v>4336</v>
      </c>
    </row>
    <row r="1869" spans="1:16" ht="12.75" customHeight="1" x14ac:dyDescent="0.25">
      <c r="A1869" s="311">
        <v>1866</v>
      </c>
      <c r="B1869" s="311" t="s">
        <v>69</v>
      </c>
      <c r="C1869" s="311" t="s">
        <v>69</v>
      </c>
      <c r="D1869" s="311" t="s">
        <v>69</v>
      </c>
      <c r="E1869" s="337" t="s">
        <v>69</v>
      </c>
      <c r="F1869" s="311" t="s">
        <v>263</v>
      </c>
      <c r="G1869" s="311" t="s">
        <v>237</v>
      </c>
      <c r="H1869" s="311" t="s">
        <v>405</v>
      </c>
      <c r="I1869" s="311" t="s">
        <v>56</v>
      </c>
      <c r="J1869" s="50" t="s">
        <v>1892</v>
      </c>
      <c r="K1869" s="50" t="s">
        <v>1892</v>
      </c>
      <c r="L1869" s="50" t="s">
        <v>1893</v>
      </c>
      <c r="M1869" s="50" t="s">
        <v>4337</v>
      </c>
      <c r="N1869" s="50" t="s">
        <v>4337</v>
      </c>
      <c r="O1869" s="50" t="s">
        <v>4337</v>
      </c>
      <c r="P1869" s="50" t="s">
        <v>4337</v>
      </c>
    </row>
    <row r="1870" spans="1:16" ht="12.75" customHeight="1" x14ac:dyDescent="0.25">
      <c r="A1870" s="311">
        <v>1867</v>
      </c>
      <c r="B1870" s="311" t="s">
        <v>84</v>
      </c>
      <c r="C1870" s="311" t="s">
        <v>462</v>
      </c>
      <c r="D1870" s="311" t="s">
        <v>462</v>
      </c>
      <c r="E1870" s="337" t="s">
        <v>462</v>
      </c>
      <c r="F1870" s="311" t="s">
        <v>275</v>
      </c>
      <c r="G1870" s="311" t="s">
        <v>236</v>
      </c>
      <c r="H1870" s="311" t="s">
        <v>405</v>
      </c>
      <c r="I1870" s="311" t="s">
        <v>56</v>
      </c>
      <c r="J1870" s="50" t="s">
        <v>1892</v>
      </c>
      <c r="K1870" s="50" t="s">
        <v>1892</v>
      </c>
      <c r="L1870" s="50" t="s">
        <v>1893</v>
      </c>
      <c r="M1870" s="50" t="s">
        <v>4338</v>
      </c>
      <c r="N1870" s="50" t="s">
        <v>4339</v>
      </c>
      <c r="O1870" s="50" t="s">
        <v>4339</v>
      </c>
      <c r="P1870" s="50" t="s">
        <v>4339</v>
      </c>
    </row>
    <row r="1871" spans="1:16" ht="12.75" customHeight="1" x14ac:dyDescent="0.25">
      <c r="A1871" s="311">
        <v>1868</v>
      </c>
      <c r="B1871" s="311" t="s">
        <v>123</v>
      </c>
      <c r="C1871" s="311" t="s">
        <v>462</v>
      </c>
      <c r="D1871" s="311" t="s">
        <v>462</v>
      </c>
      <c r="E1871" s="337" t="s">
        <v>462</v>
      </c>
      <c r="F1871" s="311" t="s">
        <v>275</v>
      </c>
      <c r="G1871" s="311" t="s">
        <v>236</v>
      </c>
      <c r="H1871" s="311" t="s">
        <v>405</v>
      </c>
      <c r="I1871" s="311" t="s">
        <v>56</v>
      </c>
      <c r="J1871" s="50" t="s">
        <v>1892</v>
      </c>
      <c r="K1871" s="50" t="s">
        <v>1892</v>
      </c>
      <c r="L1871" s="50" t="s">
        <v>1893</v>
      </c>
      <c r="M1871" s="50" t="s">
        <v>4340</v>
      </c>
      <c r="N1871" s="50" t="s">
        <v>4339</v>
      </c>
      <c r="O1871" s="50" t="s">
        <v>4339</v>
      </c>
      <c r="P1871" s="50" t="s">
        <v>4339</v>
      </c>
    </row>
    <row r="1872" spans="1:16" ht="12.75" customHeight="1" x14ac:dyDescent="0.25">
      <c r="A1872" s="311">
        <v>1869</v>
      </c>
      <c r="B1872" s="311" t="s">
        <v>75</v>
      </c>
      <c r="C1872" s="311" t="s">
        <v>462</v>
      </c>
      <c r="D1872" s="311" t="s">
        <v>462</v>
      </c>
      <c r="E1872" s="337" t="s">
        <v>462</v>
      </c>
      <c r="F1872" s="311" t="s">
        <v>275</v>
      </c>
      <c r="G1872" s="311" t="s">
        <v>236</v>
      </c>
      <c r="H1872" s="311" t="s">
        <v>405</v>
      </c>
      <c r="I1872" s="311" t="s">
        <v>56</v>
      </c>
      <c r="J1872" s="50" t="s">
        <v>1892</v>
      </c>
      <c r="K1872" s="50" t="s">
        <v>1892</v>
      </c>
      <c r="L1872" s="50" t="s">
        <v>1893</v>
      </c>
      <c r="M1872" s="50" t="s">
        <v>4341</v>
      </c>
      <c r="N1872" s="50" t="s">
        <v>4339</v>
      </c>
      <c r="O1872" s="50" t="s">
        <v>4339</v>
      </c>
      <c r="P1872" s="50" t="s">
        <v>4339</v>
      </c>
    </row>
    <row r="1873" spans="1:16" ht="12.75" customHeight="1" x14ac:dyDescent="0.25">
      <c r="A1873" s="311">
        <v>1870</v>
      </c>
      <c r="B1873" s="311" t="s">
        <v>63</v>
      </c>
      <c r="C1873" s="311" t="s">
        <v>63</v>
      </c>
      <c r="D1873" s="311" t="s">
        <v>462</v>
      </c>
      <c r="E1873" s="337" t="s">
        <v>63</v>
      </c>
      <c r="F1873" s="311" t="s">
        <v>275</v>
      </c>
      <c r="G1873" s="311" t="s">
        <v>236</v>
      </c>
      <c r="H1873" s="311" t="s">
        <v>405</v>
      </c>
      <c r="I1873" s="311" t="s">
        <v>56</v>
      </c>
      <c r="J1873" s="50" t="s">
        <v>1892</v>
      </c>
      <c r="K1873" s="50" t="s">
        <v>1892</v>
      </c>
      <c r="L1873" s="50" t="s">
        <v>1893</v>
      </c>
      <c r="M1873" s="50" t="s">
        <v>4342</v>
      </c>
      <c r="N1873" s="50" t="s">
        <v>4342</v>
      </c>
      <c r="O1873" s="50" t="s">
        <v>4339</v>
      </c>
      <c r="P1873" s="50" t="s">
        <v>4342</v>
      </c>
    </row>
    <row r="1874" spans="1:16" ht="12.75" customHeight="1" x14ac:dyDescent="0.25">
      <c r="A1874" s="311">
        <v>1871</v>
      </c>
      <c r="B1874" s="311" t="s">
        <v>140</v>
      </c>
      <c r="C1874" s="311" t="s">
        <v>140</v>
      </c>
      <c r="D1874" s="311" t="s">
        <v>462</v>
      </c>
      <c r="E1874" s="337" t="s">
        <v>140</v>
      </c>
      <c r="F1874" s="311" t="s">
        <v>275</v>
      </c>
      <c r="G1874" s="311" t="s">
        <v>236</v>
      </c>
      <c r="H1874" s="311" t="s">
        <v>405</v>
      </c>
      <c r="I1874" s="311" t="s">
        <v>56</v>
      </c>
      <c r="J1874" s="50" t="s">
        <v>1892</v>
      </c>
      <c r="K1874" s="50" t="s">
        <v>1892</v>
      </c>
      <c r="L1874" s="50" t="s">
        <v>1893</v>
      </c>
      <c r="M1874" s="50" t="s">
        <v>4343</v>
      </c>
      <c r="N1874" s="50" t="s">
        <v>4343</v>
      </c>
      <c r="O1874" s="50" t="s">
        <v>4339</v>
      </c>
      <c r="P1874" s="50" t="s">
        <v>4343</v>
      </c>
    </row>
    <row r="1875" spans="1:16" ht="12.75" customHeight="1" x14ac:dyDescent="0.25">
      <c r="A1875" s="311">
        <v>1872</v>
      </c>
      <c r="B1875" s="311" t="s">
        <v>121</v>
      </c>
      <c r="C1875" s="311" t="s">
        <v>121</v>
      </c>
      <c r="D1875" s="311" t="s">
        <v>462</v>
      </c>
      <c r="E1875" s="337" t="s">
        <v>121</v>
      </c>
      <c r="F1875" s="311" t="s">
        <v>275</v>
      </c>
      <c r="G1875" s="311" t="s">
        <v>236</v>
      </c>
      <c r="H1875" s="311" t="s">
        <v>405</v>
      </c>
      <c r="I1875" s="311" t="s">
        <v>56</v>
      </c>
      <c r="J1875" s="50" t="s">
        <v>1892</v>
      </c>
      <c r="K1875" s="50" t="s">
        <v>1892</v>
      </c>
      <c r="L1875" s="50" t="s">
        <v>1893</v>
      </c>
      <c r="M1875" s="50" t="s">
        <v>4344</v>
      </c>
      <c r="N1875" s="50" t="s">
        <v>4344</v>
      </c>
      <c r="O1875" s="50" t="s">
        <v>4339</v>
      </c>
      <c r="P1875" s="50" t="s">
        <v>4344</v>
      </c>
    </row>
    <row r="1876" spans="1:16" ht="12.75" customHeight="1" x14ac:dyDescent="0.25">
      <c r="A1876" s="311">
        <v>1873</v>
      </c>
      <c r="B1876" s="311" t="s">
        <v>87</v>
      </c>
      <c r="C1876" s="311" t="s">
        <v>87</v>
      </c>
      <c r="D1876" s="311" t="s">
        <v>462</v>
      </c>
      <c r="E1876" s="337" t="s">
        <v>87</v>
      </c>
      <c r="F1876" s="311" t="s">
        <v>275</v>
      </c>
      <c r="G1876" s="311" t="s">
        <v>236</v>
      </c>
      <c r="H1876" s="311" t="s">
        <v>405</v>
      </c>
      <c r="I1876" s="311" t="s">
        <v>56</v>
      </c>
      <c r="J1876" s="50" t="s">
        <v>1892</v>
      </c>
      <c r="K1876" s="50" t="s">
        <v>1892</v>
      </c>
      <c r="L1876" s="50" t="s">
        <v>1893</v>
      </c>
      <c r="M1876" s="50" t="s">
        <v>4345</v>
      </c>
      <c r="N1876" s="50" t="s">
        <v>4345</v>
      </c>
      <c r="O1876" s="50" t="s">
        <v>4339</v>
      </c>
      <c r="P1876" s="50" t="s">
        <v>4345</v>
      </c>
    </row>
    <row r="1877" spans="1:16" ht="12.75" customHeight="1" x14ac:dyDescent="0.25">
      <c r="A1877" s="311">
        <v>1874</v>
      </c>
      <c r="B1877" s="311" t="s">
        <v>125</v>
      </c>
      <c r="C1877" s="311" t="s">
        <v>125</v>
      </c>
      <c r="D1877" s="311" t="s">
        <v>125</v>
      </c>
      <c r="E1877" s="337" t="s">
        <v>125</v>
      </c>
      <c r="F1877" s="311" t="s">
        <v>275</v>
      </c>
      <c r="G1877" s="311" t="s">
        <v>236</v>
      </c>
      <c r="H1877" s="311" t="s">
        <v>405</v>
      </c>
      <c r="I1877" s="311" t="s">
        <v>56</v>
      </c>
      <c r="J1877" s="50" t="s">
        <v>1892</v>
      </c>
      <c r="K1877" s="50" t="s">
        <v>1892</v>
      </c>
      <c r="L1877" s="50" t="s">
        <v>1893</v>
      </c>
      <c r="M1877" s="50" t="s">
        <v>4346</v>
      </c>
      <c r="N1877" s="50" t="s">
        <v>4346</v>
      </c>
      <c r="O1877" s="50" t="s">
        <v>4346</v>
      </c>
      <c r="P1877" s="50" t="s">
        <v>4346</v>
      </c>
    </row>
    <row r="1878" spans="1:16" ht="12.75" customHeight="1" x14ac:dyDescent="0.25">
      <c r="A1878" s="311">
        <v>1875</v>
      </c>
      <c r="B1878" s="311" t="s">
        <v>134</v>
      </c>
      <c r="C1878" s="311" t="s">
        <v>134</v>
      </c>
      <c r="D1878" s="311" t="s">
        <v>134</v>
      </c>
      <c r="E1878" s="337" t="s">
        <v>134</v>
      </c>
      <c r="F1878" s="311" t="s">
        <v>275</v>
      </c>
      <c r="G1878" s="311" t="s">
        <v>236</v>
      </c>
      <c r="H1878" s="311" t="s">
        <v>405</v>
      </c>
      <c r="I1878" s="311" t="s">
        <v>56</v>
      </c>
      <c r="J1878" s="50" t="s">
        <v>1892</v>
      </c>
      <c r="K1878" s="50" t="s">
        <v>1892</v>
      </c>
      <c r="L1878" s="50" t="s">
        <v>1893</v>
      </c>
      <c r="M1878" s="50" t="s">
        <v>4347</v>
      </c>
      <c r="N1878" s="50" t="s">
        <v>4347</v>
      </c>
      <c r="O1878" s="50" t="s">
        <v>4347</v>
      </c>
      <c r="P1878" s="50" t="s">
        <v>4347</v>
      </c>
    </row>
    <row r="1879" spans="1:16" ht="12.75" customHeight="1" x14ac:dyDescent="0.25">
      <c r="A1879" s="311">
        <v>1876</v>
      </c>
      <c r="B1879" s="311" t="s">
        <v>141</v>
      </c>
      <c r="C1879" s="311" t="s">
        <v>141</v>
      </c>
      <c r="D1879" s="311" t="s">
        <v>141</v>
      </c>
      <c r="E1879" s="337" t="s">
        <v>141</v>
      </c>
      <c r="F1879" s="311" t="s">
        <v>275</v>
      </c>
      <c r="G1879" s="311" t="s">
        <v>236</v>
      </c>
      <c r="H1879" s="311" t="s">
        <v>405</v>
      </c>
      <c r="I1879" s="311" t="s">
        <v>56</v>
      </c>
      <c r="J1879" s="50" t="s">
        <v>1892</v>
      </c>
      <c r="K1879" s="50" t="s">
        <v>1892</v>
      </c>
      <c r="L1879" s="50" t="s">
        <v>1893</v>
      </c>
      <c r="M1879" s="50" t="s">
        <v>4348</v>
      </c>
      <c r="N1879" s="50" t="s">
        <v>4348</v>
      </c>
      <c r="O1879" s="50" t="s">
        <v>4348</v>
      </c>
      <c r="P1879" s="50" t="s">
        <v>4348</v>
      </c>
    </row>
    <row r="1880" spans="1:16" ht="12.75" customHeight="1" x14ac:dyDescent="0.25">
      <c r="A1880" s="311">
        <v>1877</v>
      </c>
      <c r="B1880" s="311" t="s">
        <v>69</v>
      </c>
      <c r="C1880" s="311" t="s">
        <v>69</v>
      </c>
      <c r="D1880" s="311" t="s">
        <v>69</v>
      </c>
      <c r="E1880" s="337" t="s">
        <v>69</v>
      </c>
      <c r="F1880" s="311" t="s">
        <v>275</v>
      </c>
      <c r="G1880" s="311" t="s">
        <v>236</v>
      </c>
      <c r="H1880" s="311" t="s">
        <v>405</v>
      </c>
      <c r="I1880" s="311" t="s">
        <v>56</v>
      </c>
      <c r="J1880" s="50" t="s">
        <v>1892</v>
      </c>
      <c r="K1880" s="50" t="s">
        <v>1892</v>
      </c>
      <c r="L1880" s="50" t="s">
        <v>1893</v>
      </c>
      <c r="M1880" s="50" t="s">
        <v>4349</v>
      </c>
      <c r="N1880" s="50" t="s">
        <v>4349</v>
      </c>
      <c r="O1880" s="50" t="s">
        <v>4349</v>
      </c>
      <c r="P1880" s="50" t="s">
        <v>4349</v>
      </c>
    </row>
    <row r="1881" spans="1:16" ht="12.75" customHeight="1" x14ac:dyDescent="0.25">
      <c r="A1881" s="311">
        <v>1878</v>
      </c>
      <c r="B1881" s="311" t="s">
        <v>84</v>
      </c>
      <c r="C1881" s="311" t="s">
        <v>462</v>
      </c>
      <c r="D1881" s="311" t="s">
        <v>462</v>
      </c>
      <c r="E1881" s="337" t="s">
        <v>462</v>
      </c>
      <c r="F1881" s="311" t="s">
        <v>275</v>
      </c>
      <c r="G1881" s="311" t="s">
        <v>23</v>
      </c>
      <c r="H1881" s="311" t="s">
        <v>405</v>
      </c>
      <c r="I1881" s="311" t="s">
        <v>56</v>
      </c>
      <c r="J1881" s="50" t="s">
        <v>1892</v>
      </c>
      <c r="K1881" s="50" t="s">
        <v>1892</v>
      </c>
      <c r="L1881" s="50" t="s">
        <v>1893</v>
      </c>
      <c r="M1881" s="50" t="s">
        <v>4350</v>
      </c>
      <c r="N1881" s="50" t="s">
        <v>4351</v>
      </c>
      <c r="O1881" s="50" t="s">
        <v>4351</v>
      </c>
      <c r="P1881" s="50" t="s">
        <v>4351</v>
      </c>
    </row>
    <row r="1882" spans="1:16" ht="12.75" customHeight="1" x14ac:dyDescent="0.25">
      <c r="A1882" s="311">
        <v>1879</v>
      </c>
      <c r="B1882" s="311" t="s">
        <v>123</v>
      </c>
      <c r="C1882" s="311" t="s">
        <v>462</v>
      </c>
      <c r="D1882" s="311" t="s">
        <v>462</v>
      </c>
      <c r="E1882" s="337" t="s">
        <v>462</v>
      </c>
      <c r="F1882" s="311" t="s">
        <v>275</v>
      </c>
      <c r="G1882" s="311" t="s">
        <v>23</v>
      </c>
      <c r="H1882" s="311" t="s">
        <v>405</v>
      </c>
      <c r="I1882" s="311" t="s">
        <v>56</v>
      </c>
      <c r="J1882" s="50" t="s">
        <v>1892</v>
      </c>
      <c r="K1882" s="50" t="s">
        <v>1892</v>
      </c>
      <c r="L1882" s="50" t="s">
        <v>1893</v>
      </c>
      <c r="M1882" s="50" t="s">
        <v>4352</v>
      </c>
      <c r="N1882" s="50" t="s">
        <v>4351</v>
      </c>
      <c r="O1882" s="50" t="s">
        <v>4351</v>
      </c>
      <c r="P1882" s="50" t="s">
        <v>4351</v>
      </c>
    </row>
    <row r="1883" spans="1:16" ht="12.75" customHeight="1" x14ac:dyDescent="0.25">
      <c r="A1883" s="311">
        <v>1880</v>
      </c>
      <c r="B1883" s="311" t="s">
        <v>75</v>
      </c>
      <c r="C1883" s="311" t="s">
        <v>462</v>
      </c>
      <c r="D1883" s="311" t="s">
        <v>462</v>
      </c>
      <c r="E1883" s="337" t="s">
        <v>462</v>
      </c>
      <c r="F1883" s="311" t="s">
        <v>275</v>
      </c>
      <c r="G1883" s="311" t="s">
        <v>23</v>
      </c>
      <c r="H1883" s="311" t="s">
        <v>405</v>
      </c>
      <c r="I1883" s="311" t="s">
        <v>56</v>
      </c>
      <c r="J1883" s="50" t="s">
        <v>1892</v>
      </c>
      <c r="K1883" s="50" t="s">
        <v>1892</v>
      </c>
      <c r="L1883" s="50" t="s">
        <v>1893</v>
      </c>
      <c r="M1883" s="50" t="s">
        <v>4353</v>
      </c>
      <c r="N1883" s="50" t="s">
        <v>4351</v>
      </c>
      <c r="O1883" s="50" t="s">
        <v>4351</v>
      </c>
      <c r="P1883" s="50" t="s">
        <v>4351</v>
      </c>
    </row>
    <row r="1884" spans="1:16" ht="12.75" customHeight="1" x14ac:dyDescent="0.25">
      <c r="A1884" s="311">
        <v>1881</v>
      </c>
      <c r="B1884" s="311" t="s">
        <v>63</v>
      </c>
      <c r="C1884" s="311" t="s">
        <v>63</v>
      </c>
      <c r="D1884" s="311" t="s">
        <v>462</v>
      </c>
      <c r="E1884" s="337" t="s">
        <v>63</v>
      </c>
      <c r="F1884" s="311" t="s">
        <v>275</v>
      </c>
      <c r="G1884" s="311" t="s">
        <v>23</v>
      </c>
      <c r="H1884" s="311" t="s">
        <v>405</v>
      </c>
      <c r="I1884" s="311" t="s">
        <v>56</v>
      </c>
      <c r="J1884" s="50" t="s">
        <v>1892</v>
      </c>
      <c r="K1884" s="50" t="s">
        <v>1892</v>
      </c>
      <c r="L1884" s="50" t="s">
        <v>1893</v>
      </c>
      <c r="M1884" s="50" t="s">
        <v>4354</v>
      </c>
      <c r="N1884" s="50" t="s">
        <v>4354</v>
      </c>
      <c r="O1884" s="50" t="s">
        <v>4351</v>
      </c>
      <c r="P1884" s="50" t="s">
        <v>4354</v>
      </c>
    </row>
    <row r="1885" spans="1:16" ht="12.75" customHeight="1" x14ac:dyDescent="0.25">
      <c r="A1885" s="311">
        <v>1882</v>
      </c>
      <c r="B1885" s="311" t="s">
        <v>140</v>
      </c>
      <c r="C1885" s="311" t="s">
        <v>140</v>
      </c>
      <c r="D1885" s="311" t="s">
        <v>462</v>
      </c>
      <c r="E1885" s="337" t="s">
        <v>140</v>
      </c>
      <c r="F1885" s="311" t="s">
        <v>275</v>
      </c>
      <c r="G1885" s="311" t="s">
        <v>23</v>
      </c>
      <c r="H1885" s="311" t="s">
        <v>405</v>
      </c>
      <c r="I1885" s="311" t="s">
        <v>56</v>
      </c>
      <c r="J1885" s="50" t="s">
        <v>1892</v>
      </c>
      <c r="K1885" s="50" t="s">
        <v>1892</v>
      </c>
      <c r="L1885" s="50" t="s">
        <v>1893</v>
      </c>
      <c r="M1885" s="50" t="s">
        <v>4355</v>
      </c>
      <c r="N1885" s="50" t="s">
        <v>4355</v>
      </c>
      <c r="O1885" s="50" t="s">
        <v>4351</v>
      </c>
      <c r="P1885" s="50" t="s">
        <v>4355</v>
      </c>
    </row>
    <row r="1886" spans="1:16" ht="12.75" customHeight="1" x14ac:dyDescent="0.25">
      <c r="A1886" s="311">
        <v>1883</v>
      </c>
      <c r="B1886" s="311" t="s">
        <v>121</v>
      </c>
      <c r="C1886" s="311" t="s">
        <v>121</v>
      </c>
      <c r="D1886" s="311" t="s">
        <v>462</v>
      </c>
      <c r="E1886" s="337" t="s">
        <v>121</v>
      </c>
      <c r="F1886" s="311" t="s">
        <v>275</v>
      </c>
      <c r="G1886" s="311" t="s">
        <v>23</v>
      </c>
      <c r="H1886" s="311" t="s">
        <v>405</v>
      </c>
      <c r="I1886" s="311" t="s">
        <v>56</v>
      </c>
      <c r="J1886" s="50" t="s">
        <v>1892</v>
      </c>
      <c r="K1886" s="50" t="s">
        <v>1892</v>
      </c>
      <c r="L1886" s="50" t="s">
        <v>1893</v>
      </c>
      <c r="M1886" s="50" t="s">
        <v>4356</v>
      </c>
      <c r="N1886" s="50" t="s">
        <v>4356</v>
      </c>
      <c r="O1886" s="50" t="s">
        <v>4351</v>
      </c>
      <c r="P1886" s="50" t="s">
        <v>4356</v>
      </c>
    </row>
    <row r="1887" spans="1:16" ht="12.75" customHeight="1" x14ac:dyDescent="0.25">
      <c r="A1887" s="311">
        <v>1884</v>
      </c>
      <c r="B1887" s="311" t="s">
        <v>87</v>
      </c>
      <c r="C1887" s="311" t="s">
        <v>87</v>
      </c>
      <c r="D1887" s="311" t="s">
        <v>462</v>
      </c>
      <c r="E1887" s="337" t="s">
        <v>87</v>
      </c>
      <c r="F1887" s="311" t="s">
        <v>275</v>
      </c>
      <c r="G1887" s="311" t="s">
        <v>23</v>
      </c>
      <c r="H1887" s="311" t="s">
        <v>405</v>
      </c>
      <c r="I1887" s="311" t="s">
        <v>56</v>
      </c>
      <c r="J1887" s="50" t="s">
        <v>1892</v>
      </c>
      <c r="K1887" s="50" t="s">
        <v>1892</v>
      </c>
      <c r="L1887" s="50" t="s">
        <v>1893</v>
      </c>
      <c r="M1887" s="50" t="s">
        <v>4357</v>
      </c>
      <c r="N1887" s="50" t="s">
        <v>4357</v>
      </c>
      <c r="O1887" s="50" t="s">
        <v>4351</v>
      </c>
      <c r="P1887" s="50" t="s">
        <v>4357</v>
      </c>
    </row>
    <row r="1888" spans="1:16" ht="12.75" customHeight="1" x14ac:dyDescent="0.25">
      <c r="A1888" s="311">
        <v>1885</v>
      </c>
      <c r="B1888" s="311" t="s">
        <v>125</v>
      </c>
      <c r="C1888" s="311" t="s">
        <v>125</v>
      </c>
      <c r="D1888" s="311" t="s">
        <v>125</v>
      </c>
      <c r="E1888" s="337" t="s">
        <v>125</v>
      </c>
      <c r="F1888" s="311" t="s">
        <v>275</v>
      </c>
      <c r="G1888" s="311" t="s">
        <v>23</v>
      </c>
      <c r="H1888" s="311" t="s">
        <v>405</v>
      </c>
      <c r="I1888" s="311" t="s">
        <v>56</v>
      </c>
      <c r="J1888" s="50" t="s">
        <v>1892</v>
      </c>
      <c r="K1888" s="50" t="s">
        <v>1892</v>
      </c>
      <c r="L1888" s="50" t="s">
        <v>1893</v>
      </c>
      <c r="M1888" s="50" t="s">
        <v>4358</v>
      </c>
      <c r="N1888" s="50" t="s">
        <v>4358</v>
      </c>
      <c r="O1888" s="50" t="s">
        <v>4358</v>
      </c>
      <c r="P1888" s="50" t="s">
        <v>4358</v>
      </c>
    </row>
    <row r="1889" spans="1:16" ht="12.75" customHeight="1" x14ac:dyDescent="0.25">
      <c r="A1889" s="311">
        <v>1886</v>
      </c>
      <c r="B1889" s="311" t="s">
        <v>134</v>
      </c>
      <c r="C1889" s="311" t="s">
        <v>134</v>
      </c>
      <c r="D1889" s="311" t="s">
        <v>134</v>
      </c>
      <c r="E1889" s="337" t="s">
        <v>134</v>
      </c>
      <c r="F1889" s="311" t="s">
        <v>275</v>
      </c>
      <c r="G1889" s="311" t="s">
        <v>23</v>
      </c>
      <c r="H1889" s="311" t="s">
        <v>405</v>
      </c>
      <c r="I1889" s="311" t="s">
        <v>56</v>
      </c>
      <c r="J1889" s="50" t="s">
        <v>1892</v>
      </c>
      <c r="K1889" s="50" t="s">
        <v>1892</v>
      </c>
      <c r="L1889" s="50" t="s">
        <v>1893</v>
      </c>
      <c r="M1889" s="50" t="s">
        <v>4359</v>
      </c>
      <c r="N1889" s="50" t="s">
        <v>4359</v>
      </c>
      <c r="O1889" s="50" t="s">
        <v>4359</v>
      </c>
      <c r="P1889" s="50" t="s">
        <v>4359</v>
      </c>
    </row>
    <row r="1890" spans="1:16" ht="12.75" customHeight="1" x14ac:dyDescent="0.25">
      <c r="A1890" s="311">
        <v>1887</v>
      </c>
      <c r="B1890" s="311" t="s">
        <v>141</v>
      </c>
      <c r="C1890" s="311" t="s">
        <v>141</v>
      </c>
      <c r="D1890" s="311" t="s">
        <v>141</v>
      </c>
      <c r="E1890" s="337" t="s">
        <v>141</v>
      </c>
      <c r="F1890" s="311" t="s">
        <v>275</v>
      </c>
      <c r="G1890" s="311" t="s">
        <v>23</v>
      </c>
      <c r="H1890" s="311" t="s">
        <v>405</v>
      </c>
      <c r="I1890" s="311" t="s">
        <v>56</v>
      </c>
      <c r="J1890" s="50" t="s">
        <v>1892</v>
      </c>
      <c r="K1890" s="50" t="s">
        <v>1892</v>
      </c>
      <c r="L1890" s="50" t="s">
        <v>1893</v>
      </c>
      <c r="M1890" s="50" t="s">
        <v>4360</v>
      </c>
      <c r="N1890" s="50" t="s">
        <v>4360</v>
      </c>
      <c r="O1890" s="50" t="s">
        <v>4360</v>
      </c>
      <c r="P1890" s="50" t="s">
        <v>4360</v>
      </c>
    </row>
    <row r="1891" spans="1:16" ht="12.75" customHeight="1" x14ac:dyDescent="0.25">
      <c r="A1891" s="311">
        <v>1888</v>
      </c>
      <c r="B1891" s="311" t="s">
        <v>69</v>
      </c>
      <c r="C1891" s="311" t="s">
        <v>69</v>
      </c>
      <c r="D1891" s="311" t="s">
        <v>69</v>
      </c>
      <c r="E1891" s="337" t="s">
        <v>69</v>
      </c>
      <c r="F1891" s="311" t="s">
        <v>275</v>
      </c>
      <c r="G1891" s="311" t="s">
        <v>23</v>
      </c>
      <c r="H1891" s="311" t="s">
        <v>405</v>
      </c>
      <c r="I1891" s="311" t="s">
        <v>56</v>
      </c>
      <c r="J1891" s="50" t="s">
        <v>1892</v>
      </c>
      <c r="K1891" s="50" t="s">
        <v>1892</v>
      </c>
      <c r="L1891" s="50" t="s">
        <v>1893</v>
      </c>
      <c r="M1891" s="50" t="s">
        <v>4361</v>
      </c>
      <c r="N1891" s="50" t="s">
        <v>4361</v>
      </c>
      <c r="O1891" s="50" t="s">
        <v>4361</v>
      </c>
      <c r="P1891" s="50" t="s">
        <v>4361</v>
      </c>
    </row>
    <row r="1892" spans="1:16" ht="12.75" customHeight="1" x14ac:dyDescent="0.25">
      <c r="A1892" s="311">
        <v>1889</v>
      </c>
      <c r="B1892" s="311" t="s">
        <v>84</v>
      </c>
      <c r="C1892" s="311" t="s">
        <v>462</v>
      </c>
      <c r="D1892" s="311" t="s">
        <v>462</v>
      </c>
      <c r="E1892" s="337" t="s">
        <v>462</v>
      </c>
      <c r="F1892" s="311" t="s">
        <v>275</v>
      </c>
      <c r="G1892" s="311" t="s">
        <v>237</v>
      </c>
      <c r="H1892" s="311" t="s">
        <v>405</v>
      </c>
      <c r="I1892" s="311" t="s">
        <v>56</v>
      </c>
      <c r="J1892" s="50" t="s">
        <v>1892</v>
      </c>
      <c r="K1892" s="50" t="s">
        <v>1892</v>
      </c>
      <c r="L1892" s="50" t="s">
        <v>1893</v>
      </c>
      <c r="M1892" s="50" t="s">
        <v>4362</v>
      </c>
      <c r="N1892" s="50" t="s">
        <v>4363</v>
      </c>
      <c r="O1892" s="50" t="s">
        <v>4363</v>
      </c>
      <c r="P1892" s="50" t="s">
        <v>4363</v>
      </c>
    </row>
    <row r="1893" spans="1:16" ht="12.75" customHeight="1" x14ac:dyDescent="0.25">
      <c r="A1893" s="311">
        <v>1890</v>
      </c>
      <c r="B1893" s="311" t="s">
        <v>123</v>
      </c>
      <c r="C1893" s="311" t="s">
        <v>462</v>
      </c>
      <c r="D1893" s="311" t="s">
        <v>462</v>
      </c>
      <c r="E1893" s="337" t="s">
        <v>462</v>
      </c>
      <c r="F1893" s="311" t="s">
        <v>275</v>
      </c>
      <c r="G1893" s="311" t="s">
        <v>237</v>
      </c>
      <c r="H1893" s="311" t="s">
        <v>405</v>
      </c>
      <c r="I1893" s="311" t="s">
        <v>56</v>
      </c>
      <c r="J1893" s="50" t="s">
        <v>1892</v>
      </c>
      <c r="K1893" s="50" t="s">
        <v>1892</v>
      </c>
      <c r="L1893" s="50" t="s">
        <v>1893</v>
      </c>
      <c r="M1893" s="50" t="s">
        <v>4364</v>
      </c>
      <c r="N1893" s="50" t="s">
        <v>4363</v>
      </c>
      <c r="O1893" s="50" t="s">
        <v>4363</v>
      </c>
      <c r="P1893" s="50" t="s">
        <v>4363</v>
      </c>
    </row>
    <row r="1894" spans="1:16" ht="12.75" customHeight="1" x14ac:dyDescent="0.25">
      <c r="A1894" s="311">
        <v>1891</v>
      </c>
      <c r="B1894" s="311" t="s">
        <v>75</v>
      </c>
      <c r="C1894" s="311" t="s">
        <v>462</v>
      </c>
      <c r="D1894" s="311" t="s">
        <v>462</v>
      </c>
      <c r="E1894" s="337" t="s">
        <v>462</v>
      </c>
      <c r="F1894" s="311" t="s">
        <v>275</v>
      </c>
      <c r="G1894" s="311" t="s">
        <v>237</v>
      </c>
      <c r="H1894" s="311" t="s">
        <v>405</v>
      </c>
      <c r="I1894" s="311" t="s">
        <v>56</v>
      </c>
      <c r="J1894" s="50" t="s">
        <v>1892</v>
      </c>
      <c r="K1894" s="50" t="s">
        <v>1892</v>
      </c>
      <c r="L1894" s="50" t="s">
        <v>1893</v>
      </c>
      <c r="M1894" s="50" t="s">
        <v>4365</v>
      </c>
      <c r="N1894" s="50" t="s">
        <v>4363</v>
      </c>
      <c r="O1894" s="50" t="s">
        <v>4363</v>
      </c>
      <c r="P1894" s="50" t="s">
        <v>4363</v>
      </c>
    </row>
    <row r="1895" spans="1:16" ht="12.75" customHeight="1" x14ac:dyDescent="0.25">
      <c r="A1895" s="311">
        <v>1892</v>
      </c>
      <c r="B1895" s="311" t="s">
        <v>63</v>
      </c>
      <c r="C1895" s="311" t="s">
        <v>63</v>
      </c>
      <c r="D1895" s="311" t="s">
        <v>462</v>
      </c>
      <c r="E1895" s="337" t="s">
        <v>63</v>
      </c>
      <c r="F1895" s="311" t="s">
        <v>275</v>
      </c>
      <c r="G1895" s="311" t="s">
        <v>237</v>
      </c>
      <c r="H1895" s="311" t="s">
        <v>405</v>
      </c>
      <c r="I1895" s="311" t="s">
        <v>56</v>
      </c>
      <c r="J1895" s="50" t="s">
        <v>1892</v>
      </c>
      <c r="K1895" s="50" t="s">
        <v>1892</v>
      </c>
      <c r="L1895" s="50" t="s">
        <v>1893</v>
      </c>
      <c r="M1895" s="50" t="s">
        <v>4366</v>
      </c>
      <c r="N1895" s="50" t="s">
        <v>4366</v>
      </c>
      <c r="O1895" s="50" t="s">
        <v>4363</v>
      </c>
      <c r="P1895" s="50" t="s">
        <v>4366</v>
      </c>
    </row>
    <row r="1896" spans="1:16" ht="12.75" customHeight="1" x14ac:dyDescent="0.25">
      <c r="A1896" s="311">
        <v>1893</v>
      </c>
      <c r="B1896" s="311" t="s">
        <v>140</v>
      </c>
      <c r="C1896" s="311" t="s">
        <v>140</v>
      </c>
      <c r="D1896" s="311" t="s">
        <v>462</v>
      </c>
      <c r="E1896" s="337" t="s">
        <v>140</v>
      </c>
      <c r="F1896" s="311" t="s">
        <v>275</v>
      </c>
      <c r="G1896" s="311" t="s">
        <v>237</v>
      </c>
      <c r="H1896" s="311" t="s">
        <v>405</v>
      </c>
      <c r="I1896" s="311" t="s">
        <v>56</v>
      </c>
      <c r="J1896" s="50" t="s">
        <v>1892</v>
      </c>
      <c r="K1896" s="50" t="s">
        <v>1892</v>
      </c>
      <c r="L1896" s="50" t="s">
        <v>1893</v>
      </c>
      <c r="M1896" s="50" t="s">
        <v>4367</v>
      </c>
      <c r="N1896" s="50" t="s">
        <v>4367</v>
      </c>
      <c r="O1896" s="50" t="s">
        <v>4363</v>
      </c>
      <c r="P1896" s="50" t="s">
        <v>4367</v>
      </c>
    </row>
    <row r="1897" spans="1:16" ht="12.75" customHeight="1" x14ac:dyDescent="0.25">
      <c r="A1897" s="311">
        <v>1894</v>
      </c>
      <c r="B1897" s="311" t="s">
        <v>121</v>
      </c>
      <c r="C1897" s="311" t="s">
        <v>121</v>
      </c>
      <c r="D1897" s="311" t="s">
        <v>462</v>
      </c>
      <c r="E1897" s="337" t="s">
        <v>121</v>
      </c>
      <c r="F1897" s="311" t="s">
        <v>275</v>
      </c>
      <c r="G1897" s="311" t="s">
        <v>237</v>
      </c>
      <c r="H1897" s="311" t="s">
        <v>405</v>
      </c>
      <c r="I1897" s="311" t="s">
        <v>56</v>
      </c>
      <c r="J1897" s="50" t="s">
        <v>1892</v>
      </c>
      <c r="K1897" s="50" t="s">
        <v>1892</v>
      </c>
      <c r="L1897" s="50" t="s">
        <v>1893</v>
      </c>
      <c r="M1897" s="50" t="s">
        <v>4368</v>
      </c>
      <c r="N1897" s="50" t="s">
        <v>4368</v>
      </c>
      <c r="O1897" s="50" t="s">
        <v>4363</v>
      </c>
      <c r="P1897" s="50" t="s">
        <v>4368</v>
      </c>
    </row>
    <row r="1898" spans="1:16" ht="12.75" customHeight="1" x14ac:dyDescent="0.25">
      <c r="A1898" s="311">
        <v>1895</v>
      </c>
      <c r="B1898" s="311" t="s">
        <v>87</v>
      </c>
      <c r="C1898" s="311" t="s">
        <v>87</v>
      </c>
      <c r="D1898" s="311" t="s">
        <v>462</v>
      </c>
      <c r="E1898" s="337" t="s">
        <v>87</v>
      </c>
      <c r="F1898" s="311" t="s">
        <v>275</v>
      </c>
      <c r="G1898" s="311" t="s">
        <v>237</v>
      </c>
      <c r="H1898" s="311" t="s">
        <v>405</v>
      </c>
      <c r="I1898" s="311" t="s">
        <v>56</v>
      </c>
      <c r="J1898" s="50" t="s">
        <v>1892</v>
      </c>
      <c r="K1898" s="50" t="s">
        <v>1892</v>
      </c>
      <c r="L1898" s="50" t="s">
        <v>1893</v>
      </c>
      <c r="M1898" s="50" t="s">
        <v>4369</v>
      </c>
      <c r="N1898" s="50" t="s">
        <v>4369</v>
      </c>
      <c r="O1898" s="50" t="s">
        <v>4363</v>
      </c>
      <c r="P1898" s="50" t="s">
        <v>4369</v>
      </c>
    </row>
    <row r="1899" spans="1:16" ht="12.75" customHeight="1" x14ac:dyDescent="0.25">
      <c r="A1899" s="311">
        <v>1896</v>
      </c>
      <c r="B1899" s="311" t="s">
        <v>125</v>
      </c>
      <c r="C1899" s="311" t="s">
        <v>125</v>
      </c>
      <c r="D1899" s="311" t="s">
        <v>125</v>
      </c>
      <c r="E1899" s="337" t="s">
        <v>125</v>
      </c>
      <c r="F1899" s="311" t="s">
        <v>275</v>
      </c>
      <c r="G1899" s="311" t="s">
        <v>237</v>
      </c>
      <c r="H1899" s="311" t="s">
        <v>405</v>
      </c>
      <c r="I1899" s="311" t="s">
        <v>56</v>
      </c>
      <c r="J1899" s="50" t="s">
        <v>1892</v>
      </c>
      <c r="K1899" s="50" t="s">
        <v>1892</v>
      </c>
      <c r="L1899" s="50" t="s">
        <v>1893</v>
      </c>
      <c r="M1899" s="50" t="s">
        <v>4370</v>
      </c>
      <c r="N1899" s="50" t="s">
        <v>4370</v>
      </c>
      <c r="O1899" s="50" t="s">
        <v>4370</v>
      </c>
      <c r="P1899" s="50" t="s">
        <v>4370</v>
      </c>
    </row>
    <row r="1900" spans="1:16" ht="12.75" customHeight="1" x14ac:dyDescent="0.25">
      <c r="A1900" s="311">
        <v>1897</v>
      </c>
      <c r="B1900" s="311" t="s">
        <v>134</v>
      </c>
      <c r="C1900" s="311" t="s">
        <v>134</v>
      </c>
      <c r="D1900" s="311" t="s">
        <v>134</v>
      </c>
      <c r="E1900" s="337" t="s">
        <v>134</v>
      </c>
      <c r="F1900" s="311" t="s">
        <v>275</v>
      </c>
      <c r="G1900" s="311" t="s">
        <v>237</v>
      </c>
      <c r="H1900" s="311" t="s">
        <v>405</v>
      </c>
      <c r="I1900" s="311" t="s">
        <v>56</v>
      </c>
      <c r="J1900" s="50" t="s">
        <v>1892</v>
      </c>
      <c r="K1900" s="50" t="s">
        <v>1892</v>
      </c>
      <c r="L1900" s="50" t="s">
        <v>1893</v>
      </c>
      <c r="M1900" s="50" t="s">
        <v>4371</v>
      </c>
      <c r="N1900" s="50" t="s">
        <v>4371</v>
      </c>
      <c r="O1900" s="50" t="s">
        <v>4371</v>
      </c>
      <c r="P1900" s="50" t="s">
        <v>4371</v>
      </c>
    </row>
    <row r="1901" spans="1:16" ht="12.75" customHeight="1" x14ac:dyDescent="0.25">
      <c r="A1901" s="311">
        <v>1898</v>
      </c>
      <c r="B1901" s="311" t="s">
        <v>141</v>
      </c>
      <c r="C1901" s="311" t="s">
        <v>141</v>
      </c>
      <c r="D1901" s="311" t="s">
        <v>141</v>
      </c>
      <c r="E1901" s="337" t="s">
        <v>141</v>
      </c>
      <c r="F1901" s="311" t="s">
        <v>275</v>
      </c>
      <c r="G1901" s="311" t="s">
        <v>237</v>
      </c>
      <c r="H1901" s="311" t="s">
        <v>405</v>
      </c>
      <c r="I1901" s="311" t="s">
        <v>56</v>
      </c>
      <c r="J1901" s="50" t="s">
        <v>1892</v>
      </c>
      <c r="K1901" s="50" t="s">
        <v>1892</v>
      </c>
      <c r="L1901" s="50" t="s">
        <v>1893</v>
      </c>
      <c r="M1901" s="50" t="s">
        <v>4372</v>
      </c>
      <c r="N1901" s="50" t="s">
        <v>4372</v>
      </c>
      <c r="O1901" s="50" t="s">
        <v>4372</v>
      </c>
      <c r="P1901" s="50" t="s">
        <v>4372</v>
      </c>
    </row>
    <row r="1902" spans="1:16" ht="12.75" customHeight="1" x14ac:dyDescent="0.25">
      <c r="A1902" s="311">
        <v>1899</v>
      </c>
      <c r="B1902" s="311" t="s">
        <v>69</v>
      </c>
      <c r="C1902" s="311" t="s">
        <v>69</v>
      </c>
      <c r="D1902" s="311" t="s">
        <v>69</v>
      </c>
      <c r="E1902" s="337" t="s">
        <v>69</v>
      </c>
      <c r="F1902" s="311" t="s">
        <v>275</v>
      </c>
      <c r="G1902" s="311" t="s">
        <v>237</v>
      </c>
      <c r="H1902" s="311" t="s">
        <v>405</v>
      </c>
      <c r="I1902" s="311" t="s">
        <v>56</v>
      </c>
      <c r="J1902" s="50" t="s">
        <v>1892</v>
      </c>
      <c r="K1902" s="50" t="s">
        <v>1892</v>
      </c>
      <c r="L1902" s="50" t="s">
        <v>1893</v>
      </c>
      <c r="M1902" s="50" t="s">
        <v>4373</v>
      </c>
      <c r="N1902" s="50" t="s">
        <v>4373</v>
      </c>
      <c r="O1902" s="50" t="s">
        <v>4373</v>
      </c>
      <c r="P1902" s="50" t="s">
        <v>4373</v>
      </c>
    </row>
    <row r="1903" spans="1:16" ht="12.75" customHeight="1" x14ac:dyDescent="0.25">
      <c r="A1903" s="311">
        <v>1900</v>
      </c>
      <c r="B1903" s="311" t="s">
        <v>84</v>
      </c>
      <c r="C1903" s="311" t="s">
        <v>462</v>
      </c>
      <c r="D1903" s="311" t="s">
        <v>462</v>
      </c>
      <c r="E1903" s="337" t="s">
        <v>462</v>
      </c>
      <c r="F1903" s="311" t="s">
        <v>293</v>
      </c>
      <c r="G1903" s="311" t="s">
        <v>236</v>
      </c>
      <c r="H1903" s="311" t="s">
        <v>405</v>
      </c>
      <c r="I1903" s="311" t="s">
        <v>56</v>
      </c>
      <c r="J1903" s="50" t="s">
        <v>1892</v>
      </c>
      <c r="K1903" s="50" t="s">
        <v>1892</v>
      </c>
      <c r="L1903" s="50" t="s">
        <v>1893</v>
      </c>
      <c r="M1903" s="50" t="s">
        <v>4374</v>
      </c>
      <c r="N1903" s="50" t="s">
        <v>4375</v>
      </c>
      <c r="O1903" s="50" t="s">
        <v>4375</v>
      </c>
      <c r="P1903" s="50" t="s">
        <v>4375</v>
      </c>
    </row>
    <row r="1904" spans="1:16" ht="12.75" customHeight="1" x14ac:dyDescent="0.25">
      <c r="A1904" s="311">
        <v>1901</v>
      </c>
      <c r="B1904" s="311" t="s">
        <v>123</v>
      </c>
      <c r="C1904" s="311" t="s">
        <v>462</v>
      </c>
      <c r="D1904" s="311" t="s">
        <v>462</v>
      </c>
      <c r="E1904" s="337" t="s">
        <v>462</v>
      </c>
      <c r="F1904" s="311" t="s">
        <v>293</v>
      </c>
      <c r="G1904" s="311" t="s">
        <v>236</v>
      </c>
      <c r="H1904" s="311" t="s">
        <v>405</v>
      </c>
      <c r="I1904" s="311" t="s">
        <v>56</v>
      </c>
      <c r="J1904" s="50" t="s">
        <v>1892</v>
      </c>
      <c r="K1904" s="50" t="s">
        <v>1892</v>
      </c>
      <c r="L1904" s="50" t="s">
        <v>1893</v>
      </c>
      <c r="M1904" s="50" t="s">
        <v>4376</v>
      </c>
      <c r="N1904" s="50" t="s">
        <v>4375</v>
      </c>
      <c r="O1904" s="50" t="s">
        <v>4375</v>
      </c>
      <c r="P1904" s="50" t="s">
        <v>4375</v>
      </c>
    </row>
    <row r="1905" spans="1:16" ht="12.75" customHeight="1" x14ac:dyDescent="0.25">
      <c r="A1905" s="311">
        <v>1902</v>
      </c>
      <c r="B1905" s="311" t="s">
        <v>75</v>
      </c>
      <c r="C1905" s="311" t="s">
        <v>462</v>
      </c>
      <c r="D1905" s="311" t="s">
        <v>462</v>
      </c>
      <c r="E1905" s="337" t="s">
        <v>462</v>
      </c>
      <c r="F1905" s="311" t="s">
        <v>293</v>
      </c>
      <c r="G1905" s="311" t="s">
        <v>236</v>
      </c>
      <c r="H1905" s="311" t="s">
        <v>405</v>
      </c>
      <c r="I1905" s="311" t="s">
        <v>56</v>
      </c>
      <c r="J1905" s="50" t="s">
        <v>1892</v>
      </c>
      <c r="K1905" s="50" t="s">
        <v>1892</v>
      </c>
      <c r="L1905" s="50" t="s">
        <v>1893</v>
      </c>
      <c r="M1905" s="50" t="s">
        <v>4377</v>
      </c>
      <c r="N1905" s="50" t="s">
        <v>4375</v>
      </c>
      <c r="O1905" s="50" t="s">
        <v>4375</v>
      </c>
      <c r="P1905" s="50" t="s">
        <v>4375</v>
      </c>
    </row>
    <row r="1906" spans="1:16" ht="12.75" customHeight="1" x14ac:dyDescent="0.25">
      <c r="A1906" s="311">
        <v>1903</v>
      </c>
      <c r="B1906" s="311" t="s">
        <v>63</v>
      </c>
      <c r="C1906" s="311" t="s">
        <v>63</v>
      </c>
      <c r="D1906" s="311" t="s">
        <v>462</v>
      </c>
      <c r="E1906" s="337" t="s">
        <v>63</v>
      </c>
      <c r="F1906" s="311" t="s">
        <v>293</v>
      </c>
      <c r="G1906" s="311" t="s">
        <v>236</v>
      </c>
      <c r="H1906" s="311" t="s">
        <v>405</v>
      </c>
      <c r="I1906" s="311" t="s">
        <v>56</v>
      </c>
      <c r="J1906" s="50" t="s">
        <v>1892</v>
      </c>
      <c r="K1906" s="50" t="s">
        <v>1892</v>
      </c>
      <c r="L1906" s="50" t="s">
        <v>1893</v>
      </c>
      <c r="M1906" s="50" t="s">
        <v>4378</v>
      </c>
      <c r="N1906" s="50" t="s">
        <v>4378</v>
      </c>
      <c r="O1906" s="50" t="s">
        <v>4375</v>
      </c>
      <c r="P1906" s="50" t="s">
        <v>4378</v>
      </c>
    </row>
    <row r="1907" spans="1:16" ht="12.75" customHeight="1" x14ac:dyDescent="0.25">
      <c r="A1907" s="311">
        <v>1904</v>
      </c>
      <c r="B1907" s="311" t="s">
        <v>140</v>
      </c>
      <c r="C1907" s="311" t="s">
        <v>140</v>
      </c>
      <c r="D1907" s="311" t="s">
        <v>462</v>
      </c>
      <c r="E1907" s="337" t="s">
        <v>140</v>
      </c>
      <c r="F1907" s="311" t="s">
        <v>293</v>
      </c>
      <c r="G1907" s="311" t="s">
        <v>236</v>
      </c>
      <c r="H1907" s="311" t="s">
        <v>405</v>
      </c>
      <c r="I1907" s="311" t="s">
        <v>56</v>
      </c>
      <c r="J1907" s="50" t="s">
        <v>1892</v>
      </c>
      <c r="K1907" s="50" t="s">
        <v>1892</v>
      </c>
      <c r="L1907" s="50" t="s">
        <v>1893</v>
      </c>
      <c r="M1907" s="50" t="s">
        <v>4379</v>
      </c>
      <c r="N1907" s="50" t="s">
        <v>4379</v>
      </c>
      <c r="O1907" s="50" t="s">
        <v>4375</v>
      </c>
      <c r="P1907" s="50" t="s">
        <v>4379</v>
      </c>
    </row>
    <row r="1908" spans="1:16" ht="12.75" customHeight="1" x14ac:dyDescent="0.25">
      <c r="A1908" s="311">
        <v>1905</v>
      </c>
      <c r="B1908" s="311" t="s">
        <v>121</v>
      </c>
      <c r="C1908" s="311" t="s">
        <v>121</v>
      </c>
      <c r="D1908" s="311" t="s">
        <v>462</v>
      </c>
      <c r="E1908" s="337" t="s">
        <v>121</v>
      </c>
      <c r="F1908" s="311" t="s">
        <v>293</v>
      </c>
      <c r="G1908" s="311" t="s">
        <v>236</v>
      </c>
      <c r="H1908" s="311" t="s">
        <v>405</v>
      </c>
      <c r="I1908" s="311" t="s">
        <v>56</v>
      </c>
      <c r="J1908" s="50" t="s">
        <v>1892</v>
      </c>
      <c r="K1908" s="50" t="s">
        <v>1892</v>
      </c>
      <c r="L1908" s="50" t="s">
        <v>1893</v>
      </c>
      <c r="M1908" s="50" t="s">
        <v>4380</v>
      </c>
      <c r="N1908" s="50" t="s">
        <v>4380</v>
      </c>
      <c r="O1908" s="50" t="s">
        <v>4375</v>
      </c>
      <c r="P1908" s="50" t="s">
        <v>4380</v>
      </c>
    </row>
    <row r="1909" spans="1:16" ht="12.75" customHeight="1" x14ac:dyDescent="0.25">
      <c r="A1909" s="311">
        <v>1906</v>
      </c>
      <c r="B1909" s="311" t="s">
        <v>87</v>
      </c>
      <c r="C1909" s="311" t="s">
        <v>87</v>
      </c>
      <c r="D1909" s="311" t="s">
        <v>462</v>
      </c>
      <c r="E1909" s="337" t="s">
        <v>87</v>
      </c>
      <c r="F1909" s="311" t="s">
        <v>293</v>
      </c>
      <c r="G1909" s="311" t="s">
        <v>236</v>
      </c>
      <c r="H1909" s="311" t="s">
        <v>405</v>
      </c>
      <c r="I1909" s="311" t="s">
        <v>56</v>
      </c>
      <c r="J1909" s="50" t="s">
        <v>1892</v>
      </c>
      <c r="K1909" s="50" t="s">
        <v>1892</v>
      </c>
      <c r="L1909" s="50" t="s">
        <v>1893</v>
      </c>
      <c r="M1909" s="50" t="s">
        <v>4381</v>
      </c>
      <c r="N1909" s="50" t="s">
        <v>4381</v>
      </c>
      <c r="O1909" s="50" t="s">
        <v>4375</v>
      </c>
      <c r="P1909" s="50" t="s">
        <v>4381</v>
      </c>
    </row>
    <row r="1910" spans="1:16" ht="12.75" customHeight="1" x14ac:dyDescent="0.25">
      <c r="A1910" s="311">
        <v>1907</v>
      </c>
      <c r="B1910" s="311" t="s">
        <v>125</v>
      </c>
      <c r="C1910" s="311" t="s">
        <v>125</v>
      </c>
      <c r="D1910" s="311" t="s">
        <v>125</v>
      </c>
      <c r="E1910" s="337" t="s">
        <v>125</v>
      </c>
      <c r="F1910" s="311" t="s">
        <v>293</v>
      </c>
      <c r="G1910" s="311" t="s">
        <v>236</v>
      </c>
      <c r="H1910" s="311" t="s">
        <v>405</v>
      </c>
      <c r="I1910" s="311" t="s">
        <v>56</v>
      </c>
      <c r="J1910" s="50" t="s">
        <v>1892</v>
      </c>
      <c r="K1910" s="50" t="s">
        <v>1892</v>
      </c>
      <c r="L1910" s="50" t="s">
        <v>1893</v>
      </c>
      <c r="M1910" s="50" t="s">
        <v>4382</v>
      </c>
      <c r="N1910" s="50" t="s">
        <v>4382</v>
      </c>
      <c r="O1910" s="50" t="s">
        <v>4382</v>
      </c>
      <c r="P1910" s="50" t="s">
        <v>4382</v>
      </c>
    </row>
    <row r="1911" spans="1:16" ht="12.75" customHeight="1" x14ac:dyDescent="0.25">
      <c r="A1911" s="311">
        <v>1908</v>
      </c>
      <c r="B1911" s="311" t="s">
        <v>134</v>
      </c>
      <c r="C1911" s="311" t="s">
        <v>134</v>
      </c>
      <c r="D1911" s="311" t="s">
        <v>134</v>
      </c>
      <c r="E1911" s="337" t="s">
        <v>134</v>
      </c>
      <c r="F1911" s="311" t="s">
        <v>293</v>
      </c>
      <c r="G1911" s="311" t="s">
        <v>236</v>
      </c>
      <c r="H1911" s="311" t="s">
        <v>405</v>
      </c>
      <c r="I1911" s="311" t="s">
        <v>56</v>
      </c>
      <c r="J1911" s="50" t="s">
        <v>1892</v>
      </c>
      <c r="K1911" s="50" t="s">
        <v>1892</v>
      </c>
      <c r="L1911" s="50" t="s">
        <v>1893</v>
      </c>
      <c r="M1911" s="50" t="s">
        <v>4383</v>
      </c>
      <c r="N1911" s="50" t="s">
        <v>4383</v>
      </c>
      <c r="O1911" s="50" t="s">
        <v>4383</v>
      </c>
      <c r="P1911" s="50" t="s">
        <v>4383</v>
      </c>
    </row>
    <row r="1912" spans="1:16" ht="12.75" customHeight="1" x14ac:dyDescent="0.25">
      <c r="A1912" s="311">
        <v>1909</v>
      </c>
      <c r="B1912" s="311" t="s">
        <v>141</v>
      </c>
      <c r="C1912" s="311" t="s">
        <v>141</v>
      </c>
      <c r="D1912" s="311" t="s">
        <v>141</v>
      </c>
      <c r="E1912" s="337" t="s">
        <v>141</v>
      </c>
      <c r="F1912" s="311" t="s">
        <v>293</v>
      </c>
      <c r="G1912" s="311" t="s">
        <v>236</v>
      </c>
      <c r="H1912" s="311" t="s">
        <v>405</v>
      </c>
      <c r="I1912" s="311" t="s">
        <v>56</v>
      </c>
      <c r="J1912" s="50" t="s">
        <v>1892</v>
      </c>
      <c r="K1912" s="50" t="s">
        <v>1892</v>
      </c>
      <c r="L1912" s="50" t="s">
        <v>1893</v>
      </c>
      <c r="M1912" s="50" t="s">
        <v>4384</v>
      </c>
      <c r="N1912" s="50" t="s">
        <v>4384</v>
      </c>
      <c r="O1912" s="50" t="s">
        <v>4384</v>
      </c>
      <c r="P1912" s="50" t="s">
        <v>4384</v>
      </c>
    </row>
    <row r="1913" spans="1:16" ht="12.75" customHeight="1" x14ac:dyDescent="0.25">
      <c r="A1913" s="311">
        <v>1910</v>
      </c>
      <c r="B1913" s="311" t="s">
        <v>69</v>
      </c>
      <c r="C1913" s="311" t="s">
        <v>69</v>
      </c>
      <c r="D1913" s="311" t="s">
        <v>69</v>
      </c>
      <c r="E1913" s="337" t="s">
        <v>69</v>
      </c>
      <c r="F1913" s="311" t="s">
        <v>293</v>
      </c>
      <c r="G1913" s="311" t="s">
        <v>236</v>
      </c>
      <c r="H1913" s="311" t="s">
        <v>405</v>
      </c>
      <c r="I1913" s="311" t="s">
        <v>56</v>
      </c>
      <c r="J1913" s="50" t="s">
        <v>1892</v>
      </c>
      <c r="K1913" s="50" t="s">
        <v>1892</v>
      </c>
      <c r="L1913" s="50" t="s">
        <v>1893</v>
      </c>
      <c r="M1913" s="50" t="s">
        <v>4385</v>
      </c>
      <c r="N1913" s="50" t="s">
        <v>4385</v>
      </c>
      <c r="O1913" s="50" t="s">
        <v>4385</v>
      </c>
      <c r="P1913" s="50" t="s">
        <v>4385</v>
      </c>
    </row>
    <row r="1914" spans="1:16" ht="12.75" customHeight="1" x14ac:dyDescent="0.25">
      <c r="A1914" s="311">
        <v>1911</v>
      </c>
      <c r="B1914" s="311" t="s">
        <v>84</v>
      </c>
      <c r="C1914" s="311" t="s">
        <v>462</v>
      </c>
      <c r="D1914" s="311" t="s">
        <v>462</v>
      </c>
      <c r="E1914" s="337" t="s">
        <v>462</v>
      </c>
      <c r="F1914" s="311" t="s">
        <v>293</v>
      </c>
      <c r="G1914" s="311" t="s">
        <v>23</v>
      </c>
      <c r="H1914" s="311" t="s">
        <v>405</v>
      </c>
      <c r="I1914" s="311" t="s">
        <v>56</v>
      </c>
      <c r="J1914" s="50" t="s">
        <v>1892</v>
      </c>
      <c r="K1914" s="50" t="s">
        <v>1892</v>
      </c>
      <c r="L1914" s="50" t="s">
        <v>1893</v>
      </c>
      <c r="M1914" s="50" t="s">
        <v>4386</v>
      </c>
      <c r="N1914" s="50" t="s">
        <v>4387</v>
      </c>
      <c r="O1914" s="50" t="s">
        <v>4387</v>
      </c>
      <c r="P1914" s="50" t="s">
        <v>4387</v>
      </c>
    </row>
    <row r="1915" spans="1:16" ht="12.75" customHeight="1" x14ac:dyDescent="0.25">
      <c r="A1915" s="311">
        <v>1912</v>
      </c>
      <c r="B1915" s="311" t="s">
        <v>123</v>
      </c>
      <c r="C1915" s="311" t="s">
        <v>462</v>
      </c>
      <c r="D1915" s="311" t="s">
        <v>462</v>
      </c>
      <c r="E1915" s="337" t="s">
        <v>462</v>
      </c>
      <c r="F1915" s="311" t="s">
        <v>293</v>
      </c>
      <c r="G1915" s="311" t="s">
        <v>23</v>
      </c>
      <c r="H1915" s="311" t="s">
        <v>405</v>
      </c>
      <c r="I1915" s="311" t="s">
        <v>56</v>
      </c>
      <c r="J1915" s="50" t="s">
        <v>1892</v>
      </c>
      <c r="K1915" s="50" t="s">
        <v>1892</v>
      </c>
      <c r="L1915" s="50" t="s">
        <v>1893</v>
      </c>
      <c r="M1915" s="50" t="s">
        <v>4388</v>
      </c>
      <c r="N1915" s="50" t="s">
        <v>4387</v>
      </c>
      <c r="O1915" s="50" t="s">
        <v>4387</v>
      </c>
      <c r="P1915" s="50" t="s">
        <v>4387</v>
      </c>
    </row>
    <row r="1916" spans="1:16" ht="12.75" customHeight="1" x14ac:dyDescent="0.25">
      <c r="A1916" s="311">
        <v>1913</v>
      </c>
      <c r="B1916" s="311" t="s">
        <v>75</v>
      </c>
      <c r="C1916" s="311" t="s">
        <v>462</v>
      </c>
      <c r="D1916" s="311" t="s">
        <v>462</v>
      </c>
      <c r="E1916" s="337" t="s">
        <v>462</v>
      </c>
      <c r="F1916" s="311" t="s">
        <v>293</v>
      </c>
      <c r="G1916" s="311" t="s">
        <v>23</v>
      </c>
      <c r="H1916" s="311" t="s">
        <v>405</v>
      </c>
      <c r="I1916" s="311" t="s">
        <v>56</v>
      </c>
      <c r="J1916" s="50" t="s">
        <v>1892</v>
      </c>
      <c r="K1916" s="50" t="s">
        <v>1892</v>
      </c>
      <c r="L1916" s="50" t="s">
        <v>1893</v>
      </c>
      <c r="M1916" s="50" t="s">
        <v>4389</v>
      </c>
      <c r="N1916" s="50" t="s">
        <v>4387</v>
      </c>
      <c r="O1916" s="50" t="s">
        <v>4387</v>
      </c>
      <c r="P1916" s="50" t="s">
        <v>4387</v>
      </c>
    </row>
    <row r="1917" spans="1:16" ht="12.75" customHeight="1" x14ac:dyDescent="0.25">
      <c r="A1917" s="311">
        <v>1914</v>
      </c>
      <c r="B1917" s="311" t="s">
        <v>63</v>
      </c>
      <c r="C1917" s="311" t="s">
        <v>63</v>
      </c>
      <c r="D1917" s="311" t="s">
        <v>462</v>
      </c>
      <c r="E1917" s="337" t="s">
        <v>63</v>
      </c>
      <c r="F1917" s="311" t="s">
        <v>293</v>
      </c>
      <c r="G1917" s="311" t="s">
        <v>23</v>
      </c>
      <c r="H1917" s="311" t="s">
        <v>405</v>
      </c>
      <c r="I1917" s="311" t="s">
        <v>56</v>
      </c>
      <c r="J1917" s="50" t="s">
        <v>1892</v>
      </c>
      <c r="K1917" s="50" t="s">
        <v>1892</v>
      </c>
      <c r="L1917" s="50" t="s">
        <v>1893</v>
      </c>
      <c r="M1917" s="50" t="s">
        <v>4390</v>
      </c>
      <c r="N1917" s="50" t="s">
        <v>4390</v>
      </c>
      <c r="O1917" s="50" t="s">
        <v>4387</v>
      </c>
      <c r="P1917" s="50" t="s">
        <v>4390</v>
      </c>
    </row>
    <row r="1918" spans="1:16" ht="12.75" customHeight="1" x14ac:dyDescent="0.25">
      <c r="A1918" s="311">
        <v>1915</v>
      </c>
      <c r="B1918" s="311" t="s">
        <v>140</v>
      </c>
      <c r="C1918" s="311" t="s">
        <v>140</v>
      </c>
      <c r="D1918" s="311" t="s">
        <v>462</v>
      </c>
      <c r="E1918" s="337" t="s">
        <v>140</v>
      </c>
      <c r="F1918" s="311" t="s">
        <v>293</v>
      </c>
      <c r="G1918" s="311" t="s">
        <v>23</v>
      </c>
      <c r="H1918" s="311" t="s">
        <v>405</v>
      </c>
      <c r="I1918" s="311" t="s">
        <v>56</v>
      </c>
      <c r="J1918" s="50" t="s">
        <v>1892</v>
      </c>
      <c r="K1918" s="50" t="s">
        <v>1892</v>
      </c>
      <c r="L1918" s="50" t="s">
        <v>1893</v>
      </c>
      <c r="M1918" s="50" t="s">
        <v>4391</v>
      </c>
      <c r="N1918" s="50" t="s">
        <v>4391</v>
      </c>
      <c r="O1918" s="50" t="s">
        <v>4387</v>
      </c>
      <c r="P1918" s="50" t="s">
        <v>4391</v>
      </c>
    </row>
    <row r="1919" spans="1:16" ht="12.75" customHeight="1" x14ac:dyDescent="0.25">
      <c r="A1919" s="311">
        <v>1916</v>
      </c>
      <c r="B1919" s="311" t="s">
        <v>121</v>
      </c>
      <c r="C1919" s="311" t="s">
        <v>121</v>
      </c>
      <c r="D1919" s="311" t="s">
        <v>462</v>
      </c>
      <c r="E1919" s="337" t="s">
        <v>121</v>
      </c>
      <c r="F1919" s="311" t="s">
        <v>293</v>
      </c>
      <c r="G1919" s="311" t="s">
        <v>23</v>
      </c>
      <c r="H1919" s="311" t="s">
        <v>405</v>
      </c>
      <c r="I1919" s="311" t="s">
        <v>56</v>
      </c>
      <c r="J1919" s="50" t="s">
        <v>1892</v>
      </c>
      <c r="K1919" s="50" t="s">
        <v>1892</v>
      </c>
      <c r="L1919" s="50" t="s">
        <v>1893</v>
      </c>
      <c r="M1919" s="50" t="s">
        <v>4392</v>
      </c>
      <c r="N1919" s="50" t="s">
        <v>4392</v>
      </c>
      <c r="O1919" s="50" t="s">
        <v>4387</v>
      </c>
      <c r="P1919" s="50" t="s">
        <v>4392</v>
      </c>
    </row>
    <row r="1920" spans="1:16" ht="12.75" customHeight="1" x14ac:dyDescent="0.25">
      <c r="A1920" s="311">
        <v>1917</v>
      </c>
      <c r="B1920" s="311" t="s">
        <v>87</v>
      </c>
      <c r="C1920" s="311" t="s">
        <v>87</v>
      </c>
      <c r="D1920" s="311" t="s">
        <v>462</v>
      </c>
      <c r="E1920" s="337" t="s">
        <v>87</v>
      </c>
      <c r="F1920" s="311" t="s">
        <v>293</v>
      </c>
      <c r="G1920" s="311" t="s">
        <v>23</v>
      </c>
      <c r="H1920" s="311" t="s">
        <v>405</v>
      </c>
      <c r="I1920" s="311" t="s">
        <v>56</v>
      </c>
      <c r="J1920" s="50" t="s">
        <v>1892</v>
      </c>
      <c r="K1920" s="50" t="s">
        <v>1892</v>
      </c>
      <c r="L1920" s="50" t="s">
        <v>1893</v>
      </c>
      <c r="M1920" s="50" t="s">
        <v>4393</v>
      </c>
      <c r="N1920" s="50" t="s">
        <v>4393</v>
      </c>
      <c r="O1920" s="50" t="s">
        <v>4387</v>
      </c>
      <c r="P1920" s="50" t="s">
        <v>4393</v>
      </c>
    </row>
    <row r="1921" spans="1:16" ht="12.75" customHeight="1" x14ac:dyDescent="0.25">
      <c r="A1921" s="311">
        <v>1918</v>
      </c>
      <c r="B1921" s="311" t="s">
        <v>125</v>
      </c>
      <c r="C1921" s="311" t="s">
        <v>125</v>
      </c>
      <c r="D1921" s="311" t="s">
        <v>125</v>
      </c>
      <c r="E1921" s="337" t="s">
        <v>125</v>
      </c>
      <c r="F1921" s="311" t="s">
        <v>293</v>
      </c>
      <c r="G1921" s="311" t="s">
        <v>23</v>
      </c>
      <c r="H1921" s="311" t="s">
        <v>405</v>
      </c>
      <c r="I1921" s="311" t="s">
        <v>56</v>
      </c>
      <c r="J1921" s="50" t="s">
        <v>1892</v>
      </c>
      <c r="K1921" s="50" t="s">
        <v>1892</v>
      </c>
      <c r="L1921" s="50" t="s">
        <v>1893</v>
      </c>
      <c r="M1921" s="50" t="s">
        <v>4394</v>
      </c>
      <c r="N1921" s="50" t="s">
        <v>4394</v>
      </c>
      <c r="O1921" s="50" t="s">
        <v>4394</v>
      </c>
      <c r="P1921" s="50" t="s">
        <v>4394</v>
      </c>
    </row>
    <row r="1922" spans="1:16" ht="12.75" customHeight="1" x14ac:dyDescent="0.25">
      <c r="A1922" s="311">
        <v>1919</v>
      </c>
      <c r="B1922" s="311" t="s">
        <v>134</v>
      </c>
      <c r="C1922" s="311" t="s">
        <v>134</v>
      </c>
      <c r="D1922" s="311" t="s">
        <v>134</v>
      </c>
      <c r="E1922" s="337" t="s">
        <v>134</v>
      </c>
      <c r="F1922" s="311" t="s">
        <v>293</v>
      </c>
      <c r="G1922" s="311" t="s">
        <v>23</v>
      </c>
      <c r="H1922" s="311" t="s">
        <v>405</v>
      </c>
      <c r="I1922" s="311" t="s">
        <v>56</v>
      </c>
      <c r="J1922" s="50" t="s">
        <v>1892</v>
      </c>
      <c r="K1922" s="50" t="s">
        <v>1892</v>
      </c>
      <c r="L1922" s="50" t="s">
        <v>1893</v>
      </c>
      <c r="M1922" s="50" t="s">
        <v>4395</v>
      </c>
      <c r="N1922" s="50" t="s">
        <v>4395</v>
      </c>
      <c r="O1922" s="50" t="s">
        <v>4395</v>
      </c>
      <c r="P1922" s="50" t="s">
        <v>4395</v>
      </c>
    </row>
    <row r="1923" spans="1:16" ht="12.75" customHeight="1" x14ac:dyDescent="0.25">
      <c r="A1923" s="311">
        <v>1920</v>
      </c>
      <c r="B1923" s="311" t="s">
        <v>141</v>
      </c>
      <c r="C1923" s="311" t="s">
        <v>141</v>
      </c>
      <c r="D1923" s="311" t="s">
        <v>141</v>
      </c>
      <c r="E1923" s="337" t="s">
        <v>141</v>
      </c>
      <c r="F1923" s="311" t="s">
        <v>293</v>
      </c>
      <c r="G1923" s="311" t="s">
        <v>23</v>
      </c>
      <c r="H1923" s="311" t="s">
        <v>405</v>
      </c>
      <c r="I1923" s="311" t="s">
        <v>56</v>
      </c>
      <c r="J1923" s="50" t="s">
        <v>1892</v>
      </c>
      <c r="K1923" s="50" t="s">
        <v>1892</v>
      </c>
      <c r="L1923" s="50" t="s">
        <v>1893</v>
      </c>
      <c r="M1923" s="50" t="s">
        <v>4396</v>
      </c>
      <c r="N1923" s="50" t="s">
        <v>4396</v>
      </c>
      <c r="O1923" s="50" t="s">
        <v>4396</v>
      </c>
      <c r="P1923" s="50" t="s">
        <v>4396</v>
      </c>
    </row>
    <row r="1924" spans="1:16" ht="12.75" customHeight="1" x14ac:dyDescent="0.25">
      <c r="A1924" s="311">
        <v>1921</v>
      </c>
      <c r="B1924" s="311" t="s">
        <v>69</v>
      </c>
      <c r="C1924" s="311" t="s">
        <v>69</v>
      </c>
      <c r="D1924" s="311" t="s">
        <v>69</v>
      </c>
      <c r="E1924" s="337" t="s">
        <v>69</v>
      </c>
      <c r="F1924" s="311" t="s">
        <v>293</v>
      </c>
      <c r="G1924" s="311" t="s">
        <v>23</v>
      </c>
      <c r="H1924" s="311" t="s">
        <v>405</v>
      </c>
      <c r="I1924" s="311" t="s">
        <v>56</v>
      </c>
      <c r="J1924" s="50" t="s">
        <v>1892</v>
      </c>
      <c r="K1924" s="50" t="s">
        <v>1892</v>
      </c>
      <c r="L1924" s="50" t="s">
        <v>1893</v>
      </c>
      <c r="M1924" s="50" t="s">
        <v>4397</v>
      </c>
      <c r="N1924" s="50" t="s">
        <v>4397</v>
      </c>
      <c r="O1924" s="50" t="s">
        <v>4397</v>
      </c>
      <c r="P1924" s="50" t="s">
        <v>4397</v>
      </c>
    </row>
    <row r="1925" spans="1:16" ht="12.75" customHeight="1" x14ac:dyDescent="0.25">
      <c r="A1925" s="311">
        <v>1922</v>
      </c>
      <c r="B1925" s="311" t="s">
        <v>84</v>
      </c>
      <c r="C1925" s="311" t="s">
        <v>462</v>
      </c>
      <c r="D1925" s="311" t="s">
        <v>462</v>
      </c>
      <c r="E1925" s="337" t="s">
        <v>462</v>
      </c>
      <c r="F1925" s="311" t="s">
        <v>293</v>
      </c>
      <c r="G1925" s="311" t="s">
        <v>237</v>
      </c>
      <c r="H1925" s="311" t="s">
        <v>405</v>
      </c>
      <c r="I1925" s="311" t="s">
        <v>56</v>
      </c>
      <c r="J1925" s="50" t="s">
        <v>1892</v>
      </c>
      <c r="K1925" s="50" t="s">
        <v>1892</v>
      </c>
      <c r="L1925" s="50" t="s">
        <v>1893</v>
      </c>
      <c r="M1925" s="50" t="s">
        <v>4398</v>
      </c>
      <c r="N1925" s="50" t="s">
        <v>4399</v>
      </c>
      <c r="O1925" s="50" t="s">
        <v>4399</v>
      </c>
      <c r="P1925" s="50" t="s">
        <v>4399</v>
      </c>
    </row>
    <row r="1926" spans="1:16" ht="12.75" customHeight="1" x14ac:dyDescent="0.25">
      <c r="A1926" s="311">
        <v>1923</v>
      </c>
      <c r="B1926" s="311" t="s">
        <v>123</v>
      </c>
      <c r="C1926" s="311" t="s">
        <v>462</v>
      </c>
      <c r="D1926" s="311" t="s">
        <v>462</v>
      </c>
      <c r="E1926" s="337" t="s">
        <v>462</v>
      </c>
      <c r="F1926" s="311" t="s">
        <v>293</v>
      </c>
      <c r="G1926" s="311" t="s">
        <v>237</v>
      </c>
      <c r="H1926" s="311" t="s">
        <v>405</v>
      </c>
      <c r="I1926" s="311" t="s">
        <v>56</v>
      </c>
      <c r="J1926" s="50" t="s">
        <v>1892</v>
      </c>
      <c r="K1926" s="50" t="s">
        <v>1892</v>
      </c>
      <c r="L1926" s="50" t="s">
        <v>1893</v>
      </c>
      <c r="M1926" s="50" t="s">
        <v>4400</v>
      </c>
      <c r="N1926" s="50" t="s">
        <v>4399</v>
      </c>
      <c r="O1926" s="50" t="s">
        <v>4399</v>
      </c>
      <c r="P1926" s="50" t="s">
        <v>4399</v>
      </c>
    </row>
    <row r="1927" spans="1:16" ht="12.75" customHeight="1" x14ac:dyDescent="0.25">
      <c r="A1927" s="311">
        <v>1924</v>
      </c>
      <c r="B1927" s="311" t="s">
        <v>75</v>
      </c>
      <c r="C1927" s="311" t="s">
        <v>462</v>
      </c>
      <c r="D1927" s="311" t="s">
        <v>462</v>
      </c>
      <c r="E1927" s="337" t="s">
        <v>462</v>
      </c>
      <c r="F1927" s="311" t="s">
        <v>293</v>
      </c>
      <c r="G1927" s="311" t="s">
        <v>237</v>
      </c>
      <c r="H1927" s="311" t="s">
        <v>405</v>
      </c>
      <c r="I1927" s="311" t="s">
        <v>56</v>
      </c>
      <c r="J1927" s="50" t="s">
        <v>1892</v>
      </c>
      <c r="K1927" s="50" t="s">
        <v>1892</v>
      </c>
      <c r="L1927" s="50" t="s">
        <v>1893</v>
      </c>
      <c r="M1927" s="50" t="s">
        <v>4401</v>
      </c>
      <c r="N1927" s="50" t="s">
        <v>4399</v>
      </c>
      <c r="O1927" s="50" t="s">
        <v>4399</v>
      </c>
      <c r="P1927" s="50" t="s">
        <v>4399</v>
      </c>
    </row>
    <row r="1928" spans="1:16" ht="12.75" customHeight="1" x14ac:dyDescent="0.25">
      <c r="A1928" s="311">
        <v>1925</v>
      </c>
      <c r="B1928" s="311" t="s">
        <v>63</v>
      </c>
      <c r="C1928" s="311" t="s">
        <v>63</v>
      </c>
      <c r="D1928" s="311" t="s">
        <v>462</v>
      </c>
      <c r="E1928" s="337" t="s">
        <v>63</v>
      </c>
      <c r="F1928" s="311" t="s">
        <v>293</v>
      </c>
      <c r="G1928" s="311" t="s">
        <v>237</v>
      </c>
      <c r="H1928" s="311" t="s">
        <v>405</v>
      </c>
      <c r="I1928" s="311" t="s">
        <v>56</v>
      </c>
      <c r="J1928" s="50" t="s">
        <v>1892</v>
      </c>
      <c r="K1928" s="50" t="s">
        <v>1892</v>
      </c>
      <c r="L1928" s="50" t="s">
        <v>1893</v>
      </c>
      <c r="M1928" s="50" t="s">
        <v>4402</v>
      </c>
      <c r="N1928" s="50" t="s">
        <v>4402</v>
      </c>
      <c r="O1928" s="50" t="s">
        <v>4399</v>
      </c>
      <c r="P1928" s="50" t="s">
        <v>4402</v>
      </c>
    </row>
    <row r="1929" spans="1:16" ht="12.75" customHeight="1" x14ac:dyDescent="0.25">
      <c r="A1929" s="311">
        <v>1926</v>
      </c>
      <c r="B1929" s="311" t="s">
        <v>140</v>
      </c>
      <c r="C1929" s="311" t="s">
        <v>140</v>
      </c>
      <c r="D1929" s="311" t="s">
        <v>462</v>
      </c>
      <c r="E1929" s="337" t="s">
        <v>140</v>
      </c>
      <c r="F1929" s="311" t="s">
        <v>293</v>
      </c>
      <c r="G1929" s="311" t="s">
        <v>237</v>
      </c>
      <c r="H1929" s="311" t="s">
        <v>405</v>
      </c>
      <c r="I1929" s="311" t="s">
        <v>56</v>
      </c>
      <c r="J1929" s="50" t="s">
        <v>1892</v>
      </c>
      <c r="K1929" s="50" t="s">
        <v>1892</v>
      </c>
      <c r="L1929" s="50" t="s">
        <v>1893</v>
      </c>
      <c r="M1929" s="50" t="s">
        <v>4403</v>
      </c>
      <c r="N1929" s="50" t="s">
        <v>4403</v>
      </c>
      <c r="O1929" s="50" t="s">
        <v>4399</v>
      </c>
      <c r="P1929" s="50" t="s">
        <v>4403</v>
      </c>
    </row>
    <row r="1930" spans="1:16" ht="12.75" customHeight="1" x14ac:dyDescent="0.25">
      <c r="A1930" s="311">
        <v>1927</v>
      </c>
      <c r="B1930" s="311" t="s">
        <v>121</v>
      </c>
      <c r="C1930" s="311" t="s">
        <v>121</v>
      </c>
      <c r="D1930" s="311" t="s">
        <v>462</v>
      </c>
      <c r="E1930" s="337" t="s">
        <v>121</v>
      </c>
      <c r="F1930" s="311" t="s">
        <v>293</v>
      </c>
      <c r="G1930" s="311" t="s">
        <v>237</v>
      </c>
      <c r="H1930" s="311" t="s">
        <v>405</v>
      </c>
      <c r="I1930" s="311" t="s">
        <v>56</v>
      </c>
      <c r="J1930" s="50" t="s">
        <v>1892</v>
      </c>
      <c r="K1930" s="50" t="s">
        <v>1892</v>
      </c>
      <c r="L1930" s="50" t="s">
        <v>1893</v>
      </c>
      <c r="M1930" s="50" t="s">
        <v>4404</v>
      </c>
      <c r="N1930" s="50" t="s">
        <v>4404</v>
      </c>
      <c r="O1930" s="50" t="s">
        <v>4399</v>
      </c>
      <c r="P1930" s="50" t="s">
        <v>4404</v>
      </c>
    </row>
    <row r="1931" spans="1:16" ht="12.75" customHeight="1" x14ac:dyDescent="0.25">
      <c r="A1931" s="311">
        <v>1928</v>
      </c>
      <c r="B1931" s="311" t="s">
        <v>87</v>
      </c>
      <c r="C1931" s="311" t="s">
        <v>87</v>
      </c>
      <c r="D1931" s="311" t="s">
        <v>462</v>
      </c>
      <c r="E1931" s="337" t="s">
        <v>87</v>
      </c>
      <c r="F1931" s="311" t="s">
        <v>293</v>
      </c>
      <c r="G1931" s="311" t="s">
        <v>237</v>
      </c>
      <c r="H1931" s="311" t="s">
        <v>405</v>
      </c>
      <c r="I1931" s="311" t="s">
        <v>56</v>
      </c>
      <c r="J1931" s="50" t="s">
        <v>1892</v>
      </c>
      <c r="K1931" s="50" t="s">
        <v>1892</v>
      </c>
      <c r="L1931" s="50" t="s">
        <v>1893</v>
      </c>
      <c r="M1931" s="50" t="s">
        <v>4405</v>
      </c>
      <c r="N1931" s="50" t="s">
        <v>4405</v>
      </c>
      <c r="O1931" s="50" t="s">
        <v>4399</v>
      </c>
      <c r="P1931" s="50" t="s">
        <v>4405</v>
      </c>
    </row>
    <row r="1932" spans="1:16" ht="12.75" customHeight="1" x14ac:dyDescent="0.25">
      <c r="A1932" s="311">
        <v>1929</v>
      </c>
      <c r="B1932" s="311" t="s">
        <v>125</v>
      </c>
      <c r="C1932" s="311" t="s">
        <v>125</v>
      </c>
      <c r="D1932" s="311" t="s">
        <v>125</v>
      </c>
      <c r="E1932" s="337" t="s">
        <v>125</v>
      </c>
      <c r="F1932" s="311" t="s">
        <v>293</v>
      </c>
      <c r="G1932" s="311" t="s">
        <v>237</v>
      </c>
      <c r="H1932" s="311" t="s">
        <v>405</v>
      </c>
      <c r="I1932" s="311" t="s">
        <v>56</v>
      </c>
      <c r="J1932" s="50" t="s">
        <v>1892</v>
      </c>
      <c r="K1932" s="50" t="s">
        <v>1892</v>
      </c>
      <c r="L1932" s="50" t="s">
        <v>1893</v>
      </c>
      <c r="M1932" s="50" t="s">
        <v>4406</v>
      </c>
      <c r="N1932" s="50" t="s">
        <v>4406</v>
      </c>
      <c r="O1932" s="50" t="s">
        <v>4406</v>
      </c>
      <c r="P1932" s="50" t="s">
        <v>4406</v>
      </c>
    </row>
    <row r="1933" spans="1:16" ht="12.75" customHeight="1" x14ac:dyDescent="0.25">
      <c r="A1933" s="311">
        <v>1930</v>
      </c>
      <c r="B1933" s="311" t="s">
        <v>134</v>
      </c>
      <c r="C1933" s="311" t="s">
        <v>134</v>
      </c>
      <c r="D1933" s="311" t="s">
        <v>134</v>
      </c>
      <c r="E1933" s="337" t="s">
        <v>134</v>
      </c>
      <c r="F1933" s="311" t="s">
        <v>293</v>
      </c>
      <c r="G1933" s="311" t="s">
        <v>237</v>
      </c>
      <c r="H1933" s="311" t="s">
        <v>405</v>
      </c>
      <c r="I1933" s="311" t="s">
        <v>56</v>
      </c>
      <c r="J1933" s="50" t="s">
        <v>1892</v>
      </c>
      <c r="K1933" s="50" t="s">
        <v>1892</v>
      </c>
      <c r="L1933" s="50" t="s">
        <v>1893</v>
      </c>
      <c r="M1933" s="50" t="s">
        <v>4407</v>
      </c>
      <c r="N1933" s="50" t="s">
        <v>4407</v>
      </c>
      <c r="O1933" s="50" t="s">
        <v>4407</v>
      </c>
      <c r="P1933" s="50" t="s">
        <v>4407</v>
      </c>
    </row>
    <row r="1934" spans="1:16" ht="12.75" customHeight="1" x14ac:dyDescent="0.25">
      <c r="A1934" s="311">
        <v>1931</v>
      </c>
      <c r="B1934" s="311" t="s">
        <v>141</v>
      </c>
      <c r="C1934" s="311" t="s">
        <v>141</v>
      </c>
      <c r="D1934" s="311" t="s">
        <v>141</v>
      </c>
      <c r="E1934" s="337" t="s">
        <v>141</v>
      </c>
      <c r="F1934" s="311" t="s">
        <v>293</v>
      </c>
      <c r="G1934" s="311" t="s">
        <v>237</v>
      </c>
      <c r="H1934" s="311" t="s">
        <v>405</v>
      </c>
      <c r="I1934" s="311" t="s">
        <v>56</v>
      </c>
      <c r="J1934" s="50" t="s">
        <v>1892</v>
      </c>
      <c r="K1934" s="50" t="s">
        <v>1892</v>
      </c>
      <c r="L1934" s="50" t="s">
        <v>1893</v>
      </c>
      <c r="M1934" s="50" t="s">
        <v>4408</v>
      </c>
      <c r="N1934" s="50" t="s">
        <v>4408</v>
      </c>
      <c r="O1934" s="50" t="s">
        <v>4408</v>
      </c>
      <c r="P1934" s="50" t="s">
        <v>4408</v>
      </c>
    </row>
    <row r="1935" spans="1:16" ht="12.75" customHeight="1" x14ac:dyDescent="0.25">
      <c r="A1935" s="311">
        <v>1932</v>
      </c>
      <c r="B1935" s="311" t="s">
        <v>69</v>
      </c>
      <c r="C1935" s="311" t="s">
        <v>69</v>
      </c>
      <c r="D1935" s="311" t="s">
        <v>69</v>
      </c>
      <c r="E1935" s="337" t="s">
        <v>69</v>
      </c>
      <c r="F1935" s="311" t="s">
        <v>293</v>
      </c>
      <c r="G1935" s="311" t="s">
        <v>237</v>
      </c>
      <c r="H1935" s="311" t="s">
        <v>405</v>
      </c>
      <c r="I1935" s="311" t="s">
        <v>56</v>
      </c>
      <c r="J1935" s="50" t="s">
        <v>1892</v>
      </c>
      <c r="K1935" s="50" t="s">
        <v>1892</v>
      </c>
      <c r="L1935" s="50" t="s">
        <v>1893</v>
      </c>
      <c r="M1935" s="50" t="s">
        <v>4409</v>
      </c>
      <c r="N1935" s="50" t="s">
        <v>4409</v>
      </c>
      <c r="O1935" s="50" t="s">
        <v>4409</v>
      </c>
      <c r="P1935" s="50" t="s">
        <v>4409</v>
      </c>
    </row>
    <row r="1936" spans="1:16" ht="12.75" customHeight="1" x14ac:dyDescent="0.25">
      <c r="A1936" s="311">
        <v>1933</v>
      </c>
      <c r="B1936" s="311" t="s">
        <v>84</v>
      </c>
      <c r="C1936" s="311" t="s">
        <v>462</v>
      </c>
      <c r="D1936" s="311" t="s">
        <v>462</v>
      </c>
      <c r="E1936" s="337" t="s">
        <v>462</v>
      </c>
      <c r="F1936" s="311" t="s">
        <v>57</v>
      </c>
      <c r="G1936" s="311" t="s">
        <v>236</v>
      </c>
      <c r="H1936" s="311" t="s">
        <v>405</v>
      </c>
      <c r="I1936" s="311" t="s">
        <v>56</v>
      </c>
      <c r="J1936" s="50" t="s">
        <v>1892</v>
      </c>
      <c r="K1936" s="50" t="s">
        <v>1892</v>
      </c>
      <c r="L1936" s="50" t="s">
        <v>1893</v>
      </c>
      <c r="M1936" s="50" t="s">
        <v>4410</v>
      </c>
      <c r="N1936" s="50" t="s">
        <v>4411</v>
      </c>
      <c r="O1936" s="50" t="s">
        <v>4411</v>
      </c>
      <c r="P1936" s="50" t="s">
        <v>4411</v>
      </c>
    </row>
    <row r="1937" spans="1:16" ht="12.75" customHeight="1" x14ac:dyDescent="0.25">
      <c r="A1937" s="311">
        <v>1934</v>
      </c>
      <c r="B1937" s="311" t="s">
        <v>123</v>
      </c>
      <c r="C1937" s="311" t="s">
        <v>462</v>
      </c>
      <c r="D1937" s="311" t="s">
        <v>462</v>
      </c>
      <c r="E1937" s="337" t="s">
        <v>462</v>
      </c>
      <c r="F1937" s="311" t="s">
        <v>57</v>
      </c>
      <c r="G1937" s="311" t="s">
        <v>236</v>
      </c>
      <c r="H1937" s="311" t="s">
        <v>405</v>
      </c>
      <c r="I1937" s="311" t="s">
        <v>56</v>
      </c>
      <c r="J1937" s="50" t="s">
        <v>1892</v>
      </c>
      <c r="K1937" s="50" t="s">
        <v>1892</v>
      </c>
      <c r="L1937" s="50" t="s">
        <v>1893</v>
      </c>
      <c r="M1937" s="50" t="s">
        <v>4412</v>
      </c>
      <c r="N1937" s="50" t="s">
        <v>4411</v>
      </c>
      <c r="O1937" s="50" t="s">
        <v>4411</v>
      </c>
      <c r="P1937" s="50" t="s">
        <v>4411</v>
      </c>
    </row>
    <row r="1938" spans="1:16" ht="12.75" customHeight="1" x14ac:dyDescent="0.25">
      <c r="A1938" s="311">
        <v>1935</v>
      </c>
      <c r="B1938" s="311" t="s">
        <v>75</v>
      </c>
      <c r="C1938" s="311" t="s">
        <v>462</v>
      </c>
      <c r="D1938" s="311" t="s">
        <v>462</v>
      </c>
      <c r="E1938" s="337" t="s">
        <v>462</v>
      </c>
      <c r="F1938" s="311" t="s">
        <v>57</v>
      </c>
      <c r="G1938" s="311" t="s">
        <v>236</v>
      </c>
      <c r="H1938" s="311" t="s">
        <v>405</v>
      </c>
      <c r="I1938" s="311" t="s">
        <v>56</v>
      </c>
      <c r="J1938" s="50" t="s">
        <v>1892</v>
      </c>
      <c r="K1938" s="50" t="s">
        <v>1892</v>
      </c>
      <c r="L1938" s="50" t="s">
        <v>1893</v>
      </c>
      <c r="M1938" s="50" t="s">
        <v>4413</v>
      </c>
      <c r="N1938" s="50" t="s">
        <v>4411</v>
      </c>
      <c r="O1938" s="50" t="s">
        <v>4411</v>
      </c>
      <c r="P1938" s="50" t="s">
        <v>4411</v>
      </c>
    </row>
    <row r="1939" spans="1:16" ht="12.75" customHeight="1" x14ac:dyDescent="0.25">
      <c r="A1939" s="311">
        <v>1936</v>
      </c>
      <c r="B1939" s="311" t="s">
        <v>63</v>
      </c>
      <c r="C1939" s="311" t="s">
        <v>63</v>
      </c>
      <c r="D1939" s="311" t="s">
        <v>462</v>
      </c>
      <c r="E1939" s="337" t="s">
        <v>63</v>
      </c>
      <c r="F1939" s="311" t="s">
        <v>57</v>
      </c>
      <c r="G1939" s="311" t="s">
        <v>236</v>
      </c>
      <c r="H1939" s="311" t="s">
        <v>405</v>
      </c>
      <c r="I1939" s="311" t="s">
        <v>56</v>
      </c>
      <c r="J1939" s="50" t="s">
        <v>1892</v>
      </c>
      <c r="K1939" s="50" t="s">
        <v>1892</v>
      </c>
      <c r="L1939" s="50" t="s">
        <v>1893</v>
      </c>
      <c r="M1939" s="50" t="s">
        <v>4414</v>
      </c>
      <c r="N1939" s="50" t="s">
        <v>4414</v>
      </c>
      <c r="O1939" s="50" t="s">
        <v>4411</v>
      </c>
      <c r="P1939" s="50" t="s">
        <v>4414</v>
      </c>
    </row>
    <row r="1940" spans="1:16" ht="12.75" customHeight="1" x14ac:dyDescent="0.25">
      <c r="A1940" s="311">
        <v>1937</v>
      </c>
      <c r="B1940" s="311" t="s">
        <v>140</v>
      </c>
      <c r="C1940" s="311" t="s">
        <v>140</v>
      </c>
      <c r="D1940" s="311" t="s">
        <v>462</v>
      </c>
      <c r="E1940" s="337" t="s">
        <v>140</v>
      </c>
      <c r="F1940" s="311" t="s">
        <v>57</v>
      </c>
      <c r="G1940" s="311" t="s">
        <v>236</v>
      </c>
      <c r="H1940" s="311" t="s">
        <v>405</v>
      </c>
      <c r="I1940" s="311" t="s">
        <v>56</v>
      </c>
      <c r="J1940" s="50" t="s">
        <v>1892</v>
      </c>
      <c r="K1940" s="50" t="s">
        <v>1892</v>
      </c>
      <c r="L1940" s="50" t="s">
        <v>1893</v>
      </c>
      <c r="M1940" s="50" t="s">
        <v>4415</v>
      </c>
      <c r="N1940" s="50" t="s">
        <v>4415</v>
      </c>
      <c r="O1940" s="50" t="s">
        <v>4411</v>
      </c>
      <c r="P1940" s="50" t="s">
        <v>4415</v>
      </c>
    </row>
    <row r="1941" spans="1:16" ht="12.75" customHeight="1" x14ac:dyDescent="0.25">
      <c r="A1941" s="311">
        <v>1938</v>
      </c>
      <c r="B1941" s="311" t="s">
        <v>121</v>
      </c>
      <c r="C1941" s="311" t="s">
        <v>121</v>
      </c>
      <c r="D1941" s="311" t="s">
        <v>462</v>
      </c>
      <c r="E1941" s="337" t="s">
        <v>121</v>
      </c>
      <c r="F1941" s="311" t="s">
        <v>57</v>
      </c>
      <c r="G1941" s="311" t="s">
        <v>236</v>
      </c>
      <c r="H1941" s="311" t="s">
        <v>405</v>
      </c>
      <c r="I1941" s="311" t="s">
        <v>56</v>
      </c>
      <c r="J1941" s="50" t="s">
        <v>1892</v>
      </c>
      <c r="K1941" s="50" t="s">
        <v>1892</v>
      </c>
      <c r="L1941" s="50" t="s">
        <v>1893</v>
      </c>
      <c r="M1941" s="50" t="s">
        <v>4416</v>
      </c>
      <c r="N1941" s="50" t="s">
        <v>4416</v>
      </c>
      <c r="O1941" s="50" t="s">
        <v>4411</v>
      </c>
      <c r="P1941" s="50" t="s">
        <v>4416</v>
      </c>
    </row>
    <row r="1942" spans="1:16" ht="12.75" customHeight="1" x14ac:dyDescent="0.25">
      <c r="A1942" s="311">
        <v>1939</v>
      </c>
      <c r="B1942" s="311" t="s">
        <v>87</v>
      </c>
      <c r="C1942" s="311" t="s">
        <v>87</v>
      </c>
      <c r="D1942" s="311" t="s">
        <v>462</v>
      </c>
      <c r="E1942" s="337" t="s">
        <v>87</v>
      </c>
      <c r="F1942" s="311" t="s">
        <v>57</v>
      </c>
      <c r="G1942" s="311" t="s">
        <v>236</v>
      </c>
      <c r="H1942" s="311" t="s">
        <v>405</v>
      </c>
      <c r="I1942" s="311" t="s">
        <v>56</v>
      </c>
      <c r="J1942" s="50" t="s">
        <v>1892</v>
      </c>
      <c r="K1942" s="50" t="s">
        <v>1892</v>
      </c>
      <c r="L1942" s="50" t="s">
        <v>1893</v>
      </c>
      <c r="M1942" s="50" t="s">
        <v>4417</v>
      </c>
      <c r="N1942" s="50" t="s">
        <v>4417</v>
      </c>
      <c r="O1942" s="50" t="s">
        <v>4411</v>
      </c>
      <c r="P1942" s="50" t="s">
        <v>4417</v>
      </c>
    </row>
    <row r="1943" spans="1:16" ht="12.75" customHeight="1" x14ac:dyDescent="0.25">
      <c r="A1943" s="311">
        <v>1940</v>
      </c>
      <c r="B1943" s="311" t="s">
        <v>125</v>
      </c>
      <c r="C1943" s="311" t="s">
        <v>125</v>
      </c>
      <c r="D1943" s="311" t="s">
        <v>125</v>
      </c>
      <c r="E1943" s="337" t="s">
        <v>125</v>
      </c>
      <c r="F1943" s="311" t="s">
        <v>57</v>
      </c>
      <c r="G1943" s="311" t="s">
        <v>236</v>
      </c>
      <c r="H1943" s="311" t="s">
        <v>405</v>
      </c>
      <c r="I1943" s="311" t="s">
        <v>56</v>
      </c>
      <c r="J1943" s="50" t="s">
        <v>1892</v>
      </c>
      <c r="K1943" s="50" t="s">
        <v>1892</v>
      </c>
      <c r="L1943" s="50" t="s">
        <v>1893</v>
      </c>
      <c r="M1943" s="50" t="s">
        <v>4418</v>
      </c>
      <c r="N1943" s="50" t="s">
        <v>4418</v>
      </c>
      <c r="O1943" s="50" t="s">
        <v>4418</v>
      </c>
      <c r="P1943" s="50" t="s">
        <v>4418</v>
      </c>
    </row>
    <row r="1944" spans="1:16" ht="12.75" customHeight="1" x14ac:dyDescent="0.25">
      <c r="A1944" s="311">
        <v>1941</v>
      </c>
      <c r="B1944" s="311" t="s">
        <v>134</v>
      </c>
      <c r="C1944" s="311" t="s">
        <v>134</v>
      </c>
      <c r="D1944" s="311" t="s">
        <v>134</v>
      </c>
      <c r="E1944" s="337" t="s">
        <v>134</v>
      </c>
      <c r="F1944" s="311" t="s">
        <v>57</v>
      </c>
      <c r="G1944" s="311" t="s">
        <v>236</v>
      </c>
      <c r="H1944" s="311" t="s">
        <v>405</v>
      </c>
      <c r="I1944" s="311" t="s">
        <v>56</v>
      </c>
      <c r="J1944" s="50" t="s">
        <v>1892</v>
      </c>
      <c r="K1944" s="50" t="s">
        <v>1892</v>
      </c>
      <c r="L1944" s="50" t="s">
        <v>1893</v>
      </c>
      <c r="M1944" s="50" t="s">
        <v>4419</v>
      </c>
      <c r="N1944" s="50" t="s">
        <v>4419</v>
      </c>
      <c r="O1944" s="50" t="s">
        <v>4419</v>
      </c>
      <c r="P1944" s="50" t="s">
        <v>4419</v>
      </c>
    </row>
    <row r="1945" spans="1:16" ht="12.75" customHeight="1" x14ac:dyDescent="0.25">
      <c r="A1945" s="311">
        <v>1942</v>
      </c>
      <c r="B1945" s="311" t="s">
        <v>141</v>
      </c>
      <c r="C1945" s="311" t="s">
        <v>141</v>
      </c>
      <c r="D1945" s="311" t="s">
        <v>141</v>
      </c>
      <c r="E1945" s="337" t="s">
        <v>141</v>
      </c>
      <c r="F1945" s="311" t="s">
        <v>57</v>
      </c>
      <c r="G1945" s="311" t="s">
        <v>236</v>
      </c>
      <c r="H1945" s="311" t="s">
        <v>405</v>
      </c>
      <c r="I1945" s="311" t="s">
        <v>56</v>
      </c>
      <c r="J1945" s="50" t="s">
        <v>1892</v>
      </c>
      <c r="K1945" s="50" t="s">
        <v>1892</v>
      </c>
      <c r="L1945" s="50" t="s">
        <v>1893</v>
      </c>
      <c r="M1945" s="50" t="s">
        <v>4420</v>
      </c>
      <c r="N1945" s="50" t="s">
        <v>4420</v>
      </c>
      <c r="O1945" s="50" t="s">
        <v>4420</v>
      </c>
      <c r="P1945" s="50" t="s">
        <v>4420</v>
      </c>
    </row>
    <row r="1946" spans="1:16" ht="12.75" customHeight="1" x14ac:dyDescent="0.25">
      <c r="A1946" s="311">
        <v>1943</v>
      </c>
      <c r="B1946" s="311" t="s">
        <v>69</v>
      </c>
      <c r="C1946" s="311" t="s">
        <v>69</v>
      </c>
      <c r="D1946" s="311" t="s">
        <v>69</v>
      </c>
      <c r="E1946" s="337" t="s">
        <v>69</v>
      </c>
      <c r="F1946" s="311" t="s">
        <v>57</v>
      </c>
      <c r="G1946" s="311" t="s">
        <v>236</v>
      </c>
      <c r="H1946" s="311" t="s">
        <v>405</v>
      </c>
      <c r="I1946" s="311" t="s">
        <v>56</v>
      </c>
      <c r="J1946" s="50" t="s">
        <v>1892</v>
      </c>
      <c r="K1946" s="50" t="s">
        <v>1892</v>
      </c>
      <c r="L1946" s="50" t="s">
        <v>1893</v>
      </c>
      <c r="M1946" s="50" t="s">
        <v>4421</v>
      </c>
      <c r="N1946" s="50" t="s">
        <v>4421</v>
      </c>
      <c r="O1946" s="50" t="s">
        <v>4421</v>
      </c>
      <c r="P1946" s="50" t="s">
        <v>4421</v>
      </c>
    </row>
    <row r="1947" spans="1:16" ht="12.75" customHeight="1" x14ac:dyDescent="0.25">
      <c r="A1947" s="311">
        <v>1944</v>
      </c>
      <c r="B1947" s="311" t="s">
        <v>84</v>
      </c>
      <c r="C1947" s="311" t="s">
        <v>462</v>
      </c>
      <c r="D1947" s="311" t="s">
        <v>462</v>
      </c>
      <c r="E1947" s="337" t="s">
        <v>462</v>
      </c>
      <c r="F1947" s="311" t="s">
        <v>57</v>
      </c>
      <c r="G1947" s="311" t="s">
        <v>23</v>
      </c>
      <c r="H1947" s="311" t="s">
        <v>405</v>
      </c>
      <c r="I1947" s="311" t="s">
        <v>56</v>
      </c>
      <c r="J1947" s="50" t="s">
        <v>1892</v>
      </c>
      <c r="K1947" s="50" t="s">
        <v>1892</v>
      </c>
      <c r="L1947" s="50" t="s">
        <v>1893</v>
      </c>
      <c r="M1947" s="50" t="s">
        <v>4422</v>
      </c>
      <c r="N1947" s="50" t="s">
        <v>4423</v>
      </c>
      <c r="O1947" s="50" t="s">
        <v>4423</v>
      </c>
      <c r="P1947" s="50" t="s">
        <v>4423</v>
      </c>
    </row>
    <row r="1948" spans="1:16" ht="12.75" customHeight="1" x14ac:dyDescent="0.25">
      <c r="A1948" s="311">
        <v>1945</v>
      </c>
      <c r="B1948" s="311" t="s">
        <v>123</v>
      </c>
      <c r="C1948" s="311" t="s">
        <v>462</v>
      </c>
      <c r="D1948" s="311" t="s">
        <v>462</v>
      </c>
      <c r="E1948" s="337" t="s">
        <v>462</v>
      </c>
      <c r="F1948" s="311" t="s">
        <v>57</v>
      </c>
      <c r="G1948" s="311" t="s">
        <v>23</v>
      </c>
      <c r="H1948" s="311" t="s">
        <v>405</v>
      </c>
      <c r="I1948" s="311" t="s">
        <v>56</v>
      </c>
      <c r="J1948" s="50" t="s">
        <v>1892</v>
      </c>
      <c r="K1948" s="50" t="s">
        <v>1892</v>
      </c>
      <c r="L1948" s="50" t="s">
        <v>1893</v>
      </c>
      <c r="M1948" s="50" t="s">
        <v>4424</v>
      </c>
      <c r="N1948" s="50" t="s">
        <v>4423</v>
      </c>
      <c r="O1948" s="50" t="s">
        <v>4423</v>
      </c>
      <c r="P1948" s="50" t="s">
        <v>4423</v>
      </c>
    </row>
    <row r="1949" spans="1:16" ht="12.75" customHeight="1" x14ac:dyDescent="0.25">
      <c r="A1949" s="311">
        <v>1946</v>
      </c>
      <c r="B1949" s="311" t="s">
        <v>75</v>
      </c>
      <c r="C1949" s="311" t="s">
        <v>462</v>
      </c>
      <c r="D1949" s="311" t="s">
        <v>462</v>
      </c>
      <c r="E1949" s="337" t="s">
        <v>462</v>
      </c>
      <c r="F1949" s="311" t="s">
        <v>57</v>
      </c>
      <c r="G1949" s="311" t="s">
        <v>23</v>
      </c>
      <c r="H1949" s="311" t="s">
        <v>405</v>
      </c>
      <c r="I1949" s="311" t="s">
        <v>56</v>
      </c>
      <c r="J1949" s="50" t="s">
        <v>1892</v>
      </c>
      <c r="K1949" s="50" t="s">
        <v>1892</v>
      </c>
      <c r="L1949" s="50" t="s">
        <v>1893</v>
      </c>
      <c r="M1949" s="50" t="s">
        <v>4425</v>
      </c>
      <c r="N1949" s="50" t="s">
        <v>4423</v>
      </c>
      <c r="O1949" s="50" t="s">
        <v>4423</v>
      </c>
      <c r="P1949" s="50" t="s">
        <v>4423</v>
      </c>
    </row>
    <row r="1950" spans="1:16" ht="12.75" customHeight="1" x14ac:dyDescent="0.25">
      <c r="A1950" s="311">
        <v>1947</v>
      </c>
      <c r="B1950" s="311" t="s">
        <v>63</v>
      </c>
      <c r="C1950" s="311" t="s">
        <v>63</v>
      </c>
      <c r="D1950" s="311" t="s">
        <v>462</v>
      </c>
      <c r="E1950" s="337" t="s">
        <v>63</v>
      </c>
      <c r="F1950" s="311" t="s">
        <v>57</v>
      </c>
      <c r="G1950" s="311" t="s">
        <v>23</v>
      </c>
      <c r="H1950" s="311" t="s">
        <v>405</v>
      </c>
      <c r="I1950" s="311" t="s">
        <v>56</v>
      </c>
      <c r="J1950" s="50" t="s">
        <v>1892</v>
      </c>
      <c r="K1950" s="50" t="s">
        <v>1892</v>
      </c>
      <c r="L1950" s="50" t="s">
        <v>1893</v>
      </c>
      <c r="M1950" s="50" t="s">
        <v>4426</v>
      </c>
      <c r="N1950" s="50" t="s">
        <v>4426</v>
      </c>
      <c r="O1950" s="50" t="s">
        <v>4423</v>
      </c>
      <c r="P1950" s="50" t="s">
        <v>4426</v>
      </c>
    </row>
    <row r="1951" spans="1:16" ht="12.75" customHeight="1" x14ac:dyDescent="0.25">
      <c r="A1951" s="311">
        <v>1948</v>
      </c>
      <c r="B1951" s="311" t="s">
        <v>140</v>
      </c>
      <c r="C1951" s="311" t="s">
        <v>140</v>
      </c>
      <c r="D1951" s="311" t="s">
        <v>462</v>
      </c>
      <c r="E1951" s="337" t="s">
        <v>140</v>
      </c>
      <c r="F1951" s="311" t="s">
        <v>57</v>
      </c>
      <c r="G1951" s="311" t="s">
        <v>23</v>
      </c>
      <c r="H1951" s="311" t="s">
        <v>405</v>
      </c>
      <c r="I1951" s="311" t="s">
        <v>56</v>
      </c>
      <c r="J1951" s="50" t="s">
        <v>1892</v>
      </c>
      <c r="K1951" s="50" t="s">
        <v>1892</v>
      </c>
      <c r="L1951" s="50" t="s">
        <v>1893</v>
      </c>
      <c r="M1951" s="50" t="s">
        <v>4427</v>
      </c>
      <c r="N1951" s="50" t="s">
        <v>4427</v>
      </c>
      <c r="O1951" s="50" t="s">
        <v>4423</v>
      </c>
      <c r="P1951" s="50" t="s">
        <v>4427</v>
      </c>
    </row>
    <row r="1952" spans="1:16" ht="12.75" customHeight="1" x14ac:dyDescent="0.25">
      <c r="A1952" s="311">
        <v>1949</v>
      </c>
      <c r="B1952" s="311" t="s">
        <v>121</v>
      </c>
      <c r="C1952" s="311" t="s">
        <v>121</v>
      </c>
      <c r="D1952" s="311" t="s">
        <v>462</v>
      </c>
      <c r="E1952" s="337" t="s">
        <v>121</v>
      </c>
      <c r="F1952" s="311" t="s">
        <v>57</v>
      </c>
      <c r="G1952" s="311" t="s">
        <v>23</v>
      </c>
      <c r="H1952" s="311" t="s">
        <v>405</v>
      </c>
      <c r="I1952" s="311" t="s">
        <v>56</v>
      </c>
      <c r="J1952" s="50" t="s">
        <v>1892</v>
      </c>
      <c r="K1952" s="50" t="s">
        <v>1892</v>
      </c>
      <c r="L1952" s="50" t="s">
        <v>1893</v>
      </c>
      <c r="M1952" s="50" t="s">
        <v>4428</v>
      </c>
      <c r="N1952" s="50" t="s">
        <v>4428</v>
      </c>
      <c r="O1952" s="50" t="s">
        <v>4423</v>
      </c>
      <c r="P1952" s="50" t="s">
        <v>4428</v>
      </c>
    </row>
    <row r="1953" spans="1:16" ht="12.75" customHeight="1" x14ac:dyDescent="0.25">
      <c r="A1953" s="311">
        <v>1950</v>
      </c>
      <c r="B1953" s="311" t="s">
        <v>87</v>
      </c>
      <c r="C1953" s="311" t="s">
        <v>87</v>
      </c>
      <c r="D1953" s="311" t="s">
        <v>462</v>
      </c>
      <c r="E1953" s="337" t="s">
        <v>87</v>
      </c>
      <c r="F1953" s="311" t="s">
        <v>57</v>
      </c>
      <c r="G1953" s="311" t="s">
        <v>23</v>
      </c>
      <c r="H1953" s="311" t="s">
        <v>405</v>
      </c>
      <c r="I1953" s="311" t="s">
        <v>56</v>
      </c>
      <c r="J1953" s="50" t="s">
        <v>1892</v>
      </c>
      <c r="K1953" s="50" t="s">
        <v>1892</v>
      </c>
      <c r="L1953" s="50" t="s">
        <v>1893</v>
      </c>
      <c r="M1953" s="50" t="s">
        <v>4429</v>
      </c>
      <c r="N1953" s="50" t="s">
        <v>4429</v>
      </c>
      <c r="O1953" s="50" t="s">
        <v>4423</v>
      </c>
      <c r="P1953" s="50" t="s">
        <v>4429</v>
      </c>
    </row>
    <row r="1954" spans="1:16" ht="12.75" customHeight="1" x14ac:dyDescent="0.25">
      <c r="A1954" s="311">
        <v>1951</v>
      </c>
      <c r="B1954" s="311" t="s">
        <v>125</v>
      </c>
      <c r="C1954" s="311" t="s">
        <v>125</v>
      </c>
      <c r="D1954" s="311" t="s">
        <v>125</v>
      </c>
      <c r="E1954" s="337" t="s">
        <v>125</v>
      </c>
      <c r="F1954" s="311" t="s">
        <v>57</v>
      </c>
      <c r="G1954" s="311" t="s">
        <v>23</v>
      </c>
      <c r="H1954" s="311" t="s">
        <v>405</v>
      </c>
      <c r="I1954" s="311" t="s">
        <v>56</v>
      </c>
      <c r="J1954" s="50" t="s">
        <v>1892</v>
      </c>
      <c r="K1954" s="50" t="s">
        <v>1892</v>
      </c>
      <c r="L1954" s="50" t="s">
        <v>1893</v>
      </c>
      <c r="M1954" s="50" t="s">
        <v>4430</v>
      </c>
      <c r="N1954" s="50" t="s">
        <v>4430</v>
      </c>
      <c r="O1954" s="50" t="s">
        <v>4430</v>
      </c>
      <c r="P1954" s="50" t="s">
        <v>4430</v>
      </c>
    </row>
    <row r="1955" spans="1:16" ht="12.75" customHeight="1" x14ac:dyDescent="0.25">
      <c r="A1955" s="311">
        <v>1952</v>
      </c>
      <c r="B1955" s="311" t="s">
        <v>134</v>
      </c>
      <c r="C1955" s="311" t="s">
        <v>134</v>
      </c>
      <c r="D1955" s="311" t="s">
        <v>134</v>
      </c>
      <c r="E1955" s="337" t="s">
        <v>134</v>
      </c>
      <c r="F1955" s="311" t="s">
        <v>57</v>
      </c>
      <c r="G1955" s="311" t="s">
        <v>23</v>
      </c>
      <c r="H1955" s="311" t="s">
        <v>405</v>
      </c>
      <c r="I1955" s="311" t="s">
        <v>56</v>
      </c>
      <c r="J1955" s="50" t="s">
        <v>1892</v>
      </c>
      <c r="K1955" s="50" t="s">
        <v>1892</v>
      </c>
      <c r="L1955" s="50" t="s">
        <v>1893</v>
      </c>
      <c r="M1955" s="50" t="s">
        <v>4431</v>
      </c>
      <c r="N1955" s="50" t="s">
        <v>4431</v>
      </c>
      <c r="O1955" s="50" t="s">
        <v>4431</v>
      </c>
      <c r="P1955" s="50" t="s">
        <v>4431</v>
      </c>
    </row>
    <row r="1956" spans="1:16" ht="12.75" customHeight="1" x14ac:dyDescent="0.25">
      <c r="A1956" s="311">
        <v>1953</v>
      </c>
      <c r="B1956" s="311" t="s">
        <v>141</v>
      </c>
      <c r="C1956" s="311" t="s">
        <v>141</v>
      </c>
      <c r="D1956" s="311" t="s">
        <v>141</v>
      </c>
      <c r="E1956" s="337" t="s">
        <v>141</v>
      </c>
      <c r="F1956" s="311" t="s">
        <v>57</v>
      </c>
      <c r="G1956" s="311" t="s">
        <v>23</v>
      </c>
      <c r="H1956" s="311" t="s">
        <v>405</v>
      </c>
      <c r="I1956" s="311" t="s">
        <v>56</v>
      </c>
      <c r="J1956" s="50" t="s">
        <v>1892</v>
      </c>
      <c r="K1956" s="50" t="s">
        <v>1892</v>
      </c>
      <c r="L1956" s="50" t="s">
        <v>1893</v>
      </c>
      <c r="M1956" s="50" t="s">
        <v>4432</v>
      </c>
      <c r="N1956" s="50" t="s">
        <v>4432</v>
      </c>
      <c r="O1956" s="50" t="s">
        <v>4432</v>
      </c>
      <c r="P1956" s="50" t="s">
        <v>4432</v>
      </c>
    </row>
    <row r="1957" spans="1:16" ht="12.75" customHeight="1" x14ac:dyDescent="0.25">
      <c r="A1957" s="311">
        <v>1954</v>
      </c>
      <c r="B1957" s="311" t="s">
        <v>69</v>
      </c>
      <c r="C1957" s="311" t="s">
        <v>69</v>
      </c>
      <c r="D1957" s="311" t="s">
        <v>69</v>
      </c>
      <c r="E1957" s="337" t="s">
        <v>69</v>
      </c>
      <c r="F1957" s="311" t="s">
        <v>57</v>
      </c>
      <c r="G1957" s="311" t="s">
        <v>23</v>
      </c>
      <c r="H1957" s="311" t="s">
        <v>405</v>
      </c>
      <c r="I1957" s="311" t="s">
        <v>56</v>
      </c>
      <c r="J1957" s="50" t="s">
        <v>1892</v>
      </c>
      <c r="K1957" s="50" t="s">
        <v>1892</v>
      </c>
      <c r="L1957" s="50" t="s">
        <v>1893</v>
      </c>
      <c r="M1957" s="50" t="s">
        <v>4433</v>
      </c>
      <c r="N1957" s="50" t="s">
        <v>4433</v>
      </c>
      <c r="O1957" s="50" t="s">
        <v>4433</v>
      </c>
      <c r="P1957" s="50" t="s">
        <v>4433</v>
      </c>
    </row>
    <row r="1958" spans="1:16" ht="12.75" customHeight="1" x14ac:dyDescent="0.25">
      <c r="A1958" s="311">
        <v>1955</v>
      </c>
      <c r="B1958" s="311" t="s">
        <v>84</v>
      </c>
      <c r="C1958" s="311" t="s">
        <v>462</v>
      </c>
      <c r="D1958" s="311" t="s">
        <v>462</v>
      </c>
      <c r="E1958" s="337" t="s">
        <v>462</v>
      </c>
      <c r="F1958" s="311" t="s">
        <v>57</v>
      </c>
      <c r="G1958" s="311" t="s">
        <v>237</v>
      </c>
      <c r="H1958" s="311" t="s">
        <v>405</v>
      </c>
      <c r="I1958" s="311" t="s">
        <v>56</v>
      </c>
      <c r="J1958" s="50" t="s">
        <v>1892</v>
      </c>
      <c r="K1958" s="50" t="s">
        <v>1892</v>
      </c>
      <c r="L1958" s="50" t="s">
        <v>1893</v>
      </c>
      <c r="M1958" s="50" t="s">
        <v>4434</v>
      </c>
      <c r="N1958" s="50" t="s">
        <v>4435</v>
      </c>
      <c r="O1958" s="50" t="s">
        <v>4435</v>
      </c>
      <c r="P1958" s="50" t="s">
        <v>4435</v>
      </c>
    </row>
    <row r="1959" spans="1:16" ht="12.75" customHeight="1" x14ac:dyDescent="0.25">
      <c r="A1959" s="311">
        <v>1956</v>
      </c>
      <c r="B1959" s="311" t="s">
        <v>123</v>
      </c>
      <c r="C1959" s="311" t="s">
        <v>462</v>
      </c>
      <c r="D1959" s="311" t="s">
        <v>462</v>
      </c>
      <c r="E1959" s="337" t="s">
        <v>462</v>
      </c>
      <c r="F1959" s="311" t="s">
        <v>57</v>
      </c>
      <c r="G1959" s="311" t="s">
        <v>237</v>
      </c>
      <c r="H1959" s="311" t="s">
        <v>405</v>
      </c>
      <c r="I1959" s="311" t="s">
        <v>56</v>
      </c>
      <c r="J1959" s="50" t="s">
        <v>1892</v>
      </c>
      <c r="K1959" s="50" t="s">
        <v>1892</v>
      </c>
      <c r="L1959" s="50" t="s">
        <v>1893</v>
      </c>
      <c r="M1959" s="50" t="s">
        <v>4436</v>
      </c>
      <c r="N1959" s="50" t="s">
        <v>4435</v>
      </c>
      <c r="O1959" s="50" t="s">
        <v>4435</v>
      </c>
      <c r="P1959" s="50" t="s">
        <v>4435</v>
      </c>
    </row>
    <row r="1960" spans="1:16" ht="12.75" customHeight="1" x14ac:dyDescent="0.25">
      <c r="A1960" s="311">
        <v>1957</v>
      </c>
      <c r="B1960" s="311" t="s">
        <v>75</v>
      </c>
      <c r="C1960" s="311" t="s">
        <v>462</v>
      </c>
      <c r="D1960" s="311" t="s">
        <v>462</v>
      </c>
      <c r="E1960" s="337" t="s">
        <v>462</v>
      </c>
      <c r="F1960" s="311" t="s">
        <v>57</v>
      </c>
      <c r="G1960" s="311" t="s">
        <v>237</v>
      </c>
      <c r="H1960" s="311" t="s">
        <v>405</v>
      </c>
      <c r="I1960" s="311" t="s">
        <v>56</v>
      </c>
      <c r="J1960" s="50" t="s">
        <v>1892</v>
      </c>
      <c r="K1960" s="50" t="s">
        <v>1892</v>
      </c>
      <c r="L1960" s="50" t="s">
        <v>1893</v>
      </c>
      <c r="M1960" s="50" t="s">
        <v>4437</v>
      </c>
      <c r="N1960" s="50" t="s">
        <v>4435</v>
      </c>
      <c r="O1960" s="50" t="s">
        <v>4435</v>
      </c>
      <c r="P1960" s="50" t="s">
        <v>4435</v>
      </c>
    </row>
    <row r="1961" spans="1:16" ht="12.75" customHeight="1" x14ac:dyDescent="0.25">
      <c r="A1961" s="311">
        <v>1958</v>
      </c>
      <c r="B1961" s="311" t="s">
        <v>63</v>
      </c>
      <c r="C1961" s="311" t="s">
        <v>63</v>
      </c>
      <c r="D1961" s="311" t="s">
        <v>462</v>
      </c>
      <c r="E1961" s="337" t="s">
        <v>63</v>
      </c>
      <c r="F1961" s="311" t="s">
        <v>57</v>
      </c>
      <c r="G1961" s="311" t="s">
        <v>237</v>
      </c>
      <c r="H1961" s="311" t="s">
        <v>405</v>
      </c>
      <c r="I1961" s="311" t="s">
        <v>56</v>
      </c>
      <c r="J1961" s="50" t="s">
        <v>1892</v>
      </c>
      <c r="K1961" s="50" t="s">
        <v>1892</v>
      </c>
      <c r="L1961" s="50" t="s">
        <v>1893</v>
      </c>
      <c r="M1961" s="50" t="s">
        <v>4438</v>
      </c>
      <c r="N1961" s="50" t="s">
        <v>4438</v>
      </c>
      <c r="O1961" s="50" t="s">
        <v>4435</v>
      </c>
      <c r="P1961" s="50" t="s">
        <v>4438</v>
      </c>
    </row>
    <row r="1962" spans="1:16" ht="12.75" customHeight="1" x14ac:dyDescent="0.25">
      <c r="A1962" s="311">
        <v>1959</v>
      </c>
      <c r="B1962" s="311" t="s">
        <v>140</v>
      </c>
      <c r="C1962" s="311" t="s">
        <v>140</v>
      </c>
      <c r="D1962" s="311" t="s">
        <v>462</v>
      </c>
      <c r="E1962" s="337" t="s">
        <v>140</v>
      </c>
      <c r="F1962" s="311" t="s">
        <v>57</v>
      </c>
      <c r="G1962" s="311" t="s">
        <v>237</v>
      </c>
      <c r="H1962" s="311" t="s">
        <v>405</v>
      </c>
      <c r="I1962" s="311" t="s">
        <v>56</v>
      </c>
      <c r="J1962" s="50" t="s">
        <v>1892</v>
      </c>
      <c r="K1962" s="50" t="s">
        <v>1892</v>
      </c>
      <c r="L1962" s="50" t="s">
        <v>1893</v>
      </c>
      <c r="M1962" s="50" t="s">
        <v>4439</v>
      </c>
      <c r="N1962" s="50" t="s">
        <v>4439</v>
      </c>
      <c r="O1962" s="50" t="s">
        <v>4435</v>
      </c>
      <c r="P1962" s="50" t="s">
        <v>4439</v>
      </c>
    </row>
    <row r="1963" spans="1:16" ht="12.75" customHeight="1" x14ac:dyDescent="0.25">
      <c r="A1963" s="311">
        <v>1960</v>
      </c>
      <c r="B1963" s="311" t="s">
        <v>121</v>
      </c>
      <c r="C1963" s="311" t="s">
        <v>121</v>
      </c>
      <c r="D1963" s="311" t="s">
        <v>462</v>
      </c>
      <c r="E1963" s="337" t="s">
        <v>121</v>
      </c>
      <c r="F1963" s="311" t="s">
        <v>57</v>
      </c>
      <c r="G1963" s="311" t="s">
        <v>237</v>
      </c>
      <c r="H1963" s="311" t="s">
        <v>405</v>
      </c>
      <c r="I1963" s="311" t="s">
        <v>56</v>
      </c>
      <c r="J1963" s="50" t="s">
        <v>1892</v>
      </c>
      <c r="K1963" s="50" t="s">
        <v>1892</v>
      </c>
      <c r="L1963" s="50" t="s">
        <v>1893</v>
      </c>
      <c r="M1963" s="50" t="s">
        <v>4440</v>
      </c>
      <c r="N1963" s="50" t="s">
        <v>4440</v>
      </c>
      <c r="O1963" s="50" t="s">
        <v>4435</v>
      </c>
      <c r="P1963" s="50" t="s">
        <v>4440</v>
      </c>
    </row>
    <row r="1964" spans="1:16" ht="12.75" customHeight="1" x14ac:dyDescent="0.25">
      <c r="A1964" s="311">
        <v>1961</v>
      </c>
      <c r="B1964" s="311" t="s">
        <v>87</v>
      </c>
      <c r="C1964" s="311" t="s">
        <v>87</v>
      </c>
      <c r="D1964" s="311" t="s">
        <v>462</v>
      </c>
      <c r="E1964" s="337" t="s">
        <v>87</v>
      </c>
      <c r="F1964" s="311" t="s">
        <v>57</v>
      </c>
      <c r="G1964" s="311" t="s">
        <v>237</v>
      </c>
      <c r="H1964" s="311" t="s">
        <v>405</v>
      </c>
      <c r="I1964" s="311" t="s">
        <v>56</v>
      </c>
      <c r="J1964" s="50" t="s">
        <v>1892</v>
      </c>
      <c r="K1964" s="50" t="s">
        <v>1892</v>
      </c>
      <c r="L1964" s="50" t="s">
        <v>1893</v>
      </c>
      <c r="M1964" s="50" t="s">
        <v>4441</v>
      </c>
      <c r="N1964" s="50" t="s">
        <v>4441</v>
      </c>
      <c r="O1964" s="50" t="s">
        <v>4435</v>
      </c>
      <c r="P1964" s="50" t="s">
        <v>4441</v>
      </c>
    </row>
    <row r="1965" spans="1:16" ht="12.75" customHeight="1" x14ac:dyDescent="0.25">
      <c r="A1965" s="311">
        <v>1962</v>
      </c>
      <c r="B1965" s="311" t="s">
        <v>125</v>
      </c>
      <c r="C1965" s="311" t="s">
        <v>125</v>
      </c>
      <c r="D1965" s="311" t="s">
        <v>125</v>
      </c>
      <c r="E1965" s="337" t="s">
        <v>125</v>
      </c>
      <c r="F1965" s="311" t="s">
        <v>57</v>
      </c>
      <c r="G1965" s="311" t="s">
        <v>237</v>
      </c>
      <c r="H1965" s="311" t="s">
        <v>405</v>
      </c>
      <c r="I1965" s="311" t="s">
        <v>56</v>
      </c>
      <c r="J1965" s="50" t="s">
        <v>1892</v>
      </c>
      <c r="K1965" s="50" t="s">
        <v>1892</v>
      </c>
      <c r="L1965" s="50" t="s">
        <v>1893</v>
      </c>
      <c r="M1965" s="50" t="s">
        <v>4442</v>
      </c>
      <c r="N1965" s="50" t="s">
        <v>4442</v>
      </c>
      <c r="O1965" s="50" t="s">
        <v>4442</v>
      </c>
      <c r="P1965" s="50" t="s">
        <v>4442</v>
      </c>
    </row>
    <row r="1966" spans="1:16" ht="12.75" customHeight="1" x14ac:dyDescent="0.25">
      <c r="A1966" s="311">
        <v>1963</v>
      </c>
      <c r="B1966" s="311" t="s">
        <v>134</v>
      </c>
      <c r="C1966" s="311" t="s">
        <v>134</v>
      </c>
      <c r="D1966" s="311" t="s">
        <v>134</v>
      </c>
      <c r="E1966" s="337" t="s">
        <v>134</v>
      </c>
      <c r="F1966" s="311" t="s">
        <v>57</v>
      </c>
      <c r="G1966" s="311" t="s">
        <v>237</v>
      </c>
      <c r="H1966" s="311" t="s">
        <v>405</v>
      </c>
      <c r="I1966" s="311" t="s">
        <v>56</v>
      </c>
      <c r="J1966" s="50" t="s">
        <v>1892</v>
      </c>
      <c r="K1966" s="50" t="s">
        <v>1892</v>
      </c>
      <c r="L1966" s="50" t="s">
        <v>1893</v>
      </c>
      <c r="M1966" s="50" t="s">
        <v>4443</v>
      </c>
      <c r="N1966" s="50" t="s">
        <v>4443</v>
      </c>
      <c r="O1966" s="50" t="s">
        <v>4443</v>
      </c>
      <c r="P1966" s="50" t="s">
        <v>4443</v>
      </c>
    </row>
    <row r="1967" spans="1:16" ht="12.75" customHeight="1" x14ac:dyDescent="0.25">
      <c r="A1967" s="311">
        <v>1964</v>
      </c>
      <c r="B1967" s="311" t="s">
        <v>141</v>
      </c>
      <c r="C1967" s="311" t="s">
        <v>141</v>
      </c>
      <c r="D1967" s="311" t="s">
        <v>141</v>
      </c>
      <c r="E1967" s="337" t="s">
        <v>141</v>
      </c>
      <c r="F1967" s="311" t="s">
        <v>57</v>
      </c>
      <c r="G1967" s="311" t="s">
        <v>237</v>
      </c>
      <c r="H1967" s="311" t="s">
        <v>405</v>
      </c>
      <c r="I1967" s="311" t="s">
        <v>56</v>
      </c>
      <c r="J1967" s="50" t="s">
        <v>1892</v>
      </c>
      <c r="K1967" s="50" t="s">
        <v>1892</v>
      </c>
      <c r="L1967" s="50" t="s">
        <v>1893</v>
      </c>
      <c r="M1967" s="50" t="s">
        <v>4444</v>
      </c>
      <c r="N1967" s="50" t="s">
        <v>4444</v>
      </c>
      <c r="O1967" s="50" t="s">
        <v>4444</v>
      </c>
      <c r="P1967" s="50" t="s">
        <v>4444</v>
      </c>
    </row>
    <row r="1968" spans="1:16" ht="12.75" customHeight="1" x14ac:dyDescent="0.25">
      <c r="A1968" s="311">
        <v>1965</v>
      </c>
      <c r="B1968" s="311" t="s">
        <v>69</v>
      </c>
      <c r="C1968" s="311" t="s">
        <v>69</v>
      </c>
      <c r="D1968" s="311" t="s">
        <v>69</v>
      </c>
      <c r="E1968" s="337" t="s">
        <v>69</v>
      </c>
      <c r="F1968" s="311" t="s">
        <v>57</v>
      </c>
      <c r="G1968" s="311" t="s">
        <v>237</v>
      </c>
      <c r="H1968" s="311" t="s">
        <v>405</v>
      </c>
      <c r="I1968" s="311" t="s">
        <v>56</v>
      </c>
      <c r="J1968" s="50" t="s">
        <v>1892</v>
      </c>
      <c r="K1968" s="50" t="s">
        <v>1892</v>
      </c>
      <c r="L1968" s="50" t="s">
        <v>1893</v>
      </c>
      <c r="M1968" s="50" t="s">
        <v>4445</v>
      </c>
      <c r="N1968" s="50" t="s">
        <v>4445</v>
      </c>
      <c r="O1968" s="50" t="s">
        <v>4445</v>
      </c>
      <c r="P1968" s="50" t="s">
        <v>4445</v>
      </c>
    </row>
    <row r="1969" spans="1:16" ht="12.75" customHeight="1" x14ac:dyDescent="0.25">
      <c r="A1969" s="311">
        <v>1966</v>
      </c>
      <c r="B1969" s="311" t="s">
        <v>72</v>
      </c>
      <c r="C1969" s="311" t="s">
        <v>462</v>
      </c>
      <c r="D1969" s="311" t="s">
        <v>462</v>
      </c>
      <c r="E1969" s="337" t="s">
        <v>462</v>
      </c>
      <c r="F1969" s="311" t="s">
        <v>264</v>
      </c>
      <c r="G1969" s="311" t="s">
        <v>236</v>
      </c>
      <c r="H1969" s="311" t="s">
        <v>352</v>
      </c>
      <c r="I1969" s="311" t="s">
        <v>56</v>
      </c>
      <c r="J1969" s="50" t="s">
        <v>1892</v>
      </c>
      <c r="K1969" s="50" t="s">
        <v>1892</v>
      </c>
      <c r="L1969" s="50" t="s">
        <v>1893</v>
      </c>
      <c r="M1969" s="50" t="s">
        <v>4446</v>
      </c>
      <c r="N1969" s="50" t="s">
        <v>4447</v>
      </c>
      <c r="O1969" s="50" t="s">
        <v>4447</v>
      </c>
      <c r="P1969" s="50" t="s">
        <v>4447</v>
      </c>
    </row>
    <row r="1970" spans="1:16" ht="12.75" customHeight="1" x14ac:dyDescent="0.25">
      <c r="A1970" s="311">
        <v>1967</v>
      </c>
      <c r="B1970" s="311" t="s">
        <v>99</v>
      </c>
      <c r="C1970" s="311" t="s">
        <v>462</v>
      </c>
      <c r="D1970" s="311" t="s">
        <v>462</v>
      </c>
      <c r="E1970" s="337" t="s">
        <v>462</v>
      </c>
      <c r="F1970" s="311" t="s">
        <v>264</v>
      </c>
      <c r="G1970" s="311" t="s">
        <v>236</v>
      </c>
      <c r="H1970" s="311" t="s">
        <v>352</v>
      </c>
      <c r="I1970" s="311" t="s">
        <v>56</v>
      </c>
      <c r="J1970" s="50" t="s">
        <v>1892</v>
      </c>
      <c r="K1970" s="50" t="s">
        <v>1892</v>
      </c>
      <c r="L1970" s="50" t="s">
        <v>1893</v>
      </c>
      <c r="M1970" s="50" t="s">
        <v>4448</v>
      </c>
      <c r="N1970" s="50" t="s">
        <v>4447</v>
      </c>
      <c r="O1970" s="50" t="s">
        <v>4447</v>
      </c>
      <c r="P1970" s="50" t="s">
        <v>4447</v>
      </c>
    </row>
    <row r="1971" spans="1:16" ht="12.75" customHeight="1" x14ac:dyDescent="0.25">
      <c r="A1971" s="311">
        <v>1968</v>
      </c>
      <c r="B1971" s="311" t="s">
        <v>60</v>
      </c>
      <c r="C1971" s="311" t="s">
        <v>462</v>
      </c>
      <c r="D1971" s="311" t="s">
        <v>462</v>
      </c>
      <c r="E1971" s="337" t="s">
        <v>462</v>
      </c>
      <c r="F1971" s="311" t="s">
        <v>264</v>
      </c>
      <c r="G1971" s="311" t="s">
        <v>236</v>
      </c>
      <c r="H1971" s="311" t="s">
        <v>352</v>
      </c>
      <c r="I1971" s="311" t="s">
        <v>56</v>
      </c>
      <c r="J1971" s="50" t="s">
        <v>1892</v>
      </c>
      <c r="K1971" s="50" t="s">
        <v>1892</v>
      </c>
      <c r="L1971" s="50" t="s">
        <v>1893</v>
      </c>
      <c r="M1971" s="50" t="s">
        <v>4449</v>
      </c>
      <c r="N1971" s="50" t="s">
        <v>4447</v>
      </c>
      <c r="O1971" s="50" t="s">
        <v>4447</v>
      </c>
      <c r="P1971" s="50" t="s">
        <v>4447</v>
      </c>
    </row>
    <row r="1972" spans="1:16" ht="12.75" customHeight="1" x14ac:dyDescent="0.25">
      <c r="A1972" s="311">
        <v>1969</v>
      </c>
      <c r="B1972" s="311" t="s">
        <v>94</v>
      </c>
      <c r="C1972" s="311" t="s">
        <v>462</v>
      </c>
      <c r="D1972" s="311" t="s">
        <v>462</v>
      </c>
      <c r="E1972" s="337" t="s">
        <v>462</v>
      </c>
      <c r="F1972" s="311" t="s">
        <v>264</v>
      </c>
      <c r="G1972" s="311" t="s">
        <v>236</v>
      </c>
      <c r="H1972" s="311" t="s">
        <v>352</v>
      </c>
      <c r="I1972" s="311" t="s">
        <v>56</v>
      </c>
      <c r="J1972" s="50" t="s">
        <v>1892</v>
      </c>
      <c r="K1972" s="50" t="s">
        <v>1892</v>
      </c>
      <c r="L1972" s="50" t="s">
        <v>1893</v>
      </c>
      <c r="M1972" s="50" t="s">
        <v>4450</v>
      </c>
      <c r="N1972" s="50" t="s">
        <v>4447</v>
      </c>
      <c r="O1972" s="50" t="s">
        <v>4447</v>
      </c>
      <c r="P1972" s="50" t="s">
        <v>4447</v>
      </c>
    </row>
    <row r="1973" spans="1:16" ht="12.75" customHeight="1" x14ac:dyDescent="0.25">
      <c r="A1973" s="311">
        <v>1970</v>
      </c>
      <c r="B1973" s="311" t="s">
        <v>84</v>
      </c>
      <c r="C1973" s="311" t="s">
        <v>462</v>
      </c>
      <c r="D1973" s="311" t="s">
        <v>462</v>
      </c>
      <c r="E1973" s="337" t="s">
        <v>462</v>
      </c>
      <c r="F1973" s="311" t="s">
        <v>264</v>
      </c>
      <c r="G1973" s="311" t="s">
        <v>236</v>
      </c>
      <c r="H1973" s="311" t="s">
        <v>352</v>
      </c>
      <c r="I1973" s="311" t="s">
        <v>56</v>
      </c>
      <c r="J1973" s="50" t="s">
        <v>1892</v>
      </c>
      <c r="K1973" s="50" t="s">
        <v>1892</v>
      </c>
      <c r="L1973" s="50" t="s">
        <v>1893</v>
      </c>
      <c r="M1973" s="50" t="s">
        <v>4451</v>
      </c>
      <c r="N1973" s="50" t="s">
        <v>4447</v>
      </c>
      <c r="O1973" s="50" t="s">
        <v>4447</v>
      </c>
      <c r="P1973" s="50" t="s">
        <v>4447</v>
      </c>
    </row>
    <row r="1974" spans="1:16" ht="12.75" customHeight="1" x14ac:dyDescent="0.25">
      <c r="A1974" s="311">
        <v>1971</v>
      </c>
      <c r="B1974" s="311" t="s">
        <v>123</v>
      </c>
      <c r="C1974" s="311" t="s">
        <v>462</v>
      </c>
      <c r="D1974" s="311" t="s">
        <v>462</v>
      </c>
      <c r="E1974" s="337" t="s">
        <v>462</v>
      </c>
      <c r="F1974" s="311" t="s">
        <v>264</v>
      </c>
      <c r="G1974" s="311" t="s">
        <v>236</v>
      </c>
      <c r="H1974" s="311" t="s">
        <v>352</v>
      </c>
      <c r="I1974" s="311" t="s">
        <v>56</v>
      </c>
      <c r="J1974" s="50" t="s">
        <v>1892</v>
      </c>
      <c r="K1974" s="50" t="s">
        <v>1892</v>
      </c>
      <c r="L1974" s="50" t="s">
        <v>1893</v>
      </c>
      <c r="M1974" s="50" t="s">
        <v>4452</v>
      </c>
      <c r="N1974" s="50" t="s">
        <v>4447</v>
      </c>
      <c r="O1974" s="50" t="s">
        <v>4447</v>
      </c>
      <c r="P1974" s="50" t="s">
        <v>4447</v>
      </c>
    </row>
    <row r="1975" spans="1:16" ht="12.75" customHeight="1" x14ac:dyDescent="0.25">
      <c r="A1975" s="311">
        <v>1972</v>
      </c>
      <c r="B1975" s="311" t="s">
        <v>75</v>
      </c>
      <c r="C1975" s="311" t="s">
        <v>462</v>
      </c>
      <c r="D1975" s="311" t="s">
        <v>462</v>
      </c>
      <c r="E1975" s="337" t="s">
        <v>462</v>
      </c>
      <c r="F1975" s="311" t="s">
        <v>264</v>
      </c>
      <c r="G1975" s="311" t="s">
        <v>236</v>
      </c>
      <c r="H1975" s="311" t="s">
        <v>352</v>
      </c>
      <c r="I1975" s="311" t="s">
        <v>56</v>
      </c>
      <c r="J1975" s="50" t="s">
        <v>1892</v>
      </c>
      <c r="K1975" s="50" t="s">
        <v>1892</v>
      </c>
      <c r="L1975" s="50" t="s">
        <v>1893</v>
      </c>
      <c r="M1975" s="50" t="s">
        <v>4453</v>
      </c>
      <c r="N1975" s="50" t="s">
        <v>4447</v>
      </c>
      <c r="O1975" s="50" t="s">
        <v>4447</v>
      </c>
      <c r="P1975" s="50" t="s">
        <v>4447</v>
      </c>
    </row>
    <row r="1976" spans="1:16" ht="12.75" customHeight="1" x14ac:dyDescent="0.25">
      <c r="A1976" s="311">
        <v>1973</v>
      </c>
      <c r="B1976" s="311" t="s">
        <v>72</v>
      </c>
      <c r="C1976" s="311" t="s">
        <v>462</v>
      </c>
      <c r="D1976" s="311" t="s">
        <v>462</v>
      </c>
      <c r="E1976" s="337" t="s">
        <v>462</v>
      </c>
      <c r="F1976" s="311" t="s">
        <v>264</v>
      </c>
      <c r="G1976" s="311" t="s">
        <v>23</v>
      </c>
      <c r="H1976" s="311" t="s">
        <v>352</v>
      </c>
      <c r="I1976" s="311" t="s">
        <v>56</v>
      </c>
      <c r="J1976" s="50" t="s">
        <v>1892</v>
      </c>
      <c r="K1976" s="50" t="s">
        <v>1892</v>
      </c>
      <c r="L1976" s="50" t="s">
        <v>1893</v>
      </c>
      <c r="M1976" s="50" t="s">
        <v>4454</v>
      </c>
      <c r="N1976" s="50" t="s">
        <v>4455</v>
      </c>
      <c r="O1976" s="50" t="s">
        <v>4455</v>
      </c>
      <c r="P1976" s="50" t="s">
        <v>4455</v>
      </c>
    </row>
    <row r="1977" spans="1:16" ht="12.75" customHeight="1" x14ac:dyDescent="0.25">
      <c r="A1977" s="311">
        <v>1974</v>
      </c>
      <c r="B1977" s="311" t="s">
        <v>99</v>
      </c>
      <c r="C1977" s="311" t="s">
        <v>462</v>
      </c>
      <c r="D1977" s="311" t="s">
        <v>462</v>
      </c>
      <c r="E1977" s="337" t="s">
        <v>462</v>
      </c>
      <c r="F1977" s="311" t="s">
        <v>264</v>
      </c>
      <c r="G1977" s="311" t="s">
        <v>23</v>
      </c>
      <c r="H1977" s="311" t="s">
        <v>352</v>
      </c>
      <c r="I1977" s="311" t="s">
        <v>56</v>
      </c>
      <c r="J1977" s="50" t="s">
        <v>1892</v>
      </c>
      <c r="K1977" s="50" t="s">
        <v>1892</v>
      </c>
      <c r="L1977" s="50" t="s">
        <v>1893</v>
      </c>
      <c r="M1977" s="50" t="s">
        <v>4456</v>
      </c>
      <c r="N1977" s="50" t="s">
        <v>4455</v>
      </c>
      <c r="O1977" s="50" t="s">
        <v>4455</v>
      </c>
      <c r="P1977" s="50" t="s">
        <v>4455</v>
      </c>
    </row>
    <row r="1978" spans="1:16" ht="12.75" customHeight="1" x14ac:dyDescent="0.25">
      <c r="A1978" s="311">
        <v>1975</v>
      </c>
      <c r="B1978" s="311" t="s">
        <v>60</v>
      </c>
      <c r="C1978" s="311" t="s">
        <v>462</v>
      </c>
      <c r="D1978" s="311" t="s">
        <v>462</v>
      </c>
      <c r="E1978" s="337" t="s">
        <v>462</v>
      </c>
      <c r="F1978" s="311" t="s">
        <v>264</v>
      </c>
      <c r="G1978" s="311" t="s">
        <v>23</v>
      </c>
      <c r="H1978" s="311" t="s">
        <v>352</v>
      </c>
      <c r="I1978" s="311" t="s">
        <v>56</v>
      </c>
      <c r="J1978" s="50" t="s">
        <v>1892</v>
      </c>
      <c r="K1978" s="50" t="s">
        <v>1892</v>
      </c>
      <c r="L1978" s="50" t="s">
        <v>1893</v>
      </c>
      <c r="M1978" s="50" t="s">
        <v>4457</v>
      </c>
      <c r="N1978" s="50" t="s">
        <v>4455</v>
      </c>
      <c r="O1978" s="50" t="s">
        <v>4455</v>
      </c>
      <c r="P1978" s="50" t="s">
        <v>4455</v>
      </c>
    </row>
    <row r="1979" spans="1:16" ht="12.75" customHeight="1" x14ac:dyDescent="0.25">
      <c r="A1979" s="311">
        <v>1976</v>
      </c>
      <c r="B1979" s="311" t="s">
        <v>94</v>
      </c>
      <c r="C1979" s="311" t="s">
        <v>462</v>
      </c>
      <c r="D1979" s="311" t="s">
        <v>462</v>
      </c>
      <c r="E1979" s="337" t="s">
        <v>462</v>
      </c>
      <c r="F1979" s="311" t="s">
        <v>264</v>
      </c>
      <c r="G1979" s="311" t="s">
        <v>23</v>
      </c>
      <c r="H1979" s="311" t="s">
        <v>352</v>
      </c>
      <c r="I1979" s="311" t="s">
        <v>56</v>
      </c>
      <c r="J1979" s="50" t="s">
        <v>1892</v>
      </c>
      <c r="K1979" s="50" t="s">
        <v>1892</v>
      </c>
      <c r="L1979" s="50" t="s">
        <v>1893</v>
      </c>
      <c r="M1979" s="50" t="s">
        <v>4458</v>
      </c>
      <c r="N1979" s="50" t="s">
        <v>4455</v>
      </c>
      <c r="O1979" s="50" t="s">
        <v>4455</v>
      </c>
      <c r="P1979" s="50" t="s">
        <v>4455</v>
      </c>
    </row>
    <row r="1980" spans="1:16" ht="12.75" customHeight="1" x14ac:dyDescent="0.25">
      <c r="A1980" s="311">
        <v>1977</v>
      </c>
      <c r="B1980" s="311" t="s">
        <v>84</v>
      </c>
      <c r="C1980" s="311" t="s">
        <v>462</v>
      </c>
      <c r="D1980" s="311" t="s">
        <v>462</v>
      </c>
      <c r="E1980" s="337" t="s">
        <v>462</v>
      </c>
      <c r="F1980" s="311" t="s">
        <v>264</v>
      </c>
      <c r="G1980" s="311" t="s">
        <v>23</v>
      </c>
      <c r="H1980" s="311" t="s">
        <v>352</v>
      </c>
      <c r="I1980" s="311" t="s">
        <v>56</v>
      </c>
      <c r="J1980" s="50" t="s">
        <v>1892</v>
      </c>
      <c r="K1980" s="50" t="s">
        <v>1892</v>
      </c>
      <c r="L1980" s="50" t="s">
        <v>1893</v>
      </c>
      <c r="M1980" s="50" t="s">
        <v>4459</v>
      </c>
      <c r="N1980" s="50" t="s">
        <v>4455</v>
      </c>
      <c r="O1980" s="50" t="s">
        <v>4455</v>
      </c>
      <c r="P1980" s="50" t="s">
        <v>4455</v>
      </c>
    </row>
    <row r="1981" spans="1:16" ht="12.75" customHeight="1" x14ac:dyDescent="0.25">
      <c r="A1981" s="311">
        <v>1978</v>
      </c>
      <c r="B1981" s="311" t="s">
        <v>123</v>
      </c>
      <c r="C1981" s="311" t="s">
        <v>462</v>
      </c>
      <c r="D1981" s="311" t="s">
        <v>462</v>
      </c>
      <c r="E1981" s="337" t="s">
        <v>462</v>
      </c>
      <c r="F1981" s="311" t="s">
        <v>264</v>
      </c>
      <c r="G1981" s="311" t="s">
        <v>23</v>
      </c>
      <c r="H1981" s="311" t="s">
        <v>352</v>
      </c>
      <c r="I1981" s="311" t="s">
        <v>56</v>
      </c>
      <c r="J1981" s="50" t="s">
        <v>1892</v>
      </c>
      <c r="K1981" s="50" t="s">
        <v>1892</v>
      </c>
      <c r="L1981" s="50" t="s">
        <v>1893</v>
      </c>
      <c r="M1981" s="50" t="s">
        <v>4460</v>
      </c>
      <c r="N1981" s="50" t="s">
        <v>4455</v>
      </c>
      <c r="O1981" s="50" t="s">
        <v>4455</v>
      </c>
      <c r="P1981" s="50" t="s">
        <v>4455</v>
      </c>
    </row>
    <row r="1982" spans="1:16" ht="12.75" customHeight="1" x14ac:dyDescent="0.25">
      <c r="A1982" s="311">
        <v>1979</v>
      </c>
      <c r="B1982" s="311" t="s">
        <v>75</v>
      </c>
      <c r="C1982" s="311" t="s">
        <v>462</v>
      </c>
      <c r="D1982" s="311" t="s">
        <v>462</v>
      </c>
      <c r="E1982" s="337" t="s">
        <v>462</v>
      </c>
      <c r="F1982" s="311" t="s">
        <v>264</v>
      </c>
      <c r="G1982" s="311" t="s">
        <v>23</v>
      </c>
      <c r="H1982" s="311" t="s">
        <v>352</v>
      </c>
      <c r="I1982" s="311" t="s">
        <v>56</v>
      </c>
      <c r="J1982" s="50" t="s">
        <v>1892</v>
      </c>
      <c r="K1982" s="50" t="s">
        <v>1892</v>
      </c>
      <c r="L1982" s="50" t="s">
        <v>1893</v>
      </c>
      <c r="M1982" s="50" t="s">
        <v>4461</v>
      </c>
      <c r="N1982" s="50" t="s">
        <v>4455</v>
      </c>
      <c r="O1982" s="50" t="s">
        <v>4455</v>
      </c>
      <c r="P1982" s="50" t="s">
        <v>4455</v>
      </c>
    </row>
    <row r="1983" spans="1:16" ht="12.75" customHeight="1" x14ac:dyDescent="0.25">
      <c r="A1983" s="311">
        <v>1980</v>
      </c>
      <c r="B1983" s="311" t="s">
        <v>72</v>
      </c>
      <c r="C1983" s="311" t="s">
        <v>462</v>
      </c>
      <c r="D1983" s="311" t="s">
        <v>462</v>
      </c>
      <c r="E1983" s="337" t="s">
        <v>462</v>
      </c>
      <c r="F1983" s="311" t="s">
        <v>264</v>
      </c>
      <c r="G1983" s="311" t="s">
        <v>237</v>
      </c>
      <c r="H1983" s="311" t="s">
        <v>352</v>
      </c>
      <c r="I1983" s="311" t="s">
        <v>56</v>
      </c>
      <c r="J1983" s="50" t="s">
        <v>1892</v>
      </c>
      <c r="K1983" s="50" t="s">
        <v>1892</v>
      </c>
      <c r="L1983" s="50" t="s">
        <v>1893</v>
      </c>
      <c r="M1983" s="50" t="s">
        <v>4462</v>
      </c>
      <c r="N1983" s="50" t="s">
        <v>4463</v>
      </c>
      <c r="O1983" s="50" t="s">
        <v>4463</v>
      </c>
      <c r="P1983" s="50" t="s">
        <v>4463</v>
      </c>
    </row>
    <row r="1984" spans="1:16" ht="12.75" customHeight="1" x14ac:dyDescent="0.25">
      <c r="A1984" s="311">
        <v>1981</v>
      </c>
      <c r="B1984" s="311" t="s">
        <v>99</v>
      </c>
      <c r="C1984" s="311" t="s">
        <v>462</v>
      </c>
      <c r="D1984" s="311" t="s">
        <v>462</v>
      </c>
      <c r="E1984" s="337" t="s">
        <v>462</v>
      </c>
      <c r="F1984" s="311" t="s">
        <v>264</v>
      </c>
      <c r="G1984" s="311" t="s">
        <v>237</v>
      </c>
      <c r="H1984" s="311" t="s">
        <v>352</v>
      </c>
      <c r="I1984" s="311" t="s">
        <v>56</v>
      </c>
      <c r="J1984" s="50" t="s">
        <v>1892</v>
      </c>
      <c r="K1984" s="50" t="s">
        <v>1892</v>
      </c>
      <c r="L1984" s="50" t="s">
        <v>1893</v>
      </c>
      <c r="M1984" s="50" t="s">
        <v>4464</v>
      </c>
      <c r="N1984" s="50" t="s">
        <v>4463</v>
      </c>
      <c r="O1984" s="50" t="s">
        <v>4463</v>
      </c>
      <c r="P1984" s="50" t="s">
        <v>4463</v>
      </c>
    </row>
    <row r="1985" spans="1:16" ht="12.75" customHeight="1" x14ac:dyDescent="0.25">
      <c r="A1985" s="311">
        <v>1982</v>
      </c>
      <c r="B1985" s="311" t="s">
        <v>60</v>
      </c>
      <c r="C1985" s="311" t="s">
        <v>462</v>
      </c>
      <c r="D1985" s="311" t="s">
        <v>462</v>
      </c>
      <c r="E1985" s="337" t="s">
        <v>462</v>
      </c>
      <c r="F1985" s="311" t="s">
        <v>264</v>
      </c>
      <c r="G1985" s="311" t="s">
        <v>237</v>
      </c>
      <c r="H1985" s="311" t="s">
        <v>352</v>
      </c>
      <c r="I1985" s="311" t="s">
        <v>56</v>
      </c>
      <c r="J1985" s="50" t="s">
        <v>1892</v>
      </c>
      <c r="K1985" s="50" t="s">
        <v>1892</v>
      </c>
      <c r="L1985" s="50" t="s">
        <v>1893</v>
      </c>
      <c r="M1985" s="50" t="s">
        <v>4465</v>
      </c>
      <c r="N1985" s="50" t="s">
        <v>4463</v>
      </c>
      <c r="O1985" s="50" t="s">
        <v>4463</v>
      </c>
      <c r="P1985" s="50" t="s">
        <v>4463</v>
      </c>
    </row>
    <row r="1986" spans="1:16" ht="12.75" customHeight="1" x14ac:dyDescent="0.25">
      <c r="A1986" s="311">
        <v>1983</v>
      </c>
      <c r="B1986" s="311" t="s">
        <v>94</v>
      </c>
      <c r="C1986" s="311" t="s">
        <v>462</v>
      </c>
      <c r="D1986" s="311" t="s">
        <v>462</v>
      </c>
      <c r="E1986" s="337" t="s">
        <v>462</v>
      </c>
      <c r="F1986" s="311" t="s">
        <v>264</v>
      </c>
      <c r="G1986" s="311" t="s">
        <v>237</v>
      </c>
      <c r="H1986" s="311" t="s">
        <v>352</v>
      </c>
      <c r="I1986" s="311" t="s">
        <v>56</v>
      </c>
      <c r="J1986" s="50" t="s">
        <v>1892</v>
      </c>
      <c r="K1986" s="50" t="s">
        <v>1892</v>
      </c>
      <c r="L1986" s="50" t="s">
        <v>1893</v>
      </c>
      <c r="M1986" s="50" t="s">
        <v>4466</v>
      </c>
      <c r="N1986" s="50" t="s">
        <v>4463</v>
      </c>
      <c r="O1986" s="50" t="s">
        <v>4463</v>
      </c>
      <c r="P1986" s="50" t="s">
        <v>4463</v>
      </c>
    </row>
    <row r="1987" spans="1:16" ht="12.75" customHeight="1" x14ac:dyDescent="0.25">
      <c r="A1987" s="311">
        <v>1984</v>
      </c>
      <c r="B1987" s="311" t="s">
        <v>84</v>
      </c>
      <c r="C1987" s="311" t="s">
        <v>462</v>
      </c>
      <c r="D1987" s="311" t="s">
        <v>462</v>
      </c>
      <c r="E1987" s="337" t="s">
        <v>462</v>
      </c>
      <c r="F1987" s="311" t="s">
        <v>264</v>
      </c>
      <c r="G1987" s="311" t="s">
        <v>237</v>
      </c>
      <c r="H1987" s="311" t="s">
        <v>352</v>
      </c>
      <c r="I1987" s="311" t="s">
        <v>56</v>
      </c>
      <c r="J1987" s="50" t="s">
        <v>1892</v>
      </c>
      <c r="K1987" s="50" t="s">
        <v>1892</v>
      </c>
      <c r="L1987" s="50" t="s">
        <v>1893</v>
      </c>
      <c r="M1987" s="50" t="s">
        <v>4467</v>
      </c>
      <c r="N1987" s="50" t="s">
        <v>4463</v>
      </c>
      <c r="O1987" s="50" t="s">
        <v>4463</v>
      </c>
      <c r="P1987" s="50" t="s">
        <v>4463</v>
      </c>
    </row>
    <row r="1988" spans="1:16" ht="12.75" customHeight="1" x14ac:dyDescent="0.25">
      <c r="A1988" s="311">
        <v>1985</v>
      </c>
      <c r="B1988" s="311" t="s">
        <v>123</v>
      </c>
      <c r="C1988" s="311" t="s">
        <v>462</v>
      </c>
      <c r="D1988" s="311" t="s">
        <v>462</v>
      </c>
      <c r="E1988" s="337" t="s">
        <v>462</v>
      </c>
      <c r="F1988" s="311" t="s">
        <v>264</v>
      </c>
      <c r="G1988" s="311" t="s">
        <v>237</v>
      </c>
      <c r="H1988" s="311" t="s">
        <v>352</v>
      </c>
      <c r="I1988" s="311" t="s">
        <v>56</v>
      </c>
      <c r="J1988" s="50" t="s">
        <v>1892</v>
      </c>
      <c r="K1988" s="50" t="s">
        <v>1892</v>
      </c>
      <c r="L1988" s="50" t="s">
        <v>1893</v>
      </c>
      <c r="M1988" s="50" t="s">
        <v>4468</v>
      </c>
      <c r="N1988" s="50" t="s">
        <v>4463</v>
      </c>
      <c r="O1988" s="50" t="s">
        <v>4463</v>
      </c>
      <c r="P1988" s="50" t="s">
        <v>4463</v>
      </c>
    </row>
    <row r="1989" spans="1:16" ht="12.75" customHeight="1" x14ac:dyDescent="0.25">
      <c r="A1989" s="311">
        <v>1986</v>
      </c>
      <c r="B1989" s="311" t="s">
        <v>75</v>
      </c>
      <c r="C1989" s="311" t="s">
        <v>462</v>
      </c>
      <c r="D1989" s="311" t="s">
        <v>462</v>
      </c>
      <c r="E1989" s="337" t="s">
        <v>462</v>
      </c>
      <c r="F1989" s="311" t="s">
        <v>264</v>
      </c>
      <c r="G1989" s="311" t="s">
        <v>237</v>
      </c>
      <c r="H1989" s="311" t="s">
        <v>352</v>
      </c>
      <c r="I1989" s="311" t="s">
        <v>56</v>
      </c>
      <c r="J1989" s="50" t="s">
        <v>1892</v>
      </c>
      <c r="K1989" s="50" t="s">
        <v>1892</v>
      </c>
      <c r="L1989" s="50" t="s">
        <v>1893</v>
      </c>
      <c r="M1989" s="50" t="s">
        <v>4469</v>
      </c>
      <c r="N1989" s="50" t="s">
        <v>4463</v>
      </c>
      <c r="O1989" s="50" t="s">
        <v>4463</v>
      </c>
      <c r="P1989" s="50" t="s">
        <v>4463</v>
      </c>
    </row>
    <row r="1990" spans="1:16" ht="12.75" customHeight="1" x14ac:dyDescent="0.25">
      <c r="A1990" s="311">
        <v>1987</v>
      </c>
      <c r="B1990" s="311" t="s">
        <v>72</v>
      </c>
      <c r="C1990" s="311" t="s">
        <v>462</v>
      </c>
      <c r="D1990" s="311" t="s">
        <v>462</v>
      </c>
      <c r="E1990" s="337" t="s">
        <v>462</v>
      </c>
      <c r="F1990" s="311" t="s">
        <v>242</v>
      </c>
      <c r="G1990" s="311" t="s">
        <v>236</v>
      </c>
      <c r="H1990" s="311" t="s">
        <v>352</v>
      </c>
      <c r="I1990" s="311" t="s">
        <v>56</v>
      </c>
      <c r="J1990" s="50" t="s">
        <v>1892</v>
      </c>
      <c r="K1990" s="50" t="s">
        <v>1892</v>
      </c>
      <c r="L1990" s="50" t="s">
        <v>1893</v>
      </c>
      <c r="M1990" s="50" t="s">
        <v>4470</v>
      </c>
      <c r="N1990" s="50" t="s">
        <v>4471</v>
      </c>
      <c r="O1990" s="50" t="s">
        <v>4471</v>
      </c>
      <c r="P1990" s="50" t="s">
        <v>4471</v>
      </c>
    </row>
    <row r="1991" spans="1:16" ht="12.75" customHeight="1" x14ac:dyDescent="0.25">
      <c r="A1991" s="311">
        <v>1988</v>
      </c>
      <c r="B1991" s="311" t="s">
        <v>99</v>
      </c>
      <c r="C1991" s="311" t="s">
        <v>462</v>
      </c>
      <c r="D1991" s="311" t="s">
        <v>462</v>
      </c>
      <c r="E1991" s="337" t="s">
        <v>462</v>
      </c>
      <c r="F1991" s="311" t="s">
        <v>242</v>
      </c>
      <c r="G1991" s="311" t="s">
        <v>236</v>
      </c>
      <c r="H1991" s="311" t="s">
        <v>352</v>
      </c>
      <c r="I1991" s="311" t="s">
        <v>56</v>
      </c>
      <c r="J1991" s="50" t="s">
        <v>1892</v>
      </c>
      <c r="K1991" s="50" t="s">
        <v>1892</v>
      </c>
      <c r="L1991" s="50" t="s">
        <v>1893</v>
      </c>
      <c r="M1991" s="50" t="s">
        <v>4472</v>
      </c>
      <c r="N1991" s="50" t="s">
        <v>4471</v>
      </c>
      <c r="O1991" s="50" t="s">
        <v>4471</v>
      </c>
      <c r="P1991" s="50" t="s">
        <v>4471</v>
      </c>
    </row>
    <row r="1992" spans="1:16" ht="12.75" customHeight="1" x14ac:dyDescent="0.25">
      <c r="A1992" s="311">
        <v>1989</v>
      </c>
      <c r="B1992" s="311" t="s">
        <v>60</v>
      </c>
      <c r="C1992" s="311" t="s">
        <v>462</v>
      </c>
      <c r="D1992" s="311" t="s">
        <v>462</v>
      </c>
      <c r="E1992" s="337" t="s">
        <v>462</v>
      </c>
      <c r="F1992" s="311" t="s">
        <v>242</v>
      </c>
      <c r="G1992" s="311" t="s">
        <v>236</v>
      </c>
      <c r="H1992" s="311" t="s">
        <v>352</v>
      </c>
      <c r="I1992" s="311" t="s">
        <v>56</v>
      </c>
      <c r="J1992" s="50" t="s">
        <v>1892</v>
      </c>
      <c r="K1992" s="50" t="s">
        <v>1892</v>
      </c>
      <c r="L1992" s="50" t="s">
        <v>1893</v>
      </c>
      <c r="M1992" s="50" t="s">
        <v>4473</v>
      </c>
      <c r="N1992" s="50" t="s">
        <v>4471</v>
      </c>
      <c r="O1992" s="50" t="s">
        <v>4471</v>
      </c>
      <c r="P1992" s="50" t="s">
        <v>4471</v>
      </c>
    </row>
    <row r="1993" spans="1:16" ht="12.75" customHeight="1" x14ac:dyDescent="0.25">
      <c r="A1993" s="311">
        <v>1990</v>
      </c>
      <c r="B1993" s="311" t="s">
        <v>94</v>
      </c>
      <c r="C1993" s="311" t="s">
        <v>462</v>
      </c>
      <c r="D1993" s="311" t="s">
        <v>462</v>
      </c>
      <c r="E1993" s="337" t="s">
        <v>462</v>
      </c>
      <c r="F1993" s="311" t="s">
        <v>242</v>
      </c>
      <c r="G1993" s="311" t="s">
        <v>236</v>
      </c>
      <c r="H1993" s="311" t="s">
        <v>352</v>
      </c>
      <c r="I1993" s="311" t="s">
        <v>56</v>
      </c>
      <c r="J1993" s="50" t="s">
        <v>1892</v>
      </c>
      <c r="K1993" s="50" t="s">
        <v>1892</v>
      </c>
      <c r="L1993" s="50" t="s">
        <v>1893</v>
      </c>
      <c r="M1993" s="50" t="s">
        <v>4474</v>
      </c>
      <c r="N1993" s="50" t="s">
        <v>4471</v>
      </c>
      <c r="O1993" s="50" t="s">
        <v>4471</v>
      </c>
      <c r="P1993" s="50" t="s">
        <v>4471</v>
      </c>
    </row>
    <row r="1994" spans="1:16" ht="12.75" customHeight="1" x14ac:dyDescent="0.25">
      <c r="A1994" s="311">
        <v>1991</v>
      </c>
      <c r="B1994" s="311" t="s">
        <v>84</v>
      </c>
      <c r="C1994" s="311" t="s">
        <v>462</v>
      </c>
      <c r="D1994" s="311" t="s">
        <v>462</v>
      </c>
      <c r="E1994" s="337" t="s">
        <v>462</v>
      </c>
      <c r="F1994" s="311" t="s">
        <v>242</v>
      </c>
      <c r="G1994" s="311" t="s">
        <v>236</v>
      </c>
      <c r="H1994" s="311" t="s">
        <v>352</v>
      </c>
      <c r="I1994" s="311" t="s">
        <v>56</v>
      </c>
      <c r="J1994" s="50" t="s">
        <v>1892</v>
      </c>
      <c r="K1994" s="50" t="s">
        <v>1892</v>
      </c>
      <c r="L1994" s="50" t="s">
        <v>1893</v>
      </c>
      <c r="M1994" s="50" t="s">
        <v>4475</v>
      </c>
      <c r="N1994" s="50" t="s">
        <v>4471</v>
      </c>
      <c r="O1994" s="50" t="s">
        <v>4471</v>
      </c>
      <c r="P1994" s="50" t="s">
        <v>4471</v>
      </c>
    </row>
    <row r="1995" spans="1:16" ht="12.75" customHeight="1" x14ac:dyDescent="0.25">
      <c r="A1995" s="311">
        <v>1992</v>
      </c>
      <c r="B1995" s="311" t="s">
        <v>123</v>
      </c>
      <c r="C1995" s="311" t="s">
        <v>462</v>
      </c>
      <c r="D1995" s="311" t="s">
        <v>462</v>
      </c>
      <c r="E1995" s="337" t="s">
        <v>462</v>
      </c>
      <c r="F1995" s="311" t="s">
        <v>242</v>
      </c>
      <c r="G1995" s="311" t="s">
        <v>236</v>
      </c>
      <c r="H1995" s="311" t="s">
        <v>352</v>
      </c>
      <c r="I1995" s="311" t="s">
        <v>56</v>
      </c>
      <c r="J1995" s="50" t="s">
        <v>1892</v>
      </c>
      <c r="K1995" s="50" t="s">
        <v>1892</v>
      </c>
      <c r="L1995" s="50" t="s">
        <v>1893</v>
      </c>
      <c r="M1995" s="50" t="s">
        <v>4476</v>
      </c>
      <c r="N1995" s="50" t="s">
        <v>4471</v>
      </c>
      <c r="O1995" s="50" t="s">
        <v>4471</v>
      </c>
      <c r="P1995" s="50" t="s">
        <v>4471</v>
      </c>
    </row>
    <row r="1996" spans="1:16" ht="12.75" customHeight="1" x14ac:dyDescent="0.25">
      <c r="A1996" s="311">
        <v>1993</v>
      </c>
      <c r="B1996" s="311" t="s">
        <v>75</v>
      </c>
      <c r="C1996" s="311" t="s">
        <v>462</v>
      </c>
      <c r="D1996" s="311" t="s">
        <v>462</v>
      </c>
      <c r="E1996" s="337" t="s">
        <v>462</v>
      </c>
      <c r="F1996" s="311" t="s">
        <v>242</v>
      </c>
      <c r="G1996" s="311" t="s">
        <v>236</v>
      </c>
      <c r="H1996" s="311" t="s">
        <v>352</v>
      </c>
      <c r="I1996" s="311" t="s">
        <v>56</v>
      </c>
      <c r="J1996" s="50" t="s">
        <v>1892</v>
      </c>
      <c r="K1996" s="50" t="s">
        <v>1892</v>
      </c>
      <c r="L1996" s="50" t="s">
        <v>1893</v>
      </c>
      <c r="M1996" s="50" t="s">
        <v>4477</v>
      </c>
      <c r="N1996" s="50" t="s">
        <v>4471</v>
      </c>
      <c r="O1996" s="50" t="s">
        <v>4471</v>
      </c>
      <c r="P1996" s="50" t="s">
        <v>4471</v>
      </c>
    </row>
    <row r="1997" spans="1:16" ht="12.75" customHeight="1" x14ac:dyDescent="0.25">
      <c r="A1997" s="311">
        <v>1994</v>
      </c>
      <c r="B1997" s="311" t="s">
        <v>72</v>
      </c>
      <c r="C1997" s="311" t="s">
        <v>462</v>
      </c>
      <c r="D1997" s="311" t="s">
        <v>462</v>
      </c>
      <c r="E1997" s="337" t="s">
        <v>462</v>
      </c>
      <c r="F1997" s="311" t="s">
        <v>242</v>
      </c>
      <c r="G1997" s="311" t="s">
        <v>23</v>
      </c>
      <c r="H1997" s="311" t="s">
        <v>352</v>
      </c>
      <c r="I1997" s="311" t="s">
        <v>56</v>
      </c>
      <c r="J1997" s="50" t="s">
        <v>1892</v>
      </c>
      <c r="K1997" s="50" t="s">
        <v>1892</v>
      </c>
      <c r="L1997" s="50" t="s">
        <v>1893</v>
      </c>
      <c r="M1997" s="50" t="s">
        <v>4478</v>
      </c>
      <c r="N1997" s="50" t="s">
        <v>4479</v>
      </c>
      <c r="O1997" s="50" t="s">
        <v>4479</v>
      </c>
      <c r="P1997" s="50" t="s">
        <v>4479</v>
      </c>
    </row>
    <row r="1998" spans="1:16" ht="12.75" customHeight="1" x14ac:dyDescent="0.25">
      <c r="A1998" s="311">
        <v>1995</v>
      </c>
      <c r="B1998" s="311" t="s">
        <v>99</v>
      </c>
      <c r="C1998" s="311" t="s">
        <v>462</v>
      </c>
      <c r="D1998" s="311" t="s">
        <v>462</v>
      </c>
      <c r="E1998" s="337" t="s">
        <v>462</v>
      </c>
      <c r="F1998" s="311" t="s">
        <v>242</v>
      </c>
      <c r="G1998" s="311" t="s">
        <v>23</v>
      </c>
      <c r="H1998" s="311" t="s">
        <v>352</v>
      </c>
      <c r="I1998" s="311" t="s">
        <v>56</v>
      </c>
      <c r="J1998" s="50" t="s">
        <v>1892</v>
      </c>
      <c r="K1998" s="50" t="s">
        <v>1892</v>
      </c>
      <c r="L1998" s="50" t="s">
        <v>1893</v>
      </c>
      <c r="M1998" s="50" t="s">
        <v>4480</v>
      </c>
      <c r="N1998" s="50" t="s">
        <v>4479</v>
      </c>
      <c r="O1998" s="50" t="s">
        <v>4479</v>
      </c>
      <c r="P1998" s="50" t="s">
        <v>4479</v>
      </c>
    </row>
    <row r="1999" spans="1:16" ht="12.75" customHeight="1" x14ac:dyDescent="0.25">
      <c r="A1999" s="311">
        <v>1996</v>
      </c>
      <c r="B1999" s="311" t="s">
        <v>60</v>
      </c>
      <c r="C1999" s="311" t="s">
        <v>462</v>
      </c>
      <c r="D1999" s="311" t="s">
        <v>462</v>
      </c>
      <c r="E1999" s="337" t="s">
        <v>462</v>
      </c>
      <c r="F1999" s="311" t="s">
        <v>242</v>
      </c>
      <c r="G1999" s="311" t="s">
        <v>23</v>
      </c>
      <c r="H1999" s="311" t="s">
        <v>352</v>
      </c>
      <c r="I1999" s="311" t="s">
        <v>56</v>
      </c>
      <c r="J1999" s="50" t="s">
        <v>1892</v>
      </c>
      <c r="K1999" s="50" t="s">
        <v>1892</v>
      </c>
      <c r="L1999" s="50" t="s">
        <v>1893</v>
      </c>
      <c r="M1999" s="50" t="s">
        <v>4481</v>
      </c>
      <c r="N1999" s="50" t="s">
        <v>4479</v>
      </c>
      <c r="O1999" s="50" t="s">
        <v>4479</v>
      </c>
      <c r="P1999" s="50" t="s">
        <v>4479</v>
      </c>
    </row>
    <row r="2000" spans="1:16" ht="12.75" customHeight="1" x14ac:dyDescent="0.25">
      <c r="A2000" s="311">
        <v>1997</v>
      </c>
      <c r="B2000" s="311" t="s">
        <v>94</v>
      </c>
      <c r="C2000" s="311" t="s">
        <v>462</v>
      </c>
      <c r="D2000" s="311" t="s">
        <v>462</v>
      </c>
      <c r="E2000" s="337" t="s">
        <v>462</v>
      </c>
      <c r="F2000" s="311" t="s">
        <v>242</v>
      </c>
      <c r="G2000" s="311" t="s">
        <v>23</v>
      </c>
      <c r="H2000" s="311" t="s">
        <v>352</v>
      </c>
      <c r="I2000" s="311" t="s">
        <v>56</v>
      </c>
      <c r="J2000" s="50" t="s">
        <v>1892</v>
      </c>
      <c r="K2000" s="50" t="s">
        <v>1892</v>
      </c>
      <c r="L2000" s="50" t="s">
        <v>1893</v>
      </c>
      <c r="M2000" s="50" t="s">
        <v>4482</v>
      </c>
      <c r="N2000" s="50" t="s">
        <v>4479</v>
      </c>
      <c r="O2000" s="50" t="s">
        <v>4479</v>
      </c>
      <c r="P2000" s="50" t="s">
        <v>4479</v>
      </c>
    </row>
    <row r="2001" spans="1:16" ht="12.75" customHeight="1" x14ac:dyDescent="0.25">
      <c r="A2001" s="311">
        <v>1998</v>
      </c>
      <c r="B2001" s="311" t="s">
        <v>84</v>
      </c>
      <c r="C2001" s="311" t="s">
        <v>462</v>
      </c>
      <c r="D2001" s="311" t="s">
        <v>462</v>
      </c>
      <c r="E2001" s="337" t="s">
        <v>462</v>
      </c>
      <c r="F2001" s="311" t="s">
        <v>242</v>
      </c>
      <c r="G2001" s="311" t="s">
        <v>23</v>
      </c>
      <c r="H2001" s="311" t="s">
        <v>352</v>
      </c>
      <c r="I2001" s="311" t="s">
        <v>56</v>
      </c>
      <c r="J2001" s="50" t="s">
        <v>1892</v>
      </c>
      <c r="K2001" s="50" t="s">
        <v>1892</v>
      </c>
      <c r="L2001" s="50" t="s">
        <v>1893</v>
      </c>
      <c r="M2001" s="50" t="s">
        <v>4483</v>
      </c>
      <c r="N2001" s="50" t="s">
        <v>4479</v>
      </c>
      <c r="O2001" s="50" t="s">
        <v>4479</v>
      </c>
      <c r="P2001" s="50" t="s">
        <v>4479</v>
      </c>
    </row>
    <row r="2002" spans="1:16" ht="12.75" customHeight="1" x14ac:dyDescent="0.25">
      <c r="A2002" s="311">
        <v>1999</v>
      </c>
      <c r="B2002" s="311" t="s">
        <v>123</v>
      </c>
      <c r="C2002" s="311" t="s">
        <v>462</v>
      </c>
      <c r="D2002" s="311" t="s">
        <v>462</v>
      </c>
      <c r="E2002" s="337" t="s">
        <v>462</v>
      </c>
      <c r="F2002" s="311" t="s">
        <v>242</v>
      </c>
      <c r="G2002" s="311" t="s">
        <v>23</v>
      </c>
      <c r="H2002" s="311" t="s">
        <v>352</v>
      </c>
      <c r="I2002" s="311" t="s">
        <v>56</v>
      </c>
      <c r="J2002" s="50" t="s">
        <v>1892</v>
      </c>
      <c r="K2002" s="50" t="s">
        <v>1892</v>
      </c>
      <c r="L2002" s="50" t="s">
        <v>1893</v>
      </c>
      <c r="M2002" s="50" t="s">
        <v>4484</v>
      </c>
      <c r="N2002" s="50" t="s">
        <v>4479</v>
      </c>
      <c r="O2002" s="50" t="s">
        <v>4479</v>
      </c>
      <c r="P2002" s="50" t="s">
        <v>4479</v>
      </c>
    </row>
    <row r="2003" spans="1:16" ht="12.75" customHeight="1" x14ac:dyDescent="0.25">
      <c r="A2003" s="311">
        <v>2000</v>
      </c>
      <c r="B2003" s="311" t="s">
        <v>75</v>
      </c>
      <c r="C2003" s="311" t="s">
        <v>462</v>
      </c>
      <c r="D2003" s="311" t="s">
        <v>462</v>
      </c>
      <c r="E2003" s="337" t="s">
        <v>462</v>
      </c>
      <c r="F2003" s="311" t="s">
        <v>242</v>
      </c>
      <c r="G2003" s="311" t="s">
        <v>23</v>
      </c>
      <c r="H2003" s="311" t="s">
        <v>352</v>
      </c>
      <c r="I2003" s="311" t="s">
        <v>56</v>
      </c>
      <c r="J2003" s="50" t="s">
        <v>1892</v>
      </c>
      <c r="K2003" s="50" t="s">
        <v>1892</v>
      </c>
      <c r="L2003" s="50" t="s">
        <v>1893</v>
      </c>
      <c r="M2003" s="50" t="s">
        <v>4485</v>
      </c>
      <c r="N2003" s="50" t="s">
        <v>4479</v>
      </c>
      <c r="O2003" s="50" t="s">
        <v>4479</v>
      </c>
      <c r="P2003" s="50" t="s">
        <v>4479</v>
      </c>
    </row>
    <row r="2004" spans="1:16" ht="12.75" customHeight="1" x14ac:dyDescent="0.25">
      <c r="A2004" s="311">
        <v>2001</v>
      </c>
      <c r="B2004" s="311" t="s">
        <v>72</v>
      </c>
      <c r="C2004" s="311" t="s">
        <v>462</v>
      </c>
      <c r="D2004" s="311" t="s">
        <v>462</v>
      </c>
      <c r="E2004" s="337" t="s">
        <v>462</v>
      </c>
      <c r="F2004" s="311" t="s">
        <v>242</v>
      </c>
      <c r="G2004" s="311" t="s">
        <v>237</v>
      </c>
      <c r="H2004" s="311" t="s">
        <v>352</v>
      </c>
      <c r="I2004" s="311" t="s">
        <v>56</v>
      </c>
      <c r="J2004" s="50" t="s">
        <v>1892</v>
      </c>
      <c r="K2004" s="50" t="s">
        <v>1892</v>
      </c>
      <c r="L2004" s="50" t="s">
        <v>1893</v>
      </c>
      <c r="M2004" s="50" t="s">
        <v>4486</v>
      </c>
      <c r="N2004" s="50" t="s">
        <v>4487</v>
      </c>
      <c r="O2004" s="50" t="s">
        <v>4487</v>
      </c>
      <c r="P2004" s="50" t="s">
        <v>4487</v>
      </c>
    </row>
    <row r="2005" spans="1:16" ht="12.75" customHeight="1" x14ac:dyDescent="0.25">
      <c r="A2005" s="311">
        <v>2002</v>
      </c>
      <c r="B2005" s="311" t="s">
        <v>99</v>
      </c>
      <c r="C2005" s="311" t="s">
        <v>462</v>
      </c>
      <c r="D2005" s="311" t="s">
        <v>462</v>
      </c>
      <c r="E2005" s="337" t="s">
        <v>462</v>
      </c>
      <c r="F2005" s="311" t="s">
        <v>242</v>
      </c>
      <c r="G2005" s="311" t="s">
        <v>237</v>
      </c>
      <c r="H2005" s="311" t="s">
        <v>352</v>
      </c>
      <c r="I2005" s="311" t="s">
        <v>56</v>
      </c>
      <c r="J2005" s="50" t="s">
        <v>1892</v>
      </c>
      <c r="K2005" s="50" t="s">
        <v>1892</v>
      </c>
      <c r="L2005" s="50" t="s">
        <v>1893</v>
      </c>
      <c r="M2005" s="50" t="s">
        <v>4488</v>
      </c>
      <c r="N2005" s="50" t="s">
        <v>4487</v>
      </c>
      <c r="O2005" s="50" t="s">
        <v>4487</v>
      </c>
      <c r="P2005" s="50" t="s">
        <v>4487</v>
      </c>
    </row>
    <row r="2006" spans="1:16" ht="12.75" customHeight="1" x14ac:dyDescent="0.25">
      <c r="A2006" s="311">
        <v>2003</v>
      </c>
      <c r="B2006" s="311" t="s">
        <v>60</v>
      </c>
      <c r="C2006" s="311" t="s">
        <v>462</v>
      </c>
      <c r="D2006" s="311" t="s">
        <v>462</v>
      </c>
      <c r="E2006" s="337" t="s">
        <v>462</v>
      </c>
      <c r="F2006" s="311" t="s">
        <v>242</v>
      </c>
      <c r="G2006" s="311" t="s">
        <v>237</v>
      </c>
      <c r="H2006" s="311" t="s">
        <v>352</v>
      </c>
      <c r="I2006" s="311" t="s">
        <v>56</v>
      </c>
      <c r="J2006" s="50" t="s">
        <v>1892</v>
      </c>
      <c r="K2006" s="50" t="s">
        <v>1892</v>
      </c>
      <c r="L2006" s="50" t="s">
        <v>1893</v>
      </c>
      <c r="M2006" s="50" t="s">
        <v>4489</v>
      </c>
      <c r="N2006" s="50" t="s">
        <v>4487</v>
      </c>
      <c r="O2006" s="50" t="s">
        <v>4487</v>
      </c>
      <c r="P2006" s="50" t="s">
        <v>4487</v>
      </c>
    </row>
    <row r="2007" spans="1:16" ht="12.75" customHeight="1" x14ac:dyDescent="0.25">
      <c r="A2007" s="311">
        <v>2004</v>
      </c>
      <c r="B2007" s="311" t="s">
        <v>94</v>
      </c>
      <c r="C2007" s="311" t="s">
        <v>462</v>
      </c>
      <c r="D2007" s="311" t="s">
        <v>462</v>
      </c>
      <c r="E2007" s="337" t="s">
        <v>462</v>
      </c>
      <c r="F2007" s="311" t="s">
        <v>242</v>
      </c>
      <c r="G2007" s="311" t="s">
        <v>237</v>
      </c>
      <c r="H2007" s="311" t="s">
        <v>352</v>
      </c>
      <c r="I2007" s="311" t="s">
        <v>56</v>
      </c>
      <c r="J2007" s="50" t="s">
        <v>1892</v>
      </c>
      <c r="K2007" s="50" t="s">
        <v>1892</v>
      </c>
      <c r="L2007" s="50" t="s">
        <v>1893</v>
      </c>
      <c r="M2007" s="50" t="s">
        <v>4490</v>
      </c>
      <c r="N2007" s="50" t="s">
        <v>4487</v>
      </c>
      <c r="O2007" s="50" t="s">
        <v>4487</v>
      </c>
      <c r="P2007" s="50" t="s">
        <v>4487</v>
      </c>
    </row>
    <row r="2008" spans="1:16" ht="12.75" customHeight="1" x14ac:dyDescent="0.25">
      <c r="A2008" s="311">
        <v>2005</v>
      </c>
      <c r="B2008" s="311" t="s">
        <v>84</v>
      </c>
      <c r="C2008" s="311" t="s">
        <v>462</v>
      </c>
      <c r="D2008" s="311" t="s">
        <v>462</v>
      </c>
      <c r="E2008" s="337" t="s">
        <v>462</v>
      </c>
      <c r="F2008" s="311" t="s">
        <v>242</v>
      </c>
      <c r="G2008" s="311" t="s">
        <v>237</v>
      </c>
      <c r="H2008" s="311" t="s">
        <v>352</v>
      </c>
      <c r="I2008" s="311" t="s">
        <v>56</v>
      </c>
      <c r="J2008" s="50" t="s">
        <v>1892</v>
      </c>
      <c r="K2008" s="50" t="s">
        <v>1892</v>
      </c>
      <c r="L2008" s="50" t="s">
        <v>1893</v>
      </c>
      <c r="M2008" s="50" t="s">
        <v>4491</v>
      </c>
      <c r="N2008" s="50" t="s">
        <v>4487</v>
      </c>
      <c r="O2008" s="50" t="s">
        <v>4487</v>
      </c>
      <c r="P2008" s="50" t="s">
        <v>4487</v>
      </c>
    </row>
    <row r="2009" spans="1:16" ht="12.75" customHeight="1" x14ac:dyDescent="0.25">
      <c r="A2009" s="311">
        <v>2006</v>
      </c>
      <c r="B2009" s="311" t="s">
        <v>123</v>
      </c>
      <c r="C2009" s="311" t="s">
        <v>462</v>
      </c>
      <c r="D2009" s="311" t="s">
        <v>462</v>
      </c>
      <c r="E2009" s="337" t="s">
        <v>462</v>
      </c>
      <c r="F2009" s="311" t="s">
        <v>242</v>
      </c>
      <c r="G2009" s="311" t="s">
        <v>237</v>
      </c>
      <c r="H2009" s="311" t="s">
        <v>352</v>
      </c>
      <c r="I2009" s="311" t="s">
        <v>56</v>
      </c>
      <c r="J2009" s="50" t="s">
        <v>1892</v>
      </c>
      <c r="K2009" s="50" t="s">
        <v>1892</v>
      </c>
      <c r="L2009" s="50" t="s">
        <v>1893</v>
      </c>
      <c r="M2009" s="50" t="s">
        <v>4492</v>
      </c>
      <c r="N2009" s="50" t="s">
        <v>4487</v>
      </c>
      <c r="O2009" s="50" t="s">
        <v>4487</v>
      </c>
      <c r="P2009" s="50" t="s">
        <v>4487</v>
      </c>
    </row>
    <row r="2010" spans="1:16" ht="12.75" customHeight="1" x14ac:dyDescent="0.25">
      <c r="A2010" s="311">
        <v>2007</v>
      </c>
      <c r="B2010" s="311" t="s">
        <v>75</v>
      </c>
      <c r="C2010" s="311" t="s">
        <v>462</v>
      </c>
      <c r="D2010" s="311" t="s">
        <v>462</v>
      </c>
      <c r="E2010" s="337" t="s">
        <v>462</v>
      </c>
      <c r="F2010" s="311" t="s">
        <v>242</v>
      </c>
      <c r="G2010" s="311" t="s">
        <v>237</v>
      </c>
      <c r="H2010" s="311" t="s">
        <v>352</v>
      </c>
      <c r="I2010" s="311" t="s">
        <v>56</v>
      </c>
      <c r="J2010" s="50" t="s">
        <v>1892</v>
      </c>
      <c r="K2010" s="50" t="s">
        <v>1892</v>
      </c>
      <c r="L2010" s="50" t="s">
        <v>1893</v>
      </c>
      <c r="M2010" s="50" t="s">
        <v>4493</v>
      </c>
      <c r="N2010" s="50" t="s">
        <v>4487</v>
      </c>
      <c r="O2010" s="50" t="s">
        <v>4487</v>
      </c>
      <c r="P2010" s="50" t="s">
        <v>4487</v>
      </c>
    </row>
    <row r="2011" spans="1:16" ht="12.75" customHeight="1" x14ac:dyDescent="0.25">
      <c r="A2011" s="311">
        <v>2008</v>
      </c>
      <c r="B2011" s="311" t="s">
        <v>72</v>
      </c>
      <c r="C2011" s="311" t="s">
        <v>462</v>
      </c>
      <c r="D2011" s="311" t="s">
        <v>462</v>
      </c>
      <c r="E2011" s="337" t="s">
        <v>462</v>
      </c>
      <c r="F2011" s="311" t="s">
        <v>298</v>
      </c>
      <c r="G2011" s="311" t="s">
        <v>236</v>
      </c>
      <c r="H2011" s="311" t="s">
        <v>352</v>
      </c>
      <c r="I2011" s="311" t="s">
        <v>56</v>
      </c>
      <c r="J2011" s="50" t="s">
        <v>1892</v>
      </c>
      <c r="K2011" s="50" t="s">
        <v>1892</v>
      </c>
      <c r="L2011" s="50" t="s">
        <v>1893</v>
      </c>
      <c r="M2011" s="50" t="s">
        <v>4494</v>
      </c>
      <c r="N2011" s="50" t="s">
        <v>4495</v>
      </c>
      <c r="O2011" s="50" t="s">
        <v>4495</v>
      </c>
      <c r="P2011" s="50" t="s">
        <v>4495</v>
      </c>
    </row>
    <row r="2012" spans="1:16" ht="12.75" customHeight="1" x14ac:dyDescent="0.25">
      <c r="A2012" s="311">
        <v>2009</v>
      </c>
      <c r="B2012" s="311" t="s">
        <v>99</v>
      </c>
      <c r="C2012" s="311" t="s">
        <v>462</v>
      </c>
      <c r="D2012" s="311" t="s">
        <v>462</v>
      </c>
      <c r="E2012" s="337" t="s">
        <v>462</v>
      </c>
      <c r="F2012" s="311" t="s">
        <v>298</v>
      </c>
      <c r="G2012" s="311" t="s">
        <v>236</v>
      </c>
      <c r="H2012" s="311" t="s">
        <v>352</v>
      </c>
      <c r="I2012" s="311" t="s">
        <v>56</v>
      </c>
      <c r="J2012" s="50" t="s">
        <v>1892</v>
      </c>
      <c r="K2012" s="50" t="s">
        <v>1892</v>
      </c>
      <c r="L2012" s="50" t="s">
        <v>1893</v>
      </c>
      <c r="M2012" s="50" t="s">
        <v>4496</v>
      </c>
      <c r="N2012" s="50" t="s">
        <v>4495</v>
      </c>
      <c r="O2012" s="50" t="s">
        <v>4495</v>
      </c>
      <c r="P2012" s="50" t="s">
        <v>4495</v>
      </c>
    </row>
    <row r="2013" spans="1:16" ht="12.75" customHeight="1" x14ac:dyDescent="0.25">
      <c r="A2013" s="311">
        <v>2010</v>
      </c>
      <c r="B2013" s="311" t="s">
        <v>60</v>
      </c>
      <c r="C2013" s="311" t="s">
        <v>462</v>
      </c>
      <c r="D2013" s="311" t="s">
        <v>462</v>
      </c>
      <c r="E2013" s="337" t="s">
        <v>462</v>
      </c>
      <c r="F2013" s="311" t="s">
        <v>298</v>
      </c>
      <c r="G2013" s="311" t="s">
        <v>236</v>
      </c>
      <c r="H2013" s="311" t="s">
        <v>352</v>
      </c>
      <c r="I2013" s="311" t="s">
        <v>56</v>
      </c>
      <c r="J2013" s="50" t="s">
        <v>1892</v>
      </c>
      <c r="K2013" s="50" t="s">
        <v>1892</v>
      </c>
      <c r="L2013" s="50" t="s">
        <v>1893</v>
      </c>
      <c r="M2013" s="50" t="s">
        <v>4497</v>
      </c>
      <c r="N2013" s="50" t="s">
        <v>4495</v>
      </c>
      <c r="O2013" s="50" t="s">
        <v>4495</v>
      </c>
      <c r="P2013" s="50" t="s">
        <v>4495</v>
      </c>
    </row>
    <row r="2014" spans="1:16" ht="12.75" customHeight="1" x14ac:dyDescent="0.25">
      <c r="A2014" s="311">
        <v>2011</v>
      </c>
      <c r="B2014" s="311" t="s">
        <v>94</v>
      </c>
      <c r="C2014" s="311" t="s">
        <v>462</v>
      </c>
      <c r="D2014" s="311" t="s">
        <v>462</v>
      </c>
      <c r="E2014" s="337" t="s">
        <v>462</v>
      </c>
      <c r="F2014" s="311" t="s">
        <v>298</v>
      </c>
      <c r="G2014" s="311" t="s">
        <v>236</v>
      </c>
      <c r="H2014" s="311" t="s">
        <v>352</v>
      </c>
      <c r="I2014" s="311" t="s">
        <v>56</v>
      </c>
      <c r="J2014" s="50" t="s">
        <v>1892</v>
      </c>
      <c r="K2014" s="50" t="s">
        <v>1892</v>
      </c>
      <c r="L2014" s="50" t="s">
        <v>1893</v>
      </c>
      <c r="M2014" s="50" t="s">
        <v>4498</v>
      </c>
      <c r="N2014" s="50" t="s">
        <v>4495</v>
      </c>
      <c r="O2014" s="50" t="s">
        <v>4495</v>
      </c>
      <c r="P2014" s="50" t="s">
        <v>4495</v>
      </c>
    </row>
    <row r="2015" spans="1:16" ht="12.75" customHeight="1" x14ac:dyDescent="0.25">
      <c r="A2015" s="311">
        <v>2012</v>
      </c>
      <c r="B2015" s="311" t="s">
        <v>84</v>
      </c>
      <c r="C2015" s="311" t="s">
        <v>462</v>
      </c>
      <c r="D2015" s="311" t="s">
        <v>462</v>
      </c>
      <c r="E2015" s="337" t="s">
        <v>462</v>
      </c>
      <c r="F2015" s="311" t="s">
        <v>298</v>
      </c>
      <c r="G2015" s="311" t="s">
        <v>236</v>
      </c>
      <c r="H2015" s="311" t="s">
        <v>352</v>
      </c>
      <c r="I2015" s="311" t="s">
        <v>56</v>
      </c>
      <c r="J2015" s="50" t="s">
        <v>1892</v>
      </c>
      <c r="K2015" s="50" t="s">
        <v>1892</v>
      </c>
      <c r="L2015" s="50" t="s">
        <v>1893</v>
      </c>
      <c r="M2015" s="50" t="s">
        <v>4499</v>
      </c>
      <c r="N2015" s="50" t="s">
        <v>4495</v>
      </c>
      <c r="O2015" s="50" t="s">
        <v>4495</v>
      </c>
      <c r="P2015" s="50" t="s">
        <v>4495</v>
      </c>
    </row>
    <row r="2016" spans="1:16" ht="12.75" customHeight="1" x14ac:dyDescent="0.25">
      <c r="A2016" s="311">
        <v>2013</v>
      </c>
      <c r="B2016" s="311" t="s">
        <v>123</v>
      </c>
      <c r="C2016" s="311" t="s">
        <v>462</v>
      </c>
      <c r="D2016" s="311" t="s">
        <v>462</v>
      </c>
      <c r="E2016" s="337" t="s">
        <v>462</v>
      </c>
      <c r="F2016" s="311" t="s">
        <v>298</v>
      </c>
      <c r="G2016" s="311" t="s">
        <v>236</v>
      </c>
      <c r="H2016" s="311" t="s">
        <v>352</v>
      </c>
      <c r="I2016" s="311" t="s">
        <v>56</v>
      </c>
      <c r="J2016" s="50" t="s">
        <v>1892</v>
      </c>
      <c r="K2016" s="50" t="s">
        <v>1892</v>
      </c>
      <c r="L2016" s="50" t="s">
        <v>1893</v>
      </c>
      <c r="M2016" s="50" t="s">
        <v>4500</v>
      </c>
      <c r="N2016" s="50" t="s">
        <v>4495</v>
      </c>
      <c r="O2016" s="50" t="s">
        <v>4495</v>
      </c>
      <c r="P2016" s="50" t="s">
        <v>4495</v>
      </c>
    </row>
    <row r="2017" spans="1:16" ht="12.75" customHeight="1" x14ac:dyDescent="0.25">
      <c r="A2017" s="311">
        <v>2014</v>
      </c>
      <c r="B2017" s="311" t="s">
        <v>75</v>
      </c>
      <c r="C2017" s="311" t="s">
        <v>462</v>
      </c>
      <c r="D2017" s="311" t="s">
        <v>462</v>
      </c>
      <c r="E2017" s="337" t="s">
        <v>462</v>
      </c>
      <c r="F2017" s="311" t="s">
        <v>298</v>
      </c>
      <c r="G2017" s="311" t="s">
        <v>236</v>
      </c>
      <c r="H2017" s="311" t="s">
        <v>352</v>
      </c>
      <c r="I2017" s="311" t="s">
        <v>56</v>
      </c>
      <c r="J2017" s="50" t="s">
        <v>1892</v>
      </c>
      <c r="K2017" s="50" t="s">
        <v>1892</v>
      </c>
      <c r="L2017" s="50" t="s">
        <v>1893</v>
      </c>
      <c r="M2017" s="50" t="s">
        <v>4501</v>
      </c>
      <c r="N2017" s="50" t="s">
        <v>4495</v>
      </c>
      <c r="O2017" s="50" t="s">
        <v>4495</v>
      </c>
      <c r="P2017" s="50" t="s">
        <v>4495</v>
      </c>
    </row>
    <row r="2018" spans="1:16" ht="12.75" customHeight="1" x14ac:dyDescent="0.25">
      <c r="A2018" s="311">
        <v>2015</v>
      </c>
      <c r="B2018" s="311" t="s">
        <v>72</v>
      </c>
      <c r="C2018" s="311" t="s">
        <v>462</v>
      </c>
      <c r="D2018" s="311" t="s">
        <v>462</v>
      </c>
      <c r="E2018" s="337" t="s">
        <v>462</v>
      </c>
      <c r="F2018" s="311" t="s">
        <v>298</v>
      </c>
      <c r="G2018" s="311" t="s">
        <v>23</v>
      </c>
      <c r="H2018" s="311" t="s">
        <v>352</v>
      </c>
      <c r="I2018" s="311" t="s">
        <v>56</v>
      </c>
      <c r="J2018" s="50" t="s">
        <v>1892</v>
      </c>
      <c r="K2018" s="50" t="s">
        <v>1892</v>
      </c>
      <c r="L2018" s="50" t="s">
        <v>1893</v>
      </c>
      <c r="M2018" s="50" t="s">
        <v>4502</v>
      </c>
      <c r="N2018" s="50" t="s">
        <v>4503</v>
      </c>
      <c r="O2018" s="50" t="s">
        <v>4503</v>
      </c>
      <c r="P2018" s="50" t="s">
        <v>4503</v>
      </c>
    </row>
    <row r="2019" spans="1:16" ht="12.75" customHeight="1" x14ac:dyDescent="0.25">
      <c r="A2019" s="311">
        <v>2016</v>
      </c>
      <c r="B2019" s="311" t="s">
        <v>99</v>
      </c>
      <c r="C2019" s="311" t="s">
        <v>462</v>
      </c>
      <c r="D2019" s="311" t="s">
        <v>462</v>
      </c>
      <c r="E2019" s="337" t="s">
        <v>462</v>
      </c>
      <c r="F2019" s="311" t="s">
        <v>298</v>
      </c>
      <c r="G2019" s="311" t="s">
        <v>23</v>
      </c>
      <c r="H2019" s="311" t="s">
        <v>352</v>
      </c>
      <c r="I2019" s="311" t="s">
        <v>56</v>
      </c>
      <c r="J2019" s="50" t="s">
        <v>1892</v>
      </c>
      <c r="K2019" s="50" t="s">
        <v>1892</v>
      </c>
      <c r="L2019" s="50" t="s">
        <v>1893</v>
      </c>
      <c r="M2019" s="50" t="s">
        <v>4504</v>
      </c>
      <c r="N2019" s="50" t="s">
        <v>4503</v>
      </c>
      <c r="O2019" s="50" t="s">
        <v>4503</v>
      </c>
      <c r="P2019" s="50" t="s">
        <v>4503</v>
      </c>
    </row>
    <row r="2020" spans="1:16" ht="12.75" customHeight="1" x14ac:dyDescent="0.25">
      <c r="A2020" s="311">
        <v>2017</v>
      </c>
      <c r="B2020" s="311" t="s">
        <v>60</v>
      </c>
      <c r="C2020" s="311" t="s">
        <v>462</v>
      </c>
      <c r="D2020" s="311" t="s">
        <v>462</v>
      </c>
      <c r="E2020" s="337" t="s">
        <v>462</v>
      </c>
      <c r="F2020" s="311" t="s">
        <v>298</v>
      </c>
      <c r="G2020" s="311" t="s">
        <v>23</v>
      </c>
      <c r="H2020" s="311" t="s">
        <v>352</v>
      </c>
      <c r="I2020" s="311" t="s">
        <v>56</v>
      </c>
      <c r="J2020" s="50" t="s">
        <v>1892</v>
      </c>
      <c r="K2020" s="50" t="s">
        <v>1892</v>
      </c>
      <c r="L2020" s="50" t="s">
        <v>1893</v>
      </c>
      <c r="M2020" s="50" t="s">
        <v>4505</v>
      </c>
      <c r="N2020" s="50" t="s">
        <v>4503</v>
      </c>
      <c r="O2020" s="50" t="s">
        <v>4503</v>
      </c>
      <c r="P2020" s="50" t="s">
        <v>4503</v>
      </c>
    </row>
    <row r="2021" spans="1:16" ht="12.75" customHeight="1" x14ac:dyDescent="0.25">
      <c r="A2021" s="311">
        <v>2018</v>
      </c>
      <c r="B2021" s="311" t="s">
        <v>94</v>
      </c>
      <c r="C2021" s="311" t="s">
        <v>462</v>
      </c>
      <c r="D2021" s="311" t="s">
        <v>462</v>
      </c>
      <c r="E2021" s="337" t="s">
        <v>462</v>
      </c>
      <c r="F2021" s="311" t="s">
        <v>298</v>
      </c>
      <c r="G2021" s="311" t="s">
        <v>23</v>
      </c>
      <c r="H2021" s="311" t="s">
        <v>352</v>
      </c>
      <c r="I2021" s="311" t="s">
        <v>56</v>
      </c>
      <c r="J2021" s="50" t="s">
        <v>1892</v>
      </c>
      <c r="K2021" s="50" t="s">
        <v>1892</v>
      </c>
      <c r="L2021" s="50" t="s">
        <v>1893</v>
      </c>
      <c r="M2021" s="50" t="s">
        <v>4506</v>
      </c>
      <c r="N2021" s="50" t="s">
        <v>4503</v>
      </c>
      <c r="O2021" s="50" t="s">
        <v>4503</v>
      </c>
      <c r="P2021" s="50" t="s">
        <v>4503</v>
      </c>
    </row>
    <row r="2022" spans="1:16" ht="12.75" customHeight="1" x14ac:dyDescent="0.25">
      <c r="A2022" s="311">
        <v>2019</v>
      </c>
      <c r="B2022" s="311" t="s">
        <v>84</v>
      </c>
      <c r="C2022" s="311" t="s">
        <v>462</v>
      </c>
      <c r="D2022" s="311" t="s">
        <v>462</v>
      </c>
      <c r="E2022" s="337" t="s">
        <v>462</v>
      </c>
      <c r="F2022" s="311" t="s">
        <v>298</v>
      </c>
      <c r="G2022" s="311" t="s">
        <v>23</v>
      </c>
      <c r="H2022" s="311" t="s">
        <v>352</v>
      </c>
      <c r="I2022" s="311" t="s">
        <v>56</v>
      </c>
      <c r="J2022" s="50" t="s">
        <v>1892</v>
      </c>
      <c r="K2022" s="50" t="s">
        <v>1892</v>
      </c>
      <c r="L2022" s="50" t="s">
        <v>1893</v>
      </c>
      <c r="M2022" s="50" t="s">
        <v>4507</v>
      </c>
      <c r="N2022" s="50" t="s">
        <v>4503</v>
      </c>
      <c r="O2022" s="50" t="s">
        <v>4503</v>
      </c>
      <c r="P2022" s="50" t="s">
        <v>4503</v>
      </c>
    </row>
    <row r="2023" spans="1:16" ht="12.75" customHeight="1" x14ac:dyDescent="0.25">
      <c r="A2023" s="311">
        <v>2020</v>
      </c>
      <c r="B2023" s="311" t="s">
        <v>123</v>
      </c>
      <c r="C2023" s="311" t="s">
        <v>462</v>
      </c>
      <c r="D2023" s="311" t="s">
        <v>462</v>
      </c>
      <c r="E2023" s="337" t="s">
        <v>462</v>
      </c>
      <c r="F2023" s="311" t="s">
        <v>298</v>
      </c>
      <c r="G2023" s="311" t="s">
        <v>23</v>
      </c>
      <c r="H2023" s="311" t="s">
        <v>352</v>
      </c>
      <c r="I2023" s="311" t="s">
        <v>56</v>
      </c>
      <c r="J2023" s="50" t="s">
        <v>1892</v>
      </c>
      <c r="K2023" s="50" t="s">
        <v>1892</v>
      </c>
      <c r="L2023" s="50" t="s">
        <v>1893</v>
      </c>
      <c r="M2023" s="50" t="s">
        <v>4508</v>
      </c>
      <c r="N2023" s="50" t="s">
        <v>4503</v>
      </c>
      <c r="O2023" s="50" t="s">
        <v>4503</v>
      </c>
      <c r="P2023" s="50" t="s">
        <v>4503</v>
      </c>
    </row>
    <row r="2024" spans="1:16" ht="12.75" customHeight="1" x14ac:dyDescent="0.25">
      <c r="A2024" s="311">
        <v>2021</v>
      </c>
      <c r="B2024" s="311" t="s">
        <v>75</v>
      </c>
      <c r="C2024" s="311" t="s">
        <v>462</v>
      </c>
      <c r="D2024" s="311" t="s">
        <v>462</v>
      </c>
      <c r="E2024" s="337" t="s">
        <v>462</v>
      </c>
      <c r="F2024" s="311" t="s">
        <v>298</v>
      </c>
      <c r="G2024" s="311" t="s">
        <v>23</v>
      </c>
      <c r="H2024" s="311" t="s">
        <v>352</v>
      </c>
      <c r="I2024" s="311" t="s">
        <v>56</v>
      </c>
      <c r="J2024" s="50" t="s">
        <v>1892</v>
      </c>
      <c r="K2024" s="50" t="s">
        <v>1892</v>
      </c>
      <c r="L2024" s="50" t="s">
        <v>1893</v>
      </c>
      <c r="M2024" s="50" t="s">
        <v>4509</v>
      </c>
      <c r="N2024" s="50" t="s">
        <v>4503</v>
      </c>
      <c r="O2024" s="50" t="s">
        <v>4503</v>
      </c>
      <c r="P2024" s="50" t="s">
        <v>4503</v>
      </c>
    </row>
    <row r="2025" spans="1:16" ht="12.75" customHeight="1" x14ac:dyDescent="0.25">
      <c r="A2025" s="311">
        <v>2022</v>
      </c>
      <c r="B2025" s="311" t="s">
        <v>72</v>
      </c>
      <c r="C2025" s="311" t="s">
        <v>462</v>
      </c>
      <c r="D2025" s="311" t="s">
        <v>462</v>
      </c>
      <c r="E2025" s="337" t="s">
        <v>462</v>
      </c>
      <c r="F2025" s="311" t="s">
        <v>298</v>
      </c>
      <c r="G2025" s="311" t="s">
        <v>237</v>
      </c>
      <c r="H2025" s="311" t="s">
        <v>352</v>
      </c>
      <c r="I2025" s="311" t="s">
        <v>56</v>
      </c>
      <c r="J2025" s="50" t="s">
        <v>1892</v>
      </c>
      <c r="K2025" s="50" t="s">
        <v>1892</v>
      </c>
      <c r="L2025" s="50" t="s">
        <v>1893</v>
      </c>
      <c r="M2025" s="50" t="s">
        <v>4510</v>
      </c>
      <c r="N2025" s="50" t="s">
        <v>4511</v>
      </c>
      <c r="O2025" s="50" t="s">
        <v>4511</v>
      </c>
      <c r="P2025" s="50" t="s">
        <v>4511</v>
      </c>
    </row>
    <row r="2026" spans="1:16" ht="12.75" customHeight="1" x14ac:dyDescent="0.25">
      <c r="A2026" s="311">
        <v>2023</v>
      </c>
      <c r="B2026" s="311" t="s">
        <v>99</v>
      </c>
      <c r="C2026" s="311" t="s">
        <v>462</v>
      </c>
      <c r="D2026" s="311" t="s">
        <v>462</v>
      </c>
      <c r="E2026" s="337" t="s">
        <v>462</v>
      </c>
      <c r="F2026" s="311" t="s">
        <v>298</v>
      </c>
      <c r="G2026" s="311" t="s">
        <v>237</v>
      </c>
      <c r="H2026" s="311" t="s">
        <v>352</v>
      </c>
      <c r="I2026" s="311" t="s">
        <v>56</v>
      </c>
      <c r="J2026" s="50" t="s">
        <v>1892</v>
      </c>
      <c r="K2026" s="50" t="s">
        <v>1892</v>
      </c>
      <c r="L2026" s="50" t="s">
        <v>1893</v>
      </c>
      <c r="M2026" s="50" t="s">
        <v>4512</v>
      </c>
      <c r="N2026" s="50" t="s">
        <v>4511</v>
      </c>
      <c r="O2026" s="50" t="s">
        <v>4511</v>
      </c>
      <c r="P2026" s="50" t="s">
        <v>4511</v>
      </c>
    </row>
    <row r="2027" spans="1:16" ht="12.75" customHeight="1" x14ac:dyDescent="0.25">
      <c r="A2027" s="311">
        <v>2024</v>
      </c>
      <c r="B2027" s="311" t="s">
        <v>60</v>
      </c>
      <c r="C2027" s="311" t="s">
        <v>462</v>
      </c>
      <c r="D2027" s="311" t="s">
        <v>462</v>
      </c>
      <c r="E2027" s="337" t="s">
        <v>462</v>
      </c>
      <c r="F2027" s="311" t="s">
        <v>298</v>
      </c>
      <c r="G2027" s="311" t="s">
        <v>237</v>
      </c>
      <c r="H2027" s="311" t="s">
        <v>352</v>
      </c>
      <c r="I2027" s="311" t="s">
        <v>56</v>
      </c>
      <c r="J2027" s="50" t="s">
        <v>1892</v>
      </c>
      <c r="K2027" s="50" t="s">
        <v>1892</v>
      </c>
      <c r="L2027" s="50" t="s">
        <v>1893</v>
      </c>
      <c r="M2027" s="50" t="s">
        <v>4513</v>
      </c>
      <c r="N2027" s="50" t="s">
        <v>4511</v>
      </c>
      <c r="O2027" s="50" t="s">
        <v>4511</v>
      </c>
      <c r="P2027" s="50" t="s">
        <v>4511</v>
      </c>
    </row>
    <row r="2028" spans="1:16" ht="12.75" customHeight="1" x14ac:dyDescent="0.25">
      <c r="A2028" s="311">
        <v>2025</v>
      </c>
      <c r="B2028" s="311" t="s">
        <v>94</v>
      </c>
      <c r="C2028" s="311" t="s">
        <v>462</v>
      </c>
      <c r="D2028" s="311" t="s">
        <v>462</v>
      </c>
      <c r="E2028" s="337" t="s">
        <v>462</v>
      </c>
      <c r="F2028" s="311" t="s">
        <v>298</v>
      </c>
      <c r="G2028" s="311" t="s">
        <v>237</v>
      </c>
      <c r="H2028" s="311" t="s">
        <v>352</v>
      </c>
      <c r="I2028" s="311" t="s">
        <v>56</v>
      </c>
      <c r="J2028" s="50" t="s">
        <v>1892</v>
      </c>
      <c r="K2028" s="50" t="s">
        <v>1892</v>
      </c>
      <c r="L2028" s="50" t="s">
        <v>1893</v>
      </c>
      <c r="M2028" s="50" t="s">
        <v>4514</v>
      </c>
      <c r="N2028" s="50" t="s">
        <v>4511</v>
      </c>
      <c r="O2028" s="50" t="s">
        <v>4511</v>
      </c>
      <c r="P2028" s="50" t="s">
        <v>4511</v>
      </c>
    </row>
    <row r="2029" spans="1:16" ht="12.75" customHeight="1" x14ac:dyDescent="0.25">
      <c r="A2029" s="311">
        <v>2026</v>
      </c>
      <c r="B2029" s="311" t="s">
        <v>84</v>
      </c>
      <c r="C2029" s="311" t="s">
        <v>462</v>
      </c>
      <c r="D2029" s="311" t="s">
        <v>462</v>
      </c>
      <c r="E2029" s="337" t="s">
        <v>462</v>
      </c>
      <c r="F2029" s="311" t="s">
        <v>298</v>
      </c>
      <c r="G2029" s="311" t="s">
        <v>237</v>
      </c>
      <c r="H2029" s="311" t="s">
        <v>352</v>
      </c>
      <c r="I2029" s="311" t="s">
        <v>56</v>
      </c>
      <c r="J2029" s="50" t="s">
        <v>1892</v>
      </c>
      <c r="K2029" s="50" t="s">
        <v>1892</v>
      </c>
      <c r="L2029" s="50" t="s">
        <v>1893</v>
      </c>
      <c r="M2029" s="50" t="s">
        <v>4515</v>
      </c>
      <c r="N2029" s="50" t="s">
        <v>4511</v>
      </c>
      <c r="O2029" s="50" t="s">
        <v>4511</v>
      </c>
      <c r="P2029" s="50" t="s">
        <v>4511</v>
      </c>
    </row>
    <row r="2030" spans="1:16" ht="12.75" customHeight="1" x14ac:dyDescent="0.25">
      <c r="A2030" s="311">
        <v>2027</v>
      </c>
      <c r="B2030" s="311" t="s">
        <v>123</v>
      </c>
      <c r="C2030" s="311" t="s">
        <v>462</v>
      </c>
      <c r="D2030" s="311" t="s">
        <v>462</v>
      </c>
      <c r="E2030" s="337" t="s">
        <v>462</v>
      </c>
      <c r="F2030" s="311" t="s">
        <v>298</v>
      </c>
      <c r="G2030" s="311" t="s">
        <v>237</v>
      </c>
      <c r="H2030" s="311" t="s">
        <v>352</v>
      </c>
      <c r="I2030" s="311" t="s">
        <v>56</v>
      </c>
      <c r="J2030" s="50" t="s">
        <v>1892</v>
      </c>
      <c r="K2030" s="50" t="s">
        <v>1892</v>
      </c>
      <c r="L2030" s="50" t="s">
        <v>1893</v>
      </c>
      <c r="M2030" s="50" t="s">
        <v>4516</v>
      </c>
      <c r="N2030" s="50" t="s">
        <v>4511</v>
      </c>
      <c r="O2030" s="50" t="s">
        <v>4511</v>
      </c>
      <c r="P2030" s="50" t="s">
        <v>4511</v>
      </c>
    </row>
    <row r="2031" spans="1:16" ht="12.75" customHeight="1" x14ac:dyDescent="0.25">
      <c r="A2031" s="311">
        <v>2028</v>
      </c>
      <c r="B2031" s="311" t="s">
        <v>75</v>
      </c>
      <c r="C2031" s="311" t="s">
        <v>462</v>
      </c>
      <c r="D2031" s="311" t="s">
        <v>462</v>
      </c>
      <c r="E2031" s="337" t="s">
        <v>462</v>
      </c>
      <c r="F2031" s="311" t="s">
        <v>298</v>
      </c>
      <c r="G2031" s="311" t="s">
        <v>237</v>
      </c>
      <c r="H2031" s="311" t="s">
        <v>352</v>
      </c>
      <c r="I2031" s="311" t="s">
        <v>56</v>
      </c>
      <c r="J2031" s="50" t="s">
        <v>1892</v>
      </c>
      <c r="K2031" s="50" t="s">
        <v>1892</v>
      </c>
      <c r="L2031" s="50" t="s">
        <v>1893</v>
      </c>
      <c r="M2031" s="50" t="s">
        <v>4517</v>
      </c>
      <c r="N2031" s="50" t="s">
        <v>4511</v>
      </c>
      <c r="O2031" s="50" t="s">
        <v>4511</v>
      </c>
      <c r="P2031" s="50" t="s">
        <v>4511</v>
      </c>
    </row>
    <row r="2032" spans="1:16" ht="12.75" customHeight="1" x14ac:dyDescent="0.25">
      <c r="A2032" s="311">
        <v>2029</v>
      </c>
      <c r="B2032" s="311" t="s">
        <v>72</v>
      </c>
      <c r="C2032" s="311" t="s">
        <v>462</v>
      </c>
      <c r="D2032" s="311" t="s">
        <v>462</v>
      </c>
      <c r="E2032" s="337" t="s">
        <v>462</v>
      </c>
      <c r="F2032" s="311" t="s">
        <v>286</v>
      </c>
      <c r="G2032" s="311" t="s">
        <v>236</v>
      </c>
      <c r="H2032" s="311" t="s">
        <v>352</v>
      </c>
      <c r="I2032" s="311" t="s">
        <v>56</v>
      </c>
      <c r="J2032" s="50" t="s">
        <v>1892</v>
      </c>
      <c r="K2032" s="50" t="s">
        <v>1892</v>
      </c>
      <c r="L2032" s="50" t="s">
        <v>1893</v>
      </c>
      <c r="M2032" s="50" t="s">
        <v>4518</v>
      </c>
      <c r="N2032" s="50" t="s">
        <v>4519</v>
      </c>
      <c r="O2032" s="50" t="s">
        <v>4519</v>
      </c>
      <c r="P2032" s="50" t="s">
        <v>4519</v>
      </c>
    </row>
    <row r="2033" spans="1:16" ht="12.75" customHeight="1" x14ac:dyDescent="0.25">
      <c r="A2033" s="311">
        <v>2030</v>
      </c>
      <c r="B2033" s="311" t="s">
        <v>99</v>
      </c>
      <c r="C2033" s="311" t="s">
        <v>462</v>
      </c>
      <c r="D2033" s="311" t="s">
        <v>462</v>
      </c>
      <c r="E2033" s="337" t="s">
        <v>462</v>
      </c>
      <c r="F2033" s="311" t="s">
        <v>286</v>
      </c>
      <c r="G2033" s="311" t="s">
        <v>236</v>
      </c>
      <c r="H2033" s="311" t="s">
        <v>352</v>
      </c>
      <c r="I2033" s="311" t="s">
        <v>56</v>
      </c>
      <c r="J2033" s="50" t="s">
        <v>1892</v>
      </c>
      <c r="K2033" s="50" t="s">
        <v>1892</v>
      </c>
      <c r="L2033" s="50" t="s">
        <v>1893</v>
      </c>
      <c r="M2033" s="50" t="s">
        <v>4520</v>
      </c>
      <c r="N2033" s="50" t="s">
        <v>4519</v>
      </c>
      <c r="O2033" s="50" t="s">
        <v>4519</v>
      </c>
      <c r="P2033" s="50" t="s">
        <v>4519</v>
      </c>
    </row>
    <row r="2034" spans="1:16" ht="12.75" customHeight="1" x14ac:dyDescent="0.25">
      <c r="A2034" s="311">
        <v>2031</v>
      </c>
      <c r="B2034" s="311" t="s">
        <v>60</v>
      </c>
      <c r="C2034" s="311" t="s">
        <v>462</v>
      </c>
      <c r="D2034" s="311" t="s">
        <v>462</v>
      </c>
      <c r="E2034" s="337" t="s">
        <v>462</v>
      </c>
      <c r="F2034" s="311" t="s">
        <v>286</v>
      </c>
      <c r="G2034" s="311" t="s">
        <v>236</v>
      </c>
      <c r="H2034" s="311" t="s">
        <v>352</v>
      </c>
      <c r="I2034" s="311" t="s">
        <v>56</v>
      </c>
      <c r="J2034" s="50" t="s">
        <v>1892</v>
      </c>
      <c r="K2034" s="50" t="s">
        <v>1892</v>
      </c>
      <c r="L2034" s="50" t="s">
        <v>1893</v>
      </c>
      <c r="M2034" s="50" t="s">
        <v>4521</v>
      </c>
      <c r="N2034" s="50" t="s">
        <v>4519</v>
      </c>
      <c r="O2034" s="50" t="s">
        <v>4519</v>
      </c>
      <c r="P2034" s="50" t="s">
        <v>4519</v>
      </c>
    </row>
    <row r="2035" spans="1:16" ht="12.75" customHeight="1" x14ac:dyDescent="0.25">
      <c r="A2035" s="311">
        <v>2032</v>
      </c>
      <c r="B2035" s="311" t="s">
        <v>94</v>
      </c>
      <c r="C2035" s="311" t="s">
        <v>462</v>
      </c>
      <c r="D2035" s="311" t="s">
        <v>462</v>
      </c>
      <c r="E2035" s="337" t="s">
        <v>462</v>
      </c>
      <c r="F2035" s="311" t="s">
        <v>286</v>
      </c>
      <c r="G2035" s="311" t="s">
        <v>236</v>
      </c>
      <c r="H2035" s="311" t="s">
        <v>352</v>
      </c>
      <c r="I2035" s="311" t="s">
        <v>56</v>
      </c>
      <c r="J2035" s="50" t="s">
        <v>1892</v>
      </c>
      <c r="K2035" s="50" t="s">
        <v>1892</v>
      </c>
      <c r="L2035" s="50" t="s">
        <v>1893</v>
      </c>
      <c r="M2035" s="50" t="s">
        <v>4522</v>
      </c>
      <c r="N2035" s="50" t="s">
        <v>4519</v>
      </c>
      <c r="O2035" s="50" t="s">
        <v>4519</v>
      </c>
      <c r="P2035" s="50" t="s">
        <v>4519</v>
      </c>
    </row>
    <row r="2036" spans="1:16" ht="12.75" customHeight="1" x14ac:dyDescent="0.25">
      <c r="A2036" s="311">
        <v>2033</v>
      </c>
      <c r="B2036" s="311" t="s">
        <v>84</v>
      </c>
      <c r="C2036" s="311" t="s">
        <v>462</v>
      </c>
      <c r="D2036" s="311" t="s">
        <v>462</v>
      </c>
      <c r="E2036" s="337" t="s">
        <v>462</v>
      </c>
      <c r="F2036" s="311" t="s">
        <v>286</v>
      </c>
      <c r="G2036" s="311" t="s">
        <v>236</v>
      </c>
      <c r="H2036" s="311" t="s">
        <v>352</v>
      </c>
      <c r="I2036" s="311" t="s">
        <v>56</v>
      </c>
      <c r="J2036" s="50" t="s">
        <v>1892</v>
      </c>
      <c r="K2036" s="50" t="s">
        <v>1892</v>
      </c>
      <c r="L2036" s="50" t="s">
        <v>1893</v>
      </c>
      <c r="M2036" s="50" t="s">
        <v>4523</v>
      </c>
      <c r="N2036" s="50" t="s">
        <v>4519</v>
      </c>
      <c r="O2036" s="50" t="s">
        <v>4519</v>
      </c>
      <c r="P2036" s="50" t="s">
        <v>4519</v>
      </c>
    </row>
    <row r="2037" spans="1:16" ht="12.75" customHeight="1" x14ac:dyDescent="0.25">
      <c r="A2037" s="311">
        <v>2034</v>
      </c>
      <c r="B2037" s="311" t="s">
        <v>123</v>
      </c>
      <c r="C2037" s="311" t="s">
        <v>462</v>
      </c>
      <c r="D2037" s="311" t="s">
        <v>462</v>
      </c>
      <c r="E2037" s="337" t="s">
        <v>462</v>
      </c>
      <c r="F2037" s="311" t="s">
        <v>286</v>
      </c>
      <c r="G2037" s="311" t="s">
        <v>236</v>
      </c>
      <c r="H2037" s="311" t="s">
        <v>352</v>
      </c>
      <c r="I2037" s="311" t="s">
        <v>56</v>
      </c>
      <c r="J2037" s="50" t="s">
        <v>1892</v>
      </c>
      <c r="K2037" s="50" t="s">
        <v>1892</v>
      </c>
      <c r="L2037" s="50" t="s">
        <v>1893</v>
      </c>
      <c r="M2037" s="50" t="s">
        <v>4524</v>
      </c>
      <c r="N2037" s="50" t="s">
        <v>4519</v>
      </c>
      <c r="O2037" s="50" t="s">
        <v>4519</v>
      </c>
      <c r="P2037" s="50" t="s">
        <v>4519</v>
      </c>
    </row>
    <row r="2038" spans="1:16" ht="12.75" customHeight="1" x14ac:dyDescent="0.25">
      <c r="A2038" s="311">
        <v>2035</v>
      </c>
      <c r="B2038" s="311" t="s">
        <v>75</v>
      </c>
      <c r="C2038" s="311" t="s">
        <v>462</v>
      </c>
      <c r="D2038" s="311" t="s">
        <v>462</v>
      </c>
      <c r="E2038" s="337" t="s">
        <v>462</v>
      </c>
      <c r="F2038" s="311" t="s">
        <v>286</v>
      </c>
      <c r="G2038" s="311" t="s">
        <v>236</v>
      </c>
      <c r="H2038" s="311" t="s">
        <v>352</v>
      </c>
      <c r="I2038" s="311" t="s">
        <v>56</v>
      </c>
      <c r="J2038" s="50" t="s">
        <v>1892</v>
      </c>
      <c r="K2038" s="50" t="s">
        <v>1892</v>
      </c>
      <c r="L2038" s="50" t="s">
        <v>1893</v>
      </c>
      <c r="M2038" s="50" t="s">
        <v>4525</v>
      </c>
      <c r="N2038" s="50" t="s">
        <v>4519</v>
      </c>
      <c r="O2038" s="50" t="s">
        <v>4519</v>
      </c>
      <c r="P2038" s="50" t="s">
        <v>4519</v>
      </c>
    </row>
    <row r="2039" spans="1:16" ht="12.75" customHeight="1" x14ac:dyDescent="0.25">
      <c r="A2039" s="311">
        <v>2036</v>
      </c>
      <c r="B2039" s="311" t="s">
        <v>72</v>
      </c>
      <c r="C2039" s="311" t="s">
        <v>462</v>
      </c>
      <c r="D2039" s="311" t="s">
        <v>462</v>
      </c>
      <c r="E2039" s="337" t="s">
        <v>462</v>
      </c>
      <c r="F2039" s="311" t="s">
        <v>286</v>
      </c>
      <c r="G2039" s="311" t="s">
        <v>23</v>
      </c>
      <c r="H2039" s="311" t="s">
        <v>352</v>
      </c>
      <c r="I2039" s="311" t="s">
        <v>56</v>
      </c>
      <c r="J2039" s="50" t="s">
        <v>1892</v>
      </c>
      <c r="K2039" s="50" t="s">
        <v>1892</v>
      </c>
      <c r="L2039" s="50" t="s">
        <v>1893</v>
      </c>
      <c r="M2039" s="50" t="s">
        <v>4526</v>
      </c>
      <c r="N2039" s="50" t="s">
        <v>4527</v>
      </c>
      <c r="O2039" s="50" t="s">
        <v>4527</v>
      </c>
      <c r="P2039" s="50" t="s">
        <v>4527</v>
      </c>
    </row>
    <row r="2040" spans="1:16" ht="12.75" customHeight="1" x14ac:dyDescent="0.25">
      <c r="A2040" s="311">
        <v>2037</v>
      </c>
      <c r="B2040" s="311" t="s">
        <v>99</v>
      </c>
      <c r="C2040" s="311" t="s">
        <v>462</v>
      </c>
      <c r="D2040" s="311" t="s">
        <v>462</v>
      </c>
      <c r="E2040" s="337" t="s">
        <v>462</v>
      </c>
      <c r="F2040" s="311" t="s">
        <v>286</v>
      </c>
      <c r="G2040" s="311" t="s">
        <v>23</v>
      </c>
      <c r="H2040" s="311" t="s">
        <v>352</v>
      </c>
      <c r="I2040" s="311" t="s">
        <v>56</v>
      </c>
      <c r="J2040" s="50" t="s">
        <v>1892</v>
      </c>
      <c r="K2040" s="50" t="s">
        <v>1892</v>
      </c>
      <c r="L2040" s="50" t="s">
        <v>1893</v>
      </c>
      <c r="M2040" s="50" t="s">
        <v>4528</v>
      </c>
      <c r="N2040" s="50" t="s">
        <v>4527</v>
      </c>
      <c r="O2040" s="50" t="s">
        <v>4527</v>
      </c>
      <c r="P2040" s="50" t="s">
        <v>4527</v>
      </c>
    </row>
    <row r="2041" spans="1:16" ht="12.75" customHeight="1" x14ac:dyDescent="0.25">
      <c r="A2041" s="311">
        <v>2038</v>
      </c>
      <c r="B2041" s="311" t="s">
        <v>60</v>
      </c>
      <c r="C2041" s="311" t="s">
        <v>462</v>
      </c>
      <c r="D2041" s="311" t="s">
        <v>462</v>
      </c>
      <c r="E2041" s="337" t="s">
        <v>462</v>
      </c>
      <c r="F2041" s="311" t="s">
        <v>286</v>
      </c>
      <c r="G2041" s="311" t="s">
        <v>23</v>
      </c>
      <c r="H2041" s="311" t="s">
        <v>352</v>
      </c>
      <c r="I2041" s="311" t="s">
        <v>56</v>
      </c>
      <c r="J2041" s="50" t="s">
        <v>1892</v>
      </c>
      <c r="K2041" s="50" t="s">
        <v>1892</v>
      </c>
      <c r="L2041" s="50" t="s">
        <v>1893</v>
      </c>
      <c r="M2041" s="50" t="s">
        <v>4529</v>
      </c>
      <c r="N2041" s="50" t="s">
        <v>4527</v>
      </c>
      <c r="O2041" s="50" t="s">
        <v>4527</v>
      </c>
      <c r="P2041" s="50" t="s">
        <v>4527</v>
      </c>
    </row>
    <row r="2042" spans="1:16" ht="12.75" customHeight="1" x14ac:dyDescent="0.25">
      <c r="A2042" s="311">
        <v>2039</v>
      </c>
      <c r="B2042" s="311" t="s">
        <v>94</v>
      </c>
      <c r="C2042" s="311" t="s">
        <v>462</v>
      </c>
      <c r="D2042" s="311" t="s">
        <v>462</v>
      </c>
      <c r="E2042" s="337" t="s">
        <v>462</v>
      </c>
      <c r="F2042" s="311" t="s">
        <v>286</v>
      </c>
      <c r="G2042" s="311" t="s">
        <v>23</v>
      </c>
      <c r="H2042" s="311" t="s">
        <v>352</v>
      </c>
      <c r="I2042" s="311" t="s">
        <v>56</v>
      </c>
      <c r="J2042" s="50" t="s">
        <v>1892</v>
      </c>
      <c r="K2042" s="50" t="s">
        <v>1892</v>
      </c>
      <c r="L2042" s="50" t="s">
        <v>1893</v>
      </c>
      <c r="M2042" s="50" t="s">
        <v>4530</v>
      </c>
      <c r="N2042" s="50" t="s">
        <v>4527</v>
      </c>
      <c r="O2042" s="50" t="s">
        <v>4527</v>
      </c>
      <c r="P2042" s="50" t="s">
        <v>4527</v>
      </c>
    </row>
    <row r="2043" spans="1:16" ht="12.75" customHeight="1" x14ac:dyDescent="0.25">
      <c r="A2043" s="311">
        <v>2040</v>
      </c>
      <c r="B2043" s="311" t="s">
        <v>84</v>
      </c>
      <c r="C2043" s="311" t="s">
        <v>462</v>
      </c>
      <c r="D2043" s="311" t="s">
        <v>462</v>
      </c>
      <c r="E2043" s="337" t="s">
        <v>462</v>
      </c>
      <c r="F2043" s="311" t="s">
        <v>286</v>
      </c>
      <c r="G2043" s="311" t="s">
        <v>23</v>
      </c>
      <c r="H2043" s="311" t="s">
        <v>352</v>
      </c>
      <c r="I2043" s="311" t="s">
        <v>56</v>
      </c>
      <c r="J2043" s="50" t="s">
        <v>1892</v>
      </c>
      <c r="K2043" s="50" t="s">
        <v>1892</v>
      </c>
      <c r="L2043" s="50" t="s">
        <v>1893</v>
      </c>
      <c r="M2043" s="50" t="s">
        <v>4531</v>
      </c>
      <c r="N2043" s="50" t="s">
        <v>4527</v>
      </c>
      <c r="O2043" s="50" t="s">
        <v>4527</v>
      </c>
      <c r="P2043" s="50" t="s">
        <v>4527</v>
      </c>
    </row>
    <row r="2044" spans="1:16" ht="12.75" customHeight="1" x14ac:dyDescent="0.25">
      <c r="A2044" s="311">
        <v>2041</v>
      </c>
      <c r="B2044" s="311" t="s">
        <v>123</v>
      </c>
      <c r="C2044" s="311" t="s">
        <v>462</v>
      </c>
      <c r="D2044" s="311" t="s">
        <v>462</v>
      </c>
      <c r="E2044" s="337" t="s">
        <v>462</v>
      </c>
      <c r="F2044" s="311" t="s">
        <v>286</v>
      </c>
      <c r="G2044" s="311" t="s">
        <v>23</v>
      </c>
      <c r="H2044" s="311" t="s">
        <v>352</v>
      </c>
      <c r="I2044" s="311" t="s">
        <v>56</v>
      </c>
      <c r="J2044" s="50" t="s">
        <v>1892</v>
      </c>
      <c r="K2044" s="50" t="s">
        <v>1892</v>
      </c>
      <c r="L2044" s="50" t="s">
        <v>1893</v>
      </c>
      <c r="M2044" s="50" t="s">
        <v>4532</v>
      </c>
      <c r="N2044" s="50" t="s">
        <v>4527</v>
      </c>
      <c r="O2044" s="50" t="s">
        <v>4527</v>
      </c>
      <c r="P2044" s="50" t="s">
        <v>4527</v>
      </c>
    </row>
    <row r="2045" spans="1:16" ht="12.75" customHeight="1" x14ac:dyDescent="0.25">
      <c r="A2045" s="311">
        <v>2042</v>
      </c>
      <c r="B2045" s="311" t="s">
        <v>75</v>
      </c>
      <c r="C2045" s="311" t="s">
        <v>462</v>
      </c>
      <c r="D2045" s="311" t="s">
        <v>462</v>
      </c>
      <c r="E2045" s="337" t="s">
        <v>462</v>
      </c>
      <c r="F2045" s="311" t="s">
        <v>286</v>
      </c>
      <c r="G2045" s="311" t="s">
        <v>23</v>
      </c>
      <c r="H2045" s="311" t="s">
        <v>352</v>
      </c>
      <c r="I2045" s="311" t="s">
        <v>56</v>
      </c>
      <c r="J2045" s="50" t="s">
        <v>1892</v>
      </c>
      <c r="K2045" s="50" t="s">
        <v>1892</v>
      </c>
      <c r="L2045" s="50" t="s">
        <v>1893</v>
      </c>
      <c r="M2045" s="50" t="s">
        <v>4533</v>
      </c>
      <c r="N2045" s="50" t="s">
        <v>4527</v>
      </c>
      <c r="O2045" s="50" t="s">
        <v>4527</v>
      </c>
      <c r="P2045" s="50" t="s">
        <v>4527</v>
      </c>
    </row>
    <row r="2046" spans="1:16" ht="12.75" customHeight="1" x14ac:dyDescent="0.25">
      <c r="A2046" s="311">
        <v>2043</v>
      </c>
      <c r="B2046" s="311" t="s">
        <v>72</v>
      </c>
      <c r="C2046" s="311" t="s">
        <v>462</v>
      </c>
      <c r="D2046" s="311" t="s">
        <v>462</v>
      </c>
      <c r="E2046" s="337" t="s">
        <v>462</v>
      </c>
      <c r="F2046" s="311" t="s">
        <v>286</v>
      </c>
      <c r="G2046" s="311" t="s">
        <v>237</v>
      </c>
      <c r="H2046" s="311" t="s">
        <v>352</v>
      </c>
      <c r="I2046" s="311" t="s">
        <v>56</v>
      </c>
      <c r="J2046" s="50" t="s">
        <v>1892</v>
      </c>
      <c r="K2046" s="50" t="s">
        <v>1892</v>
      </c>
      <c r="L2046" s="50" t="s">
        <v>1893</v>
      </c>
      <c r="M2046" s="50" t="s">
        <v>4534</v>
      </c>
      <c r="N2046" s="50" t="s">
        <v>4535</v>
      </c>
      <c r="O2046" s="50" t="s">
        <v>4535</v>
      </c>
      <c r="P2046" s="50" t="s">
        <v>4535</v>
      </c>
    </row>
    <row r="2047" spans="1:16" ht="12.75" customHeight="1" x14ac:dyDescent="0.25">
      <c r="A2047" s="311">
        <v>2044</v>
      </c>
      <c r="B2047" s="311" t="s">
        <v>99</v>
      </c>
      <c r="C2047" s="311" t="s">
        <v>462</v>
      </c>
      <c r="D2047" s="311" t="s">
        <v>462</v>
      </c>
      <c r="E2047" s="337" t="s">
        <v>462</v>
      </c>
      <c r="F2047" s="311" t="s">
        <v>286</v>
      </c>
      <c r="G2047" s="311" t="s">
        <v>237</v>
      </c>
      <c r="H2047" s="311" t="s">
        <v>352</v>
      </c>
      <c r="I2047" s="311" t="s">
        <v>56</v>
      </c>
      <c r="J2047" s="50" t="s">
        <v>1892</v>
      </c>
      <c r="K2047" s="50" t="s">
        <v>1892</v>
      </c>
      <c r="L2047" s="50" t="s">
        <v>1893</v>
      </c>
      <c r="M2047" s="50" t="s">
        <v>4536</v>
      </c>
      <c r="N2047" s="50" t="s">
        <v>4535</v>
      </c>
      <c r="O2047" s="50" t="s">
        <v>4535</v>
      </c>
      <c r="P2047" s="50" t="s">
        <v>4535</v>
      </c>
    </row>
    <row r="2048" spans="1:16" ht="12.75" customHeight="1" x14ac:dyDescent="0.25">
      <c r="A2048" s="311">
        <v>2045</v>
      </c>
      <c r="B2048" s="311" t="s">
        <v>60</v>
      </c>
      <c r="C2048" s="311" t="s">
        <v>462</v>
      </c>
      <c r="D2048" s="311" t="s">
        <v>462</v>
      </c>
      <c r="E2048" s="337" t="s">
        <v>462</v>
      </c>
      <c r="F2048" s="311" t="s">
        <v>286</v>
      </c>
      <c r="G2048" s="311" t="s">
        <v>237</v>
      </c>
      <c r="H2048" s="311" t="s">
        <v>352</v>
      </c>
      <c r="I2048" s="311" t="s">
        <v>56</v>
      </c>
      <c r="J2048" s="50" t="s">
        <v>1892</v>
      </c>
      <c r="K2048" s="50" t="s">
        <v>1892</v>
      </c>
      <c r="L2048" s="50" t="s">
        <v>1893</v>
      </c>
      <c r="M2048" s="50" t="s">
        <v>4537</v>
      </c>
      <c r="N2048" s="50" t="s">
        <v>4535</v>
      </c>
      <c r="O2048" s="50" t="s">
        <v>4535</v>
      </c>
      <c r="P2048" s="50" t="s">
        <v>4535</v>
      </c>
    </row>
    <row r="2049" spans="1:16" ht="12.75" customHeight="1" x14ac:dyDescent="0.25">
      <c r="A2049" s="311">
        <v>2046</v>
      </c>
      <c r="B2049" s="311" t="s">
        <v>94</v>
      </c>
      <c r="C2049" s="311" t="s">
        <v>462</v>
      </c>
      <c r="D2049" s="311" t="s">
        <v>462</v>
      </c>
      <c r="E2049" s="337" t="s">
        <v>462</v>
      </c>
      <c r="F2049" s="311" t="s">
        <v>286</v>
      </c>
      <c r="G2049" s="311" t="s">
        <v>237</v>
      </c>
      <c r="H2049" s="311" t="s">
        <v>352</v>
      </c>
      <c r="I2049" s="311" t="s">
        <v>56</v>
      </c>
      <c r="J2049" s="50" t="s">
        <v>1892</v>
      </c>
      <c r="K2049" s="50" t="s">
        <v>1892</v>
      </c>
      <c r="L2049" s="50" t="s">
        <v>1893</v>
      </c>
      <c r="M2049" s="50" t="s">
        <v>4538</v>
      </c>
      <c r="N2049" s="50" t="s">
        <v>4535</v>
      </c>
      <c r="O2049" s="50" t="s">
        <v>4535</v>
      </c>
      <c r="P2049" s="50" t="s">
        <v>4535</v>
      </c>
    </row>
    <row r="2050" spans="1:16" ht="12.75" customHeight="1" x14ac:dyDescent="0.25">
      <c r="A2050" s="311">
        <v>2047</v>
      </c>
      <c r="B2050" s="311" t="s">
        <v>84</v>
      </c>
      <c r="C2050" s="311" t="s">
        <v>462</v>
      </c>
      <c r="D2050" s="311" t="s">
        <v>462</v>
      </c>
      <c r="E2050" s="337" t="s">
        <v>462</v>
      </c>
      <c r="F2050" s="311" t="s">
        <v>286</v>
      </c>
      <c r="G2050" s="311" t="s">
        <v>237</v>
      </c>
      <c r="H2050" s="311" t="s">
        <v>352</v>
      </c>
      <c r="I2050" s="311" t="s">
        <v>56</v>
      </c>
      <c r="J2050" s="50" t="s">
        <v>1892</v>
      </c>
      <c r="K2050" s="50" t="s">
        <v>1892</v>
      </c>
      <c r="L2050" s="50" t="s">
        <v>1893</v>
      </c>
      <c r="M2050" s="50" t="s">
        <v>4539</v>
      </c>
      <c r="N2050" s="50" t="s">
        <v>4535</v>
      </c>
      <c r="O2050" s="50" t="s">
        <v>4535</v>
      </c>
      <c r="P2050" s="50" t="s">
        <v>4535</v>
      </c>
    </row>
    <row r="2051" spans="1:16" ht="12.75" customHeight="1" x14ac:dyDescent="0.25">
      <c r="A2051" s="311">
        <v>2048</v>
      </c>
      <c r="B2051" s="311" t="s">
        <v>123</v>
      </c>
      <c r="C2051" s="311" t="s">
        <v>462</v>
      </c>
      <c r="D2051" s="311" t="s">
        <v>462</v>
      </c>
      <c r="E2051" s="337" t="s">
        <v>462</v>
      </c>
      <c r="F2051" s="311" t="s">
        <v>286</v>
      </c>
      <c r="G2051" s="311" t="s">
        <v>237</v>
      </c>
      <c r="H2051" s="311" t="s">
        <v>352</v>
      </c>
      <c r="I2051" s="311" t="s">
        <v>56</v>
      </c>
      <c r="J2051" s="50" t="s">
        <v>1892</v>
      </c>
      <c r="K2051" s="50" t="s">
        <v>1892</v>
      </c>
      <c r="L2051" s="50" t="s">
        <v>1893</v>
      </c>
      <c r="M2051" s="50" t="s">
        <v>4540</v>
      </c>
      <c r="N2051" s="50" t="s">
        <v>4535</v>
      </c>
      <c r="O2051" s="50" t="s">
        <v>4535</v>
      </c>
      <c r="P2051" s="50" t="s">
        <v>4535</v>
      </c>
    </row>
    <row r="2052" spans="1:16" ht="12.75" customHeight="1" x14ac:dyDescent="0.25">
      <c r="A2052" s="311">
        <v>2049</v>
      </c>
      <c r="B2052" s="311" t="s">
        <v>75</v>
      </c>
      <c r="C2052" s="311" t="s">
        <v>462</v>
      </c>
      <c r="D2052" s="311" t="s">
        <v>462</v>
      </c>
      <c r="E2052" s="337" t="s">
        <v>462</v>
      </c>
      <c r="F2052" s="311" t="s">
        <v>286</v>
      </c>
      <c r="G2052" s="311" t="s">
        <v>237</v>
      </c>
      <c r="H2052" s="311" t="s">
        <v>352</v>
      </c>
      <c r="I2052" s="311" t="s">
        <v>56</v>
      </c>
      <c r="J2052" s="50" t="s">
        <v>1892</v>
      </c>
      <c r="K2052" s="50" t="s">
        <v>1892</v>
      </c>
      <c r="L2052" s="50" t="s">
        <v>1893</v>
      </c>
      <c r="M2052" s="50" t="s">
        <v>4541</v>
      </c>
      <c r="N2052" s="50" t="s">
        <v>4535</v>
      </c>
      <c r="O2052" s="50" t="s">
        <v>4535</v>
      </c>
      <c r="P2052" s="50" t="s">
        <v>4535</v>
      </c>
    </row>
    <row r="2053" spans="1:16" ht="12.75" customHeight="1" x14ac:dyDescent="0.25">
      <c r="A2053" s="311">
        <v>2050</v>
      </c>
      <c r="B2053" s="311" t="s">
        <v>72</v>
      </c>
      <c r="C2053" s="311" t="s">
        <v>462</v>
      </c>
      <c r="D2053" s="311" t="s">
        <v>462</v>
      </c>
      <c r="E2053" s="337" t="s">
        <v>462</v>
      </c>
      <c r="F2053" s="311" t="s">
        <v>118</v>
      </c>
      <c r="G2053" s="311" t="s">
        <v>236</v>
      </c>
      <c r="H2053" s="311" t="s">
        <v>352</v>
      </c>
      <c r="I2053" s="311" t="s">
        <v>56</v>
      </c>
      <c r="J2053" s="50" t="s">
        <v>1892</v>
      </c>
      <c r="K2053" s="50" t="s">
        <v>1892</v>
      </c>
      <c r="L2053" s="50" t="s">
        <v>1893</v>
      </c>
      <c r="M2053" s="50" t="s">
        <v>4542</v>
      </c>
      <c r="N2053" s="50" t="s">
        <v>4543</v>
      </c>
      <c r="O2053" s="50" t="s">
        <v>4543</v>
      </c>
      <c r="P2053" s="50" t="s">
        <v>4543</v>
      </c>
    </row>
    <row r="2054" spans="1:16" ht="12.75" customHeight="1" x14ac:dyDescent="0.25">
      <c r="A2054" s="311">
        <v>2051</v>
      </c>
      <c r="B2054" s="311" t="s">
        <v>99</v>
      </c>
      <c r="C2054" s="311" t="s">
        <v>462</v>
      </c>
      <c r="D2054" s="311" t="s">
        <v>462</v>
      </c>
      <c r="E2054" s="337" t="s">
        <v>462</v>
      </c>
      <c r="F2054" s="311" t="s">
        <v>118</v>
      </c>
      <c r="G2054" s="311" t="s">
        <v>236</v>
      </c>
      <c r="H2054" s="311" t="s">
        <v>352</v>
      </c>
      <c r="I2054" s="311" t="s">
        <v>56</v>
      </c>
      <c r="J2054" s="50" t="s">
        <v>1892</v>
      </c>
      <c r="K2054" s="50" t="s">
        <v>1892</v>
      </c>
      <c r="L2054" s="50" t="s">
        <v>1893</v>
      </c>
      <c r="M2054" s="50" t="s">
        <v>4544</v>
      </c>
      <c r="N2054" s="50" t="s">
        <v>4543</v>
      </c>
      <c r="O2054" s="50" t="s">
        <v>4543</v>
      </c>
      <c r="P2054" s="50" t="s">
        <v>4543</v>
      </c>
    </row>
    <row r="2055" spans="1:16" ht="12.75" customHeight="1" x14ac:dyDescent="0.25">
      <c r="A2055" s="311">
        <v>2052</v>
      </c>
      <c r="B2055" s="311" t="s">
        <v>60</v>
      </c>
      <c r="C2055" s="311" t="s">
        <v>462</v>
      </c>
      <c r="D2055" s="311" t="s">
        <v>462</v>
      </c>
      <c r="E2055" s="337" t="s">
        <v>462</v>
      </c>
      <c r="F2055" s="311" t="s">
        <v>118</v>
      </c>
      <c r="G2055" s="311" t="s">
        <v>236</v>
      </c>
      <c r="H2055" s="311" t="s">
        <v>352</v>
      </c>
      <c r="I2055" s="311" t="s">
        <v>56</v>
      </c>
      <c r="J2055" s="50" t="s">
        <v>1892</v>
      </c>
      <c r="K2055" s="50" t="s">
        <v>1892</v>
      </c>
      <c r="L2055" s="50" t="s">
        <v>1893</v>
      </c>
      <c r="M2055" s="50" t="s">
        <v>4545</v>
      </c>
      <c r="N2055" s="50" t="s">
        <v>4543</v>
      </c>
      <c r="O2055" s="50" t="s">
        <v>4543</v>
      </c>
      <c r="P2055" s="50" t="s">
        <v>4543</v>
      </c>
    </row>
    <row r="2056" spans="1:16" ht="12.75" customHeight="1" x14ac:dyDescent="0.25">
      <c r="A2056" s="311">
        <v>2053</v>
      </c>
      <c r="B2056" s="311" t="s">
        <v>94</v>
      </c>
      <c r="C2056" s="311" t="s">
        <v>462</v>
      </c>
      <c r="D2056" s="311" t="s">
        <v>462</v>
      </c>
      <c r="E2056" s="337" t="s">
        <v>462</v>
      </c>
      <c r="F2056" s="311" t="s">
        <v>118</v>
      </c>
      <c r="G2056" s="311" t="s">
        <v>236</v>
      </c>
      <c r="H2056" s="311" t="s">
        <v>352</v>
      </c>
      <c r="I2056" s="311" t="s">
        <v>56</v>
      </c>
      <c r="J2056" s="50" t="s">
        <v>1892</v>
      </c>
      <c r="K2056" s="50" t="s">
        <v>1892</v>
      </c>
      <c r="L2056" s="50" t="s">
        <v>1893</v>
      </c>
      <c r="M2056" s="50" t="s">
        <v>4546</v>
      </c>
      <c r="N2056" s="50" t="s">
        <v>4543</v>
      </c>
      <c r="O2056" s="50" t="s">
        <v>4543</v>
      </c>
      <c r="P2056" s="50" t="s">
        <v>4543</v>
      </c>
    </row>
    <row r="2057" spans="1:16" ht="12.75" customHeight="1" x14ac:dyDescent="0.25">
      <c r="A2057" s="311">
        <v>2054</v>
      </c>
      <c r="B2057" s="311" t="s">
        <v>84</v>
      </c>
      <c r="C2057" s="311" t="s">
        <v>462</v>
      </c>
      <c r="D2057" s="311" t="s">
        <v>462</v>
      </c>
      <c r="E2057" s="337" t="s">
        <v>462</v>
      </c>
      <c r="F2057" s="311" t="s">
        <v>118</v>
      </c>
      <c r="G2057" s="311" t="s">
        <v>236</v>
      </c>
      <c r="H2057" s="311" t="s">
        <v>352</v>
      </c>
      <c r="I2057" s="311" t="s">
        <v>56</v>
      </c>
      <c r="J2057" s="50" t="s">
        <v>1892</v>
      </c>
      <c r="K2057" s="50" t="s">
        <v>1892</v>
      </c>
      <c r="L2057" s="50" t="s">
        <v>1893</v>
      </c>
      <c r="M2057" s="50" t="s">
        <v>4547</v>
      </c>
      <c r="N2057" s="50" t="s">
        <v>4543</v>
      </c>
      <c r="O2057" s="50" t="s">
        <v>4543</v>
      </c>
      <c r="P2057" s="50" t="s">
        <v>4543</v>
      </c>
    </row>
    <row r="2058" spans="1:16" ht="12.75" customHeight="1" x14ac:dyDescent="0.25">
      <c r="A2058" s="311">
        <v>2055</v>
      </c>
      <c r="B2058" s="311" t="s">
        <v>123</v>
      </c>
      <c r="C2058" s="311" t="s">
        <v>462</v>
      </c>
      <c r="D2058" s="311" t="s">
        <v>462</v>
      </c>
      <c r="E2058" s="337" t="s">
        <v>462</v>
      </c>
      <c r="F2058" s="311" t="s">
        <v>118</v>
      </c>
      <c r="G2058" s="311" t="s">
        <v>236</v>
      </c>
      <c r="H2058" s="311" t="s">
        <v>352</v>
      </c>
      <c r="I2058" s="311" t="s">
        <v>56</v>
      </c>
      <c r="J2058" s="50" t="s">
        <v>1892</v>
      </c>
      <c r="K2058" s="50" t="s">
        <v>1892</v>
      </c>
      <c r="L2058" s="50" t="s">
        <v>1893</v>
      </c>
      <c r="M2058" s="50" t="s">
        <v>4548</v>
      </c>
      <c r="N2058" s="50" t="s">
        <v>4543</v>
      </c>
      <c r="O2058" s="50" t="s">
        <v>4543</v>
      </c>
      <c r="P2058" s="50" t="s">
        <v>4543</v>
      </c>
    </row>
    <row r="2059" spans="1:16" ht="12.75" customHeight="1" x14ac:dyDescent="0.25">
      <c r="A2059" s="311">
        <v>2056</v>
      </c>
      <c r="B2059" s="311" t="s">
        <v>75</v>
      </c>
      <c r="C2059" s="311" t="s">
        <v>462</v>
      </c>
      <c r="D2059" s="311" t="s">
        <v>462</v>
      </c>
      <c r="E2059" s="337" t="s">
        <v>462</v>
      </c>
      <c r="F2059" s="311" t="s">
        <v>118</v>
      </c>
      <c r="G2059" s="311" t="s">
        <v>236</v>
      </c>
      <c r="H2059" s="311" t="s">
        <v>352</v>
      </c>
      <c r="I2059" s="311" t="s">
        <v>56</v>
      </c>
      <c r="J2059" s="50" t="s">
        <v>1892</v>
      </c>
      <c r="K2059" s="50" t="s">
        <v>1892</v>
      </c>
      <c r="L2059" s="50" t="s">
        <v>1893</v>
      </c>
      <c r="M2059" s="50" t="s">
        <v>4549</v>
      </c>
      <c r="N2059" s="50" t="s">
        <v>4543</v>
      </c>
      <c r="O2059" s="50" t="s">
        <v>4543</v>
      </c>
      <c r="P2059" s="50" t="s">
        <v>4543</v>
      </c>
    </row>
    <row r="2060" spans="1:16" ht="12.75" customHeight="1" x14ac:dyDescent="0.25">
      <c r="A2060" s="311">
        <v>2057</v>
      </c>
      <c r="B2060" s="311" t="s">
        <v>72</v>
      </c>
      <c r="C2060" s="311" t="s">
        <v>462</v>
      </c>
      <c r="D2060" s="311" t="s">
        <v>462</v>
      </c>
      <c r="E2060" s="337" t="s">
        <v>462</v>
      </c>
      <c r="F2060" s="311" t="s">
        <v>118</v>
      </c>
      <c r="G2060" s="311" t="s">
        <v>23</v>
      </c>
      <c r="H2060" s="311" t="s">
        <v>352</v>
      </c>
      <c r="I2060" s="311" t="s">
        <v>56</v>
      </c>
      <c r="J2060" s="50" t="s">
        <v>1892</v>
      </c>
      <c r="K2060" s="50" t="s">
        <v>1892</v>
      </c>
      <c r="L2060" s="50" t="s">
        <v>1893</v>
      </c>
      <c r="M2060" s="50" t="s">
        <v>4550</v>
      </c>
      <c r="N2060" s="50" t="s">
        <v>4551</v>
      </c>
      <c r="O2060" s="50" t="s">
        <v>4551</v>
      </c>
      <c r="P2060" s="50" t="s">
        <v>4551</v>
      </c>
    </row>
    <row r="2061" spans="1:16" ht="12.75" customHeight="1" x14ac:dyDescent="0.25">
      <c r="A2061" s="311">
        <v>2058</v>
      </c>
      <c r="B2061" s="311" t="s">
        <v>99</v>
      </c>
      <c r="C2061" s="311" t="s">
        <v>462</v>
      </c>
      <c r="D2061" s="311" t="s">
        <v>462</v>
      </c>
      <c r="E2061" s="337" t="s">
        <v>462</v>
      </c>
      <c r="F2061" s="311" t="s">
        <v>118</v>
      </c>
      <c r="G2061" s="311" t="s">
        <v>23</v>
      </c>
      <c r="H2061" s="311" t="s">
        <v>352</v>
      </c>
      <c r="I2061" s="311" t="s">
        <v>56</v>
      </c>
      <c r="J2061" s="50" t="s">
        <v>1892</v>
      </c>
      <c r="K2061" s="50" t="s">
        <v>1892</v>
      </c>
      <c r="L2061" s="50" t="s">
        <v>1893</v>
      </c>
      <c r="M2061" s="50" t="s">
        <v>4552</v>
      </c>
      <c r="N2061" s="50" t="s">
        <v>4551</v>
      </c>
      <c r="O2061" s="50" t="s">
        <v>4551</v>
      </c>
      <c r="P2061" s="50" t="s">
        <v>4551</v>
      </c>
    </row>
    <row r="2062" spans="1:16" ht="12.75" customHeight="1" x14ac:dyDescent="0.25">
      <c r="A2062" s="311">
        <v>2059</v>
      </c>
      <c r="B2062" s="311" t="s">
        <v>60</v>
      </c>
      <c r="C2062" s="311" t="s">
        <v>462</v>
      </c>
      <c r="D2062" s="311" t="s">
        <v>462</v>
      </c>
      <c r="E2062" s="337" t="s">
        <v>462</v>
      </c>
      <c r="F2062" s="311" t="s">
        <v>118</v>
      </c>
      <c r="G2062" s="311" t="s">
        <v>23</v>
      </c>
      <c r="H2062" s="311" t="s">
        <v>352</v>
      </c>
      <c r="I2062" s="311" t="s">
        <v>56</v>
      </c>
      <c r="J2062" s="50" t="s">
        <v>1892</v>
      </c>
      <c r="K2062" s="50" t="s">
        <v>1892</v>
      </c>
      <c r="L2062" s="50" t="s">
        <v>1893</v>
      </c>
      <c r="M2062" s="50" t="s">
        <v>4553</v>
      </c>
      <c r="N2062" s="50" t="s">
        <v>4551</v>
      </c>
      <c r="O2062" s="50" t="s">
        <v>4551</v>
      </c>
      <c r="P2062" s="50" t="s">
        <v>4551</v>
      </c>
    </row>
    <row r="2063" spans="1:16" ht="12.75" customHeight="1" x14ac:dyDescent="0.25">
      <c r="A2063" s="311">
        <v>2060</v>
      </c>
      <c r="B2063" s="311" t="s">
        <v>94</v>
      </c>
      <c r="C2063" s="311" t="s">
        <v>462</v>
      </c>
      <c r="D2063" s="311" t="s">
        <v>462</v>
      </c>
      <c r="E2063" s="337" t="s">
        <v>462</v>
      </c>
      <c r="F2063" s="311" t="s">
        <v>118</v>
      </c>
      <c r="G2063" s="311" t="s">
        <v>23</v>
      </c>
      <c r="H2063" s="311" t="s">
        <v>352</v>
      </c>
      <c r="I2063" s="311" t="s">
        <v>56</v>
      </c>
      <c r="J2063" s="50" t="s">
        <v>1892</v>
      </c>
      <c r="K2063" s="50" t="s">
        <v>1892</v>
      </c>
      <c r="L2063" s="50" t="s">
        <v>1893</v>
      </c>
      <c r="M2063" s="50" t="s">
        <v>4554</v>
      </c>
      <c r="N2063" s="50" t="s">
        <v>4551</v>
      </c>
      <c r="O2063" s="50" t="s">
        <v>4551</v>
      </c>
      <c r="P2063" s="50" t="s">
        <v>4551</v>
      </c>
    </row>
    <row r="2064" spans="1:16" ht="12.75" customHeight="1" x14ac:dyDescent="0.25">
      <c r="A2064" s="311">
        <v>2061</v>
      </c>
      <c r="B2064" s="311" t="s">
        <v>84</v>
      </c>
      <c r="C2064" s="311" t="s">
        <v>462</v>
      </c>
      <c r="D2064" s="311" t="s">
        <v>462</v>
      </c>
      <c r="E2064" s="337" t="s">
        <v>462</v>
      </c>
      <c r="F2064" s="311" t="s">
        <v>118</v>
      </c>
      <c r="G2064" s="311" t="s">
        <v>23</v>
      </c>
      <c r="H2064" s="311" t="s">
        <v>352</v>
      </c>
      <c r="I2064" s="311" t="s">
        <v>56</v>
      </c>
      <c r="J2064" s="50" t="s">
        <v>1892</v>
      </c>
      <c r="K2064" s="50" t="s">
        <v>1892</v>
      </c>
      <c r="L2064" s="50" t="s">
        <v>1893</v>
      </c>
      <c r="M2064" s="50" t="s">
        <v>4555</v>
      </c>
      <c r="N2064" s="50" t="s">
        <v>4551</v>
      </c>
      <c r="O2064" s="50" t="s">
        <v>4551</v>
      </c>
      <c r="P2064" s="50" t="s">
        <v>4551</v>
      </c>
    </row>
    <row r="2065" spans="1:16" ht="12.75" customHeight="1" x14ac:dyDescent="0.25">
      <c r="A2065" s="311">
        <v>2062</v>
      </c>
      <c r="B2065" s="311" t="s">
        <v>123</v>
      </c>
      <c r="C2065" s="311" t="s">
        <v>462</v>
      </c>
      <c r="D2065" s="311" t="s">
        <v>462</v>
      </c>
      <c r="E2065" s="337" t="s">
        <v>462</v>
      </c>
      <c r="F2065" s="311" t="s">
        <v>118</v>
      </c>
      <c r="G2065" s="311" t="s">
        <v>23</v>
      </c>
      <c r="H2065" s="311" t="s">
        <v>352</v>
      </c>
      <c r="I2065" s="311" t="s">
        <v>56</v>
      </c>
      <c r="J2065" s="50" t="s">
        <v>1892</v>
      </c>
      <c r="K2065" s="50" t="s">
        <v>1892</v>
      </c>
      <c r="L2065" s="50" t="s">
        <v>1893</v>
      </c>
      <c r="M2065" s="50" t="s">
        <v>4556</v>
      </c>
      <c r="N2065" s="50" t="s">
        <v>4551</v>
      </c>
      <c r="O2065" s="50" t="s">
        <v>4551</v>
      </c>
      <c r="P2065" s="50" t="s">
        <v>4551</v>
      </c>
    </row>
    <row r="2066" spans="1:16" ht="12.75" customHeight="1" x14ac:dyDescent="0.25">
      <c r="A2066" s="311">
        <v>2063</v>
      </c>
      <c r="B2066" s="311" t="s">
        <v>75</v>
      </c>
      <c r="C2066" s="311" t="s">
        <v>462</v>
      </c>
      <c r="D2066" s="311" t="s">
        <v>462</v>
      </c>
      <c r="E2066" s="337" t="s">
        <v>462</v>
      </c>
      <c r="F2066" s="311" t="s">
        <v>118</v>
      </c>
      <c r="G2066" s="311" t="s">
        <v>23</v>
      </c>
      <c r="H2066" s="311" t="s">
        <v>352</v>
      </c>
      <c r="I2066" s="311" t="s">
        <v>56</v>
      </c>
      <c r="J2066" s="50" t="s">
        <v>1892</v>
      </c>
      <c r="K2066" s="50" t="s">
        <v>1892</v>
      </c>
      <c r="L2066" s="50" t="s">
        <v>1893</v>
      </c>
      <c r="M2066" s="50" t="s">
        <v>4557</v>
      </c>
      <c r="N2066" s="50" t="s">
        <v>4551</v>
      </c>
      <c r="O2066" s="50" t="s">
        <v>4551</v>
      </c>
      <c r="P2066" s="50" t="s">
        <v>4551</v>
      </c>
    </row>
    <row r="2067" spans="1:16" ht="12.75" customHeight="1" x14ac:dyDescent="0.25">
      <c r="A2067" s="311">
        <v>2064</v>
      </c>
      <c r="B2067" s="311" t="s">
        <v>72</v>
      </c>
      <c r="C2067" s="311" t="s">
        <v>462</v>
      </c>
      <c r="D2067" s="311" t="s">
        <v>462</v>
      </c>
      <c r="E2067" s="337" t="s">
        <v>462</v>
      </c>
      <c r="F2067" s="311" t="s">
        <v>118</v>
      </c>
      <c r="G2067" s="311" t="s">
        <v>237</v>
      </c>
      <c r="H2067" s="311" t="s">
        <v>352</v>
      </c>
      <c r="I2067" s="311" t="s">
        <v>56</v>
      </c>
      <c r="J2067" s="50" t="s">
        <v>1892</v>
      </c>
      <c r="K2067" s="50" t="s">
        <v>1892</v>
      </c>
      <c r="L2067" s="50" t="s">
        <v>1893</v>
      </c>
      <c r="M2067" s="50" t="s">
        <v>4558</v>
      </c>
      <c r="N2067" s="50" t="s">
        <v>4559</v>
      </c>
      <c r="O2067" s="50" t="s">
        <v>4559</v>
      </c>
      <c r="P2067" s="50" t="s">
        <v>4559</v>
      </c>
    </row>
    <row r="2068" spans="1:16" ht="12.75" customHeight="1" x14ac:dyDescent="0.25">
      <c r="A2068" s="311">
        <v>2065</v>
      </c>
      <c r="B2068" s="311" t="s">
        <v>99</v>
      </c>
      <c r="C2068" s="311" t="s">
        <v>462</v>
      </c>
      <c r="D2068" s="311" t="s">
        <v>462</v>
      </c>
      <c r="E2068" s="337" t="s">
        <v>462</v>
      </c>
      <c r="F2068" s="311" t="s">
        <v>118</v>
      </c>
      <c r="G2068" s="311" t="s">
        <v>237</v>
      </c>
      <c r="H2068" s="311" t="s">
        <v>352</v>
      </c>
      <c r="I2068" s="311" t="s">
        <v>56</v>
      </c>
      <c r="J2068" s="50" t="s">
        <v>1892</v>
      </c>
      <c r="K2068" s="50" t="s">
        <v>1892</v>
      </c>
      <c r="L2068" s="50" t="s">
        <v>1893</v>
      </c>
      <c r="M2068" s="50" t="s">
        <v>4560</v>
      </c>
      <c r="N2068" s="50" t="s">
        <v>4559</v>
      </c>
      <c r="O2068" s="50" t="s">
        <v>4559</v>
      </c>
      <c r="P2068" s="50" t="s">
        <v>4559</v>
      </c>
    </row>
    <row r="2069" spans="1:16" ht="12.75" customHeight="1" x14ac:dyDescent="0.25">
      <c r="A2069" s="311">
        <v>2066</v>
      </c>
      <c r="B2069" s="311" t="s">
        <v>60</v>
      </c>
      <c r="C2069" s="311" t="s">
        <v>462</v>
      </c>
      <c r="D2069" s="311" t="s">
        <v>462</v>
      </c>
      <c r="E2069" s="337" t="s">
        <v>462</v>
      </c>
      <c r="F2069" s="311" t="s">
        <v>118</v>
      </c>
      <c r="G2069" s="311" t="s">
        <v>237</v>
      </c>
      <c r="H2069" s="311" t="s">
        <v>352</v>
      </c>
      <c r="I2069" s="311" t="s">
        <v>56</v>
      </c>
      <c r="J2069" s="50" t="s">
        <v>1892</v>
      </c>
      <c r="K2069" s="50" t="s">
        <v>1892</v>
      </c>
      <c r="L2069" s="50" t="s">
        <v>1893</v>
      </c>
      <c r="M2069" s="50" t="s">
        <v>4561</v>
      </c>
      <c r="N2069" s="50" t="s">
        <v>4559</v>
      </c>
      <c r="O2069" s="50" t="s">
        <v>4559</v>
      </c>
      <c r="P2069" s="50" t="s">
        <v>4559</v>
      </c>
    </row>
    <row r="2070" spans="1:16" ht="12.75" customHeight="1" x14ac:dyDescent="0.25">
      <c r="A2070" s="311">
        <v>2067</v>
      </c>
      <c r="B2070" s="311" t="s">
        <v>94</v>
      </c>
      <c r="C2070" s="311" t="s">
        <v>462</v>
      </c>
      <c r="D2070" s="311" t="s">
        <v>462</v>
      </c>
      <c r="E2070" s="337" t="s">
        <v>462</v>
      </c>
      <c r="F2070" s="311" t="s">
        <v>118</v>
      </c>
      <c r="G2070" s="311" t="s">
        <v>237</v>
      </c>
      <c r="H2070" s="311" t="s">
        <v>352</v>
      </c>
      <c r="I2070" s="311" t="s">
        <v>56</v>
      </c>
      <c r="J2070" s="50" t="s">
        <v>1892</v>
      </c>
      <c r="K2070" s="50" t="s">
        <v>1892</v>
      </c>
      <c r="L2070" s="50" t="s">
        <v>1893</v>
      </c>
      <c r="M2070" s="50" t="s">
        <v>4562</v>
      </c>
      <c r="N2070" s="50" t="s">
        <v>4559</v>
      </c>
      <c r="O2070" s="50" t="s">
        <v>4559</v>
      </c>
      <c r="P2070" s="50" t="s">
        <v>4559</v>
      </c>
    </row>
    <row r="2071" spans="1:16" ht="12.75" customHeight="1" x14ac:dyDescent="0.25">
      <c r="A2071" s="311">
        <v>2068</v>
      </c>
      <c r="B2071" s="311" t="s">
        <v>84</v>
      </c>
      <c r="C2071" s="311" t="s">
        <v>462</v>
      </c>
      <c r="D2071" s="311" t="s">
        <v>462</v>
      </c>
      <c r="E2071" s="337" t="s">
        <v>462</v>
      </c>
      <c r="F2071" s="311" t="s">
        <v>118</v>
      </c>
      <c r="G2071" s="311" t="s">
        <v>237</v>
      </c>
      <c r="H2071" s="311" t="s">
        <v>352</v>
      </c>
      <c r="I2071" s="311" t="s">
        <v>56</v>
      </c>
      <c r="J2071" s="50" t="s">
        <v>1892</v>
      </c>
      <c r="K2071" s="50" t="s">
        <v>1892</v>
      </c>
      <c r="L2071" s="50" t="s">
        <v>1893</v>
      </c>
      <c r="M2071" s="50" t="s">
        <v>4563</v>
      </c>
      <c r="N2071" s="50" t="s">
        <v>4559</v>
      </c>
      <c r="O2071" s="50" t="s">
        <v>4559</v>
      </c>
      <c r="P2071" s="50" t="s">
        <v>4559</v>
      </c>
    </row>
    <row r="2072" spans="1:16" ht="12.75" customHeight="1" x14ac:dyDescent="0.25">
      <c r="A2072" s="311">
        <v>2069</v>
      </c>
      <c r="B2072" s="311" t="s">
        <v>123</v>
      </c>
      <c r="C2072" s="311" t="s">
        <v>462</v>
      </c>
      <c r="D2072" s="311" t="s">
        <v>462</v>
      </c>
      <c r="E2072" s="337" t="s">
        <v>462</v>
      </c>
      <c r="F2072" s="311" t="s">
        <v>118</v>
      </c>
      <c r="G2072" s="311" t="s">
        <v>237</v>
      </c>
      <c r="H2072" s="311" t="s">
        <v>352</v>
      </c>
      <c r="I2072" s="311" t="s">
        <v>56</v>
      </c>
      <c r="J2072" s="50" t="s">
        <v>1892</v>
      </c>
      <c r="K2072" s="50" t="s">
        <v>1892</v>
      </c>
      <c r="L2072" s="50" t="s">
        <v>1893</v>
      </c>
      <c r="M2072" s="50" t="s">
        <v>4564</v>
      </c>
      <c r="N2072" s="50" t="s">
        <v>4559</v>
      </c>
      <c r="O2072" s="50" t="s">
        <v>4559</v>
      </c>
      <c r="P2072" s="50" t="s">
        <v>4559</v>
      </c>
    </row>
    <row r="2073" spans="1:16" ht="12.75" customHeight="1" x14ac:dyDescent="0.25">
      <c r="A2073" s="311">
        <v>2070</v>
      </c>
      <c r="B2073" s="311" t="s">
        <v>75</v>
      </c>
      <c r="C2073" s="311" t="s">
        <v>462</v>
      </c>
      <c r="D2073" s="311" t="s">
        <v>462</v>
      </c>
      <c r="E2073" s="337" t="s">
        <v>462</v>
      </c>
      <c r="F2073" s="311" t="s">
        <v>118</v>
      </c>
      <c r="G2073" s="311" t="s">
        <v>237</v>
      </c>
      <c r="H2073" s="311" t="s">
        <v>352</v>
      </c>
      <c r="I2073" s="311" t="s">
        <v>56</v>
      </c>
      <c r="J2073" s="50" t="s">
        <v>1892</v>
      </c>
      <c r="K2073" s="50" t="s">
        <v>1892</v>
      </c>
      <c r="L2073" s="50" t="s">
        <v>1893</v>
      </c>
      <c r="M2073" s="50" t="s">
        <v>4565</v>
      </c>
      <c r="N2073" s="50" t="s">
        <v>4559</v>
      </c>
      <c r="O2073" s="50" t="s">
        <v>4559</v>
      </c>
      <c r="P2073" s="50" t="s">
        <v>4559</v>
      </c>
    </row>
    <row r="2074" spans="1:16" ht="12.75" customHeight="1" x14ac:dyDescent="0.25">
      <c r="A2074" s="311">
        <v>2071</v>
      </c>
      <c r="B2074" s="311" t="s">
        <v>63</v>
      </c>
      <c r="C2074" s="311" t="s">
        <v>63</v>
      </c>
      <c r="D2074" s="311" t="s">
        <v>462</v>
      </c>
      <c r="E2074" s="337" t="s">
        <v>63</v>
      </c>
      <c r="F2074" s="311" t="s">
        <v>264</v>
      </c>
      <c r="G2074" s="311" t="s">
        <v>236</v>
      </c>
      <c r="H2074" s="311" t="s">
        <v>351</v>
      </c>
      <c r="I2074" s="311" t="s">
        <v>66</v>
      </c>
      <c r="J2074" s="50" t="s">
        <v>1892</v>
      </c>
      <c r="K2074" s="50" t="s">
        <v>1892</v>
      </c>
      <c r="L2074" s="50" t="s">
        <v>1893</v>
      </c>
      <c r="M2074" s="50" t="s">
        <v>4566</v>
      </c>
      <c r="N2074" s="50" t="s">
        <v>4566</v>
      </c>
      <c r="O2074" s="50" t="s">
        <v>4447</v>
      </c>
      <c r="P2074" s="50" t="s">
        <v>4566</v>
      </c>
    </row>
    <row r="2075" spans="1:16" ht="12.75" customHeight="1" x14ac:dyDescent="0.25">
      <c r="A2075" s="311">
        <v>2072</v>
      </c>
      <c r="B2075" s="311" t="s">
        <v>140</v>
      </c>
      <c r="C2075" s="311" t="s">
        <v>140</v>
      </c>
      <c r="D2075" s="311" t="s">
        <v>462</v>
      </c>
      <c r="E2075" s="337" t="s">
        <v>140</v>
      </c>
      <c r="F2075" s="311" t="s">
        <v>264</v>
      </c>
      <c r="G2075" s="311" t="s">
        <v>236</v>
      </c>
      <c r="H2075" s="311" t="s">
        <v>351</v>
      </c>
      <c r="I2075" s="311" t="s">
        <v>66</v>
      </c>
      <c r="J2075" s="50" t="s">
        <v>1892</v>
      </c>
      <c r="K2075" s="50" t="s">
        <v>1892</v>
      </c>
      <c r="L2075" s="50" t="s">
        <v>1893</v>
      </c>
      <c r="M2075" s="50" t="s">
        <v>4567</v>
      </c>
      <c r="N2075" s="50" t="s">
        <v>4567</v>
      </c>
      <c r="O2075" s="50" t="s">
        <v>4447</v>
      </c>
      <c r="P2075" s="50" t="s">
        <v>4567</v>
      </c>
    </row>
    <row r="2076" spans="1:16" ht="12.75" customHeight="1" x14ac:dyDescent="0.25">
      <c r="A2076" s="311">
        <v>2073</v>
      </c>
      <c r="B2076" s="311" t="s">
        <v>121</v>
      </c>
      <c r="C2076" s="311" t="s">
        <v>121</v>
      </c>
      <c r="D2076" s="311" t="s">
        <v>462</v>
      </c>
      <c r="E2076" s="337" t="s">
        <v>121</v>
      </c>
      <c r="F2076" s="311" t="s">
        <v>264</v>
      </c>
      <c r="G2076" s="311" t="s">
        <v>236</v>
      </c>
      <c r="H2076" s="311" t="s">
        <v>351</v>
      </c>
      <c r="I2076" s="311" t="s">
        <v>66</v>
      </c>
      <c r="J2076" s="50" t="s">
        <v>1892</v>
      </c>
      <c r="K2076" s="50" t="s">
        <v>1892</v>
      </c>
      <c r="L2076" s="50" t="s">
        <v>1893</v>
      </c>
      <c r="M2076" s="50" t="s">
        <v>4568</v>
      </c>
      <c r="N2076" s="50" t="s">
        <v>4568</v>
      </c>
      <c r="O2076" s="50" t="s">
        <v>4447</v>
      </c>
      <c r="P2076" s="50" t="s">
        <v>4568</v>
      </c>
    </row>
    <row r="2077" spans="1:16" ht="12.75" customHeight="1" x14ac:dyDescent="0.25">
      <c r="A2077" s="311">
        <v>2074</v>
      </c>
      <c r="B2077" s="311" t="s">
        <v>87</v>
      </c>
      <c r="C2077" s="311" t="s">
        <v>87</v>
      </c>
      <c r="D2077" s="311" t="s">
        <v>462</v>
      </c>
      <c r="E2077" s="337" t="s">
        <v>87</v>
      </c>
      <c r="F2077" s="311" t="s">
        <v>264</v>
      </c>
      <c r="G2077" s="311" t="s">
        <v>236</v>
      </c>
      <c r="H2077" s="311" t="s">
        <v>351</v>
      </c>
      <c r="I2077" s="311" t="s">
        <v>66</v>
      </c>
      <c r="J2077" s="50" t="s">
        <v>1892</v>
      </c>
      <c r="K2077" s="50" t="s">
        <v>1892</v>
      </c>
      <c r="L2077" s="50" t="s">
        <v>1893</v>
      </c>
      <c r="M2077" s="50" t="s">
        <v>4569</v>
      </c>
      <c r="N2077" s="50" t="s">
        <v>4569</v>
      </c>
      <c r="O2077" s="50" t="s">
        <v>4447</v>
      </c>
      <c r="P2077" s="50" t="s">
        <v>4569</v>
      </c>
    </row>
    <row r="2078" spans="1:16" ht="12.75" customHeight="1" x14ac:dyDescent="0.25">
      <c r="A2078" s="311">
        <v>2075</v>
      </c>
      <c r="B2078" s="311" t="s">
        <v>125</v>
      </c>
      <c r="C2078" s="311" t="s">
        <v>125</v>
      </c>
      <c r="D2078" s="311" t="s">
        <v>125</v>
      </c>
      <c r="E2078" s="337" t="s">
        <v>125</v>
      </c>
      <c r="F2078" s="311" t="s">
        <v>264</v>
      </c>
      <c r="G2078" s="311" t="s">
        <v>236</v>
      </c>
      <c r="H2078" s="311" t="s">
        <v>351</v>
      </c>
      <c r="I2078" s="311" t="s">
        <v>66</v>
      </c>
      <c r="J2078" s="50" t="s">
        <v>1892</v>
      </c>
      <c r="K2078" s="50" t="s">
        <v>1892</v>
      </c>
      <c r="L2078" s="50" t="s">
        <v>1893</v>
      </c>
      <c r="M2078" s="50" t="s">
        <v>4570</v>
      </c>
      <c r="N2078" s="50" t="s">
        <v>4570</v>
      </c>
      <c r="O2078" s="50" t="s">
        <v>4570</v>
      </c>
      <c r="P2078" s="50" t="s">
        <v>4570</v>
      </c>
    </row>
    <row r="2079" spans="1:16" ht="12.75" customHeight="1" x14ac:dyDescent="0.25">
      <c r="A2079" s="311">
        <v>2076</v>
      </c>
      <c r="B2079" s="311" t="s">
        <v>134</v>
      </c>
      <c r="C2079" s="311" t="s">
        <v>134</v>
      </c>
      <c r="D2079" s="311" t="s">
        <v>134</v>
      </c>
      <c r="E2079" s="337" t="s">
        <v>134</v>
      </c>
      <c r="F2079" s="311" t="s">
        <v>264</v>
      </c>
      <c r="G2079" s="311" t="s">
        <v>236</v>
      </c>
      <c r="H2079" s="311" t="s">
        <v>351</v>
      </c>
      <c r="I2079" s="311" t="s">
        <v>66</v>
      </c>
      <c r="J2079" s="50" t="s">
        <v>1892</v>
      </c>
      <c r="K2079" s="50" t="s">
        <v>1892</v>
      </c>
      <c r="L2079" s="50" t="s">
        <v>1893</v>
      </c>
      <c r="M2079" s="50" t="s">
        <v>4571</v>
      </c>
      <c r="N2079" s="50" t="s">
        <v>4571</v>
      </c>
      <c r="O2079" s="50" t="s">
        <v>4571</v>
      </c>
      <c r="P2079" s="50" t="s">
        <v>4571</v>
      </c>
    </row>
    <row r="2080" spans="1:16" ht="12.75" customHeight="1" x14ac:dyDescent="0.25">
      <c r="A2080" s="311">
        <v>2077</v>
      </c>
      <c r="B2080" s="311" t="s">
        <v>141</v>
      </c>
      <c r="C2080" s="311" t="s">
        <v>141</v>
      </c>
      <c r="D2080" s="311" t="s">
        <v>141</v>
      </c>
      <c r="E2080" s="337" t="s">
        <v>141</v>
      </c>
      <c r="F2080" s="311" t="s">
        <v>264</v>
      </c>
      <c r="G2080" s="311" t="s">
        <v>236</v>
      </c>
      <c r="H2080" s="311" t="s">
        <v>351</v>
      </c>
      <c r="I2080" s="311" t="s">
        <v>66</v>
      </c>
      <c r="J2080" s="50" t="s">
        <v>1892</v>
      </c>
      <c r="K2080" s="50" t="s">
        <v>1892</v>
      </c>
      <c r="L2080" s="50" t="s">
        <v>1893</v>
      </c>
      <c r="M2080" s="50" t="s">
        <v>4572</v>
      </c>
      <c r="N2080" s="50" t="s">
        <v>4572</v>
      </c>
      <c r="O2080" s="50" t="s">
        <v>4572</v>
      </c>
      <c r="P2080" s="50" t="s">
        <v>4572</v>
      </c>
    </row>
    <row r="2081" spans="1:16" ht="12.75" customHeight="1" x14ac:dyDescent="0.25">
      <c r="A2081" s="311">
        <v>2078</v>
      </c>
      <c r="B2081" s="311" t="s">
        <v>69</v>
      </c>
      <c r="C2081" s="311" t="s">
        <v>69</v>
      </c>
      <c r="D2081" s="311" t="s">
        <v>69</v>
      </c>
      <c r="E2081" s="337" t="s">
        <v>69</v>
      </c>
      <c r="F2081" s="311" t="s">
        <v>264</v>
      </c>
      <c r="G2081" s="311" t="s">
        <v>236</v>
      </c>
      <c r="H2081" s="311" t="s">
        <v>351</v>
      </c>
      <c r="I2081" s="311" t="s">
        <v>66</v>
      </c>
      <c r="J2081" s="50" t="s">
        <v>1892</v>
      </c>
      <c r="K2081" s="50" t="s">
        <v>1892</v>
      </c>
      <c r="L2081" s="50" t="s">
        <v>1893</v>
      </c>
      <c r="M2081" s="50" t="s">
        <v>4573</v>
      </c>
      <c r="N2081" s="50" t="s">
        <v>4573</v>
      </c>
      <c r="O2081" s="50" t="s">
        <v>4573</v>
      </c>
      <c r="P2081" s="50" t="s">
        <v>4573</v>
      </c>
    </row>
    <row r="2082" spans="1:16" ht="12.75" customHeight="1" x14ac:dyDescent="0.25">
      <c r="A2082" s="311">
        <v>2079</v>
      </c>
      <c r="B2082" s="311" t="s">
        <v>63</v>
      </c>
      <c r="C2082" s="311" t="s">
        <v>63</v>
      </c>
      <c r="D2082" s="311" t="s">
        <v>462</v>
      </c>
      <c r="E2082" s="337" t="s">
        <v>63</v>
      </c>
      <c r="F2082" s="311" t="s">
        <v>264</v>
      </c>
      <c r="G2082" s="311" t="s">
        <v>23</v>
      </c>
      <c r="H2082" s="311" t="s">
        <v>351</v>
      </c>
      <c r="I2082" s="311" t="s">
        <v>66</v>
      </c>
      <c r="J2082" s="50" t="s">
        <v>1892</v>
      </c>
      <c r="K2082" s="50" t="s">
        <v>1892</v>
      </c>
      <c r="L2082" s="50" t="s">
        <v>1893</v>
      </c>
      <c r="M2082" s="50" t="s">
        <v>4574</v>
      </c>
      <c r="N2082" s="50" t="s">
        <v>4574</v>
      </c>
      <c r="O2082" s="50" t="s">
        <v>4455</v>
      </c>
      <c r="P2082" s="50" t="s">
        <v>4574</v>
      </c>
    </row>
    <row r="2083" spans="1:16" ht="12.75" customHeight="1" x14ac:dyDescent="0.25">
      <c r="A2083" s="311">
        <v>2080</v>
      </c>
      <c r="B2083" s="311" t="s">
        <v>140</v>
      </c>
      <c r="C2083" s="311" t="s">
        <v>140</v>
      </c>
      <c r="D2083" s="311" t="s">
        <v>462</v>
      </c>
      <c r="E2083" s="337" t="s">
        <v>140</v>
      </c>
      <c r="F2083" s="311" t="s">
        <v>264</v>
      </c>
      <c r="G2083" s="311" t="s">
        <v>23</v>
      </c>
      <c r="H2083" s="311" t="s">
        <v>351</v>
      </c>
      <c r="I2083" s="311" t="s">
        <v>66</v>
      </c>
      <c r="J2083" s="50" t="s">
        <v>1892</v>
      </c>
      <c r="K2083" s="50" t="s">
        <v>1892</v>
      </c>
      <c r="L2083" s="50" t="s">
        <v>1893</v>
      </c>
      <c r="M2083" s="50" t="s">
        <v>4575</v>
      </c>
      <c r="N2083" s="50" t="s">
        <v>4575</v>
      </c>
      <c r="O2083" s="50" t="s">
        <v>4455</v>
      </c>
      <c r="P2083" s="50" t="s">
        <v>4575</v>
      </c>
    </row>
    <row r="2084" spans="1:16" ht="12.75" customHeight="1" x14ac:dyDescent="0.25">
      <c r="A2084" s="311">
        <v>2081</v>
      </c>
      <c r="B2084" s="311" t="s">
        <v>121</v>
      </c>
      <c r="C2084" s="311" t="s">
        <v>121</v>
      </c>
      <c r="D2084" s="311" t="s">
        <v>462</v>
      </c>
      <c r="E2084" s="337" t="s">
        <v>121</v>
      </c>
      <c r="F2084" s="311" t="s">
        <v>264</v>
      </c>
      <c r="G2084" s="311" t="s">
        <v>23</v>
      </c>
      <c r="H2084" s="311" t="s">
        <v>351</v>
      </c>
      <c r="I2084" s="311" t="s">
        <v>66</v>
      </c>
      <c r="J2084" s="50" t="s">
        <v>1892</v>
      </c>
      <c r="K2084" s="50" t="s">
        <v>1892</v>
      </c>
      <c r="L2084" s="50" t="s">
        <v>1893</v>
      </c>
      <c r="M2084" s="50" t="s">
        <v>4576</v>
      </c>
      <c r="N2084" s="50" t="s">
        <v>4576</v>
      </c>
      <c r="O2084" s="50" t="s">
        <v>4455</v>
      </c>
      <c r="P2084" s="50" t="s">
        <v>4576</v>
      </c>
    </row>
    <row r="2085" spans="1:16" ht="12.75" customHeight="1" x14ac:dyDescent="0.25">
      <c r="A2085" s="311">
        <v>2082</v>
      </c>
      <c r="B2085" s="311" t="s">
        <v>87</v>
      </c>
      <c r="C2085" s="311" t="s">
        <v>87</v>
      </c>
      <c r="D2085" s="311" t="s">
        <v>462</v>
      </c>
      <c r="E2085" s="337" t="s">
        <v>87</v>
      </c>
      <c r="F2085" s="311" t="s">
        <v>264</v>
      </c>
      <c r="G2085" s="311" t="s">
        <v>23</v>
      </c>
      <c r="H2085" s="311" t="s">
        <v>351</v>
      </c>
      <c r="I2085" s="311" t="s">
        <v>66</v>
      </c>
      <c r="J2085" s="50" t="s">
        <v>1892</v>
      </c>
      <c r="K2085" s="50" t="s">
        <v>1892</v>
      </c>
      <c r="L2085" s="50" t="s">
        <v>1893</v>
      </c>
      <c r="M2085" s="50" t="s">
        <v>4577</v>
      </c>
      <c r="N2085" s="50" t="s">
        <v>4577</v>
      </c>
      <c r="O2085" s="50" t="s">
        <v>4455</v>
      </c>
      <c r="P2085" s="50" t="s">
        <v>4577</v>
      </c>
    </row>
    <row r="2086" spans="1:16" ht="12.75" customHeight="1" x14ac:dyDescent="0.25">
      <c r="A2086" s="311">
        <v>2083</v>
      </c>
      <c r="B2086" s="311" t="s">
        <v>125</v>
      </c>
      <c r="C2086" s="311" t="s">
        <v>125</v>
      </c>
      <c r="D2086" s="311" t="s">
        <v>125</v>
      </c>
      <c r="E2086" s="337" t="s">
        <v>125</v>
      </c>
      <c r="F2086" s="311" t="s">
        <v>264</v>
      </c>
      <c r="G2086" s="311" t="s">
        <v>23</v>
      </c>
      <c r="H2086" s="311" t="s">
        <v>351</v>
      </c>
      <c r="I2086" s="311" t="s">
        <v>66</v>
      </c>
      <c r="J2086" s="50" t="s">
        <v>1892</v>
      </c>
      <c r="K2086" s="50" t="s">
        <v>1892</v>
      </c>
      <c r="L2086" s="50" t="s">
        <v>1893</v>
      </c>
      <c r="M2086" s="50" t="s">
        <v>4578</v>
      </c>
      <c r="N2086" s="50" t="s">
        <v>4578</v>
      </c>
      <c r="O2086" s="50" t="s">
        <v>4578</v>
      </c>
      <c r="P2086" s="50" t="s">
        <v>4578</v>
      </c>
    </row>
    <row r="2087" spans="1:16" ht="12.75" customHeight="1" x14ac:dyDescent="0.25">
      <c r="A2087" s="311">
        <v>2084</v>
      </c>
      <c r="B2087" s="311" t="s">
        <v>134</v>
      </c>
      <c r="C2087" s="311" t="s">
        <v>134</v>
      </c>
      <c r="D2087" s="311" t="s">
        <v>134</v>
      </c>
      <c r="E2087" s="337" t="s">
        <v>134</v>
      </c>
      <c r="F2087" s="311" t="s">
        <v>264</v>
      </c>
      <c r="G2087" s="311" t="s">
        <v>23</v>
      </c>
      <c r="H2087" s="311" t="s">
        <v>351</v>
      </c>
      <c r="I2087" s="311" t="s">
        <v>66</v>
      </c>
      <c r="J2087" s="50" t="s">
        <v>1892</v>
      </c>
      <c r="K2087" s="50" t="s">
        <v>1892</v>
      </c>
      <c r="L2087" s="50" t="s">
        <v>1893</v>
      </c>
      <c r="M2087" s="50" t="s">
        <v>4579</v>
      </c>
      <c r="N2087" s="50" t="s">
        <v>4579</v>
      </c>
      <c r="O2087" s="50" t="s">
        <v>4579</v>
      </c>
      <c r="P2087" s="50" t="s">
        <v>4579</v>
      </c>
    </row>
    <row r="2088" spans="1:16" ht="12.75" customHeight="1" x14ac:dyDescent="0.25">
      <c r="A2088" s="311">
        <v>2085</v>
      </c>
      <c r="B2088" s="311" t="s">
        <v>141</v>
      </c>
      <c r="C2088" s="311" t="s">
        <v>141</v>
      </c>
      <c r="D2088" s="311" t="s">
        <v>141</v>
      </c>
      <c r="E2088" s="337" t="s">
        <v>141</v>
      </c>
      <c r="F2088" s="311" t="s">
        <v>264</v>
      </c>
      <c r="G2088" s="311" t="s">
        <v>23</v>
      </c>
      <c r="H2088" s="311" t="s">
        <v>351</v>
      </c>
      <c r="I2088" s="311" t="s">
        <v>66</v>
      </c>
      <c r="J2088" s="50" t="s">
        <v>1892</v>
      </c>
      <c r="K2088" s="50" t="s">
        <v>1892</v>
      </c>
      <c r="L2088" s="50" t="s">
        <v>1893</v>
      </c>
      <c r="M2088" s="50" t="s">
        <v>4580</v>
      </c>
      <c r="N2088" s="50" t="s">
        <v>4580</v>
      </c>
      <c r="O2088" s="50" t="s">
        <v>4580</v>
      </c>
      <c r="P2088" s="50" t="s">
        <v>4580</v>
      </c>
    </row>
    <row r="2089" spans="1:16" ht="12.75" customHeight="1" x14ac:dyDescent="0.25">
      <c r="A2089" s="311">
        <v>2086</v>
      </c>
      <c r="B2089" s="311" t="s">
        <v>69</v>
      </c>
      <c r="C2089" s="311" t="s">
        <v>69</v>
      </c>
      <c r="D2089" s="311" t="s">
        <v>69</v>
      </c>
      <c r="E2089" s="337" t="s">
        <v>69</v>
      </c>
      <c r="F2089" s="311" t="s">
        <v>264</v>
      </c>
      <c r="G2089" s="311" t="s">
        <v>23</v>
      </c>
      <c r="H2089" s="311" t="s">
        <v>351</v>
      </c>
      <c r="I2089" s="311" t="s">
        <v>66</v>
      </c>
      <c r="J2089" s="50" t="s">
        <v>1892</v>
      </c>
      <c r="K2089" s="50" t="s">
        <v>1892</v>
      </c>
      <c r="L2089" s="50" t="s">
        <v>1893</v>
      </c>
      <c r="M2089" s="50" t="s">
        <v>4581</v>
      </c>
      <c r="N2089" s="50" t="s">
        <v>4581</v>
      </c>
      <c r="O2089" s="50" t="s">
        <v>4581</v>
      </c>
      <c r="P2089" s="50" t="s">
        <v>4581</v>
      </c>
    </row>
    <row r="2090" spans="1:16" ht="12.75" customHeight="1" x14ac:dyDescent="0.25">
      <c r="A2090" s="311">
        <v>2087</v>
      </c>
      <c r="B2090" s="311" t="s">
        <v>63</v>
      </c>
      <c r="C2090" s="311" t="s">
        <v>63</v>
      </c>
      <c r="D2090" s="311" t="s">
        <v>462</v>
      </c>
      <c r="E2090" s="337" t="s">
        <v>63</v>
      </c>
      <c r="F2090" s="311" t="s">
        <v>264</v>
      </c>
      <c r="G2090" s="311" t="s">
        <v>237</v>
      </c>
      <c r="H2090" s="311" t="s">
        <v>351</v>
      </c>
      <c r="I2090" s="311" t="s">
        <v>66</v>
      </c>
      <c r="J2090" s="50" t="s">
        <v>1892</v>
      </c>
      <c r="K2090" s="50" t="s">
        <v>1892</v>
      </c>
      <c r="L2090" s="50" t="s">
        <v>1893</v>
      </c>
      <c r="M2090" s="50" t="s">
        <v>4582</v>
      </c>
      <c r="N2090" s="50" t="s">
        <v>4582</v>
      </c>
      <c r="O2090" s="50" t="s">
        <v>4463</v>
      </c>
      <c r="P2090" s="50" t="s">
        <v>4582</v>
      </c>
    </row>
    <row r="2091" spans="1:16" ht="12.75" customHeight="1" x14ac:dyDescent="0.25">
      <c r="A2091" s="311">
        <v>2088</v>
      </c>
      <c r="B2091" s="311" t="s">
        <v>140</v>
      </c>
      <c r="C2091" s="311" t="s">
        <v>140</v>
      </c>
      <c r="D2091" s="311" t="s">
        <v>462</v>
      </c>
      <c r="E2091" s="337" t="s">
        <v>140</v>
      </c>
      <c r="F2091" s="311" t="s">
        <v>264</v>
      </c>
      <c r="G2091" s="311" t="s">
        <v>237</v>
      </c>
      <c r="H2091" s="311" t="s">
        <v>351</v>
      </c>
      <c r="I2091" s="311" t="s">
        <v>66</v>
      </c>
      <c r="J2091" s="50" t="s">
        <v>1892</v>
      </c>
      <c r="K2091" s="50" t="s">
        <v>1892</v>
      </c>
      <c r="L2091" s="50" t="s">
        <v>1893</v>
      </c>
      <c r="M2091" s="50" t="s">
        <v>4583</v>
      </c>
      <c r="N2091" s="50" t="s">
        <v>4583</v>
      </c>
      <c r="O2091" s="50" t="s">
        <v>4463</v>
      </c>
      <c r="P2091" s="50" t="s">
        <v>4583</v>
      </c>
    </row>
    <row r="2092" spans="1:16" ht="12.75" customHeight="1" x14ac:dyDescent="0.25">
      <c r="A2092" s="311">
        <v>2089</v>
      </c>
      <c r="B2092" s="311" t="s">
        <v>121</v>
      </c>
      <c r="C2092" s="311" t="s">
        <v>121</v>
      </c>
      <c r="D2092" s="311" t="s">
        <v>462</v>
      </c>
      <c r="E2092" s="337" t="s">
        <v>121</v>
      </c>
      <c r="F2092" s="311" t="s">
        <v>264</v>
      </c>
      <c r="G2092" s="311" t="s">
        <v>237</v>
      </c>
      <c r="H2092" s="311" t="s">
        <v>351</v>
      </c>
      <c r="I2092" s="311" t="s">
        <v>66</v>
      </c>
      <c r="J2092" s="50" t="s">
        <v>1892</v>
      </c>
      <c r="K2092" s="50" t="s">
        <v>1892</v>
      </c>
      <c r="L2092" s="50" t="s">
        <v>1893</v>
      </c>
      <c r="M2092" s="50" t="s">
        <v>4584</v>
      </c>
      <c r="N2092" s="50" t="s">
        <v>4584</v>
      </c>
      <c r="O2092" s="50" t="s">
        <v>4463</v>
      </c>
      <c r="P2092" s="50" t="s">
        <v>4584</v>
      </c>
    </row>
    <row r="2093" spans="1:16" ht="12.75" customHeight="1" x14ac:dyDescent="0.25">
      <c r="A2093" s="311">
        <v>2090</v>
      </c>
      <c r="B2093" s="311" t="s">
        <v>87</v>
      </c>
      <c r="C2093" s="311" t="s">
        <v>87</v>
      </c>
      <c r="D2093" s="311" t="s">
        <v>462</v>
      </c>
      <c r="E2093" s="337" t="s">
        <v>87</v>
      </c>
      <c r="F2093" s="311" t="s">
        <v>264</v>
      </c>
      <c r="G2093" s="311" t="s">
        <v>237</v>
      </c>
      <c r="H2093" s="311" t="s">
        <v>351</v>
      </c>
      <c r="I2093" s="311" t="s">
        <v>66</v>
      </c>
      <c r="J2093" s="50" t="s">
        <v>1892</v>
      </c>
      <c r="K2093" s="50" t="s">
        <v>1892</v>
      </c>
      <c r="L2093" s="50" t="s">
        <v>1893</v>
      </c>
      <c r="M2093" s="50" t="s">
        <v>4585</v>
      </c>
      <c r="N2093" s="50" t="s">
        <v>4585</v>
      </c>
      <c r="O2093" s="50" t="s">
        <v>4463</v>
      </c>
      <c r="P2093" s="50" t="s">
        <v>4585</v>
      </c>
    </row>
    <row r="2094" spans="1:16" ht="12.75" customHeight="1" x14ac:dyDescent="0.25">
      <c r="A2094" s="311">
        <v>2091</v>
      </c>
      <c r="B2094" s="311" t="s">
        <v>125</v>
      </c>
      <c r="C2094" s="311" t="s">
        <v>125</v>
      </c>
      <c r="D2094" s="311" t="s">
        <v>125</v>
      </c>
      <c r="E2094" s="337" t="s">
        <v>125</v>
      </c>
      <c r="F2094" s="311" t="s">
        <v>264</v>
      </c>
      <c r="G2094" s="311" t="s">
        <v>237</v>
      </c>
      <c r="H2094" s="311" t="s">
        <v>351</v>
      </c>
      <c r="I2094" s="311" t="s">
        <v>66</v>
      </c>
      <c r="J2094" s="50" t="s">
        <v>1892</v>
      </c>
      <c r="K2094" s="50" t="s">
        <v>1892</v>
      </c>
      <c r="L2094" s="50" t="s">
        <v>1893</v>
      </c>
      <c r="M2094" s="50" t="s">
        <v>4586</v>
      </c>
      <c r="N2094" s="50" t="s">
        <v>4586</v>
      </c>
      <c r="O2094" s="50" t="s">
        <v>4586</v>
      </c>
      <c r="P2094" s="50" t="s">
        <v>4586</v>
      </c>
    </row>
    <row r="2095" spans="1:16" ht="12.75" customHeight="1" x14ac:dyDescent="0.25">
      <c r="A2095" s="311">
        <v>2092</v>
      </c>
      <c r="B2095" s="311" t="s">
        <v>134</v>
      </c>
      <c r="C2095" s="311" t="s">
        <v>134</v>
      </c>
      <c r="D2095" s="311" t="s">
        <v>134</v>
      </c>
      <c r="E2095" s="337" t="s">
        <v>134</v>
      </c>
      <c r="F2095" s="311" t="s">
        <v>264</v>
      </c>
      <c r="G2095" s="311" t="s">
        <v>237</v>
      </c>
      <c r="H2095" s="311" t="s">
        <v>351</v>
      </c>
      <c r="I2095" s="311" t="s">
        <v>66</v>
      </c>
      <c r="J2095" s="50" t="s">
        <v>1892</v>
      </c>
      <c r="K2095" s="50" t="s">
        <v>1892</v>
      </c>
      <c r="L2095" s="50" t="s">
        <v>1893</v>
      </c>
      <c r="M2095" s="50" t="s">
        <v>4587</v>
      </c>
      <c r="N2095" s="50" t="s">
        <v>4587</v>
      </c>
      <c r="O2095" s="50" t="s">
        <v>4587</v>
      </c>
      <c r="P2095" s="50" t="s">
        <v>4587</v>
      </c>
    </row>
    <row r="2096" spans="1:16" ht="12.75" customHeight="1" x14ac:dyDescent="0.25">
      <c r="A2096" s="311">
        <v>2093</v>
      </c>
      <c r="B2096" s="311" t="s">
        <v>141</v>
      </c>
      <c r="C2096" s="311" t="s">
        <v>141</v>
      </c>
      <c r="D2096" s="311" t="s">
        <v>141</v>
      </c>
      <c r="E2096" s="337" t="s">
        <v>141</v>
      </c>
      <c r="F2096" s="311" t="s">
        <v>264</v>
      </c>
      <c r="G2096" s="311" t="s">
        <v>237</v>
      </c>
      <c r="H2096" s="311" t="s">
        <v>351</v>
      </c>
      <c r="I2096" s="311" t="s">
        <v>66</v>
      </c>
      <c r="J2096" s="50" t="s">
        <v>1892</v>
      </c>
      <c r="K2096" s="50" t="s">
        <v>1892</v>
      </c>
      <c r="L2096" s="50" t="s">
        <v>1893</v>
      </c>
      <c r="M2096" s="50" t="s">
        <v>4588</v>
      </c>
      <c r="N2096" s="50" t="s">
        <v>4588</v>
      </c>
      <c r="O2096" s="50" t="s">
        <v>4588</v>
      </c>
      <c r="P2096" s="50" t="s">
        <v>4588</v>
      </c>
    </row>
    <row r="2097" spans="1:16" ht="12.75" customHeight="1" x14ac:dyDescent="0.25">
      <c r="A2097" s="311">
        <v>2094</v>
      </c>
      <c r="B2097" s="311" t="s">
        <v>69</v>
      </c>
      <c r="C2097" s="311" t="s">
        <v>69</v>
      </c>
      <c r="D2097" s="311" t="s">
        <v>69</v>
      </c>
      <c r="E2097" s="337" t="s">
        <v>69</v>
      </c>
      <c r="F2097" s="311" t="s">
        <v>264</v>
      </c>
      <c r="G2097" s="311" t="s">
        <v>237</v>
      </c>
      <c r="H2097" s="311" t="s">
        <v>351</v>
      </c>
      <c r="I2097" s="311" t="s">
        <v>66</v>
      </c>
      <c r="J2097" s="50" t="s">
        <v>1892</v>
      </c>
      <c r="K2097" s="50" t="s">
        <v>1892</v>
      </c>
      <c r="L2097" s="50" t="s">
        <v>1893</v>
      </c>
      <c r="M2097" s="50" t="s">
        <v>4589</v>
      </c>
      <c r="N2097" s="50" t="s">
        <v>4589</v>
      </c>
      <c r="O2097" s="50" t="s">
        <v>4589</v>
      </c>
      <c r="P2097" s="50" t="s">
        <v>4589</v>
      </c>
    </row>
    <row r="2098" spans="1:16" ht="12.75" customHeight="1" x14ac:dyDescent="0.25">
      <c r="A2098" s="311">
        <v>2095</v>
      </c>
      <c r="B2098" s="311" t="s">
        <v>63</v>
      </c>
      <c r="C2098" s="311" t="s">
        <v>63</v>
      </c>
      <c r="D2098" s="311" t="s">
        <v>462</v>
      </c>
      <c r="E2098" s="337" t="s">
        <v>63</v>
      </c>
      <c r="F2098" s="311" t="s">
        <v>242</v>
      </c>
      <c r="G2098" s="311" t="s">
        <v>236</v>
      </c>
      <c r="H2098" s="311" t="s">
        <v>351</v>
      </c>
      <c r="I2098" s="311" t="s">
        <v>66</v>
      </c>
      <c r="J2098" s="50" t="s">
        <v>1892</v>
      </c>
      <c r="K2098" s="50" t="s">
        <v>1892</v>
      </c>
      <c r="L2098" s="50" t="s">
        <v>1893</v>
      </c>
      <c r="M2098" s="50" t="s">
        <v>4590</v>
      </c>
      <c r="N2098" s="50" t="s">
        <v>4590</v>
      </c>
      <c r="O2098" s="50" t="s">
        <v>4471</v>
      </c>
      <c r="P2098" s="50" t="s">
        <v>4590</v>
      </c>
    </row>
    <row r="2099" spans="1:16" ht="12.75" customHeight="1" x14ac:dyDescent="0.25">
      <c r="A2099" s="311">
        <v>2096</v>
      </c>
      <c r="B2099" s="311" t="s">
        <v>140</v>
      </c>
      <c r="C2099" s="311" t="s">
        <v>140</v>
      </c>
      <c r="D2099" s="311" t="s">
        <v>462</v>
      </c>
      <c r="E2099" s="337" t="s">
        <v>140</v>
      </c>
      <c r="F2099" s="311" t="s">
        <v>242</v>
      </c>
      <c r="G2099" s="311" t="s">
        <v>236</v>
      </c>
      <c r="H2099" s="311" t="s">
        <v>351</v>
      </c>
      <c r="I2099" s="311" t="s">
        <v>66</v>
      </c>
      <c r="J2099" s="50" t="s">
        <v>1892</v>
      </c>
      <c r="K2099" s="50" t="s">
        <v>1892</v>
      </c>
      <c r="L2099" s="50" t="s">
        <v>1893</v>
      </c>
      <c r="M2099" s="50" t="s">
        <v>4591</v>
      </c>
      <c r="N2099" s="50" t="s">
        <v>4591</v>
      </c>
      <c r="O2099" s="50" t="s">
        <v>4471</v>
      </c>
      <c r="P2099" s="50" t="s">
        <v>4591</v>
      </c>
    </row>
    <row r="2100" spans="1:16" ht="12.75" customHeight="1" x14ac:dyDescent="0.25">
      <c r="A2100" s="311">
        <v>2097</v>
      </c>
      <c r="B2100" s="311" t="s">
        <v>121</v>
      </c>
      <c r="C2100" s="311" t="s">
        <v>121</v>
      </c>
      <c r="D2100" s="311" t="s">
        <v>462</v>
      </c>
      <c r="E2100" s="337" t="s">
        <v>121</v>
      </c>
      <c r="F2100" s="311" t="s">
        <v>242</v>
      </c>
      <c r="G2100" s="311" t="s">
        <v>236</v>
      </c>
      <c r="H2100" s="311" t="s">
        <v>351</v>
      </c>
      <c r="I2100" s="311" t="s">
        <v>66</v>
      </c>
      <c r="J2100" s="50" t="s">
        <v>1892</v>
      </c>
      <c r="K2100" s="50" t="s">
        <v>1892</v>
      </c>
      <c r="L2100" s="50" t="s">
        <v>1893</v>
      </c>
      <c r="M2100" s="50" t="s">
        <v>4592</v>
      </c>
      <c r="N2100" s="50" t="s">
        <v>4592</v>
      </c>
      <c r="O2100" s="50" t="s">
        <v>4471</v>
      </c>
      <c r="P2100" s="50" t="s">
        <v>4592</v>
      </c>
    </row>
    <row r="2101" spans="1:16" ht="12.75" customHeight="1" x14ac:dyDescent="0.25">
      <c r="A2101" s="311">
        <v>2098</v>
      </c>
      <c r="B2101" s="311" t="s">
        <v>87</v>
      </c>
      <c r="C2101" s="311" t="s">
        <v>87</v>
      </c>
      <c r="D2101" s="311" t="s">
        <v>462</v>
      </c>
      <c r="E2101" s="337" t="s">
        <v>87</v>
      </c>
      <c r="F2101" s="311" t="s">
        <v>242</v>
      </c>
      <c r="G2101" s="311" t="s">
        <v>236</v>
      </c>
      <c r="H2101" s="311" t="s">
        <v>351</v>
      </c>
      <c r="I2101" s="311" t="s">
        <v>66</v>
      </c>
      <c r="J2101" s="50" t="s">
        <v>1892</v>
      </c>
      <c r="K2101" s="50" t="s">
        <v>1892</v>
      </c>
      <c r="L2101" s="50" t="s">
        <v>1893</v>
      </c>
      <c r="M2101" s="50" t="s">
        <v>4593</v>
      </c>
      <c r="N2101" s="50" t="s">
        <v>4593</v>
      </c>
      <c r="O2101" s="50" t="s">
        <v>4471</v>
      </c>
      <c r="P2101" s="50" t="s">
        <v>4593</v>
      </c>
    </row>
    <row r="2102" spans="1:16" ht="12.75" customHeight="1" x14ac:dyDescent="0.25">
      <c r="A2102" s="311">
        <v>2099</v>
      </c>
      <c r="B2102" s="311" t="s">
        <v>125</v>
      </c>
      <c r="C2102" s="311" t="s">
        <v>125</v>
      </c>
      <c r="D2102" s="311" t="s">
        <v>125</v>
      </c>
      <c r="E2102" s="337" t="s">
        <v>125</v>
      </c>
      <c r="F2102" s="311" t="s">
        <v>242</v>
      </c>
      <c r="G2102" s="311" t="s">
        <v>236</v>
      </c>
      <c r="H2102" s="311" t="s">
        <v>351</v>
      </c>
      <c r="I2102" s="311" t="s">
        <v>66</v>
      </c>
      <c r="J2102" s="50" t="s">
        <v>1892</v>
      </c>
      <c r="K2102" s="50" t="s">
        <v>1892</v>
      </c>
      <c r="L2102" s="50" t="s">
        <v>1893</v>
      </c>
      <c r="M2102" s="50" t="s">
        <v>4594</v>
      </c>
      <c r="N2102" s="50" t="s">
        <v>4594</v>
      </c>
      <c r="O2102" s="50" t="s">
        <v>4594</v>
      </c>
      <c r="P2102" s="50" t="s">
        <v>4594</v>
      </c>
    </row>
    <row r="2103" spans="1:16" ht="12.75" customHeight="1" x14ac:dyDescent="0.25">
      <c r="A2103" s="311">
        <v>2100</v>
      </c>
      <c r="B2103" s="311" t="s">
        <v>134</v>
      </c>
      <c r="C2103" s="311" t="s">
        <v>134</v>
      </c>
      <c r="D2103" s="311" t="s">
        <v>134</v>
      </c>
      <c r="E2103" s="337" t="s">
        <v>134</v>
      </c>
      <c r="F2103" s="311" t="s">
        <v>242</v>
      </c>
      <c r="G2103" s="311" t="s">
        <v>236</v>
      </c>
      <c r="H2103" s="311" t="s">
        <v>351</v>
      </c>
      <c r="I2103" s="311" t="s">
        <v>66</v>
      </c>
      <c r="J2103" s="50" t="s">
        <v>1892</v>
      </c>
      <c r="K2103" s="50" t="s">
        <v>1892</v>
      </c>
      <c r="L2103" s="50" t="s">
        <v>1893</v>
      </c>
      <c r="M2103" s="50" t="s">
        <v>4595</v>
      </c>
      <c r="N2103" s="50" t="s">
        <v>4595</v>
      </c>
      <c r="O2103" s="50" t="s">
        <v>4595</v>
      </c>
      <c r="P2103" s="50" t="s">
        <v>4595</v>
      </c>
    </row>
    <row r="2104" spans="1:16" ht="12.75" customHeight="1" x14ac:dyDescent="0.25">
      <c r="A2104" s="311">
        <v>2101</v>
      </c>
      <c r="B2104" s="311" t="s">
        <v>141</v>
      </c>
      <c r="C2104" s="311" t="s">
        <v>141</v>
      </c>
      <c r="D2104" s="311" t="s">
        <v>141</v>
      </c>
      <c r="E2104" s="337" t="s">
        <v>141</v>
      </c>
      <c r="F2104" s="311" t="s">
        <v>242</v>
      </c>
      <c r="G2104" s="311" t="s">
        <v>236</v>
      </c>
      <c r="H2104" s="311" t="s">
        <v>351</v>
      </c>
      <c r="I2104" s="311" t="s">
        <v>66</v>
      </c>
      <c r="J2104" s="50" t="s">
        <v>1892</v>
      </c>
      <c r="K2104" s="50" t="s">
        <v>1892</v>
      </c>
      <c r="L2104" s="50" t="s">
        <v>1893</v>
      </c>
      <c r="M2104" s="50" t="s">
        <v>4596</v>
      </c>
      <c r="N2104" s="50" t="s">
        <v>4596</v>
      </c>
      <c r="O2104" s="50" t="s">
        <v>4596</v>
      </c>
      <c r="P2104" s="50" t="s">
        <v>4596</v>
      </c>
    </row>
    <row r="2105" spans="1:16" ht="12.75" customHeight="1" x14ac:dyDescent="0.25">
      <c r="A2105" s="311">
        <v>2102</v>
      </c>
      <c r="B2105" s="311" t="s">
        <v>69</v>
      </c>
      <c r="C2105" s="311" t="s">
        <v>69</v>
      </c>
      <c r="D2105" s="311" t="s">
        <v>69</v>
      </c>
      <c r="E2105" s="337" t="s">
        <v>69</v>
      </c>
      <c r="F2105" s="311" t="s">
        <v>242</v>
      </c>
      <c r="G2105" s="311" t="s">
        <v>236</v>
      </c>
      <c r="H2105" s="311" t="s">
        <v>351</v>
      </c>
      <c r="I2105" s="311" t="s">
        <v>66</v>
      </c>
      <c r="J2105" s="50" t="s">
        <v>1892</v>
      </c>
      <c r="K2105" s="50" t="s">
        <v>1892</v>
      </c>
      <c r="L2105" s="50" t="s">
        <v>1893</v>
      </c>
      <c r="M2105" s="50" t="s">
        <v>4597</v>
      </c>
      <c r="N2105" s="50" t="s">
        <v>4597</v>
      </c>
      <c r="O2105" s="50" t="s">
        <v>4597</v>
      </c>
      <c r="P2105" s="50" t="s">
        <v>4597</v>
      </c>
    </row>
    <row r="2106" spans="1:16" ht="12.75" customHeight="1" x14ac:dyDescent="0.25">
      <c r="A2106" s="311">
        <v>2103</v>
      </c>
      <c r="B2106" s="311" t="s">
        <v>63</v>
      </c>
      <c r="C2106" s="311" t="s">
        <v>63</v>
      </c>
      <c r="D2106" s="311" t="s">
        <v>462</v>
      </c>
      <c r="E2106" s="337" t="s">
        <v>63</v>
      </c>
      <c r="F2106" s="311" t="s">
        <v>242</v>
      </c>
      <c r="G2106" s="311" t="s">
        <v>23</v>
      </c>
      <c r="H2106" s="311" t="s">
        <v>351</v>
      </c>
      <c r="I2106" s="311" t="s">
        <v>66</v>
      </c>
      <c r="J2106" s="50" t="s">
        <v>1892</v>
      </c>
      <c r="K2106" s="50" t="s">
        <v>1892</v>
      </c>
      <c r="L2106" s="50" t="s">
        <v>1893</v>
      </c>
      <c r="M2106" s="50" t="s">
        <v>4598</v>
      </c>
      <c r="N2106" s="50" t="s">
        <v>4598</v>
      </c>
      <c r="O2106" s="50" t="s">
        <v>4479</v>
      </c>
      <c r="P2106" s="50" t="s">
        <v>4598</v>
      </c>
    </row>
    <row r="2107" spans="1:16" ht="12.75" customHeight="1" x14ac:dyDescent="0.25">
      <c r="A2107" s="311">
        <v>2104</v>
      </c>
      <c r="B2107" s="311" t="s">
        <v>140</v>
      </c>
      <c r="C2107" s="311" t="s">
        <v>140</v>
      </c>
      <c r="D2107" s="311" t="s">
        <v>462</v>
      </c>
      <c r="E2107" s="337" t="s">
        <v>140</v>
      </c>
      <c r="F2107" s="311" t="s">
        <v>242</v>
      </c>
      <c r="G2107" s="311" t="s">
        <v>23</v>
      </c>
      <c r="H2107" s="311" t="s">
        <v>351</v>
      </c>
      <c r="I2107" s="311" t="s">
        <v>66</v>
      </c>
      <c r="J2107" s="50" t="s">
        <v>1892</v>
      </c>
      <c r="K2107" s="50" t="s">
        <v>1892</v>
      </c>
      <c r="L2107" s="50" t="s">
        <v>1893</v>
      </c>
      <c r="M2107" s="50" t="s">
        <v>4599</v>
      </c>
      <c r="N2107" s="50" t="s">
        <v>4599</v>
      </c>
      <c r="O2107" s="50" t="s">
        <v>4479</v>
      </c>
      <c r="P2107" s="50" t="s">
        <v>4599</v>
      </c>
    </row>
    <row r="2108" spans="1:16" ht="12.75" customHeight="1" x14ac:dyDescent="0.25">
      <c r="A2108" s="311">
        <v>2105</v>
      </c>
      <c r="B2108" s="311" t="s">
        <v>121</v>
      </c>
      <c r="C2108" s="311" t="s">
        <v>121</v>
      </c>
      <c r="D2108" s="311" t="s">
        <v>462</v>
      </c>
      <c r="E2108" s="337" t="s">
        <v>121</v>
      </c>
      <c r="F2108" s="311" t="s">
        <v>242</v>
      </c>
      <c r="G2108" s="311" t="s">
        <v>23</v>
      </c>
      <c r="H2108" s="311" t="s">
        <v>351</v>
      </c>
      <c r="I2108" s="311" t="s">
        <v>66</v>
      </c>
      <c r="J2108" s="50" t="s">
        <v>1892</v>
      </c>
      <c r="K2108" s="50" t="s">
        <v>1892</v>
      </c>
      <c r="L2108" s="50" t="s">
        <v>1893</v>
      </c>
      <c r="M2108" s="50" t="s">
        <v>4600</v>
      </c>
      <c r="N2108" s="50" t="s">
        <v>4600</v>
      </c>
      <c r="O2108" s="50" t="s">
        <v>4479</v>
      </c>
      <c r="P2108" s="50" t="s">
        <v>4600</v>
      </c>
    </row>
    <row r="2109" spans="1:16" ht="12.75" customHeight="1" x14ac:dyDescent="0.25">
      <c r="A2109" s="311">
        <v>2106</v>
      </c>
      <c r="B2109" s="311" t="s">
        <v>87</v>
      </c>
      <c r="C2109" s="311" t="s">
        <v>87</v>
      </c>
      <c r="D2109" s="311" t="s">
        <v>462</v>
      </c>
      <c r="E2109" s="337" t="s">
        <v>87</v>
      </c>
      <c r="F2109" s="311" t="s">
        <v>242</v>
      </c>
      <c r="G2109" s="311" t="s">
        <v>23</v>
      </c>
      <c r="H2109" s="311" t="s">
        <v>351</v>
      </c>
      <c r="I2109" s="311" t="s">
        <v>66</v>
      </c>
      <c r="J2109" s="50" t="s">
        <v>1892</v>
      </c>
      <c r="K2109" s="50" t="s">
        <v>1892</v>
      </c>
      <c r="L2109" s="50" t="s">
        <v>1893</v>
      </c>
      <c r="M2109" s="50" t="s">
        <v>4601</v>
      </c>
      <c r="N2109" s="50" t="s">
        <v>4601</v>
      </c>
      <c r="O2109" s="50" t="s">
        <v>4479</v>
      </c>
      <c r="P2109" s="50" t="s">
        <v>4601</v>
      </c>
    </row>
    <row r="2110" spans="1:16" ht="12.75" customHeight="1" x14ac:dyDescent="0.25">
      <c r="A2110" s="311">
        <v>2107</v>
      </c>
      <c r="B2110" s="311" t="s">
        <v>125</v>
      </c>
      <c r="C2110" s="311" t="s">
        <v>125</v>
      </c>
      <c r="D2110" s="311" t="s">
        <v>125</v>
      </c>
      <c r="E2110" s="337" t="s">
        <v>125</v>
      </c>
      <c r="F2110" s="311" t="s">
        <v>242</v>
      </c>
      <c r="G2110" s="311" t="s">
        <v>23</v>
      </c>
      <c r="H2110" s="311" t="s">
        <v>351</v>
      </c>
      <c r="I2110" s="311" t="s">
        <v>66</v>
      </c>
      <c r="J2110" s="50" t="s">
        <v>1892</v>
      </c>
      <c r="K2110" s="50" t="s">
        <v>1892</v>
      </c>
      <c r="L2110" s="50" t="s">
        <v>1893</v>
      </c>
      <c r="M2110" s="50" t="s">
        <v>4602</v>
      </c>
      <c r="N2110" s="50" t="s">
        <v>4602</v>
      </c>
      <c r="O2110" s="50" t="s">
        <v>4602</v>
      </c>
      <c r="P2110" s="50" t="s">
        <v>4602</v>
      </c>
    </row>
    <row r="2111" spans="1:16" ht="12.75" customHeight="1" x14ac:dyDescent="0.25">
      <c r="A2111" s="311">
        <v>2108</v>
      </c>
      <c r="B2111" s="311" t="s">
        <v>134</v>
      </c>
      <c r="C2111" s="311" t="s">
        <v>134</v>
      </c>
      <c r="D2111" s="311" t="s">
        <v>134</v>
      </c>
      <c r="E2111" s="337" t="s">
        <v>134</v>
      </c>
      <c r="F2111" s="311" t="s">
        <v>242</v>
      </c>
      <c r="G2111" s="311" t="s">
        <v>23</v>
      </c>
      <c r="H2111" s="311" t="s">
        <v>351</v>
      </c>
      <c r="I2111" s="311" t="s">
        <v>66</v>
      </c>
      <c r="J2111" s="50" t="s">
        <v>1892</v>
      </c>
      <c r="K2111" s="50" t="s">
        <v>1892</v>
      </c>
      <c r="L2111" s="50" t="s">
        <v>1893</v>
      </c>
      <c r="M2111" s="50" t="s">
        <v>4603</v>
      </c>
      <c r="N2111" s="50" t="s">
        <v>4603</v>
      </c>
      <c r="O2111" s="50" t="s">
        <v>4603</v>
      </c>
      <c r="P2111" s="50" t="s">
        <v>4603</v>
      </c>
    </row>
    <row r="2112" spans="1:16" ht="12.75" customHeight="1" x14ac:dyDescent="0.25">
      <c r="A2112" s="311">
        <v>2109</v>
      </c>
      <c r="B2112" s="311" t="s">
        <v>141</v>
      </c>
      <c r="C2112" s="311" t="s">
        <v>141</v>
      </c>
      <c r="D2112" s="311" t="s">
        <v>141</v>
      </c>
      <c r="E2112" s="337" t="s">
        <v>141</v>
      </c>
      <c r="F2112" s="311" t="s">
        <v>242</v>
      </c>
      <c r="G2112" s="311" t="s">
        <v>23</v>
      </c>
      <c r="H2112" s="311" t="s">
        <v>351</v>
      </c>
      <c r="I2112" s="311" t="s">
        <v>66</v>
      </c>
      <c r="J2112" s="50" t="s">
        <v>1892</v>
      </c>
      <c r="K2112" s="50" t="s">
        <v>1892</v>
      </c>
      <c r="L2112" s="50" t="s">
        <v>1893</v>
      </c>
      <c r="M2112" s="50" t="s">
        <v>4604</v>
      </c>
      <c r="N2112" s="50" t="s">
        <v>4604</v>
      </c>
      <c r="O2112" s="50" t="s">
        <v>4604</v>
      </c>
      <c r="P2112" s="50" t="s">
        <v>4604</v>
      </c>
    </row>
    <row r="2113" spans="1:16" ht="12.75" customHeight="1" x14ac:dyDescent="0.25">
      <c r="A2113" s="311">
        <v>2110</v>
      </c>
      <c r="B2113" s="311" t="s">
        <v>69</v>
      </c>
      <c r="C2113" s="311" t="s">
        <v>69</v>
      </c>
      <c r="D2113" s="311" t="s">
        <v>69</v>
      </c>
      <c r="E2113" s="337" t="s">
        <v>69</v>
      </c>
      <c r="F2113" s="311" t="s">
        <v>242</v>
      </c>
      <c r="G2113" s="311" t="s">
        <v>23</v>
      </c>
      <c r="H2113" s="311" t="s">
        <v>351</v>
      </c>
      <c r="I2113" s="311" t="s">
        <v>66</v>
      </c>
      <c r="J2113" s="50" t="s">
        <v>1892</v>
      </c>
      <c r="K2113" s="50" t="s">
        <v>1892</v>
      </c>
      <c r="L2113" s="50" t="s">
        <v>1893</v>
      </c>
      <c r="M2113" s="50" t="s">
        <v>4605</v>
      </c>
      <c r="N2113" s="50" t="s">
        <v>4605</v>
      </c>
      <c r="O2113" s="50" t="s">
        <v>4605</v>
      </c>
      <c r="P2113" s="50" t="s">
        <v>4605</v>
      </c>
    </row>
    <row r="2114" spans="1:16" ht="12.75" customHeight="1" x14ac:dyDescent="0.25">
      <c r="A2114" s="311">
        <v>2111</v>
      </c>
      <c r="B2114" s="311" t="s">
        <v>63</v>
      </c>
      <c r="C2114" s="311" t="s">
        <v>63</v>
      </c>
      <c r="D2114" s="311" t="s">
        <v>462</v>
      </c>
      <c r="E2114" s="337" t="s">
        <v>63</v>
      </c>
      <c r="F2114" s="311" t="s">
        <v>242</v>
      </c>
      <c r="G2114" s="311" t="s">
        <v>237</v>
      </c>
      <c r="H2114" s="311" t="s">
        <v>351</v>
      </c>
      <c r="I2114" s="311" t="s">
        <v>66</v>
      </c>
      <c r="J2114" s="50" t="s">
        <v>1892</v>
      </c>
      <c r="K2114" s="50" t="s">
        <v>1892</v>
      </c>
      <c r="L2114" s="50" t="s">
        <v>1893</v>
      </c>
      <c r="M2114" s="50" t="s">
        <v>4606</v>
      </c>
      <c r="N2114" s="50" t="s">
        <v>4606</v>
      </c>
      <c r="O2114" s="50" t="s">
        <v>4487</v>
      </c>
      <c r="P2114" s="50" t="s">
        <v>4606</v>
      </c>
    </row>
    <row r="2115" spans="1:16" ht="12.75" customHeight="1" x14ac:dyDescent="0.25">
      <c r="A2115" s="311">
        <v>2112</v>
      </c>
      <c r="B2115" s="311" t="s">
        <v>140</v>
      </c>
      <c r="C2115" s="311" t="s">
        <v>140</v>
      </c>
      <c r="D2115" s="311" t="s">
        <v>462</v>
      </c>
      <c r="E2115" s="337" t="s">
        <v>140</v>
      </c>
      <c r="F2115" s="311" t="s">
        <v>242</v>
      </c>
      <c r="G2115" s="311" t="s">
        <v>237</v>
      </c>
      <c r="H2115" s="311" t="s">
        <v>351</v>
      </c>
      <c r="I2115" s="311" t="s">
        <v>66</v>
      </c>
      <c r="J2115" s="50" t="s">
        <v>1892</v>
      </c>
      <c r="K2115" s="50" t="s">
        <v>1892</v>
      </c>
      <c r="L2115" s="50" t="s">
        <v>1893</v>
      </c>
      <c r="M2115" s="50" t="s">
        <v>4607</v>
      </c>
      <c r="N2115" s="50" t="s">
        <v>4607</v>
      </c>
      <c r="O2115" s="50" t="s">
        <v>4487</v>
      </c>
      <c r="P2115" s="50" t="s">
        <v>4607</v>
      </c>
    </row>
    <row r="2116" spans="1:16" ht="12.75" customHeight="1" x14ac:dyDescent="0.25">
      <c r="A2116" s="311">
        <v>2113</v>
      </c>
      <c r="B2116" s="311" t="s">
        <v>121</v>
      </c>
      <c r="C2116" s="311" t="s">
        <v>121</v>
      </c>
      <c r="D2116" s="311" t="s">
        <v>462</v>
      </c>
      <c r="E2116" s="337" t="s">
        <v>121</v>
      </c>
      <c r="F2116" s="311" t="s">
        <v>242</v>
      </c>
      <c r="G2116" s="311" t="s">
        <v>237</v>
      </c>
      <c r="H2116" s="311" t="s">
        <v>351</v>
      </c>
      <c r="I2116" s="311" t="s">
        <v>66</v>
      </c>
      <c r="J2116" s="50" t="s">
        <v>1892</v>
      </c>
      <c r="K2116" s="50" t="s">
        <v>1892</v>
      </c>
      <c r="L2116" s="50" t="s">
        <v>1893</v>
      </c>
      <c r="M2116" s="50" t="s">
        <v>4608</v>
      </c>
      <c r="N2116" s="50" t="s">
        <v>4608</v>
      </c>
      <c r="O2116" s="50" t="s">
        <v>4487</v>
      </c>
      <c r="P2116" s="50" t="s">
        <v>4608</v>
      </c>
    </row>
    <row r="2117" spans="1:16" ht="12.75" customHeight="1" x14ac:dyDescent="0.25">
      <c r="A2117" s="311">
        <v>2114</v>
      </c>
      <c r="B2117" s="311" t="s">
        <v>87</v>
      </c>
      <c r="C2117" s="311" t="s">
        <v>87</v>
      </c>
      <c r="D2117" s="311" t="s">
        <v>462</v>
      </c>
      <c r="E2117" s="337" t="s">
        <v>87</v>
      </c>
      <c r="F2117" s="311" t="s">
        <v>242</v>
      </c>
      <c r="G2117" s="311" t="s">
        <v>237</v>
      </c>
      <c r="H2117" s="311" t="s">
        <v>351</v>
      </c>
      <c r="I2117" s="311" t="s">
        <v>66</v>
      </c>
      <c r="J2117" s="50" t="s">
        <v>1892</v>
      </c>
      <c r="K2117" s="50" t="s">
        <v>1892</v>
      </c>
      <c r="L2117" s="50" t="s">
        <v>1893</v>
      </c>
      <c r="M2117" s="50" t="s">
        <v>4609</v>
      </c>
      <c r="N2117" s="50" t="s">
        <v>4609</v>
      </c>
      <c r="O2117" s="50" t="s">
        <v>4487</v>
      </c>
      <c r="P2117" s="50" t="s">
        <v>4609</v>
      </c>
    </row>
    <row r="2118" spans="1:16" ht="12.75" customHeight="1" x14ac:dyDescent="0.25">
      <c r="A2118" s="311">
        <v>2115</v>
      </c>
      <c r="B2118" s="311" t="s">
        <v>125</v>
      </c>
      <c r="C2118" s="311" t="s">
        <v>125</v>
      </c>
      <c r="D2118" s="311" t="s">
        <v>125</v>
      </c>
      <c r="E2118" s="337" t="s">
        <v>125</v>
      </c>
      <c r="F2118" s="311" t="s">
        <v>242</v>
      </c>
      <c r="G2118" s="311" t="s">
        <v>237</v>
      </c>
      <c r="H2118" s="311" t="s">
        <v>351</v>
      </c>
      <c r="I2118" s="311" t="s">
        <v>66</v>
      </c>
      <c r="J2118" s="50" t="s">
        <v>1892</v>
      </c>
      <c r="K2118" s="50" t="s">
        <v>1892</v>
      </c>
      <c r="L2118" s="50" t="s">
        <v>1893</v>
      </c>
      <c r="M2118" s="50" t="s">
        <v>4610</v>
      </c>
      <c r="N2118" s="50" t="s">
        <v>4610</v>
      </c>
      <c r="O2118" s="50" t="s">
        <v>4610</v>
      </c>
      <c r="P2118" s="50" t="s">
        <v>4610</v>
      </c>
    </row>
    <row r="2119" spans="1:16" ht="12.75" customHeight="1" x14ac:dyDescent="0.25">
      <c r="A2119" s="311">
        <v>2116</v>
      </c>
      <c r="B2119" s="311" t="s">
        <v>134</v>
      </c>
      <c r="C2119" s="311" t="s">
        <v>134</v>
      </c>
      <c r="D2119" s="311" t="s">
        <v>134</v>
      </c>
      <c r="E2119" s="337" t="s">
        <v>134</v>
      </c>
      <c r="F2119" s="311" t="s">
        <v>242</v>
      </c>
      <c r="G2119" s="311" t="s">
        <v>237</v>
      </c>
      <c r="H2119" s="311" t="s">
        <v>351</v>
      </c>
      <c r="I2119" s="311" t="s">
        <v>66</v>
      </c>
      <c r="J2119" s="50" t="s">
        <v>1892</v>
      </c>
      <c r="K2119" s="50" t="s">
        <v>1892</v>
      </c>
      <c r="L2119" s="50" t="s">
        <v>1893</v>
      </c>
      <c r="M2119" s="50" t="s">
        <v>4611</v>
      </c>
      <c r="N2119" s="50" t="s">
        <v>4611</v>
      </c>
      <c r="O2119" s="50" t="s">
        <v>4611</v>
      </c>
      <c r="P2119" s="50" t="s">
        <v>4611</v>
      </c>
    </row>
    <row r="2120" spans="1:16" ht="12.75" customHeight="1" x14ac:dyDescent="0.25">
      <c r="A2120" s="311">
        <v>2117</v>
      </c>
      <c r="B2120" s="311" t="s">
        <v>141</v>
      </c>
      <c r="C2120" s="311" t="s">
        <v>141</v>
      </c>
      <c r="D2120" s="311" t="s">
        <v>141</v>
      </c>
      <c r="E2120" s="337" t="s">
        <v>141</v>
      </c>
      <c r="F2120" s="311" t="s">
        <v>242</v>
      </c>
      <c r="G2120" s="311" t="s">
        <v>237</v>
      </c>
      <c r="H2120" s="311" t="s">
        <v>351</v>
      </c>
      <c r="I2120" s="311" t="s">
        <v>66</v>
      </c>
      <c r="J2120" s="50" t="s">
        <v>1892</v>
      </c>
      <c r="K2120" s="50" t="s">
        <v>1892</v>
      </c>
      <c r="L2120" s="50" t="s">
        <v>1893</v>
      </c>
      <c r="M2120" s="50" t="s">
        <v>4612</v>
      </c>
      <c r="N2120" s="50" t="s">
        <v>4612</v>
      </c>
      <c r="O2120" s="50" t="s">
        <v>4612</v>
      </c>
      <c r="P2120" s="50" t="s">
        <v>4612</v>
      </c>
    </row>
    <row r="2121" spans="1:16" ht="12.75" customHeight="1" x14ac:dyDescent="0.25">
      <c r="A2121" s="311">
        <v>2118</v>
      </c>
      <c r="B2121" s="311" t="s">
        <v>69</v>
      </c>
      <c r="C2121" s="311" t="s">
        <v>69</v>
      </c>
      <c r="D2121" s="311" t="s">
        <v>69</v>
      </c>
      <c r="E2121" s="337" t="s">
        <v>69</v>
      </c>
      <c r="F2121" s="311" t="s">
        <v>242</v>
      </c>
      <c r="G2121" s="311" t="s">
        <v>237</v>
      </c>
      <c r="H2121" s="311" t="s">
        <v>351</v>
      </c>
      <c r="I2121" s="311" t="s">
        <v>66</v>
      </c>
      <c r="J2121" s="50" t="s">
        <v>1892</v>
      </c>
      <c r="K2121" s="50" t="s">
        <v>1892</v>
      </c>
      <c r="L2121" s="50" t="s">
        <v>1893</v>
      </c>
      <c r="M2121" s="50" t="s">
        <v>4613</v>
      </c>
      <c r="N2121" s="50" t="s">
        <v>4613</v>
      </c>
      <c r="O2121" s="50" t="s">
        <v>4613</v>
      </c>
      <c r="P2121" s="50" t="s">
        <v>4613</v>
      </c>
    </row>
    <row r="2122" spans="1:16" ht="12.75" customHeight="1" x14ac:dyDescent="0.25">
      <c r="A2122" s="311">
        <v>2119</v>
      </c>
      <c r="B2122" s="311" t="s">
        <v>63</v>
      </c>
      <c r="C2122" s="311" t="s">
        <v>63</v>
      </c>
      <c r="D2122" s="311" t="s">
        <v>462</v>
      </c>
      <c r="E2122" s="337" t="s">
        <v>63</v>
      </c>
      <c r="F2122" s="311" t="s">
        <v>298</v>
      </c>
      <c r="G2122" s="311" t="s">
        <v>236</v>
      </c>
      <c r="H2122" s="311" t="s">
        <v>351</v>
      </c>
      <c r="I2122" s="311" t="s">
        <v>66</v>
      </c>
      <c r="J2122" s="50" t="s">
        <v>1892</v>
      </c>
      <c r="K2122" s="50" t="s">
        <v>1892</v>
      </c>
      <c r="L2122" s="50" t="s">
        <v>1893</v>
      </c>
      <c r="M2122" s="50" t="s">
        <v>4614</v>
      </c>
      <c r="N2122" s="50" t="s">
        <v>4614</v>
      </c>
      <c r="O2122" s="50" t="s">
        <v>4495</v>
      </c>
      <c r="P2122" s="50" t="s">
        <v>4614</v>
      </c>
    </row>
    <row r="2123" spans="1:16" ht="12.75" customHeight="1" x14ac:dyDescent="0.25">
      <c r="A2123" s="311">
        <v>2120</v>
      </c>
      <c r="B2123" s="311" t="s">
        <v>140</v>
      </c>
      <c r="C2123" s="311" t="s">
        <v>140</v>
      </c>
      <c r="D2123" s="311" t="s">
        <v>462</v>
      </c>
      <c r="E2123" s="337" t="s">
        <v>140</v>
      </c>
      <c r="F2123" s="311" t="s">
        <v>298</v>
      </c>
      <c r="G2123" s="311" t="s">
        <v>236</v>
      </c>
      <c r="H2123" s="311" t="s">
        <v>351</v>
      </c>
      <c r="I2123" s="311" t="s">
        <v>66</v>
      </c>
      <c r="J2123" s="50" t="s">
        <v>1892</v>
      </c>
      <c r="K2123" s="50" t="s">
        <v>1892</v>
      </c>
      <c r="L2123" s="50" t="s">
        <v>1893</v>
      </c>
      <c r="M2123" s="50" t="s">
        <v>4615</v>
      </c>
      <c r="N2123" s="50" t="s">
        <v>4615</v>
      </c>
      <c r="O2123" s="50" t="s">
        <v>4495</v>
      </c>
      <c r="P2123" s="50" t="s">
        <v>4615</v>
      </c>
    </row>
    <row r="2124" spans="1:16" ht="12.75" customHeight="1" x14ac:dyDescent="0.25">
      <c r="A2124" s="311">
        <v>2121</v>
      </c>
      <c r="B2124" s="311" t="s">
        <v>121</v>
      </c>
      <c r="C2124" s="311" t="s">
        <v>121</v>
      </c>
      <c r="D2124" s="311" t="s">
        <v>462</v>
      </c>
      <c r="E2124" s="337" t="s">
        <v>121</v>
      </c>
      <c r="F2124" s="311" t="s">
        <v>298</v>
      </c>
      <c r="G2124" s="311" t="s">
        <v>236</v>
      </c>
      <c r="H2124" s="311" t="s">
        <v>351</v>
      </c>
      <c r="I2124" s="311" t="s">
        <v>66</v>
      </c>
      <c r="J2124" s="50" t="s">
        <v>1892</v>
      </c>
      <c r="K2124" s="50" t="s">
        <v>1892</v>
      </c>
      <c r="L2124" s="50" t="s">
        <v>1893</v>
      </c>
      <c r="M2124" s="50" t="s">
        <v>4616</v>
      </c>
      <c r="N2124" s="50" t="s">
        <v>4616</v>
      </c>
      <c r="O2124" s="50" t="s">
        <v>4495</v>
      </c>
      <c r="P2124" s="50" t="s">
        <v>4616</v>
      </c>
    </row>
    <row r="2125" spans="1:16" ht="12.75" customHeight="1" x14ac:dyDescent="0.25">
      <c r="A2125" s="311">
        <v>2122</v>
      </c>
      <c r="B2125" s="311" t="s">
        <v>87</v>
      </c>
      <c r="C2125" s="311" t="s">
        <v>87</v>
      </c>
      <c r="D2125" s="311" t="s">
        <v>462</v>
      </c>
      <c r="E2125" s="337" t="s">
        <v>87</v>
      </c>
      <c r="F2125" s="311" t="s">
        <v>298</v>
      </c>
      <c r="G2125" s="311" t="s">
        <v>236</v>
      </c>
      <c r="H2125" s="311" t="s">
        <v>351</v>
      </c>
      <c r="I2125" s="311" t="s">
        <v>66</v>
      </c>
      <c r="J2125" s="50" t="s">
        <v>1892</v>
      </c>
      <c r="K2125" s="50" t="s">
        <v>1892</v>
      </c>
      <c r="L2125" s="50" t="s">
        <v>1893</v>
      </c>
      <c r="M2125" s="50" t="s">
        <v>4617</v>
      </c>
      <c r="N2125" s="50" t="s">
        <v>4617</v>
      </c>
      <c r="O2125" s="50" t="s">
        <v>4495</v>
      </c>
      <c r="P2125" s="50" t="s">
        <v>4617</v>
      </c>
    </row>
    <row r="2126" spans="1:16" ht="12.75" customHeight="1" x14ac:dyDescent="0.25">
      <c r="A2126" s="311">
        <v>2123</v>
      </c>
      <c r="B2126" s="311" t="s">
        <v>125</v>
      </c>
      <c r="C2126" s="311" t="s">
        <v>125</v>
      </c>
      <c r="D2126" s="311" t="s">
        <v>125</v>
      </c>
      <c r="E2126" s="337" t="s">
        <v>125</v>
      </c>
      <c r="F2126" s="311" t="s">
        <v>298</v>
      </c>
      <c r="G2126" s="311" t="s">
        <v>236</v>
      </c>
      <c r="H2126" s="311" t="s">
        <v>351</v>
      </c>
      <c r="I2126" s="311" t="s">
        <v>66</v>
      </c>
      <c r="J2126" s="50" t="s">
        <v>1892</v>
      </c>
      <c r="K2126" s="50" t="s">
        <v>1892</v>
      </c>
      <c r="L2126" s="50" t="s">
        <v>1893</v>
      </c>
      <c r="M2126" s="50" t="s">
        <v>4618</v>
      </c>
      <c r="N2126" s="50" t="s">
        <v>4618</v>
      </c>
      <c r="O2126" s="50" t="s">
        <v>4618</v>
      </c>
      <c r="P2126" s="50" t="s">
        <v>4618</v>
      </c>
    </row>
    <row r="2127" spans="1:16" ht="12.75" customHeight="1" x14ac:dyDescent="0.25">
      <c r="A2127" s="311">
        <v>2124</v>
      </c>
      <c r="B2127" s="311" t="s">
        <v>134</v>
      </c>
      <c r="C2127" s="311" t="s">
        <v>134</v>
      </c>
      <c r="D2127" s="311" t="s">
        <v>134</v>
      </c>
      <c r="E2127" s="337" t="s">
        <v>134</v>
      </c>
      <c r="F2127" s="311" t="s">
        <v>298</v>
      </c>
      <c r="G2127" s="311" t="s">
        <v>236</v>
      </c>
      <c r="H2127" s="311" t="s">
        <v>351</v>
      </c>
      <c r="I2127" s="311" t="s">
        <v>66</v>
      </c>
      <c r="J2127" s="50" t="s">
        <v>1892</v>
      </c>
      <c r="K2127" s="50" t="s">
        <v>1892</v>
      </c>
      <c r="L2127" s="50" t="s">
        <v>1893</v>
      </c>
      <c r="M2127" s="50" t="s">
        <v>4619</v>
      </c>
      <c r="N2127" s="50" t="s">
        <v>4619</v>
      </c>
      <c r="O2127" s="50" t="s">
        <v>4619</v>
      </c>
      <c r="P2127" s="50" t="s">
        <v>4619</v>
      </c>
    </row>
    <row r="2128" spans="1:16" ht="12.75" customHeight="1" x14ac:dyDescent="0.25">
      <c r="A2128" s="311">
        <v>2125</v>
      </c>
      <c r="B2128" s="311" t="s">
        <v>141</v>
      </c>
      <c r="C2128" s="311" t="s">
        <v>141</v>
      </c>
      <c r="D2128" s="311" t="s">
        <v>141</v>
      </c>
      <c r="E2128" s="337" t="s">
        <v>141</v>
      </c>
      <c r="F2128" s="311" t="s">
        <v>298</v>
      </c>
      <c r="G2128" s="311" t="s">
        <v>236</v>
      </c>
      <c r="H2128" s="311" t="s">
        <v>351</v>
      </c>
      <c r="I2128" s="311" t="s">
        <v>66</v>
      </c>
      <c r="J2128" s="50" t="s">
        <v>1892</v>
      </c>
      <c r="K2128" s="50" t="s">
        <v>1892</v>
      </c>
      <c r="L2128" s="50" t="s">
        <v>1893</v>
      </c>
      <c r="M2128" s="50" t="s">
        <v>4620</v>
      </c>
      <c r="N2128" s="50" t="s">
        <v>4620</v>
      </c>
      <c r="O2128" s="50" t="s">
        <v>4620</v>
      </c>
      <c r="P2128" s="50" t="s">
        <v>4620</v>
      </c>
    </row>
    <row r="2129" spans="1:16" ht="12.75" customHeight="1" x14ac:dyDescent="0.25">
      <c r="A2129" s="311">
        <v>2126</v>
      </c>
      <c r="B2129" s="311" t="s">
        <v>69</v>
      </c>
      <c r="C2129" s="311" t="s">
        <v>69</v>
      </c>
      <c r="D2129" s="311" t="s">
        <v>69</v>
      </c>
      <c r="E2129" s="337" t="s">
        <v>69</v>
      </c>
      <c r="F2129" s="311" t="s">
        <v>298</v>
      </c>
      <c r="G2129" s="311" t="s">
        <v>236</v>
      </c>
      <c r="H2129" s="311" t="s">
        <v>351</v>
      </c>
      <c r="I2129" s="311" t="s">
        <v>66</v>
      </c>
      <c r="J2129" s="50" t="s">
        <v>1892</v>
      </c>
      <c r="K2129" s="50" t="s">
        <v>1892</v>
      </c>
      <c r="L2129" s="50" t="s">
        <v>1893</v>
      </c>
      <c r="M2129" s="50" t="s">
        <v>4621</v>
      </c>
      <c r="N2129" s="50" t="s">
        <v>4621</v>
      </c>
      <c r="O2129" s="50" t="s">
        <v>4621</v>
      </c>
      <c r="P2129" s="50" t="s">
        <v>4621</v>
      </c>
    </row>
    <row r="2130" spans="1:16" ht="12.75" customHeight="1" x14ac:dyDescent="0.25">
      <c r="A2130" s="311">
        <v>2127</v>
      </c>
      <c r="B2130" s="311" t="s">
        <v>63</v>
      </c>
      <c r="C2130" s="311" t="s">
        <v>63</v>
      </c>
      <c r="D2130" s="311" t="s">
        <v>462</v>
      </c>
      <c r="E2130" s="337" t="s">
        <v>63</v>
      </c>
      <c r="F2130" s="311" t="s">
        <v>298</v>
      </c>
      <c r="G2130" s="311" t="s">
        <v>23</v>
      </c>
      <c r="H2130" s="311" t="s">
        <v>351</v>
      </c>
      <c r="I2130" s="311" t="s">
        <v>66</v>
      </c>
      <c r="J2130" s="50" t="s">
        <v>1892</v>
      </c>
      <c r="K2130" s="50" t="s">
        <v>1892</v>
      </c>
      <c r="L2130" s="50" t="s">
        <v>1893</v>
      </c>
      <c r="M2130" s="50" t="s">
        <v>4622</v>
      </c>
      <c r="N2130" s="50" t="s">
        <v>4622</v>
      </c>
      <c r="O2130" s="50" t="s">
        <v>4503</v>
      </c>
      <c r="P2130" s="50" t="s">
        <v>4622</v>
      </c>
    </row>
    <row r="2131" spans="1:16" ht="12.75" customHeight="1" x14ac:dyDescent="0.25">
      <c r="A2131" s="311">
        <v>2128</v>
      </c>
      <c r="B2131" s="311" t="s">
        <v>140</v>
      </c>
      <c r="C2131" s="311" t="s">
        <v>140</v>
      </c>
      <c r="D2131" s="311" t="s">
        <v>462</v>
      </c>
      <c r="E2131" s="337" t="s">
        <v>140</v>
      </c>
      <c r="F2131" s="311" t="s">
        <v>298</v>
      </c>
      <c r="G2131" s="311" t="s">
        <v>23</v>
      </c>
      <c r="H2131" s="311" t="s">
        <v>351</v>
      </c>
      <c r="I2131" s="311" t="s">
        <v>66</v>
      </c>
      <c r="J2131" s="50" t="s">
        <v>1892</v>
      </c>
      <c r="K2131" s="50" t="s">
        <v>1892</v>
      </c>
      <c r="L2131" s="50" t="s">
        <v>1893</v>
      </c>
      <c r="M2131" s="50" t="s">
        <v>4623</v>
      </c>
      <c r="N2131" s="50" t="s">
        <v>4623</v>
      </c>
      <c r="O2131" s="50" t="s">
        <v>4503</v>
      </c>
      <c r="P2131" s="50" t="s">
        <v>4623</v>
      </c>
    </row>
    <row r="2132" spans="1:16" ht="12.75" customHeight="1" x14ac:dyDescent="0.25">
      <c r="A2132" s="311">
        <v>2129</v>
      </c>
      <c r="B2132" s="311" t="s">
        <v>121</v>
      </c>
      <c r="C2132" s="311" t="s">
        <v>121</v>
      </c>
      <c r="D2132" s="311" t="s">
        <v>462</v>
      </c>
      <c r="E2132" s="337" t="s">
        <v>121</v>
      </c>
      <c r="F2132" s="311" t="s">
        <v>298</v>
      </c>
      <c r="G2132" s="311" t="s">
        <v>23</v>
      </c>
      <c r="H2132" s="311" t="s">
        <v>351</v>
      </c>
      <c r="I2132" s="311" t="s">
        <v>66</v>
      </c>
      <c r="J2132" s="50" t="s">
        <v>1892</v>
      </c>
      <c r="K2132" s="50" t="s">
        <v>1892</v>
      </c>
      <c r="L2132" s="50" t="s">
        <v>1893</v>
      </c>
      <c r="M2132" s="50" t="s">
        <v>4624</v>
      </c>
      <c r="N2132" s="50" t="s">
        <v>4624</v>
      </c>
      <c r="O2132" s="50" t="s">
        <v>4503</v>
      </c>
      <c r="P2132" s="50" t="s">
        <v>4624</v>
      </c>
    </row>
    <row r="2133" spans="1:16" ht="12.75" customHeight="1" x14ac:dyDescent="0.25">
      <c r="A2133" s="311">
        <v>2130</v>
      </c>
      <c r="B2133" s="311" t="s">
        <v>87</v>
      </c>
      <c r="C2133" s="311" t="s">
        <v>87</v>
      </c>
      <c r="D2133" s="311" t="s">
        <v>462</v>
      </c>
      <c r="E2133" s="337" t="s">
        <v>87</v>
      </c>
      <c r="F2133" s="311" t="s">
        <v>298</v>
      </c>
      <c r="G2133" s="311" t="s">
        <v>23</v>
      </c>
      <c r="H2133" s="311" t="s">
        <v>351</v>
      </c>
      <c r="I2133" s="311" t="s">
        <v>66</v>
      </c>
      <c r="J2133" s="50" t="s">
        <v>1892</v>
      </c>
      <c r="K2133" s="50" t="s">
        <v>1892</v>
      </c>
      <c r="L2133" s="50" t="s">
        <v>1893</v>
      </c>
      <c r="M2133" s="50" t="s">
        <v>4625</v>
      </c>
      <c r="N2133" s="50" t="s">
        <v>4625</v>
      </c>
      <c r="O2133" s="50" t="s">
        <v>4503</v>
      </c>
      <c r="P2133" s="50" t="s">
        <v>4625</v>
      </c>
    </row>
    <row r="2134" spans="1:16" ht="12.75" customHeight="1" x14ac:dyDescent="0.25">
      <c r="A2134" s="311">
        <v>2131</v>
      </c>
      <c r="B2134" s="311" t="s">
        <v>125</v>
      </c>
      <c r="C2134" s="311" t="s">
        <v>125</v>
      </c>
      <c r="D2134" s="311" t="s">
        <v>125</v>
      </c>
      <c r="E2134" s="337" t="s">
        <v>125</v>
      </c>
      <c r="F2134" s="311" t="s">
        <v>298</v>
      </c>
      <c r="G2134" s="311" t="s">
        <v>23</v>
      </c>
      <c r="H2134" s="311" t="s">
        <v>351</v>
      </c>
      <c r="I2134" s="311" t="s">
        <v>66</v>
      </c>
      <c r="J2134" s="50" t="s">
        <v>1892</v>
      </c>
      <c r="K2134" s="50" t="s">
        <v>1892</v>
      </c>
      <c r="L2134" s="50" t="s">
        <v>1893</v>
      </c>
      <c r="M2134" s="50" t="s">
        <v>4626</v>
      </c>
      <c r="N2134" s="50" t="s">
        <v>4626</v>
      </c>
      <c r="O2134" s="50" t="s">
        <v>4626</v>
      </c>
      <c r="P2134" s="50" t="s">
        <v>4626</v>
      </c>
    </row>
    <row r="2135" spans="1:16" ht="12.75" customHeight="1" x14ac:dyDescent="0.25">
      <c r="A2135" s="311">
        <v>2132</v>
      </c>
      <c r="B2135" s="311" t="s">
        <v>134</v>
      </c>
      <c r="C2135" s="311" t="s">
        <v>134</v>
      </c>
      <c r="D2135" s="311" t="s">
        <v>134</v>
      </c>
      <c r="E2135" s="337" t="s">
        <v>134</v>
      </c>
      <c r="F2135" s="311" t="s">
        <v>298</v>
      </c>
      <c r="G2135" s="311" t="s">
        <v>23</v>
      </c>
      <c r="H2135" s="311" t="s">
        <v>351</v>
      </c>
      <c r="I2135" s="311" t="s">
        <v>66</v>
      </c>
      <c r="J2135" s="50" t="s">
        <v>1892</v>
      </c>
      <c r="K2135" s="50" t="s">
        <v>1892</v>
      </c>
      <c r="L2135" s="50" t="s">
        <v>1893</v>
      </c>
      <c r="M2135" s="50" t="s">
        <v>4627</v>
      </c>
      <c r="N2135" s="50" t="s">
        <v>4627</v>
      </c>
      <c r="O2135" s="50" t="s">
        <v>4627</v>
      </c>
      <c r="P2135" s="50" t="s">
        <v>4627</v>
      </c>
    </row>
    <row r="2136" spans="1:16" ht="12.75" customHeight="1" x14ac:dyDescent="0.25">
      <c r="A2136" s="311">
        <v>2133</v>
      </c>
      <c r="B2136" s="311" t="s">
        <v>141</v>
      </c>
      <c r="C2136" s="311" t="s">
        <v>141</v>
      </c>
      <c r="D2136" s="311" t="s">
        <v>141</v>
      </c>
      <c r="E2136" s="337" t="s">
        <v>141</v>
      </c>
      <c r="F2136" s="311" t="s">
        <v>298</v>
      </c>
      <c r="G2136" s="311" t="s">
        <v>23</v>
      </c>
      <c r="H2136" s="311" t="s">
        <v>351</v>
      </c>
      <c r="I2136" s="311" t="s">
        <v>66</v>
      </c>
      <c r="J2136" s="50" t="s">
        <v>1892</v>
      </c>
      <c r="K2136" s="50" t="s">
        <v>1892</v>
      </c>
      <c r="L2136" s="50" t="s">
        <v>1893</v>
      </c>
      <c r="M2136" s="50" t="s">
        <v>4628</v>
      </c>
      <c r="N2136" s="50" t="s">
        <v>4628</v>
      </c>
      <c r="O2136" s="50" t="s">
        <v>4628</v>
      </c>
      <c r="P2136" s="50" t="s">
        <v>4628</v>
      </c>
    </row>
    <row r="2137" spans="1:16" ht="12.75" customHeight="1" x14ac:dyDescent="0.25">
      <c r="A2137" s="311">
        <v>2134</v>
      </c>
      <c r="B2137" s="311" t="s">
        <v>69</v>
      </c>
      <c r="C2137" s="311" t="s">
        <v>69</v>
      </c>
      <c r="D2137" s="311" t="s">
        <v>69</v>
      </c>
      <c r="E2137" s="337" t="s">
        <v>69</v>
      </c>
      <c r="F2137" s="311" t="s">
        <v>298</v>
      </c>
      <c r="G2137" s="311" t="s">
        <v>23</v>
      </c>
      <c r="H2137" s="311" t="s">
        <v>351</v>
      </c>
      <c r="I2137" s="311" t="s">
        <v>66</v>
      </c>
      <c r="J2137" s="50" t="s">
        <v>1892</v>
      </c>
      <c r="K2137" s="50" t="s">
        <v>1892</v>
      </c>
      <c r="L2137" s="50" t="s">
        <v>1893</v>
      </c>
      <c r="M2137" s="50" t="s">
        <v>4629</v>
      </c>
      <c r="N2137" s="50" t="s">
        <v>4629</v>
      </c>
      <c r="O2137" s="50" t="s">
        <v>4629</v>
      </c>
      <c r="P2137" s="50" t="s">
        <v>4629</v>
      </c>
    </row>
    <row r="2138" spans="1:16" ht="12.75" customHeight="1" x14ac:dyDescent="0.25">
      <c r="A2138" s="311">
        <v>2135</v>
      </c>
      <c r="B2138" s="311" t="s">
        <v>63</v>
      </c>
      <c r="C2138" s="311" t="s">
        <v>63</v>
      </c>
      <c r="D2138" s="311" t="s">
        <v>462</v>
      </c>
      <c r="E2138" s="337" t="s">
        <v>63</v>
      </c>
      <c r="F2138" s="311" t="s">
        <v>298</v>
      </c>
      <c r="G2138" s="311" t="s">
        <v>237</v>
      </c>
      <c r="H2138" s="311" t="s">
        <v>351</v>
      </c>
      <c r="I2138" s="311" t="s">
        <v>66</v>
      </c>
      <c r="J2138" s="50" t="s">
        <v>1892</v>
      </c>
      <c r="K2138" s="50" t="s">
        <v>1892</v>
      </c>
      <c r="L2138" s="50" t="s">
        <v>1893</v>
      </c>
      <c r="M2138" s="50" t="s">
        <v>4630</v>
      </c>
      <c r="N2138" s="50" t="s">
        <v>4630</v>
      </c>
      <c r="O2138" s="50" t="s">
        <v>4511</v>
      </c>
      <c r="P2138" s="50" t="s">
        <v>4630</v>
      </c>
    </row>
    <row r="2139" spans="1:16" ht="12.75" customHeight="1" x14ac:dyDescent="0.25">
      <c r="A2139" s="311">
        <v>2136</v>
      </c>
      <c r="B2139" s="311" t="s">
        <v>140</v>
      </c>
      <c r="C2139" s="311" t="s">
        <v>140</v>
      </c>
      <c r="D2139" s="311" t="s">
        <v>462</v>
      </c>
      <c r="E2139" s="337" t="s">
        <v>140</v>
      </c>
      <c r="F2139" s="311" t="s">
        <v>298</v>
      </c>
      <c r="G2139" s="311" t="s">
        <v>237</v>
      </c>
      <c r="H2139" s="311" t="s">
        <v>351</v>
      </c>
      <c r="I2139" s="311" t="s">
        <v>66</v>
      </c>
      <c r="J2139" s="50" t="s">
        <v>1892</v>
      </c>
      <c r="K2139" s="50" t="s">
        <v>1892</v>
      </c>
      <c r="L2139" s="50" t="s">
        <v>1893</v>
      </c>
      <c r="M2139" s="50" t="s">
        <v>4631</v>
      </c>
      <c r="N2139" s="50" t="s">
        <v>4631</v>
      </c>
      <c r="O2139" s="50" t="s">
        <v>4511</v>
      </c>
      <c r="P2139" s="50" t="s">
        <v>4631</v>
      </c>
    </row>
    <row r="2140" spans="1:16" ht="12.75" customHeight="1" x14ac:dyDescent="0.25">
      <c r="A2140" s="311">
        <v>2137</v>
      </c>
      <c r="B2140" s="311" t="s">
        <v>121</v>
      </c>
      <c r="C2140" s="311" t="s">
        <v>121</v>
      </c>
      <c r="D2140" s="311" t="s">
        <v>462</v>
      </c>
      <c r="E2140" s="337" t="s">
        <v>121</v>
      </c>
      <c r="F2140" s="311" t="s">
        <v>298</v>
      </c>
      <c r="G2140" s="311" t="s">
        <v>237</v>
      </c>
      <c r="H2140" s="311" t="s">
        <v>351</v>
      </c>
      <c r="I2140" s="311" t="s">
        <v>66</v>
      </c>
      <c r="J2140" s="50" t="s">
        <v>1892</v>
      </c>
      <c r="K2140" s="50" t="s">
        <v>1892</v>
      </c>
      <c r="L2140" s="50" t="s">
        <v>1893</v>
      </c>
      <c r="M2140" s="50" t="s">
        <v>4632</v>
      </c>
      <c r="N2140" s="50" t="s">
        <v>4632</v>
      </c>
      <c r="O2140" s="50" t="s">
        <v>4511</v>
      </c>
      <c r="P2140" s="50" t="s">
        <v>4632</v>
      </c>
    </row>
    <row r="2141" spans="1:16" ht="12.75" customHeight="1" x14ac:dyDescent="0.25">
      <c r="A2141" s="311">
        <v>2138</v>
      </c>
      <c r="B2141" s="311" t="s">
        <v>87</v>
      </c>
      <c r="C2141" s="311" t="s">
        <v>87</v>
      </c>
      <c r="D2141" s="311" t="s">
        <v>462</v>
      </c>
      <c r="E2141" s="337" t="s">
        <v>87</v>
      </c>
      <c r="F2141" s="311" t="s">
        <v>298</v>
      </c>
      <c r="G2141" s="311" t="s">
        <v>237</v>
      </c>
      <c r="H2141" s="311" t="s">
        <v>351</v>
      </c>
      <c r="I2141" s="311" t="s">
        <v>66</v>
      </c>
      <c r="J2141" s="50" t="s">
        <v>1892</v>
      </c>
      <c r="K2141" s="50" t="s">
        <v>1892</v>
      </c>
      <c r="L2141" s="50" t="s">
        <v>1893</v>
      </c>
      <c r="M2141" s="50" t="s">
        <v>4633</v>
      </c>
      <c r="N2141" s="50" t="s">
        <v>4633</v>
      </c>
      <c r="O2141" s="50" t="s">
        <v>4511</v>
      </c>
      <c r="P2141" s="50" t="s">
        <v>4633</v>
      </c>
    </row>
    <row r="2142" spans="1:16" ht="12.75" customHeight="1" x14ac:dyDescent="0.25">
      <c r="A2142" s="311">
        <v>2139</v>
      </c>
      <c r="B2142" s="311" t="s">
        <v>125</v>
      </c>
      <c r="C2142" s="311" t="s">
        <v>125</v>
      </c>
      <c r="D2142" s="311" t="s">
        <v>125</v>
      </c>
      <c r="E2142" s="337" t="s">
        <v>125</v>
      </c>
      <c r="F2142" s="311" t="s">
        <v>298</v>
      </c>
      <c r="G2142" s="311" t="s">
        <v>237</v>
      </c>
      <c r="H2142" s="311" t="s">
        <v>351</v>
      </c>
      <c r="I2142" s="311" t="s">
        <v>66</v>
      </c>
      <c r="J2142" s="50" t="s">
        <v>1892</v>
      </c>
      <c r="K2142" s="50" t="s">
        <v>1892</v>
      </c>
      <c r="L2142" s="50" t="s">
        <v>1893</v>
      </c>
      <c r="M2142" s="50" t="s">
        <v>4634</v>
      </c>
      <c r="N2142" s="50" t="s">
        <v>4634</v>
      </c>
      <c r="O2142" s="50" t="s">
        <v>4634</v>
      </c>
      <c r="P2142" s="50" t="s">
        <v>4634</v>
      </c>
    </row>
    <row r="2143" spans="1:16" ht="12.75" customHeight="1" x14ac:dyDescent="0.25">
      <c r="A2143" s="311">
        <v>2140</v>
      </c>
      <c r="B2143" s="311" t="s">
        <v>134</v>
      </c>
      <c r="C2143" s="311" t="s">
        <v>134</v>
      </c>
      <c r="D2143" s="311" t="s">
        <v>134</v>
      </c>
      <c r="E2143" s="337" t="s">
        <v>134</v>
      </c>
      <c r="F2143" s="311" t="s">
        <v>298</v>
      </c>
      <c r="G2143" s="311" t="s">
        <v>237</v>
      </c>
      <c r="H2143" s="311" t="s">
        <v>351</v>
      </c>
      <c r="I2143" s="311" t="s">
        <v>66</v>
      </c>
      <c r="J2143" s="50" t="s">
        <v>1892</v>
      </c>
      <c r="K2143" s="50" t="s">
        <v>1892</v>
      </c>
      <c r="L2143" s="50" t="s">
        <v>1893</v>
      </c>
      <c r="M2143" s="50" t="s">
        <v>4635</v>
      </c>
      <c r="N2143" s="50" t="s">
        <v>4635</v>
      </c>
      <c r="O2143" s="50" t="s">
        <v>4635</v>
      </c>
      <c r="P2143" s="50" t="s">
        <v>4635</v>
      </c>
    </row>
    <row r="2144" spans="1:16" ht="12.75" customHeight="1" x14ac:dyDescent="0.25">
      <c r="A2144" s="311">
        <v>2141</v>
      </c>
      <c r="B2144" s="311" t="s">
        <v>141</v>
      </c>
      <c r="C2144" s="311" t="s">
        <v>141</v>
      </c>
      <c r="D2144" s="311" t="s">
        <v>141</v>
      </c>
      <c r="E2144" s="337" t="s">
        <v>141</v>
      </c>
      <c r="F2144" s="311" t="s">
        <v>298</v>
      </c>
      <c r="G2144" s="311" t="s">
        <v>237</v>
      </c>
      <c r="H2144" s="311" t="s">
        <v>351</v>
      </c>
      <c r="I2144" s="311" t="s">
        <v>66</v>
      </c>
      <c r="J2144" s="50" t="s">
        <v>1892</v>
      </c>
      <c r="K2144" s="50" t="s">
        <v>1892</v>
      </c>
      <c r="L2144" s="50" t="s">
        <v>1893</v>
      </c>
      <c r="M2144" s="50" t="s">
        <v>4636</v>
      </c>
      <c r="N2144" s="50" t="s">
        <v>4636</v>
      </c>
      <c r="O2144" s="50" t="s">
        <v>4636</v>
      </c>
      <c r="P2144" s="50" t="s">
        <v>4636</v>
      </c>
    </row>
    <row r="2145" spans="1:16" ht="12.75" customHeight="1" x14ac:dyDescent="0.25">
      <c r="A2145" s="311">
        <v>2142</v>
      </c>
      <c r="B2145" s="311" t="s">
        <v>69</v>
      </c>
      <c r="C2145" s="311" t="s">
        <v>69</v>
      </c>
      <c r="D2145" s="311" t="s">
        <v>69</v>
      </c>
      <c r="E2145" s="337" t="s">
        <v>69</v>
      </c>
      <c r="F2145" s="311" t="s">
        <v>298</v>
      </c>
      <c r="G2145" s="311" t="s">
        <v>237</v>
      </c>
      <c r="H2145" s="311" t="s">
        <v>351</v>
      </c>
      <c r="I2145" s="311" t="s">
        <v>66</v>
      </c>
      <c r="J2145" s="50" t="s">
        <v>1892</v>
      </c>
      <c r="K2145" s="50" t="s">
        <v>1892</v>
      </c>
      <c r="L2145" s="50" t="s">
        <v>1893</v>
      </c>
      <c r="M2145" s="50" t="s">
        <v>4637</v>
      </c>
      <c r="N2145" s="50" t="s">
        <v>4637</v>
      </c>
      <c r="O2145" s="50" t="s">
        <v>4637</v>
      </c>
      <c r="P2145" s="50" t="s">
        <v>4637</v>
      </c>
    </row>
    <row r="2146" spans="1:16" ht="12.75" customHeight="1" x14ac:dyDescent="0.25">
      <c r="A2146" s="311">
        <v>2143</v>
      </c>
      <c r="B2146" s="311" t="s">
        <v>63</v>
      </c>
      <c r="C2146" s="311" t="s">
        <v>63</v>
      </c>
      <c r="D2146" s="311" t="s">
        <v>462</v>
      </c>
      <c r="E2146" s="337" t="s">
        <v>63</v>
      </c>
      <c r="F2146" s="311" t="s">
        <v>286</v>
      </c>
      <c r="G2146" s="311" t="s">
        <v>236</v>
      </c>
      <c r="H2146" s="311" t="s">
        <v>351</v>
      </c>
      <c r="I2146" s="311" t="s">
        <v>66</v>
      </c>
      <c r="J2146" s="50" t="s">
        <v>1892</v>
      </c>
      <c r="K2146" s="50" t="s">
        <v>1892</v>
      </c>
      <c r="L2146" s="50" t="s">
        <v>1893</v>
      </c>
      <c r="M2146" s="50" t="s">
        <v>4638</v>
      </c>
      <c r="N2146" s="50" t="s">
        <v>4638</v>
      </c>
      <c r="O2146" s="50" t="s">
        <v>4519</v>
      </c>
      <c r="P2146" s="50" t="s">
        <v>4638</v>
      </c>
    </row>
    <row r="2147" spans="1:16" ht="12.75" customHeight="1" x14ac:dyDescent="0.25">
      <c r="A2147" s="311">
        <v>2144</v>
      </c>
      <c r="B2147" s="311" t="s">
        <v>140</v>
      </c>
      <c r="C2147" s="311" t="s">
        <v>140</v>
      </c>
      <c r="D2147" s="311" t="s">
        <v>462</v>
      </c>
      <c r="E2147" s="337" t="s">
        <v>140</v>
      </c>
      <c r="F2147" s="311" t="s">
        <v>286</v>
      </c>
      <c r="G2147" s="311" t="s">
        <v>236</v>
      </c>
      <c r="H2147" s="311" t="s">
        <v>351</v>
      </c>
      <c r="I2147" s="311" t="s">
        <v>66</v>
      </c>
      <c r="J2147" s="50" t="s">
        <v>1892</v>
      </c>
      <c r="K2147" s="50" t="s">
        <v>1892</v>
      </c>
      <c r="L2147" s="50" t="s">
        <v>1893</v>
      </c>
      <c r="M2147" s="50" t="s">
        <v>4639</v>
      </c>
      <c r="N2147" s="50" t="s">
        <v>4639</v>
      </c>
      <c r="O2147" s="50" t="s">
        <v>4519</v>
      </c>
      <c r="P2147" s="50" t="s">
        <v>4639</v>
      </c>
    </row>
    <row r="2148" spans="1:16" ht="12.75" customHeight="1" x14ac:dyDescent="0.25">
      <c r="A2148" s="311">
        <v>2145</v>
      </c>
      <c r="B2148" s="311" t="s">
        <v>121</v>
      </c>
      <c r="C2148" s="311" t="s">
        <v>121</v>
      </c>
      <c r="D2148" s="311" t="s">
        <v>462</v>
      </c>
      <c r="E2148" s="337" t="s">
        <v>121</v>
      </c>
      <c r="F2148" s="311" t="s">
        <v>286</v>
      </c>
      <c r="G2148" s="311" t="s">
        <v>236</v>
      </c>
      <c r="H2148" s="311" t="s">
        <v>351</v>
      </c>
      <c r="I2148" s="311" t="s">
        <v>66</v>
      </c>
      <c r="J2148" s="50" t="s">
        <v>1892</v>
      </c>
      <c r="K2148" s="50" t="s">
        <v>1892</v>
      </c>
      <c r="L2148" s="50" t="s">
        <v>1893</v>
      </c>
      <c r="M2148" s="50" t="s">
        <v>4640</v>
      </c>
      <c r="N2148" s="50" t="s">
        <v>4640</v>
      </c>
      <c r="O2148" s="50" t="s">
        <v>4519</v>
      </c>
      <c r="P2148" s="50" t="s">
        <v>4640</v>
      </c>
    </row>
    <row r="2149" spans="1:16" ht="12.75" customHeight="1" x14ac:dyDescent="0.25">
      <c r="A2149" s="311">
        <v>2146</v>
      </c>
      <c r="B2149" s="311" t="s">
        <v>87</v>
      </c>
      <c r="C2149" s="311" t="s">
        <v>87</v>
      </c>
      <c r="D2149" s="311" t="s">
        <v>462</v>
      </c>
      <c r="E2149" s="337" t="s">
        <v>87</v>
      </c>
      <c r="F2149" s="311" t="s">
        <v>286</v>
      </c>
      <c r="G2149" s="311" t="s">
        <v>236</v>
      </c>
      <c r="H2149" s="311" t="s">
        <v>351</v>
      </c>
      <c r="I2149" s="311" t="s">
        <v>66</v>
      </c>
      <c r="J2149" s="50" t="s">
        <v>1892</v>
      </c>
      <c r="K2149" s="50" t="s">
        <v>1892</v>
      </c>
      <c r="L2149" s="50" t="s">
        <v>1893</v>
      </c>
      <c r="M2149" s="50" t="s">
        <v>4641</v>
      </c>
      <c r="N2149" s="50" t="s">
        <v>4641</v>
      </c>
      <c r="O2149" s="50" t="s">
        <v>4519</v>
      </c>
      <c r="P2149" s="50" t="s">
        <v>4641</v>
      </c>
    </row>
    <row r="2150" spans="1:16" ht="12.75" customHeight="1" x14ac:dyDescent="0.25">
      <c r="A2150" s="311">
        <v>2147</v>
      </c>
      <c r="B2150" s="311" t="s">
        <v>125</v>
      </c>
      <c r="C2150" s="311" t="s">
        <v>125</v>
      </c>
      <c r="D2150" s="311" t="s">
        <v>125</v>
      </c>
      <c r="E2150" s="337" t="s">
        <v>125</v>
      </c>
      <c r="F2150" s="311" t="s">
        <v>286</v>
      </c>
      <c r="G2150" s="311" t="s">
        <v>236</v>
      </c>
      <c r="H2150" s="311" t="s">
        <v>351</v>
      </c>
      <c r="I2150" s="311" t="s">
        <v>66</v>
      </c>
      <c r="J2150" s="50" t="s">
        <v>1892</v>
      </c>
      <c r="K2150" s="50" t="s">
        <v>1892</v>
      </c>
      <c r="L2150" s="50" t="s">
        <v>1893</v>
      </c>
      <c r="M2150" s="50" t="s">
        <v>4642</v>
      </c>
      <c r="N2150" s="50" t="s">
        <v>4642</v>
      </c>
      <c r="O2150" s="50" t="s">
        <v>4642</v>
      </c>
      <c r="P2150" s="50" t="s">
        <v>4642</v>
      </c>
    </row>
    <row r="2151" spans="1:16" ht="12.75" customHeight="1" x14ac:dyDescent="0.25">
      <c r="A2151" s="311">
        <v>2148</v>
      </c>
      <c r="B2151" s="311" t="s">
        <v>134</v>
      </c>
      <c r="C2151" s="311" t="s">
        <v>134</v>
      </c>
      <c r="D2151" s="311" t="s">
        <v>134</v>
      </c>
      <c r="E2151" s="337" t="s">
        <v>134</v>
      </c>
      <c r="F2151" s="311" t="s">
        <v>286</v>
      </c>
      <c r="G2151" s="311" t="s">
        <v>236</v>
      </c>
      <c r="H2151" s="311" t="s">
        <v>351</v>
      </c>
      <c r="I2151" s="311" t="s">
        <v>66</v>
      </c>
      <c r="J2151" s="50" t="s">
        <v>1892</v>
      </c>
      <c r="K2151" s="50" t="s">
        <v>1892</v>
      </c>
      <c r="L2151" s="50" t="s">
        <v>1893</v>
      </c>
      <c r="M2151" s="50" t="s">
        <v>4643</v>
      </c>
      <c r="N2151" s="50" t="s">
        <v>4643</v>
      </c>
      <c r="O2151" s="50" t="s">
        <v>4643</v>
      </c>
      <c r="P2151" s="50" t="s">
        <v>4643</v>
      </c>
    </row>
    <row r="2152" spans="1:16" ht="12.75" customHeight="1" x14ac:dyDescent="0.25">
      <c r="A2152" s="311">
        <v>2149</v>
      </c>
      <c r="B2152" s="311" t="s">
        <v>141</v>
      </c>
      <c r="C2152" s="311" t="s">
        <v>141</v>
      </c>
      <c r="D2152" s="311" t="s">
        <v>141</v>
      </c>
      <c r="E2152" s="337" t="s">
        <v>141</v>
      </c>
      <c r="F2152" s="311" t="s">
        <v>286</v>
      </c>
      <c r="G2152" s="311" t="s">
        <v>236</v>
      </c>
      <c r="H2152" s="311" t="s">
        <v>351</v>
      </c>
      <c r="I2152" s="311" t="s">
        <v>66</v>
      </c>
      <c r="J2152" s="50" t="s">
        <v>1892</v>
      </c>
      <c r="K2152" s="50" t="s">
        <v>1892</v>
      </c>
      <c r="L2152" s="50" t="s">
        <v>1893</v>
      </c>
      <c r="M2152" s="50" t="s">
        <v>4644</v>
      </c>
      <c r="N2152" s="50" t="s">
        <v>4644</v>
      </c>
      <c r="O2152" s="50" t="s">
        <v>4644</v>
      </c>
      <c r="P2152" s="50" t="s">
        <v>4644</v>
      </c>
    </row>
    <row r="2153" spans="1:16" ht="12.75" customHeight="1" x14ac:dyDescent="0.25">
      <c r="A2153" s="311">
        <v>2150</v>
      </c>
      <c r="B2153" s="311" t="s">
        <v>69</v>
      </c>
      <c r="C2153" s="311" t="s">
        <v>69</v>
      </c>
      <c r="D2153" s="311" t="s">
        <v>69</v>
      </c>
      <c r="E2153" s="337" t="s">
        <v>69</v>
      </c>
      <c r="F2153" s="311" t="s">
        <v>286</v>
      </c>
      <c r="G2153" s="311" t="s">
        <v>236</v>
      </c>
      <c r="H2153" s="311" t="s">
        <v>351</v>
      </c>
      <c r="I2153" s="311" t="s">
        <v>66</v>
      </c>
      <c r="J2153" s="50" t="s">
        <v>1892</v>
      </c>
      <c r="K2153" s="50" t="s">
        <v>1892</v>
      </c>
      <c r="L2153" s="50" t="s">
        <v>1893</v>
      </c>
      <c r="M2153" s="50" t="s">
        <v>4645</v>
      </c>
      <c r="N2153" s="50" t="s">
        <v>4645</v>
      </c>
      <c r="O2153" s="50" t="s">
        <v>4645</v>
      </c>
      <c r="P2153" s="50" t="s">
        <v>4645</v>
      </c>
    </row>
    <row r="2154" spans="1:16" ht="12.75" customHeight="1" x14ac:dyDescent="0.25">
      <c r="A2154" s="311">
        <v>2151</v>
      </c>
      <c r="B2154" s="311" t="s">
        <v>63</v>
      </c>
      <c r="C2154" s="311" t="s">
        <v>63</v>
      </c>
      <c r="D2154" s="311" t="s">
        <v>462</v>
      </c>
      <c r="E2154" s="337" t="s">
        <v>63</v>
      </c>
      <c r="F2154" s="311" t="s">
        <v>286</v>
      </c>
      <c r="G2154" s="311" t="s">
        <v>23</v>
      </c>
      <c r="H2154" s="311" t="s">
        <v>351</v>
      </c>
      <c r="I2154" s="311" t="s">
        <v>66</v>
      </c>
      <c r="J2154" s="50" t="s">
        <v>1892</v>
      </c>
      <c r="K2154" s="50" t="s">
        <v>1892</v>
      </c>
      <c r="L2154" s="50" t="s">
        <v>1893</v>
      </c>
      <c r="M2154" s="50" t="s">
        <v>4646</v>
      </c>
      <c r="N2154" s="50" t="s">
        <v>4646</v>
      </c>
      <c r="O2154" s="50" t="s">
        <v>4527</v>
      </c>
      <c r="P2154" s="50" t="s">
        <v>4646</v>
      </c>
    </row>
    <row r="2155" spans="1:16" ht="12.75" customHeight="1" x14ac:dyDescent="0.25">
      <c r="A2155" s="311">
        <v>2152</v>
      </c>
      <c r="B2155" s="311" t="s">
        <v>140</v>
      </c>
      <c r="C2155" s="311" t="s">
        <v>140</v>
      </c>
      <c r="D2155" s="311" t="s">
        <v>462</v>
      </c>
      <c r="E2155" s="337" t="s">
        <v>140</v>
      </c>
      <c r="F2155" s="311" t="s">
        <v>286</v>
      </c>
      <c r="G2155" s="311" t="s">
        <v>23</v>
      </c>
      <c r="H2155" s="311" t="s">
        <v>351</v>
      </c>
      <c r="I2155" s="311" t="s">
        <v>66</v>
      </c>
      <c r="J2155" s="50" t="s">
        <v>1892</v>
      </c>
      <c r="K2155" s="50" t="s">
        <v>1892</v>
      </c>
      <c r="L2155" s="50" t="s">
        <v>1893</v>
      </c>
      <c r="M2155" s="50" t="s">
        <v>4647</v>
      </c>
      <c r="N2155" s="50" t="s">
        <v>4647</v>
      </c>
      <c r="O2155" s="50" t="s">
        <v>4527</v>
      </c>
      <c r="P2155" s="50" t="s">
        <v>4647</v>
      </c>
    </row>
    <row r="2156" spans="1:16" ht="12.75" customHeight="1" x14ac:dyDescent="0.25">
      <c r="A2156" s="311">
        <v>2153</v>
      </c>
      <c r="B2156" s="311" t="s">
        <v>121</v>
      </c>
      <c r="C2156" s="311" t="s">
        <v>121</v>
      </c>
      <c r="D2156" s="311" t="s">
        <v>462</v>
      </c>
      <c r="E2156" s="337" t="s">
        <v>121</v>
      </c>
      <c r="F2156" s="311" t="s">
        <v>286</v>
      </c>
      <c r="G2156" s="311" t="s">
        <v>23</v>
      </c>
      <c r="H2156" s="311" t="s">
        <v>351</v>
      </c>
      <c r="I2156" s="311" t="s">
        <v>66</v>
      </c>
      <c r="J2156" s="50" t="s">
        <v>1892</v>
      </c>
      <c r="K2156" s="50" t="s">
        <v>1892</v>
      </c>
      <c r="L2156" s="50" t="s">
        <v>1893</v>
      </c>
      <c r="M2156" s="50" t="s">
        <v>4648</v>
      </c>
      <c r="N2156" s="50" t="s">
        <v>4648</v>
      </c>
      <c r="O2156" s="50" t="s">
        <v>4527</v>
      </c>
      <c r="P2156" s="50" t="s">
        <v>4648</v>
      </c>
    </row>
    <row r="2157" spans="1:16" ht="12.75" customHeight="1" x14ac:dyDescent="0.25">
      <c r="A2157" s="311">
        <v>2154</v>
      </c>
      <c r="B2157" s="311" t="s">
        <v>87</v>
      </c>
      <c r="C2157" s="311" t="s">
        <v>87</v>
      </c>
      <c r="D2157" s="311" t="s">
        <v>462</v>
      </c>
      <c r="E2157" s="337" t="s">
        <v>87</v>
      </c>
      <c r="F2157" s="311" t="s">
        <v>286</v>
      </c>
      <c r="G2157" s="311" t="s">
        <v>23</v>
      </c>
      <c r="H2157" s="311" t="s">
        <v>351</v>
      </c>
      <c r="I2157" s="311" t="s">
        <v>66</v>
      </c>
      <c r="J2157" s="50" t="s">
        <v>1892</v>
      </c>
      <c r="K2157" s="50" t="s">
        <v>1892</v>
      </c>
      <c r="L2157" s="50" t="s">
        <v>1893</v>
      </c>
      <c r="M2157" s="50" t="s">
        <v>4649</v>
      </c>
      <c r="N2157" s="50" t="s">
        <v>4649</v>
      </c>
      <c r="O2157" s="50" t="s">
        <v>4527</v>
      </c>
      <c r="P2157" s="50" t="s">
        <v>4649</v>
      </c>
    </row>
    <row r="2158" spans="1:16" ht="12.75" customHeight="1" x14ac:dyDescent="0.25">
      <c r="A2158" s="311">
        <v>2155</v>
      </c>
      <c r="B2158" s="311" t="s">
        <v>125</v>
      </c>
      <c r="C2158" s="311" t="s">
        <v>125</v>
      </c>
      <c r="D2158" s="311" t="s">
        <v>125</v>
      </c>
      <c r="E2158" s="337" t="s">
        <v>125</v>
      </c>
      <c r="F2158" s="311" t="s">
        <v>286</v>
      </c>
      <c r="G2158" s="311" t="s">
        <v>23</v>
      </c>
      <c r="H2158" s="311" t="s">
        <v>351</v>
      </c>
      <c r="I2158" s="311" t="s">
        <v>66</v>
      </c>
      <c r="J2158" s="50" t="s">
        <v>1892</v>
      </c>
      <c r="K2158" s="50" t="s">
        <v>1892</v>
      </c>
      <c r="L2158" s="50" t="s">
        <v>1893</v>
      </c>
      <c r="M2158" s="50" t="s">
        <v>4650</v>
      </c>
      <c r="N2158" s="50" t="s">
        <v>4650</v>
      </c>
      <c r="O2158" s="50" t="s">
        <v>4650</v>
      </c>
      <c r="P2158" s="50" t="s">
        <v>4650</v>
      </c>
    </row>
    <row r="2159" spans="1:16" ht="12.75" customHeight="1" x14ac:dyDescent="0.25">
      <c r="A2159" s="311">
        <v>2156</v>
      </c>
      <c r="B2159" s="311" t="s">
        <v>134</v>
      </c>
      <c r="C2159" s="311" t="s">
        <v>134</v>
      </c>
      <c r="D2159" s="311" t="s">
        <v>134</v>
      </c>
      <c r="E2159" s="337" t="s">
        <v>134</v>
      </c>
      <c r="F2159" s="311" t="s">
        <v>286</v>
      </c>
      <c r="G2159" s="311" t="s">
        <v>23</v>
      </c>
      <c r="H2159" s="311" t="s">
        <v>351</v>
      </c>
      <c r="I2159" s="311" t="s">
        <v>66</v>
      </c>
      <c r="J2159" s="50" t="s">
        <v>1892</v>
      </c>
      <c r="K2159" s="50" t="s">
        <v>1892</v>
      </c>
      <c r="L2159" s="50" t="s">
        <v>1893</v>
      </c>
      <c r="M2159" s="50" t="s">
        <v>4651</v>
      </c>
      <c r="N2159" s="50" t="s">
        <v>4651</v>
      </c>
      <c r="O2159" s="50" t="s">
        <v>4651</v>
      </c>
      <c r="P2159" s="50" t="s">
        <v>4651</v>
      </c>
    </row>
    <row r="2160" spans="1:16" ht="12.75" customHeight="1" x14ac:dyDescent="0.25">
      <c r="A2160" s="311">
        <v>2157</v>
      </c>
      <c r="B2160" s="311" t="s">
        <v>141</v>
      </c>
      <c r="C2160" s="311" t="s">
        <v>141</v>
      </c>
      <c r="D2160" s="311" t="s">
        <v>141</v>
      </c>
      <c r="E2160" s="337" t="s">
        <v>141</v>
      </c>
      <c r="F2160" s="311" t="s">
        <v>286</v>
      </c>
      <c r="G2160" s="311" t="s">
        <v>23</v>
      </c>
      <c r="H2160" s="311" t="s">
        <v>351</v>
      </c>
      <c r="I2160" s="311" t="s">
        <v>66</v>
      </c>
      <c r="J2160" s="50" t="s">
        <v>1892</v>
      </c>
      <c r="K2160" s="50" t="s">
        <v>1892</v>
      </c>
      <c r="L2160" s="50" t="s">
        <v>1893</v>
      </c>
      <c r="M2160" s="50" t="s">
        <v>4652</v>
      </c>
      <c r="N2160" s="50" t="s">
        <v>4652</v>
      </c>
      <c r="O2160" s="50" t="s">
        <v>4652</v>
      </c>
      <c r="P2160" s="50" t="s">
        <v>4652</v>
      </c>
    </row>
    <row r="2161" spans="1:16" ht="12.75" customHeight="1" x14ac:dyDescent="0.25">
      <c r="A2161" s="311">
        <v>2158</v>
      </c>
      <c r="B2161" s="311" t="s">
        <v>69</v>
      </c>
      <c r="C2161" s="311" t="s">
        <v>69</v>
      </c>
      <c r="D2161" s="311" t="s">
        <v>69</v>
      </c>
      <c r="E2161" s="337" t="s">
        <v>69</v>
      </c>
      <c r="F2161" s="311" t="s">
        <v>286</v>
      </c>
      <c r="G2161" s="311" t="s">
        <v>23</v>
      </c>
      <c r="H2161" s="311" t="s">
        <v>351</v>
      </c>
      <c r="I2161" s="311" t="s">
        <v>66</v>
      </c>
      <c r="J2161" s="50" t="s">
        <v>1892</v>
      </c>
      <c r="K2161" s="50" t="s">
        <v>1892</v>
      </c>
      <c r="L2161" s="50" t="s">
        <v>1893</v>
      </c>
      <c r="M2161" s="50" t="s">
        <v>4653</v>
      </c>
      <c r="N2161" s="50" t="s">
        <v>4653</v>
      </c>
      <c r="O2161" s="50" t="s">
        <v>4653</v>
      </c>
      <c r="P2161" s="50" t="s">
        <v>4653</v>
      </c>
    </row>
    <row r="2162" spans="1:16" ht="12.75" customHeight="1" x14ac:dyDescent="0.25">
      <c r="A2162" s="311">
        <v>2159</v>
      </c>
      <c r="B2162" s="311" t="s">
        <v>63</v>
      </c>
      <c r="C2162" s="311" t="s">
        <v>63</v>
      </c>
      <c r="D2162" s="311" t="s">
        <v>462</v>
      </c>
      <c r="E2162" s="337" t="s">
        <v>63</v>
      </c>
      <c r="F2162" s="311" t="s">
        <v>286</v>
      </c>
      <c r="G2162" s="311" t="s">
        <v>237</v>
      </c>
      <c r="H2162" s="311" t="s">
        <v>351</v>
      </c>
      <c r="I2162" s="311" t="s">
        <v>66</v>
      </c>
      <c r="J2162" s="50" t="s">
        <v>1892</v>
      </c>
      <c r="K2162" s="50" t="s">
        <v>1892</v>
      </c>
      <c r="L2162" s="50" t="s">
        <v>1893</v>
      </c>
      <c r="M2162" s="50" t="s">
        <v>4654</v>
      </c>
      <c r="N2162" s="50" t="s">
        <v>4654</v>
      </c>
      <c r="O2162" s="50" t="s">
        <v>4535</v>
      </c>
      <c r="P2162" s="50" t="s">
        <v>4654</v>
      </c>
    </row>
    <row r="2163" spans="1:16" ht="12.75" customHeight="1" x14ac:dyDescent="0.25">
      <c r="A2163" s="311">
        <v>2160</v>
      </c>
      <c r="B2163" s="311" t="s">
        <v>140</v>
      </c>
      <c r="C2163" s="311" t="s">
        <v>140</v>
      </c>
      <c r="D2163" s="311" t="s">
        <v>462</v>
      </c>
      <c r="E2163" s="337" t="s">
        <v>140</v>
      </c>
      <c r="F2163" s="311" t="s">
        <v>286</v>
      </c>
      <c r="G2163" s="311" t="s">
        <v>237</v>
      </c>
      <c r="H2163" s="311" t="s">
        <v>351</v>
      </c>
      <c r="I2163" s="311" t="s">
        <v>66</v>
      </c>
      <c r="J2163" s="50" t="s">
        <v>1892</v>
      </c>
      <c r="K2163" s="50" t="s">
        <v>1892</v>
      </c>
      <c r="L2163" s="50" t="s">
        <v>1893</v>
      </c>
      <c r="M2163" s="50" t="s">
        <v>4655</v>
      </c>
      <c r="N2163" s="50" t="s">
        <v>4655</v>
      </c>
      <c r="O2163" s="50" t="s">
        <v>4535</v>
      </c>
      <c r="P2163" s="50" t="s">
        <v>4655</v>
      </c>
    </row>
    <row r="2164" spans="1:16" ht="12.75" customHeight="1" x14ac:dyDescent="0.25">
      <c r="A2164" s="311">
        <v>2161</v>
      </c>
      <c r="B2164" s="311" t="s">
        <v>121</v>
      </c>
      <c r="C2164" s="311" t="s">
        <v>121</v>
      </c>
      <c r="D2164" s="311" t="s">
        <v>462</v>
      </c>
      <c r="E2164" s="337" t="s">
        <v>121</v>
      </c>
      <c r="F2164" s="311" t="s">
        <v>286</v>
      </c>
      <c r="G2164" s="311" t="s">
        <v>237</v>
      </c>
      <c r="H2164" s="311" t="s">
        <v>351</v>
      </c>
      <c r="I2164" s="311" t="s">
        <v>66</v>
      </c>
      <c r="J2164" s="50" t="s">
        <v>1892</v>
      </c>
      <c r="K2164" s="50" t="s">
        <v>1892</v>
      </c>
      <c r="L2164" s="50" t="s">
        <v>1893</v>
      </c>
      <c r="M2164" s="50" t="s">
        <v>4656</v>
      </c>
      <c r="N2164" s="50" t="s">
        <v>4656</v>
      </c>
      <c r="O2164" s="50" t="s">
        <v>4535</v>
      </c>
      <c r="P2164" s="50" t="s">
        <v>4656</v>
      </c>
    </row>
    <row r="2165" spans="1:16" ht="12.75" customHeight="1" x14ac:dyDescent="0.25">
      <c r="A2165" s="311">
        <v>2162</v>
      </c>
      <c r="B2165" s="311" t="s">
        <v>87</v>
      </c>
      <c r="C2165" s="311" t="s">
        <v>87</v>
      </c>
      <c r="D2165" s="311" t="s">
        <v>462</v>
      </c>
      <c r="E2165" s="337" t="s">
        <v>87</v>
      </c>
      <c r="F2165" s="311" t="s">
        <v>286</v>
      </c>
      <c r="G2165" s="311" t="s">
        <v>237</v>
      </c>
      <c r="H2165" s="311" t="s">
        <v>351</v>
      </c>
      <c r="I2165" s="311" t="s">
        <v>66</v>
      </c>
      <c r="J2165" s="50" t="s">
        <v>1892</v>
      </c>
      <c r="K2165" s="50" t="s">
        <v>1892</v>
      </c>
      <c r="L2165" s="50" t="s">
        <v>1893</v>
      </c>
      <c r="M2165" s="50" t="s">
        <v>4657</v>
      </c>
      <c r="N2165" s="50" t="s">
        <v>4657</v>
      </c>
      <c r="O2165" s="50" t="s">
        <v>4535</v>
      </c>
      <c r="P2165" s="50" t="s">
        <v>4657</v>
      </c>
    </row>
    <row r="2166" spans="1:16" ht="12.75" customHeight="1" x14ac:dyDescent="0.25">
      <c r="A2166" s="311">
        <v>2163</v>
      </c>
      <c r="B2166" s="311" t="s">
        <v>125</v>
      </c>
      <c r="C2166" s="311" t="s">
        <v>125</v>
      </c>
      <c r="D2166" s="311" t="s">
        <v>125</v>
      </c>
      <c r="E2166" s="337" t="s">
        <v>125</v>
      </c>
      <c r="F2166" s="311" t="s">
        <v>286</v>
      </c>
      <c r="G2166" s="311" t="s">
        <v>237</v>
      </c>
      <c r="H2166" s="311" t="s">
        <v>351</v>
      </c>
      <c r="I2166" s="311" t="s">
        <v>66</v>
      </c>
      <c r="J2166" s="50" t="s">
        <v>1892</v>
      </c>
      <c r="K2166" s="50" t="s">
        <v>1892</v>
      </c>
      <c r="L2166" s="50" t="s">
        <v>1893</v>
      </c>
      <c r="M2166" s="50" t="s">
        <v>4658</v>
      </c>
      <c r="N2166" s="50" t="s">
        <v>4658</v>
      </c>
      <c r="O2166" s="50" t="s">
        <v>4658</v>
      </c>
      <c r="P2166" s="50" t="s">
        <v>4658</v>
      </c>
    </row>
    <row r="2167" spans="1:16" ht="12.75" customHeight="1" x14ac:dyDescent="0.25">
      <c r="A2167" s="311">
        <v>2164</v>
      </c>
      <c r="B2167" s="311" t="s">
        <v>134</v>
      </c>
      <c r="C2167" s="311" t="s">
        <v>134</v>
      </c>
      <c r="D2167" s="311" t="s">
        <v>134</v>
      </c>
      <c r="E2167" s="337" t="s">
        <v>134</v>
      </c>
      <c r="F2167" s="311" t="s">
        <v>286</v>
      </c>
      <c r="G2167" s="311" t="s">
        <v>237</v>
      </c>
      <c r="H2167" s="311" t="s">
        <v>351</v>
      </c>
      <c r="I2167" s="311" t="s">
        <v>66</v>
      </c>
      <c r="J2167" s="50" t="s">
        <v>1892</v>
      </c>
      <c r="K2167" s="50" t="s">
        <v>1892</v>
      </c>
      <c r="L2167" s="50" t="s">
        <v>1893</v>
      </c>
      <c r="M2167" s="50" t="s">
        <v>4659</v>
      </c>
      <c r="N2167" s="50" t="s">
        <v>4659</v>
      </c>
      <c r="O2167" s="50" t="s">
        <v>4659</v>
      </c>
      <c r="P2167" s="50" t="s">
        <v>4659</v>
      </c>
    </row>
    <row r="2168" spans="1:16" ht="12.75" customHeight="1" x14ac:dyDescent="0.25">
      <c r="A2168" s="311">
        <v>2165</v>
      </c>
      <c r="B2168" s="311" t="s">
        <v>141</v>
      </c>
      <c r="C2168" s="311" t="s">
        <v>141</v>
      </c>
      <c r="D2168" s="311" t="s">
        <v>141</v>
      </c>
      <c r="E2168" s="337" t="s">
        <v>141</v>
      </c>
      <c r="F2168" s="311" t="s">
        <v>286</v>
      </c>
      <c r="G2168" s="311" t="s">
        <v>237</v>
      </c>
      <c r="H2168" s="311" t="s">
        <v>351</v>
      </c>
      <c r="I2168" s="311" t="s">
        <v>66</v>
      </c>
      <c r="J2168" s="50" t="s">
        <v>1892</v>
      </c>
      <c r="K2168" s="50" t="s">
        <v>1892</v>
      </c>
      <c r="L2168" s="50" t="s">
        <v>1893</v>
      </c>
      <c r="M2168" s="50" t="s">
        <v>4660</v>
      </c>
      <c r="N2168" s="50" t="s">
        <v>4660</v>
      </c>
      <c r="O2168" s="50" t="s">
        <v>4660</v>
      </c>
      <c r="P2168" s="50" t="s">
        <v>4660</v>
      </c>
    </row>
    <row r="2169" spans="1:16" ht="12.75" customHeight="1" x14ac:dyDescent="0.25">
      <c r="A2169" s="311">
        <v>2166</v>
      </c>
      <c r="B2169" s="311" t="s">
        <v>69</v>
      </c>
      <c r="C2169" s="311" t="s">
        <v>69</v>
      </c>
      <c r="D2169" s="311" t="s">
        <v>69</v>
      </c>
      <c r="E2169" s="337" t="s">
        <v>69</v>
      </c>
      <c r="F2169" s="311" t="s">
        <v>286</v>
      </c>
      <c r="G2169" s="311" t="s">
        <v>237</v>
      </c>
      <c r="H2169" s="311" t="s">
        <v>351</v>
      </c>
      <c r="I2169" s="311" t="s">
        <v>66</v>
      </c>
      <c r="J2169" s="50" t="s">
        <v>1892</v>
      </c>
      <c r="K2169" s="50" t="s">
        <v>1892</v>
      </c>
      <c r="L2169" s="50" t="s">
        <v>1893</v>
      </c>
      <c r="M2169" s="50" t="s">
        <v>4661</v>
      </c>
      <c r="N2169" s="50" t="s">
        <v>4661</v>
      </c>
      <c r="O2169" s="50" t="s">
        <v>4661</v>
      </c>
      <c r="P2169" s="50" t="s">
        <v>4661</v>
      </c>
    </row>
    <row r="2170" spans="1:16" ht="12.75" customHeight="1" x14ac:dyDescent="0.25">
      <c r="A2170" s="311">
        <v>2167</v>
      </c>
      <c r="B2170" s="311" t="s">
        <v>63</v>
      </c>
      <c r="C2170" s="311" t="s">
        <v>63</v>
      </c>
      <c r="D2170" s="311" t="s">
        <v>462</v>
      </c>
      <c r="E2170" s="337" t="s">
        <v>63</v>
      </c>
      <c r="F2170" s="311" t="s">
        <v>118</v>
      </c>
      <c r="G2170" s="311" t="s">
        <v>236</v>
      </c>
      <c r="H2170" s="311" t="s">
        <v>351</v>
      </c>
      <c r="I2170" s="311" t="s">
        <v>66</v>
      </c>
      <c r="J2170" s="50" t="s">
        <v>1892</v>
      </c>
      <c r="K2170" s="50" t="s">
        <v>1892</v>
      </c>
      <c r="L2170" s="50" t="s">
        <v>1893</v>
      </c>
      <c r="M2170" s="50" t="s">
        <v>4662</v>
      </c>
      <c r="N2170" s="50" t="s">
        <v>4662</v>
      </c>
      <c r="O2170" s="50" t="s">
        <v>4543</v>
      </c>
      <c r="P2170" s="50" t="s">
        <v>4662</v>
      </c>
    </row>
    <row r="2171" spans="1:16" ht="12.75" customHeight="1" x14ac:dyDescent="0.25">
      <c r="A2171" s="311">
        <v>2168</v>
      </c>
      <c r="B2171" s="311" t="s">
        <v>140</v>
      </c>
      <c r="C2171" s="311" t="s">
        <v>140</v>
      </c>
      <c r="D2171" s="311" t="s">
        <v>462</v>
      </c>
      <c r="E2171" s="337" t="s">
        <v>140</v>
      </c>
      <c r="F2171" s="311" t="s">
        <v>118</v>
      </c>
      <c r="G2171" s="311" t="s">
        <v>236</v>
      </c>
      <c r="H2171" s="311" t="s">
        <v>351</v>
      </c>
      <c r="I2171" s="311" t="s">
        <v>66</v>
      </c>
      <c r="J2171" s="50" t="s">
        <v>1892</v>
      </c>
      <c r="K2171" s="50" t="s">
        <v>1892</v>
      </c>
      <c r="L2171" s="50" t="s">
        <v>1893</v>
      </c>
      <c r="M2171" s="50" t="s">
        <v>4663</v>
      </c>
      <c r="N2171" s="50" t="s">
        <v>4663</v>
      </c>
      <c r="O2171" s="50" t="s">
        <v>4543</v>
      </c>
      <c r="P2171" s="50" t="s">
        <v>4663</v>
      </c>
    </row>
    <row r="2172" spans="1:16" ht="12.75" customHeight="1" x14ac:dyDescent="0.25">
      <c r="A2172" s="311">
        <v>2169</v>
      </c>
      <c r="B2172" s="311" t="s">
        <v>121</v>
      </c>
      <c r="C2172" s="311" t="s">
        <v>121</v>
      </c>
      <c r="D2172" s="311" t="s">
        <v>462</v>
      </c>
      <c r="E2172" s="337" t="s">
        <v>121</v>
      </c>
      <c r="F2172" s="311" t="s">
        <v>118</v>
      </c>
      <c r="G2172" s="311" t="s">
        <v>236</v>
      </c>
      <c r="H2172" s="311" t="s">
        <v>351</v>
      </c>
      <c r="I2172" s="311" t="s">
        <v>66</v>
      </c>
      <c r="J2172" s="50" t="s">
        <v>1892</v>
      </c>
      <c r="K2172" s="50" t="s">
        <v>1892</v>
      </c>
      <c r="L2172" s="50" t="s">
        <v>1893</v>
      </c>
      <c r="M2172" s="50" t="s">
        <v>4664</v>
      </c>
      <c r="N2172" s="50" t="s">
        <v>4664</v>
      </c>
      <c r="O2172" s="50" t="s">
        <v>4543</v>
      </c>
      <c r="P2172" s="50" t="s">
        <v>4664</v>
      </c>
    </row>
    <row r="2173" spans="1:16" ht="12.75" customHeight="1" x14ac:dyDescent="0.25">
      <c r="A2173" s="311">
        <v>2170</v>
      </c>
      <c r="B2173" s="311" t="s">
        <v>87</v>
      </c>
      <c r="C2173" s="311" t="s">
        <v>87</v>
      </c>
      <c r="D2173" s="311" t="s">
        <v>462</v>
      </c>
      <c r="E2173" s="337" t="s">
        <v>87</v>
      </c>
      <c r="F2173" s="311" t="s">
        <v>118</v>
      </c>
      <c r="G2173" s="311" t="s">
        <v>236</v>
      </c>
      <c r="H2173" s="311" t="s">
        <v>351</v>
      </c>
      <c r="I2173" s="311" t="s">
        <v>66</v>
      </c>
      <c r="J2173" s="50" t="s">
        <v>1892</v>
      </c>
      <c r="K2173" s="50" t="s">
        <v>1892</v>
      </c>
      <c r="L2173" s="50" t="s">
        <v>1893</v>
      </c>
      <c r="M2173" s="50" t="s">
        <v>4665</v>
      </c>
      <c r="N2173" s="50" t="s">
        <v>4665</v>
      </c>
      <c r="O2173" s="50" t="s">
        <v>4543</v>
      </c>
      <c r="P2173" s="50" t="s">
        <v>4665</v>
      </c>
    </row>
    <row r="2174" spans="1:16" ht="12.75" customHeight="1" x14ac:dyDescent="0.25">
      <c r="A2174" s="311">
        <v>2171</v>
      </c>
      <c r="B2174" s="311" t="s">
        <v>125</v>
      </c>
      <c r="C2174" s="311" t="s">
        <v>125</v>
      </c>
      <c r="D2174" s="311" t="s">
        <v>125</v>
      </c>
      <c r="E2174" s="337" t="s">
        <v>125</v>
      </c>
      <c r="F2174" s="311" t="s">
        <v>118</v>
      </c>
      <c r="G2174" s="311" t="s">
        <v>236</v>
      </c>
      <c r="H2174" s="311" t="s">
        <v>351</v>
      </c>
      <c r="I2174" s="311" t="s">
        <v>66</v>
      </c>
      <c r="J2174" s="50" t="s">
        <v>1892</v>
      </c>
      <c r="K2174" s="50" t="s">
        <v>1892</v>
      </c>
      <c r="L2174" s="50" t="s">
        <v>1893</v>
      </c>
      <c r="M2174" s="50" t="s">
        <v>4666</v>
      </c>
      <c r="N2174" s="50" t="s">
        <v>4666</v>
      </c>
      <c r="O2174" s="50" t="s">
        <v>4666</v>
      </c>
      <c r="P2174" s="50" t="s">
        <v>4666</v>
      </c>
    </row>
    <row r="2175" spans="1:16" ht="12.75" customHeight="1" x14ac:dyDescent="0.25">
      <c r="A2175" s="311">
        <v>2172</v>
      </c>
      <c r="B2175" s="311" t="s">
        <v>134</v>
      </c>
      <c r="C2175" s="311" t="s">
        <v>134</v>
      </c>
      <c r="D2175" s="311" t="s">
        <v>134</v>
      </c>
      <c r="E2175" s="337" t="s">
        <v>134</v>
      </c>
      <c r="F2175" s="311" t="s">
        <v>118</v>
      </c>
      <c r="G2175" s="311" t="s">
        <v>236</v>
      </c>
      <c r="H2175" s="311" t="s">
        <v>351</v>
      </c>
      <c r="I2175" s="311" t="s">
        <v>66</v>
      </c>
      <c r="J2175" s="50" t="s">
        <v>1892</v>
      </c>
      <c r="K2175" s="50" t="s">
        <v>1892</v>
      </c>
      <c r="L2175" s="50" t="s">
        <v>1893</v>
      </c>
      <c r="M2175" s="50" t="s">
        <v>4667</v>
      </c>
      <c r="N2175" s="50" t="s">
        <v>4667</v>
      </c>
      <c r="O2175" s="50" t="s">
        <v>4667</v>
      </c>
      <c r="P2175" s="50" t="s">
        <v>4667</v>
      </c>
    </row>
    <row r="2176" spans="1:16" ht="12.75" customHeight="1" x14ac:dyDescent="0.25">
      <c r="A2176" s="311">
        <v>2173</v>
      </c>
      <c r="B2176" s="311" t="s">
        <v>141</v>
      </c>
      <c r="C2176" s="311" t="s">
        <v>141</v>
      </c>
      <c r="D2176" s="311" t="s">
        <v>141</v>
      </c>
      <c r="E2176" s="337" t="s">
        <v>141</v>
      </c>
      <c r="F2176" s="311" t="s">
        <v>118</v>
      </c>
      <c r="G2176" s="311" t="s">
        <v>236</v>
      </c>
      <c r="H2176" s="311" t="s">
        <v>351</v>
      </c>
      <c r="I2176" s="311" t="s">
        <v>66</v>
      </c>
      <c r="J2176" s="50" t="s">
        <v>1892</v>
      </c>
      <c r="K2176" s="50" t="s">
        <v>1892</v>
      </c>
      <c r="L2176" s="50" t="s">
        <v>1893</v>
      </c>
      <c r="M2176" s="50" t="s">
        <v>4668</v>
      </c>
      <c r="N2176" s="50" t="s">
        <v>4668</v>
      </c>
      <c r="O2176" s="50" t="s">
        <v>4668</v>
      </c>
      <c r="P2176" s="50" t="s">
        <v>4668</v>
      </c>
    </row>
    <row r="2177" spans="1:16" ht="12.75" customHeight="1" x14ac:dyDescent="0.25">
      <c r="A2177" s="311">
        <v>2174</v>
      </c>
      <c r="B2177" s="311" t="s">
        <v>69</v>
      </c>
      <c r="C2177" s="311" t="s">
        <v>69</v>
      </c>
      <c r="D2177" s="311" t="s">
        <v>69</v>
      </c>
      <c r="E2177" s="337" t="s">
        <v>69</v>
      </c>
      <c r="F2177" s="311" t="s">
        <v>118</v>
      </c>
      <c r="G2177" s="311" t="s">
        <v>236</v>
      </c>
      <c r="H2177" s="311" t="s">
        <v>351</v>
      </c>
      <c r="I2177" s="311" t="s">
        <v>66</v>
      </c>
      <c r="J2177" s="50" t="s">
        <v>1892</v>
      </c>
      <c r="K2177" s="50" t="s">
        <v>1892</v>
      </c>
      <c r="L2177" s="50" t="s">
        <v>1893</v>
      </c>
      <c r="M2177" s="50" t="s">
        <v>4669</v>
      </c>
      <c r="N2177" s="50" t="s">
        <v>4669</v>
      </c>
      <c r="O2177" s="50" t="s">
        <v>4669</v>
      </c>
      <c r="P2177" s="50" t="s">
        <v>4669</v>
      </c>
    </row>
    <row r="2178" spans="1:16" ht="12.75" customHeight="1" x14ac:dyDescent="0.25">
      <c r="A2178" s="311">
        <v>2175</v>
      </c>
      <c r="B2178" s="311" t="s">
        <v>63</v>
      </c>
      <c r="C2178" s="311" t="s">
        <v>63</v>
      </c>
      <c r="D2178" s="311" t="s">
        <v>462</v>
      </c>
      <c r="E2178" s="337" t="s">
        <v>63</v>
      </c>
      <c r="F2178" s="311" t="s">
        <v>118</v>
      </c>
      <c r="G2178" s="311" t="s">
        <v>23</v>
      </c>
      <c r="H2178" s="311" t="s">
        <v>351</v>
      </c>
      <c r="I2178" s="311" t="s">
        <v>66</v>
      </c>
      <c r="J2178" s="50" t="s">
        <v>1892</v>
      </c>
      <c r="K2178" s="50" t="s">
        <v>1892</v>
      </c>
      <c r="L2178" s="50" t="s">
        <v>1893</v>
      </c>
      <c r="M2178" s="50" t="s">
        <v>4670</v>
      </c>
      <c r="N2178" s="50" t="s">
        <v>4670</v>
      </c>
      <c r="O2178" s="50" t="s">
        <v>4551</v>
      </c>
      <c r="P2178" s="50" t="s">
        <v>4670</v>
      </c>
    </row>
    <row r="2179" spans="1:16" ht="12.75" customHeight="1" x14ac:dyDescent="0.25">
      <c r="A2179" s="311">
        <v>2176</v>
      </c>
      <c r="B2179" s="311" t="s">
        <v>140</v>
      </c>
      <c r="C2179" s="311" t="s">
        <v>140</v>
      </c>
      <c r="D2179" s="311" t="s">
        <v>462</v>
      </c>
      <c r="E2179" s="337" t="s">
        <v>140</v>
      </c>
      <c r="F2179" s="311" t="s">
        <v>118</v>
      </c>
      <c r="G2179" s="311" t="s">
        <v>23</v>
      </c>
      <c r="H2179" s="311" t="s">
        <v>351</v>
      </c>
      <c r="I2179" s="311" t="s">
        <v>66</v>
      </c>
      <c r="J2179" s="50" t="s">
        <v>1892</v>
      </c>
      <c r="K2179" s="50" t="s">
        <v>1892</v>
      </c>
      <c r="L2179" s="50" t="s">
        <v>1893</v>
      </c>
      <c r="M2179" s="50" t="s">
        <v>4671</v>
      </c>
      <c r="N2179" s="50" t="s">
        <v>4671</v>
      </c>
      <c r="O2179" s="50" t="s">
        <v>4551</v>
      </c>
      <c r="P2179" s="50" t="s">
        <v>4671</v>
      </c>
    </row>
    <row r="2180" spans="1:16" ht="12.75" customHeight="1" x14ac:dyDescent="0.25">
      <c r="A2180" s="311">
        <v>2177</v>
      </c>
      <c r="B2180" s="311" t="s">
        <v>121</v>
      </c>
      <c r="C2180" s="311" t="s">
        <v>121</v>
      </c>
      <c r="D2180" s="311" t="s">
        <v>462</v>
      </c>
      <c r="E2180" s="337" t="s">
        <v>121</v>
      </c>
      <c r="F2180" s="311" t="s">
        <v>118</v>
      </c>
      <c r="G2180" s="311" t="s">
        <v>23</v>
      </c>
      <c r="H2180" s="311" t="s">
        <v>351</v>
      </c>
      <c r="I2180" s="311" t="s">
        <v>66</v>
      </c>
      <c r="J2180" s="50" t="s">
        <v>1892</v>
      </c>
      <c r="K2180" s="50" t="s">
        <v>1892</v>
      </c>
      <c r="L2180" s="50" t="s">
        <v>1893</v>
      </c>
      <c r="M2180" s="50" t="s">
        <v>4672</v>
      </c>
      <c r="N2180" s="50" t="s">
        <v>4672</v>
      </c>
      <c r="O2180" s="50" t="s">
        <v>4551</v>
      </c>
      <c r="P2180" s="50" t="s">
        <v>4672</v>
      </c>
    </row>
    <row r="2181" spans="1:16" ht="12.75" customHeight="1" x14ac:dyDescent="0.25">
      <c r="A2181" s="311">
        <v>2178</v>
      </c>
      <c r="B2181" s="311" t="s">
        <v>87</v>
      </c>
      <c r="C2181" s="311" t="s">
        <v>87</v>
      </c>
      <c r="D2181" s="311" t="s">
        <v>462</v>
      </c>
      <c r="E2181" s="337" t="s">
        <v>87</v>
      </c>
      <c r="F2181" s="311" t="s">
        <v>118</v>
      </c>
      <c r="G2181" s="311" t="s">
        <v>23</v>
      </c>
      <c r="H2181" s="311" t="s">
        <v>351</v>
      </c>
      <c r="I2181" s="311" t="s">
        <v>66</v>
      </c>
      <c r="J2181" s="50" t="s">
        <v>1892</v>
      </c>
      <c r="K2181" s="50" t="s">
        <v>1892</v>
      </c>
      <c r="L2181" s="50" t="s">
        <v>1893</v>
      </c>
      <c r="M2181" s="50" t="s">
        <v>4673</v>
      </c>
      <c r="N2181" s="50" t="s">
        <v>4673</v>
      </c>
      <c r="O2181" s="50" t="s">
        <v>4551</v>
      </c>
      <c r="P2181" s="50" t="s">
        <v>4673</v>
      </c>
    </row>
    <row r="2182" spans="1:16" ht="12.75" customHeight="1" x14ac:dyDescent="0.25">
      <c r="A2182" s="311">
        <v>2179</v>
      </c>
      <c r="B2182" s="311" t="s">
        <v>125</v>
      </c>
      <c r="C2182" s="311" t="s">
        <v>125</v>
      </c>
      <c r="D2182" s="311" t="s">
        <v>125</v>
      </c>
      <c r="E2182" s="337" t="s">
        <v>125</v>
      </c>
      <c r="F2182" s="311" t="s">
        <v>118</v>
      </c>
      <c r="G2182" s="311" t="s">
        <v>23</v>
      </c>
      <c r="H2182" s="311" t="s">
        <v>351</v>
      </c>
      <c r="I2182" s="311" t="s">
        <v>66</v>
      </c>
      <c r="J2182" s="50" t="s">
        <v>1892</v>
      </c>
      <c r="K2182" s="50" t="s">
        <v>1892</v>
      </c>
      <c r="L2182" s="50" t="s">
        <v>1893</v>
      </c>
      <c r="M2182" s="50" t="s">
        <v>4674</v>
      </c>
      <c r="N2182" s="50" t="s">
        <v>4674</v>
      </c>
      <c r="O2182" s="50" t="s">
        <v>4674</v>
      </c>
      <c r="P2182" s="50" t="s">
        <v>4674</v>
      </c>
    </row>
    <row r="2183" spans="1:16" ht="12.75" customHeight="1" x14ac:dyDescent="0.25">
      <c r="A2183" s="311">
        <v>2180</v>
      </c>
      <c r="B2183" s="311" t="s">
        <v>134</v>
      </c>
      <c r="C2183" s="311" t="s">
        <v>134</v>
      </c>
      <c r="D2183" s="311" t="s">
        <v>134</v>
      </c>
      <c r="E2183" s="337" t="s">
        <v>134</v>
      </c>
      <c r="F2183" s="311" t="s">
        <v>118</v>
      </c>
      <c r="G2183" s="311" t="s">
        <v>23</v>
      </c>
      <c r="H2183" s="311" t="s">
        <v>351</v>
      </c>
      <c r="I2183" s="311" t="s">
        <v>66</v>
      </c>
      <c r="J2183" s="50" t="s">
        <v>1892</v>
      </c>
      <c r="K2183" s="50" t="s">
        <v>1892</v>
      </c>
      <c r="L2183" s="50" t="s">
        <v>1893</v>
      </c>
      <c r="M2183" s="50" t="s">
        <v>4675</v>
      </c>
      <c r="N2183" s="50" t="s">
        <v>4675</v>
      </c>
      <c r="O2183" s="50" t="s">
        <v>4675</v>
      </c>
      <c r="P2183" s="50" t="s">
        <v>4675</v>
      </c>
    </row>
    <row r="2184" spans="1:16" ht="12.75" customHeight="1" x14ac:dyDescent="0.25">
      <c r="A2184" s="311">
        <v>2181</v>
      </c>
      <c r="B2184" s="311" t="s">
        <v>141</v>
      </c>
      <c r="C2184" s="311" t="s">
        <v>141</v>
      </c>
      <c r="D2184" s="311" t="s">
        <v>141</v>
      </c>
      <c r="E2184" s="337" t="s">
        <v>141</v>
      </c>
      <c r="F2184" s="311" t="s">
        <v>118</v>
      </c>
      <c r="G2184" s="311" t="s">
        <v>23</v>
      </c>
      <c r="H2184" s="311" t="s">
        <v>351</v>
      </c>
      <c r="I2184" s="311" t="s">
        <v>66</v>
      </c>
      <c r="J2184" s="50" t="s">
        <v>1892</v>
      </c>
      <c r="K2184" s="50" t="s">
        <v>1892</v>
      </c>
      <c r="L2184" s="50" t="s">
        <v>1893</v>
      </c>
      <c r="M2184" s="50" t="s">
        <v>4676</v>
      </c>
      <c r="N2184" s="50" t="s">
        <v>4676</v>
      </c>
      <c r="O2184" s="50" t="s">
        <v>4676</v>
      </c>
      <c r="P2184" s="50" t="s">
        <v>4676</v>
      </c>
    </row>
    <row r="2185" spans="1:16" ht="12.75" customHeight="1" x14ac:dyDescent="0.25">
      <c r="A2185" s="311">
        <v>2182</v>
      </c>
      <c r="B2185" s="311" t="s">
        <v>69</v>
      </c>
      <c r="C2185" s="311" t="s">
        <v>69</v>
      </c>
      <c r="D2185" s="311" t="s">
        <v>69</v>
      </c>
      <c r="E2185" s="337" t="s">
        <v>69</v>
      </c>
      <c r="F2185" s="311" t="s">
        <v>118</v>
      </c>
      <c r="G2185" s="311" t="s">
        <v>23</v>
      </c>
      <c r="H2185" s="311" t="s">
        <v>351</v>
      </c>
      <c r="I2185" s="311" t="s">
        <v>66</v>
      </c>
      <c r="J2185" s="50" t="s">
        <v>1892</v>
      </c>
      <c r="K2185" s="50" t="s">
        <v>1892</v>
      </c>
      <c r="L2185" s="50" t="s">
        <v>1893</v>
      </c>
      <c r="M2185" s="50" t="s">
        <v>4677</v>
      </c>
      <c r="N2185" s="50" t="s">
        <v>4677</v>
      </c>
      <c r="O2185" s="50" t="s">
        <v>4677</v>
      </c>
      <c r="P2185" s="50" t="s">
        <v>4677</v>
      </c>
    </row>
    <row r="2186" spans="1:16" ht="12.75" customHeight="1" x14ac:dyDescent="0.25">
      <c r="A2186" s="311">
        <v>2183</v>
      </c>
      <c r="B2186" s="311" t="s">
        <v>63</v>
      </c>
      <c r="C2186" s="311" t="s">
        <v>63</v>
      </c>
      <c r="D2186" s="311" t="s">
        <v>462</v>
      </c>
      <c r="E2186" s="337" t="s">
        <v>63</v>
      </c>
      <c r="F2186" s="311" t="s">
        <v>118</v>
      </c>
      <c r="G2186" s="311" t="s">
        <v>237</v>
      </c>
      <c r="H2186" s="311" t="s">
        <v>351</v>
      </c>
      <c r="I2186" s="311" t="s">
        <v>66</v>
      </c>
      <c r="J2186" s="50" t="s">
        <v>1892</v>
      </c>
      <c r="K2186" s="50" t="s">
        <v>1892</v>
      </c>
      <c r="L2186" s="50" t="s">
        <v>1893</v>
      </c>
      <c r="M2186" s="50" t="s">
        <v>4678</v>
      </c>
      <c r="N2186" s="50" t="s">
        <v>4678</v>
      </c>
      <c r="O2186" s="50" t="s">
        <v>4559</v>
      </c>
      <c r="P2186" s="50" t="s">
        <v>4678</v>
      </c>
    </row>
    <row r="2187" spans="1:16" ht="12.75" customHeight="1" x14ac:dyDescent="0.25">
      <c r="A2187" s="311">
        <v>2184</v>
      </c>
      <c r="B2187" s="311" t="s">
        <v>140</v>
      </c>
      <c r="C2187" s="311" t="s">
        <v>140</v>
      </c>
      <c r="D2187" s="311" t="s">
        <v>462</v>
      </c>
      <c r="E2187" s="337" t="s">
        <v>140</v>
      </c>
      <c r="F2187" s="311" t="s">
        <v>118</v>
      </c>
      <c r="G2187" s="311" t="s">
        <v>237</v>
      </c>
      <c r="H2187" s="311" t="s">
        <v>351</v>
      </c>
      <c r="I2187" s="311" t="s">
        <v>66</v>
      </c>
      <c r="J2187" s="50" t="s">
        <v>1892</v>
      </c>
      <c r="K2187" s="50" t="s">
        <v>1892</v>
      </c>
      <c r="L2187" s="50" t="s">
        <v>1893</v>
      </c>
      <c r="M2187" s="50" t="s">
        <v>4679</v>
      </c>
      <c r="N2187" s="50" t="s">
        <v>4679</v>
      </c>
      <c r="O2187" s="50" t="s">
        <v>4559</v>
      </c>
      <c r="P2187" s="50" t="s">
        <v>4679</v>
      </c>
    </row>
    <row r="2188" spans="1:16" ht="12.75" customHeight="1" x14ac:dyDescent="0.25">
      <c r="A2188" s="311">
        <v>2185</v>
      </c>
      <c r="B2188" s="311" t="s">
        <v>121</v>
      </c>
      <c r="C2188" s="311" t="s">
        <v>121</v>
      </c>
      <c r="D2188" s="311" t="s">
        <v>462</v>
      </c>
      <c r="E2188" s="337" t="s">
        <v>121</v>
      </c>
      <c r="F2188" s="311" t="s">
        <v>118</v>
      </c>
      <c r="G2188" s="311" t="s">
        <v>237</v>
      </c>
      <c r="H2188" s="311" t="s">
        <v>351</v>
      </c>
      <c r="I2188" s="311" t="s">
        <v>66</v>
      </c>
      <c r="J2188" s="50" t="s">
        <v>1892</v>
      </c>
      <c r="K2188" s="50" t="s">
        <v>1892</v>
      </c>
      <c r="L2188" s="50" t="s">
        <v>1893</v>
      </c>
      <c r="M2188" s="50" t="s">
        <v>4680</v>
      </c>
      <c r="N2188" s="50" t="s">
        <v>4680</v>
      </c>
      <c r="O2188" s="50" t="s">
        <v>4559</v>
      </c>
      <c r="P2188" s="50" t="s">
        <v>4680</v>
      </c>
    </row>
    <row r="2189" spans="1:16" ht="12.75" customHeight="1" x14ac:dyDescent="0.25">
      <c r="A2189" s="311">
        <v>2186</v>
      </c>
      <c r="B2189" s="311" t="s">
        <v>87</v>
      </c>
      <c r="C2189" s="311" t="s">
        <v>87</v>
      </c>
      <c r="D2189" s="311" t="s">
        <v>462</v>
      </c>
      <c r="E2189" s="337" t="s">
        <v>87</v>
      </c>
      <c r="F2189" s="311" t="s">
        <v>118</v>
      </c>
      <c r="G2189" s="311" t="s">
        <v>237</v>
      </c>
      <c r="H2189" s="311" t="s">
        <v>351</v>
      </c>
      <c r="I2189" s="311" t="s">
        <v>66</v>
      </c>
      <c r="J2189" s="50" t="s">
        <v>1892</v>
      </c>
      <c r="K2189" s="50" t="s">
        <v>1892</v>
      </c>
      <c r="L2189" s="50" t="s">
        <v>1893</v>
      </c>
      <c r="M2189" s="50" t="s">
        <v>4681</v>
      </c>
      <c r="N2189" s="50" t="s">
        <v>4681</v>
      </c>
      <c r="O2189" s="50" t="s">
        <v>4559</v>
      </c>
      <c r="P2189" s="50" t="s">
        <v>4681</v>
      </c>
    </row>
    <row r="2190" spans="1:16" ht="12.75" customHeight="1" x14ac:dyDescent="0.25">
      <c r="A2190" s="311">
        <v>2187</v>
      </c>
      <c r="B2190" s="311" t="s">
        <v>125</v>
      </c>
      <c r="C2190" s="311" t="s">
        <v>125</v>
      </c>
      <c r="D2190" s="311" t="s">
        <v>125</v>
      </c>
      <c r="E2190" s="337" t="s">
        <v>125</v>
      </c>
      <c r="F2190" s="311" t="s">
        <v>118</v>
      </c>
      <c r="G2190" s="311" t="s">
        <v>237</v>
      </c>
      <c r="H2190" s="311" t="s">
        <v>351</v>
      </c>
      <c r="I2190" s="311" t="s">
        <v>66</v>
      </c>
      <c r="J2190" s="50" t="s">
        <v>1892</v>
      </c>
      <c r="K2190" s="50" t="s">
        <v>1892</v>
      </c>
      <c r="L2190" s="50" t="s">
        <v>1893</v>
      </c>
      <c r="M2190" s="50" t="s">
        <v>4682</v>
      </c>
      <c r="N2190" s="50" t="s">
        <v>4682</v>
      </c>
      <c r="O2190" s="50" t="s">
        <v>4682</v>
      </c>
      <c r="P2190" s="50" t="s">
        <v>4682</v>
      </c>
    </row>
    <row r="2191" spans="1:16" ht="12.75" customHeight="1" x14ac:dyDescent="0.25">
      <c r="A2191" s="311">
        <v>2188</v>
      </c>
      <c r="B2191" s="311" t="s">
        <v>134</v>
      </c>
      <c r="C2191" s="311" t="s">
        <v>134</v>
      </c>
      <c r="D2191" s="311" t="s">
        <v>134</v>
      </c>
      <c r="E2191" s="337" t="s">
        <v>134</v>
      </c>
      <c r="F2191" s="311" t="s">
        <v>118</v>
      </c>
      <c r="G2191" s="311" t="s">
        <v>237</v>
      </c>
      <c r="H2191" s="311" t="s">
        <v>351</v>
      </c>
      <c r="I2191" s="311" t="s">
        <v>66</v>
      </c>
      <c r="J2191" s="50" t="s">
        <v>1892</v>
      </c>
      <c r="K2191" s="50" t="s">
        <v>1892</v>
      </c>
      <c r="L2191" s="50" t="s">
        <v>1893</v>
      </c>
      <c r="M2191" s="50" t="s">
        <v>4683</v>
      </c>
      <c r="N2191" s="50" t="s">
        <v>4683</v>
      </c>
      <c r="O2191" s="50" t="s">
        <v>4683</v>
      </c>
      <c r="P2191" s="50" t="s">
        <v>4683</v>
      </c>
    </row>
    <row r="2192" spans="1:16" ht="12.75" customHeight="1" x14ac:dyDescent="0.25">
      <c r="A2192" s="311">
        <v>2189</v>
      </c>
      <c r="B2192" s="311" t="s">
        <v>141</v>
      </c>
      <c r="C2192" s="311" t="s">
        <v>141</v>
      </c>
      <c r="D2192" s="311" t="s">
        <v>141</v>
      </c>
      <c r="E2192" s="337" t="s">
        <v>141</v>
      </c>
      <c r="F2192" s="311" t="s">
        <v>118</v>
      </c>
      <c r="G2192" s="311" t="s">
        <v>237</v>
      </c>
      <c r="H2192" s="311" t="s">
        <v>351</v>
      </c>
      <c r="I2192" s="311" t="s">
        <v>66</v>
      </c>
      <c r="J2192" s="50" t="s">
        <v>1892</v>
      </c>
      <c r="K2192" s="50" t="s">
        <v>1892</v>
      </c>
      <c r="L2192" s="50" t="s">
        <v>1893</v>
      </c>
      <c r="M2192" s="50" t="s">
        <v>4684</v>
      </c>
      <c r="N2192" s="50" t="s">
        <v>4684</v>
      </c>
      <c r="O2192" s="50" t="s">
        <v>4684</v>
      </c>
      <c r="P2192" s="50" t="s">
        <v>4684</v>
      </c>
    </row>
    <row r="2193" spans="1:16" ht="12.75" customHeight="1" x14ac:dyDescent="0.25">
      <c r="A2193" s="311">
        <v>2190</v>
      </c>
      <c r="B2193" s="311" t="s">
        <v>69</v>
      </c>
      <c r="C2193" s="311" t="s">
        <v>69</v>
      </c>
      <c r="D2193" s="311" t="s">
        <v>69</v>
      </c>
      <c r="E2193" s="337" t="s">
        <v>69</v>
      </c>
      <c r="F2193" s="311" t="s">
        <v>118</v>
      </c>
      <c r="G2193" s="311" t="s">
        <v>237</v>
      </c>
      <c r="H2193" s="311" t="s">
        <v>351</v>
      </c>
      <c r="I2193" s="311" t="s">
        <v>66</v>
      </c>
      <c r="J2193" s="50" t="s">
        <v>1892</v>
      </c>
      <c r="K2193" s="50" t="s">
        <v>1892</v>
      </c>
      <c r="L2193" s="50" t="s">
        <v>1893</v>
      </c>
      <c r="M2193" s="50" t="s">
        <v>4685</v>
      </c>
      <c r="N2193" s="50" t="s">
        <v>4685</v>
      </c>
      <c r="O2193" s="50" t="s">
        <v>4685</v>
      </c>
      <c r="P2193" s="50" t="s">
        <v>4685</v>
      </c>
    </row>
    <row r="2194" spans="1:16" ht="12.75" customHeight="1" x14ac:dyDescent="0.25">
      <c r="A2194" s="311">
        <v>2191</v>
      </c>
      <c r="B2194" s="311" t="s">
        <v>84</v>
      </c>
      <c r="C2194" s="311" t="s">
        <v>462</v>
      </c>
      <c r="D2194" s="311" t="s">
        <v>462</v>
      </c>
      <c r="E2194" s="337" t="s">
        <v>462</v>
      </c>
      <c r="F2194" s="311" t="s">
        <v>251</v>
      </c>
      <c r="G2194" s="311" t="s">
        <v>236</v>
      </c>
      <c r="H2194" s="311" t="s">
        <v>420</v>
      </c>
      <c r="I2194" s="311" t="s">
        <v>66</v>
      </c>
      <c r="J2194" s="50" t="s">
        <v>1892</v>
      </c>
      <c r="K2194" s="50" t="s">
        <v>1892</v>
      </c>
      <c r="L2194" s="50" t="s">
        <v>1893</v>
      </c>
      <c r="M2194" s="50" t="s">
        <v>4686</v>
      </c>
      <c r="N2194" s="50" t="s">
        <v>4687</v>
      </c>
      <c r="O2194" s="50" t="s">
        <v>4687</v>
      </c>
      <c r="P2194" s="50" t="s">
        <v>4687</v>
      </c>
    </row>
    <row r="2195" spans="1:16" ht="12.75" customHeight="1" x14ac:dyDescent="0.25">
      <c r="A2195" s="311">
        <v>2192</v>
      </c>
      <c r="B2195" s="311" t="s">
        <v>123</v>
      </c>
      <c r="C2195" s="311" t="s">
        <v>462</v>
      </c>
      <c r="D2195" s="311" t="s">
        <v>462</v>
      </c>
      <c r="E2195" s="337" t="s">
        <v>462</v>
      </c>
      <c r="F2195" s="311" t="s">
        <v>251</v>
      </c>
      <c r="G2195" s="311" t="s">
        <v>236</v>
      </c>
      <c r="H2195" s="311" t="s">
        <v>420</v>
      </c>
      <c r="I2195" s="311" t="s">
        <v>66</v>
      </c>
      <c r="J2195" s="50" t="s">
        <v>1892</v>
      </c>
      <c r="K2195" s="50" t="s">
        <v>1892</v>
      </c>
      <c r="L2195" s="50" t="s">
        <v>1893</v>
      </c>
      <c r="M2195" s="50" t="s">
        <v>4688</v>
      </c>
      <c r="N2195" s="50" t="s">
        <v>4687</v>
      </c>
      <c r="O2195" s="50" t="s">
        <v>4687</v>
      </c>
      <c r="P2195" s="50" t="s">
        <v>4687</v>
      </c>
    </row>
    <row r="2196" spans="1:16" ht="12.75" customHeight="1" x14ac:dyDescent="0.25">
      <c r="A2196" s="311">
        <v>2193</v>
      </c>
      <c r="B2196" s="311" t="s">
        <v>75</v>
      </c>
      <c r="C2196" s="311" t="s">
        <v>462</v>
      </c>
      <c r="D2196" s="311" t="s">
        <v>462</v>
      </c>
      <c r="E2196" s="337" t="s">
        <v>462</v>
      </c>
      <c r="F2196" s="311" t="s">
        <v>251</v>
      </c>
      <c r="G2196" s="311" t="s">
        <v>236</v>
      </c>
      <c r="H2196" s="311" t="s">
        <v>420</v>
      </c>
      <c r="I2196" s="311" t="s">
        <v>66</v>
      </c>
      <c r="J2196" s="50" t="s">
        <v>1892</v>
      </c>
      <c r="K2196" s="50" t="s">
        <v>1892</v>
      </c>
      <c r="L2196" s="50" t="s">
        <v>1893</v>
      </c>
      <c r="M2196" s="50" t="s">
        <v>4689</v>
      </c>
      <c r="N2196" s="50" t="s">
        <v>4687</v>
      </c>
      <c r="O2196" s="50" t="s">
        <v>4687</v>
      </c>
      <c r="P2196" s="50" t="s">
        <v>4687</v>
      </c>
    </row>
    <row r="2197" spans="1:16" ht="12.75" customHeight="1" x14ac:dyDescent="0.25">
      <c r="A2197" s="311">
        <v>2194</v>
      </c>
      <c r="B2197" s="311" t="s">
        <v>63</v>
      </c>
      <c r="C2197" s="311" t="s">
        <v>63</v>
      </c>
      <c r="D2197" s="311" t="s">
        <v>462</v>
      </c>
      <c r="E2197" s="337" t="s">
        <v>63</v>
      </c>
      <c r="F2197" s="311" t="s">
        <v>251</v>
      </c>
      <c r="G2197" s="311" t="s">
        <v>236</v>
      </c>
      <c r="H2197" s="311" t="s">
        <v>420</v>
      </c>
      <c r="I2197" s="311" t="s">
        <v>66</v>
      </c>
      <c r="J2197" s="50" t="s">
        <v>1892</v>
      </c>
      <c r="K2197" s="50" t="s">
        <v>1892</v>
      </c>
      <c r="L2197" s="50" t="s">
        <v>1893</v>
      </c>
      <c r="M2197" s="50" t="s">
        <v>4690</v>
      </c>
      <c r="N2197" s="50" t="s">
        <v>4690</v>
      </c>
      <c r="O2197" s="50" t="s">
        <v>4687</v>
      </c>
      <c r="P2197" s="50" t="s">
        <v>4690</v>
      </c>
    </row>
    <row r="2198" spans="1:16" ht="12.75" customHeight="1" x14ac:dyDescent="0.25">
      <c r="A2198" s="311">
        <v>2195</v>
      </c>
      <c r="B2198" s="311" t="s">
        <v>140</v>
      </c>
      <c r="C2198" s="311" t="s">
        <v>140</v>
      </c>
      <c r="D2198" s="311" t="s">
        <v>462</v>
      </c>
      <c r="E2198" s="337" t="s">
        <v>140</v>
      </c>
      <c r="F2198" s="311" t="s">
        <v>251</v>
      </c>
      <c r="G2198" s="311" t="s">
        <v>236</v>
      </c>
      <c r="H2198" s="311" t="s">
        <v>420</v>
      </c>
      <c r="I2198" s="311" t="s">
        <v>66</v>
      </c>
      <c r="J2198" s="50" t="s">
        <v>1892</v>
      </c>
      <c r="K2198" s="50" t="s">
        <v>1892</v>
      </c>
      <c r="L2198" s="50" t="s">
        <v>1893</v>
      </c>
      <c r="M2198" s="50" t="s">
        <v>4691</v>
      </c>
      <c r="N2198" s="50" t="s">
        <v>4691</v>
      </c>
      <c r="O2198" s="50" t="s">
        <v>4687</v>
      </c>
      <c r="P2198" s="50" t="s">
        <v>4691</v>
      </c>
    </row>
    <row r="2199" spans="1:16" ht="12.75" customHeight="1" x14ac:dyDescent="0.25">
      <c r="A2199" s="311">
        <v>2196</v>
      </c>
      <c r="B2199" s="311" t="s">
        <v>121</v>
      </c>
      <c r="C2199" s="311" t="s">
        <v>121</v>
      </c>
      <c r="D2199" s="311" t="s">
        <v>462</v>
      </c>
      <c r="E2199" s="337" t="s">
        <v>121</v>
      </c>
      <c r="F2199" s="311" t="s">
        <v>251</v>
      </c>
      <c r="G2199" s="311" t="s">
        <v>236</v>
      </c>
      <c r="H2199" s="311" t="s">
        <v>420</v>
      </c>
      <c r="I2199" s="311" t="s">
        <v>66</v>
      </c>
      <c r="J2199" s="50" t="s">
        <v>1892</v>
      </c>
      <c r="K2199" s="50" t="s">
        <v>1892</v>
      </c>
      <c r="L2199" s="50" t="s">
        <v>1893</v>
      </c>
      <c r="M2199" s="50" t="s">
        <v>4692</v>
      </c>
      <c r="N2199" s="50" t="s">
        <v>4692</v>
      </c>
      <c r="O2199" s="50" t="s">
        <v>4687</v>
      </c>
      <c r="P2199" s="50" t="s">
        <v>4692</v>
      </c>
    </row>
    <row r="2200" spans="1:16" ht="12.75" customHeight="1" x14ac:dyDescent="0.25">
      <c r="A2200" s="311">
        <v>2197</v>
      </c>
      <c r="B2200" s="311" t="s">
        <v>87</v>
      </c>
      <c r="C2200" s="311" t="s">
        <v>87</v>
      </c>
      <c r="D2200" s="311" t="s">
        <v>462</v>
      </c>
      <c r="E2200" s="337" t="s">
        <v>87</v>
      </c>
      <c r="F2200" s="311" t="s">
        <v>251</v>
      </c>
      <c r="G2200" s="311" t="s">
        <v>236</v>
      </c>
      <c r="H2200" s="311" t="s">
        <v>420</v>
      </c>
      <c r="I2200" s="311" t="s">
        <v>66</v>
      </c>
      <c r="J2200" s="50" t="s">
        <v>1892</v>
      </c>
      <c r="K2200" s="50" t="s">
        <v>1892</v>
      </c>
      <c r="L2200" s="50" t="s">
        <v>1893</v>
      </c>
      <c r="M2200" s="50" t="s">
        <v>4693</v>
      </c>
      <c r="N2200" s="50" t="s">
        <v>4693</v>
      </c>
      <c r="O2200" s="50" t="s">
        <v>4687</v>
      </c>
      <c r="P2200" s="50" t="s">
        <v>4693</v>
      </c>
    </row>
    <row r="2201" spans="1:16" ht="12.75" customHeight="1" x14ac:dyDescent="0.25">
      <c r="A2201" s="311">
        <v>2198</v>
      </c>
      <c r="B2201" s="311" t="s">
        <v>125</v>
      </c>
      <c r="C2201" s="311" t="s">
        <v>125</v>
      </c>
      <c r="D2201" s="311" t="s">
        <v>125</v>
      </c>
      <c r="E2201" s="337" t="s">
        <v>125</v>
      </c>
      <c r="F2201" s="311" t="s">
        <v>251</v>
      </c>
      <c r="G2201" s="311" t="s">
        <v>236</v>
      </c>
      <c r="H2201" s="311" t="s">
        <v>420</v>
      </c>
      <c r="I2201" s="311" t="s">
        <v>66</v>
      </c>
      <c r="J2201" s="50" t="s">
        <v>1892</v>
      </c>
      <c r="K2201" s="50" t="s">
        <v>1892</v>
      </c>
      <c r="L2201" s="50" t="s">
        <v>1893</v>
      </c>
      <c r="M2201" s="50" t="s">
        <v>4694</v>
      </c>
      <c r="N2201" s="50" t="s">
        <v>4694</v>
      </c>
      <c r="O2201" s="50" t="s">
        <v>4694</v>
      </c>
      <c r="P2201" s="50" t="s">
        <v>4694</v>
      </c>
    </row>
    <row r="2202" spans="1:16" ht="12.75" customHeight="1" x14ac:dyDescent="0.25">
      <c r="A2202" s="311">
        <v>2199</v>
      </c>
      <c r="B2202" s="311" t="s">
        <v>134</v>
      </c>
      <c r="C2202" s="311" t="s">
        <v>134</v>
      </c>
      <c r="D2202" s="311" t="s">
        <v>134</v>
      </c>
      <c r="E2202" s="337" t="s">
        <v>134</v>
      </c>
      <c r="F2202" s="311" t="s">
        <v>251</v>
      </c>
      <c r="G2202" s="311" t="s">
        <v>236</v>
      </c>
      <c r="H2202" s="311" t="s">
        <v>420</v>
      </c>
      <c r="I2202" s="311" t="s">
        <v>66</v>
      </c>
      <c r="J2202" s="50" t="s">
        <v>1892</v>
      </c>
      <c r="K2202" s="50" t="s">
        <v>1892</v>
      </c>
      <c r="L2202" s="50" t="s">
        <v>1893</v>
      </c>
      <c r="M2202" s="50" t="s">
        <v>4695</v>
      </c>
      <c r="N2202" s="50" t="s">
        <v>4695</v>
      </c>
      <c r="O2202" s="50" t="s">
        <v>4695</v>
      </c>
      <c r="P2202" s="50" t="s">
        <v>4695</v>
      </c>
    </row>
    <row r="2203" spans="1:16" ht="12.75" customHeight="1" x14ac:dyDescent="0.25">
      <c r="A2203" s="311">
        <v>2200</v>
      </c>
      <c r="B2203" s="311" t="s">
        <v>141</v>
      </c>
      <c r="C2203" s="311" t="s">
        <v>141</v>
      </c>
      <c r="D2203" s="311" t="s">
        <v>141</v>
      </c>
      <c r="E2203" s="337" t="s">
        <v>141</v>
      </c>
      <c r="F2203" s="311" t="s">
        <v>251</v>
      </c>
      <c r="G2203" s="311" t="s">
        <v>236</v>
      </c>
      <c r="H2203" s="311" t="s">
        <v>420</v>
      </c>
      <c r="I2203" s="311" t="s">
        <v>66</v>
      </c>
      <c r="J2203" s="50" t="s">
        <v>1892</v>
      </c>
      <c r="K2203" s="50" t="s">
        <v>1892</v>
      </c>
      <c r="L2203" s="50" t="s">
        <v>1893</v>
      </c>
      <c r="M2203" s="50" t="s">
        <v>4696</v>
      </c>
      <c r="N2203" s="50" t="s">
        <v>4696</v>
      </c>
      <c r="O2203" s="50" t="s">
        <v>4696</v>
      </c>
      <c r="P2203" s="50" t="s">
        <v>4696</v>
      </c>
    </row>
    <row r="2204" spans="1:16" ht="12.75" customHeight="1" x14ac:dyDescent="0.25">
      <c r="A2204" s="311">
        <v>2201</v>
      </c>
      <c r="B2204" s="311" t="s">
        <v>69</v>
      </c>
      <c r="C2204" s="311" t="s">
        <v>69</v>
      </c>
      <c r="D2204" s="311" t="s">
        <v>69</v>
      </c>
      <c r="E2204" s="337" t="s">
        <v>69</v>
      </c>
      <c r="F2204" s="311" t="s">
        <v>251</v>
      </c>
      <c r="G2204" s="311" t="s">
        <v>236</v>
      </c>
      <c r="H2204" s="311" t="s">
        <v>420</v>
      </c>
      <c r="I2204" s="311" t="s">
        <v>66</v>
      </c>
      <c r="J2204" s="50" t="s">
        <v>1892</v>
      </c>
      <c r="K2204" s="50" t="s">
        <v>1892</v>
      </c>
      <c r="L2204" s="50" t="s">
        <v>1893</v>
      </c>
      <c r="M2204" s="50" t="s">
        <v>4697</v>
      </c>
      <c r="N2204" s="50" t="s">
        <v>4697</v>
      </c>
      <c r="O2204" s="50" t="s">
        <v>4697</v>
      </c>
      <c r="P2204" s="50" t="s">
        <v>4697</v>
      </c>
    </row>
    <row r="2205" spans="1:16" ht="12.75" customHeight="1" x14ac:dyDescent="0.25">
      <c r="A2205" s="311">
        <v>2202</v>
      </c>
      <c r="B2205" s="311" t="s">
        <v>84</v>
      </c>
      <c r="C2205" s="311" t="s">
        <v>462</v>
      </c>
      <c r="D2205" s="311" t="s">
        <v>462</v>
      </c>
      <c r="E2205" s="337" t="s">
        <v>462</v>
      </c>
      <c r="F2205" s="311" t="s">
        <v>251</v>
      </c>
      <c r="G2205" s="311" t="s">
        <v>23</v>
      </c>
      <c r="H2205" s="311" t="s">
        <v>420</v>
      </c>
      <c r="I2205" s="311" t="s">
        <v>66</v>
      </c>
      <c r="J2205" s="50" t="s">
        <v>1892</v>
      </c>
      <c r="K2205" s="50" t="s">
        <v>1892</v>
      </c>
      <c r="L2205" s="50" t="s">
        <v>1893</v>
      </c>
      <c r="M2205" s="50" t="s">
        <v>4698</v>
      </c>
      <c r="N2205" s="50" t="s">
        <v>4699</v>
      </c>
      <c r="O2205" s="50" t="s">
        <v>4699</v>
      </c>
      <c r="P2205" s="50" t="s">
        <v>4699</v>
      </c>
    </row>
    <row r="2206" spans="1:16" ht="12.75" customHeight="1" x14ac:dyDescent="0.25">
      <c r="A2206" s="311">
        <v>2203</v>
      </c>
      <c r="B2206" s="311" t="s">
        <v>123</v>
      </c>
      <c r="C2206" s="311" t="s">
        <v>462</v>
      </c>
      <c r="D2206" s="311" t="s">
        <v>462</v>
      </c>
      <c r="E2206" s="337" t="s">
        <v>462</v>
      </c>
      <c r="F2206" s="311" t="s">
        <v>251</v>
      </c>
      <c r="G2206" s="311" t="s">
        <v>23</v>
      </c>
      <c r="H2206" s="311" t="s">
        <v>420</v>
      </c>
      <c r="I2206" s="311" t="s">
        <v>66</v>
      </c>
      <c r="J2206" s="50" t="s">
        <v>1892</v>
      </c>
      <c r="K2206" s="50" t="s">
        <v>1892</v>
      </c>
      <c r="L2206" s="50" t="s">
        <v>1893</v>
      </c>
      <c r="M2206" s="50" t="s">
        <v>4700</v>
      </c>
      <c r="N2206" s="50" t="s">
        <v>4699</v>
      </c>
      <c r="O2206" s="50" t="s">
        <v>4699</v>
      </c>
      <c r="P2206" s="50" t="s">
        <v>4699</v>
      </c>
    </row>
    <row r="2207" spans="1:16" ht="12.75" customHeight="1" x14ac:dyDescent="0.25">
      <c r="A2207" s="311">
        <v>2204</v>
      </c>
      <c r="B2207" s="311" t="s">
        <v>75</v>
      </c>
      <c r="C2207" s="311" t="s">
        <v>462</v>
      </c>
      <c r="D2207" s="311" t="s">
        <v>462</v>
      </c>
      <c r="E2207" s="337" t="s">
        <v>462</v>
      </c>
      <c r="F2207" s="311" t="s">
        <v>251</v>
      </c>
      <c r="G2207" s="311" t="s">
        <v>23</v>
      </c>
      <c r="H2207" s="311" t="s">
        <v>420</v>
      </c>
      <c r="I2207" s="311" t="s">
        <v>66</v>
      </c>
      <c r="J2207" s="50" t="s">
        <v>1892</v>
      </c>
      <c r="K2207" s="50" t="s">
        <v>1892</v>
      </c>
      <c r="L2207" s="50" t="s">
        <v>1893</v>
      </c>
      <c r="M2207" s="50" t="s">
        <v>4701</v>
      </c>
      <c r="N2207" s="50" t="s">
        <v>4699</v>
      </c>
      <c r="O2207" s="50" t="s">
        <v>4699</v>
      </c>
      <c r="P2207" s="50" t="s">
        <v>4699</v>
      </c>
    </row>
    <row r="2208" spans="1:16" ht="12.75" customHeight="1" x14ac:dyDescent="0.25">
      <c r="A2208" s="311">
        <v>2205</v>
      </c>
      <c r="B2208" s="311" t="s">
        <v>63</v>
      </c>
      <c r="C2208" s="311" t="s">
        <v>63</v>
      </c>
      <c r="D2208" s="311" t="s">
        <v>462</v>
      </c>
      <c r="E2208" s="337" t="s">
        <v>63</v>
      </c>
      <c r="F2208" s="311" t="s">
        <v>251</v>
      </c>
      <c r="G2208" s="311" t="s">
        <v>23</v>
      </c>
      <c r="H2208" s="311" t="s">
        <v>420</v>
      </c>
      <c r="I2208" s="311" t="s">
        <v>66</v>
      </c>
      <c r="J2208" s="50" t="s">
        <v>1892</v>
      </c>
      <c r="K2208" s="50" t="s">
        <v>1892</v>
      </c>
      <c r="L2208" s="50" t="s">
        <v>1893</v>
      </c>
      <c r="M2208" s="50" t="s">
        <v>4702</v>
      </c>
      <c r="N2208" s="50" t="s">
        <v>4702</v>
      </c>
      <c r="O2208" s="50" t="s">
        <v>4699</v>
      </c>
      <c r="P2208" s="50" t="s">
        <v>4702</v>
      </c>
    </row>
    <row r="2209" spans="1:16" ht="12.75" customHeight="1" x14ac:dyDescent="0.25">
      <c r="A2209" s="311">
        <v>2206</v>
      </c>
      <c r="B2209" s="311" t="s">
        <v>140</v>
      </c>
      <c r="C2209" s="311" t="s">
        <v>140</v>
      </c>
      <c r="D2209" s="311" t="s">
        <v>462</v>
      </c>
      <c r="E2209" s="337" t="s">
        <v>140</v>
      </c>
      <c r="F2209" s="311" t="s">
        <v>251</v>
      </c>
      <c r="G2209" s="311" t="s">
        <v>23</v>
      </c>
      <c r="H2209" s="311" t="s">
        <v>420</v>
      </c>
      <c r="I2209" s="311" t="s">
        <v>66</v>
      </c>
      <c r="J2209" s="50" t="s">
        <v>1892</v>
      </c>
      <c r="K2209" s="50" t="s">
        <v>1892</v>
      </c>
      <c r="L2209" s="50" t="s">
        <v>1893</v>
      </c>
      <c r="M2209" s="50" t="s">
        <v>4703</v>
      </c>
      <c r="N2209" s="50" t="s">
        <v>4703</v>
      </c>
      <c r="O2209" s="50" t="s">
        <v>4699</v>
      </c>
      <c r="P2209" s="50" t="s">
        <v>4703</v>
      </c>
    </row>
    <row r="2210" spans="1:16" ht="12.75" customHeight="1" x14ac:dyDescent="0.25">
      <c r="A2210" s="311">
        <v>2207</v>
      </c>
      <c r="B2210" s="311" t="s">
        <v>121</v>
      </c>
      <c r="C2210" s="311" t="s">
        <v>121</v>
      </c>
      <c r="D2210" s="311" t="s">
        <v>462</v>
      </c>
      <c r="E2210" s="337" t="s">
        <v>121</v>
      </c>
      <c r="F2210" s="311" t="s">
        <v>251</v>
      </c>
      <c r="G2210" s="311" t="s">
        <v>23</v>
      </c>
      <c r="H2210" s="311" t="s">
        <v>420</v>
      </c>
      <c r="I2210" s="311" t="s">
        <v>66</v>
      </c>
      <c r="J2210" s="50" t="s">
        <v>1892</v>
      </c>
      <c r="K2210" s="50" t="s">
        <v>1892</v>
      </c>
      <c r="L2210" s="50" t="s">
        <v>1893</v>
      </c>
      <c r="M2210" s="50" t="s">
        <v>4704</v>
      </c>
      <c r="N2210" s="50" t="s">
        <v>4704</v>
      </c>
      <c r="O2210" s="50" t="s">
        <v>4699</v>
      </c>
      <c r="P2210" s="50" t="s">
        <v>4704</v>
      </c>
    </row>
    <row r="2211" spans="1:16" ht="12.75" customHeight="1" x14ac:dyDescent="0.25">
      <c r="A2211" s="311">
        <v>2208</v>
      </c>
      <c r="B2211" s="311" t="s">
        <v>87</v>
      </c>
      <c r="C2211" s="311" t="s">
        <v>87</v>
      </c>
      <c r="D2211" s="311" t="s">
        <v>462</v>
      </c>
      <c r="E2211" s="337" t="s">
        <v>87</v>
      </c>
      <c r="F2211" s="311" t="s">
        <v>251</v>
      </c>
      <c r="G2211" s="311" t="s">
        <v>23</v>
      </c>
      <c r="H2211" s="311" t="s">
        <v>420</v>
      </c>
      <c r="I2211" s="311" t="s">
        <v>66</v>
      </c>
      <c r="J2211" s="50" t="s">
        <v>1892</v>
      </c>
      <c r="K2211" s="50" t="s">
        <v>1892</v>
      </c>
      <c r="L2211" s="50" t="s">
        <v>1893</v>
      </c>
      <c r="M2211" s="50" t="s">
        <v>4705</v>
      </c>
      <c r="N2211" s="50" t="s">
        <v>4705</v>
      </c>
      <c r="O2211" s="50" t="s">
        <v>4699</v>
      </c>
      <c r="P2211" s="50" t="s">
        <v>4705</v>
      </c>
    </row>
    <row r="2212" spans="1:16" ht="12.75" customHeight="1" x14ac:dyDescent="0.25">
      <c r="A2212" s="311">
        <v>2209</v>
      </c>
      <c r="B2212" s="311" t="s">
        <v>125</v>
      </c>
      <c r="C2212" s="311" t="s">
        <v>125</v>
      </c>
      <c r="D2212" s="311" t="s">
        <v>125</v>
      </c>
      <c r="E2212" s="337" t="s">
        <v>125</v>
      </c>
      <c r="F2212" s="311" t="s">
        <v>251</v>
      </c>
      <c r="G2212" s="311" t="s">
        <v>23</v>
      </c>
      <c r="H2212" s="311" t="s">
        <v>420</v>
      </c>
      <c r="I2212" s="311" t="s">
        <v>66</v>
      </c>
      <c r="J2212" s="50" t="s">
        <v>1892</v>
      </c>
      <c r="K2212" s="50" t="s">
        <v>1892</v>
      </c>
      <c r="L2212" s="50" t="s">
        <v>1893</v>
      </c>
      <c r="M2212" s="50" t="s">
        <v>4706</v>
      </c>
      <c r="N2212" s="50" t="s">
        <v>4706</v>
      </c>
      <c r="O2212" s="50" t="s">
        <v>4706</v>
      </c>
      <c r="P2212" s="50" t="s">
        <v>4706</v>
      </c>
    </row>
    <row r="2213" spans="1:16" ht="12.75" customHeight="1" x14ac:dyDescent="0.25">
      <c r="A2213" s="311">
        <v>2210</v>
      </c>
      <c r="B2213" s="311" t="s">
        <v>134</v>
      </c>
      <c r="C2213" s="311" t="s">
        <v>134</v>
      </c>
      <c r="D2213" s="311" t="s">
        <v>134</v>
      </c>
      <c r="E2213" s="337" t="s">
        <v>134</v>
      </c>
      <c r="F2213" s="311" t="s">
        <v>251</v>
      </c>
      <c r="G2213" s="311" t="s">
        <v>23</v>
      </c>
      <c r="H2213" s="311" t="s">
        <v>420</v>
      </c>
      <c r="I2213" s="311" t="s">
        <v>66</v>
      </c>
      <c r="J2213" s="50" t="s">
        <v>1892</v>
      </c>
      <c r="K2213" s="50" t="s">
        <v>1892</v>
      </c>
      <c r="L2213" s="50" t="s">
        <v>1893</v>
      </c>
      <c r="M2213" s="50" t="s">
        <v>4707</v>
      </c>
      <c r="N2213" s="50" t="s">
        <v>4707</v>
      </c>
      <c r="O2213" s="50" t="s">
        <v>4707</v>
      </c>
      <c r="P2213" s="50" t="s">
        <v>4707</v>
      </c>
    </row>
    <row r="2214" spans="1:16" ht="12.75" customHeight="1" x14ac:dyDescent="0.25">
      <c r="A2214" s="311">
        <v>2211</v>
      </c>
      <c r="B2214" s="311" t="s">
        <v>141</v>
      </c>
      <c r="C2214" s="311" t="s">
        <v>141</v>
      </c>
      <c r="D2214" s="311" t="s">
        <v>141</v>
      </c>
      <c r="E2214" s="337" t="s">
        <v>141</v>
      </c>
      <c r="F2214" s="311" t="s">
        <v>251</v>
      </c>
      <c r="G2214" s="311" t="s">
        <v>23</v>
      </c>
      <c r="H2214" s="311" t="s">
        <v>420</v>
      </c>
      <c r="I2214" s="311" t="s">
        <v>66</v>
      </c>
      <c r="J2214" s="50" t="s">
        <v>1892</v>
      </c>
      <c r="K2214" s="50" t="s">
        <v>1892</v>
      </c>
      <c r="L2214" s="50" t="s">
        <v>1893</v>
      </c>
      <c r="M2214" s="50" t="s">
        <v>4708</v>
      </c>
      <c r="N2214" s="50" t="s">
        <v>4708</v>
      </c>
      <c r="O2214" s="50" t="s">
        <v>4708</v>
      </c>
      <c r="P2214" s="50" t="s">
        <v>4708</v>
      </c>
    </row>
    <row r="2215" spans="1:16" ht="12.75" customHeight="1" x14ac:dyDescent="0.25">
      <c r="A2215" s="311">
        <v>2212</v>
      </c>
      <c r="B2215" s="311" t="s">
        <v>69</v>
      </c>
      <c r="C2215" s="311" t="s">
        <v>69</v>
      </c>
      <c r="D2215" s="311" t="s">
        <v>69</v>
      </c>
      <c r="E2215" s="337" t="s">
        <v>69</v>
      </c>
      <c r="F2215" s="311" t="s">
        <v>251</v>
      </c>
      <c r="G2215" s="311" t="s">
        <v>23</v>
      </c>
      <c r="H2215" s="311" t="s">
        <v>420</v>
      </c>
      <c r="I2215" s="311" t="s">
        <v>66</v>
      </c>
      <c r="J2215" s="50" t="s">
        <v>1892</v>
      </c>
      <c r="K2215" s="50" t="s">
        <v>1892</v>
      </c>
      <c r="L2215" s="50" t="s">
        <v>1893</v>
      </c>
      <c r="M2215" s="50" t="s">
        <v>4709</v>
      </c>
      <c r="N2215" s="50" t="s">
        <v>4709</v>
      </c>
      <c r="O2215" s="50" t="s">
        <v>4709</v>
      </c>
      <c r="P2215" s="50" t="s">
        <v>4709</v>
      </c>
    </row>
    <row r="2216" spans="1:16" ht="12.75" customHeight="1" x14ac:dyDescent="0.25">
      <c r="A2216" s="311">
        <v>2213</v>
      </c>
      <c r="B2216" s="311" t="s">
        <v>84</v>
      </c>
      <c r="C2216" s="311" t="s">
        <v>462</v>
      </c>
      <c r="D2216" s="311" t="s">
        <v>462</v>
      </c>
      <c r="E2216" s="337" t="s">
        <v>462</v>
      </c>
      <c r="F2216" s="311" t="s">
        <v>251</v>
      </c>
      <c r="G2216" s="311" t="s">
        <v>237</v>
      </c>
      <c r="H2216" s="311" t="s">
        <v>420</v>
      </c>
      <c r="I2216" s="311" t="s">
        <v>66</v>
      </c>
      <c r="J2216" s="50" t="s">
        <v>1892</v>
      </c>
      <c r="K2216" s="50" t="s">
        <v>1892</v>
      </c>
      <c r="L2216" s="50" t="s">
        <v>1893</v>
      </c>
      <c r="M2216" s="50" t="s">
        <v>4710</v>
      </c>
      <c r="N2216" s="50" t="s">
        <v>4711</v>
      </c>
      <c r="O2216" s="50" t="s">
        <v>4711</v>
      </c>
      <c r="P2216" s="50" t="s">
        <v>4711</v>
      </c>
    </row>
    <row r="2217" spans="1:16" ht="12.75" customHeight="1" x14ac:dyDescent="0.25">
      <c r="A2217" s="311">
        <v>2214</v>
      </c>
      <c r="B2217" s="311" t="s">
        <v>123</v>
      </c>
      <c r="C2217" s="311" t="s">
        <v>462</v>
      </c>
      <c r="D2217" s="311" t="s">
        <v>462</v>
      </c>
      <c r="E2217" s="337" t="s">
        <v>462</v>
      </c>
      <c r="F2217" s="311" t="s">
        <v>251</v>
      </c>
      <c r="G2217" s="311" t="s">
        <v>237</v>
      </c>
      <c r="H2217" s="311" t="s">
        <v>420</v>
      </c>
      <c r="I2217" s="311" t="s">
        <v>66</v>
      </c>
      <c r="J2217" s="50" t="s">
        <v>1892</v>
      </c>
      <c r="K2217" s="50" t="s">
        <v>1892</v>
      </c>
      <c r="L2217" s="50" t="s">
        <v>1893</v>
      </c>
      <c r="M2217" s="50" t="s">
        <v>4712</v>
      </c>
      <c r="N2217" s="50" t="s">
        <v>4711</v>
      </c>
      <c r="O2217" s="50" t="s">
        <v>4711</v>
      </c>
      <c r="P2217" s="50" t="s">
        <v>4711</v>
      </c>
    </row>
    <row r="2218" spans="1:16" ht="12.75" customHeight="1" x14ac:dyDescent="0.25">
      <c r="A2218" s="311">
        <v>2215</v>
      </c>
      <c r="B2218" s="311" t="s">
        <v>75</v>
      </c>
      <c r="C2218" s="311" t="s">
        <v>462</v>
      </c>
      <c r="D2218" s="311" t="s">
        <v>462</v>
      </c>
      <c r="E2218" s="337" t="s">
        <v>462</v>
      </c>
      <c r="F2218" s="311" t="s">
        <v>251</v>
      </c>
      <c r="G2218" s="311" t="s">
        <v>237</v>
      </c>
      <c r="H2218" s="311" t="s">
        <v>420</v>
      </c>
      <c r="I2218" s="311" t="s">
        <v>66</v>
      </c>
      <c r="J2218" s="50" t="s">
        <v>1892</v>
      </c>
      <c r="K2218" s="50" t="s">
        <v>1892</v>
      </c>
      <c r="L2218" s="50" t="s">
        <v>1893</v>
      </c>
      <c r="M2218" s="50" t="s">
        <v>4713</v>
      </c>
      <c r="N2218" s="50" t="s">
        <v>4711</v>
      </c>
      <c r="O2218" s="50" t="s">
        <v>4711</v>
      </c>
      <c r="P2218" s="50" t="s">
        <v>4711</v>
      </c>
    </row>
    <row r="2219" spans="1:16" ht="12.75" customHeight="1" x14ac:dyDescent="0.25">
      <c r="A2219" s="311">
        <v>2216</v>
      </c>
      <c r="B2219" s="311" t="s">
        <v>63</v>
      </c>
      <c r="C2219" s="311" t="s">
        <v>63</v>
      </c>
      <c r="D2219" s="311" t="s">
        <v>462</v>
      </c>
      <c r="E2219" s="337" t="s">
        <v>63</v>
      </c>
      <c r="F2219" s="311" t="s">
        <v>251</v>
      </c>
      <c r="G2219" s="311" t="s">
        <v>237</v>
      </c>
      <c r="H2219" s="311" t="s">
        <v>420</v>
      </c>
      <c r="I2219" s="311" t="s">
        <v>66</v>
      </c>
      <c r="J2219" s="50" t="s">
        <v>1892</v>
      </c>
      <c r="K2219" s="50" t="s">
        <v>1892</v>
      </c>
      <c r="L2219" s="50" t="s">
        <v>1893</v>
      </c>
      <c r="M2219" s="50" t="s">
        <v>4714</v>
      </c>
      <c r="N2219" s="50" t="s">
        <v>4714</v>
      </c>
      <c r="O2219" s="50" t="s">
        <v>4711</v>
      </c>
      <c r="P2219" s="50" t="s">
        <v>4714</v>
      </c>
    </row>
    <row r="2220" spans="1:16" ht="12.75" customHeight="1" x14ac:dyDescent="0.25">
      <c r="A2220" s="311">
        <v>2217</v>
      </c>
      <c r="B2220" s="311" t="s">
        <v>140</v>
      </c>
      <c r="C2220" s="311" t="s">
        <v>140</v>
      </c>
      <c r="D2220" s="311" t="s">
        <v>462</v>
      </c>
      <c r="E2220" s="337" t="s">
        <v>140</v>
      </c>
      <c r="F2220" s="311" t="s">
        <v>251</v>
      </c>
      <c r="G2220" s="311" t="s">
        <v>237</v>
      </c>
      <c r="H2220" s="311" t="s">
        <v>420</v>
      </c>
      <c r="I2220" s="311" t="s">
        <v>66</v>
      </c>
      <c r="J2220" s="50" t="s">
        <v>1892</v>
      </c>
      <c r="K2220" s="50" t="s">
        <v>1892</v>
      </c>
      <c r="L2220" s="50" t="s">
        <v>1893</v>
      </c>
      <c r="M2220" s="50" t="s">
        <v>4715</v>
      </c>
      <c r="N2220" s="50" t="s">
        <v>4715</v>
      </c>
      <c r="O2220" s="50" t="s">
        <v>4711</v>
      </c>
      <c r="P2220" s="50" t="s">
        <v>4715</v>
      </c>
    </row>
    <row r="2221" spans="1:16" ht="12.75" customHeight="1" x14ac:dyDescent="0.25">
      <c r="A2221" s="311">
        <v>2218</v>
      </c>
      <c r="B2221" s="311" t="s">
        <v>121</v>
      </c>
      <c r="C2221" s="311" t="s">
        <v>121</v>
      </c>
      <c r="D2221" s="311" t="s">
        <v>462</v>
      </c>
      <c r="E2221" s="337" t="s">
        <v>121</v>
      </c>
      <c r="F2221" s="311" t="s">
        <v>251</v>
      </c>
      <c r="G2221" s="311" t="s">
        <v>237</v>
      </c>
      <c r="H2221" s="311" t="s">
        <v>420</v>
      </c>
      <c r="I2221" s="311" t="s">
        <v>66</v>
      </c>
      <c r="J2221" s="50" t="s">
        <v>1892</v>
      </c>
      <c r="K2221" s="50" t="s">
        <v>1892</v>
      </c>
      <c r="L2221" s="50" t="s">
        <v>1893</v>
      </c>
      <c r="M2221" s="50" t="s">
        <v>4716</v>
      </c>
      <c r="N2221" s="50" t="s">
        <v>4716</v>
      </c>
      <c r="O2221" s="50" t="s">
        <v>4711</v>
      </c>
      <c r="P2221" s="50" t="s">
        <v>4716</v>
      </c>
    </row>
    <row r="2222" spans="1:16" ht="12.75" customHeight="1" x14ac:dyDescent="0.25">
      <c r="A2222" s="311">
        <v>2219</v>
      </c>
      <c r="B2222" s="311" t="s">
        <v>87</v>
      </c>
      <c r="C2222" s="311" t="s">
        <v>87</v>
      </c>
      <c r="D2222" s="311" t="s">
        <v>462</v>
      </c>
      <c r="E2222" s="337" t="s">
        <v>87</v>
      </c>
      <c r="F2222" s="311" t="s">
        <v>251</v>
      </c>
      <c r="G2222" s="311" t="s">
        <v>237</v>
      </c>
      <c r="H2222" s="311" t="s">
        <v>420</v>
      </c>
      <c r="I2222" s="311" t="s">
        <v>66</v>
      </c>
      <c r="J2222" s="50" t="s">
        <v>1892</v>
      </c>
      <c r="K2222" s="50" t="s">
        <v>1892</v>
      </c>
      <c r="L2222" s="50" t="s">
        <v>1893</v>
      </c>
      <c r="M2222" s="50" t="s">
        <v>4717</v>
      </c>
      <c r="N2222" s="50" t="s">
        <v>4717</v>
      </c>
      <c r="O2222" s="50" t="s">
        <v>4711</v>
      </c>
      <c r="P2222" s="50" t="s">
        <v>4717</v>
      </c>
    </row>
    <row r="2223" spans="1:16" ht="12.75" customHeight="1" x14ac:dyDescent="0.25">
      <c r="A2223" s="311">
        <v>2220</v>
      </c>
      <c r="B2223" s="311" t="s">
        <v>125</v>
      </c>
      <c r="C2223" s="311" t="s">
        <v>125</v>
      </c>
      <c r="D2223" s="311" t="s">
        <v>125</v>
      </c>
      <c r="E2223" s="337" t="s">
        <v>125</v>
      </c>
      <c r="F2223" s="311" t="s">
        <v>251</v>
      </c>
      <c r="G2223" s="311" t="s">
        <v>237</v>
      </c>
      <c r="H2223" s="311" t="s">
        <v>420</v>
      </c>
      <c r="I2223" s="311" t="s">
        <v>66</v>
      </c>
      <c r="J2223" s="50" t="s">
        <v>1892</v>
      </c>
      <c r="K2223" s="50" t="s">
        <v>1892</v>
      </c>
      <c r="L2223" s="50" t="s">
        <v>1893</v>
      </c>
      <c r="M2223" s="50" t="s">
        <v>4718</v>
      </c>
      <c r="N2223" s="50" t="s">
        <v>4718</v>
      </c>
      <c r="O2223" s="50" t="s">
        <v>4718</v>
      </c>
      <c r="P2223" s="50" t="s">
        <v>4718</v>
      </c>
    </row>
    <row r="2224" spans="1:16" ht="12.75" customHeight="1" x14ac:dyDescent="0.25">
      <c r="A2224" s="311">
        <v>2221</v>
      </c>
      <c r="B2224" s="311" t="s">
        <v>134</v>
      </c>
      <c r="C2224" s="311" t="s">
        <v>134</v>
      </c>
      <c r="D2224" s="311" t="s">
        <v>134</v>
      </c>
      <c r="E2224" s="337" t="s">
        <v>134</v>
      </c>
      <c r="F2224" s="311" t="s">
        <v>251</v>
      </c>
      <c r="G2224" s="311" t="s">
        <v>237</v>
      </c>
      <c r="H2224" s="311" t="s">
        <v>420</v>
      </c>
      <c r="I2224" s="311" t="s">
        <v>66</v>
      </c>
      <c r="J2224" s="50" t="s">
        <v>1892</v>
      </c>
      <c r="K2224" s="50" t="s">
        <v>1892</v>
      </c>
      <c r="L2224" s="50" t="s">
        <v>1893</v>
      </c>
      <c r="M2224" s="50" t="s">
        <v>4719</v>
      </c>
      <c r="N2224" s="50" t="s">
        <v>4719</v>
      </c>
      <c r="O2224" s="50" t="s">
        <v>4719</v>
      </c>
      <c r="P2224" s="50" t="s">
        <v>4719</v>
      </c>
    </row>
    <row r="2225" spans="1:16" ht="12.75" customHeight="1" x14ac:dyDescent="0.25">
      <c r="A2225" s="311">
        <v>2222</v>
      </c>
      <c r="B2225" s="311" t="s">
        <v>141</v>
      </c>
      <c r="C2225" s="311" t="s">
        <v>141</v>
      </c>
      <c r="D2225" s="311" t="s">
        <v>141</v>
      </c>
      <c r="E2225" s="337" t="s">
        <v>141</v>
      </c>
      <c r="F2225" s="311" t="s">
        <v>251</v>
      </c>
      <c r="G2225" s="311" t="s">
        <v>237</v>
      </c>
      <c r="H2225" s="311" t="s">
        <v>420</v>
      </c>
      <c r="I2225" s="311" t="s">
        <v>66</v>
      </c>
      <c r="J2225" s="50" t="s">
        <v>1892</v>
      </c>
      <c r="K2225" s="50" t="s">
        <v>1892</v>
      </c>
      <c r="L2225" s="50" t="s">
        <v>1893</v>
      </c>
      <c r="M2225" s="50" t="s">
        <v>4720</v>
      </c>
      <c r="N2225" s="50" t="s">
        <v>4720</v>
      </c>
      <c r="O2225" s="50" t="s">
        <v>4720</v>
      </c>
      <c r="P2225" s="50" t="s">
        <v>4720</v>
      </c>
    </row>
    <row r="2226" spans="1:16" ht="12.75" customHeight="1" x14ac:dyDescent="0.25">
      <c r="A2226" s="311">
        <v>2223</v>
      </c>
      <c r="B2226" s="311" t="s">
        <v>69</v>
      </c>
      <c r="C2226" s="311" t="s">
        <v>69</v>
      </c>
      <c r="D2226" s="311" t="s">
        <v>69</v>
      </c>
      <c r="E2226" s="337" t="s">
        <v>69</v>
      </c>
      <c r="F2226" s="311" t="s">
        <v>251</v>
      </c>
      <c r="G2226" s="311" t="s">
        <v>237</v>
      </c>
      <c r="H2226" s="311" t="s">
        <v>420</v>
      </c>
      <c r="I2226" s="311" t="s">
        <v>66</v>
      </c>
      <c r="J2226" s="50" t="s">
        <v>1892</v>
      </c>
      <c r="K2226" s="50" t="s">
        <v>1892</v>
      </c>
      <c r="L2226" s="50" t="s">
        <v>1893</v>
      </c>
      <c r="M2226" s="50" t="s">
        <v>4721</v>
      </c>
      <c r="N2226" s="50" t="s">
        <v>4721</v>
      </c>
      <c r="O2226" s="50" t="s">
        <v>4721</v>
      </c>
      <c r="P2226" s="50" t="s">
        <v>4721</v>
      </c>
    </row>
    <row r="2227" spans="1:16" ht="12.75" customHeight="1" x14ac:dyDescent="0.25">
      <c r="A2227" s="311">
        <v>2224</v>
      </c>
      <c r="B2227" s="311" t="s">
        <v>84</v>
      </c>
      <c r="C2227" s="311" t="s">
        <v>462</v>
      </c>
      <c r="D2227" s="311" t="s">
        <v>462</v>
      </c>
      <c r="E2227" s="337" t="s">
        <v>462</v>
      </c>
      <c r="F2227" s="311" t="s">
        <v>284</v>
      </c>
      <c r="G2227" s="311" t="s">
        <v>236</v>
      </c>
      <c r="H2227" s="311" t="s">
        <v>420</v>
      </c>
      <c r="I2227" s="311" t="s">
        <v>66</v>
      </c>
      <c r="J2227" s="50" t="s">
        <v>1892</v>
      </c>
      <c r="K2227" s="50" t="s">
        <v>1892</v>
      </c>
      <c r="L2227" s="50" t="s">
        <v>1893</v>
      </c>
      <c r="M2227" s="50" t="s">
        <v>4722</v>
      </c>
      <c r="N2227" s="50" t="s">
        <v>4723</v>
      </c>
      <c r="O2227" s="50" t="s">
        <v>4723</v>
      </c>
      <c r="P2227" s="50" t="s">
        <v>4723</v>
      </c>
    </row>
    <row r="2228" spans="1:16" ht="12.75" customHeight="1" x14ac:dyDescent="0.25">
      <c r="A2228" s="311">
        <v>2225</v>
      </c>
      <c r="B2228" s="311" t="s">
        <v>123</v>
      </c>
      <c r="C2228" s="311" t="s">
        <v>462</v>
      </c>
      <c r="D2228" s="311" t="s">
        <v>462</v>
      </c>
      <c r="E2228" s="337" t="s">
        <v>462</v>
      </c>
      <c r="F2228" s="311" t="s">
        <v>284</v>
      </c>
      <c r="G2228" s="311" t="s">
        <v>236</v>
      </c>
      <c r="H2228" s="311" t="s">
        <v>420</v>
      </c>
      <c r="I2228" s="311" t="s">
        <v>66</v>
      </c>
      <c r="J2228" s="50" t="s">
        <v>1892</v>
      </c>
      <c r="K2228" s="50" t="s">
        <v>1892</v>
      </c>
      <c r="L2228" s="50" t="s">
        <v>1893</v>
      </c>
      <c r="M2228" s="50" t="s">
        <v>4724</v>
      </c>
      <c r="N2228" s="50" t="s">
        <v>4723</v>
      </c>
      <c r="O2228" s="50" t="s">
        <v>4723</v>
      </c>
      <c r="P2228" s="50" t="s">
        <v>4723</v>
      </c>
    </row>
    <row r="2229" spans="1:16" ht="12.75" customHeight="1" x14ac:dyDescent="0.25">
      <c r="A2229" s="311">
        <v>2226</v>
      </c>
      <c r="B2229" s="311" t="s">
        <v>75</v>
      </c>
      <c r="C2229" s="311" t="s">
        <v>462</v>
      </c>
      <c r="D2229" s="311" t="s">
        <v>462</v>
      </c>
      <c r="E2229" s="337" t="s">
        <v>462</v>
      </c>
      <c r="F2229" s="311" t="s">
        <v>284</v>
      </c>
      <c r="G2229" s="311" t="s">
        <v>236</v>
      </c>
      <c r="H2229" s="311" t="s">
        <v>420</v>
      </c>
      <c r="I2229" s="311" t="s">
        <v>66</v>
      </c>
      <c r="J2229" s="50" t="s">
        <v>1892</v>
      </c>
      <c r="K2229" s="50" t="s">
        <v>1892</v>
      </c>
      <c r="L2229" s="50" t="s">
        <v>1893</v>
      </c>
      <c r="M2229" s="50" t="s">
        <v>4725</v>
      </c>
      <c r="N2229" s="50" t="s">
        <v>4723</v>
      </c>
      <c r="O2229" s="50" t="s">
        <v>4723</v>
      </c>
      <c r="P2229" s="50" t="s">
        <v>4723</v>
      </c>
    </row>
    <row r="2230" spans="1:16" ht="12.75" customHeight="1" x14ac:dyDescent="0.25">
      <c r="A2230" s="311">
        <v>2227</v>
      </c>
      <c r="B2230" s="311" t="s">
        <v>63</v>
      </c>
      <c r="C2230" s="311" t="s">
        <v>63</v>
      </c>
      <c r="D2230" s="311" t="s">
        <v>462</v>
      </c>
      <c r="E2230" s="337" t="s">
        <v>63</v>
      </c>
      <c r="F2230" s="311" t="s">
        <v>284</v>
      </c>
      <c r="G2230" s="311" t="s">
        <v>236</v>
      </c>
      <c r="H2230" s="311" t="s">
        <v>420</v>
      </c>
      <c r="I2230" s="311" t="s">
        <v>66</v>
      </c>
      <c r="J2230" s="50" t="s">
        <v>1892</v>
      </c>
      <c r="K2230" s="50" t="s">
        <v>1892</v>
      </c>
      <c r="L2230" s="50" t="s">
        <v>1893</v>
      </c>
      <c r="M2230" s="50" t="s">
        <v>4726</v>
      </c>
      <c r="N2230" s="50" t="s">
        <v>4726</v>
      </c>
      <c r="O2230" s="50" t="s">
        <v>4723</v>
      </c>
      <c r="P2230" s="50" t="s">
        <v>4726</v>
      </c>
    </row>
    <row r="2231" spans="1:16" ht="12.75" customHeight="1" x14ac:dyDescent="0.25">
      <c r="A2231" s="311">
        <v>2228</v>
      </c>
      <c r="B2231" s="311" t="s">
        <v>140</v>
      </c>
      <c r="C2231" s="311" t="s">
        <v>140</v>
      </c>
      <c r="D2231" s="311" t="s">
        <v>462</v>
      </c>
      <c r="E2231" s="337" t="s">
        <v>140</v>
      </c>
      <c r="F2231" s="311" t="s">
        <v>284</v>
      </c>
      <c r="G2231" s="311" t="s">
        <v>236</v>
      </c>
      <c r="H2231" s="311" t="s">
        <v>420</v>
      </c>
      <c r="I2231" s="311" t="s">
        <v>66</v>
      </c>
      <c r="J2231" s="50" t="s">
        <v>1892</v>
      </c>
      <c r="K2231" s="50" t="s">
        <v>1892</v>
      </c>
      <c r="L2231" s="50" t="s">
        <v>1893</v>
      </c>
      <c r="M2231" s="50" t="s">
        <v>4727</v>
      </c>
      <c r="N2231" s="50" t="s">
        <v>4727</v>
      </c>
      <c r="O2231" s="50" t="s">
        <v>4723</v>
      </c>
      <c r="P2231" s="50" t="s">
        <v>4727</v>
      </c>
    </row>
    <row r="2232" spans="1:16" ht="12.75" customHeight="1" x14ac:dyDescent="0.25">
      <c r="A2232" s="311">
        <v>2229</v>
      </c>
      <c r="B2232" s="311" t="s">
        <v>121</v>
      </c>
      <c r="C2232" s="311" t="s">
        <v>121</v>
      </c>
      <c r="D2232" s="311" t="s">
        <v>462</v>
      </c>
      <c r="E2232" s="337" t="s">
        <v>121</v>
      </c>
      <c r="F2232" s="311" t="s">
        <v>284</v>
      </c>
      <c r="G2232" s="311" t="s">
        <v>236</v>
      </c>
      <c r="H2232" s="311" t="s">
        <v>420</v>
      </c>
      <c r="I2232" s="311" t="s">
        <v>66</v>
      </c>
      <c r="J2232" s="50" t="s">
        <v>1892</v>
      </c>
      <c r="K2232" s="50" t="s">
        <v>1892</v>
      </c>
      <c r="L2232" s="50" t="s">
        <v>1893</v>
      </c>
      <c r="M2232" s="50" t="s">
        <v>4728</v>
      </c>
      <c r="N2232" s="50" t="s">
        <v>4728</v>
      </c>
      <c r="O2232" s="50" t="s">
        <v>4723</v>
      </c>
      <c r="P2232" s="50" t="s">
        <v>4728</v>
      </c>
    </row>
    <row r="2233" spans="1:16" ht="12.75" customHeight="1" x14ac:dyDescent="0.25">
      <c r="A2233" s="311">
        <v>2230</v>
      </c>
      <c r="B2233" s="311" t="s">
        <v>87</v>
      </c>
      <c r="C2233" s="311" t="s">
        <v>87</v>
      </c>
      <c r="D2233" s="311" t="s">
        <v>462</v>
      </c>
      <c r="E2233" s="337" t="s">
        <v>87</v>
      </c>
      <c r="F2233" s="311" t="s">
        <v>284</v>
      </c>
      <c r="G2233" s="311" t="s">
        <v>236</v>
      </c>
      <c r="H2233" s="311" t="s">
        <v>420</v>
      </c>
      <c r="I2233" s="311" t="s">
        <v>66</v>
      </c>
      <c r="J2233" s="50" t="s">
        <v>1892</v>
      </c>
      <c r="K2233" s="50" t="s">
        <v>1892</v>
      </c>
      <c r="L2233" s="50" t="s">
        <v>1893</v>
      </c>
      <c r="M2233" s="50" t="s">
        <v>4729</v>
      </c>
      <c r="N2233" s="50" t="s">
        <v>4729</v>
      </c>
      <c r="O2233" s="50" t="s">
        <v>4723</v>
      </c>
      <c r="P2233" s="50" t="s">
        <v>4729</v>
      </c>
    </row>
    <row r="2234" spans="1:16" ht="12.75" customHeight="1" x14ac:dyDescent="0.25">
      <c r="A2234" s="311">
        <v>2231</v>
      </c>
      <c r="B2234" s="311" t="s">
        <v>125</v>
      </c>
      <c r="C2234" s="311" t="s">
        <v>125</v>
      </c>
      <c r="D2234" s="311" t="s">
        <v>125</v>
      </c>
      <c r="E2234" s="337" t="s">
        <v>125</v>
      </c>
      <c r="F2234" s="311" t="s">
        <v>284</v>
      </c>
      <c r="G2234" s="311" t="s">
        <v>236</v>
      </c>
      <c r="H2234" s="311" t="s">
        <v>420</v>
      </c>
      <c r="I2234" s="311" t="s">
        <v>66</v>
      </c>
      <c r="J2234" s="50" t="s">
        <v>1892</v>
      </c>
      <c r="K2234" s="50" t="s">
        <v>1892</v>
      </c>
      <c r="L2234" s="50" t="s">
        <v>1893</v>
      </c>
      <c r="M2234" s="50" t="s">
        <v>4730</v>
      </c>
      <c r="N2234" s="50" t="s">
        <v>4730</v>
      </c>
      <c r="O2234" s="50" t="s">
        <v>4730</v>
      </c>
      <c r="P2234" s="50" t="s">
        <v>4730</v>
      </c>
    </row>
    <row r="2235" spans="1:16" ht="12.75" customHeight="1" x14ac:dyDescent="0.25">
      <c r="A2235" s="311">
        <v>2232</v>
      </c>
      <c r="B2235" s="311" t="s">
        <v>134</v>
      </c>
      <c r="C2235" s="311" t="s">
        <v>134</v>
      </c>
      <c r="D2235" s="311" t="s">
        <v>134</v>
      </c>
      <c r="E2235" s="337" t="s">
        <v>134</v>
      </c>
      <c r="F2235" s="311" t="s">
        <v>284</v>
      </c>
      <c r="G2235" s="311" t="s">
        <v>236</v>
      </c>
      <c r="H2235" s="311" t="s">
        <v>420</v>
      </c>
      <c r="I2235" s="311" t="s">
        <v>66</v>
      </c>
      <c r="J2235" s="50" t="s">
        <v>1892</v>
      </c>
      <c r="K2235" s="50" t="s">
        <v>1892</v>
      </c>
      <c r="L2235" s="50" t="s">
        <v>1893</v>
      </c>
      <c r="M2235" s="50" t="s">
        <v>4731</v>
      </c>
      <c r="N2235" s="50" t="s">
        <v>4731</v>
      </c>
      <c r="O2235" s="50" t="s">
        <v>4731</v>
      </c>
      <c r="P2235" s="50" t="s">
        <v>4731</v>
      </c>
    </row>
    <row r="2236" spans="1:16" ht="12.75" customHeight="1" x14ac:dyDescent="0.25">
      <c r="A2236" s="311">
        <v>2233</v>
      </c>
      <c r="B2236" s="311" t="s">
        <v>141</v>
      </c>
      <c r="C2236" s="311" t="s">
        <v>141</v>
      </c>
      <c r="D2236" s="311" t="s">
        <v>141</v>
      </c>
      <c r="E2236" s="337" t="s">
        <v>141</v>
      </c>
      <c r="F2236" s="311" t="s">
        <v>284</v>
      </c>
      <c r="G2236" s="311" t="s">
        <v>236</v>
      </c>
      <c r="H2236" s="311" t="s">
        <v>420</v>
      </c>
      <c r="I2236" s="311" t="s">
        <v>66</v>
      </c>
      <c r="J2236" s="50" t="s">
        <v>1892</v>
      </c>
      <c r="K2236" s="50" t="s">
        <v>1892</v>
      </c>
      <c r="L2236" s="50" t="s">
        <v>1893</v>
      </c>
      <c r="M2236" s="50" t="s">
        <v>4732</v>
      </c>
      <c r="N2236" s="50" t="s">
        <v>4732</v>
      </c>
      <c r="O2236" s="50" t="s">
        <v>4732</v>
      </c>
      <c r="P2236" s="50" t="s">
        <v>4732</v>
      </c>
    </row>
    <row r="2237" spans="1:16" ht="12.75" customHeight="1" x14ac:dyDescent="0.25">
      <c r="A2237" s="311">
        <v>2234</v>
      </c>
      <c r="B2237" s="311" t="s">
        <v>69</v>
      </c>
      <c r="C2237" s="311" t="s">
        <v>69</v>
      </c>
      <c r="D2237" s="311" t="s">
        <v>69</v>
      </c>
      <c r="E2237" s="337" t="s">
        <v>69</v>
      </c>
      <c r="F2237" s="311" t="s">
        <v>284</v>
      </c>
      <c r="G2237" s="311" t="s">
        <v>236</v>
      </c>
      <c r="H2237" s="311" t="s">
        <v>420</v>
      </c>
      <c r="I2237" s="311" t="s">
        <v>66</v>
      </c>
      <c r="J2237" s="50" t="s">
        <v>1892</v>
      </c>
      <c r="K2237" s="50" t="s">
        <v>1892</v>
      </c>
      <c r="L2237" s="50" t="s">
        <v>1893</v>
      </c>
      <c r="M2237" s="50" t="s">
        <v>4733</v>
      </c>
      <c r="N2237" s="50" t="s">
        <v>4733</v>
      </c>
      <c r="O2237" s="50" t="s">
        <v>4733</v>
      </c>
      <c r="P2237" s="50" t="s">
        <v>4733</v>
      </c>
    </row>
    <row r="2238" spans="1:16" ht="12.75" customHeight="1" x14ac:dyDescent="0.25">
      <c r="A2238" s="311">
        <v>2235</v>
      </c>
      <c r="B2238" s="311" t="s">
        <v>84</v>
      </c>
      <c r="C2238" s="311" t="s">
        <v>462</v>
      </c>
      <c r="D2238" s="311" t="s">
        <v>462</v>
      </c>
      <c r="E2238" s="337" t="s">
        <v>462</v>
      </c>
      <c r="F2238" s="311" t="s">
        <v>284</v>
      </c>
      <c r="G2238" s="311" t="s">
        <v>23</v>
      </c>
      <c r="H2238" s="311" t="s">
        <v>420</v>
      </c>
      <c r="I2238" s="311" t="s">
        <v>66</v>
      </c>
      <c r="J2238" s="50" t="s">
        <v>1892</v>
      </c>
      <c r="K2238" s="50" t="s">
        <v>1892</v>
      </c>
      <c r="L2238" s="50" t="s">
        <v>1893</v>
      </c>
      <c r="M2238" s="50" t="s">
        <v>4734</v>
      </c>
      <c r="N2238" s="50" t="s">
        <v>4735</v>
      </c>
      <c r="O2238" s="50" t="s">
        <v>4735</v>
      </c>
      <c r="P2238" s="50" t="s">
        <v>4735</v>
      </c>
    </row>
    <row r="2239" spans="1:16" ht="12.75" customHeight="1" x14ac:dyDescent="0.25">
      <c r="A2239" s="311">
        <v>2236</v>
      </c>
      <c r="B2239" s="311" t="s">
        <v>123</v>
      </c>
      <c r="C2239" s="311" t="s">
        <v>462</v>
      </c>
      <c r="D2239" s="311" t="s">
        <v>462</v>
      </c>
      <c r="E2239" s="337" t="s">
        <v>462</v>
      </c>
      <c r="F2239" s="311" t="s">
        <v>284</v>
      </c>
      <c r="G2239" s="311" t="s">
        <v>23</v>
      </c>
      <c r="H2239" s="311" t="s">
        <v>420</v>
      </c>
      <c r="I2239" s="311" t="s">
        <v>66</v>
      </c>
      <c r="J2239" s="50" t="s">
        <v>1892</v>
      </c>
      <c r="K2239" s="50" t="s">
        <v>1892</v>
      </c>
      <c r="L2239" s="50" t="s">
        <v>1893</v>
      </c>
      <c r="M2239" s="50" t="s">
        <v>4736</v>
      </c>
      <c r="N2239" s="50" t="s">
        <v>4735</v>
      </c>
      <c r="O2239" s="50" t="s">
        <v>4735</v>
      </c>
      <c r="P2239" s="50" t="s">
        <v>4735</v>
      </c>
    </row>
    <row r="2240" spans="1:16" ht="12.75" customHeight="1" x14ac:dyDescent="0.25">
      <c r="A2240" s="311">
        <v>2237</v>
      </c>
      <c r="B2240" s="311" t="s">
        <v>75</v>
      </c>
      <c r="C2240" s="311" t="s">
        <v>462</v>
      </c>
      <c r="D2240" s="311" t="s">
        <v>462</v>
      </c>
      <c r="E2240" s="337" t="s">
        <v>462</v>
      </c>
      <c r="F2240" s="311" t="s">
        <v>284</v>
      </c>
      <c r="G2240" s="311" t="s">
        <v>23</v>
      </c>
      <c r="H2240" s="311" t="s">
        <v>420</v>
      </c>
      <c r="I2240" s="311" t="s">
        <v>66</v>
      </c>
      <c r="J2240" s="50" t="s">
        <v>1892</v>
      </c>
      <c r="K2240" s="50" t="s">
        <v>1892</v>
      </c>
      <c r="L2240" s="50" t="s">
        <v>1893</v>
      </c>
      <c r="M2240" s="50" t="s">
        <v>4737</v>
      </c>
      <c r="N2240" s="50" t="s">
        <v>4735</v>
      </c>
      <c r="O2240" s="50" t="s">
        <v>4735</v>
      </c>
      <c r="P2240" s="50" t="s">
        <v>4735</v>
      </c>
    </row>
    <row r="2241" spans="1:16" ht="12.75" customHeight="1" x14ac:dyDescent="0.25">
      <c r="A2241" s="311">
        <v>2238</v>
      </c>
      <c r="B2241" s="311" t="s">
        <v>63</v>
      </c>
      <c r="C2241" s="311" t="s">
        <v>63</v>
      </c>
      <c r="D2241" s="311" t="s">
        <v>462</v>
      </c>
      <c r="E2241" s="337" t="s">
        <v>63</v>
      </c>
      <c r="F2241" s="311" t="s">
        <v>284</v>
      </c>
      <c r="G2241" s="311" t="s">
        <v>23</v>
      </c>
      <c r="H2241" s="311" t="s">
        <v>420</v>
      </c>
      <c r="I2241" s="311" t="s">
        <v>66</v>
      </c>
      <c r="J2241" s="50" t="s">
        <v>1892</v>
      </c>
      <c r="K2241" s="50" t="s">
        <v>1892</v>
      </c>
      <c r="L2241" s="50" t="s">
        <v>1893</v>
      </c>
      <c r="M2241" s="50" t="s">
        <v>4738</v>
      </c>
      <c r="N2241" s="50" t="s">
        <v>4738</v>
      </c>
      <c r="O2241" s="50" t="s">
        <v>4735</v>
      </c>
      <c r="P2241" s="50" t="s">
        <v>4738</v>
      </c>
    </row>
    <row r="2242" spans="1:16" ht="12.75" customHeight="1" x14ac:dyDescent="0.25">
      <c r="A2242" s="311">
        <v>2239</v>
      </c>
      <c r="B2242" s="311" t="s">
        <v>140</v>
      </c>
      <c r="C2242" s="311" t="s">
        <v>140</v>
      </c>
      <c r="D2242" s="311" t="s">
        <v>462</v>
      </c>
      <c r="E2242" s="337" t="s">
        <v>140</v>
      </c>
      <c r="F2242" s="311" t="s">
        <v>284</v>
      </c>
      <c r="G2242" s="311" t="s">
        <v>23</v>
      </c>
      <c r="H2242" s="311" t="s">
        <v>420</v>
      </c>
      <c r="I2242" s="311" t="s">
        <v>66</v>
      </c>
      <c r="J2242" s="50" t="s">
        <v>1892</v>
      </c>
      <c r="K2242" s="50" t="s">
        <v>1892</v>
      </c>
      <c r="L2242" s="50" t="s">
        <v>1893</v>
      </c>
      <c r="M2242" s="50" t="s">
        <v>4739</v>
      </c>
      <c r="N2242" s="50" t="s">
        <v>4739</v>
      </c>
      <c r="O2242" s="50" t="s">
        <v>4735</v>
      </c>
      <c r="P2242" s="50" t="s">
        <v>4739</v>
      </c>
    </row>
    <row r="2243" spans="1:16" ht="12.75" customHeight="1" x14ac:dyDescent="0.25">
      <c r="A2243" s="311">
        <v>2240</v>
      </c>
      <c r="B2243" s="311" t="s">
        <v>121</v>
      </c>
      <c r="C2243" s="311" t="s">
        <v>121</v>
      </c>
      <c r="D2243" s="311" t="s">
        <v>462</v>
      </c>
      <c r="E2243" s="337" t="s">
        <v>121</v>
      </c>
      <c r="F2243" s="311" t="s">
        <v>284</v>
      </c>
      <c r="G2243" s="311" t="s">
        <v>23</v>
      </c>
      <c r="H2243" s="311" t="s">
        <v>420</v>
      </c>
      <c r="I2243" s="311" t="s">
        <v>66</v>
      </c>
      <c r="J2243" s="50" t="s">
        <v>1892</v>
      </c>
      <c r="K2243" s="50" t="s">
        <v>1892</v>
      </c>
      <c r="L2243" s="50" t="s">
        <v>1893</v>
      </c>
      <c r="M2243" s="50" t="s">
        <v>4740</v>
      </c>
      <c r="N2243" s="50" t="s">
        <v>4740</v>
      </c>
      <c r="O2243" s="50" t="s">
        <v>4735</v>
      </c>
      <c r="P2243" s="50" t="s">
        <v>4740</v>
      </c>
    </row>
    <row r="2244" spans="1:16" ht="12.75" customHeight="1" x14ac:dyDescent="0.25">
      <c r="A2244" s="311">
        <v>2241</v>
      </c>
      <c r="B2244" s="311" t="s">
        <v>87</v>
      </c>
      <c r="C2244" s="311" t="s">
        <v>87</v>
      </c>
      <c r="D2244" s="311" t="s">
        <v>462</v>
      </c>
      <c r="E2244" s="337" t="s">
        <v>87</v>
      </c>
      <c r="F2244" s="311" t="s">
        <v>284</v>
      </c>
      <c r="G2244" s="311" t="s">
        <v>23</v>
      </c>
      <c r="H2244" s="311" t="s">
        <v>420</v>
      </c>
      <c r="I2244" s="311" t="s">
        <v>66</v>
      </c>
      <c r="J2244" s="50" t="s">
        <v>1892</v>
      </c>
      <c r="K2244" s="50" t="s">
        <v>1892</v>
      </c>
      <c r="L2244" s="50" t="s">
        <v>1893</v>
      </c>
      <c r="M2244" s="50" t="s">
        <v>4741</v>
      </c>
      <c r="N2244" s="50" t="s">
        <v>4741</v>
      </c>
      <c r="O2244" s="50" t="s">
        <v>4735</v>
      </c>
      <c r="P2244" s="50" t="s">
        <v>4741</v>
      </c>
    </row>
    <row r="2245" spans="1:16" ht="12.75" customHeight="1" x14ac:dyDescent="0.25">
      <c r="A2245" s="311">
        <v>2242</v>
      </c>
      <c r="B2245" s="311" t="s">
        <v>125</v>
      </c>
      <c r="C2245" s="311" t="s">
        <v>125</v>
      </c>
      <c r="D2245" s="311" t="s">
        <v>125</v>
      </c>
      <c r="E2245" s="337" t="s">
        <v>125</v>
      </c>
      <c r="F2245" s="311" t="s">
        <v>284</v>
      </c>
      <c r="G2245" s="311" t="s">
        <v>23</v>
      </c>
      <c r="H2245" s="311" t="s">
        <v>420</v>
      </c>
      <c r="I2245" s="311" t="s">
        <v>66</v>
      </c>
      <c r="J2245" s="50" t="s">
        <v>1892</v>
      </c>
      <c r="K2245" s="50" t="s">
        <v>1892</v>
      </c>
      <c r="L2245" s="50" t="s">
        <v>1893</v>
      </c>
      <c r="M2245" s="50" t="s">
        <v>4742</v>
      </c>
      <c r="N2245" s="50" t="s">
        <v>4742</v>
      </c>
      <c r="O2245" s="50" t="s">
        <v>4742</v>
      </c>
      <c r="P2245" s="50" t="s">
        <v>4742</v>
      </c>
    </row>
    <row r="2246" spans="1:16" ht="12.75" customHeight="1" x14ac:dyDescent="0.25">
      <c r="A2246" s="311">
        <v>2243</v>
      </c>
      <c r="B2246" s="311" t="s">
        <v>134</v>
      </c>
      <c r="C2246" s="311" t="s">
        <v>134</v>
      </c>
      <c r="D2246" s="311" t="s">
        <v>134</v>
      </c>
      <c r="E2246" s="337" t="s">
        <v>134</v>
      </c>
      <c r="F2246" s="311" t="s">
        <v>284</v>
      </c>
      <c r="G2246" s="311" t="s">
        <v>23</v>
      </c>
      <c r="H2246" s="311" t="s">
        <v>420</v>
      </c>
      <c r="I2246" s="311" t="s">
        <v>66</v>
      </c>
      <c r="J2246" s="50" t="s">
        <v>1892</v>
      </c>
      <c r="K2246" s="50" t="s">
        <v>1892</v>
      </c>
      <c r="L2246" s="50" t="s">
        <v>1893</v>
      </c>
      <c r="M2246" s="50" t="s">
        <v>4743</v>
      </c>
      <c r="N2246" s="50" t="s">
        <v>4743</v>
      </c>
      <c r="O2246" s="50" t="s">
        <v>4743</v>
      </c>
      <c r="P2246" s="50" t="s">
        <v>4743</v>
      </c>
    </row>
    <row r="2247" spans="1:16" ht="12.75" customHeight="1" x14ac:dyDescent="0.25">
      <c r="A2247" s="311">
        <v>2244</v>
      </c>
      <c r="B2247" s="311" t="s">
        <v>141</v>
      </c>
      <c r="C2247" s="311" t="s">
        <v>141</v>
      </c>
      <c r="D2247" s="311" t="s">
        <v>141</v>
      </c>
      <c r="E2247" s="337" t="s">
        <v>141</v>
      </c>
      <c r="F2247" s="311" t="s">
        <v>284</v>
      </c>
      <c r="G2247" s="311" t="s">
        <v>23</v>
      </c>
      <c r="H2247" s="311" t="s">
        <v>420</v>
      </c>
      <c r="I2247" s="311" t="s">
        <v>66</v>
      </c>
      <c r="J2247" s="50" t="s">
        <v>1892</v>
      </c>
      <c r="K2247" s="50" t="s">
        <v>1892</v>
      </c>
      <c r="L2247" s="50" t="s">
        <v>1893</v>
      </c>
      <c r="M2247" s="50" t="s">
        <v>4744</v>
      </c>
      <c r="N2247" s="50" t="s">
        <v>4744</v>
      </c>
      <c r="O2247" s="50" t="s">
        <v>4744</v>
      </c>
      <c r="P2247" s="50" t="s">
        <v>4744</v>
      </c>
    </row>
    <row r="2248" spans="1:16" ht="12.75" customHeight="1" x14ac:dyDescent="0.25">
      <c r="A2248" s="311">
        <v>2245</v>
      </c>
      <c r="B2248" s="311" t="s">
        <v>69</v>
      </c>
      <c r="C2248" s="311" t="s">
        <v>69</v>
      </c>
      <c r="D2248" s="311" t="s">
        <v>69</v>
      </c>
      <c r="E2248" s="337" t="s">
        <v>69</v>
      </c>
      <c r="F2248" s="311" t="s">
        <v>284</v>
      </c>
      <c r="G2248" s="311" t="s">
        <v>23</v>
      </c>
      <c r="H2248" s="311" t="s">
        <v>420</v>
      </c>
      <c r="I2248" s="311" t="s">
        <v>66</v>
      </c>
      <c r="J2248" s="50" t="s">
        <v>1892</v>
      </c>
      <c r="K2248" s="50" t="s">
        <v>1892</v>
      </c>
      <c r="L2248" s="50" t="s">
        <v>1893</v>
      </c>
      <c r="M2248" s="50" t="s">
        <v>4745</v>
      </c>
      <c r="N2248" s="50" t="s">
        <v>4745</v>
      </c>
      <c r="O2248" s="50" t="s">
        <v>4745</v>
      </c>
      <c r="P2248" s="50" t="s">
        <v>4745</v>
      </c>
    </row>
    <row r="2249" spans="1:16" ht="12.75" customHeight="1" x14ac:dyDescent="0.25">
      <c r="A2249" s="311">
        <v>2246</v>
      </c>
      <c r="B2249" s="311" t="s">
        <v>84</v>
      </c>
      <c r="C2249" s="311" t="s">
        <v>462</v>
      </c>
      <c r="D2249" s="311" t="s">
        <v>462</v>
      </c>
      <c r="E2249" s="337" t="s">
        <v>462</v>
      </c>
      <c r="F2249" s="311" t="s">
        <v>284</v>
      </c>
      <c r="G2249" s="311" t="s">
        <v>237</v>
      </c>
      <c r="H2249" s="311" t="s">
        <v>420</v>
      </c>
      <c r="I2249" s="311" t="s">
        <v>66</v>
      </c>
      <c r="J2249" s="50" t="s">
        <v>1892</v>
      </c>
      <c r="K2249" s="50" t="s">
        <v>1892</v>
      </c>
      <c r="L2249" s="50" t="s">
        <v>1893</v>
      </c>
      <c r="M2249" s="50" t="s">
        <v>4746</v>
      </c>
      <c r="N2249" s="50" t="s">
        <v>4747</v>
      </c>
      <c r="O2249" s="50" t="s">
        <v>4747</v>
      </c>
      <c r="P2249" s="50" t="s">
        <v>4747</v>
      </c>
    </row>
    <row r="2250" spans="1:16" ht="12.75" customHeight="1" x14ac:dyDescent="0.25">
      <c r="A2250" s="311">
        <v>2247</v>
      </c>
      <c r="B2250" s="311" t="s">
        <v>123</v>
      </c>
      <c r="C2250" s="311" t="s">
        <v>462</v>
      </c>
      <c r="D2250" s="311" t="s">
        <v>462</v>
      </c>
      <c r="E2250" s="337" t="s">
        <v>462</v>
      </c>
      <c r="F2250" s="311" t="s">
        <v>284</v>
      </c>
      <c r="G2250" s="311" t="s">
        <v>237</v>
      </c>
      <c r="H2250" s="311" t="s">
        <v>420</v>
      </c>
      <c r="I2250" s="311" t="s">
        <v>66</v>
      </c>
      <c r="J2250" s="50" t="s">
        <v>1892</v>
      </c>
      <c r="K2250" s="50" t="s">
        <v>1892</v>
      </c>
      <c r="L2250" s="50" t="s">
        <v>1893</v>
      </c>
      <c r="M2250" s="50" t="s">
        <v>4748</v>
      </c>
      <c r="N2250" s="50" t="s">
        <v>4747</v>
      </c>
      <c r="O2250" s="50" t="s">
        <v>4747</v>
      </c>
      <c r="P2250" s="50" t="s">
        <v>4747</v>
      </c>
    </row>
    <row r="2251" spans="1:16" ht="12.75" customHeight="1" x14ac:dyDescent="0.25">
      <c r="A2251" s="311">
        <v>2248</v>
      </c>
      <c r="B2251" s="311" t="s">
        <v>75</v>
      </c>
      <c r="C2251" s="311" t="s">
        <v>462</v>
      </c>
      <c r="D2251" s="311" t="s">
        <v>462</v>
      </c>
      <c r="E2251" s="337" t="s">
        <v>462</v>
      </c>
      <c r="F2251" s="311" t="s">
        <v>284</v>
      </c>
      <c r="G2251" s="311" t="s">
        <v>237</v>
      </c>
      <c r="H2251" s="311" t="s">
        <v>420</v>
      </c>
      <c r="I2251" s="311" t="s">
        <v>66</v>
      </c>
      <c r="J2251" s="50" t="s">
        <v>1892</v>
      </c>
      <c r="K2251" s="50" t="s">
        <v>1892</v>
      </c>
      <c r="L2251" s="50" t="s">
        <v>1893</v>
      </c>
      <c r="M2251" s="50" t="s">
        <v>4749</v>
      </c>
      <c r="N2251" s="50" t="s">
        <v>4747</v>
      </c>
      <c r="O2251" s="50" t="s">
        <v>4747</v>
      </c>
      <c r="P2251" s="50" t="s">
        <v>4747</v>
      </c>
    </row>
    <row r="2252" spans="1:16" ht="12.75" customHeight="1" x14ac:dyDescent="0.25">
      <c r="A2252" s="311">
        <v>2249</v>
      </c>
      <c r="B2252" s="311" t="s">
        <v>63</v>
      </c>
      <c r="C2252" s="311" t="s">
        <v>63</v>
      </c>
      <c r="D2252" s="311" t="s">
        <v>462</v>
      </c>
      <c r="E2252" s="337" t="s">
        <v>63</v>
      </c>
      <c r="F2252" s="311" t="s">
        <v>284</v>
      </c>
      <c r="G2252" s="311" t="s">
        <v>237</v>
      </c>
      <c r="H2252" s="311" t="s">
        <v>420</v>
      </c>
      <c r="I2252" s="311" t="s">
        <v>66</v>
      </c>
      <c r="J2252" s="50" t="s">
        <v>1892</v>
      </c>
      <c r="K2252" s="50" t="s">
        <v>1892</v>
      </c>
      <c r="L2252" s="50" t="s">
        <v>1893</v>
      </c>
      <c r="M2252" s="50" t="s">
        <v>4750</v>
      </c>
      <c r="N2252" s="50" t="s">
        <v>4750</v>
      </c>
      <c r="O2252" s="50" t="s">
        <v>4747</v>
      </c>
      <c r="P2252" s="50" t="s">
        <v>4750</v>
      </c>
    </row>
    <row r="2253" spans="1:16" ht="12.75" customHeight="1" x14ac:dyDescent="0.25">
      <c r="A2253" s="311">
        <v>2250</v>
      </c>
      <c r="B2253" s="311" t="s">
        <v>140</v>
      </c>
      <c r="C2253" s="311" t="s">
        <v>140</v>
      </c>
      <c r="D2253" s="311" t="s">
        <v>462</v>
      </c>
      <c r="E2253" s="337" t="s">
        <v>140</v>
      </c>
      <c r="F2253" s="311" t="s">
        <v>284</v>
      </c>
      <c r="G2253" s="311" t="s">
        <v>237</v>
      </c>
      <c r="H2253" s="311" t="s">
        <v>420</v>
      </c>
      <c r="I2253" s="311" t="s">
        <v>66</v>
      </c>
      <c r="J2253" s="50" t="s">
        <v>1892</v>
      </c>
      <c r="K2253" s="50" t="s">
        <v>1892</v>
      </c>
      <c r="L2253" s="50" t="s">
        <v>1893</v>
      </c>
      <c r="M2253" s="50" t="s">
        <v>4751</v>
      </c>
      <c r="N2253" s="50" t="s">
        <v>4751</v>
      </c>
      <c r="O2253" s="50" t="s">
        <v>4747</v>
      </c>
      <c r="P2253" s="50" t="s">
        <v>4751</v>
      </c>
    </row>
    <row r="2254" spans="1:16" ht="12.75" customHeight="1" x14ac:dyDescent="0.25">
      <c r="A2254" s="311">
        <v>2251</v>
      </c>
      <c r="B2254" s="311" t="s">
        <v>121</v>
      </c>
      <c r="C2254" s="311" t="s">
        <v>121</v>
      </c>
      <c r="D2254" s="311" t="s">
        <v>462</v>
      </c>
      <c r="E2254" s="337" t="s">
        <v>121</v>
      </c>
      <c r="F2254" s="311" t="s">
        <v>284</v>
      </c>
      <c r="G2254" s="311" t="s">
        <v>237</v>
      </c>
      <c r="H2254" s="311" t="s">
        <v>420</v>
      </c>
      <c r="I2254" s="311" t="s">
        <v>66</v>
      </c>
      <c r="J2254" s="50" t="s">
        <v>1892</v>
      </c>
      <c r="K2254" s="50" t="s">
        <v>1892</v>
      </c>
      <c r="L2254" s="50" t="s">
        <v>1893</v>
      </c>
      <c r="M2254" s="50" t="s">
        <v>4752</v>
      </c>
      <c r="N2254" s="50" t="s">
        <v>4752</v>
      </c>
      <c r="O2254" s="50" t="s">
        <v>4747</v>
      </c>
      <c r="P2254" s="50" t="s">
        <v>4752</v>
      </c>
    </row>
    <row r="2255" spans="1:16" ht="12.75" customHeight="1" x14ac:dyDescent="0.25">
      <c r="A2255" s="311">
        <v>2252</v>
      </c>
      <c r="B2255" s="311" t="s">
        <v>87</v>
      </c>
      <c r="C2255" s="311" t="s">
        <v>87</v>
      </c>
      <c r="D2255" s="311" t="s">
        <v>462</v>
      </c>
      <c r="E2255" s="337" t="s">
        <v>87</v>
      </c>
      <c r="F2255" s="311" t="s">
        <v>284</v>
      </c>
      <c r="G2255" s="311" t="s">
        <v>237</v>
      </c>
      <c r="H2255" s="311" t="s">
        <v>420</v>
      </c>
      <c r="I2255" s="311" t="s">
        <v>66</v>
      </c>
      <c r="J2255" s="50" t="s">
        <v>1892</v>
      </c>
      <c r="K2255" s="50" t="s">
        <v>1892</v>
      </c>
      <c r="L2255" s="50" t="s">
        <v>1893</v>
      </c>
      <c r="M2255" s="50" t="s">
        <v>4753</v>
      </c>
      <c r="N2255" s="50" t="s">
        <v>4753</v>
      </c>
      <c r="O2255" s="50" t="s">
        <v>4747</v>
      </c>
      <c r="P2255" s="50" t="s">
        <v>4753</v>
      </c>
    </row>
    <row r="2256" spans="1:16" ht="12.75" customHeight="1" x14ac:dyDescent="0.25">
      <c r="A2256" s="311">
        <v>2253</v>
      </c>
      <c r="B2256" s="311" t="s">
        <v>125</v>
      </c>
      <c r="C2256" s="311" t="s">
        <v>125</v>
      </c>
      <c r="D2256" s="311" t="s">
        <v>125</v>
      </c>
      <c r="E2256" s="337" t="s">
        <v>125</v>
      </c>
      <c r="F2256" s="311" t="s">
        <v>284</v>
      </c>
      <c r="G2256" s="311" t="s">
        <v>237</v>
      </c>
      <c r="H2256" s="311" t="s">
        <v>420</v>
      </c>
      <c r="I2256" s="311" t="s">
        <v>66</v>
      </c>
      <c r="J2256" s="50" t="s">
        <v>1892</v>
      </c>
      <c r="K2256" s="50" t="s">
        <v>1892</v>
      </c>
      <c r="L2256" s="50" t="s">
        <v>1893</v>
      </c>
      <c r="M2256" s="50" t="s">
        <v>4754</v>
      </c>
      <c r="N2256" s="50" t="s">
        <v>4754</v>
      </c>
      <c r="O2256" s="50" t="s">
        <v>4754</v>
      </c>
      <c r="P2256" s="50" t="s">
        <v>4754</v>
      </c>
    </row>
    <row r="2257" spans="1:16" ht="12.75" customHeight="1" x14ac:dyDescent="0.25">
      <c r="A2257" s="311">
        <v>2254</v>
      </c>
      <c r="B2257" s="311" t="s">
        <v>134</v>
      </c>
      <c r="C2257" s="311" t="s">
        <v>134</v>
      </c>
      <c r="D2257" s="311" t="s">
        <v>134</v>
      </c>
      <c r="E2257" s="337" t="s">
        <v>134</v>
      </c>
      <c r="F2257" s="311" t="s">
        <v>284</v>
      </c>
      <c r="G2257" s="311" t="s">
        <v>237</v>
      </c>
      <c r="H2257" s="311" t="s">
        <v>420</v>
      </c>
      <c r="I2257" s="311" t="s">
        <v>66</v>
      </c>
      <c r="J2257" s="50" t="s">
        <v>1892</v>
      </c>
      <c r="K2257" s="50" t="s">
        <v>1892</v>
      </c>
      <c r="L2257" s="50" t="s">
        <v>1893</v>
      </c>
      <c r="M2257" s="50" t="s">
        <v>4755</v>
      </c>
      <c r="N2257" s="50" t="s">
        <v>4755</v>
      </c>
      <c r="O2257" s="50" t="s">
        <v>4755</v>
      </c>
      <c r="P2257" s="50" t="s">
        <v>4755</v>
      </c>
    </row>
    <row r="2258" spans="1:16" ht="12.75" customHeight="1" x14ac:dyDescent="0.25">
      <c r="A2258" s="311">
        <v>2255</v>
      </c>
      <c r="B2258" s="311" t="s">
        <v>141</v>
      </c>
      <c r="C2258" s="311" t="s">
        <v>141</v>
      </c>
      <c r="D2258" s="311" t="s">
        <v>141</v>
      </c>
      <c r="E2258" s="337" t="s">
        <v>141</v>
      </c>
      <c r="F2258" s="311" t="s">
        <v>284</v>
      </c>
      <c r="G2258" s="311" t="s">
        <v>237</v>
      </c>
      <c r="H2258" s="311" t="s">
        <v>420</v>
      </c>
      <c r="I2258" s="311" t="s">
        <v>66</v>
      </c>
      <c r="J2258" s="50" t="s">
        <v>1892</v>
      </c>
      <c r="K2258" s="50" t="s">
        <v>1892</v>
      </c>
      <c r="L2258" s="50" t="s">
        <v>1893</v>
      </c>
      <c r="M2258" s="50" t="s">
        <v>4756</v>
      </c>
      <c r="N2258" s="50" t="s">
        <v>4756</v>
      </c>
      <c r="O2258" s="50" t="s">
        <v>4756</v>
      </c>
      <c r="P2258" s="50" t="s">
        <v>4756</v>
      </c>
    </row>
    <row r="2259" spans="1:16" ht="12.75" customHeight="1" x14ac:dyDescent="0.25">
      <c r="A2259" s="311">
        <v>2256</v>
      </c>
      <c r="B2259" s="311" t="s">
        <v>69</v>
      </c>
      <c r="C2259" s="311" t="s">
        <v>69</v>
      </c>
      <c r="D2259" s="311" t="s">
        <v>69</v>
      </c>
      <c r="E2259" s="337" t="s">
        <v>69</v>
      </c>
      <c r="F2259" s="311" t="s">
        <v>284</v>
      </c>
      <c r="G2259" s="311" t="s">
        <v>237</v>
      </c>
      <c r="H2259" s="311" t="s">
        <v>420</v>
      </c>
      <c r="I2259" s="311" t="s">
        <v>66</v>
      </c>
      <c r="J2259" s="50" t="s">
        <v>1892</v>
      </c>
      <c r="K2259" s="50" t="s">
        <v>1892</v>
      </c>
      <c r="L2259" s="50" t="s">
        <v>1893</v>
      </c>
      <c r="M2259" s="50" t="s">
        <v>4757</v>
      </c>
      <c r="N2259" s="50" t="s">
        <v>4757</v>
      </c>
      <c r="O2259" s="50" t="s">
        <v>4757</v>
      </c>
      <c r="P2259" s="50" t="s">
        <v>4757</v>
      </c>
    </row>
    <row r="2260" spans="1:16" ht="12.75" customHeight="1" x14ac:dyDescent="0.25">
      <c r="A2260" s="311">
        <v>2257</v>
      </c>
      <c r="B2260" s="311" t="s">
        <v>84</v>
      </c>
      <c r="C2260" s="311" t="s">
        <v>462</v>
      </c>
      <c r="D2260" s="311" t="s">
        <v>462</v>
      </c>
      <c r="E2260" s="337" t="s">
        <v>462</v>
      </c>
      <c r="F2260" s="311" t="s">
        <v>144</v>
      </c>
      <c r="G2260" s="311" t="s">
        <v>236</v>
      </c>
      <c r="H2260" s="311" t="s">
        <v>420</v>
      </c>
      <c r="I2260" s="311" t="s">
        <v>66</v>
      </c>
      <c r="J2260" s="50" t="s">
        <v>1892</v>
      </c>
      <c r="K2260" s="50" t="s">
        <v>1892</v>
      </c>
      <c r="L2260" s="50" t="s">
        <v>1893</v>
      </c>
      <c r="M2260" s="50" t="s">
        <v>4758</v>
      </c>
      <c r="N2260" s="50" t="s">
        <v>4759</v>
      </c>
      <c r="O2260" s="50" t="s">
        <v>4759</v>
      </c>
      <c r="P2260" s="50" t="s">
        <v>4759</v>
      </c>
    </row>
    <row r="2261" spans="1:16" ht="12.75" customHeight="1" x14ac:dyDescent="0.25">
      <c r="A2261" s="311">
        <v>2258</v>
      </c>
      <c r="B2261" s="311" t="s">
        <v>123</v>
      </c>
      <c r="C2261" s="311" t="s">
        <v>462</v>
      </c>
      <c r="D2261" s="311" t="s">
        <v>462</v>
      </c>
      <c r="E2261" s="337" t="s">
        <v>462</v>
      </c>
      <c r="F2261" s="311" t="s">
        <v>144</v>
      </c>
      <c r="G2261" s="311" t="s">
        <v>236</v>
      </c>
      <c r="H2261" s="311" t="s">
        <v>420</v>
      </c>
      <c r="I2261" s="311" t="s">
        <v>66</v>
      </c>
      <c r="J2261" s="50" t="s">
        <v>1892</v>
      </c>
      <c r="K2261" s="50" t="s">
        <v>1892</v>
      </c>
      <c r="L2261" s="50" t="s">
        <v>1893</v>
      </c>
      <c r="M2261" s="50" t="s">
        <v>4760</v>
      </c>
      <c r="N2261" s="50" t="s">
        <v>4759</v>
      </c>
      <c r="O2261" s="50" t="s">
        <v>4759</v>
      </c>
      <c r="P2261" s="50" t="s">
        <v>4759</v>
      </c>
    </row>
    <row r="2262" spans="1:16" ht="12.75" customHeight="1" x14ac:dyDescent="0.25">
      <c r="A2262" s="311">
        <v>2259</v>
      </c>
      <c r="B2262" s="311" t="s">
        <v>75</v>
      </c>
      <c r="C2262" s="311" t="s">
        <v>462</v>
      </c>
      <c r="D2262" s="311" t="s">
        <v>462</v>
      </c>
      <c r="E2262" s="337" t="s">
        <v>462</v>
      </c>
      <c r="F2262" s="311" t="s">
        <v>144</v>
      </c>
      <c r="G2262" s="311" t="s">
        <v>236</v>
      </c>
      <c r="H2262" s="311" t="s">
        <v>420</v>
      </c>
      <c r="I2262" s="311" t="s">
        <v>66</v>
      </c>
      <c r="J2262" s="50" t="s">
        <v>1892</v>
      </c>
      <c r="K2262" s="50" t="s">
        <v>1892</v>
      </c>
      <c r="L2262" s="50" t="s">
        <v>1893</v>
      </c>
      <c r="M2262" s="50" t="s">
        <v>4761</v>
      </c>
      <c r="N2262" s="50" t="s">
        <v>4759</v>
      </c>
      <c r="O2262" s="50" t="s">
        <v>4759</v>
      </c>
      <c r="P2262" s="50" t="s">
        <v>4759</v>
      </c>
    </row>
    <row r="2263" spans="1:16" ht="12.75" customHeight="1" x14ac:dyDescent="0.25">
      <c r="A2263" s="311">
        <v>2260</v>
      </c>
      <c r="B2263" s="311" t="s">
        <v>63</v>
      </c>
      <c r="C2263" s="311" t="s">
        <v>63</v>
      </c>
      <c r="D2263" s="311" t="s">
        <v>462</v>
      </c>
      <c r="E2263" s="337" t="s">
        <v>63</v>
      </c>
      <c r="F2263" s="311" t="s">
        <v>144</v>
      </c>
      <c r="G2263" s="311" t="s">
        <v>236</v>
      </c>
      <c r="H2263" s="311" t="s">
        <v>420</v>
      </c>
      <c r="I2263" s="311" t="s">
        <v>66</v>
      </c>
      <c r="J2263" s="50" t="s">
        <v>1892</v>
      </c>
      <c r="K2263" s="50" t="s">
        <v>1892</v>
      </c>
      <c r="L2263" s="50" t="s">
        <v>1893</v>
      </c>
      <c r="M2263" s="50" t="s">
        <v>4762</v>
      </c>
      <c r="N2263" s="50" t="s">
        <v>4762</v>
      </c>
      <c r="O2263" s="50" t="s">
        <v>4759</v>
      </c>
      <c r="P2263" s="50" t="s">
        <v>4762</v>
      </c>
    </row>
    <row r="2264" spans="1:16" ht="12.75" customHeight="1" x14ac:dyDescent="0.25">
      <c r="A2264" s="311">
        <v>2261</v>
      </c>
      <c r="B2264" s="311" t="s">
        <v>140</v>
      </c>
      <c r="C2264" s="311" t="s">
        <v>140</v>
      </c>
      <c r="D2264" s="311" t="s">
        <v>462</v>
      </c>
      <c r="E2264" s="337" t="s">
        <v>140</v>
      </c>
      <c r="F2264" s="311" t="s">
        <v>144</v>
      </c>
      <c r="G2264" s="311" t="s">
        <v>236</v>
      </c>
      <c r="H2264" s="311" t="s">
        <v>420</v>
      </c>
      <c r="I2264" s="311" t="s">
        <v>66</v>
      </c>
      <c r="J2264" s="50" t="s">
        <v>1892</v>
      </c>
      <c r="K2264" s="50" t="s">
        <v>1892</v>
      </c>
      <c r="L2264" s="50" t="s">
        <v>1893</v>
      </c>
      <c r="M2264" s="50" t="s">
        <v>4763</v>
      </c>
      <c r="N2264" s="50" t="s">
        <v>4763</v>
      </c>
      <c r="O2264" s="50" t="s">
        <v>4759</v>
      </c>
      <c r="P2264" s="50" t="s">
        <v>4763</v>
      </c>
    </row>
    <row r="2265" spans="1:16" ht="12.75" customHeight="1" x14ac:dyDescent="0.25">
      <c r="A2265" s="311">
        <v>2262</v>
      </c>
      <c r="B2265" s="311" t="s">
        <v>121</v>
      </c>
      <c r="C2265" s="311" t="s">
        <v>121</v>
      </c>
      <c r="D2265" s="311" t="s">
        <v>462</v>
      </c>
      <c r="E2265" s="337" t="s">
        <v>121</v>
      </c>
      <c r="F2265" s="311" t="s">
        <v>144</v>
      </c>
      <c r="G2265" s="311" t="s">
        <v>236</v>
      </c>
      <c r="H2265" s="311" t="s">
        <v>420</v>
      </c>
      <c r="I2265" s="311" t="s">
        <v>66</v>
      </c>
      <c r="J2265" s="50" t="s">
        <v>1892</v>
      </c>
      <c r="K2265" s="50" t="s">
        <v>1892</v>
      </c>
      <c r="L2265" s="50" t="s">
        <v>1893</v>
      </c>
      <c r="M2265" s="50" t="s">
        <v>4764</v>
      </c>
      <c r="N2265" s="50" t="s">
        <v>4764</v>
      </c>
      <c r="O2265" s="50" t="s">
        <v>4759</v>
      </c>
      <c r="P2265" s="50" t="s">
        <v>4764</v>
      </c>
    </row>
    <row r="2266" spans="1:16" ht="12.75" customHeight="1" x14ac:dyDescent="0.25">
      <c r="A2266" s="311">
        <v>2263</v>
      </c>
      <c r="B2266" s="311" t="s">
        <v>87</v>
      </c>
      <c r="C2266" s="311" t="s">
        <v>87</v>
      </c>
      <c r="D2266" s="311" t="s">
        <v>462</v>
      </c>
      <c r="E2266" s="337" t="s">
        <v>87</v>
      </c>
      <c r="F2266" s="311" t="s">
        <v>144</v>
      </c>
      <c r="G2266" s="311" t="s">
        <v>236</v>
      </c>
      <c r="H2266" s="311" t="s">
        <v>420</v>
      </c>
      <c r="I2266" s="311" t="s">
        <v>66</v>
      </c>
      <c r="J2266" s="50" t="s">
        <v>1892</v>
      </c>
      <c r="K2266" s="50" t="s">
        <v>1892</v>
      </c>
      <c r="L2266" s="50" t="s">
        <v>1893</v>
      </c>
      <c r="M2266" s="50" t="s">
        <v>4765</v>
      </c>
      <c r="N2266" s="50" t="s">
        <v>4765</v>
      </c>
      <c r="O2266" s="50" t="s">
        <v>4759</v>
      </c>
      <c r="P2266" s="50" t="s">
        <v>4765</v>
      </c>
    </row>
    <row r="2267" spans="1:16" ht="12.75" customHeight="1" x14ac:dyDescent="0.25">
      <c r="A2267" s="311">
        <v>2264</v>
      </c>
      <c r="B2267" s="311" t="s">
        <v>125</v>
      </c>
      <c r="C2267" s="311" t="s">
        <v>125</v>
      </c>
      <c r="D2267" s="311" t="s">
        <v>125</v>
      </c>
      <c r="E2267" s="337" t="s">
        <v>125</v>
      </c>
      <c r="F2267" s="311" t="s">
        <v>144</v>
      </c>
      <c r="G2267" s="311" t="s">
        <v>236</v>
      </c>
      <c r="H2267" s="311" t="s">
        <v>420</v>
      </c>
      <c r="I2267" s="311" t="s">
        <v>66</v>
      </c>
      <c r="J2267" s="50" t="s">
        <v>1892</v>
      </c>
      <c r="K2267" s="50" t="s">
        <v>1892</v>
      </c>
      <c r="L2267" s="50" t="s">
        <v>1893</v>
      </c>
      <c r="M2267" s="50" t="s">
        <v>4766</v>
      </c>
      <c r="N2267" s="50" t="s">
        <v>4766</v>
      </c>
      <c r="O2267" s="50" t="s">
        <v>4766</v>
      </c>
      <c r="P2267" s="50" t="s">
        <v>4766</v>
      </c>
    </row>
    <row r="2268" spans="1:16" ht="12.75" customHeight="1" x14ac:dyDescent="0.25">
      <c r="A2268" s="311">
        <v>2265</v>
      </c>
      <c r="B2268" s="311" t="s">
        <v>134</v>
      </c>
      <c r="C2268" s="311" t="s">
        <v>134</v>
      </c>
      <c r="D2268" s="311" t="s">
        <v>134</v>
      </c>
      <c r="E2268" s="337" t="s">
        <v>134</v>
      </c>
      <c r="F2268" s="311" t="s">
        <v>144</v>
      </c>
      <c r="G2268" s="311" t="s">
        <v>236</v>
      </c>
      <c r="H2268" s="311" t="s">
        <v>420</v>
      </c>
      <c r="I2268" s="311" t="s">
        <v>66</v>
      </c>
      <c r="J2268" s="50" t="s">
        <v>1892</v>
      </c>
      <c r="K2268" s="50" t="s">
        <v>1892</v>
      </c>
      <c r="L2268" s="50" t="s">
        <v>1893</v>
      </c>
      <c r="M2268" s="50" t="s">
        <v>4767</v>
      </c>
      <c r="N2268" s="50" t="s">
        <v>4767</v>
      </c>
      <c r="O2268" s="50" t="s">
        <v>4767</v>
      </c>
      <c r="P2268" s="50" t="s">
        <v>4767</v>
      </c>
    </row>
    <row r="2269" spans="1:16" ht="12.75" customHeight="1" x14ac:dyDescent="0.25">
      <c r="A2269" s="311">
        <v>2266</v>
      </c>
      <c r="B2269" s="311" t="s">
        <v>141</v>
      </c>
      <c r="C2269" s="311" t="s">
        <v>141</v>
      </c>
      <c r="D2269" s="311" t="s">
        <v>141</v>
      </c>
      <c r="E2269" s="337" t="s">
        <v>141</v>
      </c>
      <c r="F2269" s="311" t="s">
        <v>144</v>
      </c>
      <c r="G2269" s="311" t="s">
        <v>236</v>
      </c>
      <c r="H2269" s="311" t="s">
        <v>420</v>
      </c>
      <c r="I2269" s="311" t="s">
        <v>66</v>
      </c>
      <c r="J2269" s="50" t="s">
        <v>1892</v>
      </c>
      <c r="K2269" s="50" t="s">
        <v>1892</v>
      </c>
      <c r="L2269" s="50" t="s">
        <v>1893</v>
      </c>
      <c r="M2269" s="50" t="s">
        <v>4768</v>
      </c>
      <c r="N2269" s="50" t="s">
        <v>4768</v>
      </c>
      <c r="O2269" s="50" t="s">
        <v>4768</v>
      </c>
      <c r="P2269" s="50" t="s">
        <v>4768</v>
      </c>
    </row>
    <row r="2270" spans="1:16" ht="12.75" customHeight="1" x14ac:dyDescent="0.25">
      <c r="A2270" s="311">
        <v>2267</v>
      </c>
      <c r="B2270" s="311" t="s">
        <v>69</v>
      </c>
      <c r="C2270" s="311" t="s">
        <v>69</v>
      </c>
      <c r="D2270" s="311" t="s">
        <v>69</v>
      </c>
      <c r="E2270" s="337" t="s">
        <v>69</v>
      </c>
      <c r="F2270" s="311" t="s">
        <v>144</v>
      </c>
      <c r="G2270" s="311" t="s">
        <v>236</v>
      </c>
      <c r="H2270" s="311" t="s">
        <v>420</v>
      </c>
      <c r="I2270" s="311" t="s">
        <v>66</v>
      </c>
      <c r="J2270" s="50" t="s">
        <v>1892</v>
      </c>
      <c r="K2270" s="50" t="s">
        <v>1892</v>
      </c>
      <c r="L2270" s="50" t="s">
        <v>1893</v>
      </c>
      <c r="M2270" s="50" t="s">
        <v>4769</v>
      </c>
      <c r="N2270" s="50" t="s">
        <v>4769</v>
      </c>
      <c r="O2270" s="50" t="s">
        <v>4769</v>
      </c>
      <c r="P2270" s="50" t="s">
        <v>4769</v>
      </c>
    </row>
    <row r="2271" spans="1:16" ht="12.75" customHeight="1" x14ac:dyDescent="0.25">
      <c r="A2271" s="311">
        <v>2268</v>
      </c>
      <c r="B2271" s="311" t="s">
        <v>84</v>
      </c>
      <c r="C2271" s="311" t="s">
        <v>462</v>
      </c>
      <c r="D2271" s="311" t="s">
        <v>462</v>
      </c>
      <c r="E2271" s="337" t="s">
        <v>462</v>
      </c>
      <c r="F2271" s="311" t="s">
        <v>144</v>
      </c>
      <c r="G2271" s="311" t="s">
        <v>23</v>
      </c>
      <c r="H2271" s="311" t="s">
        <v>420</v>
      </c>
      <c r="I2271" s="311" t="s">
        <v>66</v>
      </c>
      <c r="J2271" s="50" t="s">
        <v>1892</v>
      </c>
      <c r="K2271" s="50" t="s">
        <v>1892</v>
      </c>
      <c r="L2271" s="50" t="s">
        <v>1893</v>
      </c>
      <c r="M2271" s="50" t="s">
        <v>4770</v>
      </c>
      <c r="N2271" s="50" t="s">
        <v>4771</v>
      </c>
      <c r="O2271" s="50" t="s">
        <v>4771</v>
      </c>
      <c r="P2271" s="50" t="s">
        <v>4771</v>
      </c>
    </row>
    <row r="2272" spans="1:16" ht="12.75" customHeight="1" x14ac:dyDescent="0.25">
      <c r="A2272" s="311">
        <v>2269</v>
      </c>
      <c r="B2272" s="311" t="s">
        <v>123</v>
      </c>
      <c r="C2272" s="311" t="s">
        <v>462</v>
      </c>
      <c r="D2272" s="311" t="s">
        <v>462</v>
      </c>
      <c r="E2272" s="337" t="s">
        <v>462</v>
      </c>
      <c r="F2272" s="311" t="s">
        <v>144</v>
      </c>
      <c r="G2272" s="311" t="s">
        <v>23</v>
      </c>
      <c r="H2272" s="311" t="s">
        <v>420</v>
      </c>
      <c r="I2272" s="311" t="s">
        <v>66</v>
      </c>
      <c r="J2272" s="50" t="s">
        <v>1892</v>
      </c>
      <c r="K2272" s="50" t="s">
        <v>1892</v>
      </c>
      <c r="L2272" s="50" t="s">
        <v>1893</v>
      </c>
      <c r="M2272" s="50" t="s">
        <v>4772</v>
      </c>
      <c r="N2272" s="50" t="s">
        <v>4771</v>
      </c>
      <c r="O2272" s="50" t="s">
        <v>4771</v>
      </c>
      <c r="P2272" s="50" t="s">
        <v>4771</v>
      </c>
    </row>
    <row r="2273" spans="1:16" ht="12.75" customHeight="1" x14ac:dyDescent="0.25">
      <c r="A2273" s="311">
        <v>2270</v>
      </c>
      <c r="B2273" s="311" t="s">
        <v>75</v>
      </c>
      <c r="C2273" s="311" t="s">
        <v>462</v>
      </c>
      <c r="D2273" s="311" t="s">
        <v>462</v>
      </c>
      <c r="E2273" s="337" t="s">
        <v>462</v>
      </c>
      <c r="F2273" s="311" t="s">
        <v>144</v>
      </c>
      <c r="G2273" s="311" t="s">
        <v>23</v>
      </c>
      <c r="H2273" s="311" t="s">
        <v>420</v>
      </c>
      <c r="I2273" s="311" t="s">
        <v>66</v>
      </c>
      <c r="J2273" s="50" t="s">
        <v>1892</v>
      </c>
      <c r="K2273" s="50" t="s">
        <v>1892</v>
      </c>
      <c r="L2273" s="50" t="s">
        <v>1893</v>
      </c>
      <c r="M2273" s="50" t="s">
        <v>4773</v>
      </c>
      <c r="N2273" s="50" t="s">
        <v>4771</v>
      </c>
      <c r="O2273" s="50" t="s">
        <v>4771</v>
      </c>
      <c r="P2273" s="50" t="s">
        <v>4771</v>
      </c>
    </row>
    <row r="2274" spans="1:16" ht="12.75" customHeight="1" x14ac:dyDescent="0.25">
      <c r="A2274" s="311">
        <v>2271</v>
      </c>
      <c r="B2274" s="311" t="s">
        <v>63</v>
      </c>
      <c r="C2274" s="311" t="s">
        <v>63</v>
      </c>
      <c r="D2274" s="311" t="s">
        <v>462</v>
      </c>
      <c r="E2274" s="337" t="s">
        <v>63</v>
      </c>
      <c r="F2274" s="311" t="s">
        <v>144</v>
      </c>
      <c r="G2274" s="311" t="s">
        <v>23</v>
      </c>
      <c r="H2274" s="311" t="s">
        <v>420</v>
      </c>
      <c r="I2274" s="311" t="s">
        <v>66</v>
      </c>
      <c r="J2274" s="50" t="s">
        <v>1892</v>
      </c>
      <c r="K2274" s="50" t="s">
        <v>1892</v>
      </c>
      <c r="L2274" s="50" t="s">
        <v>1893</v>
      </c>
      <c r="M2274" s="50" t="s">
        <v>4774</v>
      </c>
      <c r="N2274" s="50" t="s">
        <v>4774</v>
      </c>
      <c r="O2274" s="50" t="s">
        <v>4771</v>
      </c>
      <c r="P2274" s="50" t="s">
        <v>4774</v>
      </c>
    </row>
    <row r="2275" spans="1:16" ht="12.75" customHeight="1" x14ac:dyDescent="0.25">
      <c r="A2275" s="311">
        <v>2272</v>
      </c>
      <c r="B2275" s="311" t="s">
        <v>140</v>
      </c>
      <c r="C2275" s="311" t="s">
        <v>140</v>
      </c>
      <c r="D2275" s="311" t="s">
        <v>462</v>
      </c>
      <c r="E2275" s="337" t="s">
        <v>140</v>
      </c>
      <c r="F2275" s="311" t="s">
        <v>144</v>
      </c>
      <c r="G2275" s="311" t="s">
        <v>23</v>
      </c>
      <c r="H2275" s="311" t="s">
        <v>420</v>
      </c>
      <c r="I2275" s="311" t="s">
        <v>66</v>
      </c>
      <c r="J2275" s="50" t="s">
        <v>1892</v>
      </c>
      <c r="K2275" s="50" t="s">
        <v>1892</v>
      </c>
      <c r="L2275" s="50" t="s">
        <v>1893</v>
      </c>
      <c r="M2275" s="50" t="s">
        <v>4775</v>
      </c>
      <c r="N2275" s="50" t="s">
        <v>4775</v>
      </c>
      <c r="O2275" s="50" t="s">
        <v>4771</v>
      </c>
      <c r="P2275" s="50" t="s">
        <v>4775</v>
      </c>
    </row>
    <row r="2276" spans="1:16" ht="12.75" customHeight="1" x14ac:dyDescent="0.25">
      <c r="A2276" s="311">
        <v>2273</v>
      </c>
      <c r="B2276" s="311" t="s">
        <v>121</v>
      </c>
      <c r="C2276" s="311" t="s">
        <v>121</v>
      </c>
      <c r="D2276" s="311" t="s">
        <v>462</v>
      </c>
      <c r="E2276" s="337" t="s">
        <v>121</v>
      </c>
      <c r="F2276" s="311" t="s">
        <v>144</v>
      </c>
      <c r="G2276" s="311" t="s">
        <v>23</v>
      </c>
      <c r="H2276" s="311" t="s">
        <v>420</v>
      </c>
      <c r="I2276" s="311" t="s">
        <v>66</v>
      </c>
      <c r="J2276" s="50" t="s">
        <v>1892</v>
      </c>
      <c r="K2276" s="50" t="s">
        <v>1892</v>
      </c>
      <c r="L2276" s="50" t="s">
        <v>1893</v>
      </c>
      <c r="M2276" s="50" t="s">
        <v>4776</v>
      </c>
      <c r="N2276" s="50" t="s">
        <v>4776</v>
      </c>
      <c r="O2276" s="50" t="s">
        <v>4771</v>
      </c>
      <c r="P2276" s="50" t="s">
        <v>4776</v>
      </c>
    </row>
    <row r="2277" spans="1:16" ht="12.75" customHeight="1" x14ac:dyDescent="0.25">
      <c r="A2277" s="311">
        <v>2274</v>
      </c>
      <c r="B2277" s="311" t="s">
        <v>87</v>
      </c>
      <c r="C2277" s="311" t="s">
        <v>87</v>
      </c>
      <c r="D2277" s="311" t="s">
        <v>462</v>
      </c>
      <c r="E2277" s="337" t="s">
        <v>87</v>
      </c>
      <c r="F2277" s="311" t="s">
        <v>144</v>
      </c>
      <c r="G2277" s="311" t="s">
        <v>23</v>
      </c>
      <c r="H2277" s="311" t="s">
        <v>420</v>
      </c>
      <c r="I2277" s="311" t="s">
        <v>66</v>
      </c>
      <c r="J2277" s="50" t="s">
        <v>1892</v>
      </c>
      <c r="K2277" s="50" t="s">
        <v>1892</v>
      </c>
      <c r="L2277" s="50" t="s">
        <v>1893</v>
      </c>
      <c r="M2277" s="50" t="s">
        <v>4777</v>
      </c>
      <c r="N2277" s="50" t="s">
        <v>4777</v>
      </c>
      <c r="O2277" s="50" t="s">
        <v>4771</v>
      </c>
      <c r="P2277" s="50" t="s">
        <v>4777</v>
      </c>
    </row>
    <row r="2278" spans="1:16" ht="12.75" customHeight="1" x14ac:dyDescent="0.25">
      <c r="A2278" s="311">
        <v>2275</v>
      </c>
      <c r="B2278" s="311" t="s">
        <v>125</v>
      </c>
      <c r="C2278" s="311" t="s">
        <v>125</v>
      </c>
      <c r="D2278" s="311" t="s">
        <v>125</v>
      </c>
      <c r="E2278" s="337" t="s">
        <v>125</v>
      </c>
      <c r="F2278" s="311" t="s">
        <v>144</v>
      </c>
      <c r="G2278" s="311" t="s">
        <v>23</v>
      </c>
      <c r="H2278" s="311" t="s">
        <v>420</v>
      </c>
      <c r="I2278" s="311" t="s">
        <v>66</v>
      </c>
      <c r="J2278" s="50" t="s">
        <v>1892</v>
      </c>
      <c r="K2278" s="50" t="s">
        <v>1892</v>
      </c>
      <c r="L2278" s="50" t="s">
        <v>1893</v>
      </c>
      <c r="M2278" s="50" t="s">
        <v>4778</v>
      </c>
      <c r="N2278" s="50" t="s">
        <v>4778</v>
      </c>
      <c r="O2278" s="50" t="s">
        <v>4778</v>
      </c>
      <c r="P2278" s="50" t="s">
        <v>4778</v>
      </c>
    </row>
    <row r="2279" spans="1:16" ht="12.75" customHeight="1" x14ac:dyDescent="0.25">
      <c r="A2279" s="311">
        <v>2276</v>
      </c>
      <c r="B2279" s="311" t="s">
        <v>134</v>
      </c>
      <c r="C2279" s="311" t="s">
        <v>134</v>
      </c>
      <c r="D2279" s="311" t="s">
        <v>134</v>
      </c>
      <c r="E2279" s="337" t="s">
        <v>134</v>
      </c>
      <c r="F2279" s="311" t="s">
        <v>144</v>
      </c>
      <c r="G2279" s="311" t="s">
        <v>23</v>
      </c>
      <c r="H2279" s="311" t="s">
        <v>420</v>
      </c>
      <c r="I2279" s="311" t="s">
        <v>66</v>
      </c>
      <c r="J2279" s="50" t="s">
        <v>1892</v>
      </c>
      <c r="K2279" s="50" t="s">
        <v>1892</v>
      </c>
      <c r="L2279" s="50" t="s">
        <v>1893</v>
      </c>
      <c r="M2279" s="50" t="s">
        <v>4779</v>
      </c>
      <c r="N2279" s="50" t="s">
        <v>4779</v>
      </c>
      <c r="O2279" s="50" t="s">
        <v>4779</v>
      </c>
      <c r="P2279" s="50" t="s">
        <v>4779</v>
      </c>
    </row>
    <row r="2280" spans="1:16" ht="12.75" customHeight="1" x14ac:dyDescent="0.25">
      <c r="A2280" s="311">
        <v>2277</v>
      </c>
      <c r="B2280" s="311" t="s">
        <v>141</v>
      </c>
      <c r="C2280" s="311" t="s">
        <v>141</v>
      </c>
      <c r="D2280" s="311" t="s">
        <v>141</v>
      </c>
      <c r="E2280" s="337" t="s">
        <v>141</v>
      </c>
      <c r="F2280" s="311" t="s">
        <v>144</v>
      </c>
      <c r="G2280" s="311" t="s">
        <v>23</v>
      </c>
      <c r="H2280" s="311" t="s">
        <v>420</v>
      </c>
      <c r="I2280" s="311" t="s">
        <v>66</v>
      </c>
      <c r="J2280" s="50" t="s">
        <v>1892</v>
      </c>
      <c r="K2280" s="50" t="s">
        <v>1892</v>
      </c>
      <c r="L2280" s="50" t="s">
        <v>1893</v>
      </c>
      <c r="M2280" s="50" t="s">
        <v>4780</v>
      </c>
      <c r="N2280" s="50" t="s">
        <v>4780</v>
      </c>
      <c r="O2280" s="50" t="s">
        <v>4780</v>
      </c>
      <c r="P2280" s="50" t="s">
        <v>4780</v>
      </c>
    </row>
    <row r="2281" spans="1:16" ht="12.75" customHeight="1" x14ac:dyDescent="0.25">
      <c r="A2281" s="311">
        <v>2278</v>
      </c>
      <c r="B2281" s="311" t="s">
        <v>69</v>
      </c>
      <c r="C2281" s="311" t="s">
        <v>69</v>
      </c>
      <c r="D2281" s="311" t="s">
        <v>69</v>
      </c>
      <c r="E2281" s="337" t="s">
        <v>69</v>
      </c>
      <c r="F2281" s="311" t="s">
        <v>144</v>
      </c>
      <c r="G2281" s="311" t="s">
        <v>23</v>
      </c>
      <c r="H2281" s="311" t="s">
        <v>420</v>
      </c>
      <c r="I2281" s="311" t="s">
        <v>66</v>
      </c>
      <c r="J2281" s="50" t="s">
        <v>1892</v>
      </c>
      <c r="K2281" s="50" t="s">
        <v>1892</v>
      </c>
      <c r="L2281" s="50" t="s">
        <v>1893</v>
      </c>
      <c r="M2281" s="50" t="s">
        <v>4781</v>
      </c>
      <c r="N2281" s="50" t="s">
        <v>4781</v>
      </c>
      <c r="O2281" s="50" t="s">
        <v>4781</v>
      </c>
      <c r="P2281" s="50" t="s">
        <v>4781</v>
      </c>
    </row>
    <row r="2282" spans="1:16" ht="12.75" customHeight="1" x14ac:dyDescent="0.25">
      <c r="A2282" s="311">
        <v>2279</v>
      </c>
      <c r="B2282" s="311" t="s">
        <v>84</v>
      </c>
      <c r="C2282" s="311" t="s">
        <v>462</v>
      </c>
      <c r="D2282" s="311" t="s">
        <v>462</v>
      </c>
      <c r="E2282" s="337" t="s">
        <v>462</v>
      </c>
      <c r="F2282" s="311" t="s">
        <v>144</v>
      </c>
      <c r="G2282" s="311" t="s">
        <v>237</v>
      </c>
      <c r="H2282" s="311" t="s">
        <v>420</v>
      </c>
      <c r="I2282" s="311" t="s">
        <v>66</v>
      </c>
      <c r="J2282" s="50" t="s">
        <v>1892</v>
      </c>
      <c r="K2282" s="50" t="s">
        <v>1892</v>
      </c>
      <c r="L2282" s="50" t="s">
        <v>1893</v>
      </c>
      <c r="M2282" s="50" t="s">
        <v>4782</v>
      </c>
      <c r="N2282" s="50" t="s">
        <v>4783</v>
      </c>
      <c r="O2282" s="50" t="s">
        <v>4783</v>
      </c>
      <c r="P2282" s="50" t="s">
        <v>4783</v>
      </c>
    </row>
    <row r="2283" spans="1:16" ht="12.75" customHeight="1" x14ac:dyDescent="0.25">
      <c r="A2283" s="311">
        <v>2280</v>
      </c>
      <c r="B2283" s="311" t="s">
        <v>123</v>
      </c>
      <c r="C2283" s="311" t="s">
        <v>462</v>
      </c>
      <c r="D2283" s="311" t="s">
        <v>462</v>
      </c>
      <c r="E2283" s="337" t="s">
        <v>462</v>
      </c>
      <c r="F2283" s="311" t="s">
        <v>144</v>
      </c>
      <c r="G2283" s="311" t="s">
        <v>237</v>
      </c>
      <c r="H2283" s="311" t="s">
        <v>420</v>
      </c>
      <c r="I2283" s="311" t="s">
        <v>66</v>
      </c>
      <c r="J2283" s="50" t="s">
        <v>1892</v>
      </c>
      <c r="K2283" s="50" t="s">
        <v>1892</v>
      </c>
      <c r="L2283" s="50" t="s">
        <v>1893</v>
      </c>
      <c r="M2283" s="50" t="s">
        <v>4784</v>
      </c>
      <c r="N2283" s="50" t="s">
        <v>4783</v>
      </c>
      <c r="O2283" s="50" t="s">
        <v>4783</v>
      </c>
      <c r="P2283" s="50" t="s">
        <v>4783</v>
      </c>
    </row>
    <row r="2284" spans="1:16" ht="12.75" customHeight="1" x14ac:dyDescent="0.25">
      <c r="A2284" s="311">
        <v>2281</v>
      </c>
      <c r="B2284" s="311" t="s">
        <v>75</v>
      </c>
      <c r="C2284" s="311" t="s">
        <v>462</v>
      </c>
      <c r="D2284" s="311" t="s">
        <v>462</v>
      </c>
      <c r="E2284" s="337" t="s">
        <v>462</v>
      </c>
      <c r="F2284" s="311" t="s">
        <v>144</v>
      </c>
      <c r="G2284" s="311" t="s">
        <v>237</v>
      </c>
      <c r="H2284" s="311" t="s">
        <v>420</v>
      </c>
      <c r="I2284" s="311" t="s">
        <v>66</v>
      </c>
      <c r="J2284" s="50" t="s">
        <v>1892</v>
      </c>
      <c r="K2284" s="50" t="s">
        <v>1892</v>
      </c>
      <c r="L2284" s="50" t="s">
        <v>1893</v>
      </c>
      <c r="M2284" s="50" t="s">
        <v>4785</v>
      </c>
      <c r="N2284" s="50" t="s">
        <v>4783</v>
      </c>
      <c r="O2284" s="50" t="s">
        <v>4783</v>
      </c>
      <c r="P2284" s="50" t="s">
        <v>4783</v>
      </c>
    </row>
    <row r="2285" spans="1:16" ht="12.75" customHeight="1" x14ac:dyDescent="0.25">
      <c r="A2285" s="311">
        <v>2282</v>
      </c>
      <c r="B2285" s="311" t="s">
        <v>63</v>
      </c>
      <c r="C2285" s="311" t="s">
        <v>63</v>
      </c>
      <c r="D2285" s="311" t="s">
        <v>462</v>
      </c>
      <c r="E2285" s="337" t="s">
        <v>63</v>
      </c>
      <c r="F2285" s="311" t="s">
        <v>144</v>
      </c>
      <c r="G2285" s="311" t="s">
        <v>237</v>
      </c>
      <c r="H2285" s="311" t="s">
        <v>420</v>
      </c>
      <c r="I2285" s="311" t="s">
        <v>66</v>
      </c>
      <c r="J2285" s="50" t="s">
        <v>1892</v>
      </c>
      <c r="K2285" s="50" t="s">
        <v>1892</v>
      </c>
      <c r="L2285" s="50" t="s">
        <v>1893</v>
      </c>
      <c r="M2285" s="50" t="s">
        <v>4786</v>
      </c>
      <c r="N2285" s="50" t="s">
        <v>4786</v>
      </c>
      <c r="O2285" s="50" t="s">
        <v>4783</v>
      </c>
      <c r="P2285" s="50" t="s">
        <v>4786</v>
      </c>
    </row>
    <row r="2286" spans="1:16" ht="12.75" customHeight="1" x14ac:dyDescent="0.25">
      <c r="A2286" s="311">
        <v>2283</v>
      </c>
      <c r="B2286" s="311" t="s">
        <v>140</v>
      </c>
      <c r="C2286" s="311" t="s">
        <v>140</v>
      </c>
      <c r="D2286" s="311" t="s">
        <v>462</v>
      </c>
      <c r="E2286" s="337" t="s">
        <v>140</v>
      </c>
      <c r="F2286" s="311" t="s">
        <v>144</v>
      </c>
      <c r="G2286" s="311" t="s">
        <v>237</v>
      </c>
      <c r="H2286" s="311" t="s">
        <v>420</v>
      </c>
      <c r="I2286" s="311" t="s">
        <v>66</v>
      </c>
      <c r="J2286" s="50" t="s">
        <v>1892</v>
      </c>
      <c r="K2286" s="50" t="s">
        <v>1892</v>
      </c>
      <c r="L2286" s="50" t="s">
        <v>1893</v>
      </c>
      <c r="M2286" s="50" t="s">
        <v>4787</v>
      </c>
      <c r="N2286" s="50" t="s">
        <v>4787</v>
      </c>
      <c r="O2286" s="50" t="s">
        <v>4783</v>
      </c>
      <c r="P2286" s="50" t="s">
        <v>4787</v>
      </c>
    </row>
    <row r="2287" spans="1:16" ht="12.75" customHeight="1" x14ac:dyDescent="0.25">
      <c r="A2287" s="311">
        <v>2284</v>
      </c>
      <c r="B2287" s="311" t="s">
        <v>121</v>
      </c>
      <c r="C2287" s="311" t="s">
        <v>121</v>
      </c>
      <c r="D2287" s="311" t="s">
        <v>462</v>
      </c>
      <c r="E2287" s="337" t="s">
        <v>121</v>
      </c>
      <c r="F2287" s="311" t="s">
        <v>144</v>
      </c>
      <c r="G2287" s="311" t="s">
        <v>237</v>
      </c>
      <c r="H2287" s="311" t="s">
        <v>420</v>
      </c>
      <c r="I2287" s="311" t="s">
        <v>66</v>
      </c>
      <c r="J2287" s="50" t="s">
        <v>1892</v>
      </c>
      <c r="K2287" s="50" t="s">
        <v>1892</v>
      </c>
      <c r="L2287" s="50" t="s">
        <v>1893</v>
      </c>
      <c r="M2287" s="50" t="s">
        <v>4788</v>
      </c>
      <c r="N2287" s="50" t="s">
        <v>4788</v>
      </c>
      <c r="O2287" s="50" t="s">
        <v>4783</v>
      </c>
      <c r="P2287" s="50" t="s">
        <v>4788</v>
      </c>
    </row>
    <row r="2288" spans="1:16" ht="12.75" customHeight="1" x14ac:dyDescent="0.25">
      <c r="A2288" s="311">
        <v>2285</v>
      </c>
      <c r="B2288" s="311" t="s">
        <v>87</v>
      </c>
      <c r="C2288" s="311" t="s">
        <v>87</v>
      </c>
      <c r="D2288" s="311" t="s">
        <v>462</v>
      </c>
      <c r="E2288" s="337" t="s">
        <v>87</v>
      </c>
      <c r="F2288" s="311" t="s">
        <v>144</v>
      </c>
      <c r="G2288" s="311" t="s">
        <v>237</v>
      </c>
      <c r="H2288" s="311" t="s">
        <v>420</v>
      </c>
      <c r="I2288" s="311" t="s">
        <v>66</v>
      </c>
      <c r="J2288" s="50" t="s">
        <v>1892</v>
      </c>
      <c r="K2288" s="50" t="s">
        <v>1892</v>
      </c>
      <c r="L2288" s="50" t="s">
        <v>1893</v>
      </c>
      <c r="M2288" s="50" t="s">
        <v>4789</v>
      </c>
      <c r="N2288" s="50" t="s">
        <v>4789</v>
      </c>
      <c r="O2288" s="50" t="s">
        <v>4783</v>
      </c>
      <c r="P2288" s="50" t="s">
        <v>4789</v>
      </c>
    </row>
    <row r="2289" spans="1:16" ht="12.75" customHeight="1" x14ac:dyDescent="0.25">
      <c r="A2289" s="311">
        <v>2286</v>
      </c>
      <c r="B2289" s="311" t="s">
        <v>125</v>
      </c>
      <c r="C2289" s="311" t="s">
        <v>125</v>
      </c>
      <c r="D2289" s="311" t="s">
        <v>125</v>
      </c>
      <c r="E2289" s="337" t="s">
        <v>125</v>
      </c>
      <c r="F2289" s="311" t="s">
        <v>144</v>
      </c>
      <c r="G2289" s="311" t="s">
        <v>237</v>
      </c>
      <c r="H2289" s="311" t="s">
        <v>420</v>
      </c>
      <c r="I2289" s="311" t="s">
        <v>66</v>
      </c>
      <c r="J2289" s="50" t="s">
        <v>1892</v>
      </c>
      <c r="K2289" s="50" t="s">
        <v>1892</v>
      </c>
      <c r="L2289" s="50" t="s">
        <v>1893</v>
      </c>
      <c r="M2289" s="50" t="s">
        <v>4790</v>
      </c>
      <c r="N2289" s="50" t="s">
        <v>4790</v>
      </c>
      <c r="O2289" s="50" t="s">
        <v>4790</v>
      </c>
      <c r="P2289" s="50" t="s">
        <v>4790</v>
      </c>
    </row>
    <row r="2290" spans="1:16" ht="12.75" customHeight="1" x14ac:dyDescent="0.25">
      <c r="A2290" s="311">
        <v>2287</v>
      </c>
      <c r="B2290" s="311" t="s">
        <v>134</v>
      </c>
      <c r="C2290" s="311" t="s">
        <v>134</v>
      </c>
      <c r="D2290" s="311" t="s">
        <v>134</v>
      </c>
      <c r="E2290" s="337" t="s">
        <v>134</v>
      </c>
      <c r="F2290" s="311" t="s">
        <v>144</v>
      </c>
      <c r="G2290" s="311" t="s">
        <v>237</v>
      </c>
      <c r="H2290" s="311" t="s">
        <v>420</v>
      </c>
      <c r="I2290" s="311" t="s">
        <v>66</v>
      </c>
      <c r="J2290" s="50" t="s">
        <v>1892</v>
      </c>
      <c r="K2290" s="50" t="s">
        <v>1892</v>
      </c>
      <c r="L2290" s="50" t="s">
        <v>1893</v>
      </c>
      <c r="M2290" s="50" t="s">
        <v>4791</v>
      </c>
      <c r="N2290" s="50" t="s">
        <v>4791</v>
      </c>
      <c r="O2290" s="50" t="s">
        <v>4791</v>
      </c>
      <c r="P2290" s="50" t="s">
        <v>4791</v>
      </c>
    </row>
    <row r="2291" spans="1:16" ht="12.75" customHeight="1" x14ac:dyDescent="0.25">
      <c r="A2291" s="311">
        <v>2288</v>
      </c>
      <c r="B2291" s="311" t="s">
        <v>141</v>
      </c>
      <c r="C2291" s="311" t="s">
        <v>141</v>
      </c>
      <c r="D2291" s="311" t="s">
        <v>141</v>
      </c>
      <c r="E2291" s="337" t="s">
        <v>141</v>
      </c>
      <c r="F2291" s="311" t="s">
        <v>144</v>
      </c>
      <c r="G2291" s="311" t="s">
        <v>237</v>
      </c>
      <c r="H2291" s="311" t="s">
        <v>420</v>
      </c>
      <c r="I2291" s="311" t="s">
        <v>66</v>
      </c>
      <c r="J2291" s="50" t="s">
        <v>1892</v>
      </c>
      <c r="K2291" s="50" t="s">
        <v>1892</v>
      </c>
      <c r="L2291" s="50" t="s">
        <v>1893</v>
      </c>
      <c r="M2291" s="50" t="s">
        <v>4792</v>
      </c>
      <c r="N2291" s="50" t="s">
        <v>4792</v>
      </c>
      <c r="O2291" s="50" t="s">
        <v>4792</v>
      </c>
      <c r="P2291" s="50" t="s">
        <v>4792</v>
      </c>
    </row>
    <row r="2292" spans="1:16" ht="12.75" customHeight="1" x14ac:dyDescent="0.25">
      <c r="A2292" s="311">
        <v>2289</v>
      </c>
      <c r="B2292" s="311" t="s">
        <v>69</v>
      </c>
      <c r="C2292" s="311" t="s">
        <v>69</v>
      </c>
      <c r="D2292" s="311" t="s">
        <v>69</v>
      </c>
      <c r="E2292" s="337" t="s">
        <v>69</v>
      </c>
      <c r="F2292" s="311" t="s">
        <v>144</v>
      </c>
      <c r="G2292" s="311" t="s">
        <v>237</v>
      </c>
      <c r="H2292" s="311" t="s">
        <v>420</v>
      </c>
      <c r="I2292" s="311" t="s">
        <v>66</v>
      </c>
      <c r="J2292" s="50" t="s">
        <v>1892</v>
      </c>
      <c r="K2292" s="50" t="s">
        <v>1892</v>
      </c>
      <c r="L2292" s="50" t="s">
        <v>1893</v>
      </c>
      <c r="M2292" s="50" t="s">
        <v>4793</v>
      </c>
      <c r="N2292" s="50" t="s">
        <v>4793</v>
      </c>
      <c r="O2292" s="50" t="s">
        <v>4793</v>
      </c>
      <c r="P2292" s="50" t="s">
        <v>4793</v>
      </c>
    </row>
    <row r="2293" spans="1:16" ht="12.75" customHeight="1" x14ac:dyDescent="0.25">
      <c r="A2293" s="311">
        <v>2290</v>
      </c>
      <c r="B2293" s="311" t="s">
        <v>84</v>
      </c>
      <c r="C2293" s="311" t="s">
        <v>462</v>
      </c>
      <c r="D2293" s="311" t="s">
        <v>462</v>
      </c>
      <c r="E2293" s="337" t="s">
        <v>462</v>
      </c>
      <c r="F2293" s="311" t="s">
        <v>132</v>
      </c>
      <c r="G2293" s="311" t="s">
        <v>236</v>
      </c>
      <c r="H2293" s="311" t="s">
        <v>380</v>
      </c>
      <c r="I2293" s="311" t="s">
        <v>66</v>
      </c>
      <c r="J2293" s="50" t="s">
        <v>1892</v>
      </c>
      <c r="K2293" s="50" t="s">
        <v>1892</v>
      </c>
      <c r="L2293" s="50" t="s">
        <v>1893</v>
      </c>
      <c r="M2293" s="50" t="s">
        <v>4794</v>
      </c>
      <c r="N2293" s="50" t="s">
        <v>4795</v>
      </c>
      <c r="O2293" s="50" t="s">
        <v>4795</v>
      </c>
      <c r="P2293" s="50" t="s">
        <v>4795</v>
      </c>
    </row>
    <row r="2294" spans="1:16" ht="12.75" customHeight="1" x14ac:dyDescent="0.25">
      <c r="A2294" s="311">
        <v>2291</v>
      </c>
      <c r="B2294" s="311" t="s">
        <v>123</v>
      </c>
      <c r="C2294" s="311" t="s">
        <v>462</v>
      </c>
      <c r="D2294" s="311" t="s">
        <v>462</v>
      </c>
      <c r="E2294" s="337" t="s">
        <v>462</v>
      </c>
      <c r="F2294" s="311" t="s">
        <v>132</v>
      </c>
      <c r="G2294" s="311" t="s">
        <v>236</v>
      </c>
      <c r="H2294" s="311" t="s">
        <v>380</v>
      </c>
      <c r="I2294" s="311" t="s">
        <v>66</v>
      </c>
      <c r="J2294" s="50" t="s">
        <v>1892</v>
      </c>
      <c r="K2294" s="50" t="s">
        <v>1892</v>
      </c>
      <c r="L2294" s="50" t="s">
        <v>1893</v>
      </c>
      <c r="M2294" s="50" t="s">
        <v>4796</v>
      </c>
      <c r="N2294" s="50" t="s">
        <v>4795</v>
      </c>
      <c r="O2294" s="50" t="s">
        <v>4795</v>
      </c>
      <c r="P2294" s="50" t="s">
        <v>4795</v>
      </c>
    </row>
    <row r="2295" spans="1:16" ht="12.75" customHeight="1" x14ac:dyDescent="0.25">
      <c r="A2295" s="311">
        <v>2292</v>
      </c>
      <c r="B2295" s="311" t="s">
        <v>75</v>
      </c>
      <c r="C2295" s="311" t="s">
        <v>462</v>
      </c>
      <c r="D2295" s="311" t="s">
        <v>462</v>
      </c>
      <c r="E2295" s="337" t="s">
        <v>462</v>
      </c>
      <c r="F2295" s="311" t="s">
        <v>132</v>
      </c>
      <c r="G2295" s="311" t="s">
        <v>236</v>
      </c>
      <c r="H2295" s="311" t="s">
        <v>380</v>
      </c>
      <c r="I2295" s="311" t="s">
        <v>66</v>
      </c>
      <c r="J2295" s="50" t="s">
        <v>1892</v>
      </c>
      <c r="K2295" s="50" t="s">
        <v>1892</v>
      </c>
      <c r="L2295" s="50" t="s">
        <v>1893</v>
      </c>
      <c r="M2295" s="50" t="s">
        <v>4797</v>
      </c>
      <c r="N2295" s="50" t="s">
        <v>4795</v>
      </c>
      <c r="O2295" s="50" t="s">
        <v>4795</v>
      </c>
      <c r="P2295" s="50" t="s">
        <v>4795</v>
      </c>
    </row>
    <row r="2296" spans="1:16" ht="12.75" customHeight="1" x14ac:dyDescent="0.25">
      <c r="A2296" s="311">
        <v>2293</v>
      </c>
      <c r="B2296" s="311" t="s">
        <v>63</v>
      </c>
      <c r="C2296" s="311" t="s">
        <v>63</v>
      </c>
      <c r="D2296" s="311" t="s">
        <v>462</v>
      </c>
      <c r="E2296" s="337" t="s">
        <v>63</v>
      </c>
      <c r="F2296" s="311" t="s">
        <v>132</v>
      </c>
      <c r="G2296" s="311" t="s">
        <v>236</v>
      </c>
      <c r="H2296" s="311" t="s">
        <v>380</v>
      </c>
      <c r="I2296" s="311" t="s">
        <v>66</v>
      </c>
      <c r="J2296" s="50" t="s">
        <v>1892</v>
      </c>
      <c r="K2296" s="50" t="s">
        <v>1892</v>
      </c>
      <c r="L2296" s="50" t="s">
        <v>1893</v>
      </c>
      <c r="M2296" s="50" t="s">
        <v>4798</v>
      </c>
      <c r="N2296" s="50" t="s">
        <v>4798</v>
      </c>
      <c r="O2296" s="50" t="s">
        <v>4795</v>
      </c>
      <c r="P2296" s="50" t="s">
        <v>4798</v>
      </c>
    </row>
    <row r="2297" spans="1:16" ht="12.75" customHeight="1" x14ac:dyDescent="0.25">
      <c r="A2297" s="311">
        <v>2294</v>
      </c>
      <c r="B2297" s="311" t="s">
        <v>140</v>
      </c>
      <c r="C2297" s="311" t="s">
        <v>140</v>
      </c>
      <c r="D2297" s="311" t="s">
        <v>462</v>
      </c>
      <c r="E2297" s="337" t="s">
        <v>140</v>
      </c>
      <c r="F2297" s="311" t="s">
        <v>132</v>
      </c>
      <c r="G2297" s="311" t="s">
        <v>236</v>
      </c>
      <c r="H2297" s="311" t="s">
        <v>380</v>
      </c>
      <c r="I2297" s="311" t="s">
        <v>66</v>
      </c>
      <c r="J2297" s="50" t="s">
        <v>1892</v>
      </c>
      <c r="K2297" s="50" t="s">
        <v>1892</v>
      </c>
      <c r="L2297" s="50" t="s">
        <v>1893</v>
      </c>
      <c r="M2297" s="50" t="s">
        <v>4799</v>
      </c>
      <c r="N2297" s="50" t="s">
        <v>4799</v>
      </c>
      <c r="O2297" s="50" t="s">
        <v>4795</v>
      </c>
      <c r="P2297" s="50" t="s">
        <v>4799</v>
      </c>
    </row>
    <row r="2298" spans="1:16" ht="12.75" customHeight="1" x14ac:dyDescent="0.25">
      <c r="A2298" s="311">
        <v>2295</v>
      </c>
      <c r="B2298" s="311" t="s">
        <v>121</v>
      </c>
      <c r="C2298" s="311" t="s">
        <v>121</v>
      </c>
      <c r="D2298" s="311" t="s">
        <v>462</v>
      </c>
      <c r="E2298" s="337" t="s">
        <v>121</v>
      </c>
      <c r="F2298" s="311" t="s">
        <v>132</v>
      </c>
      <c r="G2298" s="311" t="s">
        <v>236</v>
      </c>
      <c r="H2298" s="311" t="s">
        <v>380</v>
      </c>
      <c r="I2298" s="311" t="s">
        <v>66</v>
      </c>
      <c r="J2298" s="50" t="s">
        <v>1892</v>
      </c>
      <c r="K2298" s="50" t="s">
        <v>1892</v>
      </c>
      <c r="L2298" s="50" t="s">
        <v>1893</v>
      </c>
      <c r="M2298" s="50" t="s">
        <v>4800</v>
      </c>
      <c r="N2298" s="50" t="s">
        <v>4800</v>
      </c>
      <c r="O2298" s="50" t="s">
        <v>4795</v>
      </c>
      <c r="P2298" s="50" t="s">
        <v>4800</v>
      </c>
    </row>
    <row r="2299" spans="1:16" ht="12.75" customHeight="1" x14ac:dyDescent="0.25">
      <c r="A2299" s="311">
        <v>2296</v>
      </c>
      <c r="B2299" s="311" t="s">
        <v>87</v>
      </c>
      <c r="C2299" s="311" t="s">
        <v>87</v>
      </c>
      <c r="D2299" s="311" t="s">
        <v>462</v>
      </c>
      <c r="E2299" s="337" t="s">
        <v>87</v>
      </c>
      <c r="F2299" s="311" t="s">
        <v>132</v>
      </c>
      <c r="G2299" s="311" t="s">
        <v>236</v>
      </c>
      <c r="H2299" s="311" t="s">
        <v>380</v>
      </c>
      <c r="I2299" s="311" t="s">
        <v>66</v>
      </c>
      <c r="J2299" s="50" t="s">
        <v>1892</v>
      </c>
      <c r="K2299" s="50" t="s">
        <v>1892</v>
      </c>
      <c r="L2299" s="50" t="s">
        <v>1893</v>
      </c>
      <c r="M2299" s="50" t="s">
        <v>4801</v>
      </c>
      <c r="N2299" s="50" t="s">
        <v>4801</v>
      </c>
      <c r="O2299" s="50" t="s">
        <v>4795</v>
      </c>
      <c r="P2299" s="50" t="s">
        <v>4801</v>
      </c>
    </row>
    <row r="2300" spans="1:16" ht="12.75" customHeight="1" x14ac:dyDescent="0.25">
      <c r="A2300" s="311">
        <v>2297</v>
      </c>
      <c r="B2300" s="311" t="s">
        <v>125</v>
      </c>
      <c r="C2300" s="311" t="s">
        <v>125</v>
      </c>
      <c r="D2300" s="311" t="s">
        <v>125</v>
      </c>
      <c r="E2300" s="337" t="s">
        <v>125</v>
      </c>
      <c r="F2300" s="311" t="s">
        <v>132</v>
      </c>
      <c r="G2300" s="311" t="s">
        <v>236</v>
      </c>
      <c r="H2300" s="311" t="s">
        <v>380</v>
      </c>
      <c r="I2300" s="311" t="s">
        <v>66</v>
      </c>
      <c r="J2300" s="50" t="s">
        <v>1892</v>
      </c>
      <c r="K2300" s="50" t="s">
        <v>1892</v>
      </c>
      <c r="L2300" s="50" t="s">
        <v>1893</v>
      </c>
      <c r="M2300" s="50" t="s">
        <v>4802</v>
      </c>
      <c r="N2300" s="50" t="s">
        <v>4802</v>
      </c>
      <c r="O2300" s="50" t="s">
        <v>4802</v>
      </c>
      <c r="P2300" s="50" t="s">
        <v>4802</v>
      </c>
    </row>
    <row r="2301" spans="1:16" ht="12.75" customHeight="1" x14ac:dyDescent="0.25">
      <c r="A2301" s="311">
        <v>2298</v>
      </c>
      <c r="B2301" s="311" t="s">
        <v>134</v>
      </c>
      <c r="C2301" s="311" t="s">
        <v>134</v>
      </c>
      <c r="D2301" s="311" t="s">
        <v>134</v>
      </c>
      <c r="E2301" s="337" t="s">
        <v>134</v>
      </c>
      <c r="F2301" s="311" t="s">
        <v>132</v>
      </c>
      <c r="G2301" s="311" t="s">
        <v>236</v>
      </c>
      <c r="H2301" s="311" t="s">
        <v>380</v>
      </c>
      <c r="I2301" s="311" t="s">
        <v>66</v>
      </c>
      <c r="J2301" s="50" t="s">
        <v>1892</v>
      </c>
      <c r="K2301" s="50" t="s">
        <v>1892</v>
      </c>
      <c r="L2301" s="50" t="s">
        <v>1893</v>
      </c>
      <c r="M2301" s="50" t="s">
        <v>4803</v>
      </c>
      <c r="N2301" s="50" t="s">
        <v>4803</v>
      </c>
      <c r="O2301" s="50" t="s">
        <v>4803</v>
      </c>
      <c r="P2301" s="50" t="s">
        <v>4803</v>
      </c>
    </row>
    <row r="2302" spans="1:16" ht="12.75" customHeight="1" x14ac:dyDescent="0.25">
      <c r="A2302" s="311">
        <v>2299</v>
      </c>
      <c r="B2302" s="311" t="s">
        <v>141</v>
      </c>
      <c r="C2302" s="311" t="s">
        <v>141</v>
      </c>
      <c r="D2302" s="311" t="s">
        <v>141</v>
      </c>
      <c r="E2302" s="337" t="s">
        <v>141</v>
      </c>
      <c r="F2302" s="311" t="s">
        <v>132</v>
      </c>
      <c r="G2302" s="311" t="s">
        <v>236</v>
      </c>
      <c r="H2302" s="311" t="s">
        <v>380</v>
      </c>
      <c r="I2302" s="311" t="s">
        <v>66</v>
      </c>
      <c r="J2302" s="50" t="s">
        <v>1892</v>
      </c>
      <c r="K2302" s="50" t="s">
        <v>1892</v>
      </c>
      <c r="L2302" s="50" t="s">
        <v>1893</v>
      </c>
      <c r="M2302" s="50" t="s">
        <v>4804</v>
      </c>
      <c r="N2302" s="50" t="s">
        <v>4804</v>
      </c>
      <c r="O2302" s="50" t="s">
        <v>4804</v>
      </c>
      <c r="P2302" s="50" t="s">
        <v>4804</v>
      </c>
    </row>
    <row r="2303" spans="1:16" ht="12.75" customHeight="1" x14ac:dyDescent="0.25">
      <c r="A2303" s="311">
        <v>2300</v>
      </c>
      <c r="B2303" s="311" t="s">
        <v>69</v>
      </c>
      <c r="C2303" s="311" t="s">
        <v>69</v>
      </c>
      <c r="D2303" s="311" t="s">
        <v>69</v>
      </c>
      <c r="E2303" s="337" t="s">
        <v>69</v>
      </c>
      <c r="F2303" s="311" t="s">
        <v>132</v>
      </c>
      <c r="G2303" s="311" t="s">
        <v>236</v>
      </c>
      <c r="H2303" s="311" t="s">
        <v>380</v>
      </c>
      <c r="I2303" s="311" t="s">
        <v>66</v>
      </c>
      <c r="J2303" s="50" t="s">
        <v>1892</v>
      </c>
      <c r="K2303" s="50" t="s">
        <v>1892</v>
      </c>
      <c r="L2303" s="50" t="s">
        <v>1893</v>
      </c>
      <c r="M2303" s="50" t="s">
        <v>4805</v>
      </c>
      <c r="N2303" s="50" t="s">
        <v>4805</v>
      </c>
      <c r="O2303" s="50" t="s">
        <v>4805</v>
      </c>
      <c r="P2303" s="50" t="s">
        <v>4805</v>
      </c>
    </row>
    <row r="2304" spans="1:16" ht="12.75" customHeight="1" x14ac:dyDescent="0.25">
      <c r="A2304" s="311">
        <v>2301</v>
      </c>
      <c r="B2304" s="311" t="s">
        <v>84</v>
      </c>
      <c r="C2304" s="311" t="s">
        <v>462</v>
      </c>
      <c r="D2304" s="311" t="s">
        <v>462</v>
      </c>
      <c r="E2304" s="337" t="s">
        <v>462</v>
      </c>
      <c r="F2304" s="311" t="s">
        <v>132</v>
      </c>
      <c r="G2304" s="311" t="s">
        <v>23</v>
      </c>
      <c r="H2304" s="311" t="s">
        <v>380</v>
      </c>
      <c r="I2304" s="311" t="s">
        <v>66</v>
      </c>
      <c r="J2304" s="50" t="s">
        <v>1892</v>
      </c>
      <c r="K2304" s="50" t="s">
        <v>1892</v>
      </c>
      <c r="L2304" s="50" t="s">
        <v>1893</v>
      </c>
      <c r="M2304" s="50" t="s">
        <v>4806</v>
      </c>
      <c r="N2304" s="50" t="s">
        <v>4807</v>
      </c>
      <c r="O2304" s="50" t="s">
        <v>4807</v>
      </c>
      <c r="P2304" s="50" t="s">
        <v>4807</v>
      </c>
    </row>
    <row r="2305" spans="1:16" ht="12.75" customHeight="1" x14ac:dyDescent="0.25">
      <c r="A2305" s="311">
        <v>2302</v>
      </c>
      <c r="B2305" s="311" t="s">
        <v>123</v>
      </c>
      <c r="C2305" s="311" t="s">
        <v>462</v>
      </c>
      <c r="D2305" s="311" t="s">
        <v>462</v>
      </c>
      <c r="E2305" s="337" t="s">
        <v>462</v>
      </c>
      <c r="F2305" s="311" t="s">
        <v>132</v>
      </c>
      <c r="G2305" s="311" t="s">
        <v>23</v>
      </c>
      <c r="H2305" s="311" t="s">
        <v>380</v>
      </c>
      <c r="I2305" s="311" t="s">
        <v>66</v>
      </c>
      <c r="J2305" s="50" t="s">
        <v>1892</v>
      </c>
      <c r="K2305" s="50" t="s">
        <v>1892</v>
      </c>
      <c r="L2305" s="50" t="s">
        <v>1893</v>
      </c>
      <c r="M2305" s="50" t="s">
        <v>4808</v>
      </c>
      <c r="N2305" s="50" t="s">
        <v>4807</v>
      </c>
      <c r="O2305" s="50" t="s">
        <v>4807</v>
      </c>
      <c r="P2305" s="50" t="s">
        <v>4807</v>
      </c>
    </row>
    <row r="2306" spans="1:16" ht="12.75" customHeight="1" x14ac:dyDescent="0.25">
      <c r="A2306" s="311">
        <v>2303</v>
      </c>
      <c r="B2306" s="311" t="s">
        <v>75</v>
      </c>
      <c r="C2306" s="311" t="s">
        <v>462</v>
      </c>
      <c r="D2306" s="311" t="s">
        <v>462</v>
      </c>
      <c r="E2306" s="337" t="s">
        <v>462</v>
      </c>
      <c r="F2306" s="311" t="s">
        <v>132</v>
      </c>
      <c r="G2306" s="311" t="s">
        <v>23</v>
      </c>
      <c r="H2306" s="311" t="s">
        <v>380</v>
      </c>
      <c r="I2306" s="311" t="s">
        <v>66</v>
      </c>
      <c r="J2306" s="50" t="s">
        <v>1892</v>
      </c>
      <c r="K2306" s="50" t="s">
        <v>1892</v>
      </c>
      <c r="L2306" s="50" t="s">
        <v>1893</v>
      </c>
      <c r="M2306" s="50" t="s">
        <v>4809</v>
      </c>
      <c r="N2306" s="50" t="s">
        <v>4807</v>
      </c>
      <c r="O2306" s="50" t="s">
        <v>4807</v>
      </c>
      <c r="P2306" s="50" t="s">
        <v>4807</v>
      </c>
    </row>
    <row r="2307" spans="1:16" ht="12.75" customHeight="1" x14ac:dyDescent="0.25">
      <c r="A2307" s="311">
        <v>2304</v>
      </c>
      <c r="B2307" s="311" t="s">
        <v>63</v>
      </c>
      <c r="C2307" s="311" t="s">
        <v>63</v>
      </c>
      <c r="D2307" s="311" t="s">
        <v>462</v>
      </c>
      <c r="E2307" s="337" t="s">
        <v>63</v>
      </c>
      <c r="F2307" s="311" t="s">
        <v>132</v>
      </c>
      <c r="G2307" s="311" t="s">
        <v>23</v>
      </c>
      <c r="H2307" s="311" t="s">
        <v>380</v>
      </c>
      <c r="I2307" s="311" t="s">
        <v>66</v>
      </c>
      <c r="J2307" s="50" t="s">
        <v>1892</v>
      </c>
      <c r="K2307" s="50" t="s">
        <v>1892</v>
      </c>
      <c r="L2307" s="50" t="s">
        <v>1893</v>
      </c>
      <c r="M2307" s="50" t="s">
        <v>4810</v>
      </c>
      <c r="N2307" s="50" t="s">
        <v>4810</v>
      </c>
      <c r="O2307" s="50" t="s">
        <v>4807</v>
      </c>
      <c r="P2307" s="50" t="s">
        <v>4810</v>
      </c>
    </row>
    <row r="2308" spans="1:16" ht="12.75" customHeight="1" x14ac:dyDescent="0.25">
      <c r="A2308" s="311">
        <v>2305</v>
      </c>
      <c r="B2308" s="311" t="s">
        <v>140</v>
      </c>
      <c r="C2308" s="311" t="s">
        <v>140</v>
      </c>
      <c r="D2308" s="311" t="s">
        <v>462</v>
      </c>
      <c r="E2308" s="337" t="s">
        <v>140</v>
      </c>
      <c r="F2308" s="311" t="s">
        <v>132</v>
      </c>
      <c r="G2308" s="311" t="s">
        <v>23</v>
      </c>
      <c r="H2308" s="311" t="s">
        <v>380</v>
      </c>
      <c r="I2308" s="311" t="s">
        <v>66</v>
      </c>
      <c r="J2308" s="50" t="s">
        <v>1892</v>
      </c>
      <c r="K2308" s="50" t="s">
        <v>1892</v>
      </c>
      <c r="L2308" s="50" t="s">
        <v>1893</v>
      </c>
      <c r="M2308" s="50" t="s">
        <v>4811</v>
      </c>
      <c r="N2308" s="50" t="s">
        <v>4811</v>
      </c>
      <c r="O2308" s="50" t="s">
        <v>4807</v>
      </c>
      <c r="P2308" s="50" t="s">
        <v>4811</v>
      </c>
    </row>
    <row r="2309" spans="1:16" ht="12.75" customHeight="1" x14ac:dyDescent="0.25">
      <c r="A2309" s="311">
        <v>2306</v>
      </c>
      <c r="B2309" s="311" t="s">
        <v>121</v>
      </c>
      <c r="C2309" s="311" t="s">
        <v>121</v>
      </c>
      <c r="D2309" s="311" t="s">
        <v>462</v>
      </c>
      <c r="E2309" s="337" t="s">
        <v>121</v>
      </c>
      <c r="F2309" s="311" t="s">
        <v>132</v>
      </c>
      <c r="G2309" s="311" t="s">
        <v>23</v>
      </c>
      <c r="H2309" s="311" t="s">
        <v>380</v>
      </c>
      <c r="I2309" s="311" t="s">
        <v>66</v>
      </c>
      <c r="J2309" s="50" t="s">
        <v>1892</v>
      </c>
      <c r="K2309" s="50" t="s">
        <v>1892</v>
      </c>
      <c r="L2309" s="50" t="s">
        <v>1893</v>
      </c>
      <c r="M2309" s="50" t="s">
        <v>4812</v>
      </c>
      <c r="N2309" s="50" t="s">
        <v>4812</v>
      </c>
      <c r="O2309" s="50" t="s">
        <v>4807</v>
      </c>
      <c r="P2309" s="50" t="s">
        <v>4812</v>
      </c>
    </row>
    <row r="2310" spans="1:16" ht="12.75" customHeight="1" x14ac:dyDescent="0.25">
      <c r="A2310" s="311">
        <v>2307</v>
      </c>
      <c r="B2310" s="311" t="s">
        <v>87</v>
      </c>
      <c r="C2310" s="311" t="s">
        <v>87</v>
      </c>
      <c r="D2310" s="311" t="s">
        <v>462</v>
      </c>
      <c r="E2310" s="337" t="s">
        <v>87</v>
      </c>
      <c r="F2310" s="311" t="s">
        <v>132</v>
      </c>
      <c r="G2310" s="311" t="s">
        <v>23</v>
      </c>
      <c r="H2310" s="311" t="s">
        <v>380</v>
      </c>
      <c r="I2310" s="311" t="s">
        <v>66</v>
      </c>
      <c r="J2310" s="50" t="s">
        <v>1892</v>
      </c>
      <c r="K2310" s="50" t="s">
        <v>1892</v>
      </c>
      <c r="L2310" s="50" t="s">
        <v>1893</v>
      </c>
      <c r="M2310" s="50" t="s">
        <v>4813</v>
      </c>
      <c r="N2310" s="50" t="s">
        <v>4813</v>
      </c>
      <c r="O2310" s="50" t="s">
        <v>4807</v>
      </c>
      <c r="P2310" s="50" t="s">
        <v>4813</v>
      </c>
    </row>
    <row r="2311" spans="1:16" ht="12.75" customHeight="1" x14ac:dyDescent="0.25">
      <c r="A2311" s="311">
        <v>2308</v>
      </c>
      <c r="B2311" s="311" t="s">
        <v>125</v>
      </c>
      <c r="C2311" s="311" t="s">
        <v>125</v>
      </c>
      <c r="D2311" s="311" t="s">
        <v>125</v>
      </c>
      <c r="E2311" s="337" t="s">
        <v>125</v>
      </c>
      <c r="F2311" s="311" t="s">
        <v>132</v>
      </c>
      <c r="G2311" s="311" t="s">
        <v>23</v>
      </c>
      <c r="H2311" s="311" t="s">
        <v>380</v>
      </c>
      <c r="I2311" s="311" t="s">
        <v>66</v>
      </c>
      <c r="J2311" s="50" t="s">
        <v>1892</v>
      </c>
      <c r="K2311" s="50" t="s">
        <v>1892</v>
      </c>
      <c r="L2311" s="50" t="s">
        <v>1893</v>
      </c>
      <c r="M2311" s="50" t="s">
        <v>4814</v>
      </c>
      <c r="N2311" s="50" t="s">
        <v>4814</v>
      </c>
      <c r="O2311" s="50" t="s">
        <v>4814</v>
      </c>
      <c r="P2311" s="50" t="s">
        <v>4814</v>
      </c>
    </row>
    <row r="2312" spans="1:16" ht="12.75" customHeight="1" x14ac:dyDescent="0.25">
      <c r="A2312" s="311">
        <v>2309</v>
      </c>
      <c r="B2312" s="311" t="s">
        <v>134</v>
      </c>
      <c r="C2312" s="311" t="s">
        <v>134</v>
      </c>
      <c r="D2312" s="311" t="s">
        <v>134</v>
      </c>
      <c r="E2312" s="337" t="s">
        <v>134</v>
      </c>
      <c r="F2312" s="311" t="s">
        <v>132</v>
      </c>
      <c r="G2312" s="311" t="s">
        <v>23</v>
      </c>
      <c r="H2312" s="311" t="s">
        <v>380</v>
      </c>
      <c r="I2312" s="311" t="s">
        <v>66</v>
      </c>
      <c r="J2312" s="50" t="s">
        <v>1892</v>
      </c>
      <c r="K2312" s="50" t="s">
        <v>1892</v>
      </c>
      <c r="L2312" s="50" t="s">
        <v>1893</v>
      </c>
      <c r="M2312" s="50" t="s">
        <v>4815</v>
      </c>
      <c r="N2312" s="50" t="s">
        <v>4815</v>
      </c>
      <c r="O2312" s="50" t="s">
        <v>4815</v>
      </c>
      <c r="P2312" s="50" t="s">
        <v>4815</v>
      </c>
    </row>
    <row r="2313" spans="1:16" ht="12.75" customHeight="1" x14ac:dyDescent="0.25">
      <c r="A2313" s="311">
        <v>2310</v>
      </c>
      <c r="B2313" s="311" t="s">
        <v>141</v>
      </c>
      <c r="C2313" s="311" t="s">
        <v>141</v>
      </c>
      <c r="D2313" s="311" t="s">
        <v>141</v>
      </c>
      <c r="E2313" s="337" t="s">
        <v>141</v>
      </c>
      <c r="F2313" s="311" t="s">
        <v>132</v>
      </c>
      <c r="G2313" s="311" t="s">
        <v>23</v>
      </c>
      <c r="H2313" s="311" t="s">
        <v>380</v>
      </c>
      <c r="I2313" s="311" t="s">
        <v>66</v>
      </c>
      <c r="J2313" s="50" t="s">
        <v>1892</v>
      </c>
      <c r="K2313" s="50" t="s">
        <v>1892</v>
      </c>
      <c r="L2313" s="50" t="s">
        <v>1893</v>
      </c>
      <c r="M2313" s="50" t="s">
        <v>4816</v>
      </c>
      <c r="N2313" s="50" t="s">
        <v>4816</v>
      </c>
      <c r="O2313" s="50" t="s">
        <v>4816</v>
      </c>
      <c r="P2313" s="50" t="s">
        <v>4816</v>
      </c>
    </row>
    <row r="2314" spans="1:16" ht="12.75" customHeight="1" x14ac:dyDescent="0.25">
      <c r="A2314" s="311">
        <v>2311</v>
      </c>
      <c r="B2314" s="311" t="s">
        <v>69</v>
      </c>
      <c r="C2314" s="311" t="s">
        <v>69</v>
      </c>
      <c r="D2314" s="311" t="s">
        <v>69</v>
      </c>
      <c r="E2314" s="337" t="s">
        <v>69</v>
      </c>
      <c r="F2314" s="311" t="s">
        <v>132</v>
      </c>
      <c r="G2314" s="311" t="s">
        <v>23</v>
      </c>
      <c r="H2314" s="311" t="s">
        <v>380</v>
      </c>
      <c r="I2314" s="311" t="s">
        <v>66</v>
      </c>
      <c r="J2314" s="50" t="s">
        <v>1892</v>
      </c>
      <c r="K2314" s="50" t="s">
        <v>1892</v>
      </c>
      <c r="L2314" s="50" t="s">
        <v>1893</v>
      </c>
      <c r="M2314" s="50" t="s">
        <v>4817</v>
      </c>
      <c r="N2314" s="50" t="s">
        <v>4817</v>
      </c>
      <c r="O2314" s="50" t="s">
        <v>4817</v>
      </c>
      <c r="P2314" s="50" t="s">
        <v>4817</v>
      </c>
    </row>
    <row r="2315" spans="1:16" ht="12.75" customHeight="1" x14ac:dyDescent="0.25">
      <c r="A2315" s="311">
        <v>2312</v>
      </c>
      <c r="B2315" s="311" t="s">
        <v>84</v>
      </c>
      <c r="C2315" s="311" t="s">
        <v>462</v>
      </c>
      <c r="D2315" s="311" t="s">
        <v>462</v>
      </c>
      <c r="E2315" s="337" t="s">
        <v>462</v>
      </c>
      <c r="F2315" s="311" t="s">
        <v>132</v>
      </c>
      <c r="G2315" s="311" t="s">
        <v>237</v>
      </c>
      <c r="H2315" s="311" t="s">
        <v>380</v>
      </c>
      <c r="I2315" s="311" t="s">
        <v>66</v>
      </c>
      <c r="J2315" s="50" t="s">
        <v>1892</v>
      </c>
      <c r="K2315" s="50" t="s">
        <v>1892</v>
      </c>
      <c r="L2315" s="50" t="s">
        <v>1893</v>
      </c>
      <c r="M2315" s="50" t="s">
        <v>4818</v>
      </c>
      <c r="N2315" s="50" t="s">
        <v>4819</v>
      </c>
      <c r="O2315" s="50" t="s">
        <v>4819</v>
      </c>
      <c r="P2315" s="50" t="s">
        <v>4819</v>
      </c>
    </row>
    <row r="2316" spans="1:16" ht="12.75" customHeight="1" x14ac:dyDescent="0.25">
      <c r="A2316" s="311">
        <v>2313</v>
      </c>
      <c r="B2316" s="311" t="s">
        <v>123</v>
      </c>
      <c r="C2316" s="311" t="s">
        <v>462</v>
      </c>
      <c r="D2316" s="311" t="s">
        <v>462</v>
      </c>
      <c r="E2316" s="337" t="s">
        <v>462</v>
      </c>
      <c r="F2316" s="311" t="s">
        <v>132</v>
      </c>
      <c r="G2316" s="311" t="s">
        <v>237</v>
      </c>
      <c r="H2316" s="311" t="s">
        <v>380</v>
      </c>
      <c r="I2316" s="311" t="s">
        <v>66</v>
      </c>
      <c r="J2316" s="50" t="s">
        <v>1892</v>
      </c>
      <c r="K2316" s="50" t="s">
        <v>1892</v>
      </c>
      <c r="L2316" s="50" t="s">
        <v>1893</v>
      </c>
      <c r="M2316" s="50" t="s">
        <v>4820</v>
      </c>
      <c r="N2316" s="50" t="s">
        <v>4819</v>
      </c>
      <c r="O2316" s="50" t="s">
        <v>4819</v>
      </c>
      <c r="P2316" s="50" t="s">
        <v>4819</v>
      </c>
    </row>
    <row r="2317" spans="1:16" ht="12.75" customHeight="1" x14ac:dyDescent="0.25">
      <c r="A2317" s="311">
        <v>2314</v>
      </c>
      <c r="B2317" s="311" t="s">
        <v>75</v>
      </c>
      <c r="C2317" s="311" t="s">
        <v>462</v>
      </c>
      <c r="D2317" s="311" t="s">
        <v>462</v>
      </c>
      <c r="E2317" s="337" t="s">
        <v>462</v>
      </c>
      <c r="F2317" s="311" t="s">
        <v>132</v>
      </c>
      <c r="G2317" s="311" t="s">
        <v>237</v>
      </c>
      <c r="H2317" s="311" t="s">
        <v>380</v>
      </c>
      <c r="I2317" s="311" t="s">
        <v>66</v>
      </c>
      <c r="J2317" s="50" t="s">
        <v>1892</v>
      </c>
      <c r="K2317" s="50" t="s">
        <v>1892</v>
      </c>
      <c r="L2317" s="50" t="s">
        <v>1893</v>
      </c>
      <c r="M2317" s="50" t="s">
        <v>4821</v>
      </c>
      <c r="N2317" s="50" t="s">
        <v>4819</v>
      </c>
      <c r="O2317" s="50" t="s">
        <v>4819</v>
      </c>
      <c r="P2317" s="50" t="s">
        <v>4819</v>
      </c>
    </row>
    <row r="2318" spans="1:16" ht="12.75" customHeight="1" x14ac:dyDescent="0.25">
      <c r="A2318" s="311">
        <v>2315</v>
      </c>
      <c r="B2318" s="311" t="s">
        <v>63</v>
      </c>
      <c r="C2318" s="311" t="s">
        <v>63</v>
      </c>
      <c r="D2318" s="311" t="s">
        <v>462</v>
      </c>
      <c r="E2318" s="337" t="s">
        <v>63</v>
      </c>
      <c r="F2318" s="311" t="s">
        <v>132</v>
      </c>
      <c r="G2318" s="311" t="s">
        <v>237</v>
      </c>
      <c r="H2318" s="311" t="s">
        <v>380</v>
      </c>
      <c r="I2318" s="311" t="s">
        <v>66</v>
      </c>
      <c r="J2318" s="50" t="s">
        <v>1892</v>
      </c>
      <c r="K2318" s="50" t="s">
        <v>1892</v>
      </c>
      <c r="L2318" s="50" t="s">
        <v>1893</v>
      </c>
      <c r="M2318" s="50" t="s">
        <v>4822</v>
      </c>
      <c r="N2318" s="50" t="s">
        <v>4822</v>
      </c>
      <c r="O2318" s="50" t="s">
        <v>4819</v>
      </c>
      <c r="P2318" s="50" t="s">
        <v>4822</v>
      </c>
    </row>
    <row r="2319" spans="1:16" ht="12.75" customHeight="1" x14ac:dyDescent="0.25">
      <c r="A2319" s="311">
        <v>2316</v>
      </c>
      <c r="B2319" s="311" t="s">
        <v>140</v>
      </c>
      <c r="C2319" s="311" t="s">
        <v>140</v>
      </c>
      <c r="D2319" s="311" t="s">
        <v>462</v>
      </c>
      <c r="E2319" s="337" t="s">
        <v>140</v>
      </c>
      <c r="F2319" s="311" t="s">
        <v>132</v>
      </c>
      <c r="G2319" s="311" t="s">
        <v>237</v>
      </c>
      <c r="H2319" s="311" t="s">
        <v>380</v>
      </c>
      <c r="I2319" s="311" t="s">
        <v>66</v>
      </c>
      <c r="J2319" s="50" t="s">
        <v>1892</v>
      </c>
      <c r="K2319" s="50" t="s">
        <v>1892</v>
      </c>
      <c r="L2319" s="50" t="s">
        <v>1893</v>
      </c>
      <c r="M2319" s="50" t="s">
        <v>4823</v>
      </c>
      <c r="N2319" s="50" t="s">
        <v>4823</v>
      </c>
      <c r="O2319" s="50" t="s">
        <v>4819</v>
      </c>
      <c r="P2319" s="50" t="s">
        <v>4823</v>
      </c>
    </row>
    <row r="2320" spans="1:16" ht="12.75" customHeight="1" x14ac:dyDescent="0.25">
      <c r="A2320" s="311">
        <v>2317</v>
      </c>
      <c r="B2320" s="311" t="s">
        <v>121</v>
      </c>
      <c r="C2320" s="311" t="s">
        <v>121</v>
      </c>
      <c r="D2320" s="311" t="s">
        <v>462</v>
      </c>
      <c r="E2320" s="337" t="s">
        <v>121</v>
      </c>
      <c r="F2320" s="311" t="s">
        <v>132</v>
      </c>
      <c r="G2320" s="311" t="s">
        <v>237</v>
      </c>
      <c r="H2320" s="311" t="s">
        <v>380</v>
      </c>
      <c r="I2320" s="311" t="s">
        <v>66</v>
      </c>
      <c r="J2320" s="50" t="s">
        <v>1892</v>
      </c>
      <c r="K2320" s="50" t="s">
        <v>1892</v>
      </c>
      <c r="L2320" s="50" t="s">
        <v>1893</v>
      </c>
      <c r="M2320" s="50" t="s">
        <v>4824</v>
      </c>
      <c r="N2320" s="50" t="s">
        <v>4824</v>
      </c>
      <c r="O2320" s="50" t="s">
        <v>4819</v>
      </c>
      <c r="P2320" s="50" t="s">
        <v>4824</v>
      </c>
    </row>
    <row r="2321" spans="1:16" ht="12.75" customHeight="1" x14ac:dyDescent="0.25">
      <c r="A2321" s="311">
        <v>2318</v>
      </c>
      <c r="B2321" s="311" t="s">
        <v>87</v>
      </c>
      <c r="C2321" s="311" t="s">
        <v>87</v>
      </c>
      <c r="D2321" s="311" t="s">
        <v>462</v>
      </c>
      <c r="E2321" s="337" t="s">
        <v>87</v>
      </c>
      <c r="F2321" s="311" t="s">
        <v>132</v>
      </c>
      <c r="G2321" s="311" t="s">
        <v>237</v>
      </c>
      <c r="H2321" s="311" t="s">
        <v>380</v>
      </c>
      <c r="I2321" s="311" t="s">
        <v>66</v>
      </c>
      <c r="J2321" s="50" t="s">
        <v>1892</v>
      </c>
      <c r="K2321" s="50" t="s">
        <v>1892</v>
      </c>
      <c r="L2321" s="50" t="s">
        <v>1893</v>
      </c>
      <c r="M2321" s="50" t="s">
        <v>4825</v>
      </c>
      <c r="N2321" s="50" t="s">
        <v>4825</v>
      </c>
      <c r="O2321" s="50" t="s">
        <v>4819</v>
      </c>
      <c r="P2321" s="50" t="s">
        <v>4825</v>
      </c>
    </row>
    <row r="2322" spans="1:16" ht="12.75" customHeight="1" x14ac:dyDescent="0.25">
      <c r="A2322" s="311">
        <v>2319</v>
      </c>
      <c r="B2322" s="311" t="s">
        <v>125</v>
      </c>
      <c r="C2322" s="311" t="s">
        <v>125</v>
      </c>
      <c r="D2322" s="311" t="s">
        <v>125</v>
      </c>
      <c r="E2322" s="337" t="s">
        <v>125</v>
      </c>
      <c r="F2322" s="311" t="s">
        <v>132</v>
      </c>
      <c r="G2322" s="311" t="s">
        <v>237</v>
      </c>
      <c r="H2322" s="311" t="s">
        <v>380</v>
      </c>
      <c r="I2322" s="311" t="s">
        <v>66</v>
      </c>
      <c r="J2322" s="50" t="s">
        <v>1892</v>
      </c>
      <c r="K2322" s="50" t="s">
        <v>1892</v>
      </c>
      <c r="L2322" s="50" t="s">
        <v>1893</v>
      </c>
      <c r="M2322" s="50" t="s">
        <v>4826</v>
      </c>
      <c r="N2322" s="50" t="s">
        <v>4826</v>
      </c>
      <c r="O2322" s="50" t="s">
        <v>4826</v>
      </c>
      <c r="P2322" s="50" t="s">
        <v>4826</v>
      </c>
    </row>
    <row r="2323" spans="1:16" ht="12.75" customHeight="1" x14ac:dyDescent="0.25">
      <c r="A2323" s="311">
        <v>2320</v>
      </c>
      <c r="B2323" s="311" t="s">
        <v>134</v>
      </c>
      <c r="C2323" s="311" t="s">
        <v>134</v>
      </c>
      <c r="D2323" s="311" t="s">
        <v>134</v>
      </c>
      <c r="E2323" s="337" t="s">
        <v>134</v>
      </c>
      <c r="F2323" s="311" t="s">
        <v>132</v>
      </c>
      <c r="G2323" s="311" t="s">
        <v>237</v>
      </c>
      <c r="H2323" s="311" t="s">
        <v>380</v>
      </c>
      <c r="I2323" s="311" t="s">
        <v>66</v>
      </c>
      <c r="J2323" s="50" t="s">
        <v>1892</v>
      </c>
      <c r="K2323" s="50" t="s">
        <v>1892</v>
      </c>
      <c r="L2323" s="50" t="s">
        <v>1893</v>
      </c>
      <c r="M2323" s="50" t="s">
        <v>4827</v>
      </c>
      <c r="N2323" s="50" t="s">
        <v>4827</v>
      </c>
      <c r="O2323" s="50" t="s">
        <v>4827</v>
      </c>
      <c r="P2323" s="50" t="s">
        <v>4827</v>
      </c>
    </row>
    <row r="2324" spans="1:16" ht="12.75" customHeight="1" x14ac:dyDescent="0.25">
      <c r="A2324" s="311">
        <v>2321</v>
      </c>
      <c r="B2324" s="311" t="s">
        <v>141</v>
      </c>
      <c r="C2324" s="311" t="s">
        <v>141</v>
      </c>
      <c r="D2324" s="311" t="s">
        <v>141</v>
      </c>
      <c r="E2324" s="337" t="s">
        <v>141</v>
      </c>
      <c r="F2324" s="311" t="s">
        <v>132</v>
      </c>
      <c r="G2324" s="311" t="s">
        <v>237</v>
      </c>
      <c r="H2324" s="311" t="s">
        <v>380</v>
      </c>
      <c r="I2324" s="311" t="s">
        <v>66</v>
      </c>
      <c r="J2324" s="50" t="s">
        <v>1892</v>
      </c>
      <c r="K2324" s="50" t="s">
        <v>1892</v>
      </c>
      <c r="L2324" s="50" t="s">
        <v>1893</v>
      </c>
      <c r="M2324" s="50" t="s">
        <v>4828</v>
      </c>
      <c r="N2324" s="50" t="s">
        <v>4828</v>
      </c>
      <c r="O2324" s="50" t="s">
        <v>4828</v>
      </c>
      <c r="P2324" s="50" t="s">
        <v>4828</v>
      </c>
    </row>
    <row r="2325" spans="1:16" ht="12.75" customHeight="1" x14ac:dyDescent="0.25">
      <c r="A2325" s="311">
        <v>2322</v>
      </c>
      <c r="B2325" s="311" t="s">
        <v>69</v>
      </c>
      <c r="C2325" s="311" t="s">
        <v>69</v>
      </c>
      <c r="D2325" s="311" t="s">
        <v>69</v>
      </c>
      <c r="E2325" s="337" t="s">
        <v>69</v>
      </c>
      <c r="F2325" s="311" t="s">
        <v>132</v>
      </c>
      <c r="G2325" s="311" t="s">
        <v>237</v>
      </c>
      <c r="H2325" s="311" t="s">
        <v>380</v>
      </c>
      <c r="I2325" s="311" t="s">
        <v>66</v>
      </c>
      <c r="J2325" s="50" t="s">
        <v>1892</v>
      </c>
      <c r="K2325" s="50" t="s">
        <v>1892</v>
      </c>
      <c r="L2325" s="50" t="s">
        <v>1893</v>
      </c>
      <c r="M2325" s="50" t="s">
        <v>4829</v>
      </c>
      <c r="N2325" s="50" t="s">
        <v>4829</v>
      </c>
      <c r="O2325" s="50" t="s">
        <v>4829</v>
      </c>
      <c r="P2325" s="50" t="s">
        <v>4829</v>
      </c>
    </row>
    <row r="2326" spans="1:16" ht="12.75" customHeight="1" x14ac:dyDescent="0.25">
      <c r="A2326" s="311">
        <v>2323</v>
      </c>
      <c r="B2326" s="311" t="s">
        <v>84</v>
      </c>
      <c r="C2326" s="311" t="s">
        <v>462</v>
      </c>
      <c r="D2326" s="311" t="s">
        <v>462</v>
      </c>
      <c r="E2326" s="337" t="s">
        <v>462</v>
      </c>
      <c r="F2326" s="311" t="s">
        <v>122</v>
      </c>
      <c r="G2326" s="311" t="s">
        <v>236</v>
      </c>
      <c r="H2326" s="311" t="s">
        <v>402</v>
      </c>
      <c r="I2326" s="311" t="s">
        <v>66</v>
      </c>
      <c r="J2326" s="50" t="s">
        <v>1892</v>
      </c>
      <c r="K2326" s="50" t="s">
        <v>1892</v>
      </c>
      <c r="L2326" s="50" t="s">
        <v>1893</v>
      </c>
      <c r="M2326" s="50" t="s">
        <v>4830</v>
      </c>
      <c r="N2326" s="50" t="s">
        <v>4831</v>
      </c>
      <c r="O2326" s="50" t="s">
        <v>4831</v>
      </c>
      <c r="P2326" s="50" t="s">
        <v>4831</v>
      </c>
    </row>
    <row r="2327" spans="1:16" ht="12.75" customHeight="1" x14ac:dyDescent="0.25">
      <c r="A2327" s="311">
        <v>2324</v>
      </c>
      <c r="B2327" s="311" t="s">
        <v>123</v>
      </c>
      <c r="C2327" s="311" t="s">
        <v>462</v>
      </c>
      <c r="D2327" s="311" t="s">
        <v>462</v>
      </c>
      <c r="E2327" s="337" t="s">
        <v>462</v>
      </c>
      <c r="F2327" s="311" t="s">
        <v>122</v>
      </c>
      <c r="G2327" s="311" t="s">
        <v>236</v>
      </c>
      <c r="H2327" s="311" t="s">
        <v>402</v>
      </c>
      <c r="I2327" s="311" t="s">
        <v>66</v>
      </c>
      <c r="J2327" s="50" t="s">
        <v>1892</v>
      </c>
      <c r="K2327" s="50" t="s">
        <v>1892</v>
      </c>
      <c r="L2327" s="50" t="s">
        <v>1893</v>
      </c>
      <c r="M2327" s="50" t="s">
        <v>4832</v>
      </c>
      <c r="N2327" s="50" t="s">
        <v>4831</v>
      </c>
      <c r="O2327" s="50" t="s">
        <v>4831</v>
      </c>
      <c r="P2327" s="50" t="s">
        <v>4831</v>
      </c>
    </row>
    <row r="2328" spans="1:16" ht="12.75" customHeight="1" x14ac:dyDescent="0.25">
      <c r="A2328" s="311">
        <v>2325</v>
      </c>
      <c r="B2328" s="311" t="s">
        <v>75</v>
      </c>
      <c r="C2328" s="311" t="s">
        <v>462</v>
      </c>
      <c r="D2328" s="311" t="s">
        <v>462</v>
      </c>
      <c r="E2328" s="337" t="s">
        <v>462</v>
      </c>
      <c r="F2328" s="311" t="s">
        <v>122</v>
      </c>
      <c r="G2328" s="311" t="s">
        <v>236</v>
      </c>
      <c r="H2328" s="311" t="s">
        <v>402</v>
      </c>
      <c r="I2328" s="311" t="s">
        <v>66</v>
      </c>
      <c r="J2328" s="50" t="s">
        <v>1892</v>
      </c>
      <c r="K2328" s="50" t="s">
        <v>1892</v>
      </c>
      <c r="L2328" s="50" t="s">
        <v>1893</v>
      </c>
      <c r="M2328" s="50" t="s">
        <v>4833</v>
      </c>
      <c r="N2328" s="50" t="s">
        <v>4831</v>
      </c>
      <c r="O2328" s="50" t="s">
        <v>4831</v>
      </c>
      <c r="P2328" s="50" t="s">
        <v>4831</v>
      </c>
    </row>
    <row r="2329" spans="1:16" ht="12.75" customHeight="1" x14ac:dyDescent="0.25">
      <c r="A2329" s="311">
        <v>2326</v>
      </c>
      <c r="B2329" s="311" t="s">
        <v>63</v>
      </c>
      <c r="C2329" s="311" t="s">
        <v>63</v>
      </c>
      <c r="D2329" s="311" t="s">
        <v>462</v>
      </c>
      <c r="E2329" s="337" t="s">
        <v>63</v>
      </c>
      <c r="F2329" s="311" t="s">
        <v>122</v>
      </c>
      <c r="G2329" s="311" t="s">
        <v>236</v>
      </c>
      <c r="H2329" s="311" t="s">
        <v>402</v>
      </c>
      <c r="I2329" s="311" t="s">
        <v>66</v>
      </c>
      <c r="J2329" s="50" t="s">
        <v>1892</v>
      </c>
      <c r="K2329" s="50" t="s">
        <v>1892</v>
      </c>
      <c r="L2329" s="50" t="s">
        <v>1893</v>
      </c>
      <c r="M2329" s="50" t="s">
        <v>4834</v>
      </c>
      <c r="N2329" s="50" t="s">
        <v>4834</v>
      </c>
      <c r="O2329" s="50" t="s">
        <v>4831</v>
      </c>
      <c r="P2329" s="50" t="s">
        <v>4834</v>
      </c>
    </row>
    <row r="2330" spans="1:16" ht="12.75" customHeight="1" x14ac:dyDescent="0.25">
      <c r="A2330" s="311">
        <v>2327</v>
      </c>
      <c r="B2330" s="311" t="s">
        <v>140</v>
      </c>
      <c r="C2330" s="311" t="s">
        <v>140</v>
      </c>
      <c r="D2330" s="311" t="s">
        <v>462</v>
      </c>
      <c r="E2330" s="337" t="s">
        <v>140</v>
      </c>
      <c r="F2330" s="311" t="s">
        <v>122</v>
      </c>
      <c r="G2330" s="311" t="s">
        <v>236</v>
      </c>
      <c r="H2330" s="311" t="s">
        <v>402</v>
      </c>
      <c r="I2330" s="311" t="s">
        <v>66</v>
      </c>
      <c r="J2330" s="50" t="s">
        <v>1892</v>
      </c>
      <c r="K2330" s="50" t="s">
        <v>1892</v>
      </c>
      <c r="L2330" s="50" t="s">
        <v>1893</v>
      </c>
      <c r="M2330" s="50" t="s">
        <v>4835</v>
      </c>
      <c r="N2330" s="50" t="s">
        <v>4835</v>
      </c>
      <c r="O2330" s="50" t="s">
        <v>4831</v>
      </c>
      <c r="P2330" s="50" t="s">
        <v>4835</v>
      </c>
    </row>
    <row r="2331" spans="1:16" ht="12.75" customHeight="1" x14ac:dyDescent="0.25">
      <c r="A2331" s="311">
        <v>2328</v>
      </c>
      <c r="B2331" s="311" t="s">
        <v>121</v>
      </c>
      <c r="C2331" s="311" t="s">
        <v>121</v>
      </c>
      <c r="D2331" s="311" t="s">
        <v>462</v>
      </c>
      <c r="E2331" s="337" t="s">
        <v>121</v>
      </c>
      <c r="F2331" s="311" t="s">
        <v>122</v>
      </c>
      <c r="G2331" s="311" t="s">
        <v>236</v>
      </c>
      <c r="H2331" s="311" t="s">
        <v>402</v>
      </c>
      <c r="I2331" s="311" t="s">
        <v>66</v>
      </c>
      <c r="J2331" s="50" t="s">
        <v>1892</v>
      </c>
      <c r="K2331" s="50" t="s">
        <v>1892</v>
      </c>
      <c r="L2331" s="50" t="s">
        <v>1893</v>
      </c>
      <c r="M2331" s="50" t="s">
        <v>4836</v>
      </c>
      <c r="N2331" s="50" t="s">
        <v>4836</v>
      </c>
      <c r="O2331" s="50" t="s">
        <v>4831</v>
      </c>
      <c r="P2331" s="50" t="s">
        <v>4836</v>
      </c>
    </row>
    <row r="2332" spans="1:16" ht="12.75" customHeight="1" x14ac:dyDescent="0.25">
      <c r="A2332" s="311">
        <v>2329</v>
      </c>
      <c r="B2332" s="311" t="s">
        <v>87</v>
      </c>
      <c r="C2332" s="311" t="s">
        <v>87</v>
      </c>
      <c r="D2332" s="311" t="s">
        <v>462</v>
      </c>
      <c r="E2332" s="337" t="s">
        <v>87</v>
      </c>
      <c r="F2332" s="311" t="s">
        <v>122</v>
      </c>
      <c r="G2332" s="311" t="s">
        <v>236</v>
      </c>
      <c r="H2332" s="311" t="s">
        <v>402</v>
      </c>
      <c r="I2332" s="311" t="s">
        <v>66</v>
      </c>
      <c r="J2332" s="50" t="s">
        <v>1892</v>
      </c>
      <c r="K2332" s="50" t="s">
        <v>1892</v>
      </c>
      <c r="L2332" s="50" t="s">
        <v>1893</v>
      </c>
      <c r="M2332" s="50" t="s">
        <v>4837</v>
      </c>
      <c r="N2332" s="50" t="s">
        <v>4837</v>
      </c>
      <c r="O2332" s="50" t="s">
        <v>4831</v>
      </c>
      <c r="P2332" s="50" t="s">
        <v>4837</v>
      </c>
    </row>
    <row r="2333" spans="1:16" ht="12.75" customHeight="1" x14ac:dyDescent="0.25">
      <c r="A2333" s="311">
        <v>2330</v>
      </c>
      <c r="B2333" s="311" t="s">
        <v>125</v>
      </c>
      <c r="C2333" s="311" t="s">
        <v>125</v>
      </c>
      <c r="D2333" s="311" t="s">
        <v>125</v>
      </c>
      <c r="E2333" s="337" t="s">
        <v>125</v>
      </c>
      <c r="F2333" s="311" t="s">
        <v>122</v>
      </c>
      <c r="G2333" s="311" t="s">
        <v>236</v>
      </c>
      <c r="H2333" s="311" t="s">
        <v>402</v>
      </c>
      <c r="I2333" s="311" t="s">
        <v>66</v>
      </c>
      <c r="J2333" s="50" t="s">
        <v>1892</v>
      </c>
      <c r="K2333" s="50" t="s">
        <v>1892</v>
      </c>
      <c r="L2333" s="50" t="s">
        <v>1893</v>
      </c>
      <c r="M2333" s="50" t="s">
        <v>4838</v>
      </c>
      <c r="N2333" s="50" t="s">
        <v>4838</v>
      </c>
      <c r="O2333" s="50" t="s">
        <v>4838</v>
      </c>
      <c r="P2333" s="50" t="s">
        <v>4838</v>
      </c>
    </row>
    <row r="2334" spans="1:16" ht="12.75" customHeight="1" x14ac:dyDescent="0.25">
      <c r="A2334" s="311">
        <v>2331</v>
      </c>
      <c r="B2334" s="311" t="s">
        <v>134</v>
      </c>
      <c r="C2334" s="311" t="s">
        <v>134</v>
      </c>
      <c r="D2334" s="311" t="s">
        <v>134</v>
      </c>
      <c r="E2334" s="337" t="s">
        <v>134</v>
      </c>
      <c r="F2334" s="311" t="s">
        <v>122</v>
      </c>
      <c r="G2334" s="311" t="s">
        <v>236</v>
      </c>
      <c r="H2334" s="311" t="s">
        <v>402</v>
      </c>
      <c r="I2334" s="311" t="s">
        <v>66</v>
      </c>
      <c r="J2334" s="50" t="s">
        <v>1892</v>
      </c>
      <c r="K2334" s="50" t="s">
        <v>1892</v>
      </c>
      <c r="L2334" s="50" t="s">
        <v>1893</v>
      </c>
      <c r="M2334" s="50" t="s">
        <v>4839</v>
      </c>
      <c r="N2334" s="50" t="s">
        <v>4839</v>
      </c>
      <c r="O2334" s="50" t="s">
        <v>4839</v>
      </c>
      <c r="P2334" s="50" t="s">
        <v>4839</v>
      </c>
    </row>
    <row r="2335" spans="1:16" ht="12.75" customHeight="1" x14ac:dyDescent="0.25">
      <c r="A2335" s="311">
        <v>2332</v>
      </c>
      <c r="B2335" s="311" t="s">
        <v>141</v>
      </c>
      <c r="C2335" s="311" t="s">
        <v>141</v>
      </c>
      <c r="D2335" s="311" t="s">
        <v>141</v>
      </c>
      <c r="E2335" s="337" t="s">
        <v>141</v>
      </c>
      <c r="F2335" s="311" t="s">
        <v>122</v>
      </c>
      <c r="G2335" s="311" t="s">
        <v>236</v>
      </c>
      <c r="H2335" s="311" t="s">
        <v>402</v>
      </c>
      <c r="I2335" s="311" t="s">
        <v>66</v>
      </c>
      <c r="J2335" s="50" t="s">
        <v>1892</v>
      </c>
      <c r="K2335" s="50" t="s">
        <v>1892</v>
      </c>
      <c r="L2335" s="50" t="s">
        <v>1893</v>
      </c>
      <c r="M2335" s="50" t="s">
        <v>4840</v>
      </c>
      <c r="N2335" s="50" t="s">
        <v>4840</v>
      </c>
      <c r="O2335" s="50" t="s">
        <v>4840</v>
      </c>
      <c r="P2335" s="50" t="s">
        <v>4840</v>
      </c>
    </row>
    <row r="2336" spans="1:16" ht="12.75" customHeight="1" x14ac:dyDescent="0.25">
      <c r="A2336" s="311">
        <v>2333</v>
      </c>
      <c r="B2336" s="311" t="s">
        <v>69</v>
      </c>
      <c r="C2336" s="311" t="s">
        <v>69</v>
      </c>
      <c r="D2336" s="311" t="s">
        <v>69</v>
      </c>
      <c r="E2336" s="337" t="s">
        <v>69</v>
      </c>
      <c r="F2336" s="311" t="s">
        <v>122</v>
      </c>
      <c r="G2336" s="311" t="s">
        <v>236</v>
      </c>
      <c r="H2336" s="311" t="s">
        <v>402</v>
      </c>
      <c r="I2336" s="311" t="s">
        <v>66</v>
      </c>
      <c r="J2336" s="50" t="s">
        <v>1892</v>
      </c>
      <c r="K2336" s="50" t="s">
        <v>1892</v>
      </c>
      <c r="L2336" s="50" t="s">
        <v>1893</v>
      </c>
      <c r="M2336" s="50" t="s">
        <v>4841</v>
      </c>
      <c r="N2336" s="50" t="s">
        <v>4841</v>
      </c>
      <c r="O2336" s="50" t="s">
        <v>4841</v>
      </c>
      <c r="P2336" s="50" t="s">
        <v>4841</v>
      </c>
    </row>
    <row r="2337" spans="1:16" ht="12.75" customHeight="1" x14ac:dyDescent="0.25">
      <c r="A2337" s="311">
        <v>2334</v>
      </c>
      <c r="B2337" s="311" t="s">
        <v>84</v>
      </c>
      <c r="C2337" s="311" t="s">
        <v>462</v>
      </c>
      <c r="D2337" s="311" t="s">
        <v>462</v>
      </c>
      <c r="E2337" s="337" t="s">
        <v>462</v>
      </c>
      <c r="F2337" s="311" t="s">
        <v>122</v>
      </c>
      <c r="G2337" s="311" t="s">
        <v>23</v>
      </c>
      <c r="H2337" s="311" t="s">
        <v>402</v>
      </c>
      <c r="I2337" s="311" t="s">
        <v>66</v>
      </c>
      <c r="J2337" s="50" t="s">
        <v>1892</v>
      </c>
      <c r="K2337" s="50" t="s">
        <v>1892</v>
      </c>
      <c r="L2337" s="50" t="s">
        <v>1893</v>
      </c>
      <c r="M2337" s="50" t="s">
        <v>4842</v>
      </c>
      <c r="N2337" s="50" t="s">
        <v>4843</v>
      </c>
      <c r="O2337" s="50" t="s">
        <v>4843</v>
      </c>
      <c r="P2337" s="50" t="s">
        <v>4843</v>
      </c>
    </row>
    <row r="2338" spans="1:16" ht="12.75" customHeight="1" x14ac:dyDescent="0.25">
      <c r="A2338" s="311">
        <v>2335</v>
      </c>
      <c r="B2338" s="311" t="s">
        <v>123</v>
      </c>
      <c r="C2338" s="311" t="s">
        <v>462</v>
      </c>
      <c r="D2338" s="311" t="s">
        <v>462</v>
      </c>
      <c r="E2338" s="337" t="s">
        <v>462</v>
      </c>
      <c r="F2338" s="311" t="s">
        <v>122</v>
      </c>
      <c r="G2338" s="311" t="s">
        <v>23</v>
      </c>
      <c r="H2338" s="311" t="s">
        <v>402</v>
      </c>
      <c r="I2338" s="311" t="s">
        <v>66</v>
      </c>
      <c r="J2338" s="50" t="s">
        <v>1892</v>
      </c>
      <c r="K2338" s="50" t="s">
        <v>1892</v>
      </c>
      <c r="L2338" s="50" t="s">
        <v>1893</v>
      </c>
      <c r="M2338" s="50" t="s">
        <v>4844</v>
      </c>
      <c r="N2338" s="50" t="s">
        <v>4843</v>
      </c>
      <c r="O2338" s="50" t="s">
        <v>4843</v>
      </c>
      <c r="P2338" s="50" t="s">
        <v>4843</v>
      </c>
    </row>
    <row r="2339" spans="1:16" ht="12.75" customHeight="1" x14ac:dyDescent="0.25">
      <c r="A2339" s="311">
        <v>2336</v>
      </c>
      <c r="B2339" s="311" t="s">
        <v>75</v>
      </c>
      <c r="C2339" s="311" t="s">
        <v>462</v>
      </c>
      <c r="D2339" s="311" t="s">
        <v>462</v>
      </c>
      <c r="E2339" s="337" t="s">
        <v>462</v>
      </c>
      <c r="F2339" s="311" t="s">
        <v>122</v>
      </c>
      <c r="G2339" s="311" t="s">
        <v>23</v>
      </c>
      <c r="H2339" s="311" t="s">
        <v>402</v>
      </c>
      <c r="I2339" s="311" t="s">
        <v>66</v>
      </c>
      <c r="J2339" s="50" t="s">
        <v>1892</v>
      </c>
      <c r="K2339" s="50" t="s">
        <v>1892</v>
      </c>
      <c r="L2339" s="50" t="s">
        <v>1893</v>
      </c>
      <c r="M2339" s="50" t="s">
        <v>4845</v>
      </c>
      <c r="N2339" s="50" t="s">
        <v>4843</v>
      </c>
      <c r="O2339" s="50" t="s">
        <v>4843</v>
      </c>
      <c r="P2339" s="50" t="s">
        <v>4843</v>
      </c>
    </row>
    <row r="2340" spans="1:16" ht="12.75" customHeight="1" x14ac:dyDescent="0.25">
      <c r="A2340" s="311">
        <v>2337</v>
      </c>
      <c r="B2340" s="311" t="s">
        <v>63</v>
      </c>
      <c r="C2340" s="311" t="s">
        <v>63</v>
      </c>
      <c r="D2340" s="311" t="s">
        <v>462</v>
      </c>
      <c r="E2340" s="337" t="s">
        <v>63</v>
      </c>
      <c r="F2340" s="311" t="s">
        <v>122</v>
      </c>
      <c r="G2340" s="311" t="s">
        <v>23</v>
      </c>
      <c r="H2340" s="311" t="s">
        <v>402</v>
      </c>
      <c r="I2340" s="311" t="s">
        <v>66</v>
      </c>
      <c r="J2340" s="50" t="s">
        <v>1892</v>
      </c>
      <c r="K2340" s="50" t="s">
        <v>1892</v>
      </c>
      <c r="L2340" s="50" t="s">
        <v>1893</v>
      </c>
      <c r="M2340" s="50" t="s">
        <v>4846</v>
      </c>
      <c r="N2340" s="50" t="s">
        <v>4846</v>
      </c>
      <c r="O2340" s="50" t="s">
        <v>4843</v>
      </c>
      <c r="P2340" s="50" t="s">
        <v>4846</v>
      </c>
    </row>
    <row r="2341" spans="1:16" ht="12.75" customHeight="1" x14ac:dyDescent="0.25">
      <c r="A2341" s="311">
        <v>2338</v>
      </c>
      <c r="B2341" s="311" t="s">
        <v>140</v>
      </c>
      <c r="C2341" s="311" t="s">
        <v>140</v>
      </c>
      <c r="D2341" s="311" t="s">
        <v>462</v>
      </c>
      <c r="E2341" s="337" t="s">
        <v>140</v>
      </c>
      <c r="F2341" s="311" t="s">
        <v>122</v>
      </c>
      <c r="G2341" s="311" t="s">
        <v>23</v>
      </c>
      <c r="H2341" s="311" t="s">
        <v>402</v>
      </c>
      <c r="I2341" s="311" t="s">
        <v>66</v>
      </c>
      <c r="J2341" s="50" t="s">
        <v>1892</v>
      </c>
      <c r="K2341" s="50" t="s">
        <v>1892</v>
      </c>
      <c r="L2341" s="50" t="s">
        <v>1893</v>
      </c>
      <c r="M2341" s="50" t="s">
        <v>4847</v>
      </c>
      <c r="N2341" s="50" t="s">
        <v>4847</v>
      </c>
      <c r="O2341" s="50" t="s">
        <v>4843</v>
      </c>
      <c r="P2341" s="50" t="s">
        <v>4847</v>
      </c>
    </row>
    <row r="2342" spans="1:16" ht="12.75" customHeight="1" x14ac:dyDescent="0.25">
      <c r="A2342" s="311">
        <v>2339</v>
      </c>
      <c r="B2342" s="311" t="s">
        <v>121</v>
      </c>
      <c r="C2342" s="311" t="s">
        <v>121</v>
      </c>
      <c r="D2342" s="311" t="s">
        <v>462</v>
      </c>
      <c r="E2342" s="337" t="s">
        <v>121</v>
      </c>
      <c r="F2342" s="311" t="s">
        <v>122</v>
      </c>
      <c r="G2342" s="311" t="s">
        <v>23</v>
      </c>
      <c r="H2342" s="311" t="s">
        <v>402</v>
      </c>
      <c r="I2342" s="311" t="s">
        <v>66</v>
      </c>
      <c r="J2342" s="50" t="s">
        <v>1892</v>
      </c>
      <c r="K2342" s="50" t="s">
        <v>1892</v>
      </c>
      <c r="L2342" s="50" t="s">
        <v>1893</v>
      </c>
      <c r="M2342" s="50" t="s">
        <v>4848</v>
      </c>
      <c r="N2342" s="50" t="s">
        <v>4848</v>
      </c>
      <c r="O2342" s="50" t="s">
        <v>4843</v>
      </c>
      <c r="P2342" s="50" t="s">
        <v>4848</v>
      </c>
    </row>
    <row r="2343" spans="1:16" ht="12.75" customHeight="1" x14ac:dyDescent="0.25">
      <c r="A2343" s="311">
        <v>2340</v>
      </c>
      <c r="B2343" s="311" t="s">
        <v>87</v>
      </c>
      <c r="C2343" s="311" t="s">
        <v>87</v>
      </c>
      <c r="D2343" s="311" t="s">
        <v>462</v>
      </c>
      <c r="E2343" s="337" t="s">
        <v>87</v>
      </c>
      <c r="F2343" s="311" t="s">
        <v>122</v>
      </c>
      <c r="G2343" s="311" t="s">
        <v>23</v>
      </c>
      <c r="H2343" s="311" t="s">
        <v>402</v>
      </c>
      <c r="I2343" s="311" t="s">
        <v>66</v>
      </c>
      <c r="J2343" s="50" t="s">
        <v>1892</v>
      </c>
      <c r="K2343" s="50" t="s">
        <v>1892</v>
      </c>
      <c r="L2343" s="50" t="s">
        <v>1893</v>
      </c>
      <c r="M2343" s="50" t="s">
        <v>4849</v>
      </c>
      <c r="N2343" s="50" t="s">
        <v>4849</v>
      </c>
      <c r="O2343" s="50" t="s">
        <v>4843</v>
      </c>
      <c r="P2343" s="50" t="s">
        <v>4849</v>
      </c>
    </row>
    <row r="2344" spans="1:16" ht="12.75" customHeight="1" x14ac:dyDescent="0.25">
      <c r="A2344" s="311">
        <v>2341</v>
      </c>
      <c r="B2344" s="311" t="s">
        <v>125</v>
      </c>
      <c r="C2344" s="311" t="s">
        <v>125</v>
      </c>
      <c r="D2344" s="311" t="s">
        <v>125</v>
      </c>
      <c r="E2344" s="337" t="s">
        <v>125</v>
      </c>
      <c r="F2344" s="311" t="s">
        <v>122</v>
      </c>
      <c r="G2344" s="311" t="s">
        <v>23</v>
      </c>
      <c r="H2344" s="311" t="s">
        <v>402</v>
      </c>
      <c r="I2344" s="311" t="s">
        <v>66</v>
      </c>
      <c r="J2344" s="50" t="s">
        <v>1892</v>
      </c>
      <c r="K2344" s="50" t="s">
        <v>1892</v>
      </c>
      <c r="L2344" s="50" t="s">
        <v>1893</v>
      </c>
      <c r="M2344" s="50" t="s">
        <v>4850</v>
      </c>
      <c r="N2344" s="50" t="s">
        <v>4850</v>
      </c>
      <c r="O2344" s="50" t="s">
        <v>4850</v>
      </c>
      <c r="P2344" s="50" t="s">
        <v>4850</v>
      </c>
    </row>
    <row r="2345" spans="1:16" ht="12.75" customHeight="1" x14ac:dyDescent="0.25">
      <c r="A2345" s="311">
        <v>2342</v>
      </c>
      <c r="B2345" s="311" t="s">
        <v>134</v>
      </c>
      <c r="C2345" s="311" t="s">
        <v>134</v>
      </c>
      <c r="D2345" s="311" t="s">
        <v>134</v>
      </c>
      <c r="E2345" s="337" t="s">
        <v>134</v>
      </c>
      <c r="F2345" s="311" t="s">
        <v>122</v>
      </c>
      <c r="G2345" s="311" t="s">
        <v>23</v>
      </c>
      <c r="H2345" s="311" t="s">
        <v>402</v>
      </c>
      <c r="I2345" s="311" t="s">
        <v>66</v>
      </c>
      <c r="J2345" s="50" t="s">
        <v>1892</v>
      </c>
      <c r="K2345" s="50" t="s">
        <v>1892</v>
      </c>
      <c r="L2345" s="50" t="s">
        <v>1893</v>
      </c>
      <c r="M2345" s="50" t="s">
        <v>4851</v>
      </c>
      <c r="N2345" s="50" t="s">
        <v>4851</v>
      </c>
      <c r="O2345" s="50" t="s">
        <v>4851</v>
      </c>
      <c r="P2345" s="50" t="s">
        <v>4851</v>
      </c>
    </row>
    <row r="2346" spans="1:16" ht="12.75" customHeight="1" x14ac:dyDescent="0.25">
      <c r="A2346" s="311">
        <v>2343</v>
      </c>
      <c r="B2346" s="311" t="s">
        <v>141</v>
      </c>
      <c r="C2346" s="311" t="s">
        <v>141</v>
      </c>
      <c r="D2346" s="311" t="s">
        <v>141</v>
      </c>
      <c r="E2346" s="337" t="s">
        <v>141</v>
      </c>
      <c r="F2346" s="311" t="s">
        <v>122</v>
      </c>
      <c r="G2346" s="311" t="s">
        <v>23</v>
      </c>
      <c r="H2346" s="311" t="s">
        <v>402</v>
      </c>
      <c r="I2346" s="311" t="s">
        <v>66</v>
      </c>
      <c r="J2346" s="50" t="s">
        <v>1892</v>
      </c>
      <c r="K2346" s="50" t="s">
        <v>1892</v>
      </c>
      <c r="L2346" s="50" t="s">
        <v>1893</v>
      </c>
      <c r="M2346" s="50" t="s">
        <v>4852</v>
      </c>
      <c r="N2346" s="50" t="s">
        <v>4852</v>
      </c>
      <c r="O2346" s="50" t="s">
        <v>4852</v>
      </c>
      <c r="P2346" s="50" t="s">
        <v>4852</v>
      </c>
    </row>
    <row r="2347" spans="1:16" ht="12.75" customHeight="1" x14ac:dyDescent="0.25">
      <c r="A2347" s="311">
        <v>2344</v>
      </c>
      <c r="B2347" s="311" t="s">
        <v>69</v>
      </c>
      <c r="C2347" s="311" t="s">
        <v>69</v>
      </c>
      <c r="D2347" s="311" t="s">
        <v>69</v>
      </c>
      <c r="E2347" s="337" t="s">
        <v>69</v>
      </c>
      <c r="F2347" s="311" t="s">
        <v>122</v>
      </c>
      <c r="G2347" s="311" t="s">
        <v>23</v>
      </c>
      <c r="H2347" s="311" t="s">
        <v>402</v>
      </c>
      <c r="I2347" s="311" t="s">
        <v>66</v>
      </c>
      <c r="J2347" s="50" t="s">
        <v>1892</v>
      </c>
      <c r="K2347" s="50" t="s">
        <v>1892</v>
      </c>
      <c r="L2347" s="50" t="s">
        <v>1893</v>
      </c>
      <c r="M2347" s="50" t="s">
        <v>4853</v>
      </c>
      <c r="N2347" s="50" t="s">
        <v>4853</v>
      </c>
      <c r="O2347" s="50" t="s">
        <v>4853</v>
      </c>
      <c r="P2347" s="50" t="s">
        <v>4853</v>
      </c>
    </row>
    <row r="2348" spans="1:16" ht="12.75" customHeight="1" x14ac:dyDescent="0.25">
      <c r="A2348" s="311">
        <v>2345</v>
      </c>
      <c r="B2348" s="311" t="s">
        <v>84</v>
      </c>
      <c r="C2348" s="311" t="s">
        <v>462</v>
      </c>
      <c r="D2348" s="311" t="s">
        <v>462</v>
      </c>
      <c r="E2348" s="337" t="s">
        <v>462</v>
      </c>
      <c r="F2348" s="311" t="s">
        <v>122</v>
      </c>
      <c r="G2348" s="311" t="s">
        <v>237</v>
      </c>
      <c r="H2348" s="311" t="s">
        <v>402</v>
      </c>
      <c r="I2348" s="311" t="s">
        <v>66</v>
      </c>
      <c r="J2348" s="50" t="s">
        <v>1892</v>
      </c>
      <c r="K2348" s="50" t="s">
        <v>1892</v>
      </c>
      <c r="L2348" s="50" t="s">
        <v>1893</v>
      </c>
      <c r="M2348" s="50" t="s">
        <v>4854</v>
      </c>
      <c r="N2348" s="50" t="s">
        <v>4855</v>
      </c>
      <c r="O2348" s="50" t="s">
        <v>4855</v>
      </c>
      <c r="P2348" s="50" t="s">
        <v>4855</v>
      </c>
    </row>
    <row r="2349" spans="1:16" ht="12.75" customHeight="1" x14ac:dyDescent="0.25">
      <c r="A2349" s="311">
        <v>2346</v>
      </c>
      <c r="B2349" s="311" t="s">
        <v>123</v>
      </c>
      <c r="C2349" s="311" t="s">
        <v>462</v>
      </c>
      <c r="D2349" s="311" t="s">
        <v>462</v>
      </c>
      <c r="E2349" s="337" t="s">
        <v>462</v>
      </c>
      <c r="F2349" s="311" t="s">
        <v>122</v>
      </c>
      <c r="G2349" s="311" t="s">
        <v>237</v>
      </c>
      <c r="H2349" s="311" t="s">
        <v>402</v>
      </c>
      <c r="I2349" s="311" t="s">
        <v>66</v>
      </c>
      <c r="J2349" s="50" t="s">
        <v>1892</v>
      </c>
      <c r="K2349" s="50" t="s">
        <v>1892</v>
      </c>
      <c r="L2349" s="50" t="s">
        <v>1893</v>
      </c>
      <c r="M2349" s="50" t="s">
        <v>4856</v>
      </c>
      <c r="N2349" s="50" t="s">
        <v>4855</v>
      </c>
      <c r="O2349" s="50" t="s">
        <v>4855</v>
      </c>
      <c r="P2349" s="50" t="s">
        <v>4855</v>
      </c>
    </row>
    <row r="2350" spans="1:16" ht="12.75" customHeight="1" x14ac:dyDescent="0.25">
      <c r="A2350" s="311">
        <v>2347</v>
      </c>
      <c r="B2350" s="311" t="s">
        <v>75</v>
      </c>
      <c r="C2350" s="311" t="s">
        <v>462</v>
      </c>
      <c r="D2350" s="311" t="s">
        <v>462</v>
      </c>
      <c r="E2350" s="337" t="s">
        <v>462</v>
      </c>
      <c r="F2350" s="311" t="s">
        <v>122</v>
      </c>
      <c r="G2350" s="311" t="s">
        <v>237</v>
      </c>
      <c r="H2350" s="311" t="s">
        <v>402</v>
      </c>
      <c r="I2350" s="311" t="s">
        <v>66</v>
      </c>
      <c r="J2350" s="50" t="s">
        <v>1892</v>
      </c>
      <c r="K2350" s="50" t="s">
        <v>1892</v>
      </c>
      <c r="L2350" s="50" t="s">
        <v>1893</v>
      </c>
      <c r="M2350" s="50" t="s">
        <v>4857</v>
      </c>
      <c r="N2350" s="50" t="s">
        <v>4855</v>
      </c>
      <c r="O2350" s="50" t="s">
        <v>4855</v>
      </c>
      <c r="P2350" s="50" t="s">
        <v>4855</v>
      </c>
    </row>
    <row r="2351" spans="1:16" ht="12.75" customHeight="1" x14ac:dyDescent="0.25">
      <c r="A2351" s="311">
        <v>2348</v>
      </c>
      <c r="B2351" s="311" t="s">
        <v>63</v>
      </c>
      <c r="C2351" s="311" t="s">
        <v>63</v>
      </c>
      <c r="D2351" s="311" t="s">
        <v>462</v>
      </c>
      <c r="E2351" s="337" t="s">
        <v>63</v>
      </c>
      <c r="F2351" s="311" t="s">
        <v>122</v>
      </c>
      <c r="G2351" s="311" t="s">
        <v>237</v>
      </c>
      <c r="H2351" s="311" t="s">
        <v>402</v>
      </c>
      <c r="I2351" s="311" t="s">
        <v>66</v>
      </c>
      <c r="J2351" s="50" t="s">
        <v>1892</v>
      </c>
      <c r="K2351" s="50" t="s">
        <v>1892</v>
      </c>
      <c r="L2351" s="50" t="s">
        <v>1893</v>
      </c>
      <c r="M2351" s="50" t="s">
        <v>4858</v>
      </c>
      <c r="N2351" s="50" t="s">
        <v>4858</v>
      </c>
      <c r="O2351" s="50" t="s">
        <v>4855</v>
      </c>
      <c r="P2351" s="50" t="s">
        <v>4858</v>
      </c>
    </row>
    <row r="2352" spans="1:16" ht="12.75" customHeight="1" x14ac:dyDescent="0.25">
      <c r="A2352" s="311">
        <v>2349</v>
      </c>
      <c r="B2352" s="311" t="s">
        <v>140</v>
      </c>
      <c r="C2352" s="311" t="s">
        <v>140</v>
      </c>
      <c r="D2352" s="311" t="s">
        <v>462</v>
      </c>
      <c r="E2352" s="337" t="s">
        <v>140</v>
      </c>
      <c r="F2352" s="311" t="s">
        <v>122</v>
      </c>
      <c r="G2352" s="311" t="s">
        <v>237</v>
      </c>
      <c r="H2352" s="311" t="s">
        <v>402</v>
      </c>
      <c r="I2352" s="311" t="s">
        <v>66</v>
      </c>
      <c r="J2352" s="50" t="s">
        <v>1892</v>
      </c>
      <c r="K2352" s="50" t="s">
        <v>1892</v>
      </c>
      <c r="L2352" s="50" t="s">
        <v>1893</v>
      </c>
      <c r="M2352" s="50" t="s">
        <v>4859</v>
      </c>
      <c r="N2352" s="50" t="s">
        <v>4859</v>
      </c>
      <c r="O2352" s="50" t="s">
        <v>4855</v>
      </c>
      <c r="P2352" s="50" t="s">
        <v>4859</v>
      </c>
    </row>
    <row r="2353" spans="1:16" ht="12.75" customHeight="1" x14ac:dyDescent="0.25">
      <c r="A2353" s="311">
        <v>2350</v>
      </c>
      <c r="B2353" s="311" t="s">
        <v>121</v>
      </c>
      <c r="C2353" s="311" t="s">
        <v>121</v>
      </c>
      <c r="D2353" s="311" t="s">
        <v>462</v>
      </c>
      <c r="E2353" s="337" t="s">
        <v>121</v>
      </c>
      <c r="F2353" s="311" t="s">
        <v>122</v>
      </c>
      <c r="G2353" s="311" t="s">
        <v>237</v>
      </c>
      <c r="H2353" s="311" t="s">
        <v>402</v>
      </c>
      <c r="I2353" s="311" t="s">
        <v>66</v>
      </c>
      <c r="J2353" s="50" t="s">
        <v>1892</v>
      </c>
      <c r="K2353" s="50" t="s">
        <v>1892</v>
      </c>
      <c r="L2353" s="50" t="s">
        <v>1893</v>
      </c>
      <c r="M2353" s="50" t="s">
        <v>4860</v>
      </c>
      <c r="N2353" s="50" t="s">
        <v>4860</v>
      </c>
      <c r="O2353" s="50" t="s">
        <v>4855</v>
      </c>
      <c r="P2353" s="50" t="s">
        <v>4860</v>
      </c>
    </row>
    <row r="2354" spans="1:16" ht="12.75" customHeight="1" x14ac:dyDescent="0.25">
      <c r="A2354" s="311">
        <v>2351</v>
      </c>
      <c r="B2354" s="311" t="s">
        <v>87</v>
      </c>
      <c r="C2354" s="311" t="s">
        <v>87</v>
      </c>
      <c r="D2354" s="311" t="s">
        <v>462</v>
      </c>
      <c r="E2354" s="337" t="s">
        <v>87</v>
      </c>
      <c r="F2354" s="311" t="s">
        <v>122</v>
      </c>
      <c r="G2354" s="311" t="s">
        <v>237</v>
      </c>
      <c r="H2354" s="311" t="s">
        <v>402</v>
      </c>
      <c r="I2354" s="311" t="s">
        <v>66</v>
      </c>
      <c r="J2354" s="50" t="s">
        <v>1892</v>
      </c>
      <c r="K2354" s="50" t="s">
        <v>1892</v>
      </c>
      <c r="L2354" s="50" t="s">
        <v>1893</v>
      </c>
      <c r="M2354" s="50" t="s">
        <v>4861</v>
      </c>
      <c r="N2354" s="50" t="s">
        <v>4861</v>
      </c>
      <c r="O2354" s="50" t="s">
        <v>4855</v>
      </c>
      <c r="P2354" s="50" t="s">
        <v>4861</v>
      </c>
    </row>
    <row r="2355" spans="1:16" ht="12.75" customHeight="1" x14ac:dyDescent="0.25">
      <c r="A2355" s="311">
        <v>2352</v>
      </c>
      <c r="B2355" s="311" t="s">
        <v>125</v>
      </c>
      <c r="C2355" s="311" t="s">
        <v>125</v>
      </c>
      <c r="D2355" s="311" t="s">
        <v>125</v>
      </c>
      <c r="E2355" s="337" t="s">
        <v>125</v>
      </c>
      <c r="F2355" s="311" t="s">
        <v>122</v>
      </c>
      <c r="G2355" s="311" t="s">
        <v>237</v>
      </c>
      <c r="H2355" s="311" t="s">
        <v>402</v>
      </c>
      <c r="I2355" s="311" t="s">
        <v>66</v>
      </c>
      <c r="J2355" s="50" t="s">
        <v>1892</v>
      </c>
      <c r="K2355" s="50" t="s">
        <v>1892</v>
      </c>
      <c r="L2355" s="50" t="s">
        <v>1893</v>
      </c>
      <c r="M2355" s="50" t="s">
        <v>4862</v>
      </c>
      <c r="N2355" s="50" t="s">
        <v>4862</v>
      </c>
      <c r="O2355" s="50" t="s">
        <v>4862</v>
      </c>
      <c r="P2355" s="50" t="s">
        <v>4862</v>
      </c>
    </row>
    <row r="2356" spans="1:16" ht="12.75" customHeight="1" x14ac:dyDescent="0.25">
      <c r="A2356" s="311">
        <v>2353</v>
      </c>
      <c r="B2356" s="311" t="s">
        <v>134</v>
      </c>
      <c r="C2356" s="311" t="s">
        <v>134</v>
      </c>
      <c r="D2356" s="311" t="s">
        <v>134</v>
      </c>
      <c r="E2356" s="337" t="s">
        <v>134</v>
      </c>
      <c r="F2356" s="311" t="s">
        <v>122</v>
      </c>
      <c r="G2356" s="311" t="s">
        <v>237</v>
      </c>
      <c r="H2356" s="311" t="s">
        <v>402</v>
      </c>
      <c r="I2356" s="311" t="s">
        <v>66</v>
      </c>
      <c r="J2356" s="50" t="s">
        <v>1892</v>
      </c>
      <c r="K2356" s="50" t="s">
        <v>1892</v>
      </c>
      <c r="L2356" s="50" t="s">
        <v>1893</v>
      </c>
      <c r="M2356" s="50" t="s">
        <v>4863</v>
      </c>
      <c r="N2356" s="50" t="s">
        <v>4863</v>
      </c>
      <c r="O2356" s="50" t="s">
        <v>4863</v>
      </c>
      <c r="P2356" s="50" t="s">
        <v>4863</v>
      </c>
    </row>
    <row r="2357" spans="1:16" ht="12.75" customHeight="1" x14ac:dyDescent="0.25">
      <c r="A2357" s="311">
        <v>2354</v>
      </c>
      <c r="B2357" s="311" t="s">
        <v>141</v>
      </c>
      <c r="C2357" s="311" t="s">
        <v>141</v>
      </c>
      <c r="D2357" s="311" t="s">
        <v>141</v>
      </c>
      <c r="E2357" s="337" t="s">
        <v>141</v>
      </c>
      <c r="F2357" s="311" t="s">
        <v>122</v>
      </c>
      <c r="G2357" s="311" t="s">
        <v>237</v>
      </c>
      <c r="H2357" s="311" t="s">
        <v>402</v>
      </c>
      <c r="I2357" s="311" t="s">
        <v>66</v>
      </c>
      <c r="J2357" s="50" t="s">
        <v>1892</v>
      </c>
      <c r="K2357" s="50" t="s">
        <v>1892</v>
      </c>
      <c r="L2357" s="50" t="s">
        <v>1893</v>
      </c>
      <c r="M2357" s="50" t="s">
        <v>4864</v>
      </c>
      <c r="N2357" s="50" t="s">
        <v>4864</v>
      </c>
      <c r="O2357" s="50" t="s">
        <v>4864</v>
      </c>
      <c r="P2357" s="50" t="s">
        <v>4864</v>
      </c>
    </row>
    <row r="2358" spans="1:16" ht="12.75" customHeight="1" x14ac:dyDescent="0.25">
      <c r="A2358" s="311">
        <v>2355</v>
      </c>
      <c r="B2358" s="311" t="s">
        <v>69</v>
      </c>
      <c r="C2358" s="311" t="s">
        <v>69</v>
      </c>
      <c r="D2358" s="311" t="s">
        <v>69</v>
      </c>
      <c r="E2358" s="337" t="s">
        <v>69</v>
      </c>
      <c r="F2358" s="311" t="s">
        <v>122</v>
      </c>
      <c r="G2358" s="311" t="s">
        <v>237</v>
      </c>
      <c r="H2358" s="311" t="s">
        <v>402</v>
      </c>
      <c r="I2358" s="311" t="s">
        <v>66</v>
      </c>
      <c r="J2358" s="50" t="s">
        <v>1892</v>
      </c>
      <c r="K2358" s="50" t="s">
        <v>1892</v>
      </c>
      <c r="L2358" s="50" t="s">
        <v>1893</v>
      </c>
      <c r="M2358" s="50" t="s">
        <v>4865</v>
      </c>
      <c r="N2358" s="50" t="s">
        <v>4865</v>
      </c>
      <c r="O2358" s="50" t="s">
        <v>4865</v>
      </c>
      <c r="P2358" s="50" t="s">
        <v>4865</v>
      </c>
    </row>
    <row r="2359" spans="1:16" ht="12.75" customHeight="1" x14ac:dyDescent="0.25">
      <c r="A2359" s="311">
        <v>2356</v>
      </c>
      <c r="B2359" s="311" t="s">
        <v>84</v>
      </c>
      <c r="C2359" s="311" t="s">
        <v>462</v>
      </c>
      <c r="D2359" s="311" t="s">
        <v>462</v>
      </c>
      <c r="E2359" s="337" t="s">
        <v>462</v>
      </c>
      <c r="F2359" s="311" t="s">
        <v>135</v>
      </c>
      <c r="G2359" s="311" t="s">
        <v>236</v>
      </c>
      <c r="H2359" s="311" t="s">
        <v>403</v>
      </c>
      <c r="I2359" s="311" t="s">
        <v>66</v>
      </c>
      <c r="J2359" s="50" t="s">
        <v>1892</v>
      </c>
      <c r="K2359" s="50" t="s">
        <v>1892</v>
      </c>
      <c r="L2359" s="50" t="s">
        <v>1893</v>
      </c>
      <c r="M2359" s="50" t="s">
        <v>4866</v>
      </c>
      <c r="N2359" s="50" t="s">
        <v>4867</v>
      </c>
      <c r="O2359" s="50" t="s">
        <v>4867</v>
      </c>
      <c r="P2359" s="50" t="s">
        <v>4867</v>
      </c>
    </row>
    <row r="2360" spans="1:16" ht="12.75" customHeight="1" x14ac:dyDescent="0.25">
      <c r="A2360" s="311">
        <v>2357</v>
      </c>
      <c r="B2360" s="311" t="s">
        <v>123</v>
      </c>
      <c r="C2360" s="311" t="s">
        <v>462</v>
      </c>
      <c r="D2360" s="311" t="s">
        <v>462</v>
      </c>
      <c r="E2360" s="337" t="s">
        <v>462</v>
      </c>
      <c r="F2360" s="311" t="s">
        <v>135</v>
      </c>
      <c r="G2360" s="311" t="s">
        <v>236</v>
      </c>
      <c r="H2360" s="311" t="s">
        <v>403</v>
      </c>
      <c r="I2360" s="311" t="s">
        <v>66</v>
      </c>
      <c r="J2360" s="50" t="s">
        <v>1892</v>
      </c>
      <c r="K2360" s="50" t="s">
        <v>1892</v>
      </c>
      <c r="L2360" s="50" t="s">
        <v>1893</v>
      </c>
      <c r="M2360" s="50" t="s">
        <v>4868</v>
      </c>
      <c r="N2360" s="50" t="s">
        <v>4867</v>
      </c>
      <c r="O2360" s="50" t="s">
        <v>4867</v>
      </c>
      <c r="P2360" s="50" t="s">
        <v>4867</v>
      </c>
    </row>
    <row r="2361" spans="1:16" ht="12.75" customHeight="1" x14ac:dyDescent="0.25">
      <c r="A2361" s="311">
        <v>2358</v>
      </c>
      <c r="B2361" s="311" t="s">
        <v>75</v>
      </c>
      <c r="C2361" s="311" t="s">
        <v>462</v>
      </c>
      <c r="D2361" s="311" t="s">
        <v>462</v>
      </c>
      <c r="E2361" s="337" t="s">
        <v>462</v>
      </c>
      <c r="F2361" s="311" t="s">
        <v>135</v>
      </c>
      <c r="G2361" s="311" t="s">
        <v>236</v>
      </c>
      <c r="H2361" s="311" t="s">
        <v>403</v>
      </c>
      <c r="I2361" s="311" t="s">
        <v>66</v>
      </c>
      <c r="J2361" s="50" t="s">
        <v>1892</v>
      </c>
      <c r="K2361" s="50" t="s">
        <v>1892</v>
      </c>
      <c r="L2361" s="50" t="s">
        <v>1893</v>
      </c>
      <c r="M2361" s="50" t="s">
        <v>4869</v>
      </c>
      <c r="N2361" s="50" t="s">
        <v>4867</v>
      </c>
      <c r="O2361" s="50" t="s">
        <v>4867</v>
      </c>
      <c r="P2361" s="50" t="s">
        <v>4867</v>
      </c>
    </row>
    <row r="2362" spans="1:16" ht="12.75" customHeight="1" x14ac:dyDescent="0.25">
      <c r="A2362" s="311">
        <v>2359</v>
      </c>
      <c r="B2362" s="311" t="s">
        <v>63</v>
      </c>
      <c r="C2362" s="311" t="s">
        <v>63</v>
      </c>
      <c r="D2362" s="311" t="s">
        <v>462</v>
      </c>
      <c r="E2362" s="337" t="s">
        <v>63</v>
      </c>
      <c r="F2362" s="311" t="s">
        <v>135</v>
      </c>
      <c r="G2362" s="311" t="s">
        <v>236</v>
      </c>
      <c r="H2362" s="311" t="s">
        <v>403</v>
      </c>
      <c r="I2362" s="311" t="s">
        <v>66</v>
      </c>
      <c r="J2362" s="50" t="s">
        <v>1892</v>
      </c>
      <c r="K2362" s="50" t="s">
        <v>1892</v>
      </c>
      <c r="L2362" s="50" t="s">
        <v>1893</v>
      </c>
      <c r="M2362" s="50" t="s">
        <v>4870</v>
      </c>
      <c r="N2362" s="50" t="s">
        <v>4870</v>
      </c>
      <c r="O2362" s="50" t="s">
        <v>4867</v>
      </c>
      <c r="P2362" s="50" t="s">
        <v>4870</v>
      </c>
    </row>
    <row r="2363" spans="1:16" ht="12.75" customHeight="1" x14ac:dyDescent="0.25">
      <c r="A2363" s="311">
        <v>2360</v>
      </c>
      <c r="B2363" s="311" t="s">
        <v>140</v>
      </c>
      <c r="C2363" s="311" t="s">
        <v>140</v>
      </c>
      <c r="D2363" s="311" t="s">
        <v>462</v>
      </c>
      <c r="E2363" s="337" t="s">
        <v>140</v>
      </c>
      <c r="F2363" s="311" t="s">
        <v>135</v>
      </c>
      <c r="G2363" s="311" t="s">
        <v>236</v>
      </c>
      <c r="H2363" s="311" t="s">
        <v>403</v>
      </c>
      <c r="I2363" s="311" t="s">
        <v>66</v>
      </c>
      <c r="J2363" s="50" t="s">
        <v>1892</v>
      </c>
      <c r="K2363" s="50" t="s">
        <v>1892</v>
      </c>
      <c r="L2363" s="50" t="s">
        <v>1893</v>
      </c>
      <c r="M2363" s="50" t="s">
        <v>4871</v>
      </c>
      <c r="N2363" s="50" t="s">
        <v>4871</v>
      </c>
      <c r="O2363" s="50" t="s">
        <v>4867</v>
      </c>
      <c r="P2363" s="50" t="s">
        <v>4871</v>
      </c>
    </row>
    <row r="2364" spans="1:16" ht="12.75" customHeight="1" x14ac:dyDescent="0.25">
      <c r="A2364" s="311">
        <v>2361</v>
      </c>
      <c r="B2364" s="311" t="s">
        <v>121</v>
      </c>
      <c r="C2364" s="311" t="s">
        <v>121</v>
      </c>
      <c r="D2364" s="311" t="s">
        <v>462</v>
      </c>
      <c r="E2364" s="337" t="s">
        <v>121</v>
      </c>
      <c r="F2364" s="311" t="s">
        <v>135</v>
      </c>
      <c r="G2364" s="311" t="s">
        <v>236</v>
      </c>
      <c r="H2364" s="311" t="s">
        <v>403</v>
      </c>
      <c r="I2364" s="311" t="s">
        <v>66</v>
      </c>
      <c r="J2364" s="50" t="s">
        <v>1892</v>
      </c>
      <c r="K2364" s="50" t="s">
        <v>1892</v>
      </c>
      <c r="L2364" s="50" t="s">
        <v>1893</v>
      </c>
      <c r="M2364" s="50" t="s">
        <v>4872</v>
      </c>
      <c r="N2364" s="50" t="s">
        <v>4872</v>
      </c>
      <c r="O2364" s="50" t="s">
        <v>4867</v>
      </c>
      <c r="P2364" s="50" t="s">
        <v>4872</v>
      </c>
    </row>
    <row r="2365" spans="1:16" ht="12.75" customHeight="1" x14ac:dyDescent="0.25">
      <c r="A2365" s="311">
        <v>2362</v>
      </c>
      <c r="B2365" s="311" t="s">
        <v>87</v>
      </c>
      <c r="C2365" s="311" t="s">
        <v>87</v>
      </c>
      <c r="D2365" s="311" t="s">
        <v>462</v>
      </c>
      <c r="E2365" s="337" t="s">
        <v>87</v>
      </c>
      <c r="F2365" s="311" t="s">
        <v>135</v>
      </c>
      <c r="G2365" s="311" t="s">
        <v>236</v>
      </c>
      <c r="H2365" s="311" t="s">
        <v>403</v>
      </c>
      <c r="I2365" s="311" t="s">
        <v>66</v>
      </c>
      <c r="J2365" s="50" t="s">
        <v>1892</v>
      </c>
      <c r="K2365" s="50" t="s">
        <v>1892</v>
      </c>
      <c r="L2365" s="50" t="s">
        <v>1893</v>
      </c>
      <c r="M2365" s="50" t="s">
        <v>4873</v>
      </c>
      <c r="N2365" s="50" t="s">
        <v>4873</v>
      </c>
      <c r="O2365" s="50" t="s">
        <v>4867</v>
      </c>
      <c r="P2365" s="50" t="s">
        <v>4873</v>
      </c>
    </row>
    <row r="2366" spans="1:16" ht="12.75" customHeight="1" x14ac:dyDescent="0.25">
      <c r="A2366" s="311">
        <v>2363</v>
      </c>
      <c r="B2366" s="311" t="s">
        <v>125</v>
      </c>
      <c r="C2366" s="311" t="s">
        <v>125</v>
      </c>
      <c r="D2366" s="311" t="s">
        <v>125</v>
      </c>
      <c r="E2366" s="337" t="s">
        <v>125</v>
      </c>
      <c r="F2366" s="311" t="s">
        <v>135</v>
      </c>
      <c r="G2366" s="311" t="s">
        <v>236</v>
      </c>
      <c r="H2366" s="311" t="s">
        <v>403</v>
      </c>
      <c r="I2366" s="311" t="s">
        <v>66</v>
      </c>
      <c r="J2366" s="50" t="s">
        <v>1892</v>
      </c>
      <c r="K2366" s="50" t="s">
        <v>1892</v>
      </c>
      <c r="L2366" s="50" t="s">
        <v>1893</v>
      </c>
      <c r="M2366" s="50" t="s">
        <v>4874</v>
      </c>
      <c r="N2366" s="50" t="s">
        <v>4874</v>
      </c>
      <c r="O2366" s="50" t="s">
        <v>4874</v>
      </c>
      <c r="P2366" s="50" t="s">
        <v>4874</v>
      </c>
    </row>
    <row r="2367" spans="1:16" ht="12.75" customHeight="1" x14ac:dyDescent="0.25">
      <c r="A2367" s="311">
        <v>2364</v>
      </c>
      <c r="B2367" s="311" t="s">
        <v>134</v>
      </c>
      <c r="C2367" s="311" t="s">
        <v>134</v>
      </c>
      <c r="D2367" s="311" t="s">
        <v>134</v>
      </c>
      <c r="E2367" s="337" t="s">
        <v>134</v>
      </c>
      <c r="F2367" s="311" t="s">
        <v>135</v>
      </c>
      <c r="G2367" s="311" t="s">
        <v>236</v>
      </c>
      <c r="H2367" s="311" t="s">
        <v>403</v>
      </c>
      <c r="I2367" s="311" t="s">
        <v>66</v>
      </c>
      <c r="J2367" s="50" t="s">
        <v>1892</v>
      </c>
      <c r="K2367" s="50" t="s">
        <v>1892</v>
      </c>
      <c r="L2367" s="50" t="s">
        <v>1893</v>
      </c>
      <c r="M2367" s="50" t="s">
        <v>4875</v>
      </c>
      <c r="N2367" s="50" t="s">
        <v>4875</v>
      </c>
      <c r="O2367" s="50" t="s">
        <v>4875</v>
      </c>
      <c r="P2367" s="50" t="s">
        <v>4875</v>
      </c>
    </row>
    <row r="2368" spans="1:16" ht="12.75" customHeight="1" x14ac:dyDescent="0.25">
      <c r="A2368" s="311">
        <v>2365</v>
      </c>
      <c r="B2368" s="311" t="s">
        <v>141</v>
      </c>
      <c r="C2368" s="311" t="s">
        <v>141</v>
      </c>
      <c r="D2368" s="311" t="s">
        <v>141</v>
      </c>
      <c r="E2368" s="337" t="s">
        <v>141</v>
      </c>
      <c r="F2368" s="311" t="s">
        <v>135</v>
      </c>
      <c r="G2368" s="311" t="s">
        <v>236</v>
      </c>
      <c r="H2368" s="311" t="s">
        <v>403</v>
      </c>
      <c r="I2368" s="311" t="s">
        <v>66</v>
      </c>
      <c r="J2368" s="50" t="s">
        <v>1892</v>
      </c>
      <c r="K2368" s="50" t="s">
        <v>1892</v>
      </c>
      <c r="L2368" s="50" t="s">
        <v>1893</v>
      </c>
      <c r="M2368" s="50" t="s">
        <v>4876</v>
      </c>
      <c r="N2368" s="50" t="s">
        <v>4876</v>
      </c>
      <c r="O2368" s="50" t="s">
        <v>4876</v>
      </c>
      <c r="P2368" s="50" t="s">
        <v>4876</v>
      </c>
    </row>
    <row r="2369" spans="1:16" ht="12.75" customHeight="1" x14ac:dyDescent="0.25">
      <c r="A2369" s="311">
        <v>2366</v>
      </c>
      <c r="B2369" s="311" t="s">
        <v>69</v>
      </c>
      <c r="C2369" s="311" t="s">
        <v>69</v>
      </c>
      <c r="D2369" s="311" t="s">
        <v>69</v>
      </c>
      <c r="E2369" s="337" t="s">
        <v>69</v>
      </c>
      <c r="F2369" s="311" t="s">
        <v>135</v>
      </c>
      <c r="G2369" s="311" t="s">
        <v>236</v>
      </c>
      <c r="H2369" s="311" t="s">
        <v>403</v>
      </c>
      <c r="I2369" s="311" t="s">
        <v>66</v>
      </c>
      <c r="J2369" s="50" t="s">
        <v>1892</v>
      </c>
      <c r="K2369" s="50" t="s">
        <v>1892</v>
      </c>
      <c r="L2369" s="50" t="s">
        <v>1893</v>
      </c>
      <c r="M2369" s="50" t="s">
        <v>4877</v>
      </c>
      <c r="N2369" s="50" t="s">
        <v>4877</v>
      </c>
      <c r="O2369" s="50" t="s">
        <v>4877</v>
      </c>
      <c r="P2369" s="50" t="s">
        <v>4877</v>
      </c>
    </row>
    <row r="2370" spans="1:16" ht="12.75" customHeight="1" x14ac:dyDescent="0.25">
      <c r="A2370" s="311">
        <v>2367</v>
      </c>
      <c r="B2370" s="311" t="s">
        <v>84</v>
      </c>
      <c r="C2370" s="311" t="s">
        <v>462</v>
      </c>
      <c r="D2370" s="311" t="s">
        <v>462</v>
      </c>
      <c r="E2370" s="337" t="s">
        <v>462</v>
      </c>
      <c r="F2370" s="311" t="s">
        <v>135</v>
      </c>
      <c r="G2370" s="311" t="s">
        <v>23</v>
      </c>
      <c r="H2370" s="311" t="s">
        <v>403</v>
      </c>
      <c r="I2370" s="311" t="s">
        <v>66</v>
      </c>
      <c r="J2370" s="50" t="s">
        <v>1892</v>
      </c>
      <c r="K2370" s="50" t="s">
        <v>1892</v>
      </c>
      <c r="L2370" s="50" t="s">
        <v>1893</v>
      </c>
      <c r="M2370" s="50" t="s">
        <v>4878</v>
      </c>
      <c r="N2370" s="50" t="s">
        <v>4879</v>
      </c>
      <c r="O2370" s="50" t="s">
        <v>4879</v>
      </c>
      <c r="P2370" s="50" t="s">
        <v>4879</v>
      </c>
    </row>
    <row r="2371" spans="1:16" ht="12.75" customHeight="1" x14ac:dyDescent="0.25">
      <c r="A2371" s="311">
        <v>2368</v>
      </c>
      <c r="B2371" s="311" t="s">
        <v>123</v>
      </c>
      <c r="C2371" s="311" t="s">
        <v>462</v>
      </c>
      <c r="D2371" s="311" t="s">
        <v>462</v>
      </c>
      <c r="E2371" s="337" t="s">
        <v>462</v>
      </c>
      <c r="F2371" s="311" t="s">
        <v>135</v>
      </c>
      <c r="G2371" s="311" t="s">
        <v>23</v>
      </c>
      <c r="H2371" s="311" t="s">
        <v>403</v>
      </c>
      <c r="I2371" s="311" t="s">
        <v>66</v>
      </c>
      <c r="J2371" s="50" t="s">
        <v>1892</v>
      </c>
      <c r="K2371" s="50" t="s">
        <v>1892</v>
      </c>
      <c r="L2371" s="50" t="s">
        <v>1893</v>
      </c>
      <c r="M2371" s="50" t="s">
        <v>4880</v>
      </c>
      <c r="N2371" s="50" t="s">
        <v>4879</v>
      </c>
      <c r="O2371" s="50" t="s">
        <v>4879</v>
      </c>
      <c r="P2371" s="50" t="s">
        <v>4879</v>
      </c>
    </row>
    <row r="2372" spans="1:16" ht="12.75" customHeight="1" x14ac:dyDescent="0.25">
      <c r="A2372" s="311">
        <v>2369</v>
      </c>
      <c r="B2372" s="311" t="s">
        <v>75</v>
      </c>
      <c r="C2372" s="311" t="s">
        <v>462</v>
      </c>
      <c r="D2372" s="311" t="s">
        <v>462</v>
      </c>
      <c r="E2372" s="337" t="s">
        <v>462</v>
      </c>
      <c r="F2372" s="311" t="s">
        <v>135</v>
      </c>
      <c r="G2372" s="311" t="s">
        <v>23</v>
      </c>
      <c r="H2372" s="311" t="s">
        <v>403</v>
      </c>
      <c r="I2372" s="311" t="s">
        <v>66</v>
      </c>
      <c r="J2372" s="50" t="s">
        <v>1892</v>
      </c>
      <c r="K2372" s="50" t="s">
        <v>1892</v>
      </c>
      <c r="L2372" s="50" t="s">
        <v>1893</v>
      </c>
      <c r="M2372" s="50" t="s">
        <v>4881</v>
      </c>
      <c r="N2372" s="50" t="s">
        <v>4879</v>
      </c>
      <c r="O2372" s="50" t="s">
        <v>4879</v>
      </c>
      <c r="P2372" s="50" t="s">
        <v>4879</v>
      </c>
    </row>
    <row r="2373" spans="1:16" ht="12.75" customHeight="1" x14ac:dyDescent="0.25">
      <c r="A2373" s="311">
        <v>2370</v>
      </c>
      <c r="B2373" s="311" t="s">
        <v>63</v>
      </c>
      <c r="C2373" s="311" t="s">
        <v>63</v>
      </c>
      <c r="D2373" s="311" t="s">
        <v>462</v>
      </c>
      <c r="E2373" s="337" t="s">
        <v>63</v>
      </c>
      <c r="F2373" s="311" t="s">
        <v>135</v>
      </c>
      <c r="G2373" s="311" t="s">
        <v>23</v>
      </c>
      <c r="H2373" s="311" t="s">
        <v>403</v>
      </c>
      <c r="I2373" s="311" t="s">
        <v>66</v>
      </c>
      <c r="J2373" s="50" t="s">
        <v>1892</v>
      </c>
      <c r="K2373" s="50" t="s">
        <v>1892</v>
      </c>
      <c r="L2373" s="50" t="s">
        <v>1893</v>
      </c>
      <c r="M2373" s="50" t="s">
        <v>4882</v>
      </c>
      <c r="N2373" s="50" t="s">
        <v>4882</v>
      </c>
      <c r="O2373" s="50" t="s">
        <v>4879</v>
      </c>
      <c r="P2373" s="50" t="s">
        <v>4882</v>
      </c>
    </row>
    <row r="2374" spans="1:16" ht="12.75" customHeight="1" x14ac:dyDescent="0.25">
      <c r="A2374" s="311">
        <v>2371</v>
      </c>
      <c r="B2374" s="311" t="s">
        <v>140</v>
      </c>
      <c r="C2374" s="311" t="s">
        <v>140</v>
      </c>
      <c r="D2374" s="311" t="s">
        <v>462</v>
      </c>
      <c r="E2374" s="337" t="s">
        <v>140</v>
      </c>
      <c r="F2374" s="311" t="s">
        <v>135</v>
      </c>
      <c r="G2374" s="311" t="s">
        <v>23</v>
      </c>
      <c r="H2374" s="311" t="s">
        <v>403</v>
      </c>
      <c r="I2374" s="311" t="s">
        <v>66</v>
      </c>
      <c r="J2374" s="50" t="s">
        <v>1892</v>
      </c>
      <c r="K2374" s="50" t="s">
        <v>1892</v>
      </c>
      <c r="L2374" s="50" t="s">
        <v>1893</v>
      </c>
      <c r="M2374" s="50" t="s">
        <v>4883</v>
      </c>
      <c r="N2374" s="50" t="s">
        <v>4883</v>
      </c>
      <c r="O2374" s="50" t="s">
        <v>4879</v>
      </c>
      <c r="P2374" s="50" t="s">
        <v>4883</v>
      </c>
    </row>
    <row r="2375" spans="1:16" ht="12.75" customHeight="1" x14ac:dyDescent="0.25">
      <c r="A2375" s="311">
        <v>2372</v>
      </c>
      <c r="B2375" s="311" t="s">
        <v>121</v>
      </c>
      <c r="C2375" s="311" t="s">
        <v>121</v>
      </c>
      <c r="D2375" s="311" t="s">
        <v>462</v>
      </c>
      <c r="E2375" s="337" t="s">
        <v>121</v>
      </c>
      <c r="F2375" s="311" t="s">
        <v>135</v>
      </c>
      <c r="G2375" s="311" t="s">
        <v>23</v>
      </c>
      <c r="H2375" s="311" t="s">
        <v>403</v>
      </c>
      <c r="I2375" s="311" t="s">
        <v>66</v>
      </c>
      <c r="J2375" s="50" t="s">
        <v>1892</v>
      </c>
      <c r="K2375" s="50" t="s">
        <v>1892</v>
      </c>
      <c r="L2375" s="50" t="s">
        <v>1893</v>
      </c>
      <c r="M2375" s="50" t="s">
        <v>4884</v>
      </c>
      <c r="N2375" s="50" t="s">
        <v>4884</v>
      </c>
      <c r="O2375" s="50" t="s">
        <v>4879</v>
      </c>
      <c r="P2375" s="50" t="s">
        <v>4884</v>
      </c>
    </row>
    <row r="2376" spans="1:16" ht="12.75" customHeight="1" x14ac:dyDescent="0.25">
      <c r="A2376" s="311">
        <v>2373</v>
      </c>
      <c r="B2376" s="311" t="s">
        <v>87</v>
      </c>
      <c r="C2376" s="311" t="s">
        <v>87</v>
      </c>
      <c r="D2376" s="311" t="s">
        <v>462</v>
      </c>
      <c r="E2376" s="337" t="s">
        <v>87</v>
      </c>
      <c r="F2376" s="311" t="s">
        <v>135</v>
      </c>
      <c r="G2376" s="311" t="s">
        <v>23</v>
      </c>
      <c r="H2376" s="311" t="s">
        <v>403</v>
      </c>
      <c r="I2376" s="311" t="s">
        <v>66</v>
      </c>
      <c r="J2376" s="50" t="s">
        <v>1892</v>
      </c>
      <c r="K2376" s="50" t="s">
        <v>1892</v>
      </c>
      <c r="L2376" s="50" t="s">
        <v>1893</v>
      </c>
      <c r="M2376" s="50" t="s">
        <v>4885</v>
      </c>
      <c r="N2376" s="50" t="s">
        <v>4885</v>
      </c>
      <c r="O2376" s="50" t="s">
        <v>4879</v>
      </c>
      <c r="P2376" s="50" t="s">
        <v>4885</v>
      </c>
    </row>
    <row r="2377" spans="1:16" ht="12.75" customHeight="1" x14ac:dyDescent="0.25">
      <c r="A2377" s="311">
        <v>2374</v>
      </c>
      <c r="B2377" s="311" t="s">
        <v>125</v>
      </c>
      <c r="C2377" s="311" t="s">
        <v>125</v>
      </c>
      <c r="D2377" s="311" t="s">
        <v>125</v>
      </c>
      <c r="E2377" s="337" t="s">
        <v>125</v>
      </c>
      <c r="F2377" s="311" t="s">
        <v>135</v>
      </c>
      <c r="G2377" s="311" t="s">
        <v>23</v>
      </c>
      <c r="H2377" s="311" t="s">
        <v>403</v>
      </c>
      <c r="I2377" s="311" t="s">
        <v>66</v>
      </c>
      <c r="J2377" s="50" t="s">
        <v>1892</v>
      </c>
      <c r="K2377" s="50" t="s">
        <v>1892</v>
      </c>
      <c r="L2377" s="50" t="s">
        <v>1893</v>
      </c>
      <c r="M2377" s="50" t="s">
        <v>4886</v>
      </c>
      <c r="N2377" s="50" t="s">
        <v>4886</v>
      </c>
      <c r="O2377" s="50" t="s">
        <v>4886</v>
      </c>
      <c r="P2377" s="50" t="s">
        <v>4886</v>
      </c>
    </row>
    <row r="2378" spans="1:16" ht="12.75" customHeight="1" x14ac:dyDescent="0.25">
      <c r="A2378" s="311">
        <v>2375</v>
      </c>
      <c r="B2378" s="311" t="s">
        <v>134</v>
      </c>
      <c r="C2378" s="311" t="s">
        <v>134</v>
      </c>
      <c r="D2378" s="311" t="s">
        <v>134</v>
      </c>
      <c r="E2378" s="337" t="s">
        <v>134</v>
      </c>
      <c r="F2378" s="311" t="s">
        <v>135</v>
      </c>
      <c r="G2378" s="311" t="s">
        <v>23</v>
      </c>
      <c r="H2378" s="311" t="s">
        <v>403</v>
      </c>
      <c r="I2378" s="311" t="s">
        <v>66</v>
      </c>
      <c r="J2378" s="50" t="s">
        <v>1892</v>
      </c>
      <c r="K2378" s="50" t="s">
        <v>1892</v>
      </c>
      <c r="L2378" s="50" t="s">
        <v>1893</v>
      </c>
      <c r="M2378" s="50" t="s">
        <v>4887</v>
      </c>
      <c r="N2378" s="50" t="s">
        <v>4887</v>
      </c>
      <c r="O2378" s="50" t="s">
        <v>4887</v>
      </c>
      <c r="P2378" s="50" t="s">
        <v>4887</v>
      </c>
    </row>
    <row r="2379" spans="1:16" ht="12.75" customHeight="1" x14ac:dyDescent="0.25">
      <c r="A2379" s="311">
        <v>2376</v>
      </c>
      <c r="B2379" s="311" t="s">
        <v>141</v>
      </c>
      <c r="C2379" s="311" t="s">
        <v>141</v>
      </c>
      <c r="D2379" s="311" t="s">
        <v>141</v>
      </c>
      <c r="E2379" s="337" t="s">
        <v>141</v>
      </c>
      <c r="F2379" s="311" t="s">
        <v>135</v>
      </c>
      <c r="G2379" s="311" t="s">
        <v>23</v>
      </c>
      <c r="H2379" s="311" t="s">
        <v>403</v>
      </c>
      <c r="I2379" s="311" t="s">
        <v>66</v>
      </c>
      <c r="J2379" s="50" t="s">
        <v>1892</v>
      </c>
      <c r="K2379" s="50" t="s">
        <v>1892</v>
      </c>
      <c r="L2379" s="50" t="s">
        <v>1893</v>
      </c>
      <c r="M2379" s="50" t="s">
        <v>4888</v>
      </c>
      <c r="N2379" s="50" t="s">
        <v>4888</v>
      </c>
      <c r="O2379" s="50" t="s">
        <v>4888</v>
      </c>
      <c r="P2379" s="50" t="s">
        <v>4888</v>
      </c>
    </row>
    <row r="2380" spans="1:16" ht="12.75" customHeight="1" x14ac:dyDescent="0.25">
      <c r="A2380" s="311">
        <v>2377</v>
      </c>
      <c r="B2380" s="311" t="s">
        <v>69</v>
      </c>
      <c r="C2380" s="311" t="s">
        <v>69</v>
      </c>
      <c r="D2380" s="311" t="s">
        <v>69</v>
      </c>
      <c r="E2380" s="337" t="s">
        <v>69</v>
      </c>
      <c r="F2380" s="311" t="s">
        <v>135</v>
      </c>
      <c r="G2380" s="311" t="s">
        <v>23</v>
      </c>
      <c r="H2380" s="311" t="s">
        <v>403</v>
      </c>
      <c r="I2380" s="311" t="s">
        <v>66</v>
      </c>
      <c r="J2380" s="50" t="s">
        <v>1892</v>
      </c>
      <c r="K2380" s="50" t="s">
        <v>1892</v>
      </c>
      <c r="L2380" s="50" t="s">
        <v>1893</v>
      </c>
      <c r="M2380" s="50" t="s">
        <v>4889</v>
      </c>
      <c r="N2380" s="50" t="s">
        <v>4889</v>
      </c>
      <c r="O2380" s="50" t="s">
        <v>4889</v>
      </c>
      <c r="P2380" s="50" t="s">
        <v>4889</v>
      </c>
    </row>
    <row r="2381" spans="1:16" ht="12.75" customHeight="1" x14ac:dyDescent="0.25">
      <c r="A2381" s="311">
        <v>2378</v>
      </c>
      <c r="B2381" s="311" t="s">
        <v>84</v>
      </c>
      <c r="C2381" s="311" t="s">
        <v>462</v>
      </c>
      <c r="D2381" s="311" t="s">
        <v>462</v>
      </c>
      <c r="E2381" s="337" t="s">
        <v>462</v>
      </c>
      <c r="F2381" s="311" t="s">
        <v>135</v>
      </c>
      <c r="G2381" s="311" t="s">
        <v>237</v>
      </c>
      <c r="H2381" s="311" t="s">
        <v>403</v>
      </c>
      <c r="I2381" s="311" t="s">
        <v>66</v>
      </c>
      <c r="J2381" s="50" t="s">
        <v>1892</v>
      </c>
      <c r="K2381" s="50" t="s">
        <v>1892</v>
      </c>
      <c r="L2381" s="50" t="s">
        <v>1893</v>
      </c>
      <c r="M2381" s="50" t="s">
        <v>4890</v>
      </c>
      <c r="N2381" s="50" t="s">
        <v>4891</v>
      </c>
      <c r="O2381" s="50" t="s">
        <v>4891</v>
      </c>
      <c r="P2381" s="50" t="s">
        <v>4891</v>
      </c>
    </row>
    <row r="2382" spans="1:16" ht="12.75" customHeight="1" x14ac:dyDescent="0.25">
      <c r="A2382" s="311">
        <v>2379</v>
      </c>
      <c r="B2382" s="311" t="s">
        <v>123</v>
      </c>
      <c r="C2382" s="311" t="s">
        <v>462</v>
      </c>
      <c r="D2382" s="311" t="s">
        <v>462</v>
      </c>
      <c r="E2382" s="337" t="s">
        <v>462</v>
      </c>
      <c r="F2382" s="311" t="s">
        <v>135</v>
      </c>
      <c r="G2382" s="311" t="s">
        <v>237</v>
      </c>
      <c r="H2382" s="311" t="s">
        <v>403</v>
      </c>
      <c r="I2382" s="311" t="s">
        <v>66</v>
      </c>
      <c r="J2382" s="50" t="s">
        <v>1892</v>
      </c>
      <c r="K2382" s="50" t="s">
        <v>1892</v>
      </c>
      <c r="L2382" s="50" t="s">
        <v>1893</v>
      </c>
      <c r="M2382" s="50" t="s">
        <v>4892</v>
      </c>
      <c r="N2382" s="50" t="s">
        <v>4891</v>
      </c>
      <c r="O2382" s="50" t="s">
        <v>4891</v>
      </c>
      <c r="P2382" s="50" t="s">
        <v>4891</v>
      </c>
    </row>
    <row r="2383" spans="1:16" ht="12.75" customHeight="1" x14ac:dyDescent="0.25">
      <c r="A2383" s="311">
        <v>2380</v>
      </c>
      <c r="B2383" s="311" t="s">
        <v>75</v>
      </c>
      <c r="C2383" s="311" t="s">
        <v>462</v>
      </c>
      <c r="D2383" s="311" t="s">
        <v>462</v>
      </c>
      <c r="E2383" s="337" t="s">
        <v>462</v>
      </c>
      <c r="F2383" s="311" t="s">
        <v>135</v>
      </c>
      <c r="G2383" s="311" t="s">
        <v>237</v>
      </c>
      <c r="H2383" s="311" t="s">
        <v>403</v>
      </c>
      <c r="I2383" s="311" t="s">
        <v>66</v>
      </c>
      <c r="J2383" s="50" t="s">
        <v>1892</v>
      </c>
      <c r="K2383" s="50" t="s">
        <v>1892</v>
      </c>
      <c r="L2383" s="50" t="s">
        <v>1893</v>
      </c>
      <c r="M2383" s="50" t="s">
        <v>4893</v>
      </c>
      <c r="N2383" s="50" t="s">
        <v>4891</v>
      </c>
      <c r="O2383" s="50" t="s">
        <v>4891</v>
      </c>
      <c r="P2383" s="50" t="s">
        <v>4891</v>
      </c>
    </row>
    <row r="2384" spans="1:16" ht="12.75" customHeight="1" x14ac:dyDescent="0.25">
      <c r="A2384" s="311">
        <v>2381</v>
      </c>
      <c r="B2384" s="311" t="s">
        <v>63</v>
      </c>
      <c r="C2384" s="311" t="s">
        <v>63</v>
      </c>
      <c r="D2384" s="311" t="s">
        <v>462</v>
      </c>
      <c r="E2384" s="337" t="s">
        <v>63</v>
      </c>
      <c r="F2384" s="311" t="s">
        <v>135</v>
      </c>
      <c r="G2384" s="311" t="s">
        <v>237</v>
      </c>
      <c r="H2384" s="311" t="s">
        <v>403</v>
      </c>
      <c r="I2384" s="311" t="s">
        <v>66</v>
      </c>
      <c r="J2384" s="50" t="s">
        <v>1892</v>
      </c>
      <c r="K2384" s="50" t="s">
        <v>1892</v>
      </c>
      <c r="L2384" s="50" t="s">
        <v>1893</v>
      </c>
      <c r="M2384" s="50" t="s">
        <v>4894</v>
      </c>
      <c r="N2384" s="50" t="s">
        <v>4894</v>
      </c>
      <c r="O2384" s="50" t="s">
        <v>4891</v>
      </c>
      <c r="P2384" s="50" t="s">
        <v>4894</v>
      </c>
    </row>
    <row r="2385" spans="1:16" ht="12.75" customHeight="1" x14ac:dyDescent="0.25">
      <c r="A2385" s="311">
        <v>2382</v>
      </c>
      <c r="B2385" s="311" t="s">
        <v>140</v>
      </c>
      <c r="C2385" s="311" t="s">
        <v>140</v>
      </c>
      <c r="D2385" s="311" t="s">
        <v>462</v>
      </c>
      <c r="E2385" s="337" t="s">
        <v>140</v>
      </c>
      <c r="F2385" s="311" t="s">
        <v>135</v>
      </c>
      <c r="G2385" s="311" t="s">
        <v>237</v>
      </c>
      <c r="H2385" s="311" t="s">
        <v>403</v>
      </c>
      <c r="I2385" s="311" t="s">
        <v>66</v>
      </c>
      <c r="J2385" s="50" t="s">
        <v>1892</v>
      </c>
      <c r="K2385" s="50" t="s">
        <v>1892</v>
      </c>
      <c r="L2385" s="50" t="s">
        <v>1893</v>
      </c>
      <c r="M2385" s="50" t="s">
        <v>4895</v>
      </c>
      <c r="N2385" s="50" t="s">
        <v>4895</v>
      </c>
      <c r="O2385" s="50" t="s">
        <v>4891</v>
      </c>
      <c r="P2385" s="50" t="s">
        <v>4895</v>
      </c>
    </row>
    <row r="2386" spans="1:16" ht="12.75" customHeight="1" x14ac:dyDescent="0.25">
      <c r="A2386" s="311">
        <v>2383</v>
      </c>
      <c r="B2386" s="311" t="s">
        <v>121</v>
      </c>
      <c r="C2386" s="311" t="s">
        <v>121</v>
      </c>
      <c r="D2386" s="311" t="s">
        <v>462</v>
      </c>
      <c r="E2386" s="337" t="s">
        <v>121</v>
      </c>
      <c r="F2386" s="311" t="s">
        <v>135</v>
      </c>
      <c r="G2386" s="311" t="s">
        <v>237</v>
      </c>
      <c r="H2386" s="311" t="s">
        <v>403</v>
      </c>
      <c r="I2386" s="311" t="s">
        <v>66</v>
      </c>
      <c r="J2386" s="50" t="s">
        <v>1892</v>
      </c>
      <c r="K2386" s="50" t="s">
        <v>1892</v>
      </c>
      <c r="L2386" s="50" t="s">
        <v>1893</v>
      </c>
      <c r="M2386" s="50" t="s">
        <v>4896</v>
      </c>
      <c r="N2386" s="50" t="s">
        <v>4896</v>
      </c>
      <c r="O2386" s="50" t="s">
        <v>4891</v>
      </c>
      <c r="P2386" s="50" t="s">
        <v>4896</v>
      </c>
    </row>
    <row r="2387" spans="1:16" ht="12.75" customHeight="1" x14ac:dyDescent="0.25">
      <c r="A2387" s="311">
        <v>2384</v>
      </c>
      <c r="B2387" s="311" t="s">
        <v>87</v>
      </c>
      <c r="C2387" s="311" t="s">
        <v>87</v>
      </c>
      <c r="D2387" s="311" t="s">
        <v>462</v>
      </c>
      <c r="E2387" s="337" t="s">
        <v>87</v>
      </c>
      <c r="F2387" s="311" t="s">
        <v>135</v>
      </c>
      <c r="G2387" s="311" t="s">
        <v>237</v>
      </c>
      <c r="H2387" s="311" t="s">
        <v>403</v>
      </c>
      <c r="I2387" s="311" t="s">
        <v>66</v>
      </c>
      <c r="J2387" s="50" t="s">
        <v>1892</v>
      </c>
      <c r="K2387" s="50" t="s">
        <v>1892</v>
      </c>
      <c r="L2387" s="50" t="s">
        <v>1893</v>
      </c>
      <c r="M2387" s="50" t="s">
        <v>4897</v>
      </c>
      <c r="N2387" s="50" t="s">
        <v>4897</v>
      </c>
      <c r="O2387" s="50" t="s">
        <v>4891</v>
      </c>
      <c r="P2387" s="50" t="s">
        <v>4897</v>
      </c>
    </row>
    <row r="2388" spans="1:16" ht="12.75" customHeight="1" x14ac:dyDescent="0.25">
      <c r="A2388" s="311">
        <v>2385</v>
      </c>
      <c r="B2388" s="311" t="s">
        <v>125</v>
      </c>
      <c r="C2388" s="311" t="s">
        <v>125</v>
      </c>
      <c r="D2388" s="311" t="s">
        <v>125</v>
      </c>
      <c r="E2388" s="337" t="s">
        <v>125</v>
      </c>
      <c r="F2388" s="311" t="s">
        <v>135</v>
      </c>
      <c r="G2388" s="311" t="s">
        <v>237</v>
      </c>
      <c r="H2388" s="311" t="s">
        <v>403</v>
      </c>
      <c r="I2388" s="311" t="s">
        <v>66</v>
      </c>
      <c r="J2388" s="50" t="s">
        <v>1892</v>
      </c>
      <c r="K2388" s="50" t="s">
        <v>1892</v>
      </c>
      <c r="L2388" s="50" t="s">
        <v>1893</v>
      </c>
      <c r="M2388" s="50" t="s">
        <v>4898</v>
      </c>
      <c r="N2388" s="50" t="s">
        <v>4898</v>
      </c>
      <c r="O2388" s="50" t="s">
        <v>4898</v>
      </c>
      <c r="P2388" s="50" t="s">
        <v>4898</v>
      </c>
    </row>
    <row r="2389" spans="1:16" ht="12.75" customHeight="1" x14ac:dyDescent="0.25">
      <c r="A2389" s="311">
        <v>2386</v>
      </c>
      <c r="B2389" s="311" t="s">
        <v>134</v>
      </c>
      <c r="C2389" s="311" t="s">
        <v>134</v>
      </c>
      <c r="D2389" s="311" t="s">
        <v>134</v>
      </c>
      <c r="E2389" s="337" t="s">
        <v>134</v>
      </c>
      <c r="F2389" s="311" t="s">
        <v>135</v>
      </c>
      <c r="G2389" s="311" t="s">
        <v>237</v>
      </c>
      <c r="H2389" s="311" t="s">
        <v>403</v>
      </c>
      <c r="I2389" s="311" t="s">
        <v>66</v>
      </c>
      <c r="J2389" s="50" t="s">
        <v>1892</v>
      </c>
      <c r="K2389" s="50" t="s">
        <v>1892</v>
      </c>
      <c r="L2389" s="50" t="s">
        <v>1893</v>
      </c>
      <c r="M2389" s="50" t="s">
        <v>4899</v>
      </c>
      <c r="N2389" s="50" t="s">
        <v>4899</v>
      </c>
      <c r="O2389" s="50" t="s">
        <v>4899</v>
      </c>
      <c r="P2389" s="50" t="s">
        <v>4899</v>
      </c>
    </row>
    <row r="2390" spans="1:16" ht="12.75" customHeight="1" x14ac:dyDescent="0.25">
      <c r="A2390" s="311">
        <v>2387</v>
      </c>
      <c r="B2390" s="311" t="s">
        <v>141</v>
      </c>
      <c r="C2390" s="311" t="s">
        <v>141</v>
      </c>
      <c r="D2390" s="311" t="s">
        <v>141</v>
      </c>
      <c r="E2390" s="337" t="s">
        <v>141</v>
      </c>
      <c r="F2390" s="311" t="s">
        <v>135</v>
      </c>
      <c r="G2390" s="311" t="s">
        <v>237</v>
      </c>
      <c r="H2390" s="311" t="s">
        <v>403</v>
      </c>
      <c r="I2390" s="311" t="s">
        <v>66</v>
      </c>
      <c r="J2390" s="50" t="s">
        <v>1892</v>
      </c>
      <c r="K2390" s="50" t="s">
        <v>1892</v>
      </c>
      <c r="L2390" s="50" t="s">
        <v>1893</v>
      </c>
      <c r="M2390" s="50" t="s">
        <v>4900</v>
      </c>
      <c r="N2390" s="50" t="s">
        <v>4900</v>
      </c>
      <c r="O2390" s="50" t="s">
        <v>4900</v>
      </c>
      <c r="P2390" s="50" t="s">
        <v>4900</v>
      </c>
    </row>
    <row r="2391" spans="1:16" ht="12.75" customHeight="1" x14ac:dyDescent="0.25">
      <c r="A2391" s="311">
        <v>2388</v>
      </c>
      <c r="B2391" s="311" t="s">
        <v>69</v>
      </c>
      <c r="C2391" s="311" t="s">
        <v>69</v>
      </c>
      <c r="D2391" s="311" t="s">
        <v>69</v>
      </c>
      <c r="E2391" s="337" t="s">
        <v>69</v>
      </c>
      <c r="F2391" s="311" t="s">
        <v>135</v>
      </c>
      <c r="G2391" s="311" t="s">
        <v>237</v>
      </c>
      <c r="H2391" s="311" t="s">
        <v>403</v>
      </c>
      <c r="I2391" s="311" t="s">
        <v>66</v>
      </c>
      <c r="J2391" s="50" t="s">
        <v>1892</v>
      </c>
      <c r="K2391" s="50" t="s">
        <v>1892</v>
      </c>
      <c r="L2391" s="50" t="s">
        <v>1893</v>
      </c>
      <c r="M2391" s="50" t="s">
        <v>4901</v>
      </c>
      <c r="N2391" s="50" t="s">
        <v>4901</v>
      </c>
      <c r="O2391" s="50" t="s">
        <v>4901</v>
      </c>
      <c r="P2391" s="50" t="s">
        <v>4901</v>
      </c>
    </row>
    <row r="2392" spans="1:16" ht="12.75" customHeight="1" x14ac:dyDescent="0.25">
      <c r="A2392" s="311">
        <v>2389</v>
      </c>
      <c r="B2392" s="311" t="s">
        <v>84</v>
      </c>
      <c r="C2392" s="311" t="s">
        <v>462</v>
      </c>
      <c r="D2392" s="311" t="s">
        <v>462</v>
      </c>
      <c r="E2392" s="337" t="s">
        <v>462</v>
      </c>
      <c r="F2392" s="311" t="s">
        <v>139</v>
      </c>
      <c r="G2392" s="311" t="s">
        <v>236</v>
      </c>
      <c r="H2392" s="311" t="s">
        <v>398</v>
      </c>
      <c r="I2392" s="311" t="s">
        <v>66</v>
      </c>
      <c r="J2392" s="50" t="s">
        <v>1892</v>
      </c>
      <c r="K2392" s="50" t="s">
        <v>1892</v>
      </c>
      <c r="L2392" s="50" t="s">
        <v>1893</v>
      </c>
      <c r="M2392" s="50" t="s">
        <v>4902</v>
      </c>
      <c r="N2392" s="50" t="s">
        <v>4903</v>
      </c>
      <c r="O2392" s="50" t="s">
        <v>4903</v>
      </c>
      <c r="P2392" s="50" t="s">
        <v>4903</v>
      </c>
    </row>
    <row r="2393" spans="1:16" ht="12.75" customHeight="1" x14ac:dyDescent="0.25">
      <c r="A2393" s="311">
        <v>2390</v>
      </c>
      <c r="B2393" s="311" t="s">
        <v>123</v>
      </c>
      <c r="C2393" s="311" t="s">
        <v>462</v>
      </c>
      <c r="D2393" s="311" t="s">
        <v>462</v>
      </c>
      <c r="E2393" s="337" t="s">
        <v>462</v>
      </c>
      <c r="F2393" s="311" t="s">
        <v>139</v>
      </c>
      <c r="G2393" s="311" t="s">
        <v>236</v>
      </c>
      <c r="H2393" s="311" t="s">
        <v>398</v>
      </c>
      <c r="I2393" s="311" t="s">
        <v>66</v>
      </c>
      <c r="J2393" s="50" t="s">
        <v>1892</v>
      </c>
      <c r="K2393" s="50" t="s">
        <v>1892</v>
      </c>
      <c r="L2393" s="50" t="s">
        <v>1893</v>
      </c>
      <c r="M2393" s="50" t="s">
        <v>4904</v>
      </c>
      <c r="N2393" s="50" t="s">
        <v>4903</v>
      </c>
      <c r="O2393" s="50" t="s">
        <v>4903</v>
      </c>
      <c r="P2393" s="50" t="s">
        <v>4903</v>
      </c>
    </row>
    <row r="2394" spans="1:16" ht="12.75" customHeight="1" x14ac:dyDescent="0.25">
      <c r="A2394" s="311">
        <v>2391</v>
      </c>
      <c r="B2394" s="311" t="s">
        <v>75</v>
      </c>
      <c r="C2394" s="311" t="s">
        <v>462</v>
      </c>
      <c r="D2394" s="311" t="s">
        <v>462</v>
      </c>
      <c r="E2394" s="337" t="s">
        <v>462</v>
      </c>
      <c r="F2394" s="311" t="s">
        <v>139</v>
      </c>
      <c r="G2394" s="311" t="s">
        <v>236</v>
      </c>
      <c r="H2394" s="311" t="s">
        <v>398</v>
      </c>
      <c r="I2394" s="311" t="s">
        <v>66</v>
      </c>
      <c r="J2394" s="50" t="s">
        <v>1892</v>
      </c>
      <c r="K2394" s="50" t="s">
        <v>1892</v>
      </c>
      <c r="L2394" s="50" t="s">
        <v>1893</v>
      </c>
      <c r="M2394" s="50" t="s">
        <v>4905</v>
      </c>
      <c r="N2394" s="50" t="s">
        <v>4903</v>
      </c>
      <c r="O2394" s="50" t="s">
        <v>4903</v>
      </c>
      <c r="P2394" s="50" t="s">
        <v>4903</v>
      </c>
    </row>
    <row r="2395" spans="1:16" ht="12.75" customHeight="1" x14ac:dyDescent="0.25">
      <c r="A2395" s="311">
        <v>2392</v>
      </c>
      <c r="B2395" s="311" t="s">
        <v>63</v>
      </c>
      <c r="C2395" s="311" t="s">
        <v>63</v>
      </c>
      <c r="D2395" s="311" t="s">
        <v>462</v>
      </c>
      <c r="E2395" s="337" t="s">
        <v>63</v>
      </c>
      <c r="F2395" s="311" t="s">
        <v>139</v>
      </c>
      <c r="G2395" s="311" t="s">
        <v>236</v>
      </c>
      <c r="H2395" s="311" t="s">
        <v>398</v>
      </c>
      <c r="I2395" s="311" t="s">
        <v>66</v>
      </c>
      <c r="J2395" s="50" t="s">
        <v>1892</v>
      </c>
      <c r="K2395" s="50" t="s">
        <v>1892</v>
      </c>
      <c r="L2395" s="50" t="s">
        <v>1893</v>
      </c>
      <c r="M2395" s="50" t="s">
        <v>4906</v>
      </c>
      <c r="N2395" s="50" t="s">
        <v>4906</v>
      </c>
      <c r="O2395" s="50" t="s">
        <v>4903</v>
      </c>
      <c r="P2395" s="50" t="s">
        <v>4906</v>
      </c>
    </row>
    <row r="2396" spans="1:16" ht="12.75" customHeight="1" x14ac:dyDescent="0.25">
      <c r="A2396" s="311">
        <v>2393</v>
      </c>
      <c r="B2396" s="311" t="s">
        <v>140</v>
      </c>
      <c r="C2396" s="311" t="s">
        <v>140</v>
      </c>
      <c r="D2396" s="311" t="s">
        <v>462</v>
      </c>
      <c r="E2396" s="337" t="s">
        <v>140</v>
      </c>
      <c r="F2396" s="311" t="s">
        <v>139</v>
      </c>
      <c r="G2396" s="311" t="s">
        <v>236</v>
      </c>
      <c r="H2396" s="311" t="s">
        <v>398</v>
      </c>
      <c r="I2396" s="311" t="s">
        <v>66</v>
      </c>
      <c r="J2396" s="50" t="s">
        <v>1892</v>
      </c>
      <c r="K2396" s="50" t="s">
        <v>1892</v>
      </c>
      <c r="L2396" s="50" t="s">
        <v>1893</v>
      </c>
      <c r="M2396" s="50" t="s">
        <v>4907</v>
      </c>
      <c r="N2396" s="50" t="s">
        <v>4907</v>
      </c>
      <c r="O2396" s="50" t="s">
        <v>4903</v>
      </c>
      <c r="P2396" s="50" t="s">
        <v>4907</v>
      </c>
    </row>
    <row r="2397" spans="1:16" ht="12.75" customHeight="1" x14ac:dyDescent="0.25">
      <c r="A2397" s="311">
        <v>2394</v>
      </c>
      <c r="B2397" s="311" t="s">
        <v>121</v>
      </c>
      <c r="C2397" s="311" t="s">
        <v>121</v>
      </c>
      <c r="D2397" s="311" t="s">
        <v>462</v>
      </c>
      <c r="E2397" s="337" t="s">
        <v>121</v>
      </c>
      <c r="F2397" s="311" t="s">
        <v>139</v>
      </c>
      <c r="G2397" s="311" t="s">
        <v>236</v>
      </c>
      <c r="H2397" s="311" t="s">
        <v>398</v>
      </c>
      <c r="I2397" s="311" t="s">
        <v>66</v>
      </c>
      <c r="J2397" s="50" t="s">
        <v>1892</v>
      </c>
      <c r="K2397" s="50" t="s">
        <v>1892</v>
      </c>
      <c r="L2397" s="50" t="s">
        <v>1893</v>
      </c>
      <c r="M2397" s="50" t="s">
        <v>4908</v>
      </c>
      <c r="N2397" s="50" t="s">
        <v>4908</v>
      </c>
      <c r="O2397" s="50" t="s">
        <v>4903</v>
      </c>
      <c r="P2397" s="50" t="s">
        <v>4908</v>
      </c>
    </row>
    <row r="2398" spans="1:16" ht="12.75" customHeight="1" x14ac:dyDescent="0.25">
      <c r="A2398" s="311">
        <v>2395</v>
      </c>
      <c r="B2398" s="311" t="s">
        <v>87</v>
      </c>
      <c r="C2398" s="311" t="s">
        <v>87</v>
      </c>
      <c r="D2398" s="311" t="s">
        <v>462</v>
      </c>
      <c r="E2398" s="337" t="s">
        <v>87</v>
      </c>
      <c r="F2398" s="311" t="s">
        <v>139</v>
      </c>
      <c r="G2398" s="311" t="s">
        <v>236</v>
      </c>
      <c r="H2398" s="311" t="s">
        <v>398</v>
      </c>
      <c r="I2398" s="311" t="s">
        <v>66</v>
      </c>
      <c r="J2398" s="50" t="s">
        <v>1892</v>
      </c>
      <c r="K2398" s="50" t="s">
        <v>1892</v>
      </c>
      <c r="L2398" s="50" t="s">
        <v>1893</v>
      </c>
      <c r="M2398" s="50" t="s">
        <v>4909</v>
      </c>
      <c r="N2398" s="50" t="s">
        <v>4909</v>
      </c>
      <c r="O2398" s="50" t="s">
        <v>4903</v>
      </c>
      <c r="P2398" s="50" t="s">
        <v>4909</v>
      </c>
    </row>
    <row r="2399" spans="1:16" ht="12.75" customHeight="1" x14ac:dyDescent="0.25">
      <c r="A2399" s="311">
        <v>2396</v>
      </c>
      <c r="B2399" s="311" t="s">
        <v>125</v>
      </c>
      <c r="C2399" s="311" t="s">
        <v>125</v>
      </c>
      <c r="D2399" s="311" t="s">
        <v>125</v>
      </c>
      <c r="E2399" s="337" t="s">
        <v>125</v>
      </c>
      <c r="F2399" s="311" t="s">
        <v>139</v>
      </c>
      <c r="G2399" s="311" t="s">
        <v>236</v>
      </c>
      <c r="H2399" s="311" t="s">
        <v>398</v>
      </c>
      <c r="I2399" s="311" t="s">
        <v>66</v>
      </c>
      <c r="J2399" s="50" t="s">
        <v>1892</v>
      </c>
      <c r="K2399" s="50" t="s">
        <v>1892</v>
      </c>
      <c r="L2399" s="50" t="s">
        <v>1893</v>
      </c>
      <c r="M2399" s="50" t="s">
        <v>4910</v>
      </c>
      <c r="N2399" s="50" t="s">
        <v>4910</v>
      </c>
      <c r="O2399" s="50" t="s">
        <v>4910</v>
      </c>
      <c r="P2399" s="50" t="s">
        <v>4910</v>
      </c>
    </row>
    <row r="2400" spans="1:16" ht="12.75" customHeight="1" x14ac:dyDescent="0.25">
      <c r="A2400" s="311">
        <v>2397</v>
      </c>
      <c r="B2400" s="311" t="s">
        <v>134</v>
      </c>
      <c r="C2400" s="311" t="s">
        <v>134</v>
      </c>
      <c r="D2400" s="311" t="s">
        <v>134</v>
      </c>
      <c r="E2400" s="337" t="s">
        <v>134</v>
      </c>
      <c r="F2400" s="311" t="s">
        <v>139</v>
      </c>
      <c r="G2400" s="311" t="s">
        <v>236</v>
      </c>
      <c r="H2400" s="311" t="s">
        <v>398</v>
      </c>
      <c r="I2400" s="311" t="s">
        <v>66</v>
      </c>
      <c r="J2400" s="50" t="s">
        <v>1892</v>
      </c>
      <c r="K2400" s="50" t="s">
        <v>1892</v>
      </c>
      <c r="L2400" s="50" t="s">
        <v>1893</v>
      </c>
      <c r="M2400" s="50" t="s">
        <v>4911</v>
      </c>
      <c r="N2400" s="50" t="s">
        <v>4911</v>
      </c>
      <c r="O2400" s="50" t="s">
        <v>4911</v>
      </c>
      <c r="P2400" s="50" t="s">
        <v>4911</v>
      </c>
    </row>
    <row r="2401" spans="1:16" ht="12.75" customHeight="1" x14ac:dyDescent="0.25">
      <c r="A2401" s="311">
        <v>2398</v>
      </c>
      <c r="B2401" s="311" t="s">
        <v>141</v>
      </c>
      <c r="C2401" s="311" t="s">
        <v>141</v>
      </c>
      <c r="D2401" s="311" t="s">
        <v>141</v>
      </c>
      <c r="E2401" s="337" t="s">
        <v>141</v>
      </c>
      <c r="F2401" s="311" t="s">
        <v>139</v>
      </c>
      <c r="G2401" s="311" t="s">
        <v>236</v>
      </c>
      <c r="H2401" s="311" t="s">
        <v>398</v>
      </c>
      <c r="I2401" s="311" t="s">
        <v>66</v>
      </c>
      <c r="J2401" s="50" t="s">
        <v>1892</v>
      </c>
      <c r="K2401" s="50" t="s">
        <v>1892</v>
      </c>
      <c r="L2401" s="50" t="s">
        <v>1893</v>
      </c>
      <c r="M2401" s="50" t="s">
        <v>4912</v>
      </c>
      <c r="N2401" s="50" t="s">
        <v>4912</v>
      </c>
      <c r="O2401" s="50" t="s">
        <v>4912</v>
      </c>
      <c r="P2401" s="50" t="s">
        <v>4912</v>
      </c>
    </row>
    <row r="2402" spans="1:16" ht="12.75" customHeight="1" x14ac:dyDescent="0.25">
      <c r="A2402" s="311">
        <v>2399</v>
      </c>
      <c r="B2402" s="311" t="s">
        <v>69</v>
      </c>
      <c r="C2402" s="311" t="s">
        <v>69</v>
      </c>
      <c r="D2402" s="311" t="s">
        <v>69</v>
      </c>
      <c r="E2402" s="337" t="s">
        <v>69</v>
      </c>
      <c r="F2402" s="311" t="s">
        <v>139</v>
      </c>
      <c r="G2402" s="311" t="s">
        <v>236</v>
      </c>
      <c r="H2402" s="311" t="s">
        <v>398</v>
      </c>
      <c r="I2402" s="311" t="s">
        <v>66</v>
      </c>
      <c r="J2402" s="50" t="s">
        <v>1892</v>
      </c>
      <c r="K2402" s="50" t="s">
        <v>1892</v>
      </c>
      <c r="L2402" s="50" t="s">
        <v>1893</v>
      </c>
      <c r="M2402" s="50" t="s">
        <v>4913</v>
      </c>
      <c r="N2402" s="50" t="s">
        <v>4913</v>
      </c>
      <c r="O2402" s="50" t="s">
        <v>4913</v>
      </c>
      <c r="P2402" s="50" t="s">
        <v>4913</v>
      </c>
    </row>
    <row r="2403" spans="1:16" ht="12.75" customHeight="1" x14ac:dyDescent="0.25">
      <c r="A2403" s="311">
        <v>2400</v>
      </c>
      <c r="B2403" s="311" t="s">
        <v>84</v>
      </c>
      <c r="C2403" s="311" t="s">
        <v>462</v>
      </c>
      <c r="D2403" s="311" t="s">
        <v>462</v>
      </c>
      <c r="E2403" s="337" t="s">
        <v>462</v>
      </c>
      <c r="F2403" s="311" t="s">
        <v>139</v>
      </c>
      <c r="G2403" s="311" t="s">
        <v>23</v>
      </c>
      <c r="H2403" s="311" t="s">
        <v>398</v>
      </c>
      <c r="I2403" s="311" t="s">
        <v>66</v>
      </c>
      <c r="J2403" s="50" t="s">
        <v>1892</v>
      </c>
      <c r="K2403" s="50" t="s">
        <v>1892</v>
      </c>
      <c r="L2403" s="50" t="s">
        <v>1893</v>
      </c>
      <c r="M2403" s="50" t="s">
        <v>4914</v>
      </c>
      <c r="N2403" s="50" t="s">
        <v>4915</v>
      </c>
      <c r="O2403" s="50" t="s">
        <v>4915</v>
      </c>
      <c r="P2403" s="50" t="s">
        <v>4915</v>
      </c>
    </row>
    <row r="2404" spans="1:16" ht="12.75" customHeight="1" x14ac:dyDescent="0.25">
      <c r="A2404" s="311">
        <v>2401</v>
      </c>
      <c r="B2404" s="311" t="s">
        <v>123</v>
      </c>
      <c r="C2404" s="311" t="s">
        <v>462</v>
      </c>
      <c r="D2404" s="311" t="s">
        <v>462</v>
      </c>
      <c r="E2404" s="337" t="s">
        <v>462</v>
      </c>
      <c r="F2404" s="311" t="s">
        <v>139</v>
      </c>
      <c r="G2404" s="311" t="s">
        <v>23</v>
      </c>
      <c r="H2404" s="311" t="s">
        <v>398</v>
      </c>
      <c r="I2404" s="311" t="s">
        <v>66</v>
      </c>
      <c r="J2404" s="50" t="s">
        <v>1892</v>
      </c>
      <c r="K2404" s="50" t="s">
        <v>1892</v>
      </c>
      <c r="L2404" s="50" t="s">
        <v>1893</v>
      </c>
      <c r="M2404" s="50" t="s">
        <v>4916</v>
      </c>
      <c r="N2404" s="50" t="s">
        <v>4915</v>
      </c>
      <c r="O2404" s="50" t="s">
        <v>4915</v>
      </c>
      <c r="P2404" s="50" t="s">
        <v>4915</v>
      </c>
    </row>
    <row r="2405" spans="1:16" ht="12.75" customHeight="1" x14ac:dyDescent="0.25">
      <c r="A2405" s="311">
        <v>2402</v>
      </c>
      <c r="B2405" s="311" t="s">
        <v>75</v>
      </c>
      <c r="C2405" s="311" t="s">
        <v>462</v>
      </c>
      <c r="D2405" s="311" t="s">
        <v>462</v>
      </c>
      <c r="E2405" s="337" t="s">
        <v>462</v>
      </c>
      <c r="F2405" s="311" t="s">
        <v>139</v>
      </c>
      <c r="G2405" s="311" t="s">
        <v>23</v>
      </c>
      <c r="H2405" s="311" t="s">
        <v>398</v>
      </c>
      <c r="I2405" s="311" t="s">
        <v>66</v>
      </c>
      <c r="J2405" s="50" t="s">
        <v>1892</v>
      </c>
      <c r="K2405" s="50" t="s">
        <v>1892</v>
      </c>
      <c r="L2405" s="50" t="s">
        <v>1893</v>
      </c>
      <c r="M2405" s="50" t="s">
        <v>4917</v>
      </c>
      <c r="N2405" s="50" t="s">
        <v>4915</v>
      </c>
      <c r="O2405" s="50" t="s">
        <v>4915</v>
      </c>
      <c r="P2405" s="50" t="s">
        <v>4915</v>
      </c>
    </row>
    <row r="2406" spans="1:16" ht="12.75" customHeight="1" x14ac:dyDescent="0.25">
      <c r="A2406" s="311">
        <v>2403</v>
      </c>
      <c r="B2406" s="311" t="s">
        <v>63</v>
      </c>
      <c r="C2406" s="311" t="s">
        <v>63</v>
      </c>
      <c r="D2406" s="311" t="s">
        <v>462</v>
      </c>
      <c r="E2406" s="337" t="s">
        <v>63</v>
      </c>
      <c r="F2406" s="311" t="s">
        <v>139</v>
      </c>
      <c r="G2406" s="311" t="s">
        <v>23</v>
      </c>
      <c r="H2406" s="311" t="s">
        <v>398</v>
      </c>
      <c r="I2406" s="311" t="s">
        <v>66</v>
      </c>
      <c r="J2406" s="50" t="s">
        <v>1892</v>
      </c>
      <c r="K2406" s="50" t="s">
        <v>1892</v>
      </c>
      <c r="L2406" s="50" t="s">
        <v>1893</v>
      </c>
      <c r="M2406" s="50" t="s">
        <v>4918</v>
      </c>
      <c r="N2406" s="50" t="s">
        <v>4918</v>
      </c>
      <c r="O2406" s="50" t="s">
        <v>4915</v>
      </c>
      <c r="P2406" s="50" t="s">
        <v>4918</v>
      </c>
    </row>
    <row r="2407" spans="1:16" ht="12.75" customHeight="1" x14ac:dyDescent="0.25">
      <c r="A2407" s="311">
        <v>2404</v>
      </c>
      <c r="B2407" s="311" t="s">
        <v>140</v>
      </c>
      <c r="C2407" s="311" t="s">
        <v>140</v>
      </c>
      <c r="D2407" s="311" t="s">
        <v>462</v>
      </c>
      <c r="E2407" s="337" t="s">
        <v>140</v>
      </c>
      <c r="F2407" s="311" t="s">
        <v>139</v>
      </c>
      <c r="G2407" s="311" t="s">
        <v>23</v>
      </c>
      <c r="H2407" s="311" t="s">
        <v>398</v>
      </c>
      <c r="I2407" s="311" t="s">
        <v>66</v>
      </c>
      <c r="J2407" s="50" t="s">
        <v>1892</v>
      </c>
      <c r="K2407" s="50" t="s">
        <v>1892</v>
      </c>
      <c r="L2407" s="50" t="s">
        <v>1893</v>
      </c>
      <c r="M2407" s="50" t="s">
        <v>4919</v>
      </c>
      <c r="N2407" s="50" t="s">
        <v>4919</v>
      </c>
      <c r="O2407" s="50" t="s">
        <v>4915</v>
      </c>
      <c r="P2407" s="50" t="s">
        <v>4919</v>
      </c>
    </row>
    <row r="2408" spans="1:16" ht="12.75" customHeight="1" x14ac:dyDescent="0.25">
      <c r="A2408" s="311">
        <v>2405</v>
      </c>
      <c r="B2408" s="311" t="s">
        <v>121</v>
      </c>
      <c r="C2408" s="311" t="s">
        <v>121</v>
      </c>
      <c r="D2408" s="311" t="s">
        <v>462</v>
      </c>
      <c r="E2408" s="337" t="s">
        <v>121</v>
      </c>
      <c r="F2408" s="311" t="s">
        <v>139</v>
      </c>
      <c r="G2408" s="311" t="s">
        <v>23</v>
      </c>
      <c r="H2408" s="311" t="s">
        <v>398</v>
      </c>
      <c r="I2408" s="311" t="s">
        <v>66</v>
      </c>
      <c r="J2408" s="50" t="s">
        <v>1892</v>
      </c>
      <c r="K2408" s="50" t="s">
        <v>1892</v>
      </c>
      <c r="L2408" s="50" t="s">
        <v>1893</v>
      </c>
      <c r="M2408" s="50" t="s">
        <v>4920</v>
      </c>
      <c r="N2408" s="50" t="s">
        <v>4920</v>
      </c>
      <c r="O2408" s="50" t="s">
        <v>4915</v>
      </c>
      <c r="P2408" s="50" t="s">
        <v>4920</v>
      </c>
    </row>
    <row r="2409" spans="1:16" ht="12.75" customHeight="1" x14ac:dyDescent="0.25">
      <c r="A2409" s="311">
        <v>2406</v>
      </c>
      <c r="B2409" s="311" t="s">
        <v>87</v>
      </c>
      <c r="C2409" s="311" t="s">
        <v>87</v>
      </c>
      <c r="D2409" s="311" t="s">
        <v>462</v>
      </c>
      <c r="E2409" s="337" t="s">
        <v>87</v>
      </c>
      <c r="F2409" s="311" t="s">
        <v>139</v>
      </c>
      <c r="G2409" s="311" t="s">
        <v>23</v>
      </c>
      <c r="H2409" s="311" t="s">
        <v>398</v>
      </c>
      <c r="I2409" s="311" t="s">
        <v>66</v>
      </c>
      <c r="J2409" s="50" t="s">
        <v>1892</v>
      </c>
      <c r="K2409" s="50" t="s">
        <v>1892</v>
      </c>
      <c r="L2409" s="50" t="s">
        <v>1893</v>
      </c>
      <c r="M2409" s="50" t="s">
        <v>4921</v>
      </c>
      <c r="N2409" s="50" t="s">
        <v>4921</v>
      </c>
      <c r="O2409" s="50" t="s">
        <v>4915</v>
      </c>
      <c r="P2409" s="50" t="s">
        <v>4921</v>
      </c>
    </row>
    <row r="2410" spans="1:16" ht="12.75" customHeight="1" x14ac:dyDescent="0.25">
      <c r="A2410" s="311">
        <v>2407</v>
      </c>
      <c r="B2410" s="311" t="s">
        <v>125</v>
      </c>
      <c r="C2410" s="311" t="s">
        <v>125</v>
      </c>
      <c r="D2410" s="311" t="s">
        <v>125</v>
      </c>
      <c r="E2410" s="337" t="s">
        <v>125</v>
      </c>
      <c r="F2410" s="311" t="s">
        <v>139</v>
      </c>
      <c r="G2410" s="311" t="s">
        <v>23</v>
      </c>
      <c r="H2410" s="311" t="s">
        <v>398</v>
      </c>
      <c r="I2410" s="311" t="s">
        <v>66</v>
      </c>
      <c r="J2410" s="50" t="s">
        <v>1892</v>
      </c>
      <c r="K2410" s="50" t="s">
        <v>1892</v>
      </c>
      <c r="L2410" s="50" t="s">
        <v>1893</v>
      </c>
      <c r="M2410" s="50" t="s">
        <v>4922</v>
      </c>
      <c r="N2410" s="50" t="s">
        <v>4922</v>
      </c>
      <c r="O2410" s="50" t="s">
        <v>4922</v>
      </c>
      <c r="P2410" s="50" t="s">
        <v>4922</v>
      </c>
    </row>
    <row r="2411" spans="1:16" ht="12.75" customHeight="1" x14ac:dyDescent="0.25">
      <c r="A2411" s="311">
        <v>2408</v>
      </c>
      <c r="B2411" s="311" t="s">
        <v>134</v>
      </c>
      <c r="C2411" s="311" t="s">
        <v>134</v>
      </c>
      <c r="D2411" s="311" t="s">
        <v>134</v>
      </c>
      <c r="E2411" s="337" t="s">
        <v>134</v>
      </c>
      <c r="F2411" s="311" t="s">
        <v>139</v>
      </c>
      <c r="G2411" s="311" t="s">
        <v>23</v>
      </c>
      <c r="H2411" s="311" t="s">
        <v>398</v>
      </c>
      <c r="I2411" s="311" t="s">
        <v>66</v>
      </c>
      <c r="J2411" s="50" t="s">
        <v>1892</v>
      </c>
      <c r="K2411" s="50" t="s">
        <v>1892</v>
      </c>
      <c r="L2411" s="50" t="s">
        <v>1893</v>
      </c>
      <c r="M2411" s="50" t="s">
        <v>4923</v>
      </c>
      <c r="N2411" s="50" t="s">
        <v>4923</v>
      </c>
      <c r="O2411" s="50" t="s">
        <v>4923</v>
      </c>
      <c r="P2411" s="50" t="s">
        <v>4923</v>
      </c>
    </row>
    <row r="2412" spans="1:16" ht="12.75" customHeight="1" x14ac:dyDescent="0.25">
      <c r="A2412" s="311">
        <v>2409</v>
      </c>
      <c r="B2412" s="311" t="s">
        <v>141</v>
      </c>
      <c r="C2412" s="311" t="s">
        <v>141</v>
      </c>
      <c r="D2412" s="311" t="s">
        <v>141</v>
      </c>
      <c r="E2412" s="337" t="s">
        <v>141</v>
      </c>
      <c r="F2412" s="311" t="s">
        <v>139</v>
      </c>
      <c r="G2412" s="311" t="s">
        <v>23</v>
      </c>
      <c r="H2412" s="311" t="s">
        <v>398</v>
      </c>
      <c r="I2412" s="311" t="s">
        <v>66</v>
      </c>
      <c r="J2412" s="50" t="s">
        <v>1892</v>
      </c>
      <c r="K2412" s="50" t="s">
        <v>1892</v>
      </c>
      <c r="L2412" s="50" t="s">
        <v>1893</v>
      </c>
      <c r="M2412" s="50" t="s">
        <v>4924</v>
      </c>
      <c r="N2412" s="50" t="s">
        <v>4924</v>
      </c>
      <c r="O2412" s="50" t="s">
        <v>4924</v>
      </c>
      <c r="P2412" s="50" t="s">
        <v>4924</v>
      </c>
    </row>
    <row r="2413" spans="1:16" ht="12.75" customHeight="1" x14ac:dyDescent="0.25">
      <c r="A2413" s="311">
        <v>2410</v>
      </c>
      <c r="B2413" s="311" t="s">
        <v>69</v>
      </c>
      <c r="C2413" s="311" t="s">
        <v>69</v>
      </c>
      <c r="D2413" s="311" t="s">
        <v>69</v>
      </c>
      <c r="E2413" s="337" t="s">
        <v>69</v>
      </c>
      <c r="F2413" s="311" t="s">
        <v>139</v>
      </c>
      <c r="G2413" s="311" t="s">
        <v>23</v>
      </c>
      <c r="H2413" s="311" t="s">
        <v>398</v>
      </c>
      <c r="I2413" s="311" t="s">
        <v>66</v>
      </c>
      <c r="J2413" s="50" t="s">
        <v>1892</v>
      </c>
      <c r="K2413" s="50" t="s">
        <v>1892</v>
      </c>
      <c r="L2413" s="50" t="s">
        <v>1893</v>
      </c>
      <c r="M2413" s="50" t="s">
        <v>4925</v>
      </c>
      <c r="N2413" s="50" t="s">
        <v>4925</v>
      </c>
      <c r="O2413" s="50" t="s">
        <v>4925</v>
      </c>
      <c r="P2413" s="50" t="s">
        <v>4925</v>
      </c>
    </row>
    <row r="2414" spans="1:16" ht="12.75" customHeight="1" x14ac:dyDescent="0.25">
      <c r="A2414" s="311">
        <v>2411</v>
      </c>
      <c r="B2414" s="311" t="s">
        <v>84</v>
      </c>
      <c r="C2414" s="311" t="s">
        <v>462</v>
      </c>
      <c r="D2414" s="311" t="s">
        <v>462</v>
      </c>
      <c r="E2414" s="337" t="s">
        <v>462</v>
      </c>
      <c r="F2414" s="311" t="s">
        <v>139</v>
      </c>
      <c r="G2414" s="311" t="s">
        <v>237</v>
      </c>
      <c r="H2414" s="311" t="s">
        <v>398</v>
      </c>
      <c r="I2414" s="311" t="s">
        <v>66</v>
      </c>
      <c r="J2414" s="50" t="s">
        <v>1892</v>
      </c>
      <c r="K2414" s="50" t="s">
        <v>1892</v>
      </c>
      <c r="L2414" s="50" t="s">
        <v>1893</v>
      </c>
      <c r="M2414" s="50" t="s">
        <v>4926</v>
      </c>
      <c r="N2414" s="50" t="s">
        <v>4927</v>
      </c>
      <c r="O2414" s="50" t="s">
        <v>4927</v>
      </c>
      <c r="P2414" s="50" t="s">
        <v>4927</v>
      </c>
    </row>
    <row r="2415" spans="1:16" ht="12.75" customHeight="1" x14ac:dyDescent="0.25">
      <c r="A2415" s="311">
        <v>2412</v>
      </c>
      <c r="B2415" s="311" t="s">
        <v>123</v>
      </c>
      <c r="C2415" s="311" t="s">
        <v>462</v>
      </c>
      <c r="D2415" s="311" t="s">
        <v>462</v>
      </c>
      <c r="E2415" s="337" t="s">
        <v>462</v>
      </c>
      <c r="F2415" s="311" t="s">
        <v>139</v>
      </c>
      <c r="G2415" s="311" t="s">
        <v>237</v>
      </c>
      <c r="H2415" s="311" t="s">
        <v>398</v>
      </c>
      <c r="I2415" s="311" t="s">
        <v>66</v>
      </c>
      <c r="J2415" s="50" t="s">
        <v>1892</v>
      </c>
      <c r="K2415" s="50" t="s">
        <v>1892</v>
      </c>
      <c r="L2415" s="50" t="s">
        <v>1893</v>
      </c>
      <c r="M2415" s="50" t="s">
        <v>4928</v>
      </c>
      <c r="N2415" s="50" t="s">
        <v>4927</v>
      </c>
      <c r="O2415" s="50" t="s">
        <v>4927</v>
      </c>
      <c r="P2415" s="50" t="s">
        <v>4927</v>
      </c>
    </row>
    <row r="2416" spans="1:16" ht="12.75" customHeight="1" x14ac:dyDescent="0.25">
      <c r="A2416" s="311">
        <v>2413</v>
      </c>
      <c r="B2416" s="311" t="s">
        <v>75</v>
      </c>
      <c r="C2416" s="311" t="s">
        <v>462</v>
      </c>
      <c r="D2416" s="311" t="s">
        <v>462</v>
      </c>
      <c r="E2416" s="337" t="s">
        <v>462</v>
      </c>
      <c r="F2416" s="311" t="s">
        <v>139</v>
      </c>
      <c r="G2416" s="311" t="s">
        <v>237</v>
      </c>
      <c r="H2416" s="311" t="s">
        <v>398</v>
      </c>
      <c r="I2416" s="311" t="s">
        <v>66</v>
      </c>
      <c r="J2416" s="50" t="s">
        <v>1892</v>
      </c>
      <c r="K2416" s="50" t="s">
        <v>1892</v>
      </c>
      <c r="L2416" s="50" t="s">
        <v>1893</v>
      </c>
      <c r="M2416" s="50" t="s">
        <v>4929</v>
      </c>
      <c r="N2416" s="50" t="s">
        <v>4927</v>
      </c>
      <c r="O2416" s="50" t="s">
        <v>4927</v>
      </c>
      <c r="P2416" s="50" t="s">
        <v>4927</v>
      </c>
    </row>
    <row r="2417" spans="1:16" ht="12.75" customHeight="1" x14ac:dyDescent="0.25">
      <c r="A2417" s="311">
        <v>2414</v>
      </c>
      <c r="B2417" s="311" t="s">
        <v>63</v>
      </c>
      <c r="C2417" s="311" t="s">
        <v>63</v>
      </c>
      <c r="D2417" s="311" t="s">
        <v>462</v>
      </c>
      <c r="E2417" s="337" t="s">
        <v>63</v>
      </c>
      <c r="F2417" s="311" t="s">
        <v>139</v>
      </c>
      <c r="G2417" s="311" t="s">
        <v>237</v>
      </c>
      <c r="H2417" s="311" t="s">
        <v>398</v>
      </c>
      <c r="I2417" s="311" t="s">
        <v>66</v>
      </c>
      <c r="J2417" s="50" t="s">
        <v>1892</v>
      </c>
      <c r="K2417" s="50" t="s">
        <v>1892</v>
      </c>
      <c r="L2417" s="50" t="s">
        <v>1893</v>
      </c>
      <c r="M2417" s="50" t="s">
        <v>4930</v>
      </c>
      <c r="N2417" s="50" t="s">
        <v>4930</v>
      </c>
      <c r="O2417" s="50" t="s">
        <v>4927</v>
      </c>
      <c r="P2417" s="50" t="s">
        <v>4930</v>
      </c>
    </row>
    <row r="2418" spans="1:16" ht="12.75" customHeight="1" x14ac:dyDescent="0.25">
      <c r="A2418" s="311">
        <v>2415</v>
      </c>
      <c r="B2418" s="311" t="s">
        <v>140</v>
      </c>
      <c r="C2418" s="311" t="s">
        <v>140</v>
      </c>
      <c r="D2418" s="311" t="s">
        <v>462</v>
      </c>
      <c r="E2418" s="337" t="s">
        <v>140</v>
      </c>
      <c r="F2418" s="311" t="s">
        <v>139</v>
      </c>
      <c r="G2418" s="311" t="s">
        <v>237</v>
      </c>
      <c r="H2418" s="311" t="s">
        <v>398</v>
      </c>
      <c r="I2418" s="311" t="s">
        <v>66</v>
      </c>
      <c r="J2418" s="50" t="s">
        <v>1892</v>
      </c>
      <c r="K2418" s="50" t="s">
        <v>1892</v>
      </c>
      <c r="L2418" s="50" t="s">
        <v>1893</v>
      </c>
      <c r="M2418" s="50" t="s">
        <v>4931</v>
      </c>
      <c r="N2418" s="50" t="s">
        <v>4931</v>
      </c>
      <c r="O2418" s="50" t="s">
        <v>4927</v>
      </c>
      <c r="P2418" s="50" t="s">
        <v>4931</v>
      </c>
    </row>
    <row r="2419" spans="1:16" ht="12.75" customHeight="1" x14ac:dyDescent="0.25">
      <c r="A2419" s="311">
        <v>2416</v>
      </c>
      <c r="B2419" s="311" t="s">
        <v>121</v>
      </c>
      <c r="C2419" s="311" t="s">
        <v>121</v>
      </c>
      <c r="D2419" s="311" t="s">
        <v>462</v>
      </c>
      <c r="E2419" s="337" t="s">
        <v>121</v>
      </c>
      <c r="F2419" s="311" t="s">
        <v>139</v>
      </c>
      <c r="G2419" s="311" t="s">
        <v>237</v>
      </c>
      <c r="H2419" s="311" t="s">
        <v>398</v>
      </c>
      <c r="I2419" s="311" t="s">
        <v>66</v>
      </c>
      <c r="J2419" s="50" t="s">
        <v>1892</v>
      </c>
      <c r="K2419" s="50" t="s">
        <v>1892</v>
      </c>
      <c r="L2419" s="50" t="s">
        <v>1893</v>
      </c>
      <c r="M2419" s="50" t="s">
        <v>4932</v>
      </c>
      <c r="N2419" s="50" t="s">
        <v>4932</v>
      </c>
      <c r="O2419" s="50" t="s">
        <v>4927</v>
      </c>
      <c r="P2419" s="50" t="s">
        <v>4932</v>
      </c>
    </row>
    <row r="2420" spans="1:16" ht="12.75" customHeight="1" x14ac:dyDescent="0.25">
      <c r="A2420" s="311">
        <v>2417</v>
      </c>
      <c r="B2420" s="311" t="s">
        <v>87</v>
      </c>
      <c r="C2420" s="311" t="s">
        <v>87</v>
      </c>
      <c r="D2420" s="311" t="s">
        <v>462</v>
      </c>
      <c r="E2420" s="337" t="s">
        <v>87</v>
      </c>
      <c r="F2420" s="311" t="s">
        <v>139</v>
      </c>
      <c r="G2420" s="311" t="s">
        <v>237</v>
      </c>
      <c r="H2420" s="311" t="s">
        <v>398</v>
      </c>
      <c r="I2420" s="311" t="s">
        <v>66</v>
      </c>
      <c r="J2420" s="50" t="s">
        <v>1892</v>
      </c>
      <c r="K2420" s="50" t="s">
        <v>1892</v>
      </c>
      <c r="L2420" s="50" t="s">
        <v>1893</v>
      </c>
      <c r="M2420" s="50" t="s">
        <v>4933</v>
      </c>
      <c r="N2420" s="50" t="s">
        <v>4933</v>
      </c>
      <c r="O2420" s="50" t="s">
        <v>4927</v>
      </c>
      <c r="P2420" s="50" t="s">
        <v>4933</v>
      </c>
    </row>
    <row r="2421" spans="1:16" ht="12.75" customHeight="1" x14ac:dyDescent="0.25">
      <c r="A2421" s="311">
        <v>2418</v>
      </c>
      <c r="B2421" s="311" t="s">
        <v>125</v>
      </c>
      <c r="C2421" s="311" t="s">
        <v>125</v>
      </c>
      <c r="D2421" s="311" t="s">
        <v>125</v>
      </c>
      <c r="E2421" s="337" t="s">
        <v>125</v>
      </c>
      <c r="F2421" s="311" t="s">
        <v>139</v>
      </c>
      <c r="G2421" s="311" t="s">
        <v>237</v>
      </c>
      <c r="H2421" s="311" t="s">
        <v>398</v>
      </c>
      <c r="I2421" s="311" t="s">
        <v>66</v>
      </c>
      <c r="J2421" s="50" t="s">
        <v>1892</v>
      </c>
      <c r="K2421" s="50" t="s">
        <v>1892</v>
      </c>
      <c r="L2421" s="50" t="s">
        <v>1893</v>
      </c>
      <c r="M2421" s="50" t="s">
        <v>4934</v>
      </c>
      <c r="N2421" s="50" t="s">
        <v>4934</v>
      </c>
      <c r="O2421" s="50" t="s">
        <v>4934</v>
      </c>
      <c r="P2421" s="50" t="s">
        <v>4934</v>
      </c>
    </row>
    <row r="2422" spans="1:16" ht="12.75" customHeight="1" x14ac:dyDescent="0.25">
      <c r="A2422" s="311">
        <v>2419</v>
      </c>
      <c r="B2422" s="311" t="s">
        <v>134</v>
      </c>
      <c r="C2422" s="311" t="s">
        <v>134</v>
      </c>
      <c r="D2422" s="311" t="s">
        <v>134</v>
      </c>
      <c r="E2422" s="337" t="s">
        <v>134</v>
      </c>
      <c r="F2422" s="311" t="s">
        <v>139</v>
      </c>
      <c r="G2422" s="311" t="s">
        <v>237</v>
      </c>
      <c r="H2422" s="311" t="s">
        <v>398</v>
      </c>
      <c r="I2422" s="311" t="s">
        <v>66</v>
      </c>
      <c r="J2422" s="50" t="s">
        <v>1892</v>
      </c>
      <c r="K2422" s="50" t="s">
        <v>1892</v>
      </c>
      <c r="L2422" s="50" t="s">
        <v>1893</v>
      </c>
      <c r="M2422" s="50" t="s">
        <v>4935</v>
      </c>
      <c r="N2422" s="50" t="s">
        <v>4935</v>
      </c>
      <c r="O2422" s="50" t="s">
        <v>4935</v>
      </c>
      <c r="P2422" s="50" t="s">
        <v>4935</v>
      </c>
    </row>
    <row r="2423" spans="1:16" ht="12.75" customHeight="1" x14ac:dyDescent="0.25">
      <c r="A2423" s="311">
        <v>2420</v>
      </c>
      <c r="B2423" s="311" t="s">
        <v>141</v>
      </c>
      <c r="C2423" s="311" t="s">
        <v>141</v>
      </c>
      <c r="D2423" s="311" t="s">
        <v>141</v>
      </c>
      <c r="E2423" s="337" t="s">
        <v>141</v>
      </c>
      <c r="F2423" s="311" t="s">
        <v>139</v>
      </c>
      <c r="G2423" s="311" t="s">
        <v>237</v>
      </c>
      <c r="H2423" s="311" t="s">
        <v>398</v>
      </c>
      <c r="I2423" s="311" t="s">
        <v>66</v>
      </c>
      <c r="J2423" s="50" t="s">
        <v>1892</v>
      </c>
      <c r="K2423" s="50" t="s">
        <v>1892</v>
      </c>
      <c r="L2423" s="50" t="s">
        <v>1893</v>
      </c>
      <c r="M2423" s="50" t="s">
        <v>4936</v>
      </c>
      <c r="N2423" s="50" t="s">
        <v>4936</v>
      </c>
      <c r="O2423" s="50" t="s">
        <v>4936</v>
      </c>
      <c r="P2423" s="50" t="s">
        <v>4936</v>
      </c>
    </row>
    <row r="2424" spans="1:16" ht="12.75" customHeight="1" x14ac:dyDescent="0.25">
      <c r="A2424" s="311">
        <v>2421</v>
      </c>
      <c r="B2424" s="311" t="s">
        <v>69</v>
      </c>
      <c r="C2424" s="311" t="s">
        <v>69</v>
      </c>
      <c r="D2424" s="311" t="s">
        <v>69</v>
      </c>
      <c r="E2424" s="337" t="s">
        <v>69</v>
      </c>
      <c r="F2424" s="311" t="s">
        <v>139</v>
      </c>
      <c r="G2424" s="311" t="s">
        <v>237</v>
      </c>
      <c r="H2424" s="311" t="s">
        <v>398</v>
      </c>
      <c r="I2424" s="311" t="s">
        <v>66</v>
      </c>
      <c r="J2424" s="50" t="s">
        <v>1892</v>
      </c>
      <c r="K2424" s="50" t="s">
        <v>1892</v>
      </c>
      <c r="L2424" s="50" t="s">
        <v>1893</v>
      </c>
      <c r="M2424" s="50" t="s">
        <v>4937</v>
      </c>
      <c r="N2424" s="50" t="s">
        <v>4937</v>
      </c>
      <c r="O2424" s="50" t="s">
        <v>4937</v>
      </c>
      <c r="P2424" s="50" t="s">
        <v>4937</v>
      </c>
    </row>
    <row r="2425" spans="1:16" ht="12.75" customHeight="1" x14ac:dyDescent="0.25">
      <c r="A2425" s="311">
        <v>2422</v>
      </c>
      <c r="B2425" s="311" t="s">
        <v>84</v>
      </c>
      <c r="C2425" s="311" t="s">
        <v>462</v>
      </c>
      <c r="D2425" s="311" t="s">
        <v>462</v>
      </c>
      <c r="E2425" s="337" t="s">
        <v>462</v>
      </c>
      <c r="F2425" s="311" t="s">
        <v>152</v>
      </c>
      <c r="G2425" s="311" t="s">
        <v>236</v>
      </c>
      <c r="H2425" s="311" t="s">
        <v>400</v>
      </c>
      <c r="I2425" s="311" t="s">
        <v>66</v>
      </c>
      <c r="J2425" s="50" t="s">
        <v>1892</v>
      </c>
      <c r="K2425" s="50" t="s">
        <v>1892</v>
      </c>
      <c r="L2425" s="50" t="s">
        <v>1893</v>
      </c>
      <c r="M2425" s="50" t="s">
        <v>4938</v>
      </c>
      <c r="N2425" s="50" t="s">
        <v>4939</v>
      </c>
      <c r="O2425" s="50" t="s">
        <v>4939</v>
      </c>
      <c r="P2425" s="50" t="s">
        <v>4939</v>
      </c>
    </row>
    <row r="2426" spans="1:16" ht="12.75" customHeight="1" x14ac:dyDescent="0.25">
      <c r="A2426" s="311">
        <v>2423</v>
      </c>
      <c r="B2426" s="311" t="s">
        <v>123</v>
      </c>
      <c r="C2426" s="311" t="s">
        <v>462</v>
      </c>
      <c r="D2426" s="311" t="s">
        <v>462</v>
      </c>
      <c r="E2426" s="337" t="s">
        <v>462</v>
      </c>
      <c r="F2426" s="311" t="s">
        <v>152</v>
      </c>
      <c r="G2426" s="311" t="s">
        <v>236</v>
      </c>
      <c r="H2426" s="311" t="s">
        <v>400</v>
      </c>
      <c r="I2426" s="311" t="s">
        <v>66</v>
      </c>
      <c r="J2426" s="50" t="s">
        <v>1892</v>
      </c>
      <c r="K2426" s="50" t="s">
        <v>1892</v>
      </c>
      <c r="L2426" s="50" t="s">
        <v>1893</v>
      </c>
      <c r="M2426" s="50" t="s">
        <v>4940</v>
      </c>
      <c r="N2426" s="50" t="s">
        <v>4939</v>
      </c>
      <c r="O2426" s="50" t="s">
        <v>4939</v>
      </c>
      <c r="P2426" s="50" t="s">
        <v>4939</v>
      </c>
    </row>
    <row r="2427" spans="1:16" ht="12.75" customHeight="1" x14ac:dyDescent="0.25">
      <c r="A2427" s="311">
        <v>2424</v>
      </c>
      <c r="B2427" s="311" t="s">
        <v>75</v>
      </c>
      <c r="C2427" s="311" t="s">
        <v>462</v>
      </c>
      <c r="D2427" s="311" t="s">
        <v>462</v>
      </c>
      <c r="E2427" s="337" t="s">
        <v>462</v>
      </c>
      <c r="F2427" s="311" t="s">
        <v>152</v>
      </c>
      <c r="G2427" s="311" t="s">
        <v>236</v>
      </c>
      <c r="H2427" s="311" t="s">
        <v>400</v>
      </c>
      <c r="I2427" s="311" t="s">
        <v>66</v>
      </c>
      <c r="J2427" s="50" t="s">
        <v>1892</v>
      </c>
      <c r="K2427" s="50" t="s">
        <v>1892</v>
      </c>
      <c r="L2427" s="50" t="s">
        <v>1893</v>
      </c>
      <c r="M2427" s="50" t="s">
        <v>4941</v>
      </c>
      <c r="N2427" s="50" t="s">
        <v>4939</v>
      </c>
      <c r="O2427" s="50" t="s">
        <v>4939</v>
      </c>
      <c r="P2427" s="50" t="s">
        <v>4939</v>
      </c>
    </row>
    <row r="2428" spans="1:16" ht="12.75" customHeight="1" x14ac:dyDescent="0.25">
      <c r="A2428" s="311">
        <v>2425</v>
      </c>
      <c r="B2428" s="311" t="s">
        <v>63</v>
      </c>
      <c r="C2428" s="311" t="s">
        <v>63</v>
      </c>
      <c r="D2428" s="311" t="s">
        <v>462</v>
      </c>
      <c r="E2428" s="337" t="s">
        <v>63</v>
      </c>
      <c r="F2428" s="311" t="s">
        <v>152</v>
      </c>
      <c r="G2428" s="311" t="s">
        <v>236</v>
      </c>
      <c r="H2428" s="311" t="s">
        <v>400</v>
      </c>
      <c r="I2428" s="311" t="s">
        <v>66</v>
      </c>
      <c r="J2428" s="50" t="s">
        <v>1892</v>
      </c>
      <c r="K2428" s="50" t="s">
        <v>1892</v>
      </c>
      <c r="L2428" s="50" t="s">
        <v>1893</v>
      </c>
      <c r="M2428" s="50" t="s">
        <v>4942</v>
      </c>
      <c r="N2428" s="50" t="s">
        <v>4942</v>
      </c>
      <c r="O2428" s="50" t="s">
        <v>4939</v>
      </c>
      <c r="P2428" s="50" t="s">
        <v>4942</v>
      </c>
    </row>
    <row r="2429" spans="1:16" ht="12.75" customHeight="1" x14ac:dyDescent="0.25">
      <c r="A2429" s="311">
        <v>2426</v>
      </c>
      <c r="B2429" s="311" t="s">
        <v>140</v>
      </c>
      <c r="C2429" s="311" t="s">
        <v>140</v>
      </c>
      <c r="D2429" s="311" t="s">
        <v>462</v>
      </c>
      <c r="E2429" s="337" t="s">
        <v>140</v>
      </c>
      <c r="F2429" s="311" t="s">
        <v>152</v>
      </c>
      <c r="G2429" s="311" t="s">
        <v>236</v>
      </c>
      <c r="H2429" s="311" t="s">
        <v>400</v>
      </c>
      <c r="I2429" s="311" t="s">
        <v>66</v>
      </c>
      <c r="J2429" s="50" t="s">
        <v>1892</v>
      </c>
      <c r="K2429" s="50" t="s">
        <v>1892</v>
      </c>
      <c r="L2429" s="50" t="s">
        <v>1893</v>
      </c>
      <c r="M2429" s="50" t="s">
        <v>4943</v>
      </c>
      <c r="N2429" s="50" t="s">
        <v>4943</v>
      </c>
      <c r="O2429" s="50" t="s">
        <v>4939</v>
      </c>
      <c r="P2429" s="50" t="s">
        <v>4943</v>
      </c>
    </row>
    <row r="2430" spans="1:16" ht="12.75" customHeight="1" x14ac:dyDescent="0.25">
      <c r="A2430" s="311">
        <v>2427</v>
      </c>
      <c r="B2430" s="311" t="s">
        <v>121</v>
      </c>
      <c r="C2430" s="311" t="s">
        <v>121</v>
      </c>
      <c r="D2430" s="311" t="s">
        <v>462</v>
      </c>
      <c r="E2430" s="337" t="s">
        <v>121</v>
      </c>
      <c r="F2430" s="311" t="s">
        <v>152</v>
      </c>
      <c r="G2430" s="311" t="s">
        <v>236</v>
      </c>
      <c r="H2430" s="311" t="s">
        <v>400</v>
      </c>
      <c r="I2430" s="311" t="s">
        <v>66</v>
      </c>
      <c r="J2430" s="50" t="s">
        <v>1892</v>
      </c>
      <c r="K2430" s="50" t="s">
        <v>1892</v>
      </c>
      <c r="L2430" s="50" t="s">
        <v>1893</v>
      </c>
      <c r="M2430" s="50" t="s">
        <v>4944</v>
      </c>
      <c r="N2430" s="50" t="s">
        <v>4944</v>
      </c>
      <c r="O2430" s="50" t="s">
        <v>4939</v>
      </c>
      <c r="P2430" s="50" t="s">
        <v>4944</v>
      </c>
    </row>
    <row r="2431" spans="1:16" ht="12.75" customHeight="1" x14ac:dyDescent="0.25">
      <c r="A2431" s="311">
        <v>2428</v>
      </c>
      <c r="B2431" s="311" t="s">
        <v>87</v>
      </c>
      <c r="C2431" s="311" t="s">
        <v>87</v>
      </c>
      <c r="D2431" s="311" t="s">
        <v>462</v>
      </c>
      <c r="E2431" s="337" t="s">
        <v>87</v>
      </c>
      <c r="F2431" s="311" t="s">
        <v>152</v>
      </c>
      <c r="G2431" s="311" t="s">
        <v>236</v>
      </c>
      <c r="H2431" s="311" t="s">
        <v>400</v>
      </c>
      <c r="I2431" s="311" t="s">
        <v>66</v>
      </c>
      <c r="J2431" s="50" t="s">
        <v>1892</v>
      </c>
      <c r="K2431" s="50" t="s">
        <v>1892</v>
      </c>
      <c r="L2431" s="50" t="s">
        <v>1893</v>
      </c>
      <c r="M2431" s="50" t="s">
        <v>4945</v>
      </c>
      <c r="N2431" s="50" t="s">
        <v>4945</v>
      </c>
      <c r="O2431" s="50" t="s">
        <v>4939</v>
      </c>
      <c r="P2431" s="50" t="s">
        <v>4945</v>
      </c>
    </row>
    <row r="2432" spans="1:16" ht="12.75" customHeight="1" x14ac:dyDescent="0.25">
      <c r="A2432" s="311">
        <v>2429</v>
      </c>
      <c r="B2432" s="311" t="s">
        <v>125</v>
      </c>
      <c r="C2432" s="311" t="s">
        <v>125</v>
      </c>
      <c r="D2432" s="311" t="s">
        <v>125</v>
      </c>
      <c r="E2432" s="337" t="s">
        <v>125</v>
      </c>
      <c r="F2432" s="311" t="s">
        <v>152</v>
      </c>
      <c r="G2432" s="311" t="s">
        <v>236</v>
      </c>
      <c r="H2432" s="311" t="s">
        <v>400</v>
      </c>
      <c r="I2432" s="311" t="s">
        <v>66</v>
      </c>
      <c r="J2432" s="50" t="s">
        <v>1892</v>
      </c>
      <c r="K2432" s="50" t="s">
        <v>1892</v>
      </c>
      <c r="L2432" s="50" t="s">
        <v>1893</v>
      </c>
      <c r="M2432" s="50" t="s">
        <v>4946</v>
      </c>
      <c r="N2432" s="50" t="s">
        <v>4946</v>
      </c>
      <c r="O2432" s="50" t="s">
        <v>4946</v>
      </c>
      <c r="P2432" s="50" t="s">
        <v>4946</v>
      </c>
    </row>
    <row r="2433" spans="1:16" ht="12.75" customHeight="1" x14ac:dyDescent="0.25">
      <c r="A2433" s="311">
        <v>2430</v>
      </c>
      <c r="B2433" s="311" t="s">
        <v>134</v>
      </c>
      <c r="C2433" s="311" t="s">
        <v>134</v>
      </c>
      <c r="D2433" s="311" t="s">
        <v>134</v>
      </c>
      <c r="E2433" s="337" t="s">
        <v>134</v>
      </c>
      <c r="F2433" s="311" t="s">
        <v>152</v>
      </c>
      <c r="G2433" s="311" t="s">
        <v>236</v>
      </c>
      <c r="H2433" s="311" t="s">
        <v>400</v>
      </c>
      <c r="I2433" s="311" t="s">
        <v>66</v>
      </c>
      <c r="J2433" s="50" t="s">
        <v>1892</v>
      </c>
      <c r="K2433" s="50" t="s">
        <v>1892</v>
      </c>
      <c r="L2433" s="50" t="s">
        <v>1893</v>
      </c>
      <c r="M2433" s="50" t="s">
        <v>4947</v>
      </c>
      <c r="N2433" s="50" t="s">
        <v>4947</v>
      </c>
      <c r="O2433" s="50" t="s">
        <v>4947</v>
      </c>
      <c r="P2433" s="50" t="s">
        <v>4947</v>
      </c>
    </row>
    <row r="2434" spans="1:16" ht="12.75" customHeight="1" x14ac:dyDescent="0.25">
      <c r="A2434" s="311">
        <v>2431</v>
      </c>
      <c r="B2434" s="311" t="s">
        <v>141</v>
      </c>
      <c r="C2434" s="311" t="s">
        <v>141</v>
      </c>
      <c r="D2434" s="311" t="s">
        <v>141</v>
      </c>
      <c r="E2434" s="337" t="s">
        <v>141</v>
      </c>
      <c r="F2434" s="311" t="s">
        <v>152</v>
      </c>
      <c r="G2434" s="311" t="s">
        <v>236</v>
      </c>
      <c r="H2434" s="311" t="s">
        <v>400</v>
      </c>
      <c r="I2434" s="311" t="s">
        <v>66</v>
      </c>
      <c r="J2434" s="50" t="s">
        <v>1892</v>
      </c>
      <c r="K2434" s="50" t="s">
        <v>1892</v>
      </c>
      <c r="L2434" s="50" t="s">
        <v>1893</v>
      </c>
      <c r="M2434" s="50" t="s">
        <v>4948</v>
      </c>
      <c r="N2434" s="50" t="s">
        <v>4948</v>
      </c>
      <c r="O2434" s="50" t="s">
        <v>4948</v>
      </c>
      <c r="P2434" s="50" t="s">
        <v>4948</v>
      </c>
    </row>
    <row r="2435" spans="1:16" ht="12.75" customHeight="1" x14ac:dyDescent="0.25">
      <c r="A2435" s="311">
        <v>2432</v>
      </c>
      <c r="B2435" s="311" t="s">
        <v>69</v>
      </c>
      <c r="C2435" s="311" t="s">
        <v>69</v>
      </c>
      <c r="D2435" s="311" t="s">
        <v>69</v>
      </c>
      <c r="E2435" s="337" t="s">
        <v>69</v>
      </c>
      <c r="F2435" s="311" t="s">
        <v>152</v>
      </c>
      <c r="G2435" s="311" t="s">
        <v>236</v>
      </c>
      <c r="H2435" s="311" t="s">
        <v>400</v>
      </c>
      <c r="I2435" s="311" t="s">
        <v>66</v>
      </c>
      <c r="J2435" s="50" t="s">
        <v>1892</v>
      </c>
      <c r="K2435" s="50" t="s">
        <v>1892</v>
      </c>
      <c r="L2435" s="50" t="s">
        <v>1893</v>
      </c>
      <c r="M2435" s="50" t="s">
        <v>4949</v>
      </c>
      <c r="N2435" s="50" t="s">
        <v>4949</v>
      </c>
      <c r="O2435" s="50" t="s">
        <v>4949</v>
      </c>
      <c r="P2435" s="50" t="s">
        <v>4949</v>
      </c>
    </row>
    <row r="2436" spans="1:16" ht="12.75" customHeight="1" x14ac:dyDescent="0.25">
      <c r="A2436" s="311">
        <v>2433</v>
      </c>
      <c r="B2436" s="311" t="s">
        <v>84</v>
      </c>
      <c r="C2436" s="311" t="s">
        <v>462</v>
      </c>
      <c r="D2436" s="311" t="s">
        <v>462</v>
      </c>
      <c r="E2436" s="337" t="s">
        <v>462</v>
      </c>
      <c r="F2436" s="311" t="s">
        <v>152</v>
      </c>
      <c r="G2436" s="311" t="s">
        <v>23</v>
      </c>
      <c r="H2436" s="311" t="s">
        <v>400</v>
      </c>
      <c r="I2436" s="311" t="s">
        <v>66</v>
      </c>
      <c r="J2436" s="50" t="s">
        <v>1892</v>
      </c>
      <c r="K2436" s="50" t="s">
        <v>1892</v>
      </c>
      <c r="L2436" s="50" t="s">
        <v>1893</v>
      </c>
      <c r="M2436" s="50" t="s">
        <v>4950</v>
      </c>
      <c r="N2436" s="50" t="s">
        <v>4951</v>
      </c>
      <c r="O2436" s="50" t="s">
        <v>4951</v>
      </c>
      <c r="P2436" s="50" t="s">
        <v>4951</v>
      </c>
    </row>
    <row r="2437" spans="1:16" ht="12.75" customHeight="1" x14ac:dyDescent="0.25">
      <c r="A2437" s="311">
        <v>2434</v>
      </c>
      <c r="B2437" s="311" t="s">
        <v>123</v>
      </c>
      <c r="C2437" s="311" t="s">
        <v>462</v>
      </c>
      <c r="D2437" s="311" t="s">
        <v>462</v>
      </c>
      <c r="E2437" s="337" t="s">
        <v>462</v>
      </c>
      <c r="F2437" s="311" t="s">
        <v>152</v>
      </c>
      <c r="G2437" s="311" t="s">
        <v>23</v>
      </c>
      <c r="H2437" s="311" t="s">
        <v>400</v>
      </c>
      <c r="I2437" s="311" t="s">
        <v>66</v>
      </c>
      <c r="J2437" s="50" t="s">
        <v>1892</v>
      </c>
      <c r="K2437" s="50" t="s">
        <v>1892</v>
      </c>
      <c r="L2437" s="50" t="s">
        <v>1893</v>
      </c>
      <c r="M2437" s="50" t="s">
        <v>4952</v>
      </c>
      <c r="N2437" s="50" t="s">
        <v>4951</v>
      </c>
      <c r="O2437" s="50" t="s">
        <v>4951</v>
      </c>
      <c r="P2437" s="50" t="s">
        <v>4951</v>
      </c>
    </row>
    <row r="2438" spans="1:16" ht="12.75" customHeight="1" x14ac:dyDescent="0.25">
      <c r="A2438" s="311">
        <v>2435</v>
      </c>
      <c r="B2438" s="311" t="s">
        <v>75</v>
      </c>
      <c r="C2438" s="311" t="s">
        <v>462</v>
      </c>
      <c r="D2438" s="311" t="s">
        <v>462</v>
      </c>
      <c r="E2438" s="337" t="s">
        <v>462</v>
      </c>
      <c r="F2438" s="311" t="s">
        <v>152</v>
      </c>
      <c r="G2438" s="311" t="s">
        <v>23</v>
      </c>
      <c r="H2438" s="311" t="s">
        <v>400</v>
      </c>
      <c r="I2438" s="311" t="s">
        <v>66</v>
      </c>
      <c r="J2438" s="50" t="s">
        <v>1892</v>
      </c>
      <c r="K2438" s="50" t="s">
        <v>1892</v>
      </c>
      <c r="L2438" s="50" t="s">
        <v>1893</v>
      </c>
      <c r="M2438" s="50" t="s">
        <v>4953</v>
      </c>
      <c r="N2438" s="50" t="s">
        <v>4951</v>
      </c>
      <c r="O2438" s="50" t="s">
        <v>4951</v>
      </c>
      <c r="P2438" s="50" t="s">
        <v>4951</v>
      </c>
    </row>
    <row r="2439" spans="1:16" ht="12.75" customHeight="1" x14ac:dyDescent="0.25">
      <c r="A2439" s="311">
        <v>2436</v>
      </c>
      <c r="B2439" s="311" t="s">
        <v>63</v>
      </c>
      <c r="C2439" s="311" t="s">
        <v>63</v>
      </c>
      <c r="D2439" s="311" t="s">
        <v>462</v>
      </c>
      <c r="E2439" s="337" t="s">
        <v>63</v>
      </c>
      <c r="F2439" s="311" t="s">
        <v>152</v>
      </c>
      <c r="G2439" s="311" t="s">
        <v>23</v>
      </c>
      <c r="H2439" s="311" t="s">
        <v>400</v>
      </c>
      <c r="I2439" s="311" t="s">
        <v>66</v>
      </c>
      <c r="J2439" s="50" t="s">
        <v>1892</v>
      </c>
      <c r="K2439" s="50" t="s">
        <v>1892</v>
      </c>
      <c r="L2439" s="50" t="s">
        <v>1893</v>
      </c>
      <c r="M2439" s="50" t="s">
        <v>4954</v>
      </c>
      <c r="N2439" s="50" t="s">
        <v>4954</v>
      </c>
      <c r="O2439" s="50" t="s">
        <v>4951</v>
      </c>
      <c r="P2439" s="50" t="s">
        <v>4954</v>
      </c>
    </row>
    <row r="2440" spans="1:16" ht="12.75" customHeight="1" x14ac:dyDescent="0.25">
      <c r="A2440" s="311">
        <v>2437</v>
      </c>
      <c r="B2440" s="311" t="s">
        <v>140</v>
      </c>
      <c r="C2440" s="311" t="s">
        <v>140</v>
      </c>
      <c r="D2440" s="311" t="s">
        <v>462</v>
      </c>
      <c r="E2440" s="337" t="s">
        <v>140</v>
      </c>
      <c r="F2440" s="311" t="s">
        <v>152</v>
      </c>
      <c r="G2440" s="311" t="s">
        <v>23</v>
      </c>
      <c r="H2440" s="311" t="s">
        <v>400</v>
      </c>
      <c r="I2440" s="311" t="s">
        <v>66</v>
      </c>
      <c r="J2440" s="50" t="s">
        <v>1892</v>
      </c>
      <c r="K2440" s="50" t="s">
        <v>1892</v>
      </c>
      <c r="L2440" s="50" t="s">
        <v>1893</v>
      </c>
      <c r="M2440" s="50" t="s">
        <v>4955</v>
      </c>
      <c r="N2440" s="50" t="s">
        <v>4955</v>
      </c>
      <c r="O2440" s="50" t="s">
        <v>4951</v>
      </c>
      <c r="P2440" s="50" t="s">
        <v>4955</v>
      </c>
    </row>
    <row r="2441" spans="1:16" ht="12.75" customHeight="1" x14ac:dyDescent="0.25">
      <c r="A2441" s="311">
        <v>2438</v>
      </c>
      <c r="B2441" s="311" t="s">
        <v>121</v>
      </c>
      <c r="C2441" s="311" t="s">
        <v>121</v>
      </c>
      <c r="D2441" s="311" t="s">
        <v>462</v>
      </c>
      <c r="E2441" s="337" t="s">
        <v>121</v>
      </c>
      <c r="F2441" s="311" t="s">
        <v>152</v>
      </c>
      <c r="G2441" s="311" t="s">
        <v>23</v>
      </c>
      <c r="H2441" s="311" t="s">
        <v>400</v>
      </c>
      <c r="I2441" s="311" t="s">
        <v>66</v>
      </c>
      <c r="J2441" s="50" t="s">
        <v>1892</v>
      </c>
      <c r="K2441" s="50" t="s">
        <v>1892</v>
      </c>
      <c r="L2441" s="50" t="s">
        <v>1893</v>
      </c>
      <c r="M2441" s="50" t="s">
        <v>4956</v>
      </c>
      <c r="N2441" s="50" t="s">
        <v>4956</v>
      </c>
      <c r="O2441" s="50" t="s">
        <v>4951</v>
      </c>
      <c r="P2441" s="50" t="s">
        <v>4956</v>
      </c>
    </row>
    <row r="2442" spans="1:16" ht="12.75" customHeight="1" x14ac:dyDescent="0.25">
      <c r="A2442" s="311">
        <v>2439</v>
      </c>
      <c r="B2442" s="311" t="s">
        <v>87</v>
      </c>
      <c r="C2442" s="311" t="s">
        <v>87</v>
      </c>
      <c r="D2442" s="311" t="s">
        <v>462</v>
      </c>
      <c r="E2442" s="337" t="s">
        <v>87</v>
      </c>
      <c r="F2442" s="311" t="s">
        <v>152</v>
      </c>
      <c r="G2442" s="311" t="s">
        <v>23</v>
      </c>
      <c r="H2442" s="311" t="s">
        <v>400</v>
      </c>
      <c r="I2442" s="311" t="s">
        <v>66</v>
      </c>
      <c r="J2442" s="50" t="s">
        <v>1892</v>
      </c>
      <c r="K2442" s="50" t="s">
        <v>1892</v>
      </c>
      <c r="L2442" s="50" t="s">
        <v>1893</v>
      </c>
      <c r="M2442" s="50" t="s">
        <v>4957</v>
      </c>
      <c r="N2442" s="50" t="s">
        <v>4957</v>
      </c>
      <c r="O2442" s="50" t="s">
        <v>4951</v>
      </c>
      <c r="P2442" s="50" t="s">
        <v>4957</v>
      </c>
    </row>
    <row r="2443" spans="1:16" ht="12.75" customHeight="1" x14ac:dyDescent="0.25">
      <c r="A2443" s="311">
        <v>2440</v>
      </c>
      <c r="B2443" s="311" t="s">
        <v>125</v>
      </c>
      <c r="C2443" s="311" t="s">
        <v>125</v>
      </c>
      <c r="D2443" s="311" t="s">
        <v>125</v>
      </c>
      <c r="E2443" s="337" t="s">
        <v>125</v>
      </c>
      <c r="F2443" s="311" t="s">
        <v>152</v>
      </c>
      <c r="G2443" s="311" t="s">
        <v>23</v>
      </c>
      <c r="H2443" s="311" t="s">
        <v>400</v>
      </c>
      <c r="I2443" s="311" t="s">
        <v>66</v>
      </c>
      <c r="J2443" s="50" t="s">
        <v>1892</v>
      </c>
      <c r="K2443" s="50" t="s">
        <v>1892</v>
      </c>
      <c r="L2443" s="50" t="s">
        <v>1893</v>
      </c>
      <c r="M2443" s="50" t="s">
        <v>4958</v>
      </c>
      <c r="N2443" s="50" t="s">
        <v>4958</v>
      </c>
      <c r="O2443" s="50" t="s">
        <v>4958</v>
      </c>
      <c r="P2443" s="50" t="s">
        <v>4958</v>
      </c>
    </row>
    <row r="2444" spans="1:16" ht="12.75" customHeight="1" x14ac:dyDescent="0.25">
      <c r="A2444" s="311">
        <v>2441</v>
      </c>
      <c r="B2444" s="311" t="s">
        <v>134</v>
      </c>
      <c r="C2444" s="311" t="s">
        <v>134</v>
      </c>
      <c r="D2444" s="311" t="s">
        <v>134</v>
      </c>
      <c r="E2444" s="337" t="s">
        <v>134</v>
      </c>
      <c r="F2444" s="311" t="s">
        <v>152</v>
      </c>
      <c r="G2444" s="311" t="s">
        <v>23</v>
      </c>
      <c r="H2444" s="311" t="s">
        <v>400</v>
      </c>
      <c r="I2444" s="311" t="s">
        <v>66</v>
      </c>
      <c r="J2444" s="50" t="s">
        <v>1892</v>
      </c>
      <c r="K2444" s="50" t="s">
        <v>1892</v>
      </c>
      <c r="L2444" s="50" t="s">
        <v>1893</v>
      </c>
      <c r="M2444" s="50" t="s">
        <v>4959</v>
      </c>
      <c r="N2444" s="50" t="s">
        <v>4959</v>
      </c>
      <c r="O2444" s="50" t="s">
        <v>4959</v>
      </c>
      <c r="P2444" s="50" t="s">
        <v>4959</v>
      </c>
    </row>
    <row r="2445" spans="1:16" ht="12.75" customHeight="1" x14ac:dyDescent="0.25">
      <c r="A2445" s="311">
        <v>2442</v>
      </c>
      <c r="B2445" s="311" t="s">
        <v>141</v>
      </c>
      <c r="C2445" s="311" t="s">
        <v>141</v>
      </c>
      <c r="D2445" s="311" t="s">
        <v>141</v>
      </c>
      <c r="E2445" s="337" t="s">
        <v>141</v>
      </c>
      <c r="F2445" s="311" t="s">
        <v>152</v>
      </c>
      <c r="G2445" s="311" t="s">
        <v>23</v>
      </c>
      <c r="H2445" s="311" t="s">
        <v>400</v>
      </c>
      <c r="I2445" s="311" t="s">
        <v>66</v>
      </c>
      <c r="J2445" s="50" t="s">
        <v>1892</v>
      </c>
      <c r="K2445" s="50" t="s">
        <v>1892</v>
      </c>
      <c r="L2445" s="50" t="s">
        <v>1893</v>
      </c>
      <c r="M2445" s="50" t="s">
        <v>4960</v>
      </c>
      <c r="N2445" s="50" t="s">
        <v>4960</v>
      </c>
      <c r="O2445" s="50" t="s">
        <v>4960</v>
      </c>
      <c r="P2445" s="50" t="s">
        <v>4960</v>
      </c>
    </row>
    <row r="2446" spans="1:16" ht="12.75" customHeight="1" x14ac:dyDescent="0.25">
      <c r="A2446" s="311">
        <v>2443</v>
      </c>
      <c r="B2446" s="311" t="s">
        <v>69</v>
      </c>
      <c r="C2446" s="311" t="s">
        <v>69</v>
      </c>
      <c r="D2446" s="311" t="s">
        <v>69</v>
      </c>
      <c r="E2446" s="337" t="s">
        <v>69</v>
      </c>
      <c r="F2446" s="311" t="s">
        <v>152</v>
      </c>
      <c r="G2446" s="311" t="s">
        <v>23</v>
      </c>
      <c r="H2446" s="311" t="s">
        <v>400</v>
      </c>
      <c r="I2446" s="311" t="s">
        <v>66</v>
      </c>
      <c r="J2446" s="50" t="s">
        <v>1892</v>
      </c>
      <c r="K2446" s="50" t="s">
        <v>1892</v>
      </c>
      <c r="L2446" s="50" t="s">
        <v>1893</v>
      </c>
      <c r="M2446" s="50" t="s">
        <v>4961</v>
      </c>
      <c r="N2446" s="50" t="s">
        <v>4961</v>
      </c>
      <c r="O2446" s="50" t="s">
        <v>4961</v>
      </c>
      <c r="P2446" s="50" t="s">
        <v>4961</v>
      </c>
    </row>
    <row r="2447" spans="1:16" ht="12.75" customHeight="1" x14ac:dyDescent="0.25">
      <c r="A2447" s="311">
        <v>2444</v>
      </c>
      <c r="B2447" s="311" t="s">
        <v>84</v>
      </c>
      <c r="C2447" s="311" t="s">
        <v>462</v>
      </c>
      <c r="D2447" s="311" t="s">
        <v>462</v>
      </c>
      <c r="E2447" s="337" t="s">
        <v>462</v>
      </c>
      <c r="F2447" s="311" t="s">
        <v>152</v>
      </c>
      <c r="G2447" s="311" t="s">
        <v>237</v>
      </c>
      <c r="H2447" s="311" t="s">
        <v>400</v>
      </c>
      <c r="I2447" s="311" t="s">
        <v>66</v>
      </c>
      <c r="J2447" s="50" t="s">
        <v>1892</v>
      </c>
      <c r="K2447" s="50" t="s">
        <v>1892</v>
      </c>
      <c r="L2447" s="50" t="s">
        <v>1893</v>
      </c>
      <c r="M2447" s="50" t="s">
        <v>4962</v>
      </c>
      <c r="N2447" s="50" t="s">
        <v>4963</v>
      </c>
      <c r="O2447" s="50" t="s">
        <v>4963</v>
      </c>
      <c r="P2447" s="50" t="s">
        <v>4963</v>
      </c>
    </row>
    <row r="2448" spans="1:16" ht="12.75" customHeight="1" x14ac:dyDescent="0.25">
      <c r="A2448" s="311">
        <v>2445</v>
      </c>
      <c r="B2448" s="311" t="s">
        <v>123</v>
      </c>
      <c r="C2448" s="311" t="s">
        <v>462</v>
      </c>
      <c r="D2448" s="311" t="s">
        <v>462</v>
      </c>
      <c r="E2448" s="337" t="s">
        <v>462</v>
      </c>
      <c r="F2448" s="311" t="s">
        <v>152</v>
      </c>
      <c r="G2448" s="311" t="s">
        <v>237</v>
      </c>
      <c r="H2448" s="311" t="s">
        <v>400</v>
      </c>
      <c r="I2448" s="311" t="s">
        <v>66</v>
      </c>
      <c r="J2448" s="50" t="s">
        <v>1892</v>
      </c>
      <c r="K2448" s="50" t="s">
        <v>1892</v>
      </c>
      <c r="L2448" s="50" t="s">
        <v>1893</v>
      </c>
      <c r="M2448" s="50" t="s">
        <v>4964</v>
      </c>
      <c r="N2448" s="50" t="s">
        <v>4963</v>
      </c>
      <c r="O2448" s="50" t="s">
        <v>4963</v>
      </c>
      <c r="P2448" s="50" t="s">
        <v>4963</v>
      </c>
    </row>
    <row r="2449" spans="1:16" ht="12.75" customHeight="1" x14ac:dyDescent="0.25">
      <c r="A2449" s="311">
        <v>2446</v>
      </c>
      <c r="B2449" s="311" t="s">
        <v>75</v>
      </c>
      <c r="C2449" s="311" t="s">
        <v>462</v>
      </c>
      <c r="D2449" s="311" t="s">
        <v>462</v>
      </c>
      <c r="E2449" s="337" t="s">
        <v>462</v>
      </c>
      <c r="F2449" s="311" t="s">
        <v>152</v>
      </c>
      <c r="G2449" s="311" t="s">
        <v>237</v>
      </c>
      <c r="H2449" s="311" t="s">
        <v>400</v>
      </c>
      <c r="I2449" s="311" t="s">
        <v>66</v>
      </c>
      <c r="J2449" s="50" t="s">
        <v>1892</v>
      </c>
      <c r="K2449" s="50" t="s">
        <v>1892</v>
      </c>
      <c r="L2449" s="50" t="s">
        <v>1893</v>
      </c>
      <c r="M2449" s="50" t="s">
        <v>4965</v>
      </c>
      <c r="N2449" s="50" t="s">
        <v>4963</v>
      </c>
      <c r="O2449" s="50" t="s">
        <v>4963</v>
      </c>
      <c r="P2449" s="50" t="s">
        <v>4963</v>
      </c>
    </row>
    <row r="2450" spans="1:16" ht="12.75" customHeight="1" x14ac:dyDescent="0.25">
      <c r="A2450" s="311">
        <v>2447</v>
      </c>
      <c r="B2450" s="311" t="s">
        <v>63</v>
      </c>
      <c r="C2450" s="311" t="s">
        <v>63</v>
      </c>
      <c r="D2450" s="311" t="s">
        <v>462</v>
      </c>
      <c r="E2450" s="337" t="s">
        <v>63</v>
      </c>
      <c r="F2450" s="311" t="s">
        <v>152</v>
      </c>
      <c r="G2450" s="311" t="s">
        <v>237</v>
      </c>
      <c r="H2450" s="311" t="s">
        <v>400</v>
      </c>
      <c r="I2450" s="311" t="s">
        <v>66</v>
      </c>
      <c r="J2450" s="50" t="s">
        <v>1892</v>
      </c>
      <c r="K2450" s="50" t="s">
        <v>1892</v>
      </c>
      <c r="L2450" s="50" t="s">
        <v>1893</v>
      </c>
      <c r="M2450" s="50" t="s">
        <v>4966</v>
      </c>
      <c r="N2450" s="50" t="s">
        <v>4966</v>
      </c>
      <c r="O2450" s="50" t="s">
        <v>4963</v>
      </c>
      <c r="P2450" s="50" t="s">
        <v>4966</v>
      </c>
    </row>
    <row r="2451" spans="1:16" ht="12.75" customHeight="1" x14ac:dyDescent="0.25">
      <c r="A2451" s="311">
        <v>2448</v>
      </c>
      <c r="B2451" s="311" t="s">
        <v>140</v>
      </c>
      <c r="C2451" s="311" t="s">
        <v>140</v>
      </c>
      <c r="D2451" s="311" t="s">
        <v>462</v>
      </c>
      <c r="E2451" s="337" t="s">
        <v>140</v>
      </c>
      <c r="F2451" s="311" t="s">
        <v>152</v>
      </c>
      <c r="G2451" s="311" t="s">
        <v>237</v>
      </c>
      <c r="H2451" s="311" t="s">
        <v>400</v>
      </c>
      <c r="I2451" s="311" t="s">
        <v>66</v>
      </c>
      <c r="J2451" s="50" t="s">
        <v>1892</v>
      </c>
      <c r="K2451" s="50" t="s">
        <v>1892</v>
      </c>
      <c r="L2451" s="50" t="s">
        <v>1893</v>
      </c>
      <c r="M2451" s="50" t="s">
        <v>4967</v>
      </c>
      <c r="N2451" s="50" t="s">
        <v>4967</v>
      </c>
      <c r="O2451" s="50" t="s">
        <v>4963</v>
      </c>
      <c r="P2451" s="50" t="s">
        <v>4967</v>
      </c>
    </row>
    <row r="2452" spans="1:16" ht="12.75" customHeight="1" x14ac:dyDescent="0.25">
      <c r="A2452" s="311">
        <v>2449</v>
      </c>
      <c r="B2452" s="311" t="s">
        <v>121</v>
      </c>
      <c r="C2452" s="311" t="s">
        <v>121</v>
      </c>
      <c r="D2452" s="311" t="s">
        <v>462</v>
      </c>
      <c r="E2452" s="337" t="s">
        <v>121</v>
      </c>
      <c r="F2452" s="311" t="s">
        <v>152</v>
      </c>
      <c r="G2452" s="311" t="s">
        <v>237</v>
      </c>
      <c r="H2452" s="311" t="s">
        <v>400</v>
      </c>
      <c r="I2452" s="311" t="s">
        <v>66</v>
      </c>
      <c r="J2452" s="50" t="s">
        <v>1892</v>
      </c>
      <c r="K2452" s="50" t="s">
        <v>1892</v>
      </c>
      <c r="L2452" s="50" t="s">
        <v>1893</v>
      </c>
      <c r="M2452" s="50" t="s">
        <v>4968</v>
      </c>
      <c r="N2452" s="50" t="s">
        <v>4968</v>
      </c>
      <c r="O2452" s="50" t="s">
        <v>4963</v>
      </c>
      <c r="P2452" s="50" t="s">
        <v>4968</v>
      </c>
    </row>
    <row r="2453" spans="1:16" ht="12.75" customHeight="1" x14ac:dyDescent="0.25">
      <c r="A2453" s="311">
        <v>2450</v>
      </c>
      <c r="B2453" s="311" t="s">
        <v>87</v>
      </c>
      <c r="C2453" s="311" t="s">
        <v>87</v>
      </c>
      <c r="D2453" s="311" t="s">
        <v>462</v>
      </c>
      <c r="E2453" s="337" t="s">
        <v>87</v>
      </c>
      <c r="F2453" s="311" t="s">
        <v>152</v>
      </c>
      <c r="G2453" s="311" t="s">
        <v>237</v>
      </c>
      <c r="H2453" s="311" t="s">
        <v>400</v>
      </c>
      <c r="I2453" s="311" t="s">
        <v>66</v>
      </c>
      <c r="J2453" s="50" t="s">
        <v>1892</v>
      </c>
      <c r="K2453" s="50" t="s">
        <v>1892</v>
      </c>
      <c r="L2453" s="50" t="s">
        <v>1893</v>
      </c>
      <c r="M2453" s="50" t="s">
        <v>4969</v>
      </c>
      <c r="N2453" s="50" t="s">
        <v>4969</v>
      </c>
      <c r="O2453" s="50" t="s">
        <v>4963</v>
      </c>
      <c r="P2453" s="50" t="s">
        <v>4969</v>
      </c>
    </row>
    <row r="2454" spans="1:16" ht="12.75" customHeight="1" x14ac:dyDescent="0.25">
      <c r="A2454" s="311">
        <v>2451</v>
      </c>
      <c r="B2454" s="311" t="s">
        <v>125</v>
      </c>
      <c r="C2454" s="311" t="s">
        <v>125</v>
      </c>
      <c r="D2454" s="311" t="s">
        <v>125</v>
      </c>
      <c r="E2454" s="337" t="s">
        <v>125</v>
      </c>
      <c r="F2454" s="311" t="s">
        <v>152</v>
      </c>
      <c r="G2454" s="311" t="s">
        <v>237</v>
      </c>
      <c r="H2454" s="311" t="s">
        <v>400</v>
      </c>
      <c r="I2454" s="311" t="s">
        <v>66</v>
      </c>
      <c r="J2454" s="50" t="s">
        <v>1892</v>
      </c>
      <c r="K2454" s="50" t="s">
        <v>1892</v>
      </c>
      <c r="L2454" s="50" t="s">
        <v>1893</v>
      </c>
      <c r="M2454" s="50" t="s">
        <v>4970</v>
      </c>
      <c r="N2454" s="50" t="s">
        <v>4970</v>
      </c>
      <c r="O2454" s="50" t="s">
        <v>4970</v>
      </c>
      <c r="P2454" s="50" t="s">
        <v>4970</v>
      </c>
    </row>
    <row r="2455" spans="1:16" ht="12.75" customHeight="1" x14ac:dyDescent="0.25">
      <c r="A2455" s="311">
        <v>2452</v>
      </c>
      <c r="B2455" s="311" t="s">
        <v>134</v>
      </c>
      <c r="C2455" s="311" t="s">
        <v>134</v>
      </c>
      <c r="D2455" s="311" t="s">
        <v>134</v>
      </c>
      <c r="E2455" s="337" t="s">
        <v>134</v>
      </c>
      <c r="F2455" s="311" t="s">
        <v>152</v>
      </c>
      <c r="G2455" s="311" t="s">
        <v>237</v>
      </c>
      <c r="H2455" s="311" t="s">
        <v>400</v>
      </c>
      <c r="I2455" s="311" t="s">
        <v>66</v>
      </c>
      <c r="J2455" s="50" t="s">
        <v>1892</v>
      </c>
      <c r="K2455" s="50" t="s">
        <v>1892</v>
      </c>
      <c r="L2455" s="50" t="s">
        <v>1893</v>
      </c>
      <c r="M2455" s="50" t="s">
        <v>4971</v>
      </c>
      <c r="N2455" s="50" t="s">
        <v>4971</v>
      </c>
      <c r="O2455" s="50" t="s">
        <v>4971</v>
      </c>
      <c r="P2455" s="50" t="s">
        <v>4971</v>
      </c>
    </row>
    <row r="2456" spans="1:16" ht="12.75" customHeight="1" x14ac:dyDescent="0.25">
      <c r="A2456" s="311">
        <v>2453</v>
      </c>
      <c r="B2456" s="311" t="s">
        <v>141</v>
      </c>
      <c r="C2456" s="311" t="s">
        <v>141</v>
      </c>
      <c r="D2456" s="311" t="s">
        <v>141</v>
      </c>
      <c r="E2456" s="337" t="s">
        <v>141</v>
      </c>
      <c r="F2456" s="311" t="s">
        <v>152</v>
      </c>
      <c r="G2456" s="311" t="s">
        <v>237</v>
      </c>
      <c r="H2456" s="311" t="s">
        <v>400</v>
      </c>
      <c r="I2456" s="311" t="s">
        <v>66</v>
      </c>
      <c r="J2456" s="50" t="s">
        <v>1892</v>
      </c>
      <c r="K2456" s="50" t="s">
        <v>1892</v>
      </c>
      <c r="L2456" s="50" t="s">
        <v>1893</v>
      </c>
      <c r="M2456" s="50" t="s">
        <v>4972</v>
      </c>
      <c r="N2456" s="50" t="s">
        <v>4972</v>
      </c>
      <c r="O2456" s="50" t="s">
        <v>4972</v>
      </c>
      <c r="P2456" s="50" t="s">
        <v>4972</v>
      </c>
    </row>
    <row r="2457" spans="1:16" ht="12.75" customHeight="1" x14ac:dyDescent="0.25">
      <c r="A2457" s="311">
        <v>2454</v>
      </c>
      <c r="B2457" s="311" t="s">
        <v>69</v>
      </c>
      <c r="C2457" s="311" t="s">
        <v>69</v>
      </c>
      <c r="D2457" s="311" t="s">
        <v>69</v>
      </c>
      <c r="E2457" s="337" t="s">
        <v>69</v>
      </c>
      <c r="F2457" s="311" t="s">
        <v>152</v>
      </c>
      <c r="G2457" s="311" t="s">
        <v>237</v>
      </c>
      <c r="H2457" s="311" t="s">
        <v>400</v>
      </c>
      <c r="I2457" s="311" t="s">
        <v>66</v>
      </c>
      <c r="J2457" s="50" t="s">
        <v>1892</v>
      </c>
      <c r="K2457" s="50" t="s">
        <v>1892</v>
      </c>
      <c r="L2457" s="50" t="s">
        <v>1893</v>
      </c>
      <c r="M2457" s="50" t="s">
        <v>4973</v>
      </c>
      <c r="N2457" s="50" t="s">
        <v>4973</v>
      </c>
      <c r="O2457" s="50" t="s">
        <v>4973</v>
      </c>
      <c r="P2457" s="50" t="s">
        <v>4973</v>
      </c>
    </row>
    <row r="2458" spans="1:16" ht="12.75" customHeight="1" x14ac:dyDescent="0.25">
      <c r="A2458" s="311">
        <v>2455</v>
      </c>
      <c r="B2458" s="311" t="s">
        <v>84</v>
      </c>
      <c r="C2458" s="311" t="s">
        <v>462</v>
      </c>
      <c r="D2458" s="311" t="s">
        <v>462</v>
      </c>
      <c r="E2458" s="337" t="s">
        <v>462</v>
      </c>
      <c r="F2458" s="311" t="s">
        <v>256</v>
      </c>
      <c r="G2458" s="311" t="s">
        <v>236</v>
      </c>
      <c r="H2458" s="311" t="s">
        <v>395</v>
      </c>
      <c r="I2458" s="311" t="s">
        <v>66</v>
      </c>
      <c r="J2458" s="50" t="s">
        <v>1892</v>
      </c>
      <c r="K2458" s="50" t="s">
        <v>1892</v>
      </c>
      <c r="L2458" s="50" t="s">
        <v>1893</v>
      </c>
      <c r="M2458" s="50" t="s">
        <v>4974</v>
      </c>
      <c r="N2458" s="50" t="s">
        <v>4975</v>
      </c>
      <c r="O2458" s="50" t="s">
        <v>4975</v>
      </c>
      <c r="P2458" s="50" t="s">
        <v>4975</v>
      </c>
    </row>
    <row r="2459" spans="1:16" ht="12.75" customHeight="1" x14ac:dyDescent="0.25">
      <c r="A2459" s="311">
        <v>2456</v>
      </c>
      <c r="B2459" s="311" t="s">
        <v>123</v>
      </c>
      <c r="C2459" s="311" t="s">
        <v>462</v>
      </c>
      <c r="D2459" s="311" t="s">
        <v>462</v>
      </c>
      <c r="E2459" s="337" t="s">
        <v>462</v>
      </c>
      <c r="F2459" s="311" t="s">
        <v>256</v>
      </c>
      <c r="G2459" s="311" t="s">
        <v>236</v>
      </c>
      <c r="H2459" s="311" t="s">
        <v>395</v>
      </c>
      <c r="I2459" s="311" t="s">
        <v>66</v>
      </c>
      <c r="J2459" s="50" t="s">
        <v>1892</v>
      </c>
      <c r="K2459" s="50" t="s">
        <v>1892</v>
      </c>
      <c r="L2459" s="50" t="s">
        <v>1893</v>
      </c>
      <c r="M2459" s="50" t="s">
        <v>4976</v>
      </c>
      <c r="N2459" s="50" t="s">
        <v>4975</v>
      </c>
      <c r="O2459" s="50" t="s">
        <v>4975</v>
      </c>
      <c r="P2459" s="50" t="s">
        <v>4975</v>
      </c>
    </row>
    <row r="2460" spans="1:16" ht="12.75" customHeight="1" x14ac:dyDescent="0.25">
      <c r="A2460" s="311">
        <v>2457</v>
      </c>
      <c r="B2460" s="311" t="s">
        <v>75</v>
      </c>
      <c r="C2460" s="311" t="s">
        <v>462</v>
      </c>
      <c r="D2460" s="311" t="s">
        <v>462</v>
      </c>
      <c r="E2460" s="337" t="s">
        <v>462</v>
      </c>
      <c r="F2460" s="311" t="s">
        <v>256</v>
      </c>
      <c r="G2460" s="311" t="s">
        <v>236</v>
      </c>
      <c r="H2460" s="311" t="s">
        <v>395</v>
      </c>
      <c r="I2460" s="311" t="s">
        <v>66</v>
      </c>
      <c r="J2460" s="50" t="s">
        <v>1892</v>
      </c>
      <c r="K2460" s="50" t="s">
        <v>1892</v>
      </c>
      <c r="L2460" s="50" t="s">
        <v>1893</v>
      </c>
      <c r="M2460" s="50" t="s">
        <v>4977</v>
      </c>
      <c r="N2460" s="50" t="s">
        <v>4975</v>
      </c>
      <c r="O2460" s="50" t="s">
        <v>4975</v>
      </c>
      <c r="P2460" s="50" t="s">
        <v>4975</v>
      </c>
    </row>
    <row r="2461" spans="1:16" ht="12.75" customHeight="1" x14ac:dyDescent="0.25">
      <c r="A2461" s="311">
        <v>2458</v>
      </c>
      <c r="B2461" s="311" t="s">
        <v>63</v>
      </c>
      <c r="C2461" s="311" t="s">
        <v>63</v>
      </c>
      <c r="D2461" s="311" t="s">
        <v>462</v>
      </c>
      <c r="E2461" s="337" t="s">
        <v>63</v>
      </c>
      <c r="F2461" s="311" t="s">
        <v>256</v>
      </c>
      <c r="G2461" s="311" t="s">
        <v>236</v>
      </c>
      <c r="H2461" s="311" t="s">
        <v>395</v>
      </c>
      <c r="I2461" s="311" t="s">
        <v>66</v>
      </c>
      <c r="J2461" s="50" t="s">
        <v>1892</v>
      </c>
      <c r="K2461" s="50" t="s">
        <v>1892</v>
      </c>
      <c r="L2461" s="50" t="s">
        <v>1893</v>
      </c>
      <c r="M2461" s="50" t="s">
        <v>4978</v>
      </c>
      <c r="N2461" s="50" t="s">
        <v>4978</v>
      </c>
      <c r="O2461" s="50" t="s">
        <v>4975</v>
      </c>
      <c r="P2461" s="50" t="s">
        <v>4978</v>
      </c>
    </row>
    <row r="2462" spans="1:16" ht="12.75" customHeight="1" x14ac:dyDescent="0.25">
      <c r="A2462" s="311">
        <v>2459</v>
      </c>
      <c r="B2462" s="311" t="s">
        <v>140</v>
      </c>
      <c r="C2462" s="311" t="s">
        <v>140</v>
      </c>
      <c r="D2462" s="311" t="s">
        <v>462</v>
      </c>
      <c r="E2462" s="337" t="s">
        <v>140</v>
      </c>
      <c r="F2462" s="311" t="s">
        <v>256</v>
      </c>
      <c r="G2462" s="311" t="s">
        <v>236</v>
      </c>
      <c r="H2462" s="311" t="s">
        <v>395</v>
      </c>
      <c r="I2462" s="311" t="s">
        <v>66</v>
      </c>
      <c r="J2462" s="50" t="s">
        <v>1892</v>
      </c>
      <c r="K2462" s="50" t="s">
        <v>1892</v>
      </c>
      <c r="L2462" s="50" t="s">
        <v>1893</v>
      </c>
      <c r="M2462" s="50" t="s">
        <v>4979</v>
      </c>
      <c r="N2462" s="50" t="s">
        <v>4979</v>
      </c>
      <c r="O2462" s="50" t="s">
        <v>4975</v>
      </c>
      <c r="P2462" s="50" t="s">
        <v>4979</v>
      </c>
    </row>
    <row r="2463" spans="1:16" ht="12.75" customHeight="1" x14ac:dyDescent="0.25">
      <c r="A2463" s="311">
        <v>2460</v>
      </c>
      <c r="B2463" s="311" t="s">
        <v>121</v>
      </c>
      <c r="C2463" s="311" t="s">
        <v>121</v>
      </c>
      <c r="D2463" s="311" t="s">
        <v>462</v>
      </c>
      <c r="E2463" s="337" t="s">
        <v>121</v>
      </c>
      <c r="F2463" s="311" t="s">
        <v>256</v>
      </c>
      <c r="G2463" s="311" t="s">
        <v>236</v>
      </c>
      <c r="H2463" s="311" t="s">
        <v>395</v>
      </c>
      <c r="I2463" s="311" t="s">
        <v>66</v>
      </c>
      <c r="J2463" s="50" t="s">
        <v>1892</v>
      </c>
      <c r="K2463" s="50" t="s">
        <v>1892</v>
      </c>
      <c r="L2463" s="50" t="s">
        <v>1893</v>
      </c>
      <c r="M2463" s="50" t="s">
        <v>4980</v>
      </c>
      <c r="N2463" s="50" t="s">
        <v>4980</v>
      </c>
      <c r="O2463" s="50" t="s">
        <v>4975</v>
      </c>
      <c r="P2463" s="50" t="s">
        <v>4980</v>
      </c>
    </row>
    <row r="2464" spans="1:16" ht="12.75" customHeight="1" x14ac:dyDescent="0.25">
      <c r="A2464" s="311">
        <v>2461</v>
      </c>
      <c r="B2464" s="311" t="s">
        <v>87</v>
      </c>
      <c r="C2464" s="311" t="s">
        <v>87</v>
      </c>
      <c r="D2464" s="311" t="s">
        <v>462</v>
      </c>
      <c r="E2464" s="337" t="s">
        <v>87</v>
      </c>
      <c r="F2464" s="311" t="s">
        <v>256</v>
      </c>
      <c r="G2464" s="311" t="s">
        <v>236</v>
      </c>
      <c r="H2464" s="311" t="s">
        <v>395</v>
      </c>
      <c r="I2464" s="311" t="s">
        <v>66</v>
      </c>
      <c r="J2464" s="50" t="s">
        <v>1892</v>
      </c>
      <c r="K2464" s="50" t="s">
        <v>1892</v>
      </c>
      <c r="L2464" s="50" t="s">
        <v>1893</v>
      </c>
      <c r="M2464" s="50" t="s">
        <v>4981</v>
      </c>
      <c r="N2464" s="50" t="s">
        <v>4981</v>
      </c>
      <c r="O2464" s="50" t="s">
        <v>4975</v>
      </c>
      <c r="P2464" s="50" t="s">
        <v>4981</v>
      </c>
    </row>
    <row r="2465" spans="1:16" ht="12.75" customHeight="1" x14ac:dyDescent="0.25">
      <c r="A2465" s="311">
        <v>2462</v>
      </c>
      <c r="B2465" s="311" t="s">
        <v>125</v>
      </c>
      <c r="C2465" s="311" t="s">
        <v>125</v>
      </c>
      <c r="D2465" s="311" t="s">
        <v>125</v>
      </c>
      <c r="E2465" s="337" t="s">
        <v>125</v>
      </c>
      <c r="F2465" s="311" t="s">
        <v>256</v>
      </c>
      <c r="G2465" s="311" t="s">
        <v>236</v>
      </c>
      <c r="H2465" s="311" t="s">
        <v>395</v>
      </c>
      <c r="I2465" s="311" t="s">
        <v>66</v>
      </c>
      <c r="J2465" s="50" t="s">
        <v>1892</v>
      </c>
      <c r="K2465" s="50" t="s">
        <v>1892</v>
      </c>
      <c r="L2465" s="50" t="s">
        <v>1893</v>
      </c>
      <c r="M2465" s="50" t="s">
        <v>4982</v>
      </c>
      <c r="N2465" s="50" t="s">
        <v>4982</v>
      </c>
      <c r="O2465" s="50" t="s">
        <v>4982</v>
      </c>
      <c r="P2465" s="50" t="s">
        <v>4982</v>
      </c>
    </row>
    <row r="2466" spans="1:16" ht="12.75" customHeight="1" x14ac:dyDescent="0.25">
      <c r="A2466" s="311">
        <v>2463</v>
      </c>
      <c r="B2466" s="311" t="s">
        <v>134</v>
      </c>
      <c r="C2466" s="311" t="s">
        <v>134</v>
      </c>
      <c r="D2466" s="311" t="s">
        <v>134</v>
      </c>
      <c r="E2466" s="337" t="s">
        <v>134</v>
      </c>
      <c r="F2466" s="311" t="s">
        <v>256</v>
      </c>
      <c r="G2466" s="311" t="s">
        <v>236</v>
      </c>
      <c r="H2466" s="311" t="s">
        <v>395</v>
      </c>
      <c r="I2466" s="311" t="s">
        <v>66</v>
      </c>
      <c r="J2466" s="50" t="s">
        <v>1892</v>
      </c>
      <c r="K2466" s="50" t="s">
        <v>1892</v>
      </c>
      <c r="L2466" s="50" t="s">
        <v>1893</v>
      </c>
      <c r="M2466" s="50" t="s">
        <v>4983</v>
      </c>
      <c r="N2466" s="50" t="s">
        <v>4983</v>
      </c>
      <c r="O2466" s="50" t="s">
        <v>4983</v>
      </c>
      <c r="P2466" s="50" t="s">
        <v>4983</v>
      </c>
    </row>
    <row r="2467" spans="1:16" ht="12.75" customHeight="1" x14ac:dyDescent="0.25">
      <c r="A2467" s="311">
        <v>2464</v>
      </c>
      <c r="B2467" s="311" t="s">
        <v>141</v>
      </c>
      <c r="C2467" s="311" t="s">
        <v>141</v>
      </c>
      <c r="D2467" s="311" t="s">
        <v>141</v>
      </c>
      <c r="E2467" s="337" t="s">
        <v>141</v>
      </c>
      <c r="F2467" s="311" t="s">
        <v>256</v>
      </c>
      <c r="G2467" s="311" t="s">
        <v>236</v>
      </c>
      <c r="H2467" s="311" t="s">
        <v>395</v>
      </c>
      <c r="I2467" s="311" t="s">
        <v>66</v>
      </c>
      <c r="J2467" s="50" t="s">
        <v>1892</v>
      </c>
      <c r="K2467" s="50" t="s">
        <v>1892</v>
      </c>
      <c r="L2467" s="50" t="s">
        <v>1893</v>
      </c>
      <c r="M2467" s="50" t="s">
        <v>4984</v>
      </c>
      <c r="N2467" s="50" t="s">
        <v>4984</v>
      </c>
      <c r="O2467" s="50" t="s">
        <v>4984</v>
      </c>
      <c r="P2467" s="50" t="s">
        <v>4984</v>
      </c>
    </row>
    <row r="2468" spans="1:16" ht="12.75" customHeight="1" x14ac:dyDescent="0.25">
      <c r="A2468" s="311">
        <v>2465</v>
      </c>
      <c r="B2468" s="311" t="s">
        <v>69</v>
      </c>
      <c r="C2468" s="311" t="s">
        <v>69</v>
      </c>
      <c r="D2468" s="311" t="s">
        <v>69</v>
      </c>
      <c r="E2468" s="337" t="s">
        <v>69</v>
      </c>
      <c r="F2468" s="311" t="s">
        <v>256</v>
      </c>
      <c r="G2468" s="311" t="s">
        <v>236</v>
      </c>
      <c r="H2468" s="311" t="s">
        <v>395</v>
      </c>
      <c r="I2468" s="311" t="s">
        <v>66</v>
      </c>
      <c r="J2468" s="50" t="s">
        <v>1892</v>
      </c>
      <c r="K2468" s="50" t="s">
        <v>1892</v>
      </c>
      <c r="L2468" s="50" t="s">
        <v>1893</v>
      </c>
      <c r="M2468" s="50" t="s">
        <v>4985</v>
      </c>
      <c r="N2468" s="50" t="s">
        <v>4985</v>
      </c>
      <c r="O2468" s="50" t="s">
        <v>4985</v>
      </c>
      <c r="P2468" s="50" t="s">
        <v>4985</v>
      </c>
    </row>
    <row r="2469" spans="1:16" ht="12.75" customHeight="1" x14ac:dyDescent="0.25">
      <c r="A2469" s="311">
        <v>2466</v>
      </c>
      <c r="B2469" s="311" t="s">
        <v>84</v>
      </c>
      <c r="C2469" s="311" t="s">
        <v>462</v>
      </c>
      <c r="D2469" s="311" t="s">
        <v>462</v>
      </c>
      <c r="E2469" s="337" t="s">
        <v>462</v>
      </c>
      <c r="F2469" s="311" t="s">
        <v>256</v>
      </c>
      <c r="G2469" s="311" t="s">
        <v>23</v>
      </c>
      <c r="H2469" s="311" t="s">
        <v>395</v>
      </c>
      <c r="I2469" s="311" t="s">
        <v>66</v>
      </c>
      <c r="J2469" s="50" t="s">
        <v>1892</v>
      </c>
      <c r="K2469" s="50" t="s">
        <v>1892</v>
      </c>
      <c r="L2469" s="50" t="s">
        <v>1893</v>
      </c>
      <c r="M2469" s="50" t="s">
        <v>4986</v>
      </c>
      <c r="N2469" s="50" t="s">
        <v>4987</v>
      </c>
      <c r="O2469" s="50" t="s">
        <v>4987</v>
      </c>
      <c r="P2469" s="50" t="s">
        <v>4987</v>
      </c>
    </row>
    <row r="2470" spans="1:16" ht="12.75" customHeight="1" x14ac:dyDescent="0.25">
      <c r="A2470" s="311">
        <v>2467</v>
      </c>
      <c r="B2470" s="311" t="s">
        <v>123</v>
      </c>
      <c r="C2470" s="311" t="s">
        <v>462</v>
      </c>
      <c r="D2470" s="311" t="s">
        <v>462</v>
      </c>
      <c r="E2470" s="337" t="s">
        <v>462</v>
      </c>
      <c r="F2470" s="311" t="s">
        <v>256</v>
      </c>
      <c r="G2470" s="311" t="s">
        <v>23</v>
      </c>
      <c r="H2470" s="311" t="s">
        <v>395</v>
      </c>
      <c r="I2470" s="311" t="s">
        <v>66</v>
      </c>
      <c r="J2470" s="50" t="s">
        <v>1892</v>
      </c>
      <c r="K2470" s="50" t="s">
        <v>1892</v>
      </c>
      <c r="L2470" s="50" t="s">
        <v>1893</v>
      </c>
      <c r="M2470" s="50" t="s">
        <v>4988</v>
      </c>
      <c r="N2470" s="50" t="s">
        <v>4987</v>
      </c>
      <c r="O2470" s="50" t="s">
        <v>4987</v>
      </c>
      <c r="P2470" s="50" t="s">
        <v>4987</v>
      </c>
    </row>
    <row r="2471" spans="1:16" ht="12.75" customHeight="1" x14ac:dyDescent="0.25">
      <c r="A2471" s="311">
        <v>2468</v>
      </c>
      <c r="B2471" s="311" t="s">
        <v>75</v>
      </c>
      <c r="C2471" s="311" t="s">
        <v>462</v>
      </c>
      <c r="D2471" s="311" t="s">
        <v>462</v>
      </c>
      <c r="E2471" s="337" t="s">
        <v>462</v>
      </c>
      <c r="F2471" s="311" t="s">
        <v>256</v>
      </c>
      <c r="G2471" s="311" t="s">
        <v>23</v>
      </c>
      <c r="H2471" s="311" t="s">
        <v>395</v>
      </c>
      <c r="I2471" s="311" t="s">
        <v>66</v>
      </c>
      <c r="J2471" s="50" t="s">
        <v>1892</v>
      </c>
      <c r="K2471" s="50" t="s">
        <v>1892</v>
      </c>
      <c r="L2471" s="50" t="s">
        <v>1893</v>
      </c>
      <c r="M2471" s="50" t="s">
        <v>4989</v>
      </c>
      <c r="N2471" s="50" t="s">
        <v>4987</v>
      </c>
      <c r="O2471" s="50" t="s">
        <v>4987</v>
      </c>
      <c r="P2471" s="50" t="s">
        <v>4987</v>
      </c>
    </row>
    <row r="2472" spans="1:16" ht="12.75" customHeight="1" x14ac:dyDescent="0.25">
      <c r="A2472" s="311">
        <v>2469</v>
      </c>
      <c r="B2472" s="311" t="s">
        <v>63</v>
      </c>
      <c r="C2472" s="311" t="s">
        <v>63</v>
      </c>
      <c r="D2472" s="311" t="s">
        <v>462</v>
      </c>
      <c r="E2472" s="337" t="s">
        <v>63</v>
      </c>
      <c r="F2472" s="311" t="s">
        <v>256</v>
      </c>
      <c r="G2472" s="311" t="s">
        <v>23</v>
      </c>
      <c r="H2472" s="311" t="s">
        <v>395</v>
      </c>
      <c r="I2472" s="311" t="s">
        <v>66</v>
      </c>
      <c r="J2472" s="50" t="s">
        <v>1892</v>
      </c>
      <c r="K2472" s="50" t="s">
        <v>1892</v>
      </c>
      <c r="L2472" s="50" t="s">
        <v>1893</v>
      </c>
      <c r="M2472" s="50" t="s">
        <v>4990</v>
      </c>
      <c r="N2472" s="50" t="s">
        <v>4990</v>
      </c>
      <c r="O2472" s="50" t="s">
        <v>4987</v>
      </c>
      <c r="P2472" s="50" t="s">
        <v>4990</v>
      </c>
    </row>
    <row r="2473" spans="1:16" ht="12.75" customHeight="1" x14ac:dyDescent="0.25">
      <c r="A2473" s="311">
        <v>2470</v>
      </c>
      <c r="B2473" s="311" t="s">
        <v>140</v>
      </c>
      <c r="C2473" s="311" t="s">
        <v>140</v>
      </c>
      <c r="D2473" s="311" t="s">
        <v>462</v>
      </c>
      <c r="E2473" s="337" t="s">
        <v>140</v>
      </c>
      <c r="F2473" s="311" t="s">
        <v>256</v>
      </c>
      <c r="G2473" s="311" t="s">
        <v>23</v>
      </c>
      <c r="H2473" s="311" t="s">
        <v>395</v>
      </c>
      <c r="I2473" s="311" t="s">
        <v>66</v>
      </c>
      <c r="J2473" s="50" t="s">
        <v>1892</v>
      </c>
      <c r="K2473" s="50" t="s">
        <v>1892</v>
      </c>
      <c r="L2473" s="50" t="s">
        <v>1893</v>
      </c>
      <c r="M2473" s="50" t="s">
        <v>4991</v>
      </c>
      <c r="N2473" s="50" t="s">
        <v>4991</v>
      </c>
      <c r="O2473" s="50" t="s">
        <v>4987</v>
      </c>
      <c r="P2473" s="50" t="s">
        <v>4991</v>
      </c>
    </row>
    <row r="2474" spans="1:16" ht="12.75" customHeight="1" x14ac:dyDescent="0.25">
      <c r="A2474" s="311">
        <v>2471</v>
      </c>
      <c r="B2474" s="311" t="s">
        <v>121</v>
      </c>
      <c r="C2474" s="311" t="s">
        <v>121</v>
      </c>
      <c r="D2474" s="311" t="s">
        <v>462</v>
      </c>
      <c r="E2474" s="337" t="s">
        <v>121</v>
      </c>
      <c r="F2474" s="311" t="s">
        <v>256</v>
      </c>
      <c r="G2474" s="311" t="s">
        <v>23</v>
      </c>
      <c r="H2474" s="311" t="s">
        <v>395</v>
      </c>
      <c r="I2474" s="311" t="s">
        <v>66</v>
      </c>
      <c r="J2474" s="50" t="s">
        <v>1892</v>
      </c>
      <c r="K2474" s="50" t="s">
        <v>1892</v>
      </c>
      <c r="L2474" s="50" t="s">
        <v>1893</v>
      </c>
      <c r="M2474" s="50" t="s">
        <v>4992</v>
      </c>
      <c r="N2474" s="50" t="s">
        <v>4992</v>
      </c>
      <c r="O2474" s="50" t="s">
        <v>4987</v>
      </c>
      <c r="P2474" s="50" t="s">
        <v>4992</v>
      </c>
    </row>
    <row r="2475" spans="1:16" ht="12.75" customHeight="1" x14ac:dyDescent="0.25">
      <c r="A2475" s="311">
        <v>2472</v>
      </c>
      <c r="B2475" s="311" t="s">
        <v>87</v>
      </c>
      <c r="C2475" s="311" t="s">
        <v>87</v>
      </c>
      <c r="D2475" s="311" t="s">
        <v>462</v>
      </c>
      <c r="E2475" s="337" t="s">
        <v>87</v>
      </c>
      <c r="F2475" s="311" t="s">
        <v>256</v>
      </c>
      <c r="G2475" s="311" t="s">
        <v>23</v>
      </c>
      <c r="H2475" s="311" t="s">
        <v>395</v>
      </c>
      <c r="I2475" s="311" t="s">
        <v>66</v>
      </c>
      <c r="J2475" s="50" t="s">
        <v>1892</v>
      </c>
      <c r="K2475" s="50" t="s">
        <v>1892</v>
      </c>
      <c r="L2475" s="50" t="s">
        <v>1893</v>
      </c>
      <c r="M2475" s="50" t="s">
        <v>4993</v>
      </c>
      <c r="N2475" s="50" t="s">
        <v>4993</v>
      </c>
      <c r="O2475" s="50" t="s">
        <v>4987</v>
      </c>
      <c r="P2475" s="50" t="s">
        <v>4993</v>
      </c>
    </row>
    <row r="2476" spans="1:16" ht="12.75" customHeight="1" x14ac:dyDescent="0.25">
      <c r="A2476" s="311">
        <v>2473</v>
      </c>
      <c r="B2476" s="311" t="s">
        <v>125</v>
      </c>
      <c r="C2476" s="311" t="s">
        <v>125</v>
      </c>
      <c r="D2476" s="311" t="s">
        <v>125</v>
      </c>
      <c r="E2476" s="337" t="s">
        <v>125</v>
      </c>
      <c r="F2476" s="311" t="s">
        <v>256</v>
      </c>
      <c r="G2476" s="311" t="s">
        <v>23</v>
      </c>
      <c r="H2476" s="311" t="s">
        <v>395</v>
      </c>
      <c r="I2476" s="311" t="s">
        <v>66</v>
      </c>
      <c r="J2476" s="50" t="s">
        <v>1892</v>
      </c>
      <c r="K2476" s="50" t="s">
        <v>1892</v>
      </c>
      <c r="L2476" s="50" t="s">
        <v>1893</v>
      </c>
      <c r="M2476" s="50" t="s">
        <v>4994</v>
      </c>
      <c r="N2476" s="50" t="s">
        <v>4994</v>
      </c>
      <c r="O2476" s="50" t="s">
        <v>4994</v>
      </c>
      <c r="P2476" s="50" t="s">
        <v>4994</v>
      </c>
    </row>
    <row r="2477" spans="1:16" ht="12.75" customHeight="1" x14ac:dyDescent="0.25">
      <c r="A2477" s="311">
        <v>2474</v>
      </c>
      <c r="B2477" s="311" t="s">
        <v>134</v>
      </c>
      <c r="C2477" s="311" t="s">
        <v>134</v>
      </c>
      <c r="D2477" s="311" t="s">
        <v>134</v>
      </c>
      <c r="E2477" s="337" t="s">
        <v>134</v>
      </c>
      <c r="F2477" s="311" t="s">
        <v>256</v>
      </c>
      <c r="G2477" s="311" t="s">
        <v>23</v>
      </c>
      <c r="H2477" s="311" t="s">
        <v>395</v>
      </c>
      <c r="I2477" s="311" t="s">
        <v>66</v>
      </c>
      <c r="J2477" s="50" t="s">
        <v>1892</v>
      </c>
      <c r="K2477" s="50" t="s">
        <v>1892</v>
      </c>
      <c r="L2477" s="50" t="s">
        <v>1893</v>
      </c>
      <c r="M2477" s="50" t="s">
        <v>4995</v>
      </c>
      <c r="N2477" s="50" t="s">
        <v>4995</v>
      </c>
      <c r="O2477" s="50" t="s">
        <v>4995</v>
      </c>
      <c r="P2477" s="50" t="s">
        <v>4995</v>
      </c>
    </row>
    <row r="2478" spans="1:16" ht="12.75" customHeight="1" x14ac:dyDescent="0.25">
      <c r="A2478" s="311">
        <v>2475</v>
      </c>
      <c r="B2478" s="311" t="s">
        <v>141</v>
      </c>
      <c r="C2478" s="311" t="s">
        <v>141</v>
      </c>
      <c r="D2478" s="311" t="s">
        <v>141</v>
      </c>
      <c r="E2478" s="337" t="s">
        <v>141</v>
      </c>
      <c r="F2478" s="311" t="s">
        <v>256</v>
      </c>
      <c r="G2478" s="311" t="s">
        <v>23</v>
      </c>
      <c r="H2478" s="311" t="s">
        <v>395</v>
      </c>
      <c r="I2478" s="311" t="s">
        <v>66</v>
      </c>
      <c r="J2478" s="50" t="s">
        <v>1892</v>
      </c>
      <c r="K2478" s="50" t="s">
        <v>1892</v>
      </c>
      <c r="L2478" s="50" t="s">
        <v>1893</v>
      </c>
      <c r="M2478" s="50" t="s">
        <v>4996</v>
      </c>
      <c r="N2478" s="50" t="s">
        <v>4996</v>
      </c>
      <c r="O2478" s="50" t="s">
        <v>4996</v>
      </c>
      <c r="P2478" s="50" t="s">
        <v>4996</v>
      </c>
    </row>
    <row r="2479" spans="1:16" ht="12.75" customHeight="1" x14ac:dyDescent="0.25">
      <c r="A2479" s="311">
        <v>2476</v>
      </c>
      <c r="B2479" s="311" t="s">
        <v>69</v>
      </c>
      <c r="C2479" s="311" t="s">
        <v>69</v>
      </c>
      <c r="D2479" s="311" t="s">
        <v>69</v>
      </c>
      <c r="E2479" s="337" t="s">
        <v>69</v>
      </c>
      <c r="F2479" s="311" t="s">
        <v>256</v>
      </c>
      <c r="G2479" s="311" t="s">
        <v>23</v>
      </c>
      <c r="H2479" s="311" t="s">
        <v>395</v>
      </c>
      <c r="I2479" s="311" t="s">
        <v>66</v>
      </c>
      <c r="J2479" s="50" t="s">
        <v>1892</v>
      </c>
      <c r="K2479" s="50" t="s">
        <v>1892</v>
      </c>
      <c r="L2479" s="50" t="s">
        <v>1893</v>
      </c>
      <c r="M2479" s="50" t="s">
        <v>4997</v>
      </c>
      <c r="N2479" s="50" t="s">
        <v>4997</v>
      </c>
      <c r="O2479" s="50" t="s">
        <v>4997</v>
      </c>
      <c r="P2479" s="50" t="s">
        <v>4997</v>
      </c>
    </row>
    <row r="2480" spans="1:16" ht="12.75" customHeight="1" x14ac:dyDescent="0.25">
      <c r="A2480" s="311">
        <v>2477</v>
      </c>
      <c r="B2480" s="311" t="s">
        <v>84</v>
      </c>
      <c r="C2480" s="311" t="s">
        <v>462</v>
      </c>
      <c r="D2480" s="311" t="s">
        <v>462</v>
      </c>
      <c r="E2480" s="337" t="s">
        <v>462</v>
      </c>
      <c r="F2480" s="311" t="s">
        <v>256</v>
      </c>
      <c r="G2480" s="311" t="s">
        <v>237</v>
      </c>
      <c r="H2480" s="311" t="s">
        <v>395</v>
      </c>
      <c r="I2480" s="311" t="s">
        <v>66</v>
      </c>
      <c r="J2480" s="50" t="s">
        <v>1892</v>
      </c>
      <c r="K2480" s="50" t="s">
        <v>1892</v>
      </c>
      <c r="L2480" s="50" t="s">
        <v>1893</v>
      </c>
      <c r="M2480" s="50" t="s">
        <v>4998</v>
      </c>
      <c r="N2480" s="50" t="s">
        <v>4999</v>
      </c>
      <c r="O2480" s="50" t="s">
        <v>4999</v>
      </c>
      <c r="P2480" s="50" t="s">
        <v>4999</v>
      </c>
    </row>
    <row r="2481" spans="1:16" ht="12.75" customHeight="1" x14ac:dyDescent="0.25">
      <c r="A2481" s="311">
        <v>2478</v>
      </c>
      <c r="B2481" s="311" t="s">
        <v>123</v>
      </c>
      <c r="C2481" s="311" t="s">
        <v>462</v>
      </c>
      <c r="D2481" s="311" t="s">
        <v>462</v>
      </c>
      <c r="E2481" s="337" t="s">
        <v>462</v>
      </c>
      <c r="F2481" s="311" t="s">
        <v>256</v>
      </c>
      <c r="G2481" s="311" t="s">
        <v>237</v>
      </c>
      <c r="H2481" s="311" t="s">
        <v>395</v>
      </c>
      <c r="I2481" s="311" t="s">
        <v>66</v>
      </c>
      <c r="J2481" s="50" t="s">
        <v>1892</v>
      </c>
      <c r="K2481" s="50" t="s">
        <v>1892</v>
      </c>
      <c r="L2481" s="50" t="s">
        <v>1893</v>
      </c>
      <c r="M2481" s="50" t="s">
        <v>5000</v>
      </c>
      <c r="N2481" s="50" t="s">
        <v>4999</v>
      </c>
      <c r="O2481" s="50" t="s">
        <v>4999</v>
      </c>
      <c r="P2481" s="50" t="s">
        <v>4999</v>
      </c>
    </row>
    <row r="2482" spans="1:16" ht="12.75" customHeight="1" x14ac:dyDescent="0.25">
      <c r="A2482" s="311">
        <v>2479</v>
      </c>
      <c r="B2482" s="311" t="s">
        <v>75</v>
      </c>
      <c r="C2482" s="311" t="s">
        <v>462</v>
      </c>
      <c r="D2482" s="311" t="s">
        <v>462</v>
      </c>
      <c r="E2482" s="337" t="s">
        <v>462</v>
      </c>
      <c r="F2482" s="311" t="s">
        <v>256</v>
      </c>
      <c r="G2482" s="311" t="s">
        <v>237</v>
      </c>
      <c r="H2482" s="311" t="s">
        <v>395</v>
      </c>
      <c r="I2482" s="311" t="s">
        <v>66</v>
      </c>
      <c r="J2482" s="50" t="s">
        <v>1892</v>
      </c>
      <c r="K2482" s="50" t="s">
        <v>1892</v>
      </c>
      <c r="L2482" s="50" t="s">
        <v>1893</v>
      </c>
      <c r="M2482" s="50" t="s">
        <v>5001</v>
      </c>
      <c r="N2482" s="50" t="s">
        <v>4999</v>
      </c>
      <c r="O2482" s="50" t="s">
        <v>4999</v>
      </c>
      <c r="P2482" s="50" t="s">
        <v>4999</v>
      </c>
    </row>
    <row r="2483" spans="1:16" ht="12.75" customHeight="1" x14ac:dyDescent="0.25">
      <c r="A2483" s="311">
        <v>2480</v>
      </c>
      <c r="B2483" s="311" t="s">
        <v>63</v>
      </c>
      <c r="C2483" s="311" t="s">
        <v>63</v>
      </c>
      <c r="D2483" s="311" t="s">
        <v>462</v>
      </c>
      <c r="E2483" s="337" t="s">
        <v>63</v>
      </c>
      <c r="F2483" s="311" t="s">
        <v>256</v>
      </c>
      <c r="G2483" s="311" t="s">
        <v>237</v>
      </c>
      <c r="H2483" s="311" t="s">
        <v>395</v>
      </c>
      <c r="I2483" s="311" t="s">
        <v>66</v>
      </c>
      <c r="J2483" s="50" t="s">
        <v>1892</v>
      </c>
      <c r="K2483" s="50" t="s">
        <v>1892</v>
      </c>
      <c r="L2483" s="50" t="s">
        <v>1893</v>
      </c>
      <c r="M2483" s="50" t="s">
        <v>5002</v>
      </c>
      <c r="N2483" s="50" t="s">
        <v>5002</v>
      </c>
      <c r="O2483" s="50" t="s">
        <v>4999</v>
      </c>
      <c r="P2483" s="50" t="s">
        <v>5002</v>
      </c>
    </row>
    <row r="2484" spans="1:16" ht="12.75" customHeight="1" x14ac:dyDescent="0.25">
      <c r="A2484" s="311">
        <v>2481</v>
      </c>
      <c r="B2484" s="311" t="s">
        <v>140</v>
      </c>
      <c r="C2484" s="311" t="s">
        <v>140</v>
      </c>
      <c r="D2484" s="311" t="s">
        <v>462</v>
      </c>
      <c r="E2484" s="337" t="s">
        <v>140</v>
      </c>
      <c r="F2484" s="311" t="s">
        <v>256</v>
      </c>
      <c r="G2484" s="311" t="s">
        <v>237</v>
      </c>
      <c r="H2484" s="311" t="s">
        <v>395</v>
      </c>
      <c r="I2484" s="311" t="s">
        <v>66</v>
      </c>
      <c r="J2484" s="50" t="s">
        <v>1892</v>
      </c>
      <c r="K2484" s="50" t="s">
        <v>1892</v>
      </c>
      <c r="L2484" s="50" t="s">
        <v>1893</v>
      </c>
      <c r="M2484" s="50" t="s">
        <v>5003</v>
      </c>
      <c r="N2484" s="50" t="s">
        <v>5003</v>
      </c>
      <c r="O2484" s="50" t="s">
        <v>4999</v>
      </c>
      <c r="P2484" s="50" t="s">
        <v>5003</v>
      </c>
    </row>
    <row r="2485" spans="1:16" ht="12.75" customHeight="1" x14ac:dyDescent="0.25">
      <c r="A2485" s="311">
        <v>2482</v>
      </c>
      <c r="B2485" s="311" t="s">
        <v>121</v>
      </c>
      <c r="C2485" s="311" t="s">
        <v>121</v>
      </c>
      <c r="D2485" s="311" t="s">
        <v>462</v>
      </c>
      <c r="E2485" s="337" t="s">
        <v>121</v>
      </c>
      <c r="F2485" s="311" t="s">
        <v>256</v>
      </c>
      <c r="G2485" s="311" t="s">
        <v>237</v>
      </c>
      <c r="H2485" s="311" t="s">
        <v>395</v>
      </c>
      <c r="I2485" s="311" t="s">
        <v>66</v>
      </c>
      <c r="J2485" s="50" t="s">
        <v>1892</v>
      </c>
      <c r="K2485" s="50" t="s">
        <v>1892</v>
      </c>
      <c r="L2485" s="50" t="s">
        <v>1893</v>
      </c>
      <c r="M2485" s="50" t="s">
        <v>5004</v>
      </c>
      <c r="N2485" s="50" t="s">
        <v>5004</v>
      </c>
      <c r="O2485" s="50" t="s">
        <v>4999</v>
      </c>
      <c r="P2485" s="50" t="s">
        <v>5004</v>
      </c>
    </row>
    <row r="2486" spans="1:16" ht="12.75" customHeight="1" x14ac:dyDescent="0.25">
      <c r="A2486" s="311">
        <v>2483</v>
      </c>
      <c r="B2486" s="311" t="s">
        <v>87</v>
      </c>
      <c r="C2486" s="311" t="s">
        <v>87</v>
      </c>
      <c r="D2486" s="311" t="s">
        <v>462</v>
      </c>
      <c r="E2486" s="337" t="s">
        <v>87</v>
      </c>
      <c r="F2486" s="311" t="s">
        <v>256</v>
      </c>
      <c r="G2486" s="311" t="s">
        <v>237</v>
      </c>
      <c r="H2486" s="311" t="s">
        <v>395</v>
      </c>
      <c r="I2486" s="311" t="s">
        <v>66</v>
      </c>
      <c r="J2486" s="50" t="s">
        <v>1892</v>
      </c>
      <c r="K2486" s="50" t="s">
        <v>1892</v>
      </c>
      <c r="L2486" s="50" t="s">
        <v>1893</v>
      </c>
      <c r="M2486" s="50" t="s">
        <v>5005</v>
      </c>
      <c r="N2486" s="50" t="s">
        <v>5005</v>
      </c>
      <c r="O2486" s="50" t="s">
        <v>4999</v>
      </c>
      <c r="P2486" s="50" t="s">
        <v>5005</v>
      </c>
    </row>
    <row r="2487" spans="1:16" ht="12.75" customHeight="1" x14ac:dyDescent="0.25">
      <c r="A2487" s="311">
        <v>2484</v>
      </c>
      <c r="B2487" s="311" t="s">
        <v>125</v>
      </c>
      <c r="C2487" s="311" t="s">
        <v>125</v>
      </c>
      <c r="D2487" s="311" t="s">
        <v>125</v>
      </c>
      <c r="E2487" s="337" t="s">
        <v>125</v>
      </c>
      <c r="F2487" s="311" t="s">
        <v>256</v>
      </c>
      <c r="G2487" s="311" t="s">
        <v>237</v>
      </c>
      <c r="H2487" s="311" t="s">
        <v>395</v>
      </c>
      <c r="I2487" s="311" t="s">
        <v>66</v>
      </c>
      <c r="J2487" s="50" t="s">
        <v>1892</v>
      </c>
      <c r="K2487" s="50" t="s">
        <v>1892</v>
      </c>
      <c r="L2487" s="50" t="s">
        <v>1893</v>
      </c>
      <c r="M2487" s="50" t="s">
        <v>5006</v>
      </c>
      <c r="N2487" s="50" t="s">
        <v>5006</v>
      </c>
      <c r="O2487" s="50" t="s">
        <v>5006</v>
      </c>
      <c r="P2487" s="50" t="s">
        <v>5006</v>
      </c>
    </row>
    <row r="2488" spans="1:16" ht="12.75" customHeight="1" x14ac:dyDescent="0.25">
      <c r="A2488" s="311">
        <v>2485</v>
      </c>
      <c r="B2488" s="311" t="s">
        <v>134</v>
      </c>
      <c r="C2488" s="311" t="s">
        <v>134</v>
      </c>
      <c r="D2488" s="311" t="s">
        <v>134</v>
      </c>
      <c r="E2488" s="337" t="s">
        <v>134</v>
      </c>
      <c r="F2488" s="311" t="s">
        <v>256</v>
      </c>
      <c r="G2488" s="311" t="s">
        <v>237</v>
      </c>
      <c r="H2488" s="311" t="s">
        <v>395</v>
      </c>
      <c r="I2488" s="311" t="s">
        <v>66</v>
      </c>
      <c r="J2488" s="50" t="s">
        <v>1892</v>
      </c>
      <c r="K2488" s="50" t="s">
        <v>1892</v>
      </c>
      <c r="L2488" s="50" t="s">
        <v>1893</v>
      </c>
      <c r="M2488" s="50" t="s">
        <v>5007</v>
      </c>
      <c r="N2488" s="50" t="s">
        <v>5007</v>
      </c>
      <c r="O2488" s="50" t="s">
        <v>5007</v>
      </c>
      <c r="P2488" s="50" t="s">
        <v>5007</v>
      </c>
    </row>
    <row r="2489" spans="1:16" ht="12.75" customHeight="1" x14ac:dyDescent="0.25">
      <c r="A2489" s="311">
        <v>2486</v>
      </c>
      <c r="B2489" s="311" t="s">
        <v>141</v>
      </c>
      <c r="C2489" s="311" t="s">
        <v>141</v>
      </c>
      <c r="D2489" s="311" t="s">
        <v>141</v>
      </c>
      <c r="E2489" s="337" t="s">
        <v>141</v>
      </c>
      <c r="F2489" s="311" t="s">
        <v>256</v>
      </c>
      <c r="G2489" s="311" t="s">
        <v>237</v>
      </c>
      <c r="H2489" s="311" t="s">
        <v>395</v>
      </c>
      <c r="I2489" s="311" t="s">
        <v>66</v>
      </c>
      <c r="J2489" s="50" t="s">
        <v>1892</v>
      </c>
      <c r="K2489" s="50" t="s">
        <v>1892</v>
      </c>
      <c r="L2489" s="50" t="s">
        <v>1893</v>
      </c>
      <c r="M2489" s="50" t="s">
        <v>5008</v>
      </c>
      <c r="N2489" s="50" t="s">
        <v>5008</v>
      </c>
      <c r="O2489" s="50" t="s">
        <v>5008</v>
      </c>
      <c r="P2489" s="50" t="s">
        <v>5008</v>
      </c>
    </row>
    <row r="2490" spans="1:16" ht="12.75" customHeight="1" x14ac:dyDescent="0.25">
      <c r="A2490" s="311">
        <v>2487</v>
      </c>
      <c r="B2490" s="311" t="s">
        <v>69</v>
      </c>
      <c r="C2490" s="311" t="s">
        <v>69</v>
      </c>
      <c r="D2490" s="311" t="s">
        <v>69</v>
      </c>
      <c r="E2490" s="337" t="s">
        <v>69</v>
      </c>
      <c r="F2490" s="311" t="s">
        <v>256</v>
      </c>
      <c r="G2490" s="311" t="s">
        <v>237</v>
      </c>
      <c r="H2490" s="311" t="s">
        <v>395</v>
      </c>
      <c r="I2490" s="311" t="s">
        <v>66</v>
      </c>
      <c r="J2490" s="50" t="s">
        <v>1892</v>
      </c>
      <c r="K2490" s="50" t="s">
        <v>1892</v>
      </c>
      <c r="L2490" s="50" t="s">
        <v>1893</v>
      </c>
      <c r="M2490" s="50" t="s">
        <v>5009</v>
      </c>
      <c r="N2490" s="50" t="s">
        <v>5009</v>
      </c>
      <c r="O2490" s="50" t="s">
        <v>5009</v>
      </c>
      <c r="P2490" s="50" t="s">
        <v>5009</v>
      </c>
    </row>
    <row r="2491" spans="1:16" ht="12.75" customHeight="1" x14ac:dyDescent="0.25">
      <c r="A2491" s="311">
        <v>2488</v>
      </c>
      <c r="B2491" s="311" t="s">
        <v>84</v>
      </c>
      <c r="C2491" s="311" t="s">
        <v>462</v>
      </c>
      <c r="D2491" s="311" t="s">
        <v>462</v>
      </c>
      <c r="E2491" s="337" t="s">
        <v>462</v>
      </c>
      <c r="F2491" s="311" t="s">
        <v>276</v>
      </c>
      <c r="G2491" s="311" t="s">
        <v>236</v>
      </c>
      <c r="H2491" s="311" t="s">
        <v>399</v>
      </c>
      <c r="I2491" s="311" t="s">
        <v>66</v>
      </c>
      <c r="J2491" s="50" t="s">
        <v>1892</v>
      </c>
      <c r="K2491" s="50" t="s">
        <v>1892</v>
      </c>
      <c r="L2491" s="50" t="s">
        <v>1893</v>
      </c>
      <c r="M2491" s="50" t="s">
        <v>5010</v>
      </c>
      <c r="N2491" s="50" t="s">
        <v>5011</v>
      </c>
      <c r="O2491" s="50" t="s">
        <v>5011</v>
      </c>
      <c r="P2491" s="50" t="s">
        <v>5011</v>
      </c>
    </row>
    <row r="2492" spans="1:16" ht="12.75" customHeight="1" x14ac:dyDescent="0.25">
      <c r="A2492" s="311">
        <v>2489</v>
      </c>
      <c r="B2492" s="311" t="s">
        <v>123</v>
      </c>
      <c r="C2492" s="311" t="s">
        <v>462</v>
      </c>
      <c r="D2492" s="311" t="s">
        <v>462</v>
      </c>
      <c r="E2492" s="337" t="s">
        <v>462</v>
      </c>
      <c r="F2492" s="311" t="s">
        <v>276</v>
      </c>
      <c r="G2492" s="311" t="s">
        <v>236</v>
      </c>
      <c r="H2492" s="311" t="s">
        <v>399</v>
      </c>
      <c r="I2492" s="311" t="s">
        <v>66</v>
      </c>
      <c r="J2492" s="50" t="s">
        <v>1892</v>
      </c>
      <c r="K2492" s="50" t="s">
        <v>1892</v>
      </c>
      <c r="L2492" s="50" t="s">
        <v>1893</v>
      </c>
      <c r="M2492" s="50" t="s">
        <v>5012</v>
      </c>
      <c r="N2492" s="50" t="s">
        <v>5011</v>
      </c>
      <c r="O2492" s="50" t="s">
        <v>5011</v>
      </c>
      <c r="P2492" s="50" t="s">
        <v>5011</v>
      </c>
    </row>
    <row r="2493" spans="1:16" ht="12.75" customHeight="1" x14ac:dyDescent="0.25">
      <c r="A2493" s="311">
        <v>2490</v>
      </c>
      <c r="B2493" s="311" t="s">
        <v>75</v>
      </c>
      <c r="C2493" s="311" t="s">
        <v>462</v>
      </c>
      <c r="D2493" s="311" t="s">
        <v>462</v>
      </c>
      <c r="E2493" s="337" t="s">
        <v>462</v>
      </c>
      <c r="F2493" s="311" t="s">
        <v>276</v>
      </c>
      <c r="G2493" s="311" t="s">
        <v>236</v>
      </c>
      <c r="H2493" s="311" t="s">
        <v>399</v>
      </c>
      <c r="I2493" s="311" t="s">
        <v>66</v>
      </c>
      <c r="J2493" s="50" t="s">
        <v>1892</v>
      </c>
      <c r="K2493" s="50" t="s">
        <v>1892</v>
      </c>
      <c r="L2493" s="50" t="s">
        <v>1893</v>
      </c>
      <c r="M2493" s="50" t="s">
        <v>5013</v>
      </c>
      <c r="N2493" s="50" t="s">
        <v>5011</v>
      </c>
      <c r="O2493" s="50" t="s">
        <v>5011</v>
      </c>
      <c r="P2493" s="50" t="s">
        <v>5011</v>
      </c>
    </row>
    <row r="2494" spans="1:16" ht="12.75" customHeight="1" x14ac:dyDescent="0.25">
      <c r="A2494" s="311">
        <v>2491</v>
      </c>
      <c r="B2494" s="311" t="s">
        <v>63</v>
      </c>
      <c r="C2494" s="311" t="s">
        <v>63</v>
      </c>
      <c r="D2494" s="311" t="s">
        <v>462</v>
      </c>
      <c r="E2494" s="337" t="s">
        <v>63</v>
      </c>
      <c r="F2494" s="311" t="s">
        <v>276</v>
      </c>
      <c r="G2494" s="311" t="s">
        <v>236</v>
      </c>
      <c r="H2494" s="311" t="s">
        <v>399</v>
      </c>
      <c r="I2494" s="311" t="s">
        <v>66</v>
      </c>
      <c r="J2494" s="50" t="s">
        <v>1892</v>
      </c>
      <c r="K2494" s="50" t="s">
        <v>1892</v>
      </c>
      <c r="L2494" s="50" t="s">
        <v>1893</v>
      </c>
      <c r="M2494" s="50" t="s">
        <v>5014</v>
      </c>
      <c r="N2494" s="50" t="s">
        <v>5014</v>
      </c>
      <c r="O2494" s="50" t="s">
        <v>5011</v>
      </c>
      <c r="P2494" s="50" t="s">
        <v>5014</v>
      </c>
    </row>
    <row r="2495" spans="1:16" ht="12.75" customHeight="1" x14ac:dyDescent="0.25">
      <c r="A2495" s="311">
        <v>2492</v>
      </c>
      <c r="B2495" s="311" t="s">
        <v>140</v>
      </c>
      <c r="C2495" s="311" t="s">
        <v>140</v>
      </c>
      <c r="D2495" s="311" t="s">
        <v>462</v>
      </c>
      <c r="E2495" s="337" t="s">
        <v>140</v>
      </c>
      <c r="F2495" s="311" t="s">
        <v>276</v>
      </c>
      <c r="G2495" s="311" t="s">
        <v>236</v>
      </c>
      <c r="H2495" s="311" t="s">
        <v>399</v>
      </c>
      <c r="I2495" s="311" t="s">
        <v>66</v>
      </c>
      <c r="J2495" s="50" t="s">
        <v>1892</v>
      </c>
      <c r="K2495" s="50" t="s">
        <v>1892</v>
      </c>
      <c r="L2495" s="50" t="s">
        <v>1893</v>
      </c>
      <c r="M2495" s="50" t="s">
        <v>5015</v>
      </c>
      <c r="N2495" s="50" t="s">
        <v>5015</v>
      </c>
      <c r="O2495" s="50" t="s">
        <v>5011</v>
      </c>
      <c r="P2495" s="50" t="s">
        <v>5015</v>
      </c>
    </row>
    <row r="2496" spans="1:16" ht="12.75" customHeight="1" x14ac:dyDescent="0.25">
      <c r="A2496" s="311">
        <v>2493</v>
      </c>
      <c r="B2496" s="311" t="s">
        <v>121</v>
      </c>
      <c r="C2496" s="311" t="s">
        <v>121</v>
      </c>
      <c r="D2496" s="311" t="s">
        <v>462</v>
      </c>
      <c r="E2496" s="337" t="s">
        <v>121</v>
      </c>
      <c r="F2496" s="311" t="s">
        <v>276</v>
      </c>
      <c r="G2496" s="311" t="s">
        <v>236</v>
      </c>
      <c r="H2496" s="311" t="s">
        <v>399</v>
      </c>
      <c r="I2496" s="311" t="s">
        <v>66</v>
      </c>
      <c r="J2496" s="50" t="s">
        <v>1892</v>
      </c>
      <c r="K2496" s="50" t="s">
        <v>1892</v>
      </c>
      <c r="L2496" s="50" t="s">
        <v>1893</v>
      </c>
      <c r="M2496" s="50" t="s">
        <v>5016</v>
      </c>
      <c r="N2496" s="50" t="s">
        <v>5016</v>
      </c>
      <c r="O2496" s="50" t="s">
        <v>5011</v>
      </c>
      <c r="P2496" s="50" t="s">
        <v>5016</v>
      </c>
    </row>
    <row r="2497" spans="1:16" ht="12.75" customHeight="1" x14ac:dyDescent="0.25">
      <c r="A2497" s="311">
        <v>2494</v>
      </c>
      <c r="B2497" s="311" t="s">
        <v>87</v>
      </c>
      <c r="C2497" s="311" t="s">
        <v>87</v>
      </c>
      <c r="D2497" s="311" t="s">
        <v>462</v>
      </c>
      <c r="E2497" s="337" t="s">
        <v>87</v>
      </c>
      <c r="F2497" s="311" t="s">
        <v>276</v>
      </c>
      <c r="G2497" s="311" t="s">
        <v>236</v>
      </c>
      <c r="H2497" s="311" t="s">
        <v>399</v>
      </c>
      <c r="I2497" s="311" t="s">
        <v>66</v>
      </c>
      <c r="J2497" s="50" t="s">
        <v>1892</v>
      </c>
      <c r="K2497" s="50" t="s">
        <v>1892</v>
      </c>
      <c r="L2497" s="50" t="s">
        <v>1893</v>
      </c>
      <c r="M2497" s="50" t="s">
        <v>5017</v>
      </c>
      <c r="N2497" s="50" t="s">
        <v>5017</v>
      </c>
      <c r="O2497" s="50" t="s">
        <v>5011</v>
      </c>
      <c r="P2497" s="50" t="s">
        <v>5017</v>
      </c>
    </row>
    <row r="2498" spans="1:16" ht="12.75" customHeight="1" x14ac:dyDescent="0.25">
      <c r="A2498" s="311">
        <v>2495</v>
      </c>
      <c r="B2498" s="311" t="s">
        <v>125</v>
      </c>
      <c r="C2498" s="311" t="s">
        <v>125</v>
      </c>
      <c r="D2498" s="311" t="s">
        <v>125</v>
      </c>
      <c r="E2498" s="337" t="s">
        <v>125</v>
      </c>
      <c r="F2498" s="311" t="s">
        <v>276</v>
      </c>
      <c r="G2498" s="311" t="s">
        <v>236</v>
      </c>
      <c r="H2498" s="311" t="s">
        <v>399</v>
      </c>
      <c r="I2498" s="311" t="s">
        <v>66</v>
      </c>
      <c r="J2498" s="50" t="s">
        <v>1892</v>
      </c>
      <c r="K2498" s="50" t="s">
        <v>1892</v>
      </c>
      <c r="L2498" s="50" t="s">
        <v>1893</v>
      </c>
      <c r="M2498" s="50" t="s">
        <v>5018</v>
      </c>
      <c r="N2498" s="50" t="s">
        <v>5018</v>
      </c>
      <c r="O2498" s="50" t="s">
        <v>5018</v>
      </c>
      <c r="P2498" s="50" t="s">
        <v>5018</v>
      </c>
    </row>
    <row r="2499" spans="1:16" ht="12.75" customHeight="1" x14ac:dyDescent="0.25">
      <c r="A2499" s="311">
        <v>2496</v>
      </c>
      <c r="B2499" s="311" t="s">
        <v>134</v>
      </c>
      <c r="C2499" s="311" t="s">
        <v>134</v>
      </c>
      <c r="D2499" s="311" t="s">
        <v>134</v>
      </c>
      <c r="E2499" s="337" t="s">
        <v>134</v>
      </c>
      <c r="F2499" s="311" t="s">
        <v>276</v>
      </c>
      <c r="G2499" s="311" t="s">
        <v>236</v>
      </c>
      <c r="H2499" s="311" t="s">
        <v>399</v>
      </c>
      <c r="I2499" s="311" t="s">
        <v>66</v>
      </c>
      <c r="J2499" s="50" t="s">
        <v>1892</v>
      </c>
      <c r="K2499" s="50" t="s">
        <v>1892</v>
      </c>
      <c r="L2499" s="50" t="s">
        <v>1893</v>
      </c>
      <c r="M2499" s="50" t="s">
        <v>5019</v>
      </c>
      <c r="N2499" s="50" t="s">
        <v>5019</v>
      </c>
      <c r="O2499" s="50" t="s">
        <v>5019</v>
      </c>
      <c r="P2499" s="50" t="s">
        <v>5019</v>
      </c>
    </row>
    <row r="2500" spans="1:16" ht="12.75" customHeight="1" x14ac:dyDescent="0.25">
      <c r="A2500" s="311">
        <v>2497</v>
      </c>
      <c r="B2500" s="311" t="s">
        <v>141</v>
      </c>
      <c r="C2500" s="311" t="s">
        <v>141</v>
      </c>
      <c r="D2500" s="311" t="s">
        <v>141</v>
      </c>
      <c r="E2500" s="337" t="s">
        <v>141</v>
      </c>
      <c r="F2500" s="311" t="s">
        <v>276</v>
      </c>
      <c r="G2500" s="311" t="s">
        <v>236</v>
      </c>
      <c r="H2500" s="311" t="s">
        <v>399</v>
      </c>
      <c r="I2500" s="311" t="s">
        <v>66</v>
      </c>
      <c r="J2500" s="50" t="s">
        <v>1892</v>
      </c>
      <c r="K2500" s="50" t="s">
        <v>1892</v>
      </c>
      <c r="L2500" s="50" t="s">
        <v>1893</v>
      </c>
      <c r="M2500" s="50" t="s">
        <v>5020</v>
      </c>
      <c r="N2500" s="50" t="s">
        <v>5020</v>
      </c>
      <c r="O2500" s="50" t="s">
        <v>5020</v>
      </c>
      <c r="P2500" s="50" t="s">
        <v>5020</v>
      </c>
    </row>
    <row r="2501" spans="1:16" ht="12.75" customHeight="1" x14ac:dyDescent="0.25">
      <c r="A2501" s="311">
        <v>2498</v>
      </c>
      <c r="B2501" s="311" t="s">
        <v>69</v>
      </c>
      <c r="C2501" s="311" t="s">
        <v>69</v>
      </c>
      <c r="D2501" s="311" t="s">
        <v>69</v>
      </c>
      <c r="E2501" s="337" t="s">
        <v>69</v>
      </c>
      <c r="F2501" s="311" t="s">
        <v>276</v>
      </c>
      <c r="G2501" s="311" t="s">
        <v>236</v>
      </c>
      <c r="H2501" s="311" t="s">
        <v>399</v>
      </c>
      <c r="I2501" s="311" t="s">
        <v>66</v>
      </c>
      <c r="J2501" s="50" t="s">
        <v>1892</v>
      </c>
      <c r="K2501" s="50" t="s">
        <v>1892</v>
      </c>
      <c r="L2501" s="50" t="s">
        <v>1893</v>
      </c>
      <c r="M2501" s="50" t="s">
        <v>5021</v>
      </c>
      <c r="N2501" s="50" t="s">
        <v>5021</v>
      </c>
      <c r="O2501" s="50" t="s">
        <v>5021</v>
      </c>
      <c r="P2501" s="50" t="s">
        <v>5021</v>
      </c>
    </row>
    <row r="2502" spans="1:16" ht="12.75" customHeight="1" x14ac:dyDescent="0.25">
      <c r="A2502" s="311">
        <v>2499</v>
      </c>
      <c r="B2502" s="311" t="s">
        <v>84</v>
      </c>
      <c r="C2502" s="311" t="s">
        <v>462</v>
      </c>
      <c r="D2502" s="311" t="s">
        <v>462</v>
      </c>
      <c r="E2502" s="337" t="s">
        <v>462</v>
      </c>
      <c r="F2502" s="311" t="s">
        <v>276</v>
      </c>
      <c r="G2502" s="311" t="s">
        <v>23</v>
      </c>
      <c r="H2502" s="311" t="s">
        <v>399</v>
      </c>
      <c r="I2502" s="311" t="s">
        <v>66</v>
      </c>
      <c r="J2502" s="50" t="s">
        <v>1892</v>
      </c>
      <c r="K2502" s="50" t="s">
        <v>1892</v>
      </c>
      <c r="L2502" s="50" t="s">
        <v>1893</v>
      </c>
      <c r="M2502" s="50" t="s">
        <v>5022</v>
      </c>
      <c r="N2502" s="50" t="s">
        <v>5023</v>
      </c>
      <c r="O2502" s="50" t="s">
        <v>5023</v>
      </c>
      <c r="P2502" s="50" t="s">
        <v>5023</v>
      </c>
    </row>
    <row r="2503" spans="1:16" ht="12.75" customHeight="1" x14ac:dyDescent="0.25">
      <c r="A2503" s="311">
        <v>2500</v>
      </c>
      <c r="B2503" s="311" t="s">
        <v>123</v>
      </c>
      <c r="C2503" s="311" t="s">
        <v>462</v>
      </c>
      <c r="D2503" s="311" t="s">
        <v>462</v>
      </c>
      <c r="E2503" s="337" t="s">
        <v>462</v>
      </c>
      <c r="F2503" s="311" t="s">
        <v>276</v>
      </c>
      <c r="G2503" s="311" t="s">
        <v>23</v>
      </c>
      <c r="H2503" s="311" t="s">
        <v>399</v>
      </c>
      <c r="I2503" s="311" t="s">
        <v>66</v>
      </c>
      <c r="J2503" s="50" t="s">
        <v>1892</v>
      </c>
      <c r="K2503" s="50" t="s">
        <v>1892</v>
      </c>
      <c r="L2503" s="50" t="s">
        <v>1893</v>
      </c>
      <c r="M2503" s="50" t="s">
        <v>5024</v>
      </c>
      <c r="N2503" s="50" t="s">
        <v>5023</v>
      </c>
      <c r="O2503" s="50" t="s">
        <v>5023</v>
      </c>
      <c r="P2503" s="50" t="s">
        <v>5023</v>
      </c>
    </row>
    <row r="2504" spans="1:16" ht="12.75" customHeight="1" x14ac:dyDescent="0.25">
      <c r="A2504" s="311">
        <v>2501</v>
      </c>
      <c r="B2504" s="311" t="s">
        <v>75</v>
      </c>
      <c r="C2504" s="311" t="s">
        <v>462</v>
      </c>
      <c r="D2504" s="311" t="s">
        <v>462</v>
      </c>
      <c r="E2504" s="337" t="s">
        <v>462</v>
      </c>
      <c r="F2504" s="311" t="s">
        <v>276</v>
      </c>
      <c r="G2504" s="311" t="s">
        <v>23</v>
      </c>
      <c r="H2504" s="311" t="s">
        <v>399</v>
      </c>
      <c r="I2504" s="311" t="s">
        <v>66</v>
      </c>
      <c r="J2504" s="50" t="s">
        <v>1892</v>
      </c>
      <c r="K2504" s="50" t="s">
        <v>1892</v>
      </c>
      <c r="L2504" s="50" t="s">
        <v>1893</v>
      </c>
      <c r="M2504" s="50" t="s">
        <v>5025</v>
      </c>
      <c r="N2504" s="50" t="s">
        <v>5023</v>
      </c>
      <c r="O2504" s="50" t="s">
        <v>5023</v>
      </c>
      <c r="P2504" s="50" t="s">
        <v>5023</v>
      </c>
    </row>
    <row r="2505" spans="1:16" ht="12.75" customHeight="1" x14ac:dyDescent="0.25">
      <c r="A2505" s="311">
        <v>2502</v>
      </c>
      <c r="B2505" s="311" t="s">
        <v>63</v>
      </c>
      <c r="C2505" s="311" t="s">
        <v>63</v>
      </c>
      <c r="D2505" s="311" t="s">
        <v>462</v>
      </c>
      <c r="E2505" s="337" t="s">
        <v>63</v>
      </c>
      <c r="F2505" s="311" t="s">
        <v>276</v>
      </c>
      <c r="G2505" s="311" t="s">
        <v>23</v>
      </c>
      <c r="H2505" s="311" t="s">
        <v>399</v>
      </c>
      <c r="I2505" s="311" t="s">
        <v>66</v>
      </c>
      <c r="J2505" s="50" t="s">
        <v>1892</v>
      </c>
      <c r="K2505" s="50" t="s">
        <v>1892</v>
      </c>
      <c r="L2505" s="50" t="s">
        <v>1893</v>
      </c>
      <c r="M2505" s="50" t="s">
        <v>5026</v>
      </c>
      <c r="N2505" s="50" t="s">
        <v>5026</v>
      </c>
      <c r="O2505" s="50" t="s">
        <v>5023</v>
      </c>
      <c r="P2505" s="50" t="s">
        <v>5026</v>
      </c>
    </row>
    <row r="2506" spans="1:16" ht="12.75" customHeight="1" x14ac:dyDescent="0.25">
      <c r="A2506" s="311">
        <v>2503</v>
      </c>
      <c r="B2506" s="311" t="s">
        <v>140</v>
      </c>
      <c r="C2506" s="311" t="s">
        <v>140</v>
      </c>
      <c r="D2506" s="311" t="s">
        <v>462</v>
      </c>
      <c r="E2506" s="337" t="s">
        <v>140</v>
      </c>
      <c r="F2506" s="311" t="s">
        <v>276</v>
      </c>
      <c r="G2506" s="311" t="s">
        <v>23</v>
      </c>
      <c r="H2506" s="311" t="s">
        <v>399</v>
      </c>
      <c r="I2506" s="311" t="s">
        <v>66</v>
      </c>
      <c r="J2506" s="50" t="s">
        <v>1892</v>
      </c>
      <c r="K2506" s="50" t="s">
        <v>1892</v>
      </c>
      <c r="L2506" s="50" t="s">
        <v>1893</v>
      </c>
      <c r="M2506" s="50" t="s">
        <v>5027</v>
      </c>
      <c r="N2506" s="50" t="s">
        <v>5027</v>
      </c>
      <c r="O2506" s="50" t="s">
        <v>5023</v>
      </c>
      <c r="P2506" s="50" t="s">
        <v>5027</v>
      </c>
    </row>
    <row r="2507" spans="1:16" ht="12.75" customHeight="1" x14ac:dyDescent="0.25">
      <c r="A2507" s="311">
        <v>2504</v>
      </c>
      <c r="B2507" s="311" t="s">
        <v>121</v>
      </c>
      <c r="C2507" s="311" t="s">
        <v>121</v>
      </c>
      <c r="D2507" s="311" t="s">
        <v>462</v>
      </c>
      <c r="E2507" s="337" t="s">
        <v>121</v>
      </c>
      <c r="F2507" s="311" t="s">
        <v>276</v>
      </c>
      <c r="G2507" s="311" t="s">
        <v>23</v>
      </c>
      <c r="H2507" s="311" t="s">
        <v>399</v>
      </c>
      <c r="I2507" s="311" t="s">
        <v>66</v>
      </c>
      <c r="J2507" s="50" t="s">
        <v>1892</v>
      </c>
      <c r="K2507" s="50" t="s">
        <v>1892</v>
      </c>
      <c r="L2507" s="50" t="s">
        <v>1893</v>
      </c>
      <c r="M2507" s="50" t="s">
        <v>5028</v>
      </c>
      <c r="N2507" s="50" t="s">
        <v>5028</v>
      </c>
      <c r="O2507" s="50" t="s">
        <v>5023</v>
      </c>
      <c r="P2507" s="50" t="s">
        <v>5028</v>
      </c>
    </row>
    <row r="2508" spans="1:16" ht="12.75" customHeight="1" x14ac:dyDescent="0.25">
      <c r="A2508" s="311">
        <v>2505</v>
      </c>
      <c r="B2508" s="311" t="s">
        <v>87</v>
      </c>
      <c r="C2508" s="311" t="s">
        <v>87</v>
      </c>
      <c r="D2508" s="311" t="s">
        <v>462</v>
      </c>
      <c r="E2508" s="337" t="s">
        <v>87</v>
      </c>
      <c r="F2508" s="311" t="s">
        <v>276</v>
      </c>
      <c r="G2508" s="311" t="s">
        <v>23</v>
      </c>
      <c r="H2508" s="311" t="s">
        <v>399</v>
      </c>
      <c r="I2508" s="311" t="s">
        <v>66</v>
      </c>
      <c r="J2508" s="50" t="s">
        <v>1892</v>
      </c>
      <c r="K2508" s="50" t="s">
        <v>1892</v>
      </c>
      <c r="L2508" s="50" t="s">
        <v>1893</v>
      </c>
      <c r="M2508" s="50" t="s">
        <v>5029</v>
      </c>
      <c r="N2508" s="50" t="s">
        <v>5029</v>
      </c>
      <c r="O2508" s="50" t="s">
        <v>5023</v>
      </c>
      <c r="P2508" s="50" t="s">
        <v>5029</v>
      </c>
    </row>
    <row r="2509" spans="1:16" ht="12.75" customHeight="1" x14ac:dyDescent="0.25">
      <c r="A2509" s="311">
        <v>2506</v>
      </c>
      <c r="B2509" s="311" t="s">
        <v>125</v>
      </c>
      <c r="C2509" s="311" t="s">
        <v>125</v>
      </c>
      <c r="D2509" s="311" t="s">
        <v>125</v>
      </c>
      <c r="E2509" s="337" t="s">
        <v>125</v>
      </c>
      <c r="F2509" s="311" t="s">
        <v>276</v>
      </c>
      <c r="G2509" s="311" t="s">
        <v>23</v>
      </c>
      <c r="H2509" s="311" t="s">
        <v>399</v>
      </c>
      <c r="I2509" s="311" t="s">
        <v>66</v>
      </c>
      <c r="J2509" s="50" t="s">
        <v>1892</v>
      </c>
      <c r="K2509" s="50" t="s">
        <v>1892</v>
      </c>
      <c r="L2509" s="50" t="s">
        <v>1893</v>
      </c>
      <c r="M2509" s="50" t="s">
        <v>5030</v>
      </c>
      <c r="N2509" s="50" t="s">
        <v>5030</v>
      </c>
      <c r="O2509" s="50" t="s">
        <v>5030</v>
      </c>
      <c r="P2509" s="50" t="s">
        <v>5030</v>
      </c>
    </row>
    <row r="2510" spans="1:16" ht="12.75" customHeight="1" x14ac:dyDescent="0.25">
      <c r="A2510" s="311">
        <v>2507</v>
      </c>
      <c r="B2510" s="311" t="s">
        <v>134</v>
      </c>
      <c r="C2510" s="311" t="s">
        <v>134</v>
      </c>
      <c r="D2510" s="311" t="s">
        <v>134</v>
      </c>
      <c r="E2510" s="337" t="s">
        <v>134</v>
      </c>
      <c r="F2510" s="311" t="s">
        <v>276</v>
      </c>
      <c r="G2510" s="311" t="s">
        <v>23</v>
      </c>
      <c r="H2510" s="311" t="s">
        <v>399</v>
      </c>
      <c r="I2510" s="311" t="s">
        <v>66</v>
      </c>
      <c r="J2510" s="50" t="s">
        <v>1892</v>
      </c>
      <c r="K2510" s="50" t="s">
        <v>1892</v>
      </c>
      <c r="L2510" s="50" t="s">
        <v>1893</v>
      </c>
      <c r="M2510" s="50" t="s">
        <v>5031</v>
      </c>
      <c r="N2510" s="50" t="s">
        <v>5031</v>
      </c>
      <c r="O2510" s="50" t="s">
        <v>5031</v>
      </c>
      <c r="P2510" s="50" t="s">
        <v>5031</v>
      </c>
    </row>
    <row r="2511" spans="1:16" ht="12.75" customHeight="1" x14ac:dyDescent="0.25">
      <c r="A2511" s="311">
        <v>2508</v>
      </c>
      <c r="B2511" s="311" t="s">
        <v>141</v>
      </c>
      <c r="C2511" s="311" t="s">
        <v>141</v>
      </c>
      <c r="D2511" s="311" t="s">
        <v>141</v>
      </c>
      <c r="E2511" s="337" t="s">
        <v>141</v>
      </c>
      <c r="F2511" s="311" t="s">
        <v>276</v>
      </c>
      <c r="G2511" s="311" t="s">
        <v>23</v>
      </c>
      <c r="H2511" s="311" t="s">
        <v>399</v>
      </c>
      <c r="I2511" s="311" t="s">
        <v>66</v>
      </c>
      <c r="J2511" s="50" t="s">
        <v>1892</v>
      </c>
      <c r="K2511" s="50" t="s">
        <v>1892</v>
      </c>
      <c r="L2511" s="50" t="s">
        <v>1893</v>
      </c>
      <c r="M2511" s="50" t="s">
        <v>5032</v>
      </c>
      <c r="N2511" s="50" t="s">
        <v>5032</v>
      </c>
      <c r="O2511" s="50" t="s">
        <v>5032</v>
      </c>
      <c r="P2511" s="50" t="s">
        <v>5032</v>
      </c>
    </row>
    <row r="2512" spans="1:16" ht="12.75" customHeight="1" x14ac:dyDescent="0.25">
      <c r="A2512" s="311">
        <v>2509</v>
      </c>
      <c r="B2512" s="311" t="s">
        <v>69</v>
      </c>
      <c r="C2512" s="311" t="s">
        <v>69</v>
      </c>
      <c r="D2512" s="311" t="s">
        <v>69</v>
      </c>
      <c r="E2512" s="337" t="s">
        <v>69</v>
      </c>
      <c r="F2512" s="311" t="s">
        <v>276</v>
      </c>
      <c r="G2512" s="311" t="s">
        <v>23</v>
      </c>
      <c r="H2512" s="311" t="s">
        <v>399</v>
      </c>
      <c r="I2512" s="311" t="s">
        <v>66</v>
      </c>
      <c r="J2512" s="50" t="s">
        <v>1892</v>
      </c>
      <c r="K2512" s="50" t="s">
        <v>1892</v>
      </c>
      <c r="L2512" s="50" t="s">
        <v>1893</v>
      </c>
      <c r="M2512" s="50" t="s">
        <v>5033</v>
      </c>
      <c r="N2512" s="50" t="s">
        <v>5033</v>
      </c>
      <c r="O2512" s="50" t="s">
        <v>5033</v>
      </c>
      <c r="P2512" s="50" t="s">
        <v>5033</v>
      </c>
    </row>
    <row r="2513" spans="1:16" ht="12.75" customHeight="1" x14ac:dyDescent="0.25">
      <c r="A2513" s="311">
        <v>2510</v>
      </c>
      <c r="B2513" s="311" t="s">
        <v>84</v>
      </c>
      <c r="C2513" s="311" t="s">
        <v>462</v>
      </c>
      <c r="D2513" s="311" t="s">
        <v>462</v>
      </c>
      <c r="E2513" s="337" t="s">
        <v>462</v>
      </c>
      <c r="F2513" s="311" t="s">
        <v>276</v>
      </c>
      <c r="G2513" s="311" t="s">
        <v>237</v>
      </c>
      <c r="H2513" s="311" t="s">
        <v>399</v>
      </c>
      <c r="I2513" s="311" t="s">
        <v>66</v>
      </c>
      <c r="J2513" s="50" t="s">
        <v>1892</v>
      </c>
      <c r="K2513" s="50" t="s">
        <v>1892</v>
      </c>
      <c r="L2513" s="50" t="s">
        <v>1893</v>
      </c>
      <c r="M2513" s="50" t="s">
        <v>5034</v>
      </c>
      <c r="N2513" s="50" t="s">
        <v>5035</v>
      </c>
      <c r="O2513" s="50" t="s">
        <v>5035</v>
      </c>
      <c r="P2513" s="50" t="s">
        <v>5035</v>
      </c>
    </row>
    <row r="2514" spans="1:16" ht="12.75" customHeight="1" x14ac:dyDescent="0.25">
      <c r="A2514" s="311">
        <v>2511</v>
      </c>
      <c r="B2514" s="311" t="s">
        <v>123</v>
      </c>
      <c r="C2514" s="311" t="s">
        <v>462</v>
      </c>
      <c r="D2514" s="311" t="s">
        <v>462</v>
      </c>
      <c r="E2514" s="337" t="s">
        <v>462</v>
      </c>
      <c r="F2514" s="311" t="s">
        <v>276</v>
      </c>
      <c r="G2514" s="311" t="s">
        <v>237</v>
      </c>
      <c r="H2514" s="311" t="s">
        <v>399</v>
      </c>
      <c r="I2514" s="311" t="s">
        <v>66</v>
      </c>
      <c r="J2514" s="50" t="s">
        <v>1892</v>
      </c>
      <c r="K2514" s="50" t="s">
        <v>1892</v>
      </c>
      <c r="L2514" s="50" t="s">
        <v>1893</v>
      </c>
      <c r="M2514" s="50" t="s">
        <v>5036</v>
      </c>
      <c r="N2514" s="50" t="s">
        <v>5035</v>
      </c>
      <c r="O2514" s="50" t="s">
        <v>5035</v>
      </c>
      <c r="P2514" s="50" t="s">
        <v>5035</v>
      </c>
    </row>
    <row r="2515" spans="1:16" ht="12.75" customHeight="1" x14ac:dyDescent="0.25">
      <c r="A2515" s="311">
        <v>2512</v>
      </c>
      <c r="B2515" s="311" t="s">
        <v>75</v>
      </c>
      <c r="C2515" s="311" t="s">
        <v>462</v>
      </c>
      <c r="D2515" s="311" t="s">
        <v>462</v>
      </c>
      <c r="E2515" s="337" t="s">
        <v>462</v>
      </c>
      <c r="F2515" s="311" t="s">
        <v>276</v>
      </c>
      <c r="G2515" s="311" t="s">
        <v>237</v>
      </c>
      <c r="H2515" s="311" t="s">
        <v>399</v>
      </c>
      <c r="I2515" s="311" t="s">
        <v>66</v>
      </c>
      <c r="J2515" s="50" t="s">
        <v>1892</v>
      </c>
      <c r="K2515" s="50" t="s">
        <v>1892</v>
      </c>
      <c r="L2515" s="50" t="s">
        <v>1893</v>
      </c>
      <c r="M2515" s="50" t="s">
        <v>5037</v>
      </c>
      <c r="N2515" s="50" t="s">
        <v>5035</v>
      </c>
      <c r="O2515" s="50" t="s">
        <v>5035</v>
      </c>
      <c r="P2515" s="50" t="s">
        <v>5035</v>
      </c>
    </row>
    <row r="2516" spans="1:16" ht="12.75" customHeight="1" x14ac:dyDescent="0.25">
      <c r="A2516" s="311">
        <v>2513</v>
      </c>
      <c r="B2516" s="311" t="s">
        <v>63</v>
      </c>
      <c r="C2516" s="311" t="s">
        <v>63</v>
      </c>
      <c r="D2516" s="311" t="s">
        <v>462</v>
      </c>
      <c r="E2516" s="337" t="s">
        <v>63</v>
      </c>
      <c r="F2516" s="311" t="s">
        <v>276</v>
      </c>
      <c r="G2516" s="311" t="s">
        <v>237</v>
      </c>
      <c r="H2516" s="311" t="s">
        <v>399</v>
      </c>
      <c r="I2516" s="311" t="s">
        <v>66</v>
      </c>
      <c r="J2516" s="50" t="s">
        <v>1892</v>
      </c>
      <c r="K2516" s="50" t="s">
        <v>1892</v>
      </c>
      <c r="L2516" s="50" t="s">
        <v>1893</v>
      </c>
      <c r="M2516" s="50" t="s">
        <v>5038</v>
      </c>
      <c r="N2516" s="50" t="s">
        <v>5038</v>
      </c>
      <c r="O2516" s="50" t="s">
        <v>5035</v>
      </c>
      <c r="P2516" s="50" t="s">
        <v>5038</v>
      </c>
    </row>
    <row r="2517" spans="1:16" ht="12.75" customHeight="1" x14ac:dyDescent="0.25">
      <c r="A2517" s="311">
        <v>2514</v>
      </c>
      <c r="B2517" s="311" t="s">
        <v>140</v>
      </c>
      <c r="C2517" s="311" t="s">
        <v>140</v>
      </c>
      <c r="D2517" s="311" t="s">
        <v>462</v>
      </c>
      <c r="E2517" s="337" t="s">
        <v>140</v>
      </c>
      <c r="F2517" s="311" t="s">
        <v>276</v>
      </c>
      <c r="G2517" s="311" t="s">
        <v>237</v>
      </c>
      <c r="H2517" s="311" t="s">
        <v>399</v>
      </c>
      <c r="I2517" s="311" t="s">
        <v>66</v>
      </c>
      <c r="J2517" s="50" t="s">
        <v>1892</v>
      </c>
      <c r="K2517" s="50" t="s">
        <v>1892</v>
      </c>
      <c r="L2517" s="50" t="s">
        <v>1893</v>
      </c>
      <c r="M2517" s="50" t="s">
        <v>5039</v>
      </c>
      <c r="N2517" s="50" t="s">
        <v>5039</v>
      </c>
      <c r="O2517" s="50" t="s">
        <v>5035</v>
      </c>
      <c r="P2517" s="50" t="s">
        <v>5039</v>
      </c>
    </row>
    <row r="2518" spans="1:16" ht="12.75" customHeight="1" x14ac:dyDescent="0.25">
      <c r="A2518" s="311">
        <v>2515</v>
      </c>
      <c r="B2518" s="311" t="s">
        <v>121</v>
      </c>
      <c r="C2518" s="311" t="s">
        <v>121</v>
      </c>
      <c r="D2518" s="311" t="s">
        <v>462</v>
      </c>
      <c r="E2518" s="337" t="s">
        <v>121</v>
      </c>
      <c r="F2518" s="311" t="s">
        <v>276</v>
      </c>
      <c r="G2518" s="311" t="s">
        <v>237</v>
      </c>
      <c r="H2518" s="311" t="s">
        <v>399</v>
      </c>
      <c r="I2518" s="311" t="s">
        <v>66</v>
      </c>
      <c r="J2518" s="50" t="s">
        <v>1892</v>
      </c>
      <c r="K2518" s="50" t="s">
        <v>1892</v>
      </c>
      <c r="L2518" s="50" t="s">
        <v>1893</v>
      </c>
      <c r="M2518" s="50" t="s">
        <v>5040</v>
      </c>
      <c r="N2518" s="50" t="s">
        <v>5040</v>
      </c>
      <c r="O2518" s="50" t="s">
        <v>5035</v>
      </c>
      <c r="P2518" s="50" t="s">
        <v>5040</v>
      </c>
    </row>
    <row r="2519" spans="1:16" ht="12.75" customHeight="1" x14ac:dyDescent="0.25">
      <c r="A2519" s="311">
        <v>2516</v>
      </c>
      <c r="B2519" s="311" t="s">
        <v>87</v>
      </c>
      <c r="C2519" s="311" t="s">
        <v>87</v>
      </c>
      <c r="D2519" s="311" t="s">
        <v>462</v>
      </c>
      <c r="E2519" s="337" t="s">
        <v>87</v>
      </c>
      <c r="F2519" s="311" t="s">
        <v>276</v>
      </c>
      <c r="G2519" s="311" t="s">
        <v>237</v>
      </c>
      <c r="H2519" s="311" t="s">
        <v>399</v>
      </c>
      <c r="I2519" s="311" t="s">
        <v>66</v>
      </c>
      <c r="J2519" s="50" t="s">
        <v>1892</v>
      </c>
      <c r="K2519" s="50" t="s">
        <v>1892</v>
      </c>
      <c r="L2519" s="50" t="s">
        <v>1893</v>
      </c>
      <c r="M2519" s="50" t="s">
        <v>5041</v>
      </c>
      <c r="N2519" s="50" t="s">
        <v>5041</v>
      </c>
      <c r="O2519" s="50" t="s">
        <v>5035</v>
      </c>
      <c r="P2519" s="50" t="s">
        <v>5041</v>
      </c>
    </row>
    <row r="2520" spans="1:16" ht="12.75" customHeight="1" x14ac:dyDescent="0.25">
      <c r="A2520" s="311">
        <v>2517</v>
      </c>
      <c r="B2520" s="311" t="s">
        <v>125</v>
      </c>
      <c r="C2520" s="311" t="s">
        <v>125</v>
      </c>
      <c r="D2520" s="311" t="s">
        <v>125</v>
      </c>
      <c r="E2520" s="337" t="s">
        <v>125</v>
      </c>
      <c r="F2520" s="311" t="s">
        <v>276</v>
      </c>
      <c r="G2520" s="311" t="s">
        <v>237</v>
      </c>
      <c r="H2520" s="311" t="s">
        <v>399</v>
      </c>
      <c r="I2520" s="311" t="s">
        <v>66</v>
      </c>
      <c r="J2520" s="50" t="s">
        <v>1892</v>
      </c>
      <c r="K2520" s="50" t="s">
        <v>1892</v>
      </c>
      <c r="L2520" s="50" t="s">
        <v>1893</v>
      </c>
      <c r="M2520" s="50" t="s">
        <v>5042</v>
      </c>
      <c r="N2520" s="50" t="s">
        <v>5042</v>
      </c>
      <c r="O2520" s="50" t="s">
        <v>5042</v>
      </c>
      <c r="P2520" s="50" t="s">
        <v>5042</v>
      </c>
    </row>
    <row r="2521" spans="1:16" ht="12.75" customHeight="1" x14ac:dyDescent="0.25">
      <c r="A2521" s="311">
        <v>2518</v>
      </c>
      <c r="B2521" s="311" t="s">
        <v>134</v>
      </c>
      <c r="C2521" s="311" t="s">
        <v>134</v>
      </c>
      <c r="D2521" s="311" t="s">
        <v>134</v>
      </c>
      <c r="E2521" s="337" t="s">
        <v>134</v>
      </c>
      <c r="F2521" s="311" t="s">
        <v>276</v>
      </c>
      <c r="G2521" s="311" t="s">
        <v>237</v>
      </c>
      <c r="H2521" s="311" t="s">
        <v>399</v>
      </c>
      <c r="I2521" s="311" t="s">
        <v>66</v>
      </c>
      <c r="J2521" s="50" t="s">
        <v>1892</v>
      </c>
      <c r="K2521" s="50" t="s">
        <v>1892</v>
      </c>
      <c r="L2521" s="50" t="s">
        <v>1893</v>
      </c>
      <c r="M2521" s="50" t="s">
        <v>5043</v>
      </c>
      <c r="N2521" s="50" t="s">
        <v>5043</v>
      </c>
      <c r="O2521" s="50" t="s">
        <v>5043</v>
      </c>
      <c r="P2521" s="50" t="s">
        <v>5043</v>
      </c>
    </row>
    <row r="2522" spans="1:16" ht="12.75" customHeight="1" x14ac:dyDescent="0.25">
      <c r="A2522" s="311">
        <v>2519</v>
      </c>
      <c r="B2522" s="311" t="s">
        <v>141</v>
      </c>
      <c r="C2522" s="311" t="s">
        <v>141</v>
      </c>
      <c r="D2522" s="311" t="s">
        <v>141</v>
      </c>
      <c r="E2522" s="337" t="s">
        <v>141</v>
      </c>
      <c r="F2522" s="311" t="s">
        <v>276</v>
      </c>
      <c r="G2522" s="311" t="s">
        <v>237</v>
      </c>
      <c r="H2522" s="311" t="s">
        <v>399</v>
      </c>
      <c r="I2522" s="311" t="s">
        <v>66</v>
      </c>
      <c r="J2522" s="50" t="s">
        <v>1892</v>
      </c>
      <c r="K2522" s="50" t="s">
        <v>1892</v>
      </c>
      <c r="L2522" s="50" t="s">
        <v>1893</v>
      </c>
      <c r="M2522" s="50" t="s">
        <v>5044</v>
      </c>
      <c r="N2522" s="50" t="s">
        <v>5044</v>
      </c>
      <c r="O2522" s="50" t="s">
        <v>5044</v>
      </c>
      <c r="P2522" s="50" t="s">
        <v>5044</v>
      </c>
    </row>
    <row r="2523" spans="1:16" ht="12.75" customHeight="1" x14ac:dyDescent="0.25">
      <c r="A2523" s="311">
        <v>2520</v>
      </c>
      <c r="B2523" s="311" t="s">
        <v>69</v>
      </c>
      <c r="C2523" s="311" t="s">
        <v>69</v>
      </c>
      <c r="D2523" s="311" t="s">
        <v>69</v>
      </c>
      <c r="E2523" s="337" t="s">
        <v>69</v>
      </c>
      <c r="F2523" s="311" t="s">
        <v>276</v>
      </c>
      <c r="G2523" s="311" t="s">
        <v>237</v>
      </c>
      <c r="H2523" s="311" t="s">
        <v>399</v>
      </c>
      <c r="I2523" s="311" t="s">
        <v>66</v>
      </c>
      <c r="J2523" s="50" t="s">
        <v>1892</v>
      </c>
      <c r="K2523" s="50" t="s">
        <v>1892</v>
      </c>
      <c r="L2523" s="50" t="s">
        <v>1893</v>
      </c>
      <c r="M2523" s="50" t="s">
        <v>5045</v>
      </c>
      <c r="N2523" s="50" t="s">
        <v>5045</v>
      </c>
      <c r="O2523" s="50" t="s">
        <v>5045</v>
      </c>
      <c r="P2523" s="50" t="s">
        <v>5045</v>
      </c>
    </row>
    <row r="2524" spans="1:16" ht="12.75" customHeight="1" x14ac:dyDescent="0.25">
      <c r="A2524" s="311">
        <v>2521</v>
      </c>
      <c r="B2524" s="311" t="s">
        <v>84</v>
      </c>
      <c r="C2524" s="311" t="s">
        <v>462</v>
      </c>
      <c r="D2524" s="311" t="s">
        <v>462</v>
      </c>
      <c r="E2524" s="337" t="s">
        <v>462</v>
      </c>
      <c r="F2524" s="311" t="s">
        <v>305</v>
      </c>
      <c r="G2524" s="311" t="s">
        <v>236</v>
      </c>
      <c r="H2524" s="311" t="s">
        <v>401</v>
      </c>
      <c r="I2524" s="311" t="s">
        <v>66</v>
      </c>
      <c r="J2524" s="50" t="s">
        <v>1892</v>
      </c>
      <c r="K2524" s="50" t="s">
        <v>1892</v>
      </c>
      <c r="L2524" s="50" t="s">
        <v>1893</v>
      </c>
      <c r="M2524" s="50" t="s">
        <v>5046</v>
      </c>
      <c r="N2524" s="50" t="s">
        <v>5047</v>
      </c>
      <c r="O2524" s="50" t="s">
        <v>5047</v>
      </c>
      <c r="P2524" s="50" t="s">
        <v>5047</v>
      </c>
    </row>
    <row r="2525" spans="1:16" ht="12.75" customHeight="1" x14ac:dyDescent="0.25">
      <c r="A2525" s="311">
        <v>2522</v>
      </c>
      <c r="B2525" s="311" t="s">
        <v>123</v>
      </c>
      <c r="C2525" s="311" t="s">
        <v>462</v>
      </c>
      <c r="D2525" s="311" t="s">
        <v>462</v>
      </c>
      <c r="E2525" s="337" t="s">
        <v>462</v>
      </c>
      <c r="F2525" s="311" t="s">
        <v>305</v>
      </c>
      <c r="G2525" s="311" t="s">
        <v>236</v>
      </c>
      <c r="H2525" s="311" t="s">
        <v>401</v>
      </c>
      <c r="I2525" s="311" t="s">
        <v>66</v>
      </c>
      <c r="J2525" s="50" t="s">
        <v>1892</v>
      </c>
      <c r="K2525" s="50" t="s">
        <v>1892</v>
      </c>
      <c r="L2525" s="50" t="s">
        <v>1893</v>
      </c>
      <c r="M2525" s="50" t="s">
        <v>5048</v>
      </c>
      <c r="N2525" s="50" t="s">
        <v>5047</v>
      </c>
      <c r="O2525" s="50" t="s">
        <v>5047</v>
      </c>
      <c r="P2525" s="50" t="s">
        <v>5047</v>
      </c>
    </row>
    <row r="2526" spans="1:16" ht="12.75" customHeight="1" x14ac:dyDescent="0.25">
      <c r="A2526" s="311">
        <v>2523</v>
      </c>
      <c r="B2526" s="311" t="s">
        <v>75</v>
      </c>
      <c r="C2526" s="311" t="s">
        <v>462</v>
      </c>
      <c r="D2526" s="311" t="s">
        <v>462</v>
      </c>
      <c r="E2526" s="337" t="s">
        <v>462</v>
      </c>
      <c r="F2526" s="311" t="s">
        <v>305</v>
      </c>
      <c r="G2526" s="311" t="s">
        <v>236</v>
      </c>
      <c r="H2526" s="311" t="s">
        <v>401</v>
      </c>
      <c r="I2526" s="311" t="s">
        <v>66</v>
      </c>
      <c r="J2526" s="50" t="s">
        <v>1892</v>
      </c>
      <c r="K2526" s="50" t="s">
        <v>1892</v>
      </c>
      <c r="L2526" s="50" t="s">
        <v>1893</v>
      </c>
      <c r="M2526" s="50" t="s">
        <v>5049</v>
      </c>
      <c r="N2526" s="50" t="s">
        <v>5047</v>
      </c>
      <c r="O2526" s="50" t="s">
        <v>5047</v>
      </c>
      <c r="P2526" s="50" t="s">
        <v>5047</v>
      </c>
    </row>
    <row r="2527" spans="1:16" ht="12.75" customHeight="1" x14ac:dyDescent="0.25">
      <c r="A2527" s="311">
        <v>2524</v>
      </c>
      <c r="B2527" s="311" t="s">
        <v>63</v>
      </c>
      <c r="C2527" s="311" t="s">
        <v>63</v>
      </c>
      <c r="D2527" s="311" t="s">
        <v>462</v>
      </c>
      <c r="E2527" s="337" t="s">
        <v>63</v>
      </c>
      <c r="F2527" s="311" t="s">
        <v>305</v>
      </c>
      <c r="G2527" s="311" t="s">
        <v>236</v>
      </c>
      <c r="H2527" s="311" t="s">
        <v>401</v>
      </c>
      <c r="I2527" s="311" t="s">
        <v>66</v>
      </c>
      <c r="J2527" s="50" t="s">
        <v>1892</v>
      </c>
      <c r="K2527" s="50" t="s">
        <v>1892</v>
      </c>
      <c r="L2527" s="50" t="s">
        <v>1893</v>
      </c>
      <c r="M2527" s="50" t="s">
        <v>5050</v>
      </c>
      <c r="N2527" s="50" t="s">
        <v>5050</v>
      </c>
      <c r="O2527" s="50" t="s">
        <v>5047</v>
      </c>
      <c r="P2527" s="50" t="s">
        <v>5050</v>
      </c>
    </row>
    <row r="2528" spans="1:16" ht="12.75" customHeight="1" x14ac:dyDescent="0.25">
      <c r="A2528" s="311">
        <v>2525</v>
      </c>
      <c r="B2528" s="311" t="s">
        <v>140</v>
      </c>
      <c r="C2528" s="311" t="s">
        <v>140</v>
      </c>
      <c r="D2528" s="311" t="s">
        <v>462</v>
      </c>
      <c r="E2528" s="337" t="s">
        <v>140</v>
      </c>
      <c r="F2528" s="311" t="s">
        <v>305</v>
      </c>
      <c r="G2528" s="311" t="s">
        <v>236</v>
      </c>
      <c r="H2528" s="311" t="s">
        <v>401</v>
      </c>
      <c r="I2528" s="311" t="s">
        <v>66</v>
      </c>
      <c r="J2528" s="50" t="s">
        <v>1892</v>
      </c>
      <c r="K2528" s="50" t="s">
        <v>1892</v>
      </c>
      <c r="L2528" s="50" t="s">
        <v>1893</v>
      </c>
      <c r="M2528" s="50" t="s">
        <v>5051</v>
      </c>
      <c r="N2528" s="50" t="s">
        <v>5051</v>
      </c>
      <c r="O2528" s="50" t="s">
        <v>5047</v>
      </c>
      <c r="P2528" s="50" t="s">
        <v>5051</v>
      </c>
    </row>
    <row r="2529" spans="1:16" ht="12.75" customHeight="1" x14ac:dyDescent="0.25">
      <c r="A2529" s="311">
        <v>2526</v>
      </c>
      <c r="B2529" s="311" t="s">
        <v>121</v>
      </c>
      <c r="C2529" s="311" t="s">
        <v>121</v>
      </c>
      <c r="D2529" s="311" t="s">
        <v>462</v>
      </c>
      <c r="E2529" s="337" t="s">
        <v>121</v>
      </c>
      <c r="F2529" s="311" t="s">
        <v>305</v>
      </c>
      <c r="G2529" s="311" t="s">
        <v>236</v>
      </c>
      <c r="H2529" s="311" t="s">
        <v>401</v>
      </c>
      <c r="I2529" s="311" t="s">
        <v>66</v>
      </c>
      <c r="J2529" s="50" t="s">
        <v>1892</v>
      </c>
      <c r="K2529" s="50" t="s">
        <v>1892</v>
      </c>
      <c r="L2529" s="50" t="s">
        <v>1893</v>
      </c>
      <c r="M2529" s="50" t="s">
        <v>5052</v>
      </c>
      <c r="N2529" s="50" t="s">
        <v>5052</v>
      </c>
      <c r="O2529" s="50" t="s">
        <v>5047</v>
      </c>
      <c r="P2529" s="50" t="s">
        <v>5052</v>
      </c>
    </row>
    <row r="2530" spans="1:16" ht="12.75" customHeight="1" x14ac:dyDescent="0.25">
      <c r="A2530" s="311">
        <v>2527</v>
      </c>
      <c r="B2530" s="311" t="s">
        <v>87</v>
      </c>
      <c r="C2530" s="311" t="s">
        <v>87</v>
      </c>
      <c r="D2530" s="311" t="s">
        <v>462</v>
      </c>
      <c r="E2530" s="337" t="s">
        <v>87</v>
      </c>
      <c r="F2530" s="311" t="s">
        <v>305</v>
      </c>
      <c r="G2530" s="311" t="s">
        <v>236</v>
      </c>
      <c r="H2530" s="311" t="s">
        <v>401</v>
      </c>
      <c r="I2530" s="311" t="s">
        <v>66</v>
      </c>
      <c r="J2530" s="50" t="s">
        <v>1892</v>
      </c>
      <c r="K2530" s="50" t="s">
        <v>1892</v>
      </c>
      <c r="L2530" s="50" t="s">
        <v>1893</v>
      </c>
      <c r="M2530" s="50" t="s">
        <v>5053</v>
      </c>
      <c r="N2530" s="50" t="s">
        <v>5053</v>
      </c>
      <c r="O2530" s="50" t="s">
        <v>5047</v>
      </c>
      <c r="P2530" s="50" t="s">
        <v>5053</v>
      </c>
    </row>
    <row r="2531" spans="1:16" ht="12.75" customHeight="1" x14ac:dyDescent="0.25">
      <c r="A2531" s="311">
        <v>2528</v>
      </c>
      <c r="B2531" s="311" t="s">
        <v>125</v>
      </c>
      <c r="C2531" s="311" t="s">
        <v>125</v>
      </c>
      <c r="D2531" s="311" t="s">
        <v>125</v>
      </c>
      <c r="E2531" s="337" t="s">
        <v>125</v>
      </c>
      <c r="F2531" s="311" t="s">
        <v>305</v>
      </c>
      <c r="G2531" s="311" t="s">
        <v>236</v>
      </c>
      <c r="H2531" s="311" t="s">
        <v>401</v>
      </c>
      <c r="I2531" s="311" t="s">
        <v>66</v>
      </c>
      <c r="J2531" s="50" t="s">
        <v>1892</v>
      </c>
      <c r="K2531" s="50" t="s">
        <v>1892</v>
      </c>
      <c r="L2531" s="50" t="s">
        <v>1893</v>
      </c>
      <c r="M2531" s="50" t="s">
        <v>5054</v>
      </c>
      <c r="N2531" s="50" t="s">
        <v>5054</v>
      </c>
      <c r="O2531" s="50" t="s">
        <v>5054</v>
      </c>
      <c r="P2531" s="50" t="s">
        <v>5054</v>
      </c>
    </row>
    <row r="2532" spans="1:16" ht="12.75" customHeight="1" x14ac:dyDescent="0.25">
      <c r="A2532" s="311">
        <v>2529</v>
      </c>
      <c r="B2532" s="311" t="s">
        <v>134</v>
      </c>
      <c r="C2532" s="311" t="s">
        <v>134</v>
      </c>
      <c r="D2532" s="311" t="s">
        <v>134</v>
      </c>
      <c r="E2532" s="337" t="s">
        <v>134</v>
      </c>
      <c r="F2532" s="311" t="s">
        <v>305</v>
      </c>
      <c r="G2532" s="311" t="s">
        <v>236</v>
      </c>
      <c r="H2532" s="311" t="s">
        <v>401</v>
      </c>
      <c r="I2532" s="311" t="s">
        <v>66</v>
      </c>
      <c r="J2532" s="50" t="s">
        <v>1892</v>
      </c>
      <c r="K2532" s="50" t="s">
        <v>1892</v>
      </c>
      <c r="L2532" s="50" t="s">
        <v>1893</v>
      </c>
      <c r="M2532" s="50" t="s">
        <v>5055</v>
      </c>
      <c r="N2532" s="50" t="s">
        <v>5055</v>
      </c>
      <c r="O2532" s="50" t="s">
        <v>5055</v>
      </c>
      <c r="P2532" s="50" t="s">
        <v>5055</v>
      </c>
    </row>
    <row r="2533" spans="1:16" ht="12.75" customHeight="1" x14ac:dyDescent="0.25">
      <c r="A2533" s="311">
        <v>2530</v>
      </c>
      <c r="B2533" s="311" t="s">
        <v>141</v>
      </c>
      <c r="C2533" s="311" t="s">
        <v>141</v>
      </c>
      <c r="D2533" s="311" t="s">
        <v>141</v>
      </c>
      <c r="E2533" s="337" t="s">
        <v>141</v>
      </c>
      <c r="F2533" s="311" t="s">
        <v>305</v>
      </c>
      <c r="G2533" s="311" t="s">
        <v>236</v>
      </c>
      <c r="H2533" s="311" t="s">
        <v>401</v>
      </c>
      <c r="I2533" s="311" t="s">
        <v>66</v>
      </c>
      <c r="J2533" s="50" t="s">
        <v>1892</v>
      </c>
      <c r="K2533" s="50" t="s">
        <v>1892</v>
      </c>
      <c r="L2533" s="50" t="s">
        <v>1893</v>
      </c>
      <c r="M2533" s="50" t="s">
        <v>5056</v>
      </c>
      <c r="N2533" s="50" t="s">
        <v>5056</v>
      </c>
      <c r="O2533" s="50" t="s">
        <v>5056</v>
      </c>
      <c r="P2533" s="50" t="s">
        <v>5056</v>
      </c>
    </row>
    <row r="2534" spans="1:16" ht="12.75" customHeight="1" x14ac:dyDescent="0.25">
      <c r="A2534" s="311">
        <v>2531</v>
      </c>
      <c r="B2534" s="311" t="s">
        <v>69</v>
      </c>
      <c r="C2534" s="311" t="s">
        <v>69</v>
      </c>
      <c r="D2534" s="311" t="s">
        <v>69</v>
      </c>
      <c r="E2534" s="337" t="s">
        <v>69</v>
      </c>
      <c r="F2534" s="311" t="s">
        <v>305</v>
      </c>
      <c r="G2534" s="311" t="s">
        <v>236</v>
      </c>
      <c r="H2534" s="311" t="s">
        <v>401</v>
      </c>
      <c r="I2534" s="311" t="s">
        <v>66</v>
      </c>
      <c r="J2534" s="50" t="s">
        <v>1892</v>
      </c>
      <c r="K2534" s="50" t="s">
        <v>1892</v>
      </c>
      <c r="L2534" s="50" t="s">
        <v>1893</v>
      </c>
      <c r="M2534" s="50" t="s">
        <v>5057</v>
      </c>
      <c r="N2534" s="50" t="s">
        <v>5057</v>
      </c>
      <c r="O2534" s="50" t="s">
        <v>5057</v>
      </c>
      <c r="P2534" s="50" t="s">
        <v>5057</v>
      </c>
    </row>
    <row r="2535" spans="1:16" ht="12.75" customHeight="1" x14ac:dyDescent="0.25">
      <c r="A2535" s="311">
        <v>2532</v>
      </c>
      <c r="B2535" s="311" t="s">
        <v>84</v>
      </c>
      <c r="C2535" s="311" t="s">
        <v>462</v>
      </c>
      <c r="D2535" s="311" t="s">
        <v>462</v>
      </c>
      <c r="E2535" s="337" t="s">
        <v>462</v>
      </c>
      <c r="F2535" s="311" t="s">
        <v>305</v>
      </c>
      <c r="G2535" s="311" t="s">
        <v>23</v>
      </c>
      <c r="H2535" s="311" t="s">
        <v>401</v>
      </c>
      <c r="I2535" s="311" t="s">
        <v>66</v>
      </c>
      <c r="J2535" s="50" t="s">
        <v>1892</v>
      </c>
      <c r="K2535" s="50" t="s">
        <v>1892</v>
      </c>
      <c r="L2535" s="50" t="s">
        <v>1893</v>
      </c>
      <c r="M2535" s="50" t="s">
        <v>5058</v>
      </c>
      <c r="N2535" s="50" t="s">
        <v>5059</v>
      </c>
      <c r="O2535" s="50" t="s">
        <v>5059</v>
      </c>
      <c r="P2535" s="50" t="s">
        <v>5059</v>
      </c>
    </row>
    <row r="2536" spans="1:16" ht="12.75" customHeight="1" x14ac:dyDescent="0.25">
      <c r="A2536" s="311">
        <v>2533</v>
      </c>
      <c r="B2536" s="311" t="s">
        <v>123</v>
      </c>
      <c r="C2536" s="311" t="s">
        <v>462</v>
      </c>
      <c r="D2536" s="311" t="s">
        <v>462</v>
      </c>
      <c r="E2536" s="337" t="s">
        <v>462</v>
      </c>
      <c r="F2536" s="311" t="s">
        <v>305</v>
      </c>
      <c r="G2536" s="311" t="s">
        <v>23</v>
      </c>
      <c r="H2536" s="311" t="s">
        <v>401</v>
      </c>
      <c r="I2536" s="311" t="s">
        <v>66</v>
      </c>
      <c r="J2536" s="50" t="s">
        <v>1892</v>
      </c>
      <c r="K2536" s="50" t="s">
        <v>1892</v>
      </c>
      <c r="L2536" s="50" t="s">
        <v>1893</v>
      </c>
      <c r="M2536" s="50" t="s">
        <v>5060</v>
      </c>
      <c r="N2536" s="50" t="s">
        <v>5059</v>
      </c>
      <c r="O2536" s="50" t="s">
        <v>5059</v>
      </c>
      <c r="P2536" s="50" t="s">
        <v>5059</v>
      </c>
    </row>
    <row r="2537" spans="1:16" ht="12.75" customHeight="1" x14ac:dyDescent="0.25">
      <c r="A2537" s="311">
        <v>2534</v>
      </c>
      <c r="B2537" s="311" t="s">
        <v>75</v>
      </c>
      <c r="C2537" s="311" t="s">
        <v>462</v>
      </c>
      <c r="D2537" s="311" t="s">
        <v>462</v>
      </c>
      <c r="E2537" s="337" t="s">
        <v>462</v>
      </c>
      <c r="F2537" s="311" t="s">
        <v>305</v>
      </c>
      <c r="G2537" s="311" t="s">
        <v>23</v>
      </c>
      <c r="H2537" s="311" t="s">
        <v>401</v>
      </c>
      <c r="I2537" s="311" t="s">
        <v>66</v>
      </c>
      <c r="J2537" s="50" t="s">
        <v>1892</v>
      </c>
      <c r="K2537" s="50" t="s">
        <v>1892</v>
      </c>
      <c r="L2537" s="50" t="s">
        <v>1893</v>
      </c>
      <c r="M2537" s="50" t="s">
        <v>5061</v>
      </c>
      <c r="N2537" s="50" t="s">
        <v>5059</v>
      </c>
      <c r="O2537" s="50" t="s">
        <v>5059</v>
      </c>
      <c r="P2537" s="50" t="s">
        <v>5059</v>
      </c>
    </row>
    <row r="2538" spans="1:16" ht="12.75" customHeight="1" x14ac:dyDescent="0.25">
      <c r="A2538" s="311">
        <v>2535</v>
      </c>
      <c r="B2538" s="311" t="s">
        <v>63</v>
      </c>
      <c r="C2538" s="311" t="s">
        <v>63</v>
      </c>
      <c r="D2538" s="311" t="s">
        <v>462</v>
      </c>
      <c r="E2538" s="337" t="s">
        <v>63</v>
      </c>
      <c r="F2538" s="311" t="s">
        <v>305</v>
      </c>
      <c r="G2538" s="311" t="s">
        <v>23</v>
      </c>
      <c r="H2538" s="311" t="s">
        <v>401</v>
      </c>
      <c r="I2538" s="311" t="s">
        <v>66</v>
      </c>
      <c r="J2538" s="50" t="s">
        <v>1892</v>
      </c>
      <c r="K2538" s="50" t="s">
        <v>1892</v>
      </c>
      <c r="L2538" s="50" t="s">
        <v>1893</v>
      </c>
      <c r="M2538" s="50" t="s">
        <v>5062</v>
      </c>
      <c r="N2538" s="50" t="s">
        <v>5062</v>
      </c>
      <c r="O2538" s="50" t="s">
        <v>5059</v>
      </c>
      <c r="P2538" s="50" t="s">
        <v>5062</v>
      </c>
    </row>
    <row r="2539" spans="1:16" ht="12.75" customHeight="1" x14ac:dyDescent="0.25">
      <c r="A2539" s="311">
        <v>2536</v>
      </c>
      <c r="B2539" s="311" t="s">
        <v>140</v>
      </c>
      <c r="C2539" s="311" t="s">
        <v>140</v>
      </c>
      <c r="D2539" s="311" t="s">
        <v>462</v>
      </c>
      <c r="E2539" s="337" t="s">
        <v>140</v>
      </c>
      <c r="F2539" s="311" t="s">
        <v>305</v>
      </c>
      <c r="G2539" s="311" t="s">
        <v>23</v>
      </c>
      <c r="H2539" s="311" t="s">
        <v>401</v>
      </c>
      <c r="I2539" s="311" t="s">
        <v>66</v>
      </c>
      <c r="J2539" s="50" t="s">
        <v>1892</v>
      </c>
      <c r="K2539" s="50" t="s">
        <v>1892</v>
      </c>
      <c r="L2539" s="50" t="s">
        <v>1893</v>
      </c>
      <c r="M2539" s="50" t="s">
        <v>5063</v>
      </c>
      <c r="N2539" s="50" t="s">
        <v>5063</v>
      </c>
      <c r="O2539" s="50" t="s">
        <v>5059</v>
      </c>
      <c r="P2539" s="50" t="s">
        <v>5063</v>
      </c>
    </row>
    <row r="2540" spans="1:16" ht="12.75" customHeight="1" x14ac:dyDescent="0.25">
      <c r="A2540" s="311">
        <v>2537</v>
      </c>
      <c r="B2540" s="311" t="s">
        <v>121</v>
      </c>
      <c r="C2540" s="311" t="s">
        <v>121</v>
      </c>
      <c r="D2540" s="311" t="s">
        <v>462</v>
      </c>
      <c r="E2540" s="337" t="s">
        <v>121</v>
      </c>
      <c r="F2540" s="311" t="s">
        <v>305</v>
      </c>
      <c r="G2540" s="311" t="s">
        <v>23</v>
      </c>
      <c r="H2540" s="311" t="s">
        <v>401</v>
      </c>
      <c r="I2540" s="311" t="s">
        <v>66</v>
      </c>
      <c r="J2540" s="50" t="s">
        <v>1892</v>
      </c>
      <c r="K2540" s="50" t="s">
        <v>1892</v>
      </c>
      <c r="L2540" s="50" t="s">
        <v>1893</v>
      </c>
      <c r="M2540" s="50" t="s">
        <v>5064</v>
      </c>
      <c r="N2540" s="50" t="s">
        <v>5064</v>
      </c>
      <c r="O2540" s="50" t="s">
        <v>5059</v>
      </c>
      <c r="P2540" s="50" t="s">
        <v>5064</v>
      </c>
    </row>
    <row r="2541" spans="1:16" ht="12.75" customHeight="1" x14ac:dyDescent="0.25">
      <c r="A2541" s="311">
        <v>2538</v>
      </c>
      <c r="B2541" s="311" t="s">
        <v>87</v>
      </c>
      <c r="C2541" s="311" t="s">
        <v>87</v>
      </c>
      <c r="D2541" s="311" t="s">
        <v>462</v>
      </c>
      <c r="E2541" s="337" t="s">
        <v>87</v>
      </c>
      <c r="F2541" s="311" t="s">
        <v>305</v>
      </c>
      <c r="G2541" s="311" t="s">
        <v>23</v>
      </c>
      <c r="H2541" s="311" t="s">
        <v>401</v>
      </c>
      <c r="I2541" s="311" t="s">
        <v>66</v>
      </c>
      <c r="J2541" s="50" t="s">
        <v>1892</v>
      </c>
      <c r="K2541" s="50" t="s">
        <v>1892</v>
      </c>
      <c r="L2541" s="50" t="s">
        <v>1893</v>
      </c>
      <c r="M2541" s="50" t="s">
        <v>5065</v>
      </c>
      <c r="N2541" s="50" t="s">
        <v>5065</v>
      </c>
      <c r="O2541" s="50" t="s">
        <v>5059</v>
      </c>
      <c r="P2541" s="50" t="s">
        <v>5065</v>
      </c>
    </row>
    <row r="2542" spans="1:16" ht="12.75" customHeight="1" x14ac:dyDescent="0.25">
      <c r="A2542" s="311">
        <v>2539</v>
      </c>
      <c r="B2542" s="311" t="s">
        <v>125</v>
      </c>
      <c r="C2542" s="311" t="s">
        <v>125</v>
      </c>
      <c r="D2542" s="311" t="s">
        <v>125</v>
      </c>
      <c r="E2542" s="337" t="s">
        <v>125</v>
      </c>
      <c r="F2542" s="311" t="s">
        <v>305</v>
      </c>
      <c r="G2542" s="311" t="s">
        <v>23</v>
      </c>
      <c r="H2542" s="311" t="s">
        <v>401</v>
      </c>
      <c r="I2542" s="311" t="s">
        <v>66</v>
      </c>
      <c r="J2542" s="50" t="s">
        <v>1892</v>
      </c>
      <c r="K2542" s="50" t="s">
        <v>1892</v>
      </c>
      <c r="L2542" s="50" t="s">
        <v>1893</v>
      </c>
      <c r="M2542" s="50" t="s">
        <v>5066</v>
      </c>
      <c r="N2542" s="50" t="s">
        <v>5066</v>
      </c>
      <c r="O2542" s="50" t="s">
        <v>5066</v>
      </c>
      <c r="P2542" s="50" t="s">
        <v>5066</v>
      </c>
    </row>
    <row r="2543" spans="1:16" ht="12.75" customHeight="1" x14ac:dyDescent="0.25">
      <c r="A2543" s="311">
        <v>2540</v>
      </c>
      <c r="B2543" s="311" t="s">
        <v>134</v>
      </c>
      <c r="C2543" s="311" t="s">
        <v>134</v>
      </c>
      <c r="D2543" s="311" t="s">
        <v>134</v>
      </c>
      <c r="E2543" s="337" t="s">
        <v>134</v>
      </c>
      <c r="F2543" s="311" t="s">
        <v>305</v>
      </c>
      <c r="G2543" s="311" t="s">
        <v>23</v>
      </c>
      <c r="H2543" s="311" t="s">
        <v>401</v>
      </c>
      <c r="I2543" s="311" t="s">
        <v>66</v>
      </c>
      <c r="J2543" s="50" t="s">
        <v>1892</v>
      </c>
      <c r="K2543" s="50" t="s">
        <v>1892</v>
      </c>
      <c r="L2543" s="50" t="s">
        <v>1893</v>
      </c>
      <c r="M2543" s="50" t="s">
        <v>5067</v>
      </c>
      <c r="N2543" s="50" t="s">
        <v>5067</v>
      </c>
      <c r="O2543" s="50" t="s">
        <v>5067</v>
      </c>
      <c r="P2543" s="50" t="s">
        <v>5067</v>
      </c>
    </row>
    <row r="2544" spans="1:16" ht="12.75" customHeight="1" x14ac:dyDescent="0.25">
      <c r="A2544" s="311">
        <v>2541</v>
      </c>
      <c r="B2544" s="311" t="s">
        <v>141</v>
      </c>
      <c r="C2544" s="311" t="s">
        <v>141</v>
      </c>
      <c r="D2544" s="311" t="s">
        <v>141</v>
      </c>
      <c r="E2544" s="337" t="s">
        <v>141</v>
      </c>
      <c r="F2544" s="311" t="s">
        <v>305</v>
      </c>
      <c r="G2544" s="311" t="s">
        <v>23</v>
      </c>
      <c r="H2544" s="311" t="s">
        <v>401</v>
      </c>
      <c r="I2544" s="311" t="s">
        <v>66</v>
      </c>
      <c r="J2544" s="50" t="s">
        <v>1892</v>
      </c>
      <c r="K2544" s="50" t="s">
        <v>1892</v>
      </c>
      <c r="L2544" s="50" t="s">
        <v>1893</v>
      </c>
      <c r="M2544" s="50" t="s">
        <v>5068</v>
      </c>
      <c r="N2544" s="50" t="s">
        <v>5068</v>
      </c>
      <c r="O2544" s="50" t="s">
        <v>5068</v>
      </c>
      <c r="P2544" s="50" t="s">
        <v>5068</v>
      </c>
    </row>
    <row r="2545" spans="1:16" ht="12.75" customHeight="1" x14ac:dyDescent="0.25">
      <c r="A2545" s="311">
        <v>2542</v>
      </c>
      <c r="B2545" s="311" t="s">
        <v>69</v>
      </c>
      <c r="C2545" s="311" t="s">
        <v>69</v>
      </c>
      <c r="D2545" s="311" t="s">
        <v>69</v>
      </c>
      <c r="E2545" s="337" t="s">
        <v>69</v>
      </c>
      <c r="F2545" s="311" t="s">
        <v>305</v>
      </c>
      <c r="G2545" s="311" t="s">
        <v>23</v>
      </c>
      <c r="H2545" s="311" t="s">
        <v>401</v>
      </c>
      <c r="I2545" s="311" t="s">
        <v>66</v>
      </c>
      <c r="J2545" s="50" t="s">
        <v>1892</v>
      </c>
      <c r="K2545" s="50" t="s">
        <v>1892</v>
      </c>
      <c r="L2545" s="50" t="s">
        <v>1893</v>
      </c>
      <c r="M2545" s="50" t="s">
        <v>5069</v>
      </c>
      <c r="N2545" s="50" t="s">
        <v>5069</v>
      </c>
      <c r="O2545" s="50" t="s">
        <v>5069</v>
      </c>
      <c r="P2545" s="50" t="s">
        <v>5069</v>
      </c>
    </row>
    <row r="2546" spans="1:16" ht="12.75" customHeight="1" x14ac:dyDescent="0.25">
      <c r="A2546" s="311">
        <v>2543</v>
      </c>
      <c r="B2546" s="311" t="s">
        <v>84</v>
      </c>
      <c r="C2546" s="311" t="s">
        <v>462</v>
      </c>
      <c r="D2546" s="311" t="s">
        <v>462</v>
      </c>
      <c r="E2546" s="337" t="s">
        <v>462</v>
      </c>
      <c r="F2546" s="311" t="s">
        <v>305</v>
      </c>
      <c r="G2546" s="311" t="s">
        <v>237</v>
      </c>
      <c r="H2546" s="311" t="s">
        <v>401</v>
      </c>
      <c r="I2546" s="311" t="s">
        <v>66</v>
      </c>
      <c r="J2546" s="50" t="s">
        <v>1892</v>
      </c>
      <c r="K2546" s="50" t="s">
        <v>1892</v>
      </c>
      <c r="L2546" s="50" t="s">
        <v>1893</v>
      </c>
      <c r="M2546" s="50" t="s">
        <v>5070</v>
      </c>
      <c r="N2546" s="50" t="s">
        <v>5071</v>
      </c>
      <c r="O2546" s="50" t="s">
        <v>5071</v>
      </c>
      <c r="P2546" s="50" t="s">
        <v>5071</v>
      </c>
    </row>
    <row r="2547" spans="1:16" ht="12.75" customHeight="1" x14ac:dyDescent="0.25">
      <c r="A2547" s="311">
        <v>2544</v>
      </c>
      <c r="B2547" s="311" t="s">
        <v>123</v>
      </c>
      <c r="C2547" s="311" t="s">
        <v>462</v>
      </c>
      <c r="D2547" s="311" t="s">
        <v>462</v>
      </c>
      <c r="E2547" s="337" t="s">
        <v>462</v>
      </c>
      <c r="F2547" s="311" t="s">
        <v>305</v>
      </c>
      <c r="G2547" s="311" t="s">
        <v>237</v>
      </c>
      <c r="H2547" s="311" t="s">
        <v>401</v>
      </c>
      <c r="I2547" s="311" t="s">
        <v>66</v>
      </c>
      <c r="J2547" s="50" t="s">
        <v>1892</v>
      </c>
      <c r="K2547" s="50" t="s">
        <v>1892</v>
      </c>
      <c r="L2547" s="50" t="s">
        <v>1893</v>
      </c>
      <c r="M2547" s="50" t="s">
        <v>5072</v>
      </c>
      <c r="N2547" s="50" t="s">
        <v>5071</v>
      </c>
      <c r="O2547" s="50" t="s">
        <v>5071</v>
      </c>
      <c r="P2547" s="50" t="s">
        <v>5071</v>
      </c>
    </row>
    <row r="2548" spans="1:16" ht="12.75" customHeight="1" x14ac:dyDescent="0.25">
      <c r="A2548" s="311">
        <v>2545</v>
      </c>
      <c r="B2548" s="311" t="s">
        <v>75</v>
      </c>
      <c r="C2548" s="311" t="s">
        <v>462</v>
      </c>
      <c r="D2548" s="311" t="s">
        <v>462</v>
      </c>
      <c r="E2548" s="337" t="s">
        <v>462</v>
      </c>
      <c r="F2548" s="311" t="s">
        <v>305</v>
      </c>
      <c r="G2548" s="311" t="s">
        <v>237</v>
      </c>
      <c r="H2548" s="311" t="s">
        <v>401</v>
      </c>
      <c r="I2548" s="311" t="s">
        <v>66</v>
      </c>
      <c r="J2548" s="50" t="s">
        <v>1892</v>
      </c>
      <c r="K2548" s="50" t="s">
        <v>1892</v>
      </c>
      <c r="L2548" s="50" t="s">
        <v>1893</v>
      </c>
      <c r="M2548" s="50" t="s">
        <v>5073</v>
      </c>
      <c r="N2548" s="50" t="s">
        <v>5071</v>
      </c>
      <c r="O2548" s="50" t="s">
        <v>5071</v>
      </c>
      <c r="P2548" s="50" t="s">
        <v>5071</v>
      </c>
    </row>
    <row r="2549" spans="1:16" ht="12.75" customHeight="1" x14ac:dyDescent="0.25">
      <c r="A2549" s="311">
        <v>2546</v>
      </c>
      <c r="B2549" s="311" t="s">
        <v>63</v>
      </c>
      <c r="C2549" s="311" t="s">
        <v>63</v>
      </c>
      <c r="D2549" s="311" t="s">
        <v>462</v>
      </c>
      <c r="E2549" s="337" t="s">
        <v>63</v>
      </c>
      <c r="F2549" s="311" t="s">
        <v>305</v>
      </c>
      <c r="G2549" s="311" t="s">
        <v>237</v>
      </c>
      <c r="H2549" s="311" t="s">
        <v>401</v>
      </c>
      <c r="I2549" s="311" t="s">
        <v>66</v>
      </c>
      <c r="J2549" s="50" t="s">
        <v>1892</v>
      </c>
      <c r="K2549" s="50" t="s">
        <v>1892</v>
      </c>
      <c r="L2549" s="50" t="s">
        <v>1893</v>
      </c>
      <c r="M2549" s="50" t="s">
        <v>5074</v>
      </c>
      <c r="N2549" s="50" t="s">
        <v>5074</v>
      </c>
      <c r="O2549" s="50" t="s">
        <v>5071</v>
      </c>
      <c r="P2549" s="50" t="s">
        <v>5074</v>
      </c>
    </row>
    <row r="2550" spans="1:16" ht="12.75" customHeight="1" x14ac:dyDescent="0.25">
      <c r="A2550" s="311">
        <v>2547</v>
      </c>
      <c r="B2550" s="311" t="s">
        <v>140</v>
      </c>
      <c r="C2550" s="311" t="s">
        <v>140</v>
      </c>
      <c r="D2550" s="311" t="s">
        <v>462</v>
      </c>
      <c r="E2550" s="337" t="s">
        <v>140</v>
      </c>
      <c r="F2550" s="311" t="s">
        <v>305</v>
      </c>
      <c r="G2550" s="311" t="s">
        <v>237</v>
      </c>
      <c r="H2550" s="311" t="s">
        <v>401</v>
      </c>
      <c r="I2550" s="311" t="s">
        <v>66</v>
      </c>
      <c r="J2550" s="50" t="s">
        <v>1892</v>
      </c>
      <c r="K2550" s="50" t="s">
        <v>1892</v>
      </c>
      <c r="L2550" s="50" t="s">
        <v>1893</v>
      </c>
      <c r="M2550" s="50" t="s">
        <v>5075</v>
      </c>
      <c r="N2550" s="50" t="s">
        <v>5075</v>
      </c>
      <c r="O2550" s="50" t="s">
        <v>5071</v>
      </c>
      <c r="P2550" s="50" t="s">
        <v>5075</v>
      </c>
    </row>
    <row r="2551" spans="1:16" ht="12.75" customHeight="1" x14ac:dyDescent="0.25">
      <c r="A2551" s="311">
        <v>2548</v>
      </c>
      <c r="B2551" s="311" t="s">
        <v>121</v>
      </c>
      <c r="C2551" s="311" t="s">
        <v>121</v>
      </c>
      <c r="D2551" s="311" t="s">
        <v>462</v>
      </c>
      <c r="E2551" s="337" t="s">
        <v>121</v>
      </c>
      <c r="F2551" s="311" t="s">
        <v>305</v>
      </c>
      <c r="G2551" s="311" t="s">
        <v>237</v>
      </c>
      <c r="H2551" s="311" t="s">
        <v>401</v>
      </c>
      <c r="I2551" s="311" t="s">
        <v>66</v>
      </c>
      <c r="J2551" s="50" t="s">
        <v>1892</v>
      </c>
      <c r="K2551" s="50" t="s">
        <v>1892</v>
      </c>
      <c r="L2551" s="50" t="s">
        <v>1893</v>
      </c>
      <c r="M2551" s="50" t="s">
        <v>5076</v>
      </c>
      <c r="N2551" s="50" t="s">
        <v>5076</v>
      </c>
      <c r="O2551" s="50" t="s">
        <v>5071</v>
      </c>
      <c r="P2551" s="50" t="s">
        <v>5076</v>
      </c>
    </row>
    <row r="2552" spans="1:16" ht="12.75" customHeight="1" x14ac:dyDescent="0.25">
      <c r="A2552" s="311">
        <v>2549</v>
      </c>
      <c r="B2552" s="311" t="s">
        <v>87</v>
      </c>
      <c r="C2552" s="311" t="s">
        <v>87</v>
      </c>
      <c r="D2552" s="311" t="s">
        <v>462</v>
      </c>
      <c r="E2552" s="337" t="s">
        <v>87</v>
      </c>
      <c r="F2552" s="311" t="s">
        <v>305</v>
      </c>
      <c r="G2552" s="311" t="s">
        <v>237</v>
      </c>
      <c r="H2552" s="311" t="s">
        <v>401</v>
      </c>
      <c r="I2552" s="311" t="s">
        <v>66</v>
      </c>
      <c r="J2552" s="50" t="s">
        <v>1892</v>
      </c>
      <c r="K2552" s="50" t="s">
        <v>1892</v>
      </c>
      <c r="L2552" s="50" t="s">
        <v>1893</v>
      </c>
      <c r="M2552" s="50" t="s">
        <v>5077</v>
      </c>
      <c r="N2552" s="50" t="s">
        <v>5077</v>
      </c>
      <c r="O2552" s="50" t="s">
        <v>5071</v>
      </c>
      <c r="P2552" s="50" t="s">
        <v>5077</v>
      </c>
    </row>
    <row r="2553" spans="1:16" ht="12.75" customHeight="1" x14ac:dyDescent="0.25">
      <c r="A2553" s="311">
        <v>2550</v>
      </c>
      <c r="B2553" s="311" t="s">
        <v>125</v>
      </c>
      <c r="C2553" s="311" t="s">
        <v>125</v>
      </c>
      <c r="D2553" s="311" t="s">
        <v>125</v>
      </c>
      <c r="E2553" s="337" t="s">
        <v>125</v>
      </c>
      <c r="F2553" s="311" t="s">
        <v>305</v>
      </c>
      <c r="G2553" s="311" t="s">
        <v>237</v>
      </c>
      <c r="H2553" s="311" t="s">
        <v>401</v>
      </c>
      <c r="I2553" s="311" t="s">
        <v>66</v>
      </c>
      <c r="J2553" s="50" t="s">
        <v>1892</v>
      </c>
      <c r="K2553" s="50" t="s">
        <v>1892</v>
      </c>
      <c r="L2553" s="50" t="s">
        <v>1893</v>
      </c>
      <c r="M2553" s="50" t="s">
        <v>5078</v>
      </c>
      <c r="N2553" s="50" t="s">
        <v>5078</v>
      </c>
      <c r="O2553" s="50" t="s">
        <v>5078</v>
      </c>
      <c r="P2553" s="50" t="s">
        <v>5078</v>
      </c>
    </row>
    <row r="2554" spans="1:16" ht="12.75" customHeight="1" x14ac:dyDescent="0.25">
      <c r="A2554" s="311">
        <v>2551</v>
      </c>
      <c r="B2554" s="311" t="s">
        <v>134</v>
      </c>
      <c r="C2554" s="311" t="s">
        <v>134</v>
      </c>
      <c r="D2554" s="311" t="s">
        <v>134</v>
      </c>
      <c r="E2554" s="337" t="s">
        <v>134</v>
      </c>
      <c r="F2554" s="311" t="s">
        <v>305</v>
      </c>
      <c r="G2554" s="311" t="s">
        <v>237</v>
      </c>
      <c r="H2554" s="311" t="s">
        <v>401</v>
      </c>
      <c r="I2554" s="311" t="s">
        <v>66</v>
      </c>
      <c r="J2554" s="50" t="s">
        <v>1892</v>
      </c>
      <c r="K2554" s="50" t="s">
        <v>1892</v>
      </c>
      <c r="L2554" s="50" t="s">
        <v>1893</v>
      </c>
      <c r="M2554" s="50" t="s">
        <v>5079</v>
      </c>
      <c r="N2554" s="50" t="s">
        <v>5079</v>
      </c>
      <c r="O2554" s="50" t="s">
        <v>5079</v>
      </c>
      <c r="P2554" s="50" t="s">
        <v>5079</v>
      </c>
    </row>
    <row r="2555" spans="1:16" ht="12.75" customHeight="1" x14ac:dyDescent="0.25">
      <c r="A2555" s="311">
        <v>2552</v>
      </c>
      <c r="B2555" s="311" t="s">
        <v>141</v>
      </c>
      <c r="C2555" s="311" t="s">
        <v>141</v>
      </c>
      <c r="D2555" s="311" t="s">
        <v>141</v>
      </c>
      <c r="E2555" s="337" t="s">
        <v>141</v>
      </c>
      <c r="F2555" s="311" t="s">
        <v>305</v>
      </c>
      <c r="G2555" s="311" t="s">
        <v>237</v>
      </c>
      <c r="H2555" s="311" t="s">
        <v>401</v>
      </c>
      <c r="I2555" s="311" t="s">
        <v>66</v>
      </c>
      <c r="J2555" s="50" t="s">
        <v>1892</v>
      </c>
      <c r="K2555" s="50" t="s">
        <v>1892</v>
      </c>
      <c r="L2555" s="50" t="s">
        <v>1893</v>
      </c>
      <c r="M2555" s="50" t="s">
        <v>5080</v>
      </c>
      <c r="N2555" s="50" t="s">
        <v>5080</v>
      </c>
      <c r="O2555" s="50" t="s">
        <v>5080</v>
      </c>
      <c r="P2555" s="50" t="s">
        <v>5080</v>
      </c>
    </row>
    <row r="2556" spans="1:16" ht="12.75" customHeight="1" x14ac:dyDescent="0.25">
      <c r="A2556" s="311">
        <v>2553</v>
      </c>
      <c r="B2556" s="311" t="s">
        <v>69</v>
      </c>
      <c r="C2556" s="311" t="s">
        <v>69</v>
      </c>
      <c r="D2556" s="311" t="s">
        <v>69</v>
      </c>
      <c r="E2556" s="337" t="s">
        <v>69</v>
      </c>
      <c r="F2556" s="311" t="s">
        <v>305</v>
      </c>
      <c r="G2556" s="311" t="s">
        <v>237</v>
      </c>
      <c r="H2556" s="311" t="s">
        <v>401</v>
      </c>
      <c r="I2556" s="311" t="s">
        <v>66</v>
      </c>
      <c r="J2556" s="50" t="s">
        <v>1892</v>
      </c>
      <c r="K2556" s="50" t="s">
        <v>1892</v>
      </c>
      <c r="L2556" s="50" t="s">
        <v>1893</v>
      </c>
      <c r="M2556" s="50" t="s">
        <v>5081</v>
      </c>
      <c r="N2556" s="50" t="s">
        <v>5081</v>
      </c>
      <c r="O2556" s="50" t="s">
        <v>5081</v>
      </c>
      <c r="P2556" s="50" t="s">
        <v>5081</v>
      </c>
    </row>
    <row r="2557" spans="1:16" ht="12.75" customHeight="1" x14ac:dyDescent="0.25">
      <c r="A2557" s="311">
        <v>2554</v>
      </c>
      <c r="B2557" s="311" t="s">
        <v>84</v>
      </c>
      <c r="C2557" s="311" t="s">
        <v>462</v>
      </c>
      <c r="D2557" s="311" t="s">
        <v>462</v>
      </c>
      <c r="E2557" s="337" t="s">
        <v>462</v>
      </c>
      <c r="F2557" s="311" t="s">
        <v>260</v>
      </c>
      <c r="G2557" s="311" t="s">
        <v>236</v>
      </c>
      <c r="H2557" s="311" t="s">
        <v>396</v>
      </c>
      <c r="I2557" s="311" t="s">
        <v>66</v>
      </c>
      <c r="J2557" s="50" t="s">
        <v>1892</v>
      </c>
      <c r="K2557" s="50" t="s">
        <v>1892</v>
      </c>
      <c r="L2557" s="50" t="s">
        <v>1893</v>
      </c>
      <c r="M2557" s="50" t="s">
        <v>5082</v>
      </c>
      <c r="N2557" s="50" t="s">
        <v>5083</v>
      </c>
      <c r="O2557" s="50" t="s">
        <v>5083</v>
      </c>
      <c r="P2557" s="50" t="s">
        <v>5083</v>
      </c>
    </row>
    <row r="2558" spans="1:16" ht="12.75" customHeight="1" x14ac:dyDescent="0.25">
      <c r="A2558" s="311">
        <v>2555</v>
      </c>
      <c r="B2558" s="311" t="s">
        <v>123</v>
      </c>
      <c r="C2558" s="311" t="s">
        <v>462</v>
      </c>
      <c r="D2558" s="311" t="s">
        <v>462</v>
      </c>
      <c r="E2558" s="337" t="s">
        <v>462</v>
      </c>
      <c r="F2558" s="311" t="s">
        <v>260</v>
      </c>
      <c r="G2558" s="311" t="s">
        <v>236</v>
      </c>
      <c r="H2558" s="311" t="s">
        <v>396</v>
      </c>
      <c r="I2558" s="311" t="s">
        <v>66</v>
      </c>
      <c r="J2558" s="50" t="s">
        <v>1892</v>
      </c>
      <c r="K2558" s="50" t="s">
        <v>1892</v>
      </c>
      <c r="L2558" s="50" t="s">
        <v>1893</v>
      </c>
      <c r="M2558" s="50" t="s">
        <v>5084</v>
      </c>
      <c r="N2558" s="50" t="s">
        <v>5083</v>
      </c>
      <c r="O2558" s="50" t="s">
        <v>5083</v>
      </c>
      <c r="P2558" s="50" t="s">
        <v>5083</v>
      </c>
    </row>
    <row r="2559" spans="1:16" ht="12.75" customHeight="1" x14ac:dyDescent="0.25">
      <c r="A2559" s="311">
        <v>2556</v>
      </c>
      <c r="B2559" s="311" t="s">
        <v>75</v>
      </c>
      <c r="C2559" s="311" t="s">
        <v>462</v>
      </c>
      <c r="D2559" s="311" t="s">
        <v>462</v>
      </c>
      <c r="E2559" s="337" t="s">
        <v>462</v>
      </c>
      <c r="F2559" s="311" t="s">
        <v>260</v>
      </c>
      <c r="G2559" s="311" t="s">
        <v>236</v>
      </c>
      <c r="H2559" s="311" t="s">
        <v>396</v>
      </c>
      <c r="I2559" s="311" t="s">
        <v>66</v>
      </c>
      <c r="J2559" s="50" t="s">
        <v>1892</v>
      </c>
      <c r="K2559" s="50" t="s">
        <v>1892</v>
      </c>
      <c r="L2559" s="50" t="s">
        <v>1893</v>
      </c>
      <c r="M2559" s="50" t="s">
        <v>5085</v>
      </c>
      <c r="N2559" s="50" t="s">
        <v>5083</v>
      </c>
      <c r="O2559" s="50" t="s">
        <v>5083</v>
      </c>
      <c r="P2559" s="50" t="s">
        <v>5083</v>
      </c>
    </row>
    <row r="2560" spans="1:16" ht="12.75" customHeight="1" x14ac:dyDescent="0.25">
      <c r="A2560" s="311">
        <v>2557</v>
      </c>
      <c r="B2560" s="311" t="s">
        <v>63</v>
      </c>
      <c r="C2560" s="311" t="s">
        <v>63</v>
      </c>
      <c r="D2560" s="311" t="s">
        <v>462</v>
      </c>
      <c r="E2560" s="337" t="s">
        <v>63</v>
      </c>
      <c r="F2560" s="311" t="s">
        <v>260</v>
      </c>
      <c r="G2560" s="311" t="s">
        <v>236</v>
      </c>
      <c r="H2560" s="311" t="s">
        <v>396</v>
      </c>
      <c r="I2560" s="311" t="s">
        <v>66</v>
      </c>
      <c r="J2560" s="50" t="s">
        <v>1892</v>
      </c>
      <c r="K2560" s="50" t="s">
        <v>1892</v>
      </c>
      <c r="L2560" s="50" t="s">
        <v>1893</v>
      </c>
      <c r="M2560" s="50" t="s">
        <v>5086</v>
      </c>
      <c r="N2560" s="50" t="s">
        <v>5086</v>
      </c>
      <c r="O2560" s="50" t="s">
        <v>5083</v>
      </c>
      <c r="P2560" s="50" t="s">
        <v>5086</v>
      </c>
    </row>
    <row r="2561" spans="1:16" ht="12.75" customHeight="1" x14ac:dyDescent="0.25">
      <c r="A2561" s="311">
        <v>2558</v>
      </c>
      <c r="B2561" s="311" t="s">
        <v>140</v>
      </c>
      <c r="C2561" s="311" t="s">
        <v>140</v>
      </c>
      <c r="D2561" s="311" t="s">
        <v>462</v>
      </c>
      <c r="E2561" s="337" t="s">
        <v>140</v>
      </c>
      <c r="F2561" s="311" t="s">
        <v>260</v>
      </c>
      <c r="G2561" s="311" t="s">
        <v>236</v>
      </c>
      <c r="H2561" s="311" t="s">
        <v>396</v>
      </c>
      <c r="I2561" s="311" t="s">
        <v>66</v>
      </c>
      <c r="J2561" s="50" t="s">
        <v>1892</v>
      </c>
      <c r="K2561" s="50" t="s">
        <v>1892</v>
      </c>
      <c r="L2561" s="50" t="s">
        <v>1893</v>
      </c>
      <c r="M2561" s="50" t="s">
        <v>5087</v>
      </c>
      <c r="N2561" s="50" t="s">
        <v>5087</v>
      </c>
      <c r="O2561" s="50" t="s">
        <v>5083</v>
      </c>
      <c r="P2561" s="50" t="s">
        <v>5087</v>
      </c>
    </row>
    <row r="2562" spans="1:16" ht="12.75" customHeight="1" x14ac:dyDescent="0.25">
      <c r="A2562" s="311">
        <v>2559</v>
      </c>
      <c r="B2562" s="311" t="s">
        <v>121</v>
      </c>
      <c r="C2562" s="311" t="s">
        <v>121</v>
      </c>
      <c r="D2562" s="311" t="s">
        <v>462</v>
      </c>
      <c r="E2562" s="337" t="s">
        <v>121</v>
      </c>
      <c r="F2562" s="311" t="s">
        <v>260</v>
      </c>
      <c r="G2562" s="311" t="s">
        <v>236</v>
      </c>
      <c r="H2562" s="311" t="s">
        <v>396</v>
      </c>
      <c r="I2562" s="311" t="s">
        <v>66</v>
      </c>
      <c r="J2562" s="50" t="s">
        <v>1892</v>
      </c>
      <c r="K2562" s="50" t="s">
        <v>1892</v>
      </c>
      <c r="L2562" s="50" t="s">
        <v>1893</v>
      </c>
      <c r="M2562" s="50" t="s">
        <v>5088</v>
      </c>
      <c r="N2562" s="50" t="s">
        <v>5088</v>
      </c>
      <c r="O2562" s="50" t="s">
        <v>5083</v>
      </c>
      <c r="P2562" s="50" t="s">
        <v>5088</v>
      </c>
    </row>
    <row r="2563" spans="1:16" ht="12.75" customHeight="1" x14ac:dyDescent="0.25">
      <c r="A2563" s="311">
        <v>2560</v>
      </c>
      <c r="B2563" s="311" t="s">
        <v>87</v>
      </c>
      <c r="C2563" s="311" t="s">
        <v>87</v>
      </c>
      <c r="D2563" s="311" t="s">
        <v>462</v>
      </c>
      <c r="E2563" s="337" t="s">
        <v>87</v>
      </c>
      <c r="F2563" s="311" t="s">
        <v>260</v>
      </c>
      <c r="G2563" s="311" t="s">
        <v>236</v>
      </c>
      <c r="H2563" s="311" t="s">
        <v>396</v>
      </c>
      <c r="I2563" s="311" t="s">
        <v>66</v>
      </c>
      <c r="J2563" s="50" t="s">
        <v>1892</v>
      </c>
      <c r="K2563" s="50" t="s">
        <v>1892</v>
      </c>
      <c r="L2563" s="50" t="s">
        <v>1893</v>
      </c>
      <c r="M2563" s="50" t="s">
        <v>5089</v>
      </c>
      <c r="N2563" s="50" t="s">
        <v>5089</v>
      </c>
      <c r="O2563" s="50" t="s">
        <v>5083</v>
      </c>
      <c r="P2563" s="50" t="s">
        <v>5089</v>
      </c>
    </row>
    <row r="2564" spans="1:16" ht="12.75" customHeight="1" x14ac:dyDescent="0.25">
      <c r="A2564" s="311">
        <v>2561</v>
      </c>
      <c r="B2564" s="311" t="s">
        <v>125</v>
      </c>
      <c r="C2564" s="311" t="s">
        <v>125</v>
      </c>
      <c r="D2564" s="311" t="s">
        <v>125</v>
      </c>
      <c r="E2564" s="337" t="s">
        <v>125</v>
      </c>
      <c r="F2564" s="311" t="s">
        <v>260</v>
      </c>
      <c r="G2564" s="311" t="s">
        <v>236</v>
      </c>
      <c r="H2564" s="311" t="s">
        <v>396</v>
      </c>
      <c r="I2564" s="311" t="s">
        <v>66</v>
      </c>
      <c r="J2564" s="50" t="s">
        <v>1892</v>
      </c>
      <c r="K2564" s="50" t="s">
        <v>1892</v>
      </c>
      <c r="L2564" s="50" t="s">
        <v>1893</v>
      </c>
      <c r="M2564" s="50" t="s">
        <v>5090</v>
      </c>
      <c r="N2564" s="50" t="s">
        <v>5090</v>
      </c>
      <c r="O2564" s="50" t="s">
        <v>5090</v>
      </c>
      <c r="P2564" s="50" t="s">
        <v>5090</v>
      </c>
    </row>
    <row r="2565" spans="1:16" ht="12.75" customHeight="1" x14ac:dyDescent="0.25">
      <c r="A2565" s="311">
        <v>2562</v>
      </c>
      <c r="B2565" s="311" t="s">
        <v>134</v>
      </c>
      <c r="C2565" s="311" t="s">
        <v>134</v>
      </c>
      <c r="D2565" s="311" t="s">
        <v>134</v>
      </c>
      <c r="E2565" s="337" t="s">
        <v>134</v>
      </c>
      <c r="F2565" s="311" t="s">
        <v>260</v>
      </c>
      <c r="G2565" s="311" t="s">
        <v>236</v>
      </c>
      <c r="H2565" s="311" t="s">
        <v>396</v>
      </c>
      <c r="I2565" s="311" t="s">
        <v>66</v>
      </c>
      <c r="J2565" s="50" t="s">
        <v>1892</v>
      </c>
      <c r="K2565" s="50" t="s">
        <v>1892</v>
      </c>
      <c r="L2565" s="50" t="s">
        <v>1893</v>
      </c>
      <c r="M2565" s="50" t="s">
        <v>5091</v>
      </c>
      <c r="N2565" s="50" t="s">
        <v>5091</v>
      </c>
      <c r="O2565" s="50" t="s">
        <v>5091</v>
      </c>
      <c r="P2565" s="50" t="s">
        <v>5091</v>
      </c>
    </row>
    <row r="2566" spans="1:16" ht="12.75" customHeight="1" x14ac:dyDescent="0.25">
      <c r="A2566" s="311">
        <v>2563</v>
      </c>
      <c r="B2566" s="311" t="s">
        <v>141</v>
      </c>
      <c r="C2566" s="311" t="s">
        <v>141</v>
      </c>
      <c r="D2566" s="311" t="s">
        <v>141</v>
      </c>
      <c r="E2566" s="337" t="s">
        <v>141</v>
      </c>
      <c r="F2566" s="311" t="s">
        <v>260</v>
      </c>
      <c r="G2566" s="311" t="s">
        <v>236</v>
      </c>
      <c r="H2566" s="311" t="s">
        <v>396</v>
      </c>
      <c r="I2566" s="311" t="s">
        <v>66</v>
      </c>
      <c r="J2566" s="50" t="s">
        <v>1892</v>
      </c>
      <c r="K2566" s="50" t="s">
        <v>1892</v>
      </c>
      <c r="L2566" s="50" t="s">
        <v>1893</v>
      </c>
      <c r="M2566" s="50" t="s">
        <v>5092</v>
      </c>
      <c r="N2566" s="50" t="s">
        <v>5092</v>
      </c>
      <c r="O2566" s="50" t="s">
        <v>5092</v>
      </c>
      <c r="P2566" s="50" t="s">
        <v>5092</v>
      </c>
    </row>
    <row r="2567" spans="1:16" ht="12.75" customHeight="1" x14ac:dyDescent="0.25">
      <c r="A2567" s="311">
        <v>2564</v>
      </c>
      <c r="B2567" s="311" t="s">
        <v>69</v>
      </c>
      <c r="C2567" s="311" t="s">
        <v>69</v>
      </c>
      <c r="D2567" s="311" t="s">
        <v>69</v>
      </c>
      <c r="E2567" s="337" t="s">
        <v>69</v>
      </c>
      <c r="F2567" s="311" t="s">
        <v>260</v>
      </c>
      <c r="G2567" s="311" t="s">
        <v>236</v>
      </c>
      <c r="H2567" s="311" t="s">
        <v>396</v>
      </c>
      <c r="I2567" s="311" t="s">
        <v>66</v>
      </c>
      <c r="J2567" s="50" t="s">
        <v>1892</v>
      </c>
      <c r="K2567" s="50" t="s">
        <v>1892</v>
      </c>
      <c r="L2567" s="50" t="s">
        <v>1893</v>
      </c>
      <c r="M2567" s="50" t="s">
        <v>5093</v>
      </c>
      <c r="N2567" s="50" t="s">
        <v>5093</v>
      </c>
      <c r="O2567" s="50" t="s">
        <v>5093</v>
      </c>
      <c r="P2567" s="50" t="s">
        <v>5093</v>
      </c>
    </row>
    <row r="2568" spans="1:16" ht="12.75" customHeight="1" x14ac:dyDescent="0.25">
      <c r="A2568" s="311">
        <v>2565</v>
      </c>
      <c r="B2568" s="311" t="s">
        <v>84</v>
      </c>
      <c r="C2568" s="311" t="s">
        <v>462</v>
      </c>
      <c r="D2568" s="311" t="s">
        <v>462</v>
      </c>
      <c r="E2568" s="337" t="s">
        <v>462</v>
      </c>
      <c r="F2568" s="311" t="s">
        <v>260</v>
      </c>
      <c r="G2568" s="311" t="s">
        <v>23</v>
      </c>
      <c r="H2568" s="311" t="s">
        <v>396</v>
      </c>
      <c r="I2568" s="311" t="s">
        <v>66</v>
      </c>
      <c r="J2568" s="50" t="s">
        <v>1892</v>
      </c>
      <c r="K2568" s="50" t="s">
        <v>1892</v>
      </c>
      <c r="L2568" s="50" t="s">
        <v>1893</v>
      </c>
      <c r="M2568" s="50" t="s">
        <v>5094</v>
      </c>
      <c r="N2568" s="50" t="s">
        <v>5095</v>
      </c>
      <c r="O2568" s="50" t="s">
        <v>5095</v>
      </c>
      <c r="P2568" s="50" t="s">
        <v>5095</v>
      </c>
    </row>
    <row r="2569" spans="1:16" ht="12.75" customHeight="1" x14ac:dyDescent="0.25">
      <c r="A2569" s="311">
        <v>2566</v>
      </c>
      <c r="B2569" s="311" t="s">
        <v>123</v>
      </c>
      <c r="C2569" s="311" t="s">
        <v>462</v>
      </c>
      <c r="D2569" s="311" t="s">
        <v>462</v>
      </c>
      <c r="E2569" s="337" t="s">
        <v>462</v>
      </c>
      <c r="F2569" s="311" t="s">
        <v>260</v>
      </c>
      <c r="G2569" s="311" t="s">
        <v>23</v>
      </c>
      <c r="H2569" s="311" t="s">
        <v>396</v>
      </c>
      <c r="I2569" s="311" t="s">
        <v>66</v>
      </c>
      <c r="J2569" s="50" t="s">
        <v>1892</v>
      </c>
      <c r="K2569" s="50" t="s">
        <v>1892</v>
      </c>
      <c r="L2569" s="50" t="s">
        <v>1893</v>
      </c>
      <c r="M2569" s="50" t="s">
        <v>5096</v>
      </c>
      <c r="N2569" s="50" t="s">
        <v>5095</v>
      </c>
      <c r="O2569" s="50" t="s">
        <v>5095</v>
      </c>
      <c r="P2569" s="50" t="s">
        <v>5095</v>
      </c>
    </row>
    <row r="2570" spans="1:16" ht="12.75" customHeight="1" x14ac:dyDescent="0.25">
      <c r="A2570" s="311">
        <v>2567</v>
      </c>
      <c r="B2570" s="311" t="s">
        <v>75</v>
      </c>
      <c r="C2570" s="311" t="s">
        <v>462</v>
      </c>
      <c r="D2570" s="311" t="s">
        <v>462</v>
      </c>
      <c r="E2570" s="337" t="s">
        <v>462</v>
      </c>
      <c r="F2570" s="311" t="s">
        <v>260</v>
      </c>
      <c r="G2570" s="311" t="s">
        <v>23</v>
      </c>
      <c r="H2570" s="311" t="s">
        <v>396</v>
      </c>
      <c r="I2570" s="311" t="s">
        <v>66</v>
      </c>
      <c r="J2570" s="50" t="s">
        <v>1892</v>
      </c>
      <c r="K2570" s="50" t="s">
        <v>1892</v>
      </c>
      <c r="L2570" s="50" t="s">
        <v>1893</v>
      </c>
      <c r="M2570" s="50" t="s">
        <v>5097</v>
      </c>
      <c r="N2570" s="50" t="s">
        <v>5095</v>
      </c>
      <c r="O2570" s="50" t="s">
        <v>5095</v>
      </c>
      <c r="P2570" s="50" t="s">
        <v>5095</v>
      </c>
    </row>
    <row r="2571" spans="1:16" ht="12.75" customHeight="1" x14ac:dyDescent="0.25">
      <c r="A2571" s="311">
        <v>2568</v>
      </c>
      <c r="B2571" s="311" t="s">
        <v>63</v>
      </c>
      <c r="C2571" s="311" t="s">
        <v>63</v>
      </c>
      <c r="D2571" s="311" t="s">
        <v>462</v>
      </c>
      <c r="E2571" s="337" t="s">
        <v>63</v>
      </c>
      <c r="F2571" s="311" t="s">
        <v>260</v>
      </c>
      <c r="G2571" s="311" t="s">
        <v>23</v>
      </c>
      <c r="H2571" s="311" t="s">
        <v>396</v>
      </c>
      <c r="I2571" s="311" t="s">
        <v>66</v>
      </c>
      <c r="J2571" s="50" t="s">
        <v>1892</v>
      </c>
      <c r="K2571" s="50" t="s">
        <v>1892</v>
      </c>
      <c r="L2571" s="50" t="s">
        <v>1893</v>
      </c>
      <c r="M2571" s="50" t="s">
        <v>5098</v>
      </c>
      <c r="N2571" s="50" t="s">
        <v>5098</v>
      </c>
      <c r="O2571" s="50" t="s">
        <v>5095</v>
      </c>
      <c r="P2571" s="50" t="s">
        <v>5098</v>
      </c>
    </row>
    <row r="2572" spans="1:16" ht="12.75" customHeight="1" x14ac:dyDescent="0.25">
      <c r="A2572" s="311">
        <v>2569</v>
      </c>
      <c r="B2572" s="311" t="s">
        <v>140</v>
      </c>
      <c r="C2572" s="311" t="s">
        <v>140</v>
      </c>
      <c r="D2572" s="311" t="s">
        <v>462</v>
      </c>
      <c r="E2572" s="337" t="s">
        <v>140</v>
      </c>
      <c r="F2572" s="311" t="s">
        <v>260</v>
      </c>
      <c r="G2572" s="311" t="s">
        <v>23</v>
      </c>
      <c r="H2572" s="311" t="s">
        <v>396</v>
      </c>
      <c r="I2572" s="311" t="s">
        <v>66</v>
      </c>
      <c r="J2572" s="50" t="s">
        <v>1892</v>
      </c>
      <c r="K2572" s="50" t="s">
        <v>1892</v>
      </c>
      <c r="L2572" s="50" t="s">
        <v>1893</v>
      </c>
      <c r="M2572" s="50" t="s">
        <v>5099</v>
      </c>
      <c r="N2572" s="50" t="s">
        <v>5099</v>
      </c>
      <c r="O2572" s="50" t="s">
        <v>5095</v>
      </c>
      <c r="P2572" s="50" t="s">
        <v>5099</v>
      </c>
    </row>
    <row r="2573" spans="1:16" ht="12.75" customHeight="1" x14ac:dyDescent="0.25">
      <c r="A2573" s="311">
        <v>2570</v>
      </c>
      <c r="B2573" s="311" t="s">
        <v>121</v>
      </c>
      <c r="C2573" s="311" t="s">
        <v>121</v>
      </c>
      <c r="D2573" s="311" t="s">
        <v>462</v>
      </c>
      <c r="E2573" s="337" t="s">
        <v>121</v>
      </c>
      <c r="F2573" s="311" t="s">
        <v>260</v>
      </c>
      <c r="G2573" s="311" t="s">
        <v>23</v>
      </c>
      <c r="H2573" s="311" t="s">
        <v>396</v>
      </c>
      <c r="I2573" s="311" t="s">
        <v>66</v>
      </c>
      <c r="J2573" s="50" t="s">
        <v>1892</v>
      </c>
      <c r="K2573" s="50" t="s">
        <v>1892</v>
      </c>
      <c r="L2573" s="50" t="s">
        <v>1893</v>
      </c>
      <c r="M2573" s="50" t="s">
        <v>5100</v>
      </c>
      <c r="N2573" s="50" t="s">
        <v>5100</v>
      </c>
      <c r="O2573" s="50" t="s">
        <v>5095</v>
      </c>
      <c r="P2573" s="50" t="s">
        <v>5100</v>
      </c>
    </row>
    <row r="2574" spans="1:16" ht="12.75" customHeight="1" x14ac:dyDescent="0.25">
      <c r="A2574" s="311">
        <v>2571</v>
      </c>
      <c r="B2574" s="311" t="s">
        <v>87</v>
      </c>
      <c r="C2574" s="311" t="s">
        <v>87</v>
      </c>
      <c r="D2574" s="311" t="s">
        <v>462</v>
      </c>
      <c r="E2574" s="337" t="s">
        <v>87</v>
      </c>
      <c r="F2574" s="311" t="s">
        <v>260</v>
      </c>
      <c r="G2574" s="311" t="s">
        <v>23</v>
      </c>
      <c r="H2574" s="311" t="s">
        <v>396</v>
      </c>
      <c r="I2574" s="311" t="s">
        <v>66</v>
      </c>
      <c r="J2574" s="50" t="s">
        <v>1892</v>
      </c>
      <c r="K2574" s="50" t="s">
        <v>1892</v>
      </c>
      <c r="L2574" s="50" t="s">
        <v>1893</v>
      </c>
      <c r="M2574" s="50" t="s">
        <v>5101</v>
      </c>
      <c r="N2574" s="50" t="s">
        <v>5101</v>
      </c>
      <c r="O2574" s="50" t="s">
        <v>5095</v>
      </c>
      <c r="P2574" s="50" t="s">
        <v>5101</v>
      </c>
    </row>
    <row r="2575" spans="1:16" ht="12.75" customHeight="1" x14ac:dyDescent="0.25">
      <c r="A2575" s="311">
        <v>2572</v>
      </c>
      <c r="B2575" s="311" t="s">
        <v>125</v>
      </c>
      <c r="C2575" s="311" t="s">
        <v>125</v>
      </c>
      <c r="D2575" s="311" t="s">
        <v>125</v>
      </c>
      <c r="E2575" s="337" t="s">
        <v>125</v>
      </c>
      <c r="F2575" s="311" t="s">
        <v>260</v>
      </c>
      <c r="G2575" s="311" t="s">
        <v>23</v>
      </c>
      <c r="H2575" s="311" t="s">
        <v>396</v>
      </c>
      <c r="I2575" s="311" t="s">
        <v>66</v>
      </c>
      <c r="J2575" s="50" t="s">
        <v>1892</v>
      </c>
      <c r="K2575" s="50" t="s">
        <v>1892</v>
      </c>
      <c r="L2575" s="50" t="s">
        <v>1893</v>
      </c>
      <c r="M2575" s="50" t="s">
        <v>5102</v>
      </c>
      <c r="N2575" s="50" t="s">
        <v>5102</v>
      </c>
      <c r="O2575" s="50" t="s">
        <v>5102</v>
      </c>
      <c r="P2575" s="50" t="s">
        <v>5102</v>
      </c>
    </row>
    <row r="2576" spans="1:16" ht="12.75" customHeight="1" x14ac:dyDescent="0.25">
      <c r="A2576" s="311">
        <v>2573</v>
      </c>
      <c r="B2576" s="311" t="s">
        <v>134</v>
      </c>
      <c r="C2576" s="311" t="s">
        <v>134</v>
      </c>
      <c r="D2576" s="311" t="s">
        <v>134</v>
      </c>
      <c r="E2576" s="337" t="s">
        <v>134</v>
      </c>
      <c r="F2576" s="311" t="s">
        <v>260</v>
      </c>
      <c r="G2576" s="311" t="s">
        <v>23</v>
      </c>
      <c r="H2576" s="311" t="s">
        <v>396</v>
      </c>
      <c r="I2576" s="311" t="s">
        <v>66</v>
      </c>
      <c r="J2576" s="50" t="s">
        <v>1892</v>
      </c>
      <c r="K2576" s="50" t="s">
        <v>1892</v>
      </c>
      <c r="L2576" s="50" t="s">
        <v>1893</v>
      </c>
      <c r="M2576" s="50" t="s">
        <v>5103</v>
      </c>
      <c r="N2576" s="50" t="s">
        <v>5103</v>
      </c>
      <c r="O2576" s="50" t="s">
        <v>5103</v>
      </c>
      <c r="P2576" s="50" t="s">
        <v>5103</v>
      </c>
    </row>
    <row r="2577" spans="1:16" ht="12.75" customHeight="1" x14ac:dyDescent="0.25">
      <c r="A2577" s="311">
        <v>2574</v>
      </c>
      <c r="B2577" s="311" t="s">
        <v>141</v>
      </c>
      <c r="C2577" s="311" t="s">
        <v>141</v>
      </c>
      <c r="D2577" s="311" t="s">
        <v>141</v>
      </c>
      <c r="E2577" s="337" t="s">
        <v>141</v>
      </c>
      <c r="F2577" s="311" t="s">
        <v>260</v>
      </c>
      <c r="G2577" s="311" t="s">
        <v>23</v>
      </c>
      <c r="H2577" s="311" t="s">
        <v>396</v>
      </c>
      <c r="I2577" s="311" t="s">
        <v>66</v>
      </c>
      <c r="J2577" s="50" t="s">
        <v>1892</v>
      </c>
      <c r="K2577" s="50" t="s">
        <v>1892</v>
      </c>
      <c r="L2577" s="50" t="s">
        <v>1893</v>
      </c>
      <c r="M2577" s="50" t="s">
        <v>5104</v>
      </c>
      <c r="N2577" s="50" t="s">
        <v>5104</v>
      </c>
      <c r="O2577" s="50" t="s">
        <v>5104</v>
      </c>
      <c r="P2577" s="50" t="s">
        <v>5104</v>
      </c>
    </row>
    <row r="2578" spans="1:16" ht="12.75" customHeight="1" x14ac:dyDescent="0.25">
      <c r="A2578" s="311">
        <v>2575</v>
      </c>
      <c r="B2578" s="311" t="s">
        <v>69</v>
      </c>
      <c r="C2578" s="311" t="s">
        <v>69</v>
      </c>
      <c r="D2578" s="311" t="s">
        <v>69</v>
      </c>
      <c r="E2578" s="337" t="s">
        <v>69</v>
      </c>
      <c r="F2578" s="311" t="s">
        <v>260</v>
      </c>
      <c r="G2578" s="311" t="s">
        <v>23</v>
      </c>
      <c r="H2578" s="311" t="s">
        <v>396</v>
      </c>
      <c r="I2578" s="311" t="s">
        <v>66</v>
      </c>
      <c r="J2578" s="50" t="s">
        <v>1892</v>
      </c>
      <c r="K2578" s="50" t="s">
        <v>1892</v>
      </c>
      <c r="L2578" s="50" t="s">
        <v>1893</v>
      </c>
      <c r="M2578" s="50" t="s">
        <v>5105</v>
      </c>
      <c r="N2578" s="50" t="s">
        <v>5105</v>
      </c>
      <c r="O2578" s="50" t="s">
        <v>5105</v>
      </c>
      <c r="P2578" s="50" t="s">
        <v>5105</v>
      </c>
    </row>
    <row r="2579" spans="1:16" ht="12.75" customHeight="1" x14ac:dyDescent="0.25">
      <c r="A2579" s="311">
        <v>2576</v>
      </c>
      <c r="B2579" s="311" t="s">
        <v>84</v>
      </c>
      <c r="C2579" s="311" t="s">
        <v>462</v>
      </c>
      <c r="D2579" s="311" t="s">
        <v>462</v>
      </c>
      <c r="E2579" s="337" t="s">
        <v>462</v>
      </c>
      <c r="F2579" s="311" t="s">
        <v>260</v>
      </c>
      <c r="G2579" s="311" t="s">
        <v>237</v>
      </c>
      <c r="H2579" s="311" t="s">
        <v>396</v>
      </c>
      <c r="I2579" s="311" t="s">
        <v>66</v>
      </c>
      <c r="J2579" s="50" t="s">
        <v>1892</v>
      </c>
      <c r="K2579" s="50" t="s">
        <v>1892</v>
      </c>
      <c r="L2579" s="50" t="s">
        <v>1893</v>
      </c>
      <c r="M2579" s="50" t="s">
        <v>5106</v>
      </c>
      <c r="N2579" s="50" t="s">
        <v>5107</v>
      </c>
      <c r="O2579" s="50" t="s">
        <v>5107</v>
      </c>
      <c r="P2579" s="50" t="s">
        <v>5107</v>
      </c>
    </row>
    <row r="2580" spans="1:16" ht="12.75" customHeight="1" x14ac:dyDescent="0.25">
      <c r="A2580" s="311">
        <v>2577</v>
      </c>
      <c r="B2580" s="311" t="s">
        <v>123</v>
      </c>
      <c r="C2580" s="311" t="s">
        <v>462</v>
      </c>
      <c r="D2580" s="311" t="s">
        <v>462</v>
      </c>
      <c r="E2580" s="337" t="s">
        <v>462</v>
      </c>
      <c r="F2580" s="311" t="s">
        <v>260</v>
      </c>
      <c r="G2580" s="311" t="s">
        <v>237</v>
      </c>
      <c r="H2580" s="311" t="s">
        <v>396</v>
      </c>
      <c r="I2580" s="311" t="s">
        <v>66</v>
      </c>
      <c r="J2580" s="50" t="s">
        <v>1892</v>
      </c>
      <c r="K2580" s="50" t="s">
        <v>1892</v>
      </c>
      <c r="L2580" s="50" t="s">
        <v>1893</v>
      </c>
      <c r="M2580" s="50" t="s">
        <v>5108</v>
      </c>
      <c r="N2580" s="50" t="s">
        <v>5107</v>
      </c>
      <c r="O2580" s="50" t="s">
        <v>5107</v>
      </c>
      <c r="P2580" s="50" t="s">
        <v>5107</v>
      </c>
    </row>
    <row r="2581" spans="1:16" ht="12.75" customHeight="1" x14ac:dyDescent="0.25">
      <c r="A2581" s="311">
        <v>2578</v>
      </c>
      <c r="B2581" s="311" t="s">
        <v>75</v>
      </c>
      <c r="C2581" s="311" t="s">
        <v>462</v>
      </c>
      <c r="D2581" s="311" t="s">
        <v>462</v>
      </c>
      <c r="E2581" s="337" t="s">
        <v>462</v>
      </c>
      <c r="F2581" s="311" t="s">
        <v>260</v>
      </c>
      <c r="G2581" s="311" t="s">
        <v>237</v>
      </c>
      <c r="H2581" s="311" t="s">
        <v>396</v>
      </c>
      <c r="I2581" s="311" t="s">
        <v>66</v>
      </c>
      <c r="J2581" s="50" t="s">
        <v>1892</v>
      </c>
      <c r="K2581" s="50" t="s">
        <v>1892</v>
      </c>
      <c r="L2581" s="50" t="s">
        <v>1893</v>
      </c>
      <c r="M2581" s="50" t="s">
        <v>5109</v>
      </c>
      <c r="N2581" s="50" t="s">
        <v>5107</v>
      </c>
      <c r="O2581" s="50" t="s">
        <v>5107</v>
      </c>
      <c r="P2581" s="50" t="s">
        <v>5107</v>
      </c>
    </row>
    <row r="2582" spans="1:16" ht="12.75" customHeight="1" x14ac:dyDescent="0.25">
      <c r="A2582" s="311">
        <v>2579</v>
      </c>
      <c r="B2582" s="311" t="s">
        <v>63</v>
      </c>
      <c r="C2582" s="311" t="s">
        <v>63</v>
      </c>
      <c r="D2582" s="311" t="s">
        <v>462</v>
      </c>
      <c r="E2582" s="337" t="s">
        <v>63</v>
      </c>
      <c r="F2582" s="311" t="s">
        <v>260</v>
      </c>
      <c r="G2582" s="311" t="s">
        <v>237</v>
      </c>
      <c r="H2582" s="311" t="s">
        <v>396</v>
      </c>
      <c r="I2582" s="311" t="s">
        <v>66</v>
      </c>
      <c r="J2582" s="50" t="s">
        <v>1892</v>
      </c>
      <c r="K2582" s="50" t="s">
        <v>1892</v>
      </c>
      <c r="L2582" s="50" t="s">
        <v>1893</v>
      </c>
      <c r="M2582" s="50" t="s">
        <v>5110</v>
      </c>
      <c r="N2582" s="50" t="s">
        <v>5110</v>
      </c>
      <c r="O2582" s="50" t="s">
        <v>5107</v>
      </c>
      <c r="P2582" s="50" t="s">
        <v>5110</v>
      </c>
    </row>
    <row r="2583" spans="1:16" ht="12.75" customHeight="1" x14ac:dyDescent="0.25">
      <c r="A2583" s="311">
        <v>2580</v>
      </c>
      <c r="B2583" s="311" t="s">
        <v>140</v>
      </c>
      <c r="C2583" s="311" t="s">
        <v>140</v>
      </c>
      <c r="D2583" s="311" t="s">
        <v>462</v>
      </c>
      <c r="E2583" s="337" t="s">
        <v>140</v>
      </c>
      <c r="F2583" s="311" t="s">
        <v>260</v>
      </c>
      <c r="G2583" s="311" t="s">
        <v>237</v>
      </c>
      <c r="H2583" s="311" t="s">
        <v>396</v>
      </c>
      <c r="I2583" s="311" t="s">
        <v>66</v>
      </c>
      <c r="J2583" s="50" t="s">
        <v>1892</v>
      </c>
      <c r="K2583" s="50" t="s">
        <v>1892</v>
      </c>
      <c r="L2583" s="50" t="s">
        <v>1893</v>
      </c>
      <c r="M2583" s="50" t="s">
        <v>5111</v>
      </c>
      <c r="N2583" s="50" t="s">
        <v>5111</v>
      </c>
      <c r="O2583" s="50" t="s">
        <v>5107</v>
      </c>
      <c r="P2583" s="50" t="s">
        <v>5111</v>
      </c>
    </row>
    <row r="2584" spans="1:16" ht="12.75" customHeight="1" x14ac:dyDescent="0.25">
      <c r="A2584" s="311">
        <v>2581</v>
      </c>
      <c r="B2584" s="311" t="s">
        <v>121</v>
      </c>
      <c r="C2584" s="311" t="s">
        <v>121</v>
      </c>
      <c r="D2584" s="311" t="s">
        <v>462</v>
      </c>
      <c r="E2584" s="337" t="s">
        <v>121</v>
      </c>
      <c r="F2584" s="311" t="s">
        <v>260</v>
      </c>
      <c r="G2584" s="311" t="s">
        <v>237</v>
      </c>
      <c r="H2584" s="311" t="s">
        <v>396</v>
      </c>
      <c r="I2584" s="311" t="s">
        <v>66</v>
      </c>
      <c r="J2584" s="50" t="s">
        <v>1892</v>
      </c>
      <c r="K2584" s="50" t="s">
        <v>1892</v>
      </c>
      <c r="L2584" s="50" t="s">
        <v>1893</v>
      </c>
      <c r="M2584" s="50" t="s">
        <v>5112</v>
      </c>
      <c r="N2584" s="50" t="s">
        <v>5112</v>
      </c>
      <c r="O2584" s="50" t="s">
        <v>5107</v>
      </c>
      <c r="P2584" s="50" t="s">
        <v>5112</v>
      </c>
    </row>
    <row r="2585" spans="1:16" ht="12.75" customHeight="1" x14ac:dyDescent="0.25">
      <c r="A2585" s="311">
        <v>2582</v>
      </c>
      <c r="B2585" s="311" t="s">
        <v>87</v>
      </c>
      <c r="C2585" s="311" t="s">
        <v>87</v>
      </c>
      <c r="D2585" s="311" t="s">
        <v>462</v>
      </c>
      <c r="E2585" s="337" t="s">
        <v>87</v>
      </c>
      <c r="F2585" s="311" t="s">
        <v>260</v>
      </c>
      <c r="G2585" s="311" t="s">
        <v>237</v>
      </c>
      <c r="H2585" s="311" t="s">
        <v>396</v>
      </c>
      <c r="I2585" s="311" t="s">
        <v>66</v>
      </c>
      <c r="J2585" s="50" t="s">
        <v>1892</v>
      </c>
      <c r="K2585" s="50" t="s">
        <v>1892</v>
      </c>
      <c r="L2585" s="50" t="s">
        <v>1893</v>
      </c>
      <c r="M2585" s="50" t="s">
        <v>5113</v>
      </c>
      <c r="N2585" s="50" t="s">
        <v>5113</v>
      </c>
      <c r="O2585" s="50" t="s">
        <v>5107</v>
      </c>
      <c r="P2585" s="50" t="s">
        <v>5113</v>
      </c>
    </row>
    <row r="2586" spans="1:16" ht="12.75" customHeight="1" x14ac:dyDescent="0.25">
      <c r="A2586" s="311">
        <v>2583</v>
      </c>
      <c r="B2586" s="311" t="s">
        <v>125</v>
      </c>
      <c r="C2586" s="311" t="s">
        <v>125</v>
      </c>
      <c r="D2586" s="311" t="s">
        <v>125</v>
      </c>
      <c r="E2586" s="337" t="s">
        <v>125</v>
      </c>
      <c r="F2586" s="311" t="s">
        <v>260</v>
      </c>
      <c r="G2586" s="311" t="s">
        <v>237</v>
      </c>
      <c r="H2586" s="311" t="s">
        <v>396</v>
      </c>
      <c r="I2586" s="311" t="s">
        <v>66</v>
      </c>
      <c r="J2586" s="50" t="s">
        <v>1892</v>
      </c>
      <c r="K2586" s="50" t="s">
        <v>1892</v>
      </c>
      <c r="L2586" s="50" t="s">
        <v>1893</v>
      </c>
      <c r="M2586" s="50" t="s">
        <v>5114</v>
      </c>
      <c r="N2586" s="50" t="s">
        <v>5114</v>
      </c>
      <c r="O2586" s="50" t="s">
        <v>5114</v>
      </c>
      <c r="P2586" s="50" t="s">
        <v>5114</v>
      </c>
    </row>
    <row r="2587" spans="1:16" ht="12.75" customHeight="1" x14ac:dyDescent="0.25">
      <c r="A2587" s="311">
        <v>2584</v>
      </c>
      <c r="B2587" s="311" t="s">
        <v>134</v>
      </c>
      <c r="C2587" s="311" t="s">
        <v>134</v>
      </c>
      <c r="D2587" s="311" t="s">
        <v>134</v>
      </c>
      <c r="E2587" s="337" t="s">
        <v>134</v>
      </c>
      <c r="F2587" s="311" t="s">
        <v>260</v>
      </c>
      <c r="G2587" s="311" t="s">
        <v>237</v>
      </c>
      <c r="H2587" s="311" t="s">
        <v>396</v>
      </c>
      <c r="I2587" s="311" t="s">
        <v>66</v>
      </c>
      <c r="J2587" s="50" t="s">
        <v>1892</v>
      </c>
      <c r="K2587" s="50" t="s">
        <v>1892</v>
      </c>
      <c r="L2587" s="50" t="s">
        <v>1893</v>
      </c>
      <c r="M2587" s="50" t="s">
        <v>5115</v>
      </c>
      <c r="N2587" s="50" t="s">
        <v>5115</v>
      </c>
      <c r="O2587" s="50" t="s">
        <v>5115</v>
      </c>
      <c r="P2587" s="50" t="s">
        <v>5115</v>
      </c>
    </row>
    <row r="2588" spans="1:16" ht="12.75" customHeight="1" x14ac:dyDescent="0.25">
      <c r="A2588" s="311">
        <v>2585</v>
      </c>
      <c r="B2588" s="311" t="s">
        <v>141</v>
      </c>
      <c r="C2588" s="311" t="s">
        <v>141</v>
      </c>
      <c r="D2588" s="311" t="s">
        <v>141</v>
      </c>
      <c r="E2588" s="337" t="s">
        <v>141</v>
      </c>
      <c r="F2588" s="311" t="s">
        <v>260</v>
      </c>
      <c r="G2588" s="311" t="s">
        <v>237</v>
      </c>
      <c r="H2588" s="311" t="s">
        <v>396</v>
      </c>
      <c r="I2588" s="311" t="s">
        <v>66</v>
      </c>
      <c r="J2588" s="50" t="s">
        <v>1892</v>
      </c>
      <c r="K2588" s="50" t="s">
        <v>1892</v>
      </c>
      <c r="L2588" s="50" t="s">
        <v>1893</v>
      </c>
      <c r="M2588" s="50" t="s">
        <v>5116</v>
      </c>
      <c r="N2588" s="50" t="s">
        <v>5116</v>
      </c>
      <c r="O2588" s="50" t="s">
        <v>5116</v>
      </c>
      <c r="P2588" s="50" t="s">
        <v>5116</v>
      </c>
    </row>
    <row r="2589" spans="1:16" ht="12.75" customHeight="1" x14ac:dyDescent="0.25">
      <c r="A2589" s="311">
        <v>2586</v>
      </c>
      <c r="B2589" s="311" t="s">
        <v>69</v>
      </c>
      <c r="C2589" s="311" t="s">
        <v>69</v>
      </c>
      <c r="D2589" s="311" t="s">
        <v>69</v>
      </c>
      <c r="E2589" s="337" t="s">
        <v>69</v>
      </c>
      <c r="F2589" s="311" t="s">
        <v>260</v>
      </c>
      <c r="G2589" s="311" t="s">
        <v>237</v>
      </c>
      <c r="H2589" s="311" t="s">
        <v>396</v>
      </c>
      <c r="I2589" s="311" t="s">
        <v>66</v>
      </c>
      <c r="J2589" s="50" t="s">
        <v>1892</v>
      </c>
      <c r="K2589" s="50" t="s">
        <v>1892</v>
      </c>
      <c r="L2589" s="50" t="s">
        <v>1893</v>
      </c>
      <c r="M2589" s="50" t="s">
        <v>5117</v>
      </c>
      <c r="N2589" s="50" t="s">
        <v>5117</v>
      </c>
      <c r="O2589" s="50" t="s">
        <v>5117</v>
      </c>
      <c r="P2589" s="50" t="s">
        <v>5117</v>
      </c>
    </row>
    <row r="2590" spans="1:16" ht="12.75" customHeight="1" x14ac:dyDescent="0.25">
      <c r="A2590" s="311">
        <v>2587</v>
      </c>
      <c r="B2590" s="311" t="s">
        <v>84</v>
      </c>
      <c r="C2590" s="311" t="s">
        <v>462</v>
      </c>
      <c r="D2590" s="311" t="s">
        <v>462</v>
      </c>
      <c r="E2590" s="337" t="s">
        <v>462</v>
      </c>
      <c r="F2590" s="311" t="s">
        <v>255</v>
      </c>
      <c r="G2590" s="311" t="s">
        <v>236</v>
      </c>
      <c r="H2590" s="311" t="s">
        <v>394</v>
      </c>
      <c r="I2590" s="311" t="s">
        <v>66</v>
      </c>
      <c r="J2590" s="50" t="s">
        <v>1892</v>
      </c>
      <c r="K2590" s="50" t="s">
        <v>1892</v>
      </c>
      <c r="L2590" s="50" t="s">
        <v>1893</v>
      </c>
      <c r="M2590" s="50" t="s">
        <v>5118</v>
      </c>
      <c r="N2590" s="50" t="s">
        <v>5119</v>
      </c>
      <c r="O2590" s="50" t="s">
        <v>5119</v>
      </c>
      <c r="P2590" s="50" t="s">
        <v>5119</v>
      </c>
    </row>
    <row r="2591" spans="1:16" ht="12.75" customHeight="1" x14ac:dyDescent="0.25">
      <c r="A2591" s="311">
        <v>2588</v>
      </c>
      <c r="B2591" s="311" t="s">
        <v>123</v>
      </c>
      <c r="C2591" s="311" t="s">
        <v>462</v>
      </c>
      <c r="D2591" s="311" t="s">
        <v>462</v>
      </c>
      <c r="E2591" s="337" t="s">
        <v>462</v>
      </c>
      <c r="F2591" s="311" t="s">
        <v>255</v>
      </c>
      <c r="G2591" s="311" t="s">
        <v>236</v>
      </c>
      <c r="H2591" s="311" t="s">
        <v>394</v>
      </c>
      <c r="I2591" s="311" t="s">
        <v>66</v>
      </c>
      <c r="J2591" s="50" t="s">
        <v>1892</v>
      </c>
      <c r="K2591" s="50" t="s">
        <v>1892</v>
      </c>
      <c r="L2591" s="50" t="s">
        <v>1893</v>
      </c>
      <c r="M2591" s="50" t="s">
        <v>5120</v>
      </c>
      <c r="N2591" s="50" t="s">
        <v>5119</v>
      </c>
      <c r="O2591" s="50" t="s">
        <v>5119</v>
      </c>
      <c r="P2591" s="50" t="s">
        <v>5119</v>
      </c>
    </row>
    <row r="2592" spans="1:16" ht="12.75" customHeight="1" x14ac:dyDescent="0.25">
      <c r="A2592" s="311">
        <v>2589</v>
      </c>
      <c r="B2592" s="311" t="s">
        <v>75</v>
      </c>
      <c r="C2592" s="311" t="s">
        <v>462</v>
      </c>
      <c r="D2592" s="311" t="s">
        <v>462</v>
      </c>
      <c r="E2592" s="337" t="s">
        <v>462</v>
      </c>
      <c r="F2592" s="311" t="s">
        <v>255</v>
      </c>
      <c r="G2592" s="311" t="s">
        <v>236</v>
      </c>
      <c r="H2592" s="311" t="s">
        <v>394</v>
      </c>
      <c r="I2592" s="311" t="s">
        <v>66</v>
      </c>
      <c r="J2592" s="50" t="s">
        <v>1892</v>
      </c>
      <c r="K2592" s="50" t="s">
        <v>1892</v>
      </c>
      <c r="L2592" s="50" t="s">
        <v>1893</v>
      </c>
      <c r="M2592" s="50" t="s">
        <v>5121</v>
      </c>
      <c r="N2592" s="50" t="s">
        <v>5119</v>
      </c>
      <c r="O2592" s="50" t="s">
        <v>5119</v>
      </c>
      <c r="P2592" s="50" t="s">
        <v>5119</v>
      </c>
    </row>
    <row r="2593" spans="1:16" ht="12.75" customHeight="1" x14ac:dyDescent="0.25">
      <c r="A2593" s="311">
        <v>2590</v>
      </c>
      <c r="B2593" s="311" t="s">
        <v>63</v>
      </c>
      <c r="C2593" s="311" t="s">
        <v>63</v>
      </c>
      <c r="D2593" s="311" t="s">
        <v>462</v>
      </c>
      <c r="E2593" s="337" t="s">
        <v>63</v>
      </c>
      <c r="F2593" s="311" t="s">
        <v>255</v>
      </c>
      <c r="G2593" s="311" t="s">
        <v>236</v>
      </c>
      <c r="H2593" s="311" t="s">
        <v>394</v>
      </c>
      <c r="I2593" s="311" t="s">
        <v>66</v>
      </c>
      <c r="J2593" s="50" t="s">
        <v>1892</v>
      </c>
      <c r="K2593" s="50" t="s">
        <v>1892</v>
      </c>
      <c r="L2593" s="50" t="s">
        <v>1893</v>
      </c>
      <c r="M2593" s="50" t="s">
        <v>5122</v>
      </c>
      <c r="N2593" s="50" t="s">
        <v>5122</v>
      </c>
      <c r="O2593" s="50" t="s">
        <v>5119</v>
      </c>
      <c r="P2593" s="50" t="s">
        <v>5122</v>
      </c>
    </row>
    <row r="2594" spans="1:16" ht="12.75" customHeight="1" x14ac:dyDescent="0.25">
      <c r="A2594" s="311">
        <v>2591</v>
      </c>
      <c r="B2594" s="311" t="s">
        <v>140</v>
      </c>
      <c r="C2594" s="311" t="s">
        <v>140</v>
      </c>
      <c r="D2594" s="311" t="s">
        <v>462</v>
      </c>
      <c r="E2594" s="337" t="s">
        <v>140</v>
      </c>
      <c r="F2594" s="311" t="s">
        <v>255</v>
      </c>
      <c r="G2594" s="311" t="s">
        <v>236</v>
      </c>
      <c r="H2594" s="311" t="s">
        <v>394</v>
      </c>
      <c r="I2594" s="311" t="s">
        <v>66</v>
      </c>
      <c r="J2594" s="50" t="s">
        <v>1892</v>
      </c>
      <c r="K2594" s="50" t="s">
        <v>1892</v>
      </c>
      <c r="L2594" s="50" t="s">
        <v>1893</v>
      </c>
      <c r="M2594" s="50" t="s">
        <v>5123</v>
      </c>
      <c r="N2594" s="50" t="s">
        <v>5123</v>
      </c>
      <c r="O2594" s="50" t="s">
        <v>5119</v>
      </c>
      <c r="P2594" s="50" t="s">
        <v>5123</v>
      </c>
    </row>
    <row r="2595" spans="1:16" ht="12.75" customHeight="1" x14ac:dyDescent="0.25">
      <c r="A2595" s="311">
        <v>2592</v>
      </c>
      <c r="B2595" s="311" t="s">
        <v>121</v>
      </c>
      <c r="C2595" s="311" t="s">
        <v>121</v>
      </c>
      <c r="D2595" s="311" t="s">
        <v>462</v>
      </c>
      <c r="E2595" s="337" t="s">
        <v>121</v>
      </c>
      <c r="F2595" s="311" t="s">
        <v>255</v>
      </c>
      <c r="G2595" s="311" t="s">
        <v>236</v>
      </c>
      <c r="H2595" s="311" t="s">
        <v>394</v>
      </c>
      <c r="I2595" s="311" t="s">
        <v>66</v>
      </c>
      <c r="J2595" s="50" t="s">
        <v>1892</v>
      </c>
      <c r="K2595" s="50" t="s">
        <v>1892</v>
      </c>
      <c r="L2595" s="50" t="s">
        <v>1893</v>
      </c>
      <c r="M2595" s="50" t="s">
        <v>5124</v>
      </c>
      <c r="N2595" s="50" t="s">
        <v>5124</v>
      </c>
      <c r="O2595" s="50" t="s">
        <v>5119</v>
      </c>
      <c r="P2595" s="50" t="s">
        <v>5124</v>
      </c>
    </row>
    <row r="2596" spans="1:16" ht="12.75" customHeight="1" x14ac:dyDescent="0.25">
      <c r="A2596" s="311">
        <v>2593</v>
      </c>
      <c r="B2596" s="311" t="s">
        <v>87</v>
      </c>
      <c r="C2596" s="311" t="s">
        <v>87</v>
      </c>
      <c r="D2596" s="311" t="s">
        <v>462</v>
      </c>
      <c r="E2596" s="337" t="s">
        <v>87</v>
      </c>
      <c r="F2596" s="311" t="s">
        <v>255</v>
      </c>
      <c r="G2596" s="311" t="s">
        <v>236</v>
      </c>
      <c r="H2596" s="311" t="s">
        <v>394</v>
      </c>
      <c r="I2596" s="311" t="s">
        <v>66</v>
      </c>
      <c r="J2596" s="50" t="s">
        <v>1892</v>
      </c>
      <c r="K2596" s="50" t="s">
        <v>1892</v>
      </c>
      <c r="L2596" s="50" t="s">
        <v>1893</v>
      </c>
      <c r="M2596" s="50" t="s">
        <v>5125</v>
      </c>
      <c r="N2596" s="50" t="s">
        <v>5125</v>
      </c>
      <c r="O2596" s="50" t="s">
        <v>5119</v>
      </c>
      <c r="P2596" s="50" t="s">
        <v>5125</v>
      </c>
    </row>
    <row r="2597" spans="1:16" ht="12.75" customHeight="1" x14ac:dyDescent="0.25">
      <c r="A2597" s="311">
        <v>2594</v>
      </c>
      <c r="B2597" s="311" t="s">
        <v>125</v>
      </c>
      <c r="C2597" s="311" t="s">
        <v>125</v>
      </c>
      <c r="D2597" s="311" t="s">
        <v>125</v>
      </c>
      <c r="E2597" s="337" t="s">
        <v>125</v>
      </c>
      <c r="F2597" s="311" t="s">
        <v>255</v>
      </c>
      <c r="G2597" s="311" t="s">
        <v>236</v>
      </c>
      <c r="H2597" s="311" t="s">
        <v>394</v>
      </c>
      <c r="I2597" s="311" t="s">
        <v>66</v>
      </c>
      <c r="J2597" s="50" t="s">
        <v>1892</v>
      </c>
      <c r="K2597" s="50" t="s">
        <v>1892</v>
      </c>
      <c r="L2597" s="50" t="s">
        <v>1893</v>
      </c>
      <c r="M2597" s="50" t="s">
        <v>5126</v>
      </c>
      <c r="N2597" s="50" t="s">
        <v>5126</v>
      </c>
      <c r="O2597" s="50" t="s">
        <v>5126</v>
      </c>
      <c r="P2597" s="50" t="s">
        <v>5126</v>
      </c>
    </row>
    <row r="2598" spans="1:16" ht="12.75" customHeight="1" x14ac:dyDescent="0.25">
      <c r="A2598" s="311">
        <v>2595</v>
      </c>
      <c r="B2598" s="311" t="s">
        <v>134</v>
      </c>
      <c r="C2598" s="311" t="s">
        <v>134</v>
      </c>
      <c r="D2598" s="311" t="s">
        <v>134</v>
      </c>
      <c r="E2598" s="337" t="s">
        <v>134</v>
      </c>
      <c r="F2598" s="311" t="s">
        <v>255</v>
      </c>
      <c r="G2598" s="311" t="s">
        <v>236</v>
      </c>
      <c r="H2598" s="311" t="s">
        <v>394</v>
      </c>
      <c r="I2598" s="311" t="s">
        <v>66</v>
      </c>
      <c r="J2598" s="50" t="s">
        <v>1892</v>
      </c>
      <c r="K2598" s="50" t="s">
        <v>1892</v>
      </c>
      <c r="L2598" s="50" t="s">
        <v>1893</v>
      </c>
      <c r="M2598" s="50" t="s">
        <v>5127</v>
      </c>
      <c r="N2598" s="50" t="s">
        <v>5127</v>
      </c>
      <c r="O2598" s="50" t="s">
        <v>5127</v>
      </c>
      <c r="P2598" s="50" t="s">
        <v>5127</v>
      </c>
    </row>
    <row r="2599" spans="1:16" ht="12.75" customHeight="1" x14ac:dyDescent="0.25">
      <c r="A2599" s="311">
        <v>2596</v>
      </c>
      <c r="B2599" s="311" t="s">
        <v>141</v>
      </c>
      <c r="C2599" s="311" t="s">
        <v>141</v>
      </c>
      <c r="D2599" s="311" t="s">
        <v>141</v>
      </c>
      <c r="E2599" s="337" t="s">
        <v>141</v>
      </c>
      <c r="F2599" s="311" t="s">
        <v>255</v>
      </c>
      <c r="G2599" s="311" t="s">
        <v>236</v>
      </c>
      <c r="H2599" s="311" t="s">
        <v>394</v>
      </c>
      <c r="I2599" s="311" t="s">
        <v>66</v>
      </c>
      <c r="J2599" s="50" t="s">
        <v>1892</v>
      </c>
      <c r="K2599" s="50" t="s">
        <v>1892</v>
      </c>
      <c r="L2599" s="50" t="s">
        <v>1893</v>
      </c>
      <c r="M2599" s="50" t="s">
        <v>5128</v>
      </c>
      <c r="N2599" s="50" t="s">
        <v>5128</v>
      </c>
      <c r="O2599" s="50" t="s">
        <v>5128</v>
      </c>
      <c r="P2599" s="50" t="s">
        <v>5128</v>
      </c>
    </row>
    <row r="2600" spans="1:16" ht="12.75" customHeight="1" x14ac:dyDescent="0.25">
      <c r="A2600" s="311">
        <v>2597</v>
      </c>
      <c r="B2600" s="311" t="s">
        <v>69</v>
      </c>
      <c r="C2600" s="311" t="s">
        <v>69</v>
      </c>
      <c r="D2600" s="311" t="s">
        <v>69</v>
      </c>
      <c r="E2600" s="337" t="s">
        <v>69</v>
      </c>
      <c r="F2600" s="311" t="s">
        <v>255</v>
      </c>
      <c r="G2600" s="311" t="s">
        <v>236</v>
      </c>
      <c r="H2600" s="311" t="s">
        <v>394</v>
      </c>
      <c r="I2600" s="311" t="s">
        <v>66</v>
      </c>
      <c r="J2600" s="50" t="s">
        <v>1892</v>
      </c>
      <c r="K2600" s="50" t="s">
        <v>1892</v>
      </c>
      <c r="L2600" s="50" t="s">
        <v>1893</v>
      </c>
      <c r="M2600" s="50" t="s">
        <v>5129</v>
      </c>
      <c r="N2600" s="50" t="s">
        <v>5129</v>
      </c>
      <c r="O2600" s="50" t="s">
        <v>5129</v>
      </c>
      <c r="P2600" s="50" t="s">
        <v>5129</v>
      </c>
    </row>
    <row r="2601" spans="1:16" ht="12.75" customHeight="1" x14ac:dyDescent="0.25">
      <c r="A2601" s="311">
        <v>2598</v>
      </c>
      <c r="B2601" s="311" t="s">
        <v>84</v>
      </c>
      <c r="C2601" s="311" t="s">
        <v>462</v>
      </c>
      <c r="D2601" s="311" t="s">
        <v>462</v>
      </c>
      <c r="E2601" s="337" t="s">
        <v>462</v>
      </c>
      <c r="F2601" s="311" t="s">
        <v>255</v>
      </c>
      <c r="G2601" s="311" t="s">
        <v>23</v>
      </c>
      <c r="H2601" s="311" t="s">
        <v>394</v>
      </c>
      <c r="I2601" s="311" t="s">
        <v>66</v>
      </c>
      <c r="J2601" s="50" t="s">
        <v>1892</v>
      </c>
      <c r="K2601" s="50" t="s">
        <v>1892</v>
      </c>
      <c r="L2601" s="50" t="s">
        <v>1893</v>
      </c>
      <c r="M2601" s="50" t="s">
        <v>5130</v>
      </c>
      <c r="N2601" s="50" t="s">
        <v>5131</v>
      </c>
      <c r="O2601" s="50" t="s">
        <v>5131</v>
      </c>
      <c r="P2601" s="50" t="s">
        <v>5131</v>
      </c>
    </row>
    <row r="2602" spans="1:16" ht="12.75" customHeight="1" x14ac:dyDescent="0.25">
      <c r="A2602" s="311">
        <v>2599</v>
      </c>
      <c r="B2602" s="311" t="s">
        <v>123</v>
      </c>
      <c r="C2602" s="311" t="s">
        <v>462</v>
      </c>
      <c r="D2602" s="311" t="s">
        <v>462</v>
      </c>
      <c r="E2602" s="337" t="s">
        <v>462</v>
      </c>
      <c r="F2602" s="311" t="s">
        <v>255</v>
      </c>
      <c r="G2602" s="311" t="s">
        <v>23</v>
      </c>
      <c r="H2602" s="311" t="s">
        <v>394</v>
      </c>
      <c r="I2602" s="311" t="s">
        <v>66</v>
      </c>
      <c r="J2602" s="50" t="s">
        <v>1892</v>
      </c>
      <c r="K2602" s="50" t="s">
        <v>1892</v>
      </c>
      <c r="L2602" s="50" t="s">
        <v>1893</v>
      </c>
      <c r="M2602" s="50" t="s">
        <v>5132</v>
      </c>
      <c r="N2602" s="50" t="s">
        <v>5131</v>
      </c>
      <c r="O2602" s="50" t="s">
        <v>5131</v>
      </c>
      <c r="P2602" s="50" t="s">
        <v>5131</v>
      </c>
    </row>
    <row r="2603" spans="1:16" ht="12.75" customHeight="1" x14ac:dyDescent="0.25">
      <c r="A2603" s="311">
        <v>2600</v>
      </c>
      <c r="B2603" s="311" t="s">
        <v>75</v>
      </c>
      <c r="C2603" s="311" t="s">
        <v>462</v>
      </c>
      <c r="D2603" s="311" t="s">
        <v>462</v>
      </c>
      <c r="E2603" s="337" t="s">
        <v>462</v>
      </c>
      <c r="F2603" s="311" t="s">
        <v>255</v>
      </c>
      <c r="G2603" s="311" t="s">
        <v>23</v>
      </c>
      <c r="H2603" s="311" t="s">
        <v>394</v>
      </c>
      <c r="I2603" s="311" t="s">
        <v>66</v>
      </c>
      <c r="J2603" s="50" t="s">
        <v>1892</v>
      </c>
      <c r="K2603" s="50" t="s">
        <v>1892</v>
      </c>
      <c r="L2603" s="50" t="s">
        <v>1893</v>
      </c>
      <c r="M2603" s="50" t="s">
        <v>5133</v>
      </c>
      <c r="N2603" s="50" t="s">
        <v>5131</v>
      </c>
      <c r="O2603" s="50" t="s">
        <v>5131</v>
      </c>
      <c r="P2603" s="50" t="s">
        <v>5131</v>
      </c>
    </row>
    <row r="2604" spans="1:16" ht="12.75" customHeight="1" x14ac:dyDescent="0.25">
      <c r="A2604" s="311">
        <v>2601</v>
      </c>
      <c r="B2604" s="311" t="s">
        <v>63</v>
      </c>
      <c r="C2604" s="311" t="s">
        <v>63</v>
      </c>
      <c r="D2604" s="311" t="s">
        <v>462</v>
      </c>
      <c r="E2604" s="337" t="s">
        <v>63</v>
      </c>
      <c r="F2604" s="311" t="s">
        <v>255</v>
      </c>
      <c r="G2604" s="311" t="s">
        <v>23</v>
      </c>
      <c r="H2604" s="311" t="s">
        <v>394</v>
      </c>
      <c r="I2604" s="311" t="s">
        <v>66</v>
      </c>
      <c r="J2604" s="50" t="s">
        <v>1892</v>
      </c>
      <c r="K2604" s="50" t="s">
        <v>1892</v>
      </c>
      <c r="L2604" s="50" t="s">
        <v>1893</v>
      </c>
      <c r="M2604" s="50" t="s">
        <v>5134</v>
      </c>
      <c r="N2604" s="50" t="s">
        <v>5134</v>
      </c>
      <c r="O2604" s="50" t="s">
        <v>5131</v>
      </c>
      <c r="P2604" s="50" t="s">
        <v>5134</v>
      </c>
    </row>
    <row r="2605" spans="1:16" ht="12.75" customHeight="1" x14ac:dyDescent="0.25">
      <c r="A2605" s="311">
        <v>2602</v>
      </c>
      <c r="B2605" s="311" t="s">
        <v>140</v>
      </c>
      <c r="C2605" s="311" t="s">
        <v>140</v>
      </c>
      <c r="D2605" s="311" t="s">
        <v>462</v>
      </c>
      <c r="E2605" s="337" t="s">
        <v>140</v>
      </c>
      <c r="F2605" s="311" t="s">
        <v>255</v>
      </c>
      <c r="G2605" s="311" t="s">
        <v>23</v>
      </c>
      <c r="H2605" s="311" t="s">
        <v>394</v>
      </c>
      <c r="I2605" s="311" t="s">
        <v>66</v>
      </c>
      <c r="J2605" s="50" t="s">
        <v>1892</v>
      </c>
      <c r="K2605" s="50" t="s">
        <v>1892</v>
      </c>
      <c r="L2605" s="50" t="s">
        <v>1893</v>
      </c>
      <c r="M2605" s="50" t="s">
        <v>5135</v>
      </c>
      <c r="N2605" s="50" t="s">
        <v>5135</v>
      </c>
      <c r="O2605" s="50" t="s">
        <v>5131</v>
      </c>
      <c r="P2605" s="50" t="s">
        <v>5135</v>
      </c>
    </row>
    <row r="2606" spans="1:16" ht="12.75" customHeight="1" x14ac:dyDescent="0.25">
      <c r="A2606" s="311">
        <v>2603</v>
      </c>
      <c r="B2606" s="311" t="s">
        <v>121</v>
      </c>
      <c r="C2606" s="311" t="s">
        <v>121</v>
      </c>
      <c r="D2606" s="311" t="s">
        <v>462</v>
      </c>
      <c r="E2606" s="337" t="s">
        <v>121</v>
      </c>
      <c r="F2606" s="311" t="s">
        <v>255</v>
      </c>
      <c r="G2606" s="311" t="s">
        <v>23</v>
      </c>
      <c r="H2606" s="311" t="s">
        <v>394</v>
      </c>
      <c r="I2606" s="311" t="s">
        <v>66</v>
      </c>
      <c r="J2606" s="50" t="s">
        <v>1892</v>
      </c>
      <c r="K2606" s="50" t="s">
        <v>1892</v>
      </c>
      <c r="L2606" s="50" t="s">
        <v>1893</v>
      </c>
      <c r="M2606" s="50" t="s">
        <v>5136</v>
      </c>
      <c r="N2606" s="50" t="s">
        <v>5136</v>
      </c>
      <c r="O2606" s="50" t="s">
        <v>5131</v>
      </c>
      <c r="P2606" s="50" t="s">
        <v>5136</v>
      </c>
    </row>
    <row r="2607" spans="1:16" ht="12.75" customHeight="1" x14ac:dyDescent="0.25">
      <c r="A2607" s="311">
        <v>2604</v>
      </c>
      <c r="B2607" s="311" t="s">
        <v>87</v>
      </c>
      <c r="C2607" s="311" t="s">
        <v>87</v>
      </c>
      <c r="D2607" s="311" t="s">
        <v>462</v>
      </c>
      <c r="E2607" s="337" t="s">
        <v>87</v>
      </c>
      <c r="F2607" s="311" t="s">
        <v>255</v>
      </c>
      <c r="G2607" s="311" t="s">
        <v>23</v>
      </c>
      <c r="H2607" s="311" t="s">
        <v>394</v>
      </c>
      <c r="I2607" s="311" t="s">
        <v>66</v>
      </c>
      <c r="J2607" s="50" t="s">
        <v>1892</v>
      </c>
      <c r="K2607" s="50" t="s">
        <v>1892</v>
      </c>
      <c r="L2607" s="50" t="s">
        <v>1893</v>
      </c>
      <c r="M2607" s="50" t="s">
        <v>5137</v>
      </c>
      <c r="N2607" s="50" t="s">
        <v>5137</v>
      </c>
      <c r="O2607" s="50" t="s">
        <v>5131</v>
      </c>
      <c r="P2607" s="50" t="s">
        <v>5137</v>
      </c>
    </row>
    <row r="2608" spans="1:16" ht="12.75" customHeight="1" x14ac:dyDescent="0.25">
      <c r="A2608" s="311">
        <v>2605</v>
      </c>
      <c r="B2608" s="311" t="s">
        <v>125</v>
      </c>
      <c r="C2608" s="311" t="s">
        <v>125</v>
      </c>
      <c r="D2608" s="311" t="s">
        <v>125</v>
      </c>
      <c r="E2608" s="337" t="s">
        <v>125</v>
      </c>
      <c r="F2608" s="311" t="s">
        <v>255</v>
      </c>
      <c r="G2608" s="311" t="s">
        <v>23</v>
      </c>
      <c r="H2608" s="311" t="s">
        <v>394</v>
      </c>
      <c r="I2608" s="311" t="s">
        <v>66</v>
      </c>
      <c r="J2608" s="50" t="s">
        <v>1892</v>
      </c>
      <c r="K2608" s="50" t="s">
        <v>1892</v>
      </c>
      <c r="L2608" s="50" t="s">
        <v>1893</v>
      </c>
      <c r="M2608" s="50" t="s">
        <v>5138</v>
      </c>
      <c r="N2608" s="50" t="s">
        <v>5138</v>
      </c>
      <c r="O2608" s="50" t="s">
        <v>5138</v>
      </c>
      <c r="P2608" s="50" t="s">
        <v>5138</v>
      </c>
    </row>
    <row r="2609" spans="1:16" ht="12.75" customHeight="1" x14ac:dyDescent="0.25">
      <c r="A2609" s="311">
        <v>2606</v>
      </c>
      <c r="B2609" s="311" t="s">
        <v>134</v>
      </c>
      <c r="C2609" s="311" t="s">
        <v>134</v>
      </c>
      <c r="D2609" s="311" t="s">
        <v>134</v>
      </c>
      <c r="E2609" s="337" t="s">
        <v>134</v>
      </c>
      <c r="F2609" s="311" t="s">
        <v>255</v>
      </c>
      <c r="G2609" s="311" t="s">
        <v>23</v>
      </c>
      <c r="H2609" s="311" t="s">
        <v>394</v>
      </c>
      <c r="I2609" s="311" t="s">
        <v>66</v>
      </c>
      <c r="J2609" s="50" t="s">
        <v>1892</v>
      </c>
      <c r="K2609" s="50" t="s">
        <v>1892</v>
      </c>
      <c r="L2609" s="50" t="s">
        <v>1893</v>
      </c>
      <c r="M2609" s="50" t="s">
        <v>5139</v>
      </c>
      <c r="N2609" s="50" t="s">
        <v>5139</v>
      </c>
      <c r="O2609" s="50" t="s">
        <v>5139</v>
      </c>
      <c r="P2609" s="50" t="s">
        <v>5139</v>
      </c>
    </row>
    <row r="2610" spans="1:16" ht="12.75" customHeight="1" x14ac:dyDescent="0.25">
      <c r="A2610" s="311">
        <v>2607</v>
      </c>
      <c r="B2610" s="311" t="s">
        <v>141</v>
      </c>
      <c r="C2610" s="311" t="s">
        <v>141</v>
      </c>
      <c r="D2610" s="311" t="s">
        <v>141</v>
      </c>
      <c r="E2610" s="337" t="s">
        <v>141</v>
      </c>
      <c r="F2610" s="311" t="s">
        <v>255</v>
      </c>
      <c r="G2610" s="311" t="s">
        <v>23</v>
      </c>
      <c r="H2610" s="311" t="s">
        <v>394</v>
      </c>
      <c r="I2610" s="311" t="s">
        <v>66</v>
      </c>
      <c r="J2610" s="50" t="s">
        <v>1892</v>
      </c>
      <c r="K2610" s="50" t="s">
        <v>1892</v>
      </c>
      <c r="L2610" s="50" t="s">
        <v>1893</v>
      </c>
      <c r="M2610" s="50" t="s">
        <v>5140</v>
      </c>
      <c r="N2610" s="50" t="s">
        <v>5140</v>
      </c>
      <c r="O2610" s="50" t="s">
        <v>5140</v>
      </c>
      <c r="P2610" s="50" t="s">
        <v>5140</v>
      </c>
    </row>
    <row r="2611" spans="1:16" ht="12.75" customHeight="1" x14ac:dyDescent="0.25">
      <c r="A2611" s="311">
        <v>2608</v>
      </c>
      <c r="B2611" s="311" t="s">
        <v>69</v>
      </c>
      <c r="C2611" s="311" t="s">
        <v>69</v>
      </c>
      <c r="D2611" s="311" t="s">
        <v>69</v>
      </c>
      <c r="E2611" s="337" t="s">
        <v>69</v>
      </c>
      <c r="F2611" s="311" t="s">
        <v>255</v>
      </c>
      <c r="G2611" s="311" t="s">
        <v>23</v>
      </c>
      <c r="H2611" s="311" t="s">
        <v>394</v>
      </c>
      <c r="I2611" s="311" t="s">
        <v>66</v>
      </c>
      <c r="J2611" s="50" t="s">
        <v>1892</v>
      </c>
      <c r="K2611" s="50" t="s">
        <v>1892</v>
      </c>
      <c r="L2611" s="50" t="s">
        <v>1893</v>
      </c>
      <c r="M2611" s="50" t="s">
        <v>5141</v>
      </c>
      <c r="N2611" s="50" t="s">
        <v>5141</v>
      </c>
      <c r="O2611" s="50" t="s">
        <v>5141</v>
      </c>
      <c r="P2611" s="50" t="s">
        <v>5141</v>
      </c>
    </row>
    <row r="2612" spans="1:16" ht="12.75" customHeight="1" x14ac:dyDescent="0.25">
      <c r="A2612" s="311">
        <v>2609</v>
      </c>
      <c r="B2612" s="311" t="s">
        <v>84</v>
      </c>
      <c r="C2612" s="311" t="s">
        <v>462</v>
      </c>
      <c r="D2612" s="311" t="s">
        <v>462</v>
      </c>
      <c r="E2612" s="337" t="s">
        <v>462</v>
      </c>
      <c r="F2612" s="311" t="s">
        <v>255</v>
      </c>
      <c r="G2612" s="311" t="s">
        <v>237</v>
      </c>
      <c r="H2612" s="311" t="s">
        <v>394</v>
      </c>
      <c r="I2612" s="311" t="s">
        <v>66</v>
      </c>
      <c r="J2612" s="50" t="s">
        <v>1892</v>
      </c>
      <c r="K2612" s="50" t="s">
        <v>1892</v>
      </c>
      <c r="L2612" s="50" t="s">
        <v>1893</v>
      </c>
      <c r="M2612" s="50" t="s">
        <v>5142</v>
      </c>
      <c r="N2612" s="50" t="s">
        <v>5143</v>
      </c>
      <c r="O2612" s="50" t="s">
        <v>5143</v>
      </c>
      <c r="P2612" s="50" t="s">
        <v>5143</v>
      </c>
    </row>
    <row r="2613" spans="1:16" ht="12.75" customHeight="1" x14ac:dyDescent="0.25">
      <c r="A2613" s="311">
        <v>2610</v>
      </c>
      <c r="B2613" s="311" t="s">
        <v>123</v>
      </c>
      <c r="C2613" s="311" t="s">
        <v>462</v>
      </c>
      <c r="D2613" s="311" t="s">
        <v>462</v>
      </c>
      <c r="E2613" s="337" t="s">
        <v>462</v>
      </c>
      <c r="F2613" s="311" t="s">
        <v>255</v>
      </c>
      <c r="G2613" s="311" t="s">
        <v>237</v>
      </c>
      <c r="H2613" s="311" t="s">
        <v>394</v>
      </c>
      <c r="I2613" s="311" t="s">
        <v>66</v>
      </c>
      <c r="J2613" s="50" t="s">
        <v>1892</v>
      </c>
      <c r="K2613" s="50" t="s">
        <v>1892</v>
      </c>
      <c r="L2613" s="50" t="s">
        <v>1893</v>
      </c>
      <c r="M2613" s="50" t="s">
        <v>5144</v>
      </c>
      <c r="N2613" s="50" t="s">
        <v>5143</v>
      </c>
      <c r="O2613" s="50" t="s">
        <v>5143</v>
      </c>
      <c r="P2613" s="50" t="s">
        <v>5143</v>
      </c>
    </row>
    <row r="2614" spans="1:16" ht="12.75" customHeight="1" x14ac:dyDescent="0.25">
      <c r="A2614" s="311">
        <v>2611</v>
      </c>
      <c r="B2614" s="311" t="s">
        <v>75</v>
      </c>
      <c r="C2614" s="311" t="s">
        <v>462</v>
      </c>
      <c r="D2614" s="311" t="s">
        <v>462</v>
      </c>
      <c r="E2614" s="337" t="s">
        <v>462</v>
      </c>
      <c r="F2614" s="311" t="s">
        <v>255</v>
      </c>
      <c r="G2614" s="311" t="s">
        <v>237</v>
      </c>
      <c r="H2614" s="311" t="s">
        <v>394</v>
      </c>
      <c r="I2614" s="311" t="s">
        <v>66</v>
      </c>
      <c r="J2614" s="50" t="s">
        <v>1892</v>
      </c>
      <c r="K2614" s="50" t="s">
        <v>1892</v>
      </c>
      <c r="L2614" s="50" t="s">
        <v>1893</v>
      </c>
      <c r="M2614" s="50" t="s">
        <v>5145</v>
      </c>
      <c r="N2614" s="50" t="s">
        <v>5143</v>
      </c>
      <c r="O2614" s="50" t="s">
        <v>5143</v>
      </c>
      <c r="P2614" s="50" t="s">
        <v>5143</v>
      </c>
    </row>
    <row r="2615" spans="1:16" ht="12.75" customHeight="1" x14ac:dyDescent="0.25">
      <c r="A2615" s="311">
        <v>2612</v>
      </c>
      <c r="B2615" s="311" t="s">
        <v>63</v>
      </c>
      <c r="C2615" s="311" t="s">
        <v>63</v>
      </c>
      <c r="D2615" s="311" t="s">
        <v>462</v>
      </c>
      <c r="E2615" s="337" t="s">
        <v>63</v>
      </c>
      <c r="F2615" s="311" t="s">
        <v>255</v>
      </c>
      <c r="G2615" s="311" t="s">
        <v>237</v>
      </c>
      <c r="H2615" s="311" t="s">
        <v>394</v>
      </c>
      <c r="I2615" s="311" t="s">
        <v>66</v>
      </c>
      <c r="J2615" s="50" t="s">
        <v>1892</v>
      </c>
      <c r="K2615" s="50" t="s">
        <v>1892</v>
      </c>
      <c r="L2615" s="50" t="s">
        <v>1893</v>
      </c>
      <c r="M2615" s="50" t="s">
        <v>5146</v>
      </c>
      <c r="N2615" s="50" t="s">
        <v>5146</v>
      </c>
      <c r="O2615" s="50" t="s">
        <v>5143</v>
      </c>
      <c r="P2615" s="50" t="s">
        <v>5146</v>
      </c>
    </row>
    <row r="2616" spans="1:16" ht="12.75" customHeight="1" x14ac:dyDescent="0.25">
      <c r="A2616" s="311">
        <v>2613</v>
      </c>
      <c r="B2616" s="311" t="s">
        <v>140</v>
      </c>
      <c r="C2616" s="311" t="s">
        <v>140</v>
      </c>
      <c r="D2616" s="311" t="s">
        <v>462</v>
      </c>
      <c r="E2616" s="337" t="s">
        <v>140</v>
      </c>
      <c r="F2616" s="311" t="s">
        <v>255</v>
      </c>
      <c r="G2616" s="311" t="s">
        <v>237</v>
      </c>
      <c r="H2616" s="311" t="s">
        <v>394</v>
      </c>
      <c r="I2616" s="311" t="s">
        <v>66</v>
      </c>
      <c r="J2616" s="50" t="s">
        <v>1892</v>
      </c>
      <c r="K2616" s="50" t="s">
        <v>1892</v>
      </c>
      <c r="L2616" s="50" t="s">
        <v>1893</v>
      </c>
      <c r="M2616" s="50" t="s">
        <v>5147</v>
      </c>
      <c r="N2616" s="50" t="s">
        <v>5147</v>
      </c>
      <c r="O2616" s="50" t="s">
        <v>5143</v>
      </c>
      <c r="P2616" s="50" t="s">
        <v>5147</v>
      </c>
    </row>
    <row r="2617" spans="1:16" ht="12.75" customHeight="1" x14ac:dyDescent="0.25">
      <c r="A2617" s="311">
        <v>2614</v>
      </c>
      <c r="B2617" s="311" t="s">
        <v>121</v>
      </c>
      <c r="C2617" s="311" t="s">
        <v>121</v>
      </c>
      <c r="D2617" s="311" t="s">
        <v>462</v>
      </c>
      <c r="E2617" s="337" t="s">
        <v>121</v>
      </c>
      <c r="F2617" s="311" t="s">
        <v>255</v>
      </c>
      <c r="G2617" s="311" t="s">
        <v>237</v>
      </c>
      <c r="H2617" s="311" t="s">
        <v>394</v>
      </c>
      <c r="I2617" s="311" t="s">
        <v>66</v>
      </c>
      <c r="J2617" s="50" t="s">
        <v>1892</v>
      </c>
      <c r="K2617" s="50" t="s">
        <v>1892</v>
      </c>
      <c r="L2617" s="50" t="s">
        <v>1893</v>
      </c>
      <c r="M2617" s="50" t="s">
        <v>5148</v>
      </c>
      <c r="N2617" s="50" t="s">
        <v>5148</v>
      </c>
      <c r="O2617" s="50" t="s">
        <v>5143</v>
      </c>
      <c r="P2617" s="50" t="s">
        <v>5148</v>
      </c>
    </row>
    <row r="2618" spans="1:16" ht="12.75" customHeight="1" x14ac:dyDescent="0.25">
      <c r="A2618" s="311">
        <v>2615</v>
      </c>
      <c r="B2618" s="311" t="s">
        <v>87</v>
      </c>
      <c r="C2618" s="311" t="s">
        <v>87</v>
      </c>
      <c r="D2618" s="311" t="s">
        <v>462</v>
      </c>
      <c r="E2618" s="337" t="s">
        <v>87</v>
      </c>
      <c r="F2618" s="311" t="s">
        <v>255</v>
      </c>
      <c r="G2618" s="311" t="s">
        <v>237</v>
      </c>
      <c r="H2618" s="311" t="s">
        <v>394</v>
      </c>
      <c r="I2618" s="311" t="s">
        <v>66</v>
      </c>
      <c r="J2618" s="50" t="s">
        <v>1892</v>
      </c>
      <c r="K2618" s="50" t="s">
        <v>1892</v>
      </c>
      <c r="L2618" s="50" t="s">
        <v>1893</v>
      </c>
      <c r="M2618" s="50" t="s">
        <v>5149</v>
      </c>
      <c r="N2618" s="50" t="s">
        <v>5149</v>
      </c>
      <c r="O2618" s="50" t="s">
        <v>5143</v>
      </c>
      <c r="P2618" s="50" t="s">
        <v>5149</v>
      </c>
    </row>
    <row r="2619" spans="1:16" ht="12.75" customHeight="1" x14ac:dyDescent="0.25">
      <c r="A2619" s="311">
        <v>2616</v>
      </c>
      <c r="B2619" s="311" t="s">
        <v>125</v>
      </c>
      <c r="C2619" s="311" t="s">
        <v>125</v>
      </c>
      <c r="D2619" s="311" t="s">
        <v>125</v>
      </c>
      <c r="E2619" s="337" t="s">
        <v>125</v>
      </c>
      <c r="F2619" s="311" t="s">
        <v>255</v>
      </c>
      <c r="G2619" s="311" t="s">
        <v>237</v>
      </c>
      <c r="H2619" s="311" t="s">
        <v>394</v>
      </c>
      <c r="I2619" s="311" t="s">
        <v>66</v>
      </c>
      <c r="J2619" s="50" t="s">
        <v>1892</v>
      </c>
      <c r="K2619" s="50" t="s">
        <v>1892</v>
      </c>
      <c r="L2619" s="50" t="s">
        <v>1893</v>
      </c>
      <c r="M2619" s="50" t="s">
        <v>5150</v>
      </c>
      <c r="N2619" s="50" t="s">
        <v>5150</v>
      </c>
      <c r="O2619" s="50" t="s">
        <v>5150</v>
      </c>
      <c r="P2619" s="50" t="s">
        <v>5150</v>
      </c>
    </row>
    <row r="2620" spans="1:16" ht="12.75" customHeight="1" x14ac:dyDescent="0.25">
      <c r="A2620" s="311">
        <v>2617</v>
      </c>
      <c r="B2620" s="311" t="s">
        <v>134</v>
      </c>
      <c r="C2620" s="311" t="s">
        <v>134</v>
      </c>
      <c r="D2620" s="311" t="s">
        <v>134</v>
      </c>
      <c r="E2620" s="337" t="s">
        <v>134</v>
      </c>
      <c r="F2620" s="311" t="s">
        <v>255</v>
      </c>
      <c r="G2620" s="311" t="s">
        <v>237</v>
      </c>
      <c r="H2620" s="311" t="s">
        <v>394</v>
      </c>
      <c r="I2620" s="311" t="s">
        <v>66</v>
      </c>
      <c r="J2620" s="50" t="s">
        <v>1892</v>
      </c>
      <c r="K2620" s="50" t="s">
        <v>1892</v>
      </c>
      <c r="L2620" s="50" t="s">
        <v>1893</v>
      </c>
      <c r="M2620" s="50" t="s">
        <v>5151</v>
      </c>
      <c r="N2620" s="50" t="s">
        <v>5151</v>
      </c>
      <c r="O2620" s="50" t="s">
        <v>5151</v>
      </c>
      <c r="P2620" s="50" t="s">
        <v>5151</v>
      </c>
    </row>
    <row r="2621" spans="1:16" ht="12.75" customHeight="1" x14ac:dyDescent="0.25">
      <c r="A2621" s="311">
        <v>2618</v>
      </c>
      <c r="B2621" s="311" t="s">
        <v>141</v>
      </c>
      <c r="C2621" s="311" t="s">
        <v>141</v>
      </c>
      <c r="D2621" s="311" t="s">
        <v>141</v>
      </c>
      <c r="E2621" s="337" t="s">
        <v>141</v>
      </c>
      <c r="F2621" s="311" t="s">
        <v>255</v>
      </c>
      <c r="G2621" s="311" t="s">
        <v>237</v>
      </c>
      <c r="H2621" s="311" t="s">
        <v>394</v>
      </c>
      <c r="I2621" s="311" t="s">
        <v>66</v>
      </c>
      <c r="J2621" s="50" t="s">
        <v>1892</v>
      </c>
      <c r="K2621" s="50" t="s">
        <v>1892</v>
      </c>
      <c r="L2621" s="50" t="s">
        <v>1893</v>
      </c>
      <c r="M2621" s="50" t="s">
        <v>5152</v>
      </c>
      <c r="N2621" s="50" t="s">
        <v>5152</v>
      </c>
      <c r="O2621" s="50" t="s">
        <v>5152</v>
      </c>
      <c r="P2621" s="50" t="s">
        <v>5152</v>
      </c>
    </row>
    <row r="2622" spans="1:16" ht="12.75" customHeight="1" x14ac:dyDescent="0.25">
      <c r="A2622" s="311">
        <v>2619</v>
      </c>
      <c r="B2622" s="311" t="s">
        <v>69</v>
      </c>
      <c r="C2622" s="311" t="s">
        <v>69</v>
      </c>
      <c r="D2622" s="311" t="s">
        <v>69</v>
      </c>
      <c r="E2622" s="337" t="s">
        <v>69</v>
      </c>
      <c r="F2622" s="311" t="s">
        <v>255</v>
      </c>
      <c r="G2622" s="311" t="s">
        <v>237</v>
      </c>
      <c r="H2622" s="311" t="s">
        <v>394</v>
      </c>
      <c r="I2622" s="311" t="s">
        <v>66</v>
      </c>
      <c r="J2622" s="50" t="s">
        <v>1892</v>
      </c>
      <c r="K2622" s="50" t="s">
        <v>1892</v>
      </c>
      <c r="L2622" s="50" t="s">
        <v>1893</v>
      </c>
      <c r="M2622" s="50" t="s">
        <v>5153</v>
      </c>
      <c r="N2622" s="50" t="s">
        <v>5153</v>
      </c>
      <c r="O2622" s="50" t="s">
        <v>5153</v>
      </c>
      <c r="P2622" s="50" t="s">
        <v>5153</v>
      </c>
    </row>
    <row r="2623" spans="1:16" ht="12.75" customHeight="1" x14ac:dyDescent="0.25">
      <c r="A2623" s="311">
        <v>2620</v>
      </c>
      <c r="B2623" s="311" t="s">
        <v>84</v>
      </c>
      <c r="C2623" s="311" t="s">
        <v>462</v>
      </c>
      <c r="D2623" s="311" t="s">
        <v>462</v>
      </c>
      <c r="E2623" s="337" t="s">
        <v>462</v>
      </c>
      <c r="F2623" s="311" t="s">
        <v>114</v>
      </c>
      <c r="G2623" s="311" t="s">
        <v>236</v>
      </c>
      <c r="H2623" s="311" t="s">
        <v>397</v>
      </c>
      <c r="I2623" s="311" t="s">
        <v>66</v>
      </c>
      <c r="J2623" s="50" t="s">
        <v>1892</v>
      </c>
      <c r="K2623" s="50" t="s">
        <v>1892</v>
      </c>
      <c r="L2623" s="50" t="s">
        <v>1893</v>
      </c>
      <c r="M2623" s="50" t="s">
        <v>5154</v>
      </c>
      <c r="N2623" s="50" t="s">
        <v>5155</v>
      </c>
      <c r="O2623" s="50" t="s">
        <v>5155</v>
      </c>
      <c r="P2623" s="50" t="s">
        <v>5155</v>
      </c>
    </row>
    <row r="2624" spans="1:16" ht="12.75" customHeight="1" x14ac:dyDescent="0.25">
      <c r="A2624" s="311">
        <v>2621</v>
      </c>
      <c r="B2624" s="311" t="s">
        <v>123</v>
      </c>
      <c r="C2624" s="311" t="s">
        <v>462</v>
      </c>
      <c r="D2624" s="311" t="s">
        <v>462</v>
      </c>
      <c r="E2624" s="337" t="s">
        <v>462</v>
      </c>
      <c r="F2624" s="311" t="s">
        <v>114</v>
      </c>
      <c r="G2624" s="311" t="s">
        <v>236</v>
      </c>
      <c r="H2624" s="311" t="s">
        <v>397</v>
      </c>
      <c r="I2624" s="311" t="s">
        <v>66</v>
      </c>
      <c r="J2624" s="50" t="s">
        <v>1892</v>
      </c>
      <c r="K2624" s="50" t="s">
        <v>1892</v>
      </c>
      <c r="L2624" s="50" t="s">
        <v>1893</v>
      </c>
      <c r="M2624" s="50" t="s">
        <v>5156</v>
      </c>
      <c r="N2624" s="50" t="s">
        <v>5155</v>
      </c>
      <c r="O2624" s="50" t="s">
        <v>5155</v>
      </c>
      <c r="P2624" s="50" t="s">
        <v>5155</v>
      </c>
    </row>
    <row r="2625" spans="1:16" ht="12.75" customHeight="1" x14ac:dyDescent="0.25">
      <c r="A2625" s="311">
        <v>2622</v>
      </c>
      <c r="B2625" s="311" t="s">
        <v>75</v>
      </c>
      <c r="C2625" s="311" t="s">
        <v>462</v>
      </c>
      <c r="D2625" s="311" t="s">
        <v>462</v>
      </c>
      <c r="E2625" s="337" t="s">
        <v>462</v>
      </c>
      <c r="F2625" s="311" t="s">
        <v>114</v>
      </c>
      <c r="G2625" s="311" t="s">
        <v>236</v>
      </c>
      <c r="H2625" s="311" t="s">
        <v>397</v>
      </c>
      <c r="I2625" s="311" t="s">
        <v>66</v>
      </c>
      <c r="J2625" s="50" t="s">
        <v>1892</v>
      </c>
      <c r="K2625" s="50" t="s">
        <v>1892</v>
      </c>
      <c r="L2625" s="50" t="s">
        <v>1893</v>
      </c>
      <c r="M2625" s="50" t="s">
        <v>5157</v>
      </c>
      <c r="N2625" s="50" t="s">
        <v>5155</v>
      </c>
      <c r="O2625" s="50" t="s">
        <v>5155</v>
      </c>
      <c r="P2625" s="50" t="s">
        <v>5155</v>
      </c>
    </row>
    <row r="2626" spans="1:16" ht="12.75" customHeight="1" x14ac:dyDescent="0.25">
      <c r="A2626" s="311">
        <v>2623</v>
      </c>
      <c r="B2626" s="311" t="s">
        <v>63</v>
      </c>
      <c r="C2626" s="311" t="s">
        <v>63</v>
      </c>
      <c r="D2626" s="311" t="s">
        <v>462</v>
      </c>
      <c r="E2626" s="337" t="s">
        <v>63</v>
      </c>
      <c r="F2626" s="311" t="s">
        <v>114</v>
      </c>
      <c r="G2626" s="311" t="s">
        <v>236</v>
      </c>
      <c r="H2626" s="311" t="s">
        <v>397</v>
      </c>
      <c r="I2626" s="311" t="s">
        <v>66</v>
      </c>
      <c r="J2626" s="50" t="s">
        <v>1892</v>
      </c>
      <c r="K2626" s="50" t="s">
        <v>1892</v>
      </c>
      <c r="L2626" s="50" t="s">
        <v>1893</v>
      </c>
      <c r="M2626" s="50" t="s">
        <v>5158</v>
      </c>
      <c r="N2626" s="50" t="s">
        <v>5158</v>
      </c>
      <c r="O2626" s="50" t="s">
        <v>5155</v>
      </c>
      <c r="P2626" s="50" t="s">
        <v>5158</v>
      </c>
    </row>
    <row r="2627" spans="1:16" ht="12.75" customHeight="1" x14ac:dyDescent="0.25">
      <c r="A2627" s="311">
        <v>2624</v>
      </c>
      <c r="B2627" s="311" t="s">
        <v>140</v>
      </c>
      <c r="C2627" s="311" t="s">
        <v>140</v>
      </c>
      <c r="D2627" s="311" t="s">
        <v>462</v>
      </c>
      <c r="E2627" s="337" t="s">
        <v>140</v>
      </c>
      <c r="F2627" s="311" t="s">
        <v>114</v>
      </c>
      <c r="G2627" s="311" t="s">
        <v>236</v>
      </c>
      <c r="H2627" s="311" t="s">
        <v>397</v>
      </c>
      <c r="I2627" s="311" t="s">
        <v>66</v>
      </c>
      <c r="J2627" s="50" t="s">
        <v>1892</v>
      </c>
      <c r="K2627" s="50" t="s">
        <v>1892</v>
      </c>
      <c r="L2627" s="50" t="s">
        <v>1893</v>
      </c>
      <c r="M2627" s="50" t="s">
        <v>5159</v>
      </c>
      <c r="N2627" s="50" t="s">
        <v>5159</v>
      </c>
      <c r="O2627" s="50" t="s">
        <v>5155</v>
      </c>
      <c r="P2627" s="50" t="s">
        <v>5159</v>
      </c>
    </row>
    <row r="2628" spans="1:16" ht="12.75" customHeight="1" x14ac:dyDescent="0.25">
      <c r="A2628" s="311">
        <v>2625</v>
      </c>
      <c r="B2628" s="311" t="s">
        <v>121</v>
      </c>
      <c r="C2628" s="311" t="s">
        <v>121</v>
      </c>
      <c r="D2628" s="311" t="s">
        <v>462</v>
      </c>
      <c r="E2628" s="337" t="s">
        <v>121</v>
      </c>
      <c r="F2628" s="311" t="s">
        <v>114</v>
      </c>
      <c r="G2628" s="311" t="s">
        <v>236</v>
      </c>
      <c r="H2628" s="311" t="s">
        <v>397</v>
      </c>
      <c r="I2628" s="311" t="s">
        <v>66</v>
      </c>
      <c r="J2628" s="50" t="s">
        <v>1892</v>
      </c>
      <c r="K2628" s="50" t="s">
        <v>1892</v>
      </c>
      <c r="L2628" s="50" t="s">
        <v>1893</v>
      </c>
      <c r="M2628" s="50" t="s">
        <v>5160</v>
      </c>
      <c r="N2628" s="50" t="s">
        <v>5160</v>
      </c>
      <c r="O2628" s="50" t="s">
        <v>5155</v>
      </c>
      <c r="P2628" s="50" t="s">
        <v>5160</v>
      </c>
    </row>
    <row r="2629" spans="1:16" ht="12.75" customHeight="1" x14ac:dyDescent="0.25">
      <c r="A2629" s="311">
        <v>2626</v>
      </c>
      <c r="B2629" s="311" t="s">
        <v>87</v>
      </c>
      <c r="C2629" s="311" t="s">
        <v>87</v>
      </c>
      <c r="D2629" s="311" t="s">
        <v>462</v>
      </c>
      <c r="E2629" s="337" t="s">
        <v>87</v>
      </c>
      <c r="F2629" s="311" t="s">
        <v>114</v>
      </c>
      <c r="G2629" s="311" t="s">
        <v>236</v>
      </c>
      <c r="H2629" s="311" t="s">
        <v>397</v>
      </c>
      <c r="I2629" s="311" t="s">
        <v>66</v>
      </c>
      <c r="J2629" s="50" t="s">
        <v>1892</v>
      </c>
      <c r="K2629" s="50" t="s">
        <v>1892</v>
      </c>
      <c r="L2629" s="50" t="s">
        <v>1893</v>
      </c>
      <c r="M2629" s="50" t="s">
        <v>5161</v>
      </c>
      <c r="N2629" s="50" t="s">
        <v>5161</v>
      </c>
      <c r="O2629" s="50" t="s">
        <v>5155</v>
      </c>
      <c r="P2629" s="50" t="s">
        <v>5161</v>
      </c>
    </row>
    <row r="2630" spans="1:16" ht="12.75" customHeight="1" x14ac:dyDescent="0.25">
      <c r="A2630" s="311">
        <v>2627</v>
      </c>
      <c r="B2630" s="311" t="s">
        <v>125</v>
      </c>
      <c r="C2630" s="311" t="s">
        <v>125</v>
      </c>
      <c r="D2630" s="311" t="s">
        <v>125</v>
      </c>
      <c r="E2630" s="337" t="s">
        <v>125</v>
      </c>
      <c r="F2630" s="311" t="s">
        <v>114</v>
      </c>
      <c r="G2630" s="311" t="s">
        <v>236</v>
      </c>
      <c r="H2630" s="311" t="s">
        <v>397</v>
      </c>
      <c r="I2630" s="311" t="s">
        <v>66</v>
      </c>
      <c r="J2630" s="50" t="s">
        <v>1892</v>
      </c>
      <c r="K2630" s="50" t="s">
        <v>1892</v>
      </c>
      <c r="L2630" s="50" t="s">
        <v>1893</v>
      </c>
      <c r="M2630" s="50" t="s">
        <v>5162</v>
      </c>
      <c r="N2630" s="50" t="s">
        <v>5162</v>
      </c>
      <c r="O2630" s="50" t="s">
        <v>5162</v>
      </c>
      <c r="P2630" s="50" t="s">
        <v>5162</v>
      </c>
    </row>
    <row r="2631" spans="1:16" ht="12.75" customHeight="1" x14ac:dyDescent="0.25">
      <c r="A2631" s="311">
        <v>2628</v>
      </c>
      <c r="B2631" s="311" t="s">
        <v>134</v>
      </c>
      <c r="C2631" s="311" t="s">
        <v>134</v>
      </c>
      <c r="D2631" s="311" t="s">
        <v>134</v>
      </c>
      <c r="E2631" s="337" t="s">
        <v>134</v>
      </c>
      <c r="F2631" s="311" t="s">
        <v>114</v>
      </c>
      <c r="G2631" s="311" t="s">
        <v>236</v>
      </c>
      <c r="H2631" s="311" t="s">
        <v>397</v>
      </c>
      <c r="I2631" s="311" t="s">
        <v>66</v>
      </c>
      <c r="J2631" s="50" t="s">
        <v>1892</v>
      </c>
      <c r="K2631" s="50" t="s">
        <v>1892</v>
      </c>
      <c r="L2631" s="50" t="s">
        <v>1893</v>
      </c>
      <c r="M2631" s="50" t="s">
        <v>5163</v>
      </c>
      <c r="N2631" s="50" t="s">
        <v>5163</v>
      </c>
      <c r="O2631" s="50" t="s">
        <v>5163</v>
      </c>
      <c r="P2631" s="50" t="s">
        <v>5163</v>
      </c>
    </row>
    <row r="2632" spans="1:16" ht="12.75" customHeight="1" x14ac:dyDescent="0.25">
      <c r="A2632" s="311">
        <v>2629</v>
      </c>
      <c r="B2632" s="311" t="s">
        <v>141</v>
      </c>
      <c r="C2632" s="311" t="s">
        <v>141</v>
      </c>
      <c r="D2632" s="311" t="s">
        <v>141</v>
      </c>
      <c r="E2632" s="337" t="s">
        <v>141</v>
      </c>
      <c r="F2632" s="311" t="s">
        <v>114</v>
      </c>
      <c r="G2632" s="311" t="s">
        <v>236</v>
      </c>
      <c r="H2632" s="311" t="s">
        <v>397</v>
      </c>
      <c r="I2632" s="311" t="s">
        <v>66</v>
      </c>
      <c r="J2632" s="50" t="s">
        <v>1892</v>
      </c>
      <c r="K2632" s="50" t="s">
        <v>1892</v>
      </c>
      <c r="L2632" s="50" t="s">
        <v>1893</v>
      </c>
      <c r="M2632" s="50" t="s">
        <v>5164</v>
      </c>
      <c r="N2632" s="50" t="s">
        <v>5164</v>
      </c>
      <c r="O2632" s="50" t="s">
        <v>5164</v>
      </c>
      <c r="P2632" s="50" t="s">
        <v>5164</v>
      </c>
    </row>
    <row r="2633" spans="1:16" ht="12.75" customHeight="1" x14ac:dyDescent="0.25">
      <c r="A2633" s="311">
        <v>2630</v>
      </c>
      <c r="B2633" s="311" t="s">
        <v>69</v>
      </c>
      <c r="C2633" s="311" t="s">
        <v>69</v>
      </c>
      <c r="D2633" s="311" t="s">
        <v>69</v>
      </c>
      <c r="E2633" s="337" t="s">
        <v>69</v>
      </c>
      <c r="F2633" s="311" t="s">
        <v>114</v>
      </c>
      <c r="G2633" s="311" t="s">
        <v>236</v>
      </c>
      <c r="H2633" s="311" t="s">
        <v>397</v>
      </c>
      <c r="I2633" s="311" t="s">
        <v>66</v>
      </c>
      <c r="J2633" s="50" t="s">
        <v>1892</v>
      </c>
      <c r="K2633" s="50" t="s">
        <v>1892</v>
      </c>
      <c r="L2633" s="50" t="s">
        <v>1893</v>
      </c>
      <c r="M2633" s="50" t="s">
        <v>5165</v>
      </c>
      <c r="N2633" s="50" t="s">
        <v>5165</v>
      </c>
      <c r="O2633" s="50" t="s">
        <v>5165</v>
      </c>
      <c r="P2633" s="50" t="s">
        <v>5165</v>
      </c>
    </row>
    <row r="2634" spans="1:16" ht="12.75" customHeight="1" x14ac:dyDescent="0.25">
      <c r="A2634" s="311">
        <v>2631</v>
      </c>
      <c r="B2634" s="311" t="s">
        <v>84</v>
      </c>
      <c r="C2634" s="311" t="s">
        <v>462</v>
      </c>
      <c r="D2634" s="311" t="s">
        <v>462</v>
      </c>
      <c r="E2634" s="337" t="s">
        <v>462</v>
      </c>
      <c r="F2634" s="311" t="s">
        <v>114</v>
      </c>
      <c r="G2634" s="311" t="s">
        <v>23</v>
      </c>
      <c r="H2634" s="311" t="s">
        <v>397</v>
      </c>
      <c r="I2634" s="311" t="s">
        <v>66</v>
      </c>
      <c r="J2634" s="50" t="s">
        <v>1892</v>
      </c>
      <c r="K2634" s="50" t="s">
        <v>1892</v>
      </c>
      <c r="L2634" s="50" t="s">
        <v>1893</v>
      </c>
      <c r="M2634" s="50" t="s">
        <v>5166</v>
      </c>
      <c r="N2634" s="50" t="s">
        <v>5167</v>
      </c>
      <c r="O2634" s="50" t="s">
        <v>5167</v>
      </c>
      <c r="P2634" s="50" t="s">
        <v>5167</v>
      </c>
    </row>
    <row r="2635" spans="1:16" ht="12.75" customHeight="1" x14ac:dyDescent="0.25">
      <c r="A2635" s="311">
        <v>2632</v>
      </c>
      <c r="B2635" s="311" t="s">
        <v>123</v>
      </c>
      <c r="C2635" s="311" t="s">
        <v>462</v>
      </c>
      <c r="D2635" s="311" t="s">
        <v>462</v>
      </c>
      <c r="E2635" s="337" t="s">
        <v>462</v>
      </c>
      <c r="F2635" s="311" t="s">
        <v>114</v>
      </c>
      <c r="G2635" s="311" t="s">
        <v>23</v>
      </c>
      <c r="H2635" s="311" t="s">
        <v>397</v>
      </c>
      <c r="I2635" s="311" t="s">
        <v>66</v>
      </c>
      <c r="J2635" s="50" t="s">
        <v>1892</v>
      </c>
      <c r="K2635" s="50" t="s">
        <v>1892</v>
      </c>
      <c r="L2635" s="50" t="s">
        <v>1893</v>
      </c>
      <c r="M2635" s="50" t="s">
        <v>5168</v>
      </c>
      <c r="N2635" s="50" t="s">
        <v>5167</v>
      </c>
      <c r="O2635" s="50" t="s">
        <v>5167</v>
      </c>
      <c r="P2635" s="50" t="s">
        <v>5167</v>
      </c>
    </row>
    <row r="2636" spans="1:16" ht="12.75" customHeight="1" x14ac:dyDescent="0.25">
      <c r="A2636" s="311">
        <v>2633</v>
      </c>
      <c r="B2636" s="311" t="s">
        <v>75</v>
      </c>
      <c r="C2636" s="311" t="s">
        <v>462</v>
      </c>
      <c r="D2636" s="311" t="s">
        <v>462</v>
      </c>
      <c r="E2636" s="337" t="s">
        <v>462</v>
      </c>
      <c r="F2636" s="311" t="s">
        <v>114</v>
      </c>
      <c r="G2636" s="311" t="s">
        <v>23</v>
      </c>
      <c r="H2636" s="311" t="s">
        <v>397</v>
      </c>
      <c r="I2636" s="311" t="s">
        <v>66</v>
      </c>
      <c r="J2636" s="50" t="s">
        <v>1892</v>
      </c>
      <c r="K2636" s="50" t="s">
        <v>1892</v>
      </c>
      <c r="L2636" s="50" t="s">
        <v>1893</v>
      </c>
      <c r="M2636" s="50" t="s">
        <v>5169</v>
      </c>
      <c r="N2636" s="50" t="s">
        <v>5167</v>
      </c>
      <c r="O2636" s="50" t="s">
        <v>5167</v>
      </c>
      <c r="P2636" s="50" t="s">
        <v>5167</v>
      </c>
    </row>
    <row r="2637" spans="1:16" ht="12.75" customHeight="1" x14ac:dyDescent="0.25">
      <c r="A2637" s="311">
        <v>2634</v>
      </c>
      <c r="B2637" s="311" t="s">
        <v>63</v>
      </c>
      <c r="C2637" s="311" t="s">
        <v>63</v>
      </c>
      <c r="D2637" s="311" t="s">
        <v>462</v>
      </c>
      <c r="E2637" s="337" t="s">
        <v>63</v>
      </c>
      <c r="F2637" s="311" t="s">
        <v>114</v>
      </c>
      <c r="G2637" s="311" t="s">
        <v>23</v>
      </c>
      <c r="H2637" s="311" t="s">
        <v>397</v>
      </c>
      <c r="I2637" s="311" t="s">
        <v>66</v>
      </c>
      <c r="J2637" s="50" t="s">
        <v>1892</v>
      </c>
      <c r="K2637" s="50" t="s">
        <v>1892</v>
      </c>
      <c r="L2637" s="50" t="s">
        <v>1893</v>
      </c>
      <c r="M2637" s="50" t="s">
        <v>5170</v>
      </c>
      <c r="N2637" s="50" t="s">
        <v>5170</v>
      </c>
      <c r="O2637" s="50" t="s">
        <v>5167</v>
      </c>
      <c r="P2637" s="50" t="s">
        <v>5170</v>
      </c>
    </row>
    <row r="2638" spans="1:16" ht="12.75" customHeight="1" x14ac:dyDescent="0.25">
      <c r="A2638" s="311">
        <v>2635</v>
      </c>
      <c r="B2638" s="311" t="s">
        <v>140</v>
      </c>
      <c r="C2638" s="311" t="s">
        <v>140</v>
      </c>
      <c r="D2638" s="311" t="s">
        <v>462</v>
      </c>
      <c r="E2638" s="337" t="s">
        <v>140</v>
      </c>
      <c r="F2638" s="311" t="s">
        <v>114</v>
      </c>
      <c r="G2638" s="311" t="s">
        <v>23</v>
      </c>
      <c r="H2638" s="311" t="s">
        <v>397</v>
      </c>
      <c r="I2638" s="311" t="s">
        <v>66</v>
      </c>
      <c r="J2638" s="50" t="s">
        <v>1892</v>
      </c>
      <c r="K2638" s="50" t="s">
        <v>1892</v>
      </c>
      <c r="L2638" s="50" t="s">
        <v>1893</v>
      </c>
      <c r="M2638" s="50" t="s">
        <v>5171</v>
      </c>
      <c r="N2638" s="50" t="s">
        <v>5171</v>
      </c>
      <c r="O2638" s="50" t="s">
        <v>5167</v>
      </c>
      <c r="P2638" s="50" t="s">
        <v>5171</v>
      </c>
    </row>
    <row r="2639" spans="1:16" ht="12.75" customHeight="1" x14ac:dyDescent="0.25">
      <c r="A2639" s="311">
        <v>2636</v>
      </c>
      <c r="B2639" s="311" t="s">
        <v>121</v>
      </c>
      <c r="C2639" s="311" t="s">
        <v>121</v>
      </c>
      <c r="D2639" s="311" t="s">
        <v>462</v>
      </c>
      <c r="E2639" s="337" t="s">
        <v>121</v>
      </c>
      <c r="F2639" s="311" t="s">
        <v>114</v>
      </c>
      <c r="G2639" s="311" t="s">
        <v>23</v>
      </c>
      <c r="H2639" s="311" t="s">
        <v>397</v>
      </c>
      <c r="I2639" s="311" t="s">
        <v>66</v>
      </c>
      <c r="J2639" s="50" t="s">
        <v>1892</v>
      </c>
      <c r="K2639" s="50" t="s">
        <v>1892</v>
      </c>
      <c r="L2639" s="50" t="s">
        <v>1893</v>
      </c>
      <c r="M2639" s="50" t="s">
        <v>5172</v>
      </c>
      <c r="N2639" s="50" t="s">
        <v>5172</v>
      </c>
      <c r="O2639" s="50" t="s">
        <v>5167</v>
      </c>
      <c r="P2639" s="50" t="s">
        <v>5172</v>
      </c>
    </row>
    <row r="2640" spans="1:16" ht="12.75" customHeight="1" x14ac:dyDescent="0.25">
      <c r="A2640" s="311">
        <v>2637</v>
      </c>
      <c r="B2640" s="311" t="s">
        <v>87</v>
      </c>
      <c r="C2640" s="311" t="s">
        <v>87</v>
      </c>
      <c r="D2640" s="311" t="s">
        <v>462</v>
      </c>
      <c r="E2640" s="337" t="s">
        <v>87</v>
      </c>
      <c r="F2640" s="311" t="s">
        <v>114</v>
      </c>
      <c r="G2640" s="311" t="s">
        <v>23</v>
      </c>
      <c r="H2640" s="311" t="s">
        <v>397</v>
      </c>
      <c r="I2640" s="311" t="s">
        <v>66</v>
      </c>
      <c r="J2640" s="50" t="s">
        <v>1892</v>
      </c>
      <c r="K2640" s="50" t="s">
        <v>1892</v>
      </c>
      <c r="L2640" s="50" t="s">
        <v>1893</v>
      </c>
      <c r="M2640" s="50" t="s">
        <v>5173</v>
      </c>
      <c r="N2640" s="50" t="s">
        <v>5173</v>
      </c>
      <c r="O2640" s="50" t="s">
        <v>5167</v>
      </c>
      <c r="P2640" s="50" t="s">
        <v>5173</v>
      </c>
    </row>
    <row r="2641" spans="1:16" ht="12.75" customHeight="1" x14ac:dyDescent="0.25">
      <c r="A2641" s="311">
        <v>2638</v>
      </c>
      <c r="B2641" s="311" t="s">
        <v>125</v>
      </c>
      <c r="C2641" s="311" t="s">
        <v>125</v>
      </c>
      <c r="D2641" s="311" t="s">
        <v>125</v>
      </c>
      <c r="E2641" s="337" t="s">
        <v>125</v>
      </c>
      <c r="F2641" s="311" t="s">
        <v>114</v>
      </c>
      <c r="G2641" s="311" t="s">
        <v>23</v>
      </c>
      <c r="H2641" s="311" t="s">
        <v>397</v>
      </c>
      <c r="I2641" s="311" t="s">
        <v>66</v>
      </c>
      <c r="J2641" s="50" t="s">
        <v>1892</v>
      </c>
      <c r="K2641" s="50" t="s">
        <v>1892</v>
      </c>
      <c r="L2641" s="50" t="s">
        <v>1893</v>
      </c>
      <c r="M2641" s="50" t="s">
        <v>5174</v>
      </c>
      <c r="N2641" s="50" t="s">
        <v>5174</v>
      </c>
      <c r="O2641" s="50" t="s">
        <v>5174</v>
      </c>
      <c r="P2641" s="50" t="s">
        <v>5174</v>
      </c>
    </row>
    <row r="2642" spans="1:16" ht="12.75" customHeight="1" x14ac:dyDescent="0.25">
      <c r="A2642" s="311">
        <v>2639</v>
      </c>
      <c r="B2642" s="311" t="s">
        <v>134</v>
      </c>
      <c r="C2642" s="311" t="s">
        <v>134</v>
      </c>
      <c r="D2642" s="311" t="s">
        <v>134</v>
      </c>
      <c r="E2642" s="337" t="s">
        <v>134</v>
      </c>
      <c r="F2642" s="311" t="s">
        <v>114</v>
      </c>
      <c r="G2642" s="311" t="s">
        <v>23</v>
      </c>
      <c r="H2642" s="311" t="s">
        <v>397</v>
      </c>
      <c r="I2642" s="311" t="s">
        <v>66</v>
      </c>
      <c r="J2642" s="50" t="s">
        <v>1892</v>
      </c>
      <c r="K2642" s="50" t="s">
        <v>1892</v>
      </c>
      <c r="L2642" s="50" t="s">
        <v>1893</v>
      </c>
      <c r="M2642" s="50" t="s">
        <v>5175</v>
      </c>
      <c r="N2642" s="50" t="s">
        <v>5175</v>
      </c>
      <c r="O2642" s="50" t="s">
        <v>5175</v>
      </c>
      <c r="P2642" s="50" t="s">
        <v>5175</v>
      </c>
    </row>
    <row r="2643" spans="1:16" ht="12.75" customHeight="1" x14ac:dyDescent="0.25">
      <c r="A2643" s="311">
        <v>2640</v>
      </c>
      <c r="B2643" s="311" t="s">
        <v>141</v>
      </c>
      <c r="C2643" s="311" t="s">
        <v>141</v>
      </c>
      <c r="D2643" s="311" t="s">
        <v>141</v>
      </c>
      <c r="E2643" s="337" t="s">
        <v>141</v>
      </c>
      <c r="F2643" s="311" t="s">
        <v>114</v>
      </c>
      <c r="G2643" s="311" t="s">
        <v>23</v>
      </c>
      <c r="H2643" s="311" t="s">
        <v>397</v>
      </c>
      <c r="I2643" s="311" t="s">
        <v>66</v>
      </c>
      <c r="J2643" s="50" t="s">
        <v>1892</v>
      </c>
      <c r="K2643" s="50" t="s">
        <v>1892</v>
      </c>
      <c r="L2643" s="50" t="s">
        <v>1893</v>
      </c>
      <c r="M2643" s="50" t="s">
        <v>5176</v>
      </c>
      <c r="N2643" s="50" t="s">
        <v>5176</v>
      </c>
      <c r="O2643" s="50" t="s">
        <v>5176</v>
      </c>
      <c r="P2643" s="50" t="s">
        <v>5176</v>
      </c>
    </row>
    <row r="2644" spans="1:16" ht="12.75" customHeight="1" x14ac:dyDescent="0.25">
      <c r="A2644" s="311">
        <v>2641</v>
      </c>
      <c r="B2644" s="311" t="s">
        <v>69</v>
      </c>
      <c r="C2644" s="311" t="s">
        <v>69</v>
      </c>
      <c r="D2644" s="311" t="s">
        <v>69</v>
      </c>
      <c r="E2644" s="337" t="s">
        <v>69</v>
      </c>
      <c r="F2644" s="311" t="s">
        <v>114</v>
      </c>
      <c r="G2644" s="311" t="s">
        <v>23</v>
      </c>
      <c r="H2644" s="311" t="s">
        <v>397</v>
      </c>
      <c r="I2644" s="311" t="s">
        <v>66</v>
      </c>
      <c r="J2644" s="50" t="s">
        <v>1892</v>
      </c>
      <c r="K2644" s="50" t="s">
        <v>1892</v>
      </c>
      <c r="L2644" s="50" t="s">
        <v>1893</v>
      </c>
      <c r="M2644" s="50" t="s">
        <v>5177</v>
      </c>
      <c r="N2644" s="50" t="s">
        <v>5177</v>
      </c>
      <c r="O2644" s="50" t="s">
        <v>5177</v>
      </c>
      <c r="P2644" s="50" t="s">
        <v>5177</v>
      </c>
    </row>
    <row r="2645" spans="1:16" ht="12.75" customHeight="1" x14ac:dyDescent="0.25">
      <c r="A2645" s="311">
        <v>2642</v>
      </c>
      <c r="B2645" s="311" t="s">
        <v>84</v>
      </c>
      <c r="C2645" s="311" t="s">
        <v>462</v>
      </c>
      <c r="D2645" s="311" t="s">
        <v>462</v>
      </c>
      <c r="E2645" s="337" t="s">
        <v>462</v>
      </c>
      <c r="F2645" s="311" t="s">
        <v>114</v>
      </c>
      <c r="G2645" s="311" t="s">
        <v>237</v>
      </c>
      <c r="H2645" s="311" t="s">
        <v>397</v>
      </c>
      <c r="I2645" s="311" t="s">
        <v>66</v>
      </c>
      <c r="J2645" s="50" t="s">
        <v>1892</v>
      </c>
      <c r="K2645" s="50" t="s">
        <v>1892</v>
      </c>
      <c r="L2645" s="50" t="s">
        <v>1893</v>
      </c>
      <c r="M2645" s="50" t="s">
        <v>5178</v>
      </c>
      <c r="N2645" s="50" t="s">
        <v>5179</v>
      </c>
      <c r="O2645" s="50" t="s">
        <v>5179</v>
      </c>
      <c r="P2645" s="50" t="s">
        <v>5179</v>
      </c>
    </row>
    <row r="2646" spans="1:16" ht="12.75" customHeight="1" x14ac:dyDescent="0.25">
      <c r="A2646" s="311">
        <v>2643</v>
      </c>
      <c r="B2646" s="311" t="s">
        <v>123</v>
      </c>
      <c r="C2646" s="311" t="s">
        <v>462</v>
      </c>
      <c r="D2646" s="311" t="s">
        <v>462</v>
      </c>
      <c r="E2646" s="337" t="s">
        <v>462</v>
      </c>
      <c r="F2646" s="311" t="s">
        <v>114</v>
      </c>
      <c r="G2646" s="311" t="s">
        <v>237</v>
      </c>
      <c r="H2646" s="311" t="s">
        <v>397</v>
      </c>
      <c r="I2646" s="311" t="s">
        <v>66</v>
      </c>
      <c r="J2646" s="50" t="s">
        <v>1892</v>
      </c>
      <c r="K2646" s="50" t="s">
        <v>1892</v>
      </c>
      <c r="L2646" s="50" t="s">
        <v>1893</v>
      </c>
      <c r="M2646" s="50" t="s">
        <v>5180</v>
      </c>
      <c r="N2646" s="50" t="s">
        <v>5179</v>
      </c>
      <c r="O2646" s="50" t="s">
        <v>5179</v>
      </c>
      <c r="P2646" s="50" t="s">
        <v>5179</v>
      </c>
    </row>
    <row r="2647" spans="1:16" ht="12.75" customHeight="1" x14ac:dyDescent="0.25">
      <c r="A2647" s="311">
        <v>2644</v>
      </c>
      <c r="B2647" s="311" t="s">
        <v>75</v>
      </c>
      <c r="C2647" s="311" t="s">
        <v>462</v>
      </c>
      <c r="D2647" s="311" t="s">
        <v>462</v>
      </c>
      <c r="E2647" s="337" t="s">
        <v>462</v>
      </c>
      <c r="F2647" s="311" t="s">
        <v>114</v>
      </c>
      <c r="G2647" s="311" t="s">
        <v>237</v>
      </c>
      <c r="H2647" s="311" t="s">
        <v>397</v>
      </c>
      <c r="I2647" s="311" t="s">
        <v>66</v>
      </c>
      <c r="J2647" s="50" t="s">
        <v>1892</v>
      </c>
      <c r="K2647" s="50" t="s">
        <v>1892</v>
      </c>
      <c r="L2647" s="50" t="s">
        <v>1893</v>
      </c>
      <c r="M2647" s="50" t="s">
        <v>5181</v>
      </c>
      <c r="N2647" s="50" t="s">
        <v>5179</v>
      </c>
      <c r="O2647" s="50" t="s">
        <v>5179</v>
      </c>
      <c r="P2647" s="50" t="s">
        <v>5179</v>
      </c>
    </row>
    <row r="2648" spans="1:16" ht="12.75" customHeight="1" x14ac:dyDescent="0.25">
      <c r="A2648" s="311">
        <v>2645</v>
      </c>
      <c r="B2648" s="311" t="s">
        <v>63</v>
      </c>
      <c r="C2648" s="311" t="s">
        <v>63</v>
      </c>
      <c r="D2648" s="311" t="s">
        <v>462</v>
      </c>
      <c r="E2648" s="337" t="s">
        <v>63</v>
      </c>
      <c r="F2648" s="311" t="s">
        <v>114</v>
      </c>
      <c r="G2648" s="311" t="s">
        <v>237</v>
      </c>
      <c r="H2648" s="311" t="s">
        <v>397</v>
      </c>
      <c r="I2648" s="311" t="s">
        <v>66</v>
      </c>
      <c r="J2648" s="50" t="s">
        <v>1892</v>
      </c>
      <c r="K2648" s="50" t="s">
        <v>1892</v>
      </c>
      <c r="L2648" s="50" t="s">
        <v>1893</v>
      </c>
      <c r="M2648" s="50" t="s">
        <v>5182</v>
      </c>
      <c r="N2648" s="50" t="s">
        <v>5182</v>
      </c>
      <c r="O2648" s="50" t="s">
        <v>5179</v>
      </c>
      <c r="P2648" s="50" t="s">
        <v>5182</v>
      </c>
    </row>
    <row r="2649" spans="1:16" ht="12.75" customHeight="1" x14ac:dyDescent="0.25">
      <c r="A2649" s="311">
        <v>2646</v>
      </c>
      <c r="B2649" s="311" t="s">
        <v>140</v>
      </c>
      <c r="C2649" s="311" t="s">
        <v>140</v>
      </c>
      <c r="D2649" s="311" t="s">
        <v>462</v>
      </c>
      <c r="E2649" s="337" t="s">
        <v>140</v>
      </c>
      <c r="F2649" s="311" t="s">
        <v>114</v>
      </c>
      <c r="G2649" s="311" t="s">
        <v>237</v>
      </c>
      <c r="H2649" s="311" t="s">
        <v>397</v>
      </c>
      <c r="I2649" s="311" t="s">
        <v>66</v>
      </c>
      <c r="J2649" s="50" t="s">
        <v>1892</v>
      </c>
      <c r="K2649" s="50" t="s">
        <v>1892</v>
      </c>
      <c r="L2649" s="50" t="s">
        <v>1893</v>
      </c>
      <c r="M2649" s="50" t="s">
        <v>5183</v>
      </c>
      <c r="N2649" s="50" t="s">
        <v>5183</v>
      </c>
      <c r="O2649" s="50" t="s">
        <v>5179</v>
      </c>
      <c r="P2649" s="50" t="s">
        <v>5183</v>
      </c>
    </row>
    <row r="2650" spans="1:16" ht="12.75" customHeight="1" x14ac:dyDescent="0.25">
      <c r="A2650" s="311">
        <v>2647</v>
      </c>
      <c r="B2650" s="311" t="s">
        <v>121</v>
      </c>
      <c r="C2650" s="311" t="s">
        <v>121</v>
      </c>
      <c r="D2650" s="311" t="s">
        <v>462</v>
      </c>
      <c r="E2650" s="337" t="s">
        <v>121</v>
      </c>
      <c r="F2650" s="311" t="s">
        <v>114</v>
      </c>
      <c r="G2650" s="311" t="s">
        <v>237</v>
      </c>
      <c r="H2650" s="311" t="s">
        <v>397</v>
      </c>
      <c r="I2650" s="311" t="s">
        <v>66</v>
      </c>
      <c r="J2650" s="50" t="s">
        <v>1892</v>
      </c>
      <c r="K2650" s="50" t="s">
        <v>1892</v>
      </c>
      <c r="L2650" s="50" t="s">
        <v>1893</v>
      </c>
      <c r="M2650" s="50" t="s">
        <v>5184</v>
      </c>
      <c r="N2650" s="50" t="s">
        <v>5184</v>
      </c>
      <c r="O2650" s="50" t="s">
        <v>5179</v>
      </c>
      <c r="P2650" s="50" t="s">
        <v>5184</v>
      </c>
    </row>
    <row r="2651" spans="1:16" ht="12.75" customHeight="1" x14ac:dyDescent="0.25">
      <c r="A2651" s="311">
        <v>2648</v>
      </c>
      <c r="B2651" s="311" t="s">
        <v>87</v>
      </c>
      <c r="C2651" s="311" t="s">
        <v>87</v>
      </c>
      <c r="D2651" s="311" t="s">
        <v>462</v>
      </c>
      <c r="E2651" s="337" t="s">
        <v>87</v>
      </c>
      <c r="F2651" s="311" t="s">
        <v>114</v>
      </c>
      <c r="G2651" s="311" t="s">
        <v>237</v>
      </c>
      <c r="H2651" s="311" t="s">
        <v>397</v>
      </c>
      <c r="I2651" s="311" t="s">
        <v>66</v>
      </c>
      <c r="J2651" s="50" t="s">
        <v>1892</v>
      </c>
      <c r="K2651" s="50" t="s">
        <v>1892</v>
      </c>
      <c r="L2651" s="50" t="s">
        <v>1893</v>
      </c>
      <c r="M2651" s="50" t="s">
        <v>5185</v>
      </c>
      <c r="N2651" s="50" t="s">
        <v>5185</v>
      </c>
      <c r="O2651" s="50" t="s">
        <v>5179</v>
      </c>
      <c r="P2651" s="50" t="s">
        <v>5185</v>
      </c>
    </row>
    <row r="2652" spans="1:16" ht="12.75" customHeight="1" x14ac:dyDescent="0.25">
      <c r="A2652" s="311">
        <v>2649</v>
      </c>
      <c r="B2652" s="311" t="s">
        <v>125</v>
      </c>
      <c r="C2652" s="311" t="s">
        <v>125</v>
      </c>
      <c r="D2652" s="311" t="s">
        <v>125</v>
      </c>
      <c r="E2652" s="337" t="s">
        <v>125</v>
      </c>
      <c r="F2652" s="311" t="s">
        <v>114</v>
      </c>
      <c r="G2652" s="311" t="s">
        <v>237</v>
      </c>
      <c r="H2652" s="311" t="s">
        <v>397</v>
      </c>
      <c r="I2652" s="311" t="s">
        <v>66</v>
      </c>
      <c r="J2652" s="50" t="s">
        <v>1892</v>
      </c>
      <c r="K2652" s="50" t="s">
        <v>1892</v>
      </c>
      <c r="L2652" s="50" t="s">
        <v>1893</v>
      </c>
      <c r="M2652" s="50" t="s">
        <v>5186</v>
      </c>
      <c r="N2652" s="50" t="s">
        <v>5186</v>
      </c>
      <c r="O2652" s="50" t="s">
        <v>5186</v>
      </c>
      <c r="P2652" s="50" t="s">
        <v>5186</v>
      </c>
    </row>
    <row r="2653" spans="1:16" ht="12.75" customHeight="1" x14ac:dyDescent="0.25">
      <c r="A2653" s="311">
        <v>2650</v>
      </c>
      <c r="B2653" s="311" t="s">
        <v>134</v>
      </c>
      <c r="C2653" s="311" t="s">
        <v>134</v>
      </c>
      <c r="D2653" s="311" t="s">
        <v>134</v>
      </c>
      <c r="E2653" s="337" t="s">
        <v>134</v>
      </c>
      <c r="F2653" s="311" t="s">
        <v>114</v>
      </c>
      <c r="G2653" s="311" t="s">
        <v>237</v>
      </c>
      <c r="H2653" s="311" t="s">
        <v>397</v>
      </c>
      <c r="I2653" s="311" t="s">
        <v>66</v>
      </c>
      <c r="J2653" s="50" t="s">
        <v>1892</v>
      </c>
      <c r="K2653" s="50" t="s">
        <v>1892</v>
      </c>
      <c r="L2653" s="50" t="s">
        <v>1893</v>
      </c>
      <c r="M2653" s="50" t="s">
        <v>5187</v>
      </c>
      <c r="N2653" s="50" t="s">
        <v>5187</v>
      </c>
      <c r="O2653" s="50" t="s">
        <v>5187</v>
      </c>
      <c r="P2653" s="50" t="s">
        <v>5187</v>
      </c>
    </row>
    <row r="2654" spans="1:16" ht="12.75" customHeight="1" x14ac:dyDescent="0.25">
      <c r="A2654" s="311">
        <v>2651</v>
      </c>
      <c r="B2654" s="311" t="s">
        <v>141</v>
      </c>
      <c r="C2654" s="311" t="s">
        <v>141</v>
      </c>
      <c r="D2654" s="311" t="s">
        <v>141</v>
      </c>
      <c r="E2654" s="337" t="s">
        <v>141</v>
      </c>
      <c r="F2654" s="311" t="s">
        <v>114</v>
      </c>
      <c r="G2654" s="311" t="s">
        <v>237</v>
      </c>
      <c r="H2654" s="311" t="s">
        <v>397</v>
      </c>
      <c r="I2654" s="311" t="s">
        <v>66</v>
      </c>
      <c r="J2654" s="50" t="s">
        <v>1892</v>
      </c>
      <c r="K2654" s="50" t="s">
        <v>1892</v>
      </c>
      <c r="L2654" s="50" t="s">
        <v>1893</v>
      </c>
      <c r="M2654" s="50" t="s">
        <v>5188</v>
      </c>
      <c r="N2654" s="50" t="s">
        <v>5188</v>
      </c>
      <c r="O2654" s="50" t="s">
        <v>5188</v>
      </c>
      <c r="P2654" s="50" t="s">
        <v>5188</v>
      </c>
    </row>
    <row r="2655" spans="1:16" ht="12.75" customHeight="1" x14ac:dyDescent="0.25">
      <c r="A2655" s="311">
        <v>2652</v>
      </c>
      <c r="B2655" s="311" t="s">
        <v>69</v>
      </c>
      <c r="C2655" s="311" t="s">
        <v>69</v>
      </c>
      <c r="D2655" s="311" t="s">
        <v>69</v>
      </c>
      <c r="E2655" s="337" t="s">
        <v>69</v>
      </c>
      <c r="F2655" s="311" t="s">
        <v>114</v>
      </c>
      <c r="G2655" s="311" t="s">
        <v>237</v>
      </c>
      <c r="H2655" s="311" t="s">
        <v>397</v>
      </c>
      <c r="I2655" s="311" t="s">
        <v>66</v>
      </c>
      <c r="J2655" s="50" t="s">
        <v>1892</v>
      </c>
      <c r="K2655" s="50" t="s">
        <v>1892</v>
      </c>
      <c r="L2655" s="50" t="s">
        <v>1893</v>
      </c>
      <c r="M2655" s="50" t="s">
        <v>5189</v>
      </c>
      <c r="N2655" s="50" t="s">
        <v>5189</v>
      </c>
      <c r="O2655" s="50" t="s">
        <v>5189</v>
      </c>
      <c r="P2655" s="50" t="s">
        <v>5189</v>
      </c>
    </row>
    <row r="2656" spans="1:16" ht="12.75" customHeight="1" x14ac:dyDescent="0.25">
      <c r="A2656" s="311">
        <v>2653</v>
      </c>
      <c r="B2656" s="311" t="s">
        <v>84</v>
      </c>
      <c r="C2656" s="311" t="s">
        <v>462</v>
      </c>
      <c r="D2656" s="311" t="s">
        <v>462</v>
      </c>
      <c r="E2656" s="337" t="s">
        <v>462</v>
      </c>
      <c r="F2656" s="311" t="s">
        <v>297</v>
      </c>
      <c r="G2656" s="311" t="s">
        <v>236</v>
      </c>
      <c r="H2656" s="311" t="s">
        <v>418</v>
      </c>
      <c r="I2656" s="311" t="s">
        <v>66</v>
      </c>
      <c r="J2656" s="50" t="s">
        <v>1892</v>
      </c>
      <c r="K2656" s="50" t="s">
        <v>1892</v>
      </c>
      <c r="L2656" s="50" t="s">
        <v>1893</v>
      </c>
      <c r="M2656" s="50" t="s">
        <v>5190</v>
      </c>
      <c r="N2656" s="50" t="s">
        <v>5191</v>
      </c>
      <c r="O2656" s="50" t="s">
        <v>5191</v>
      </c>
      <c r="P2656" s="50" t="s">
        <v>5191</v>
      </c>
    </row>
    <row r="2657" spans="1:16" ht="12.75" customHeight="1" x14ac:dyDescent="0.25">
      <c r="A2657" s="311">
        <v>2654</v>
      </c>
      <c r="B2657" s="311" t="s">
        <v>123</v>
      </c>
      <c r="C2657" s="311" t="s">
        <v>462</v>
      </c>
      <c r="D2657" s="311" t="s">
        <v>462</v>
      </c>
      <c r="E2657" s="337" t="s">
        <v>462</v>
      </c>
      <c r="F2657" s="311" t="s">
        <v>297</v>
      </c>
      <c r="G2657" s="311" t="s">
        <v>236</v>
      </c>
      <c r="H2657" s="311" t="s">
        <v>418</v>
      </c>
      <c r="I2657" s="311" t="s">
        <v>66</v>
      </c>
      <c r="J2657" s="50" t="s">
        <v>1892</v>
      </c>
      <c r="K2657" s="50" t="s">
        <v>1892</v>
      </c>
      <c r="L2657" s="50" t="s">
        <v>1893</v>
      </c>
      <c r="M2657" s="50" t="s">
        <v>5192</v>
      </c>
      <c r="N2657" s="50" t="s">
        <v>5191</v>
      </c>
      <c r="O2657" s="50" t="s">
        <v>5191</v>
      </c>
      <c r="P2657" s="50" t="s">
        <v>5191</v>
      </c>
    </row>
    <row r="2658" spans="1:16" ht="12.75" customHeight="1" x14ac:dyDescent="0.25">
      <c r="A2658" s="311">
        <v>2655</v>
      </c>
      <c r="B2658" s="311" t="s">
        <v>75</v>
      </c>
      <c r="C2658" s="311" t="s">
        <v>462</v>
      </c>
      <c r="D2658" s="311" t="s">
        <v>462</v>
      </c>
      <c r="E2658" s="337" t="s">
        <v>462</v>
      </c>
      <c r="F2658" s="311" t="s">
        <v>297</v>
      </c>
      <c r="G2658" s="311" t="s">
        <v>236</v>
      </c>
      <c r="H2658" s="311" t="s">
        <v>418</v>
      </c>
      <c r="I2658" s="311" t="s">
        <v>66</v>
      </c>
      <c r="J2658" s="50" t="s">
        <v>1892</v>
      </c>
      <c r="K2658" s="50" t="s">
        <v>1892</v>
      </c>
      <c r="L2658" s="50" t="s">
        <v>1893</v>
      </c>
      <c r="M2658" s="50" t="s">
        <v>5193</v>
      </c>
      <c r="N2658" s="50" t="s">
        <v>5191</v>
      </c>
      <c r="O2658" s="50" t="s">
        <v>5191</v>
      </c>
      <c r="P2658" s="50" t="s">
        <v>5191</v>
      </c>
    </row>
    <row r="2659" spans="1:16" ht="12.75" customHeight="1" x14ac:dyDescent="0.25">
      <c r="A2659" s="311">
        <v>2656</v>
      </c>
      <c r="B2659" s="311" t="s">
        <v>63</v>
      </c>
      <c r="C2659" s="311" t="s">
        <v>63</v>
      </c>
      <c r="D2659" s="311" t="s">
        <v>462</v>
      </c>
      <c r="E2659" s="337" t="s">
        <v>63</v>
      </c>
      <c r="F2659" s="311" t="s">
        <v>297</v>
      </c>
      <c r="G2659" s="311" t="s">
        <v>236</v>
      </c>
      <c r="H2659" s="311" t="s">
        <v>418</v>
      </c>
      <c r="I2659" s="311" t="s">
        <v>66</v>
      </c>
      <c r="J2659" s="50" t="s">
        <v>1892</v>
      </c>
      <c r="K2659" s="50" t="s">
        <v>1892</v>
      </c>
      <c r="L2659" s="50" t="s">
        <v>1893</v>
      </c>
      <c r="M2659" s="50" t="s">
        <v>5194</v>
      </c>
      <c r="N2659" s="50" t="s">
        <v>5194</v>
      </c>
      <c r="O2659" s="50" t="s">
        <v>5191</v>
      </c>
      <c r="P2659" s="50" t="s">
        <v>5194</v>
      </c>
    </row>
    <row r="2660" spans="1:16" ht="12.75" customHeight="1" x14ac:dyDescent="0.25">
      <c r="A2660" s="311">
        <v>2657</v>
      </c>
      <c r="B2660" s="311" t="s">
        <v>140</v>
      </c>
      <c r="C2660" s="311" t="s">
        <v>140</v>
      </c>
      <c r="D2660" s="311" t="s">
        <v>462</v>
      </c>
      <c r="E2660" s="337" t="s">
        <v>140</v>
      </c>
      <c r="F2660" s="311" t="s">
        <v>297</v>
      </c>
      <c r="G2660" s="311" t="s">
        <v>236</v>
      </c>
      <c r="H2660" s="311" t="s">
        <v>418</v>
      </c>
      <c r="I2660" s="311" t="s">
        <v>66</v>
      </c>
      <c r="J2660" s="50" t="s">
        <v>1892</v>
      </c>
      <c r="K2660" s="50" t="s">
        <v>1892</v>
      </c>
      <c r="L2660" s="50" t="s">
        <v>1893</v>
      </c>
      <c r="M2660" s="50" t="s">
        <v>5195</v>
      </c>
      <c r="N2660" s="50" t="s">
        <v>5195</v>
      </c>
      <c r="O2660" s="50" t="s">
        <v>5191</v>
      </c>
      <c r="P2660" s="50" t="s">
        <v>5195</v>
      </c>
    </row>
    <row r="2661" spans="1:16" ht="12.75" customHeight="1" x14ac:dyDescent="0.25">
      <c r="A2661" s="311">
        <v>2658</v>
      </c>
      <c r="B2661" s="311" t="s">
        <v>121</v>
      </c>
      <c r="C2661" s="311" t="s">
        <v>121</v>
      </c>
      <c r="D2661" s="311" t="s">
        <v>462</v>
      </c>
      <c r="E2661" s="337" t="s">
        <v>121</v>
      </c>
      <c r="F2661" s="311" t="s">
        <v>297</v>
      </c>
      <c r="G2661" s="311" t="s">
        <v>236</v>
      </c>
      <c r="H2661" s="311" t="s">
        <v>418</v>
      </c>
      <c r="I2661" s="311" t="s">
        <v>66</v>
      </c>
      <c r="J2661" s="50" t="s">
        <v>1892</v>
      </c>
      <c r="K2661" s="50" t="s">
        <v>1892</v>
      </c>
      <c r="L2661" s="50" t="s">
        <v>1893</v>
      </c>
      <c r="M2661" s="50" t="s">
        <v>5196</v>
      </c>
      <c r="N2661" s="50" t="s">
        <v>5196</v>
      </c>
      <c r="O2661" s="50" t="s">
        <v>5191</v>
      </c>
      <c r="P2661" s="50" t="s">
        <v>5196</v>
      </c>
    </row>
    <row r="2662" spans="1:16" ht="12.75" customHeight="1" x14ac:dyDescent="0.25">
      <c r="A2662" s="311">
        <v>2659</v>
      </c>
      <c r="B2662" s="311" t="s">
        <v>87</v>
      </c>
      <c r="C2662" s="311" t="s">
        <v>87</v>
      </c>
      <c r="D2662" s="311" t="s">
        <v>462</v>
      </c>
      <c r="E2662" s="337" t="s">
        <v>87</v>
      </c>
      <c r="F2662" s="311" t="s">
        <v>297</v>
      </c>
      <c r="G2662" s="311" t="s">
        <v>236</v>
      </c>
      <c r="H2662" s="311" t="s">
        <v>418</v>
      </c>
      <c r="I2662" s="311" t="s">
        <v>66</v>
      </c>
      <c r="J2662" s="50" t="s">
        <v>1892</v>
      </c>
      <c r="K2662" s="50" t="s">
        <v>1892</v>
      </c>
      <c r="L2662" s="50" t="s">
        <v>1893</v>
      </c>
      <c r="M2662" s="50" t="s">
        <v>5197</v>
      </c>
      <c r="N2662" s="50" t="s">
        <v>5197</v>
      </c>
      <c r="O2662" s="50" t="s">
        <v>5191</v>
      </c>
      <c r="P2662" s="50" t="s">
        <v>5197</v>
      </c>
    </row>
    <row r="2663" spans="1:16" ht="12.75" customHeight="1" x14ac:dyDescent="0.25">
      <c r="A2663" s="311">
        <v>2660</v>
      </c>
      <c r="B2663" s="311" t="s">
        <v>125</v>
      </c>
      <c r="C2663" s="311" t="s">
        <v>125</v>
      </c>
      <c r="D2663" s="311" t="s">
        <v>125</v>
      </c>
      <c r="E2663" s="337" t="s">
        <v>125</v>
      </c>
      <c r="F2663" s="311" t="s">
        <v>297</v>
      </c>
      <c r="G2663" s="311" t="s">
        <v>236</v>
      </c>
      <c r="H2663" s="311" t="s">
        <v>418</v>
      </c>
      <c r="I2663" s="311" t="s">
        <v>66</v>
      </c>
      <c r="J2663" s="50" t="s">
        <v>1892</v>
      </c>
      <c r="K2663" s="50" t="s">
        <v>1892</v>
      </c>
      <c r="L2663" s="50" t="s">
        <v>1893</v>
      </c>
      <c r="M2663" s="50" t="s">
        <v>5198</v>
      </c>
      <c r="N2663" s="50" t="s">
        <v>5198</v>
      </c>
      <c r="O2663" s="50" t="s">
        <v>5198</v>
      </c>
      <c r="P2663" s="50" t="s">
        <v>5198</v>
      </c>
    </row>
    <row r="2664" spans="1:16" ht="12.75" customHeight="1" x14ac:dyDescent="0.25">
      <c r="A2664" s="311">
        <v>2661</v>
      </c>
      <c r="B2664" s="311" t="s">
        <v>134</v>
      </c>
      <c r="C2664" s="311" t="s">
        <v>134</v>
      </c>
      <c r="D2664" s="311" t="s">
        <v>134</v>
      </c>
      <c r="E2664" s="337" t="s">
        <v>134</v>
      </c>
      <c r="F2664" s="311" t="s">
        <v>297</v>
      </c>
      <c r="G2664" s="311" t="s">
        <v>236</v>
      </c>
      <c r="H2664" s="311" t="s">
        <v>418</v>
      </c>
      <c r="I2664" s="311" t="s">
        <v>66</v>
      </c>
      <c r="J2664" s="50" t="s">
        <v>1892</v>
      </c>
      <c r="K2664" s="50" t="s">
        <v>1892</v>
      </c>
      <c r="L2664" s="50" t="s">
        <v>1893</v>
      </c>
      <c r="M2664" s="50" t="s">
        <v>5199</v>
      </c>
      <c r="N2664" s="50" t="s">
        <v>5199</v>
      </c>
      <c r="O2664" s="50" t="s">
        <v>5199</v>
      </c>
      <c r="P2664" s="50" t="s">
        <v>5199</v>
      </c>
    </row>
    <row r="2665" spans="1:16" ht="12.75" customHeight="1" x14ac:dyDescent="0.25">
      <c r="A2665" s="311">
        <v>2662</v>
      </c>
      <c r="B2665" s="311" t="s">
        <v>141</v>
      </c>
      <c r="C2665" s="311" t="s">
        <v>141</v>
      </c>
      <c r="D2665" s="311" t="s">
        <v>141</v>
      </c>
      <c r="E2665" s="337" t="s">
        <v>141</v>
      </c>
      <c r="F2665" s="311" t="s">
        <v>297</v>
      </c>
      <c r="G2665" s="311" t="s">
        <v>236</v>
      </c>
      <c r="H2665" s="311" t="s">
        <v>418</v>
      </c>
      <c r="I2665" s="311" t="s">
        <v>66</v>
      </c>
      <c r="J2665" s="50" t="s">
        <v>1892</v>
      </c>
      <c r="K2665" s="50" t="s">
        <v>1892</v>
      </c>
      <c r="L2665" s="50" t="s">
        <v>1893</v>
      </c>
      <c r="M2665" s="50" t="s">
        <v>5200</v>
      </c>
      <c r="N2665" s="50" t="s">
        <v>5200</v>
      </c>
      <c r="O2665" s="50" t="s">
        <v>5200</v>
      </c>
      <c r="P2665" s="50" t="s">
        <v>5200</v>
      </c>
    </row>
    <row r="2666" spans="1:16" ht="12.75" customHeight="1" x14ac:dyDescent="0.25">
      <c r="A2666" s="311">
        <v>2663</v>
      </c>
      <c r="B2666" s="311" t="s">
        <v>69</v>
      </c>
      <c r="C2666" s="311" t="s">
        <v>69</v>
      </c>
      <c r="D2666" s="311" t="s">
        <v>69</v>
      </c>
      <c r="E2666" s="337" t="s">
        <v>69</v>
      </c>
      <c r="F2666" s="311" t="s">
        <v>297</v>
      </c>
      <c r="G2666" s="311" t="s">
        <v>236</v>
      </c>
      <c r="H2666" s="311" t="s">
        <v>418</v>
      </c>
      <c r="I2666" s="311" t="s">
        <v>66</v>
      </c>
      <c r="J2666" s="50" t="s">
        <v>1892</v>
      </c>
      <c r="K2666" s="50" t="s">
        <v>1892</v>
      </c>
      <c r="L2666" s="50" t="s">
        <v>1893</v>
      </c>
      <c r="M2666" s="50" t="s">
        <v>5201</v>
      </c>
      <c r="N2666" s="50" t="s">
        <v>5201</v>
      </c>
      <c r="O2666" s="50" t="s">
        <v>5201</v>
      </c>
      <c r="P2666" s="50" t="s">
        <v>5201</v>
      </c>
    </row>
    <row r="2667" spans="1:16" ht="12.75" customHeight="1" x14ac:dyDescent="0.25">
      <c r="A2667" s="311">
        <v>2664</v>
      </c>
      <c r="B2667" s="311" t="s">
        <v>84</v>
      </c>
      <c r="C2667" s="311" t="s">
        <v>462</v>
      </c>
      <c r="D2667" s="311" t="s">
        <v>462</v>
      </c>
      <c r="E2667" s="337" t="s">
        <v>462</v>
      </c>
      <c r="F2667" s="311" t="s">
        <v>297</v>
      </c>
      <c r="G2667" s="311" t="s">
        <v>23</v>
      </c>
      <c r="H2667" s="311" t="s">
        <v>418</v>
      </c>
      <c r="I2667" s="311" t="s">
        <v>66</v>
      </c>
      <c r="J2667" s="50" t="s">
        <v>1892</v>
      </c>
      <c r="K2667" s="50" t="s">
        <v>1892</v>
      </c>
      <c r="L2667" s="50" t="s">
        <v>1893</v>
      </c>
      <c r="M2667" s="50" t="s">
        <v>5202</v>
      </c>
      <c r="N2667" s="50" t="s">
        <v>5203</v>
      </c>
      <c r="O2667" s="50" t="s">
        <v>5203</v>
      </c>
      <c r="P2667" s="50" t="s">
        <v>5203</v>
      </c>
    </row>
    <row r="2668" spans="1:16" ht="12.75" customHeight="1" x14ac:dyDescent="0.25">
      <c r="A2668" s="311">
        <v>2665</v>
      </c>
      <c r="B2668" s="311" t="s">
        <v>123</v>
      </c>
      <c r="C2668" s="311" t="s">
        <v>462</v>
      </c>
      <c r="D2668" s="311" t="s">
        <v>462</v>
      </c>
      <c r="E2668" s="337" t="s">
        <v>462</v>
      </c>
      <c r="F2668" s="311" t="s">
        <v>297</v>
      </c>
      <c r="G2668" s="311" t="s">
        <v>23</v>
      </c>
      <c r="H2668" s="311" t="s">
        <v>418</v>
      </c>
      <c r="I2668" s="311" t="s">
        <v>66</v>
      </c>
      <c r="J2668" s="50" t="s">
        <v>1892</v>
      </c>
      <c r="K2668" s="50" t="s">
        <v>1892</v>
      </c>
      <c r="L2668" s="50" t="s">
        <v>1893</v>
      </c>
      <c r="M2668" s="50" t="s">
        <v>5204</v>
      </c>
      <c r="N2668" s="50" t="s">
        <v>5203</v>
      </c>
      <c r="O2668" s="50" t="s">
        <v>5203</v>
      </c>
      <c r="P2668" s="50" t="s">
        <v>5203</v>
      </c>
    </row>
    <row r="2669" spans="1:16" ht="12.75" customHeight="1" x14ac:dyDescent="0.25">
      <c r="A2669" s="311">
        <v>2666</v>
      </c>
      <c r="B2669" s="311" t="s">
        <v>75</v>
      </c>
      <c r="C2669" s="311" t="s">
        <v>462</v>
      </c>
      <c r="D2669" s="311" t="s">
        <v>462</v>
      </c>
      <c r="E2669" s="337" t="s">
        <v>462</v>
      </c>
      <c r="F2669" s="311" t="s">
        <v>297</v>
      </c>
      <c r="G2669" s="311" t="s">
        <v>23</v>
      </c>
      <c r="H2669" s="311" t="s">
        <v>418</v>
      </c>
      <c r="I2669" s="311" t="s">
        <v>66</v>
      </c>
      <c r="J2669" s="50" t="s">
        <v>1892</v>
      </c>
      <c r="K2669" s="50" t="s">
        <v>1892</v>
      </c>
      <c r="L2669" s="50" t="s">
        <v>1893</v>
      </c>
      <c r="M2669" s="50" t="s">
        <v>5205</v>
      </c>
      <c r="N2669" s="50" t="s">
        <v>5203</v>
      </c>
      <c r="O2669" s="50" t="s">
        <v>5203</v>
      </c>
      <c r="P2669" s="50" t="s">
        <v>5203</v>
      </c>
    </row>
    <row r="2670" spans="1:16" ht="12.75" customHeight="1" x14ac:dyDescent="0.25">
      <c r="A2670" s="311">
        <v>2667</v>
      </c>
      <c r="B2670" s="311" t="s">
        <v>63</v>
      </c>
      <c r="C2670" s="311" t="s">
        <v>63</v>
      </c>
      <c r="D2670" s="311" t="s">
        <v>462</v>
      </c>
      <c r="E2670" s="337" t="s">
        <v>63</v>
      </c>
      <c r="F2670" s="311" t="s">
        <v>297</v>
      </c>
      <c r="G2670" s="311" t="s">
        <v>23</v>
      </c>
      <c r="H2670" s="311" t="s">
        <v>418</v>
      </c>
      <c r="I2670" s="311" t="s">
        <v>66</v>
      </c>
      <c r="J2670" s="50" t="s">
        <v>1892</v>
      </c>
      <c r="K2670" s="50" t="s">
        <v>1892</v>
      </c>
      <c r="L2670" s="50" t="s">
        <v>1893</v>
      </c>
      <c r="M2670" s="50" t="s">
        <v>5206</v>
      </c>
      <c r="N2670" s="50" t="s">
        <v>5206</v>
      </c>
      <c r="O2670" s="50" t="s">
        <v>5203</v>
      </c>
      <c r="P2670" s="50" t="s">
        <v>5206</v>
      </c>
    </row>
    <row r="2671" spans="1:16" ht="12.75" customHeight="1" x14ac:dyDescent="0.25">
      <c r="A2671" s="311">
        <v>2668</v>
      </c>
      <c r="B2671" s="311" t="s">
        <v>140</v>
      </c>
      <c r="C2671" s="311" t="s">
        <v>140</v>
      </c>
      <c r="D2671" s="311" t="s">
        <v>462</v>
      </c>
      <c r="E2671" s="337" t="s">
        <v>140</v>
      </c>
      <c r="F2671" s="311" t="s">
        <v>297</v>
      </c>
      <c r="G2671" s="311" t="s">
        <v>23</v>
      </c>
      <c r="H2671" s="311" t="s">
        <v>418</v>
      </c>
      <c r="I2671" s="311" t="s">
        <v>66</v>
      </c>
      <c r="J2671" s="50" t="s">
        <v>1892</v>
      </c>
      <c r="K2671" s="50" t="s">
        <v>1892</v>
      </c>
      <c r="L2671" s="50" t="s">
        <v>1893</v>
      </c>
      <c r="M2671" s="50" t="s">
        <v>5207</v>
      </c>
      <c r="N2671" s="50" t="s">
        <v>5207</v>
      </c>
      <c r="O2671" s="50" t="s">
        <v>5203</v>
      </c>
      <c r="P2671" s="50" t="s">
        <v>5207</v>
      </c>
    </row>
    <row r="2672" spans="1:16" ht="12.75" customHeight="1" x14ac:dyDescent="0.25">
      <c r="A2672" s="311">
        <v>2669</v>
      </c>
      <c r="B2672" s="311" t="s">
        <v>121</v>
      </c>
      <c r="C2672" s="311" t="s">
        <v>121</v>
      </c>
      <c r="D2672" s="311" t="s">
        <v>462</v>
      </c>
      <c r="E2672" s="337" t="s">
        <v>121</v>
      </c>
      <c r="F2672" s="311" t="s">
        <v>297</v>
      </c>
      <c r="G2672" s="311" t="s">
        <v>23</v>
      </c>
      <c r="H2672" s="311" t="s">
        <v>418</v>
      </c>
      <c r="I2672" s="311" t="s">
        <v>66</v>
      </c>
      <c r="J2672" s="50" t="s">
        <v>1892</v>
      </c>
      <c r="K2672" s="50" t="s">
        <v>1892</v>
      </c>
      <c r="L2672" s="50" t="s">
        <v>1893</v>
      </c>
      <c r="M2672" s="50" t="s">
        <v>5208</v>
      </c>
      <c r="N2672" s="50" t="s">
        <v>5208</v>
      </c>
      <c r="O2672" s="50" t="s">
        <v>5203</v>
      </c>
      <c r="P2672" s="50" t="s">
        <v>5208</v>
      </c>
    </row>
    <row r="2673" spans="1:16" ht="12.75" customHeight="1" x14ac:dyDescent="0.25">
      <c r="A2673" s="311">
        <v>2670</v>
      </c>
      <c r="B2673" s="311" t="s">
        <v>87</v>
      </c>
      <c r="C2673" s="311" t="s">
        <v>87</v>
      </c>
      <c r="D2673" s="311" t="s">
        <v>462</v>
      </c>
      <c r="E2673" s="337" t="s">
        <v>87</v>
      </c>
      <c r="F2673" s="311" t="s">
        <v>297</v>
      </c>
      <c r="G2673" s="311" t="s">
        <v>23</v>
      </c>
      <c r="H2673" s="311" t="s">
        <v>418</v>
      </c>
      <c r="I2673" s="311" t="s">
        <v>66</v>
      </c>
      <c r="J2673" s="50" t="s">
        <v>1892</v>
      </c>
      <c r="K2673" s="50" t="s">
        <v>1892</v>
      </c>
      <c r="L2673" s="50" t="s">
        <v>1893</v>
      </c>
      <c r="M2673" s="50" t="s">
        <v>5209</v>
      </c>
      <c r="N2673" s="50" t="s">
        <v>5209</v>
      </c>
      <c r="O2673" s="50" t="s">
        <v>5203</v>
      </c>
      <c r="P2673" s="50" t="s">
        <v>5209</v>
      </c>
    </row>
    <row r="2674" spans="1:16" ht="12.75" customHeight="1" x14ac:dyDescent="0.25">
      <c r="A2674" s="311">
        <v>2671</v>
      </c>
      <c r="B2674" s="311" t="s">
        <v>125</v>
      </c>
      <c r="C2674" s="311" t="s">
        <v>125</v>
      </c>
      <c r="D2674" s="311" t="s">
        <v>125</v>
      </c>
      <c r="E2674" s="337" t="s">
        <v>125</v>
      </c>
      <c r="F2674" s="311" t="s">
        <v>297</v>
      </c>
      <c r="G2674" s="311" t="s">
        <v>23</v>
      </c>
      <c r="H2674" s="311" t="s">
        <v>418</v>
      </c>
      <c r="I2674" s="311" t="s">
        <v>66</v>
      </c>
      <c r="J2674" s="50" t="s">
        <v>1892</v>
      </c>
      <c r="K2674" s="50" t="s">
        <v>1892</v>
      </c>
      <c r="L2674" s="50" t="s">
        <v>1893</v>
      </c>
      <c r="M2674" s="50" t="s">
        <v>5210</v>
      </c>
      <c r="N2674" s="50" t="s">
        <v>5210</v>
      </c>
      <c r="O2674" s="50" t="s">
        <v>5210</v>
      </c>
      <c r="P2674" s="50" t="s">
        <v>5210</v>
      </c>
    </row>
    <row r="2675" spans="1:16" ht="12.75" customHeight="1" x14ac:dyDescent="0.25">
      <c r="A2675" s="311">
        <v>2672</v>
      </c>
      <c r="B2675" s="311" t="s">
        <v>134</v>
      </c>
      <c r="C2675" s="311" t="s">
        <v>134</v>
      </c>
      <c r="D2675" s="311" t="s">
        <v>134</v>
      </c>
      <c r="E2675" s="337" t="s">
        <v>134</v>
      </c>
      <c r="F2675" s="311" t="s">
        <v>297</v>
      </c>
      <c r="G2675" s="311" t="s">
        <v>23</v>
      </c>
      <c r="H2675" s="311" t="s">
        <v>418</v>
      </c>
      <c r="I2675" s="311" t="s">
        <v>66</v>
      </c>
      <c r="J2675" s="50" t="s">
        <v>1892</v>
      </c>
      <c r="K2675" s="50" t="s">
        <v>1892</v>
      </c>
      <c r="L2675" s="50" t="s">
        <v>1893</v>
      </c>
      <c r="M2675" s="50" t="s">
        <v>5211</v>
      </c>
      <c r="N2675" s="50" t="s">
        <v>5211</v>
      </c>
      <c r="O2675" s="50" t="s">
        <v>5211</v>
      </c>
      <c r="P2675" s="50" t="s">
        <v>5211</v>
      </c>
    </row>
    <row r="2676" spans="1:16" ht="12.75" customHeight="1" x14ac:dyDescent="0.25">
      <c r="A2676" s="311">
        <v>2673</v>
      </c>
      <c r="B2676" s="311" t="s">
        <v>141</v>
      </c>
      <c r="C2676" s="311" t="s">
        <v>141</v>
      </c>
      <c r="D2676" s="311" t="s">
        <v>141</v>
      </c>
      <c r="E2676" s="337" t="s">
        <v>141</v>
      </c>
      <c r="F2676" s="311" t="s">
        <v>297</v>
      </c>
      <c r="G2676" s="311" t="s">
        <v>23</v>
      </c>
      <c r="H2676" s="311" t="s">
        <v>418</v>
      </c>
      <c r="I2676" s="311" t="s">
        <v>66</v>
      </c>
      <c r="J2676" s="50" t="s">
        <v>1892</v>
      </c>
      <c r="K2676" s="50" t="s">
        <v>1892</v>
      </c>
      <c r="L2676" s="50" t="s">
        <v>1893</v>
      </c>
      <c r="M2676" s="50" t="s">
        <v>5212</v>
      </c>
      <c r="N2676" s="50" t="s">
        <v>5212</v>
      </c>
      <c r="O2676" s="50" t="s">
        <v>5212</v>
      </c>
      <c r="P2676" s="50" t="s">
        <v>5212</v>
      </c>
    </row>
    <row r="2677" spans="1:16" ht="12.75" customHeight="1" x14ac:dyDescent="0.25">
      <c r="A2677" s="311">
        <v>2674</v>
      </c>
      <c r="B2677" s="311" t="s">
        <v>69</v>
      </c>
      <c r="C2677" s="311" t="s">
        <v>69</v>
      </c>
      <c r="D2677" s="311" t="s">
        <v>69</v>
      </c>
      <c r="E2677" s="337" t="s">
        <v>69</v>
      </c>
      <c r="F2677" s="311" t="s">
        <v>297</v>
      </c>
      <c r="G2677" s="311" t="s">
        <v>23</v>
      </c>
      <c r="H2677" s="311" t="s">
        <v>418</v>
      </c>
      <c r="I2677" s="311" t="s">
        <v>66</v>
      </c>
      <c r="J2677" s="50" t="s">
        <v>1892</v>
      </c>
      <c r="K2677" s="50" t="s">
        <v>1892</v>
      </c>
      <c r="L2677" s="50" t="s">
        <v>1893</v>
      </c>
      <c r="M2677" s="50" t="s">
        <v>5213</v>
      </c>
      <c r="N2677" s="50" t="s">
        <v>5213</v>
      </c>
      <c r="O2677" s="50" t="s">
        <v>5213</v>
      </c>
      <c r="P2677" s="50" t="s">
        <v>5213</v>
      </c>
    </row>
    <row r="2678" spans="1:16" ht="12.75" customHeight="1" x14ac:dyDescent="0.25">
      <c r="A2678" s="311">
        <v>2675</v>
      </c>
      <c r="B2678" s="311" t="s">
        <v>84</v>
      </c>
      <c r="C2678" s="311" t="s">
        <v>462</v>
      </c>
      <c r="D2678" s="311" t="s">
        <v>462</v>
      </c>
      <c r="E2678" s="337" t="s">
        <v>462</v>
      </c>
      <c r="F2678" s="311" t="s">
        <v>297</v>
      </c>
      <c r="G2678" s="311" t="s">
        <v>237</v>
      </c>
      <c r="H2678" s="311" t="s">
        <v>418</v>
      </c>
      <c r="I2678" s="311" t="s">
        <v>66</v>
      </c>
      <c r="J2678" s="50" t="s">
        <v>1892</v>
      </c>
      <c r="K2678" s="50" t="s">
        <v>1892</v>
      </c>
      <c r="L2678" s="50" t="s">
        <v>1893</v>
      </c>
      <c r="M2678" s="50" t="s">
        <v>5214</v>
      </c>
      <c r="N2678" s="50" t="s">
        <v>5215</v>
      </c>
      <c r="O2678" s="50" t="s">
        <v>5215</v>
      </c>
      <c r="P2678" s="50" t="s">
        <v>5215</v>
      </c>
    </row>
    <row r="2679" spans="1:16" ht="12.75" customHeight="1" x14ac:dyDescent="0.25">
      <c r="A2679" s="311">
        <v>2676</v>
      </c>
      <c r="B2679" s="311" t="s">
        <v>123</v>
      </c>
      <c r="C2679" s="311" t="s">
        <v>462</v>
      </c>
      <c r="D2679" s="311" t="s">
        <v>462</v>
      </c>
      <c r="E2679" s="337" t="s">
        <v>462</v>
      </c>
      <c r="F2679" s="311" t="s">
        <v>297</v>
      </c>
      <c r="G2679" s="311" t="s">
        <v>237</v>
      </c>
      <c r="H2679" s="311" t="s">
        <v>418</v>
      </c>
      <c r="I2679" s="311" t="s">
        <v>66</v>
      </c>
      <c r="J2679" s="50" t="s">
        <v>1892</v>
      </c>
      <c r="K2679" s="50" t="s">
        <v>1892</v>
      </c>
      <c r="L2679" s="50" t="s">
        <v>1893</v>
      </c>
      <c r="M2679" s="50" t="s">
        <v>5216</v>
      </c>
      <c r="N2679" s="50" t="s">
        <v>5215</v>
      </c>
      <c r="O2679" s="50" t="s">
        <v>5215</v>
      </c>
      <c r="P2679" s="50" t="s">
        <v>5215</v>
      </c>
    </row>
    <row r="2680" spans="1:16" ht="12.75" customHeight="1" x14ac:dyDescent="0.25">
      <c r="A2680" s="311">
        <v>2677</v>
      </c>
      <c r="B2680" s="311" t="s">
        <v>75</v>
      </c>
      <c r="C2680" s="311" t="s">
        <v>462</v>
      </c>
      <c r="D2680" s="311" t="s">
        <v>462</v>
      </c>
      <c r="E2680" s="337" t="s">
        <v>462</v>
      </c>
      <c r="F2680" s="311" t="s">
        <v>297</v>
      </c>
      <c r="G2680" s="311" t="s">
        <v>237</v>
      </c>
      <c r="H2680" s="311" t="s">
        <v>418</v>
      </c>
      <c r="I2680" s="311" t="s">
        <v>66</v>
      </c>
      <c r="J2680" s="50" t="s">
        <v>1892</v>
      </c>
      <c r="K2680" s="50" t="s">
        <v>1892</v>
      </c>
      <c r="L2680" s="50" t="s">
        <v>1893</v>
      </c>
      <c r="M2680" s="50" t="s">
        <v>5217</v>
      </c>
      <c r="N2680" s="50" t="s">
        <v>5215</v>
      </c>
      <c r="O2680" s="50" t="s">
        <v>5215</v>
      </c>
      <c r="P2680" s="50" t="s">
        <v>5215</v>
      </c>
    </row>
    <row r="2681" spans="1:16" ht="12.75" customHeight="1" x14ac:dyDescent="0.25">
      <c r="A2681" s="311">
        <v>2678</v>
      </c>
      <c r="B2681" s="311" t="s">
        <v>63</v>
      </c>
      <c r="C2681" s="311" t="s">
        <v>63</v>
      </c>
      <c r="D2681" s="311" t="s">
        <v>462</v>
      </c>
      <c r="E2681" s="337" t="s">
        <v>63</v>
      </c>
      <c r="F2681" s="311" t="s">
        <v>297</v>
      </c>
      <c r="G2681" s="311" t="s">
        <v>237</v>
      </c>
      <c r="H2681" s="311" t="s">
        <v>418</v>
      </c>
      <c r="I2681" s="311" t="s">
        <v>66</v>
      </c>
      <c r="J2681" s="50" t="s">
        <v>1892</v>
      </c>
      <c r="K2681" s="50" t="s">
        <v>1892</v>
      </c>
      <c r="L2681" s="50" t="s">
        <v>1893</v>
      </c>
      <c r="M2681" s="50" t="s">
        <v>5218</v>
      </c>
      <c r="N2681" s="50" t="s">
        <v>5218</v>
      </c>
      <c r="O2681" s="50" t="s">
        <v>5215</v>
      </c>
      <c r="P2681" s="50" t="s">
        <v>5218</v>
      </c>
    </row>
    <row r="2682" spans="1:16" ht="12.75" customHeight="1" x14ac:dyDescent="0.25">
      <c r="A2682" s="311">
        <v>2679</v>
      </c>
      <c r="B2682" s="311" t="s">
        <v>140</v>
      </c>
      <c r="C2682" s="311" t="s">
        <v>140</v>
      </c>
      <c r="D2682" s="311" t="s">
        <v>462</v>
      </c>
      <c r="E2682" s="337" t="s">
        <v>140</v>
      </c>
      <c r="F2682" s="311" t="s">
        <v>297</v>
      </c>
      <c r="G2682" s="311" t="s">
        <v>237</v>
      </c>
      <c r="H2682" s="311" t="s">
        <v>418</v>
      </c>
      <c r="I2682" s="311" t="s">
        <v>66</v>
      </c>
      <c r="J2682" s="50" t="s">
        <v>1892</v>
      </c>
      <c r="K2682" s="50" t="s">
        <v>1892</v>
      </c>
      <c r="L2682" s="50" t="s">
        <v>1893</v>
      </c>
      <c r="M2682" s="50" t="s">
        <v>5219</v>
      </c>
      <c r="N2682" s="50" t="s">
        <v>5219</v>
      </c>
      <c r="O2682" s="50" t="s">
        <v>5215</v>
      </c>
      <c r="P2682" s="50" t="s">
        <v>5219</v>
      </c>
    </row>
    <row r="2683" spans="1:16" ht="12.75" customHeight="1" x14ac:dyDescent="0.25">
      <c r="A2683" s="311">
        <v>2680</v>
      </c>
      <c r="B2683" s="311" t="s">
        <v>121</v>
      </c>
      <c r="C2683" s="311" t="s">
        <v>121</v>
      </c>
      <c r="D2683" s="311" t="s">
        <v>462</v>
      </c>
      <c r="E2683" s="337" t="s">
        <v>121</v>
      </c>
      <c r="F2683" s="311" t="s">
        <v>297</v>
      </c>
      <c r="G2683" s="311" t="s">
        <v>237</v>
      </c>
      <c r="H2683" s="311" t="s">
        <v>418</v>
      </c>
      <c r="I2683" s="311" t="s">
        <v>66</v>
      </c>
      <c r="J2683" s="50" t="s">
        <v>1892</v>
      </c>
      <c r="K2683" s="50" t="s">
        <v>1892</v>
      </c>
      <c r="L2683" s="50" t="s">
        <v>1893</v>
      </c>
      <c r="M2683" s="50" t="s">
        <v>5220</v>
      </c>
      <c r="N2683" s="50" t="s">
        <v>5220</v>
      </c>
      <c r="O2683" s="50" t="s">
        <v>5215</v>
      </c>
      <c r="P2683" s="50" t="s">
        <v>5220</v>
      </c>
    </row>
    <row r="2684" spans="1:16" ht="12.75" customHeight="1" x14ac:dyDescent="0.25">
      <c r="A2684" s="311">
        <v>2681</v>
      </c>
      <c r="B2684" s="311" t="s">
        <v>87</v>
      </c>
      <c r="C2684" s="311" t="s">
        <v>87</v>
      </c>
      <c r="D2684" s="311" t="s">
        <v>462</v>
      </c>
      <c r="E2684" s="337" t="s">
        <v>87</v>
      </c>
      <c r="F2684" s="311" t="s">
        <v>297</v>
      </c>
      <c r="G2684" s="311" t="s">
        <v>237</v>
      </c>
      <c r="H2684" s="311" t="s">
        <v>418</v>
      </c>
      <c r="I2684" s="311" t="s">
        <v>66</v>
      </c>
      <c r="J2684" s="50" t="s">
        <v>1892</v>
      </c>
      <c r="K2684" s="50" t="s">
        <v>1892</v>
      </c>
      <c r="L2684" s="50" t="s">
        <v>1893</v>
      </c>
      <c r="M2684" s="50" t="s">
        <v>5221</v>
      </c>
      <c r="N2684" s="50" t="s">
        <v>5221</v>
      </c>
      <c r="O2684" s="50" t="s">
        <v>5215</v>
      </c>
      <c r="P2684" s="50" t="s">
        <v>5221</v>
      </c>
    </row>
    <row r="2685" spans="1:16" ht="12.75" customHeight="1" x14ac:dyDescent="0.25">
      <c r="A2685" s="311">
        <v>2682</v>
      </c>
      <c r="B2685" s="311" t="s">
        <v>125</v>
      </c>
      <c r="C2685" s="311" t="s">
        <v>125</v>
      </c>
      <c r="D2685" s="311" t="s">
        <v>125</v>
      </c>
      <c r="E2685" s="337" t="s">
        <v>125</v>
      </c>
      <c r="F2685" s="311" t="s">
        <v>297</v>
      </c>
      <c r="G2685" s="311" t="s">
        <v>237</v>
      </c>
      <c r="H2685" s="311" t="s">
        <v>418</v>
      </c>
      <c r="I2685" s="311" t="s">
        <v>66</v>
      </c>
      <c r="J2685" s="50" t="s">
        <v>1892</v>
      </c>
      <c r="K2685" s="50" t="s">
        <v>1892</v>
      </c>
      <c r="L2685" s="50" t="s">
        <v>1893</v>
      </c>
      <c r="M2685" s="50" t="s">
        <v>5222</v>
      </c>
      <c r="N2685" s="50" t="s">
        <v>5222</v>
      </c>
      <c r="O2685" s="50" t="s">
        <v>5222</v>
      </c>
      <c r="P2685" s="50" t="s">
        <v>5222</v>
      </c>
    </row>
    <row r="2686" spans="1:16" ht="12.75" customHeight="1" x14ac:dyDescent="0.25">
      <c r="A2686" s="311">
        <v>2683</v>
      </c>
      <c r="B2686" s="311" t="s">
        <v>134</v>
      </c>
      <c r="C2686" s="311" t="s">
        <v>134</v>
      </c>
      <c r="D2686" s="311" t="s">
        <v>134</v>
      </c>
      <c r="E2686" s="337" t="s">
        <v>134</v>
      </c>
      <c r="F2686" s="311" t="s">
        <v>297</v>
      </c>
      <c r="G2686" s="311" t="s">
        <v>237</v>
      </c>
      <c r="H2686" s="311" t="s">
        <v>418</v>
      </c>
      <c r="I2686" s="311" t="s">
        <v>66</v>
      </c>
      <c r="J2686" s="50" t="s">
        <v>1892</v>
      </c>
      <c r="K2686" s="50" t="s">
        <v>1892</v>
      </c>
      <c r="L2686" s="50" t="s">
        <v>1893</v>
      </c>
      <c r="M2686" s="50" t="s">
        <v>5223</v>
      </c>
      <c r="N2686" s="50" t="s">
        <v>5223</v>
      </c>
      <c r="O2686" s="50" t="s">
        <v>5223</v>
      </c>
      <c r="P2686" s="50" t="s">
        <v>5223</v>
      </c>
    </row>
    <row r="2687" spans="1:16" ht="12.75" customHeight="1" x14ac:dyDescent="0.25">
      <c r="A2687" s="311">
        <v>2684</v>
      </c>
      <c r="B2687" s="311" t="s">
        <v>141</v>
      </c>
      <c r="C2687" s="311" t="s">
        <v>141</v>
      </c>
      <c r="D2687" s="311" t="s">
        <v>141</v>
      </c>
      <c r="E2687" s="337" t="s">
        <v>141</v>
      </c>
      <c r="F2687" s="311" t="s">
        <v>297</v>
      </c>
      <c r="G2687" s="311" t="s">
        <v>237</v>
      </c>
      <c r="H2687" s="311" t="s">
        <v>418</v>
      </c>
      <c r="I2687" s="311" t="s">
        <v>66</v>
      </c>
      <c r="J2687" s="50" t="s">
        <v>1892</v>
      </c>
      <c r="K2687" s="50" t="s">
        <v>1892</v>
      </c>
      <c r="L2687" s="50" t="s">
        <v>1893</v>
      </c>
      <c r="M2687" s="50" t="s">
        <v>5224</v>
      </c>
      <c r="N2687" s="50" t="s">
        <v>5224</v>
      </c>
      <c r="O2687" s="50" t="s">
        <v>5224</v>
      </c>
      <c r="P2687" s="50" t="s">
        <v>5224</v>
      </c>
    </row>
    <row r="2688" spans="1:16" ht="12.75" customHeight="1" x14ac:dyDescent="0.25">
      <c r="A2688" s="311">
        <v>2685</v>
      </c>
      <c r="B2688" s="311" t="s">
        <v>69</v>
      </c>
      <c r="C2688" s="311" t="s">
        <v>69</v>
      </c>
      <c r="D2688" s="311" t="s">
        <v>69</v>
      </c>
      <c r="E2688" s="337" t="s">
        <v>69</v>
      </c>
      <c r="F2688" s="311" t="s">
        <v>297</v>
      </c>
      <c r="G2688" s="311" t="s">
        <v>237</v>
      </c>
      <c r="H2688" s="311" t="s">
        <v>418</v>
      </c>
      <c r="I2688" s="311" t="s">
        <v>66</v>
      </c>
      <c r="J2688" s="50" t="s">
        <v>1892</v>
      </c>
      <c r="K2688" s="50" t="s">
        <v>1892</v>
      </c>
      <c r="L2688" s="50" t="s">
        <v>1893</v>
      </c>
      <c r="M2688" s="50" t="s">
        <v>5225</v>
      </c>
      <c r="N2688" s="50" t="s">
        <v>5225</v>
      </c>
      <c r="O2688" s="50" t="s">
        <v>5225</v>
      </c>
      <c r="P2688" s="50" t="s">
        <v>5225</v>
      </c>
    </row>
    <row r="2689" spans="1:16" ht="12.75" customHeight="1" x14ac:dyDescent="0.25">
      <c r="A2689" s="311">
        <v>2686</v>
      </c>
      <c r="B2689" s="311" t="s">
        <v>84</v>
      </c>
      <c r="C2689" s="311" t="s">
        <v>462</v>
      </c>
      <c r="D2689" s="311" t="s">
        <v>462</v>
      </c>
      <c r="E2689" s="337" t="s">
        <v>462</v>
      </c>
      <c r="F2689" s="311" t="s">
        <v>270</v>
      </c>
      <c r="G2689" s="311" t="s">
        <v>236</v>
      </c>
      <c r="H2689" s="311" t="s">
        <v>418</v>
      </c>
      <c r="I2689" s="311" t="s">
        <v>66</v>
      </c>
      <c r="J2689" s="50" t="s">
        <v>1892</v>
      </c>
      <c r="K2689" s="50" t="s">
        <v>1892</v>
      </c>
      <c r="L2689" s="50" t="s">
        <v>1893</v>
      </c>
      <c r="M2689" s="50" t="s">
        <v>5226</v>
      </c>
      <c r="N2689" s="50" t="s">
        <v>5227</v>
      </c>
      <c r="O2689" s="50" t="s">
        <v>5227</v>
      </c>
      <c r="P2689" s="50" t="s">
        <v>5227</v>
      </c>
    </row>
    <row r="2690" spans="1:16" ht="12.75" customHeight="1" x14ac:dyDescent="0.25">
      <c r="A2690" s="311">
        <v>2687</v>
      </c>
      <c r="B2690" s="311" t="s">
        <v>123</v>
      </c>
      <c r="C2690" s="311" t="s">
        <v>462</v>
      </c>
      <c r="D2690" s="311" t="s">
        <v>462</v>
      </c>
      <c r="E2690" s="337" t="s">
        <v>462</v>
      </c>
      <c r="F2690" s="311" t="s">
        <v>270</v>
      </c>
      <c r="G2690" s="311" t="s">
        <v>236</v>
      </c>
      <c r="H2690" s="311" t="s">
        <v>418</v>
      </c>
      <c r="I2690" s="311" t="s">
        <v>66</v>
      </c>
      <c r="J2690" s="50" t="s">
        <v>1892</v>
      </c>
      <c r="K2690" s="50" t="s">
        <v>1892</v>
      </c>
      <c r="L2690" s="50" t="s">
        <v>1893</v>
      </c>
      <c r="M2690" s="50" t="s">
        <v>5228</v>
      </c>
      <c r="N2690" s="50" t="s">
        <v>5227</v>
      </c>
      <c r="O2690" s="50" t="s">
        <v>5227</v>
      </c>
      <c r="P2690" s="50" t="s">
        <v>5227</v>
      </c>
    </row>
    <row r="2691" spans="1:16" ht="12.75" customHeight="1" x14ac:dyDescent="0.25">
      <c r="A2691" s="311">
        <v>2688</v>
      </c>
      <c r="B2691" s="311" t="s">
        <v>75</v>
      </c>
      <c r="C2691" s="311" t="s">
        <v>462</v>
      </c>
      <c r="D2691" s="311" t="s">
        <v>462</v>
      </c>
      <c r="E2691" s="337" t="s">
        <v>462</v>
      </c>
      <c r="F2691" s="311" t="s">
        <v>270</v>
      </c>
      <c r="G2691" s="311" t="s">
        <v>236</v>
      </c>
      <c r="H2691" s="311" t="s">
        <v>418</v>
      </c>
      <c r="I2691" s="311" t="s">
        <v>66</v>
      </c>
      <c r="J2691" s="50" t="s">
        <v>1892</v>
      </c>
      <c r="K2691" s="50" t="s">
        <v>1892</v>
      </c>
      <c r="L2691" s="50" t="s">
        <v>1893</v>
      </c>
      <c r="M2691" s="50" t="s">
        <v>5229</v>
      </c>
      <c r="N2691" s="50" t="s">
        <v>5227</v>
      </c>
      <c r="O2691" s="50" t="s">
        <v>5227</v>
      </c>
      <c r="P2691" s="50" t="s">
        <v>5227</v>
      </c>
    </row>
    <row r="2692" spans="1:16" ht="12.75" customHeight="1" x14ac:dyDescent="0.25">
      <c r="A2692" s="311">
        <v>2689</v>
      </c>
      <c r="B2692" s="311" t="s">
        <v>63</v>
      </c>
      <c r="C2692" s="311" t="s">
        <v>63</v>
      </c>
      <c r="D2692" s="311" t="s">
        <v>462</v>
      </c>
      <c r="E2692" s="337" t="s">
        <v>63</v>
      </c>
      <c r="F2692" s="311" t="s">
        <v>270</v>
      </c>
      <c r="G2692" s="311" t="s">
        <v>236</v>
      </c>
      <c r="H2692" s="311" t="s">
        <v>418</v>
      </c>
      <c r="I2692" s="311" t="s">
        <v>66</v>
      </c>
      <c r="J2692" s="50" t="s">
        <v>1892</v>
      </c>
      <c r="K2692" s="50" t="s">
        <v>1892</v>
      </c>
      <c r="L2692" s="50" t="s">
        <v>1893</v>
      </c>
      <c r="M2692" s="50" t="s">
        <v>5230</v>
      </c>
      <c r="N2692" s="50" t="s">
        <v>5230</v>
      </c>
      <c r="O2692" s="50" t="s">
        <v>5227</v>
      </c>
      <c r="P2692" s="50" t="s">
        <v>5230</v>
      </c>
    </row>
    <row r="2693" spans="1:16" ht="12.75" customHeight="1" x14ac:dyDescent="0.25">
      <c r="A2693" s="311">
        <v>2690</v>
      </c>
      <c r="B2693" s="311" t="s">
        <v>140</v>
      </c>
      <c r="C2693" s="311" t="s">
        <v>140</v>
      </c>
      <c r="D2693" s="311" t="s">
        <v>462</v>
      </c>
      <c r="E2693" s="337" t="s">
        <v>140</v>
      </c>
      <c r="F2693" s="311" t="s">
        <v>270</v>
      </c>
      <c r="G2693" s="311" t="s">
        <v>236</v>
      </c>
      <c r="H2693" s="311" t="s">
        <v>418</v>
      </c>
      <c r="I2693" s="311" t="s">
        <v>66</v>
      </c>
      <c r="J2693" s="50" t="s">
        <v>1892</v>
      </c>
      <c r="K2693" s="50" t="s">
        <v>1892</v>
      </c>
      <c r="L2693" s="50" t="s">
        <v>1893</v>
      </c>
      <c r="M2693" s="50" t="s">
        <v>5231</v>
      </c>
      <c r="N2693" s="50" t="s">
        <v>5231</v>
      </c>
      <c r="O2693" s="50" t="s">
        <v>5227</v>
      </c>
      <c r="P2693" s="50" t="s">
        <v>5231</v>
      </c>
    </row>
    <row r="2694" spans="1:16" ht="12.75" customHeight="1" x14ac:dyDescent="0.25">
      <c r="A2694" s="311">
        <v>2691</v>
      </c>
      <c r="B2694" s="311" t="s">
        <v>121</v>
      </c>
      <c r="C2694" s="311" t="s">
        <v>121</v>
      </c>
      <c r="D2694" s="311" t="s">
        <v>462</v>
      </c>
      <c r="E2694" s="337" t="s">
        <v>121</v>
      </c>
      <c r="F2694" s="311" t="s">
        <v>270</v>
      </c>
      <c r="G2694" s="311" t="s">
        <v>236</v>
      </c>
      <c r="H2694" s="311" t="s">
        <v>418</v>
      </c>
      <c r="I2694" s="311" t="s">
        <v>66</v>
      </c>
      <c r="J2694" s="50" t="s">
        <v>1892</v>
      </c>
      <c r="K2694" s="50" t="s">
        <v>1892</v>
      </c>
      <c r="L2694" s="50" t="s">
        <v>1893</v>
      </c>
      <c r="M2694" s="50" t="s">
        <v>5232</v>
      </c>
      <c r="N2694" s="50" t="s">
        <v>5232</v>
      </c>
      <c r="O2694" s="50" t="s">
        <v>5227</v>
      </c>
      <c r="P2694" s="50" t="s">
        <v>5232</v>
      </c>
    </row>
    <row r="2695" spans="1:16" ht="12.75" customHeight="1" x14ac:dyDescent="0.25">
      <c r="A2695" s="311">
        <v>2692</v>
      </c>
      <c r="B2695" s="311" t="s">
        <v>87</v>
      </c>
      <c r="C2695" s="311" t="s">
        <v>87</v>
      </c>
      <c r="D2695" s="311" t="s">
        <v>462</v>
      </c>
      <c r="E2695" s="337" t="s">
        <v>87</v>
      </c>
      <c r="F2695" s="311" t="s">
        <v>270</v>
      </c>
      <c r="G2695" s="311" t="s">
        <v>236</v>
      </c>
      <c r="H2695" s="311" t="s">
        <v>418</v>
      </c>
      <c r="I2695" s="311" t="s">
        <v>66</v>
      </c>
      <c r="J2695" s="50" t="s">
        <v>1892</v>
      </c>
      <c r="K2695" s="50" t="s">
        <v>1892</v>
      </c>
      <c r="L2695" s="50" t="s">
        <v>1893</v>
      </c>
      <c r="M2695" s="50" t="s">
        <v>5233</v>
      </c>
      <c r="N2695" s="50" t="s">
        <v>5233</v>
      </c>
      <c r="O2695" s="50" t="s">
        <v>5227</v>
      </c>
      <c r="P2695" s="50" t="s">
        <v>5233</v>
      </c>
    </row>
    <row r="2696" spans="1:16" ht="12.75" customHeight="1" x14ac:dyDescent="0.25">
      <c r="A2696" s="311">
        <v>2693</v>
      </c>
      <c r="B2696" s="311" t="s">
        <v>125</v>
      </c>
      <c r="C2696" s="311" t="s">
        <v>125</v>
      </c>
      <c r="D2696" s="311" t="s">
        <v>125</v>
      </c>
      <c r="E2696" s="337" t="s">
        <v>125</v>
      </c>
      <c r="F2696" s="311" t="s">
        <v>270</v>
      </c>
      <c r="G2696" s="311" t="s">
        <v>236</v>
      </c>
      <c r="H2696" s="311" t="s">
        <v>418</v>
      </c>
      <c r="I2696" s="311" t="s">
        <v>66</v>
      </c>
      <c r="J2696" s="50" t="s">
        <v>1892</v>
      </c>
      <c r="K2696" s="50" t="s">
        <v>1892</v>
      </c>
      <c r="L2696" s="50" t="s">
        <v>1893</v>
      </c>
      <c r="M2696" s="50" t="s">
        <v>5234</v>
      </c>
      <c r="N2696" s="50" t="s">
        <v>5234</v>
      </c>
      <c r="O2696" s="50" t="s">
        <v>5234</v>
      </c>
      <c r="P2696" s="50" t="s">
        <v>5234</v>
      </c>
    </row>
    <row r="2697" spans="1:16" ht="12.75" customHeight="1" x14ac:dyDescent="0.25">
      <c r="A2697" s="311">
        <v>2694</v>
      </c>
      <c r="B2697" s="311" t="s">
        <v>134</v>
      </c>
      <c r="C2697" s="311" t="s">
        <v>134</v>
      </c>
      <c r="D2697" s="311" t="s">
        <v>134</v>
      </c>
      <c r="E2697" s="337" t="s">
        <v>134</v>
      </c>
      <c r="F2697" s="311" t="s">
        <v>270</v>
      </c>
      <c r="G2697" s="311" t="s">
        <v>236</v>
      </c>
      <c r="H2697" s="311" t="s">
        <v>418</v>
      </c>
      <c r="I2697" s="311" t="s">
        <v>66</v>
      </c>
      <c r="J2697" s="50" t="s">
        <v>1892</v>
      </c>
      <c r="K2697" s="50" t="s">
        <v>1892</v>
      </c>
      <c r="L2697" s="50" t="s">
        <v>1893</v>
      </c>
      <c r="M2697" s="50" t="s">
        <v>5235</v>
      </c>
      <c r="N2697" s="50" t="s">
        <v>5235</v>
      </c>
      <c r="O2697" s="50" t="s">
        <v>5235</v>
      </c>
      <c r="P2697" s="50" t="s">
        <v>5235</v>
      </c>
    </row>
    <row r="2698" spans="1:16" ht="12.75" customHeight="1" x14ac:dyDescent="0.25">
      <c r="A2698" s="311">
        <v>2695</v>
      </c>
      <c r="B2698" s="311" t="s">
        <v>141</v>
      </c>
      <c r="C2698" s="311" t="s">
        <v>141</v>
      </c>
      <c r="D2698" s="311" t="s">
        <v>141</v>
      </c>
      <c r="E2698" s="337" t="s">
        <v>141</v>
      </c>
      <c r="F2698" s="311" t="s">
        <v>270</v>
      </c>
      <c r="G2698" s="311" t="s">
        <v>236</v>
      </c>
      <c r="H2698" s="311" t="s">
        <v>418</v>
      </c>
      <c r="I2698" s="311" t="s">
        <v>66</v>
      </c>
      <c r="J2698" s="50" t="s">
        <v>1892</v>
      </c>
      <c r="K2698" s="50" t="s">
        <v>1892</v>
      </c>
      <c r="L2698" s="50" t="s">
        <v>1893</v>
      </c>
      <c r="M2698" s="50" t="s">
        <v>5236</v>
      </c>
      <c r="N2698" s="50" t="s">
        <v>5236</v>
      </c>
      <c r="O2698" s="50" t="s">
        <v>5236</v>
      </c>
      <c r="P2698" s="50" t="s">
        <v>5236</v>
      </c>
    </row>
    <row r="2699" spans="1:16" ht="12.75" customHeight="1" x14ac:dyDescent="0.25">
      <c r="A2699" s="311">
        <v>2696</v>
      </c>
      <c r="B2699" s="311" t="s">
        <v>69</v>
      </c>
      <c r="C2699" s="311" t="s">
        <v>69</v>
      </c>
      <c r="D2699" s="311" t="s">
        <v>69</v>
      </c>
      <c r="E2699" s="337" t="s">
        <v>69</v>
      </c>
      <c r="F2699" s="311" t="s">
        <v>270</v>
      </c>
      <c r="G2699" s="311" t="s">
        <v>236</v>
      </c>
      <c r="H2699" s="311" t="s">
        <v>418</v>
      </c>
      <c r="I2699" s="311" t="s">
        <v>66</v>
      </c>
      <c r="J2699" s="50" t="s">
        <v>1892</v>
      </c>
      <c r="K2699" s="50" t="s">
        <v>1892</v>
      </c>
      <c r="L2699" s="50" t="s">
        <v>1893</v>
      </c>
      <c r="M2699" s="50" t="s">
        <v>5237</v>
      </c>
      <c r="N2699" s="50" t="s">
        <v>5237</v>
      </c>
      <c r="O2699" s="50" t="s">
        <v>5237</v>
      </c>
      <c r="P2699" s="50" t="s">
        <v>5237</v>
      </c>
    </row>
    <row r="2700" spans="1:16" ht="12.75" customHeight="1" x14ac:dyDescent="0.25">
      <c r="A2700" s="311">
        <v>2697</v>
      </c>
      <c r="B2700" s="311" t="s">
        <v>84</v>
      </c>
      <c r="C2700" s="311" t="s">
        <v>462</v>
      </c>
      <c r="D2700" s="311" t="s">
        <v>462</v>
      </c>
      <c r="E2700" s="337" t="s">
        <v>462</v>
      </c>
      <c r="F2700" s="311" t="s">
        <v>270</v>
      </c>
      <c r="G2700" s="311" t="s">
        <v>23</v>
      </c>
      <c r="H2700" s="311" t="s">
        <v>418</v>
      </c>
      <c r="I2700" s="311" t="s">
        <v>66</v>
      </c>
      <c r="J2700" s="50" t="s">
        <v>1892</v>
      </c>
      <c r="K2700" s="50" t="s">
        <v>1892</v>
      </c>
      <c r="L2700" s="50" t="s">
        <v>1893</v>
      </c>
      <c r="M2700" s="50" t="s">
        <v>5238</v>
      </c>
      <c r="N2700" s="50" t="s">
        <v>5239</v>
      </c>
      <c r="O2700" s="50" t="s">
        <v>5239</v>
      </c>
      <c r="P2700" s="50" t="s">
        <v>5239</v>
      </c>
    </row>
    <row r="2701" spans="1:16" ht="12.75" customHeight="1" x14ac:dyDescent="0.25">
      <c r="A2701" s="311">
        <v>2698</v>
      </c>
      <c r="B2701" s="311" t="s">
        <v>123</v>
      </c>
      <c r="C2701" s="311" t="s">
        <v>462</v>
      </c>
      <c r="D2701" s="311" t="s">
        <v>462</v>
      </c>
      <c r="E2701" s="337" t="s">
        <v>462</v>
      </c>
      <c r="F2701" s="311" t="s">
        <v>270</v>
      </c>
      <c r="G2701" s="311" t="s">
        <v>23</v>
      </c>
      <c r="H2701" s="311" t="s">
        <v>418</v>
      </c>
      <c r="I2701" s="311" t="s">
        <v>66</v>
      </c>
      <c r="J2701" s="50" t="s">
        <v>1892</v>
      </c>
      <c r="K2701" s="50" t="s">
        <v>1892</v>
      </c>
      <c r="L2701" s="50" t="s">
        <v>1893</v>
      </c>
      <c r="M2701" s="50" t="s">
        <v>5240</v>
      </c>
      <c r="N2701" s="50" t="s">
        <v>5239</v>
      </c>
      <c r="O2701" s="50" t="s">
        <v>5239</v>
      </c>
      <c r="P2701" s="50" t="s">
        <v>5239</v>
      </c>
    </row>
    <row r="2702" spans="1:16" ht="12.75" customHeight="1" x14ac:dyDescent="0.25">
      <c r="A2702" s="311">
        <v>2699</v>
      </c>
      <c r="B2702" s="311" t="s">
        <v>75</v>
      </c>
      <c r="C2702" s="311" t="s">
        <v>462</v>
      </c>
      <c r="D2702" s="311" t="s">
        <v>462</v>
      </c>
      <c r="E2702" s="337" t="s">
        <v>462</v>
      </c>
      <c r="F2702" s="311" t="s">
        <v>270</v>
      </c>
      <c r="G2702" s="311" t="s">
        <v>23</v>
      </c>
      <c r="H2702" s="311" t="s">
        <v>418</v>
      </c>
      <c r="I2702" s="311" t="s">
        <v>66</v>
      </c>
      <c r="J2702" s="50" t="s">
        <v>1892</v>
      </c>
      <c r="K2702" s="50" t="s">
        <v>1892</v>
      </c>
      <c r="L2702" s="50" t="s">
        <v>1893</v>
      </c>
      <c r="M2702" s="50" t="s">
        <v>5241</v>
      </c>
      <c r="N2702" s="50" t="s">
        <v>5239</v>
      </c>
      <c r="O2702" s="50" t="s">
        <v>5239</v>
      </c>
      <c r="P2702" s="50" t="s">
        <v>5239</v>
      </c>
    </row>
    <row r="2703" spans="1:16" ht="12.75" customHeight="1" x14ac:dyDescent="0.25">
      <c r="A2703" s="311">
        <v>2700</v>
      </c>
      <c r="B2703" s="311" t="s">
        <v>63</v>
      </c>
      <c r="C2703" s="311" t="s">
        <v>63</v>
      </c>
      <c r="D2703" s="311" t="s">
        <v>462</v>
      </c>
      <c r="E2703" s="337" t="s">
        <v>63</v>
      </c>
      <c r="F2703" s="311" t="s">
        <v>270</v>
      </c>
      <c r="G2703" s="311" t="s">
        <v>23</v>
      </c>
      <c r="H2703" s="311" t="s">
        <v>418</v>
      </c>
      <c r="I2703" s="311" t="s">
        <v>66</v>
      </c>
      <c r="J2703" s="50" t="s">
        <v>1892</v>
      </c>
      <c r="K2703" s="50" t="s">
        <v>1892</v>
      </c>
      <c r="L2703" s="50" t="s">
        <v>1893</v>
      </c>
      <c r="M2703" s="50" t="s">
        <v>5242</v>
      </c>
      <c r="N2703" s="50" t="s">
        <v>5242</v>
      </c>
      <c r="O2703" s="50" t="s">
        <v>5239</v>
      </c>
      <c r="P2703" s="50" t="s">
        <v>5242</v>
      </c>
    </row>
    <row r="2704" spans="1:16" ht="12.75" customHeight="1" x14ac:dyDescent="0.25">
      <c r="A2704" s="311">
        <v>2701</v>
      </c>
      <c r="B2704" s="311" t="s">
        <v>140</v>
      </c>
      <c r="C2704" s="311" t="s">
        <v>140</v>
      </c>
      <c r="D2704" s="311" t="s">
        <v>462</v>
      </c>
      <c r="E2704" s="337" t="s">
        <v>140</v>
      </c>
      <c r="F2704" s="311" t="s">
        <v>270</v>
      </c>
      <c r="G2704" s="311" t="s">
        <v>23</v>
      </c>
      <c r="H2704" s="311" t="s">
        <v>418</v>
      </c>
      <c r="I2704" s="311" t="s">
        <v>66</v>
      </c>
      <c r="J2704" s="50" t="s">
        <v>1892</v>
      </c>
      <c r="K2704" s="50" t="s">
        <v>1892</v>
      </c>
      <c r="L2704" s="50" t="s">
        <v>1893</v>
      </c>
      <c r="M2704" s="50" t="s">
        <v>5243</v>
      </c>
      <c r="N2704" s="50" t="s">
        <v>5243</v>
      </c>
      <c r="O2704" s="50" t="s">
        <v>5239</v>
      </c>
      <c r="P2704" s="50" t="s">
        <v>5243</v>
      </c>
    </row>
    <row r="2705" spans="1:16" ht="12.75" customHeight="1" x14ac:dyDescent="0.25">
      <c r="A2705" s="311">
        <v>2702</v>
      </c>
      <c r="B2705" s="311" t="s">
        <v>121</v>
      </c>
      <c r="C2705" s="311" t="s">
        <v>121</v>
      </c>
      <c r="D2705" s="311" t="s">
        <v>462</v>
      </c>
      <c r="E2705" s="337" t="s">
        <v>121</v>
      </c>
      <c r="F2705" s="311" t="s">
        <v>270</v>
      </c>
      <c r="G2705" s="311" t="s">
        <v>23</v>
      </c>
      <c r="H2705" s="311" t="s">
        <v>418</v>
      </c>
      <c r="I2705" s="311" t="s">
        <v>66</v>
      </c>
      <c r="J2705" s="50" t="s">
        <v>1892</v>
      </c>
      <c r="K2705" s="50" t="s">
        <v>1892</v>
      </c>
      <c r="L2705" s="50" t="s">
        <v>1893</v>
      </c>
      <c r="M2705" s="50" t="s">
        <v>5244</v>
      </c>
      <c r="N2705" s="50" t="s">
        <v>5244</v>
      </c>
      <c r="O2705" s="50" t="s">
        <v>5239</v>
      </c>
      <c r="P2705" s="50" t="s">
        <v>5244</v>
      </c>
    </row>
    <row r="2706" spans="1:16" ht="12.75" customHeight="1" x14ac:dyDescent="0.25">
      <c r="A2706" s="311">
        <v>2703</v>
      </c>
      <c r="B2706" s="311" t="s">
        <v>87</v>
      </c>
      <c r="C2706" s="311" t="s">
        <v>87</v>
      </c>
      <c r="D2706" s="311" t="s">
        <v>462</v>
      </c>
      <c r="E2706" s="337" t="s">
        <v>87</v>
      </c>
      <c r="F2706" s="311" t="s">
        <v>270</v>
      </c>
      <c r="G2706" s="311" t="s">
        <v>23</v>
      </c>
      <c r="H2706" s="311" t="s">
        <v>418</v>
      </c>
      <c r="I2706" s="311" t="s">
        <v>66</v>
      </c>
      <c r="J2706" s="50" t="s">
        <v>1892</v>
      </c>
      <c r="K2706" s="50" t="s">
        <v>1892</v>
      </c>
      <c r="L2706" s="50" t="s">
        <v>1893</v>
      </c>
      <c r="M2706" s="50" t="s">
        <v>5245</v>
      </c>
      <c r="N2706" s="50" t="s">
        <v>5245</v>
      </c>
      <c r="O2706" s="50" t="s">
        <v>5239</v>
      </c>
      <c r="P2706" s="50" t="s">
        <v>5245</v>
      </c>
    </row>
    <row r="2707" spans="1:16" ht="12.75" customHeight="1" x14ac:dyDescent="0.25">
      <c r="A2707" s="311">
        <v>2704</v>
      </c>
      <c r="B2707" s="311" t="s">
        <v>125</v>
      </c>
      <c r="C2707" s="311" t="s">
        <v>125</v>
      </c>
      <c r="D2707" s="311" t="s">
        <v>125</v>
      </c>
      <c r="E2707" s="337" t="s">
        <v>125</v>
      </c>
      <c r="F2707" s="311" t="s">
        <v>270</v>
      </c>
      <c r="G2707" s="311" t="s">
        <v>23</v>
      </c>
      <c r="H2707" s="311" t="s">
        <v>418</v>
      </c>
      <c r="I2707" s="311" t="s">
        <v>66</v>
      </c>
      <c r="J2707" s="50" t="s">
        <v>1892</v>
      </c>
      <c r="K2707" s="50" t="s">
        <v>1892</v>
      </c>
      <c r="L2707" s="50" t="s">
        <v>1893</v>
      </c>
      <c r="M2707" s="50" t="s">
        <v>5246</v>
      </c>
      <c r="N2707" s="50" t="s">
        <v>5246</v>
      </c>
      <c r="O2707" s="50" t="s">
        <v>5246</v>
      </c>
      <c r="P2707" s="50" t="s">
        <v>5246</v>
      </c>
    </row>
    <row r="2708" spans="1:16" ht="12.75" customHeight="1" x14ac:dyDescent="0.25">
      <c r="A2708" s="311">
        <v>2705</v>
      </c>
      <c r="B2708" s="311" t="s">
        <v>134</v>
      </c>
      <c r="C2708" s="311" t="s">
        <v>134</v>
      </c>
      <c r="D2708" s="311" t="s">
        <v>134</v>
      </c>
      <c r="E2708" s="337" t="s">
        <v>134</v>
      </c>
      <c r="F2708" s="311" t="s">
        <v>270</v>
      </c>
      <c r="G2708" s="311" t="s">
        <v>23</v>
      </c>
      <c r="H2708" s="311" t="s">
        <v>418</v>
      </c>
      <c r="I2708" s="311" t="s">
        <v>66</v>
      </c>
      <c r="J2708" s="50" t="s">
        <v>1892</v>
      </c>
      <c r="K2708" s="50" t="s">
        <v>1892</v>
      </c>
      <c r="L2708" s="50" t="s">
        <v>1893</v>
      </c>
      <c r="M2708" s="50" t="s">
        <v>5247</v>
      </c>
      <c r="N2708" s="50" t="s">
        <v>5247</v>
      </c>
      <c r="O2708" s="50" t="s">
        <v>5247</v>
      </c>
      <c r="P2708" s="50" t="s">
        <v>5247</v>
      </c>
    </row>
    <row r="2709" spans="1:16" ht="12.75" customHeight="1" x14ac:dyDescent="0.25">
      <c r="A2709" s="311">
        <v>2706</v>
      </c>
      <c r="B2709" s="311" t="s">
        <v>141</v>
      </c>
      <c r="C2709" s="311" t="s">
        <v>141</v>
      </c>
      <c r="D2709" s="311" t="s">
        <v>141</v>
      </c>
      <c r="E2709" s="337" t="s">
        <v>141</v>
      </c>
      <c r="F2709" s="311" t="s">
        <v>270</v>
      </c>
      <c r="G2709" s="311" t="s">
        <v>23</v>
      </c>
      <c r="H2709" s="311" t="s">
        <v>418</v>
      </c>
      <c r="I2709" s="311" t="s">
        <v>66</v>
      </c>
      <c r="J2709" s="50" t="s">
        <v>1892</v>
      </c>
      <c r="K2709" s="50" t="s">
        <v>1892</v>
      </c>
      <c r="L2709" s="50" t="s">
        <v>1893</v>
      </c>
      <c r="M2709" s="50" t="s">
        <v>5248</v>
      </c>
      <c r="N2709" s="50" t="s">
        <v>5248</v>
      </c>
      <c r="O2709" s="50" t="s">
        <v>5248</v>
      </c>
      <c r="P2709" s="50" t="s">
        <v>5248</v>
      </c>
    </row>
    <row r="2710" spans="1:16" ht="12.75" customHeight="1" x14ac:dyDescent="0.25">
      <c r="A2710" s="311">
        <v>2707</v>
      </c>
      <c r="B2710" s="311" t="s">
        <v>69</v>
      </c>
      <c r="C2710" s="311" t="s">
        <v>69</v>
      </c>
      <c r="D2710" s="311" t="s">
        <v>69</v>
      </c>
      <c r="E2710" s="337" t="s">
        <v>69</v>
      </c>
      <c r="F2710" s="311" t="s">
        <v>270</v>
      </c>
      <c r="G2710" s="311" t="s">
        <v>23</v>
      </c>
      <c r="H2710" s="311" t="s">
        <v>418</v>
      </c>
      <c r="I2710" s="311" t="s">
        <v>66</v>
      </c>
      <c r="J2710" s="50" t="s">
        <v>1892</v>
      </c>
      <c r="K2710" s="50" t="s">
        <v>1892</v>
      </c>
      <c r="L2710" s="50" t="s">
        <v>1893</v>
      </c>
      <c r="M2710" s="50" t="s">
        <v>5249</v>
      </c>
      <c r="N2710" s="50" t="s">
        <v>5249</v>
      </c>
      <c r="O2710" s="50" t="s">
        <v>5249</v>
      </c>
      <c r="P2710" s="50" t="s">
        <v>5249</v>
      </c>
    </row>
    <row r="2711" spans="1:16" ht="12.75" customHeight="1" x14ac:dyDescent="0.25">
      <c r="A2711" s="311">
        <v>2708</v>
      </c>
      <c r="B2711" s="311" t="s">
        <v>84</v>
      </c>
      <c r="C2711" s="311" t="s">
        <v>462</v>
      </c>
      <c r="D2711" s="311" t="s">
        <v>462</v>
      </c>
      <c r="E2711" s="337" t="s">
        <v>462</v>
      </c>
      <c r="F2711" s="311" t="s">
        <v>270</v>
      </c>
      <c r="G2711" s="311" t="s">
        <v>237</v>
      </c>
      <c r="H2711" s="311" t="s">
        <v>418</v>
      </c>
      <c r="I2711" s="311" t="s">
        <v>66</v>
      </c>
      <c r="J2711" s="50" t="s">
        <v>1892</v>
      </c>
      <c r="K2711" s="50" t="s">
        <v>1892</v>
      </c>
      <c r="L2711" s="50" t="s">
        <v>1893</v>
      </c>
      <c r="M2711" s="50" t="s">
        <v>5250</v>
      </c>
      <c r="N2711" s="50" t="s">
        <v>5251</v>
      </c>
      <c r="O2711" s="50" t="s">
        <v>5251</v>
      </c>
      <c r="P2711" s="50" t="s">
        <v>5251</v>
      </c>
    </row>
    <row r="2712" spans="1:16" ht="12.75" customHeight="1" x14ac:dyDescent="0.25">
      <c r="A2712" s="311">
        <v>2709</v>
      </c>
      <c r="B2712" s="311" t="s">
        <v>123</v>
      </c>
      <c r="C2712" s="311" t="s">
        <v>462</v>
      </c>
      <c r="D2712" s="311" t="s">
        <v>462</v>
      </c>
      <c r="E2712" s="337" t="s">
        <v>462</v>
      </c>
      <c r="F2712" s="311" t="s">
        <v>270</v>
      </c>
      <c r="G2712" s="311" t="s">
        <v>237</v>
      </c>
      <c r="H2712" s="311" t="s">
        <v>418</v>
      </c>
      <c r="I2712" s="311" t="s">
        <v>66</v>
      </c>
      <c r="J2712" s="50" t="s">
        <v>1892</v>
      </c>
      <c r="K2712" s="50" t="s">
        <v>1892</v>
      </c>
      <c r="L2712" s="50" t="s">
        <v>1893</v>
      </c>
      <c r="M2712" s="50" t="s">
        <v>5252</v>
      </c>
      <c r="N2712" s="50" t="s">
        <v>5251</v>
      </c>
      <c r="O2712" s="50" t="s">
        <v>5251</v>
      </c>
      <c r="P2712" s="50" t="s">
        <v>5251</v>
      </c>
    </row>
    <row r="2713" spans="1:16" ht="12.75" customHeight="1" x14ac:dyDescent="0.25">
      <c r="A2713" s="311">
        <v>2710</v>
      </c>
      <c r="B2713" s="311" t="s">
        <v>75</v>
      </c>
      <c r="C2713" s="311" t="s">
        <v>462</v>
      </c>
      <c r="D2713" s="311" t="s">
        <v>462</v>
      </c>
      <c r="E2713" s="337" t="s">
        <v>462</v>
      </c>
      <c r="F2713" s="311" t="s">
        <v>270</v>
      </c>
      <c r="G2713" s="311" t="s">
        <v>237</v>
      </c>
      <c r="H2713" s="311" t="s">
        <v>418</v>
      </c>
      <c r="I2713" s="311" t="s">
        <v>66</v>
      </c>
      <c r="J2713" s="50" t="s">
        <v>1892</v>
      </c>
      <c r="K2713" s="50" t="s">
        <v>1892</v>
      </c>
      <c r="L2713" s="50" t="s">
        <v>1893</v>
      </c>
      <c r="M2713" s="50" t="s">
        <v>5253</v>
      </c>
      <c r="N2713" s="50" t="s">
        <v>5251</v>
      </c>
      <c r="O2713" s="50" t="s">
        <v>5251</v>
      </c>
      <c r="P2713" s="50" t="s">
        <v>5251</v>
      </c>
    </row>
    <row r="2714" spans="1:16" ht="12.75" customHeight="1" x14ac:dyDescent="0.25">
      <c r="A2714" s="311">
        <v>2711</v>
      </c>
      <c r="B2714" s="311" t="s">
        <v>63</v>
      </c>
      <c r="C2714" s="311" t="s">
        <v>63</v>
      </c>
      <c r="D2714" s="311" t="s">
        <v>462</v>
      </c>
      <c r="E2714" s="337" t="s">
        <v>63</v>
      </c>
      <c r="F2714" s="311" t="s">
        <v>270</v>
      </c>
      <c r="G2714" s="311" t="s">
        <v>237</v>
      </c>
      <c r="H2714" s="311" t="s">
        <v>418</v>
      </c>
      <c r="I2714" s="311" t="s">
        <v>66</v>
      </c>
      <c r="J2714" s="50" t="s">
        <v>1892</v>
      </c>
      <c r="K2714" s="50" t="s">
        <v>1892</v>
      </c>
      <c r="L2714" s="50" t="s">
        <v>1893</v>
      </c>
      <c r="M2714" s="50" t="s">
        <v>5254</v>
      </c>
      <c r="N2714" s="50" t="s">
        <v>5254</v>
      </c>
      <c r="O2714" s="50" t="s">
        <v>5251</v>
      </c>
      <c r="P2714" s="50" t="s">
        <v>5254</v>
      </c>
    </row>
    <row r="2715" spans="1:16" ht="12.75" customHeight="1" x14ac:dyDescent="0.25">
      <c r="A2715" s="311">
        <v>2712</v>
      </c>
      <c r="B2715" s="311" t="s">
        <v>140</v>
      </c>
      <c r="C2715" s="311" t="s">
        <v>140</v>
      </c>
      <c r="D2715" s="311" t="s">
        <v>462</v>
      </c>
      <c r="E2715" s="337" t="s">
        <v>140</v>
      </c>
      <c r="F2715" s="311" t="s">
        <v>270</v>
      </c>
      <c r="G2715" s="311" t="s">
        <v>237</v>
      </c>
      <c r="H2715" s="311" t="s">
        <v>418</v>
      </c>
      <c r="I2715" s="311" t="s">
        <v>66</v>
      </c>
      <c r="J2715" s="50" t="s">
        <v>1892</v>
      </c>
      <c r="K2715" s="50" t="s">
        <v>1892</v>
      </c>
      <c r="L2715" s="50" t="s">
        <v>1893</v>
      </c>
      <c r="M2715" s="50" t="s">
        <v>5255</v>
      </c>
      <c r="N2715" s="50" t="s">
        <v>5255</v>
      </c>
      <c r="O2715" s="50" t="s">
        <v>5251</v>
      </c>
      <c r="P2715" s="50" t="s">
        <v>5255</v>
      </c>
    </row>
    <row r="2716" spans="1:16" ht="12.75" customHeight="1" x14ac:dyDescent="0.25">
      <c r="A2716" s="311">
        <v>2713</v>
      </c>
      <c r="B2716" s="311" t="s">
        <v>121</v>
      </c>
      <c r="C2716" s="311" t="s">
        <v>121</v>
      </c>
      <c r="D2716" s="311" t="s">
        <v>462</v>
      </c>
      <c r="E2716" s="337" t="s">
        <v>121</v>
      </c>
      <c r="F2716" s="311" t="s">
        <v>270</v>
      </c>
      <c r="G2716" s="311" t="s">
        <v>237</v>
      </c>
      <c r="H2716" s="311" t="s">
        <v>418</v>
      </c>
      <c r="I2716" s="311" t="s">
        <v>66</v>
      </c>
      <c r="J2716" s="50" t="s">
        <v>1892</v>
      </c>
      <c r="K2716" s="50" t="s">
        <v>1892</v>
      </c>
      <c r="L2716" s="50" t="s">
        <v>1893</v>
      </c>
      <c r="M2716" s="50" t="s">
        <v>5256</v>
      </c>
      <c r="N2716" s="50" t="s">
        <v>5256</v>
      </c>
      <c r="O2716" s="50" t="s">
        <v>5251</v>
      </c>
      <c r="P2716" s="50" t="s">
        <v>5256</v>
      </c>
    </row>
    <row r="2717" spans="1:16" ht="12.75" customHeight="1" x14ac:dyDescent="0.25">
      <c r="A2717" s="311">
        <v>2714</v>
      </c>
      <c r="B2717" s="311" t="s">
        <v>87</v>
      </c>
      <c r="C2717" s="311" t="s">
        <v>87</v>
      </c>
      <c r="D2717" s="311" t="s">
        <v>462</v>
      </c>
      <c r="E2717" s="337" t="s">
        <v>87</v>
      </c>
      <c r="F2717" s="311" t="s">
        <v>270</v>
      </c>
      <c r="G2717" s="311" t="s">
        <v>237</v>
      </c>
      <c r="H2717" s="311" t="s">
        <v>418</v>
      </c>
      <c r="I2717" s="311" t="s">
        <v>66</v>
      </c>
      <c r="J2717" s="50" t="s">
        <v>1892</v>
      </c>
      <c r="K2717" s="50" t="s">
        <v>1892</v>
      </c>
      <c r="L2717" s="50" t="s">
        <v>1893</v>
      </c>
      <c r="M2717" s="50" t="s">
        <v>5257</v>
      </c>
      <c r="N2717" s="50" t="s">
        <v>5257</v>
      </c>
      <c r="O2717" s="50" t="s">
        <v>5251</v>
      </c>
      <c r="P2717" s="50" t="s">
        <v>5257</v>
      </c>
    </row>
    <row r="2718" spans="1:16" ht="12.75" customHeight="1" x14ac:dyDescent="0.25">
      <c r="A2718" s="311">
        <v>2715</v>
      </c>
      <c r="B2718" s="311" t="s">
        <v>125</v>
      </c>
      <c r="C2718" s="311" t="s">
        <v>125</v>
      </c>
      <c r="D2718" s="311" t="s">
        <v>125</v>
      </c>
      <c r="E2718" s="337" t="s">
        <v>125</v>
      </c>
      <c r="F2718" s="311" t="s">
        <v>270</v>
      </c>
      <c r="G2718" s="311" t="s">
        <v>237</v>
      </c>
      <c r="H2718" s="311" t="s">
        <v>418</v>
      </c>
      <c r="I2718" s="311" t="s">
        <v>66</v>
      </c>
      <c r="J2718" s="50" t="s">
        <v>1892</v>
      </c>
      <c r="K2718" s="50" t="s">
        <v>1892</v>
      </c>
      <c r="L2718" s="50" t="s">
        <v>1893</v>
      </c>
      <c r="M2718" s="50" t="s">
        <v>5258</v>
      </c>
      <c r="N2718" s="50" t="s">
        <v>5258</v>
      </c>
      <c r="O2718" s="50" t="s">
        <v>5258</v>
      </c>
      <c r="P2718" s="50" t="s">
        <v>5258</v>
      </c>
    </row>
    <row r="2719" spans="1:16" ht="12.75" customHeight="1" x14ac:dyDescent="0.25">
      <c r="A2719" s="311">
        <v>2716</v>
      </c>
      <c r="B2719" s="311" t="s">
        <v>134</v>
      </c>
      <c r="C2719" s="311" t="s">
        <v>134</v>
      </c>
      <c r="D2719" s="311" t="s">
        <v>134</v>
      </c>
      <c r="E2719" s="337" t="s">
        <v>134</v>
      </c>
      <c r="F2719" s="311" t="s">
        <v>270</v>
      </c>
      <c r="G2719" s="311" t="s">
        <v>237</v>
      </c>
      <c r="H2719" s="311" t="s">
        <v>418</v>
      </c>
      <c r="I2719" s="311" t="s">
        <v>66</v>
      </c>
      <c r="J2719" s="50" t="s">
        <v>1892</v>
      </c>
      <c r="K2719" s="50" t="s">
        <v>1892</v>
      </c>
      <c r="L2719" s="50" t="s">
        <v>1893</v>
      </c>
      <c r="M2719" s="50" t="s">
        <v>5259</v>
      </c>
      <c r="N2719" s="50" t="s">
        <v>5259</v>
      </c>
      <c r="O2719" s="50" t="s">
        <v>5259</v>
      </c>
      <c r="P2719" s="50" t="s">
        <v>5259</v>
      </c>
    </row>
    <row r="2720" spans="1:16" ht="12.75" customHeight="1" x14ac:dyDescent="0.25">
      <c r="A2720" s="311">
        <v>2717</v>
      </c>
      <c r="B2720" s="311" t="s">
        <v>141</v>
      </c>
      <c r="C2720" s="311" t="s">
        <v>141</v>
      </c>
      <c r="D2720" s="311" t="s">
        <v>141</v>
      </c>
      <c r="E2720" s="337" t="s">
        <v>141</v>
      </c>
      <c r="F2720" s="311" t="s">
        <v>270</v>
      </c>
      <c r="G2720" s="311" t="s">
        <v>237</v>
      </c>
      <c r="H2720" s="311" t="s">
        <v>418</v>
      </c>
      <c r="I2720" s="311" t="s">
        <v>66</v>
      </c>
      <c r="J2720" s="50" t="s">
        <v>1892</v>
      </c>
      <c r="K2720" s="50" t="s">
        <v>1892</v>
      </c>
      <c r="L2720" s="50" t="s">
        <v>1893</v>
      </c>
      <c r="M2720" s="50" t="s">
        <v>5260</v>
      </c>
      <c r="N2720" s="50" t="s">
        <v>5260</v>
      </c>
      <c r="O2720" s="50" t="s">
        <v>5260</v>
      </c>
      <c r="P2720" s="50" t="s">
        <v>5260</v>
      </c>
    </row>
    <row r="2721" spans="1:16" ht="12.75" customHeight="1" x14ac:dyDescent="0.25">
      <c r="A2721" s="311">
        <v>2718</v>
      </c>
      <c r="B2721" s="311" t="s">
        <v>69</v>
      </c>
      <c r="C2721" s="311" t="s">
        <v>69</v>
      </c>
      <c r="D2721" s="311" t="s">
        <v>69</v>
      </c>
      <c r="E2721" s="337" t="s">
        <v>69</v>
      </c>
      <c r="F2721" s="311" t="s">
        <v>270</v>
      </c>
      <c r="G2721" s="311" t="s">
        <v>237</v>
      </c>
      <c r="H2721" s="311" t="s">
        <v>418</v>
      </c>
      <c r="I2721" s="311" t="s">
        <v>66</v>
      </c>
      <c r="J2721" s="50" t="s">
        <v>1892</v>
      </c>
      <c r="K2721" s="50" t="s">
        <v>1892</v>
      </c>
      <c r="L2721" s="50" t="s">
        <v>1893</v>
      </c>
      <c r="M2721" s="50" t="s">
        <v>5261</v>
      </c>
      <c r="N2721" s="50" t="s">
        <v>5261</v>
      </c>
      <c r="O2721" s="50" t="s">
        <v>5261</v>
      </c>
      <c r="P2721" s="50" t="s">
        <v>5261</v>
      </c>
    </row>
    <row r="2722" spans="1:16" ht="12.75" customHeight="1" x14ac:dyDescent="0.25">
      <c r="A2722" s="311">
        <v>2719</v>
      </c>
      <c r="B2722" s="311" t="s">
        <v>84</v>
      </c>
      <c r="C2722" s="311" t="s">
        <v>462</v>
      </c>
      <c r="D2722" s="311" t="s">
        <v>462</v>
      </c>
      <c r="E2722" s="337" t="s">
        <v>462</v>
      </c>
      <c r="F2722" s="311" t="s">
        <v>261</v>
      </c>
      <c r="G2722" s="311" t="s">
        <v>236</v>
      </c>
      <c r="H2722" s="311" t="s">
        <v>418</v>
      </c>
      <c r="I2722" s="311" t="s">
        <v>66</v>
      </c>
      <c r="J2722" s="50" t="s">
        <v>1892</v>
      </c>
      <c r="K2722" s="50" t="s">
        <v>1892</v>
      </c>
      <c r="L2722" s="50" t="s">
        <v>1893</v>
      </c>
      <c r="M2722" s="50" t="s">
        <v>5262</v>
      </c>
      <c r="N2722" s="50" t="s">
        <v>5263</v>
      </c>
      <c r="O2722" s="50" t="s">
        <v>5263</v>
      </c>
      <c r="P2722" s="50" t="s">
        <v>5263</v>
      </c>
    </row>
    <row r="2723" spans="1:16" ht="12.75" customHeight="1" x14ac:dyDescent="0.25">
      <c r="A2723" s="311">
        <v>2720</v>
      </c>
      <c r="B2723" s="311" t="s">
        <v>123</v>
      </c>
      <c r="C2723" s="311" t="s">
        <v>462</v>
      </c>
      <c r="D2723" s="311" t="s">
        <v>462</v>
      </c>
      <c r="E2723" s="337" t="s">
        <v>462</v>
      </c>
      <c r="F2723" s="311" t="s">
        <v>261</v>
      </c>
      <c r="G2723" s="311" t="s">
        <v>236</v>
      </c>
      <c r="H2723" s="311" t="s">
        <v>418</v>
      </c>
      <c r="I2723" s="311" t="s">
        <v>66</v>
      </c>
      <c r="J2723" s="50" t="s">
        <v>1892</v>
      </c>
      <c r="K2723" s="50" t="s">
        <v>1892</v>
      </c>
      <c r="L2723" s="50" t="s">
        <v>1893</v>
      </c>
      <c r="M2723" s="50" t="s">
        <v>5264</v>
      </c>
      <c r="N2723" s="50" t="s">
        <v>5263</v>
      </c>
      <c r="O2723" s="50" t="s">
        <v>5263</v>
      </c>
      <c r="P2723" s="50" t="s">
        <v>5263</v>
      </c>
    </row>
    <row r="2724" spans="1:16" ht="12.75" customHeight="1" x14ac:dyDescent="0.25">
      <c r="A2724" s="311">
        <v>2721</v>
      </c>
      <c r="B2724" s="311" t="s">
        <v>75</v>
      </c>
      <c r="C2724" s="311" t="s">
        <v>462</v>
      </c>
      <c r="D2724" s="311" t="s">
        <v>462</v>
      </c>
      <c r="E2724" s="337" t="s">
        <v>462</v>
      </c>
      <c r="F2724" s="311" t="s">
        <v>261</v>
      </c>
      <c r="G2724" s="311" t="s">
        <v>236</v>
      </c>
      <c r="H2724" s="311" t="s">
        <v>418</v>
      </c>
      <c r="I2724" s="311" t="s">
        <v>66</v>
      </c>
      <c r="J2724" s="50" t="s">
        <v>1892</v>
      </c>
      <c r="K2724" s="50" t="s">
        <v>1892</v>
      </c>
      <c r="L2724" s="50" t="s">
        <v>1893</v>
      </c>
      <c r="M2724" s="50" t="s">
        <v>5265</v>
      </c>
      <c r="N2724" s="50" t="s">
        <v>5263</v>
      </c>
      <c r="O2724" s="50" t="s">
        <v>5263</v>
      </c>
      <c r="P2724" s="50" t="s">
        <v>5263</v>
      </c>
    </row>
    <row r="2725" spans="1:16" ht="12.75" customHeight="1" x14ac:dyDescent="0.25">
      <c r="A2725" s="311">
        <v>2722</v>
      </c>
      <c r="B2725" s="311" t="s">
        <v>63</v>
      </c>
      <c r="C2725" s="311" t="s">
        <v>63</v>
      </c>
      <c r="D2725" s="311" t="s">
        <v>462</v>
      </c>
      <c r="E2725" s="337" t="s">
        <v>63</v>
      </c>
      <c r="F2725" s="311" t="s">
        <v>261</v>
      </c>
      <c r="G2725" s="311" t="s">
        <v>236</v>
      </c>
      <c r="H2725" s="311" t="s">
        <v>418</v>
      </c>
      <c r="I2725" s="311" t="s">
        <v>66</v>
      </c>
      <c r="J2725" s="50" t="s">
        <v>1892</v>
      </c>
      <c r="K2725" s="50" t="s">
        <v>1892</v>
      </c>
      <c r="L2725" s="50" t="s">
        <v>1893</v>
      </c>
      <c r="M2725" s="50" t="s">
        <v>5266</v>
      </c>
      <c r="N2725" s="50" t="s">
        <v>5266</v>
      </c>
      <c r="O2725" s="50" t="s">
        <v>5263</v>
      </c>
      <c r="P2725" s="50" t="s">
        <v>5266</v>
      </c>
    </row>
    <row r="2726" spans="1:16" ht="12.75" customHeight="1" x14ac:dyDescent="0.25">
      <c r="A2726" s="311">
        <v>2723</v>
      </c>
      <c r="B2726" s="311" t="s">
        <v>140</v>
      </c>
      <c r="C2726" s="311" t="s">
        <v>140</v>
      </c>
      <c r="D2726" s="311" t="s">
        <v>462</v>
      </c>
      <c r="E2726" s="337" t="s">
        <v>140</v>
      </c>
      <c r="F2726" s="311" t="s">
        <v>261</v>
      </c>
      <c r="G2726" s="311" t="s">
        <v>236</v>
      </c>
      <c r="H2726" s="311" t="s">
        <v>418</v>
      </c>
      <c r="I2726" s="311" t="s">
        <v>66</v>
      </c>
      <c r="J2726" s="50" t="s">
        <v>1892</v>
      </c>
      <c r="K2726" s="50" t="s">
        <v>1892</v>
      </c>
      <c r="L2726" s="50" t="s">
        <v>1893</v>
      </c>
      <c r="M2726" s="50" t="s">
        <v>5267</v>
      </c>
      <c r="N2726" s="50" t="s">
        <v>5267</v>
      </c>
      <c r="O2726" s="50" t="s">
        <v>5263</v>
      </c>
      <c r="P2726" s="50" t="s">
        <v>5267</v>
      </c>
    </row>
    <row r="2727" spans="1:16" ht="12.75" customHeight="1" x14ac:dyDescent="0.25">
      <c r="A2727" s="311">
        <v>2724</v>
      </c>
      <c r="B2727" s="311" t="s">
        <v>121</v>
      </c>
      <c r="C2727" s="311" t="s">
        <v>121</v>
      </c>
      <c r="D2727" s="311" t="s">
        <v>462</v>
      </c>
      <c r="E2727" s="337" t="s">
        <v>121</v>
      </c>
      <c r="F2727" s="311" t="s">
        <v>261</v>
      </c>
      <c r="G2727" s="311" t="s">
        <v>236</v>
      </c>
      <c r="H2727" s="311" t="s">
        <v>418</v>
      </c>
      <c r="I2727" s="311" t="s">
        <v>66</v>
      </c>
      <c r="J2727" s="50" t="s">
        <v>1892</v>
      </c>
      <c r="K2727" s="50" t="s">
        <v>1892</v>
      </c>
      <c r="L2727" s="50" t="s">
        <v>1893</v>
      </c>
      <c r="M2727" s="50" t="s">
        <v>5268</v>
      </c>
      <c r="N2727" s="50" t="s">
        <v>5268</v>
      </c>
      <c r="O2727" s="50" t="s">
        <v>5263</v>
      </c>
      <c r="P2727" s="50" t="s">
        <v>5268</v>
      </c>
    </row>
    <row r="2728" spans="1:16" ht="12.75" customHeight="1" x14ac:dyDescent="0.25">
      <c r="A2728" s="311">
        <v>2725</v>
      </c>
      <c r="B2728" s="311" t="s">
        <v>87</v>
      </c>
      <c r="C2728" s="311" t="s">
        <v>87</v>
      </c>
      <c r="D2728" s="311" t="s">
        <v>462</v>
      </c>
      <c r="E2728" s="337" t="s">
        <v>87</v>
      </c>
      <c r="F2728" s="311" t="s">
        <v>261</v>
      </c>
      <c r="G2728" s="311" t="s">
        <v>236</v>
      </c>
      <c r="H2728" s="311" t="s">
        <v>418</v>
      </c>
      <c r="I2728" s="311" t="s">
        <v>66</v>
      </c>
      <c r="J2728" s="50" t="s">
        <v>1892</v>
      </c>
      <c r="K2728" s="50" t="s">
        <v>1892</v>
      </c>
      <c r="L2728" s="50" t="s">
        <v>1893</v>
      </c>
      <c r="M2728" s="50" t="s">
        <v>5269</v>
      </c>
      <c r="N2728" s="50" t="s">
        <v>5269</v>
      </c>
      <c r="O2728" s="50" t="s">
        <v>5263</v>
      </c>
      <c r="P2728" s="50" t="s">
        <v>5269</v>
      </c>
    </row>
    <row r="2729" spans="1:16" ht="12.75" customHeight="1" x14ac:dyDescent="0.25">
      <c r="A2729" s="311">
        <v>2726</v>
      </c>
      <c r="B2729" s="311" t="s">
        <v>125</v>
      </c>
      <c r="C2729" s="311" t="s">
        <v>125</v>
      </c>
      <c r="D2729" s="311" t="s">
        <v>125</v>
      </c>
      <c r="E2729" s="337" t="s">
        <v>125</v>
      </c>
      <c r="F2729" s="311" t="s">
        <v>261</v>
      </c>
      <c r="G2729" s="311" t="s">
        <v>236</v>
      </c>
      <c r="H2729" s="311" t="s">
        <v>418</v>
      </c>
      <c r="I2729" s="311" t="s">
        <v>66</v>
      </c>
      <c r="J2729" s="50" t="s">
        <v>1892</v>
      </c>
      <c r="K2729" s="50" t="s">
        <v>1892</v>
      </c>
      <c r="L2729" s="50" t="s">
        <v>1893</v>
      </c>
      <c r="M2729" s="50" t="s">
        <v>5270</v>
      </c>
      <c r="N2729" s="50" t="s">
        <v>5270</v>
      </c>
      <c r="O2729" s="50" t="s">
        <v>5270</v>
      </c>
      <c r="P2729" s="50" t="s">
        <v>5270</v>
      </c>
    </row>
    <row r="2730" spans="1:16" ht="12.75" customHeight="1" x14ac:dyDescent="0.25">
      <c r="A2730" s="311">
        <v>2727</v>
      </c>
      <c r="B2730" s="311" t="s">
        <v>134</v>
      </c>
      <c r="C2730" s="311" t="s">
        <v>134</v>
      </c>
      <c r="D2730" s="311" t="s">
        <v>134</v>
      </c>
      <c r="E2730" s="337" t="s">
        <v>134</v>
      </c>
      <c r="F2730" s="311" t="s">
        <v>261</v>
      </c>
      <c r="G2730" s="311" t="s">
        <v>236</v>
      </c>
      <c r="H2730" s="311" t="s">
        <v>418</v>
      </c>
      <c r="I2730" s="311" t="s">
        <v>66</v>
      </c>
      <c r="J2730" s="50" t="s">
        <v>1892</v>
      </c>
      <c r="K2730" s="50" t="s">
        <v>1892</v>
      </c>
      <c r="L2730" s="50" t="s">
        <v>1893</v>
      </c>
      <c r="M2730" s="50" t="s">
        <v>5271</v>
      </c>
      <c r="N2730" s="50" t="s">
        <v>5271</v>
      </c>
      <c r="O2730" s="50" t="s">
        <v>5271</v>
      </c>
      <c r="P2730" s="50" t="s">
        <v>5271</v>
      </c>
    </row>
    <row r="2731" spans="1:16" ht="12.75" customHeight="1" x14ac:dyDescent="0.25">
      <c r="A2731" s="311">
        <v>2728</v>
      </c>
      <c r="B2731" s="311" t="s">
        <v>141</v>
      </c>
      <c r="C2731" s="311" t="s">
        <v>141</v>
      </c>
      <c r="D2731" s="311" t="s">
        <v>141</v>
      </c>
      <c r="E2731" s="337" t="s">
        <v>141</v>
      </c>
      <c r="F2731" s="311" t="s">
        <v>261</v>
      </c>
      <c r="G2731" s="311" t="s">
        <v>236</v>
      </c>
      <c r="H2731" s="311" t="s">
        <v>418</v>
      </c>
      <c r="I2731" s="311" t="s">
        <v>66</v>
      </c>
      <c r="J2731" s="50" t="s">
        <v>1892</v>
      </c>
      <c r="K2731" s="50" t="s">
        <v>1892</v>
      </c>
      <c r="L2731" s="50" t="s">
        <v>1893</v>
      </c>
      <c r="M2731" s="50" t="s">
        <v>5272</v>
      </c>
      <c r="N2731" s="50" t="s">
        <v>5272</v>
      </c>
      <c r="O2731" s="50" t="s">
        <v>5272</v>
      </c>
      <c r="P2731" s="50" t="s">
        <v>5272</v>
      </c>
    </row>
    <row r="2732" spans="1:16" ht="12.75" customHeight="1" x14ac:dyDescent="0.25">
      <c r="A2732" s="311">
        <v>2729</v>
      </c>
      <c r="B2732" s="311" t="s">
        <v>69</v>
      </c>
      <c r="C2732" s="311" t="s">
        <v>69</v>
      </c>
      <c r="D2732" s="311" t="s">
        <v>69</v>
      </c>
      <c r="E2732" s="337" t="s">
        <v>69</v>
      </c>
      <c r="F2732" s="311" t="s">
        <v>261</v>
      </c>
      <c r="G2732" s="311" t="s">
        <v>236</v>
      </c>
      <c r="H2732" s="311" t="s">
        <v>418</v>
      </c>
      <c r="I2732" s="311" t="s">
        <v>66</v>
      </c>
      <c r="J2732" s="50" t="s">
        <v>1892</v>
      </c>
      <c r="K2732" s="50" t="s">
        <v>1892</v>
      </c>
      <c r="L2732" s="50" t="s">
        <v>1893</v>
      </c>
      <c r="M2732" s="50" t="s">
        <v>5273</v>
      </c>
      <c r="N2732" s="50" t="s">
        <v>5273</v>
      </c>
      <c r="O2732" s="50" t="s">
        <v>5273</v>
      </c>
      <c r="P2732" s="50" t="s">
        <v>5273</v>
      </c>
    </row>
    <row r="2733" spans="1:16" ht="12.75" customHeight="1" x14ac:dyDescent="0.25">
      <c r="A2733" s="311">
        <v>2730</v>
      </c>
      <c r="B2733" s="311" t="s">
        <v>84</v>
      </c>
      <c r="C2733" s="311" t="s">
        <v>462</v>
      </c>
      <c r="D2733" s="311" t="s">
        <v>462</v>
      </c>
      <c r="E2733" s="337" t="s">
        <v>462</v>
      </c>
      <c r="F2733" s="311" t="s">
        <v>261</v>
      </c>
      <c r="G2733" s="311" t="s">
        <v>23</v>
      </c>
      <c r="H2733" s="311" t="s">
        <v>418</v>
      </c>
      <c r="I2733" s="311" t="s">
        <v>66</v>
      </c>
      <c r="J2733" s="50" t="s">
        <v>1892</v>
      </c>
      <c r="K2733" s="50" t="s">
        <v>1892</v>
      </c>
      <c r="L2733" s="50" t="s">
        <v>1893</v>
      </c>
      <c r="M2733" s="50" t="s">
        <v>5274</v>
      </c>
      <c r="N2733" s="50" t="s">
        <v>5275</v>
      </c>
      <c r="O2733" s="50" t="s">
        <v>5275</v>
      </c>
      <c r="P2733" s="50" t="s">
        <v>5275</v>
      </c>
    </row>
    <row r="2734" spans="1:16" ht="12.75" customHeight="1" x14ac:dyDescent="0.25">
      <c r="A2734" s="311">
        <v>2731</v>
      </c>
      <c r="B2734" s="311" t="s">
        <v>123</v>
      </c>
      <c r="C2734" s="311" t="s">
        <v>462</v>
      </c>
      <c r="D2734" s="311" t="s">
        <v>462</v>
      </c>
      <c r="E2734" s="337" t="s">
        <v>462</v>
      </c>
      <c r="F2734" s="311" t="s">
        <v>261</v>
      </c>
      <c r="G2734" s="311" t="s">
        <v>23</v>
      </c>
      <c r="H2734" s="311" t="s">
        <v>418</v>
      </c>
      <c r="I2734" s="311" t="s">
        <v>66</v>
      </c>
      <c r="J2734" s="50" t="s">
        <v>1892</v>
      </c>
      <c r="K2734" s="50" t="s">
        <v>1892</v>
      </c>
      <c r="L2734" s="50" t="s">
        <v>1893</v>
      </c>
      <c r="M2734" s="50" t="s">
        <v>5276</v>
      </c>
      <c r="N2734" s="50" t="s">
        <v>5275</v>
      </c>
      <c r="O2734" s="50" t="s">
        <v>5275</v>
      </c>
      <c r="P2734" s="50" t="s">
        <v>5275</v>
      </c>
    </row>
    <row r="2735" spans="1:16" ht="12.75" customHeight="1" x14ac:dyDescent="0.25">
      <c r="A2735" s="311">
        <v>2732</v>
      </c>
      <c r="B2735" s="311" t="s">
        <v>75</v>
      </c>
      <c r="C2735" s="311" t="s">
        <v>462</v>
      </c>
      <c r="D2735" s="311" t="s">
        <v>462</v>
      </c>
      <c r="E2735" s="337" t="s">
        <v>462</v>
      </c>
      <c r="F2735" s="311" t="s">
        <v>261</v>
      </c>
      <c r="G2735" s="311" t="s">
        <v>23</v>
      </c>
      <c r="H2735" s="311" t="s">
        <v>418</v>
      </c>
      <c r="I2735" s="311" t="s">
        <v>66</v>
      </c>
      <c r="J2735" s="50" t="s">
        <v>1892</v>
      </c>
      <c r="K2735" s="50" t="s">
        <v>1892</v>
      </c>
      <c r="L2735" s="50" t="s">
        <v>1893</v>
      </c>
      <c r="M2735" s="50" t="s">
        <v>5277</v>
      </c>
      <c r="N2735" s="50" t="s">
        <v>5275</v>
      </c>
      <c r="O2735" s="50" t="s">
        <v>5275</v>
      </c>
      <c r="P2735" s="50" t="s">
        <v>5275</v>
      </c>
    </row>
    <row r="2736" spans="1:16" ht="12.75" customHeight="1" x14ac:dyDescent="0.25">
      <c r="A2736" s="311">
        <v>2733</v>
      </c>
      <c r="B2736" s="311" t="s">
        <v>63</v>
      </c>
      <c r="C2736" s="311" t="s">
        <v>63</v>
      </c>
      <c r="D2736" s="311" t="s">
        <v>462</v>
      </c>
      <c r="E2736" s="337" t="s">
        <v>63</v>
      </c>
      <c r="F2736" s="311" t="s">
        <v>261</v>
      </c>
      <c r="G2736" s="311" t="s">
        <v>23</v>
      </c>
      <c r="H2736" s="311" t="s">
        <v>418</v>
      </c>
      <c r="I2736" s="311" t="s">
        <v>66</v>
      </c>
      <c r="J2736" s="50" t="s">
        <v>1892</v>
      </c>
      <c r="K2736" s="50" t="s">
        <v>1892</v>
      </c>
      <c r="L2736" s="50" t="s">
        <v>1893</v>
      </c>
      <c r="M2736" s="50" t="s">
        <v>5278</v>
      </c>
      <c r="N2736" s="50" t="s">
        <v>5278</v>
      </c>
      <c r="O2736" s="50" t="s">
        <v>5275</v>
      </c>
      <c r="P2736" s="50" t="s">
        <v>5278</v>
      </c>
    </row>
    <row r="2737" spans="1:16" ht="12.75" customHeight="1" x14ac:dyDescent="0.25">
      <c r="A2737" s="311">
        <v>2734</v>
      </c>
      <c r="B2737" s="311" t="s">
        <v>140</v>
      </c>
      <c r="C2737" s="311" t="s">
        <v>140</v>
      </c>
      <c r="D2737" s="311" t="s">
        <v>462</v>
      </c>
      <c r="E2737" s="337" t="s">
        <v>140</v>
      </c>
      <c r="F2737" s="311" t="s">
        <v>261</v>
      </c>
      <c r="G2737" s="311" t="s">
        <v>23</v>
      </c>
      <c r="H2737" s="311" t="s">
        <v>418</v>
      </c>
      <c r="I2737" s="311" t="s">
        <v>66</v>
      </c>
      <c r="J2737" s="50" t="s">
        <v>1892</v>
      </c>
      <c r="K2737" s="50" t="s">
        <v>1892</v>
      </c>
      <c r="L2737" s="50" t="s">
        <v>1893</v>
      </c>
      <c r="M2737" s="50" t="s">
        <v>5279</v>
      </c>
      <c r="N2737" s="50" t="s">
        <v>5279</v>
      </c>
      <c r="O2737" s="50" t="s">
        <v>5275</v>
      </c>
      <c r="P2737" s="50" t="s">
        <v>5279</v>
      </c>
    </row>
    <row r="2738" spans="1:16" ht="12.75" customHeight="1" x14ac:dyDescent="0.25">
      <c r="A2738" s="311">
        <v>2735</v>
      </c>
      <c r="B2738" s="311" t="s">
        <v>121</v>
      </c>
      <c r="C2738" s="311" t="s">
        <v>121</v>
      </c>
      <c r="D2738" s="311" t="s">
        <v>462</v>
      </c>
      <c r="E2738" s="337" t="s">
        <v>121</v>
      </c>
      <c r="F2738" s="311" t="s">
        <v>261</v>
      </c>
      <c r="G2738" s="311" t="s">
        <v>23</v>
      </c>
      <c r="H2738" s="311" t="s">
        <v>418</v>
      </c>
      <c r="I2738" s="311" t="s">
        <v>66</v>
      </c>
      <c r="J2738" s="50" t="s">
        <v>1892</v>
      </c>
      <c r="K2738" s="50" t="s">
        <v>1892</v>
      </c>
      <c r="L2738" s="50" t="s">
        <v>1893</v>
      </c>
      <c r="M2738" s="50" t="s">
        <v>5280</v>
      </c>
      <c r="N2738" s="50" t="s">
        <v>5280</v>
      </c>
      <c r="O2738" s="50" t="s">
        <v>5275</v>
      </c>
      <c r="P2738" s="50" t="s">
        <v>5280</v>
      </c>
    </row>
    <row r="2739" spans="1:16" ht="12.75" customHeight="1" x14ac:dyDescent="0.25">
      <c r="A2739" s="311">
        <v>2736</v>
      </c>
      <c r="B2739" s="311" t="s">
        <v>87</v>
      </c>
      <c r="C2739" s="311" t="s">
        <v>87</v>
      </c>
      <c r="D2739" s="311" t="s">
        <v>462</v>
      </c>
      <c r="E2739" s="337" t="s">
        <v>87</v>
      </c>
      <c r="F2739" s="311" t="s">
        <v>261</v>
      </c>
      <c r="G2739" s="311" t="s">
        <v>23</v>
      </c>
      <c r="H2739" s="311" t="s">
        <v>418</v>
      </c>
      <c r="I2739" s="311" t="s">
        <v>66</v>
      </c>
      <c r="J2739" s="50" t="s">
        <v>1892</v>
      </c>
      <c r="K2739" s="50" t="s">
        <v>1892</v>
      </c>
      <c r="L2739" s="50" t="s">
        <v>1893</v>
      </c>
      <c r="M2739" s="50" t="s">
        <v>5281</v>
      </c>
      <c r="N2739" s="50" t="s">
        <v>5281</v>
      </c>
      <c r="O2739" s="50" t="s">
        <v>5275</v>
      </c>
      <c r="P2739" s="50" t="s">
        <v>5281</v>
      </c>
    </row>
    <row r="2740" spans="1:16" ht="12.75" customHeight="1" x14ac:dyDescent="0.25">
      <c r="A2740" s="311">
        <v>2737</v>
      </c>
      <c r="B2740" s="311" t="s">
        <v>125</v>
      </c>
      <c r="C2740" s="311" t="s">
        <v>125</v>
      </c>
      <c r="D2740" s="311" t="s">
        <v>125</v>
      </c>
      <c r="E2740" s="337" t="s">
        <v>125</v>
      </c>
      <c r="F2740" s="311" t="s">
        <v>261</v>
      </c>
      <c r="G2740" s="311" t="s">
        <v>23</v>
      </c>
      <c r="H2740" s="311" t="s">
        <v>418</v>
      </c>
      <c r="I2740" s="311" t="s">
        <v>66</v>
      </c>
      <c r="J2740" s="50" t="s">
        <v>1892</v>
      </c>
      <c r="K2740" s="50" t="s">
        <v>1892</v>
      </c>
      <c r="L2740" s="50" t="s">
        <v>1893</v>
      </c>
      <c r="M2740" s="50" t="s">
        <v>5282</v>
      </c>
      <c r="N2740" s="50" t="s">
        <v>5282</v>
      </c>
      <c r="O2740" s="50" t="s">
        <v>5282</v>
      </c>
      <c r="P2740" s="50" t="s">
        <v>5282</v>
      </c>
    </row>
    <row r="2741" spans="1:16" ht="12.75" customHeight="1" x14ac:dyDescent="0.25">
      <c r="A2741" s="311">
        <v>2738</v>
      </c>
      <c r="B2741" s="311" t="s">
        <v>134</v>
      </c>
      <c r="C2741" s="311" t="s">
        <v>134</v>
      </c>
      <c r="D2741" s="311" t="s">
        <v>134</v>
      </c>
      <c r="E2741" s="337" t="s">
        <v>134</v>
      </c>
      <c r="F2741" s="311" t="s">
        <v>261</v>
      </c>
      <c r="G2741" s="311" t="s">
        <v>23</v>
      </c>
      <c r="H2741" s="311" t="s">
        <v>418</v>
      </c>
      <c r="I2741" s="311" t="s">
        <v>66</v>
      </c>
      <c r="J2741" s="50" t="s">
        <v>1892</v>
      </c>
      <c r="K2741" s="50" t="s">
        <v>1892</v>
      </c>
      <c r="L2741" s="50" t="s">
        <v>1893</v>
      </c>
      <c r="M2741" s="50" t="s">
        <v>5283</v>
      </c>
      <c r="N2741" s="50" t="s">
        <v>5283</v>
      </c>
      <c r="O2741" s="50" t="s">
        <v>5283</v>
      </c>
      <c r="P2741" s="50" t="s">
        <v>5283</v>
      </c>
    </row>
    <row r="2742" spans="1:16" ht="12.75" customHeight="1" x14ac:dyDescent="0.25">
      <c r="A2742" s="311">
        <v>2739</v>
      </c>
      <c r="B2742" s="311" t="s">
        <v>141</v>
      </c>
      <c r="C2742" s="311" t="s">
        <v>141</v>
      </c>
      <c r="D2742" s="311" t="s">
        <v>141</v>
      </c>
      <c r="E2742" s="337" t="s">
        <v>141</v>
      </c>
      <c r="F2742" s="311" t="s">
        <v>261</v>
      </c>
      <c r="G2742" s="311" t="s">
        <v>23</v>
      </c>
      <c r="H2742" s="311" t="s">
        <v>418</v>
      </c>
      <c r="I2742" s="311" t="s">
        <v>66</v>
      </c>
      <c r="J2742" s="50" t="s">
        <v>1892</v>
      </c>
      <c r="K2742" s="50" t="s">
        <v>1892</v>
      </c>
      <c r="L2742" s="50" t="s">
        <v>1893</v>
      </c>
      <c r="M2742" s="50" t="s">
        <v>5284</v>
      </c>
      <c r="N2742" s="50" t="s">
        <v>5284</v>
      </c>
      <c r="O2742" s="50" t="s">
        <v>5284</v>
      </c>
      <c r="P2742" s="50" t="s">
        <v>5284</v>
      </c>
    </row>
    <row r="2743" spans="1:16" ht="12.75" customHeight="1" x14ac:dyDescent="0.25">
      <c r="A2743" s="311">
        <v>2740</v>
      </c>
      <c r="B2743" s="311" t="s">
        <v>69</v>
      </c>
      <c r="C2743" s="311" t="s">
        <v>69</v>
      </c>
      <c r="D2743" s="311" t="s">
        <v>69</v>
      </c>
      <c r="E2743" s="337" t="s">
        <v>69</v>
      </c>
      <c r="F2743" s="311" t="s">
        <v>261</v>
      </c>
      <c r="G2743" s="311" t="s">
        <v>23</v>
      </c>
      <c r="H2743" s="311" t="s">
        <v>418</v>
      </c>
      <c r="I2743" s="311" t="s">
        <v>66</v>
      </c>
      <c r="J2743" s="50" t="s">
        <v>1892</v>
      </c>
      <c r="K2743" s="50" t="s">
        <v>1892</v>
      </c>
      <c r="L2743" s="50" t="s">
        <v>1893</v>
      </c>
      <c r="M2743" s="50" t="s">
        <v>5285</v>
      </c>
      <c r="N2743" s="50" t="s">
        <v>5285</v>
      </c>
      <c r="O2743" s="50" t="s">
        <v>5285</v>
      </c>
      <c r="P2743" s="50" t="s">
        <v>5285</v>
      </c>
    </row>
    <row r="2744" spans="1:16" ht="12.75" customHeight="1" x14ac:dyDescent="0.25">
      <c r="A2744" s="311">
        <v>2741</v>
      </c>
      <c r="B2744" s="311" t="s">
        <v>84</v>
      </c>
      <c r="C2744" s="311" t="s">
        <v>462</v>
      </c>
      <c r="D2744" s="311" t="s">
        <v>462</v>
      </c>
      <c r="E2744" s="337" t="s">
        <v>462</v>
      </c>
      <c r="F2744" s="311" t="s">
        <v>261</v>
      </c>
      <c r="G2744" s="311" t="s">
        <v>237</v>
      </c>
      <c r="H2744" s="311" t="s">
        <v>418</v>
      </c>
      <c r="I2744" s="311" t="s">
        <v>66</v>
      </c>
      <c r="J2744" s="50" t="s">
        <v>1892</v>
      </c>
      <c r="K2744" s="50" t="s">
        <v>1892</v>
      </c>
      <c r="L2744" s="50" t="s">
        <v>1893</v>
      </c>
      <c r="M2744" s="50" t="s">
        <v>5286</v>
      </c>
      <c r="N2744" s="50" t="s">
        <v>5287</v>
      </c>
      <c r="O2744" s="50" t="s">
        <v>5287</v>
      </c>
      <c r="P2744" s="50" t="s">
        <v>5287</v>
      </c>
    </row>
    <row r="2745" spans="1:16" ht="12.75" customHeight="1" x14ac:dyDescent="0.25">
      <c r="A2745" s="311">
        <v>2742</v>
      </c>
      <c r="B2745" s="311" t="s">
        <v>123</v>
      </c>
      <c r="C2745" s="311" t="s">
        <v>462</v>
      </c>
      <c r="D2745" s="311" t="s">
        <v>462</v>
      </c>
      <c r="E2745" s="337" t="s">
        <v>462</v>
      </c>
      <c r="F2745" s="311" t="s">
        <v>261</v>
      </c>
      <c r="G2745" s="311" t="s">
        <v>237</v>
      </c>
      <c r="H2745" s="311" t="s">
        <v>418</v>
      </c>
      <c r="I2745" s="311" t="s">
        <v>66</v>
      </c>
      <c r="J2745" s="50" t="s">
        <v>1892</v>
      </c>
      <c r="K2745" s="50" t="s">
        <v>1892</v>
      </c>
      <c r="L2745" s="50" t="s">
        <v>1893</v>
      </c>
      <c r="M2745" s="50" t="s">
        <v>5288</v>
      </c>
      <c r="N2745" s="50" t="s">
        <v>5287</v>
      </c>
      <c r="O2745" s="50" t="s">
        <v>5287</v>
      </c>
      <c r="P2745" s="50" t="s">
        <v>5287</v>
      </c>
    </row>
    <row r="2746" spans="1:16" ht="12.75" customHeight="1" x14ac:dyDescent="0.25">
      <c r="A2746" s="311">
        <v>2743</v>
      </c>
      <c r="B2746" s="311" t="s">
        <v>75</v>
      </c>
      <c r="C2746" s="311" t="s">
        <v>462</v>
      </c>
      <c r="D2746" s="311" t="s">
        <v>462</v>
      </c>
      <c r="E2746" s="337" t="s">
        <v>462</v>
      </c>
      <c r="F2746" s="311" t="s">
        <v>261</v>
      </c>
      <c r="G2746" s="311" t="s">
        <v>237</v>
      </c>
      <c r="H2746" s="311" t="s">
        <v>418</v>
      </c>
      <c r="I2746" s="311" t="s">
        <v>66</v>
      </c>
      <c r="J2746" s="50" t="s">
        <v>1892</v>
      </c>
      <c r="K2746" s="50" t="s">
        <v>1892</v>
      </c>
      <c r="L2746" s="50" t="s">
        <v>1893</v>
      </c>
      <c r="M2746" s="50" t="s">
        <v>5289</v>
      </c>
      <c r="N2746" s="50" t="s">
        <v>5287</v>
      </c>
      <c r="O2746" s="50" t="s">
        <v>5287</v>
      </c>
      <c r="P2746" s="50" t="s">
        <v>5287</v>
      </c>
    </row>
    <row r="2747" spans="1:16" ht="12.75" customHeight="1" x14ac:dyDescent="0.25">
      <c r="A2747" s="311">
        <v>2744</v>
      </c>
      <c r="B2747" s="311" t="s">
        <v>63</v>
      </c>
      <c r="C2747" s="311" t="s">
        <v>63</v>
      </c>
      <c r="D2747" s="311" t="s">
        <v>462</v>
      </c>
      <c r="E2747" s="337" t="s">
        <v>63</v>
      </c>
      <c r="F2747" s="311" t="s">
        <v>261</v>
      </c>
      <c r="G2747" s="311" t="s">
        <v>237</v>
      </c>
      <c r="H2747" s="311" t="s">
        <v>418</v>
      </c>
      <c r="I2747" s="311" t="s">
        <v>66</v>
      </c>
      <c r="J2747" s="50" t="s">
        <v>1892</v>
      </c>
      <c r="K2747" s="50" t="s">
        <v>1892</v>
      </c>
      <c r="L2747" s="50" t="s">
        <v>1893</v>
      </c>
      <c r="M2747" s="50" t="s">
        <v>5290</v>
      </c>
      <c r="N2747" s="50" t="s">
        <v>5290</v>
      </c>
      <c r="O2747" s="50" t="s">
        <v>5287</v>
      </c>
      <c r="P2747" s="50" t="s">
        <v>5290</v>
      </c>
    </row>
    <row r="2748" spans="1:16" ht="12.75" customHeight="1" x14ac:dyDescent="0.25">
      <c r="A2748" s="311">
        <v>2745</v>
      </c>
      <c r="B2748" s="311" t="s">
        <v>140</v>
      </c>
      <c r="C2748" s="311" t="s">
        <v>140</v>
      </c>
      <c r="D2748" s="311" t="s">
        <v>462</v>
      </c>
      <c r="E2748" s="337" t="s">
        <v>140</v>
      </c>
      <c r="F2748" s="311" t="s">
        <v>261</v>
      </c>
      <c r="G2748" s="311" t="s">
        <v>237</v>
      </c>
      <c r="H2748" s="311" t="s">
        <v>418</v>
      </c>
      <c r="I2748" s="311" t="s">
        <v>66</v>
      </c>
      <c r="J2748" s="50" t="s">
        <v>1892</v>
      </c>
      <c r="K2748" s="50" t="s">
        <v>1892</v>
      </c>
      <c r="L2748" s="50" t="s">
        <v>1893</v>
      </c>
      <c r="M2748" s="50" t="s">
        <v>5291</v>
      </c>
      <c r="N2748" s="50" t="s">
        <v>5291</v>
      </c>
      <c r="O2748" s="50" t="s">
        <v>5287</v>
      </c>
      <c r="P2748" s="50" t="s">
        <v>5291</v>
      </c>
    </row>
    <row r="2749" spans="1:16" ht="12.75" customHeight="1" x14ac:dyDescent="0.25">
      <c r="A2749" s="311">
        <v>2746</v>
      </c>
      <c r="B2749" s="311" t="s">
        <v>121</v>
      </c>
      <c r="C2749" s="311" t="s">
        <v>121</v>
      </c>
      <c r="D2749" s="311" t="s">
        <v>462</v>
      </c>
      <c r="E2749" s="337" t="s">
        <v>121</v>
      </c>
      <c r="F2749" s="311" t="s">
        <v>261</v>
      </c>
      <c r="G2749" s="311" t="s">
        <v>237</v>
      </c>
      <c r="H2749" s="311" t="s">
        <v>418</v>
      </c>
      <c r="I2749" s="311" t="s">
        <v>66</v>
      </c>
      <c r="J2749" s="50" t="s">
        <v>1892</v>
      </c>
      <c r="K2749" s="50" t="s">
        <v>1892</v>
      </c>
      <c r="L2749" s="50" t="s">
        <v>1893</v>
      </c>
      <c r="M2749" s="50" t="s">
        <v>5292</v>
      </c>
      <c r="N2749" s="50" t="s">
        <v>5292</v>
      </c>
      <c r="O2749" s="50" t="s">
        <v>5287</v>
      </c>
      <c r="P2749" s="50" t="s">
        <v>5292</v>
      </c>
    </row>
    <row r="2750" spans="1:16" ht="12.75" customHeight="1" x14ac:dyDescent="0.25">
      <c r="A2750" s="311">
        <v>2747</v>
      </c>
      <c r="B2750" s="311" t="s">
        <v>87</v>
      </c>
      <c r="C2750" s="311" t="s">
        <v>87</v>
      </c>
      <c r="D2750" s="311" t="s">
        <v>462</v>
      </c>
      <c r="E2750" s="337" t="s">
        <v>87</v>
      </c>
      <c r="F2750" s="311" t="s">
        <v>261</v>
      </c>
      <c r="G2750" s="311" t="s">
        <v>237</v>
      </c>
      <c r="H2750" s="311" t="s">
        <v>418</v>
      </c>
      <c r="I2750" s="311" t="s">
        <v>66</v>
      </c>
      <c r="J2750" s="50" t="s">
        <v>1892</v>
      </c>
      <c r="K2750" s="50" t="s">
        <v>1892</v>
      </c>
      <c r="L2750" s="50" t="s">
        <v>1893</v>
      </c>
      <c r="M2750" s="50" t="s">
        <v>5293</v>
      </c>
      <c r="N2750" s="50" t="s">
        <v>5293</v>
      </c>
      <c r="O2750" s="50" t="s">
        <v>5287</v>
      </c>
      <c r="P2750" s="50" t="s">
        <v>5293</v>
      </c>
    </row>
    <row r="2751" spans="1:16" ht="12.75" customHeight="1" x14ac:dyDescent="0.25">
      <c r="A2751" s="311">
        <v>2748</v>
      </c>
      <c r="B2751" s="311" t="s">
        <v>125</v>
      </c>
      <c r="C2751" s="311" t="s">
        <v>125</v>
      </c>
      <c r="D2751" s="311" t="s">
        <v>125</v>
      </c>
      <c r="E2751" s="337" t="s">
        <v>125</v>
      </c>
      <c r="F2751" s="311" t="s">
        <v>261</v>
      </c>
      <c r="G2751" s="311" t="s">
        <v>237</v>
      </c>
      <c r="H2751" s="311" t="s">
        <v>418</v>
      </c>
      <c r="I2751" s="311" t="s">
        <v>66</v>
      </c>
      <c r="J2751" s="50" t="s">
        <v>1892</v>
      </c>
      <c r="K2751" s="50" t="s">
        <v>1892</v>
      </c>
      <c r="L2751" s="50" t="s">
        <v>1893</v>
      </c>
      <c r="M2751" s="50" t="s">
        <v>5294</v>
      </c>
      <c r="N2751" s="50" t="s">
        <v>5294</v>
      </c>
      <c r="O2751" s="50" t="s">
        <v>5294</v>
      </c>
      <c r="P2751" s="50" t="s">
        <v>5294</v>
      </c>
    </row>
    <row r="2752" spans="1:16" ht="12.75" customHeight="1" x14ac:dyDescent="0.25">
      <c r="A2752" s="311">
        <v>2749</v>
      </c>
      <c r="B2752" s="311" t="s">
        <v>134</v>
      </c>
      <c r="C2752" s="311" t="s">
        <v>134</v>
      </c>
      <c r="D2752" s="311" t="s">
        <v>134</v>
      </c>
      <c r="E2752" s="337" t="s">
        <v>134</v>
      </c>
      <c r="F2752" s="311" t="s">
        <v>261</v>
      </c>
      <c r="G2752" s="311" t="s">
        <v>237</v>
      </c>
      <c r="H2752" s="311" t="s">
        <v>418</v>
      </c>
      <c r="I2752" s="311" t="s">
        <v>66</v>
      </c>
      <c r="J2752" s="50" t="s">
        <v>1892</v>
      </c>
      <c r="K2752" s="50" t="s">
        <v>1892</v>
      </c>
      <c r="L2752" s="50" t="s">
        <v>1893</v>
      </c>
      <c r="M2752" s="50" t="s">
        <v>5295</v>
      </c>
      <c r="N2752" s="50" t="s">
        <v>5295</v>
      </c>
      <c r="O2752" s="50" t="s">
        <v>5295</v>
      </c>
      <c r="P2752" s="50" t="s">
        <v>5295</v>
      </c>
    </row>
    <row r="2753" spans="1:16" ht="12.75" customHeight="1" x14ac:dyDescent="0.25">
      <c r="A2753" s="311">
        <v>2750</v>
      </c>
      <c r="B2753" s="311" t="s">
        <v>141</v>
      </c>
      <c r="C2753" s="311" t="s">
        <v>141</v>
      </c>
      <c r="D2753" s="311" t="s">
        <v>141</v>
      </c>
      <c r="E2753" s="337" t="s">
        <v>141</v>
      </c>
      <c r="F2753" s="311" t="s">
        <v>261</v>
      </c>
      <c r="G2753" s="311" t="s">
        <v>237</v>
      </c>
      <c r="H2753" s="311" t="s">
        <v>418</v>
      </c>
      <c r="I2753" s="311" t="s">
        <v>66</v>
      </c>
      <c r="J2753" s="50" t="s">
        <v>1892</v>
      </c>
      <c r="K2753" s="50" t="s">
        <v>1892</v>
      </c>
      <c r="L2753" s="50" t="s">
        <v>1893</v>
      </c>
      <c r="M2753" s="50" t="s">
        <v>5296</v>
      </c>
      <c r="N2753" s="50" t="s">
        <v>5296</v>
      </c>
      <c r="O2753" s="50" t="s">
        <v>5296</v>
      </c>
      <c r="P2753" s="50" t="s">
        <v>5296</v>
      </c>
    </row>
    <row r="2754" spans="1:16" ht="12.75" customHeight="1" x14ac:dyDescent="0.25">
      <c r="A2754" s="311">
        <v>2751</v>
      </c>
      <c r="B2754" s="311" t="s">
        <v>69</v>
      </c>
      <c r="C2754" s="311" t="s">
        <v>69</v>
      </c>
      <c r="D2754" s="311" t="s">
        <v>69</v>
      </c>
      <c r="E2754" s="337" t="s">
        <v>69</v>
      </c>
      <c r="F2754" s="311" t="s">
        <v>261</v>
      </c>
      <c r="G2754" s="311" t="s">
        <v>237</v>
      </c>
      <c r="H2754" s="311" t="s">
        <v>418</v>
      </c>
      <c r="I2754" s="311" t="s">
        <v>66</v>
      </c>
      <c r="J2754" s="50" t="s">
        <v>1892</v>
      </c>
      <c r="K2754" s="50" t="s">
        <v>1892</v>
      </c>
      <c r="L2754" s="50" t="s">
        <v>1893</v>
      </c>
      <c r="M2754" s="50" t="s">
        <v>5297</v>
      </c>
      <c r="N2754" s="50" t="s">
        <v>5297</v>
      </c>
      <c r="O2754" s="50" t="s">
        <v>5297</v>
      </c>
      <c r="P2754" s="50" t="s">
        <v>5297</v>
      </c>
    </row>
    <row r="2755" spans="1:16" ht="12.75" customHeight="1" x14ac:dyDescent="0.25">
      <c r="A2755" s="311">
        <v>2752</v>
      </c>
      <c r="B2755" s="311" t="s">
        <v>84</v>
      </c>
      <c r="C2755" s="311" t="s">
        <v>462</v>
      </c>
      <c r="D2755" s="311" t="s">
        <v>462</v>
      </c>
      <c r="E2755" s="337" t="s">
        <v>462</v>
      </c>
      <c r="F2755" s="311" t="s">
        <v>267</v>
      </c>
      <c r="G2755" s="311" t="s">
        <v>236</v>
      </c>
      <c r="H2755" s="311" t="s">
        <v>418</v>
      </c>
      <c r="I2755" s="311" t="s">
        <v>66</v>
      </c>
      <c r="J2755" s="50" t="s">
        <v>1892</v>
      </c>
      <c r="K2755" s="50" t="s">
        <v>1892</v>
      </c>
      <c r="L2755" s="50" t="s">
        <v>1893</v>
      </c>
      <c r="M2755" s="50" t="s">
        <v>5298</v>
      </c>
      <c r="N2755" s="50" t="s">
        <v>5299</v>
      </c>
      <c r="O2755" s="50" t="s">
        <v>5299</v>
      </c>
      <c r="P2755" s="50" t="s">
        <v>5299</v>
      </c>
    </row>
    <row r="2756" spans="1:16" ht="12.75" customHeight="1" x14ac:dyDescent="0.25">
      <c r="A2756" s="311">
        <v>2753</v>
      </c>
      <c r="B2756" s="311" t="s">
        <v>123</v>
      </c>
      <c r="C2756" s="311" t="s">
        <v>462</v>
      </c>
      <c r="D2756" s="311" t="s">
        <v>462</v>
      </c>
      <c r="E2756" s="337" t="s">
        <v>462</v>
      </c>
      <c r="F2756" s="311" t="s">
        <v>267</v>
      </c>
      <c r="G2756" s="311" t="s">
        <v>236</v>
      </c>
      <c r="H2756" s="311" t="s">
        <v>418</v>
      </c>
      <c r="I2756" s="311" t="s">
        <v>66</v>
      </c>
      <c r="J2756" s="50" t="s">
        <v>1892</v>
      </c>
      <c r="K2756" s="50" t="s">
        <v>1892</v>
      </c>
      <c r="L2756" s="50" t="s">
        <v>1893</v>
      </c>
      <c r="M2756" s="50" t="s">
        <v>5300</v>
      </c>
      <c r="N2756" s="50" t="s">
        <v>5299</v>
      </c>
      <c r="O2756" s="50" t="s">
        <v>5299</v>
      </c>
      <c r="P2756" s="50" t="s">
        <v>5299</v>
      </c>
    </row>
    <row r="2757" spans="1:16" ht="12.75" customHeight="1" x14ac:dyDescent="0.25">
      <c r="A2757" s="311">
        <v>2754</v>
      </c>
      <c r="B2757" s="311" t="s">
        <v>75</v>
      </c>
      <c r="C2757" s="311" t="s">
        <v>462</v>
      </c>
      <c r="D2757" s="311" t="s">
        <v>462</v>
      </c>
      <c r="E2757" s="337" t="s">
        <v>462</v>
      </c>
      <c r="F2757" s="311" t="s">
        <v>267</v>
      </c>
      <c r="G2757" s="311" t="s">
        <v>236</v>
      </c>
      <c r="H2757" s="311" t="s">
        <v>418</v>
      </c>
      <c r="I2757" s="311" t="s">
        <v>66</v>
      </c>
      <c r="J2757" s="50" t="s">
        <v>1892</v>
      </c>
      <c r="K2757" s="50" t="s">
        <v>1892</v>
      </c>
      <c r="L2757" s="50" t="s">
        <v>1893</v>
      </c>
      <c r="M2757" s="50" t="s">
        <v>5301</v>
      </c>
      <c r="N2757" s="50" t="s">
        <v>5299</v>
      </c>
      <c r="O2757" s="50" t="s">
        <v>5299</v>
      </c>
      <c r="P2757" s="50" t="s">
        <v>5299</v>
      </c>
    </row>
    <row r="2758" spans="1:16" ht="12.75" customHeight="1" x14ac:dyDescent="0.25">
      <c r="A2758" s="311">
        <v>2755</v>
      </c>
      <c r="B2758" s="311" t="s">
        <v>63</v>
      </c>
      <c r="C2758" s="311" t="s">
        <v>63</v>
      </c>
      <c r="D2758" s="311" t="s">
        <v>462</v>
      </c>
      <c r="E2758" s="337" t="s">
        <v>63</v>
      </c>
      <c r="F2758" s="311" t="s">
        <v>267</v>
      </c>
      <c r="G2758" s="311" t="s">
        <v>236</v>
      </c>
      <c r="H2758" s="311" t="s">
        <v>418</v>
      </c>
      <c r="I2758" s="311" t="s">
        <v>66</v>
      </c>
      <c r="J2758" s="50" t="s">
        <v>1892</v>
      </c>
      <c r="K2758" s="50" t="s">
        <v>1892</v>
      </c>
      <c r="L2758" s="50" t="s">
        <v>1893</v>
      </c>
      <c r="M2758" s="50" t="s">
        <v>5302</v>
      </c>
      <c r="N2758" s="50" t="s">
        <v>5302</v>
      </c>
      <c r="O2758" s="50" t="s">
        <v>5299</v>
      </c>
      <c r="P2758" s="50" t="s">
        <v>5302</v>
      </c>
    </row>
    <row r="2759" spans="1:16" ht="12.75" customHeight="1" x14ac:dyDescent="0.25">
      <c r="A2759" s="311">
        <v>2756</v>
      </c>
      <c r="B2759" s="311" t="s">
        <v>140</v>
      </c>
      <c r="C2759" s="311" t="s">
        <v>140</v>
      </c>
      <c r="D2759" s="311" t="s">
        <v>462</v>
      </c>
      <c r="E2759" s="337" t="s">
        <v>140</v>
      </c>
      <c r="F2759" s="311" t="s">
        <v>267</v>
      </c>
      <c r="G2759" s="311" t="s">
        <v>236</v>
      </c>
      <c r="H2759" s="311" t="s">
        <v>418</v>
      </c>
      <c r="I2759" s="311" t="s">
        <v>66</v>
      </c>
      <c r="J2759" s="50" t="s">
        <v>1892</v>
      </c>
      <c r="K2759" s="50" t="s">
        <v>1892</v>
      </c>
      <c r="L2759" s="50" t="s">
        <v>1893</v>
      </c>
      <c r="M2759" s="50" t="s">
        <v>5303</v>
      </c>
      <c r="N2759" s="50" t="s">
        <v>5303</v>
      </c>
      <c r="O2759" s="50" t="s">
        <v>5299</v>
      </c>
      <c r="P2759" s="50" t="s">
        <v>5303</v>
      </c>
    </row>
    <row r="2760" spans="1:16" ht="12.75" customHeight="1" x14ac:dyDescent="0.25">
      <c r="A2760" s="311">
        <v>2757</v>
      </c>
      <c r="B2760" s="311" t="s">
        <v>121</v>
      </c>
      <c r="C2760" s="311" t="s">
        <v>121</v>
      </c>
      <c r="D2760" s="311" t="s">
        <v>462</v>
      </c>
      <c r="E2760" s="337" t="s">
        <v>121</v>
      </c>
      <c r="F2760" s="311" t="s">
        <v>267</v>
      </c>
      <c r="G2760" s="311" t="s">
        <v>236</v>
      </c>
      <c r="H2760" s="311" t="s">
        <v>418</v>
      </c>
      <c r="I2760" s="311" t="s">
        <v>66</v>
      </c>
      <c r="J2760" s="50" t="s">
        <v>1892</v>
      </c>
      <c r="K2760" s="50" t="s">
        <v>1892</v>
      </c>
      <c r="L2760" s="50" t="s">
        <v>1893</v>
      </c>
      <c r="M2760" s="50" t="s">
        <v>5304</v>
      </c>
      <c r="N2760" s="50" t="s">
        <v>5304</v>
      </c>
      <c r="O2760" s="50" t="s">
        <v>5299</v>
      </c>
      <c r="P2760" s="50" t="s">
        <v>5304</v>
      </c>
    </row>
    <row r="2761" spans="1:16" ht="12.75" customHeight="1" x14ac:dyDescent="0.25">
      <c r="A2761" s="311">
        <v>2758</v>
      </c>
      <c r="B2761" s="311" t="s">
        <v>87</v>
      </c>
      <c r="C2761" s="311" t="s">
        <v>87</v>
      </c>
      <c r="D2761" s="311" t="s">
        <v>462</v>
      </c>
      <c r="E2761" s="337" t="s">
        <v>87</v>
      </c>
      <c r="F2761" s="311" t="s">
        <v>267</v>
      </c>
      <c r="G2761" s="311" t="s">
        <v>236</v>
      </c>
      <c r="H2761" s="311" t="s">
        <v>418</v>
      </c>
      <c r="I2761" s="311" t="s">
        <v>66</v>
      </c>
      <c r="J2761" s="50" t="s">
        <v>1892</v>
      </c>
      <c r="K2761" s="50" t="s">
        <v>1892</v>
      </c>
      <c r="L2761" s="50" t="s">
        <v>1893</v>
      </c>
      <c r="M2761" s="50" t="s">
        <v>5305</v>
      </c>
      <c r="N2761" s="50" t="s">
        <v>5305</v>
      </c>
      <c r="O2761" s="50" t="s">
        <v>5299</v>
      </c>
      <c r="P2761" s="50" t="s">
        <v>5305</v>
      </c>
    </row>
    <row r="2762" spans="1:16" ht="12.75" customHeight="1" x14ac:dyDescent="0.25">
      <c r="A2762" s="311">
        <v>2759</v>
      </c>
      <c r="B2762" s="311" t="s">
        <v>125</v>
      </c>
      <c r="C2762" s="311" t="s">
        <v>125</v>
      </c>
      <c r="D2762" s="311" t="s">
        <v>125</v>
      </c>
      <c r="E2762" s="337" t="s">
        <v>125</v>
      </c>
      <c r="F2762" s="311" t="s">
        <v>267</v>
      </c>
      <c r="G2762" s="311" t="s">
        <v>236</v>
      </c>
      <c r="H2762" s="311" t="s">
        <v>418</v>
      </c>
      <c r="I2762" s="311" t="s">
        <v>66</v>
      </c>
      <c r="J2762" s="50" t="s">
        <v>1892</v>
      </c>
      <c r="K2762" s="50" t="s">
        <v>1892</v>
      </c>
      <c r="L2762" s="50" t="s">
        <v>1893</v>
      </c>
      <c r="M2762" s="50" t="s">
        <v>5306</v>
      </c>
      <c r="N2762" s="50" t="s">
        <v>5306</v>
      </c>
      <c r="O2762" s="50" t="s">
        <v>5306</v>
      </c>
      <c r="P2762" s="50" t="s">
        <v>5306</v>
      </c>
    </row>
    <row r="2763" spans="1:16" ht="12.75" customHeight="1" x14ac:dyDescent="0.25">
      <c r="A2763" s="311">
        <v>2760</v>
      </c>
      <c r="B2763" s="311" t="s">
        <v>134</v>
      </c>
      <c r="C2763" s="311" t="s">
        <v>134</v>
      </c>
      <c r="D2763" s="311" t="s">
        <v>134</v>
      </c>
      <c r="E2763" s="337" t="s">
        <v>134</v>
      </c>
      <c r="F2763" s="311" t="s">
        <v>267</v>
      </c>
      <c r="G2763" s="311" t="s">
        <v>236</v>
      </c>
      <c r="H2763" s="311" t="s">
        <v>418</v>
      </c>
      <c r="I2763" s="311" t="s">
        <v>66</v>
      </c>
      <c r="J2763" s="50" t="s">
        <v>1892</v>
      </c>
      <c r="K2763" s="50" t="s">
        <v>1892</v>
      </c>
      <c r="L2763" s="50" t="s">
        <v>1893</v>
      </c>
      <c r="M2763" s="50" t="s">
        <v>5307</v>
      </c>
      <c r="N2763" s="50" t="s">
        <v>5307</v>
      </c>
      <c r="O2763" s="50" t="s">
        <v>5307</v>
      </c>
      <c r="P2763" s="50" t="s">
        <v>5307</v>
      </c>
    </row>
    <row r="2764" spans="1:16" ht="12.75" customHeight="1" x14ac:dyDescent="0.25">
      <c r="A2764" s="311">
        <v>2761</v>
      </c>
      <c r="B2764" s="311" t="s">
        <v>141</v>
      </c>
      <c r="C2764" s="311" t="s">
        <v>141</v>
      </c>
      <c r="D2764" s="311" t="s">
        <v>141</v>
      </c>
      <c r="E2764" s="337" t="s">
        <v>141</v>
      </c>
      <c r="F2764" s="311" t="s">
        <v>267</v>
      </c>
      <c r="G2764" s="311" t="s">
        <v>236</v>
      </c>
      <c r="H2764" s="311" t="s">
        <v>418</v>
      </c>
      <c r="I2764" s="311" t="s">
        <v>66</v>
      </c>
      <c r="J2764" s="50" t="s">
        <v>1892</v>
      </c>
      <c r="K2764" s="50" t="s">
        <v>1892</v>
      </c>
      <c r="L2764" s="50" t="s">
        <v>1893</v>
      </c>
      <c r="M2764" s="50" t="s">
        <v>5308</v>
      </c>
      <c r="N2764" s="50" t="s">
        <v>5308</v>
      </c>
      <c r="O2764" s="50" t="s">
        <v>5308</v>
      </c>
      <c r="P2764" s="50" t="s">
        <v>5308</v>
      </c>
    </row>
    <row r="2765" spans="1:16" ht="12.75" customHeight="1" x14ac:dyDescent="0.25">
      <c r="A2765" s="311">
        <v>2762</v>
      </c>
      <c r="B2765" s="311" t="s">
        <v>69</v>
      </c>
      <c r="C2765" s="311" t="s">
        <v>69</v>
      </c>
      <c r="D2765" s="311" t="s">
        <v>69</v>
      </c>
      <c r="E2765" s="337" t="s">
        <v>69</v>
      </c>
      <c r="F2765" s="311" t="s">
        <v>267</v>
      </c>
      <c r="G2765" s="311" t="s">
        <v>236</v>
      </c>
      <c r="H2765" s="311" t="s">
        <v>418</v>
      </c>
      <c r="I2765" s="311" t="s">
        <v>66</v>
      </c>
      <c r="J2765" s="50" t="s">
        <v>1892</v>
      </c>
      <c r="K2765" s="50" t="s">
        <v>1892</v>
      </c>
      <c r="L2765" s="50" t="s">
        <v>1893</v>
      </c>
      <c r="M2765" s="50" t="s">
        <v>5309</v>
      </c>
      <c r="N2765" s="50" t="s">
        <v>5309</v>
      </c>
      <c r="O2765" s="50" t="s">
        <v>5309</v>
      </c>
      <c r="P2765" s="50" t="s">
        <v>5309</v>
      </c>
    </row>
    <row r="2766" spans="1:16" ht="12.75" customHeight="1" x14ac:dyDescent="0.25">
      <c r="A2766" s="311">
        <v>2763</v>
      </c>
      <c r="B2766" s="311" t="s">
        <v>84</v>
      </c>
      <c r="C2766" s="311" t="s">
        <v>462</v>
      </c>
      <c r="D2766" s="311" t="s">
        <v>462</v>
      </c>
      <c r="E2766" s="337" t="s">
        <v>462</v>
      </c>
      <c r="F2766" s="311" t="s">
        <v>267</v>
      </c>
      <c r="G2766" s="311" t="s">
        <v>23</v>
      </c>
      <c r="H2766" s="311" t="s">
        <v>418</v>
      </c>
      <c r="I2766" s="311" t="s">
        <v>66</v>
      </c>
      <c r="J2766" s="50" t="s">
        <v>1892</v>
      </c>
      <c r="K2766" s="50" t="s">
        <v>1892</v>
      </c>
      <c r="L2766" s="50" t="s">
        <v>1893</v>
      </c>
      <c r="M2766" s="50" t="s">
        <v>5310</v>
      </c>
      <c r="N2766" s="50" t="s">
        <v>5311</v>
      </c>
      <c r="O2766" s="50" t="s">
        <v>5311</v>
      </c>
      <c r="P2766" s="50" t="s">
        <v>5311</v>
      </c>
    </row>
    <row r="2767" spans="1:16" ht="12.75" customHeight="1" x14ac:dyDescent="0.25">
      <c r="A2767" s="311">
        <v>2764</v>
      </c>
      <c r="B2767" s="311" t="s">
        <v>123</v>
      </c>
      <c r="C2767" s="311" t="s">
        <v>462</v>
      </c>
      <c r="D2767" s="311" t="s">
        <v>462</v>
      </c>
      <c r="E2767" s="337" t="s">
        <v>462</v>
      </c>
      <c r="F2767" s="311" t="s">
        <v>267</v>
      </c>
      <c r="G2767" s="311" t="s">
        <v>23</v>
      </c>
      <c r="H2767" s="311" t="s">
        <v>418</v>
      </c>
      <c r="I2767" s="311" t="s">
        <v>66</v>
      </c>
      <c r="J2767" s="50" t="s">
        <v>1892</v>
      </c>
      <c r="K2767" s="50" t="s">
        <v>1892</v>
      </c>
      <c r="L2767" s="50" t="s">
        <v>1893</v>
      </c>
      <c r="M2767" s="50" t="s">
        <v>5312</v>
      </c>
      <c r="N2767" s="50" t="s">
        <v>5311</v>
      </c>
      <c r="O2767" s="50" t="s">
        <v>5311</v>
      </c>
      <c r="P2767" s="50" t="s">
        <v>5311</v>
      </c>
    </row>
    <row r="2768" spans="1:16" ht="12.75" customHeight="1" x14ac:dyDescent="0.25">
      <c r="A2768" s="311">
        <v>2765</v>
      </c>
      <c r="B2768" s="311" t="s">
        <v>75</v>
      </c>
      <c r="C2768" s="311" t="s">
        <v>462</v>
      </c>
      <c r="D2768" s="311" t="s">
        <v>462</v>
      </c>
      <c r="E2768" s="337" t="s">
        <v>462</v>
      </c>
      <c r="F2768" s="311" t="s">
        <v>267</v>
      </c>
      <c r="G2768" s="311" t="s">
        <v>23</v>
      </c>
      <c r="H2768" s="311" t="s">
        <v>418</v>
      </c>
      <c r="I2768" s="311" t="s">
        <v>66</v>
      </c>
      <c r="J2768" s="50" t="s">
        <v>1892</v>
      </c>
      <c r="K2768" s="50" t="s">
        <v>1892</v>
      </c>
      <c r="L2768" s="50" t="s">
        <v>1893</v>
      </c>
      <c r="M2768" s="50" t="s">
        <v>5313</v>
      </c>
      <c r="N2768" s="50" t="s">
        <v>5311</v>
      </c>
      <c r="O2768" s="50" t="s">
        <v>5311</v>
      </c>
      <c r="P2768" s="50" t="s">
        <v>5311</v>
      </c>
    </row>
    <row r="2769" spans="1:16" ht="12.75" customHeight="1" x14ac:dyDescent="0.25">
      <c r="A2769" s="311">
        <v>2766</v>
      </c>
      <c r="B2769" s="311" t="s">
        <v>63</v>
      </c>
      <c r="C2769" s="311" t="s">
        <v>63</v>
      </c>
      <c r="D2769" s="311" t="s">
        <v>462</v>
      </c>
      <c r="E2769" s="337" t="s">
        <v>63</v>
      </c>
      <c r="F2769" s="311" t="s">
        <v>267</v>
      </c>
      <c r="G2769" s="311" t="s">
        <v>23</v>
      </c>
      <c r="H2769" s="311" t="s">
        <v>418</v>
      </c>
      <c r="I2769" s="311" t="s">
        <v>66</v>
      </c>
      <c r="J2769" s="50" t="s">
        <v>1892</v>
      </c>
      <c r="K2769" s="50" t="s">
        <v>1892</v>
      </c>
      <c r="L2769" s="50" t="s">
        <v>1893</v>
      </c>
      <c r="M2769" s="50" t="s">
        <v>5314</v>
      </c>
      <c r="N2769" s="50" t="s">
        <v>5314</v>
      </c>
      <c r="O2769" s="50" t="s">
        <v>5311</v>
      </c>
      <c r="P2769" s="50" t="s">
        <v>5314</v>
      </c>
    </row>
    <row r="2770" spans="1:16" ht="12.75" customHeight="1" x14ac:dyDescent="0.25">
      <c r="A2770" s="311">
        <v>2767</v>
      </c>
      <c r="B2770" s="311" t="s">
        <v>140</v>
      </c>
      <c r="C2770" s="311" t="s">
        <v>140</v>
      </c>
      <c r="D2770" s="311" t="s">
        <v>462</v>
      </c>
      <c r="E2770" s="337" t="s">
        <v>140</v>
      </c>
      <c r="F2770" s="311" t="s">
        <v>267</v>
      </c>
      <c r="G2770" s="311" t="s">
        <v>23</v>
      </c>
      <c r="H2770" s="311" t="s">
        <v>418</v>
      </c>
      <c r="I2770" s="311" t="s">
        <v>66</v>
      </c>
      <c r="J2770" s="50" t="s">
        <v>1892</v>
      </c>
      <c r="K2770" s="50" t="s">
        <v>1892</v>
      </c>
      <c r="L2770" s="50" t="s">
        <v>1893</v>
      </c>
      <c r="M2770" s="50" t="s">
        <v>5315</v>
      </c>
      <c r="N2770" s="50" t="s">
        <v>5315</v>
      </c>
      <c r="O2770" s="50" t="s">
        <v>5311</v>
      </c>
      <c r="P2770" s="50" t="s">
        <v>5315</v>
      </c>
    </row>
    <row r="2771" spans="1:16" ht="12.75" customHeight="1" x14ac:dyDescent="0.25">
      <c r="A2771" s="311">
        <v>2768</v>
      </c>
      <c r="B2771" s="311" t="s">
        <v>121</v>
      </c>
      <c r="C2771" s="311" t="s">
        <v>121</v>
      </c>
      <c r="D2771" s="311" t="s">
        <v>462</v>
      </c>
      <c r="E2771" s="337" t="s">
        <v>121</v>
      </c>
      <c r="F2771" s="311" t="s">
        <v>267</v>
      </c>
      <c r="G2771" s="311" t="s">
        <v>23</v>
      </c>
      <c r="H2771" s="311" t="s">
        <v>418</v>
      </c>
      <c r="I2771" s="311" t="s">
        <v>66</v>
      </c>
      <c r="J2771" s="50" t="s">
        <v>1892</v>
      </c>
      <c r="K2771" s="50" t="s">
        <v>1892</v>
      </c>
      <c r="L2771" s="50" t="s">
        <v>1893</v>
      </c>
      <c r="M2771" s="50" t="s">
        <v>5316</v>
      </c>
      <c r="N2771" s="50" t="s">
        <v>5316</v>
      </c>
      <c r="O2771" s="50" t="s">
        <v>5311</v>
      </c>
      <c r="P2771" s="50" t="s">
        <v>5316</v>
      </c>
    </row>
    <row r="2772" spans="1:16" ht="12.75" customHeight="1" x14ac:dyDescent="0.25">
      <c r="A2772" s="311">
        <v>2769</v>
      </c>
      <c r="B2772" s="311" t="s">
        <v>87</v>
      </c>
      <c r="C2772" s="311" t="s">
        <v>87</v>
      </c>
      <c r="D2772" s="311" t="s">
        <v>462</v>
      </c>
      <c r="E2772" s="337" t="s">
        <v>87</v>
      </c>
      <c r="F2772" s="311" t="s">
        <v>267</v>
      </c>
      <c r="G2772" s="311" t="s">
        <v>23</v>
      </c>
      <c r="H2772" s="311" t="s">
        <v>418</v>
      </c>
      <c r="I2772" s="311" t="s">
        <v>66</v>
      </c>
      <c r="J2772" s="50" t="s">
        <v>1892</v>
      </c>
      <c r="K2772" s="50" t="s">
        <v>1892</v>
      </c>
      <c r="L2772" s="50" t="s">
        <v>1893</v>
      </c>
      <c r="M2772" s="50" t="s">
        <v>5317</v>
      </c>
      <c r="N2772" s="50" t="s">
        <v>5317</v>
      </c>
      <c r="O2772" s="50" t="s">
        <v>5311</v>
      </c>
      <c r="P2772" s="50" t="s">
        <v>5317</v>
      </c>
    </row>
    <row r="2773" spans="1:16" ht="12.75" customHeight="1" x14ac:dyDescent="0.25">
      <c r="A2773" s="311">
        <v>2770</v>
      </c>
      <c r="B2773" s="311" t="s">
        <v>125</v>
      </c>
      <c r="C2773" s="311" t="s">
        <v>125</v>
      </c>
      <c r="D2773" s="311" t="s">
        <v>125</v>
      </c>
      <c r="E2773" s="337" t="s">
        <v>125</v>
      </c>
      <c r="F2773" s="311" t="s">
        <v>267</v>
      </c>
      <c r="G2773" s="311" t="s">
        <v>23</v>
      </c>
      <c r="H2773" s="311" t="s">
        <v>418</v>
      </c>
      <c r="I2773" s="311" t="s">
        <v>66</v>
      </c>
      <c r="J2773" s="50" t="s">
        <v>1892</v>
      </c>
      <c r="K2773" s="50" t="s">
        <v>1892</v>
      </c>
      <c r="L2773" s="50" t="s">
        <v>1893</v>
      </c>
      <c r="M2773" s="50" t="s">
        <v>5318</v>
      </c>
      <c r="N2773" s="50" t="s">
        <v>5318</v>
      </c>
      <c r="O2773" s="50" t="s">
        <v>5318</v>
      </c>
      <c r="P2773" s="50" t="s">
        <v>5318</v>
      </c>
    </row>
    <row r="2774" spans="1:16" ht="12.75" customHeight="1" x14ac:dyDescent="0.25">
      <c r="A2774" s="311">
        <v>2771</v>
      </c>
      <c r="B2774" s="311" t="s">
        <v>134</v>
      </c>
      <c r="C2774" s="311" t="s">
        <v>134</v>
      </c>
      <c r="D2774" s="311" t="s">
        <v>134</v>
      </c>
      <c r="E2774" s="337" t="s">
        <v>134</v>
      </c>
      <c r="F2774" s="311" t="s">
        <v>267</v>
      </c>
      <c r="G2774" s="311" t="s">
        <v>23</v>
      </c>
      <c r="H2774" s="311" t="s">
        <v>418</v>
      </c>
      <c r="I2774" s="311" t="s">
        <v>66</v>
      </c>
      <c r="J2774" s="50" t="s">
        <v>1892</v>
      </c>
      <c r="K2774" s="50" t="s">
        <v>1892</v>
      </c>
      <c r="L2774" s="50" t="s">
        <v>1893</v>
      </c>
      <c r="M2774" s="50" t="s">
        <v>5319</v>
      </c>
      <c r="N2774" s="50" t="s">
        <v>5319</v>
      </c>
      <c r="O2774" s="50" t="s">
        <v>5319</v>
      </c>
      <c r="P2774" s="50" t="s">
        <v>5319</v>
      </c>
    </row>
    <row r="2775" spans="1:16" ht="12.75" customHeight="1" x14ac:dyDescent="0.25">
      <c r="A2775" s="311">
        <v>2772</v>
      </c>
      <c r="B2775" s="311" t="s">
        <v>141</v>
      </c>
      <c r="C2775" s="311" t="s">
        <v>141</v>
      </c>
      <c r="D2775" s="311" t="s">
        <v>141</v>
      </c>
      <c r="E2775" s="337" t="s">
        <v>141</v>
      </c>
      <c r="F2775" s="311" t="s">
        <v>267</v>
      </c>
      <c r="G2775" s="311" t="s">
        <v>23</v>
      </c>
      <c r="H2775" s="311" t="s">
        <v>418</v>
      </c>
      <c r="I2775" s="311" t="s">
        <v>66</v>
      </c>
      <c r="J2775" s="50" t="s">
        <v>1892</v>
      </c>
      <c r="K2775" s="50" t="s">
        <v>1892</v>
      </c>
      <c r="L2775" s="50" t="s">
        <v>1893</v>
      </c>
      <c r="M2775" s="50" t="s">
        <v>5320</v>
      </c>
      <c r="N2775" s="50" t="s">
        <v>5320</v>
      </c>
      <c r="O2775" s="50" t="s">
        <v>5320</v>
      </c>
      <c r="P2775" s="50" t="s">
        <v>5320</v>
      </c>
    </row>
    <row r="2776" spans="1:16" ht="12.75" customHeight="1" x14ac:dyDescent="0.25">
      <c r="A2776" s="311">
        <v>2773</v>
      </c>
      <c r="B2776" s="311" t="s">
        <v>69</v>
      </c>
      <c r="C2776" s="311" t="s">
        <v>69</v>
      </c>
      <c r="D2776" s="311" t="s">
        <v>69</v>
      </c>
      <c r="E2776" s="337" t="s">
        <v>69</v>
      </c>
      <c r="F2776" s="311" t="s">
        <v>267</v>
      </c>
      <c r="G2776" s="311" t="s">
        <v>23</v>
      </c>
      <c r="H2776" s="311" t="s">
        <v>418</v>
      </c>
      <c r="I2776" s="311" t="s">
        <v>66</v>
      </c>
      <c r="J2776" s="50" t="s">
        <v>1892</v>
      </c>
      <c r="K2776" s="50" t="s">
        <v>1892</v>
      </c>
      <c r="L2776" s="50" t="s">
        <v>1893</v>
      </c>
      <c r="M2776" s="50" t="s">
        <v>5321</v>
      </c>
      <c r="N2776" s="50" t="s">
        <v>5321</v>
      </c>
      <c r="O2776" s="50" t="s">
        <v>5321</v>
      </c>
      <c r="P2776" s="50" t="s">
        <v>5321</v>
      </c>
    </row>
    <row r="2777" spans="1:16" ht="12.75" customHeight="1" x14ac:dyDescent="0.25">
      <c r="A2777" s="311">
        <v>2774</v>
      </c>
      <c r="B2777" s="311" t="s">
        <v>84</v>
      </c>
      <c r="C2777" s="311" t="s">
        <v>462</v>
      </c>
      <c r="D2777" s="311" t="s">
        <v>462</v>
      </c>
      <c r="E2777" s="337" t="s">
        <v>462</v>
      </c>
      <c r="F2777" s="311" t="s">
        <v>267</v>
      </c>
      <c r="G2777" s="311" t="s">
        <v>237</v>
      </c>
      <c r="H2777" s="311" t="s">
        <v>418</v>
      </c>
      <c r="I2777" s="311" t="s">
        <v>66</v>
      </c>
      <c r="J2777" s="50" t="s">
        <v>1892</v>
      </c>
      <c r="K2777" s="50" t="s">
        <v>1892</v>
      </c>
      <c r="L2777" s="50" t="s">
        <v>1893</v>
      </c>
      <c r="M2777" s="50" t="s">
        <v>5322</v>
      </c>
      <c r="N2777" s="50" t="s">
        <v>5323</v>
      </c>
      <c r="O2777" s="50" t="s">
        <v>5323</v>
      </c>
      <c r="P2777" s="50" t="s">
        <v>5323</v>
      </c>
    </row>
    <row r="2778" spans="1:16" ht="12.75" customHeight="1" x14ac:dyDescent="0.25">
      <c r="A2778" s="311">
        <v>2775</v>
      </c>
      <c r="B2778" s="311" t="s">
        <v>123</v>
      </c>
      <c r="C2778" s="311" t="s">
        <v>462</v>
      </c>
      <c r="D2778" s="311" t="s">
        <v>462</v>
      </c>
      <c r="E2778" s="337" t="s">
        <v>462</v>
      </c>
      <c r="F2778" s="311" t="s">
        <v>267</v>
      </c>
      <c r="G2778" s="311" t="s">
        <v>237</v>
      </c>
      <c r="H2778" s="311" t="s">
        <v>418</v>
      </c>
      <c r="I2778" s="311" t="s">
        <v>66</v>
      </c>
      <c r="J2778" s="50" t="s">
        <v>1892</v>
      </c>
      <c r="K2778" s="50" t="s">
        <v>1892</v>
      </c>
      <c r="L2778" s="50" t="s">
        <v>1893</v>
      </c>
      <c r="M2778" s="50" t="s">
        <v>5324</v>
      </c>
      <c r="N2778" s="50" t="s">
        <v>5323</v>
      </c>
      <c r="O2778" s="50" t="s">
        <v>5323</v>
      </c>
      <c r="P2778" s="50" t="s">
        <v>5323</v>
      </c>
    </row>
    <row r="2779" spans="1:16" ht="12.75" customHeight="1" x14ac:dyDescent="0.25">
      <c r="A2779" s="311">
        <v>2776</v>
      </c>
      <c r="B2779" s="311" t="s">
        <v>75</v>
      </c>
      <c r="C2779" s="311" t="s">
        <v>462</v>
      </c>
      <c r="D2779" s="311" t="s">
        <v>462</v>
      </c>
      <c r="E2779" s="337" t="s">
        <v>462</v>
      </c>
      <c r="F2779" s="311" t="s">
        <v>267</v>
      </c>
      <c r="G2779" s="311" t="s">
        <v>237</v>
      </c>
      <c r="H2779" s="311" t="s">
        <v>418</v>
      </c>
      <c r="I2779" s="311" t="s">
        <v>66</v>
      </c>
      <c r="J2779" s="50" t="s">
        <v>1892</v>
      </c>
      <c r="K2779" s="50" t="s">
        <v>1892</v>
      </c>
      <c r="L2779" s="50" t="s">
        <v>1893</v>
      </c>
      <c r="M2779" s="50" t="s">
        <v>5325</v>
      </c>
      <c r="N2779" s="50" t="s">
        <v>5323</v>
      </c>
      <c r="O2779" s="50" t="s">
        <v>5323</v>
      </c>
      <c r="P2779" s="50" t="s">
        <v>5323</v>
      </c>
    </row>
    <row r="2780" spans="1:16" ht="12.75" customHeight="1" x14ac:dyDescent="0.25">
      <c r="A2780" s="311">
        <v>2777</v>
      </c>
      <c r="B2780" s="311" t="s">
        <v>63</v>
      </c>
      <c r="C2780" s="311" t="s">
        <v>63</v>
      </c>
      <c r="D2780" s="311" t="s">
        <v>462</v>
      </c>
      <c r="E2780" s="337" t="s">
        <v>63</v>
      </c>
      <c r="F2780" s="311" t="s">
        <v>267</v>
      </c>
      <c r="G2780" s="311" t="s">
        <v>237</v>
      </c>
      <c r="H2780" s="311" t="s">
        <v>418</v>
      </c>
      <c r="I2780" s="311" t="s">
        <v>66</v>
      </c>
      <c r="J2780" s="50" t="s">
        <v>1892</v>
      </c>
      <c r="K2780" s="50" t="s">
        <v>1892</v>
      </c>
      <c r="L2780" s="50" t="s">
        <v>1893</v>
      </c>
      <c r="M2780" s="50" t="s">
        <v>5326</v>
      </c>
      <c r="N2780" s="50" t="s">
        <v>5326</v>
      </c>
      <c r="O2780" s="50" t="s">
        <v>5323</v>
      </c>
      <c r="P2780" s="50" t="s">
        <v>5326</v>
      </c>
    </row>
    <row r="2781" spans="1:16" ht="12.75" customHeight="1" x14ac:dyDescent="0.25">
      <c r="A2781" s="311">
        <v>2778</v>
      </c>
      <c r="B2781" s="311" t="s">
        <v>140</v>
      </c>
      <c r="C2781" s="311" t="s">
        <v>140</v>
      </c>
      <c r="D2781" s="311" t="s">
        <v>462</v>
      </c>
      <c r="E2781" s="337" t="s">
        <v>140</v>
      </c>
      <c r="F2781" s="311" t="s">
        <v>267</v>
      </c>
      <c r="G2781" s="311" t="s">
        <v>237</v>
      </c>
      <c r="H2781" s="311" t="s">
        <v>418</v>
      </c>
      <c r="I2781" s="311" t="s">
        <v>66</v>
      </c>
      <c r="J2781" s="50" t="s">
        <v>1892</v>
      </c>
      <c r="K2781" s="50" t="s">
        <v>1892</v>
      </c>
      <c r="L2781" s="50" t="s">
        <v>1893</v>
      </c>
      <c r="M2781" s="50" t="s">
        <v>5327</v>
      </c>
      <c r="N2781" s="50" t="s">
        <v>5327</v>
      </c>
      <c r="O2781" s="50" t="s">
        <v>5323</v>
      </c>
      <c r="P2781" s="50" t="s">
        <v>5327</v>
      </c>
    </row>
    <row r="2782" spans="1:16" ht="12.75" customHeight="1" x14ac:dyDescent="0.25">
      <c r="A2782" s="311">
        <v>2779</v>
      </c>
      <c r="B2782" s="311" t="s">
        <v>121</v>
      </c>
      <c r="C2782" s="311" t="s">
        <v>121</v>
      </c>
      <c r="D2782" s="311" t="s">
        <v>462</v>
      </c>
      <c r="E2782" s="337" t="s">
        <v>121</v>
      </c>
      <c r="F2782" s="311" t="s">
        <v>267</v>
      </c>
      <c r="G2782" s="311" t="s">
        <v>237</v>
      </c>
      <c r="H2782" s="311" t="s">
        <v>418</v>
      </c>
      <c r="I2782" s="311" t="s">
        <v>66</v>
      </c>
      <c r="J2782" s="50" t="s">
        <v>1892</v>
      </c>
      <c r="K2782" s="50" t="s">
        <v>1892</v>
      </c>
      <c r="L2782" s="50" t="s">
        <v>1893</v>
      </c>
      <c r="M2782" s="50" t="s">
        <v>5328</v>
      </c>
      <c r="N2782" s="50" t="s">
        <v>5328</v>
      </c>
      <c r="O2782" s="50" t="s">
        <v>5323</v>
      </c>
      <c r="P2782" s="50" t="s">
        <v>5328</v>
      </c>
    </row>
    <row r="2783" spans="1:16" ht="12.75" customHeight="1" x14ac:dyDescent="0.25">
      <c r="A2783" s="311">
        <v>2780</v>
      </c>
      <c r="B2783" s="311" t="s">
        <v>87</v>
      </c>
      <c r="C2783" s="311" t="s">
        <v>87</v>
      </c>
      <c r="D2783" s="311" t="s">
        <v>462</v>
      </c>
      <c r="E2783" s="337" t="s">
        <v>87</v>
      </c>
      <c r="F2783" s="311" t="s">
        <v>267</v>
      </c>
      <c r="G2783" s="311" t="s">
        <v>237</v>
      </c>
      <c r="H2783" s="311" t="s">
        <v>418</v>
      </c>
      <c r="I2783" s="311" t="s">
        <v>66</v>
      </c>
      <c r="J2783" s="50" t="s">
        <v>1892</v>
      </c>
      <c r="K2783" s="50" t="s">
        <v>1892</v>
      </c>
      <c r="L2783" s="50" t="s">
        <v>1893</v>
      </c>
      <c r="M2783" s="50" t="s">
        <v>5329</v>
      </c>
      <c r="N2783" s="50" t="s">
        <v>5329</v>
      </c>
      <c r="O2783" s="50" t="s">
        <v>5323</v>
      </c>
      <c r="P2783" s="50" t="s">
        <v>5329</v>
      </c>
    </row>
    <row r="2784" spans="1:16" ht="12.75" customHeight="1" x14ac:dyDescent="0.25">
      <c r="A2784" s="311">
        <v>2781</v>
      </c>
      <c r="B2784" s="311" t="s">
        <v>125</v>
      </c>
      <c r="C2784" s="311" t="s">
        <v>125</v>
      </c>
      <c r="D2784" s="311" t="s">
        <v>125</v>
      </c>
      <c r="E2784" s="337" t="s">
        <v>125</v>
      </c>
      <c r="F2784" s="311" t="s">
        <v>267</v>
      </c>
      <c r="G2784" s="311" t="s">
        <v>237</v>
      </c>
      <c r="H2784" s="311" t="s">
        <v>418</v>
      </c>
      <c r="I2784" s="311" t="s">
        <v>66</v>
      </c>
      <c r="J2784" s="50" t="s">
        <v>1892</v>
      </c>
      <c r="K2784" s="50" t="s">
        <v>1892</v>
      </c>
      <c r="L2784" s="50" t="s">
        <v>1893</v>
      </c>
      <c r="M2784" s="50" t="s">
        <v>5330</v>
      </c>
      <c r="N2784" s="50" t="s">
        <v>5330</v>
      </c>
      <c r="O2784" s="50" t="s">
        <v>5330</v>
      </c>
      <c r="P2784" s="50" t="s">
        <v>5330</v>
      </c>
    </row>
    <row r="2785" spans="1:16" ht="12.75" customHeight="1" x14ac:dyDescent="0.25">
      <c r="A2785" s="311">
        <v>2782</v>
      </c>
      <c r="B2785" s="311" t="s">
        <v>134</v>
      </c>
      <c r="C2785" s="311" t="s">
        <v>134</v>
      </c>
      <c r="D2785" s="311" t="s">
        <v>134</v>
      </c>
      <c r="E2785" s="337" t="s">
        <v>134</v>
      </c>
      <c r="F2785" s="311" t="s">
        <v>267</v>
      </c>
      <c r="G2785" s="311" t="s">
        <v>237</v>
      </c>
      <c r="H2785" s="311" t="s">
        <v>418</v>
      </c>
      <c r="I2785" s="311" t="s">
        <v>66</v>
      </c>
      <c r="J2785" s="50" t="s">
        <v>1892</v>
      </c>
      <c r="K2785" s="50" t="s">
        <v>1892</v>
      </c>
      <c r="L2785" s="50" t="s">
        <v>1893</v>
      </c>
      <c r="M2785" s="50" t="s">
        <v>5331</v>
      </c>
      <c r="N2785" s="50" t="s">
        <v>5331</v>
      </c>
      <c r="O2785" s="50" t="s">
        <v>5331</v>
      </c>
      <c r="P2785" s="50" t="s">
        <v>5331</v>
      </c>
    </row>
    <row r="2786" spans="1:16" ht="12.75" customHeight="1" x14ac:dyDescent="0.25">
      <c r="A2786" s="311">
        <v>2783</v>
      </c>
      <c r="B2786" s="311" t="s">
        <v>141</v>
      </c>
      <c r="C2786" s="311" t="s">
        <v>141</v>
      </c>
      <c r="D2786" s="311" t="s">
        <v>141</v>
      </c>
      <c r="E2786" s="337" t="s">
        <v>141</v>
      </c>
      <c r="F2786" s="311" t="s">
        <v>267</v>
      </c>
      <c r="G2786" s="311" t="s">
        <v>237</v>
      </c>
      <c r="H2786" s="311" t="s">
        <v>418</v>
      </c>
      <c r="I2786" s="311" t="s">
        <v>66</v>
      </c>
      <c r="J2786" s="50" t="s">
        <v>1892</v>
      </c>
      <c r="K2786" s="50" t="s">
        <v>1892</v>
      </c>
      <c r="L2786" s="50" t="s">
        <v>1893</v>
      </c>
      <c r="M2786" s="50" t="s">
        <v>5332</v>
      </c>
      <c r="N2786" s="50" t="s">
        <v>5332</v>
      </c>
      <c r="O2786" s="50" t="s">
        <v>5332</v>
      </c>
      <c r="P2786" s="50" t="s">
        <v>5332</v>
      </c>
    </row>
    <row r="2787" spans="1:16" ht="12.75" customHeight="1" x14ac:dyDescent="0.25">
      <c r="A2787" s="311">
        <v>2784</v>
      </c>
      <c r="B2787" s="311" t="s">
        <v>69</v>
      </c>
      <c r="C2787" s="311" t="s">
        <v>69</v>
      </c>
      <c r="D2787" s="311" t="s">
        <v>69</v>
      </c>
      <c r="E2787" s="337" t="s">
        <v>69</v>
      </c>
      <c r="F2787" s="311" t="s">
        <v>267</v>
      </c>
      <c r="G2787" s="311" t="s">
        <v>237</v>
      </c>
      <c r="H2787" s="311" t="s">
        <v>418</v>
      </c>
      <c r="I2787" s="311" t="s">
        <v>66</v>
      </c>
      <c r="J2787" s="50" t="s">
        <v>1892</v>
      </c>
      <c r="K2787" s="50" t="s">
        <v>1892</v>
      </c>
      <c r="L2787" s="50" t="s">
        <v>1893</v>
      </c>
      <c r="M2787" s="50" t="s">
        <v>5333</v>
      </c>
      <c r="N2787" s="50" t="s">
        <v>5333</v>
      </c>
      <c r="O2787" s="50" t="s">
        <v>5333</v>
      </c>
      <c r="P2787" s="50" t="s">
        <v>5333</v>
      </c>
    </row>
    <row r="2788" spans="1:16" ht="12.75" customHeight="1" x14ac:dyDescent="0.25">
      <c r="A2788" s="311">
        <v>2785</v>
      </c>
      <c r="B2788" s="311" t="s">
        <v>84</v>
      </c>
      <c r="C2788" s="311" t="s">
        <v>462</v>
      </c>
      <c r="D2788" s="311" t="s">
        <v>462</v>
      </c>
      <c r="E2788" s="337" t="s">
        <v>462</v>
      </c>
      <c r="F2788" s="311" t="s">
        <v>262</v>
      </c>
      <c r="G2788" s="311" t="s">
        <v>236</v>
      </c>
      <c r="H2788" s="311" t="s">
        <v>418</v>
      </c>
      <c r="I2788" s="311" t="s">
        <v>66</v>
      </c>
      <c r="J2788" s="50" t="s">
        <v>1892</v>
      </c>
      <c r="K2788" s="50" t="s">
        <v>1892</v>
      </c>
      <c r="L2788" s="50" t="s">
        <v>1893</v>
      </c>
      <c r="M2788" s="50" t="s">
        <v>5334</v>
      </c>
      <c r="N2788" s="50" t="s">
        <v>5335</v>
      </c>
      <c r="O2788" s="50" t="s">
        <v>5335</v>
      </c>
      <c r="P2788" s="50" t="s">
        <v>5335</v>
      </c>
    </row>
    <row r="2789" spans="1:16" ht="12.75" customHeight="1" x14ac:dyDescent="0.25">
      <c r="A2789" s="311">
        <v>2786</v>
      </c>
      <c r="B2789" s="311" t="s">
        <v>123</v>
      </c>
      <c r="C2789" s="311" t="s">
        <v>462</v>
      </c>
      <c r="D2789" s="311" t="s">
        <v>462</v>
      </c>
      <c r="E2789" s="337" t="s">
        <v>462</v>
      </c>
      <c r="F2789" s="311" t="s">
        <v>262</v>
      </c>
      <c r="G2789" s="311" t="s">
        <v>236</v>
      </c>
      <c r="H2789" s="311" t="s">
        <v>418</v>
      </c>
      <c r="I2789" s="311" t="s">
        <v>66</v>
      </c>
      <c r="J2789" s="50" t="s">
        <v>1892</v>
      </c>
      <c r="K2789" s="50" t="s">
        <v>1892</v>
      </c>
      <c r="L2789" s="50" t="s">
        <v>1893</v>
      </c>
      <c r="M2789" s="50" t="s">
        <v>5336</v>
      </c>
      <c r="N2789" s="50" t="s">
        <v>5335</v>
      </c>
      <c r="O2789" s="50" t="s">
        <v>5335</v>
      </c>
      <c r="P2789" s="50" t="s">
        <v>5335</v>
      </c>
    </row>
    <row r="2790" spans="1:16" ht="12.75" customHeight="1" x14ac:dyDescent="0.25">
      <c r="A2790" s="311">
        <v>2787</v>
      </c>
      <c r="B2790" s="311" t="s">
        <v>75</v>
      </c>
      <c r="C2790" s="311" t="s">
        <v>462</v>
      </c>
      <c r="D2790" s="311" t="s">
        <v>462</v>
      </c>
      <c r="E2790" s="337" t="s">
        <v>462</v>
      </c>
      <c r="F2790" s="311" t="s">
        <v>262</v>
      </c>
      <c r="G2790" s="311" t="s">
        <v>236</v>
      </c>
      <c r="H2790" s="311" t="s">
        <v>418</v>
      </c>
      <c r="I2790" s="311" t="s">
        <v>66</v>
      </c>
      <c r="J2790" s="50" t="s">
        <v>1892</v>
      </c>
      <c r="K2790" s="50" t="s">
        <v>1892</v>
      </c>
      <c r="L2790" s="50" t="s">
        <v>1893</v>
      </c>
      <c r="M2790" s="50" t="s">
        <v>5337</v>
      </c>
      <c r="N2790" s="50" t="s">
        <v>5335</v>
      </c>
      <c r="O2790" s="50" t="s">
        <v>5335</v>
      </c>
      <c r="P2790" s="50" t="s">
        <v>5335</v>
      </c>
    </row>
    <row r="2791" spans="1:16" ht="12.75" customHeight="1" x14ac:dyDescent="0.25">
      <c r="A2791" s="311">
        <v>2788</v>
      </c>
      <c r="B2791" s="311" t="s">
        <v>63</v>
      </c>
      <c r="C2791" s="311" t="s">
        <v>63</v>
      </c>
      <c r="D2791" s="311" t="s">
        <v>462</v>
      </c>
      <c r="E2791" s="337" t="s">
        <v>63</v>
      </c>
      <c r="F2791" s="311" t="s">
        <v>262</v>
      </c>
      <c r="G2791" s="311" t="s">
        <v>236</v>
      </c>
      <c r="H2791" s="311" t="s">
        <v>418</v>
      </c>
      <c r="I2791" s="311" t="s">
        <v>66</v>
      </c>
      <c r="J2791" s="50" t="s">
        <v>1892</v>
      </c>
      <c r="K2791" s="50" t="s">
        <v>1892</v>
      </c>
      <c r="L2791" s="50" t="s">
        <v>1893</v>
      </c>
      <c r="M2791" s="50" t="s">
        <v>5338</v>
      </c>
      <c r="N2791" s="50" t="s">
        <v>5338</v>
      </c>
      <c r="O2791" s="50" t="s">
        <v>5335</v>
      </c>
      <c r="P2791" s="50" t="s">
        <v>5338</v>
      </c>
    </row>
    <row r="2792" spans="1:16" ht="12.75" customHeight="1" x14ac:dyDescent="0.25">
      <c r="A2792" s="311">
        <v>2789</v>
      </c>
      <c r="B2792" s="311" t="s">
        <v>140</v>
      </c>
      <c r="C2792" s="311" t="s">
        <v>140</v>
      </c>
      <c r="D2792" s="311" t="s">
        <v>462</v>
      </c>
      <c r="E2792" s="337" t="s">
        <v>140</v>
      </c>
      <c r="F2792" s="311" t="s">
        <v>262</v>
      </c>
      <c r="G2792" s="311" t="s">
        <v>236</v>
      </c>
      <c r="H2792" s="311" t="s">
        <v>418</v>
      </c>
      <c r="I2792" s="311" t="s">
        <v>66</v>
      </c>
      <c r="J2792" s="50" t="s">
        <v>1892</v>
      </c>
      <c r="K2792" s="50" t="s">
        <v>1892</v>
      </c>
      <c r="L2792" s="50" t="s">
        <v>1893</v>
      </c>
      <c r="M2792" s="50" t="s">
        <v>5339</v>
      </c>
      <c r="N2792" s="50" t="s">
        <v>5339</v>
      </c>
      <c r="O2792" s="50" t="s">
        <v>5335</v>
      </c>
      <c r="P2792" s="50" t="s">
        <v>5339</v>
      </c>
    </row>
    <row r="2793" spans="1:16" ht="12.75" customHeight="1" x14ac:dyDescent="0.25">
      <c r="A2793" s="311">
        <v>2790</v>
      </c>
      <c r="B2793" s="311" t="s">
        <v>121</v>
      </c>
      <c r="C2793" s="311" t="s">
        <v>121</v>
      </c>
      <c r="D2793" s="311" t="s">
        <v>462</v>
      </c>
      <c r="E2793" s="337" t="s">
        <v>121</v>
      </c>
      <c r="F2793" s="311" t="s">
        <v>262</v>
      </c>
      <c r="G2793" s="311" t="s">
        <v>236</v>
      </c>
      <c r="H2793" s="311" t="s">
        <v>418</v>
      </c>
      <c r="I2793" s="311" t="s">
        <v>66</v>
      </c>
      <c r="J2793" s="50" t="s">
        <v>1892</v>
      </c>
      <c r="K2793" s="50" t="s">
        <v>1892</v>
      </c>
      <c r="L2793" s="50" t="s">
        <v>1893</v>
      </c>
      <c r="M2793" s="50" t="s">
        <v>5340</v>
      </c>
      <c r="N2793" s="50" t="s">
        <v>5340</v>
      </c>
      <c r="O2793" s="50" t="s">
        <v>5335</v>
      </c>
      <c r="P2793" s="50" t="s">
        <v>5340</v>
      </c>
    </row>
    <row r="2794" spans="1:16" ht="12.75" customHeight="1" x14ac:dyDescent="0.25">
      <c r="A2794" s="311">
        <v>2791</v>
      </c>
      <c r="B2794" s="311" t="s">
        <v>87</v>
      </c>
      <c r="C2794" s="311" t="s">
        <v>87</v>
      </c>
      <c r="D2794" s="311" t="s">
        <v>462</v>
      </c>
      <c r="E2794" s="337" t="s">
        <v>87</v>
      </c>
      <c r="F2794" s="311" t="s">
        <v>262</v>
      </c>
      <c r="G2794" s="311" t="s">
        <v>236</v>
      </c>
      <c r="H2794" s="311" t="s">
        <v>418</v>
      </c>
      <c r="I2794" s="311" t="s">
        <v>66</v>
      </c>
      <c r="J2794" s="50" t="s">
        <v>1892</v>
      </c>
      <c r="K2794" s="50" t="s">
        <v>1892</v>
      </c>
      <c r="L2794" s="50" t="s">
        <v>1893</v>
      </c>
      <c r="M2794" s="50" t="s">
        <v>5341</v>
      </c>
      <c r="N2794" s="50" t="s">
        <v>5341</v>
      </c>
      <c r="O2794" s="50" t="s">
        <v>5335</v>
      </c>
      <c r="P2794" s="50" t="s">
        <v>5341</v>
      </c>
    </row>
    <row r="2795" spans="1:16" ht="12.75" customHeight="1" x14ac:dyDescent="0.25">
      <c r="A2795" s="311">
        <v>2792</v>
      </c>
      <c r="B2795" s="311" t="s">
        <v>125</v>
      </c>
      <c r="C2795" s="311" t="s">
        <v>125</v>
      </c>
      <c r="D2795" s="311" t="s">
        <v>125</v>
      </c>
      <c r="E2795" s="337" t="s">
        <v>125</v>
      </c>
      <c r="F2795" s="311" t="s">
        <v>262</v>
      </c>
      <c r="G2795" s="311" t="s">
        <v>236</v>
      </c>
      <c r="H2795" s="311" t="s">
        <v>418</v>
      </c>
      <c r="I2795" s="311" t="s">
        <v>66</v>
      </c>
      <c r="J2795" s="50" t="s">
        <v>1892</v>
      </c>
      <c r="K2795" s="50" t="s">
        <v>1892</v>
      </c>
      <c r="L2795" s="50" t="s">
        <v>1893</v>
      </c>
      <c r="M2795" s="50" t="s">
        <v>5342</v>
      </c>
      <c r="N2795" s="50" t="s">
        <v>5342</v>
      </c>
      <c r="O2795" s="50" t="s">
        <v>5342</v>
      </c>
      <c r="P2795" s="50" t="s">
        <v>5342</v>
      </c>
    </row>
    <row r="2796" spans="1:16" ht="12.75" customHeight="1" x14ac:dyDescent="0.25">
      <c r="A2796" s="311">
        <v>2793</v>
      </c>
      <c r="B2796" s="311" t="s">
        <v>134</v>
      </c>
      <c r="C2796" s="311" t="s">
        <v>134</v>
      </c>
      <c r="D2796" s="311" t="s">
        <v>134</v>
      </c>
      <c r="E2796" s="337" t="s">
        <v>134</v>
      </c>
      <c r="F2796" s="311" t="s">
        <v>262</v>
      </c>
      <c r="G2796" s="311" t="s">
        <v>236</v>
      </c>
      <c r="H2796" s="311" t="s">
        <v>418</v>
      </c>
      <c r="I2796" s="311" t="s">
        <v>66</v>
      </c>
      <c r="J2796" s="50" t="s">
        <v>1892</v>
      </c>
      <c r="K2796" s="50" t="s">
        <v>1892</v>
      </c>
      <c r="L2796" s="50" t="s">
        <v>1893</v>
      </c>
      <c r="M2796" s="50" t="s">
        <v>5343</v>
      </c>
      <c r="N2796" s="50" t="s">
        <v>5343</v>
      </c>
      <c r="O2796" s="50" t="s">
        <v>5343</v>
      </c>
      <c r="P2796" s="50" t="s">
        <v>5343</v>
      </c>
    </row>
    <row r="2797" spans="1:16" ht="12.75" customHeight="1" x14ac:dyDescent="0.25">
      <c r="A2797" s="311">
        <v>2794</v>
      </c>
      <c r="B2797" s="311" t="s">
        <v>141</v>
      </c>
      <c r="C2797" s="311" t="s">
        <v>141</v>
      </c>
      <c r="D2797" s="311" t="s">
        <v>141</v>
      </c>
      <c r="E2797" s="337" t="s">
        <v>141</v>
      </c>
      <c r="F2797" s="311" t="s">
        <v>262</v>
      </c>
      <c r="G2797" s="311" t="s">
        <v>236</v>
      </c>
      <c r="H2797" s="311" t="s">
        <v>418</v>
      </c>
      <c r="I2797" s="311" t="s">
        <v>66</v>
      </c>
      <c r="J2797" s="50" t="s">
        <v>1892</v>
      </c>
      <c r="K2797" s="50" t="s">
        <v>1892</v>
      </c>
      <c r="L2797" s="50" t="s">
        <v>1893</v>
      </c>
      <c r="M2797" s="50" t="s">
        <v>5344</v>
      </c>
      <c r="N2797" s="50" t="s">
        <v>5344</v>
      </c>
      <c r="O2797" s="50" t="s">
        <v>5344</v>
      </c>
      <c r="P2797" s="50" t="s">
        <v>5344</v>
      </c>
    </row>
    <row r="2798" spans="1:16" ht="12.75" customHeight="1" x14ac:dyDescent="0.25">
      <c r="A2798" s="311">
        <v>2795</v>
      </c>
      <c r="B2798" s="311" t="s">
        <v>69</v>
      </c>
      <c r="C2798" s="311" t="s">
        <v>69</v>
      </c>
      <c r="D2798" s="311" t="s">
        <v>69</v>
      </c>
      <c r="E2798" s="337" t="s">
        <v>69</v>
      </c>
      <c r="F2798" s="311" t="s">
        <v>262</v>
      </c>
      <c r="G2798" s="311" t="s">
        <v>236</v>
      </c>
      <c r="H2798" s="311" t="s">
        <v>418</v>
      </c>
      <c r="I2798" s="311" t="s">
        <v>66</v>
      </c>
      <c r="J2798" s="50" t="s">
        <v>1892</v>
      </c>
      <c r="K2798" s="50" t="s">
        <v>1892</v>
      </c>
      <c r="L2798" s="50" t="s">
        <v>1893</v>
      </c>
      <c r="M2798" s="50" t="s">
        <v>5345</v>
      </c>
      <c r="N2798" s="50" t="s">
        <v>5345</v>
      </c>
      <c r="O2798" s="50" t="s">
        <v>5345</v>
      </c>
      <c r="P2798" s="50" t="s">
        <v>5345</v>
      </c>
    </row>
    <row r="2799" spans="1:16" ht="12.75" customHeight="1" x14ac:dyDescent="0.25">
      <c r="A2799" s="311">
        <v>2796</v>
      </c>
      <c r="B2799" s="311" t="s">
        <v>84</v>
      </c>
      <c r="C2799" s="311" t="s">
        <v>462</v>
      </c>
      <c r="D2799" s="311" t="s">
        <v>462</v>
      </c>
      <c r="E2799" s="337" t="s">
        <v>462</v>
      </c>
      <c r="F2799" s="311" t="s">
        <v>262</v>
      </c>
      <c r="G2799" s="311" t="s">
        <v>23</v>
      </c>
      <c r="H2799" s="311" t="s">
        <v>418</v>
      </c>
      <c r="I2799" s="311" t="s">
        <v>66</v>
      </c>
      <c r="J2799" s="50" t="s">
        <v>1892</v>
      </c>
      <c r="K2799" s="50" t="s">
        <v>1892</v>
      </c>
      <c r="L2799" s="50" t="s">
        <v>1893</v>
      </c>
      <c r="M2799" s="50" t="s">
        <v>5346</v>
      </c>
      <c r="N2799" s="50" t="s">
        <v>5347</v>
      </c>
      <c r="O2799" s="50" t="s">
        <v>5347</v>
      </c>
      <c r="P2799" s="50" t="s">
        <v>5347</v>
      </c>
    </row>
    <row r="2800" spans="1:16" ht="12.75" customHeight="1" x14ac:dyDescent="0.25">
      <c r="A2800" s="311">
        <v>2797</v>
      </c>
      <c r="B2800" s="311" t="s">
        <v>123</v>
      </c>
      <c r="C2800" s="311" t="s">
        <v>462</v>
      </c>
      <c r="D2800" s="311" t="s">
        <v>462</v>
      </c>
      <c r="E2800" s="337" t="s">
        <v>462</v>
      </c>
      <c r="F2800" s="311" t="s">
        <v>262</v>
      </c>
      <c r="G2800" s="311" t="s">
        <v>23</v>
      </c>
      <c r="H2800" s="311" t="s">
        <v>418</v>
      </c>
      <c r="I2800" s="311" t="s">
        <v>66</v>
      </c>
      <c r="J2800" s="50" t="s">
        <v>1892</v>
      </c>
      <c r="K2800" s="50" t="s">
        <v>1892</v>
      </c>
      <c r="L2800" s="50" t="s">
        <v>1893</v>
      </c>
      <c r="M2800" s="50" t="s">
        <v>5348</v>
      </c>
      <c r="N2800" s="50" t="s">
        <v>5347</v>
      </c>
      <c r="O2800" s="50" t="s">
        <v>5347</v>
      </c>
      <c r="P2800" s="50" t="s">
        <v>5347</v>
      </c>
    </row>
    <row r="2801" spans="1:16" ht="12.75" customHeight="1" x14ac:dyDescent="0.25">
      <c r="A2801" s="311">
        <v>2798</v>
      </c>
      <c r="B2801" s="311" t="s">
        <v>75</v>
      </c>
      <c r="C2801" s="311" t="s">
        <v>462</v>
      </c>
      <c r="D2801" s="311" t="s">
        <v>462</v>
      </c>
      <c r="E2801" s="337" t="s">
        <v>462</v>
      </c>
      <c r="F2801" s="311" t="s">
        <v>262</v>
      </c>
      <c r="G2801" s="311" t="s">
        <v>23</v>
      </c>
      <c r="H2801" s="311" t="s">
        <v>418</v>
      </c>
      <c r="I2801" s="311" t="s">
        <v>66</v>
      </c>
      <c r="J2801" s="50" t="s">
        <v>1892</v>
      </c>
      <c r="K2801" s="50" t="s">
        <v>1892</v>
      </c>
      <c r="L2801" s="50" t="s">
        <v>1893</v>
      </c>
      <c r="M2801" s="50" t="s">
        <v>5349</v>
      </c>
      <c r="N2801" s="50" t="s">
        <v>5347</v>
      </c>
      <c r="O2801" s="50" t="s">
        <v>5347</v>
      </c>
      <c r="P2801" s="50" t="s">
        <v>5347</v>
      </c>
    </row>
    <row r="2802" spans="1:16" ht="12.75" customHeight="1" x14ac:dyDescent="0.25">
      <c r="A2802" s="311">
        <v>2799</v>
      </c>
      <c r="B2802" s="311" t="s">
        <v>63</v>
      </c>
      <c r="C2802" s="311" t="s">
        <v>63</v>
      </c>
      <c r="D2802" s="311" t="s">
        <v>462</v>
      </c>
      <c r="E2802" s="337" t="s">
        <v>63</v>
      </c>
      <c r="F2802" s="311" t="s">
        <v>262</v>
      </c>
      <c r="G2802" s="311" t="s">
        <v>23</v>
      </c>
      <c r="H2802" s="311" t="s">
        <v>418</v>
      </c>
      <c r="I2802" s="311" t="s">
        <v>66</v>
      </c>
      <c r="J2802" s="50" t="s">
        <v>1892</v>
      </c>
      <c r="K2802" s="50" t="s">
        <v>1892</v>
      </c>
      <c r="L2802" s="50" t="s">
        <v>1893</v>
      </c>
      <c r="M2802" s="50" t="s">
        <v>5350</v>
      </c>
      <c r="N2802" s="50" t="s">
        <v>5350</v>
      </c>
      <c r="O2802" s="50" t="s">
        <v>5347</v>
      </c>
      <c r="P2802" s="50" t="s">
        <v>5350</v>
      </c>
    </row>
    <row r="2803" spans="1:16" ht="12.75" customHeight="1" x14ac:dyDescent="0.25">
      <c r="A2803" s="311">
        <v>2800</v>
      </c>
      <c r="B2803" s="311" t="s">
        <v>140</v>
      </c>
      <c r="C2803" s="311" t="s">
        <v>140</v>
      </c>
      <c r="D2803" s="311" t="s">
        <v>462</v>
      </c>
      <c r="E2803" s="337" t="s">
        <v>140</v>
      </c>
      <c r="F2803" s="311" t="s">
        <v>262</v>
      </c>
      <c r="G2803" s="311" t="s">
        <v>23</v>
      </c>
      <c r="H2803" s="311" t="s">
        <v>418</v>
      </c>
      <c r="I2803" s="311" t="s">
        <v>66</v>
      </c>
      <c r="J2803" s="50" t="s">
        <v>1892</v>
      </c>
      <c r="K2803" s="50" t="s">
        <v>1892</v>
      </c>
      <c r="L2803" s="50" t="s">
        <v>1893</v>
      </c>
      <c r="M2803" s="50" t="s">
        <v>5351</v>
      </c>
      <c r="N2803" s="50" t="s">
        <v>5351</v>
      </c>
      <c r="O2803" s="50" t="s">
        <v>5347</v>
      </c>
      <c r="P2803" s="50" t="s">
        <v>5351</v>
      </c>
    </row>
    <row r="2804" spans="1:16" ht="12.75" customHeight="1" x14ac:dyDescent="0.25">
      <c r="A2804" s="311">
        <v>2801</v>
      </c>
      <c r="B2804" s="311" t="s">
        <v>121</v>
      </c>
      <c r="C2804" s="311" t="s">
        <v>121</v>
      </c>
      <c r="D2804" s="311" t="s">
        <v>462</v>
      </c>
      <c r="E2804" s="337" t="s">
        <v>121</v>
      </c>
      <c r="F2804" s="311" t="s">
        <v>262</v>
      </c>
      <c r="G2804" s="311" t="s">
        <v>23</v>
      </c>
      <c r="H2804" s="311" t="s">
        <v>418</v>
      </c>
      <c r="I2804" s="311" t="s">
        <v>66</v>
      </c>
      <c r="J2804" s="50" t="s">
        <v>1892</v>
      </c>
      <c r="K2804" s="50" t="s">
        <v>1892</v>
      </c>
      <c r="L2804" s="50" t="s">
        <v>1893</v>
      </c>
      <c r="M2804" s="50" t="s">
        <v>5352</v>
      </c>
      <c r="N2804" s="50" t="s">
        <v>5352</v>
      </c>
      <c r="O2804" s="50" t="s">
        <v>5347</v>
      </c>
      <c r="P2804" s="50" t="s">
        <v>5352</v>
      </c>
    </row>
    <row r="2805" spans="1:16" ht="12.75" customHeight="1" x14ac:dyDescent="0.25">
      <c r="A2805" s="311">
        <v>2802</v>
      </c>
      <c r="B2805" s="311" t="s">
        <v>87</v>
      </c>
      <c r="C2805" s="311" t="s">
        <v>87</v>
      </c>
      <c r="D2805" s="311" t="s">
        <v>462</v>
      </c>
      <c r="E2805" s="337" t="s">
        <v>87</v>
      </c>
      <c r="F2805" s="311" t="s">
        <v>262</v>
      </c>
      <c r="G2805" s="311" t="s">
        <v>23</v>
      </c>
      <c r="H2805" s="311" t="s">
        <v>418</v>
      </c>
      <c r="I2805" s="311" t="s">
        <v>66</v>
      </c>
      <c r="J2805" s="50" t="s">
        <v>1892</v>
      </c>
      <c r="K2805" s="50" t="s">
        <v>1892</v>
      </c>
      <c r="L2805" s="50" t="s">
        <v>1893</v>
      </c>
      <c r="M2805" s="50" t="s">
        <v>5353</v>
      </c>
      <c r="N2805" s="50" t="s">
        <v>5353</v>
      </c>
      <c r="O2805" s="50" t="s">
        <v>5347</v>
      </c>
      <c r="P2805" s="50" t="s">
        <v>5353</v>
      </c>
    </row>
    <row r="2806" spans="1:16" ht="12.75" customHeight="1" x14ac:dyDescent="0.25">
      <c r="A2806" s="311">
        <v>2803</v>
      </c>
      <c r="B2806" s="311" t="s">
        <v>125</v>
      </c>
      <c r="C2806" s="311" t="s">
        <v>125</v>
      </c>
      <c r="D2806" s="311" t="s">
        <v>125</v>
      </c>
      <c r="E2806" s="337" t="s">
        <v>125</v>
      </c>
      <c r="F2806" s="311" t="s">
        <v>262</v>
      </c>
      <c r="G2806" s="311" t="s">
        <v>23</v>
      </c>
      <c r="H2806" s="311" t="s">
        <v>418</v>
      </c>
      <c r="I2806" s="311" t="s">
        <v>66</v>
      </c>
      <c r="J2806" s="50" t="s">
        <v>1892</v>
      </c>
      <c r="K2806" s="50" t="s">
        <v>1892</v>
      </c>
      <c r="L2806" s="50" t="s">
        <v>1893</v>
      </c>
      <c r="M2806" s="50" t="s">
        <v>5354</v>
      </c>
      <c r="N2806" s="50" t="s">
        <v>5354</v>
      </c>
      <c r="O2806" s="50" t="s">
        <v>5354</v>
      </c>
      <c r="P2806" s="50" t="s">
        <v>5354</v>
      </c>
    </row>
    <row r="2807" spans="1:16" ht="12.75" customHeight="1" x14ac:dyDescent="0.25">
      <c r="A2807" s="311">
        <v>2804</v>
      </c>
      <c r="B2807" s="311" t="s">
        <v>134</v>
      </c>
      <c r="C2807" s="311" t="s">
        <v>134</v>
      </c>
      <c r="D2807" s="311" t="s">
        <v>134</v>
      </c>
      <c r="E2807" s="337" t="s">
        <v>134</v>
      </c>
      <c r="F2807" s="311" t="s">
        <v>262</v>
      </c>
      <c r="G2807" s="311" t="s">
        <v>23</v>
      </c>
      <c r="H2807" s="311" t="s">
        <v>418</v>
      </c>
      <c r="I2807" s="311" t="s">
        <v>66</v>
      </c>
      <c r="J2807" s="50" t="s">
        <v>1892</v>
      </c>
      <c r="K2807" s="50" t="s">
        <v>1892</v>
      </c>
      <c r="L2807" s="50" t="s">
        <v>1893</v>
      </c>
      <c r="M2807" s="50" t="s">
        <v>5355</v>
      </c>
      <c r="N2807" s="50" t="s">
        <v>5355</v>
      </c>
      <c r="O2807" s="50" t="s">
        <v>5355</v>
      </c>
      <c r="P2807" s="50" t="s">
        <v>5355</v>
      </c>
    </row>
    <row r="2808" spans="1:16" ht="12.75" customHeight="1" x14ac:dyDescent="0.25">
      <c r="A2808" s="311">
        <v>2805</v>
      </c>
      <c r="B2808" s="311" t="s">
        <v>141</v>
      </c>
      <c r="C2808" s="311" t="s">
        <v>141</v>
      </c>
      <c r="D2808" s="311" t="s">
        <v>141</v>
      </c>
      <c r="E2808" s="337" t="s">
        <v>141</v>
      </c>
      <c r="F2808" s="311" t="s">
        <v>262</v>
      </c>
      <c r="G2808" s="311" t="s">
        <v>23</v>
      </c>
      <c r="H2808" s="311" t="s">
        <v>418</v>
      </c>
      <c r="I2808" s="311" t="s">
        <v>66</v>
      </c>
      <c r="J2808" s="50" t="s">
        <v>1892</v>
      </c>
      <c r="K2808" s="50" t="s">
        <v>1892</v>
      </c>
      <c r="L2808" s="50" t="s">
        <v>1893</v>
      </c>
      <c r="M2808" s="50" t="s">
        <v>5356</v>
      </c>
      <c r="N2808" s="50" t="s">
        <v>5356</v>
      </c>
      <c r="O2808" s="50" t="s">
        <v>5356</v>
      </c>
      <c r="P2808" s="50" t="s">
        <v>5356</v>
      </c>
    </row>
    <row r="2809" spans="1:16" ht="12.75" customHeight="1" x14ac:dyDescent="0.25">
      <c r="A2809" s="311">
        <v>2806</v>
      </c>
      <c r="B2809" s="311" t="s">
        <v>69</v>
      </c>
      <c r="C2809" s="311" t="s">
        <v>69</v>
      </c>
      <c r="D2809" s="311" t="s">
        <v>69</v>
      </c>
      <c r="E2809" s="337" t="s">
        <v>69</v>
      </c>
      <c r="F2809" s="311" t="s">
        <v>262</v>
      </c>
      <c r="G2809" s="311" t="s">
        <v>23</v>
      </c>
      <c r="H2809" s="311" t="s">
        <v>418</v>
      </c>
      <c r="I2809" s="311" t="s">
        <v>66</v>
      </c>
      <c r="J2809" s="50" t="s">
        <v>1892</v>
      </c>
      <c r="K2809" s="50" t="s">
        <v>1892</v>
      </c>
      <c r="L2809" s="50" t="s">
        <v>1893</v>
      </c>
      <c r="M2809" s="50" t="s">
        <v>5357</v>
      </c>
      <c r="N2809" s="50" t="s">
        <v>5357</v>
      </c>
      <c r="O2809" s="50" t="s">
        <v>5357</v>
      </c>
      <c r="P2809" s="50" t="s">
        <v>5357</v>
      </c>
    </row>
    <row r="2810" spans="1:16" ht="12.75" customHeight="1" x14ac:dyDescent="0.25">
      <c r="A2810" s="311">
        <v>2807</v>
      </c>
      <c r="B2810" s="311" t="s">
        <v>84</v>
      </c>
      <c r="C2810" s="311" t="s">
        <v>462</v>
      </c>
      <c r="D2810" s="311" t="s">
        <v>462</v>
      </c>
      <c r="E2810" s="337" t="s">
        <v>462</v>
      </c>
      <c r="F2810" s="311" t="s">
        <v>262</v>
      </c>
      <c r="G2810" s="311" t="s">
        <v>237</v>
      </c>
      <c r="H2810" s="311" t="s">
        <v>418</v>
      </c>
      <c r="I2810" s="311" t="s">
        <v>66</v>
      </c>
      <c r="J2810" s="50" t="s">
        <v>1892</v>
      </c>
      <c r="K2810" s="50" t="s">
        <v>1892</v>
      </c>
      <c r="L2810" s="50" t="s">
        <v>1893</v>
      </c>
      <c r="M2810" s="50" t="s">
        <v>5358</v>
      </c>
      <c r="N2810" s="50" t="s">
        <v>5359</v>
      </c>
      <c r="O2810" s="50" t="s">
        <v>5359</v>
      </c>
      <c r="P2810" s="50" t="s">
        <v>5359</v>
      </c>
    </row>
    <row r="2811" spans="1:16" ht="12.75" customHeight="1" x14ac:dyDescent="0.25">
      <c r="A2811" s="311">
        <v>2808</v>
      </c>
      <c r="B2811" s="311" t="s">
        <v>123</v>
      </c>
      <c r="C2811" s="311" t="s">
        <v>462</v>
      </c>
      <c r="D2811" s="311" t="s">
        <v>462</v>
      </c>
      <c r="E2811" s="337" t="s">
        <v>462</v>
      </c>
      <c r="F2811" s="311" t="s">
        <v>262</v>
      </c>
      <c r="G2811" s="311" t="s">
        <v>237</v>
      </c>
      <c r="H2811" s="311" t="s">
        <v>418</v>
      </c>
      <c r="I2811" s="311" t="s">
        <v>66</v>
      </c>
      <c r="J2811" s="50" t="s">
        <v>1892</v>
      </c>
      <c r="K2811" s="50" t="s">
        <v>1892</v>
      </c>
      <c r="L2811" s="50" t="s">
        <v>1893</v>
      </c>
      <c r="M2811" s="50" t="s">
        <v>5360</v>
      </c>
      <c r="N2811" s="50" t="s">
        <v>5359</v>
      </c>
      <c r="O2811" s="50" t="s">
        <v>5359</v>
      </c>
      <c r="P2811" s="50" t="s">
        <v>5359</v>
      </c>
    </row>
    <row r="2812" spans="1:16" ht="12.75" customHeight="1" x14ac:dyDescent="0.25">
      <c r="A2812" s="311">
        <v>2809</v>
      </c>
      <c r="B2812" s="311" t="s">
        <v>75</v>
      </c>
      <c r="C2812" s="311" t="s">
        <v>462</v>
      </c>
      <c r="D2812" s="311" t="s">
        <v>462</v>
      </c>
      <c r="E2812" s="337" t="s">
        <v>462</v>
      </c>
      <c r="F2812" s="311" t="s">
        <v>262</v>
      </c>
      <c r="G2812" s="311" t="s">
        <v>237</v>
      </c>
      <c r="H2812" s="311" t="s">
        <v>418</v>
      </c>
      <c r="I2812" s="311" t="s">
        <v>66</v>
      </c>
      <c r="J2812" s="50" t="s">
        <v>1892</v>
      </c>
      <c r="K2812" s="50" t="s">
        <v>1892</v>
      </c>
      <c r="L2812" s="50" t="s">
        <v>1893</v>
      </c>
      <c r="M2812" s="50" t="s">
        <v>5361</v>
      </c>
      <c r="N2812" s="50" t="s">
        <v>5359</v>
      </c>
      <c r="O2812" s="50" t="s">
        <v>5359</v>
      </c>
      <c r="P2812" s="50" t="s">
        <v>5359</v>
      </c>
    </row>
    <row r="2813" spans="1:16" ht="12.75" customHeight="1" x14ac:dyDescent="0.25">
      <c r="A2813" s="311">
        <v>2810</v>
      </c>
      <c r="B2813" s="311" t="s">
        <v>63</v>
      </c>
      <c r="C2813" s="311" t="s">
        <v>63</v>
      </c>
      <c r="D2813" s="311" t="s">
        <v>462</v>
      </c>
      <c r="E2813" s="337" t="s">
        <v>63</v>
      </c>
      <c r="F2813" s="311" t="s">
        <v>262</v>
      </c>
      <c r="G2813" s="311" t="s">
        <v>237</v>
      </c>
      <c r="H2813" s="311" t="s">
        <v>418</v>
      </c>
      <c r="I2813" s="311" t="s">
        <v>66</v>
      </c>
      <c r="J2813" s="50" t="s">
        <v>1892</v>
      </c>
      <c r="K2813" s="50" t="s">
        <v>1892</v>
      </c>
      <c r="L2813" s="50" t="s">
        <v>1893</v>
      </c>
      <c r="M2813" s="50" t="s">
        <v>5362</v>
      </c>
      <c r="N2813" s="50" t="s">
        <v>5362</v>
      </c>
      <c r="O2813" s="50" t="s">
        <v>5359</v>
      </c>
      <c r="P2813" s="50" t="s">
        <v>5362</v>
      </c>
    </row>
    <row r="2814" spans="1:16" ht="12.75" customHeight="1" x14ac:dyDescent="0.25">
      <c r="A2814" s="311">
        <v>2811</v>
      </c>
      <c r="B2814" s="311" t="s">
        <v>140</v>
      </c>
      <c r="C2814" s="311" t="s">
        <v>140</v>
      </c>
      <c r="D2814" s="311" t="s">
        <v>462</v>
      </c>
      <c r="E2814" s="337" t="s">
        <v>140</v>
      </c>
      <c r="F2814" s="311" t="s">
        <v>262</v>
      </c>
      <c r="G2814" s="311" t="s">
        <v>237</v>
      </c>
      <c r="H2814" s="311" t="s">
        <v>418</v>
      </c>
      <c r="I2814" s="311" t="s">
        <v>66</v>
      </c>
      <c r="J2814" s="50" t="s">
        <v>1892</v>
      </c>
      <c r="K2814" s="50" t="s">
        <v>1892</v>
      </c>
      <c r="L2814" s="50" t="s">
        <v>1893</v>
      </c>
      <c r="M2814" s="50" t="s">
        <v>5363</v>
      </c>
      <c r="N2814" s="50" t="s">
        <v>5363</v>
      </c>
      <c r="O2814" s="50" t="s">
        <v>5359</v>
      </c>
      <c r="P2814" s="50" t="s">
        <v>5363</v>
      </c>
    </row>
    <row r="2815" spans="1:16" ht="12.75" customHeight="1" x14ac:dyDescent="0.25">
      <c r="A2815" s="311">
        <v>2812</v>
      </c>
      <c r="B2815" s="311" t="s">
        <v>121</v>
      </c>
      <c r="C2815" s="311" t="s">
        <v>121</v>
      </c>
      <c r="D2815" s="311" t="s">
        <v>462</v>
      </c>
      <c r="E2815" s="337" t="s">
        <v>121</v>
      </c>
      <c r="F2815" s="311" t="s">
        <v>262</v>
      </c>
      <c r="G2815" s="311" t="s">
        <v>237</v>
      </c>
      <c r="H2815" s="311" t="s">
        <v>418</v>
      </c>
      <c r="I2815" s="311" t="s">
        <v>66</v>
      </c>
      <c r="J2815" s="50" t="s">
        <v>1892</v>
      </c>
      <c r="K2815" s="50" t="s">
        <v>1892</v>
      </c>
      <c r="L2815" s="50" t="s">
        <v>1893</v>
      </c>
      <c r="M2815" s="50" t="s">
        <v>5364</v>
      </c>
      <c r="N2815" s="50" t="s">
        <v>5364</v>
      </c>
      <c r="O2815" s="50" t="s">
        <v>5359</v>
      </c>
      <c r="P2815" s="50" t="s">
        <v>5364</v>
      </c>
    </row>
    <row r="2816" spans="1:16" ht="12.75" customHeight="1" x14ac:dyDescent="0.25">
      <c r="A2816" s="311">
        <v>2813</v>
      </c>
      <c r="B2816" s="311" t="s">
        <v>87</v>
      </c>
      <c r="C2816" s="311" t="s">
        <v>87</v>
      </c>
      <c r="D2816" s="311" t="s">
        <v>462</v>
      </c>
      <c r="E2816" s="337" t="s">
        <v>87</v>
      </c>
      <c r="F2816" s="311" t="s">
        <v>262</v>
      </c>
      <c r="G2816" s="311" t="s">
        <v>237</v>
      </c>
      <c r="H2816" s="311" t="s">
        <v>418</v>
      </c>
      <c r="I2816" s="311" t="s">
        <v>66</v>
      </c>
      <c r="J2816" s="50" t="s">
        <v>1892</v>
      </c>
      <c r="K2816" s="50" t="s">
        <v>1892</v>
      </c>
      <c r="L2816" s="50" t="s">
        <v>1893</v>
      </c>
      <c r="M2816" s="50" t="s">
        <v>5365</v>
      </c>
      <c r="N2816" s="50" t="s">
        <v>5365</v>
      </c>
      <c r="O2816" s="50" t="s">
        <v>5359</v>
      </c>
      <c r="P2816" s="50" t="s">
        <v>5365</v>
      </c>
    </row>
    <row r="2817" spans="1:16" ht="12.75" customHeight="1" x14ac:dyDescent="0.25">
      <c r="A2817" s="311">
        <v>2814</v>
      </c>
      <c r="B2817" s="311" t="s">
        <v>125</v>
      </c>
      <c r="C2817" s="311" t="s">
        <v>125</v>
      </c>
      <c r="D2817" s="311" t="s">
        <v>125</v>
      </c>
      <c r="E2817" s="337" t="s">
        <v>125</v>
      </c>
      <c r="F2817" s="311" t="s">
        <v>262</v>
      </c>
      <c r="G2817" s="311" t="s">
        <v>237</v>
      </c>
      <c r="H2817" s="311" t="s">
        <v>418</v>
      </c>
      <c r="I2817" s="311" t="s">
        <v>66</v>
      </c>
      <c r="J2817" s="50" t="s">
        <v>1892</v>
      </c>
      <c r="K2817" s="50" t="s">
        <v>1892</v>
      </c>
      <c r="L2817" s="50" t="s">
        <v>1893</v>
      </c>
      <c r="M2817" s="50" t="s">
        <v>5366</v>
      </c>
      <c r="N2817" s="50" t="s">
        <v>5366</v>
      </c>
      <c r="O2817" s="50" t="s">
        <v>5366</v>
      </c>
      <c r="P2817" s="50" t="s">
        <v>5366</v>
      </c>
    </row>
    <row r="2818" spans="1:16" ht="12.75" customHeight="1" x14ac:dyDescent="0.25">
      <c r="A2818" s="311">
        <v>2815</v>
      </c>
      <c r="B2818" s="311" t="s">
        <v>134</v>
      </c>
      <c r="C2818" s="311" t="s">
        <v>134</v>
      </c>
      <c r="D2818" s="311" t="s">
        <v>134</v>
      </c>
      <c r="E2818" s="337" t="s">
        <v>134</v>
      </c>
      <c r="F2818" s="311" t="s">
        <v>262</v>
      </c>
      <c r="G2818" s="311" t="s">
        <v>237</v>
      </c>
      <c r="H2818" s="311" t="s">
        <v>418</v>
      </c>
      <c r="I2818" s="311" t="s">
        <v>66</v>
      </c>
      <c r="J2818" s="50" t="s">
        <v>1892</v>
      </c>
      <c r="K2818" s="50" t="s">
        <v>1892</v>
      </c>
      <c r="L2818" s="50" t="s">
        <v>1893</v>
      </c>
      <c r="M2818" s="50" t="s">
        <v>5367</v>
      </c>
      <c r="N2818" s="50" t="s">
        <v>5367</v>
      </c>
      <c r="O2818" s="50" t="s">
        <v>5367</v>
      </c>
      <c r="P2818" s="50" t="s">
        <v>5367</v>
      </c>
    </row>
    <row r="2819" spans="1:16" ht="12.75" customHeight="1" x14ac:dyDescent="0.25">
      <c r="A2819" s="311">
        <v>2816</v>
      </c>
      <c r="B2819" s="311" t="s">
        <v>141</v>
      </c>
      <c r="C2819" s="311" t="s">
        <v>141</v>
      </c>
      <c r="D2819" s="311" t="s">
        <v>141</v>
      </c>
      <c r="E2819" s="337" t="s">
        <v>141</v>
      </c>
      <c r="F2819" s="311" t="s">
        <v>262</v>
      </c>
      <c r="G2819" s="311" t="s">
        <v>237</v>
      </c>
      <c r="H2819" s="311" t="s">
        <v>418</v>
      </c>
      <c r="I2819" s="311" t="s">
        <v>66</v>
      </c>
      <c r="J2819" s="50" t="s">
        <v>1892</v>
      </c>
      <c r="K2819" s="50" t="s">
        <v>1892</v>
      </c>
      <c r="L2819" s="50" t="s">
        <v>1893</v>
      </c>
      <c r="M2819" s="50" t="s">
        <v>5368</v>
      </c>
      <c r="N2819" s="50" t="s">
        <v>5368</v>
      </c>
      <c r="O2819" s="50" t="s">
        <v>5368</v>
      </c>
      <c r="P2819" s="50" t="s">
        <v>5368</v>
      </c>
    </row>
    <row r="2820" spans="1:16" ht="12.75" customHeight="1" x14ac:dyDescent="0.25">
      <c r="A2820" s="311">
        <v>2817</v>
      </c>
      <c r="B2820" s="311" t="s">
        <v>69</v>
      </c>
      <c r="C2820" s="311" t="s">
        <v>69</v>
      </c>
      <c r="D2820" s="311" t="s">
        <v>69</v>
      </c>
      <c r="E2820" s="337" t="s">
        <v>69</v>
      </c>
      <c r="F2820" s="311" t="s">
        <v>262</v>
      </c>
      <c r="G2820" s="311" t="s">
        <v>237</v>
      </c>
      <c r="H2820" s="311" t="s">
        <v>418</v>
      </c>
      <c r="I2820" s="311" t="s">
        <v>66</v>
      </c>
      <c r="J2820" s="50" t="s">
        <v>1892</v>
      </c>
      <c r="K2820" s="50" t="s">
        <v>1892</v>
      </c>
      <c r="L2820" s="50" t="s">
        <v>1893</v>
      </c>
      <c r="M2820" s="50" t="s">
        <v>5369</v>
      </c>
      <c r="N2820" s="50" t="s">
        <v>5369</v>
      </c>
      <c r="O2820" s="50" t="s">
        <v>5369</v>
      </c>
      <c r="P2820" s="50" t="s">
        <v>5369</v>
      </c>
    </row>
    <row r="2821" spans="1:16" ht="12.75" customHeight="1" x14ac:dyDescent="0.25">
      <c r="A2821" s="311">
        <v>2818</v>
      </c>
      <c r="B2821" s="311" t="s">
        <v>84</v>
      </c>
      <c r="C2821" s="311" t="s">
        <v>462</v>
      </c>
      <c r="D2821" s="311" t="s">
        <v>462</v>
      </c>
      <c r="E2821" s="337" t="s">
        <v>462</v>
      </c>
      <c r="F2821" s="311" t="s">
        <v>254</v>
      </c>
      <c r="G2821" s="311" t="s">
        <v>236</v>
      </c>
      <c r="H2821" s="311" t="s">
        <v>418</v>
      </c>
      <c r="I2821" s="311" t="s">
        <v>66</v>
      </c>
      <c r="J2821" s="50" t="s">
        <v>1892</v>
      </c>
      <c r="K2821" s="50" t="s">
        <v>1892</v>
      </c>
      <c r="L2821" s="50" t="s">
        <v>1893</v>
      </c>
      <c r="M2821" s="50" t="s">
        <v>5370</v>
      </c>
      <c r="N2821" s="50" t="s">
        <v>5371</v>
      </c>
      <c r="O2821" s="50" t="s">
        <v>5371</v>
      </c>
      <c r="P2821" s="50" t="s">
        <v>5371</v>
      </c>
    </row>
    <row r="2822" spans="1:16" ht="12.75" customHeight="1" x14ac:dyDescent="0.25">
      <c r="A2822" s="311">
        <v>2819</v>
      </c>
      <c r="B2822" s="311" t="s">
        <v>123</v>
      </c>
      <c r="C2822" s="311" t="s">
        <v>462</v>
      </c>
      <c r="D2822" s="311" t="s">
        <v>462</v>
      </c>
      <c r="E2822" s="337" t="s">
        <v>462</v>
      </c>
      <c r="F2822" s="311" t="s">
        <v>254</v>
      </c>
      <c r="G2822" s="311" t="s">
        <v>236</v>
      </c>
      <c r="H2822" s="311" t="s">
        <v>418</v>
      </c>
      <c r="I2822" s="311" t="s">
        <v>66</v>
      </c>
      <c r="J2822" s="50" t="s">
        <v>1892</v>
      </c>
      <c r="K2822" s="50" t="s">
        <v>1892</v>
      </c>
      <c r="L2822" s="50" t="s">
        <v>1893</v>
      </c>
      <c r="M2822" s="50" t="s">
        <v>5372</v>
      </c>
      <c r="N2822" s="50" t="s">
        <v>5371</v>
      </c>
      <c r="O2822" s="50" t="s">
        <v>5371</v>
      </c>
      <c r="P2822" s="50" t="s">
        <v>5371</v>
      </c>
    </row>
    <row r="2823" spans="1:16" ht="12.75" customHeight="1" x14ac:dyDescent="0.25">
      <c r="A2823" s="311">
        <v>2820</v>
      </c>
      <c r="B2823" s="311" t="s">
        <v>75</v>
      </c>
      <c r="C2823" s="311" t="s">
        <v>462</v>
      </c>
      <c r="D2823" s="311" t="s">
        <v>462</v>
      </c>
      <c r="E2823" s="337" t="s">
        <v>462</v>
      </c>
      <c r="F2823" s="311" t="s">
        <v>254</v>
      </c>
      <c r="G2823" s="311" t="s">
        <v>236</v>
      </c>
      <c r="H2823" s="311" t="s">
        <v>418</v>
      </c>
      <c r="I2823" s="311" t="s">
        <v>66</v>
      </c>
      <c r="J2823" s="50" t="s">
        <v>1892</v>
      </c>
      <c r="K2823" s="50" t="s">
        <v>1892</v>
      </c>
      <c r="L2823" s="50" t="s">
        <v>1893</v>
      </c>
      <c r="M2823" s="50" t="s">
        <v>5373</v>
      </c>
      <c r="N2823" s="50" t="s">
        <v>5371</v>
      </c>
      <c r="O2823" s="50" t="s">
        <v>5371</v>
      </c>
      <c r="P2823" s="50" t="s">
        <v>5371</v>
      </c>
    </row>
    <row r="2824" spans="1:16" ht="12.75" customHeight="1" x14ac:dyDescent="0.25">
      <c r="A2824" s="311">
        <v>2821</v>
      </c>
      <c r="B2824" s="311" t="s">
        <v>63</v>
      </c>
      <c r="C2824" s="311" t="s">
        <v>63</v>
      </c>
      <c r="D2824" s="311" t="s">
        <v>462</v>
      </c>
      <c r="E2824" s="337" t="s">
        <v>63</v>
      </c>
      <c r="F2824" s="311" t="s">
        <v>254</v>
      </c>
      <c r="G2824" s="311" t="s">
        <v>236</v>
      </c>
      <c r="H2824" s="311" t="s">
        <v>418</v>
      </c>
      <c r="I2824" s="311" t="s">
        <v>66</v>
      </c>
      <c r="J2824" s="50" t="s">
        <v>1892</v>
      </c>
      <c r="K2824" s="50" t="s">
        <v>1892</v>
      </c>
      <c r="L2824" s="50" t="s">
        <v>1893</v>
      </c>
      <c r="M2824" s="50" t="s">
        <v>5374</v>
      </c>
      <c r="N2824" s="50" t="s">
        <v>5374</v>
      </c>
      <c r="O2824" s="50" t="s">
        <v>5371</v>
      </c>
      <c r="P2824" s="50" t="s">
        <v>5374</v>
      </c>
    </row>
    <row r="2825" spans="1:16" ht="12.75" customHeight="1" x14ac:dyDescent="0.25">
      <c r="A2825" s="311">
        <v>2822</v>
      </c>
      <c r="B2825" s="311" t="s">
        <v>140</v>
      </c>
      <c r="C2825" s="311" t="s">
        <v>140</v>
      </c>
      <c r="D2825" s="311" t="s">
        <v>462</v>
      </c>
      <c r="E2825" s="337" t="s">
        <v>140</v>
      </c>
      <c r="F2825" s="311" t="s">
        <v>254</v>
      </c>
      <c r="G2825" s="311" t="s">
        <v>236</v>
      </c>
      <c r="H2825" s="311" t="s">
        <v>418</v>
      </c>
      <c r="I2825" s="311" t="s">
        <v>66</v>
      </c>
      <c r="J2825" s="50" t="s">
        <v>1892</v>
      </c>
      <c r="K2825" s="50" t="s">
        <v>1892</v>
      </c>
      <c r="L2825" s="50" t="s">
        <v>1893</v>
      </c>
      <c r="M2825" s="50" t="s">
        <v>5375</v>
      </c>
      <c r="N2825" s="50" t="s">
        <v>5375</v>
      </c>
      <c r="O2825" s="50" t="s">
        <v>5371</v>
      </c>
      <c r="P2825" s="50" t="s">
        <v>5375</v>
      </c>
    </row>
    <row r="2826" spans="1:16" ht="12.75" customHeight="1" x14ac:dyDescent="0.25">
      <c r="A2826" s="311">
        <v>2823</v>
      </c>
      <c r="B2826" s="311" t="s">
        <v>121</v>
      </c>
      <c r="C2826" s="311" t="s">
        <v>121</v>
      </c>
      <c r="D2826" s="311" t="s">
        <v>462</v>
      </c>
      <c r="E2826" s="337" t="s">
        <v>121</v>
      </c>
      <c r="F2826" s="311" t="s">
        <v>254</v>
      </c>
      <c r="G2826" s="311" t="s">
        <v>236</v>
      </c>
      <c r="H2826" s="311" t="s">
        <v>418</v>
      </c>
      <c r="I2826" s="311" t="s">
        <v>66</v>
      </c>
      <c r="J2826" s="50" t="s">
        <v>1892</v>
      </c>
      <c r="K2826" s="50" t="s">
        <v>1892</v>
      </c>
      <c r="L2826" s="50" t="s">
        <v>1893</v>
      </c>
      <c r="M2826" s="50" t="s">
        <v>5376</v>
      </c>
      <c r="N2826" s="50" t="s">
        <v>5376</v>
      </c>
      <c r="O2826" s="50" t="s">
        <v>5371</v>
      </c>
      <c r="P2826" s="50" t="s">
        <v>5376</v>
      </c>
    </row>
    <row r="2827" spans="1:16" ht="12.75" customHeight="1" x14ac:dyDescent="0.25">
      <c r="A2827" s="311">
        <v>2824</v>
      </c>
      <c r="B2827" s="311" t="s">
        <v>87</v>
      </c>
      <c r="C2827" s="311" t="s">
        <v>87</v>
      </c>
      <c r="D2827" s="311" t="s">
        <v>462</v>
      </c>
      <c r="E2827" s="337" t="s">
        <v>87</v>
      </c>
      <c r="F2827" s="311" t="s">
        <v>254</v>
      </c>
      <c r="G2827" s="311" t="s">
        <v>236</v>
      </c>
      <c r="H2827" s="311" t="s">
        <v>418</v>
      </c>
      <c r="I2827" s="311" t="s">
        <v>66</v>
      </c>
      <c r="J2827" s="50" t="s">
        <v>1892</v>
      </c>
      <c r="K2827" s="50" t="s">
        <v>1892</v>
      </c>
      <c r="L2827" s="50" t="s">
        <v>1893</v>
      </c>
      <c r="M2827" s="50" t="s">
        <v>5377</v>
      </c>
      <c r="N2827" s="50" t="s">
        <v>5377</v>
      </c>
      <c r="O2827" s="50" t="s">
        <v>5371</v>
      </c>
      <c r="P2827" s="50" t="s">
        <v>5377</v>
      </c>
    </row>
    <row r="2828" spans="1:16" ht="12.75" customHeight="1" x14ac:dyDescent="0.25">
      <c r="A2828" s="311">
        <v>2825</v>
      </c>
      <c r="B2828" s="311" t="s">
        <v>125</v>
      </c>
      <c r="C2828" s="311" t="s">
        <v>125</v>
      </c>
      <c r="D2828" s="311" t="s">
        <v>125</v>
      </c>
      <c r="E2828" s="337" t="s">
        <v>125</v>
      </c>
      <c r="F2828" s="311" t="s">
        <v>254</v>
      </c>
      <c r="G2828" s="311" t="s">
        <v>236</v>
      </c>
      <c r="H2828" s="311" t="s">
        <v>418</v>
      </c>
      <c r="I2828" s="311" t="s">
        <v>66</v>
      </c>
      <c r="J2828" s="50" t="s">
        <v>1892</v>
      </c>
      <c r="K2828" s="50" t="s">
        <v>1892</v>
      </c>
      <c r="L2828" s="50" t="s">
        <v>1893</v>
      </c>
      <c r="M2828" s="50" t="s">
        <v>5378</v>
      </c>
      <c r="N2828" s="50" t="s">
        <v>5378</v>
      </c>
      <c r="O2828" s="50" t="s">
        <v>5378</v>
      </c>
      <c r="P2828" s="50" t="s">
        <v>5378</v>
      </c>
    </row>
    <row r="2829" spans="1:16" ht="12.75" customHeight="1" x14ac:dyDescent="0.25">
      <c r="A2829" s="311">
        <v>2826</v>
      </c>
      <c r="B2829" s="311" t="s">
        <v>134</v>
      </c>
      <c r="C2829" s="311" t="s">
        <v>134</v>
      </c>
      <c r="D2829" s="311" t="s">
        <v>134</v>
      </c>
      <c r="E2829" s="337" t="s">
        <v>134</v>
      </c>
      <c r="F2829" s="311" t="s">
        <v>254</v>
      </c>
      <c r="G2829" s="311" t="s">
        <v>236</v>
      </c>
      <c r="H2829" s="311" t="s">
        <v>418</v>
      </c>
      <c r="I2829" s="311" t="s">
        <v>66</v>
      </c>
      <c r="J2829" s="50" t="s">
        <v>1892</v>
      </c>
      <c r="K2829" s="50" t="s">
        <v>1892</v>
      </c>
      <c r="L2829" s="50" t="s">
        <v>1893</v>
      </c>
      <c r="M2829" s="50" t="s">
        <v>5379</v>
      </c>
      <c r="N2829" s="50" t="s">
        <v>5379</v>
      </c>
      <c r="O2829" s="50" t="s">
        <v>5379</v>
      </c>
      <c r="P2829" s="50" t="s">
        <v>5379</v>
      </c>
    </row>
    <row r="2830" spans="1:16" ht="12.75" customHeight="1" x14ac:dyDescent="0.25">
      <c r="A2830" s="311">
        <v>2827</v>
      </c>
      <c r="B2830" s="311" t="s">
        <v>141</v>
      </c>
      <c r="C2830" s="311" t="s">
        <v>141</v>
      </c>
      <c r="D2830" s="311" t="s">
        <v>141</v>
      </c>
      <c r="E2830" s="337" t="s">
        <v>141</v>
      </c>
      <c r="F2830" s="311" t="s">
        <v>254</v>
      </c>
      <c r="G2830" s="311" t="s">
        <v>236</v>
      </c>
      <c r="H2830" s="311" t="s">
        <v>418</v>
      </c>
      <c r="I2830" s="311" t="s">
        <v>66</v>
      </c>
      <c r="J2830" s="50" t="s">
        <v>1892</v>
      </c>
      <c r="K2830" s="50" t="s">
        <v>1892</v>
      </c>
      <c r="L2830" s="50" t="s">
        <v>1893</v>
      </c>
      <c r="M2830" s="50" t="s">
        <v>5380</v>
      </c>
      <c r="N2830" s="50" t="s">
        <v>5380</v>
      </c>
      <c r="O2830" s="50" t="s">
        <v>5380</v>
      </c>
      <c r="P2830" s="50" t="s">
        <v>5380</v>
      </c>
    </row>
    <row r="2831" spans="1:16" ht="12.75" customHeight="1" x14ac:dyDescent="0.25">
      <c r="A2831" s="311">
        <v>2828</v>
      </c>
      <c r="B2831" s="311" t="s">
        <v>69</v>
      </c>
      <c r="C2831" s="311" t="s">
        <v>69</v>
      </c>
      <c r="D2831" s="311" t="s">
        <v>69</v>
      </c>
      <c r="E2831" s="337" t="s">
        <v>69</v>
      </c>
      <c r="F2831" s="311" t="s">
        <v>254</v>
      </c>
      <c r="G2831" s="311" t="s">
        <v>236</v>
      </c>
      <c r="H2831" s="311" t="s">
        <v>418</v>
      </c>
      <c r="I2831" s="311" t="s">
        <v>66</v>
      </c>
      <c r="J2831" s="50" t="s">
        <v>1892</v>
      </c>
      <c r="K2831" s="50" t="s">
        <v>1892</v>
      </c>
      <c r="L2831" s="50" t="s">
        <v>1893</v>
      </c>
      <c r="M2831" s="50" t="s">
        <v>5381</v>
      </c>
      <c r="N2831" s="50" t="s">
        <v>5381</v>
      </c>
      <c r="O2831" s="50" t="s">
        <v>5381</v>
      </c>
      <c r="P2831" s="50" t="s">
        <v>5381</v>
      </c>
    </row>
    <row r="2832" spans="1:16" ht="12.75" customHeight="1" x14ac:dyDescent="0.25">
      <c r="A2832" s="311">
        <v>2829</v>
      </c>
      <c r="B2832" s="311" t="s">
        <v>84</v>
      </c>
      <c r="C2832" s="311" t="s">
        <v>462</v>
      </c>
      <c r="D2832" s="311" t="s">
        <v>462</v>
      </c>
      <c r="E2832" s="337" t="s">
        <v>462</v>
      </c>
      <c r="F2832" s="311" t="s">
        <v>254</v>
      </c>
      <c r="G2832" s="311" t="s">
        <v>23</v>
      </c>
      <c r="H2832" s="311" t="s">
        <v>418</v>
      </c>
      <c r="I2832" s="311" t="s">
        <v>66</v>
      </c>
      <c r="J2832" s="50" t="s">
        <v>1892</v>
      </c>
      <c r="K2832" s="50" t="s">
        <v>1892</v>
      </c>
      <c r="L2832" s="50" t="s">
        <v>1893</v>
      </c>
      <c r="M2832" s="50" t="s">
        <v>5382</v>
      </c>
      <c r="N2832" s="50" t="s">
        <v>5383</v>
      </c>
      <c r="O2832" s="50" t="s">
        <v>5383</v>
      </c>
      <c r="P2832" s="50" t="s">
        <v>5383</v>
      </c>
    </row>
    <row r="2833" spans="1:16" ht="12.75" customHeight="1" x14ac:dyDescent="0.25">
      <c r="A2833" s="311">
        <v>2830</v>
      </c>
      <c r="B2833" s="311" t="s">
        <v>123</v>
      </c>
      <c r="C2833" s="311" t="s">
        <v>462</v>
      </c>
      <c r="D2833" s="311" t="s">
        <v>462</v>
      </c>
      <c r="E2833" s="337" t="s">
        <v>462</v>
      </c>
      <c r="F2833" s="311" t="s">
        <v>254</v>
      </c>
      <c r="G2833" s="311" t="s">
        <v>23</v>
      </c>
      <c r="H2833" s="311" t="s">
        <v>418</v>
      </c>
      <c r="I2833" s="311" t="s">
        <v>66</v>
      </c>
      <c r="J2833" s="50" t="s">
        <v>1892</v>
      </c>
      <c r="K2833" s="50" t="s">
        <v>1892</v>
      </c>
      <c r="L2833" s="50" t="s">
        <v>1893</v>
      </c>
      <c r="M2833" s="50" t="s">
        <v>5384</v>
      </c>
      <c r="N2833" s="50" t="s">
        <v>5383</v>
      </c>
      <c r="O2833" s="50" t="s">
        <v>5383</v>
      </c>
      <c r="P2833" s="50" t="s">
        <v>5383</v>
      </c>
    </row>
    <row r="2834" spans="1:16" ht="12.75" customHeight="1" x14ac:dyDescent="0.25">
      <c r="A2834" s="311">
        <v>2831</v>
      </c>
      <c r="B2834" s="311" t="s">
        <v>75</v>
      </c>
      <c r="C2834" s="311" t="s">
        <v>462</v>
      </c>
      <c r="D2834" s="311" t="s">
        <v>462</v>
      </c>
      <c r="E2834" s="337" t="s">
        <v>462</v>
      </c>
      <c r="F2834" s="311" t="s">
        <v>254</v>
      </c>
      <c r="G2834" s="311" t="s">
        <v>23</v>
      </c>
      <c r="H2834" s="311" t="s">
        <v>418</v>
      </c>
      <c r="I2834" s="311" t="s">
        <v>66</v>
      </c>
      <c r="J2834" s="50" t="s">
        <v>1892</v>
      </c>
      <c r="K2834" s="50" t="s">
        <v>1892</v>
      </c>
      <c r="L2834" s="50" t="s">
        <v>1893</v>
      </c>
      <c r="M2834" s="50" t="s">
        <v>5385</v>
      </c>
      <c r="N2834" s="50" t="s">
        <v>5383</v>
      </c>
      <c r="O2834" s="50" t="s">
        <v>5383</v>
      </c>
      <c r="P2834" s="50" t="s">
        <v>5383</v>
      </c>
    </row>
    <row r="2835" spans="1:16" ht="12.75" customHeight="1" x14ac:dyDescent="0.25">
      <c r="A2835" s="311">
        <v>2832</v>
      </c>
      <c r="B2835" s="311" t="s">
        <v>63</v>
      </c>
      <c r="C2835" s="311" t="s">
        <v>63</v>
      </c>
      <c r="D2835" s="311" t="s">
        <v>462</v>
      </c>
      <c r="E2835" s="337" t="s">
        <v>63</v>
      </c>
      <c r="F2835" s="311" t="s">
        <v>254</v>
      </c>
      <c r="G2835" s="311" t="s">
        <v>23</v>
      </c>
      <c r="H2835" s="311" t="s">
        <v>418</v>
      </c>
      <c r="I2835" s="311" t="s">
        <v>66</v>
      </c>
      <c r="J2835" s="50" t="s">
        <v>1892</v>
      </c>
      <c r="K2835" s="50" t="s">
        <v>1892</v>
      </c>
      <c r="L2835" s="50" t="s">
        <v>1893</v>
      </c>
      <c r="M2835" s="50" t="s">
        <v>5386</v>
      </c>
      <c r="N2835" s="50" t="s">
        <v>5386</v>
      </c>
      <c r="O2835" s="50" t="s">
        <v>5383</v>
      </c>
      <c r="P2835" s="50" t="s">
        <v>5386</v>
      </c>
    </row>
    <row r="2836" spans="1:16" ht="12.75" customHeight="1" x14ac:dyDescent="0.25">
      <c r="A2836" s="311">
        <v>2833</v>
      </c>
      <c r="B2836" s="311" t="s">
        <v>140</v>
      </c>
      <c r="C2836" s="311" t="s">
        <v>140</v>
      </c>
      <c r="D2836" s="311" t="s">
        <v>462</v>
      </c>
      <c r="E2836" s="337" t="s">
        <v>140</v>
      </c>
      <c r="F2836" s="311" t="s">
        <v>254</v>
      </c>
      <c r="G2836" s="311" t="s">
        <v>23</v>
      </c>
      <c r="H2836" s="311" t="s">
        <v>418</v>
      </c>
      <c r="I2836" s="311" t="s">
        <v>66</v>
      </c>
      <c r="J2836" s="50" t="s">
        <v>1892</v>
      </c>
      <c r="K2836" s="50" t="s">
        <v>1892</v>
      </c>
      <c r="L2836" s="50" t="s">
        <v>1893</v>
      </c>
      <c r="M2836" s="50" t="s">
        <v>5387</v>
      </c>
      <c r="N2836" s="50" t="s">
        <v>5387</v>
      </c>
      <c r="O2836" s="50" t="s">
        <v>5383</v>
      </c>
      <c r="P2836" s="50" t="s">
        <v>5387</v>
      </c>
    </row>
    <row r="2837" spans="1:16" ht="12.75" customHeight="1" x14ac:dyDescent="0.25">
      <c r="A2837" s="311">
        <v>2834</v>
      </c>
      <c r="B2837" s="311" t="s">
        <v>121</v>
      </c>
      <c r="C2837" s="311" t="s">
        <v>121</v>
      </c>
      <c r="D2837" s="311" t="s">
        <v>462</v>
      </c>
      <c r="E2837" s="337" t="s">
        <v>121</v>
      </c>
      <c r="F2837" s="311" t="s">
        <v>254</v>
      </c>
      <c r="G2837" s="311" t="s">
        <v>23</v>
      </c>
      <c r="H2837" s="311" t="s">
        <v>418</v>
      </c>
      <c r="I2837" s="311" t="s">
        <v>66</v>
      </c>
      <c r="J2837" s="50" t="s">
        <v>1892</v>
      </c>
      <c r="K2837" s="50" t="s">
        <v>1892</v>
      </c>
      <c r="L2837" s="50" t="s">
        <v>1893</v>
      </c>
      <c r="M2837" s="50" t="s">
        <v>5388</v>
      </c>
      <c r="N2837" s="50" t="s">
        <v>5388</v>
      </c>
      <c r="O2837" s="50" t="s">
        <v>5383</v>
      </c>
      <c r="P2837" s="50" t="s">
        <v>5388</v>
      </c>
    </row>
    <row r="2838" spans="1:16" ht="12.75" customHeight="1" x14ac:dyDescent="0.25">
      <c r="A2838" s="311">
        <v>2835</v>
      </c>
      <c r="B2838" s="311" t="s">
        <v>87</v>
      </c>
      <c r="C2838" s="311" t="s">
        <v>87</v>
      </c>
      <c r="D2838" s="311" t="s">
        <v>462</v>
      </c>
      <c r="E2838" s="337" t="s">
        <v>87</v>
      </c>
      <c r="F2838" s="311" t="s">
        <v>254</v>
      </c>
      <c r="G2838" s="311" t="s">
        <v>23</v>
      </c>
      <c r="H2838" s="311" t="s">
        <v>418</v>
      </c>
      <c r="I2838" s="311" t="s">
        <v>66</v>
      </c>
      <c r="J2838" s="50" t="s">
        <v>1892</v>
      </c>
      <c r="K2838" s="50" t="s">
        <v>1892</v>
      </c>
      <c r="L2838" s="50" t="s">
        <v>1893</v>
      </c>
      <c r="M2838" s="50" t="s">
        <v>5389</v>
      </c>
      <c r="N2838" s="50" t="s">
        <v>5389</v>
      </c>
      <c r="O2838" s="50" t="s">
        <v>5383</v>
      </c>
      <c r="P2838" s="50" t="s">
        <v>5389</v>
      </c>
    </row>
    <row r="2839" spans="1:16" ht="12.75" customHeight="1" x14ac:dyDescent="0.25">
      <c r="A2839" s="311">
        <v>2836</v>
      </c>
      <c r="B2839" s="311" t="s">
        <v>125</v>
      </c>
      <c r="C2839" s="311" t="s">
        <v>125</v>
      </c>
      <c r="D2839" s="311" t="s">
        <v>125</v>
      </c>
      <c r="E2839" s="337" t="s">
        <v>125</v>
      </c>
      <c r="F2839" s="311" t="s">
        <v>254</v>
      </c>
      <c r="G2839" s="311" t="s">
        <v>23</v>
      </c>
      <c r="H2839" s="311" t="s">
        <v>418</v>
      </c>
      <c r="I2839" s="311" t="s">
        <v>66</v>
      </c>
      <c r="J2839" s="50" t="s">
        <v>1892</v>
      </c>
      <c r="K2839" s="50" t="s">
        <v>1892</v>
      </c>
      <c r="L2839" s="50" t="s">
        <v>1893</v>
      </c>
      <c r="M2839" s="50" t="s">
        <v>5390</v>
      </c>
      <c r="N2839" s="50" t="s">
        <v>5390</v>
      </c>
      <c r="O2839" s="50" t="s">
        <v>5390</v>
      </c>
      <c r="P2839" s="50" t="s">
        <v>5390</v>
      </c>
    </row>
    <row r="2840" spans="1:16" ht="12.75" customHeight="1" x14ac:dyDescent="0.25">
      <c r="A2840" s="311">
        <v>2837</v>
      </c>
      <c r="B2840" s="311" t="s">
        <v>134</v>
      </c>
      <c r="C2840" s="311" t="s">
        <v>134</v>
      </c>
      <c r="D2840" s="311" t="s">
        <v>134</v>
      </c>
      <c r="E2840" s="337" t="s">
        <v>134</v>
      </c>
      <c r="F2840" s="311" t="s">
        <v>254</v>
      </c>
      <c r="G2840" s="311" t="s">
        <v>23</v>
      </c>
      <c r="H2840" s="311" t="s">
        <v>418</v>
      </c>
      <c r="I2840" s="311" t="s">
        <v>66</v>
      </c>
      <c r="J2840" s="50" t="s">
        <v>1892</v>
      </c>
      <c r="K2840" s="50" t="s">
        <v>1892</v>
      </c>
      <c r="L2840" s="50" t="s">
        <v>1893</v>
      </c>
      <c r="M2840" s="50" t="s">
        <v>5391</v>
      </c>
      <c r="N2840" s="50" t="s">
        <v>5391</v>
      </c>
      <c r="O2840" s="50" t="s">
        <v>5391</v>
      </c>
      <c r="P2840" s="50" t="s">
        <v>5391</v>
      </c>
    </row>
    <row r="2841" spans="1:16" ht="12.75" customHeight="1" x14ac:dyDescent="0.25">
      <c r="A2841" s="311">
        <v>2838</v>
      </c>
      <c r="B2841" s="311" t="s">
        <v>141</v>
      </c>
      <c r="C2841" s="311" t="s">
        <v>141</v>
      </c>
      <c r="D2841" s="311" t="s">
        <v>141</v>
      </c>
      <c r="E2841" s="337" t="s">
        <v>141</v>
      </c>
      <c r="F2841" s="311" t="s">
        <v>254</v>
      </c>
      <c r="G2841" s="311" t="s">
        <v>23</v>
      </c>
      <c r="H2841" s="311" t="s">
        <v>418</v>
      </c>
      <c r="I2841" s="311" t="s">
        <v>66</v>
      </c>
      <c r="J2841" s="50" t="s">
        <v>1892</v>
      </c>
      <c r="K2841" s="50" t="s">
        <v>1892</v>
      </c>
      <c r="L2841" s="50" t="s">
        <v>1893</v>
      </c>
      <c r="M2841" s="50" t="s">
        <v>5392</v>
      </c>
      <c r="N2841" s="50" t="s">
        <v>5392</v>
      </c>
      <c r="O2841" s="50" t="s">
        <v>5392</v>
      </c>
      <c r="P2841" s="50" t="s">
        <v>5392</v>
      </c>
    </row>
    <row r="2842" spans="1:16" ht="12.75" customHeight="1" x14ac:dyDescent="0.25">
      <c r="A2842" s="311">
        <v>2839</v>
      </c>
      <c r="B2842" s="311" t="s">
        <v>69</v>
      </c>
      <c r="C2842" s="311" t="s">
        <v>69</v>
      </c>
      <c r="D2842" s="311" t="s">
        <v>69</v>
      </c>
      <c r="E2842" s="337" t="s">
        <v>69</v>
      </c>
      <c r="F2842" s="311" t="s">
        <v>254</v>
      </c>
      <c r="G2842" s="311" t="s">
        <v>23</v>
      </c>
      <c r="H2842" s="311" t="s">
        <v>418</v>
      </c>
      <c r="I2842" s="311" t="s">
        <v>66</v>
      </c>
      <c r="J2842" s="50" t="s">
        <v>1892</v>
      </c>
      <c r="K2842" s="50" t="s">
        <v>1892</v>
      </c>
      <c r="L2842" s="50" t="s">
        <v>1893</v>
      </c>
      <c r="M2842" s="50" t="s">
        <v>5393</v>
      </c>
      <c r="N2842" s="50" t="s">
        <v>5393</v>
      </c>
      <c r="O2842" s="50" t="s">
        <v>5393</v>
      </c>
      <c r="P2842" s="50" t="s">
        <v>5393</v>
      </c>
    </row>
    <row r="2843" spans="1:16" ht="12.75" customHeight="1" x14ac:dyDescent="0.25">
      <c r="A2843" s="311">
        <v>2840</v>
      </c>
      <c r="B2843" s="311" t="s">
        <v>84</v>
      </c>
      <c r="C2843" s="311" t="s">
        <v>462</v>
      </c>
      <c r="D2843" s="311" t="s">
        <v>462</v>
      </c>
      <c r="E2843" s="337" t="s">
        <v>462</v>
      </c>
      <c r="F2843" s="311" t="s">
        <v>254</v>
      </c>
      <c r="G2843" s="311" t="s">
        <v>237</v>
      </c>
      <c r="H2843" s="311" t="s">
        <v>418</v>
      </c>
      <c r="I2843" s="311" t="s">
        <v>66</v>
      </c>
      <c r="J2843" s="50" t="s">
        <v>1892</v>
      </c>
      <c r="K2843" s="50" t="s">
        <v>1892</v>
      </c>
      <c r="L2843" s="50" t="s">
        <v>1893</v>
      </c>
      <c r="M2843" s="50" t="s">
        <v>5394</v>
      </c>
      <c r="N2843" s="50" t="s">
        <v>5395</v>
      </c>
      <c r="O2843" s="50" t="s">
        <v>5395</v>
      </c>
      <c r="P2843" s="50" t="s">
        <v>5395</v>
      </c>
    </row>
    <row r="2844" spans="1:16" ht="12.75" customHeight="1" x14ac:dyDescent="0.25">
      <c r="A2844" s="311">
        <v>2841</v>
      </c>
      <c r="B2844" s="311" t="s">
        <v>123</v>
      </c>
      <c r="C2844" s="311" t="s">
        <v>462</v>
      </c>
      <c r="D2844" s="311" t="s">
        <v>462</v>
      </c>
      <c r="E2844" s="337" t="s">
        <v>462</v>
      </c>
      <c r="F2844" s="311" t="s">
        <v>254</v>
      </c>
      <c r="G2844" s="311" t="s">
        <v>237</v>
      </c>
      <c r="H2844" s="311" t="s">
        <v>418</v>
      </c>
      <c r="I2844" s="311" t="s">
        <v>66</v>
      </c>
      <c r="J2844" s="50" t="s">
        <v>1892</v>
      </c>
      <c r="K2844" s="50" t="s">
        <v>1892</v>
      </c>
      <c r="L2844" s="50" t="s">
        <v>1893</v>
      </c>
      <c r="M2844" s="50" t="s">
        <v>5396</v>
      </c>
      <c r="N2844" s="50" t="s">
        <v>5395</v>
      </c>
      <c r="O2844" s="50" t="s">
        <v>5395</v>
      </c>
      <c r="P2844" s="50" t="s">
        <v>5395</v>
      </c>
    </row>
    <row r="2845" spans="1:16" ht="12.75" customHeight="1" x14ac:dyDescent="0.25">
      <c r="A2845" s="311">
        <v>2842</v>
      </c>
      <c r="B2845" s="311" t="s">
        <v>75</v>
      </c>
      <c r="C2845" s="311" t="s">
        <v>462</v>
      </c>
      <c r="D2845" s="311" t="s">
        <v>462</v>
      </c>
      <c r="E2845" s="337" t="s">
        <v>462</v>
      </c>
      <c r="F2845" s="311" t="s">
        <v>254</v>
      </c>
      <c r="G2845" s="311" t="s">
        <v>237</v>
      </c>
      <c r="H2845" s="311" t="s">
        <v>418</v>
      </c>
      <c r="I2845" s="311" t="s">
        <v>66</v>
      </c>
      <c r="J2845" s="50" t="s">
        <v>1892</v>
      </c>
      <c r="K2845" s="50" t="s">
        <v>1892</v>
      </c>
      <c r="L2845" s="50" t="s">
        <v>1893</v>
      </c>
      <c r="M2845" s="50" t="s">
        <v>5397</v>
      </c>
      <c r="N2845" s="50" t="s">
        <v>5395</v>
      </c>
      <c r="O2845" s="50" t="s">
        <v>5395</v>
      </c>
      <c r="P2845" s="50" t="s">
        <v>5395</v>
      </c>
    </row>
    <row r="2846" spans="1:16" ht="12.75" customHeight="1" x14ac:dyDescent="0.25">
      <c r="A2846" s="311">
        <v>2843</v>
      </c>
      <c r="B2846" s="311" t="s">
        <v>63</v>
      </c>
      <c r="C2846" s="311" t="s">
        <v>63</v>
      </c>
      <c r="D2846" s="311" t="s">
        <v>462</v>
      </c>
      <c r="E2846" s="337" t="s">
        <v>63</v>
      </c>
      <c r="F2846" s="311" t="s">
        <v>254</v>
      </c>
      <c r="G2846" s="311" t="s">
        <v>237</v>
      </c>
      <c r="H2846" s="311" t="s">
        <v>418</v>
      </c>
      <c r="I2846" s="311" t="s">
        <v>66</v>
      </c>
      <c r="J2846" s="50" t="s">
        <v>1892</v>
      </c>
      <c r="K2846" s="50" t="s">
        <v>1892</v>
      </c>
      <c r="L2846" s="50" t="s">
        <v>1893</v>
      </c>
      <c r="M2846" s="50" t="s">
        <v>5398</v>
      </c>
      <c r="N2846" s="50" t="s">
        <v>5398</v>
      </c>
      <c r="O2846" s="50" t="s">
        <v>5395</v>
      </c>
      <c r="P2846" s="50" t="s">
        <v>5398</v>
      </c>
    </row>
    <row r="2847" spans="1:16" ht="12.75" customHeight="1" x14ac:dyDescent="0.25">
      <c r="A2847" s="311">
        <v>2844</v>
      </c>
      <c r="B2847" s="311" t="s">
        <v>140</v>
      </c>
      <c r="C2847" s="311" t="s">
        <v>140</v>
      </c>
      <c r="D2847" s="311" t="s">
        <v>462</v>
      </c>
      <c r="E2847" s="337" t="s">
        <v>140</v>
      </c>
      <c r="F2847" s="311" t="s">
        <v>254</v>
      </c>
      <c r="G2847" s="311" t="s">
        <v>237</v>
      </c>
      <c r="H2847" s="311" t="s">
        <v>418</v>
      </c>
      <c r="I2847" s="311" t="s">
        <v>66</v>
      </c>
      <c r="J2847" s="50" t="s">
        <v>1892</v>
      </c>
      <c r="K2847" s="50" t="s">
        <v>1892</v>
      </c>
      <c r="L2847" s="50" t="s">
        <v>1893</v>
      </c>
      <c r="M2847" s="50" t="s">
        <v>5399</v>
      </c>
      <c r="N2847" s="50" t="s">
        <v>5399</v>
      </c>
      <c r="O2847" s="50" t="s">
        <v>5395</v>
      </c>
      <c r="P2847" s="50" t="s">
        <v>5399</v>
      </c>
    </row>
    <row r="2848" spans="1:16" ht="12.75" customHeight="1" x14ac:dyDescent="0.25">
      <c r="A2848" s="311">
        <v>2845</v>
      </c>
      <c r="B2848" s="311" t="s">
        <v>121</v>
      </c>
      <c r="C2848" s="311" t="s">
        <v>121</v>
      </c>
      <c r="D2848" s="311" t="s">
        <v>462</v>
      </c>
      <c r="E2848" s="337" t="s">
        <v>121</v>
      </c>
      <c r="F2848" s="311" t="s">
        <v>254</v>
      </c>
      <c r="G2848" s="311" t="s">
        <v>237</v>
      </c>
      <c r="H2848" s="311" t="s">
        <v>418</v>
      </c>
      <c r="I2848" s="311" t="s">
        <v>66</v>
      </c>
      <c r="J2848" s="50" t="s">
        <v>1892</v>
      </c>
      <c r="K2848" s="50" t="s">
        <v>1892</v>
      </c>
      <c r="L2848" s="50" t="s">
        <v>1893</v>
      </c>
      <c r="M2848" s="50" t="s">
        <v>5400</v>
      </c>
      <c r="N2848" s="50" t="s">
        <v>5400</v>
      </c>
      <c r="O2848" s="50" t="s">
        <v>5395</v>
      </c>
      <c r="P2848" s="50" t="s">
        <v>5400</v>
      </c>
    </row>
    <row r="2849" spans="1:16" ht="12.75" customHeight="1" x14ac:dyDescent="0.25">
      <c r="A2849" s="311">
        <v>2846</v>
      </c>
      <c r="B2849" s="311" t="s">
        <v>87</v>
      </c>
      <c r="C2849" s="311" t="s">
        <v>87</v>
      </c>
      <c r="D2849" s="311" t="s">
        <v>462</v>
      </c>
      <c r="E2849" s="337" t="s">
        <v>87</v>
      </c>
      <c r="F2849" s="311" t="s">
        <v>254</v>
      </c>
      <c r="G2849" s="311" t="s">
        <v>237</v>
      </c>
      <c r="H2849" s="311" t="s">
        <v>418</v>
      </c>
      <c r="I2849" s="311" t="s">
        <v>66</v>
      </c>
      <c r="J2849" s="50" t="s">
        <v>1892</v>
      </c>
      <c r="K2849" s="50" t="s">
        <v>1892</v>
      </c>
      <c r="L2849" s="50" t="s">
        <v>1893</v>
      </c>
      <c r="M2849" s="50" t="s">
        <v>5401</v>
      </c>
      <c r="N2849" s="50" t="s">
        <v>5401</v>
      </c>
      <c r="O2849" s="50" t="s">
        <v>5395</v>
      </c>
      <c r="P2849" s="50" t="s">
        <v>5401</v>
      </c>
    </row>
    <row r="2850" spans="1:16" ht="12.75" customHeight="1" x14ac:dyDescent="0.25">
      <c r="A2850" s="311">
        <v>2847</v>
      </c>
      <c r="B2850" s="311" t="s">
        <v>125</v>
      </c>
      <c r="C2850" s="311" t="s">
        <v>125</v>
      </c>
      <c r="D2850" s="311" t="s">
        <v>125</v>
      </c>
      <c r="E2850" s="337" t="s">
        <v>125</v>
      </c>
      <c r="F2850" s="311" t="s">
        <v>254</v>
      </c>
      <c r="G2850" s="311" t="s">
        <v>237</v>
      </c>
      <c r="H2850" s="311" t="s">
        <v>418</v>
      </c>
      <c r="I2850" s="311" t="s">
        <v>66</v>
      </c>
      <c r="J2850" s="50" t="s">
        <v>1892</v>
      </c>
      <c r="K2850" s="50" t="s">
        <v>1892</v>
      </c>
      <c r="L2850" s="50" t="s">
        <v>1893</v>
      </c>
      <c r="M2850" s="50" t="s">
        <v>5402</v>
      </c>
      <c r="N2850" s="50" t="s">
        <v>5402</v>
      </c>
      <c r="O2850" s="50" t="s">
        <v>5402</v>
      </c>
      <c r="P2850" s="50" t="s">
        <v>5402</v>
      </c>
    </row>
    <row r="2851" spans="1:16" ht="12.75" customHeight="1" x14ac:dyDescent="0.25">
      <c r="A2851" s="311">
        <v>2848</v>
      </c>
      <c r="B2851" s="311" t="s">
        <v>134</v>
      </c>
      <c r="C2851" s="311" t="s">
        <v>134</v>
      </c>
      <c r="D2851" s="311" t="s">
        <v>134</v>
      </c>
      <c r="E2851" s="337" t="s">
        <v>134</v>
      </c>
      <c r="F2851" s="311" t="s">
        <v>254</v>
      </c>
      <c r="G2851" s="311" t="s">
        <v>237</v>
      </c>
      <c r="H2851" s="311" t="s">
        <v>418</v>
      </c>
      <c r="I2851" s="311" t="s">
        <v>66</v>
      </c>
      <c r="J2851" s="50" t="s">
        <v>1892</v>
      </c>
      <c r="K2851" s="50" t="s">
        <v>1892</v>
      </c>
      <c r="L2851" s="50" t="s">
        <v>1893</v>
      </c>
      <c r="M2851" s="50" t="s">
        <v>5403</v>
      </c>
      <c r="N2851" s="50" t="s">
        <v>5403</v>
      </c>
      <c r="O2851" s="50" t="s">
        <v>5403</v>
      </c>
      <c r="P2851" s="50" t="s">
        <v>5403</v>
      </c>
    </row>
    <row r="2852" spans="1:16" ht="12.75" customHeight="1" x14ac:dyDescent="0.25">
      <c r="A2852" s="311">
        <v>2849</v>
      </c>
      <c r="B2852" s="311" t="s">
        <v>141</v>
      </c>
      <c r="C2852" s="311" t="s">
        <v>141</v>
      </c>
      <c r="D2852" s="311" t="s">
        <v>141</v>
      </c>
      <c r="E2852" s="337" t="s">
        <v>141</v>
      </c>
      <c r="F2852" s="311" t="s">
        <v>254</v>
      </c>
      <c r="G2852" s="311" t="s">
        <v>237</v>
      </c>
      <c r="H2852" s="311" t="s">
        <v>418</v>
      </c>
      <c r="I2852" s="311" t="s">
        <v>66</v>
      </c>
      <c r="J2852" s="50" t="s">
        <v>1892</v>
      </c>
      <c r="K2852" s="50" t="s">
        <v>1892</v>
      </c>
      <c r="L2852" s="50" t="s">
        <v>1893</v>
      </c>
      <c r="M2852" s="50" t="s">
        <v>5404</v>
      </c>
      <c r="N2852" s="50" t="s">
        <v>5404</v>
      </c>
      <c r="O2852" s="50" t="s">
        <v>5404</v>
      </c>
      <c r="P2852" s="50" t="s">
        <v>5404</v>
      </c>
    </row>
    <row r="2853" spans="1:16" ht="12.75" customHeight="1" x14ac:dyDescent="0.25">
      <c r="A2853" s="311">
        <v>2850</v>
      </c>
      <c r="B2853" s="311" t="s">
        <v>69</v>
      </c>
      <c r="C2853" s="311" t="s">
        <v>69</v>
      </c>
      <c r="D2853" s="311" t="s">
        <v>69</v>
      </c>
      <c r="E2853" s="337" t="s">
        <v>69</v>
      </c>
      <c r="F2853" s="311" t="s">
        <v>254</v>
      </c>
      <c r="G2853" s="311" t="s">
        <v>237</v>
      </c>
      <c r="H2853" s="311" t="s">
        <v>418</v>
      </c>
      <c r="I2853" s="311" t="s">
        <v>66</v>
      </c>
      <c r="J2853" s="50" t="s">
        <v>1892</v>
      </c>
      <c r="K2853" s="50" t="s">
        <v>1892</v>
      </c>
      <c r="L2853" s="50" t="s">
        <v>1893</v>
      </c>
      <c r="M2853" s="50" t="s">
        <v>5405</v>
      </c>
      <c r="N2853" s="50" t="s">
        <v>5405</v>
      </c>
      <c r="O2853" s="50" t="s">
        <v>5405</v>
      </c>
      <c r="P2853" s="50" t="s">
        <v>5405</v>
      </c>
    </row>
    <row r="2854" spans="1:16" ht="12.75" customHeight="1" x14ac:dyDescent="0.25">
      <c r="A2854" s="311">
        <v>2851</v>
      </c>
      <c r="B2854" s="311" t="s">
        <v>84</v>
      </c>
      <c r="C2854" s="311" t="s">
        <v>462</v>
      </c>
      <c r="D2854" s="311" t="s">
        <v>462</v>
      </c>
      <c r="E2854" s="337" t="s">
        <v>462</v>
      </c>
      <c r="F2854" s="311" t="s">
        <v>76</v>
      </c>
      <c r="G2854" s="311" t="s">
        <v>236</v>
      </c>
      <c r="H2854" s="311" t="s">
        <v>418</v>
      </c>
      <c r="I2854" s="311" t="s">
        <v>66</v>
      </c>
      <c r="J2854" s="50" t="s">
        <v>1892</v>
      </c>
      <c r="K2854" s="50" t="s">
        <v>1892</v>
      </c>
      <c r="L2854" s="50" t="s">
        <v>1893</v>
      </c>
      <c r="M2854" s="50" t="s">
        <v>5406</v>
      </c>
      <c r="N2854" s="50" t="s">
        <v>5407</v>
      </c>
      <c r="O2854" s="50" t="s">
        <v>5407</v>
      </c>
      <c r="P2854" s="50" t="s">
        <v>5407</v>
      </c>
    </row>
    <row r="2855" spans="1:16" ht="12.75" customHeight="1" x14ac:dyDescent="0.25">
      <c r="A2855" s="311">
        <v>2852</v>
      </c>
      <c r="B2855" s="311" t="s">
        <v>123</v>
      </c>
      <c r="C2855" s="311" t="s">
        <v>462</v>
      </c>
      <c r="D2855" s="311" t="s">
        <v>462</v>
      </c>
      <c r="E2855" s="337" t="s">
        <v>462</v>
      </c>
      <c r="F2855" s="311" t="s">
        <v>76</v>
      </c>
      <c r="G2855" s="311" t="s">
        <v>236</v>
      </c>
      <c r="H2855" s="311" t="s">
        <v>418</v>
      </c>
      <c r="I2855" s="311" t="s">
        <v>66</v>
      </c>
      <c r="J2855" s="50" t="s">
        <v>1892</v>
      </c>
      <c r="K2855" s="50" t="s">
        <v>1892</v>
      </c>
      <c r="L2855" s="50" t="s">
        <v>1893</v>
      </c>
      <c r="M2855" s="50" t="s">
        <v>5408</v>
      </c>
      <c r="N2855" s="50" t="s">
        <v>5407</v>
      </c>
      <c r="O2855" s="50" t="s">
        <v>5407</v>
      </c>
      <c r="P2855" s="50" t="s">
        <v>5407</v>
      </c>
    </row>
    <row r="2856" spans="1:16" ht="12.75" customHeight="1" x14ac:dyDescent="0.25">
      <c r="A2856" s="311">
        <v>2853</v>
      </c>
      <c r="B2856" s="311" t="s">
        <v>75</v>
      </c>
      <c r="C2856" s="311" t="s">
        <v>462</v>
      </c>
      <c r="D2856" s="311" t="s">
        <v>462</v>
      </c>
      <c r="E2856" s="337" t="s">
        <v>462</v>
      </c>
      <c r="F2856" s="311" t="s">
        <v>76</v>
      </c>
      <c r="G2856" s="311" t="s">
        <v>236</v>
      </c>
      <c r="H2856" s="311" t="s">
        <v>418</v>
      </c>
      <c r="I2856" s="311" t="s">
        <v>66</v>
      </c>
      <c r="J2856" s="50" t="s">
        <v>1892</v>
      </c>
      <c r="K2856" s="50" t="s">
        <v>1892</v>
      </c>
      <c r="L2856" s="50" t="s">
        <v>1893</v>
      </c>
      <c r="M2856" s="50" t="s">
        <v>5409</v>
      </c>
      <c r="N2856" s="50" t="s">
        <v>5407</v>
      </c>
      <c r="O2856" s="50" t="s">
        <v>5407</v>
      </c>
      <c r="P2856" s="50" t="s">
        <v>5407</v>
      </c>
    </row>
    <row r="2857" spans="1:16" ht="12.75" customHeight="1" x14ac:dyDescent="0.25">
      <c r="A2857" s="311">
        <v>2854</v>
      </c>
      <c r="B2857" s="311" t="s">
        <v>63</v>
      </c>
      <c r="C2857" s="311" t="s">
        <v>63</v>
      </c>
      <c r="D2857" s="311" t="s">
        <v>462</v>
      </c>
      <c r="E2857" s="337" t="s">
        <v>63</v>
      </c>
      <c r="F2857" s="311" t="s">
        <v>76</v>
      </c>
      <c r="G2857" s="311" t="s">
        <v>236</v>
      </c>
      <c r="H2857" s="311" t="s">
        <v>418</v>
      </c>
      <c r="I2857" s="311" t="s">
        <v>66</v>
      </c>
      <c r="J2857" s="50" t="s">
        <v>1892</v>
      </c>
      <c r="K2857" s="50" t="s">
        <v>1892</v>
      </c>
      <c r="L2857" s="50" t="s">
        <v>1893</v>
      </c>
      <c r="M2857" s="50" t="s">
        <v>5410</v>
      </c>
      <c r="N2857" s="50" t="s">
        <v>5410</v>
      </c>
      <c r="O2857" s="50" t="s">
        <v>5407</v>
      </c>
      <c r="P2857" s="50" t="s">
        <v>5410</v>
      </c>
    </row>
    <row r="2858" spans="1:16" ht="12.75" customHeight="1" x14ac:dyDescent="0.25">
      <c r="A2858" s="311">
        <v>2855</v>
      </c>
      <c r="B2858" s="311" t="s">
        <v>140</v>
      </c>
      <c r="C2858" s="311" t="s">
        <v>140</v>
      </c>
      <c r="D2858" s="311" t="s">
        <v>462</v>
      </c>
      <c r="E2858" s="337" t="s">
        <v>140</v>
      </c>
      <c r="F2858" s="311" t="s">
        <v>76</v>
      </c>
      <c r="G2858" s="311" t="s">
        <v>236</v>
      </c>
      <c r="H2858" s="311" t="s">
        <v>418</v>
      </c>
      <c r="I2858" s="311" t="s">
        <v>66</v>
      </c>
      <c r="J2858" s="50" t="s">
        <v>1892</v>
      </c>
      <c r="K2858" s="50" t="s">
        <v>1892</v>
      </c>
      <c r="L2858" s="50" t="s">
        <v>1893</v>
      </c>
      <c r="M2858" s="50" t="s">
        <v>5411</v>
      </c>
      <c r="N2858" s="50" t="s">
        <v>5411</v>
      </c>
      <c r="O2858" s="50" t="s">
        <v>5407</v>
      </c>
      <c r="P2858" s="50" t="s">
        <v>5411</v>
      </c>
    </row>
    <row r="2859" spans="1:16" ht="12.75" customHeight="1" x14ac:dyDescent="0.25">
      <c r="A2859" s="311">
        <v>2856</v>
      </c>
      <c r="B2859" s="311" t="s">
        <v>121</v>
      </c>
      <c r="C2859" s="311" t="s">
        <v>121</v>
      </c>
      <c r="D2859" s="311" t="s">
        <v>462</v>
      </c>
      <c r="E2859" s="337" t="s">
        <v>121</v>
      </c>
      <c r="F2859" s="311" t="s">
        <v>76</v>
      </c>
      <c r="G2859" s="311" t="s">
        <v>236</v>
      </c>
      <c r="H2859" s="311" t="s">
        <v>418</v>
      </c>
      <c r="I2859" s="311" t="s">
        <v>66</v>
      </c>
      <c r="J2859" s="50" t="s">
        <v>1892</v>
      </c>
      <c r="K2859" s="50" t="s">
        <v>1892</v>
      </c>
      <c r="L2859" s="50" t="s">
        <v>1893</v>
      </c>
      <c r="M2859" s="50" t="s">
        <v>5412</v>
      </c>
      <c r="N2859" s="50" t="s">
        <v>5412</v>
      </c>
      <c r="O2859" s="50" t="s">
        <v>5407</v>
      </c>
      <c r="P2859" s="50" t="s">
        <v>5412</v>
      </c>
    </row>
    <row r="2860" spans="1:16" ht="12.75" customHeight="1" x14ac:dyDescent="0.25">
      <c r="A2860" s="311">
        <v>2857</v>
      </c>
      <c r="B2860" s="311" t="s">
        <v>87</v>
      </c>
      <c r="C2860" s="311" t="s">
        <v>87</v>
      </c>
      <c r="D2860" s="311" t="s">
        <v>462</v>
      </c>
      <c r="E2860" s="337" t="s">
        <v>87</v>
      </c>
      <c r="F2860" s="311" t="s">
        <v>76</v>
      </c>
      <c r="G2860" s="311" t="s">
        <v>236</v>
      </c>
      <c r="H2860" s="311" t="s">
        <v>418</v>
      </c>
      <c r="I2860" s="311" t="s">
        <v>66</v>
      </c>
      <c r="J2860" s="50" t="s">
        <v>1892</v>
      </c>
      <c r="K2860" s="50" t="s">
        <v>1892</v>
      </c>
      <c r="L2860" s="50" t="s">
        <v>1893</v>
      </c>
      <c r="M2860" s="50" t="s">
        <v>5413</v>
      </c>
      <c r="N2860" s="50" t="s">
        <v>5413</v>
      </c>
      <c r="O2860" s="50" t="s">
        <v>5407</v>
      </c>
      <c r="P2860" s="50" t="s">
        <v>5413</v>
      </c>
    </row>
    <row r="2861" spans="1:16" ht="12.75" customHeight="1" x14ac:dyDescent="0.25">
      <c r="A2861" s="311">
        <v>2858</v>
      </c>
      <c r="B2861" s="311" t="s">
        <v>125</v>
      </c>
      <c r="C2861" s="311" t="s">
        <v>125</v>
      </c>
      <c r="D2861" s="311" t="s">
        <v>125</v>
      </c>
      <c r="E2861" s="337" t="s">
        <v>125</v>
      </c>
      <c r="F2861" s="311" t="s">
        <v>76</v>
      </c>
      <c r="G2861" s="311" t="s">
        <v>236</v>
      </c>
      <c r="H2861" s="311" t="s">
        <v>418</v>
      </c>
      <c r="I2861" s="311" t="s">
        <v>66</v>
      </c>
      <c r="J2861" s="50" t="s">
        <v>1892</v>
      </c>
      <c r="K2861" s="50" t="s">
        <v>1892</v>
      </c>
      <c r="L2861" s="50" t="s">
        <v>1893</v>
      </c>
      <c r="M2861" s="50" t="s">
        <v>5414</v>
      </c>
      <c r="N2861" s="50" t="s">
        <v>5414</v>
      </c>
      <c r="O2861" s="50" t="s">
        <v>5414</v>
      </c>
      <c r="P2861" s="50" t="s">
        <v>5414</v>
      </c>
    </row>
    <row r="2862" spans="1:16" ht="12.75" customHeight="1" x14ac:dyDescent="0.25">
      <c r="A2862" s="311">
        <v>2859</v>
      </c>
      <c r="B2862" s="311" t="s">
        <v>134</v>
      </c>
      <c r="C2862" s="311" t="s">
        <v>134</v>
      </c>
      <c r="D2862" s="311" t="s">
        <v>134</v>
      </c>
      <c r="E2862" s="337" t="s">
        <v>134</v>
      </c>
      <c r="F2862" s="311" t="s">
        <v>76</v>
      </c>
      <c r="G2862" s="311" t="s">
        <v>236</v>
      </c>
      <c r="H2862" s="311" t="s">
        <v>418</v>
      </c>
      <c r="I2862" s="311" t="s">
        <v>66</v>
      </c>
      <c r="J2862" s="50" t="s">
        <v>1892</v>
      </c>
      <c r="K2862" s="50" t="s">
        <v>1892</v>
      </c>
      <c r="L2862" s="50" t="s">
        <v>1893</v>
      </c>
      <c r="M2862" s="50" t="s">
        <v>5415</v>
      </c>
      <c r="N2862" s="50" t="s">
        <v>5415</v>
      </c>
      <c r="O2862" s="50" t="s">
        <v>5415</v>
      </c>
      <c r="P2862" s="50" t="s">
        <v>5415</v>
      </c>
    </row>
    <row r="2863" spans="1:16" ht="12.75" customHeight="1" x14ac:dyDescent="0.25">
      <c r="A2863" s="311">
        <v>2860</v>
      </c>
      <c r="B2863" s="311" t="s">
        <v>141</v>
      </c>
      <c r="C2863" s="311" t="s">
        <v>141</v>
      </c>
      <c r="D2863" s="311" t="s">
        <v>141</v>
      </c>
      <c r="E2863" s="337" t="s">
        <v>141</v>
      </c>
      <c r="F2863" s="311" t="s">
        <v>76</v>
      </c>
      <c r="G2863" s="311" t="s">
        <v>236</v>
      </c>
      <c r="H2863" s="311" t="s">
        <v>418</v>
      </c>
      <c r="I2863" s="311" t="s">
        <v>66</v>
      </c>
      <c r="J2863" s="50" t="s">
        <v>1892</v>
      </c>
      <c r="K2863" s="50" t="s">
        <v>1892</v>
      </c>
      <c r="L2863" s="50" t="s">
        <v>1893</v>
      </c>
      <c r="M2863" s="50" t="s">
        <v>5416</v>
      </c>
      <c r="N2863" s="50" t="s">
        <v>5416</v>
      </c>
      <c r="O2863" s="50" t="s">
        <v>5416</v>
      </c>
      <c r="P2863" s="50" t="s">
        <v>5416</v>
      </c>
    </row>
    <row r="2864" spans="1:16" ht="12.75" customHeight="1" x14ac:dyDescent="0.25">
      <c r="A2864" s="311">
        <v>2861</v>
      </c>
      <c r="B2864" s="311" t="s">
        <v>69</v>
      </c>
      <c r="C2864" s="311" t="s">
        <v>69</v>
      </c>
      <c r="D2864" s="311" t="s">
        <v>69</v>
      </c>
      <c r="E2864" s="337" t="s">
        <v>69</v>
      </c>
      <c r="F2864" s="311" t="s">
        <v>76</v>
      </c>
      <c r="G2864" s="311" t="s">
        <v>236</v>
      </c>
      <c r="H2864" s="311" t="s">
        <v>418</v>
      </c>
      <c r="I2864" s="311" t="s">
        <v>66</v>
      </c>
      <c r="J2864" s="50" t="s">
        <v>1892</v>
      </c>
      <c r="K2864" s="50" t="s">
        <v>1892</v>
      </c>
      <c r="L2864" s="50" t="s">
        <v>1893</v>
      </c>
      <c r="M2864" s="50" t="s">
        <v>5417</v>
      </c>
      <c r="N2864" s="50" t="s">
        <v>5417</v>
      </c>
      <c r="O2864" s="50" t="s">
        <v>5417</v>
      </c>
      <c r="P2864" s="50" t="s">
        <v>5417</v>
      </c>
    </row>
    <row r="2865" spans="1:16" ht="12.75" customHeight="1" x14ac:dyDescent="0.25">
      <c r="A2865" s="311">
        <v>2862</v>
      </c>
      <c r="B2865" s="311" t="s">
        <v>84</v>
      </c>
      <c r="C2865" s="311" t="s">
        <v>462</v>
      </c>
      <c r="D2865" s="311" t="s">
        <v>462</v>
      </c>
      <c r="E2865" s="337" t="s">
        <v>462</v>
      </c>
      <c r="F2865" s="311" t="s">
        <v>76</v>
      </c>
      <c r="G2865" s="311" t="s">
        <v>23</v>
      </c>
      <c r="H2865" s="311" t="s">
        <v>418</v>
      </c>
      <c r="I2865" s="311" t="s">
        <v>66</v>
      </c>
      <c r="J2865" s="50" t="s">
        <v>1892</v>
      </c>
      <c r="K2865" s="50" t="s">
        <v>1892</v>
      </c>
      <c r="L2865" s="50" t="s">
        <v>1893</v>
      </c>
      <c r="M2865" s="50" t="s">
        <v>5418</v>
      </c>
      <c r="N2865" s="50" t="s">
        <v>5419</v>
      </c>
      <c r="O2865" s="50" t="s">
        <v>5419</v>
      </c>
      <c r="P2865" s="50" t="s">
        <v>5419</v>
      </c>
    </row>
    <row r="2866" spans="1:16" ht="12.75" customHeight="1" x14ac:dyDescent="0.25">
      <c r="A2866" s="311">
        <v>2863</v>
      </c>
      <c r="B2866" s="311" t="s">
        <v>123</v>
      </c>
      <c r="C2866" s="311" t="s">
        <v>462</v>
      </c>
      <c r="D2866" s="311" t="s">
        <v>462</v>
      </c>
      <c r="E2866" s="337" t="s">
        <v>462</v>
      </c>
      <c r="F2866" s="311" t="s">
        <v>76</v>
      </c>
      <c r="G2866" s="311" t="s">
        <v>23</v>
      </c>
      <c r="H2866" s="311" t="s">
        <v>418</v>
      </c>
      <c r="I2866" s="311" t="s">
        <v>66</v>
      </c>
      <c r="J2866" s="50" t="s">
        <v>1892</v>
      </c>
      <c r="K2866" s="50" t="s">
        <v>1892</v>
      </c>
      <c r="L2866" s="50" t="s">
        <v>1893</v>
      </c>
      <c r="M2866" s="50" t="s">
        <v>5420</v>
      </c>
      <c r="N2866" s="50" t="s">
        <v>5419</v>
      </c>
      <c r="O2866" s="50" t="s">
        <v>5419</v>
      </c>
      <c r="P2866" s="50" t="s">
        <v>5419</v>
      </c>
    </row>
    <row r="2867" spans="1:16" ht="12.75" customHeight="1" x14ac:dyDescent="0.25">
      <c r="A2867" s="311">
        <v>2864</v>
      </c>
      <c r="B2867" s="311" t="s">
        <v>75</v>
      </c>
      <c r="C2867" s="311" t="s">
        <v>462</v>
      </c>
      <c r="D2867" s="311" t="s">
        <v>462</v>
      </c>
      <c r="E2867" s="337" t="s">
        <v>462</v>
      </c>
      <c r="F2867" s="311" t="s">
        <v>76</v>
      </c>
      <c r="G2867" s="311" t="s">
        <v>23</v>
      </c>
      <c r="H2867" s="311" t="s">
        <v>418</v>
      </c>
      <c r="I2867" s="311" t="s">
        <v>66</v>
      </c>
      <c r="J2867" s="50" t="s">
        <v>1892</v>
      </c>
      <c r="K2867" s="50" t="s">
        <v>1892</v>
      </c>
      <c r="L2867" s="50" t="s">
        <v>1893</v>
      </c>
      <c r="M2867" s="50" t="s">
        <v>5421</v>
      </c>
      <c r="N2867" s="50" t="s">
        <v>5419</v>
      </c>
      <c r="O2867" s="50" t="s">
        <v>5419</v>
      </c>
      <c r="P2867" s="50" t="s">
        <v>5419</v>
      </c>
    </row>
    <row r="2868" spans="1:16" ht="12.75" customHeight="1" x14ac:dyDescent="0.25">
      <c r="A2868" s="311">
        <v>2865</v>
      </c>
      <c r="B2868" s="311" t="s">
        <v>63</v>
      </c>
      <c r="C2868" s="311" t="s">
        <v>63</v>
      </c>
      <c r="D2868" s="311" t="s">
        <v>462</v>
      </c>
      <c r="E2868" s="337" t="s">
        <v>63</v>
      </c>
      <c r="F2868" s="311" t="s">
        <v>76</v>
      </c>
      <c r="G2868" s="311" t="s">
        <v>23</v>
      </c>
      <c r="H2868" s="311" t="s">
        <v>418</v>
      </c>
      <c r="I2868" s="311" t="s">
        <v>66</v>
      </c>
      <c r="J2868" s="50" t="s">
        <v>1892</v>
      </c>
      <c r="K2868" s="50" t="s">
        <v>1892</v>
      </c>
      <c r="L2868" s="50" t="s">
        <v>1893</v>
      </c>
      <c r="M2868" s="50" t="s">
        <v>5422</v>
      </c>
      <c r="N2868" s="50" t="s">
        <v>5422</v>
      </c>
      <c r="O2868" s="50" t="s">
        <v>5419</v>
      </c>
      <c r="P2868" s="50" t="s">
        <v>5422</v>
      </c>
    </row>
    <row r="2869" spans="1:16" ht="12.75" customHeight="1" x14ac:dyDescent="0.25">
      <c r="A2869" s="311">
        <v>2866</v>
      </c>
      <c r="B2869" s="311" t="s">
        <v>140</v>
      </c>
      <c r="C2869" s="311" t="s">
        <v>140</v>
      </c>
      <c r="D2869" s="311" t="s">
        <v>462</v>
      </c>
      <c r="E2869" s="337" t="s">
        <v>140</v>
      </c>
      <c r="F2869" s="311" t="s">
        <v>76</v>
      </c>
      <c r="G2869" s="311" t="s">
        <v>23</v>
      </c>
      <c r="H2869" s="311" t="s">
        <v>418</v>
      </c>
      <c r="I2869" s="311" t="s">
        <v>66</v>
      </c>
      <c r="J2869" s="50" t="s">
        <v>1892</v>
      </c>
      <c r="K2869" s="50" t="s">
        <v>1892</v>
      </c>
      <c r="L2869" s="50" t="s">
        <v>1893</v>
      </c>
      <c r="M2869" s="50" t="s">
        <v>5423</v>
      </c>
      <c r="N2869" s="50" t="s">
        <v>5423</v>
      </c>
      <c r="O2869" s="50" t="s">
        <v>5419</v>
      </c>
      <c r="P2869" s="50" t="s">
        <v>5423</v>
      </c>
    </row>
    <row r="2870" spans="1:16" ht="12.75" customHeight="1" x14ac:dyDescent="0.25">
      <c r="A2870" s="311">
        <v>2867</v>
      </c>
      <c r="B2870" s="311" t="s">
        <v>121</v>
      </c>
      <c r="C2870" s="311" t="s">
        <v>121</v>
      </c>
      <c r="D2870" s="311" t="s">
        <v>462</v>
      </c>
      <c r="E2870" s="337" t="s">
        <v>121</v>
      </c>
      <c r="F2870" s="311" t="s">
        <v>76</v>
      </c>
      <c r="G2870" s="311" t="s">
        <v>23</v>
      </c>
      <c r="H2870" s="311" t="s">
        <v>418</v>
      </c>
      <c r="I2870" s="311" t="s">
        <v>66</v>
      </c>
      <c r="J2870" s="50" t="s">
        <v>1892</v>
      </c>
      <c r="K2870" s="50" t="s">
        <v>1892</v>
      </c>
      <c r="L2870" s="50" t="s">
        <v>1893</v>
      </c>
      <c r="M2870" s="50" t="s">
        <v>5424</v>
      </c>
      <c r="N2870" s="50" t="s">
        <v>5424</v>
      </c>
      <c r="O2870" s="50" t="s">
        <v>5419</v>
      </c>
      <c r="P2870" s="50" t="s">
        <v>5424</v>
      </c>
    </row>
    <row r="2871" spans="1:16" ht="12.75" customHeight="1" x14ac:dyDescent="0.25">
      <c r="A2871" s="311">
        <v>2868</v>
      </c>
      <c r="B2871" s="311" t="s">
        <v>87</v>
      </c>
      <c r="C2871" s="311" t="s">
        <v>87</v>
      </c>
      <c r="D2871" s="311" t="s">
        <v>462</v>
      </c>
      <c r="E2871" s="337" t="s">
        <v>87</v>
      </c>
      <c r="F2871" s="311" t="s">
        <v>76</v>
      </c>
      <c r="G2871" s="311" t="s">
        <v>23</v>
      </c>
      <c r="H2871" s="311" t="s">
        <v>418</v>
      </c>
      <c r="I2871" s="311" t="s">
        <v>66</v>
      </c>
      <c r="J2871" s="50" t="s">
        <v>1892</v>
      </c>
      <c r="K2871" s="50" t="s">
        <v>1892</v>
      </c>
      <c r="L2871" s="50" t="s">
        <v>1893</v>
      </c>
      <c r="M2871" s="50" t="s">
        <v>5425</v>
      </c>
      <c r="N2871" s="50" t="s">
        <v>5425</v>
      </c>
      <c r="O2871" s="50" t="s">
        <v>5419</v>
      </c>
      <c r="P2871" s="50" t="s">
        <v>5425</v>
      </c>
    </row>
    <row r="2872" spans="1:16" ht="12.75" customHeight="1" x14ac:dyDescent="0.25">
      <c r="A2872" s="311">
        <v>2869</v>
      </c>
      <c r="B2872" s="311" t="s">
        <v>125</v>
      </c>
      <c r="C2872" s="311" t="s">
        <v>125</v>
      </c>
      <c r="D2872" s="311" t="s">
        <v>125</v>
      </c>
      <c r="E2872" s="337" t="s">
        <v>125</v>
      </c>
      <c r="F2872" s="311" t="s">
        <v>76</v>
      </c>
      <c r="G2872" s="311" t="s">
        <v>23</v>
      </c>
      <c r="H2872" s="311" t="s">
        <v>418</v>
      </c>
      <c r="I2872" s="311" t="s">
        <v>66</v>
      </c>
      <c r="J2872" s="50" t="s">
        <v>1892</v>
      </c>
      <c r="K2872" s="50" t="s">
        <v>1892</v>
      </c>
      <c r="L2872" s="50" t="s">
        <v>1893</v>
      </c>
      <c r="M2872" s="50" t="s">
        <v>5426</v>
      </c>
      <c r="N2872" s="50" t="s">
        <v>5426</v>
      </c>
      <c r="O2872" s="50" t="s">
        <v>5426</v>
      </c>
      <c r="P2872" s="50" t="s">
        <v>5426</v>
      </c>
    </row>
    <row r="2873" spans="1:16" ht="12.75" customHeight="1" x14ac:dyDescent="0.25">
      <c r="A2873" s="311">
        <v>2870</v>
      </c>
      <c r="B2873" s="311" t="s">
        <v>134</v>
      </c>
      <c r="C2873" s="311" t="s">
        <v>134</v>
      </c>
      <c r="D2873" s="311" t="s">
        <v>134</v>
      </c>
      <c r="E2873" s="337" t="s">
        <v>134</v>
      </c>
      <c r="F2873" s="311" t="s">
        <v>76</v>
      </c>
      <c r="G2873" s="311" t="s">
        <v>23</v>
      </c>
      <c r="H2873" s="311" t="s">
        <v>418</v>
      </c>
      <c r="I2873" s="311" t="s">
        <v>66</v>
      </c>
      <c r="J2873" s="50" t="s">
        <v>1892</v>
      </c>
      <c r="K2873" s="50" t="s">
        <v>1892</v>
      </c>
      <c r="L2873" s="50" t="s">
        <v>1893</v>
      </c>
      <c r="M2873" s="50" t="s">
        <v>5427</v>
      </c>
      <c r="N2873" s="50" t="s">
        <v>5427</v>
      </c>
      <c r="O2873" s="50" t="s">
        <v>5427</v>
      </c>
      <c r="P2873" s="50" t="s">
        <v>5427</v>
      </c>
    </row>
    <row r="2874" spans="1:16" ht="12.75" customHeight="1" x14ac:dyDescent="0.25">
      <c r="A2874" s="311">
        <v>2871</v>
      </c>
      <c r="B2874" s="311" t="s">
        <v>141</v>
      </c>
      <c r="C2874" s="311" t="s">
        <v>141</v>
      </c>
      <c r="D2874" s="311" t="s">
        <v>141</v>
      </c>
      <c r="E2874" s="337" t="s">
        <v>141</v>
      </c>
      <c r="F2874" s="311" t="s">
        <v>76</v>
      </c>
      <c r="G2874" s="311" t="s">
        <v>23</v>
      </c>
      <c r="H2874" s="311" t="s">
        <v>418</v>
      </c>
      <c r="I2874" s="311" t="s">
        <v>66</v>
      </c>
      <c r="J2874" s="50" t="s">
        <v>1892</v>
      </c>
      <c r="K2874" s="50" t="s">
        <v>1892</v>
      </c>
      <c r="L2874" s="50" t="s">
        <v>1893</v>
      </c>
      <c r="M2874" s="50" t="s">
        <v>5428</v>
      </c>
      <c r="N2874" s="50" t="s">
        <v>5428</v>
      </c>
      <c r="O2874" s="50" t="s">
        <v>5428</v>
      </c>
      <c r="P2874" s="50" t="s">
        <v>5428</v>
      </c>
    </row>
    <row r="2875" spans="1:16" ht="12.75" customHeight="1" x14ac:dyDescent="0.25">
      <c r="A2875" s="311">
        <v>2872</v>
      </c>
      <c r="B2875" s="311" t="s">
        <v>69</v>
      </c>
      <c r="C2875" s="311" t="s">
        <v>69</v>
      </c>
      <c r="D2875" s="311" t="s">
        <v>69</v>
      </c>
      <c r="E2875" s="337" t="s">
        <v>69</v>
      </c>
      <c r="F2875" s="311" t="s">
        <v>76</v>
      </c>
      <c r="G2875" s="311" t="s">
        <v>23</v>
      </c>
      <c r="H2875" s="311" t="s">
        <v>418</v>
      </c>
      <c r="I2875" s="311" t="s">
        <v>66</v>
      </c>
      <c r="J2875" s="50" t="s">
        <v>1892</v>
      </c>
      <c r="K2875" s="50" t="s">
        <v>1892</v>
      </c>
      <c r="L2875" s="50" t="s">
        <v>1893</v>
      </c>
      <c r="M2875" s="50" t="s">
        <v>5429</v>
      </c>
      <c r="N2875" s="50" t="s">
        <v>5429</v>
      </c>
      <c r="O2875" s="50" t="s">
        <v>5429</v>
      </c>
      <c r="P2875" s="50" t="s">
        <v>5429</v>
      </c>
    </row>
    <row r="2876" spans="1:16" ht="12.75" customHeight="1" x14ac:dyDescent="0.25">
      <c r="A2876" s="311">
        <v>2873</v>
      </c>
      <c r="B2876" s="311" t="s">
        <v>84</v>
      </c>
      <c r="C2876" s="311" t="s">
        <v>462</v>
      </c>
      <c r="D2876" s="311" t="s">
        <v>462</v>
      </c>
      <c r="E2876" s="337" t="s">
        <v>462</v>
      </c>
      <c r="F2876" s="311" t="s">
        <v>76</v>
      </c>
      <c r="G2876" s="311" t="s">
        <v>237</v>
      </c>
      <c r="H2876" s="311" t="s">
        <v>418</v>
      </c>
      <c r="I2876" s="311" t="s">
        <v>66</v>
      </c>
      <c r="J2876" s="50" t="s">
        <v>1892</v>
      </c>
      <c r="K2876" s="50" t="s">
        <v>1892</v>
      </c>
      <c r="L2876" s="50" t="s">
        <v>1893</v>
      </c>
      <c r="M2876" s="50" t="s">
        <v>5430</v>
      </c>
      <c r="N2876" s="50" t="s">
        <v>5431</v>
      </c>
      <c r="O2876" s="50" t="s">
        <v>5431</v>
      </c>
      <c r="P2876" s="50" t="s">
        <v>5431</v>
      </c>
    </row>
    <row r="2877" spans="1:16" ht="12.75" customHeight="1" x14ac:dyDescent="0.25">
      <c r="A2877" s="311">
        <v>2874</v>
      </c>
      <c r="B2877" s="311" t="s">
        <v>123</v>
      </c>
      <c r="C2877" s="311" t="s">
        <v>462</v>
      </c>
      <c r="D2877" s="311" t="s">
        <v>462</v>
      </c>
      <c r="E2877" s="337" t="s">
        <v>462</v>
      </c>
      <c r="F2877" s="311" t="s">
        <v>76</v>
      </c>
      <c r="G2877" s="311" t="s">
        <v>237</v>
      </c>
      <c r="H2877" s="311" t="s">
        <v>418</v>
      </c>
      <c r="I2877" s="311" t="s">
        <v>66</v>
      </c>
      <c r="J2877" s="50" t="s">
        <v>1892</v>
      </c>
      <c r="K2877" s="50" t="s">
        <v>1892</v>
      </c>
      <c r="L2877" s="50" t="s">
        <v>1893</v>
      </c>
      <c r="M2877" s="50" t="s">
        <v>5432</v>
      </c>
      <c r="N2877" s="50" t="s">
        <v>5431</v>
      </c>
      <c r="O2877" s="50" t="s">
        <v>5431</v>
      </c>
      <c r="P2877" s="50" t="s">
        <v>5431</v>
      </c>
    </row>
    <row r="2878" spans="1:16" ht="12.75" customHeight="1" x14ac:dyDescent="0.25">
      <c r="A2878" s="311">
        <v>2875</v>
      </c>
      <c r="B2878" s="311" t="s">
        <v>75</v>
      </c>
      <c r="C2878" s="311" t="s">
        <v>462</v>
      </c>
      <c r="D2878" s="311" t="s">
        <v>462</v>
      </c>
      <c r="E2878" s="337" t="s">
        <v>462</v>
      </c>
      <c r="F2878" s="311" t="s">
        <v>76</v>
      </c>
      <c r="G2878" s="311" t="s">
        <v>237</v>
      </c>
      <c r="H2878" s="311" t="s">
        <v>418</v>
      </c>
      <c r="I2878" s="311" t="s">
        <v>66</v>
      </c>
      <c r="J2878" s="50" t="s">
        <v>1892</v>
      </c>
      <c r="K2878" s="50" t="s">
        <v>1892</v>
      </c>
      <c r="L2878" s="50" t="s">
        <v>1893</v>
      </c>
      <c r="M2878" s="50" t="s">
        <v>5433</v>
      </c>
      <c r="N2878" s="50" t="s">
        <v>5431</v>
      </c>
      <c r="O2878" s="50" t="s">
        <v>5431</v>
      </c>
      <c r="P2878" s="50" t="s">
        <v>5431</v>
      </c>
    </row>
    <row r="2879" spans="1:16" ht="12.75" customHeight="1" x14ac:dyDescent="0.25">
      <c r="A2879" s="311">
        <v>2876</v>
      </c>
      <c r="B2879" s="311" t="s">
        <v>63</v>
      </c>
      <c r="C2879" s="311" t="s">
        <v>63</v>
      </c>
      <c r="D2879" s="311" t="s">
        <v>462</v>
      </c>
      <c r="E2879" s="337" t="s">
        <v>63</v>
      </c>
      <c r="F2879" s="311" t="s">
        <v>76</v>
      </c>
      <c r="G2879" s="311" t="s">
        <v>237</v>
      </c>
      <c r="H2879" s="311" t="s">
        <v>418</v>
      </c>
      <c r="I2879" s="311" t="s">
        <v>66</v>
      </c>
      <c r="J2879" s="50" t="s">
        <v>1892</v>
      </c>
      <c r="K2879" s="50" t="s">
        <v>1892</v>
      </c>
      <c r="L2879" s="50" t="s">
        <v>1893</v>
      </c>
      <c r="M2879" s="50" t="s">
        <v>5434</v>
      </c>
      <c r="N2879" s="50" t="s">
        <v>5434</v>
      </c>
      <c r="O2879" s="50" t="s">
        <v>5431</v>
      </c>
      <c r="P2879" s="50" t="s">
        <v>5434</v>
      </c>
    </row>
    <row r="2880" spans="1:16" ht="12.75" customHeight="1" x14ac:dyDescent="0.25">
      <c r="A2880" s="311">
        <v>2877</v>
      </c>
      <c r="B2880" s="311" t="s">
        <v>140</v>
      </c>
      <c r="C2880" s="311" t="s">
        <v>140</v>
      </c>
      <c r="D2880" s="311" t="s">
        <v>462</v>
      </c>
      <c r="E2880" s="337" t="s">
        <v>140</v>
      </c>
      <c r="F2880" s="311" t="s">
        <v>76</v>
      </c>
      <c r="G2880" s="311" t="s">
        <v>237</v>
      </c>
      <c r="H2880" s="311" t="s">
        <v>418</v>
      </c>
      <c r="I2880" s="311" t="s">
        <v>66</v>
      </c>
      <c r="J2880" s="50" t="s">
        <v>1892</v>
      </c>
      <c r="K2880" s="50" t="s">
        <v>1892</v>
      </c>
      <c r="L2880" s="50" t="s">
        <v>1893</v>
      </c>
      <c r="M2880" s="50" t="s">
        <v>5435</v>
      </c>
      <c r="N2880" s="50" t="s">
        <v>5435</v>
      </c>
      <c r="O2880" s="50" t="s">
        <v>5431</v>
      </c>
      <c r="P2880" s="50" t="s">
        <v>5435</v>
      </c>
    </row>
    <row r="2881" spans="1:16" ht="12.75" customHeight="1" x14ac:dyDescent="0.25">
      <c r="A2881" s="311">
        <v>2878</v>
      </c>
      <c r="B2881" s="311" t="s">
        <v>121</v>
      </c>
      <c r="C2881" s="311" t="s">
        <v>121</v>
      </c>
      <c r="D2881" s="311" t="s">
        <v>462</v>
      </c>
      <c r="E2881" s="337" t="s">
        <v>121</v>
      </c>
      <c r="F2881" s="311" t="s">
        <v>76</v>
      </c>
      <c r="G2881" s="311" t="s">
        <v>237</v>
      </c>
      <c r="H2881" s="311" t="s">
        <v>418</v>
      </c>
      <c r="I2881" s="311" t="s">
        <v>66</v>
      </c>
      <c r="J2881" s="50" t="s">
        <v>1892</v>
      </c>
      <c r="K2881" s="50" t="s">
        <v>1892</v>
      </c>
      <c r="L2881" s="50" t="s">
        <v>1893</v>
      </c>
      <c r="M2881" s="50" t="s">
        <v>5436</v>
      </c>
      <c r="N2881" s="50" t="s">
        <v>5436</v>
      </c>
      <c r="O2881" s="50" t="s">
        <v>5431</v>
      </c>
      <c r="P2881" s="50" t="s">
        <v>5436</v>
      </c>
    </row>
    <row r="2882" spans="1:16" ht="12.75" customHeight="1" x14ac:dyDescent="0.25">
      <c r="A2882" s="311">
        <v>2879</v>
      </c>
      <c r="B2882" s="311" t="s">
        <v>87</v>
      </c>
      <c r="C2882" s="311" t="s">
        <v>87</v>
      </c>
      <c r="D2882" s="311" t="s">
        <v>462</v>
      </c>
      <c r="E2882" s="337" t="s">
        <v>87</v>
      </c>
      <c r="F2882" s="311" t="s">
        <v>76</v>
      </c>
      <c r="G2882" s="311" t="s">
        <v>237</v>
      </c>
      <c r="H2882" s="311" t="s">
        <v>418</v>
      </c>
      <c r="I2882" s="311" t="s">
        <v>66</v>
      </c>
      <c r="J2882" s="50" t="s">
        <v>1892</v>
      </c>
      <c r="K2882" s="50" t="s">
        <v>1892</v>
      </c>
      <c r="L2882" s="50" t="s">
        <v>1893</v>
      </c>
      <c r="M2882" s="50" t="s">
        <v>5437</v>
      </c>
      <c r="N2882" s="50" t="s">
        <v>5437</v>
      </c>
      <c r="O2882" s="50" t="s">
        <v>5431</v>
      </c>
      <c r="P2882" s="50" t="s">
        <v>5437</v>
      </c>
    </row>
    <row r="2883" spans="1:16" ht="12.75" customHeight="1" x14ac:dyDescent="0.25">
      <c r="A2883" s="311">
        <v>2880</v>
      </c>
      <c r="B2883" s="311" t="s">
        <v>125</v>
      </c>
      <c r="C2883" s="311" t="s">
        <v>125</v>
      </c>
      <c r="D2883" s="311" t="s">
        <v>125</v>
      </c>
      <c r="E2883" s="337" t="s">
        <v>125</v>
      </c>
      <c r="F2883" s="311" t="s">
        <v>76</v>
      </c>
      <c r="G2883" s="311" t="s">
        <v>237</v>
      </c>
      <c r="H2883" s="311" t="s">
        <v>418</v>
      </c>
      <c r="I2883" s="311" t="s">
        <v>66</v>
      </c>
      <c r="J2883" s="50" t="s">
        <v>1892</v>
      </c>
      <c r="K2883" s="50" t="s">
        <v>1892</v>
      </c>
      <c r="L2883" s="50" t="s">
        <v>1893</v>
      </c>
      <c r="M2883" s="50" t="s">
        <v>5438</v>
      </c>
      <c r="N2883" s="50" t="s">
        <v>5438</v>
      </c>
      <c r="O2883" s="50" t="s">
        <v>5438</v>
      </c>
      <c r="P2883" s="50" t="s">
        <v>5438</v>
      </c>
    </row>
    <row r="2884" spans="1:16" ht="12.75" customHeight="1" x14ac:dyDescent="0.25">
      <c r="A2884" s="311">
        <v>2881</v>
      </c>
      <c r="B2884" s="311" t="s">
        <v>134</v>
      </c>
      <c r="C2884" s="311" t="s">
        <v>134</v>
      </c>
      <c r="D2884" s="311" t="s">
        <v>134</v>
      </c>
      <c r="E2884" s="337" t="s">
        <v>134</v>
      </c>
      <c r="F2884" s="311" t="s">
        <v>76</v>
      </c>
      <c r="G2884" s="311" t="s">
        <v>237</v>
      </c>
      <c r="H2884" s="311" t="s">
        <v>418</v>
      </c>
      <c r="I2884" s="311" t="s">
        <v>66</v>
      </c>
      <c r="J2884" s="50" t="s">
        <v>1892</v>
      </c>
      <c r="K2884" s="50" t="s">
        <v>1892</v>
      </c>
      <c r="L2884" s="50" t="s">
        <v>1893</v>
      </c>
      <c r="M2884" s="50" t="s">
        <v>5439</v>
      </c>
      <c r="N2884" s="50" t="s">
        <v>5439</v>
      </c>
      <c r="O2884" s="50" t="s">
        <v>5439</v>
      </c>
      <c r="P2884" s="50" t="s">
        <v>5439</v>
      </c>
    </row>
    <row r="2885" spans="1:16" ht="12.75" customHeight="1" x14ac:dyDescent="0.25">
      <c r="A2885" s="311">
        <v>2882</v>
      </c>
      <c r="B2885" s="311" t="s">
        <v>141</v>
      </c>
      <c r="C2885" s="311" t="s">
        <v>141</v>
      </c>
      <c r="D2885" s="311" t="s">
        <v>141</v>
      </c>
      <c r="E2885" s="337" t="s">
        <v>141</v>
      </c>
      <c r="F2885" s="311" t="s">
        <v>76</v>
      </c>
      <c r="G2885" s="311" t="s">
        <v>237</v>
      </c>
      <c r="H2885" s="311" t="s">
        <v>418</v>
      </c>
      <c r="I2885" s="311" t="s">
        <v>66</v>
      </c>
      <c r="J2885" s="50" t="s">
        <v>1892</v>
      </c>
      <c r="K2885" s="50" t="s">
        <v>1892</v>
      </c>
      <c r="L2885" s="50" t="s">
        <v>1893</v>
      </c>
      <c r="M2885" s="50" t="s">
        <v>5440</v>
      </c>
      <c r="N2885" s="50" t="s">
        <v>5440</v>
      </c>
      <c r="O2885" s="50" t="s">
        <v>5440</v>
      </c>
      <c r="P2885" s="50" t="s">
        <v>5440</v>
      </c>
    </row>
    <row r="2886" spans="1:16" ht="12.75" customHeight="1" x14ac:dyDescent="0.25">
      <c r="A2886" s="311">
        <v>2883</v>
      </c>
      <c r="B2886" s="311" t="s">
        <v>69</v>
      </c>
      <c r="C2886" s="311" t="s">
        <v>69</v>
      </c>
      <c r="D2886" s="311" t="s">
        <v>69</v>
      </c>
      <c r="E2886" s="337" t="s">
        <v>69</v>
      </c>
      <c r="F2886" s="311" t="s">
        <v>76</v>
      </c>
      <c r="G2886" s="311" t="s">
        <v>237</v>
      </c>
      <c r="H2886" s="311" t="s">
        <v>418</v>
      </c>
      <c r="I2886" s="311" t="s">
        <v>66</v>
      </c>
      <c r="J2886" s="50" t="s">
        <v>1892</v>
      </c>
      <c r="K2886" s="50" t="s">
        <v>1892</v>
      </c>
      <c r="L2886" s="50" t="s">
        <v>1893</v>
      </c>
      <c r="M2886" s="50" t="s">
        <v>5441</v>
      </c>
      <c r="N2886" s="50" t="s">
        <v>5441</v>
      </c>
      <c r="O2886" s="50" t="s">
        <v>5441</v>
      </c>
      <c r="P2886" s="50" t="s">
        <v>5441</v>
      </c>
    </row>
    <row r="2887" spans="1:16" ht="12.75" customHeight="1" x14ac:dyDescent="0.25">
      <c r="A2887" s="311">
        <v>2884</v>
      </c>
      <c r="B2887" s="311" t="s">
        <v>84</v>
      </c>
      <c r="C2887" s="311" t="s">
        <v>462</v>
      </c>
      <c r="D2887" s="311" t="s">
        <v>462</v>
      </c>
      <c r="E2887" s="337" t="s">
        <v>462</v>
      </c>
      <c r="F2887" s="311" t="s">
        <v>301</v>
      </c>
      <c r="G2887" s="311" t="s">
        <v>236</v>
      </c>
      <c r="H2887" s="311" t="s">
        <v>378</v>
      </c>
      <c r="I2887" s="311" t="s">
        <v>56</v>
      </c>
      <c r="J2887" s="50" t="s">
        <v>1892</v>
      </c>
      <c r="K2887" s="50" t="s">
        <v>1892</v>
      </c>
      <c r="L2887" s="50" t="s">
        <v>1893</v>
      </c>
      <c r="M2887" s="50" t="s">
        <v>5442</v>
      </c>
      <c r="N2887" s="50" t="s">
        <v>5443</v>
      </c>
      <c r="O2887" s="50" t="s">
        <v>5443</v>
      </c>
      <c r="P2887" s="50" t="s">
        <v>5443</v>
      </c>
    </row>
    <row r="2888" spans="1:16" ht="12.75" customHeight="1" x14ac:dyDescent="0.25">
      <c r="A2888" s="311">
        <v>2885</v>
      </c>
      <c r="B2888" s="311" t="s">
        <v>123</v>
      </c>
      <c r="C2888" s="311" t="s">
        <v>462</v>
      </c>
      <c r="D2888" s="311" t="s">
        <v>462</v>
      </c>
      <c r="E2888" s="337" t="s">
        <v>462</v>
      </c>
      <c r="F2888" s="311" t="s">
        <v>301</v>
      </c>
      <c r="G2888" s="311" t="s">
        <v>236</v>
      </c>
      <c r="H2888" s="311" t="s">
        <v>378</v>
      </c>
      <c r="I2888" s="311" t="s">
        <v>56</v>
      </c>
      <c r="J2888" s="50" t="s">
        <v>1892</v>
      </c>
      <c r="K2888" s="50" t="s">
        <v>1892</v>
      </c>
      <c r="L2888" s="50" t="s">
        <v>1893</v>
      </c>
      <c r="M2888" s="50" t="s">
        <v>5444</v>
      </c>
      <c r="N2888" s="50" t="s">
        <v>5443</v>
      </c>
      <c r="O2888" s="50" t="s">
        <v>5443</v>
      </c>
      <c r="P2888" s="50" t="s">
        <v>5443</v>
      </c>
    </row>
    <row r="2889" spans="1:16" ht="12.75" customHeight="1" x14ac:dyDescent="0.25">
      <c r="A2889" s="311">
        <v>2886</v>
      </c>
      <c r="B2889" s="311" t="s">
        <v>75</v>
      </c>
      <c r="C2889" s="311" t="s">
        <v>462</v>
      </c>
      <c r="D2889" s="311" t="s">
        <v>462</v>
      </c>
      <c r="E2889" s="337" t="s">
        <v>462</v>
      </c>
      <c r="F2889" s="311" t="s">
        <v>301</v>
      </c>
      <c r="G2889" s="311" t="s">
        <v>236</v>
      </c>
      <c r="H2889" s="311" t="s">
        <v>378</v>
      </c>
      <c r="I2889" s="311" t="s">
        <v>56</v>
      </c>
      <c r="J2889" s="50" t="s">
        <v>1892</v>
      </c>
      <c r="K2889" s="50" t="s">
        <v>1892</v>
      </c>
      <c r="L2889" s="50" t="s">
        <v>1893</v>
      </c>
      <c r="M2889" s="50" t="s">
        <v>5445</v>
      </c>
      <c r="N2889" s="50" t="s">
        <v>5443</v>
      </c>
      <c r="O2889" s="50" t="s">
        <v>5443</v>
      </c>
      <c r="P2889" s="50" t="s">
        <v>5443</v>
      </c>
    </row>
    <row r="2890" spans="1:16" ht="12.75" customHeight="1" x14ac:dyDescent="0.25">
      <c r="A2890" s="311">
        <v>2887</v>
      </c>
      <c r="B2890" s="311" t="s">
        <v>84</v>
      </c>
      <c r="C2890" s="311" t="s">
        <v>462</v>
      </c>
      <c r="D2890" s="311" t="s">
        <v>462</v>
      </c>
      <c r="E2890" s="337" t="s">
        <v>462</v>
      </c>
      <c r="F2890" s="311" t="s">
        <v>301</v>
      </c>
      <c r="G2890" s="311" t="s">
        <v>23</v>
      </c>
      <c r="H2890" s="311" t="s">
        <v>378</v>
      </c>
      <c r="I2890" s="311" t="s">
        <v>56</v>
      </c>
      <c r="J2890" s="50" t="s">
        <v>1892</v>
      </c>
      <c r="K2890" s="50" t="s">
        <v>1892</v>
      </c>
      <c r="L2890" s="50" t="s">
        <v>1893</v>
      </c>
      <c r="M2890" s="50" t="s">
        <v>5446</v>
      </c>
      <c r="N2890" s="50" t="s">
        <v>5447</v>
      </c>
      <c r="O2890" s="50" t="s">
        <v>5447</v>
      </c>
      <c r="P2890" s="50" t="s">
        <v>5447</v>
      </c>
    </row>
    <row r="2891" spans="1:16" ht="12.75" customHeight="1" x14ac:dyDescent="0.25">
      <c r="A2891" s="311">
        <v>2888</v>
      </c>
      <c r="B2891" s="311" t="s">
        <v>123</v>
      </c>
      <c r="C2891" s="311" t="s">
        <v>462</v>
      </c>
      <c r="D2891" s="311" t="s">
        <v>462</v>
      </c>
      <c r="E2891" s="337" t="s">
        <v>462</v>
      </c>
      <c r="F2891" s="311" t="s">
        <v>301</v>
      </c>
      <c r="G2891" s="311" t="s">
        <v>23</v>
      </c>
      <c r="H2891" s="311" t="s">
        <v>378</v>
      </c>
      <c r="I2891" s="311" t="s">
        <v>56</v>
      </c>
      <c r="J2891" s="50" t="s">
        <v>1892</v>
      </c>
      <c r="K2891" s="50" t="s">
        <v>1892</v>
      </c>
      <c r="L2891" s="50" t="s">
        <v>1893</v>
      </c>
      <c r="M2891" s="50" t="s">
        <v>5448</v>
      </c>
      <c r="N2891" s="50" t="s">
        <v>5447</v>
      </c>
      <c r="O2891" s="50" t="s">
        <v>5447</v>
      </c>
      <c r="P2891" s="50" t="s">
        <v>5447</v>
      </c>
    </row>
    <row r="2892" spans="1:16" ht="12.75" customHeight="1" x14ac:dyDescent="0.25">
      <c r="A2892" s="311">
        <v>2889</v>
      </c>
      <c r="B2892" s="311" t="s">
        <v>75</v>
      </c>
      <c r="C2892" s="311" t="s">
        <v>462</v>
      </c>
      <c r="D2892" s="311" t="s">
        <v>462</v>
      </c>
      <c r="E2892" s="337" t="s">
        <v>462</v>
      </c>
      <c r="F2892" s="311" t="s">
        <v>301</v>
      </c>
      <c r="G2892" s="311" t="s">
        <v>23</v>
      </c>
      <c r="H2892" s="311" t="s">
        <v>378</v>
      </c>
      <c r="I2892" s="311" t="s">
        <v>56</v>
      </c>
      <c r="J2892" s="50" t="s">
        <v>1892</v>
      </c>
      <c r="K2892" s="50" t="s">
        <v>1892</v>
      </c>
      <c r="L2892" s="50" t="s">
        <v>1893</v>
      </c>
      <c r="M2892" s="50" t="s">
        <v>5449</v>
      </c>
      <c r="N2892" s="50" t="s">
        <v>5447</v>
      </c>
      <c r="O2892" s="50" t="s">
        <v>5447</v>
      </c>
      <c r="P2892" s="50" t="s">
        <v>5447</v>
      </c>
    </row>
    <row r="2893" spans="1:16" ht="12.75" customHeight="1" x14ac:dyDescent="0.25">
      <c r="A2893" s="311">
        <v>2890</v>
      </c>
      <c r="B2893" s="311" t="s">
        <v>84</v>
      </c>
      <c r="C2893" s="311" t="s">
        <v>462</v>
      </c>
      <c r="D2893" s="311" t="s">
        <v>462</v>
      </c>
      <c r="E2893" s="337" t="s">
        <v>462</v>
      </c>
      <c r="F2893" s="311" t="s">
        <v>301</v>
      </c>
      <c r="G2893" s="311" t="s">
        <v>237</v>
      </c>
      <c r="H2893" s="311" t="s">
        <v>378</v>
      </c>
      <c r="I2893" s="311" t="s">
        <v>56</v>
      </c>
      <c r="J2893" s="50" t="s">
        <v>1892</v>
      </c>
      <c r="K2893" s="50" t="s">
        <v>1892</v>
      </c>
      <c r="L2893" s="50" t="s">
        <v>1893</v>
      </c>
      <c r="M2893" s="50" t="s">
        <v>5450</v>
      </c>
      <c r="N2893" s="50" t="s">
        <v>5451</v>
      </c>
      <c r="O2893" s="50" t="s">
        <v>5451</v>
      </c>
      <c r="P2893" s="50" t="s">
        <v>5451</v>
      </c>
    </row>
    <row r="2894" spans="1:16" ht="12.75" customHeight="1" x14ac:dyDescent="0.25">
      <c r="A2894" s="311">
        <v>2891</v>
      </c>
      <c r="B2894" s="311" t="s">
        <v>123</v>
      </c>
      <c r="C2894" s="311" t="s">
        <v>462</v>
      </c>
      <c r="D2894" s="311" t="s">
        <v>462</v>
      </c>
      <c r="E2894" s="337" t="s">
        <v>462</v>
      </c>
      <c r="F2894" s="311" t="s">
        <v>301</v>
      </c>
      <c r="G2894" s="311" t="s">
        <v>237</v>
      </c>
      <c r="H2894" s="311" t="s">
        <v>378</v>
      </c>
      <c r="I2894" s="311" t="s">
        <v>56</v>
      </c>
      <c r="J2894" s="50" t="s">
        <v>1892</v>
      </c>
      <c r="K2894" s="50" t="s">
        <v>1892</v>
      </c>
      <c r="L2894" s="50" t="s">
        <v>1893</v>
      </c>
      <c r="M2894" s="50" t="s">
        <v>5452</v>
      </c>
      <c r="N2894" s="50" t="s">
        <v>5451</v>
      </c>
      <c r="O2894" s="50" t="s">
        <v>5451</v>
      </c>
      <c r="P2894" s="50" t="s">
        <v>5451</v>
      </c>
    </row>
    <row r="2895" spans="1:16" ht="12.75" customHeight="1" x14ac:dyDescent="0.25">
      <c r="A2895" s="311">
        <v>2892</v>
      </c>
      <c r="B2895" s="311" t="s">
        <v>75</v>
      </c>
      <c r="C2895" s="311" t="s">
        <v>462</v>
      </c>
      <c r="D2895" s="311" t="s">
        <v>462</v>
      </c>
      <c r="E2895" s="337" t="s">
        <v>462</v>
      </c>
      <c r="F2895" s="311" t="s">
        <v>301</v>
      </c>
      <c r="G2895" s="311" t="s">
        <v>237</v>
      </c>
      <c r="H2895" s="311" t="s">
        <v>378</v>
      </c>
      <c r="I2895" s="311" t="s">
        <v>56</v>
      </c>
      <c r="J2895" s="50" t="s">
        <v>1892</v>
      </c>
      <c r="K2895" s="50" t="s">
        <v>1892</v>
      </c>
      <c r="L2895" s="50" t="s">
        <v>1893</v>
      </c>
      <c r="M2895" s="50" t="s">
        <v>5453</v>
      </c>
      <c r="N2895" s="50" t="s">
        <v>5451</v>
      </c>
      <c r="O2895" s="50" t="s">
        <v>5451</v>
      </c>
      <c r="P2895" s="50" t="s">
        <v>5451</v>
      </c>
    </row>
    <row r="2896" spans="1:16" ht="12.75" customHeight="1" x14ac:dyDescent="0.25">
      <c r="A2896" s="311">
        <v>2893</v>
      </c>
      <c r="B2896" s="311" t="s">
        <v>84</v>
      </c>
      <c r="C2896" s="311" t="s">
        <v>462</v>
      </c>
      <c r="D2896" s="311" t="s">
        <v>462</v>
      </c>
      <c r="E2896" s="337" t="s">
        <v>462</v>
      </c>
      <c r="F2896" s="311" t="s">
        <v>252</v>
      </c>
      <c r="G2896" s="311" t="s">
        <v>236</v>
      </c>
      <c r="H2896" s="311" t="s">
        <v>374</v>
      </c>
      <c r="I2896" s="311" t="s">
        <v>56</v>
      </c>
      <c r="J2896" s="50" t="s">
        <v>1892</v>
      </c>
      <c r="K2896" s="50" t="s">
        <v>1892</v>
      </c>
      <c r="L2896" s="50" t="s">
        <v>1893</v>
      </c>
      <c r="M2896" s="50" t="s">
        <v>5454</v>
      </c>
      <c r="N2896" s="50" t="s">
        <v>5455</v>
      </c>
      <c r="O2896" s="50" t="s">
        <v>5455</v>
      </c>
      <c r="P2896" s="50" t="s">
        <v>5455</v>
      </c>
    </row>
    <row r="2897" spans="1:16" ht="12.75" customHeight="1" x14ac:dyDescent="0.25">
      <c r="A2897" s="311">
        <v>2894</v>
      </c>
      <c r="B2897" s="311" t="s">
        <v>123</v>
      </c>
      <c r="C2897" s="311" t="s">
        <v>462</v>
      </c>
      <c r="D2897" s="311" t="s">
        <v>462</v>
      </c>
      <c r="E2897" s="337" t="s">
        <v>462</v>
      </c>
      <c r="F2897" s="311" t="s">
        <v>252</v>
      </c>
      <c r="G2897" s="311" t="s">
        <v>236</v>
      </c>
      <c r="H2897" s="311" t="s">
        <v>374</v>
      </c>
      <c r="I2897" s="311" t="s">
        <v>56</v>
      </c>
      <c r="J2897" s="50" t="s">
        <v>1892</v>
      </c>
      <c r="K2897" s="50" t="s">
        <v>1892</v>
      </c>
      <c r="L2897" s="50" t="s">
        <v>1893</v>
      </c>
      <c r="M2897" s="50" t="s">
        <v>5456</v>
      </c>
      <c r="N2897" s="50" t="s">
        <v>5455</v>
      </c>
      <c r="O2897" s="50" t="s">
        <v>5455</v>
      </c>
      <c r="P2897" s="50" t="s">
        <v>5455</v>
      </c>
    </row>
    <row r="2898" spans="1:16" ht="12.75" customHeight="1" x14ac:dyDescent="0.25">
      <c r="A2898" s="311">
        <v>2895</v>
      </c>
      <c r="B2898" s="311" t="s">
        <v>75</v>
      </c>
      <c r="C2898" s="311" t="s">
        <v>462</v>
      </c>
      <c r="D2898" s="311" t="s">
        <v>462</v>
      </c>
      <c r="E2898" s="337" t="s">
        <v>462</v>
      </c>
      <c r="F2898" s="311" t="s">
        <v>252</v>
      </c>
      <c r="G2898" s="311" t="s">
        <v>236</v>
      </c>
      <c r="H2898" s="311" t="s">
        <v>374</v>
      </c>
      <c r="I2898" s="311" t="s">
        <v>56</v>
      </c>
      <c r="J2898" s="50" t="s">
        <v>1892</v>
      </c>
      <c r="K2898" s="50" t="s">
        <v>1892</v>
      </c>
      <c r="L2898" s="50" t="s">
        <v>1893</v>
      </c>
      <c r="M2898" s="50" t="s">
        <v>5457</v>
      </c>
      <c r="N2898" s="50" t="s">
        <v>5455</v>
      </c>
      <c r="O2898" s="50" t="s">
        <v>5455</v>
      </c>
      <c r="P2898" s="50" t="s">
        <v>5455</v>
      </c>
    </row>
    <row r="2899" spans="1:16" ht="12.75" customHeight="1" x14ac:dyDescent="0.25">
      <c r="A2899" s="311">
        <v>2896</v>
      </c>
      <c r="B2899" s="311" t="s">
        <v>84</v>
      </c>
      <c r="C2899" s="311" t="s">
        <v>462</v>
      </c>
      <c r="D2899" s="311" t="s">
        <v>462</v>
      </c>
      <c r="E2899" s="337" t="s">
        <v>462</v>
      </c>
      <c r="F2899" s="311" t="s">
        <v>252</v>
      </c>
      <c r="G2899" s="311" t="s">
        <v>23</v>
      </c>
      <c r="H2899" s="311" t="s">
        <v>374</v>
      </c>
      <c r="I2899" s="311" t="s">
        <v>56</v>
      </c>
      <c r="J2899" s="50" t="s">
        <v>1892</v>
      </c>
      <c r="K2899" s="50" t="s">
        <v>1892</v>
      </c>
      <c r="L2899" s="50" t="s">
        <v>1893</v>
      </c>
      <c r="M2899" s="50" t="s">
        <v>5458</v>
      </c>
      <c r="N2899" s="50" t="s">
        <v>5459</v>
      </c>
      <c r="O2899" s="50" t="s">
        <v>5459</v>
      </c>
      <c r="P2899" s="50" t="s">
        <v>5459</v>
      </c>
    </row>
    <row r="2900" spans="1:16" ht="12.75" customHeight="1" x14ac:dyDescent="0.25">
      <c r="A2900" s="311">
        <v>2897</v>
      </c>
      <c r="B2900" s="311" t="s">
        <v>123</v>
      </c>
      <c r="C2900" s="311" t="s">
        <v>462</v>
      </c>
      <c r="D2900" s="311" t="s">
        <v>462</v>
      </c>
      <c r="E2900" s="337" t="s">
        <v>462</v>
      </c>
      <c r="F2900" s="311" t="s">
        <v>252</v>
      </c>
      <c r="G2900" s="311" t="s">
        <v>23</v>
      </c>
      <c r="H2900" s="311" t="s">
        <v>374</v>
      </c>
      <c r="I2900" s="311" t="s">
        <v>56</v>
      </c>
      <c r="J2900" s="50" t="s">
        <v>1892</v>
      </c>
      <c r="K2900" s="50" t="s">
        <v>1892</v>
      </c>
      <c r="L2900" s="50" t="s">
        <v>1893</v>
      </c>
      <c r="M2900" s="50" t="s">
        <v>5460</v>
      </c>
      <c r="N2900" s="50" t="s">
        <v>5459</v>
      </c>
      <c r="O2900" s="50" t="s">
        <v>5459</v>
      </c>
      <c r="P2900" s="50" t="s">
        <v>5459</v>
      </c>
    </row>
    <row r="2901" spans="1:16" ht="12.75" customHeight="1" x14ac:dyDescent="0.25">
      <c r="A2901" s="311">
        <v>2898</v>
      </c>
      <c r="B2901" s="311" t="s">
        <v>75</v>
      </c>
      <c r="C2901" s="311" t="s">
        <v>462</v>
      </c>
      <c r="D2901" s="311" t="s">
        <v>462</v>
      </c>
      <c r="E2901" s="337" t="s">
        <v>462</v>
      </c>
      <c r="F2901" s="311" t="s">
        <v>252</v>
      </c>
      <c r="G2901" s="311" t="s">
        <v>23</v>
      </c>
      <c r="H2901" s="311" t="s">
        <v>374</v>
      </c>
      <c r="I2901" s="311" t="s">
        <v>56</v>
      </c>
      <c r="J2901" s="50" t="s">
        <v>1892</v>
      </c>
      <c r="K2901" s="50" t="s">
        <v>1892</v>
      </c>
      <c r="L2901" s="50" t="s">
        <v>1893</v>
      </c>
      <c r="M2901" s="50" t="s">
        <v>5461</v>
      </c>
      <c r="N2901" s="50" t="s">
        <v>5459</v>
      </c>
      <c r="O2901" s="50" t="s">
        <v>5459</v>
      </c>
      <c r="P2901" s="50" t="s">
        <v>5459</v>
      </c>
    </row>
    <row r="2902" spans="1:16" ht="12.75" customHeight="1" x14ac:dyDescent="0.25">
      <c r="A2902" s="311">
        <v>2899</v>
      </c>
      <c r="B2902" s="311" t="s">
        <v>84</v>
      </c>
      <c r="C2902" s="311" t="s">
        <v>462</v>
      </c>
      <c r="D2902" s="311" t="s">
        <v>462</v>
      </c>
      <c r="E2902" s="337" t="s">
        <v>462</v>
      </c>
      <c r="F2902" s="311" t="s">
        <v>252</v>
      </c>
      <c r="G2902" s="311" t="s">
        <v>237</v>
      </c>
      <c r="H2902" s="311" t="s">
        <v>374</v>
      </c>
      <c r="I2902" s="311" t="s">
        <v>56</v>
      </c>
      <c r="J2902" s="50" t="s">
        <v>1892</v>
      </c>
      <c r="K2902" s="50" t="s">
        <v>1892</v>
      </c>
      <c r="L2902" s="50" t="s">
        <v>1893</v>
      </c>
      <c r="M2902" s="50" t="s">
        <v>5462</v>
      </c>
      <c r="N2902" s="50" t="s">
        <v>5463</v>
      </c>
      <c r="O2902" s="50" t="s">
        <v>5463</v>
      </c>
      <c r="P2902" s="50" t="s">
        <v>5463</v>
      </c>
    </row>
    <row r="2903" spans="1:16" ht="12.75" customHeight="1" x14ac:dyDescent="0.25">
      <c r="A2903" s="311">
        <v>2900</v>
      </c>
      <c r="B2903" s="311" t="s">
        <v>123</v>
      </c>
      <c r="C2903" s="311" t="s">
        <v>462</v>
      </c>
      <c r="D2903" s="311" t="s">
        <v>462</v>
      </c>
      <c r="E2903" s="337" t="s">
        <v>462</v>
      </c>
      <c r="F2903" s="311" t="s">
        <v>252</v>
      </c>
      <c r="G2903" s="311" t="s">
        <v>237</v>
      </c>
      <c r="H2903" s="311" t="s">
        <v>374</v>
      </c>
      <c r="I2903" s="311" t="s">
        <v>56</v>
      </c>
      <c r="J2903" s="50" t="s">
        <v>1892</v>
      </c>
      <c r="K2903" s="50" t="s">
        <v>1892</v>
      </c>
      <c r="L2903" s="50" t="s">
        <v>1893</v>
      </c>
      <c r="M2903" s="50" t="s">
        <v>5464</v>
      </c>
      <c r="N2903" s="50" t="s">
        <v>5463</v>
      </c>
      <c r="O2903" s="50" t="s">
        <v>5463</v>
      </c>
      <c r="P2903" s="50" t="s">
        <v>5463</v>
      </c>
    </row>
    <row r="2904" spans="1:16" ht="12.75" customHeight="1" x14ac:dyDescent="0.25">
      <c r="A2904" s="311">
        <v>2901</v>
      </c>
      <c r="B2904" s="311" t="s">
        <v>75</v>
      </c>
      <c r="C2904" s="311" t="s">
        <v>462</v>
      </c>
      <c r="D2904" s="311" t="s">
        <v>462</v>
      </c>
      <c r="E2904" s="337" t="s">
        <v>462</v>
      </c>
      <c r="F2904" s="311" t="s">
        <v>252</v>
      </c>
      <c r="G2904" s="311" t="s">
        <v>237</v>
      </c>
      <c r="H2904" s="311" t="s">
        <v>374</v>
      </c>
      <c r="I2904" s="311" t="s">
        <v>56</v>
      </c>
      <c r="J2904" s="50" t="s">
        <v>1892</v>
      </c>
      <c r="K2904" s="50" t="s">
        <v>1892</v>
      </c>
      <c r="L2904" s="50" t="s">
        <v>1893</v>
      </c>
      <c r="M2904" s="50" t="s">
        <v>5465</v>
      </c>
      <c r="N2904" s="50" t="s">
        <v>5463</v>
      </c>
      <c r="O2904" s="50" t="s">
        <v>5463</v>
      </c>
      <c r="P2904" s="50" t="s">
        <v>5463</v>
      </c>
    </row>
    <row r="2905" spans="1:16" ht="12.75" customHeight="1" x14ac:dyDescent="0.25">
      <c r="A2905" s="311">
        <v>2902</v>
      </c>
      <c r="B2905" s="311" t="s">
        <v>84</v>
      </c>
      <c r="C2905" s="311" t="s">
        <v>462</v>
      </c>
      <c r="D2905" s="311" t="s">
        <v>462</v>
      </c>
      <c r="E2905" s="337" t="s">
        <v>462</v>
      </c>
      <c r="F2905" s="311" t="s">
        <v>310</v>
      </c>
      <c r="G2905" s="311" t="s">
        <v>236</v>
      </c>
      <c r="H2905" s="311" t="s">
        <v>379</v>
      </c>
      <c r="I2905" s="311" t="s">
        <v>56</v>
      </c>
      <c r="J2905" s="50" t="s">
        <v>1892</v>
      </c>
      <c r="K2905" s="50" t="s">
        <v>1892</v>
      </c>
      <c r="L2905" s="50" t="s">
        <v>1893</v>
      </c>
      <c r="M2905" s="50" t="s">
        <v>5466</v>
      </c>
      <c r="N2905" s="50" t="s">
        <v>5467</v>
      </c>
      <c r="O2905" s="50" t="s">
        <v>5467</v>
      </c>
      <c r="P2905" s="50" t="s">
        <v>5467</v>
      </c>
    </row>
    <row r="2906" spans="1:16" ht="12.75" customHeight="1" x14ac:dyDescent="0.25">
      <c r="A2906" s="311">
        <v>2903</v>
      </c>
      <c r="B2906" s="311" t="s">
        <v>123</v>
      </c>
      <c r="C2906" s="311" t="s">
        <v>462</v>
      </c>
      <c r="D2906" s="311" t="s">
        <v>462</v>
      </c>
      <c r="E2906" s="337" t="s">
        <v>462</v>
      </c>
      <c r="F2906" s="311" t="s">
        <v>310</v>
      </c>
      <c r="G2906" s="311" t="s">
        <v>236</v>
      </c>
      <c r="H2906" s="311" t="s">
        <v>379</v>
      </c>
      <c r="I2906" s="311" t="s">
        <v>56</v>
      </c>
      <c r="J2906" s="50" t="s">
        <v>1892</v>
      </c>
      <c r="K2906" s="50" t="s">
        <v>1892</v>
      </c>
      <c r="L2906" s="50" t="s">
        <v>1893</v>
      </c>
      <c r="M2906" s="50" t="s">
        <v>5468</v>
      </c>
      <c r="N2906" s="50" t="s">
        <v>5467</v>
      </c>
      <c r="O2906" s="50" t="s">
        <v>5467</v>
      </c>
      <c r="P2906" s="50" t="s">
        <v>5467</v>
      </c>
    </row>
    <row r="2907" spans="1:16" ht="12.75" customHeight="1" x14ac:dyDescent="0.25">
      <c r="A2907" s="311">
        <v>2904</v>
      </c>
      <c r="B2907" s="311" t="s">
        <v>75</v>
      </c>
      <c r="C2907" s="311" t="s">
        <v>462</v>
      </c>
      <c r="D2907" s="311" t="s">
        <v>462</v>
      </c>
      <c r="E2907" s="337" t="s">
        <v>462</v>
      </c>
      <c r="F2907" s="311" t="s">
        <v>310</v>
      </c>
      <c r="G2907" s="311" t="s">
        <v>236</v>
      </c>
      <c r="H2907" s="311" t="s">
        <v>379</v>
      </c>
      <c r="I2907" s="311" t="s">
        <v>56</v>
      </c>
      <c r="J2907" s="50" t="s">
        <v>1892</v>
      </c>
      <c r="K2907" s="50" t="s">
        <v>1892</v>
      </c>
      <c r="L2907" s="50" t="s">
        <v>1893</v>
      </c>
      <c r="M2907" s="50" t="s">
        <v>5469</v>
      </c>
      <c r="N2907" s="50" t="s">
        <v>5467</v>
      </c>
      <c r="O2907" s="50" t="s">
        <v>5467</v>
      </c>
      <c r="P2907" s="50" t="s">
        <v>5467</v>
      </c>
    </row>
    <row r="2908" spans="1:16" ht="12.75" customHeight="1" x14ac:dyDescent="0.25">
      <c r="A2908" s="311">
        <v>2905</v>
      </c>
      <c r="B2908" s="311" t="s">
        <v>84</v>
      </c>
      <c r="C2908" s="311" t="s">
        <v>462</v>
      </c>
      <c r="D2908" s="311" t="s">
        <v>462</v>
      </c>
      <c r="E2908" s="337" t="s">
        <v>462</v>
      </c>
      <c r="F2908" s="311" t="s">
        <v>310</v>
      </c>
      <c r="G2908" s="311" t="s">
        <v>23</v>
      </c>
      <c r="H2908" s="311" t="s">
        <v>379</v>
      </c>
      <c r="I2908" s="311" t="s">
        <v>56</v>
      </c>
      <c r="J2908" s="50" t="s">
        <v>1892</v>
      </c>
      <c r="K2908" s="50" t="s">
        <v>1892</v>
      </c>
      <c r="L2908" s="50" t="s">
        <v>1893</v>
      </c>
      <c r="M2908" s="50" t="s">
        <v>5470</v>
      </c>
      <c r="N2908" s="50" t="s">
        <v>5471</v>
      </c>
      <c r="O2908" s="50" t="s">
        <v>5471</v>
      </c>
      <c r="P2908" s="50" t="s">
        <v>5471</v>
      </c>
    </row>
    <row r="2909" spans="1:16" ht="12.75" customHeight="1" x14ac:dyDescent="0.25">
      <c r="A2909" s="311">
        <v>2906</v>
      </c>
      <c r="B2909" s="311" t="s">
        <v>123</v>
      </c>
      <c r="C2909" s="311" t="s">
        <v>462</v>
      </c>
      <c r="D2909" s="311" t="s">
        <v>462</v>
      </c>
      <c r="E2909" s="337" t="s">
        <v>462</v>
      </c>
      <c r="F2909" s="311" t="s">
        <v>310</v>
      </c>
      <c r="G2909" s="311" t="s">
        <v>23</v>
      </c>
      <c r="H2909" s="311" t="s">
        <v>379</v>
      </c>
      <c r="I2909" s="311" t="s">
        <v>56</v>
      </c>
      <c r="J2909" s="50" t="s">
        <v>1892</v>
      </c>
      <c r="K2909" s="50" t="s">
        <v>1892</v>
      </c>
      <c r="L2909" s="50" t="s">
        <v>1893</v>
      </c>
      <c r="M2909" s="50" t="s">
        <v>5472</v>
      </c>
      <c r="N2909" s="50" t="s">
        <v>5471</v>
      </c>
      <c r="O2909" s="50" t="s">
        <v>5471</v>
      </c>
      <c r="P2909" s="50" t="s">
        <v>5471</v>
      </c>
    </row>
    <row r="2910" spans="1:16" ht="12.75" customHeight="1" x14ac:dyDescent="0.25">
      <c r="A2910" s="311">
        <v>2907</v>
      </c>
      <c r="B2910" s="311" t="s">
        <v>75</v>
      </c>
      <c r="C2910" s="311" t="s">
        <v>462</v>
      </c>
      <c r="D2910" s="311" t="s">
        <v>462</v>
      </c>
      <c r="E2910" s="337" t="s">
        <v>462</v>
      </c>
      <c r="F2910" s="311" t="s">
        <v>310</v>
      </c>
      <c r="G2910" s="311" t="s">
        <v>23</v>
      </c>
      <c r="H2910" s="311" t="s">
        <v>379</v>
      </c>
      <c r="I2910" s="311" t="s">
        <v>56</v>
      </c>
      <c r="J2910" s="50" t="s">
        <v>1892</v>
      </c>
      <c r="K2910" s="50" t="s">
        <v>1892</v>
      </c>
      <c r="L2910" s="50" t="s">
        <v>1893</v>
      </c>
      <c r="M2910" s="50" t="s">
        <v>5473</v>
      </c>
      <c r="N2910" s="50" t="s">
        <v>5471</v>
      </c>
      <c r="O2910" s="50" t="s">
        <v>5471</v>
      </c>
      <c r="P2910" s="50" t="s">
        <v>5471</v>
      </c>
    </row>
    <row r="2911" spans="1:16" ht="12.75" customHeight="1" x14ac:dyDescent="0.25">
      <c r="A2911" s="311">
        <v>2908</v>
      </c>
      <c r="B2911" s="311" t="s">
        <v>84</v>
      </c>
      <c r="C2911" s="311" t="s">
        <v>462</v>
      </c>
      <c r="D2911" s="311" t="s">
        <v>462</v>
      </c>
      <c r="E2911" s="337" t="s">
        <v>462</v>
      </c>
      <c r="F2911" s="311" t="s">
        <v>310</v>
      </c>
      <c r="G2911" s="311" t="s">
        <v>237</v>
      </c>
      <c r="H2911" s="311" t="s">
        <v>379</v>
      </c>
      <c r="I2911" s="311" t="s">
        <v>56</v>
      </c>
      <c r="J2911" s="50" t="s">
        <v>1892</v>
      </c>
      <c r="K2911" s="50" t="s">
        <v>1892</v>
      </c>
      <c r="L2911" s="50" t="s">
        <v>1893</v>
      </c>
      <c r="M2911" s="50" t="s">
        <v>5474</v>
      </c>
      <c r="N2911" s="50" t="s">
        <v>5475</v>
      </c>
      <c r="O2911" s="50" t="s">
        <v>5475</v>
      </c>
      <c r="P2911" s="50" t="s">
        <v>5475</v>
      </c>
    </row>
    <row r="2912" spans="1:16" ht="12.75" customHeight="1" x14ac:dyDescent="0.25">
      <c r="A2912" s="311">
        <v>2909</v>
      </c>
      <c r="B2912" s="311" t="s">
        <v>123</v>
      </c>
      <c r="C2912" s="311" t="s">
        <v>462</v>
      </c>
      <c r="D2912" s="311" t="s">
        <v>462</v>
      </c>
      <c r="E2912" s="337" t="s">
        <v>462</v>
      </c>
      <c r="F2912" s="311" t="s">
        <v>310</v>
      </c>
      <c r="G2912" s="311" t="s">
        <v>237</v>
      </c>
      <c r="H2912" s="311" t="s">
        <v>379</v>
      </c>
      <c r="I2912" s="311" t="s">
        <v>56</v>
      </c>
      <c r="J2912" s="50" t="s">
        <v>1892</v>
      </c>
      <c r="K2912" s="50" t="s">
        <v>1892</v>
      </c>
      <c r="L2912" s="50" t="s">
        <v>1893</v>
      </c>
      <c r="M2912" s="50" t="s">
        <v>5476</v>
      </c>
      <c r="N2912" s="50" t="s">
        <v>5475</v>
      </c>
      <c r="O2912" s="50" t="s">
        <v>5475</v>
      </c>
      <c r="P2912" s="50" t="s">
        <v>5475</v>
      </c>
    </row>
    <row r="2913" spans="1:16" ht="12.75" customHeight="1" x14ac:dyDescent="0.25">
      <c r="A2913" s="311">
        <v>2910</v>
      </c>
      <c r="B2913" s="311" t="s">
        <v>75</v>
      </c>
      <c r="C2913" s="311" t="s">
        <v>462</v>
      </c>
      <c r="D2913" s="311" t="s">
        <v>462</v>
      </c>
      <c r="E2913" s="337" t="s">
        <v>462</v>
      </c>
      <c r="F2913" s="311" t="s">
        <v>310</v>
      </c>
      <c r="G2913" s="311" t="s">
        <v>237</v>
      </c>
      <c r="H2913" s="311" t="s">
        <v>379</v>
      </c>
      <c r="I2913" s="311" t="s">
        <v>56</v>
      </c>
      <c r="J2913" s="50" t="s">
        <v>1892</v>
      </c>
      <c r="K2913" s="50" t="s">
        <v>1892</v>
      </c>
      <c r="L2913" s="50" t="s">
        <v>1893</v>
      </c>
      <c r="M2913" s="50" t="s">
        <v>5477</v>
      </c>
      <c r="N2913" s="50" t="s">
        <v>5475</v>
      </c>
      <c r="O2913" s="50" t="s">
        <v>5475</v>
      </c>
      <c r="P2913" s="50" t="s">
        <v>5475</v>
      </c>
    </row>
    <row r="2914" spans="1:16" ht="12.75" customHeight="1" x14ac:dyDescent="0.25">
      <c r="A2914" s="311">
        <v>2911</v>
      </c>
      <c r="B2914" s="311" t="s">
        <v>84</v>
      </c>
      <c r="C2914" s="311" t="s">
        <v>462</v>
      </c>
      <c r="D2914" s="311" t="s">
        <v>462</v>
      </c>
      <c r="E2914" s="337" t="s">
        <v>462</v>
      </c>
      <c r="F2914" s="311" t="s">
        <v>283</v>
      </c>
      <c r="G2914" s="311" t="s">
        <v>236</v>
      </c>
      <c r="H2914" s="311" t="s">
        <v>377</v>
      </c>
      <c r="I2914" s="311" t="s">
        <v>56</v>
      </c>
      <c r="J2914" s="50" t="s">
        <v>1892</v>
      </c>
      <c r="K2914" s="50" t="s">
        <v>1892</v>
      </c>
      <c r="L2914" s="50" t="s">
        <v>1893</v>
      </c>
      <c r="M2914" s="50" t="s">
        <v>5478</v>
      </c>
      <c r="N2914" s="50" t="s">
        <v>5479</v>
      </c>
      <c r="O2914" s="50" t="s">
        <v>5479</v>
      </c>
      <c r="P2914" s="50" t="s">
        <v>5479</v>
      </c>
    </row>
    <row r="2915" spans="1:16" ht="12.75" customHeight="1" x14ac:dyDescent="0.25">
      <c r="A2915" s="311">
        <v>2912</v>
      </c>
      <c r="B2915" s="311" t="s">
        <v>123</v>
      </c>
      <c r="C2915" s="311" t="s">
        <v>462</v>
      </c>
      <c r="D2915" s="311" t="s">
        <v>462</v>
      </c>
      <c r="E2915" s="337" t="s">
        <v>462</v>
      </c>
      <c r="F2915" s="311" t="s">
        <v>283</v>
      </c>
      <c r="G2915" s="311" t="s">
        <v>236</v>
      </c>
      <c r="H2915" s="311" t="s">
        <v>377</v>
      </c>
      <c r="I2915" s="311" t="s">
        <v>56</v>
      </c>
      <c r="J2915" s="50" t="s">
        <v>1892</v>
      </c>
      <c r="K2915" s="50" t="s">
        <v>1892</v>
      </c>
      <c r="L2915" s="50" t="s">
        <v>1893</v>
      </c>
      <c r="M2915" s="50" t="s">
        <v>5480</v>
      </c>
      <c r="N2915" s="50" t="s">
        <v>5479</v>
      </c>
      <c r="O2915" s="50" t="s">
        <v>5479</v>
      </c>
      <c r="P2915" s="50" t="s">
        <v>5479</v>
      </c>
    </row>
    <row r="2916" spans="1:16" ht="12.75" customHeight="1" x14ac:dyDescent="0.25">
      <c r="A2916" s="311">
        <v>2913</v>
      </c>
      <c r="B2916" s="311" t="s">
        <v>75</v>
      </c>
      <c r="C2916" s="311" t="s">
        <v>462</v>
      </c>
      <c r="D2916" s="311" t="s">
        <v>462</v>
      </c>
      <c r="E2916" s="337" t="s">
        <v>462</v>
      </c>
      <c r="F2916" s="311" t="s">
        <v>283</v>
      </c>
      <c r="G2916" s="311" t="s">
        <v>236</v>
      </c>
      <c r="H2916" s="311" t="s">
        <v>377</v>
      </c>
      <c r="I2916" s="311" t="s">
        <v>56</v>
      </c>
      <c r="J2916" s="50" t="s">
        <v>1892</v>
      </c>
      <c r="K2916" s="50" t="s">
        <v>1892</v>
      </c>
      <c r="L2916" s="50" t="s">
        <v>1893</v>
      </c>
      <c r="M2916" s="50" t="s">
        <v>5481</v>
      </c>
      <c r="N2916" s="50" t="s">
        <v>5479</v>
      </c>
      <c r="O2916" s="50" t="s">
        <v>5479</v>
      </c>
      <c r="P2916" s="50" t="s">
        <v>5479</v>
      </c>
    </row>
    <row r="2917" spans="1:16" ht="12.75" customHeight="1" x14ac:dyDescent="0.25">
      <c r="A2917" s="311">
        <v>2914</v>
      </c>
      <c r="B2917" s="311" t="s">
        <v>84</v>
      </c>
      <c r="C2917" s="311" t="s">
        <v>462</v>
      </c>
      <c r="D2917" s="311" t="s">
        <v>462</v>
      </c>
      <c r="E2917" s="337" t="s">
        <v>462</v>
      </c>
      <c r="F2917" s="311" t="s">
        <v>283</v>
      </c>
      <c r="G2917" s="311" t="s">
        <v>23</v>
      </c>
      <c r="H2917" s="311" t="s">
        <v>377</v>
      </c>
      <c r="I2917" s="311" t="s">
        <v>56</v>
      </c>
      <c r="J2917" s="50" t="s">
        <v>1892</v>
      </c>
      <c r="K2917" s="50" t="s">
        <v>1892</v>
      </c>
      <c r="L2917" s="50" t="s">
        <v>1893</v>
      </c>
      <c r="M2917" s="50" t="s">
        <v>5482</v>
      </c>
      <c r="N2917" s="50" t="s">
        <v>5483</v>
      </c>
      <c r="O2917" s="50" t="s">
        <v>5483</v>
      </c>
      <c r="P2917" s="50" t="s">
        <v>5483</v>
      </c>
    </row>
    <row r="2918" spans="1:16" ht="12.75" customHeight="1" x14ac:dyDescent="0.25">
      <c r="A2918" s="311">
        <v>2915</v>
      </c>
      <c r="B2918" s="311" t="s">
        <v>123</v>
      </c>
      <c r="C2918" s="311" t="s">
        <v>462</v>
      </c>
      <c r="D2918" s="311" t="s">
        <v>462</v>
      </c>
      <c r="E2918" s="337" t="s">
        <v>462</v>
      </c>
      <c r="F2918" s="311" t="s">
        <v>283</v>
      </c>
      <c r="G2918" s="311" t="s">
        <v>23</v>
      </c>
      <c r="H2918" s="311" t="s">
        <v>377</v>
      </c>
      <c r="I2918" s="311" t="s">
        <v>56</v>
      </c>
      <c r="J2918" s="50" t="s">
        <v>1892</v>
      </c>
      <c r="K2918" s="50" t="s">
        <v>1892</v>
      </c>
      <c r="L2918" s="50" t="s">
        <v>1893</v>
      </c>
      <c r="M2918" s="50" t="s">
        <v>5484</v>
      </c>
      <c r="N2918" s="50" t="s">
        <v>5483</v>
      </c>
      <c r="O2918" s="50" t="s">
        <v>5483</v>
      </c>
      <c r="P2918" s="50" t="s">
        <v>5483</v>
      </c>
    </row>
    <row r="2919" spans="1:16" ht="12.75" customHeight="1" x14ac:dyDescent="0.25">
      <c r="A2919" s="311">
        <v>2916</v>
      </c>
      <c r="B2919" s="311" t="s">
        <v>75</v>
      </c>
      <c r="C2919" s="311" t="s">
        <v>462</v>
      </c>
      <c r="D2919" s="311" t="s">
        <v>462</v>
      </c>
      <c r="E2919" s="337" t="s">
        <v>462</v>
      </c>
      <c r="F2919" s="311" t="s">
        <v>283</v>
      </c>
      <c r="G2919" s="311" t="s">
        <v>23</v>
      </c>
      <c r="H2919" s="311" t="s">
        <v>377</v>
      </c>
      <c r="I2919" s="311" t="s">
        <v>56</v>
      </c>
      <c r="J2919" s="50" t="s">
        <v>1892</v>
      </c>
      <c r="K2919" s="50" t="s">
        <v>1892</v>
      </c>
      <c r="L2919" s="50" t="s">
        <v>1893</v>
      </c>
      <c r="M2919" s="50" t="s">
        <v>5485</v>
      </c>
      <c r="N2919" s="50" t="s">
        <v>5483</v>
      </c>
      <c r="O2919" s="50" t="s">
        <v>5483</v>
      </c>
      <c r="P2919" s="50" t="s">
        <v>5483</v>
      </c>
    </row>
    <row r="2920" spans="1:16" ht="12.75" customHeight="1" x14ac:dyDescent="0.25">
      <c r="A2920" s="311">
        <v>2917</v>
      </c>
      <c r="B2920" s="311" t="s">
        <v>84</v>
      </c>
      <c r="C2920" s="311" t="s">
        <v>462</v>
      </c>
      <c r="D2920" s="311" t="s">
        <v>462</v>
      </c>
      <c r="E2920" s="337" t="s">
        <v>462</v>
      </c>
      <c r="F2920" s="311" t="s">
        <v>283</v>
      </c>
      <c r="G2920" s="311" t="s">
        <v>237</v>
      </c>
      <c r="H2920" s="311" t="s">
        <v>377</v>
      </c>
      <c r="I2920" s="311" t="s">
        <v>56</v>
      </c>
      <c r="J2920" s="50" t="s">
        <v>1892</v>
      </c>
      <c r="K2920" s="50" t="s">
        <v>1892</v>
      </c>
      <c r="L2920" s="50" t="s">
        <v>1893</v>
      </c>
      <c r="M2920" s="50" t="s">
        <v>5486</v>
      </c>
      <c r="N2920" s="50" t="s">
        <v>5487</v>
      </c>
      <c r="O2920" s="50" t="s">
        <v>5487</v>
      </c>
      <c r="P2920" s="50" t="s">
        <v>5487</v>
      </c>
    </row>
    <row r="2921" spans="1:16" ht="12.75" customHeight="1" x14ac:dyDescent="0.25">
      <c r="A2921" s="311">
        <v>2918</v>
      </c>
      <c r="B2921" s="311" t="s">
        <v>123</v>
      </c>
      <c r="C2921" s="311" t="s">
        <v>462</v>
      </c>
      <c r="D2921" s="311" t="s">
        <v>462</v>
      </c>
      <c r="E2921" s="337" t="s">
        <v>462</v>
      </c>
      <c r="F2921" s="311" t="s">
        <v>283</v>
      </c>
      <c r="G2921" s="311" t="s">
        <v>237</v>
      </c>
      <c r="H2921" s="311" t="s">
        <v>377</v>
      </c>
      <c r="I2921" s="311" t="s">
        <v>56</v>
      </c>
      <c r="J2921" s="50" t="s">
        <v>1892</v>
      </c>
      <c r="K2921" s="50" t="s">
        <v>1892</v>
      </c>
      <c r="L2921" s="50" t="s">
        <v>1893</v>
      </c>
      <c r="M2921" s="50" t="s">
        <v>5488</v>
      </c>
      <c r="N2921" s="50" t="s">
        <v>5487</v>
      </c>
      <c r="O2921" s="50" t="s">
        <v>5487</v>
      </c>
      <c r="P2921" s="50" t="s">
        <v>5487</v>
      </c>
    </row>
    <row r="2922" spans="1:16" ht="12.75" customHeight="1" x14ac:dyDescent="0.25">
      <c r="A2922" s="311">
        <v>2919</v>
      </c>
      <c r="B2922" s="311" t="s">
        <v>75</v>
      </c>
      <c r="C2922" s="311" t="s">
        <v>462</v>
      </c>
      <c r="D2922" s="311" t="s">
        <v>462</v>
      </c>
      <c r="E2922" s="337" t="s">
        <v>462</v>
      </c>
      <c r="F2922" s="311" t="s">
        <v>283</v>
      </c>
      <c r="G2922" s="311" t="s">
        <v>237</v>
      </c>
      <c r="H2922" s="311" t="s">
        <v>377</v>
      </c>
      <c r="I2922" s="311" t="s">
        <v>56</v>
      </c>
      <c r="J2922" s="50" t="s">
        <v>1892</v>
      </c>
      <c r="K2922" s="50" t="s">
        <v>1892</v>
      </c>
      <c r="L2922" s="50" t="s">
        <v>1893</v>
      </c>
      <c r="M2922" s="50" t="s">
        <v>5489</v>
      </c>
      <c r="N2922" s="50" t="s">
        <v>5487</v>
      </c>
      <c r="O2922" s="50" t="s">
        <v>5487</v>
      </c>
      <c r="P2922" s="50" t="s">
        <v>5487</v>
      </c>
    </row>
    <row r="2923" spans="1:16" ht="12.75" customHeight="1" x14ac:dyDescent="0.25">
      <c r="A2923" s="311">
        <v>2920</v>
      </c>
      <c r="B2923" s="311" t="s">
        <v>84</v>
      </c>
      <c r="C2923" s="311" t="s">
        <v>462</v>
      </c>
      <c r="D2923" s="311" t="s">
        <v>462</v>
      </c>
      <c r="E2923" s="337" t="s">
        <v>462</v>
      </c>
      <c r="F2923" s="311" t="s">
        <v>245</v>
      </c>
      <c r="G2923" s="311" t="s">
        <v>236</v>
      </c>
      <c r="H2923" s="311" t="s">
        <v>372</v>
      </c>
      <c r="I2923" s="311" t="s">
        <v>56</v>
      </c>
      <c r="J2923" s="50" t="s">
        <v>1892</v>
      </c>
      <c r="K2923" s="50" t="s">
        <v>1892</v>
      </c>
      <c r="L2923" s="50" t="s">
        <v>1893</v>
      </c>
      <c r="M2923" s="50" t="s">
        <v>5490</v>
      </c>
      <c r="N2923" s="50" t="s">
        <v>5491</v>
      </c>
      <c r="O2923" s="50" t="s">
        <v>5491</v>
      </c>
      <c r="P2923" s="50" t="s">
        <v>5491</v>
      </c>
    </row>
    <row r="2924" spans="1:16" ht="12.75" customHeight="1" x14ac:dyDescent="0.25">
      <c r="A2924" s="311">
        <v>2921</v>
      </c>
      <c r="B2924" s="311" t="s">
        <v>123</v>
      </c>
      <c r="C2924" s="311" t="s">
        <v>462</v>
      </c>
      <c r="D2924" s="311" t="s">
        <v>462</v>
      </c>
      <c r="E2924" s="337" t="s">
        <v>462</v>
      </c>
      <c r="F2924" s="311" t="s">
        <v>245</v>
      </c>
      <c r="G2924" s="311" t="s">
        <v>236</v>
      </c>
      <c r="H2924" s="311" t="s">
        <v>372</v>
      </c>
      <c r="I2924" s="311" t="s">
        <v>56</v>
      </c>
      <c r="J2924" s="50" t="s">
        <v>1892</v>
      </c>
      <c r="K2924" s="50" t="s">
        <v>1892</v>
      </c>
      <c r="L2924" s="50" t="s">
        <v>1893</v>
      </c>
      <c r="M2924" s="50" t="s">
        <v>5492</v>
      </c>
      <c r="N2924" s="50" t="s">
        <v>5491</v>
      </c>
      <c r="O2924" s="50" t="s">
        <v>5491</v>
      </c>
      <c r="P2924" s="50" t="s">
        <v>5491</v>
      </c>
    </row>
    <row r="2925" spans="1:16" ht="12.75" customHeight="1" x14ac:dyDescent="0.25">
      <c r="A2925" s="311">
        <v>2922</v>
      </c>
      <c r="B2925" s="311" t="s">
        <v>75</v>
      </c>
      <c r="C2925" s="311" t="s">
        <v>462</v>
      </c>
      <c r="D2925" s="311" t="s">
        <v>462</v>
      </c>
      <c r="E2925" s="337" t="s">
        <v>462</v>
      </c>
      <c r="F2925" s="311" t="s">
        <v>245</v>
      </c>
      <c r="G2925" s="311" t="s">
        <v>236</v>
      </c>
      <c r="H2925" s="311" t="s">
        <v>372</v>
      </c>
      <c r="I2925" s="311" t="s">
        <v>56</v>
      </c>
      <c r="J2925" s="50" t="s">
        <v>1892</v>
      </c>
      <c r="K2925" s="50" t="s">
        <v>1892</v>
      </c>
      <c r="L2925" s="50" t="s">
        <v>1893</v>
      </c>
      <c r="M2925" s="50" t="s">
        <v>5493</v>
      </c>
      <c r="N2925" s="50" t="s">
        <v>5491</v>
      </c>
      <c r="O2925" s="50" t="s">
        <v>5491</v>
      </c>
      <c r="P2925" s="50" t="s">
        <v>5491</v>
      </c>
    </row>
    <row r="2926" spans="1:16" ht="12.75" customHeight="1" x14ac:dyDescent="0.25">
      <c r="A2926" s="311">
        <v>2923</v>
      </c>
      <c r="B2926" s="311" t="s">
        <v>84</v>
      </c>
      <c r="C2926" s="311" t="s">
        <v>462</v>
      </c>
      <c r="D2926" s="311" t="s">
        <v>462</v>
      </c>
      <c r="E2926" s="337" t="s">
        <v>462</v>
      </c>
      <c r="F2926" s="311" t="s">
        <v>245</v>
      </c>
      <c r="G2926" s="311" t="s">
        <v>23</v>
      </c>
      <c r="H2926" s="311" t="s">
        <v>372</v>
      </c>
      <c r="I2926" s="311" t="s">
        <v>56</v>
      </c>
      <c r="J2926" s="50" t="s">
        <v>1892</v>
      </c>
      <c r="K2926" s="50" t="s">
        <v>1892</v>
      </c>
      <c r="L2926" s="50" t="s">
        <v>1893</v>
      </c>
      <c r="M2926" s="50" t="s">
        <v>5494</v>
      </c>
      <c r="N2926" s="50" t="s">
        <v>5495</v>
      </c>
      <c r="O2926" s="50" t="s">
        <v>5495</v>
      </c>
      <c r="P2926" s="50" t="s">
        <v>5495</v>
      </c>
    </row>
    <row r="2927" spans="1:16" ht="12.75" customHeight="1" x14ac:dyDescent="0.25">
      <c r="A2927" s="311">
        <v>2924</v>
      </c>
      <c r="B2927" s="311" t="s">
        <v>123</v>
      </c>
      <c r="C2927" s="311" t="s">
        <v>462</v>
      </c>
      <c r="D2927" s="311" t="s">
        <v>462</v>
      </c>
      <c r="E2927" s="337" t="s">
        <v>462</v>
      </c>
      <c r="F2927" s="311" t="s">
        <v>245</v>
      </c>
      <c r="G2927" s="311" t="s">
        <v>23</v>
      </c>
      <c r="H2927" s="311" t="s">
        <v>372</v>
      </c>
      <c r="I2927" s="311" t="s">
        <v>56</v>
      </c>
      <c r="J2927" s="50" t="s">
        <v>1892</v>
      </c>
      <c r="K2927" s="50" t="s">
        <v>1892</v>
      </c>
      <c r="L2927" s="50" t="s">
        <v>1893</v>
      </c>
      <c r="M2927" s="50" t="s">
        <v>5496</v>
      </c>
      <c r="N2927" s="50" t="s">
        <v>5495</v>
      </c>
      <c r="O2927" s="50" t="s">
        <v>5495</v>
      </c>
      <c r="P2927" s="50" t="s">
        <v>5495</v>
      </c>
    </row>
    <row r="2928" spans="1:16" ht="12.75" customHeight="1" x14ac:dyDescent="0.25">
      <c r="A2928" s="311">
        <v>2925</v>
      </c>
      <c r="B2928" s="311" t="s">
        <v>75</v>
      </c>
      <c r="C2928" s="311" t="s">
        <v>462</v>
      </c>
      <c r="D2928" s="311" t="s">
        <v>462</v>
      </c>
      <c r="E2928" s="337" t="s">
        <v>462</v>
      </c>
      <c r="F2928" s="311" t="s">
        <v>245</v>
      </c>
      <c r="G2928" s="311" t="s">
        <v>23</v>
      </c>
      <c r="H2928" s="311" t="s">
        <v>372</v>
      </c>
      <c r="I2928" s="311" t="s">
        <v>56</v>
      </c>
      <c r="J2928" s="50" t="s">
        <v>1892</v>
      </c>
      <c r="K2928" s="50" t="s">
        <v>1892</v>
      </c>
      <c r="L2928" s="50" t="s">
        <v>1893</v>
      </c>
      <c r="M2928" s="50" t="s">
        <v>5497</v>
      </c>
      <c r="N2928" s="50" t="s">
        <v>5495</v>
      </c>
      <c r="O2928" s="50" t="s">
        <v>5495</v>
      </c>
      <c r="P2928" s="50" t="s">
        <v>5495</v>
      </c>
    </row>
    <row r="2929" spans="1:16" ht="12.75" customHeight="1" x14ac:dyDescent="0.25">
      <c r="A2929" s="311">
        <v>2926</v>
      </c>
      <c r="B2929" s="311" t="s">
        <v>84</v>
      </c>
      <c r="C2929" s="311" t="s">
        <v>462</v>
      </c>
      <c r="D2929" s="311" t="s">
        <v>462</v>
      </c>
      <c r="E2929" s="337" t="s">
        <v>462</v>
      </c>
      <c r="F2929" s="311" t="s">
        <v>245</v>
      </c>
      <c r="G2929" s="311" t="s">
        <v>237</v>
      </c>
      <c r="H2929" s="311" t="s">
        <v>372</v>
      </c>
      <c r="I2929" s="311" t="s">
        <v>56</v>
      </c>
      <c r="J2929" s="50" t="s">
        <v>1892</v>
      </c>
      <c r="K2929" s="50" t="s">
        <v>1892</v>
      </c>
      <c r="L2929" s="50" t="s">
        <v>1893</v>
      </c>
      <c r="M2929" s="50" t="s">
        <v>5498</v>
      </c>
      <c r="N2929" s="50" t="s">
        <v>5499</v>
      </c>
      <c r="O2929" s="50" t="s">
        <v>5499</v>
      </c>
      <c r="P2929" s="50" t="s">
        <v>5499</v>
      </c>
    </row>
    <row r="2930" spans="1:16" ht="12.75" customHeight="1" x14ac:dyDescent="0.25">
      <c r="A2930" s="311">
        <v>2927</v>
      </c>
      <c r="B2930" s="311" t="s">
        <v>123</v>
      </c>
      <c r="C2930" s="311" t="s">
        <v>462</v>
      </c>
      <c r="D2930" s="311" t="s">
        <v>462</v>
      </c>
      <c r="E2930" s="337" t="s">
        <v>462</v>
      </c>
      <c r="F2930" s="311" t="s">
        <v>245</v>
      </c>
      <c r="G2930" s="311" t="s">
        <v>237</v>
      </c>
      <c r="H2930" s="311" t="s">
        <v>372</v>
      </c>
      <c r="I2930" s="311" t="s">
        <v>56</v>
      </c>
      <c r="J2930" s="50" t="s">
        <v>1892</v>
      </c>
      <c r="K2930" s="50" t="s">
        <v>1892</v>
      </c>
      <c r="L2930" s="50" t="s">
        <v>1893</v>
      </c>
      <c r="M2930" s="50" t="s">
        <v>5500</v>
      </c>
      <c r="N2930" s="50" t="s">
        <v>5499</v>
      </c>
      <c r="O2930" s="50" t="s">
        <v>5499</v>
      </c>
      <c r="P2930" s="50" t="s">
        <v>5499</v>
      </c>
    </row>
    <row r="2931" spans="1:16" ht="12.75" customHeight="1" x14ac:dyDescent="0.25">
      <c r="A2931" s="311">
        <v>2928</v>
      </c>
      <c r="B2931" s="311" t="s">
        <v>75</v>
      </c>
      <c r="C2931" s="311" t="s">
        <v>462</v>
      </c>
      <c r="D2931" s="311" t="s">
        <v>462</v>
      </c>
      <c r="E2931" s="337" t="s">
        <v>462</v>
      </c>
      <c r="F2931" s="311" t="s">
        <v>245</v>
      </c>
      <c r="G2931" s="311" t="s">
        <v>237</v>
      </c>
      <c r="H2931" s="311" t="s">
        <v>372</v>
      </c>
      <c r="I2931" s="311" t="s">
        <v>56</v>
      </c>
      <c r="J2931" s="50" t="s">
        <v>1892</v>
      </c>
      <c r="K2931" s="50" t="s">
        <v>1892</v>
      </c>
      <c r="L2931" s="50" t="s">
        <v>1893</v>
      </c>
      <c r="M2931" s="50" t="s">
        <v>5501</v>
      </c>
      <c r="N2931" s="50" t="s">
        <v>5499</v>
      </c>
      <c r="O2931" s="50" t="s">
        <v>5499</v>
      </c>
      <c r="P2931" s="50" t="s">
        <v>5499</v>
      </c>
    </row>
    <row r="2932" spans="1:16" ht="12.75" customHeight="1" x14ac:dyDescent="0.25">
      <c r="A2932" s="311">
        <v>2929</v>
      </c>
      <c r="B2932" s="311" t="s">
        <v>84</v>
      </c>
      <c r="C2932" s="311" t="s">
        <v>462</v>
      </c>
      <c r="D2932" s="311" t="s">
        <v>462</v>
      </c>
      <c r="E2932" s="337" t="s">
        <v>462</v>
      </c>
      <c r="F2932" s="311" t="s">
        <v>64</v>
      </c>
      <c r="G2932" s="311" t="s">
        <v>236</v>
      </c>
      <c r="H2932" s="311" t="s">
        <v>375</v>
      </c>
      <c r="I2932" s="311" t="s">
        <v>56</v>
      </c>
      <c r="J2932" s="50" t="s">
        <v>1892</v>
      </c>
      <c r="K2932" s="50" t="s">
        <v>1892</v>
      </c>
      <c r="L2932" s="50" t="s">
        <v>1893</v>
      </c>
      <c r="M2932" s="50" t="s">
        <v>5502</v>
      </c>
      <c r="N2932" s="50" t="s">
        <v>5503</v>
      </c>
      <c r="O2932" s="50" t="s">
        <v>5503</v>
      </c>
      <c r="P2932" s="50" t="s">
        <v>5503</v>
      </c>
    </row>
    <row r="2933" spans="1:16" ht="12.75" customHeight="1" x14ac:dyDescent="0.25">
      <c r="A2933" s="311">
        <v>2930</v>
      </c>
      <c r="B2933" s="311" t="s">
        <v>123</v>
      </c>
      <c r="C2933" s="311" t="s">
        <v>462</v>
      </c>
      <c r="D2933" s="311" t="s">
        <v>462</v>
      </c>
      <c r="E2933" s="337" t="s">
        <v>462</v>
      </c>
      <c r="F2933" s="311" t="s">
        <v>64</v>
      </c>
      <c r="G2933" s="311" t="s">
        <v>236</v>
      </c>
      <c r="H2933" s="311" t="s">
        <v>375</v>
      </c>
      <c r="I2933" s="311" t="s">
        <v>56</v>
      </c>
      <c r="J2933" s="50" t="s">
        <v>1892</v>
      </c>
      <c r="K2933" s="50" t="s">
        <v>1892</v>
      </c>
      <c r="L2933" s="50" t="s">
        <v>1893</v>
      </c>
      <c r="M2933" s="50" t="s">
        <v>5504</v>
      </c>
      <c r="N2933" s="50" t="s">
        <v>5503</v>
      </c>
      <c r="O2933" s="50" t="s">
        <v>5503</v>
      </c>
      <c r="P2933" s="50" t="s">
        <v>5503</v>
      </c>
    </row>
    <row r="2934" spans="1:16" ht="12.75" customHeight="1" x14ac:dyDescent="0.25">
      <c r="A2934" s="311">
        <v>2931</v>
      </c>
      <c r="B2934" s="311" t="s">
        <v>75</v>
      </c>
      <c r="C2934" s="311" t="s">
        <v>462</v>
      </c>
      <c r="D2934" s="311" t="s">
        <v>462</v>
      </c>
      <c r="E2934" s="337" t="s">
        <v>462</v>
      </c>
      <c r="F2934" s="311" t="s">
        <v>64</v>
      </c>
      <c r="G2934" s="311" t="s">
        <v>236</v>
      </c>
      <c r="H2934" s="311" t="s">
        <v>375</v>
      </c>
      <c r="I2934" s="311" t="s">
        <v>56</v>
      </c>
      <c r="J2934" s="50" t="s">
        <v>1892</v>
      </c>
      <c r="K2934" s="50" t="s">
        <v>1892</v>
      </c>
      <c r="L2934" s="50" t="s">
        <v>1893</v>
      </c>
      <c r="M2934" s="50" t="s">
        <v>5505</v>
      </c>
      <c r="N2934" s="50" t="s">
        <v>5503</v>
      </c>
      <c r="O2934" s="50" t="s">
        <v>5503</v>
      </c>
      <c r="P2934" s="50" t="s">
        <v>5503</v>
      </c>
    </row>
    <row r="2935" spans="1:16" ht="12.75" customHeight="1" x14ac:dyDescent="0.25">
      <c r="A2935" s="311">
        <v>2932</v>
      </c>
      <c r="B2935" s="311" t="s">
        <v>84</v>
      </c>
      <c r="C2935" s="311" t="s">
        <v>462</v>
      </c>
      <c r="D2935" s="311" t="s">
        <v>462</v>
      </c>
      <c r="E2935" s="337" t="s">
        <v>462</v>
      </c>
      <c r="F2935" s="311" t="s">
        <v>64</v>
      </c>
      <c r="G2935" s="311" t="s">
        <v>23</v>
      </c>
      <c r="H2935" s="311" t="s">
        <v>375</v>
      </c>
      <c r="I2935" s="311" t="s">
        <v>56</v>
      </c>
      <c r="J2935" s="50" t="s">
        <v>1892</v>
      </c>
      <c r="K2935" s="50" t="s">
        <v>1892</v>
      </c>
      <c r="L2935" s="50" t="s">
        <v>1893</v>
      </c>
      <c r="M2935" s="50" t="s">
        <v>5506</v>
      </c>
      <c r="N2935" s="50" t="s">
        <v>5507</v>
      </c>
      <c r="O2935" s="50" t="s">
        <v>5507</v>
      </c>
      <c r="P2935" s="50" t="s">
        <v>5507</v>
      </c>
    </row>
    <row r="2936" spans="1:16" ht="12.75" customHeight="1" x14ac:dyDescent="0.25">
      <c r="A2936" s="311">
        <v>2933</v>
      </c>
      <c r="B2936" s="311" t="s">
        <v>123</v>
      </c>
      <c r="C2936" s="311" t="s">
        <v>462</v>
      </c>
      <c r="D2936" s="311" t="s">
        <v>462</v>
      </c>
      <c r="E2936" s="337" t="s">
        <v>462</v>
      </c>
      <c r="F2936" s="311" t="s">
        <v>64</v>
      </c>
      <c r="G2936" s="311" t="s">
        <v>23</v>
      </c>
      <c r="H2936" s="311" t="s">
        <v>375</v>
      </c>
      <c r="I2936" s="311" t="s">
        <v>56</v>
      </c>
      <c r="J2936" s="50" t="s">
        <v>1892</v>
      </c>
      <c r="K2936" s="50" t="s">
        <v>1892</v>
      </c>
      <c r="L2936" s="50" t="s">
        <v>1893</v>
      </c>
      <c r="M2936" s="50" t="s">
        <v>5508</v>
      </c>
      <c r="N2936" s="50" t="s">
        <v>5507</v>
      </c>
      <c r="O2936" s="50" t="s">
        <v>5507</v>
      </c>
      <c r="P2936" s="50" t="s">
        <v>5507</v>
      </c>
    </row>
    <row r="2937" spans="1:16" ht="12.75" customHeight="1" x14ac:dyDescent="0.25">
      <c r="A2937" s="311">
        <v>2934</v>
      </c>
      <c r="B2937" s="311" t="s">
        <v>75</v>
      </c>
      <c r="C2937" s="311" t="s">
        <v>462</v>
      </c>
      <c r="D2937" s="311" t="s">
        <v>462</v>
      </c>
      <c r="E2937" s="337" t="s">
        <v>462</v>
      </c>
      <c r="F2937" s="311" t="s">
        <v>64</v>
      </c>
      <c r="G2937" s="311" t="s">
        <v>23</v>
      </c>
      <c r="H2937" s="311" t="s">
        <v>375</v>
      </c>
      <c r="I2937" s="311" t="s">
        <v>56</v>
      </c>
      <c r="J2937" s="50" t="s">
        <v>1892</v>
      </c>
      <c r="K2937" s="50" t="s">
        <v>1892</v>
      </c>
      <c r="L2937" s="50" t="s">
        <v>1893</v>
      </c>
      <c r="M2937" s="50" t="s">
        <v>5509</v>
      </c>
      <c r="N2937" s="50" t="s">
        <v>5507</v>
      </c>
      <c r="O2937" s="50" t="s">
        <v>5507</v>
      </c>
      <c r="P2937" s="50" t="s">
        <v>5507</v>
      </c>
    </row>
    <row r="2938" spans="1:16" ht="12.75" customHeight="1" x14ac:dyDescent="0.25">
      <c r="A2938" s="311">
        <v>2935</v>
      </c>
      <c r="B2938" s="311" t="s">
        <v>84</v>
      </c>
      <c r="C2938" s="311" t="s">
        <v>462</v>
      </c>
      <c r="D2938" s="311" t="s">
        <v>462</v>
      </c>
      <c r="E2938" s="337" t="s">
        <v>462</v>
      </c>
      <c r="F2938" s="311" t="s">
        <v>64</v>
      </c>
      <c r="G2938" s="311" t="s">
        <v>237</v>
      </c>
      <c r="H2938" s="311" t="s">
        <v>375</v>
      </c>
      <c r="I2938" s="311" t="s">
        <v>56</v>
      </c>
      <c r="J2938" s="50" t="s">
        <v>1892</v>
      </c>
      <c r="K2938" s="50" t="s">
        <v>1892</v>
      </c>
      <c r="L2938" s="50" t="s">
        <v>1893</v>
      </c>
      <c r="M2938" s="50" t="s">
        <v>5510</v>
      </c>
      <c r="N2938" s="50" t="s">
        <v>5511</v>
      </c>
      <c r="O2938" s="50" t="s">
        <v>5511</v>
      </c>
      <c r="P2938" s="50" t="s">
        <v>5511</v>
      </c>
    </row>
    <row r="2939" spans="1:16" ht="12.75" customHeight="1" x14ac:dyDescent="0.25">
      <c r="A2939" s="311">
        <v>2936</v>
      </c>
      <c r="B2939" s="311" t="s">
        <v>123</v>
      </c>
      <c r="C2939" s="311" t="s">
        <v>462</v>
      </c>
      <c r="D2939" s="311" t="s">
        <v>462</v>
      </c>
      <c r="E2939" s="337" t="s">
        <v>462</v>
      </c>
      <c r="F2939" s="311" t="s">
        <v>64</v>
      </c>
      <c r="G2939" s="311" t="s">
        <v>237</v>
      </c>
      <c r="H2939" s="311" t="s">
        <v>375</v>
      </c>
      <c r="I2939" s="311" t="s">
        <v>56</v>
      </c>
      <c r="J2939" s="50" t="s">
        <v>1892</v>
      </c>
      <c r="K2939" s="50" t="s">
        <v>1892</v>
      </c>
      <c r="L2939" s="50" t="s">
        <v>1893</v>
      </c>
      <c r="M2939" s="50" t="s">
        <v>5512</v>
      </c>
      <c r="N2939" s="50" t="s">
        <v>5511</v>
      </c>
      <c r="O2939" s="50" t="s">
        <v>5511</v>
      </c>
      <c r="P2939" s="50" t="s">
        <v>5511</v>
      </c>
    </row>
    <row r="2940" spans="1:16" ht="12.75" customHeight="1" x14ac:dyDescent="0.25">
      <c r="A2940" s="311">
        <v>2937</v>
      </c>
      <c r="B2940" s="311" t="s">
        <v>75</v>
      </c>
      <c r="C2940" s="311" t="s">
        <v>462</v>
      </c>
      <c r="D2940" s="311" t="s">
        <v>462</v>
      </c>
      <c r="E2940" s="337" t="s">
        <v>462</v>
      </c>
      <c r="F2940" s="311" t="s">
        <v>64</v>
      </c>
      <c r="G2940" s="311" t="s">
        <v>237</v>
      </c>
      <c r="H2940" s="311" t="s">
        <v>375</v>
      </c>
      <c r="I2940" s="311" t="s">
        <v>56</v>
      </c>
      <c r="J2940" s="50" t="s">
        <v>1892</v>
      </c>
      <c r="K2940" s="50" t="s">
        <v>1892</v>
      </c>
      <c r="L2940" s="50" t="s">
        <v>1893</v>
      </c>
      <c r="M2940" s="50" t="s">
        <v>5513</v>
      </c>
      <c r="N2940" s="50" t="s">
        <v>5511</v>
      </c>
      <c r="O2940" s="50" t="s">
        <v>5511</v>
      </c>
      <c r="P2940" s="50" t="s">
        <v>5511</v>
      </c>
    </row>
    <row r="2941" spans="1:16" ht="12.75" customHeight="1" x14ac:dyDescent="0.25">
      <c r="A2941" s="311">
        <v>2938</v>
      </c>
      <c r="B2941" s="311" t="s">
        <v>63</v>
      </c>
      <c r="C2941" s="311" t="s">
        <v>63</v>
      </c>
      <c r="D2941" s="311" t="s">
        <v>462</v>
      </c>
      <c r="E2941" s="337" t="s">
        <v>63</v>
      </c>
      <c r="F2941" s="311" t="s">
        <v>301</v>
      </c>
      <c r="G2941" s="311" t="s">
        <v>236</v>
      </c>
      <c r="H2941" s="311" t="s">
        <v>370</v>
      </c>
      <c r="I2941" s="311" t="s">
        <v>66</v>
      </c>
      <c r="J2941" s="50" t="s">
        <v>1892</v>
      </c>
      <c r="K2941" s="50" t="s">
        <v>1892</v>
      </c>
      <c r="L2941" s="50" t="s">
        <v>1893</v>
      </c>
      <c r="M2941" s="50" t="s">
        <v>5514</v>
      </c>
      <c r="N2941" s="50" t="s">
        <v>5514</v>
      </c>
      <c r="O2941" s="50" t="s">
        <v>5443</v>
      </c>
      <c r="P2941" s="50" t="s">
        <v>5514</v>
      </c>
    </row>
    <row r="2942" spans="1:16" ht="12.75" customHeight="1" x14ac:dyDescent="0.25">
      <c r="A2942" s="311">
        <v>2939</v>
      </c>
      <c r="B2942" s="311" t="s">
        <v>140</v>
      </c>
      <c r="C2942" s="311" t="s">
        <v>140</v>
      </c>
      <c r="D2942" s="311" t="s">
        <v>462</v>
      </c>
      <c r="E2942" s="337" t="s">
        <v>140</v>
      </c>
      <c r="F2942" s="311" t="s">
        <v>301</v>
      </c>
      <c r="G2942" s="311" t="s">
        <v>236</v>
      </c>
      <c r="H2942" s="311" t="s">
        <v>370</v>
      </c>
      <c r="I2942" s="311" t="s">
        <v>66</v>
      </c>
      <c r="J2942" s="50" t="s">
        <v>1892</v>
      </c>
      <c r="K2942" s="50" t="s">
        <v>1892</v>
      </c>
      <c r="L2942" s="50" t="s">
        <v>1893</v>
      </c>
      <c r="M2942" s="50" t="s">
        <v>5515</v>
      </c>
      <c r="N2942" s="50" t="s">
        <v>5515</v>
      </c>
      <c r="O2942" s="50" t="s">
        <v>5443</v>
      </c>
      <c r="P2942" s="50" t="s">
        <v>5515</v>
      </c>
    </row>
    <row r="2943" spans="1:16" ht="12.75" customHeight="1" x14ac:dyDescent="0.25">
      <c r="A2943" s="311">
        <v>2940</v>
      </c>
      <c r="B2943" s="311" t="s">
        <v>121</v>
      </c>
      <c r="C2943" s="311" t="s">
        <v>121</v>
      </c>
      <c r="D2943" s="311" t="s">
        <v>462</v>
      </c>
      <c r="E2943" s="337" t="s">
        <v>121</v>
      </c>
      <c r="F2943" s="311" t="s">
        <v>301</v>
      </c>
      <c r="G2943" s="311" t="s">
        <v>236</v>
      </c>
      <c r="H2943" s="311" t="s">
        <v>370</v>
      </c>
      <c r="I2943" s="311" t="s">
        <v>66</v>
      </c>
      <c r="J2943" s="50" t="s">
        <v>1892</v>
      </c>
      <c r="K2943" s="50" t="s">
        <v>1892</v>
      </c>
      <c r="L2943" s="50" t="s">
        <v>1893</v>
      </c>
      <c r="M2943" s="50" t="s">
        <v>5516</v>
      </c>
      <c r="N2943" s="50" t="s">
        <v>5516</v>
      </c>
      <c r="O2943" s="50" t="s">
        <v>5443</v>
      </c>
      <c r="P2943" s="50" t="s">
        <v>5516</v>
      </c>
    </row>
    <row r="2944" spans="1:16" ht="12.75" customHeight="1" x14ac:dyDescent="0.25">
      <c r="A2944" s="311">
        <v>2941</v>
      </c>
      <c r="B2944" s="311" t="s">
        <v>87</v>
      </c>
      <c r="C2944" s="311" t="s">
        <v>87</v>
      </c>
      <c r="D2944" s="311" t="s">
        <v>462</v>
      </c>
      <c r="E2944" s="337" t="s">
        <v>87</v>
      </c>
      <c r="F2944" s="311" t="s">
        <v>301</v>
      </c>
      <c r="G2944" s="311" t="s">
        <v>236</v>
      </c>
      <c r="H2944" s="311" t="s">
        <v>370</v>
      </c>
      <c r="I2944" s="311" t="s">
        <v>66</v>
      </c>
      <c r="J2944" s="50" t="s">
        <v>1892</v>
      </c>
      <c r="K2944" s="50" t="s">
        <v>1892</v>
      </c>
      <c r="L2944" s="50" t="s">
        <v>1893</v>
      </c>
      <c r="M2944" s="50" t="s">
        <v>5517</v>
      </c>
      <c r="N2944" s="50" t="s">
        <v>5517</v>
      </c>
      <c r="O2944" s="50" t="s">
        <v>5443</v>
      </c>
      <c r="P2944" s="50" t="s">
        <v>5517</v>
      </c>
    </row>
    <row r="2945" spans="1:16" ht="12.75" customHeight="1" x14ac:dyDescent="0.25">
      <c r="A2945" s="311">
        <v>2942</v>
      </c>
      <c r="B2945" s="311" t="s">
        <v>125</v>
      </c>
      <c r="C2945" s="311" t="s">
        <v>125</v>
      </c>
      <c r="D2945" s="311" t="s">
        <v>125</v>
      </c>
      <c r="E2945" s="337" t="s">
        <v>125</v>
      </c>
      <c r="F2945" s="311" t="s">
        <v>301</v>
      </c>
      <c r="G2945" s="311" t="s">
        <v>236</v>
      </c>
      <c r="H2945" s="311" t="s">
        <v>370</v>
      </c>
      <c r="I2945" s="311" t="s">
        <v>66</v>
      </c>
      <c r="J2945" s="50" t="s">
        <v>1892</v>
      </c>
      <c r="K2945" s="50" t="s">
        <v>1892</v>
      </c>
      <c r="L2945" s="50" t="s">
        <v>1893</v>
      </c>
      <c r="M2945" s="50" t="s">
        <v>5518</v>
      </c>
      <c r="N2945" s="50" t="s">
        <v>5518</v>
      </c>
      <c r="O2945" s="50" t="s">
        <v>5518</v>
      </c>
      <c r="P2945" s="50" t="s">
        <v>5518</v>
      </c>
    </row>
    <row r="2946" spans="1:16" ht="12.75" customHeight="1" x14ac:dyDescent="0.25">
      <c r="A2946" s="311">
        <v>2943</v>
      </c>
      <c r="B2946" s="311" t="s">
        <v>134</v>
      </c>
      <c r="C2946" s="311" t="s">
        <v>134</v>
      </c>
      <c r="D2946" s="311" t="s">
        <v>134</v>
      </c>
      <c r="E2946" s="337" t="s">
        <v>134</v>
      </c>
      <c r="F2946" s="311" t="s">
        <v>301</v>
      </c>
      <c r="G2946" s="311" t="s">
        <v>236</v>
      </c>
      <c r="H2946" s="311" t="s">
        <v>370</v>
      </c>
      <c r="I2946" s="311" t="s">
        <v>66</v>
      </c>
      <c r="J2946" s="50" t="s">
        <v>1892</v>
      </c>
      <c r="K2946" s="50" t="s">
        <v>1892</v>
      </c>
      <c r="L2946" s="50" t="s">
        <v>1893</v>
      </c>
      <c r="M2946" s="50" t="s">
        <v>5519</v>
      </c>
      <c r="N2946" s="50" t="s">
        <v>5519</v>
      </c>
      <c r="O2946" s="50" t="s">
        <v>5519</v>
      </c>
      <c r="P2946" s="50" t="s">
        <v>5519</v>
      </c>
    </row>
    <row r="2947" spans="1:16" ht="12.75" customHeight="1" x14ac:dyDescent="0.25">
      <c r="A2947" s="311">
        <v>2944</v>
      </c>
      <c r="B2947" s="311" t="s">
        <v>141</v>
      </c>
      <c r="C2947" s="311" t="s">
        <v>141</v>
      </c>
      <c r="D2947" s="311" t="s">
        <v>141</v>
      </c>
      <c r="E2947" s="337" t="s">
        <v>141</v>
      </c>
      <c r="F2947" s="311" t="s">
        <v>301</v>
      </c>
      <c r="G2947" s="311" t="s">
        <v>236</v>
      </c>
      <c r="H2947" s="311" t="s">
        <v>370</v>
      </c>
      <c r="I2947" s="311" t="s">
        <v>66</v>
      </c>
      <c r="J2947" s="50" t="s">
        <v>1892</v>
      </c>
      <c r="K2947" s="50" t="s">
        <v>1892</v>
      </c>
      <c r="L2947" s="50" t="s">
        <v>1893</v>
      </c>
      <c r="M2947" s="50" t="s">
        <v>5520</v>
      </c>
      <c r="N2947" s="50" t="s">
        <v>5520</v>
      </c>
      <c r="O2947" s="50" t="s">
        <v>5520</v>
      </c>
      <c r="P2947" s="50" t="s">
        <v>5520</v>
      </c>
    </row>
    <row r="2948" spans="1:16" ht="12.75" customHeight="1" x14ac:dyDescent="0.25">
      <c r="A2948" s="311">
        <v>2945</v>
      </c>
      <c r="B2948" s="311" t="s">
        <v>69</v>
      </c>
      <c r="C2948" s="311" t="s">
        <v>69</v>
      </c>
      <c r="D2948" s="311" t="s">
        <v>69</v>
      </c>
      <c r="E2948" s="337" t="s">
        <v>69</v>
      </c>
      <c r="F2948" s="311" t="s">
        <v>301</v>
      </c>
      <c r="G2948" s="311" t="s">
        <v>236</v>
      </c>
      <c r="H2948" s="311" t="s">
        <v>370</v>
      </c>
      <c r="I2948" s="311" t="s">
        <v>66</v>
      </c>
      <c r="J2948" s="50" t="s">
        <v>1892</v>
      </c>
      <c r="K2948" s="50" t="s">
        <v>1892</v>
      </c>
      <c r="L2948" s="50" t="s">
        <v>1893</v>
      </c>
      <c r="M2948" s="50" t="s">
        <v>5521</v>
      </c>
      <c r="N2948" s="50" t="s">
        <v>5521</v>
      </c>
      <c r="O2948" s="50" t="s">
        <v>5521</v>
      </c>
      <c r="P2948" s="50" t="s">
        <v>5521</v>
      </c>
    </row>
    <row r="2949" spans="1:16" ht="12.75" customHeight="1" x14ac:dyDescent="0.25">
      <c r="A2949" s="311">
        <v>2946</v>
      </c>
      <c r="B2949" s="311" t="s">
        <v>63</v>
      </c>
      <c r="C2949" s="311" t="s">
        <v>63</v>
      </c>
      <c r="D2949" s="311" t="s">
        <v>462</v>
      </c>
      <c r="E2949" s="337" t="s">
        <v>63</v>
      </c>
      <c r="F2949" s="311" t="s">
        <v>301</v>
      </c>
      <c r="G2949" s="311" t="s">
        <v>23</v>
      </c>
      <c r="H2949" s="311" t="s">
        <v>370</v>
      </c>
      <c r="I2949" s="311" t="s">
        <v>66</v>
      </c>
      <c r="J2949" s="50" t="s">
        <v>1892</v>
      </c>
      <c r="K2949" s="50" t="s">
        <v>1892</v>
      </c>
      <c r="L2949" s="50" t="s">
        <v>1893</v>
      </c>
      <c r="M2949" s="50" t="s">
        <v>5522</v>
      </c>
      <c r="N2949" s="50" t="s">
        <v>5522</v>
      </c>
      <c r="O2949" s="50" t="s">
        <v>5447</v>
      </c>
      <c r="P2949" s="50" t="s">
        <v>5522</v>
      </c>
    </row>
    <row r="2950" spans="1:16" ht="12.75" customHeight="1" x14ac:dyDescent="0.25">
      <c r="A2950" s="311">
        <v>2947</v>
      </c>
      <c r="B2950" s="311" t="s">
        <v>140</v>
      </c>
      <c r="C2950" s="311" t="s">
        <v>140</v>
      </c>
      <c r="D2950" s="311" t="s">
        <v>462</v>
      </c>
      <c r="E2950" s="337" t="s">
        <v>140</v>
      </c>
      <c r="F2950" s="311" t="s">
        <v>301</v>
      </c>
      <c r="G2950" s="311" t="s">
        <v>23</v>
      </c>
      <c r="H2950" s="311" t="s">
        <v>370</v>
      </c>
      <c r="I2950" s="311" t="s">
        <v>66</v>
      </c>
      <c r="J2950" s="50" t="s">
        <v>1892</v>
      </c>
      <c r="K2950" s="50" t="s">
        <v>1892</v>
      </c>
      <c r="L2950" s="50" t="s">
        <v>1893</v>
      </c>
      <c r="M2950" s="50" t="s">
        <v>5523</v>
      </c>
      <c r="N2950" s="50" t="s">
        <v>5523</v>
      </c>
      <c r="O2950" s="50" t="s">
        <v>5447</v>
      </c>
      <c r="P2950" s="50" t="s">
        <v>5523</v>
      </c>
    </row>
    <row r="2951" spans="1:16" ht="12.75" customHeight="1" x14ac:dyDescent="0.25">
      <c r="A2951" s="311">
        <v>2948</v>
      </c>
      <c r="B2951" s="311" t="s">
        <v>121</v>
      </c>
      <c r="C2951" s="311" t="s">
        <v>121</v>
      </c>
      <c r="D2951" s="311" t="s">
        <v>462</v>
      </c>
      <c r="E2951" s="337" t="s">
        <v>121</v>
      </c>
      <c r="F2951" s="311" t="s">
        <v>301</v>
      </c>
      <c r="G2951" s="311" t="s">
        <v>23</v>
      </c>
      <c r="H2951" s="311" t="s">
        <v>370</v>
      </c>
      <c r="I2951" s="311" t="s">
        <v>66</v>
      </c>
      <c r="J2951" s="50" t="s">
        <v>1892</v>
      </c>
      <c r="K2951" s="50" t="s">
        <v>1892</v>
      </c>
      <c r="L2951" s="50" t="s">
        <v>1893</v>
      </c>
      <c r="M2951" s="50" t="s">
        <v>5524</v>
      </c>
      <c r="N2951" s="50" t="s">
        <v>5524</v>
      </c>
      <c r="O2951" s="50" t="s">
        <v>5447</v>
      </c>
      <c r="P2951" s="50" t="s">
        <v>5524</v>
      </c>
    </row>
    <row r="2952" spans="1:16" ht="12.75" customHeight="1" x14ac:dyDescent="0.25">
      <c r="A2952" s="311">
        <v>2949</v>
      </c>
      <c r="B2952" s="311" t="s">
        <v>87</v>
      </c>
      <c r="C2952" s="311" t="s">
        <v>87</v>
      </c>
      <c r="D2952" s="311" t="s">
        <v>462</v>
      </c>
      <c r="E2952" s="337" t="s">
        <v>87</v>
      </c>
      <c r="F2952" s="311" t="s">
        <v>301</v>
      </c>
      <c r="G2952" s="311" t="s">
        <v>23</v>
      </c>
      <c r="H2952" s="311" t="s">
        <v>370</v>
      </c>
      <c r="I2952" s="311" t="s">
        <v>66</v>
      </c>
      <c r="J2952" s="50" t="s">
        <v>1892</v>
      </c>
      <c r="K2952" s="50" t="s">
        <v>1892</v>
      </c>
      <c r="L2952" s="50" t="s">
        <v>1893</v>
      </c>
      <c r="M2952" s="50" t="s">
        <v>5525</v>
      </c>
      <c r="N2952" s="50" t="s">
        <v>5525</v>
      </c>
      <c r="O2952" s="50" t="s">
        <v>5447</v>
      </c>
      <c r="P2952" s="50" t="s">
        <v>5525</v>
      </c>
    </row>
    <row r="2953" spans="1:16" ht="12.75" customHeight="1" x14ac:dyDescent="0.25">
      <c r="A2953" s="311">
        <v>2950</v>
      </c>
      <c r="B2953" s="311" t="s">
        <v>125</v>
      </c>
      <c r="C2953" s="311" t="s">
        <v>125</v>
      </c>
      <c r="D2953" s="311" t="s">
        <v>125</v>
      </c>
      <c r="E2953" s="337" t="s">
        <v>125</v>
      </c>
      <c r="F2953" s="311" t="s">
        <v>301</v>
      </c>
      <c r="G2953" s="311" t="s">
        <v>23</v>
      </c>
      <c r="H2953" s="311" t="s">
        <v>370</v>
      </c>
      <c r="I2953" s="311" t="s">
        <v>66</v>
      </c>
      <c r="J2953" s="50" t="s">
        <v>1892</v>
      </c>
      <c r="K2953" s="50" t="s">
        <v>1892</v>
      </c>
      <c r="L2953" s="50" t="s">
        <v>1893</v>
      </c>
      <c r="M2953" s="50" t="s">
        <v>5526</v>
      </c>
      <c r="N2953" s="50" t="s">
        <v>5526</v>
      </c>
      <c r="O2953" s="50" t="s">
        <v>5526</v>
      </c>
      <c r="P2953" s="50" t="s">
        <v>5526</v>
      </c>
    </row>
    <row r="2954" spans="1:16" ht="12.75" customHeight="1" x14ac:dyDescent="0.25">
      <c r="A2954" s="311">
        <v>2951</v>
      </c>
      <c r="B2954" s="311" t="s">
        <v>134</v>
      </c>
      <c r="C2954" s="311" t="s">
        <v>134</v>
      </c>
      <c r="D2954" s="311" t="s">
        <v>134</v>
      </c>
      <c r="E2954" s="337" t="s">
        <v>134</v>
      </c>
      <c r="F2954" s="311" t="s">
        <v>301</v>
      </c>
      <c r="G2954" s="311" t="s">
        <v>23</v>
      </c>
      <c r="H2954" s="311" t="s">
        <v>370</v>
      </c>
      <c r="I2954" s="311" t="s">
        <v>66</v>
      </c>
      <c r="J2954" s="50" t="s">
        <v>1892</v>
      </c>
      <c r="K2954" s="50" t="s">
        <v>1892</v>
      </c>
      <c r="L2954" s="50" t="s">
        <v>1893</v>
      </c>
      <c r="M2954" s="50" t="s">
        <v>5527</v>
      </c>
      <c r="N2954" s="50" t="s">
        <v>5527</v>
      </c>
      <c r="O2954" s="50" t="s">
        <v>5527</v>
      </c>
      <c r="P2954" s="50" t="s">
        <v>5527</v>
      </c>
    </row>
    <row r="2955" spans="1:16" ht="12.75" customHeight="1" x14ac:dyDescent="0.25">
      <c r="A2955" s="311">
        <v>2952</v>
      </c>
      <c r="B2955" s="311" t="s">
        <v>141</v>
      </c>
      <c r="C2955" s="311" t="s">
        <v>141</v>
      </c>
      <c r="D2955" s="311" t="s">
        <v>141</v>
      </c>
      <c r="E2955" s="337" t="s">
        <v>141</v>
      </c>
      <c r="F2955" s="311" t="s">
        <v>301</v>
      </c>
      <c r="G2955" s="311" t="s">
        <v>23</v>
      </c>
      <c r="H2955" s="311" t="s">
        <v>370</v>
      </c>
      <c r="I2955" s="311" t="s">
        <v>66</v>
      </c>
      <c r="J2955" s="50" t="s">
        <v>1892</v>
      </c>
      <c r="K2955" s="50" t="s">
        <v>1892</v>
      </c>
      <c r="L2955" s="50" t="s">
        <v>1893</v>
      </c>
      <c r="M2955" s="50" t="s">
        <v>5528</v>
      </c>
      <c r="N2955" s="50" t="s">
        <v>5528</v>
      </c>
      <c r="O2955" s="50" t="s">
        <v>5528</v>
      </c>
      <c r="P2955" s="50" t="s">
        <v>5528</v>
      </c>
    </row>
    <row r="2956" spans="1:16" ht="12.75" customHeight="1" x14ac:dyDescent="0.25">
      <c r="A2956" s="311">
        <v>2953</v>
      </c>
      <c r="B2956" s="311" t="s">
        <v>69</v>
      </c>
      <c r="C2956" s="311" t="s">
        <v>69</v>
      </c>
      <c r="D2956" s="311" t="s">
        <v>69</v>
      </c>
      <c r="E2956" s="337" t="s">
        <v>69</v>
      </c>
      <c r="F2956" s="311" t="s">
        <v>301</v>
      </c>
      <c r="G2956" s="311" t="s">
        <v>23</v>
      </c>
      <c r="H2956" s="311" t="s">
        <v>370</v>
      </c>
      <c r="I2956" s="311" t="s">
        <v>66</v>
      </c>
      <c r="J2956" s="50" t="s">
        <v>1892</v>
      </c>
      <c r="K2956" s="50" t="s">
        <v>1892</v>
      </c>
      <c r="L2956" s="50" t="s">
        <v>1893</v>
      </c>
      <c r="M2956" s="50" t="s">
        <v>5529</v>
      </c>
      <c r="N2956" s="50" t="s">
        <v>5529</v>
      </c>
      <c r="O2956" s="50" t="s">
        <v>5529</v>
      </c>
      <c r="P2956" s="50" t="s">
        <v>5529</v>
      </c>
    </row>
    <row r="2957" spans="1:16" ht="12.75" customHeight="1" x14ac:dyDescent="0.25">
      <c r="A2957" s="311">
        <v>2954</v>
      </c>
      <c r="B2957" s="311" t="s">
        <v>63</v>
      </c>
      <c r="C2957" s="311" t="s">
        <v>63</v>
      </c>
      <c r="D2957" s="311" t="s">
        <v>462</v>
      </c>
      <c r="E2957" s="337" t="s">
        <v>63</v>
      </c>
      <c r="F2957" s="311" t="s">
        <v>301</v>
      </c>
      <c r="G2957" s="311" t="s">
        <v>237</v>
      </c>
      <c r="H2957" s="311" t="s">
        <v>370</v>
      </c>
      <c r="I2957" s="311" t="s">
        <v>66</v>
      </c>
      <c r="J2957" s="50" t="s">
        <v>1892</v>
      </c>
      <c r="K2957" s="50" t="s">
        <v>1892</v>
      </c>
      <c r="L2957" s="50" t="s">
        <v>1893</v>
      </c>
      <c r="M2957" s="50" t="s">
        <v>5530</v>
      </c>
      <c r="N2957" s="50" t="s">
        <v>5530</v>
      </c>
      <c r="O2957" s="50" t="s">
        <v>5451</v>
      </c>
      <c r="P2957" s="50" t="s">
        <v>5530</v>
      </c>
    </row>
    <row r="2958" spans="1:16" ht="12.75" customHeight="1" x14ac:dyDescent="0.25">
      <c r="A2958" s="311">
        <v>2955</v>
      </c>
      <c r="B2958" s="311" t="s">
        <v>140</v>
      </c>
      <c r="C2958" s="311" t="s">
        <v>140</v>
      </c>
      <c r="D2958" s="311" t="s">
        <v>462</v>
      </c>
      <c r="E2958" s="337" t="s">
        <v>140</v>
      </c>
      <c r="F2958" s="311" t="s">
        <v>301</v>
      </c>
      <c r="G2958" s="311" t="s">
        <v>237</v>
      </c>
      <c r="H2958" s="311" t="s">
        <v>370</v>
      </c>
      <c r="I2958" s="311" t="s">
        <v>66</v>
      </c>
      <c r="J2958" s="50" t="s">
        <v>1892</v>
      </c>
      <c r="K2958" s="50" t="s">
        <v>1892</v>
      </c>
      <c r="L2958" s="50" t="s">
        <v>1893</v>
      </c>
      <c r="M2958" s="50" t="s">
        <v>5531</v>
      </c>
      <c r="N2958" s="50" t="s">
        <v>5531</v>
      </c>
      <c r="O2958" s="50" t="s">
        <v>5451</v>
      </c>
      <c r="P2958" s="50" t="s">
        <v>5531</v>
      </c>
    </row>
    <row r="2959" spans="1:16" ht="12.75" customHeight="1" x14ac:dyDescent="0.25">
      <c r="A2959" s="311">
        <v>2956</v>
      </c>
      <c r="B2959" s="311" t="s">
        <v>121</v>
      </c>
      <c r="C2959" s="311" t="s">
        <v>121</v>
      </c>
      <c r="D2959" s="311" t="s">
        <v>462</v>
      </c>
      <c r="E2959" s="337" t="s">
        <v>121</v>
      </c>
      <c r="F2959" s="311" t="s">
        <v>301</v>
      </c>
      <c r="G2959" s="311" t="s">
        <v>237</v>
      </c>
      <c r="H2959" s="311" t="s">
        <v>370</v>
      </c>
      <c r="I2959" s="311" t="s">
        <v>66</v>
      </c>
      <c r="J2959" s="50" t="s">
        <v>1892</v>
      </c>
      <c r="K2959" s="50" t="s">
        <v>1892</v>
      </c>
      <c r="L2959" s="50" t="s">
        <v>1893</v>
      </c>
      <c r="M2959" s="50" t="s">
        <v>5532</v>
      </c>
      <c r="N2959" s="50" t="s">
        <v>5532</v>
      </c>
      <c r="O2959" s="50" t="s">
        <v>5451</v>
      </c>
      <c r="P2959" s="50" t="s">
        <v>5532</v>
      </c>
    </row>
    <row r="2960" spans="1:16" ht="12.75" customHeight="1" x14ac:dyDescent="0.25">
      <c r="A2960" s="311">
        <v>2957</v>
      </c>
      <c r="B2960" s="311" t="s">
        <v>87</v>
      </c>
      <c r="C2960" s="311" t="s">
        <v>87</v>
      </c>
      <c r="D2960" s="311" t="s">
        <v>462</v>
      </c>
      <c r="E2960" s="337" t="s">
        <v>87</v>
      </c>
      <c r="F2960" s="311" t="s">
        <v>301</v>
      </c>
      <c r="G2960" s="311" t="s">
        <v>237</v>
      </c>
      <c r="H2960" s="311" t="s">
        <v>370</v>
      </c>
      <c r="I2960" s="311" t="s">
        <v>66</v>
      </c>
      <c r="J2960" s="50" t="s">
        <v>1892</v>
      </c>
      <c r="K2960" s="50" t="s">
        <v>1892</v>
      </c>
      <c r="L2960" s="50" t="s">
        <v>1893</v>
      </c>
      <c r="M2960" s="50" t="s">
        <v>5533</v>
      </c>
      <c r="N2960" s="50" t="s">
        <v>5533</v>
      </c>
      <c r="O2960" s="50" t="s">
        <v>5451</v>
      </c>
      <c r="P2960" s="50" t="s">
        <v>5533</v>
      </c>
    </row>
    <row r="2961" spans="1:16" ht="12.75" customHeight="1" x14ac:dyDescent="0.25">
      <c r="A2961" s="311">
        <v>2958</v>
      </c>
      <c r="B2961" s="311" t="s">
        <v>125</v>
      </c>
      <c r="C2961" s="311" t="s">
        <v>125</v>
      </c>
      <c r="D2961" s="311" t="s">
        <v>125</v>
      </c>
      <c r="E2961" s="337" t="s">
        <v>125</v>
      </c>
      <c r="F2961" s="311" t="s">
        <v>301</v>
      </c>
      <c r="G2961" s="311" t="s">
        <v>237</v>
      </c>
      <c r="H2961" s="311" t="s">
        <v>370</v>
      </c>
      <c r="I2961" s="311" t="s">
        <v>66</v>
      </c>
      <c r="J2961" s="50" t="s">
        <v>1892</v>
      </c>
      <c r="K2961" s="50" t="s">
        <v>1892</v>
      </c>
      <c r="L2961" s="50" t="s">
        <v>1893</v>
      </c>
      <c r="M2961" s="50" t="s">
        <v>5534</v>
      </c>
      <c r="N2961" s="50" t="s">
        <v>5534</v>
      </c>
      <c r="O2961" s="50" t="s">
        <v>5534</v>
      </c>
      <c r="P2961" s="50" t="s">
        <v>5534</v>
      </c>
    </row>
    <row r="2962" spans="1:16" ht="12.75" customHeight="1" x14ac:dyDescent="0.25">
      <c r="A2962" s="311">
        <v>2959</v>
      </c>
      <c r="B2962" s="311" t="s">
        <v>134</v>
      </c>
      <c r="C2962" s="311" t="s">
        <v>134</v>
      </c>
      <c r="D2962" s="311" t="s">
        <v>134</v>
      </c>
      <c r="E2962" s="337" t="s">
        <v>134</v>
      </c>
      <c r="F2962" s="311" t="s">
        <v>301</v>
      </c>
      <c r="G2962" s="311" t="s">
        <v>237</v>
      </c>
      <c r="H2962" s="311" t="s">
        <v>370</v>
      </c>
      <c r="I2962" s="311" t="s">
        <v>66</v>
      </c>
      <c r="J2962" s="50" t="s">
        <v>1892</v>
      </c>
      <c r="K2962" s="50" t="s">
        <v>1892</v>
      </c>
      <c r="L2962" s="50" t="s">
        <v>1893</v>
      </c>
      <c r="M2962" s="50" t="s">
        <v>5535</v>
      </c>
      <c r="N2962" s="50" t="s">
        <v>5535</v>
      </c>
      <c r="O2962" s="50" t="s">
        <v>5535</v>
      </c>
      <c r="P2962" s="50" t="s">
        <v>5535</v>
      </c>
    </row>
    <row r="2963" spans="1:16" ht="12.75" customHeight="1" x14ac:dyDescent="0.25">
      <c r="A2963" s="311">
        <v>2960</v>
      </c>
      <c r="B2963" s="311" t="s">
        <v>141</v>
      </c>
      <c r="C2963" s="311" t="s">
        <v>141</v>
      </c>
      <c r="D2963" s="311" t="s">
        <v>141</v>
      </c>
      <c r="E2963" s="337" t="s">
        <v>141</v>
      </c>
      <c r="F2963" s="311" t="s">
        <v>301</v>
      </c>
      <c r="G2963" s="311" t="s">
        <v>237</v>
      </c>
      <c r="H2963" s="311" t="s">
        <v>370</v>
      </c>
      <c r="I2963" s="311" t="s">
        <v>66</v>
      </c>
      <c r="J2963" s="50" t="s">
        <v>1892</v>
      </c>
      <c r="K2963" s="50" t="s">
        <v>1892</v>
      </c>
      <c r="L2963" s="50" t="s">
        <v>1893</v>
      </c>
      <c r="M2963" s="50" t="s">
        <v>5536</v>
      </c>
      <c r="N2963" s="50" t="s">
        <v>5536</v>
      </c>
      <c r="O2963" s="50" t="s">
        <v>5536</v>
      </c>
      <c r="P2963" s="50" t="s">
        <v>5536</v>
      </c>
    </row>
    <row r="2964" spans="1:16" ht="12.75" customHeight="1" x14ac:dyDescent="0.25">
      <c r="A2964" s="311">
        <v>2961</v>
      </c>
      <c r="B2964" s="311" t="s">
        <v>69</v>
      </c>
      <c r="C2964" s="311" t="s">
        <v>69</v>
      </c>
      <c r="D2964" s="311" t="s">
        <v>69</v>
      </c>
      <c r="E2964" s="337" t="s">
        <v>69</v>
      </c>
      <c r="F2964" s="311" t="s">
        <v>301</v>
      </c>
      <c r="G2964" s="311" t="s">
        <v>237</v>
      </c>
      <c r="H2964" s="311" t="s">
        <v>370</v>
      </c>
      <c r="I2964" s="311" t="s">
        <v>66</v>
      </c>
      <c r="J2964" s="50" t="s">
        <v>1892</v>
      </c>
      <c r="K2964" s="50" t="s">
        <v>1892</v>
      </c>
      <c r="L2964" s="50" t="s">
        <v>1893</v>
      </c>
      <c r="M2964" s="50" t="s">
        <v>5537</v>
      </c>
      <c r="N2964" s="50" t="s">
        <v>5537</v>
      </c>
      <c r="O2964" s="50" t="s">
        <v>5537</v>
      </c>
      <c r="P2964" s="50" t="s">
        <v>5537</v>
      </c>
    </row>
    <row r="2965" spans="1:16" ht="12.75" customHeight="1" x14ac:dyDescent="0.25">
      <c r="A2965" s="311">
        <v>2962</v>
      </c>
      <c r="B2965" s="311" t="s">
        <v>63</v>
      </c>
      <c r="C2965" s="311" t="s">
        <v>63</v>
      </c>
      <c r="D2965" s="311" t="s">
        <v>462</v>
      </c>
      <c r="E2965" s="337" t="s">
        <v>63</v>
      </c>
      <c r="F2965" s="311" t="s">
        <v>252</v>
      </c>
      <c r="G2965" s="311" t="s">
        <v>236</v>
      </c>
      <c r="H2965" s="311" t="s">
        <v>370</v>
      </c>
      <c r="I2965" s="311" t="s">
        <v>66</v>
      </c>
      <c r="J2965" s="50" t="s">
        <v>1892</v>
      </c>
      <c r="K2965" s="50" t="s">
        <v>1892</v>
      </c>
      <c r="L2965" s="50" t="s">
        <v>1893</v>
      </c>
      <c r="M2965" s="50" t="s">
        <v>5538</v>
      </c>
      <c r="N2965" s="50" t="s">
        <v>5538</v>
      </c>
      <c r="O2965" s="50" t="s">
        <v>5455</v>
      </c>
      <c r="P2965" s="50" t="s">
        <v>5538</v>
      </c>
    </row>
    <row r="2966" spans="1:16" ht="12.75" customHeight="1" x14ac:dyDescent="0.25">
      <c r="A2966" s="311">
        <v>2963</v>
      </c>
      <c r="B2966" s="311" t="s">
        <v>140</v>
      </c>
      <c r="C2966" s="311" t="s">
        <v>140</v>
      </c>
      <c r="D2966" s="311" t="s">
        <v>462</v>
      </c>
      <c r="E2966" s="337" t="s">
        <v>140</v>
      </c>
      <c r="F2966" s="311" t="s">
        <v>252</v>
      </c>
      <c r="G2966" s="311" t="s">
        <v>236</v>
      </c>
      <c r="H2966" s="311" t="s">
        <v>370</v>
      </c>
      <c r="I2966" s="311" t="s">
        <v>66</v>
      </c>
      <c r="J2966" s="50" t="s">
        <v>1892</v>
      </c>
      <c r="K2966" s="50" t="s">
        <v>1892</v>
      </c>
      <c r="L2966" s="50" t="s">
        <v>1893</v>
      </c>
      <c r="M2966" s="50" t="s">
        <v>5539</v>
      </c>
      <c r="N2966" s="50" t="s">
        <v>5539</v>
      </c>
      <c r="O2966" s="50" t="s">
        <v>5455</v>
      </c>
      <c r="P2966" s="50" t="s">
        <v>5539</v>
      </c>
    </row>
    <row r="2967" spans="1:16" ht="12.75" customHeight="1" x14ac:dyDescent="0.25">
      <c r="A2967" s="311">
        <v>2964</v>
      </c>
      <c r="B2967" s="311" t="s">
        <v>121</v>
      </c>
      <c r="C2967" s="311" t="s">
        <v>121</v>
      </c>
      <c r="D2967" s="311" t="s">
        <v>462</v>
      </c>
      <c r="E2967" s="337" t="s">
        <v>121</v>
      </c>
      <c r="F2967" s="311" t="s">
        <v>252</v>
      </c>
      <c r="G2967" s="311" t="s">
        <v>236</v>
      </c>
      <c r="H2967" s="311" t="s">
        <v>370</v>
      </c>
      <c r="I2967" s="311" t="s">
        <v>66</v>
      </c>
      <c r="J2967" s="50" t="s">
        <v>1892</v>
      </c>
      <c r="K2967" s="50" t="s">
        <v>1892</v>
      </c>
      <c r="L2967" s="50" t="s">
        <v>1893</v>
      </c>
      <c r="M2967" s="50" t="s">
        <v>5540</v>
      </c>
      <c r="N2967" s="50" t="s">
        <v>5540</v>
      </c>
      <c r="O2967" s="50" t="s">
        <v>5455</v>
      </c>
      <c r="P2967" s="50" t="s">
        <v>5540</v>
      </c>
    </row>
    <row r="2968" spans="1:16" ht="12.75" customHeight="1" x14ac:dyDescent="0.25">
      <c r="A2968" s="311">
        <v>2965</v>
      </c>
      <c r="B2968" s="311" t="s">
        <v>87</v>
      </c>
      <c r="C2968" s="311" t="s">
        <v>87</v>
      </c>
      <c r="D2968" s="311" t="s">
        <v>462</v>
      </c>
      <c r="E2968" s="337" t="s">
        <v>87</v>
      </c>
      <c r="F2968" s="311" t="s">
        <v>252</v>
      </c>
      <c r="G2968" s="311" t="s">
        <v>236</v>
      </c>
      <c r="H2968" s="311" t="s">
        <v>370</v>
      </c>
      <c r="I2968" s="311" t="s">
        <v>66</v>
      </c>
      <c r="J2968" s="50" t="s">
        <v>1892</v>
      </c>
      <c r="K2968" s="50" t="s">
        <v>1892</v>
      </c>
      <c r="L2968" s="50" t="s">
        <v>1893</v>
      </c>
      <c r="M2968" s="50" t="s">
        <v>5541</v>
      </c>
      <c r="N2968" s="50" t="s">
        <v>5541</v>
      </c>
      <c r="O2968" s="50" t="s">
        <v>5455</v>
      </c>
      <c r="P2968" s="50" t="s">
        <v>5541</v>
      </c>
    </row>
    <row r="2969" spans="1:16" ht="12.75" customHeight="1" x14ac:dyDescent="0.25">
      <c r="A2969" s="311">
        <v>2966</v>
      </c>
      <c r="B2969" s="311" t="s">
        <v>125</v>
      </c>
      <c r="C2969" s="311" t="s">
        <v>125</v>
      </c>
      <c r="D2969" s="311" t="s">
        <v>125</v>
      </c>
      <c r="E2969" s="337" t="s">
        <v>125</v>
      </c>
      <c r="F2969" s="311" t="s">
        <v>252</v>
      </c>
      <c r="G2969" s="311" t="s">
        <v>236</v>
      </c>
      <c r="H2969" s="311" t="s">
        <v>370</v>
      </c>
      <c r="I2969" s="311" t="s">
        <v>66</v>
      </c>
      <c r="J2969" s="50" t="s">
        <v>1892</v>
      </c>
      <c r="K2969" s="50" t="s">
        <v>1892</v>
      </c>
      <c r="L2969" s="50" t="s">
        <v>1893</v>
      </c>
      <c r="M2969" s="50" t="s">
        <v>5542</v>
      </c>
      <c r="N2969" s="50" t="s">
        <v>5542</v>
      </c>
      <c r="O2969" s="50" t="s">
        <v>5542</v>
      </c>
      <c r="P2969" s="50" t="s">
        <v>5542</v>
      </c>
    </row>
    <row r="2970" spans="1:16" ht="12.75" customHeight="1" x14ac:dyDescent="0.25">
      <c r="A2970" s="311">
        <v>2967</v>
      </c>
      <c r="B2970" s="311" t="s">
        <v>134</v>
      </c>
      <c r="C2970" s="311" t="s">
        <v>134</v>
      </c>
      <c r="D2970" s="311" t="s">
        <v>134</v>
      </c>
      <c r="E2970" s="337" t="s">
        <v>134</v>
      </c>
      <c r="F2970" s="311" t="s">
        <v>252</v>
      </c>
      <c r="G2970" s="311" t="s">
        <v>236</v>
      </c>
      <c r="H2970" s="311" t="s">
        <v>370</v>
      </c>
      <c r="I2970" s="311" t="s">
        <v>66</v>
      </c>
      <c r="J2970" s="50" t="s">
        <v>1892</v>
      </c>
      <c r="K2970" s="50" t="s">
        <v>1892</v>
      </c>
      <c r="L2970" s="50" t="s">
        <v>1893</v>
      </c>
      <c r="M2970" s="50" t="s">
        <v>5543</v>
      </c>
      <c r="N2970" s="50" t="s">
        <v>5543</v>
      </c>
      <c r="O2970" s="50" t="s">
        <v>5543</v>
      </c>
      <c r="P2970" s="50" t="s">
        <v>5543</v>
      </c>
    </row>
    <row r="2971" spans="1:16" ht="12.75" customHeight="1" x14ac:dyDescent="0.25">
      <c r="A2971" s="311">
        <v>2968</v>
      </c>
      <c r="B2971" s="311" t="s">
        <v>141</v>
      </c>
      <c r="C2971" s="311" t="s">
        <v>141</v>
      </c>
      <c r="D2971" s="311" t="s">
        <v>141</v>
      </c>
      <c r="E2971" s="337" t="s">
        <v>141</v>
      </c>
      <c r="F2971" s="311" t="s">
        <v>252</v>
      </c>
      <c r="G2971" s="311" t="s">
        <v>236</v>
      </c>
      <c r="H2971" s="311" t="s">
        <v>370</v>
      </c>
      <c r="I2971" s="311" t="s">
        <v>66</v>
      </c>
      <c r="J2971" s="50" t="s">
        <v>1892</v>
      </c>
      <c r="K2971" s="50" t="s">
        <v>1892</v>
      </c>
      <c r="L2971" s="50" t="s">
        <v>1893</v>
      </c>
      <c r="M2971" s="50" t="s">
        <v>5544</v>
      </c>
      <c r="N2971" s="50" t="s">
        <v>5544</v>
      </c>
      <c r="O2971" s="50" t="s">
        <v>5544</v>
      </c>
      <c r="P2971" s="50" t="s">
        <v>5544</v>
      </c>
    </row>
    <row r="2972" spans="1:16" ht="12.75" customHeight="1" x14ac:dyDescent="0.25">
      <c r="A2972" s="311">
        <v>2969</v>
      </c>
      <c r="B2972" s="311" t="s">
        <v>69</v>
      </c>
      <c r="C2972" s="311" t="s">
        <v>69</v>
      </c>
      <c r="D2972" s="311" t="s">
        <v>69</v>
      </c>
      <c r="E2972" s="337" t="s">
        <v>69</v>
      </c>
      <c r="F2972" s="311" t="s">
        <v>252</v>
      </c>
      <c r="G2972" s="311" t="s">
        <v>236</v>
      </c>
      <c r="H2972" s="311" t="s">
        <v>370</v>
      </c>
      <c r="I2972" s="311" t="s">
        <v>66</v>
      </c>
      <c r="J2972" s="50" t="s">
        <v>1892</v>
      </c>
      <c r="K2972" s="50" t="s">
        <v>1892</v>
      </c>
      <c r="L2972" s="50" t="s">
        <v>1893</v>
      </c>
      <c r="M2972" s="50" t="s">
        <v>5545</v>
      </c>
      <c r="N2972" s="50" t="s">
        <v>5545</v>
      </c>
      <c r="O2972" s="50" t="s">
        <v>5545</v>
      </c>
      <c r="P2972" s="50" t="s">
        <v>5545</v>
      </c>
    </row>
    <row r="2973" spans="1:16" ht="12.75" customHeight="1" x14ac:dyDescent="0.25">
      <c r="A2973" s="311">
        <v>2970</v>
      </c>
      <c r="B2973" s="311" t="s">
        <v>63</v>
      </c>
      <c r="C2973" s="311" t="s">
        <v>63</v>
      </c>
      <c r="D2973" s="311" t="s">
        <v>462</v>
      </c>
      <c r="E2973" s="337" t="s">
        <v>63</v>
      </c>
      <c r="F2973" s="311" t="s">
        <v>252</v>
      </c>
      <c r="G2973" s="311" t="s">
        <v>23</v>
      </c>
      <c r="H2973" s="311" t="s">
        <v>370</v>
      </c>
      <c r="I2973" s="311" t="s">
        <v>66</v>
      </c>
      <c r="J2973" s="50" t="s">
        <v>1892</v>
      </c>
      <c r="K2973" s="50" t="s">
        <v>1892</v>
      </c>
      <c r="L2973" s="50" t="s">
        <v>1893</v>
      </c>
      <c r="M2973" s="50" t="s">
        <v>5546</v>
      </c>
      <c r="N2973" s="50" t="s">
        <v>5546</v>
      </c>
      <c r="O2973" s="50" t="s">
        <v>5459</v>
      </c>
      <c r="P2973" s="50" t="s">
        <v>5546</v>
      </c>
    </row>
    <row r="2974" spans="1:16" ht="12.75" customHeight="1" x14ac:dyDescent="0.25">
      <c r="A2974" s="311">
        <v>2971</v>
      </c>
      <c r="B2974" s="311" t="s">
        <v>140</v>
      </c>
      <c r="C2974" s="311" t="s">
        <v>140</v>
      </c>
      <c r="D2974" s="311" t="s">
        <v>462</v>
      </c>
      <c r="E2974" s="337" t="s">
        <v>140</v>
      </c>
      <c r="F2974" s="311" t="s">
        <v>252</v>
      </c>
      <c r="G2974" s="311" t="s">
        <v>23</v>
      </c>
      <c r="H2974" s="311" t="s">
        <v>370</v>
      </c>
      <c r="I2974" s="311" t="s">
        <v>66</v>
      </c>
      <c r="J2974" s="50" t="s">
        <v>1892</v>
      </c>
      <c r="K2974" s="50" t="s">
        <v>1892</v>
      </c>
      <c r="L2974" s="50" t="s">
        <v>1893</v>
      </c>
      <c r="M2974" s="50" t="s">
        <v>5547</v>
      </c>
      <c r="N2974" s="50" t="s">
        <v>5547</v>
      </c>
      <c r="O2974" s="50" t="s">
        <v>5459</v>
      </c>
      <c r="P2974" s="50" t="s">
        <v>5547</v>
      </c>
    </row>
    <row r="2975" spans="1:16" ht="12.75" customHeight="1" x14ac:dyDescent="0.25">
      <c r="A2975" s="311">
        <v>2972</v>
      </c>
      <c r="B2975" s="311" t="s">
        <v>121</v>
      </c>
      <c r="C2975" s="311" t="s">
        <v>121</v>
      </c>
      <c r="D2975" s="311" t="s">
        <v>462</v>
      </c>
      <c r="E2975" s="337" t="s">
        <v>121</v>
      </c>
      <c r="F2975" s="311" t="s">
        <v>252</v>
      </c>
      <c r="G2975" s="311" t="s">
        <v>23</v>
      </c>
      <c r="H2975" s="311" t="s">
        <v>370</v>
      </c>
      <c r="I2975" s="311" t="s">
        <v>66</v>
      </c>
      <c r="J2975" s="50" t="s">
        <v>1892</v>
      </c>
      <c r="K2975" s="50" t="s">
        <v>1892</v>
      </c>
      <c r="L2975" s="50" t="s">
        <v>1893</v>
      </c>
      <c r="M2975" s="50" t="s">
        <v>5548</v>
      </c>
      <c r="N2975" s="50" t="s">
        <v>5548</v>
      </c>
      <c r="O2975" s="50" t="s">
        <v>5459</v>
      </c>
      <c r="P2975" s="50" t="s">
        <v>5548</v>
      </c>
    </row>
    <row r="2976" spans="1:16" ht="12.75" customHeight="1" x14ac:dyDescent="0.25">
      <c r="A2976" s="311">
        <v>2973</v>
      </c>
      <c r="B2976" s="311" t="s">
        <v>87</v>
      </c>
      <c r="C2976" s="311" t="s">
        <v>87</v>
      </c>
      <c r="D2976" s="311" t="s">
        <v>462</v>
      </c>
      <c r="E2976" s="337" t="s">
        <v>87</v>
      </c>
      <c r="F2976" s="311" t="s">
        <v>252</v>
      </c>
      <c r="G2976" s="311" t="s">
        <v>23</v>
      </c>
      <c r="H2976" s="311" t="s">
        <v>370</v>
      </c>
      <c r="I2976" s="311" t="s">
        <v>66</v>
      </c>
      <c r="J2976" s="50" t="s">
        <v>1892</v>
      </c>
      <c r="K2976" s="50" t="s">
        <v>1892</v>
      </c>
      <c r="L2976" s="50" t="s">
        <v>1893</v>
      </c>
      <c r="M2976" s="50" t="s">
        <v>5549</v>
      </c>
      <c r="N2976" s="50" t="s">
        <v>5549</v>
      </c>
      <c r="O2976" s="50" t="s">
        <v>5459</v>
      </c>
      <c r="P2976" s="50" t="s">
        <v>5549</v>
      </c>
    </row>
    <row r="2977" spans="1:16" ht="12.75" customHeight="1" x14ac:dyDescent="0.25">
      <c r="A2977" s="311">
        <v>2974</v>
      </c>
      <c r="B2977" s="311" t="s">
        <v>125</v>
      </c>
      <c r="C2977" s="311" t="s">
        <v>125</v>
      </c>
      <c r="D2977" s="311" t="s">
        <v>125</v>
      </c>
      <c r="E2977" s="337" t="s">
        <v>125</v>
      </c>
      <c r="F2977" s="311" t="s">
        <v>252</v>
      </c>
      <c r="G2977" s="311" t="s">
        <v>23</v>
      </c>
      <c r="H2977" s="311" t="s">
        <v>370</v>
      </c>
      <c r="I2977" s="311" t="s">
        <v>66</v>
      </c>
      <c r="J2977" s="50" t="s">
        <v>1892</v>
      </c>
      <c r="K2977" s="50" t="s">
        <v>1892</v>
      </c>
      <c r="L2977" s="50" t="s">
        <v>1893</v>
      </c>
      <c r="M2977" s="50" t="s">
        <v>5550</v>
      </c>
      <c r="N2977" s="50" t="s">
        <v>5550</v>
      </c>
      <c r="O2977" s="50" t="s">
        <v>5550</v>
      </c>
      <c r="P2977" s="50" t="s">
        <v>5550</v>
      </c>
    </row>
    <row r="2978" spans="1:16" ht="12.75" customHeight="1" x14ac:dyDescent="0.25">
      <c r="A2978" s="311">
        <v>2975</v>
      </c>
      <c r="B2978" s="311" t="s">
        <v>134</v>
      </c>
      <c r="C2978" s="311" t="s">
        <v>134</v>
      </c>
      <c r="D2978" s="311" t="s">
        <v>134</v>
      </c>
      <c r="E2978" s="337" t="s">
        <v>134</v>
      </c>
      <c r="F2978" s="311" t="s">
        <v>252</v>
      </c>
      <c r="G2978" s="311" t="s">
        <v>23</v>
      </c>
      <c r="H2978" s="311" t="s">
        <v>370</v>
      </c>
      <c r="I2978" s="311" t="s">
        <v>66</v>
      </c>
      <c r="J2978" s="50" t="s">
        <v>1892</v>
      </c>
      <c r="K2978" s="50" t="s">
        <v>1892</v>
      </c>
      <c r="L2978" s="50" t="s">
        <v>1893</v>
      </c>
      <c r="M2978" s="50" t="s">
        <v>5551</v>
      </c>
      <c r="N2978" s="50" t="s">
        <v>5551</v>
      </c>
      <c r="O2978" s="50" t="s">
        <v>5551</v>
      </c>
      <c r="P2978" s="50" t="s">
        <v>5551</v>
      </c>
    </row>
    <row r="2979" spans="1:16" ht="12.75" customHeight="1" x14ac:dyDescent="0.25">
      <c r="A2979" s="311">
        <v>2976</v>
      </c>
      <c r="B2979" s="311" t="s">
        <v>141</v>
      </c>
      <c r="C2979" s="311" t="s">
        <v>141</v>
      </c>
      <c r="D2979" s="311" t="s">
        <v>141</v>
      </c>
      <c r="E2979" s="337" t="s">
        <v>141</v>
      </c>
      <c r="F2979" s="311" t="s">
        <v>252</v>
      </c>
      <c r="G2979" s="311" t="s">
        <v>23</v>
      </c>
      <c r="H2979" s="311" t="s">
        <v>370</v>
      </c>
      <c r="I2979" s="311" t="s">
        <v>66</v>
      </c>
      <c r="J2979" s="50" t="s">
        <v>1892</v>
      </c>
      <c r="K2979" s="50" t="s">
        <v>1892</v>
      </c>
      <c r="L2979" s="50" t="s">
        <v>1893</v>
      </c>
      <c r="M2979" s="50" t="s">
        <v>5552</v>
      </c>
      <c r="N2979" s="50" t="s">
        <v>5552</v>
      </c>
      <c r="O2979" s="50" t="s">
        <v>5552</v>
      </c>
      <c r="P2979" s="50" t="s">
        <v>5552</v>
      </c>
    </row>
    <row r="2980" spans="1:16" ht="12.75" customHeight="1" x14ac:dyDescent="0.25">
      <c r="A2980" s="311">
        <v>2977</v>
      </c>
      <c r="B2980" s="311" t="s">
        <v>69</v>
      </c>
      <c r="C2980" s="311" t="s">
        <v>69</v>
      </c>
      <c r="D2980" s="311" t="s">
        <v>69</v>
      </c>
      <c r="E2980" s="337" t="s">
        <v>69</v>
      </c>
      <c r="F2980" s="311" t="s">
        <v>252</v>
      </c>
      <c r="G2980" s="311" t="s">
        <v>23</v>
      </c>
      <c r="H2980" s="311" t="s">
        <v>370</v>
      </c>
      <c r="I2980" s="311" t="s">
        <v>66</v>
      </c>
      <c r="J2980" s="50" t="s">
        <v>1892</v>
      </c>
      <c r="K2980" s="50" t="s">
        <v>1892</v>
      </c>
      <c r="L2980" s="50" t="s">
        <v>1893</v>
      </c>
      <c r="M2980" s="50" t="s">
        <v>5553</v>
      </c>
      <c r="N2980" s="50" t="s">
        <v>5553</v>
      </c>
      <c r="O2980" s="50" t="s">
        <v>5553</v>
      </c>
      <c r="P2980" s="50" t="s">
        <v>5553</v>
      </c>
    </row>
    <row r="2981" spans="1:16" ht="12.75" customHeight="1" x14ac:dyDescent="0.25">
      <c r="A2981" s="311">
        <v>2978</v>
      </c>
      <c r="B2981" s="311" t="s">
        <v>63</v>
      </c>
      <c r="C2981" s="311" t="s">
        <v>63</v>
      </c>
      <c r="D2981" s="311" t="s">
        <v>462</v>
      </c>
      <c r="E2981" s="337" t="s">
        <v>63</v>
      </c>
      <c r="F2981" s="311" t="s">
        <v>252</v>
      </c>
      <c r="G2981" s="311" t="s">
        <v>237</v>
      </c>
      <c r="H2981" s="311" t="s">
        <v>370</v>
      </c>
      <c r="I2981" s="311" t="s">
        <v>66</v>
      </c>
      <c r="J2981" s="50" t="s">
        <v>1892</v>
      </c>
      <c r="K2981" s="50" t="s">
        <v>1892</v>
      </c>
      <c r="L2981" s="50" t="s">
        <v>1893</v>
      </c>
      <c r="M2981" s="50" t="s">
        <v>5554</v>
      </c>
      <c r="N2981" s="50" t="s">
        <v>5554</v>
      </c>
      <c r="O2981" s="50" t="s">
        <v>5463</v>
      </c>
      <c r="P2981" s="50" t="s">
        <v>5554</v>
      </c>
    </row>
    <row r="2982" spans="1:16" ht="12.75" customHeight="1" x14ac:dyDescent="0.25">
      <c r="A2982" s="311">
        <v>2979</v>
      </c>
      <c r="B2982" s="311" t="s">
        <v>140</v>
      </c>
      <c r="C2982" s="311" t="s">
        <v>140</v>
      </c>
      <c r="D2982" s="311" t="s">
        <v>462</v>
      </c>
      <c r="E2982" s="337" t="s">
        <v>140</v>
      </c>
      <c r="F2982" s="311" t="s">
        <v>252</v>
      </c>
      <c r="G2982" s="311" t="s">
        <v>237</v>
      </c>
      <c r="H2982" s="311" t="s">
        <v>370</v>
      </c>
      <c r="I2982" s="311" t="s">
        <v>66</v>
      </c>
      <c r="J2982" s="50" t="s">
        <v>1892</v>
      </c>
      <c r="K2982" s="50" t="s">
        <v>1892</v>
      </c>
      <c r="L2982" s="50" t="s">
        <v>1893</v>
      </c>
      <c r="M2982" s="50" t="s">
        <v>5555</v>
      </c>
      <c r="N2982" s="50" t="s">
        <v>5555</v>
      </c>
      <c r="O2982" s="50" t="s">
        <v>5463</v>
      </c>
      <c r="P2982" s="50" t="s">
        <v>5555</v>
      </c>
    </row>
    <row r="2983" spans="1:16" ht="12.75" customHeight="1" x14ac:dyDescent="0.25">
      <c r="A2983" s="311">
        <v>2980</v>
      </c>
      <c r="B2983" s="311" t="s">
        <v>121</v>
      </c>
      <c r="C2983" s="311" t="s">
        <v>121</v>
      </c>
      <c r="D2983" s="311" t="s">
        <v>462</v>
      </c>
      <c r="E2983" s="337" t="s">
        <v>121</v>
      </c>
      <c r="F2983" s="311" t="s">
        <v>252</v>
      </c>
      <c r="G2983" s="311" t="s">
        <v>237</v>
      </c>
      <c r="H2983" s="311" t="s">
        <v>370</v>
      </c>
      <c r="I2983" s="311" t="s">
        <v>66</v>
      </c>
      <c r="J2983" s="50" t="s">
        <v>1892</v>
      </c>
      <c r="K2983" s="50" t="s">
        <v>1892</v>
      </c>
      <c r="L2983" s="50" t="s">
        <v>1893</v>
      </c>
      <c r="M2983" s="50" t="s">
        <v>5556</v>
      </c>
      <c r="N2983" s="50" t="s">
        <v>5556</v>
      </c>
      <c r="O2983" s="50" t="s">
        <v>5463</v>
      </c>
      <c r="P2983" s="50" t="s">
        <v>5556</v>
      </c>
    </row>
    <row r="2984" spans="1:16" ht="12.75" customHeight="1" x14ac:dyDescent="0.25">
      <c r="A2984" s="311">
        <v>2981</v>
      </c>
      <c r="B2984" s="311" t="s">
        <v>87</v>
      </c>
      <c r="C2984" s="311" t="s">
        <v>87</v>
      </c>
      <c r="D2984" s="311" t="s">
        <v>462</v>
      </c>
      <c r="E2984" s="337" t="s">
        <v>87</v>
      </c>
      <c r="F2984" s="311" t="s">
        <v>252</v>
      </c>
      <c r="G2984" s="311" t="s">
        <v>237</v>
      </c>
      <c r="H2984" s="311" t="s">
        <v>370</v>
      </c>
      <c r="I2984" s="311" t="s">
        <v>66</v>
      </c>
      <c r="J2984" s="50" t="s">
        <v>1892</v>
      </c>
      <c r="K2984" s="50" t="s">
        <v>1892</v>
      </c>
      <c r="L2984" s="50" t="s">
        <v>1893</v>
      </c>
      <c r="M2984" s="50" t="s">
        <v>5557</v>
      </c>
      <c r="N2984" s="50" t="s">
        <v>5557</v>
      </c>
      <c r="O2984" s="50" t="s">
        <v>5463</v>
      </c>
      <c r="P2984" s="50" t="s">
        <v>5557</v>
      </c>
    </row>
    <row r="2985" spans="1:16" ht="12.75" customHeight="1" x14ac:dyDescent="0.25">
      <c r="A2985" s="311">
        <v>2982</v>
      </c>
      <c r="B2985" s="311" t="s">
        <v>125</v>
      </c>
      <c r="C2985" s="311" t="s">
        <v>125</v>
      </c>
      <c r="D2985" s="311" t="s">
        <v>125</v>
      </c>
      <c r="E2985" s="337" t="s">
        <v>125</v>
      </c>
      <c r="F2985" s="311" t="s">
        <v>252</v>
      </c>
      <c r="G2985" s="311" t="s">
        <v>237</v>
      </c>
      <c r="H2985" s="311" t="s">
        <v>370</v>
      </c>
      <c r="I2985" s="311" t="s">
        <v>66</v>
      </c>
      <c r="J2985" s="50" t="s">
        <v>1892</v>
      </c>
      <c r="K2985" s="50" t="s">
        <v>1892</v>
      </c>
      <c r="L2985" s="50" t="s">
        <v>1893</v>
      </c>
      <c r="M2985" s="50" t="s">
        <v>5558</v>
      </c>
      <c r="N2985" s="50" t="s">
        <v>5558</v>
      </c>
      <c r="O2985" s="50" t="s">
        <v>5558</v>
      </c>
      <c r="P2985" s="50" t="s">
        <v>5558</v>
      </c>
    </row>
    <row r="2986" spans="1:16" ht="12.75" customHeight="1" x14ac:dyDescent="0.25">
      <c r="A2986" s="311">
        <v>2983</v>
      </c>
      <c r="B2986" s="311" t="s">
        <v>134</v>
      </c>
      <c r="C2986" s="311" t="s">
        <v>134</v>
      </c>
      <c r="D2986" s="311" t="s">
        <v>134</v>
      </c>
      <c r="E2986" s="337" t="s">
        <v>134</v>
      </c>
      <c r="F2986" s="311" t="s">
        <v>252</v>
      </c>
      <c r="G2986" s="311" t="s">
        <v>237</v>
      </c>
      <c r="H2986" s="311" t="s">
        <v>370</v>
      </c>
      <c r="I2986" s="311" t="s">
        <v>66</v>
      </c>
      <c r="J2986" s="50" t="s">
        <v>1892</v>
      </c>
      <c r="K2986" s="50" t="s">
        <v>1892</v>
      </c>
      <c r="L2986" s="50" t="s">
        <v>1893</v>
      </c>
      <c r="M2986" s="50" t="s">
        <v>5559</v>
      </c>
      <c r="N2986" s="50" t="s">
        <v>5559</v>
      </c>
      <c r="O2986" s="50" t="s">
        <v>5559</v>
      </c>
      <c r="P2986" s="50" t="s">
        <v>5559</v>
      </c>
    </row>
    <row r="2987" spans="1:16" ht="12.75" customHeight="1" x14ac:dyDescent="0.25">
      <c r="A2987" s="311">
        <v>2984</v>
      </c>
      <c r="B2987" s="311" t="s">
        <v>141</v>
      </c>
      <c r="C2987" s="311" t="s">
        <v>141</v>
      </c>
      <c r="D2987" s="311" t="s">
        <v>141</v>
      </c>
      <c r="E2987" s="337" t="s">
        <v>141</v>
      </c>
      <c r="F2987" s="311" t="s">
        <v>252</v>
      </c>
      <c r="G2987" s="311" t="s">
        <v>237</v>
      </c>
      <c r="H2987" s="311" t="s">
        <v>370</v>
      </c>
      <c r="I2987" s="311" t="s">
        <v>66</v>
      </c>
      <c r="J2987" s="50" t="s">
        <v>1892</v>
      </c>
      <c r="K2987" s="50" t="s">
        <v>1892</v>
      </c>
      <c r="L2987" s="50" t="s">
        <v>1893</v>
      </c>
      <c r="M2987" s="50" t="s">
        <v>5560</v>
      </c>
      <c r="N2987" s="50" t="s">
        <v>5560</v>
      </c>
      <c r="O2987" s="50" t="s">
        <v>5560</v>
      </c>
      <c r="P2987" s="50" t="s">
        <v>5560</v>
      </c>
    </row>
    <row r="2988" spans="1:16" ht="12.75" customHeight="1" x14ac:dyDescent="0.25">
      <c r="A2988" s="311">
        <v>2985</v>
      </c>
      <c r="B2988" s="311" t="s">
        <v>69</v>
      </c>
      <c r="C2988" s="311" t="s">
        <v>69</v>
      </c>
      <c r="D2988" s="311" t="s">
        <v>69</v>
      </c>
      <c r="E2988" s="337" t="s">
        <v>69</v>
      </c>
      <c r="F2988" s="311" t="s">
        <v>252</v>
      </c>
      <c r="G2988" s="311" t="s">
        <v>237</v>
      </c>
      <c r="H2988" s="311" t="s">
        <v>370</v>
      </c>
      <c r="I2988" s="311" t="s">
        <v>66</v>
      </c>
      <c r="J2988" s="50" t="s">
        <v>1892</v>
      </c>
      <c r="K2988" s="50" t="s">
        <v>1892</v>
      </c>
      <c r="L2988" s="50" t="s">
        <v>1893</v>
      </c>
      <c r="M2988" s="50" t="s">
        <v>5561</v>
      </c>
      <c r="N2988" s="50" t="s">
        <v>5561</v>
      </c>
      <c r="O2988" s="50" t="s">
        <v>5561</v>
      </c>
      <c r="P2988" s="50" t="s">
        <v>5561</v>
      </c>
    </row>
    <row r="2989" spans="1:16" ht="12.75" customHeight="1" x14ac:dyDescent="0.25">
      <c r="A2989" s="311">
        <v>2986</v>
      </c>
      <c r="B2989" s="311" t="s">
        <v>63</v>
      </c>
      <c r="C2989" s="311" t="s">
        <v>63</v>
      </c>
      <c r="D2989" s="311" t="s">
        <v>462</v>
      </c>
      <c r="E2989" s="337" t="s">
        <v>63</v>
      </c>
      <c r="F2989" s="311" t="s">
        <v>310</v>
      </c>
      <c r="G2989" s="311" t="s">
        <v>236</v>
      </c>
      <c r="H2989" s="311" t="s">
        <v>370</v>
      </c>
      <c r="I2989" s="311" t="s">
        <v>66</v>
      </c>
      <c r="J2989" s="50" t="s">
        <v>1892</v>
      </c>
      <c r="K2989" s="50" t="s">
        <v>1892</v>
      </c>
      <c r="L2989" s="50" t="s">
        <v>1893</v>
      </c>
      <c r="M2989" s="50" t="s">
        <v>5562</v>
      </c>
      <c r="N2989" s="50" t="s">
        <v>5562</v>
      </c>
      <c r="O2989" s="50" t="s">
        <v>5467</v>
      </c>
      <c r="P2989" s="50" t="s">
        <v>5562</v>
      </c>
    </row>
    <row r="2990" spans="1:16" ht="12.75" customHeight="1" x14ac:dyDescent="0.25">
      <c r="A2990" s="311">
        <v>2987</v>
      </c>
      <c r="B2990" s="311" t="s">
        <v>140</v>
      </c>
      <c r="C2990" s="311" t="s">
        <v>140</v>
      </c>
      <c r="D2990" s="311" t="s">
        <v>462</v>
      </c>
      <c r="E2990" s="337" t="s">
        <v>140</v>
      </c>
      <c r="F2990" s="311" t="s">
        <v>310</v>
      </c>
      <c r="G2990" s="311" t="s">
        <v>236</v>
      </c>
      <c r="H2990" s="311" t="s">
        <v>370</v>
      </c>
      <c r="I2990" s="311" t="s">
        <v>66</v>
      </c>
      <c r="J2990" s="50" t="s">
        <v>1892</v>
      </c>
      <c r="K2990" s="50" t="s">
        <v>1892</v>
      </c>
      <c r="L2990" s="50" t="s">
        <v>1893</v>
      </c>
      <c r="M2990" s="50" t="s">
        <v>5563</v>
      </c>
      <c r="N2990" s="50" t="s">
        <v>5563</v>
      </c>
      <c r="O2990" s="50" t="s">
        <v>5467</v>
      </c>
      <c r="P2990" s="50" t="s">
        <v>5563</v>
      </c>
    </row>
    <row r="2991" spans="1:16" ht="12.75" customHeight="1" x14ac:dyDescent="0.25">
      <c r="A2991" s="311">
        <v>2988</v>
      </c>
      <c r="B2991" s="311" t="s">
        <v>121</v>
      </c>
      <c r="C2991" s="311" t="s">
        <v>121</v>
      </c>
      <c r="D2991" s="311" t="s">
        <v>462</v>
      </c>
      <c r="E2991" s="337" t="s">
        <v>121</v>
      </c>
      <c r="F2991" s="311" t="s">
        <v>310</v>
      </c>
      <c r="G2991" s="311" t="s">
        <v>236</v>
      </c>
      <c r="H2991" s="311" t="s">
        <v>370</v>
      </c>
      <c r="I2991" s="311" t="s">
        <v>66</v>
      </c>
      <c r="J2991" s="50" t="s">
        <v>1892</v>
      </c>
      <c r="K2991" s="50" t="s">
        <v>1892</v>
      </c>
      <c r="L2991" s="50" t="s">
        <v>1893</v>
      </c>
      <c r="M2991" s="50" t="s">
        <v>5564</v>
      </c>
      <c r="N2991" s="50" t="s">
        <v>5564</v>
      </c>
      <c r="O2991" s="50" t="s">
        <v>5467</v>
      </c>
      <c r="P2991" s="50" t="s">
        <v>5564</v>
      </c>
    </row>
    <row r="2992" spans="1:16" ht="12.75" customHeight="1" x14ac:dyDescent="0.25">
      <c r="A2992" s="311">
        <v>2989</v>
      </c>
      <c r="B2992" s="311" t="s">
        <v>87</v>
      </c>
      <c r="C2992" s="311" t="s">
        <v>87</v>
      </c>
      <c r="D2992" s="311" t="s">
        <v>462</v>
      </c>
      <c r="E2992" s="337" t="s">
        <v>87</v>
      </c>
      <c r="F2992" s="311" t="s">
        <v>310</v>
      </c>
      <c r="G2992" s="311" t="s">
        <v>236</v>
      </c>
      <c r="H2992" s="311" t="s">
        <v>370</v>
      </c>
      <c r="I2992" s="311" t="s">
        <v>66</v>
      </c>
      <c r="J2992" s="50" t="s">
        <v>1892</v>
      </c>
      <c r="K2992" s="50" t="s">
        <v>1892</v>
      </c>
      <c r="L2992" s="50" t="s">
        <v>1893</v>
      </c>
      <c r="M2992" s="50" t="s">
        <v>5565</v>
      </c>
      <c r="N2992" s="50" t="s">
        <v>5565</v>
      </c>
      <c r="O2992" s="50" t="s">
        <v>5467</v>
      </c>
      <c r="P2992" s="50" t="s">
        <v>5565</v>
      </c>
    </row>
    <row r="2993" spans="1:16" ht="12.75" customHeight="1" x14ac:dyDescent="0.25">
      <c r="A2993" s="311">
        <v>2990</v>
      </c>
      <c r="B2993" s="311" t="s">
        <v>125</v>
      </c>
      <c r="C2993" s="311" t="s">
        <v>125</v>
      </c>
      <c r="D2993" s="311" t="s">
        <v>125</v>
      </c>
      <c r="E2993" s="337" t="s">
        <v>125</v>
      </c>
      <c r="F2993" s="311" t="s">
        <v>310</v>
      </c>
      <c r="G2993" s="311" t="s">
        <v>236</v>
      </c>
      <c r="H2993" s="311" t="s">
        <v>370</v>
      </c>
      <c r="I2993" s="311" t="s">
        <v>66</v>
      </c>
      <c r="J2993" s="50" t="s">
        <v>1892</v>
      </c>
      <c r="K2993" s="50" t="s">
        <v>1892</v>
      </c>
      <c r="L2993" s="50" t="s">
        <v>1893</v>
      </c>
      <c r="M2993" s="50" t="s">
        <v>5566</v>
      </c>
      <c r="N2993" s="50" t="s">
        <v>5566</v>
      </c>
      <c r="O2993" s="50" t="s">
        <v>5566</v>
      </c>
      <c r="P2993" s="50" t="s">
        <v>5566</v>
      </c>
    </row>
    <row r="2994" spans="1:16" ht="12.75" customHeight="1" x14ac:dyDescent="0.25">
      <c r="A2994" s="311">
        <v>2991</v>
      </c>
      <c r="B2994" s="311" t="s">
        <v>134</v>
      </c>
      <c r="C2994" s="311" t="s">
        <v>134</v>
      </c>
      <c r="D2994" s="311" t="s">
        <v>134</v>
      </c>
      <c r="E2994" s="337" t="s">
        <v>134</v>
      </c>
      <c r="F2994" s="311" t="s">
        <v>310</v>
      </c>
      <c r="G2994" s="311" t="s">
        <v>236</v>
      </c>
      <c r="H2994" s="311" t="s">
        <v>370</v>
      </c>
      <c r="I2994" s="311" t="s">
        <v>66</v>
      </c>
      <c r="J2994" s="50" t="s">
        <v>1892</v>
      </c>
      <c r="K2994" s="50" t="s">
        <v>1892</v>
      </c>
      <c r="L2994" s="50" t="s">
        <v>1893</v>
      </c>
      <c r="M2994" s="50" t="s">
        <v>5567</v>
      </c>
      <c r="N2994" s="50" t="s">
        <v>5567</v>
      </c>
      <c r="O2994" s="50" t="s">
        <v>5567</v>
      </c>
      <c r="P2994" s="50" t="s">
        <v>5567</v>
      </c>
    </row>
    <row r="2995" spans="1:16" ht="12.75" customHeight="1" x14ac:dyDescent="0.25">
      <c r="A2995" s="311">
        <v>2992</v>
      </c>
      <c r="B2995" s="311" t="s">
        <v>141</v>
      </c>
      <c r="C2995" s="311" t="s">
        <v>141</v>
      </c>
      <c r="D2995" s="311" t="s">
        <v>141</v>
      </c>
      <c r="E2995" s="337" t="s">
        <v>141</v>
      </c>
      <c r="F2995" s="311" t="s">
        <v>310</v>
      </c>
      <c r="G2995" s="311" t="s">
        <v>236</v>
      </c>
      <c r="H2995" s="311" t="s">
        <v>370</v>
      </c>
      <c r="I2995" s="311" t="s">
        <v>66</v>
      </c>
      <c r="J2995" s="50" t="s">
        <v>1892</v>
      </c>
      <c r="K2995" s="50" t="s">
        <v>1892</v>
      </c>
      <c r="L2995" s="50" t="s">
        <v>1893</v>
      </c>
      <c r="M2995" s="50" t="s">
        <v>5568</v>
      </c>
      <c r="N2995" s="50" t="s">
        <v>5568</v>
      </c>
      <c r="O2995" s="50" t="s">
        <v>5568</v>
      </c>
      <c r="P2995" s="50" t="s">
        <v>5568</v>
      </c>
    </row>
    <row r="2996" spans="1:16" ht="12.75" customHeight="1" x14ac:dyDescent="0.25">
      <c r="A2996" s="311">
        <v>2993</v>
      </c>
      <c r="B2996" s="311" t="s">
        <v>69</v>
      </c>
      <c r="C2996" s="311" t="s">
        <v>69</v>
      </c>
      <c r="D2996" s="311" t="s">
        <v>69</v>
      </c>
      <c r="E2996" s="337" t="s">
        <v>69</v>
      </c>
      <c r="F2996" s="311" t="s">
        <v>310</v>
      </c>
      <c r="G2996" s="311" t="s">
        <v>236</v>
      </c>
      <c r="H2996" s="311" t="s">
        <v>370</v>
      </c>
      <c r="I2996" s="311" t="s">
        <v>66</v>
      </c>
      <c r="J2996" s="50" t="s">
        <v>1892</v>
      </c>
      <c r="K2996" s="50" t="s">
        <v>1892</v>
      </c>
      <c r="L2996" s="50" t="s">
        <v>1893</v>
      </c>
      <c r="M2996" s="50" t="s">
        <v>5569</v>
      </c>
      <c r="N2996" s="50" t="s">
        <v>5569</v>
      </c>
      <c r="O2996" s="50" t="s">
        <v>5569</v>
      </c>
      <c r="P2996" s="50" t="s">
        <v>5569</v>
      </c>
    </row>
    <row r="2997" spans="1:16" ht="12.75" customHeight="1" x14ac:dyDescent="0.25">
      <c r="A2997" s="311">
        <v>2994</v>
      </c>
      <c r="B2997" s="311" t="s">
        <v>63</v>
      </c>
      <c r="C2997" s="311" t="s">
        <v>63</v>
      </c>
      <c r="D2997" s="311" t="s">
        <v>462</v>
      </c>
      <c r="E2997" s="337" t="s">
        <v>63</v>
      </c>
      <c r="F2997" s="311" t="s">
        <v>310</v>
      </c>
      <c r="G2997" s="311" t="s">
        <v>23</v>
      </c>
      <c r="H2997" s="311" t="s">
        <v>370</v>
      </c>
      <c r="I2997" s="311" t="s">
        <v>66</v>
      </c>
      <c r="J2997" s="50" t="s">
        <v>1892</v>
      </c>
      <c r="K2997" s="50" t="s">
        <v>1892</v>
      </c>
      <c r="L2997" s="50" t="s">
        <v>1893</v>
      </c>
      <c r="M2997" s="50" t="s">
        <v>5570</v>
      </c>
      <c r="N2997" s="50" t="s">
        <v>5570</v>
      </c>
      <c r="O2997" s="50" t="s">
        <v>5471</v>
      </c>
      <c r="P2997" s="50" t="s">
        <v>5570</v>
      </c>
    </row>
    <row r="2998" spans="1:16" ht="12.75" customHeight="1" x14ac:dyDescent="0.25">
      <c r="A2998" s="311">
        <v>2995</v>
      </c>
      <c r="B2998" s="311" t="s">
        <v>140</v>
      </c>
      <c r="C2998" s="311" t="s">
        <v>140</v>
      </c>
      <c r="D2998" s="311" t="s">
        <v>462</v>
      </c>
      <c r="E2998" s="337" t="s">
        <v>140</v>
      </c>
      <c r="F2998" s="311" t="s">
        <v>310</v>
      </c>
      <c r="G2998" s="311" t="s">
        <v>23</v>
      </c>
      <c r="H2998" s="311" t="s">
        <v>370</v>
      </c>
      <c r="I2998" s="311" t="s">
        <v>66</v>
      </c>
      <c r="J2998" s="50" t="s">
        <v>1892</v>
      </c>
      <c r="K2998" s="50" t="s">
        <v>1892</v>
      </c>
      <c r="L2998" s="50" t="s">
        <v>1893</v>
      </c>
      <c r="M2998" s="50" t="s">
        <v>5571</v>
      </c>
      <c r="N2998" s="50" t="s">
        <v>5571</v>
      </c>
      <c r="O2998" s="50" t="s">
        <v>5471</v>
      </c>
      <c r="P2998" s="50" t="s">
        <v>5571</v>
      </c>
    </row>
    <row r="2999" spans="1:16" ht="12.75" customHeight="1" x14ac:dyDescent="0.25">
      <c r="A2999" s="311">
        <v>2996</v>
      </c>
      <c r="B2999" s="311" t="s">
        <v>121</v>
      </c>
      <c r="C2999" s="311" t="s">
        <v>121</v>
      </c>
      <c r="D2999" s="311" t="s">
        <v>462</v>
      </c>
      <c r="E2999" s="337" t="s">
        <v>121</v>
      </c>
      <c r="F2999" s="311" t="s">
        <v>310</v>
      </c>
      <c r="G2999" s="311" t="s">
        <v>23</v>
      </c>
      <c r="H2999" s="311" t="s">
        <v>370</v>
      </c>
      <c r="I2999" s="311" t="s">
        <v>66</v>
      </c>
      <c r="J2999" s="50" t="s">
        <v>1892</v>
      </c>
      <c r="K2999" s="50" t="s">
        <v>1892</v>
      </c>
      <c r="L2999" s="50" t="s">
        <v>1893</v>
      </c>
      <c r="M2999" s="50" t="s">
        <v>5572</v>
      </c>
      <c r="N2999" s="50" t="s">
        <v>5572</v>
      </c>
      <c r="O2999" s="50" t="s">
        <v>5471</v>
      </c>
      <c r="P2999" s="50" t="s">
        <v>5572</v>
      </c>
    </row>
    <row r="3000" spans="1:16" ht="12.75" customHeight="1" x14ac:dyDescent="0.25">
      <c r="A3000" s="311">
        <v>2997</v>
      </c>
      <c r="B3000" s="311" t="s">
        <v>87</v>
      </c>
      <c r="C3000" s="311" t="s">
        <v>87</v>
      </c>
      <c r="D3000" s="311" t="s">
        <v>462</v>
      </c>
      <c r="E3000" s="337" t="s">
        <v>87</v>
      </c>
      <c r="F3000" s="311" t="s">
        <v>310</v>
      </c>
      <c r="G3000" s="311" t="s">
        <v>23</v>
      </c>
      <c r="H3000" s="311" t="s">
        <v>370</v>
      </c>
      <c r="I3000" s="311" t="s">
        <v>66</v>
      </c>
      <c r="J3000" s="50" t="s">
        <v>1892</v>
      </c>
      <c r="K3000" s="50" t="s">
        <v>1892</v>
      </c>
      <c r="L3000" s="50" t="s">
        <v>1893</v>
      </c>
      <c r="M3000" s="50" t="s">
        <v>5573</v>
      </c>
      <c r="N3000" s="50" t="s">
        <v>5573</v>
      </c>
      <c r="O3000" s="50" t="s">
        <v>5471</v>
      </c>
      <c r="P3000" s="50" t="s">
        <v>5573</v>
      </c>
    </row>
    <row r="3001" spans="1:16" ht="12.75" customHeight="1" x14ac:dyDescent="0.25">
      <c r="A3001" s="311">
        <v>2998</v>
      </c>
      <c r="B3001" s="311" t="s">
        <v>125</v>
      </c>
      <c r="C3001" s="311" t="s">
        <v>125</v>
      </c>
      <c r="D3001" s="311" t="s">
        <v>125</v>
      </c>
      <c r="E3001" s="337" t="s">
        <v>125</v>
      </c>
      <c r="F3001" s="311" t="s">
        <v>310</v>
      </c>
      <c r="G3001" s="311" t="s">
        <v>23</v>
      </c>
      <c r="H3001" s="311" t="s">
        <v>370</v>
      </c>
      <c r="I3001" s="311" t="s">
        <v>66</v>
      </c>
      <c r="J3001" s="50" t="s">
        <v>1892</v>
      </c>
      <c r="K3001" s="50" t="s">
        <v>1892</v>
      </c>
      <c r="L3001" s="50" t="s">
        <v>1893</v>
      </c>
      <c r="M3001" s="50" t="s">
        <v>5574</v>
      </c>
      <c r="N3001" s="50" t="s">
        <v>5574</v>
      </c>
      <c r="O3001" s="50" t="s">
        <v>5574</v>
      </c>
      <c r="P3001" s="50" t="s">
        <v>5574</v>
      </c>
    </row>
    <row r="3002" spans="1:16" ht="12.75" customHeight="1" x14ac:dyDescent="0.25">
      <c r="A3002" s="311">
        <v>2999</v>
      </c>
      <c r="B3002" s="311" t="s">
        <v>134</v>
      </c>
      <c r="C3002" s="311" t="s">
        <v>134</v>
      </c>
      <c r="D3002" s="311" t="s">
        <v>134</v>
      </c>
      <c r="E3002" s="337" t="s">
        <v>134</v>
      </c>
      <c r="F3002" s="311" t="s">
        <v>310</v>
      </c>
      <c r="G3002" s="311" t="s">
        <v>23</v>
      </c>
      <c r="H3002" s="311" t="s">
        <v>370</v>
      </c>
      <c r="I3002" s="311" t="s">
        <v>66</v>
      </c>
      <c r="J3002" s="50" t="s">
        <v>1892</v>
      </c>
      <c r="K3002" s="50" t="s">
        <v>1892</v>
      </c>
      <c r="L3002" s="50" t="s">
        <v>1893</v>
      </c>
      <c r="M3002" s="50" t="s">
        <v>5575</v>
      </c>
      <c r="N3002" s="50" t="s">
        <v>5575</v>
      </c>
      <c r="O3002" s="50" t="s">
        <v>5575</v>
      </c>
      <c r="P3002" s="50" t="s">
        <v>5575</v>
      </c>
    </row>
    <row r="3003" spans="1:16" ht="12.75" customHeight="1" x14ac:dyDescent="0.25">
      <c r="A3003" s="311">
        <v>3000</v>
      </c>
      <c r="B3003" s="311" t="s">
        <v>141</v>
      </c>
      <c r="C3003" s="311" t="s">
        <v>141</v>
      </c>
      <c r="D3003" s="311" t="s">
        <v>141</v>
      </c>
      <c r="E3003" s="337" t="s">
        <v>141</v>
      </c>
      <c r="F3003" s="311" t="s">
        <v>310</v>
      </c>
      <c r="G3003" s="311" t="s">
        <v>23</v>
      </c>
      <c r="H3003" s="311" t="s">
        <v>370</v>
      </c>
      <c r="I3003" s="311" t="s">
        <v>66</v>
      </c>
      <c r="J3003" s="50" t="s">
        <v>1892</v>
      </c>
      <c r="K3003" s="50" t="s">
        <v>1892</v>
      </c>
      <c r="L3003" s="50" t="s">
        <v>1893</v>
      </c>
      <c r="M3003" s="50" t="s">
        <v>5576</v>
      </c>
      <c r="N3003" s="50" t="s">
        <v>5576</v>
      </c>
      <c r="O3003" s="50" t="s">
        <v>5576</v>
      </c>
      <c r="P3003" s="50" t="s">
        <v>5576</v>
      </c>
    </row>
    <row r="3004" spans="1:16" ht="12.75" customHeight="1" x14ac:dyDescent="0.25">
      <c r="A3004" s="311">
        <v>3001</v>
      </c>
      <c r="B3004" s="311" t="s">
        <v>69</v>
      </c>
      <c r="C3004" s="311" t="s">
        <v>69</v>
      </c>
      <c r="D3004" s="311" t="s">
        <v>69</v>
      </c>
      <c r="E3004" s="337" t="s">
        <v>69</v>
      </c>
      <c r="F3004" s="311" t="s">
        <v>310</v>
      </c>
      <c r="G3004" s="311" t="s">
        <v>23</v>
      </c>
      <c r="H3004" s="311" t="s">
        <v>370</v>
      </c>
      <c r="I3004" s="311" t="s">
        <v>66</v>
      </c>
      <c r="J3004" s="50" t="s">
        <v>1892</v>
      </c>
      <c r="K3004" s="50" t="s">
        <v>1892</v>
      </c>
      <c r="L3004" s="50" t="s">
        <v>1893</v>
      </c>
      <c r="M3004" s="50" t="s">
        <v>5577</v>
      </c>
      <c r="N3004" s="50" t="s">
        <v>5577</v>
      </c>
      <c r="O3004" s="50" t="s">
        <v>5577</v>
      </c>
      <c r="P3004" s="50" t="s">
        <v>5577</v>
      </c>
    </row>
    <row r="3005" spans="1:16" ht="12.75" customHeight="1" x14ac:dyDescent="0.25">
      <c r="A3005" s="311">
        <v>3002</v>
      </c>
      <c r="B3005" s="311" t="s">
        <v>63</v>
      </c>
      <c r="C3005" s="311" t="s">
        <v>63</v>
      </c>
      <c r="D3005" s="311" t="s">
        <v>462</v>
      </c>
      <c r="E3005" s="337" t="s">
        <v>63</v>
      </c>
      <c r="F3005" s="311" t="s">
        <v>310</v>
      </c>
      <c r="G3005" s="311" t="s">
        <v>237</v>
      </c>
      <c r="H3005" s="311" t="s">
        <v>370</v>
      </c>
      <c r="I3005" s="311" t="s">
        <v>66</v>
      </c>
      <c r="J3005" s="50" t="s">
        <v>1892</v>
      </c>
      <c r="K3005" s="50" t="s">
        <v>1892</v>
      </c>
      <c r="L3005" s="50" t="s">
        <v>1893</v>
      </c>
      <c r="M3005" s="50" t="s">
        <v>5578</v>
      </c>
      <c r="N3005" s="50" t="s">
        <v>5578</v>
      </c>
      <c r="O3005" s="50" t="s">
        <v>5475</v>
      </c>
      <c r="P3005" s="50" t="s">
        <v>5578</v>
      </c>
    </row>
    <row r="3006" spans="1:16" ht="12.75" customHeight="1" x14ac:dyDescent="0.25">
      <c r="A3006" s="311">
        <v>3003</v>
      </c>
      <c r="B3006" s="311" t="s">
        <v>140</v>
      </c>
      <c r="C3006" s="311" t="s">
        <v>140</v>
      </c>
      <c r="D3006" s="311" t="s">
        <v>462</v>
      </c>
      <c r="E3006" s="337" t="s">
        <v>140</v>
      </c>
      <c r="F3006" s="311" t="s">
        <v>310</v>
      </c>
      <c r="G3006" s="311" t="s">
        <v>237</v>
      </c>
      <c r="H3006" s="311" t="s">
        <v>370</v>
      </c>
      <c r="I3006" s="311" t="s">
        <v>66</v>
      </c>
      <c r="J3006" s="50" t="s">
        <v>1892</v>
      </c>
      <c r="K3006" s="50" t="s">
        <v>1892</v>
      </c>
      <c r="L3006" s="50" t="s">
        <v>1893</v>
      </c>
      <c r="M3006" s="50" t="s">
        <v>5579</v>
      </c>
      <c r="N3006" s="50" t="s">
        <v>5579</v>
      </c>
      <c r="O3006" s="50" t="s">
        <v>5475</v>
      </c>
      <c r="P3006" s="50" t="s">
        <v>5579</v>
      </c>
    </row>
    <row r="3007" spans="1:16" ht="12.75" customHeight="1" x14ac:dyDescent="0.25">
      <c r="A3007" s="311">
        <v>3004</v>
      </c>
      <c r="B3007" s="311" t="s">
        <v>121</v>
      </c>
      <c r="C3007" s="311" t="s">
        <v>121</v>
      </c>
      <c r="D3007" s="311" t="s">
        <v>462</v>
      </c>
      <c r="E3007" s="337" t="s">
        <v>121</v>
      </c>
      <c r="F3007" s="311" t="s">
        <v>310</v>
      </c>
      <c r="G3007" s="311" t="s">
        <v>237</v>
      </c>
      <c r="H3007" s="311" t="s">
        <v>370</v>
      </c>
      <c r="I3007" s="311" t="s">
        <v>66</v>
      </c>
      <c r="J3007" s="50" t="s">
        <v>1892</v>
      </c>
      <c r="K3007" s="50" t="s">
        <v>1892</v>
      </c>
      <c r="L3007" s="50" t="s">
        <v>1893</v>
      </c>
      <c r="M3007" s="50" t="s">
        <v>5580</v>
      </c>
      <c r="N3007" s="50" t="s">
        <v>5580</v>
      </c>
      <c r="O3007" s="50" t="s">
        <v>5475</v>
      </c>
      <c r="P3007" s="50" t="s">
        <v>5580</v>
      </c>
    </row>
    <row r="3008" spans="1:16" ht="12.75" customHeight="1" x14ac:dyDescent="0.25">
      <c r="A3008" s="311">
        <v>3005</v>
      </c>
      <c r="B3008" s="311" t="s">
        <v>87</v>
      </c>
      <c r="C3008" s="311" t="s">
        <v>87</v>
      </c>
      <c r="D3008" s="311" t="s">
        <v>462</v>
      </c>
      <c r="E3008" s="337" t="s">
        <v>87</v>
      </c>
      <c r="F3008" s="311" t="s">
        <v>310</v>
      </c>
      <c r="G3008" s="311" t="s">
        <v>237</v>
      </c>
      <c r="H3008" s="311" t="s">
        <v>370</v>
      </c>
      <c r="I3008" s="311" t="s">
        <v>66</v>
      </c>
      <c r="J3008" s="50" t="s">
        <v>1892</v>
      </c>
      <c r="K3008" s="50" t="s">
        <v>1892</v>
      </c>
      <c r="L3008" s="50" t="s">
        <v>1893</v>
      </c>
      <c r="M3008" s="50" t="s">
        <v>5581</v>
      </c>
      <c r="N3008" s="50" t="s">
        <v>5581</v>
      </c>
      <c r="O3008" s="50" t="s">
        <v>5475</v>
      </c>
      <c r="P3008" s="50" t="s">
        <v>5581</v>
      </c>
    </row>
    <row r="3009" spans="1:16" ht="12.75" customHeight="1" x14ac:dyDescent="0.25">
      <c r="A3009" s="311">
        <v>3006</v>
      </c>
      <c r="B3009" s="311" t="s">
        <v>125</v>
      </c>
      <c r="C3009" s="311" t="s">
        <v>125</v>
      </c>
      <c r="D3009" s="311" t="s">
        <v>125</v>
      </c>
      <c r="E3009" s="337" t="s">
        <v>125</v>
      </c>
      <c r="F3009" s="311" t="s">
        <v>310</v>
      </c>
      <c r="G3009" s="311" t="s">
        <v>237</v>
      </c>
      <c r="H3009" s="311" t="s">
        <v>370</v>
      </c>
      <c r="I3009" s="311" t="s">
        <v>66</v>
      </c>
      <c r="J3009" s="50" t="s">
        <v>1892</v>
      </c>
      <c r="K3009" s="50" t="s">
        <v>1892</v>
      </c>
      <c r="L3009" s="50" t="s">
        <v>1893</v>
      </c>
      <c r="M3009" s="50" t="s">
        <v>5582</v>
      </c>
      <c r="N3009" s="50" t="s">
        <v>5582</v>
      </c>
      <c r="O3009" s="50" t="s">
        <v>5582</v>
      </c>
      <c r="P3009" s="50" t="s">
        <v>5582</v>
      </c>
    </row>
    <row r="3010" spans="1:16" ht="12.75" customHeight="1" x14ac:dyDescent="0.25">
      <c r="A3010" s="311">
        <v>3007</v>
      </c>
      <c r="B3010" s="311" t="s">
        <v>134</v>
      </c>
      <c r="C3010" s="311" t="s">
        <v>134</v>
      </c>
      <c r="D3010" s="311" t="s">
        <v>134</v>
      </c>
      <c r="E3010" s="337" t="s">
        <v>134</v>
      </c>
      <c r="F3010" s="311" t="s">
        <v>310</v>
      </c>
      <c r="G3010" s="311" t="s">
        <v>237</v>
      </c>
      <c r="H3010" s="311" t="s">
        <v>370</v>
      </c>
      <c r="I3010" s="311" t="s">
        <v>66</v>
      </c>
      <c r="J3010" s="50" t="s">
        <v>1892</v>
      </c>
      <c r="K3010" s="50" t="s">
        <v>1892</v>
      </c>
      <c r="L3010" s="50" t="s">
        <v>1893</v>
      </c>
      <c r="M3010" s="50" t="s">
        <v>5583</v>
      </c>
      <c r="N3010" s="50" t="s">
        <v>5583</v>
      </c>
      <c r="O3010" s="50" t="s">
        <v>5583</v>
      </c>
      <c r="P3010" s="50" t="s">
        <v>5583</v>
      </c>
    </row>
    <row r="3011" spans="1:16" ht="12.75" customHeight="1" x14ac:dyDescent="0.25">
      <c r="A3011" s="311">
        <v>3008</v>
      </c>
      <c r="B3011" s="311" t="s">
        <v>141</v>
      </c>
      <c r="C3011" s="311" t="s">
        <v>141</v>
      </c>
      <c r="D3011" s="311" t="s">
        <v>141</v>
      </c>
      <c r="E3011" s="337" t="s">
        <v>141</v>
      </c>
      <c r="F3011" s="311" t="s">
        <v>310</v>
      </c>
      <c r="G3011" s="311" t="s">
        <v>237</v>
      </c>
      <c r="H3011" s="311" t="s">
        <v>370</v>
      </c>
      <c r="I3011" s="311" t="s">
        <v>66</v>
      </c>
      <c r="J3011" s="50" t="s">
        <v>1892</v>
      </c>
      <c r="K3011" s="50" t="s">
        <v>1892</v>
      </c>
      <c r="L3011" s="50" t="s">
        <v>1893</v>
      </c>
      <c r="M3011" s="50" t="s">
        <v>5584</v>
      </c>
      <c r="N3011" s="50" t="s">
        <v>5584</v>
      </c>
      <c r="O3011" s="50" t="s">
        <v>5584</v>
      </c>
      <c r="P3011" s="50" t="s">
        <v>5584</v>
      </c>
    </row>
    <row r="3012" spans="1:16" ht="12.75" customHeight="1" x14ac:dyDescent="0.25">
      <c r="A3012" s="311">
        <v>3009</v>
      </c>
      <c r="B3012" s="311" t="s">
        <v>69</v>
      </c>
      <c r="C3012" s="311" t="s">
        <v>69</v>
      </c>
      <c r="D3012" s="311" t="s">
        <v>69</v>
      </c>
      <c r="E3012" s="337" t="s">
        <v>69</v>
      </c>
      <c r="F3012" s="311" t="s">
        <v>310</v>
      </c>
      <c r="G3012" s="311" t="s">
        <v>237</v>
      </c>
      <c r="H3012" s="311" t="s">
        <v>370</v>
      </c>
      <c r="I3012" s="311" t="s">
        <v>66</v>
      </c>
      <c r="J3012" s="50" t="s">
        <v>1892</v>
      </c>
      <c r="K3012" s="50" t="s">
        <v>1892</v>
      </c>
      <c r="L3012" s="50" t="s">
        <v>1893</v>
      </c>
      <c r="M3012" s="50" t="s">
        <v>5585</v>
      </c>
      <c r="N3012" s="50" t="s">
        <v>5585</v>
      </c>
      <c r="O3012" s="50" t="s">
        <v>5585</v>
      </c>
      <c r="P3012" s="50" t="s">
        <v>5585</v>
      </c>
    </row>
    <row r="3013" spans="1:16" ht="12.75" customHeight="1" x14ac:dyDescent="0.25">
      <c r="A3013" s="311">
        <v>3010</v>
      </c>
      <c r="B3013" s="311" t="s">
        <v>63</v>
      </c>
      <c r="C3013" s="311" t="s">
        <v>63</v>
      </c>
      <c r="D3013" s="311" t="s">
        <v>462</v>
      </c>
      <c r="E3013" s="337" t="s">
        <v>63</v>
      </c>
      <c r="F3013" s="311" t="s">
        <v>283</v>
      </c>
      <c r="G3013" s="311" t="s">
        <v>236</v>
      </c>
      <c r="H3013" s="311" t="s">
        <v>370</v>
      </c>
      <c r="I3013" s="311" t="s">
        <v>66</v>
      </c>
      <c r="J3013" s="50" t="s">
        <v>1892</v>
      </c>
      <c r="K3013" s="50" t="s">
        <v>1892</v>
      </c>
      <c r="L3013" s="50" t="s">
        <v>1893</v>
      </c>
      <c r="M3013" s="50" t="s">
        <v>5586</v>
      </c>
      <c r="N3013" s="50" t="s">
        <v>5586</v>
      </c>
      <c r="O3013" s="50" t="s">
        <v>5479</v>
      </c>
      <c r="P3013" s="50" t="s">
        <v>5586</v>
      </c>
    </row>
    <row r="3014" spans="1:16" ht="12.75" customHeight="1" x14ac:dyDescent="0.25">
      <c r="A3014" s="311">
        <v>3011</v>
      </c>
      <c r="B3014" s="311" t="s">
        <v>140</v>
      </c>
      <c r="C3014" s="311" t="s">
        <v>140</v>
      </c>
      <c r="D3014" s="311" t="s">
        <v>462</v>
      </c>
      <c r="E3014" s="337" t="s">
        <v>140</v>
      </c>
      <c r="F3014" s="311" t="s">
        <v>283</v>
      </c>
      <c r="G3014" s="311" t="s">
        <v>236</v>
      </c>
      <c r="H3014" s="311" t="s">
        <v>370</v>
      </c>
      <c r="I3014" s="311" t="s">
        <v>66</v>
      </c>
      <c r="J3014" s="50" t="s">
        <v>1892</v>
      </c>
      <c r="K3014" s="50" t="s">
        <v>1892</v>
      </c>
      <c r="L3014" s="50" t="s">
        <v>1893</v>
      </c>
      <c r="M3014" s="50" t="s">
        <v>5587</v>
      </c>
      <c r="N3014" s="50" t="s">
        <v>5587</v>
      </c>
      <c r="O3014" s="50" t="s">
        <v>5479</v>
      </c>
      <c r="P3014" s="50" t="s">
        <v>5587</v>
      </c>
    </row>
    <row r="3015" spans="1:16" ht="12.75" customHeight="1" x14ac:dyDescent="0.25">
      <c r="A3015" s="311">
        <v>3012</v>
      </c>
      <c r="B3015" s="311" t="s">
        <v>121</v>
      </c>
      <c r="C3015" s="311" t="s">
        <v>121</v>
      </c>
      <c r="D3015" s="311" t="s">
        <v>462</v>
      </c>
      <c r="E3015" s="337" t="s">
        <v>121</v>
      </c>
      <c r="F3015" s="311" t="s">
        <v>283</v>
      </c>
      <c r="G3015" s="311" t="s">
        <v>236</v>
      </c>
      <c r="H3015" s="311" t="s">
        <v>370</v>
      </c>
      <c r="I3015" s="311" t="s">
        <v>66</v>
      </c>
      <c r="J3015" s="50" t="s">
        <v>1892</v>
      </c>
      <c r="K3015" s="50" t="s">
        <v>1892</v>
      </c>
      <c r="L3015" s="50" t="s">
        <v>1893</v>
      </c>
      <c r="M3015" s="50" t="s">
        <v>5588</v>
      </c>
      <c r="N3015" s="50" t="s">
        <v>5588</v>
      </c>
      <c r="O3015" s="50" t="s">
        <v>5479</v>
      </c>
      <c r="P3015" s="50" t="s">
        <v>5588</v>
      </c>
    </row>
    <row r="3016" spans="1:16" ht="12.75" customHeight="1" x14ac:dyDescent="0.25">
      <c r="A3016" s="311">
        <v>3013</v>
      </c>
      <c r="B3016" s="311" t="s">
        <v>87</v>
      </c>
      <c r="C3016" s="311" t="s">
        <v>87</v>
      </c>
      <c r="D3016" s="311" t="s">
        <v>462</v>
      </c>
      <c r="E3016" s="337" t="s">
        <v>87</v>
      </c>
      <c r="F3016" s="311" t="s">
        <v>283</v>
      </c>
      <c r="G3016" s="311" t="s">
        <v>236</v>
      </c>
      <c r="H3016" s="311" t="s">
        <v>370</v>
      </c>
      <c r="I3016" s="311" t="s">
        <v>66</v>
      </c>
      <c r="J3016" s="50" t="s">
        <v>1892</v>
      </c>
      <c r="K3016" s="50" t="s">
        <v>1892</v>
      </c>
      <c r="L3016" s="50" t="s">
        <v>1893</v>
      </c>
      <c r="M3016" s="50" t="s">
        <v>5589</v>
      </c>
      <c r="N3016" s="50" t="s">
        <v>5589</v>
      </c>
      <c r="O3016" s="50" t="s">
        <v>5479</v>
      </c>
      <c r="P3016" s="50" t="s">
        <v>5589</v>
      </c>
    </row>
    <row r="3017" spans="1:16" ht="12.75" customHeight="1" x14ac:dyDescent="0.25">
      <c r="A3017" s="311">
        <v>3014</v>
      </c>
      <c r="B3017" s="311" t="s">
        <v>125</v>
      </c>
      <c r="C3017" s="311" t="s">
        <v>125</v>
      </c>
      <c r="D3017" s="311" t="s">
        <v>125</v>
      </c>
      <c r="E3017" s="337" t="s">
        <v>125</v>
      </c>
      <c r="F3017" s="311" t="s">
        <v>283</v>
      </c>
      <c r="G3017" s="311" t="s">
        <v>236</v>
      </c>
      <c r="H3017" s="311" t="s">
        <v>370</v>
      </c>
      <c r="I3017" s="311" t="s">
        <v>66</v>
      </c>
      <c r="J3017" s="50" t="s">
        <v>1892</v>
      </c>
      <c r="K3017" s="50" t="s">
        <v>1892</v>
      </c>
      <c r="L3017" s="50" t="s">
        <v>1893</v>
      </c>
      <c r="M3017" s="50" t="s">
        <v>5590</v>
      </c>
      <c r="N3017" s="50" t="s">
        <v>5590</v>
      </c>
      <c r="O3017" s="50" t="s">
        <v>5590</v>
      </c>
      <c r="P3017" s="50" t="s">
        <v>5590</v>
      </c>
    </row>
    <row r="3018" spans="1:16" ht="12.75" customHeight="1" x14ac:dyDescent="0.25">
      <c r="A3018" s="311">
        <v>3015</v>
      </c>
      <c r="B3018" s="311" t="s">
        <v>134</v>
      </c>
      <c r="C3018" s="311" t="s">
        <v>134</v>
      </c>
      <c r="D3018" s="311" t="s">
        <v>134</v>
      </c>
      <c r="E3018" s="337" t="s">
        <v>134</v>
      </c>
      <c r="F3018" s="311" t="s">
        <v>283</v>
      </c>
      <c r="G3018" s="311" t="s">
        <v>236</v>
      </c>
      <c r="H3018" s="311" t="s">
        <v>370</v>
      </c>
      <c r="I3018" s="311" t="s">
        <v>66</v>
      </c>
      <c r="J3018" s="50" t="s">
        <v>1892</v>
      </c>
      <c r="K3018" s="50" t="s">
        <v>1892</v>
      </c>
      <c r="L3018" s="50" t="s">
        <v>1893</v>
      </c>
      <c r="M3018" s="50" t="s">
        <v>5591</v>
      </c>
      <c r="N3018" s="50" t="s">
        <v>5591</v>
      </c>
      <c r="O3018" s="50" t="s">
        <v>5591</v>
      </c>
      <c r="P3018" s="50" t="s">
        <v>5591</v>
      </c>
    </row>
    <row r="3019" spans="1:16" ht="12.75" customHeight="1" x14ac:dyDescent="0.25">
      <c r="A3019" s="311">
        <v>3016</v>
      </c>
      <c r="B3019" s="311" t="s">
        <v>141</v>
      </c>
      <c r="C3019" s="311" t="s">
        <v>141</v>
      </c>
      <c r="D3019" s="311" t="s">
        <v>141</v>
      </c>
      <c r="E3019" s="337" t="s">
        <v>141</v>
      </c>
      <c r="F3019" s="311" t="s">
        <v>283</v>
      </c>
      <c r="G3019" s="311" t="s">
        <v>236</v>
      </c>
      <c r="H3019" s="311" t="s">
        <v>370</v>
      </c>
      <c r="I3019" s="311" t="s">
        <v>66</v>
      </c>
      <c r="J3019" s="50" t="s">
        <v>1892</v>
      </c>
      <c r="K3019" s="50" t="s">
        <v>1892</v>
      </c>
      <c r="L3019" s="50" t="s">
        <v>1893</v>
      </c>
      <c r="M3019" s="50" t="s">
        <v>5592</v>
      </c>
      <c r="N3019" s="50" t="s">
        <v>5592</v>
      </c>
      <c r="O3019" s="50" t="s">
        <v>5592</v>
      </c>
      <c r="P3019" s="50" t="s">
        <v>5592</v>
      </c>
    </row>
    <row r="3020" spans="1:16" ht="12.75" customHeight="1" x14ac:dyDescent="0.25">
      <c r="A3020" s="311">
        <v>3017</v>
      </c>
      <c r="B3020" s="311" t="s">
        <v>69</v>
      </c>
      <c r="C3020" s="311" t="s">
        <v>69</v>
      </c>
      <c r="D3020" s="311" t="s">
        <v>69</v>
      </c>
      <c r="E3020" s="337" t="s">
        <v>69</v>
      </c>
      <c r="F3020" s="311" t="s">
        <v>283</v>
      </c>
      <c r="G3020" s="311" t="s">
        <v>236</v>
      </c>
      <c r="H3020" s="311" t="s">
        <v>370</v>
      </c>
      <c r="I3020" s="311" t="s">
        <v>66</v>
      </c>
      <c r="J3020" s="50" t="s">
        <v>1892</v>
      </c>
      <c r="K3020" s="50" t="s">
        <v>1892</v>
      </c>
      <c r="L3020" s="50" t="s">
        <v>1893</v>
      </c>
      <c r="M3020" s="50" t="s">
        <v>5593</v>
      </c>
      <c r="N3020" s="50" t="s">
        <v>5593</v>
      </c>
      <c r="O3020" s="50" t="s">
        <v>5593</v>
      </c>
      <c r="P3020" s="50" t="s">
        <v>5593</v>
      </c>
    </row>
    <row r="3021" spans="1:16" ht="12.75" customHeight="1" x14ac:dyDescent="0.25">
      <c r="A3021" s="311">
        <v>3018</v>
      </c>
      <c r="B3021" s="311" t="s">
        <v>63</v>
      </c>
      <c r="C3021" s="311" t="s">
        <v>63</v>
      </c>
      <c r="D3021" s="311" t="s">
        <v>462</v>
      </c>
      <c r="E3021" s="337" t="s">
        <v>63</v>
      </c>
      <c r="F3021" s="311" t="s">
        <v>283</v>
      </c>
      <c r="G3021" s="311" t="s">
        <v>23</v>
      </c>
      <c r="H3021" s="311" t="s">
        <v>370</v>
      </c>
      <c r="I3021" s="311" t="s">
        <v>66</v>
      </c>
      <c r="J3021" s="50" t="s">
        <v>1892</v>
      </c>
      <c r="K3021" s="50" t="s">
        <v>1892</v>
      </c>
      <c r="L3021" s="50" t="s">
        <v>1893</v>
      </c>
      <c r="M3021" s="50" t="s">
        <v>5594</v>
      </c>
      <c r="N3021" s="50" t="s">
        <v>5594</v>
      </c>
      <c r="O3021" s="50" t="s">
        <v>5483</v>
      </c>
      <c r="P3021" s="50" t="s">
        <v>5594</v>
      </c>
    </row>
    <row r="3022" spans="1:16" ht="12.75" customHeight="1" x14ac:dyDescent="0.25">
      <c r="A3022" s="311">
        <v>3019</v>
      </c>
      <c r="B3022" s="311" t="s">
        <v>140</v>
      </c>
      <c r="C3022" s="311" t="s">
        <v>140</v>
      </c>
      <c r="D3022" s="311" t="s">
        <v>462</v>
      </c>
      <c r="E3022" s="337" t="s">
        <v>140</v>
      </c>
      <c r="F3022" s="311" t="s">
        <v>283</v>
      </c>
      <c r="G3022" s="311" t="s">
        <v>23</v>
      </c>
      <c r="H3022" s="311" t="s">
        <v>370</v>
      </c>
      <c r="I3022" s="311" t="s">
        <v>66</v>
      </c>
      <c r="J3022" s="50" t="s">
        <v>1892</v>
      </c>
      <c r="K3022" s="50" t="s">
        <v>1892</v>
      </c>
      <c r="L3022" s="50" t="s">
        <v>1893</v>
      </c>
      <c r="M3022" s="50" t="s">
        <v>5595</v>
      </c>
      <c r="N3022" s="50" t="s">
        <v>5595</v>
      </c>
      <c r="O3022" s="50" t="s">
        <v>5483</v>
      </c>
      <c r="P3022" s="50" t="s">
        <v>5595</v>
      </c>
    </row>
    <row r="3023" spans="1:16" ht="12.75" customHeight="1" x14ac:dyDescent="0.25">
      <c r="A3023" s="311">
        <v>3020</v>
      </c>
      <c r="B3023" s="311" t="s">
        <v>121</v>
      </c>
      <c r="C3023" s="311" t="s">
        <v>121</v>
      </c>
      <c r="D3023" s="311" t="s">
        <v>462</v>
      </c>
      <c r="E3023" s="337" t="s">
        <v>121</v>
      </c>
      <c r="F3023" s="311" t="s">
        <v>283</v>
      </c>
      <c r="G3023" s="311" t="s">
        <v>23</v>
      </c>
      <c r="H3023" s="311" t="s">
        <v>370</v>
      </c>
      <c r="I3023" s="311" t="s">
        <v>66</v>
      </c>
      <c r="J3023" s="50" t="s">
        <v>1892</v>
      </c>
      <c r="K3023" s="50" t="s">
        <v>1892</v>
      </c>
      <c r="L3023" s="50" t="s">
        <v>1893</v>
      </c>
      <c r="M3023" s="50" t="s">
        <v>5596</v>
      </c>
      <c r="N3023" s="50" t="s">
        <v>5596</v>
      </c>
      <c r="O3023" s="50" t="s">
        <v>5483</v>
      </c>
      <c r="P3023" s="50" t="s">
        <v>5596</v>
      </c>
    </row>
    <row r="3024" spans="1:16" ht="12.75" customHeight="1" x14ac:dyDescent="0.25">
      <c r="A3024" s="311">
        <v>3021</v>
      </c>
      <c r="B3024" s="311" t="s">
        <v>87</v>
      </c>
      <c r="C3024" s="311" t="s">
        <v>87</v>
      </c>
      <c r="D3024" s="311" t="s">
        <v>462</v>
      </c>
      <c r="E3024" s="337" t="s">
        <v>87</v>
      </c>
      <c r="F3024" s="311" t="s">
        <v>283</v>
      </c>
      <c r="G3024" s="311" t="s">
        <v>23</v>
      </c>
      <c r="H3024" s="311" t="s">
        <v>370</v>
      </c>
      <c r="I3024" s="311" t="s">
        <v>66</v>
      </c>
      <c r="J3024" s="50" t="s">
        <v>1892</v>
      </c>
      <c r="K3024" s="50" t="s">
        <v>1892</v>
      </c>
      <c r="L3024" s="50" t="s">
        <v>1893</v>
      </c>
      <c r="M3024" s="50" t="s">
        <v>5597</v>
      </c>
      <c r="N3024" s="50" t="s">
        <v>5597</v>
      </c>
      <c r="O3024" s="50" t="s">
        <v>5483</v>
      </c>
      <c r="P3024" s="50" t="s">
        <v>5597</v>
      </c>
    </row>
    <row r="3025" spans="1:16" ht="12.75" customHeight="1" x14ac:dyDescent="0.25">
      <c r="A3025" s="311">
        <v>3022</v>
      </c>
      <c r="B3025" s="311" t="s">
        <v>125</v>
      </c>
      <c r="C3025" s="311" t="s">
        <v>125</v>
      </c>
      <c r="D3025" s="311" t="s">
        <v>125</v>
      </c>
      <c r="E3025" s="337" t="s">
        <v>125</v>
      </c>
      <c r="F3025" s="311" t="s">
        <v>283</v>
      </c>
      <c r="G3025" s="311" t="s">
        <v>23</v>
      </c>
      <c r="H3025" s="311" t="s">
        <v>370</v>
      </c>
      <c r="I3025" s="311" t="s">
        <v>66</v>
      </c>
      <c r="J3025" s="50" t="s">
        <v>1892</v>
      </c>
      <c r="K3025" s="50" t="s">
        <v>1892</v>
      </c>
      <c r="L3025" s="50" t="s">
        <v>1893</v>
      </c>
      <c r="M3025" s="50" t="s">
        <v>5598</v>
      </c>
      <c r="N3025" s="50" t="s">
        <v>5598</v>
      </c>
      <c r="O3025" s="50" t="s">
        <v>5598</v>
      </c>
      <c r="P3025" s="50" t="s">
        <v>5598</v>
      </c>
    </row>
    <row r="3026" spans="1:16" ht="12.75" customHeight="1" x14ac:dyDescent="0.25">
      <c r="A3026" s="311">
        <v>3023</v>
      </c>
      <c r="B3026" s="311" t="s">
        <v>134</v>
      </c>
      <c r="C3026" s="311" t="s">
        <v>134</v>
      </c>
      <c r="D3026" s="311" t="s">
        <v>134</v>
      </c>
      <c r="E3026" s="337" t="s">
        <v>134</v>
      </c>
      <c r="F3026" s="311" t="s">
        <v>283</v>
      </c>
      <c r="G3026" s="311" t="s">
        <v>23</v>
      </c>
      <c r="H3026" s="311" t="s">
        <v>370</v>
      </c>
      <c r="I3026" s="311" t="s">
        <v>66</v>
      </c>
      <c r="J3026" s="50" t="s">
        <v>1892</v>
      </c>
      <c r="K3026" s="50" t="s">
        <v>1892</v>
      </c>
      <c r="L3026" s="50" t="s">
        <v>1893</v>
      </c>
      <c r="M3026" s="50" t="s">
        <v>5599</v>
      </c>
      <c r="N3026" s="50" t="s">
        <v>5599</v>
      </c>
      <c r="O3026" s="50" t="s">
        <v>5599</v>
      </c>
      <c r="P3026" s="50" t="s">
        <v>5599</v>
      </c>
    </row>
    <row r="3027" spans="1:16" ht="12.75" customHeight="1" x14ac:dyDescent="0.25">
      <c r="A3027" s="311">
        <v>3024</v>
      </c>
      <c r="B3027" s="311" t="s">
        <v>141</v>
      </c>
      <c r="C3027" s="311" t="s">
        <v>141</v>
      </c>
      <c r="D3027" s="311" t="s">
        <v>141</v>
      </c>
      <c r="E3027" s="337" t="s">
        <v>141</v>
      </c>
      <c r="F3027" s="311" t="s">
        <v>283</v>
      </c>
      <c r="G3027" s="311" t="s">
        <v>23</v>
      </c>
      <c r="H3027" s="311" t="s">
        <v>370</v>
      </c>
      <c r="I3027" s="311" t="s">
        <v>66</v>
      </c>
      <c r="J3027" s="50" t="s">
        <v>1892</v>
      </c>
      <c r="K3027" s="50" t="s">
        <v>1892</v>
      </c>
      <c r="L3027" s="50" t="s">
        <v>1893</v>
      </c>
      <c r="M3027" s="50" t="s">
        <v>5600</v>
      </c>
      <c r="N3027" s="50" t="s">
        <v>5600</v>
      </c>
      <c r="O3027" s="50" t="s">
        <v>5600</v>
      </c>
      <c r="P3027" s="50" t="s">
        <v>5600</v>
      </c>
    </row>
    <row r="3028" spans="1:16" ht="12.75" customHeight="1" x14ac:dyDescent="0.25">
      <c r="A3028" s="311">
        <v>3025</v>
      </c>
      <c r="B3028" s="311" t="s">
        <v>69</v>
      </c>
      <c r="C3028" s="311" t="s">
        <v>69</v>
      </c>
      <c r="D3028" s="311" t="s">
        <v>69</v>
      </c>
      <c r="E3028" s="337" t="s">
        <v>69</v>
      </c>
      <c r="F3028" s="311" t="s">
        <v>283</v>
      </c>
      <c r="G3028" s="311" t="s">
        <v>23</v>
      </c>
      <c r="H3028" s="311" t="s">
        <v>370</v>
      </c>
      <c r="I3028" s="311" t="s">
        <v>66</v>
      </c>
      <c r="J3028" s="50" t="s">
        <v>1892</v>
      </c>
      <c r="K3028" s="50" t="s">
        <v>1892</v>
      </c>
      <c r="L3028" s="50" t="s">
        <v>1893</v>
      </c>
      <c r="M3028" s="50" t="s">
        <v>5601</v>
      </c>
      <c r="N3028" s="50" t="s">
        <v>5601</v>
      </c>
      <c r="O3028" s="50" t="s">
        <v>5601</v>
      </c>
      <c r="P3028" s="50" t="s">
        <v>5601</v>
      </c>
    </row>
    <row r="3029" spans="1:16" ht="12.75" customHeight="1" x14ac:dyDescent="0.25">
      <c r="A3029" s="311">
        <v>3026</v>
      </c>
      <c r="B3029" s="311" t="s">
        <v>63</v>
      </c>
      <c r="C3029" s="311" t="s">
        <v>63</v>
      </c>
      <c r="D3029" s="311" t="s">
        <v>462</v>
      </c>
      <c r="E3029" s="337" t="s">
        <v>63</v>
      </c>
      <c r="F3029" s="311" t="s">
        <v>283</v>
      </c>
      <c r="G3029" s="311" t="s">
        <v>237</v>
      </c>
      <c r="H3029" s="311" t="s">
        <v>370</v>
      </c>
      <c r="I3029" s="311" t="s">
        <v>66</v>
      </c>
      <c r="J3029" s="50" t="s">
        <v>1892</v>
      </c>
      <c r="K3029" s="50" t="s">
        <v>1892</v>
      </c>
      <c r="L3029" s="50" t="s">
        <v>1893</v>
      </c>
      <c r="M3029" s="50" t="s">
        <v>5602</v>
      </c>
      <c r="N3029" s="50" t="s">
        <v>5602</v>
      </c>
      <c r="O3029" s="50" t="s">
        <v>5487</v>
      </c>
      <c r="P3029" s="50" t="s">
        <v>5602</v>
      </c>
    </row>
    <row r="3030" spans="1:16" ht="12.75" customHeight="1" x14ac:dyDescent="0.25">
      <c r="A3030" s="311">
        <v>3027</v>
      </c>
      <c r="B3030" s="311" t="s">
        <v>140</v>
      </c>
      <c r="C3030" s="311" t="s">
        <v>140</v>
      </c>
      <c r="D3030" s="311" t="s">
        <v>462</v>
      </c>
      <c r="E3030" s="337" t="s">
        <v>140</v>
      </c>
      <c r="F3030" s="311" t="s">
        <v>283</v>
      </c>
      <c r="G3030" s="311" t="s">
        <v>237</v>
      </c>
      <c r="H3030" s="311" t="s">
        <v>370</v>
      </c>
      <c r="I3030" s="311" t="s">
        <v>66</v>
      </c>
      <c r="J3030" s="50" t="s">
        <v>1892</v>
      </c>
      <c r="K3030" s="50" t="s">
        <v>1892</v>
      </c>
      <c r="L3030" s="50" t="s">
        <v>1893</v>
      </c>
      <c r="M3030" s="50" t="s">
        <v>5603</v>
      </c>
      <c r="N3030" s="50" t="s">
        <v>5603</v>
      </c>
      <c r="O3030" s="50" t="s">
        <v>5487</v>
      </c>
      <c r="P3030" s="50" t="s">
        <v>5603</v>
      </c>
    </row>
    <row r="3031" spans="1:16" ht="12.75" customHeight="1" x14ac:dyDescent="0.25">
      <c r="A3031" s="311">
        <v>3028</v>
      </c>
      <c r="B3031" s="311" t="s">
        <v>121</v>
      </c>
      <c r="C3031" s="311" t="s">
        <v>121</v>
      </c>
      <c r="D3031" s="311" t="s">
        <v>462</v>
      </c>
      <c r="E3031" s="337" t="s">
        <v>121</v>
      </c>
      <c r="F3031" s="311" t="s">
        <v>283</v>
      </c>
      <c r="G3031" s="311" t="s">
        <v>237</v>
      </c>
      <c r="H3031" s="311" t="s">
        <v>370</v>
      </c>
      <c r="I3031" s="311" t="s">
        <v>66</v>
      </c>
      <c r="J3031" s="50" t="s">
        <v>1892</v>
      </c>
      <c r="K3031" s="50" t="s">
        <v>1892</v>
      </c>
      <c r="L3031" s="50" t="s">
        <v>1893</v>
      </c>
      <c r="M3031" s="50" t="s">
        <v>5604</v>
      </c>
      <c r="N3031" s="50" t="s">
        <v>5604</v>
      </c>
      <c r="O3031" s="50" t="s">
        <v>5487</v>
      </c>
      <c r="P3031" s="50" t="s">
        <v>5604</v>
      </c>
    </row>
    <row r="3032" spans="1:16" ht="12.75" customHeight="1" x14ac:dyDescent="0.25">
      <c r="A3032" s="311">
        <v>3029</v>
      </c>
      <c r="B3032" s="311" t="s">
        <v>87</v>
      </c>
      <c r="C3032" s="311" t="s">
        <v>87</v>
      </c>
      <c r="D3032" s="311" t="s">
        <v>462</v>
      </c>
      <c r="E3032" s="337" t="s">
        <v>87</v>
      </c>
      <c r="F3032" s="311" t="s">
        <v>283</v>
      </c>
      <c r="G3032" s="311" t="s">
        <v>237</v>
      </c>
      <c r="H3032" s="311" t="s">
        <v>370</v>
      </c>
      <c r="I3032" s="311" t="s">
        <v>66</v>
      </c>
      <c r="J3032" s="50" t="s">
        <v>1892</v>
      </c>
      <c r="K3032" s="50" t="s">
        <v>1892</v>
      </c>
      <c r="L3032" s="50" t="s">
        <v>1893</v>
      </c>
      <c r="M3032" s="50" t="s">
        <v>5605</v>
      </c>
      <c r="N3032" s="50" t="s">
        <v>5605</v>
      </c>
      <c r="O3032" s="50" t="s">
        <v>5487</v>
      </c>
      <c r="P3032" s="50" t="s">
        <v>5605</v>
      </c>
    </row>
    <row r="3033" spans="1:16" ht="12.75" customHeight="1" x14ac:dyDescent="0.25">
      <c r="A3033" s="311">
        <v>3030</v>
      </c>
      <c r="B3033" s="311" t="s">
        <v>125</v>
      </c>
      <c r="C3033" s="311" t="s">
        <v>125</v>
      </c>
      <c r="D3033" s="311" t="s">
        <v>125</v>
      </c>
      <c r="E3033" s="337" t="s">
        <v>125</v>
      </c>
      <c r="F3033" s="311" t="s">
        <v>283</v>
      </c>
      <c r="G3033" s="311" t="s">
        <v>237</v>
      </c>
      <c r="H3033" s="311" t="s">
        <v>370</v>
      </c>
      <c r="I3033" s="311" t="s">
        <v>66</v>
      </c>
      <c r="J3033" s="50" t="s">
        <v>1892</v>
      </c>
      <c r="K3033" s="50" t="s">
        <v>1892</v>
      </c>
      <c r="L3033" s="50" t="s">
        <v>1893</v>
      </c>
      <c r="M3033" s="50" t="s">
        <v>5606</v>
      </c>
      <c r="N3033" s="50" t="s">
        <v>5606</v>
      </c>
      <c r="O3033" s="50" t="s">
        <v>5606</v>
      </c>
      <c r="P3033" s="50" t="s">
        <v>5606</v>
      </c>
    </row>
    <row r="3034" spans="1:16" ht="12.75" customHeight="1" x14ac:dyDescent="0.25">
      <c r="A3034" s="311">
        <v>3031</v>
      </c>
      <c r="B3034" s="311" t="s">
        <v>134</v>
      </c>
      <c r="C3034" s="311" t="s">
        <v>134</v>
      </c>
      <c r="D3034" s="311" t="s">
        <v>134</v>
      </c>
      <c r="E3034" s="337" t="s">
        <v>134</v>
      </c>
      <c r="F3034" s="311" t="s">
        <v>283</v>
      </c>
      <c r="G3034" s="311" t="s">
        <v>237</v>
      </c>
      <c r="H3034" s="311" t="s">
        <v>370</v>
      </c>
      <c r="I3034" s="311" t="s">
        <v>66</v>
      </c>
      <c r="J3034" s="50" t="s">
        <v>1892</v>
      </c>
      <c r="K3034" s="50" t="s">
        <v>1892</v>
      </c>
      <c r="L3034" s="50" t="s">
        <v>1893</v>
      </c>
      <c r="M3034" s="50" t="s">
        <v>5607</v>
      </c>
      <c r="N3034" s="50" t="s">
        <v>5607</v>
      </c>
      <c r="O3034" s="50" t="s">
        <v>5607</v>
      </c>
      <c r="P3034" s="50" t="s">
        <v>5607</v>
      </c>
    </row>
    <row r="3035" spans="1:16" ht="12.75" customHeight="1" x14ac:dyDescent="0.25">
      <c r="A3035" s="311">
        <v>3032</v>
      </c>
      <c r="B3035" s="311" t="s">
        <v>141</v>
      </c>
      <c r="C3035" s="311" t="s">
        <v>141</v>
      </c>
      <c r="D3035" s="311" t="s">
        <v>141</v>
      </c>
      <c r="E3035" s="337" t="s">
        <v>141</v>
      </c>
      <c r="F3035" s="311" t="s">
        <v>283</v>
      </c>
      <c r="G3035" s="311" t="s">
        <v>237</v>
      </c>
      <c r="H3035" s="311" t="s">
        <v>370</v>
      </c>
      <c r="I3035" s="311" t="s">
        <v>66</v>
      </c>
      <c r="J3035" s="50" t="s">
        <v>1892</v>
      </c>
      <c r="K3035" s="50" t="s">
        <v>1892</v>
      </c>
      <c r="L3035" s="50" t="s">
        <v>1893</v>
      </c>
      <c r="M3035" s="50" t="s">
        <v>5608</v>
      </c>
      <c r="N3035" s="50" t="s">
        <v>5608</v>
      </c>
      <c r="O3035" s="50" t="s">
        <v>5608</v>
      </c>
      <c r="P3035" s="50" t="s">
        <v>5608</v>
      </c>
    </row>
    <row r="3036" spans="1:16" ht="12.75" customHeight="1" x14ac:dyDescent="0.25">
      <c r="A3036" s="311">
        <v>3033</v>
      </c>
      <c r="B3036" s="311" t="s">
        <v>69</v>
      </c>
      <c r="C3036" s="311" t="s">
        <v>69</v>
      </c>
      <c r="D3036" s="311" t="s">
        <v>69</v>
      </c>
      <c r="E3036" s="337" t="s">
        <v>69</v>
      </c>
      <c r="F3036" s="311" t="s">
        <v>283</v>
      </c>
      <c r="G3036" s="311" t="s">
        <v>237</v>
      </c>
      <c r="H3036" s="311" t="s">
        <v>370</v>
      </c>
      <c r="I3036" s="311" t="s">
        <v>66</v>
      </c>
      <c r="J3036" s="50" t="s">
        <v>1892</v>
      </c>
      <c r="K3036" s="50" t="s">
        <v>1892</v>
      </c>
      <c r="L3036" s="50" t="s">
        <v>1893</v>
      </c>
      <c r="M3036" s="50" t="s">
        <v>5609</v>
      </c>
      <c r="N3036" s="50" t="s">
        <v>5609</v>
      </c>
      <c r="O3036" s="50" t="s">
        <v>5609</v>
      </c>
      <c r="P3036" s="50" t="s">
        <v>5609</v>
      </c>
    </row>
    <row r="3037" spans="1:16" ht="12.75" customHeight="1" x14ac:dyDescent="0.25">
      <c r="A3037" s="311">
        <v>3034</v>
      </c>
      <c r="B3037" s="311" t="s">
        <v>63</v>
      </c>
      <c r="C3037" s="311" t="s">
        <v>63</v>
      </c>
      <c r="D3037" s="311" t="s">
        <v>462</v>
      </c>
      <c r="E3037" s="337" t="s">
        <v>63</v>
      </c>
      <c r="F3037" s="311" t="s">
        <v>245</v>
      </c>
      <c r="G3037" s="311" t="s">
        <v>236</v>
      </c>
      <c r="H3037" s="311" t="s">
        <v>370</v>
      </c>
      <c r="I3037" s="311" t="s">
        <v>66</v>
      </c>
      <c r="J3037" s="50" t="s">
        <v>1892</v>
      </c>
      <c r="K3037" s="50" t="s">
        <v>1892</v>
      </c>
      <c r="L3037" s="50" t="s">
        <v>1893</v>
      </c>
      <c r="M3037" s="50" t="s">
        <v>5610</v>
      </c>
      <c r="N3037" s="50" t="s">
        <v>5610</v>
      </c>
      <c r="O3037" s="50" t="s">
        <v>5491</v>
      </c>
      <c r="P3037" s="50" t="s">
        <v>5610</v>
      </c>
    </row>
    <row r="3038" spans="1:16" ht="12.75" customHeight="1" x14ac:dyDescent="0.25">
      <c r="A3038" s="311">
        <v>3035</v>
      </c>
      <c r="B3038" s="311" t="s">
        <v>140</v>
      </c>
      <c r="C3038" s="311" t="s">
        <v>140</v>
      </c>
      <c r="D3038" s="311" t="s">
        <v>462</v>
      </c>
      <c r="E3038" s="337" t="s">
        <v>140</v>
      </c>
      <c r="F3038" s="311" t="s">
        <v>245</v>
      </c>
      <c r="G3038" s="311" t="s">
        <v>236</v>
      </c>
      <c r="H3038" s="311" t="s">
        <v>370</v>
      </c>
      <c r="I3038" s="311" t="s">
        <v>66</v>
      </c>
      <c r="J3038" s="50" t="s">
        <v>1892</v>
      </c>
      <c r="K3038" s="50" t="s">
        <v>1892</v>
      </c>
      <c r="L3038" s="50" t="s">
        <v>1893</v>
      </c>
      <c r="M3038" s="50" t="s">
        <v>5611</v>
      </c>
      <c r="N3038" s="50" t="s">
        <v>5611</v>
      </c>
      <c r="O3038" s="50" t="s">
        <v>5491</v>
      </c>
      <c r="P3038" s="50" t="s">
        <v>5611</v>
      </c>
    </row>
    <row r="3039" spans="1:16" ht="12.75" customHeight="1" x14ac:dyDescent="0.25">
      <c r="A3039" s="311">
        <v>3036</v>
      </c>
      <c r="B3039" s="311" t="s">
        <v>121</v>
      </c>
      <c r="C3039" s="311" t="s">
        <v>121</v>
      </c>
      <c r="D3039" s="311" t="s">
        <v>462</v>
      </c>
      <c r="E3039" s="337" t="s">
        <v>121</v>
      </c>
      <c r="F3039" s="311" t="s">
        <v>245</v>
      </c>
      <c r="G3039" s="311" t="s">
        <v>236</v>
      </c>
      <c r="H3039" s="311" t="s">
        <v>370</v>
      </c>
      <c r="I3039" s="311" t="s">
        <v>66</v>
      </c>
      <c r="J3039" s="50" t="s">
        <v>1892</v>
      </c>
      <c r="K3039" s="50" t="s">
        <v>1892</v>
      </c>
      <c r="L3039" s="50" t="s">
        <v>1893</v>
      </c>
      <c r="M3039" s="50" t="s">
        <v>5612</v>
      </c>
      <c r="N3039" s="50" t="s">
        <v>5612</v>
      </c>
      <c r="O3039" s="50" t="s">
        <v>5491</v>
      </c>
      <c r="P3039" s="50" t="s">
        <v>5612</v>
      </c>
    </row>
    <row r="3040" spans="1:16" ht="12.75" customHeight="1" x14ac:dyDescent="0.25">
      <c r="A3040" s="311">
        <v>3037</v>
      </c>
      <c r="B3040" s="311" t="s">
        <v>87</v>
      </c>
      <c r="C3040" s="311" t="s">
        <v>87</v>
      </c>
      <c r="D3040" s="311" t="s">
        <v>462</v>
      </c>
      <c r="E3040" s="337" t="s">
        <v>87</v>
      </c>
      <c r="F3040" s="311" t="s">
        <v>245</v>
      </c>
      <c r="G3040" s="311" t="s">
        <v>236</v>
      </c>
      <c r="H3040" s="311" t="s">
        <v>370</v>
      </c>
      <c r="I3040" s="311" t="s">
        <v>66</v>
      </c>
      <c r="J3040" s="50" t="s">
        <v>1892</v>
      </c>
      <c r="K3040" s="50" t="s">
        <v>1892</v>
      </c>
      <c r="L3040" s="50" t="s">
        <v>1893</v>
      </c>
      <c r="M3040" s="50" t="s">
        <v>5613</v>
      </c>
      <c r="N3040" s="50" t="s">
        <v>5613</v>
      </c>
      <c r="O3040" s="50" t="s">
        <v>5491</v>
      </c>
      <c r="P3040" s="50" t="s">
        <v>5613</v>
      </c>
    </row>
    <row r="3041" spans="1:16" ht="12.75" customHeight="1" x14ac:dyDescent="0.25">
      <c r="A3041" s="311">
        <v>3038</v>
      </c>
      <c r="B3041" s="311" t="s">
        <v>125</v>
      </c>
      <c r="C3041" s="311" t="s">
        <v>125</v>
      </c>
      <c r="D3041" s="311" t="s">
        <v>125</v>
      </c>
      <c r="E3041" s="337" t="s">
        <v>125</v>
      </c>
      <c r="F3041" s="311" t="s">
        <v>245</v>
      </c>
      <c r="G3041" s="311" t="s">
        <v>236</v>
      </c>
      <c r="H3041" s="311" t="s">
        <v>370</v>
      </c>
      <c r="I3041" s="311" t="s">
        <v>66</v>
      </c>
      <c r="J3041" s="50" t="s">
        <v>1892</v>
      </c>
      <c r="K3041" s="50" t="s">
        <v>1892</v>
      </c>
      <c r="L3041" s="50" t="s">
        <v>1893</v>
      </c>
      <c r="M3041" s="50" t="s">
        <v>5614</v>
      </c>
      <c r="N3041" s="50" t="s">
        <v>5614</v>
      </c>
      <c r="O3041" s="50" t="s">
        <v>5614</v>
      </c>
      <c r="P3041" s="50" t="s">
        <v>5614</v>
      </c>
    </row>
    <row r="3042" spans="1:16" ht="12.75" customHeight="1" x14ac:dyDescent="0.25">
      <c r="A3042" s="311">
        <v>3039</v>
      </c>
      <c r="B3042" s="311" t="s">
        <v>134</v>
      </c>
      <c r="C3042" s="311" t="s">
        <v>134</v>
      </c>
      <c r="D3042" s="311" t="s">
        <v>134</v>
      </c>
      <c r="E3042" s="337" t="s">
        <v>134</v>
      </c>
      <c r="F3042" s="311" t="s">
        <v>245</v>
      </c>
      <c r="G3042" s="311" t="s">
        <v>236</v>
      </c>
      <c r="H3042" s="311" t="s">
        <v>370</v>
      </c>
      <c r="I3042" s="311" t="s">
        <v>66</v>
      </c>
      <c r="J3042" s="50" t="s">
        <v>1892</v>
      </c>
      <c r="K3042" s="50" t="s">
        <v>1892</v>
      </c>
      <c r="L3042" s="50" t="s">
        <v>1893</v>
      </c>
      <c r="M3042" s="50" t="s">
        <v>5615</v>
      </c>
      <c r="N3042" s="50" t="s">
        <v>5615</v>
      </c>
      <c r="O3042" s="50" t="s">
        <v>5615</v>
      </c>
      <c r="P3042" s="50" t="s">
        <v>5615</v>
      </c>
    </row>
    <row r="3043" spans="1:16" ht="12.75" customHeight="1" x14ac:dyDescent="0.25">
      <c r="A3043" s="311">
        <v>3040</v>
      </c>
      <c r="B3043" s="311" t="s">
        <v>141</v>
      </c>
      <c r="C3043" s="311" t="s">
        <v>141</v>
      </c>
      <c r="D3043" s="311" t="s">
        <v>141</v>
      </c>
      <c r="E3043" s="337" t="s">
        <v>141</v>
      </c>
      <c r="F3043" s="311" t="s">
        <v>245</v>
      </c>
      <c r="G3043" s="311" t="s">
        <v>236</v>
      </c>
      <c r="H3043" s="311" t="s">
        <v>370</v>
      </c>
      <c r="I3043" s="311" t="s">
        <v>66</v>
      </c>
      <c r="J3043" s="50" t="s">
        <v>1892</v>
      </c>
      <c r="K3043" s="50" t="s">
        <v>1892</v>
      </c>
      <c r="L3043" s="50" t="s">
        <v>1893</v>
      </c>
      <c r="M3043" s="50" t="s">
        <v>5616</v>
      </c>
      <c r="N3043" s="50" t="s">
        <v>5616</v>
      </c>
      <c r="O3043" s="50" t="s">
        <v>5616</v>
      </c>
      <c r="P3043" s="50" t="s">
        <v>5616</v>
      </c>
    </row>
    <row r="3044" spans="1:16" ht="12.75" customHeight="1" x14ac:dyDescent="0.25">
      <c r="A3044" s="311">
        <v>3041</v>
      </c>
      <c r="B3044" s="311" t="s">
        <v>69</v>
      </c>
      <c r="C3044" s="311" t="s">
        <v>69</v>
      </c>
      <c r="D3044" s="311" t="s">
        <v>69</v>
      </c>
      <c r="E3044" s="337" t="s">
        <v>69</v>
      </c>
      <c r="F3044" s="311" t="s">
        <v>245</v>
      </c>
      <c r="G3044" s="311" t="s">
        <v>236</v>
      </c>
      <c r="H3044" s="311" t="s">
        <v>370</v>
      </c>
      <c r="I3044" s="311" t="s">
        <v>66</v>
      </c>
      <c r="J3044" s="50" t="s">
        <v>1892</v>
      </c>
      <c r="K3044" s="50" t="s">
        <v>1892</v>
      </c>
      <c r="L3044" s="50" t="s">
        <v>1893</v>
      </c>
      <c r="M3044" s="50" t="s">
        <v>5617</v>
      </c>
      <c r="N3044" s="50" t="s">
        <v>5617</v>
      </c>
      <c r="O3044" s="50" t="s">
        <v>5617</v>
      </c>
      <c r="P3044" s="50" t="s">
        <v>5617</v>
      </c>
    </row>
    <row r="3045" spans="1:16" ht="12.75" customHeight="1" x14ac:dyDescent="0.25">
      <c r="A3045" s="311">
        <v>3042</v>
      </c>
      <c r="B3045" s="311" t="s">
        <v>63</v>
      </c>
      <c r="C3045" s="311" t="s">
        <v>63</v>
      </c>
      <c r="D3045" s="311" t="s">
        <v>462</v>
      </c>
      <c r="E3045" s="337" t="s">
        <v>63</v>
      </c>
      <c r="F3045" s="311" t="s">
        <v>245</v>
      </c>
      <c r="G3045" s="311" t="s">
        <v>23</v>
      </c>
      <c r="H3045" s="311" t="s">
        <v>370</v>
      </c>
      <c r="I3045" s="311" t="s">
        <v>66</v>
      </c>
      <c r="J3045" s="50" t="s">
        <v>1892</v>
      </c>
      <c r="K3045" s="50" t="s">
        <v>1892</v>
      </c>
      <c r="L3045" s="50" t="s">
        <v>1893</v>
      </c>
      <c r="M3045" s="50" t="s">
        <v>5618</v>
      </c>
      <c r="N3045" s="50" t="s">
        <v>5618</v>
      </c>
      <c r="O3045" s="50" t="s">
        <v>5495</v>
      </c>
      <c r="P3045" s="50" t="s">
        <v>5618</v>
      </c>
    </row>
    <row r="3046" spans="1:16" ht="12.75" customHeight="1" x14ac:dyDescent="0.25">
      <c r="A3046" s="311">
        <v>3043</v>
      </c>
      <c r="B3046" s="311" t="s">
        <v>140</v>
      </c>
      <c r="C3046" s="311" t="s">
        <v>140</v>
      </c>
      <c r="D3046" s="311" t="s">
        <v>462</v>
      </c>
      <c r="E3046" s="337" t="s">
        <v>140</v>
      </c>
      <c r="F3046" s="311" t="s">
        <v>245</v>
      </c>
      <c r="G3046" s="311" t="s">
        <v>23</v>
      </c>
      <c r="H3046" s="311" t="s">
        <v>370</v>
      </c>
      <c r="I3046" s="311" t="s">
        <v>66</v>
      </c>
      <c r="J3046" s="50" t="s">
        <v>1892</v>
      </c>
      <c r="K3046" s="50" t="s">
        <v>1892</v>
      </c>
      <c r="L3046" s="50" t="s">
        <v>1893</v>
      </c>
      <c r="M3046" s="50" t="s">
        <v>5619</v>
      </c>
      <c r="N3046" s="50" t="s">
        <v>5619</v>
      </c>
      <c r="O3046" s="50" t="s">
        <v>5495</v>
      </c>
      <c r="P3046" s="50" t="s">
        <v>5619</v>
      </c>
    </row>
    <row r="3047" spans="1:16" ht="12.75" customHeight="1" x14ac:dyDescent="0.25">
      <c r="A3047" s="311">
        <v>3044</v>
      </c>
      <c r="B3047" s="311" t="s">
        <v>121</v>
      </c>
      <c r="C3047" s="311" t="s">
        <v>121</v>
      </c>
      <c r="D3047" s="311" t="s">
        <v>462</v>
      </c>
      <c r="E3047" s="337" t="s">
        <v>121</v>
      </c>
      <c r="F3047" s="311" t="s">
        <v>245</v>
      </c>
      <c r="G3047" s="311" t="s">
        <v>23</v>
      </c>
      <c r="H3047" s="311" t="s">
        <v>370</v>
      </c>
      <c r="I3047" s="311" t="s">
        <v>66</v>
      </c>
      <c r="J3047" s="50" t="s">
        <v>1892</v>
      </c>
      <c r="K3047" s="50" t="s">
        <v>1892</v>
      </c>
      <c r="L3047" s="50" t="s">
        <v>1893</v>
      </c>
      <c r="M3047" s="50" t="s">
        <v>5620</v>
      </c>
      <c r="N3047" s="50" t="s">
        <v>5620</v>
      </c>
      <c r="O3047" s="50" t="s">
        <v>5495</v>
      </c>
      <c r="P3047" s="50" t="s">
        <v>5620</v>
      </c>
    </row>
    <row r="3048" spans="1:16" ht="12.75" customHeight="1" x14ac:dyDescent="0.25">
      <c r="A3048" s="311">
        <v>3045</v>
      </c>
      <c r="B3048" s="311" t="s">
        <v>87</v>
      </c>
      <c r="C3048" s="311" t="s">
        <v>87</v>
      </c>
      <c r="D3048" s="311" t="s">
        <v>462</v>
      </c>
      <c r="E3048" s="337" t="s">
        <v>87</v>
      </c>
      <c r="F3048" s="311" t="s">
        <v>245</v>
      </c>
      <c r="G3048" s="311" t="s">
        <v>23</v>
      </c>
      <c r="H3048" s="311" t="s">
        <v>370</v>
      </c>
      <c r="I3048" s="311" t="s">
        <v>66</v>
      </c>
      <c r="J3048" s="50" t="s">
        <v>1892</v>
      </c>
      <c r="K3048" s="50" t="s">
        <v>1892</v>
      </c>
      <c r="L3048" s="50" t="s">
        <v>1893</v>
      </c>
      <c r="M3048" s="50" t="s">
        <v>5621</v>
      </c>
      <c r="N3048" s="50" t="s">
        <v>5621</v>
      </c>
      <c r="O3048" s="50" t="s">
        <v>5495</v>
      </c>
      <c r="P3048" s="50" t="s">
        <v>5621</v>
      </c>
    </row>
    <row r="3049" spans="1:16" ht="12.75" customHeight="1" x14ac:dyDescent="0.25">
      <c r="A3049" s="311">
        <v>3046</v>
      </c>
      <c r="B3049" s="311" t="s">
        <v>125</v>
      </c>
      <c r="C3049" s="311" t="s">
        <v>125</v>
      </c>
      <c r="D3049" s="311" t="s">
        <v>125</v>
      </c>
      <c r="E3049" s="337" t="s">
        <v>125</v>
      </c>
      <c r="F3049" s="311" t="s">
        <v>245</v>
      </c>
      <c r="G3049" s="311" t="s">
        <v>23</v>
      </c>
      <c r="H3049" s="311" t="s">
        <v>370</v>
      </c>
      <c r="I3049" s="311" t="s">
        <v>66</v>
      </c>
      <c r="J3049" s="50" t="s">
        <v>1892</v>
      </c>
      <c r="K3049" s="50" t="s">
        <v>1892</v>
      </c>
      <c r="L3049" s="50" t="s">
        <v>1893</v>
      </c>
      <c r="M3049" s="50" t="s">
        <v>5622</v>
      </c>
      <c r="N3049" s="50" t="s">
        <v>5622</v>
      </c>
      <c r="O3049" s="50" t="s">
        <v>5622</v>
      </c>
      <c r="P3049" s="50" t="s">
        <v>5622</v>
      </c>
    </row>
    <row r="3050" spans="1:16" ht="12.75" customHeight="1" x14ac:dyDescent="0.25">
      <c r="A3050" s="311">
        <v>3047</v>
      </c>
      <c r="B3050" s="311" t="s">
        <v>134</v>
      </c>
      <c r="C3050" s="311" t="s">
        <v>134</v>
      </c>
      <c r="D3050" s="311" t="s">
        <v>134</v>
      </c>
      <c r="E3050" s="337" t="s">
        <v>134</v>
      </c>
      <c r="F3050" s="311" t="s">
        <v>245</v>
      </c>
      <c r="G3050" s="311" t="s">
        <v>23</v>
      </c>
      <c r="H3050" s="311" t="s">
        <v>370</v>
      </c>
      <c r="I3050" s="311" t="s">
        <v>66</v>
      </c>
      <c r="J3050" s="50" t="s">
        <v>1892</v>
      </c>
      <c r="K3050" s="50" t="s">
        <v>1892</v>
      </c>
      <c r="L3050" s="50" t="s">
        <v>1893</v>
      </c>
      <c r="M3050" s="50" t="s">
        <v>5623</v>
      </c>
      <c r="N3050" s="50" t="s">
        <v>5623</v>
      </c>
      <c r="O3050" s="50" t="s">
        <v>5623</v>
      </c>
      <c r="P3050" s="50" t="s">
        <v>5623</v>
      </c>
    </row>
    <row r="3051" spans="1:16" ht="12.75" customHeight="1" x14ac:dyDescent="0.25">
      <c r="A3051" s="311">
        <v>3048</v>
      </c>
      <c r="B3051" s="311" t="s">
        <v>141</v>
      </c>
      <c r="C3051" s="311" t="s">
        <v>141</v>
      </c>
      <c r="D3051" s="311" t="s">
        <v>141</v>
      </c>
      <c r="E3051" s="337" t="s">
        <v>141</v>
      </c>
      <c r="F3051" s="311" t="s">
        <v>245</v>
      </c>
      <c r="G3051" s="311" t="s">
        <v>23</v>
      </c>
      <c r="H3051" s="311" t="s">
        <v>370</v>
      </c>
      <c r="I3051" s="311" t="s">
        <v>66</v>
      </c>
      <c r="J3051" s="50" t="s">
        <v>1892</v>
      </c>
      <c r="K3051" s="50" t="s">
        <v>1892</v>
      </c>
      <c r="L3051" s="50" t="s">
        <v>1893</v>
      </c>
      <c r="M3051" s="50" t="s">
        <v>5624</v>
      </c>
      <c r="N3051" s="50" t="s">
        <v>5624</v>
      </c>
      <c r="O3051" s="50" t="s">
        <v>5624</v>
      </c>
      <c r="P3051" s="50" t="s">
        <v>5624</v>
      </c>
    </row>
    <row r="3052" spans="1:16" ht="12.75" customHeight="1" x14ac:dyDescent="0.25">
      <c r="A3052" s="311">
        <v>3049</v>
      </c>
      <c r="B3052" s="311" t="s">
        <v>69</v>
      </c>
      <c r="C3052" s="311" t="s">
        <v>69</v>
      </c>
      <c r="D3052" s="311" t="s">
        <v>69</v>
      </c>
      <c r="E3052" s="337" t="s">
        <v>69</v>
      </c>
      <c r="F3052" s="311" t="s">
        <v>245</v>
      </c>
      <c r="G3052" s="311" t="s">
        <v>23</v>
      </c>
      <c r="H3052" s="311" t="s">
        <v>370</v>
      </c>
      <c r="I3052" s="311" t="s">
        <v>66</v>
      </c>
      <c r="J3052" s="50" t="s">
        <v>1892</v>
      </c>
      <c r="K3052" s="50" t="s">
        <v>1892</v>
      </c>
      <c r="L3052" s="50" t="s">
        <v>1893</v>
      </c>
      <c r="M3052" s="50" t="s">
        <v>5625</v>
      </c>
      <c r="N3052" s="50" t="s">
        <v>5625</v>
      </c>
      <c r="O3052" s="50" t="s">
        <v>5625</v>
      </c>
      <c r="P3052" s="50" t="s">
        <v>5625</v>
      </c>
    </row>
    <row r="3053" spans="1:16" ht="12.75" customHeight="1" x14ac:dyDescent="0.25">
      <c r="A3053" s="311">
        <v>3050</v>
      </c>
      <c r="B3053" s="311" t="s">
        <v>63</v>
      </c>
      <c r="C3053" s="311" t="s">
        <v>63</v>
      </c>
      <c r="D3053" s="311" t="s">
        <v>462</v>
      </c>
      <c r="E3053" s="337" t="s">
        <v>63</v>
      </c>
      <c r="F3053" s="311" t="s">
        <v>245</v>
      </c>
      <c r="G3053" s="311" t="s">
        <v>237</v>
      </c>
      <c r="H3053" s="311" t="s">
        <v>370</v>
      </c>
      <c r="I3053" s="311" t="s">
        <v>66</v>
      </c>
      <c r="J3053" s="50" t="s">
        <v>1892</v>
      </c>
      <c r="K3053" s="50" t="s">
        <v>1892</v>
      </c>
      <c r="L3053" s="50" t="s">
        <v>1893</v>
      </c>
      <c r="M3053" s="50" t="s">
        <v>5626</v>
      </c>
      <c r="N3053" s="50" t="s">
        <v>5626</v>
      </c>
      <c r="O3053" s="50" t="s">
        <v>5499</v>
      </c>
      <c r="P3053" s="50" t="s">
        <v>5626</v>
      </c>
    </row>
    <row r="3054" spans="1:16" ht="12.75" customHeight="1" x14ac:dyDescent="0.25">
      <c r="A3054" s="311">
        <v>3051</v>
      </c>
      <c r="B3054" s="311" t="s">
        <v>140</v>
      </c>
      <c r="C3054" s="311" t="s">
        <v>140</v>
      </c>
      <c r="D3054" s="311" t="s">
        <v>462</v>
      </c>
      <c r="E3054" s="337" t="s">
        <v>140</v>
      </c>
      <c r="F3054" s="311" t="s">
        <v>245</v>
      </c>
      <c r="G3054" s="311" t="s">
        <v>237</v>
      </c>
      <c r="H3054" s="311" t="s">
        <v>370</v>
      </c>
      <c r="I3054" s="311" t="s">
        <v>66</v>
      </c>
      <c r="J3054" s="50" t="s">
        <v>1892</v>
      </c>
      <c r="K3054" s="50" t="s">
        <v>1892</v>
      </c>
      <c r="L3054" s="50" t="s">
        <v>1893</v>
      </c>
      <c r="M3054" s="50" t="s">
        <v>5627</v>
      </c>
      <c r="N3054" s="50" t="s">
        <v>5627</v>
      </c>
      <c r="O3054" s="50" t="s">
        <v>5499</v>
      </c>
      <c r="P3054" s="50" t="s">
        <v>5627</v>
      </c>
    </row>
    <row r="3055" spans="1:16" ht="12.75" customHeight="1" x14ac:dyDescent="0.25">
      <c r="A3055" s="311">
        <v>3052</v>
      </c>
      <c r="B3055" s="311" t="s">
        <v>121</v>
      </c>
      <c r="C3055" s="311" t="s">
        <v>121</v>
      </c>
      <c r="D3055" s="311" t="s">
        <v>462</v>
      </c>
      <c r="E3055" s="337" t="s">
        <v>121</v>
      </c>
      <c r="F3055" s="311" t="s">
        <v>245</v>
      </c>
      <c r="G3055" s="311" t="s">
        <v>237</v>
      </c>
      <c r="H3055" s="311" t="s">
        <v>370</v>
      </c>
      <c r="I3055" s="311" t="s">
        <v>66</v>
      </c>
      <c r="J3055" s="50" t="s">
        <v>1892</v>
      </c>
      <c r="K3055" s="50" t="s">
        <v>1892</v>
      </c>
      <c r="L3055" s="50" t="s">
        <v>1893</v>
      </c>
      <c r="M3055" s="50" t="s">
        <v>5628</v>
      </c>
      <c r="N3055" s="50" t="s">
        <v>5628</v>
      </c>
      <c r="O3055" s="50" t="s">
        <v>5499</v>
      </c>
      <c r="P3055" s="50" t="s">
        <v>5628</v>
      </c>
    </row>
    <row r="3056" spans="1:16" ht="12.75" customHeight="1" x14ac:dyDescent="0.25">
      <c r="A3056" s="311">
        <v>3053</v>
      </c>
      <c r="B3056" s="311" t="s">
        <v>87</v>
      </c>
      <c r="C3056" s="311" t="s">
        <v>87</v>
      </c>
      <c r="D3056" s="311" t="s">
        <v>462</v>
      </c>
      <c r="E3056" s="337" t="s">
        <v>87</v>
      </c>
      <c r="F3056" s="311" t="s">
        <v>245</v>
      </c>
      <c r="G3056" s="311" t="s">
        <v>237</v>
      </c>
      <c r="H3056" s="311" t="s">
        <v>370</v>
      </c>
      <c r="I3056" s="311" t="s">
        <v>66</v>
      </c>
      <c r="J3056" s="50" t="s">
        <v>1892</v>
      </c>
      <c r="K3056" s="50" t="s">
        <v>1892</v>
      </c>
      <c r="L3056" s="50" t="s">
        <v>1893</v>
      </c>
      <c r="M3056" s="50" t="s">
        <v>5629</v>
      </c>
      <c r="N3056" s="50" t="s">
        <v>5629</v>
      </c>
      <c r="O3056" s="50" t="s">
        <v>5499</v>
      </c>
      <c r="P3056" s="50" t="s">
        <v>5629</v>
      </c>
    </row>
    <row r="3057" spans="1:16" ht="12.75" customHeight="1" x14ac:dyDescent="0.25">
      <c r="A3057" s="311">
        <v>3054</v>
      </c>
      <c r="B3057" s="311" t="s">
        <v>125</v>
      </c>
      <c r="C3057" s="311" t="s">
        <v>125</v>
      </c>
      <c r="D3057" s="311" t="s">
        <v>125</v>
      </c>
      <c r="E3057" s="337" t="s">
        <v>125</v>
      </c>
      <c r="F3057" s="311" t="s">
        <v>245</v>
      </c>
      <c r="G3057" s="311" t="s">
        <v>237</v>
      </c>
      <c r="H3057" s="311" t="s">
        <v>370</v>
      </c>
      <c r="I3057" s="311" t="s">
        <v>66</v>
      </c>
      <c r="J3057" s="50" t="s">
        <v>1892</v>
      </c>
      <c r="K3057" s="50" t="s">
        <v>1892</v>
      </c>
      <c r="L3057" s="50" t="s">
        <v>1893</v>
      </c>
      <c r="M3057" s="50" t="s">
        <v>5630</v>
      </c>
      <c r="N3057" s="50" t="s">
        <v>5630</v>
      </c>
      <c r="O3057" s="50" t="s">
        <v>5630</v>
      </c>
      <c r="P3057" s="50" t="s">
        <v>5630</v>
      </c>
    </row>
    <row r="3058" spans="1:16" ht="12.75" customHeight="1" x14ac:dyDescent="0.25">
      <c r="A3058" s="311">
        <v>3055</v>
      </c>
      <c r="B3058" s="311" t="s">
        <v>134</v>
      </c>
      <c r="C3058" s="311" t="s">
        <v>134</v>
      </c>
      <c r="D3058" s="311" t="s">
        <v>134</v>
      </c>
      <c r="E3058" s="337" t="s">
        <v>134</v>
      </c>
      <c r="F3058" s="311" t="s">
        <v>245</v>
      </c>
      <c r="G3058" s="311" t="s">
        <v>237</v>
      </c>
      <c r="H3058" s="311" t="s">
        <v>370</v>
      </c>
      <c r="I3058" s="311" t="s">
        <v>66</v>
      </c>
      <c r="J3058" s="50" t="s">
        <v>1892</v>
      </c>
      <c r="K3058" s="50" t="s">
        <v>1892</v>
      </c>
      <c r="L3058" s="50" t="s">
        <v>1893</v>
      </c>
      <c r="M3058" s="50" t="s">
        <v>5631</v>
      </c>
      <c r="N3058" s="50" t="s">
        <v>5631</v>
      </c>
      <c r="O3058" s="50" t="s">
        <v>5631</v>
      </c>
      <c r="P3058" s="50" t="s">
        <v>5631</v>
      </c>
    </row>
    <row r="3059" spans="1:16" ht="12.75" customHeight="1" x14ac:dyDescent="0.25">
      <c r="A3059" s="311">
        <v>3056</v>
      </c>
      <c r="B3059" s="311" t="s">
        <v>141</v>
      </c>
      <c r="C3059" s="311" t="s">
        <v>141</v>
      </c>
      <c r="D3059" s="311" t="s">
        <v>141</v>
      </c>
      <c r="E3059" s="337" t="s">
        <v>141</v>
      </c>
      <c r="F3059" s="311" t="s">
        <v>245</v>
      </c>
      <c r="G3059" s="311" t="s">
        <v>237</v>
      </c>
      <c r="H3059" s="311" t="s">
        <v>370</v>
      </c>
      <c r="I3059" s="311" t="s">
        <v>66</v>
      </c>
      <c r="J3059" s="50" t="s">
        <v>1892</v>
      </c>
      <c r="K3059" s="50" t="s">
        <v>1892</v>
      </c>
      <c r="L3059" s="50" t="s">
        <v>1893</v>
      </c>
      <c r="M3059" s="50" t="s">
        <v>5632</v>
      </c>
      <c r="N3059" s="50" t="s">
        <v>5632</v>
      </c>
      <c r="O3059" s="50" t="s">
        <v>5632</v>
      </c>
      <c r="P3059" s="50" t="s">
        <v>5632</v>
      </c>
    </row>
    <row r="3060" spans="1:16" ht="12.75" customHeight="1" x14ac:dyDescent="0.25">
      <c r="A3060" s="311">
        <v>3057</v>
      </c>
      <c r="B3060" s="311" t="s">
        <v>69</v>
      </c>
      <c r="C3060" s="311" t="s">
        <v>69</v>
      </c>
      <c r="D3060" s="311" t="s">
        <v>69</v>
      </c>
      <c r="E3060" s="337" t="s">
        <v>69</v>
      </c>
      <c r="F3060" s="311" t="s">
        <v>245</v>
      </c>
      <c r="G3060" s="311" t="s">
        <v>237</v>
      </c>
      <c r="H3060" s="311" t="s">
        <v>370</v>
      </c>
      <c r="I3060" s="311" t="s">
        <v>66</v>
      </c>
      <c r="J3060" s="50" t="s">
        <v>1892</v>
      </c>
      <c r="K3060" s="50" t="s">
        <v>1892</v>
      </c>
      <c r="L3060" s="50" t="s">
        <v>1893</v>
      </c>
      <c r="M3060" s="50" t="s">
        <v>5633</v>
      </c>
      <c r="N3060" s="50" t="s">
        <v>5633</v>
      </c>
      <c r="O3060" s="50" t="s">
        <v>5633</v>
      </c>
      <c r="P3060" s="50" t="s">
        <v>5633</v>
      </c>
    </row>
    <row r="3061" spans="1:16" ht="12.75" customHeight="1" x14ac:dyDescent="0.25">
      <c r="A3061" s="311">
        <v>3058</v>
      </c>
      <c r="B3061" s="311" t="s">
        <v>63</v>
      </c>
      <c r="C3061" s="311" t="s">
        <v>63</v>
      </c>
      <c r="D3061" s="311" t="s">
        <v>462</v>
      </c>
      <c r="E3061" s="337" t="s">
        <v>63</v>
      </c>
      <c r="F3061" s="311" t="s">
        <v>64</v>
      </c>
      <c r="G3061" s="311" t="s">
        <v>236</v>
      </c>
      <c r="H3061" s="311" t="s">
        <v>370</v>
      </c>
      <c r="I3061" s="311" t="s">
        <v>66</v>
      </c>
      <c r="J3061" s="50" t="s">
        <v>1892</v>
      </c>
      <c r="K3061" s="50" t="s">
        <v>1892</v>
      </c>
      <c r="L3061" s="50" t="s">
        <v>1893</v>
      </c>
      <c r="M3061" s="50" t="s">
        <v>5634</v>
      </c>
      <c r="N3061" s="50" t="s">
        <v>5634</v>
      </c>
      <c r="O3061" s="50" t="s">
        <v>5503</v>
      </c>
      <c r="P3061" s="50" t="s">
        <v>5634</v>
      </c>
    </row>
    <row r="3062" spans="1:16" ht="12.75" customHeight="1" x14ac:dyDescent="0.25">
      <c r="A3062" s="311">
        <v>3059</v>
      </c>
      <c r="B3062" s="311" t="s">
        <v>140</v>
      </c>
      <c r="C3062" s="311" t="s">
        <v>140</v>
      </c>
      <c r="D3062" s="311" t="s">
        <v>462</v>
      </c>
      <c r="E3062" s="337" t="s">
        <v>140</v>
      </c>
      <c r="F3062" s="311" t="s">
        <v>64</v>
      </c>
      <c r="G3062" s="311" t="s">
        <v>236</v>
      </c>
      <c r="H3062" s="311" t="s">
        <v>370</v>
      </c>
      <c r="I3062" s="311" t="s">
        <v>66</v>
      </c>
      <c r="J3062" s="50" t="s">
        <v>1892</v>
      </c>
      <c r="K3062" s="50" t="s">
        <v>1892</v>
      </c>
      <c r="L3062" s="50" t="s">
        <v>1893</v>
      </c>
      <c r="M3062" s="50" t="s">
        <v>5635</v>
      </c>
      <c r="N3062" s="50" t="s">
        <v>5635</v>
      </c>
      <c r="O3062" s="50" t="s">
        <v>5503</v>
      </c>
      <c r="P3062" s="50" t="s">
        <v>5635</v>
      </c>
    </row>
    <row r="3063" spans="1:16" ht="12.75" customHeight="1" x14ac:dyDescent="0.25">
      <c r="A3063" s="311">
        <v>3060</v>
      </c>
      <c r="B3063" s="311" t="s">
        <v>121</v>
      </c>
      <c r="C3063" s="311" t="s">
        <v>121</v>
      </c>
      <c r="D3063" s="311" t="s">
        <v>462</v>
      </c>
      <c r="E3063" s="337" t="s">
        <v>121</v>
      </c>
      <c r="F3063" s="311" t="s">
        <v>64</v>
      </c>
      <c r="G3063" s="311" t="s">
        <v>236</v>
      </c>
      <c r="H3063" s="311" t="s">
        <v>370</v>
      </c>
      <c r="I3063" s="311" t="s">
        <v>66</v>
      </c>
      <c r="J3063" s="50" t="s">
        <v>1892</v>
      </c>
      <c r="K3063" s="50" t="s">
        <v>1892</v>
      </c>
      <c r="L3063" s="50" t="s">
        <v>1893</v>
      </c>
      <c r="M3063" s="50" t="s">
        <v>5636</v>
      </c>
      <c r="N3063" s="50" t="s">
        <v>5636</v>
      </c>
      <c r="O3063" s="50" t="s">
        <v>5503</v>
      </c>
      <c r="P3063" s="50" t="s">
        <v>5636</v>
      </c>
    </row>
    <row r="3064" spans="1:16" ht="12.75" customHeight="1" x14ac:dyDescent="0.25">
      <c r="A3064" s="311">
        <v>3061</v>
      </c>
      <c r="B3064" s="311" t="s">
        <v>87</v>
      </c>
      <c r="C3064" s="311" t="s">
        <v>87</v>
      </c>
      <c r="D3064" s="311" t="s">
        <v>462</v>
      </c>
      <c r="E3064" s="337" t="s">
        <v>87</v>
      </c>
      <c r="F3064" s="311" t="s">
        <v>64</v>
      </c>
      <c r="G3064" s="311" t="s">
        <v>236</v>
      </c>
      <c r="H3064" s="311" t="s">
        <v>370</v>
      </c>
      <c r="I3064" s="311" t="s">
        <v>66</v>
      </c>
      <c r="J3064" s="50" t="s">
        <v>1892</v>
      </c>
      <c r="K3064" s="50" t="s">
        <v>1892</v>
      </c>
      <c r="L3064" s="50" t="s">
        <v>1893</v>
      </c>
      <c r="M3064" s="50" t="s">
        <v>5637</v>
      </c>
      <c r="N3064" s="50" t="s">
        <v>5637</v>
      </c>
      <c r="O3064" s="50" t="s">
        <v>5503</v>
      </c>
      <c r="P3064" s="50" t="s">
        <v>5637</v>
      </c>
    </row>
    <row r="3065" spans="1:16" ht="12.75" customHeight="1" x14ac:dyDescent="0.25">
      <c r="A3065" s="311">
        <v>3062</v>
      </c>
      <c r="B3065" s="311" t="s">
        <v>125</v>
      </c>
      <c r="C3065" s="311" t="s">
        <v>125</v>
      </c>
      <c r="D3065" s="311" t="s">
        <v>125</v>
      </c>
      <c r="E3065" s="337" t="s">
        <v>125</v>
      </c>
      <c r="F3065" s="311" t="s">
        <v>64</v>
      </c>
      <c r="G3065" s="311" t="s">
        <v>236</v>
      </c>
      <c r="H3065" s="311" t="s">
        <v>370</v>
      </c>
      <c r="I3065" s="311" t="s">
        <v>66</v>
      </c>
      <c r="J3065" s="50" t="s">
        <v>1892</v>
      </c>
      <c r="K3065" s="50" t="s">
        <v>1892</v>
      </c>
      <c r="L3065" s="50" t="s">
        <v>1893</v>
      </c>
      <c r="M3065" s="50" t="s">
        <v>5638</v>
      </c>
      <c r="N3065" s="50" t="s">
        <v>5638</v>
      </c>
      <c r="O3065" s="50" t="s">
        <v>5638</v>
      </c>
      <c r="P3065" s="50" t="s">
        <v>5638</v>
      </c>
    </row>
    <row r="3066" spans="1:16" ht="12.75" customHeight="1" x14ac:dyDescent="0.25">
      <c r="A3066" s="311">
        <v>3063</v>
      </c>
      <c r="B3066" s="311" t="s">
        <v>134</v>
      </c>
      <c r="C3066" s="311" t="s">
        <v>134</v>
      </c>
      <c r="D3066" s="311" t="s">
        <v>134</v>
      </c>
      <c r="E3066" s="337" t="s">
        <v>134</v>
      </c>
      <c r="F3066" s="311" t="s">
        <v>64</v>
      </c>
      <c r="G3066" s="311" t="s">
        <v>236</v>
      </c>
      <c r="H3066" s="311" t="s">
        <v>370</v>
      </c>
      <c r="I3066" s="311" t="s">
        <v>66</v>
      </c>
      <c r="J3066" s="50" t="s">
        <v>1892</v>
      </c>
      <c r="K3066" s="50" t="s">
        <v>1892</v>
      </c>
      <c r="L3066" s="50" t="s">
        <v>1893</v>
      </c>
      <c r="M3066" s="50" t="s">
        <v>5639</v>
      </c>
      <c r="N3066" s="50" t="s">
        <v>5639</v>
      </c>
      <c r="O3066" s="50" t="s">
        <v>5639</v>
      </c>
      <c r="P3066" s="50" t="s">
        <v>5639</v>
      </c>
    </row>
    <row r="3067" spans="1:16" ht="12.75" customHeight="1" x14ac:dyDescent="0.25">
      <c r="A3067" s="311">
        <v>3064</v>
      </c>
      <c r="B3067" s="311" t="s">
        <v>141</v>
      </c>
      <c r="C3067" s="311" t="s">
        <v>141</v>
      </c>
      <c r="D3067" s="311" t="s">
        <v>141</v>
      </c>
      <c r="E3067" s="337" t="s">
        <v>141</v>
      </c>
      <c r="F3067" s="311" t="s">
        <v>64</v>
      </c>
      <c r="G3067" s="311" t="s">
        <v>236</v>
      </c>
      <c r="H3067" s="311" t="s">
        <v>370</v>
      </c>
      <c r="I3067" s="311" t="s">
        <v>66</v>
      </c>
      <c r="J3067" s="50" t="s">
        <v>1892</v>
      </c>
      <c r="K3067" s="50" t="s">
        <v>1892</v>
      </c>
      <c r="L3067" s="50" t="s">
        <v>1893</v>
      </c>
      <c r="M3067" s="50" t="s">
        <v>5640</v>
      </c>
      <c r="N3067" s="50" t="s">
        <v>5640</v>
      </c>
      <c r="O3067" s="50" t="s">
        <v>5640</v>
      </c>
      <c r="P3067" s="50" t="s">
        <v>5640</v>
      </c>
    </row>
    <row r="3068" spans="1:16" ht="12.75" customHeight="1" x14ac:dyDescent="0.25">
      <c r="A3068" s="311">
        <v>3065</v>
      </c>
      <c r="B3068" s="311" t="s">
        <v>69</v>
      </c>
      <c r="C3068" s="311" t="s">
        <v>69</v>
      </c>
      <c r="D3068" s="311" t="s">
        <v>69</v>
      </c>
      <c r="E3068" s="337" t="s">
        <v>69</v>
      </c>
      <c r="F3068" s="311" t="s">
        <v>64</v>
      </c>
      <c r="G3068" s="311" t="s">
        <v>236</v>
      </c>
      <c r="H3068" s="311" t="s">
        <v>370</v>
      </c>
      <c r="I3068" s="311" t="s">
        <v>66</v>
      </c>
      <c r="J3068" s="50" t="s">
        <v>1892</v>
      </c>
      <c r="K3068" s="50" t="s">
        <v>1892</v>
      </c>
      <c r="L3068" s="50" t="s">
        <v>1893</v>
      </c>
      <c r="M3068" s="50" t="s">
        <v>5641</v>
      </c>
      <c r="N3068" s="50" t="s">
        <v>5641</v>
      </c>
      <c r="O3068" s="50" t="s">
        <v>5641</v>
      </c>
      <c r="P3068" s="50" t="s">
        <v>5641</v>
      </c>
    </row>
    <row r="3069" spans="1:16" ht="12.75" customHeight="1" x14ac:dyDescent="0.25">
      <c r="A3069" s="311">
        <v>3066</v>
      </c>
      <c r="B3069" s="311" t="s">
        <v>63</v>
      </c>
      <c r="C3069" s="311" t="s">
        <v>63</v>
      </c>
      <c r="D3069" s="311" t="s">
        <v>462</v>
      </c>
      <c r="E3069" s="337" t="s">
        <v>63</v>
      </c>
      <c r="F3069" s="311" t="s">
        <v>64</v>
      </c>
      <c r="G3069" s="311" t="s">
        <v>23</v>
      </c>
      <c r="H3069" s="311" t="s">
        <v>370</v>
      </c>
      <c r="I3069" s="311" t="s">
        <v>66</v>
      </c>
      <c r="J3069" s="50" t="s">
        <v>1892</v>
      </c>
      <c r="K3069" s="50" t="s">
        <v>1892</v>
      </c>
      <c r="L3069" s="50" t="s">
        <v>1893</v>
      </c>
      <c r="M3069" s="50" t="s">
        <v>5642</v>
      </c>
      <c r="N3069" s="50" t="s">
        <v>5642</v>
      </c>
      <c r="O3069" s="50" t="s">
        <v>5507</v>
      </c>
      <c r="P3069" s="50" t="s">
        <v>5642</v>
      </c>
    </row>
    <row r="3070" spans="1:16" ht="12.75" customHeight="1" x14ac:dyDescent="0.25">
      <c r="A3070" s="311">
        <v>3067</v>
      </c>
      <c r="B3070" s="311" t="s">
        <v>140</v>
      </c>
      <c r="C3070" s="311" t="s">
        <v>140</v>
      </c>
      <c r="D3070" s="311" t="s">
        <v>462</v>
      </c>
      <c r="E3070" s="337" t="s">
        <v>140</v>
      </c>
      <c r="F3070" s="311" t="s">
        <v>64</v>
      </c>
      <c r="G3070" s="311" t="s">
        <v>23</v>
      </c>
      <c r="H3070" s="311" t="s">
        <v>370</v>
      </c>
      <c r="I3070" s="311" t="s">
        <v>66</v>
      </c>
      <c r="J3070" s="50" t="s">
        <v>1892</v>
      </c>
      <c r="K3070" s="50" t="s">
        <v>1892</v>
      </c>
      <c r="L3070" s="50" t="s">
        <v>1893</v>
      </c>
      <c r="M3070" s="50" t="s">
        <v>5643</v>
      </c>
      <c r="N3070" s="50" t="s">
        <v>5643</v>
      </c>
      <c r="O3070" s="50" t="s">
        <v>5507</v>
      </c>
      <c r="P3070" s="50" t="s">
        <v>5643</v>
      </c>
    </row>
    <row r="3071" spans="1:16" ht="12.75" customHeight="1" x14ac:dyDescent="0.25">
      <c r="A3071" s="311">
        <v>3068</v>
      </c>
      <c r="B3071" s="311" t="s">
        <v>121</v>
      </c>
      <c r="C3071" s="311" t="s">
        <v>121</v>
      </c>
      <c r="D3071" s="311" t="s">
        <v>462</v>
      </c>
      <c r="E3071" s="337" t="s">
        <v>121</v>
      </c>
      <c r="F3071" s="311" t="s">
        <v>64</v>
      </c>
      <c r="G3071" s="311" t="s">
        <v>23</v>
      </c>
      <c r="H3071" s="311" t="s">
        <v>370</v>
      </c>
      <c r="I3071" s="311" t="s">
        <v>66</v>
      </c>
      <c r="J3071" s="50" t="s">
        <v>1892</v>
      </c>
      <c r="K3071" s="50" t="s">
        <v>1892</v>
      </c>
      <c r="L3071" s="50" t="s">
        <v>1893</v>
      </c>
      <c r="M3071" s="50" t="s">
        <v>5644</v>
      </c>
      <c r="N3071" s="50" t="s">
        <v>5644</v>
      </c>
      <c r="O3071" s="50" t="s">
        <v>5507</v>
      </c>
      <c r="P3071" s="50" t="s">
        <v>5644</v>
      </c>
    </row>
    <row r="3072" spans="1:16" ht="12.75" customHeight="1" x14ac:dyDescent="0.25">
      <c r="A3072" s="311">
        <v>3069</v>
      </c>
      <c r="B3072" s="311" t="s">
        <v>87</v>
      </c>
      <c r="C3072" s="311" t="s">
        <v>87</v>
      </c>
      <c r="D3072" s="311" t="s">
        <v>462</v>
      </c>
      <c r="E3072" s="337" t="s">
        <v>87</v>
      </c>
      <c r="F3072" s="311" t="s">
        <v>64</v>
      </c>
      <c r="G3072" s="311" t="s">
        <v>23</v>
      </c>
      <c r="H3072" s="311" t="s">
        <v>370</v>
      </c>
      <c r="I3072" s="311" t="s">
        <v>66</v>
      </c>
      <c r="J3072" s="50" t="s">
        <v>1892</v>
      </c>
      <c r="K3072" s="50" t="s">
        <v>1892</v>
      </c>
      <c r="L3072" s="50" t="s">
        <v>1893</v>
      </c>
      <c r="M3072" s="50" t="s">
        <v>5645</v>
      </c>
      <c r="N3072" s="50" t="s">
        <v>5645</v>
      </c>
      <c r="O3072" s="50" t="s">
        <v>5507</v>
      </c>
      <c r="P3072" s="50" t="s">
        <v>5645</v>
      </c>
    </row>
    <row r="3073" spans="1:16" ht="12.75" customHeight="1" x14ac:dyDescent="0.25">
      <c r="A3073" s="311">
        <v>3070</v>
      </c>
      <c r="B3073" s="311" t="s">
        <v>125</v>
      </c>
      <c r="C3073" s="311" t="s">
        <v>125</v>
      </c>
      <c r="D3073" s="311" t="s">
        <v>125</v>
      </c>
      <c r="E3073" s="337" t="s">
        <v>125</v>
      </c>
      <c r="F3073" s="311" t="s">
        <v>64</v>
      </c>
      <c r="G3073" s="311" t="s">
        <v>23</v>
      </c>
      <c r="H3073" s="311" t="s">
        <v>370</v>
      </c>
      <c r="I3073" s="311" t="s">
        <v>66</v>
      </c>
      <c r="J3073" s="50" t="s">
        <v>1892</v>
      </c>
      <c r="K3073" s="50" t="s">
        <v>1892</v>
      </c>
      <c r="L3073" s="50" t="s">
        <v>1893</v>
      </c>
      <c r="M3073" s="50" t="s">
        <v>5646</v>
      </c>
      <c r="N3073" s="50" t="s">
        <v>5646</v>
      </c>
      <c r="O3073" s="50" t="s">
        <v>5646</v>
      </c>
      <c r="P3073" s="50" t="s">
        <v>5646</v>
      </c>
    </row>
    <row r="3074" spans="1:16" ht="12.75" customHeight="1" x14ac:dyDescent="0.25">
      <c r="A3074" s="311">
        <v>3071</v>
      </c>
      <c r="B3074" s="311" t="s">
        <v>134</v>
      </c>
      <c r="C3074" s="311" t="s">
        <v>134</v>
      </c>
      <c r="D3074" s="311" t="s">
        <v>134</v>
      </c>
      <c r="E3074" s="337" t="s">
        <v>134</v>
      </c>
      <c r="F3074" s="311" t="s">
        <v>64</v>
      </c>
      <c r="G3074" s="311" t="s">
        <v>23</v>
      </c>
      <c r="H3074" s="311" t="s">
        <v>370</v>
      </c>
      <c r="I3074" s="311" t="s">
        <v>66</v>
      </c>
      <c r="J3074" s="50" t="s">
        <v>1892</v>
      </c>
      <c r="K3074" s="50" t="s">
        <v>1892</v>
      </c>
      <c r="L3074" s="50" t="s">
        <v>1893</v>
      </c>
      <c r="M3074" s="50" t="s">
        <v>5647</v>
      </c>
      <c r="N3074" s="50" t="s">
        <v>5647</v>
      </c>
      <c r="O3074" s="50" t="s">
        <v>5647</v>
      </c>
      <c r="P3074" s="50" t="s">
        <v>5647</v>
      </c>
    </row>
    <row r="3075" spans="1:16" ht="12.75" customHeight="1" x14ac:dyDescent="0.25">
      <c r="A3075" s="311">
        <v>3072</v>
      </c>
      <c r="B3075" s="311" t="s">
        <v>141</v>
      </c>
      <c r="C3075" s="311" t="s">
        <v>141</v>
      </c>
      <c r="D3075" s="311" t="s">
        <v>141</v>
      </c>
      <c r="E3075" s="337" t="s">
        <v>141</v>
      </c>
      <c r="F3075" s="311" t="s">
        <v>64</v>
      </c>
      <c r="G3075" s="311" t="s">
        <v>23</v>
      </c>
      <c r="H3075" s="311" t="s">
        <v>370</v>
      </c>
      <c r="I3075" s="311" t="s">
        <v>66</v>
      </c>
      <c r="J3075" s="50" t="s">
        <v>1892</v>
      </c>
      <c r="K3075" s="50" t="s">
        <v>1892</v>
      </c>
      <c r="L3075" s="50" t="s">
        <v>1893</v>
      </c>
      <c r="M3075" s="50" t="s">
        <v>5648</v>
      </c>
      <c r="N3075" s="50" t="s">
        <v>5648</v>
      </c>
      <c r="O3075" s="50" t="s">
        <v>5648</v>
      </c>
      <c r="P3075" s="50" t="s">
        <v>5648</v>
      </c>
    </row>
    <row r="3076" spans="1:16" ht="12.75" customHeight="1" x14ac:dyDescent="0.25">
      <c r="A3076" s="311">
        <v>3073</v>
      </c>
      <c r="B3076" s="311" t="s">
        <v>69</v>
      </c>
      <c r="C3076" s="311" t="s">
        <v>69</v>
      </c>
      <c r="D3076" s="311" t="s">
        <v>69</v>
      </c>
      <c r="E3076" s="337" t="s">
        <v>69</v>
      </c>
      <c r="F3076" s="311" t="s">
        <v>64</v>
      </c>
      <c r="G3076" s="311" t="s">
        <v>23</v>
      </c>
      <c r="H3076" s="311" t="s">
        <v>370</v>
      </c>
      <c r="I3076" s="311" t="s">
        <v>66</v>
      </c>
      <c r="J3076" s="50" t="s">
        <v>1892</v>
      </c>
      <c r="K3076" s="50" t="s">
        <v>1892</v>
      </c>
      <c r="L3076" s="50" t="s">
        <v>1893</v>
      </c>
      <c r="M3076" s="50" t="s">
        <v>5649</v>
      </c>
      <c r="N3076" s="50" t="s">
        <v>5649</v>
      </c>
      <c r="O3076" s="50" t="s">
        <v>5649</v>
      </c>
      <c r="P3076" s="50" t="s">
        <v>5649</v>
      </c>
    </row>
    <row r="3077" spans="1:16" ht="12.75" customHeight="1" x14ac:dyDescent="0.25">
      <c r="A3077" s="311">
        <v>3074</v>
      </c>
      <c r="B3077" s="311" t="s">
        <v>63</v>
      </c>
      <c r="C3077" s="311" t="s">
        <v>63</v>
      </c>
      <c r="D3077" s="311" t="s">
        <v>462</v>
      </c>
      <c r="E3077" s="337" t="s">
        <v>63</v>
      </c>
      <c r="F3077" s="311" t="s">
        <v>64</v>
      </c>
      <c r="G3077" s="311" t="s">
        <v>237</v>
      </c>
      <c r="H3077" s="311" t="s">
        <v>370</v>
      </c>
      <c r="I3077" s="311" t="s">
        <v>66</v>
      </c>
      <c r="J3077" s="50" t="s">
        <v>1892</v>
      </c>
      <c r="K3077" s="50" t="s">
        <v>1892</v>
      </c>
      <c r="L3077" s="50" t="s">
        <v>1893</v>
      </c>
      <c r="M3077" s="50" t="s">
        <v>5650</v>
      </c>
      <c r="N3077" s="50" t="s">
        <v>5650</v>
      </c>
      <c r="O3077" s="50" t="s">
        <v>5511</v>
      </c>
      <c r="P3077" s="50" t="s">
        <v>5650</v>
      </c>
    </row>
    <row r="3078" spans="1:16" ht="12.75" customHeight="1" x14ac:dyDescent="0.25">
      <c r="A3078" s="311">
        <v>3075</v>
      </c>
      <c r="B3078" s="311" t="s">
        <v>140</v>
      </c>
      <c r="C3078" s="311" t="s">
        <v>140</v>
      </c>
      <c r="D3078" s="311" t="s">
        <v>462</v>
      </c>
      <c r="E3078" s="337" t="s">
        <v>140</v>
      </c>
      <c r="F3078" s="311" t="s">
        <v>64</v>
      </c>
      <c r="G3078" s="311" t="s">
        <v>237</v>
      </c>
      <c r="H3078" s="311" t="s">
        <v>370</v>
      </c>
      <c r="I3078" s="311" t="s">
        <v>66</v>
      </c>
      <c r="J3078" s="50" t="s">
        <v>1892</v>
      </c>
      <c r="K3078" s="50" t="s">
        <v>1892</v>
      </c>
      <c r="L3078" s="50" t="s">
        <v>1893</v>
      </c>
      <c r="M3078" s="50" t="s">
        <v>5651</v>
      </c>
      <c r="N3078" s="50" t="s">
        <v>5651</v>
      </c>
      <c r="O3078" s="50" t="s">
        <v>5511</v>
      </c>
      <c r="P3078" s="50" t="s">
        <v>5651</v>
      </c>
    </row>
    <row r="3079" spans="1:16" ht="12.75" customHeight="1" x14ac:dyDescent="0.25">
      <c r="A3079" s="311">
        <v>3076</v>
      </c>
      <c r="B3079" s="311" t="s">
        <v>121</v>
      </c>
      <c r="C3079" s="311" t="s">
        <v>121</v>
      </c>
      <c r="D3079" s="311" t="s">
        <v>462</v>
      </c>
      <c r="E3079" s="337" t="s">
        <v>121</v>
      </c>
      <c r="F3079" s="311" t="s">
        <v>64</v>
      </c>
      <c r="G3079" s="311" t="s">
        <v>237</v>
      </c>
      <c r="H3079" s="311" t="s">
        <v>370</v>
      </c>
      <c r="I3079" s="311" t="s">
        <v>66</v>
      </c>
      <c r="J3079" s="50" t="s">
        <v>1892</v>
      </c>
      <c r="K3079" s="50" t="s">
        <v>1892</v>
      </c>
      <c r="L3079" s="50" t="s">
        <v>1893</v>
      </c>
      <c r="M3079" s="50" t="s">
        <v>5652</v>
      </c>
      <c r="N3079" s="50" t="s">
        <v>5652</v>
      </c>
      <c r="O3079" s="50" t="s">
        <v>5511</v>
      </c>
      <c r="P3079" s="50" t="s">
        <v>5652</v>
      </c>
    </row>
    <row r="3080" spans="1:16" ht="12.75" customHeight="1" x14ac:dyDescent="0.25">
      <c r="A3080" s="311">
        <v>3077</v>
      </c>
      <c r="B3080" s="311" t="s">
        <v>87</v>
      </c>
      <c r="C3080" s="311" t="s">
        <v>87</v>
      </c>
      <c r="D3080" s="311" t="s">
        <v>462</v>
      </c>
      <c r="E3080" s="337" t="s">
        <v>87</v>
      </c>
      <c r="F3080" s="311" t="s">
        <v>64</v>
      </c>
      <c r="G3080" s="311" t="s">
        <v>237</v>
      </c>
      <c r="H3080" s="311" t="s">
        <v>370</v>
      </c>
      <c r="I3080" s="311" t="s">
        <v>66</v>
      </c>
      <c r="J3080" s="50" t="s">
        <v>1892</v>
      </c>
      <c r="K3080" s="50" t="s">
        <v>1892</v>
      </c>
      <c r="L3080" s="50" t="s">
        <v>1893</v>
      </c>
      <c r="M3080" s="50" t="s">
        <v>5653</v>
      </c>
      <c r="N3080" s="50" t="s">
        <v>5653</v>
      </c>
      <c r="O3080" s="50" t="s">
        <v>5511</v>
      </c>
      <c r="P3080" s="50" t="s">
        <v>5653</v>
      </c>
    </row>
    <row r="3081" spans="1:16" ht="12.6" customHeight="1" x14ac:dyDescent="0.25">
      <c r="A3081" s="311">
        <v>3078</v>
      </c>
      <c r="B3081" s="311" t="s">
        <v>125</v>
      </c>
      <c r="C3081" s="311" t="s">
        <v>125</v>
      </c>
      <c r="D3081" s="311" t="s">
        <v>125</v>
      </c>
      <c r="E3081" s="337" t="s">
        <v>125</v>
      </c>
      <c r="F3081" s="311" t="s">
        <v>64</v>
      </c>
      <c r="G3081" s="311" t="s">
        <v>237</v>
      </c>
      <c r="H3081" s="311" t="s">
        <v>370</v>
      </c>
      <c r="I3081" s="311" t="s">
        <v>66</v>
      </c>
      <c r="J3081" s="50" t="s">
        <v>1892</v>
      </c>
      <c r="K3081" s="50" t="s">
        <v>1892</v>
      </c>
      <c r="L3081" s="50" t="s">
        <v>1893</v>
      </c>
      <c r="M3081" s="50" t="s">
        <v>5654</v>
      </c>
      <c r="N3081" s="50" t="s">
        <v>5654</v>
      </c>
      <c r="O3081" s="50" t="s">
        <v>5654</v>
      </c>
      <c r="P3081" s="50" t="s">
        <v>5654</v>
      </c>
    </row>
    <row r="3082" spans="1:16" ht="12.75" customHeight="1" x14ac:dyDescent="0.25">
      <c r="A3082" s="311">
        <v>3079</v>
      </c>
      <c r="B3082" s="311" t="s">
        <v>134</v>
      </c>
      <c r="C3082" s="311" t="s">
        <v>134</v>
      </c>
      <c r="D3082" s="311" t="s">
        <v>134</v>
      </c>
      <c r="E3082" s="337" t="s">
        <v>134</v>
      </c>
      <c r="F3082" s="311" t="s">
        <v>64</v>
      </c>
      <c r="G3082" s="311" t="s">
        <v>237</v>
      </c>
      <c r="H3082" s="311" t="s">
        <v>370</v>
      </c>
      <c r="I3082" s="311" t="s">
        <v>66</v>
      </c>
      <c r="J3082" s="50" t="s">
        <v>1892</v>
      </c>
      <c r="K3082" s="50" t="s">
        <v>1892</v>
      </c>
      <c r="L3082" s="50" t="s">
        <v>1893</v>
      </c>
      <c r="M3082" s="50" t="s">
        <v>5655</v>
      </c>
      <c r="N3082" s="50" t="s">
        <v>5655</v>
      </c>
      <c r="O3082" s="50" t="s">
        <v>5655</v>
      </c>
      <c r="P3082" s="50" t="s">
        <v>5655</v>
      </c>
    </row>
    <row r="3083" spans="1:16" ht="12.75" customHeight="1" x14ac:dyDescent="0.25">
      <c r="A3083" s="311">
        <v>3080</v>
      </c>
      <c r="B3083" s="311" t="s">
        <v>141</v>
      </c>
      <c r="C3083" s="311" t="s">
        <v>141</v>
      </c>
      <c r="D3083" s="311" t="s">
        <v>141</v>
      </c>
      <c r="E3083" s="337" t="s">
        <v>141</v>
      </c>
      <c r="F3083" s="311" t="s">
        <v>64</v>
      </c>
      <c r="G3083" s="311" t="s">
        <v>237</v>
      </c>
      <c r="H3083" s="311" t="s">
        <v>370</v>
      </c>
      <c r="I3083" s="311" t="s">
        <v>66</v>
      </c>
      <c r="J3083" s="50" t="s">
        <v>1892</v>
      </c>
      <c r="K3083" s="50" t="s">
        <v>1892</v>
      </c>
      <c r="L3083" s="50" t="s">
        <v>1893</v>
      </c>
      <c r="M3083" s="50" t="s">
        <v>5656</v>
      </c>
      <c r="N3083" s="50" t="s">
        <v>5656</v>
      </c>
      <c r="O3083" s="50" t="s">
        <v>5656</v>
      </c>
      <c r="P3083" s="50" t="s">
        <v>5656</v>
      </c>
    </row>
    <row r="3084" spans="1:16" ht="12.75" customHeight="1" x14ac:dyDescent="0.25">
      <c r="A3084" s="311">
        <v>3081</v>
      </c>
      <c r="B3084" s="311" t="s">
        <v>69</v>
      </c>
      <c r="C3084" s="311" t="s">
        <v>69</v>
      </c>
      <c r="D3084" s="311" t="s">
        <v>69</v>
      </c>
      <c r="E3084" s="337" t="s">
        <v>69</v>
      </c>
      <c r="F3084" s="311" t="s">
        <v>64</v>
      </c>
      <c r="G3084" s="311" t="s">
        <v>237</v>
      </c>
      <c r="H3084" s="311" t="s">
        <v>370</v>
      </c>
      <c r="I3084" s="311" t="s">
        <v>66</v>
      </c>
      <c r="J3084" s="50" t="s">
        <v>1892</v>
      </c>
      <c r="K3084" s="50" t="s">
        <v>1892</v>
      </c>
      <c r="L3084" s="50" t="s">
        <v>1893</v>
      </c>
      <c r="M3084" s="50" t="s">
        <v>5657</v>
      </c>
      <c r="N3084" s="50" t="s">
        <v>5657</v>
      </c>
      <c r="O3084" s="50" t="s">
        <v>5657</v>
      </c>
      <c r="P3084" s="50" t="s">
        <v>5657</v>
      </c>
    </row>
    <row r="3085" spans="1:16" ht="12.75" customHeight="1" x14ac:dyDescent="0.25">
      <c r="A3085" s="311">
        <v>3082</v>
      </c>
      <c r="B3085" s="311" t="s">
        <v>84</v>
      </c>
      <c r="C3085" s="311" t="s">
        <v>462</v>
      </c>
      <c r="D3085" s="311" t="s">
        <v>462</v>
      </c>
      <c r="E3085" s="337" t="s">
        <v>462</v>
      </c>
      <c r="F3085" s="311" t="s">
        <v>282</v>
      </c>
      <c r="G3085" s="311"/>
      <c r="H3085" s="311" t="s">
        <v>347</v>
      </c>
      <c r="I3085" s="311" t="s">
        <v>66</v>
      </c>
      <c r="J3085" s="50" t="s">
        <v>1892</v>
      </c>
      <c r="K3085" s="50" t="s">
        <v>1892</v>
      </c>
      <c r="L3085" s="50" t="s">
        <v>1893</v>
      </c>
      <c r="M3085" s="50" t="s">
        <v>5658</v>
      </c>
      <c r="N3085" s="50" t="s">
        <v>5659</v>
      </c>
      <c r="O3085" s="50" t="s">
        <v>5659</v>
      </c>
      <c r="P3085" s="50" t="s">
        <v>5659</v>
      </c>
    </row>
    <row r="3086" spans="1:16" ht="12.75" customHeight="1" x14ac:dyDescent="0.25">
      <c r="A3086" s="311">
        <v>3083</v>
      </c>
      <c r="B3086" s="311" t="s">
        <v>123</v>
      </c>
      <c r="C3086" s="311" t="s">
        <v>462</v>
      </c>
      <c r="D3086" s="311" t="s">
        <v>462</v>
      </c>
      <c r="E3086" s="337" t="s">
        <v>462</v>
      </c>
      <c r="F3086" s="311" t="s">
        <v>282</v>
      </c>
      <c r="G3086" s="311"/>
      <c r="H3086" s="311" t="s">
        <v>347</v>
      </c>
      <c r="I3086" s="311" t="s">
        <v>66</v>
      </c>
      <c r="J3086" s="50" t="s">
        <v>1892</v>
      </c>
      <c r="K3086" s="50" t="s">
        <v>1892</v>
      </c>
      <c r="L3086" s="50" t="s">
        <v>1893</v>
      </c>
      <c r="M3086" s="50" t="s">
        <v>5660</v>
      </c>
      <c r="N3086" s="50" t="s">
        <v>5659</v>
      </c>
      <c r="O3086" s="50" t="s">
        <v>5659</v>
      </c>
      <c r="P3086" s="50" t="s">
        <v>5659</v>
      </c>
    </row>
    <row r="3087" spans="1:16" ht="12.75" customHeight="1" x14ac:dyDescent="0.25">
      <c r="A3087" s="311">
        <v>3084</v>
      </c>
      <c r="B3087" s="311" t="s">
        <v>75</v>
      </c>
      <c r="C3087" s="311" t="s">
        <v>462</v>
      </c>
      <c r="D3087" s="311" t="s">
        <v>462</v>
      </c>
      <c r="E3087" s="337" t="s">
        <v>462</v>
      </c>
      <c r="F3087" s="311" t="s">
        <v>282</v>
      </c>
      <c r="G3087" s="311"/>
      <c r="H3087" s="311" t="s">
        <v>347</v>
      </c>
      <c r="I3087" s="311" t="s">
        <v>66</v>
      </c>
      <c r="J3087" s="50" t="s">
        <v>1892</v>
      </c>
      <c r="K3087" s="50" t="s">
        <v>1892</v>
      </c>
      <c r="L3087" s="50" t="s">
        <v>1893</v>
      </c>
      <c r="M3087" s="50" t="s">
        <v>5661</v>
      </c>
      <c r="N3087" s="50" t="s">
        <v>5659</v>
      </c>
      <c r="O3087" s="50" t="s">
        <v>5659</v>
      </c>
      <c r="P3087" s="50" t="s">
        <v>5659</v>
      </c>
    </row>
    <row r="3088" spans="1:16" ht="12.75" customHeight="1" x14ac:dyDescent="0.25">
      <c r="A3088" s="311">
        <v>3085</v>
      </c>
      <c r="B3088" s="311" t="s">
        <v>63</v>
      </c>
      <c r="C3088" s="311" t="s">
        <v>63</v>
      </c>
      <c r="D3088" s="311" t="s">
        <v>462</v>
      </c>
      <c r="E3088" s="337" t="s">
        <v>63</v>
      </c>
      <c r="F3088" s="311" t="s">
        <v>282</v>
      </c>
      <c r="G3088" s="311"/>
      <c r="H3088" s="311" t="s">
        <v>347</v>
      </c>
      <c r="I3088" s="311" t="s">
        <v>66</v>
      </c>
      <c r="J3088" s="50" t="s">
        <v>1892</v>
      </c>
      <c r="K3088" s="50" t="s">
        <v>1892</v>
      </c>
      <c r="L3088" s="50" t="s">
        <v>1893</v>
      </c>
      <c r="M3088" s="50" t="s">
        <v>5662</v>
      </c>
      <c r="N3088" s="50" t="s">
        <v>5662</v>
      </c>
      <c r="O3088" s="50" t="s">
        <v>5659</v>
      </c>
      <c r="P3088" s="50" t="s">
        <v>5662</v>
      </c>
    </row>
    <row r="3089" spans="1:16" ht="12.75" customHeight="1" x14ac:dyDescent="0.25">
      <c r="A3089" s="311">
        <v>3086</v>
      </c>
      <c r="B3089" s="311" t="s">
        <v>140</v>
      </c>
      <c r="C3089" s="311" t="s">
        <v>140</v>
      </c>
      <c r="D3089" s="311" t="s">
        <v>462</v>
      </c>
      <c r="E3089" s="337" t="s">
        <v>140</v>
      </c>
      <c r="F3089" s="311" t="s">
        <v>282</v>
      </c>
      <c r="G3089" s="311"/>
      <c r="H3089" s="311" t="s">
        <v>347</v>
      </c>
      <c r="I3089" s="311" t="s">
        <v>66</v>
      </c>
      <c r="J3089" s="50" t="s">
        <v>1892</v>
      </c>
      <c r="K3089" s="50" t="s">
        <v>1892</v>
      </c>
      <c r="L3089" s="50" t="s">
        <v>1893</v>
      </c>
      <c r="M3089" s="50" t="s">
        <v>5663</v>
      </c>
      <c r="N3089" s="50" t="s">
        <v>5663</v>
      </c>
      <c r="O3089" s="50" t="s">
        <v>5659</v>
      </c>
      <c r="P3089" s="50" t="s">
        <v>5663</v>
      </c>
    </row>
    <row r="3090" spans="1:16" ht="12.75" customHeight="1" x14ac:dyDescent="0.25">
      <c r="A3090" s="311">
        <v>3087</v>
      </c>
      <c r="B3090" s="311" t="s">
        <v>121</v>
      </c>
      <c r="C3090" s="311" t="s">
        <v>121</v>
      </c>
      <c r="D3090" s="311" t="s">
        <v>462</v>
      </c>
      <c r="E3090" s="337" t="s">
        <v>121</v>
      </c>
      <c r="F3090" s="311" t="s">
        <v>282</v>
      </c>
      <c r="G3090" s="311"/>
      <c r="H3090" s="311" t="s">
        <v>347</v>
      </c>
      <c r="I3090" s="311" t="s">
        <v>66</v>
      </c>
      <c r="J3090" s="50" t="s">
        <v>1892</v>
      </c>
      <c r="K3090" s="50" t="s">
        <v>1892</v>
      </c>
      <c r="L3090" s="50" t="s">
        <v>1893</v>
      </c>
      <c r="M3090" s="50" t="s">
        <v>5664</v>
      </c>
      <c r="N3090" s="50" t="s">
        <v>5664</v>
      </c>
      <c r="O3090" s="50" t="s">
        <v>5659</v>
      </c>
      <c r="P3090" s="50" t="s">
        <v>5664</v>
      </c>
    </row>
    <row r="3091" spans="1:16" ht="12.75" customHeight="1" x14ac:dyDescent="0.25">
      <c r="A3091" s="311">
        <v>3088</v>
      </c>
      <c r="B3091" s="311" t="s">
        <v>87</v>
      </c>
      <c r="C3091" s="311" t="s">
        <v>87</v>
      </c>
      <c r="D3091" s="311" t="s">
        <v>462</v>
      </c>
      <c r="E3091" s="337" t="s">
        <v>87</v>
      </c>
      <c r="F3091" s="311" t="s">
        <v>282</v>
      </c>
      <c r="G3091" s="311"/>
      <c r="H3091" s="311" t="s">
        <v>347</v>
      </c>
      <c r="I3091" s="311" t="s">
        <v>66</v>
      </c>
      <c r="J3091" s="50" t="s">
        <v>1892</v>
      </c>
      <c r="K3091" s="50" t="s">
        <v>1892</v>
      </c>
      <c r="L3091" s="50" t="s">
        <v>1893</v>
      </c>
      <c r="M3091" s="50" t="s">
        <v>5665</v>
      </c>
      <c r="N3091" s="50" t="s">
        <v>5665</v>
      </c>
      <c r="O3091" s="50" t="s">
        <v>5659</v>
      </c>
      <c r="P3091" s="50" t="s">
        <v>5665</v>
      </c>
    </row>
    <row r="3092" spans="1:16" ht="12.75" customHeight="1" x14ac:dyDescent="0.25">
      <c r="A3092" s="311">
        <v>3089</v>
      </c>
      <c r="B3092" s="311" t="s">
        <v>125</v>
      </c>
      <c r="C3092" s="311" t="s">
        <v>125</v>
      </c>
      <c r="D3092" s="311" t="s">
        <v>125</v>
      </c>
      <c r="E3092" s="337" t="s">
        <v>125</v>
      </c>
      <c r="F3092" s="311" t="s">
        <v>282</v>
      </c>
      <c r="G3092" s="311"/>
      <c r="H3092" s="311" t="s">
        <v>347</v>
      </c>
      <c r="I3092" s="311" t="s">
        <v>66</v>
      </c>
      <c r="J3092" s="50" t="s">
        <v>1892</v>
      </c>
      <c r="K3092" s="50" t="s">
        <v>1892</v>
      </c>
      <c r="L3092" s="50" t="s">
        <v>1893</v>
      </c>
      <c r="M3092" s="50" t="s">
        <v>5666</v>
      </c>
      <c r="N3092" s="50" t="s">
        <v>5666</v>
      </c>
      <c r="O3092" s="50" t="s">
        <v>5666</v>
      </c>
      <c r="P3092" s="50" t="s">
        <v>5666</v>
      </c>
    </row>
    <row r="3093" spans="1:16" ht="12.75" customHeight="1" x14ac:dyDescent="0.25">
      <c r="A3093" s="311">
        <v>3090</v>
      </c>
      <c r="B3093" s="311" t="s">
        <v>134</v>
      </c>
      <c r="C3093" s="311" t="s">
        <v>134</v>
      </c>
      <c r="D3093" s="311" t="s">
        <v>134</v>
      </c>
      <c r="E3093" s="337" t="s">
        <v>134</v>
      </c>
      <c r="F3093" s="311" t="s">
        <v>282</v>
      </c>
      <c r="G3093" s="311"/>
      <c r="H3093" s="311" t="s">
        <v>347</v>
      </c>
      <c r="I3093" s="311" t="s">
        <v>66</v>
      </c>
      <c r="J3093" s="50" t="s">
        <v>1892</v>
      </c>
      <c r="K3093" s="50" t="s">
        <v>1892</v>
      </c>
      <c r="L3093" s="50" t="s">
        <v>1893</v>
      </c>
      <c r="M3093" s="50" t="s">
        <v>5667</v>
      </c>
      <c r="N3093" s="50" t="s">
        <v>5667</v>
      </c>
      <c r="O3093" s="50" t="s">
        <v>5667</v>
      </c>
      <c r="P3093" s="50" t="s">
        <v>5667</v>
      </c>
    </row>
    <row r="3094" spans="1:16" ht="12.75" customHeight="1" x14ac:dyDescent="0.25">
      <c r="A3094" s="311">
        <v>3091</v>
      </c>
      <c r="B3094" s="311" t="s">
        <v>141</v>
      </c>
      <c r="C3094" s="311" t="s">
        <v>141</v>
      </c>
      <c r="D3094" s="311" t="s">
        <v>141</v>
      </c>
      <c r="E3094" s="337" t="s">
        <v>141</v>
      </c>
      <c r="F3094" s="311" t="s">
        <v>282</v>
      </c>
      <c r="G3094" s="311"/>
      <c r="H3094" s="311" t="s">
        <v>347</v>
      </c>
      <c r="I3094" s="311" t="s">
        <v>66</v>
      </c>
      <c r="J3094" s="50" t="s">
        <v>1892</v>
      </c>
      <c r="K3094" s="50" t="s">
        <v>1892</v>
      </c>
      <c r="L3094" s="50" t="s">
        <v>1893</v>
      </c>
      <c r="M3094" s="50" t="s">
        <v>5668</v>
      </c>
      <c r="N3094" s="50" t="s">
        <v>5668</v>
      </c>
      <c r="O3094" s="50" t="s">
        <v>5668</v>
      </c>
      <c r="P3094" s="50" t="s">
        <v>5668</v>
      </c>
    </row>
    <row r="3095" spans="1:16" ht="12.75" customHeight="1" x14ac:dyDescent="0.25">
      <c r="A3095" s="311">
        <v>3092</v>
      </c>
      <c r="B3095" s="311" t="s">
        <v>69</v>
      </c>
      <c r="C3095" s="311" t="s">
        <v>69</v>
      </c>
      <c r="D3095" s="311" t="s">
        <v>69</v>
      </c>
      <c r="E3095" s="337" t="s">
        <v>69</v>
      </c>
      <c r="F3095" s="311" t="s">
        <v>282</v>
      </c>
      <c r="G3095" s="311"/>
      <c r="H3095" s="311" t="s">
        <v>347</v>
      </c>
      <c r="I3095" s="311" t="s">
        <v>66</v>
      </c>
      <c r="J3095" s="50" t="s">
        <v>1892</v>
      </c>
      <c r="K3095" s="50" t="s">
        <v>1892</v>
      </c>
      <c r="L3095" s="50" t="s">
        <v>1893</v>
      </c>
      <c r="M3095" s="50" t="s">
        <v>5669</v>
      </c>
      <c r="N3095" s="50" t="s">
        <v>5669</v>
      </c>
      <c r="O3095" s="50" t="s">
        <v>5669</v>
      </c>
      <c r="P3095" s="50" t="s">
        <v>5669</v>
      </c>
    </row>
    <row r="3096" spans="1:16" ht="12.75" customHeight="1" x14ac:dyDescent="0.25">
      <c r="A3096" s="311">
        <v>3093</v>
      </c>
      <c r="B3096" s="311" t="s">
        <v>84</v>
      </c>
      <c r="C3096" s="311" t="s">
        <v>462</v>
      </c>
      <c r="D3096" s="311" t="s">
        <v>462</v>
      </c>
      <c r="E3096" s="337" t="s">
        <v>462</v>
      </c>
      <c r="F3096" s="311" t="s">
        <v>307</v>
      </c>
      <c r="G3096" s="311"/>
      <c r="H3096" s="311" t="s">
        <v>347</v>
      </c>
      <c r="I3096" s="311" t="s">
        <v>66</v>
      </c>
      <c r="J3096" s="50" t="s">
        <v>1892</v>
      </c>
      <c r="K3096" s="50" t="s">
        <v>1892</v>
      </c>
      <c r="L3096" s="50" t="s">
        <v>1893</v>
      </c>
      <c r="M3096" s="50" t="s">
        <v>5670</v>
      </c>
      <c r="N3096" s="50" t="s">
        <v>5671</v>
      </c>
      <c r="O3096" s="50" t="s">
        <v>5671</v>
      </c>
      <c r="P3096" s="50" t="s">
        <v>5671</v>
      </c>
    </row>
    <row r="3097" spans="1:16" ht="12.75" customHeight="1" x14ac:dyDescent="0.25">
      <c r="A3097" s="311">
        <v>3094</v>
      </c>
      <c r="B3097" s="311" t="s">
        <v>123</v>
      </c>
      <c r="C3097" s="311" t="s">
        <v>462</v>
      </c>
      <c r="D3097" s="311" t="s">
        <v>462</v>
      </c>
      <c r="E3097" s="337" t="s">
        <v>462</v>
      </c>
      <c r="F3097" s="311" t="s">
        <v>307</v>
      </c>
      <c r="G3097" s="311"/>
      <c r="H3097" s="311" t="s">
        <v>347</v>
      </c>
      <c r="I3097" s="311" t="s">
        <v>66</v>
      </c>
      <c r="J3097" s="50" t="s">
        <v>1892</v>
      </c>
      <c r="K3097" s="50" t="s">
        <v>1892</v>
      </c>
      <c r="L3097" s="50" t="s">
        <v>1893</v>
      </c>
      <c r="M3097" s="50" t="s">
        <v>5672</v>
      </c>
      <c r="N3097" s="50" t="s">
        <v>5671</v>
      </c>
      <c r="O3097" s="50" t="s">
        <v>5671</v>
      </c>
      <c r="P3097" s="50" t="s">
        <v>5671</v>
      </c>
    </row>
    <row r="3098" spans="1:16" ht="12.75" customHeight="1" x14ac:dyDescent="0.25">
      <c r="A3098" s="311">
        <v>3095</v>
      </c>
      <c r="B3098" s="311" t="s">
        <v>75</v>
      </c>
      <c r="C3098" s="311" t="s">
        <v>462</v>
      </c>
      <c r="D3098" s="311" t="s">
        <v>462</v>
      </c>
      <c r="E3098" s="337" t="s">
        <v>462</v>
      </c>
      <c r="F3098" s="311" t="s">
        <v>307</v>
      </c>
      <c r="G3098" s="311"/>
      <c r="H3098" s="311" t="s">
        <v>347</v>
      </c>
      <c r="I3098" s="311" t="s">
        <v>66</v>
      </c>
      <c r="J3098" s="50" t="s">
        <v>1892</v>
      </c>
      <c r="K3098" s="50" t="s">
        <v>1892</v>
      </c>
      <c r="L3098" s="50" t="s">
        <v>1893</v>
      </c>
      <c r="M3098" s="50" t="s">
        <v>5673</v>
      </c>
      <c r="N3098" s="50" t="s">
        <v>5671</v>
      </c>
      <c r="O3098" s="50" t="s">
        <v>5671</v>
      </c>
      <c r="P3098" s="50" t="s">
        <v>5671</v>
      </c>
    </row>
    <row r="3099" spans="1:16" ht="12.75" customHeight="1" x14ac:dyDescent="0.25">
      <c r="A3099" s="311">
        <v>3096</v>
      </c>
      <c r="B3099" s="311" t="s">
        <v>63</v>
      </c>
      <c r="C3099" s="311" t="s">
        <v>63</v>
      </c>
      <c r="D3099" s="311" t="s">
        <v>462</v>
      </c>
      <c r="E3099" s="337" t="s">
        <v>63</v>
      </c>
      <c r="F3099" s="311" t="s">
        <v>307</v>
      </c>
      <c r="G3099" s="311"/>
      <c r="H3099" s="311" t="s">
        <v>347</v>
      </c>
      <c r="I3099" s="311" t="s">
        <v>66</v>
      </c>
      <c r="J3099" s="50" t="s">
        <v>1892</v>
      </c>
      <c r="K3099" s="50" t="s">
        <v>1892</v>
      </c>
      <c r="L3099" s="50" t="s">
        <v>1893</v>
      </c>
      <c r="M3099" s="50" t="s">
        <v>5674</v>
      </c>
      <c r="N3099" s="50" t="s">
        <v>5674</v>
      </c>
      <c r="O3099" s="50" t="s">
        <v>5671</v>
      </c>
      <c r="P3099" s="50" t="s">
        <v>5674</v>
      </c>
    </row>
    <row r="3100" spans="1:16" ht="12.75" customHeight="1" x14ac:dyDescent="0.25">
      <c r="A3100" s="311">
        <v>3097</v>
      </c>
      <c r="B3100" s="311" t="s">
        <v>140</v>
      </c>
      <c r="C3100" s="311" t="s">
        <v>140</v>
      </c>
      <c r="D3100" s="311" t="s">
        <v>462</v>
      </c>
      <c r="E3100" s="337" t="s">
        <v>140</v>
      </c>
      <c r="F3100" s="311" t="s">
        <v>307</v>
      </c>
      <c r="G3100" s="311"/>
      <c r="H3100" s="311" t="s">
        <v>347</v>
      </c>
      <c r="I3100" s="311" t="s">
        <v>66</v>
      </c>
      <c r="J3100" s="50" t="s">
        <v>1892</v>
      </c>
      <c r="K3100" s="50" t="s">
        <v>1892</v>
      </c>
      <c r="L3100" s="50" t="s">
        <v>1893</v>
      </c>
      <c r="M3100" s="50" t="s">
        <v>5675</v>
      </c>
      <c r="N3100" s="50" t="s">
        <v>5675</v>
      </c>
      <c r="O3100" s="50" t="s">
        <v>5671</v>
      </c>
      <c r="P3100" s="50" t="s">
        <v>5675</v>
      </c>
    </row>
    <row r="3101" spans="1:16" ht="12.75" customHeight="1" x14ac:dyDescent="0.25">
      <c r="A3101" s="311">
        <v>3098</v>
      </c>
      <c r="B3101" s="311" t="s">
        <v>121</v>
      </c>
      <c r="C3101" s="311" t="s">
        <v>121</v>
      </c>
      <c r="D3101" s="311" t="s">
        <v>462</v>
      </c>
      <c r="E3101" s="337" t="s">
        <v>121</v>
      </c>
      <c r="F3101" s="311" t="s">
        <v>307</v>
      </c>
      <c r="G3101" s="311"/>
      <c r="H3101" s="311" t="s">
        <v>347</v>
      </c>
      <c r="I3101" s="311" t="s">
        <v>66</v>
      </c>
      <c r="J3101" s="50" t="s">
        <v>1892</v>
      </c>
      <c r="K3101" s="50" t="s">
        <v>1892</v>
      </c>
      <c r="L3101" s="50" t="s">
        <v>1893</v>
      </c>
      <c r="M3101" s="50" t="s">
        <v>5676</v>
      </c>
      <c r="N3101" s="50" t="s">
        <v>5676</v>
      </c>
      <c r="O3101" s="50" t="s">
        <v>5671</v>
      </c>
      <c r="P3101" s="50" t="s">
        <v>5676</v>
      </c>
    </row>
    <row r="3102" spans="1:16" ht="12.75" customHeight="1" x14ac:dyDescent="0.25">
      <c r="A3102" s="311">
        <v>3099</v>
      </c>
      <c r="B3102" s="311" t="s">
        <v>87</v>
      </c>
      <c r="C3102" s="311" t="s">
        <v>87</v>
      </c>
      <c r="D3102" s="311" t="s">
        <v>462</v>
      </c>
      <c r="E3102" s="337" t="s">
        <v>87</v>
      </c>
      <c r="F3102" s="311" t="s">
        <v>307</v>
      </c>
      <c r="G3102" s="311"/>
      <c r="H3102" s="311" t="s">
        <v>347</v>
      </c>
      <c r="I3102" s="311" t="s">
        <v>66</v>
      </c>
      <c r="J3102" s="50" t="s">
        <v>1892</v>
      </c>
      <c r="K3102" s="50" t="s">
        <v>1892</v>
      </c>
      <c r="L3102" s="50" t="s">
        <v>1893</v>
      </c>
      <c r="M3102" s="50" t="s">
        <v>5677</v>
      </c>
      <c r="N3102" s="50" t="s">
        <v>5677</v>
      </c>
      <c r="O3102" s="50" t="s">
        <v>5671</v>
      </c>
      <c r="P3102" s="50" t="s">
        <v>5677</v>
      </c>
    </row>
    <row r="3103" spans="1:16" ht="12.75" customHeight="1" x14ac:dyDescent="0.25">
      <c r="A3103" s="311">
        <v>3100</v>
      </c>
      <c r="B3103" s="311" t="s">
        <v>125</v>
      </c>
      <c r="C3103" s="311" t="s">
        <v>125</v>
      </c>
      <c r="D3103" s="311" t="s">
        <v>125</v>
      </c>
      <c r="E3103" s="337" t="s">
        <v>125</v>
      </c>
      <c r="F3103" s="311" t="s">
        <v>307</v>
      </c>
      <c r="G3103" s="311"/>
      <c r="H3103" s="311" t="s">
        <v>347</v>
      </c>
      <c r="I3103" s="311" t="s">
        <v>66</v>
      </c>
      <c r="J3103" s="50" t="s">
        <v>1892</v>
      </c>
      <c r="K3103" s="50" t="s">
        <v>1892</v>
      </c>
      <c r="L3103" s="50" t="s">
        <v>1893</v>
      </c>
      <c r="M3103" s="50" t="s">
        <v>5678</v>
      </c>
      <c r="N3103" s="50" t="s">
        <v>5678</v>
      </c>
      <c r="O3103" s="50" t="s">
        <v>5678</v>
      </c>
      <c r="P3103" s="50" t="s">
        <v>5678</v>
      </c>
    </row>
    <row r="3104" spans="1:16" ht="12.75" customHeight="1" x14ac:dyDescent="0.25">
      <c r="A3104" s="311">
        <v>3101</v>
      </c>
      <c r="B3104" s="311" t="s">
        <v>134</v>
      </c>
      <c r="C3104" s="311" t="s">
        <v>134</v>
      </c>
      <c r="D3104" s="311" t="s">
        <v>134</v>
      </c>
      <c r="E3104" s="337" t="s">
        <v>134</v>
      </c>
      <c r="F3104" s="311" t="s">
        <v>307</v>
      </c>
      <c r="G3104" s="311"/>
      <c r="H3104" s="311" t="s">
        <v>347</v>
      </c>
      <c r="I3104" s="311" t="s">
        <v>66</v>
      </c>
      <c r="J3104" s="50" t="s">
        <v>1892</v>
      </c>
      <c r="K3104" s="50" t="s">
        <v>1892</v>
      </c>
      <c r="L3104" s="50" t="s">
        <v>1893</v>
      </c>
      <c r="M3104" s="50" t="s">
        <v>5679</v>
      </c>
      <c r="N3104" s="50" t="s">
        <v>5679</v>
      </c>
      <c r="O3104" s="50" t="s">
        <v>5679</v>
      </c>
      <c r="P3104" s="50" t="s">
        <v>5679</v>
      </c>
    </row>
    <row r="3105" spans="1:16" ht="12.75" customHeight="1" x14ac:dyDescent="0.25">
      <c r="A3105" s="311">
        <v>3102</v>
      </c>
      <c r="B3105" s="311" t="s">
        <v>141</v>
      </c>
      <c r="C3105" s="311" t="s">
        <v>141</v>
      </c>
      <c r="D3105" s="311" t="s">
        <v>141</v>
      </c>
      <c r="E3105" s="337" t="s">
        <v>141</v>
      </c>
      <c r="F3105" s="311" t="s">
        <v>307</v>
      </c>
      <c r="G3105" s="311"/>
      <c r="H3105" s="311" t="s">
        <v>347</v>
      </c>
      <c r="I3105" s="311" t="s">
        <v>66</v>
      </c>
      <c r="J3105" s="50" t="s">
        <v>1892</v>
      </c>
      <c r="K3105" s="50" t="s">
        <v>1892</v>
      </c>
      <c r="L3105" s="50" t="s">
        <v>1893</v>
      </c>
      <c r="M3105" s="50" t="s">
        <v>5680</v>
      </c>
      <c r="N3105" s="50" t="s">
        <v>5680</v>
      </c>
      <c r="O3105" s="50" t="s">
        <v>5680</v>
      </c>
      <c r="P3105" s="50" t="s">
        <v>5680</v>
      </c>
    </row>
    <row r="3106" spans="1:16" ht="12.75" customHeight="1" x14ac:dyDescent="0.25">
      <c r="A3106" s="311">
        <v>3103</v>
      </c>
      <c r="B3106" s="311" t="s">
        <v>69</v>
      </c>
      <c r="C3106" s="311" t="s">
        <v>69</v>
      </c>
      <c r="D3106" s="311" t="s">
        <v>69</v>
      </c>
      <c r="E3106" s="337" t="s">
        <v>69</v>
      </c>
      <c r="F3106" s="311" t="s">
        <v>307</v>
      </c>
      <c r="G3106" s="311"/>
      <c r="H3106" s="311" t="s">
        <v>347</v>
      </c>
      <c r="I3106" s="311" t="s">
        <v>66</v>
      </c>
      <c r="J3106" s="50" t="s">
        <v>1892</v>
      </c>
      <c r="K3106" s="50" t="s">
        <v>1892</v>
      </c>
      <c r="L3106" s="50" t="s">
        <v>1893</v>
      </c>
      <c r="M3106" s="50" t="s">
        <v>5681</v>
      </c>
      <c r="N3106" s="50" t="s">
        <v>5681</v>
      </c>
      <c r="O3106" s="50" t="s">
        <v>5681</v>
      </c>
      <c r="P3106" s="50" t="s">
        <v>5681</v>
      </c>
    </row>
    <row r="3107" spans="1:16" ht="12.75" customHeight="1" x14ac:dyDescent="0.25">
      <c r="A3107" s="311">
        <v>3104</v>
      </c>
      <c r="B3107" s="311" t="s">
        <v>84</v>
      </c>
      <c r="C3107" s="311" t="s">
        <v>462</v>
      </c>
      <c r="D3107" s="311" t="s">
        <v>462</v>
      </c>
      <c r="E3107" s="337" t="s">
        <v>462</v>
      </c>
      <c r="F3107" s="311" t="s">
        <v>259</v>
      </c>
      <c r="G3107" s="311"/>
      <c r="H3107" s="311" t="s">
        <v>347</v>
      </c>
      <c r="I3107" s="311" t="s">
        <v>66</v>
      </c>
      <c r="J3107" s="50" t="s">
        <v>1892</v>
      </c>
      <c r="K3107" s="50" t="s">
        <v>1892</v>
      </c>
      <c r="L3107" s="50" t="s">
        <v>1893</v>
      </c>
      <c r="M3107" s="50" t="s">
        <v>5682</v>
      </c>
      <c r="N3107" s="50" t="s">
        <v>5683</v>
      </c>
      <c r="O3107" s="50" t="s">
        <v>5683</v>
      </c>
      <c r="P3107" s="50" t="s">
        <v>5683</v>
      </c>
    </row>
    <row r="3108" spans="1:16" ht="12.75" customHeight="1" x14ac:dyDescent="0.25">
      <c r="A3108" s="311">
        <v>3105</v>
      </c>
      <c r="B3108" s="311" t="s">
        <v>123</v>
      </c>
      <c r="C3108" s="311" t="s">
        <v>462</v>
      </c>
      <c r="D3108" s="311" t="s">
        <v>462</v>
      </c>
      <c r="E3108" s="337" t="s">
        <v>462</v>
      </c>
      <c r="F3108" s="311" t="s">
        <v>259</v>
      </c>
      <c r="G3108" s="311"/>
      <c r="H3108" s="311" t="s">
        <v>347</v>
      </c>
      <c r="I3108" s="311" t="s">
        <v>66</v>
      </c>
      <c r="J3108" s="50" t="s">
        <v>1892</v>
      </c>
      <c r="K3108" s="50" t="s">
        <v>1892</v>
      </c>
      <c r="L3108" s="50" t="s">
        <v>1893</v>
      </c>
      <c r="M3108" s="50" t="s">
        <v>5684</v>
      </c>
      <c r="N3108" s="50" t="s">
        <v>5683</v>
      </c>
      <c r="O3108" s="50" t="s">
        <v>5683</v>
      </c>
      <c r="P3108" s="50" t="s">
        <v>5683</v>
      </c>
    </row>
    <row r="3109" spans="1:16" ht="12.75" customHeight="1" x14ac:dyDescent="0.25">
      <c r="A3109" s="311">
        <v>3106</v>
      </c>
      <c r="B3109" s="311" t="s">
        <v>75</v>
      </c>
      <c r="C3109" s="311" t="s">
        <v>462</v>
      </c>
      <c r="D3109" s="311" t="s">
        <v>462</v>
      </c>
      <c r="E3109" s="337" t="s">
        <v>462</v>
      </c>
      <c r="F3109" s="311" t="s">
        <v>259</v>
      </c>
      <c r="G3109" s="311"/>
      <c r="H3109" s="311" t="s">
        <v>347</v>
      </c>
      <c r="I3109" s="311" t="s">
        <v>66</v>
      </c>
      <c r="J3109" s="50" t="s">
        <v>1892</v>
      </c>
      <c r="K3109" s="50" t="s">
        <v>1892</v>
      </c>
      <c r="L3109" s="50" t="s">
        <v>1893</v>
      </c>
      <c r="M3109" s="50" t="s">
        <v>5685</v>
      </c>
      <c r="N3109" s="50" t="s">
        <v>5683</v>
      </c>
      <c r="O3109" s="50" t="s">
        <v>5683</v>
      </c>
      <c r="P3109" s="50" t="s">
        <v>5683</v>
      </c>
    </row>
    <row r="3110" spans="1:16" ht="12.75" customHeight="1" x14ac:dyDescent="0.25">
      <c r="A3110" s="311">
        <v>3107</v>
      </c>
      <c r="B3110" s="311" t="s">
        <v>63</v>
      </c>
      <c r="C3110" s="311" t="s">
        <v>63</v>
      </c>
      <c r="D3110" s="311" t="s">
        <v>462</v>
      </c>
      <c r="E3110" s="337" t="s">
        <v>63</v>
      </c>
      <c r="F3110" s="311" t="s">
        <v>259</v>
      </c>
      <c r="G3110" s="311"/>
      <c r="H3110" s="311" t="s">
        <v>347</v>
      </c>
      <c r="I3110" s="311" t="s">
        <v>66</v>
      </c>
      <c r="J3110" s="50" t="s">
        <v>1892</v>
      </c>
      <c r="K3110" s="50" t="s">
        <v>1892</v>
      </c>
      <c r="L3110" s="50" t="s">
        <v>1893</v>
      </c>
      <c r="M3110" s="50" t="s">
        <v>5686</v>
      </c>
      <c r="N3110" s="50" t="s">
        <v>5686</v>
      </c>
      <c r="O3110" s="50" t="s">
        <v>5683</v>
      </c>
      <c r="P3110" s="50" t="s">
        <v>5686</v>
      </c>
    </row>
    <row r="3111" spans="1:16" ht="12.75" customHeight="1" x14ac:dyDescent="0.25">
      <c r="A3111" s="311">
        <v>3108</v>
      </c>
      <c r="B3111" s="311" t="s">
        <v>140</v>
      </c>
      <c r="C3111" s="311" t="s">
        <v>140</v>
      </c>
      <c r="D3111" s="311" t="s">
        <v>462</v>
      </c>
      <c r="E3111" s="337" t="s">
        <v>140</v>
      </c>
      <c r="F3111" s="311" t="s">
        <v>259</v>
      </c>
      <c r="G3111" s="311"/>
      <c r="H3111" s="311" t="s">
        <v>347</v>
      </c>
      <c r="I3111" s="311" t="s">
        <v>66</v>
      </c>
      <c r="J3111" s="50" t="s">
        <v>1892</v>
      </c>
      <c r="K3111" s="50" t="s">
        <v>1892</v>
      </c>
      <c r="L3111" s="50" t="s">
        <v>1893</v>
      </c>
      <c r="M3111" s="50" t="s">
        <v>5687</v>
      </c>
      <c r="N3111" s="50" t="s">
        <v>5687</v>
      </c>
      <c r="O3111" s="50" t="s">
        <v>5683</v>
      </c>
      <c r="P3111" s="50" t="s">
        <v>5687</v>
      </c>
    </row>
    <row r="3112" spans="1:16" ht="12.75" customHeight="1" x14ac:dyDescent="0.25">
      <c r="A3112" s="311">
        <v>3109</v>
      </c>
      <c r="B3112" s="311" t="s">
        <v>121</v>
      </c>
      <c r="C3112" s="311" t="s">
        <v>121</v>
      </c>
      <c r="D3112" s="311" t="s">
        <v>462</v>
      </c>
      <c r="E3112" s="337" t="s">
        <v>121</v>
      </c>
      <c r="F3112" s="311" t="s">
        <v>259</v>
      </c>
      <c r="G3112" s="311"/>
      <c r="H3112" s="311" t="s">
        <v>347</v>
      </c>
      <c r="I3112" s="311" t="s">
        <v>66</v>
      </c>
      <c r="J3112" s="50" t="s">
        <v>1892</v>
      </c>
      <c r="K3112" s="50" t="s">
        <v>1892</v>
      </c>
      <c r="L3112" s="50" t="s">
        <v>1893</v>
      </c>
      <c r="M3112" s="50" t="s">
        <v>5688</v>
      </c>
      <c r="N3112" s="50" t="s">
        <v>5688</v>
      </c>
      <c r="O3112" s="50" t="s">
        <v>5683</v>
      </c>
      <c r="P3112" s="50" t="s">
        <v>5688</v>
      </c>
    </row>
    <row r="3113" spans="1:16" ht="12.75" customHeight="1" x14ac:dyDescent="0.25">
      <c r="A3113" s="311">
        <v>3110</v>
      </c>
      <c r="B3113" s="311" t="s">
        <v>87</v>
      </c>
      <c r="C3113" s="311" t="s">
        <v>87</v>
      </c>
      <c r="D3113" s="311" t="s">
        <v>462</v>
      </c>
      <c r="E3113" s="337" t="s">
        <v>87</v>
      </c>
      <c r="F3113" s="311" t="s">
        <v>259</v>
      </c>
      <c r="G3113" s="311"/>
      <c r="H3113" s="311" t="s">
        <v>347</v>
      </c>
      <c r="I3113" s="311" t="s">
        <v>66</v>
      </c>
      <c r="J3113" s="50" t="s">
        <v>1892</v>
      </c>
      <c r="K3113" s="50" t="s">
        <v>1892</v>
      </c>
      <c r="L3113" s="50" t="s">
        <v>1893</v>
      </c>
      <c r="M3113" s="50" t="s">
        <v>5689</v>
      </c>
      <c r="N3113" s="50" t="s">
        <v>5689</v>
      </c>
      <c r="O3113" s="50" t="s">
        <v>5683</v>
      </c>
      <c r="P3113" s="50" t="s">
        <v>5689</v>
      </c>
    </row>
    <row r="3114" spans="1:16" ht="12.75" customHeight="1" x14ac:dyDescent="0.25">
      <c r="A3114" s="311">
        <v>3111</v>
      </c>
      <c r="B3114" s="311" t="s">
        <v>125</v>
      </c>
      <c r="C3114" s="311" t="s">
        <v>125</v>
      </c>
      <c r="D3114" s="311" t="s">
        <v>125</v>
      </c>
      <c r="E3114" s="337" t="s">
        <v>125</v>
      </c>
      <c r="F3114" s="311" t="s">
        <v>259</v>
      </c>
      <c r="G3114" s="311"/>
      <c r="H3114" s="311" t="s">
        <v>347</v>
      </c>
      <c r="I3114" s="311" t="s">
        <v>66</v>
      </c>
      <c r="J3114" s="50" t="s">
        <v>1892</v>
      </c>
      <c r="K3114" s="50" t="s">
        <v>1892</v>
      </c>
      <c r="L3114" s="50" t="s">
        <v>1893</v>
      </c>
      <c r="M3114" s="50" t="s">
        <v>5690</v>
      </c>
      <c r="N3114" s="50" t="s">
        <v>5690</v>
      </c>
      <c r="O3114" s="50" t="s">
        <v>5690</v>
      </c>
      <c r="P3114" s="50" t="s">
        <v>5690</v>
      </c>
    </row>
    <row r="3115" spans="1:16" ht="12.75" customHeight="1" x14ac:dyDescent="0.25">
      <c r="A3115" s="311">
        <v>3112</v>
      </c>
      <c r="B3115" s="311" t="s">
        <v>134</v>
      </c>
      <c r="C3115" s="311" t="s">
        <v>134</v>
      </c>
      <c r="D3115" s="311" t="s">
        <v>134</v>
      </c>
      <c r="E3115" s="337" t="s">
        <v>134</v>
      </c>
      <c r="F3115" s="311" t="s">
        <v>259</v>
      </c>
      <c r="G3115" s="311"/>
      <c r="H3115" s="311" t="s">
        <v>347</v>
      </c>
      <c r="I3115" s="311" t="s">
        <v>66</v>
      </c>
      <c r="J3115" s="50" t="s">
        <v>1892</v>
      </c>
      <c r="K3115" s="50" t="s">
        <v>1892</v>
      </c>
      <c r="L3115" s="50" t="s">
        <v>1893</v>
      </c>
      <c r="M3115" s="50" t="s">
        <v>5691</v>
      </c>
      <c r="N3115" s="50" t="s">
        <v>5691</v>
      </c>
      <c r="O3115" s="50" t="s">
        <v>5691</v>
      </c>
      <c r="P3115" s="50" t="s">
        <v>5691</v>
      </c>
    </row>
    <row r="3116" spans="1:16" ht="12.75" customHeight="1" x14ac:dyDescent="0.25">
      <c r="A3116" s="311">
        <v>3113</v>
      </c>
      <c r="B3116" s="311" t="s">
        <v>141</v>
      </c>
      <c r="C3116" s="311" t="s">
        <v>141</v>
      </c>
      <c r="D3116" s="311" t="s">
        <v>141</v>
      </c>
      <c r="E3116" s="337" t="s">
        <v>141</v>
      </c>
      <c r="F3116" s="311" t="s">
        <v>259</v>
      </c>
      <c r="G3116" s="311"/>
      <c r="H3116" s="311" t="s">
        <v>347</v>
      </c>
      <c r="I3116" s="311" t="s">
        <v>66</v>
      </c>
      <c r="J3116" s="50" t="s">
        <v>1892</v>
      </c>
      <c r="K3116" s="50" t="s">
        <v>1892</v>
      </c>
      <c r="L3116" s="50" t="s">
        <v>1893</v>
      </c>
      <c r="M3116" s="50" t="s">
        <v>5692</v>
      </c>
      <c r="N3116" s="50" t="s">
        <v>5692</v>
      </c>
      <c r="O3116" s="50" t="s">
        <v>5692</v>
      </c>
      <c r="P3116" s="50" t="s">
        <v>5692</v>
      </c>
    </row>
    <row r="3117" spans="1:16" ht="12.75" customHeight="1" x14ac:dyDescent="0.25">
      <c r="A3117" s="311">
        <v>3114</v>
      </c>
      <c r="B3117" s="311" t="s">
        <v>69</v>
      </c>
      <c r="C3117" s="311" t="s">
        <v>69</v>
      </c>
      <c r="D3117" s="311" t="s">
        <v>69</v>
      </c>
      <c r="E3117" s="337" t="s">
        <v>69</v>
      </c>
      <c r="F3117" s="311" t="s">
        <v>259</v>
      </c>
      <c r="G3117" s="311"/>
      <c r="H3117" s="311" t="s">
        <v>347</v>
      </c>
      <c r="I3117" s="311" t="s">
        <v>66</v>
      </c>
      <c r="J3117" s="50" t="s">
        <v>1892</v>
      </c>
      <c r="K3117" s="50" t="s">
        <v>1892</v>
      </c>
      <c r="L3117" s="50" t="s">
        <v>1893</v>
      </c>
      <c r="M3117" s="50" t="s">
        <v>5693</v>
      </c>
      <c r="N3117" s="50" t="s">
        <v>5693</v>
      </c>
      <c r="O3117" s="50" t="s">
        <v>5693</v>
      </c>
      <c r="P3117" s="50" t="s">
        <v>5693</v>
      </c>
    </row>
    <row r="3118" spans="1:16" ht="12.75" customHeight="1" x14ac:dyDescent="0.25">
      <c r="A3118" s="311">
        <v>3115</v>
      </c>
      <c r="B3118" s="311" t="s">
        <v>84</v>
      </c>
      <c r="C3118" s="311" t="s">
        <v>462</v>
      </c>
      <c r="D3118" s="311" t="s">
        <v>462</v>
      </c>
      <c r="E3118" s="337" t="s">
        <v>462</v>
      </c>
      <c r="F3118" s="311" t="s">
        <v>253</v>
      </c>
      <c r="G3118" s="311"/>
      <c r="H3118" s="311" t="s">
        <v>347</v>
      </c>
      <c r="I3118" s="311" t="s">
        <v>66</v>
      </c>
      <c r="J3118" s="50" t="s">
        <v>1892</v>
      </c>
      <c r="K3118" s="50" t="s">
        <v>1892</v>
      </c>
      <c r="L3118" s="50" t="s">
        <v>1893</v>
      </c>
      <c r="M3118" s="50" t="s">
        <v>5694</v>
      </c>
      <c r="N3118" s="50" t="s">
        <v>5695</v>
      </c>
      <c r="O3118" s="50" t="s">
        <v>5695</v>
      </c>
      <c r="P3118" s="50" t="s">
        <v>5695</v>
      </c>
    </row>
    <row r="3119" spans="1:16" ht="12.75" customHeight="1" x14ac:dyDescent="0.25">
      <c r="A3119" s="311">
        <v>3116</v>
      </c>
      <c r="B3119" s="311" t="s">
        <v>123</v>
      </c>
      <c r="C3119" s="311" t="s">
        <v>462</v>
      </c>
      <c r="D3119" s="311" t="s">
        <v>462</v>
      </c>
      <c r="E3119" s="337" t="s">
        <v>462</v>
      </c>
      <c r="F3119" s="311" t="s">
        <v>253</v>
      </c>
      <c r="G3119" s="311"/>
      <c r="H3119" s="311" t="s">
        <v>347</v>
      </c>
      <c r="I3119" s="311" t="s">
        <v>66</v>
      </c>
      <c r="J3119" s="50" t="s">
        <v>1892</v>
      </c>
      <c r="K3119" s="50" t="s">
        <v>1892</v>
      </c>
      <c r="L3119" s="50" t="s">
        <v>1893</v>
      </c>
      <c r="M3119" s="50" t="s">
        <v>5696</v>
      </c>
      <c r="N3119" s="50" t="s">
        <v>5695</v>
      </c>
      <c r="O3119" s="50" t="s">
        <v>5695</v>
      </c>
      <c r="P3119" s="50" t="s">
        <v>5695</v>
      </c>
    </row>
    <row r="3120" spans="1:16" ht="12.75" customHeight="1" x14ac:dyDescent="0.25">
      <c r="A3120" s="311">
        <v>3117</v>
      </c>
      <c r="B3120" s="311" t="s">
        <v>75</v>
      </c>
      <c r="C3120" s="311" t="s">
        <v>462</v>
      </c>
      <c r="D3120" s="311" t="s">
        <v>462</v>
      </c>
      <c r="E3120" s="337" t="s">
        <v>462</v>
      </c>
      <c r="F3120" s="311" t="s">
        <v>253</v>
      </c>
      <c r="G3120" s="311"/>
      <c r="H3120" s="311" t="s">
        <v>347</v>
      </c>
      <c r="I3120" s="311" t="s">
        <v>66</v>
      </c>
      <c r="J3120" s="50" t="s">
        <v>1892</v>
      </c>
      <c r="K3120" s="50" t="s">
        <v>1892</v>
      </c>
      <c r="L3120" s="50" t="s">
        <v>1893</v>
      </c>
      <c r="M3120" s="50" t="s">
        <v>5697</v>
      </c>
      <c r="N3120" s="50" t="s">
        <v>5695</v>
      </c>
      <c r="O3120" s="50" t="s">
        <v>5695</v>
      </c>
      <c r="P3120" s="50" t="s">
        <v>5695</v>
      </c>
    </row>
    <row r="3121" spans="1:16" ht="12.75" customHeight="1" x14ac:dyDescent="0.25">
      <c r="A3121" s="311">
        <v>3118</v>
      </c>
      <c r="B3121" s="311" t="s">
        <v>63</v>
      </c>
      <c r="C3121" s="311" t="s">
        <v>63</v>
      </c>
      <c r="D3121" s="311" t="s">
        <v>462</v>
      </c>
      <c r="E3121" s="337" t="s">
        <v>63</v>
      </c>
      <c r="F3121" s="311" t="s">
        <v>253</v>
      </c>
      <c r="G3121" s="311"/>
      <c r="H3121" s="311" t="s">
        <v>347</v>
      </c>
      <c r="I3121" s="311" t="s">
        <v>66</v>
      </c>
      <c r="J3121" s="50" t="s">
        <v>1892</v>
      </c>
      <c r="K3121" s="50" t="s">
        <v>1892</v>
      </c>
      <c r="L3121" s="50" t="s">
        <v>1893</v>
      </c>
      <c r="M3121" s="50" t="s">
        <v>5698</v>
      </c>
      <c r="N3121" s="50" t="s">
        <v>5698</v>
      </c>
      <c r="O3121" s="50" t="s">
        <v>5695</v>
      </c>
      <c r="P3121" s="50" t="s">
        <v>5698</v>
      </c>
    </row>
    <row r="3122" spans="1:16" ht="12.75" customHeight="1" x14ac:dyDescent="0.25">
      <c r="A3122" s="311">
        <v>3119</v>
      </c>
      <c r="B3122" s="311" t="s">
        <v>140</v>
      </c>
      <c r="C3122" s="311" t="s">
        <v>140</v>
      </c>
      <c r="D3122" s="311" t="s">
        <v>462</v>
      </c>
      <c r="E3122" s="337" t="s">
        <v>140</v>
      </c>
      <c r="F3122" s="311" t="s">
        <v>253</v>
      </c>
      <c r="G3122" s="311"/>
      <c r="H3122" s="311" t="s">
        <v>347</v>
      </c>
      <c r="I3122" s="311" t="s">
        <v>66</v>
      </c>
      <c r="J3122" s="50" t="s">
        <v>1892</v>
      </c>
      <c r="K3122" s="50" t="s">
        <v>1892</v>
      </c>
      <c r="L3122" s="50" t="s">
        <v>1893</v>
      </c>
      <c r="M3122" s="50" t="s">
        <v>5699</v>
      </c>
      <c r="N3122" s="50" t="s">
        <v>5699</v>
      </c>
      <c r="O3122" s="50" t="s">
        <v>5695</v>
      </c>
      <c r="P3122" s="50" t="s">
        <v>5699</v>
      </c>
    </row>
    <row r="3123" spans="1:16" ht="12.75" customHeight="1" x14ac:dyDescent="0.25">
      <c r="A3123" s="311">
        <v>3120</v>
      </c>
      <c r="B3123" s="311" t="s">
        <v>121</v>
      </c>
      <c r="C3123" s="311" t="s">
        <v>121</v>
      </c>
      <c r="D3123" s="311" t="s">
        <v>462</v>
      </c>
      <c r="E3123" s="337" t="s">
        <v>121</v>
      </c>
      <c r="F3123" s="311" t="s">
        <v>253</v>
      </c>
      <c r="G3123" s="311"/>
      <c r="H3123" s="311" t="s">
        <v>347</v>
      </c>
      <c r="I3123" s="311" t="s">
        <v>66</v>
      </c>
      <c r="J3123" s="50" t="s">
        <v>1892</v>
      </c>
      <c r="K3123" s="50" t="s">
        <v>1892</v>
      </c>
      <c r="L3123" s="50" t="s">
        <v>1893</v>
      </c>
      <c r="M3123" s="50" t="s">
        <v>5700</v>
      </c>
      <c r="N3123" s="50" t="s">
        <v>5700</v>
      </c>
      <c r="O3123" s="50" t="s">
        <v>5695</v>
      </c>
      <c r="P3123" s="50" t="s">
        <v>5700</v>
      </c>
    </row>
    <row r="3124" spans="1:16" ht="12.75" customHeight="1" x14ac:dyDescent="0.25">
      <c r="A3124" s="311">
        <v>3121</v>
      </c>
      <c r="B3124" s="311" t="s">
        <v>87</v>
      </c>
      <c r="C3124" s="311" t="s">
        <v>87</v>
      </c>
      <c r="D3124" s="311" t="s">
        <v>462</v>
      </c>
      <c r="E3124" s="337" t="s">
        <v>87</v>
      </c>
      <c r="F3124" s="311" t="s">
        <v>253</v>
      </c>
      <c r="G3124" s="311"/>
      <c r="H3124" s="311" t="s">
        <v>347</v>
      </c>
      <c r="I3124" s="311" t="s">
        <v>66</v>
      </c>
      <c r="J3124" s="50" t="s">
        <v>1892</v>
      </c>
      <c r="K3124" s="50" t="s">
        <v>1892</v>
      </c>
      <c r="L3124" s="50" t="s">
        <v>1893</v>
      </c>
      <c r="M3124" s="50" t="s">
        <v>5701</v>
      </c>
      <c r="N3124" s="50" t="s">
        <v>5701</v>
      </c>
      <c r="O3124" s="50" t="s">
        <v>5695</v>
      </c>
      <c r="P3124" s="50" t="s">
        <v>5701</v>
      </c>
    </row>
    <row r="3125" spans="1:16" ht="12.75" customHeight="1" x14ac:dyDescent="0.25">
      <c r="A3125" s="311">
        <v>3122</v>
      </c>
      <c r="B3125" s="311" t="s">
        <v>125</v>
      </c>
      <c r="C3125" s="311" t="s">
        <v>125</v>
      </c>
      <c r="D3125" s="311" t="s">
        <v>125</v>
      </c>
      <c r="E3125" s="337" t="s">
        <v>125</v>
      </c>
      <c r="F3125" s="311" t="s">
        <v>253</v>
      </c>
      <c r="G3125" s="311"/>
      <c r="H3125" s="311" t="s">
        <v>347</v>
      </c>
      <c r="I3125" s="311" t="s">
        <v>66</v>
      </c>
      <c r="J3125" s="50" t="s">
        <v>1892</v>
      </c>
      <c r="K3125" s="50" t="s">
        <v>1892</v>
      </c>
      <c r="L3125" s="50" t="s">
        <v>1893</v>
      </c>
      <c r="M3125" s="50" t="s">
        <v>5702</v>
      </c>
      <c r="N3125" s="50" t="s">
        <v>5702</v>
      </c>
      <c r="O3125" s="50" t="s">
        <v>5702</v>
      </c>
      <c r="P3125" s="50" t="s">
        <v>5702</v>
      </c>
    </row>
    <row r="3126" spans="1:16" ht="12.75" customHeight="1" x14ac:dyDescent="0.25">
      <c r="A3126" s="311">
        <v>3123</v>
      </c>
      <c r="B3126" s="311" t="s">
        <v>134</v>
      </c>
      <c r="C3126" s="311" t="s">
        <v>134</v>
      </c>
      <c r="D3126" s="311" t="s">
        <v>134</v>
      </c>
      <c r="E3126" s="337" t="s">
        <v>134</v>
      </c>
      <c r="F3126" s="311" t="s">
        <v>253</v>
      </c>
      <c r="G3126" s="311"/>
      <c r="H3126" s="311" t="s">
        <v>347</v>
      </c>
      <c r="I3126" s="311" t="s">
        <v>66</v>
      </c>
      <c r="J3126" s="50" t="s">
        <v>1892</v>
      </c>
      <c r="K3126" s="50" t="s">
        <v>1892</v>
      </c>
      <c r="L3126" s="50" t="s">
        <v>1893</v>
      </c>
      <c r="M3126" s="50" t="s">
        <v>5703</v>
      </c>
      <c r="N3126" s="50" t="s">
        <v>5703</v>
      </c>
      <c r="O3126" s="50" t="s">
        <v>5703</v>
      </c>
      <c r="P3126" s="50" t="s">
        <v>5703</v>
      </c>
    </row>
    <row r="3127" spans="1:16" ht="12.75" customHeight="1" x14ac:dyDescent="0.25">
      <c r="A3127" s="311">
        <v>3124</v>
      </c>
      <c r="B3127" s="311" t="s">
        <v>141</v>
      </c>
      <c r="C3127" s="311" t="s">
        <v>141</v>
      </c>
      <c r="D3127" s="311" t="s">
        <v>141</v>
      </c>
      <c r="E3127" s="337" t="s">
        <v>141</v>
      </c>
      <c r="F3127" s="311" t="s">
        <v>253</v>
      </c>
      <c r="G3127" s="311"/>
      <c r="H3127" s="311" t="s">
        <v>347</v>
      </c>
      <c r="I3127" s="311" t="s">
        <v>66</v>
      </c>
      <c r="J3127" s="50" t="s">
        <v>1892</v>
      </c>
      <c r="K3127" s="50" t="s">
        <v>1892</v>
      </c>
      <c r="L3127" s="50" t="s">
        <v>1893</v>
      </c>
      <c r="M3127" s="50" t="s">
        <v>5704</v>
      </c>
      <c r="N3127" s="50" t="s">
        <v>5704</v>
      </c>
      <c r="O3127" s="50" t="s">
        <v>5704</v>
      </c>
      <c r="P3127" s="50" t="s">
        <v>5704</v>
      </c>
    </row>
    <row r="3128" spans="1:16" ht="12.75" customHeight="1" x14ac:dyDescent="0.25">
      <c r="A3128" s="311">
        <v>3125</v>
      </c>
      <c r="B3128" s="311" t="s">
        <v>69</v>
      </c>
      <c r="C3128" s="311" t="s">
        <v>69</v>
      </c>
      <c r="D3128" s="311" t="s">
        <v>69</v>
      </c>
      <c r="E3128" s="337" t="s">
        <v>69</v>
      </c>
      <c r="F3128" s="311" t="s">
        <v>253</v>
      </c>
      <c r="G3128" s="311"/>
      <c r="H3128" s="311" t="s">
        <v>347</v>
      </c>
      <c r="I3128" s="311" t="s">
        <v>66</v>
      </c>
      <c r="J3128" s="50" t="s">
        <v>1892</v>
      </c>
      <c r="K3128" s="50" t="s">
        <v>1892</v>
      </c>
      <c r="L3128" s="50" t="s">
        <v>1893</v>
      </c>
      <c r="M3128" s="50" t="s">
        <v>5705</v>
      </c>
      <c r="N3128" s="50" t="s">
        <v>5705</v>
      </c>
      <c r="O3128" s="50" t="s">
        <v>5705</v>
      </c>
      <c r="P3128" s="50" t="s">
        <v>5705</v>
      </c>
    </row>
    <row r="3129" spans="1:16" ht="12.75" customHeight="1" x14ac:dyDescent="0.25">
      <c r="A3129" s="311">
        <v>3126</v>
      </c>
      <c r="B3129" s="311" t="s">
        <v>84</v>
      </c>
      <c r="C3129" s="311" t="s">
        <v>462</v>
      </c>
      <c r="D3129" s="311" t="s">
        <v>462</v>
      </c>
      <c r="E3129" s="337" t="s">
        <v>462</v>
      </c>
      <c r="F3129" s="311" t="s">
        <v>91</v>
      </c>
      <c r="G3129" s="311"/>
      <c r="H3129" s="311" t="s">
        <v>347</v>
      </c>
      <c r="I3129" s="311" t="s">
        <v>66</v>
      </c>
      <c r="J3129" s="50" t="s">
        <v>1892</v>
      </c>
      <c r="K3129" s="50" t="s">
        <v>1892</v>
      </c>
      <c r="L3129" s="50" t="s">
        <v>1893</v>
      </c>
      <c r="M3129" s="50" t="s">
        <v>5706</v>
      </c>
      <c r="N3129" s="50" t="s">
        <v>5707</v>
      </c>
      <c r="O3129" s="50" t="s">
        <v>5707</v>
      </c>
      <c r="P3129" s="50" t="s">
        <v>5707</v>
      </c>
    </row>
    <row r="3130" spans="1:16" ht="12.75" customHeight="1" x14ac:dyDescent="0.25">
      <c r="A3130" s="311">
        <v>3127</v>
      </c>
      <c r="B3130" s="311" t="s">
        <v>123</v>
      </c>
      <c r="C3130" s="311" t="s">
        <v>462</v>
      </c>
      <c r="D3130" s="311" t="s">
        <v>462</v>
      </c>
      <c r="E3130" s="337" t="s">
        <v>462</v>
      </c>
      <c r="F3130" s="311" t="s">
        <v>91</v>
      </c>
      <c r="G3130" s="311"/>
      <c r="H3130" s="311" t="s">
        <v>347</v>
      </c>
      <c r="I3130" s="311" t="s">
        <v>66</v>
      </c>
      <c r="J3130" s="50" t="s">
        <v>1892</v>
      </c>
      <c r="K3130" s="50" t="s">
        <v>1892</v>
      </c>
      <c r="L3130" s="50" t="s">
        <v>1893</v>
      </c>
      <c r="M3130" s="50" t="s">
        <v>5708</v>
      </c>
      <c r="N3130" s="50" t="s">
        <v>5707</v>
      </c>
      <c r="O3130" s="50" t="s">
        <v>5707</v>
      </c>
      <c r="P3130" s="50" t="s">
        <v>5707</v>
      </c>
    </row>
    <row r="3131" spans="1:16" ht="12.75" customHeight="1" x14ac:dyDescent="0.25">
      <c r="A3131" s="311">
        <v>3128</v>
      </c>
      <c r="B3131" s="311" t="s">
        <v>75</v>
      </c>
      <c r="C3131" s="311" t="s">
        <v>462</v>
      </c>
      <c r="D3131" s="311" t="s">
        <v>462</v>
      </c>
      <c r="E3131" s="337" t="s">
        <v>462</v>
      </c>
      <c r="F3131" s="311" t="s">
        <v>91</v>
      </c>
      <c r="G3131" s="311"/>
      <c r="H3131" s="311" t="s">
        <v>347</v>
      </c>
      <c r="I3131" s="311" t="s">
        <v>66</v>
      </c>
      <c r="J3131" s="50" t="s">
        <v>1892</v>
      </c>
      <c r="K3131" s="50" t="s">
        <v>1892</v>
      </c>
      <c r="L3131" s="50" t="s">
        <v>1893</v>
      </c>
      <c r="M3131" s="50" t="s">
        <v>5709</v>
      </c>
      <c r="N3131" s="50" t="s">
        <v>5707</v>
      </c>
      <c r="O3131" s="50" t="s">
        <v>5707</v>
      </c>
      <c r="P3131" s="50" t="s">
        <v>5707</v>
      </c>
    </row>
    <row r="3132" spans="1:16" ht="12.75" customHeight="1" x14ac:dyDescent="0.25">
      <c r="A3132" s="311">
        <v>3129</v>
      </c>
      <c r="B3132" s="311" t="s">
        <v>63</v>
      </c>
      <c r="C3132" s="311" t="s">
        <v>63</v>
      </c>
      <c r="D3132" s="311" t="s">
        <v>462</v>
      </c>
      <c r="E3132" s="337" t="s">
        <v>63</v>
      </c>
      <c r="F3132" s="311" t="s">
        <v>91</v>
      </c>
      <c r="G3132" s="311"/>
      <c r="H3132" s="311" t="s">
        <v>347</v>
      </c>
      <c r="I3132" s="311" t="s">
        <v>66</v>
      </c>
      <c r="J3132" s="50" t="s">
        <v>1892</v>
      </c>
      <c r="K3132" s="50" t="s">
        <v>1892</v>
      </c>
      <c r="L3132" s="50" t="s">
        <v>1893</v>
      </c>
      <c r="M3132" s="50" t="s">
        <v>5710</v>
      </c>
      <c r="N3132" s="50" t="s">
        <v>5710</v>
      </c>
      <c r="O3132" s="50" t="s">
        <v>5707</v>
      </c>
      <c r="P3132" s="50" t="s">
        <v>5710</v>
      </c>
    </row>
    <row r="3133" spans="1:16" ht="12.75" customHeight="1" x14ac:dyDescent="0.25">
      <c r="A3133" s="311">
        <v>3130</v>
      </c>
      <c r="B3133" s="311" t="s">
        <v>140</v>
      </c>
      <c r="C3133" s="311" t="s">
        <v>140</v>
      </c>
      <c r="D3133" s="311" t="s">
        <v>462</v>
      </c>
      <c r="E3133" s="337" t="s">
        <v>140</v>
      </c>
      <c r="F3133" s="311" t="s">
        <v>91</v>
      </c>
      <c r="G3133" s="311"/>
      <c r="H3133" s="311" t="s">
        <v>347</v>
      </c>
      <c r="I3133" s="311" t="s">
        <v>66</v>
      </c>
      <c r="J3133" s="50" t="s">
        <v>1892</v>
      </c>
      <c r="K3133" s="50" t="s">
        <v>1892</v>
      </c>
      <c r="L3133" s="50" t="s">
        <v>1893</v>
      </c>
      <c r="M3133" s="50" t="s">
        <v>5711</v>
      </c>
      <c r="N3133" s="50" t="s">
        <v>5711</v>
      </c>
      <c r="O3133" s="50" t="s">
        <v>5707</v>
      </c>
      <c r="P3133" s="50" t="s">
        <v>5711</v>
      </c>
    </row>
    <row r="3134" spans="1:16" ht="12.75" customHeight="1" x14ac:dyDescent="0.25">
      <c r="A3134" s="311">
        <v>3131</v>
      </c>
      <c r="B3134" s="311" t="s">
        <v>121</v>
      </c>
      <c r="C3134" s="311" t="s">
        <v>121</v>
      </c>
      <c r="D3134" s="311" t="s">
        <v>462</v>
      </c>
      <c r="E3134" s="337" t="s">
        <v>121</v>
      </c>
      <c r="F3134" s="311" t="s">
        <v>91</v>
      </c>
      <c r="G3134" s="311"/>
      <c r="H3134" s="311" t="s">
        <v>347</v>
      </c>
      <c r="I3134" s="311" t="s">
        <v>66</v>
      </c>
      <c r="J3134" s="50" t="s">
        <v>1892</v>
      </c>
      <c r="K3134" s="50" t="s">
        <v>1892</v>
      </c>
      <c r="L3134" s="50" t="s">
        <v>1893</v>
      </c>
      <c r="M3134" s="50" t="s">
        <v>5712</v>
      </c>
      <c r="N3134" s="50" t="s">
        <v>5712</v>
      </c>
      <c r="O3134" s="50" t="s">
        <v>5707</v>
      </c>
      <c r="P3134" s="50" t="s">
        <v>5712</v>
      </c>
    </row>
    <row r="3135" spans="1:16" ht="12.75" customHeight="1" x14ac:dyDescent="0.25">
      <c r="A3135" s="311">
        <v>3132</v>
      </c>
      <c r="B3135" s="311" t="s">
        <v>87</v>
      </c>
      <c r="C3135" s="311" t="s">
        <v>87</v>
      </c>
      <c r="D3135" s="311" t="s">
        <v>462</v>
      </c>
      <c r="E3135" s="337" t="s">
        <v>87</v>
      </c>
      <c r="F3135" s="311" t="s">
        <v>91</v>
      </c>
      <c r="G3135" s="311"/>
      <c r="H3135" s="311" t="s">
        <v>347</v>
      </c>
      <c r="I3135" s="311" t="s">
        <v>66</v>
      </c>
      <c r="J3135" s="50" t="s">
        <v>1892</v>
      </c>
      <c r="K3135" s="50" t="s">
        <v>1892</v>
      </c>
      <c r="L3135" s="50" t="s">
        <v>1893</v>
      </c>
      <c r="M3135" s="50" t="s">
        <v>5713</v>
      </c>
      <c r="N3135" s="50" t="s">
        <v>5713</v>
      </c>
      <c r="O3135" s="50" t="s">
        <v>5707</v>
      </c>
      <c r="P3135" s="50" t="s">
        <v>5713</v>
      </c>
    </row>
    <row r="3136" spans="1:16" ht="12.75" customHeight="1" x14ac:dyDescent="0.25">
      <c r="A3136" s="311">
        <v>3133</v>
      </c>
      <c r="B3136" s="311" t="s">
        <v>125</v>
      </c>
      <c r="C3136" s="311" t="s">
        <v>125</v>
      </c>
      <c r="D3136" s="311" t="s">
        <v>125</v>
      </c>
      <c r="E3136" s="337" t="s">
        <v>125</v>
      </c>
      <c r="F3136" s="311" t="s">
        <v>91</v>
      </c>
      <c r="G3136" s="311"/>
      <c r="H3136" s="311" t="s">
        <v>347</v>
      </c>
      <c r="I3136" s="311" t="s">
        <v>66</v>
      </c>
      <c r="J3136" s="50" t="s">
        <v>1892</v>
      </c>
      <c r="K3136" s="50" t="s">
        <v>1892</v>
      </c>
      <c r="L3136" s="50" t="s">
        <v>1893</v>
      </c>
      <c r="M3136" s="50" t="s">
        <v>5714</v>
      </c>
      <c r="N3136" s="50" t="s">
        <v>5714</v>
      </c>
      <c r="O3136" s="50" t="s">
        <v>5714</v>
      </c>
      <c r="P3136" s="50" t="s">
        <v>5714</v>
      </c>
    </row>
    <row r="3137" spans="1:16" ht="12.75" customHeight="1" x14ac:dyDescent="0.25">
      <c r="A3137" s="311">
        <v>3134</v>
      </c>
      <c r="B3137" s="311" t="s">
        <v>134</v>
      </c>
      <c r="C3137" s="311" t="s">
        <v>134</v>
      </c>
      <c r="D3137" s="311" t="s">
        <v>134</v>
      </c>
      <c r="E3137" s="337" t="s">
        <v>134</v>
      </c>
      <c r="F3137" s="311" t="s">
        <v>91</v>
      </c>
      <c r="G3137" s="311"/>
      <c r="H3137" s="311" t="s">
        <v>347</v>
      </c>
      <c r="I3137" s="311" t="s">
        <v>66</v>
      </c>
      <c r="J3137" s="50" t="s">
        <v>1892</v>
      </c>
      <c r="K3137" s="50" t="s">
        <v>1892</v>
      </c>
      <c r="L3137" s="50" t="s">
        <v>1893</v>
      </c>
      <c r="M3137" s="50" t="s">
        <v>5715</v>
      </c>
      <c r="N3137" s="50" t="s">
        <v>5715</v>
      </c>
      <c r="O3137" s="50" t="s">
        <v>5715</v>
      </c>
      <c r="P3137" s="50" t="s">
        <v>5715</v>
      </c>
    </row>
    <row r="3138" spans="1:16" ht="12.75" customHeight="1" x14ac:dyDescent="0.25">
      <c r="A3138" s="311">
        <v>3135</v>
      </c>
      <c r="B3138" s="311" t="s">
        <v>141</v>
      </c>
      <c r="C3138" s="311" t="s">
        <v>141</v>
      </c>
      <c r="D3138" s="311" t="s">
        <v>141</v>
      </c>
      <c r="E3138" s="337" t="s">
        <v>141</v>
      </c>
      <c r="F3138" s="311" t="s">
        <v>91</v>
      </c>
      <c r="G3138" s="311"/>
      <c r="H3138" s="311" t="s">
        <v>347</v>
      </c>
      <c r="I3138" s="311" t="s">
        <v>66</v>
      </c>
      <c r="J3138" s="50" t="s">
        <v>1892</v>
      </c>
      <c r="K3138" s="50" t="s">
        <v>1892</v>
      </c>
      <c r="L3138" s="50" t="s">
        <v>1893</v>
      </c>
      <c r="M3138" s="50" t="s">
        <v>5716</v>
      </c>
      <c r="N3138" s="50" t="s">
        <v>5716</v>
      </c>
      <c r="O3138" s="50" t="s">
        <v>5716</v>
      </c>
      <c r="P3138" s="50" t="s">
        <v>5716</v>
      </c>
    </row>
    <row r="3139" spans="1:16" ht="12.75" customHeight="1" x14ac:dyDescent="0.25">
      <c r="A3139" s="311">
        <v>3136</v>
      </c>
      <c r="B3139" s="311" t="s">
        <v>69</v>
      </c>
      <c r="C3139" s="311" t="s">
        <v>69</v>
      </c>
      <c r="D3139" s="311" t="s">
        <v>69</v>
      </c>
      <c r="E3139" s="337" t="s">
        <v>69</v>
      </c>
      <c r="F3139" s="311" t="s">
        <v>91</v>
      </c>
      <c r="G3139" s="311"/>
      <c r="H3139" s="311" t="s">
        <v>347</v>
      </c>
      <c r="I3139" s="311" t="s">
        <v>66</v>
      </c>
      <c r="J3139" s="50" t="s">
        <v>1892</v>
      </c>
      <c r="K3139" s="50" t="s">
        <v>1892</v>
      </c>
      <c r="L3139" s="50" t="s">
        <v>1893</v>
      </c>
      <c r="M3139" s="50" t="s">
        <v>5717</v>
      </c>
      <c r="N3139" s="50" t="s">
        <v>5717</v>
      </c>
      <c r="O3139" s="50" t="s">
        <v>5717</v>
      </c>
      <c r="P3139" s="50" t="s">
        <v>5717</v>
      </c>
    </row>
    <row r="3140" spans="1:16" ht="12.75" customHeight="1" x14ac:dyDescent="0.25">
      <c r="A3140" s="311">
        <v>3137</v>
      </c>
      <c r="B3140" s="311" t="s">
        <v>72</v>
      </c>
      <c r="C3140" s="311" t="s">
        <v>462</v>
      </c>
      <c r="D3140" s="311" t="s">
        <v>462</v>
      </c>
      <c r="E3140" s="337" t="s">
        <v>462</v>
      </c>
      <c r="F3140" s="311" t="s">
        <v>304</v>
      </c>
      <c r="G3140" s="311" t="s">
        <v>236</v>
      </c>
      <c r="H3140" s="311" t="s">
        <v>417</v>
      </c>
      <c r="I3140" s="311" t="s">
        <v>56</v>
      </c>
      <c r="J3140" s="50" t="s">
        <v>1892</v>
      </c>
      <c r="K3140" s="50" t="s">
        <v>1892</v>
      </c>
      <c r="L3140" s="50" t="s">
        <v>1893</v>
      </c>
      <c r="M3140" s="50" t="s">
        <v>5718</v>
      </c>
      <c r="N3140" s="50" t="s">
        <v>5719</v>
      </c>
      <c r="O3140" s="50" t="s">
        <v>5719</v>
      </c>
      <c r="P3140" s="50" t="s">
        <v>5719</v>
      </c>
    </row>
    <row r="3141" spans="1:16" ht="12.75" customHeight="1" x14ac:dyDescent="0.25">
      <c r="A3141" s="311">
        <v>3138</v>
      </c>
      <c r="B3141" s="311" t="s">
        <v>99</v>
      </c>
      <c r="C3141" s="311" t="s">
        <v>462</v>
      </c>
      <c r="D3141" s="311" t="s">
        <v>462</v>
      </c>
      <c r="E3141" s="337" t="s">
        <v>462</v>
      </c>
      <c r="F3141" s="311" t="s">
        <v>304</v>
      </c>
      <c r="G3141" s="311" t="s">
        <v>236</v>
      </c>
      <c r="H3141" s="311" t="s">
        <v>417</v>
      </c>
      <c r="I3141" s="311" t="s">
        <v>56</v>
      </c>
      <c r="J3141" s="50" t="s">
        <v>1892</v>
      </c>
      <c r="K3141" s="50" t="s">
        <v>1892</v>
      </c>
      <c r="L3141" s="50" t="s">
        <v>1893</v>
      </c>
      <c r="M3141" s="50" t="s">
        <v>5720</v>
      </c>
      <c r="N3141" s="50" t="s">
        <v>5719</v>
      </c>
      <c r="O3141" s="50" t="s">
        <v>5719</v>
      </c>
      <c r="P3141" s="50" t="s">
        <v>5719</v>
      </c>
    </row>
    <row r="3142" spans="1:16" ht="12.75" customHeight="1" x14ac:dyDescent="0.25">
      <c r="A3142" s="311">
        <v>3139</v>
      </c>
      <c r="B3142" s="311" t="s">
        <v>60</v>
      </c>
      <c r="C3142" s="311" t="s">
        <v>462</v>
      </c>
      <c r="D3142" s="311" t="s">
        <v>462</v>
      </c>
      <c r="E3142" s="337" t="s">
        <v>462</v>
      </c>
      <c r="F3142" s="311" t="s">
        <v>304</v>
      </c>
      <c r="G3142" s="311" t="s">
        <v>236</v>
      </c>
      <c r="H3142" s="311" t="s">
        <v>417</v>
      </c>
      <c r="I3142" s="311" t="s">
        <v>56</v>
      </c>
      <c r="J3142" s="50" t="s">
        <v>1892</v>
      </c>
      <c r="K3142" s="50" t="s">
        <v>1892</v>
      </c>
      <c r="L3142" s="50" t="s">
        <v>1893</v>
      </c>
      <c r="M3142" s="50" t="s">
        <v>5721</v>
      </c>
      <c r="N3142" s="50" t="s">
        <v>5719</v>
      </c>
      <c r="O3142" s="50" t="s">
        <v>5719</v>
      </c>
      <c r="P3142" s="50" t="s">
        <v>5719</v>
      </c>
    </row>
    <row r="3143" spans="1:16" ht="12.75" customHeight="1" x14ac:dyDescent="0.25">
      <c r="A3143" s="311">
        <v>3140</v>
      </c>
      <c r="B3143" s="311" t="s">
        <v>94</v>
      </c>
      <c r="C3143" s="311" t="s">
        <v>462</v>
      </c>
      <c r="D3143" s="311" t="s">
        <v>462</v>
      </c>
      <c r="E3143" s="337" t="s">
        <v>462</v>
      </c>
      <c r="F3143" s="311" t="s">
        <v>304</v>
      </c>
      <c r="G3143" s="311" t="s">
        <v>236</v>
      </c>
      <c r="H3143" s="311" t="s">
        <v>417</v>
      </c>
      <c r="I3143" s="311" t="s">
        <v>56</v>
      </c>
      <c r="J3143" s="50" t="s">
        <v>1892</v>
      </c>
      <c r="K3143" s="50" t="s">
        <v>1892</v>
      </c>
      <c r="L3143" s="50" t="s">
        <v>1893</v>
      </c>
      <c r="M3143" s="50" t="s">
        <v>5722</v>
      </c>
      <c r="N3143" s="50" t="s">
        <v>5719</v>
      </c>
      <c r="O3143" s="50" t="s">
        <v>5719</v>
      </c>
      <c r="P3143" s="50" t="s">
        <v>5719</v>
      </c>
    </row>
    <row r="3144" spans="1:16" ht="12.75" customHeight="1" x14ac:dyDescent="0.25">
      <c r="A3144" s="311">
        <v>3141</v>
      </c>
      <c r="B3144" s="311" t="s">
        <v>84</v>
      </c>
      <c r="C3144" s="311" t="s">
        <v>462</v>
      </c>
      <c r="D3144" s="311" t="s">
        <v>462</v>
      </c>
      <c r="E3144" s="337" t="s">
        <v>462</v>
      </c>
      <c r="F3144" s="311" t="s">
        <v>304</v>
      </c>
      <c r="G3144" s="311" t="s">
        <v>236</v>
      </c>
      <c r="H3144" s="311" t="s">
        <v>417</v>
      </c>
      <c r="I3144" s="311" t="s">
        <v>56</v>
      </c>
      <c r="J3144" s="50" t="s">
        <v>1892</v>
      </c>
      <c r="K3144" s="50" t="s">
        <v>1892</v>
      </c>
      <c r="L3144" s="50" t="s">
        <v>1893</v>
      </c>
      <c r="M3144" s="50" t="s">
        <v>5723</v>
      </c>
      <c r="N3144" s="50" t="s">
        <v>5719</v>
      </c>
      <c r="O3144" s="50" t="s">
        <v>5719</v>
      </c>
      <c r="P3144" s="50" t="s">
        <v>5719</v>
      </c>
    </row>
    <row r="3145" spans="1:16" ht="12.75" customHeight="1" x14ac:dyDescent="0.25">
      <c r="A3145" s="311">
        <v>3142</v>
      </c>
      <c r="B3145" s="311" t="s">
        <v>123</v>
      </c>
      <c r="C3145" s="311" t="s">
        <v>462</v>
      </c>
      <c r="D3145" s="311" t="s">
        <v>462</v>
      </c>
      <c r="E3145" s="337" t="s">
        <v>462</v>
      </c>
      <c r="F3145" s="311" t="s">
        <v>304</v>
      </c>
      <c r="G3145" s="311" t="s">
        <v>236</v>
      </c>
      <c r="H3145" s="311" t="s">
        <v>417</v>
      </c>
      <c r="I3145" s="311" t="s">
        <v>56</v>
      </c>
      <c r="J3145" s="50" t="s">
        <v>1892</v>
      </c>
      <c r="K3145" s="50" t="s">
        <v>1892</v>
      </c>
      <c r="L3145" s="50" t="s">
        <v>1893</v>
      </c>
      <c r="M3145" s="50" t="s">
        <v>5724</v>
      </c>
      <c r="N3145" s="50" t="s">
        <v>5719</v>
      </c>
      <c r="O3145" s="50" t="s">
        <v>5719</v>
      </c>
      <c r="P3145" s="50" t="s">
        <v>5719</v>
      </c>
    </row>
    <row r="3146" spans="1:16" ht="12.75" customHeight="1" x14ac:dyDescent="0.25">
      <c r="A3146" s="311">
        <v>3143</v>
      </c>
      <c r="B3146" s="311" t="s">
        <v>75</v>
      </c>
      <c r="C3146" s="311" t="s">
        <v>462</v>
      </c>
      <c r="D3146" s="311" t="s">
        <v>462</v>
      </c>
      <c r="E3146" s="337" t="s">
        <v>462</v>
      </c>
      <c r="F3146" s="311" t="s">
        <v>304</v>
      </c>
      <c r="G3146" s="311" t="s">
        <v>236</v>
      </c>
      <c r="H3146" s="311" t="s">
        <v>417</v>
      </c>
      <c r="I3146" s="311" t="s">
        <v>56</v>
      </c>
      <c r="J3146" s="50" t="s">
        <v>1892</v>
      </c>
      <c r="K3146" s="50" t="s">
        <v>1892</v>
      </c>
      <c r="L3146" s="50" t="s">
        <v>1893</v>
      </c>
      <c r="M3146" s="50" t="s">
        <v>5725</v>
      </c>
      <c r="N3146" s="50" t="s">
        <v>5719</v>
      </c>
      <c r="O3146" s="50" t="s">
        <v>5719</v>
      </c>
      <c r="P3146" s="50" t="s">
        <v>5719</v>
      </c>
    </row>
    <row r="3147" spans="1:16" ht="12.75" customHeight="1" x14ac:dyDescent="0.25">
      <c r="A3147" s="311">
        <v>3144</v>
      </c>
      <c r="B3147" s="311" t="s">
        <v>72</v>
      </c>
      <c r="C3147" s="311" t="s">
        <v>462</v>
      </c>
      <c r="D3147" s="311" t="s">
        <v>462</v>
      </c>
      <c r="E3147" s="337" t="s">
        <v>462</v>
      </c>
      <c r="F3147" s="311" t="s">
        <v>304</v>
      </c>
      <c r="G3147" s="311" t="s">
        <v>23</v>
      </c>
      <c r="H3147" s="311" t="s">
        <v>417</v>
      </c>
      <c r="I3147" s="311" t="s">
        <v>56</v>
      </c>
      <c r="J3147" s="50" t="s">
        <v>1892</v>
      </c>
      <c r="K3147" s="50" t="s">
        <v>1892</v>
      </c>
      <c r="L3147" s="50" t="s">
        <v>1893</v>
      </c>
      <c r="M3147" s="50" t="s">
        <v>5726</v>
      </c>
      <c r="N3147" s="50" t="s">
        <v>5727</v>
      </c>
      <c r="O3147" s="50" t="s">
        <v>5727</v>
      </c>
      <c r="P3147" s="50" t="s">
        <v>5727</v>
      </c>
    </row>
    <row r="3148" spans="1:16" ht="12.75" customHeight="1" x14ac:dyDescent="0.25">
      <c r="A3148" s="311">
        <v>3145</v>
      </c>
      <c r="B3148" s="311" t="s">
        <v>99</v>
      </c>
      <c r="C3148" s="311" t="s">
        <v>462</v>
      </c>
      <c r="D3148" s="311" t="s">
        <v>462</v>
      </c>
      <c r="E3148" s="337" t="s">
        <v>462</v>
      </c>
      <c r="F3148" s="311" t="s">
        <v>304</v>
      </c>
      <c r="G3148" s="311" t="s">
        <v>23</v>
      </c>
      <c r="H3148" s="311" t="s">
        <v>417</v>
      </c>
      <c r="I3148" s="311" t="s">
        <v>56</v>
      </c>
      <c r="J3148" s="50" t="s">
        <v>1892</v>
      </c>
      <c r="K3148" s="50" t="s">
        <v>1892</v>
      </c>
      <c r="L3148" s="50" t="s">
        <v>1893</v>
      </c>
      <c r="M3148" s="50" t="s">
        <v>5728</v>
      </c>
      <c r="N3148" s="50" t="s">
        <v>5727</v>
      </c>
      <c r="O3148" s="50" t="s">
        <v>5727</v>
      </c>
      <c r="P3148" s="50" t="s">
        <v>5727</v>
      </c>
    </row>
    <row r="3149" spans="1:16" ht="12.75" customHeight="1" x14ac:dyDescent="0.25">
      <c r="A3149" s="311">
        <v>3146</v>
      </c>
      <c r="B3149" s="311" t="s">
        <v>60</v>
      </c>
      <c r="C3149" s="311" t="s">
        <v>462</v>
      </c>
      <c r="D3149" s="311" t="s">
        <v>462</v>
      </c>
      <c r="E3149" s="337" t="s">
        <v>462</v>
      </c>
      <c r="F3149" s="311" t="s">
        <v>304</v>
      </c>
      <c r="G3149" s="311" t="s">
        <v>23</v>
      </c>
      <c r="H3149" s="311" t="s">
        <v>417</v>
      </c>
      <c r="I3149" s="311" t="s">
        <v>56</v>
      </c>
      <c r="J3149" s="50" t="s">
        <v>1892</v>
      </c>
      <c r="K3149" s="50" t="s">
        <v>1892</v>
      </c>
      <c r="L3149" s="50" t="s">
        <v>1893</v>
      </c>
      <c r="M3149" s="50" t="s">
        <v>5729</v>
      </c>
      <c r="N3149" s="50" t="s">
        <v>5727</v>
      </c>
      <c r="O3149" s="50" t="s">
        <v>5727</v>
      </c>
      <c r="P3149" s="50" t="s">
        <v>5727</v>
      </c>
    </row>
    <row r="3150" spans="1:16" ht="12.75" customHeight="1" x14ac:dyDescent="0.25">
      <c r="A3150" s="311">
        <v>3147</v>
      </c>
      <c r="B3150" s="311" t="s">
        <v>94</v>
      </c>
      <c r="C3150" s="311" t="s">
        <v>462</v>
      </c>
      <c r="D3150" s="311" t="s">
        <v>462</v>
      </c>
      <c r="E3150" s="337" t="s">
        <v>462</v>
      </c>
      <c r="F3150" s="311" t="s">
        <v>304</v>
      </c>
      <c r="G3150" s="311" t="s">
        <v>23</v>
      </c>
      <c r="H3150" s="311" t="s">
        <v>417</v>
      </c>
      <c r="I3150" s="311" t="s">
        <v>56</v>
      </c>
      <c r="J3150" s="50" t="s">
        <v>1892</v>
      </c>
      <c r="K3150" s="50" t="s">
        <v>1892</v>
      </c>
      <c r="L3150" s="50" t="s">
        <v>1893</v>
      </c>
      <c r="M3150" s="50" t="s">
        <v>5730</v>
      </c>
      <c r="N3150" s="50" t="s">
        <v>5727</v>
      </c>
      <c r="O3150" s="50" t="s">
        <v>5727</v>
      </c>
      <c r="P3150" s="50" t="s">
        <v>5727</v>
      </c>
    </row>
    <row r="3151" spans="1:16" ht="12.75" customHeight="1" x14ac:dyDescent="0.25">
      <c r="A3151" s="311">
        <v>3148</v>
      </c>
      <c r="B3151" s="311" t="s">
        <v>84</v>
      </c>
      <c r="C3151" s="311" t="s">
        <v>462</v>
      </c>
      <c r="D3151" s="311" t="s">
        <v>462</v>
      </c>
      <c r="E3151" s="337" t="s">
        <v>462</v>
      </c>
      <c r="F3151" s="311" t="s">
        <v>304</v>
      </c>
      <c r="G3151" s="311" t="s">
        <v>23</v>
      </c>
      <c r="H3151" s="311" t="s">
        <v>417</v>
      </c>
      <c r="I3151" s="311" t="s">
        <v>56</v>
      </c>
      <c r="J3151" s="50" t="s">
        <v>1892</v>
      </c>
      <c r="K3151" s="50" t="s">
        <v>1892</v>
      </c>
      <c r="L3151" s="50" t="s">
        <v>1893</v>
      </c>
      <c r="M3151" s="50" t="s">
        <v>5731</v>
      </c>
      <c r="N3151" s="50" t="s">
        <v>5727</v>
      </c>
      <c r="O3151" s="50" t="s">
        <v>5727</v>
      </c>
      <c r="P3151" s="50" t="s">
        <v>5727</v>
      </c>
    </row>
    <row r="3152" spans="1:16" ht="12.75" customHeight="1" x14ac:dyDescent="0.25">
      <c r="A3152" s="311">
        <v>3149</v>
      </c>
      <c r="B3152" s="311" t="s">
        <v>123</v>
      </c>
      <c r="C3152" s="311" t="s">
        <v>462</v>
      </c>
      <c r="D3152" s="311" t="s">
        <v>462</v>
      </c>
      <c r="E3152" s="337" t="s">
        <v>462</v>
      </c>
      <c r="F3152" s="311" t="s">
        <v>304</v>
      </c>
      <c r="G3152" s="311" t="s">
        <v>23</v>
      </c>
      <c r="H3152" s="311" t="s">
        <v>417</v>
      </c>
      <c r="I3152" s="311" t="s">
        <v>56</v>
      </c>
      <c r="J3152" s="50" t="s">
        <v>1892</v>
      </c>
      <c r="K3152" s="50" t="s">
        <v>1892</v>
      </c>
      <c r="L3152" s="50" t="s">
        <v>1893</v>
      </c>
      <c r="M3152" s="50" t="s">
        <v>5732</v>
      </c>
      <c r="N3152" s="50" t="s">
        <v>5727</v>
      </c>
      <c r="O3152" s="50" t="s">
        <v>5727</v>
      </c>
      <c r="P3152" s="50" t="s">
        <v>5727</v>
      </c>
    </row>
    <row r="3153" spans="1:16" ht="12.75" customHeight="1" x14ac:dyDescent="0.25">
      <c r="A3153" s="311">
        <v>3150</v>
      </c>
      <c r="B3153" s="311" t="s">
        <v>75</v>
      </c>
      <c r="C3153" s="311" t="s">
        <v>462</v>
      </c>
      <c r="D3153" s="311" t="s">
        <v>462</v>
      </c>
      <c r="E3153" s="337" t="s">
        <v>462</v>
      </c>
      <c r="F3153" s="311" t="s">
        <v>304</v>
      </c>
      <c r="G3153" s="311" t="s">
        <v>23</v>
      </c>
      <c r="H3153" s="311" t="s">
        <v>417</v>
      </c>
      <c r="I3153" s="311" t="s">
        <v>56</v>
      </c>
      <c r="J3153" s="50" t="s">
        <v>1892</v>
      </c>
      <c r="K3153" s="50" t="s">
        <v>1892</v>
      </c>
      <c r="L3153" s="50" t="s">
        <v>1893</v>
      </c>
      <c r="M3153" s="50" t="s">
        <v>5733</v>
      </c>
      <c r="N3153" s="50" t="s">
        <v>5727</v>
      </c>
      <c r="O3153" s="50" t="s">
        <v>5727</v>
      </c>
      <c r="P3153" s="50" t="s">
        <v>5727</v>
      </c>
    </row>
    <row r="3154" spans="1:16" ht="12.75" customHeight="1" x14ac:dyDescent="0.25">
      <c r="A3154" s="311">
        <v>3151</v>
      </c>
      <c r="B3154" s="311" t="s">
        <v>72</v>
      </c>
      <c r="C3154" s="311" t="s">
        <v>462</v>
      </c>
      <c r="D3154" s="311" t="s">
        <v>462</v>
      </c>
      <c r="E3154" s="337" t="s">
        <v>462</v>
      </c>
      <c r="F3154" s="311" t="s">
        <v>304</v>
      </c>
      <c r="G3154" s="311" t="s">
        <v>237</v>
      </c>
      <c r="H3154" s="311" t="s">
        <v>417</v>
      </c>
      <c r="I3154" s="311" t="s">
        <v>56</v>
      </c>
      <c r="J3154" s="50" t="s">
        <v>1892</v>
      </c>
      <c r="K3154" s="50" t="s">
        <v>1892</v>
      </c>
      <c r="L3154" s="50" t="s">
        <v>1893</v>
      </c>
      <c r="M3154" s="50" t="s">
        <v>5734</v>
      </c>
      <c r="N3154" s="50" t="s">
        <v>5735</v>
      </c>
      <c r="O3154" s="50" t="s">
        <v>5735</v>
      </c>
      <c r="P3154" s="50" t="s">
        <v>5735</v>
      </c>
    </row>
    <row r="3155" spans="1:16" ht="12.75" customHeight="1" x14ac:dyDescent="0.25">
      <c r="A3155" s="311">
        <v>3152</v>
      </c>
      <c r="B3155" s="311" t="s">
        <v>99</v>
      </c>
      <c r="C3155" s="311" t="s">
        <v>462</v>
      </c>
      <c r="D3155" s="311" t="s">
        <v>462</v>
      </c>
      <c r="E3155" s="337" t="s">
        <v>462</v>
      </c>
      <c r="F3155" s="311" t="s">
        <v>304</v>
      </c>
      <c r="G3155" s="311" t="s">
        <v>237</v>
      </c>
      <c r="H3155" s="311" t="s">
        <v>417</v>
      </c>
      <c r="I3155" s="311" t="s">
        <v>56</v>
      </c>
      <c r="J3155" s="50" t="s">
        <v>1892</v>
      </c>
      <c r="K3155" s="50" t="s">
        <v>1892</v>
      </c>
      <c r="L3155" s="50" t="s">
        <v>1893</v>
      </c>
      <c r="M3155" s="50" t="s">
        <v>5736</v>
      </c>
      <c r="N3155" s="50" t="s">
        <v>5735</v>
      </c>
      <c r="O3155" s="50" t="s">
        <v>5735</v>
      </c>
      <c r="P3155" s="50" t="s">
        <v>5735</v>
      </c>
    </row>
    <row r="3156" spans="1:16" ht="12.75" customHeight="1" x14ac:dyDescent="0.25">
      <c r="A3156" s="311">
        <v>3153</v>
      </c>
      <c r="B3156" s="311" t="s">
        <v>60</v>
      </c>
      <c r="C3156" s="311" t="s">
        <v>462</v>
      </c>
      <c r="D3156" s="311" t="s">
        <v>462</v>
      </c>
      <c r="E3156" s="337" t="s">
        <v>462</v>
      </c>
      <c r="F3156" s="311" t="s">
        <v>304</v>
      </c>
      <c r="G3156" s="311" t="s">
        <v>237</v>
      </c>
      <c r="H3156" s="311" t="s">
        <v>417</v>
      </c>
      <c r="I3156" s="311" t="s">
        <v>56</v>
      </c>
      <c r="J3156" s="50" t="s">
        <v>1892</v>
      </c>
      <c r="K3156" s="50" t="s">
        <v>1892</v>
      </c>
      <c r="L3156" s="50" t="s">
        <v>1893</v>
      </c>
      <c r="M3156" s="50" t="s">
        <v>5737</v>
      </c>
      <c r="N3156" s="50" t="s">
        <v>5735</v>
      </c>
      <c r="O3156" s="50" t="s">
        <v>5735</v>
      </c>
      <c r="P3156" s="50" t="s">
        <v>5735</v>
      </c>
    </row>
    <row r="3157" spans="1:16" ht="12.75" customHeight="1" x14ac:dyDescent="0.25">
      <c r="A3157" s="311">
        <v>3154</v>
      </c>
      <c r="B3157" s="311" t="s">
        <v>94</v>
      </c>
      <c r="C3157" s="311" t="s">
        <v>462</v>
      </c>
      <c r="D3157" s="311" t="s">
        <v>462</v>
      </c>
      <c r="E3157" s="337" t="s">
        <v>462</v>
      </c>
      <c r="F3157" s="311" t="s">
        <v>304</v>
      </c>
      <c r="G3157" s="311" t="s">
        <v>237</v>
      </c>
      <c r="H3157" s="311" t="s">
        <v>417</v>
      </c>
      <c r="I3157" s="311" t="s">
        <v>56</v>
      </c>
      <c r="J3157" s="50" t="s">
        <v>1892</v>
      </c>
      <c r="K3157" s="50" t="s">
        <v>1892</v>
      </c>
      <c r="L3157" s="50" t="s">
        <v>1893</v>
      </c>
      <c r="M3157" s="50" t="s">
        <v>5738</v>
      </c>
      <c r="N3157" s="50" t="s">
        <v>5735</v>
      </c>
      <c r="O3157" s="50" t="s">
        <v>5735</v>
      </c>
      <c r="P3157" s="50" t="s">
        <v>5735</v>
      </c>
    </row>
    <row r="3158" spans="1:16" ht="12.75" customHeight="1" x14ac:dyDescent="0.25">
      <c r="A3158" s="311">
        <v>3155</v>
      </c>
      <c r="B3158" s="311" t="s">
        <v>84</v>
      </c>
      <c r="C3158" s="311" t="s">
        <v>462</v>
      </c>
      <c r="D3158" s="311" t="s">
        <v>462</v>
      </c>
      <c r="E3158" s="337" t="s">
        <v>462</v>
      </c>
      <c r="F3158" s="311" t="s">
        <v>304</v>
      </c>
      <c r="G3158" s="311" t="s">
        <v>237</v>
      </c>
      <c r="H3158" s="311" t="s">
        <v>417</v>
      </c>
      <c r="I3158" s="311" t="s">
        <v>56</v>
      </c>
      <c r="J3158" s="50" t="s">
        <v>1892</v>
      </c>
      <c r="K3158" s="50" t="s">
        <v>1892</v>
      </c>
      <c r="L3158" s="50" t="s">
        <v>1893</v>
      </c>
      <c r="M3158" s="50" t="s">
        <v>5739</v>
      </c>
      <c r="N3158" s="50" t="s">
        <v>5735</v>
      </c>
      <c r="O3158" s="50" t="s">
        <v>5735</v>
      </c>
      <c r="P3158" s="50" t="s">
        <v>5735</v>
      </c>
    </row>
    <row r="3159" spans="1:16" ht="12.75" customHeight="1" x14ac:dyDescent="0.25">
      <c r="A3159" s="311">
        <v>3156</v>
      </c>
      <c r="B3159" s="311" t="s">
        <v>123</v>
      </c>
      <c r="C3159" s="311" t="s">
        <v>462</v>
      </c>
      <c r="D3159" s="311" t="s">
        <v>462</v>
      </c>
      <c r="E3159" s="337" t="s">
        <v>462</v>
      </c>
      <c r="F3159" s="311" t="s">
        <v>304</v>
      </c>
      <c r="G3159" s="311" t="s">
        <v>237</v>
      </c>
      <c r="H3159" s="311" t="s">
        <v>417</v>
      </c>
      <c r="I3159" s="311" t="s">
        <v>56</v>
      </c>
      <c r="J3159" s="50" t="s">
        <v>1892</v>
      </c>
      <c r="K3159" s="50" t="s">
        <v>1892</v>
      </c>
      <c r="L3159" s="50" t="s">
        <v>1893</v>
      </c>
      <c r="M3159" s="50" t="s">
        <v>5740</v>
      </c>
      <c r="N3159" s="50" t="s">
        <v>5735</v>
      </c>
      <c r="O3159" s="50" t="s">
        <v>5735</v>
      </c>
      <c r="P3159" s="50" t="s">
        <v>5735</v>
      </c>
    </row>
    <row r="3160" spans="1:16" ht="12.75" customHeight="1" x14ac:dyDescent="0.25">
      <c r="A3160" s="311">
        <v>3157</v>
      </c>
      <c r="B3160" s="311" t="s">
        <v>75</v>
      </c>
      <c r="C3160" s="311" t="s">
        <v>462</v>
      </c>
      <c r="D3160" s="311" t="s">
        <v>462</v>
      </c>
      <c r="E3160" s="337" t="s">
        <v>462</v>
      </c>
      <c r="F3160" s="311" t="s">
        <v>304</v>
      </c>
      <c r="G3160" s="311" t="s">
        <v>237</v>
      </c>
      <c r="H3160" s="311" t="s">
        <v>417</v>
      </c>
      <c r="I3160" s="311" t="s">
        <v>56</v>
      </c>
      <c r="J3160" s="50" t="s">
        <v>1892</v>
      </c>
      <c r="K3160" s="50" t="s">
        <v>1892</v>
      </c>
      <c r="L3160" s="50" t="s">
        <v>1893</v>
      </c>
      <c r="M3160" s="50" t="s">
        <v>5741</v>
      </c>
      <c r="N3160" s="50" t="s">
        <v>5735</v>
      </c>
      <c r="O3160" s="50" t="s">
        <v>5735</v>
      </c>
      <c r="P3160" s="50" t="s">
        <v>5735</v>
      </c>
    </row>
    <row r="3161" spans="1:16" ht="12.75" customHeight="1" x14ac:dyDescent="0.25">
      <c r="A3161" s="311">
        <v>3158</v>
      </c>
      <c r="B3161" s="311" t="s">
        <v>63</v>
      </c>
      <c r="C3161" s="311" t="s">
        <v>63</v>
      </c>
      <c r="D3161" s="311" t="s">
        <v>462</v>
      </c>
      <c r="E3161" s="337" t="s">
        <v>63</v>
      </c>
      <c r="F3161" s="311" t="s">
        <v>304</v>
      </c>
      <c r="G3161" s="311" t="s">
        <v>236</v>
      </c>
      <c r="H3161" s="311" t="s">
        <v>416</v>
      </c>
      <c r="I3161" s="311" t="s">
        <v>66</v>
      </c>
      <c r="J3161" s="50" t="s">
        <v>1892</v>
      </c>
      <c r="K3161" s="50" t="s">
        <v>1892</v>
      </c>
      <c r="L3161" s="50" t="s">
        <v>1893</v>
      </c>
      <c r="M3161" s="50" t="s">
        <v>5742</v>
      </c>
      <c r="N3161" s="50" t="s">
        <v>5742</v>
      </c>
      <c r="O3161" s="50" t="s">
        <v>5719</v>
      </c>
      <c r="P3161" s="50" t="s">
        <v>5742</v>
      </c>
    </row>
    <row r="3162" spans="1:16" ht="12.75" customHeight="1" x14ac:dyDescent="0.25">
      <c r="A3162" s="311">
        <v>3159</v>
      </c>
      <c r="B3162" s="311" t="s">
        <v>140</v>
      </c>
      <c r="C3162" s="311" t="s">
        <v>140</v>
      </c>
      <c r="D3162" s="311" t="s">
        <v>462</v>
      </c>
      <c r="E3162" s="337" t="s">
        <v>140</v>
      </c>
      <c r="F3162" s="311" t="s">
        <v>304</v>
      </c>
      <c r="G3162" s="311" t="s">
        <v>236</v>
      </c>
      <c r="H3162" s="311" t="s">
        <v>416</v>
      </c>
      <c r="I3162" s="311" t="s">
        <v>66</v>
      </c>
      <c r="J3162" s="50" t="s">
        <v>1892</v>
      </c>
      <c r="K3162" s="50" t="s">
        <v>1892</v>
      </c>
      <c r="L3162" s="50" t="s">
        <v>1893</v>
      </c>
      <c r="M3162" s="50" t="s">
        <v>5743</v>
      </c>
      <c r="N3162" s="50" t="s">
        <v>5743</v>
      </c>
      <c r="O3162" s="50" t="s">
        <v>5719</v>
      </c>
      <c r="P3162" s="50" t="s">
        <v>5743</v>
      </c>
    </row>
    <row r="3163" spans="1:16" ht="12.75" customHeight="1" x14ac:dyDescent="0.25">
      <c r="A3163" s="311">
        <v>3160</v>
      </c>
      <c r="B3163" s="311" t="s">
        <v>121</v>
      </c>
      <c r="C3163" s="311" t="s">
        <v>121</v>
      </c>
      <c r="D3163" s="311" t="s">
        <v>462</v>
      </c>
      <c r="E3163" s="337" t="s">
        <v>121</v>
      </c>
      <c r="F3163" s="311" t="s">
        <v>304</v>
      </c>
      <c r="G3163" s="311" t="s">
        <v>236</v>
      </c>
      <c r="H3163" s="311" t="s">
        <v>416</v>
      </c>
      <c r="I3163" s="311" t="s">
        <v>66</v>
      </c>
      <c r="J3163" s="50" t="s">
        <v>1892</v>
      </c>
      <c r="K3163" s="50" t="s">
        <v>1892</v>
      </c>
      <c r="L3163" s="50" t="s">
        <v>1893</v>
      </c>
      <c r="M3163" s="50" t="s">
        <v>5744</v>
      </c>
      <c r="N3163" s="50" t="s">
        <v>5744</v>
      </c>
      <c r="O3163" s="50" t="s">
        <v>5719</v>
      </c>
      <c r="P3163" s="50" t="s">
        <v>5744</v>
      </c>
    </row>
    <row r="3164" spans="1:16" ht="12.75" customHeight="1" x14ac:dyDescent="0.25">
      <c r="A3164" s="311">
        <v>3161</v>
      </c>
      <c r="B3164" s="311" t="s">
        <v>87</v>
      </c>
      <c r="C3164" s="311" t="s">
        <v>87</v>
      </c>
      <c r="D3164" s="311" t="s">
        <v>462</v>
      </c>
      <c r="E3164" s="337" t="s">
        <v>87</v>
      </c>
      <c r="F3164" s="311" t="s">
        <v>304</v>
      </c>
      <c r="G3164" s="311" t="s">
        <v>236</v>
      </c>
      <c r="H3164" s="311" t="s">
        <v>416</v>
      </c>
      <c r="I3164" s="311" t="s">
        <v>66</v>
      </c>
      <c r="J3164" s="50" t="s">
        <v>1892</v>
      </c>
      <c r="K3164" s="50" t="s">
        <v>1892</v>
      </c>
      <c r="L3164" s="50" t="s">
        <v>1893</v>
      </c>
      <c r="M3164" s="50" t="s">
        <v>5745</v>
      </c>
      <c r="N3164" s="50" t="s">
        <v>5745</v>
      </c>
      <c r="O3164" s="50" t="s">
        <v>5719</v>
      </c>
      <c r="P3164" s="50" t="s">
        <v>5745</v>
      </c>
    </row>
    <row r="3165" spans="1:16" ht="12.75" customHeight="1" x14ac:dyDescent="0.25">
      <c r="A3165" s="311">
        <v>3162</v>
      </c>
      <c r="B3165" s="311" t="s">
        <v>125</v>
      </c>
      <c r="C3165" s="311" t="s">
        <v>125</v>
      </c>
      <c r="D3165" s="311" t="s">
        <v>125</v>
      </c>
      <c r="E3165" s="337" t="s">
        <v>125</v>
      </c>
      <c r="F3165" s="311" t="s">
        <v>304</v>
      </c>
      <c r="G3165" s="311" t="s">
        <v>236</v>
      </c>
      <c r="H3165" s="311" t="s">
        <v>416</v>
      </c>
      <c r="I3165" s="311" t="s">
        <v>66</v>
      </c>
      <c r="J3165" s="50" t="s">
        <v>1892</v>
      </c>
      <c r="K3165" s="50" t="s">
        <v>1892</v>
      </c>
      <c r="L3165" s="50" t="s">
        <v>1893</v>
      </c>
      <c r="M3165" s="50" t="s">
        <v>5746</v>
      </c>
      <c r="N3165" s="50" t="s">
        <v>5746</v>
      </c>
      <c r="O3165" s="50" t="s">
        <v>5746</v>
      </c>
      <c r="P3165" s="50" t="s">
        <v>5746</v>
      </c>
    </row>
    <row r="3166" spans="1:16" ht="12.75" customHeight="1" x14ac:dyDescent="0.25">
      <c r="A3166" s="311">
        <v>3163</v>
      </c>
      <c r="B3166" s="311" t="s">
        <v>134</v>
      </c>
      <c r="C3166" s="311" t="s">
        <v>134</v>
      </c>
      <c r="D3166" s="311" t="s">
        <v>134</v>
      </c>
      <c r="E3166" s="337" t="s">
        <v>134</v>
      </c>
      <c r="F3166" s="311" t="s">
        <v>304</v>
      </c>
      <c r="G3166" s="311" t="s">
        <v>236</v>
      </c>
      <c r="H3166" s="311" t="s">
        <v>416</v>
      </c>
      <c r="I3166" s="311" t="s">
        <v>66</v>
      </c>
      <c r="J3166" s="50" t="s">
        <v>1892</v>
      </c>
      <c r="K3166" s="50" t="s">
        <v>1892</v>
      </c>
      <c r="L3166" s="50" t="s">
        <v>1893</v>
      </c>
      <c r="M3166" s="50" t="s">
        <v>5747</v>
      </c>
      <c r="N3166" s="50" t="s">
        <v>5747</v>
      </c>
      <c r="O3166" s="50" t="s">
        <v>5747</v>
      </c>
      <c r="P3166" s="50" t="s">
        <v>5747</v>
      </c>
    </row>
    <row r="3167" spans="1:16" ht="12.75" customHeight="1" x14ac:dyDescent="0.25">
      <c r="A3167" s="311">
        <v>3164</v>
      </c>
      <c r="B3167" s="311" t="s">
        <v>141</v>
      </c>
      <c r="C3167" s="311" t="s">
        <v>141</v>
      </c>
      <c r="D3167" s="311" t="s">
        <v>141</v>
      </c>
      <c r="E3167" s="337" t="s">
        <v>141</v>
      </c>
      <c r="F3167" s="311" t="s">
        <v>304</v>
      </c>
      <c r="G3167" s="311" t="s">
        <v>236</v>
      </c>
      <c r="H3167" s="311" t="s">
        <v>416</v>
      </c>
      <c r="I3167" s="311" t="s">
        <v>66</v>
      </c>
      <c r="J3167" s="50" t="s">
        <v>1892</v>
      </c>
      <c r="K3167" s="50" t="s">
        <v>1892</v>
      </c>
      <c r="L3167" s="50" t="s">
        <v>1893</v>
      </c>
      <c r="M3167" s="50" t="s">
        <v>5748</v>
      </c>
      <c r="N3167" s="50" t="s">
        <v>5748</v>
      </c>
      <c r="O3167" s="50" t="s">
        <v>5748</v>
      </c>
      <c r="P3167" s="50" t="s">
        <v>5748</v>
      </c>
    </row>
    <row r="3168" spans="1:16" ht="12.75" customHeight="1" x14ac:dyDescent="0.25">
      <c r="A3168" s="311">
        <v>3165</v>
      </c>
      <c r="B3168" s="311" t="s">
        <v>69</v>
      </c>
      <c r="C3168" s="311" t="s">
        <v>69</v>
      </c>
      <c r="D3168" s="311" t="s">
        <v>69</v>
      </c>
      <c r="E3168" s="337" t="s">
        <v>69</v>
      </c>
      <c r="F3168" s="311" t="s">
        <v>304</v>
      </c>
      <c r="G3168" s="311" t="s">
        <v>236</v>
      </c>
      <c r="H3168" s="311" t="s">
        <v>416</v>
      </c>
      <c r="I3168" s="311" t="s">
        <v>66</v>
      </c>
      <c r="J3168" s="50" t="s">
        <v>1892</v>
      </c>
      <c r="K3168" s="50" t="s">
        <v>1892</v>
      </c>
      <c r="L3168" s="50" t="s">
        <v>1893</v>
      </c>
      <c r="M3168" s="50" t="s">
        <v>5749</v>
      </c>
      <c r="N3168" s="50" t="s">
        <v>5749</v>
      </c>
      <c r="O3168" s="50" t="s">
        <v>5749</v>
      </c>
      <c r="P3168" s="50" t="s">
        <v>5749</v>
      </c>
    </row>
    <row r="3169" spans="1:16" ht="12.75" customHeight="1" x14ac:dyDescent="0.25">
      <c r="A3169" s="311">
        <v>3166</v>
      </c>
      <c r="B3169" s="311" t="s">
        <v>63</v>
      </c>
      <c r="C3169" s="311" t="s">
        <v>63</v>
      </c>
      <c r="D3169" s="311" t="s">
        <v>462</v>
      </c>
      <c r="E3169" s="337" t="s">
        <v>63</v>
      </c>
      <c r="F3169" s="311" t="s">
        <v>304</v>
      </c>
      <c r="G3169" s="311" t="s">
        <v>23</v>
      </c>
      <c r="H3169" s="311" t="s">
        <v>416</v>
      </c>
      <c r="I3169" s="311" t="s">
        <v>66</v>
      </c>
      <c r="J3169" s="50" t="s">
        <v>1892</v>
      </c>
      <c r="K3169" s="50" t="s">
        <v>1892</v>
      </c>
      <c r="L3169" s="50" t="s">
        <v>1893</v>
      </c>
      <c r="M3169" s="50" t="s">
        <v>5750</v>
      </c>
      <c r="N3169" s="50" t="s">
        <v>5750</v>
      </c>
      <c r="O3169" s="50" t="s">
        <v>5727</v>
      </c>
      <c r="P3169" s="50" t="s">
        <v>5750</v>
      </c>
    </row>
    <row r="3170" spans="1:16" ht="12.75" customHeight="1" x14ac:dyDescent="0.25">
      <c r="A3170" s="311">
        <v>3167</v>
      </c>
      <c r="B3170" s="311" t="s">
        <v>140</v>
      </c>
      <c r="C3170" s="311" t="s">
        <v>140</v>
      </c>
      <c r="D3170" s="311" t="s">
        <v>462</v>
      </c>
      <c r="E3170" s="337" t="s">
        <v>140</v>
      </c>
      <c r="F3170" s="311" t="s">
        <v>304</v>
      </c>
      <c r="G3170" s="311" t="s">
        <v>23</v>
      </c>
      <c r="H3170" s="311" t="s">
        <v>416</v>
      </c>
      <c r="I3170" s="311" t="s">
        <v>66</v>
      </c>
      <c r="J3170" s="50" t="s">
        <v>1892</v>
      </c>
      <c r="K3170" s="50" t="s">
        <v>1892</v>
      </c>
      <c r="L3170" s="50" t="s">
        <v>1893</v>
      </c>
      <c r="M3170" s="50" t="s">
        <v>5751</v>
      </c>
      <c r="N3170" s="50" t="s">
        <v>5751</v>
      </c>
      <c r="O3170" s="50" t="s">
        <v>5727</v>
      </c>
      <c r="P3170" s="50" t="s">
        <v>5751</v>
      </c>
    </row>
    <row r="3171" spans="1:16" ht="12.75" customHeight="1" x14ac:dyDescent="0.25">
      <c r="A3171" s="311">
        <v>3168</v>
      </c>
      <c r="B3171" s="311" t="s">
        <v>121</v>
      </c>
      <c r="C3171" s="311" t="s">
        <v>121</v>
      </c>
      <c r="D3171" s="311" t="s">
        <v>462</v>
      </c>
      <c r="E3171" s="337" t="s">
        <v>121</v>
      </c>
      <c r="F3171" s="311" t="s">
        <v>304</v>
      </c>
      <c r="G3171" s="311" t="s">
        <v>23</v>
      </c>
      <c r="H3171" s="311" t="s">
        <v>416</v>
      </c>
      <c r="I3171" s="311" t="s">
        <v>66</v>
      </c>
      <c r="J3171" s="50" t="s">
        <v>1892</v>
      </c>
      <c r="K3171" s="50" t="s">
        <v>1892</v>
      </c>
      <c r="L3171" s="50" t="s">
        <v>1893</v>
      </c>
      <c r="M3171" s="50" t="s">
        <v>5752</v>
      </c>
      <c r="N3171" s="50" t="s">
        <v>5752</v>
      </c>
      <c r="O3171" s="50" t="s">
        <v>5727</v>
      </c>
      <c r="P3171" s="50" t="s">
        <v>5752</v>
      </c>
    </row>
    <row r="3172" spans="1:16" ht="12.75" customHeight="1" x14ac:dyDescent="0.25">
      <c r="A3172" s="311">
        <v>3169</v>
      </c>
      <c r="B3172" s="311" t="s">
        <v>87</v>
      </c>
      <c r="C3172" s="311" t="s">
        <v>87</v>
      </c>
      <c r="D3172" s="311" t="s">
        <v>462</v>
      </c>
      <c r="E3172" s="337" t="s">
        <v>87</v>
      </c>
      <c r="F3172" s="311" t="s">
        <v>304</v>
      </c>
      <c r="G3172" s="311" t="s">
        <v>23</v>
      </c>
      <c r="H3172" s="311" t="s">
        <v>416</v>
      </c>
      <c r="I3172" s="311" t="s">
        <v>66</v>
      </c>
      <c r="J3172" s="50" t="s">
        <v>1892</v>
      </c>
      <c r="K3172" s="50" t="s">
        <v>1892</v>
      </c>
      <c r="L3172" s="50" t="s">
        <v>1893</v>
      </c>
      <c r="M3172" s="50" t="s">
        <v>5753</v>
      </c>
      <c r="N3172" s="50" t="s">
        <v>5753</v>
      </c>
      <c r="O3172" s="50" t="s">
        <v>5727</v>
      </c>
      <c r="P3172" s="50" t="s">
        <v>5753</v>
      </c>
    </row>
    <row r="3173" spans="1:16" ht="12.75" customHeight="1" x14ac:dyDescent="0.25">
      <c r="A3173" s="311">
        <v>3170</v>
      </c>
      <c r="B3173" s="311" t="s">
        <v>125</v>
      </c>
      <c r="C3173" s="311" t="s">
        <v>125</v>
      </c>
      <c r="D3173" s="311" t="s">
        <v>125</v>
      </c>
      <c r="E3173" s="337" t="s">
        <v>125</v>
      </c>
      <c r="F3173" s="311" t="s">
        <v>304</v>
      </c>
      <c r="G3173" s="311" t="s">
        <v>23</v>
      </c>
      <c r="H3173" s="311" t="s">
        <v>416</v>
      </c>
      <c r="I3173" s="311" t="s">
        <v>66</v>
      </c>
      <c r="J3173" s="50" t="s">
        <v>1892</v>
      </c>
      <c r="K3173" s="50" t="s">
        <v>1892</v>
      </c>
      <c r="L3173" s="50" t="s">
        <v>1893</v>
      </c>
      <c r="M3173" s="50" t="s">
        <v>5754</v>
      </c>
      <c r="N3173" s="50" t="s">
        <v>5754</v>
      </c>
      <c r="O3173" s="50" t="s">
        <v>5754</v>
      </c>
      <c r="P3173" s="50" t="s">
        <v>5754</v>
      </c>
    </row>
    <row r="3174" spans="1:16" ht="12.75" customHeight="1" x14ac:dyDescent="0.25">
      <c r="A3174" s="311">
        <v>3171</v>
      </c>
      <c r="B3174" s="311" t="s">
        <v>134</v>
      </c>
      <c r="C3174" s="311" t="s">
        <v>134</v>
      </c>
      <c r="D3174" s="311" t="s">
        <v>134</v>
      </c>
      <c r="E3174" s="337" t="s">
        <v>134</v>
      </c>
      <c r="F3174" s="311" t="s">
        <v>304</v>
      </c>
      <c r="G3174" s="311" t="s">
        <v>23</v>
      </c>
      <c r="H3174" s="311" t="s">
        <v>416</v>
      </c>
      <c r="I3174" s="311" t="s">
        <v>66</v>
      </c>
      <c r="J3174" s="50" t="s">
        <v>1892</v>
      </c>
      <c r="K3174" s="50" t="s">
        <v>1892</v>
      </c>
      <c r="L3174" s="50" t="s">
        <v>1893</v>
      </c>
      <c r="M3174" s="50" t="s">
        <v>5755</v>
      </c>
      <c r="N3174" s="50" t="s">
        <v>5755</v>
      </c>
      <c r="O3174" s="50" t="s">
        <v>5755</v>
      </c>
      <c r="P3174" s="50" t="s">
        <v>5755</v>
      </c>
    </row>
    <row r="3175" spans="1:16" ht="12.75" customHeight="1" x14ac:dyDescent="0.25">
      <c r="A3175" s="311">
        <v>3172</v>
      </c>
      <c r="B3175" s="311" t="s">
        <v>141</v>
      </c>
      <c r="C3175" s="311" t="s">
        <v>141</v>
      </c>
      <c r="D3175" s="311" t="s">
        <v>141</v>
      </c>
      <c r="E3175" s="337" t="s">
        <v>141</v>
      </c>
      <c r="F3175" s="311" t="s">
        <v>304</v>
      </c>
      <c r="G3175" s="311" t="s">
        <v>23</v>
      </c>
      <c r="H3175" s="311" t="s">
        <v>416</v>
      </c>
      <c r="I3175" s="311" t="s">
        <v>66</v>
      </c>
      <c r="J3175" s="50" t="s">
        <v>1892</v>
      </c>
      <c r="K3175" s="50" t="s">
        <v>1892</v>
      </c>
      <c r="L3175" s="50" t="s">
        <v>1893</v>
      </c>
      <c r="M3175" s="50" t="s">
        <v>5756</v>
      </c>
      <c r="N3175" s="50" t="s">
        <v>5756</v>
      </c>
      <c r="O3175" s="50" t="s">
        <v>5756</v>
      </c>
      <c r="P3175" s="50" t="s">
        <v>5756</v>
      </c>
    </row>
    <row r="3176" spans="1:16" ht="12.75" customHeight="1" x14ac:dyDescent="0.25">
      <c r="A3176" s="311">
        <v>3173</v>
      </c>
      <c r="B3176" s="311" t="s">
        <v>69</v>
      </c>
      <c r="C3176" s="311" t="s">
        <v>69</v>
      </c>
      <c r="D3176" s="311" t="s">
        <v>69</v>
      </c>
      <c r="E3176" s="337" t="s">
        <v>69</v>
      </c>
      <c r="F3176" s="311" t="s">
        <v>304</v>
      </c>
      <c r="G3176" s="311" t="s">
        <v>23</v>
      </c>
      <c r="H3176" s="311" t="s">
        <v>416</v>
      </c>
      <c r="I3176" s="311" t="s">
        <v>66</v>
      </c>
      <c r="J3176" s="50" t="s">
        <v>1892</v>
      </c>
      <c r="K3176" s="50" t="s">
        <v>1892</v>
      </c>
      <c r="L3176" s="50" t="s">
        <v>1893</v>
      </c>
      <c r="M3176" s="50" t="s">
        <v>5757</v>
      </c>
      <c r="N3176" s="50" t="s">
        <v>5757</v>
      </c>
      <c r="O3176" s="50" t="s">
        <v>5757</v>
      </c>
      <c r="P3176" s="50" t="s">
        <v>5757</v>
      </c>
    </row>
    <row r="3177" spans="1:16" ht="12.75" customHeight="1" x14ac:dyDescent="0.25">
      <c r="A3177" s="311">
        <v>3174</v>
      </c>
      <c r="B3177" s="311" t="s">
        <v>63</v>
      </c>
      <c r="C3177" s="311" t="s">
        <v>63</v>
      </c>
      <c r="D3177" s="311" t="s">
        <v>462</v>
      </c>
      <c r="E3177" s="337" t="s">
        <v>63</v>
      </c>
      <c r="F3177" s="311" t="s">
        <v>304</v>
      </c>
      <c r="G3177" s="311" t="s">
        <v>237</v>
      </c>
      <c r="H3177" s="311" t="s">
        <v>416</v>
      </c>
      <c r="I3177" s="311" t="s">
        <v>66</v>
      </c>
      <c r="J3177" s="50" t="s">
        <v>1892</v>
      </c>
      <c r="K3177" s="50" t="s">
        <v>1892</v>
      </c>
      <c r="L3177" s="50" t="s">
        <v>1893</v>
      </c>
      <c r="M3177" s="50" t="s">
        <v>5758</v>
      </c>
      <c r="N3177" s="50" t="s">
        <v>5758</v>
      </c>
      <c r="O3177" s="50" t="s">
        <v>5735</v>
      </c>
      <c r="P3177" s="50" t="s">
        <v>5758</v>
      </c>
    </row>
    <row r="3178" spans="1:16" ht="12.75" customHeight="1" x14ac:dyDescent="0.25">
      <c r="A3178" s="311">
        <v>3175</v>
      </c>
      <c r="B3178" s="311" t="s">
        <v>140</v>
      </c>
      <c r="C3178" s="311" t="s">
        <v>140</v>
      </c>
      <c r="D3178" s="311" t="s">
        <v>462</v>
      </c>
      <c r="E3178" s="337" t="s">
        <v>140</v>
      </c>
      <c r="F3178" s="311" t="s">
        <v>304</v>
      </c>
      <c r="G3178" s="311" t="s">
        <v>237</v>
      </c>
      <c r="H3178" s="311" t="s">
        <v>416</v>
      </c>
      <c r="I3178" s="311" t="s">
        <v>66</v>
      </c>
      <c r="J3178" s="50" t="s">
        <v>1892</v>
      </c>
      <c r="K3178" s="50" t="s">
        <v>1892</v>
      </c>
      <c r="L3178" s="50" t="s">
        <v>1893</v>
      </c>
      <c r="M3178" s="50" t="s">
        <v>5759</v>
      </c>
      <c r="N3178" s="50" t="s">
        <v>5759</v>
      </c>
      <c r="O3178" s="50" t="s">
        <v>5735</v>
      </c>
      <c r="P3178" s="50" t="s">
        <v>5759</v>
      </c>
    </row>
    <row r="3179" spans="1:16" ht="12.75" customHeight="1" x14ac:dyDescent="0.25">
      <c r="A3179" s="311">
        <v>3176</v>
      </c>
      <c r="B3179" s="311" t="s">
        <v>121</v>
      </c>
      <c r="C3179" s="311" t="s">
        <v>121</v>
      </c>
      <c r="D3179" s="311" t="s">
        <v>462</v>
      </c>
      <c r="E3179" s="337" t="s">
        <v>121</v>
      </c>
      <c r="F3179" s="311" t="s">
        <v>304</v>
      </c>
      <c r="G3179" s="311" t="s">
        <v>237</v>
      </c>
      <c r="H3179" s="311" t="s">
        <v>416</v>
      </c>
      <c r="I3179" s="311" t="s">
        <v>66</v>
      </c>
      <c r="J3179" s="50" t="s">
        <v>1892</v>
      </c>
      <c r="K3179" s="50" t="s">
        <v>1892</v>
      </c>
      <c r="L3179" s="50" t="s">
        <v>1893</v>
      </c>
      <c r="M3179" s="50" t="s">
        <v>5760</v>
      </c>
      <c r="N3179" s="50" t="s">
        <v>5760</v>
      </c>
      <c r="O3179" s="50" t="s">
        <v>5735</v>
      </c>
      <c r="P3179" s="50" t="s">
        <v>5760</v>
      </c>
    </row>
    <row r="3180" spans="1:16" ht="12.75" customHeight="1" x14ac:dyDescent="0.25">
      <c r="A3180" s="311">
        <v>3177</v>
      </c>
      <c r="B3180" s="311" t="s">
        <v>87</v>
      </c>
      <c r="C3180" s="311" t="s">
        <v>87</v>
      </c>
      <c r="D3180" s="311" t="s">
        <v>462</v>
      </c>
      <c r="E3180" s="337" t="s">
        <v>87</v>
      </c>
      <c r="F3180" s="311" t="s">
        <v>304</v>
      </c>
      <c r="G3180" s="311" t="s">
        <v>237</v>
      </c>
      <c r="H3180" s="311" t="s">
        <v>416</v>
      </c>
      <c r="I3180" s="311" t="s">
        <v>66</v>
      </c>
      <c r="J3180" s="50" t="s">
        <v>1892</v>
      </c>
      <c r="K3180" s="50" t="s">
        <v>1892</v>
      </c>
      <c r="L3180" s="50" t="s">
        <v>1893</v>
      </c>
      <c r="M3180" s="50" t="s">
        <v>5761</v>
      </c>
      <c r="N3180" s="50" t="s">
        <v>5761</v>
      </c>
      <c r="O3180" s="50" t="s">
        <v>5735</v>
      </c>
      <c r="P3180" s="50" t="s">
        <v>5761</v>
      </c>
    </row>
    <row r="3181" spans="1:16" ht="12.75" customHeight="1" x14ac:dyDescent="0.25">
      <c r="A3181" s="311">
        <v>3178</v>
      </c>
      <c r="B3181" s="311" t="s">
        <v>125</v>
      </c>
      <c r="C3181" s="311" t="s">
        <v>125</v>
      </c>
      <c r="D3181" s="311" t="s">
        <v>125</v>
      </c>
      <c r="E3181" s="337" t="s">
        <v>125</v>
      </c>
      <c r="F3181" s="311" t="s">
        <v>304</v>
      </c>
      <c r="G3181" s="311" t="s">
        <v>237</v>
      </c>
      <c r="H3181" s="311" t="s">
        <v>416</v>
      </c>
      <c r="I3181" s="311" t="s">
        <v>66</v>
      </c>
      <c r="J3181" s="50" t="s">
        <v>1892</v>
      </c>
      <c r="K3181" s="50" t="s">
        <v>1892</v>
      </c>
      <c r="L3181" s="50" t="s">
        <v>1893</v>
      </c>
      <c r="M3181" s="50" t="s">
        <v>5762</v>
      </c>
      <c r="N3181" s="50" t="s">
        <v>5762</v>
      </c>
      <c r="O3181" s="50" t="s">
        <v>5762</v>
      </c>
      <c r="P3181" s="50" t="s">
        <v>5762</v>
      </c>
    </row>
    <row r="3182" spans="1:16" ht="12.75" customHeight="1" x14ac:dyDescent="0.25">
      <c r="A3182" s="311">
        <v>3179</v>
      </c>
      <c r="B3182" s="311" t="s">
        <v>134</v>
      </c>
      <c r="C3182" s="311" t="s">
        <v>134</v>
      </c>
      <c r="D3182" s="311" t="s">
        <v>134</v>
      </c>
      <c r="E3182" s="337" t="s">
        <v>134</v>
      </c>
      <c r="F3182" s="311" t="s">
        <v>304</v>
      </c>
      <c r="G3182" s="311" t="s">
        <v>237</v>
      </c>
      <c r="H3182" s="311" t="s">
        <v>416</v>
      </c>
      <c r="I3182" s="311" t="s">
        <v>66</v>
      </c>
      <c r="J3182" s="50" t="s">
        <v>1892</v>
      </c>
      <c r="K3182" s="50" t="s">
        <v>1892</v>
      </c>
      <c r="L3182" s="50" t="s">
        <v>1893</v>
      </c>
      <c r="M3182" s="50" t="s">
        <v>5763</v>
      </c>
      <c r="N3182" s="50" t="s">
        <v>5763</v>
      </c>
      <c r="O3182" s="50" t="s">
        <v>5763</v>
      </c>
      <c r="P3182" s="50" t="s">
        <v>5763</v>
      </c>
    </row>
    <row r="3183" spans="1:16" ht="12.75" customHeight="1" x14ac:dyDescent="0.25">
      <c r="A3183" s="311">
        <v>3180</v>
      </c>
      <c r="B3183" s="311" t="s">
        <v>141</v>
      </c>
      <c r="C3183" s="311" t="s">
        <v>141</v>
      </c>
      <c r="D3183" s="311" t="s">
        <v>141</v>
      </c>
      <c r="E3183" s="337" t="s">
        <v>141</v>
      </c>
      <c r="F3183" s="311" t="s">
        <v>304</v>
      </c>
      <c r="G3183" s="311" t="s">
        <v>237</v>
      </c>
      <c r="H3183" s="311" t="s">
        <v>416</v>
      </c>
      <c r="I3183" s="311" t="s">
        <v>66</v>
      </c>
      <c r="J3183" s="50" t="s">
        <v>1892</v>
      </c>
      <c r="K3183" s="50" t="s">
        <v>1892</v>
      </c>
      <c r="L3183" s="50" t="s">
        <v>1893</v>
      </c>
      <c r="M3183" s="50" t="s">
        <v>5764</v>
      </c>
      <c r="N3183" s="50" t="s">
        <v>5764</v>
      </c>
      <c r="O3183" s="50" t="s">
        <v>5764</v>
      </c>
      <c r="P3183" s="50" t="s">
        <v>5764</v>
      </c>
    </row>
    <row r="3184" spans="1:16" ht="12.75" customHeight="1" x14ac:dyDescent="0.25">
      <c r="A3184" s="311">
        <v>3181</v>
      </c>
      <c r="B3184" s="311" t="s">
        <v>69</v>
      </c>
      <c r="C3184" s="311" t="s">
        <v>69</v>
      </c>
      <c r="D3184" s="311" t="s">
        <v>69</v>
      </c>
      <c r="E3184" s="337" t="s">
        <v>69</v>
      </c>
      <c r="F3184" s="311" t="s">
        <v>304</v>
      </c>
      <c r="G3184" s="311" t="s">
        <v>237</v>
      </c>
      <c r="H3184" s="311" t="s">
        <v>416</v>
      </c>
      <c r="I3184" s="311" t="s">
        <v>66</v>
      </c>
      <c r="J3184" s="50" t="s">
        <v>1892</v>
      </c>
      <c r="K3184" s="50" t="s">
        <v>1892</v>
      </c>
      <c r="L3184" s="50" t="s">
        <v>1893</v>
      </c>
      <c r="M3184" s="50" t="s">
        <v>5765</v>
      </c>
      <c r="N3184" s="50" t="s">
        <v>5765</v>
      </c>
      <c r="O3184" s="50" t="s">
        <v>5765</v>
      </c>
      <c r="P3184" s="50" t="s">
        <v>5765</v>
      </c>
    </row>
    <row r="3185" spans="1:16" ht="12.75" customHeight="1" x14ac:dyDescent="0.25">
      <c r="A3185" s="311">
        <v>3182</v>
      </c>
      <c r="B3185" s="311" t="s">
        <v>72</v>
      </c>
      <c r="C3185" s="311" t="s">
        <v>462</v>
      </c>
      <c r="D3185" s="311" t="s">
        <v>462</v>
      </c>
      <c r="E3185" s="337" t="s">
        <v>462</v>
      </c>
      <c r="F3185" s="311" t="s">
        <v>177</v>
      </c>
      <c r="G3185" s="311" t="s">
        <v>236</v>
      </c>
      <c r="H3185" s="311" t="s">
        <v>391</v>
      </c>
      <c r="I3185" s="311" t="s">
        <v>56</v>
      </c>
      <c r="J3185" s="50" t="s">
        <v>1892</v>
      </c>
      <c r="K3185" s="50" t="s">
        <v>1892</v>
      </c>
      <c r="L3185" s="50" t="s">
        <v>1893</v>
      </c>
      <c r="M3185" s="50" t="s">
        <v>5766</v>
      </c>
      <c r="N3185" s="50" t="s">
        <v>5767</v>
      </c>
      <c r="O3185" s="50" t="s">
        <v>5767</v>
      </c>
      <c r="P3185" s="50" t="s">
        <v>5767</v>
      </c>
    </row>
    <row r="3186" spans="1:16" ht="12.75" customHeight="1" x14ac:dyDescent="0.25">
      <c r="A3186" s="311">
        <v>3183</v>
      </c>
      <c r="B3186" s="311" t="s">
        <v>99</v>
      </c>
      <c r="C3186" s="311" t="s">
        <v>462</v>
      </c>
      <c r="D3186" s="311" t="s">
        <v>462</v>
      </c>
      <c r="E3186" s="337" t="s">
        <v>462</v>
      </c>
      <c r="F3186" s="311" t="s">
        <v>177</v>
      </c>
      <c r="G3186" s="311" t="s">
        <v>236</v>
      </c>
      <c r="H3186" s="311" t="s">
        <v>391</v>
      </c>
      <c r="I3186" s="311" t="s">
        <v>56</v>
      </c>
      <c r="J3186" s="50" t="s">
        <v>1892</v>
      </c>
      <c r="K3186" s="50" t="s">
        <v>1892</v>
      </c>
      <c r="L3186" s="50" t="s">
        <v>1893</v>
      </c>
      <c r="M3186" s="50" t="s">
        <v>5768</v>
      </c>
      <c r="N3186" s="50" t="s">
        <v>5767</v>
      </c>
      <c r="O3186" s="50" t="s">
        <v>5767</v>
      </c>
      <c r="P3186" s="50" t="s">
        <v>5767</v>
      </c>
    </row>
    <row r="3187" spans="1:16" ht="12.75" customHeight="1" x14ac:dyDescent="0.25">
      <c r="A3187" s="311">
        <v>3184</v>
      </c>
      <c r="B3187" s="311" t="s">
        <v>60</v>
      </c>
      <c r="C3187" s="311" t="s">
        <v>462</v>
      </c>
      <c r="D3187" s="311" t="s">
        <v>462</v>
      </c>
      <c r="E3187" s="337" t="s">
        <v>462</v>
      </c>
      <c r="F3187" s="311" t="s">
        <v>177</v>
      </c>
      <c r="G3187" s="311" t="s">
        <v>236</v>
      </c>
      <c r="H3187" s="311" t="s">
        <v>391</v>
      </c>
      <c r="I3187" s="311" t="s">
        <v>56</v>
      </c>
      <c r="J3187" s="50" t="s">
        <v>1892</v>
      </c>
      <c r="K3187" s="50" t="s">
        <v>1892</v>
      </c>
      <c r="L3187" s="50" t="s">
        <v>1893</v>
      </c>
      <c r="M3187" s="50" t="s">
        <v>5769</v>
      </c>
      <c r="N3187" s="50" t="s">
        <v>5767</v>
      </c>
      <c r="O3187" s="50" t="s">
        <v>5767</v>
      </c>
      <c r="P3187" s="50" t="s">
        <v>5767</v>
      </c>
    </row>
    <row r="3188" spans="1:16" ht="12.75" customHeight="1" x14ac:dyDescent="0.25">
      <c r="A3188" s="311">
        <v>3185</v>
      </c>
      <c r="B3188" s="311" t="s">
        <v>94</v>
      </c>
      <c r="C3188" s="311" t="s">
        <v>462</v>
      </c>
      <c r="D3188" s="311" t="s">
        <v>462</v>
      </c>
      <c r="E3188" s="337" t="s">
        <v>462</v>
      </c>
      <c r="F3188" s="311" t="s">
        <v>177</v>
      </c>
      <c r="G3188" s="311" t="s">
        <v>236</v>
      </c>
      <c r="H3188" s="311" t="s">
        <v>391</v>
      </c>
      <c r="I3188" s="311" t="s">
        <v>56</v>
      </c>
      <c r="J3188" s="50" t="s">
        <v>1892</v>
      </c>
      <c r="K3188" s="50" t="s">
        <v>1892</v>
      </c>
      <c r="L3188" s="50" t="s">
        <v>1893</v>
      </c>
      <c r="M3188" s="50" t="s">
        <v>5770</v>
      </c>
      <c r="N3188" s="50" t="s">
        <v>5767</v>
      </c>
      <c r="O3188" s="50" t="s">
        <v>5767</v>
      </c>
      <c r="P3188" s="50" t="s">
        <v>5767</v>
      </c>
    </row>
    <row r="3189" spans="1:16" ht="12.75" customHeight="1" x14ac:dyDescent="0.25">
      <c r="A3189" s="311">
        <v>3186</v>
      </c>
      <c r="B3189" s="311" t="s">
        <v>84</v>
      </c>
      <c r="C3189" s="311" t="s">
        <v>462</v>
      </c>
      <c r="D3189" s="311" t="s">
        <v>462</v>
      </c>
      <c r="E3189" s="337" t="s">
        <v>462</v>
      </c>
      <c r="F3189" s="311" t="s">
        <v>177</v>
      </c>
      <c r="G3189" s="311" t="s">
        <v>236</v>
      </c>
      <c r="H3189" s="311" t="s">
        <v>391</v>
      </c>
      <c r="I3189" s="311" t="s">
        <v>56</v>
      </c>
      <c r="J3189" s="50" t="s">
        <v>1892</v>
      </c>
      <c r="K3189" s="50" t="s">
        <v>1892</v>
      </c>
      <c r="L3189" s="50" t="s">
        <v>1893</v>
      </c>
      <c r="M3189" s="50" t="s">
        <v>5771</v>
      </c>
      <c r="N3189" s="50" t="s">
        <v>5767</v>
      </c>
      <c r="O3189" s="50" t="s">
        <v>5767</v>
      </c>
      <c r="P3189" s="50" t="s">
        <v>5767</v>
      </c>
    </row>
    <row r="3190" spans="1:16" ht="12.75" customHeight="1" x14ac:dyDescent="0.25">
      <c r="A3190" s="311">
        <v>3187</v>
      </c>
      <c r="B3190" s="311" t="s">
        <v>123</v>
      </c>
      <c r="C3190" s="311" t="s">
        <v>462</v>
      </c>
      <c r="D3190" s="311" t="s">
        <v>462</v>
      </c>
      <c r="E3190" s="337" t="s">
        <v>462</v>
      </c>
      <c r="F3190" s="311" t="s">
        <v>177</v>
      </c>
      <c r="G3190" s="311" t="s">
        <v>236</v>
      </c>
      <c r="H3190" s="311" t="s">
        <v>391</v>
      </c>
      <c r="I3190" s="311" t="s">
        <v>56</v>
      </c>
      <c r="J3190" s="50" t="s">
        <v>1892</v>
      </c>
      <c r="K3190" s="50" t="s">
        <v>1892</v>
      </c>
      <c r="L3190" s="50" t="s">
        <v>1893</v>
      </c>
      <c r="M3190" s="50" t="s">
        <v>5772</v>
      </c>
      <c r="N3190" s="50" t="s">
        <v>5767</v>
      </c>
      <c r="O3190" s="50" t="s">
        <v>5767</v>
      </c>
      <c r="P3190" s="50" t="s">
        <v>5767</v>
      </c>
    </row>
    <row r="3191" spans="1:16" ht="12.75" customHeight="1" x14ac:dyDescent="0.25">
      <c r="A3191" s="311">
        <v>3188</v>
      </c>
      <c r="B3191" s="311" t="s">
        <v>75</v>
      </c>
      <c r="C3191" s="311" t="s">
        <v>462</v>
      </c>
      <c r="D3191" s="311" t="s">
        <v>462</v>
      </c>
      <c r="E3191" s="337" t="s">
        <v>462</v>
      </c>
      <c r="F3191" s="311" t="s">
        <v>177</v>
      </c>
      <c r="G3191" s="311" t="s">
        <v>236</v>
      </c>
      <c r="H3191" s="311" t="s">
        <v>391</v>
      </c>
      <c r="I3191" s="311" t="s">
        <v>56</v>
      </c>
      <c r="J3191" s="50" t="s">
        <v>1892</v>
      </c>
      <c r="K3191" s="50" t="s">
        <v>1892</v>
      </c>
      <c r="L3191" s="50" t="s">
        <v>1893</v>
      </c>
      <c r="M3191" s="50" t="s">
        <v>5773</v>
      </c>
      <c r="N3191" s="50" t="s">
        <v>5767</v>
      </c>
      <c r="O3191" s="50" t="s">
        <v>5767</v>
      </c>
      <c r="P3191" s="50" t="s">
        <v>5767</v>
      </c>
    </row>
    <row r="3192" spans="1:16" ht="12.75" customHeight="1" x14ac:dyDescent="0.25">
      <c r="A3192" s="311">
        <v>3189</v>
      </c>
      <c r="B3192" s="311" t="s">
        <v>72</v>
      </c>
      <c r="C3192" s="311" t="s">
        <v>462</v>
      </c>
      <c r="D3192" s="311" t="s">
        <v>462</v>
      </c>
      <c r="E3192" s="337" t="s">
        <v>462</v>
      </c>
      <c r="F3192" s="311" t="s">
        <v>177</v>
      </c>
      <c r="G3192" s="311" t="s">
        <v>23</v>
      </c>
      <c r="H3192" s="311" t="s">
        <v>391</v>
      </c>
      <c r="I3192" s="311" t="s">
        <v>56</v>
      </c>
      <c r="J3192" s="50" t="s">
        <v>1892</v>
      </c>
      <c r="K3192" s="50" t="s">
        <v>1892</v>
      </c>
      <c r="L3192" s="50" t="s">
        <v>1893</v>
      </c>
      <c r="M3192" s="50" t="s">
        <v>5774</v>
      </c>
      <c r="N3192" s="50" t="s">
        <v>5775</v>
      </c>
      <c r="O3192" s="50" t="s">
        <v>5775</v>
      </c>
      <c r="P3192" s="50" t="s">
        <v>5775</v>
      </c>
    </row>
    <row r="3193" spans="1:16" ht="12.75" customHeight="1" x14ac:dyDescent="0.25">
      <c r="A3193" s="311">
        <v>3190</v>
      </c>
      <c r="B3193" s="311" t="s">
        <v>99</v>
      </c>
      <c r="C3193" s="311" t="s">
        <v>462</v>
      </c>
      <c r="D3193" s="311" t="s">
        <v>462</v>
      </c>
      <c r="E3193" s="337" t="s">
        <v>462</v>
      </c>
      <c r="F3193" s="311" t="s">
        <v>177</v>
      </c>
      <c r="G3193" s="311" t="s">
        <v>23</v>
      </c>
      <c r="H3193" s="311" t="s">
        <v>391</v>
      </c>
      <c r="I3193" s="311" t="s">
        <v>56</v>
      </c>
      <c r="J3193" s="50" t="s">
        <v>1892</v>
      </c>
      <c r="K3193" s="50" t="s">
        <v>1892</v>
      </c>
      <c r="L3193" s="50" t="s">
        <v>1893</v>
      </c>
      <c r="M3193" s="50" t="s">
        <v>5776</v>
      </c>
      <c r="N3193" s="50" t="s">
        <v>5775</v>
      </c>
      <c r="O3193" s="50" t="s">
        <v>5775</v>
      </c>
      <c r="P3193" s="50" t="s">
        <v>5775</v>
      </c>
    </row>
    <row r="3194" spans="1:16" ht="12.75" customHeight="1" x14ac:dyDescent="0.25">
      <c r="A3194" s="311">
        <v>3191</v>
      </c>
      <c r="B3194" s="311" t="s">
        <v>60</v>
      </c>
      <c r="C3194" s="311" t="s">
        <v>462</v>
      </c>
      <c r="D3194" s="311" t="s">
        <v>462</v>
      </c>
      <c r="E3194" s="337" t="s">
        <v>462</v>
      </c>
      <c r="F3194" s="311" t="s">
        <v>177</v>
      </c>
      <c r="G3194" s="311" t="s">
        <v>23</v>
      </c>
      <c r="H3194" s="311" t="s">
        <v>391</v>
      </c>
      <c r="I3194" s="311" t="s">
        <v>56</v>
      </c>
      <c r="J3194" s="50" t="s">
        <v>1892</v>
      </c>
      <c r="K3194" s="50" t="s">
        <v>1892</v>
      </c>
      <c r="L3194" s="50" t="s">
        <v>1893</v>
      </c>
      <c r="M3194" s="50" t="s">
        <v>5777</v>
      </c>
      <c r="N3194" s="50" t="s">
        <v>5775</v>
      </c>
      <c r="O3194" s="50" t="s">
        <v>5775</v>
      </c>
      <c r="P3194" s="50" t="s">
        <v>5775</v>
      </c>
    </row>
    <row r="3195" spans="1:16" ht="12.75" customHeight="1" x14ac:dyDescent="0.25">
      <c r="A3195" s="311">
        <v>3192</v>
      </c>
      <c r="B3195" s="311" t="s">
        <v>94</v>
      </c>
      <c r="C3195" s="311" t="s">
        <v>462</v>
      </c>
      <c r="D3195" s="311" t="s">
        <v>462</v>
      </c>
      <c r="E3195" s="337" t="s">
        <v>462</v>
      </c>
      <c r="F3195" s="311" t="s">
        <v>177</v>
      </c>
      <c r="G3195" s="311" t="s">
        <v>23</v>
      </c>
      <c r="H3195" s="311" t="s">
        <v>391</v>
      </c>
      <c r="I3195" s="311" t="s">
        <v>56</v>
      </c>
      <c r="J3195" s="50" t="s">
        <v>1892</v>
      </c>
      <c r="K3195" s="50" t="s">
        <v>1892</v>
      </c>
      <c r="L3195" s="50" t="s">
        <v>1893</v>
      </c>
      <c r="M3195" s="50" t="s">
        <v>5778</v>
      </c>
      <c r="N3195" s="50" t="s">
        <v>5775</v>
      </c>
      <c r="O3195" s="50" t="s">
        <v>5775</v>
      </c>
      <c r="P3195" s="50" t="s">
        <v>5775</v>
      </c>
    </row>
    <row r="3196" spans="1:16" ht="12.75" customHeight="1" x14ac:dyDescent="0.25">
      <c r="A3196" s="311">
        <v>3193</v>
      </c>
      <c r="B3196" s="311" t="s">
        <v>84</v>
      </c>
      <c r="C3196" s="311" t="s">
        <v>462</v>
      </c>
      <c r="D3196" s="311" t="s">
        <v>462</v>
      </c>
      <c r="E3196" s="337" t="s">
        <v>462</v>
      </c>
      <c r="F3196" s="311" t="s">
        <v>177</v>
      </c>
      <c r="G3196" s="311" t="s">
        <v>23</v>
      </c>
      <c r="H3196" s="311" t="s">
        <v>391</v>
      </c>
      <c r="I3196" s="311" t="s">
        <v>56</v>
      </c>
      <c r="J3196" s="50" t="s">
        <v>1892</v>
      </c>
      <c r="K3196" s="50" t="s">
        <v>1892</v>
      </c>
      <c r="L3196" s="50" t="s">
        <v>1893</v>
      </c>
      <c r="M3196" s="50" t="s">
        <v>5779</v>
      </c>
      <c r="N3196" s="50" t="s">
        <v>5775</v>
      </c>
      <c r="O3196" s="50" t="s">
        <v>5775</v>
      </c>
      <c r="P3196" s="50" t="s">
        <v>5775</v>
      </c>
    </row>
    <row r="3197" spans="1:16" ht="12.75" customHeight="1" x14ac:dyDescent="0.25">
      <c r="A3197" s="311">
        <v>3194</v>
      </c>
      <c r="B3197" s="311" t="s">
        <v>123</v>
      </c>
      <c r="C3197" s="311" t="s">
        <v>462</v>
      </c>
      <c r="D3197" s="311" t="s">
        <v>462</v>
      </c>
      <c r="E3197" s="337" t="s">
        <v>462</v>
      </c>
      <c r="F3197" s="311" t="s">
        <v>177</v>
      </c>
      <c r="G3197" s="311" t="s">
        <v>23</v>
      </c>
      <c r="H3197" s="311" t="s">
        <v>391</v>
      </c>
      <c r="I3197" s="311" t="s">
        <v>56</v>
      </c>
      <c r="J3197" s="50" t="s">
        <v>1892</v>
      </c>
      <c r="K3197" s="50" t="s">
        <v>1892</v>
      </c>
      <c r="L3197" s="50" t="s">
        <v>1893</v>
      </c>
      <c r="M3197" s="50" t="s">
        <v>5780</v>
      </c>
      <c r="N3197" s="50" t="s">
        <v>5775</v>
      </c>
      <c r="O3197" s="50" t="s">
        <v>5775</v>
      </c>
      <c r="P3197" s="50" t="s">
        <v>5775</v>
      </c>
    </row>
    <row r="3198" spans="1:16" ht="12.75" customHeight="1" x14ac:dyDescent="0.25">
      <c r="A3198" s="311">
        <v>3195</v>
      </c>
      <c r="B3198" s="311" t="s">
        <v>75</v>
      </c>
      <c r="C3198" s="311" t="s">
        <v>462</v>
      </c>
      <c r="D3198" s="311" t="s">
        <v>462</v>
      </c>
      <c r="E3198" s="337" t="s">
        <v>462</v>
      </c>
      <c r="F3198" s="311" t="s">
        <v>177</v>
      </c>
      <c r="G3198" s="311" t="s">
        <v>23</v>
      </c>
      <c r="H3198" s="311" t="s">
        <v>391</v>
      </c>
      <c r="I3198" s="311" t="s">
        <v>56</v>
      </c>
      <c r="J3198" s="50" t="s">
        <v>1892</v>
      </c>
      <c r="K3198" s="50" t="s">
        <v>1892</v>
      </c>
      <c r="L3198" s="50" t="s">
        <v>1893</v>
      </c>
      <c r="M3198" s="50" t="s">
        <v>5781</v>
      </c>
      <c r="N3198" s="50" t="s">
        <v>5775</v>
      </c>
      <c r="O3198" s="50" t="s">
        <v>5775</v>
      </c>
      <c r="P3198" s="50" t="s">
        <v>5775</v>
      </c>
    </row>
    <row r="3199" spans="1:16" ht="12.75" customHeight="1" x14ac:dyDescent="0.25">
      <c r="A3199" s="311">
        <v>3196</v>
      </c>
      <c r="B3199" s="311" t="s">
        <v>72</v>
      </c>
      <c r="C3199" s="311" t="s">
        <v>462</v>
      </c>
      <c r="D3199" s="311" t="s">
        <v>462</v>
      </c>
      <c r="E3199" s="337" t="s">
        <v>462</v>
      </c>
      <c r="F3199" s="311" t="s">
        <v>177</v>
      </c>
      <c r="G3199" s="311" t="s">
        <v>237</v>
      </c>
      <c r="H3199" s="311" t="s">
        <v>391</v>
      </c>
      <c r="I3199" s="311" t="s">
        <v>56</v>
      </c>
      <c r="J3199" s="50" t="s">
        <v>1892</v>
      </c>
      <c r="K3199" s="50" t="s">
        <v>1892</v>
      </c>
      <c r="L3199" s="50" t="s">
        <v>1893</v>
      </c>
      <c r="M3199" s="50" t="s">
        <v>5782</v>
      </c>
      <c r="N3199" s="50" t="s">
        <v>5783</v>
      </c>
      <c r="O3199" s="50" t="s">
        <v>5783</v>
      </c>
      <c r="P3199" s="50" t="s">
        <v>5783</v>
      </c>
    </row>
    <row r="3200" spans="1:16" ht="12.75" customHeight="1" x14ac:dyDescent="0.25">
      <c r="A3200" s="311">
        <v>3197</v>
      </c>
      <c r="B3200" s="311" t="s">
        <v>99</v>
      </c>
      <c r="C3200" s="311" t="s">
        <v>462</v>
      </c>
      <c r="D3200" s="311" t="s">
        <v>462</v>
      </c>
      <c r="E3200" s="337" t="s">
        <v>462</v>
      </c>
      <c r="F3200" s="311" t="s">
        <v>177</v>
      </c>
      <c r="G3200" s="311" t="s">
        <v>237</v>
      </c>
      <c r="H3200" s="311" t="s">
        <v>391</v>
      </c>
      <c r="I3200" s="311" t="s">
        <v>56</v>
      </c>
      <c r="J3200" s="50" t="s">
        <v>1892</v>
      </c>
      <c r="K3200" s="50" t="s">
        <v>1892</v>
      </c>
      <c r="L3200" s="50" t="s">
        <v>1893</v>
      </c>
      <c r="M3200" s="50" t="s">
        <v>5784</v>
      </c>
      <c r="N3200" s="50" t="s">
        <v>5783</v>
      </c>
      <c r="O3200" s="50" t="s">
        <v>5783</v>
      </c>
      <c r="P3200" s="50" t="s">
        <v>5783</v>
      </c>
    </row>
    <row r="3201" spans="1:16" ht="12.75" customHeight="1" x14ac:dyDescent="0.25">
      <c r="A3201" s="311">
        <v>3198</v>
      </c>
      <c r="B3201" s="311" t="s">
        <v>60</v>
      </c>
      <c r="C3201" s="311" t="s">
        <v>462</v>
      </c>
      <c r="D3201" s="311" t="s">
        <v>462</v>
      </c>
      <c r="E3201" s="337" t="s">
        <v>462</v>
      </c>
      <c r="F3201" s="311" t="s">
        <v>177</v>
      </c>
      <c r="G3201" s="311" t="s">
        <v>237</v>
      </c>
      <c r="H3201" s="311" t="s">
        <v>391</v>
      </c>
      <c r="I3201" s="311" t="s">
        <v>56</v>
      </c>
      <c r="J3201" s="50" t="s">
        <v>1892</v>
      </c>
      <c r="K3201" s="50" t="s">
        <v>1892</v>
      </c>
      <c r="L3201" s="50" t="s">
        <v>1893</v>
      </c>
      <c r="M3201" s="50" t="s">
        <v>5785</v>
      </c>
      <c r="N3201" s="50" t="s">
        <v>5783</v>
      </c>
      <c r="O3201" s="50" t="s">
        <v>5783</v>
      </c>
      <c r="P3201" s="50" t="s">
        <v>5783</v>
      </c>
    </row>
    <row r="3202" spans="1:16" ht="12.75" customHeight="1" x14ac:dyDescent="0.25">
      <c r="A3202" s="311">
        <v>3199</v>
      </c>
      <c r="B3202" s="311" t="s">
        <v>94</v>
      </c>
      <c r="C3202" s="311" t="s">
        <v>462</v>
      </c>
      <c r="D3202" s="311" t="s">
        <v>462</v>
      </c>
      <c r="E3202" s="337" t="s">
        <v>462</v>
      </c>
      <c r="F3202" s="311" t="s">
        <v>177</v>
      </c>
      <c r="G3202" s="311" t="s">
        <v>237</v>
      </c>
      <c r="H3202" s="311" t="s">
        <v>391</v>
      </c>
      <c r="I3202" s="311" t="s">
        <v>56</v>
      </c>
      <c r="J3202" s="50" t="s">
        <v>1892</v>
      </c>
      <c r="K3202" s="50" t="s">
        <v>1892</v>
      </c>
      <c r="L3202" s="50" t="s">
        <v>1893</v>
      </c>
      <c r="M3202" s="50" t="s">
        <v>5786</v>
      </c>
      <c r="N3202" s="50" t="s">
        <v>5783</v>
      </c>
      <c r="O3202" s="50" t="s">
        <v>5783</v>
      </c>
      <c r="P3202" s="50" t="s">
        <v>5783</v>
      </c>
    </row>
    <row r="3203" spans="1:16" ht="12.75" customHeight="1" x14ac:dyDescent="0.25">
      <c r="A3203" s="311">
        <v>3200</v>
      </c>
      <c r="B3203" s="311" t="s">
        <v>84</v>
      </c>
      <c r="C3203" s="311" t="s">
        <v>462</v>
      </c>
      <c r="D3203" s="311" t="s">
        <v>462</v>
      </c>
      <c r="E3203" s="337" t="s">
        <v>462</v>
      </c>
      <c r="F3203" s="311" t="s">
        <v>177</v>
      </c>
      <c r="G3203" s="311" t="s">
        <v>237</v>
      </c>
      <c r="H3203" s="311" t="s">
        <v>391</v>
      </c>
      <c r="I3203" s="311" t="s">
        <v>56</v>
      </c>
      <c r="J3203" s="50" t="s">
        <v>1892</v>
      </c>
      <c r="K3203" s="50" t="s">
        <v>1892</v>
      </c>
      <c r="L3203" s="50" t="s">
        <v>1893</v>
      </c>
      <c r="M3203" s="50" t="s">
        <v>5787</v>
      </c>
      <c r="N3203" s="50" t="s">
        <v>5783</v>
      </c>
      <c r="O3203" s="50" t="s">
        <v>5783</v>
      </c>
      <c r="P3203" s="50" t="s">
        <v>5783</v>
      </c>
    </row>
    <row r="3204" spans="1:16" ht="12.75" customHeight="1" x14ac:dyDescent="0.25">
      <c r="A3204" s="311">
        <v>3201</v>
      </c>
      <c r="B3204" s="311" t="s">
        <v>123</v>
      </c>
      <c r="C3204" s="311" t="s">
        <v>462</v>
      </c>
      <c r="D3204" s="311" t="s">
        <v>462</v>
      </c>
      <c r="E3204" s="337" t="s">
        <v>462</v>
      </c>
      <c r="F3204" s="311" t="s">
        <v>177</v>
      </c>
      <c r="G3204" s="311" t="s">
        <v>237</v>
      </c>
      <c r="H3204" s="311" t="s">
        <v>391</v>
      </c>
      <c r="I3204" s="311" t="s">
        <v>56</v>
      </c>
      <c r="J3204" s="50" t="s">
        <v>1892</v>
      </c>
      <c r="K3204" s="50" t="s">
        <v>1892</v>
      </c>
      <c r="L3204" s="50" t="s">
        <v>1893</v>
      </c>
      <c r="M3204" s="50" t="s">
        <v>5788</v>
      </c>
      <c r="N3204" s="50" t="s">
        <v>5783</v>
      </c>
      <c r="O3204" s="50" t="s">
        <v>5783</v>
      </c>
      <c r="P3204" s="50" t="s">
        <v>5783</v>
      </c>
    </row>
    <row r="3205" spans="1:16" ht="12.75" customHeight="1" x14ac:dyDescent="0.25">
      <c r="A3205" s="311">
        <v>3202</v>
      </c>
      <c r="B3205" s="311" t="s">
        <v>75</v>
      </c>
      <c r="C3205" s="311" t="s">
        <v>462</v>
      </c>
      <c r="D3205" s="311" t="s">
        <v>462</v>
      </c>
      <c r="E3205" s="337" t="s">
        <v>462</v>
      </c>
      <c r="F3205" s="311" t="s">
        <v>177</v>
      </c>
      <c r="G3205" s="311" t="s">
        <v>237</v>
      </c>
      <c r="H3205" s="311" t="s">
        <v>391</v>
      </c>
      <c r="I3205" s="311" t="s">
        <v>56</v>
      </c>
      <c r="J3205" s="50" t="s">
        <v>1892</v>
      </c>
      <c r="K3205" s="50" t="s">
        <v>1892</v>
      </c>
      <c r="L3205" s="50" t="s">
        <v>1893</v>
      </c>
      <c r="M3205" s="50" t="s">
        <v>5789</v>
      </c>
      <c r="N3205" s="50" t="s">
        <v>5783</v>
      </c>
      <c r="O3205" s="50" t="s">
        <v>5783</v>
      </c>
      <c r="P3205" s="50" t="s">
        <v>5783</v>
      </c>
    </row>
    <row r="3206" spans="1:16" ht="12.75" customHeight="1" x14ac:dyDescent="0.25">
      <c r="A3206" s="311">
        <v>3203</v>
      </c>
      <c r="B3206" s="311" t="s">
        <v>72</v>
      </c>
      <c r="C3206" s="311" t="s">
        <v>462</v>
      </c>
      <c r="D3206" s="311" t="s">
        <v>462</v>
      </c>
      <c r="E3206" s="337" t="s">
        <v>462</v>
      </c>
      <c r="F3206" s="311" t="s">
        <v>258</v>
      </c>
      <c r="G3206" s="311" t="s">
        <v>236</v>
      </c>
      <c r="H3206" s="311" t="s">
        <v>354</v>
      </c>
      <c r="I3206" s="311" t="s">
        <v>56</v>
      </c>
      <c r="J3206" s="50" t="s">
        <v>1892</v>
      </c>
      <c r="K3206" s="50" t="s">
        <v>1892</v>
      </c>
      <c r="L3206" s="50" t="s">
        <v>1893</v>
      </c>
      <c r="M3206" s="50" t="s">
        <v>5790</v>
      </c>
      <c r="N3206" s="50" t="s">
        <v>5791</v>
      </c>
      <c r="O3206" s="50" t="s">
        <v>5791</v>
      </c>
      <c r="P3206" s="50" t="s">
        <v>5791</v>
      </c>
    </row>
    <row r="3207" spans="1:16" ht="12.75" customHeight="1" x14ac:dyDescent="0.25">
      <c r="A3207" s="311">
        <v>3204</v>
      </c>
      <c r="B3207" s="311" t="s">
        <v>99</v>
      </c>
      <c r="C3207" s="311" t="s">
        <v>462</v>
      </c>
      <c r="D3207" s="311" t="s">
        <v>462</v>
      </c>
      <c r="E3207" s="337" t="s">
        <v>462</v>
      </c>
      <c r="F3207" s="311" t="s">
        <v>258</v>
      </c>
      <c r="G3207" s="311" t="s">
        <v>236</v>
      </c>
      <c r="H3207" s="311" t="s">
        <v>354</v>
      </c>
      <c r="I3207" s="311" t="s">
        <v>56</v>
      </c>
      <c r="J3207" s="50" t="s">
        <v>1892</v>
      </c>
      <c r="K3207" s="50" t="s">
        <v>1892</v>
      </c>
      <c r="L3207" s="50" t="s">
        <v>1893</v>
      </c>
      <c r="M3207" s="50" t="s">
        <v>5792</v>
      </c>
      <c r="N3207" s="50" t="s">
        <v>5791</v>
      </c>
      <c r="O3207" s="50" t="s">
        <v>5791</v>
      </c>
      <c r="P3207" s="50" t="s">
        <v>5791</v>
      </c>
    </row>
    <row r="3208" spans="1:16" ht="12.75" customHeight="1" x14ac:dyDescent="0.25">
      <c r="A3208" s="311">
        <v>3205</v>
      </c>
      <c r="B3208" s="311" t="s">
        <v>60</v>
      </c>
      <c r="C3208" s="311" t="s">
        <v>462</v>
      </c>
      <c r="D3208" s="311" t="s">
        <v>462</v>
      </c>
      <c r="E3208" s="337" t="s">
        <v>462</v>
      </c>
      <c r="F3208" s="311" t="s">
        <v>258</v>
      </c>
      <c r="G3208" s="311" t="s">
        <v>236</v>
      </c>
      <c r="H3208" s="311" t="s">
        <v>354</v>
      </c>
      <c r="I3208" s="311" t="s">
        <v>56</v>
      </c>
      <c r="J3208" s="50" t="s">
        <v>1892</v>
      </c>
      <c r="K3208" s="50" t="s">
        <v>1892</v>
      </c>
      <c r="L3208" s="50" t="s">
        <v>1893</v>
      </c>
      <c r="M3208" s="50" t="s">
        <v>5793</v>
      </c>
      <c r="N3208" s="50" t="s">
        <v>5791</v>
      </c>
      <c r="O3208" s="50" t="s">
        <v>5791</v>
      </c>
      <c r="P3208" s="50" t="s">
        <v>5791</v>
      </c>
    </row>
    <row r="3209" spans="1:16" ht="12.75" customHeight="1" x14ac:dyDescent="0.25">
      <c r="A3209" s="311">
        <v>3206</v>
      </c>
      <c r="B3209" s="311" t="s">
        <v>94</v>
      </c>
      <c r="C3209" s="311" t="s">
        <v>462</v>
      </c>
      <c r="D3209" s="311" t="s">
        <v>462</v>
      </c>
      <c r="E3209" s="337" t="s">
        <v>462</v>
      </c>
      <c r="F3209" s="311" t="s">
        <v>258</v>
      </c>
      <c r="G3209" s="311" t="s">
        <v>236</v>
      </c>
      <c r="H3209" s="311" t="s">
        <v>354</v>
      </c>
      <c r="I3209" s="311" t="s">
        <v>56</v>
      </c>
      <c r="J3209" s="50" t="s">
        <v>1892</v>
      </c>
      <c r="K3209" s="50" t="s">
        <v>1892</v>
      </c>
      <c r="L3209" s="50" t="s">
        <v>1893</v>
      </c>
      <c r="M3209" s="50" t="s">
        <v>5794</v>
      </c>
      <c r="N3209" s="50" t="s">
        <v>5791</v>
      </c>
      <c r="O3209" s="50" t="s">
        <v>5791</v>
      </c>
      <c r="P3209" s="50" t="s">
        <v>5791</v>
      </c>
    </row>
    <row r="3210" spans="1:16" ht="12.75" customHeight="1" x14ac:dyDescent="0.25">
      <c r="A3210" s="311">
        <v>3207</v>
      </c>
      <c r="B3210" s="311" t="s">
        <v>84</v>
      </c>
      <c r="C3210" s="311" t="s">
        <v>462</v>
      </c>
      <c r="D3210" s="311" t="s">
        <v>462</v>
      </c>
      <c r="E3210" s="337" t="s">
        <v>462</v>
      </c>
      <c r="F3210" s="311" t="s">
        <v>258</v>
      </c>
      <c r="G3210" s="311" t="s">
        <v>236</v>
      </c>
      <c r="H3210" s="311" t="s">
        <v>354</v>
      </c>
      <c r="I3210" s="311" t="s">
        <v>56</v>
      </c>
      <c r="J3210" s="50" t="s">
        <v>1892</v>
      </c>
      <c r="K3210" s="50" t="s">
        <v>1892</v>
      </c>
      <c r="L3210" s="50" t="s">
        <v>1893</v>
      </c>
      <c r="M3210" s="50" t="s">
        <v>5795</v>
      </c>
      <c r="N3210" s="50" t="s">
        <v>5791</v>
      </c>
      <c r="O3210" s="50" t="s">
        <v>5791</v>
      </c>
      <c r="P3210" s="50" t="s">
        <v>5791</v>
      </c>
    </row>
    <row r="3211" spans="1:16" ht="12.75" customHeight="1" x14ac:dyDescent="0.25">
      <c r="A3211" s="311">
        <v>3208</v>
      </c>
      <c r="B3211" s="311" t="s">
        <v>123</v>
      </c>
      <c r="C3211" s="311" t="s">
        <v>462</v>
      </c>
      <c r="D3211" s="311" t="s">
        <v>462</v>
      </c>
      <c r="E3211" s="337" t="s">
        <v>462</v>
      </c>
      <c r="F3211" s="311" t="s">
        <v>258</v>
      </c>
      <c r="G3211" s="311" t="s">
        <v>236</v>
      </c>
      <c r="H3211" s="311" t="s">
        <v>354</v>
      </c>
      <c r="I3211" s="311" t="s">
        <v>56</v>
      </c>
      <c r="J3211" s="50" t="s">
        <v>1892</v>
      </c>
      <c r="K3211" s="50" t="s">
        <v>1892</v>
      </c>
      <c r="L3211" s="50" t="s">
        <v>1893</v>
      </c>
      <c r="M3211" s="50" t="s">
        <v>5796</v>
      </c>
      <c r="N3211" s="50" t="s">
        <v>5791</v>
      </c>
      <c r="O3211" s="50" t="s">
        <v>5791</v>
      </c>
      <c r="P3211" s="50" t="s">
        <v>5791</v>
      </c>
    </row>
    <row r="3212" spans="1:16" ht="12.75" customHeight="1" x14ac:dyDescent="0.25">
      <c r="A3212" s="311">
        <v>3209</v>
      </c>
      <c r="B3212" s="311" t="s">
        <v>75</v>
      </c>
      <c r="C3212" s="311" t="s">
        <v>462</v>
      </c>
      <c r="D3212" s="311" t="s">
        <v>462</v>
      </c>
      <c r="E3212" s="337" t="s">
        <v>462</v>
      </c>
      <c r="F3212" s="311" t="s">
        <v>258</v>
      </c>
      <c r="G3212" s="311" t="s">
        <v>236</v>
      </c>
      <c r="H3212" s="311" t="s">
        <v>354</v>
      </c>
      <c r="I3212" s="311" t="s">
        <v>56</v>
      </c>
      <c r="J3212" s="50" t="s">
        <v>1892</v>
      </c>
      <c r="K3212" s="50" t="s">
        <v>1892</v>
      </c>
      <c r="L3212" s="50" t="s">
        <v>1893</v>
      </c>
      <c r="M3212" s="50" t="s">
        <v>5797</v>
      </c>
      <c r="N3212" s="50" t="s">
        <v>5791</v>
      </c>
      <c r="O3212" s="50" t="s">
        <v>5791</v>
      </c>
      <c r="P3212" s="50" t="s">
        <v>5791</v>
      </c>
    </row>
    <row r="3213" spans="1:16" ht="12.75" customHeight="1" x14ac:dyDescent="0.25">
      <c r="A3213" s="311">
        <v>3210</v>
      </c>
      <c r="B3213" s="311" t="s">
        <v>72</v>
      </c>
      <c r="C3213" s="311" t="s">
        <v>462</v>
      </c>
      <c r="D3213" s="311" t="s">
        <v>462</v>
      </c>
      <c r="E3213" s="337" t="s">
        <v>462</v>
      </c>
      <c r="F3213" s="311" t="s">
        <v>258</v>
      </c>
      <c r="G3213" s="311" t="s">
        <v>23</v>
      </c>
      <c r="H3213" s="311" t="s">
        <v>354</v>
      </c>
      <c r="I3213" s="311" t="s">
        <v>56</v>
      </c>
      <c r="J3213" s="50" t="s">
        <v>1892</v>
      </c>
      <c r="K3213" s="50" t="s">
        <v>1892</v>
      </c>
      <c r="L3213" s="50" t="s">
        <v>1893</v>
      </c>
      <c r="M3213" s="50" t="s">
        <v>5798</v>
      </c>
      <c r="N3213" s="50" t="s">
        <v>5799</v>
      </c>
      <c r="O3213" s="50" t="s">
        <v>5799</v>
      </c>
      <c r="P3213" s="50" t="s">
        <v>5799</v>
      </c>
    </row>
    <row r="3214" spans="1:16" ht="12.75" customHeight="1" x14ac:dyDescent="0.25">
      <c r="A3214" s="311">
        <v>3211</v>
      </c>
      <c r="B3214" s="311" t="s">
        <v>99</v>
      </c>
      <c r="C3214" s="311" t="s">
        <v>462</v>
      </c>
      <c r="D3214" s="311" t="s">
        <v>462</v>
      </c>
      <c r="E3214" s="337" t="s">
        <v>462</v>
      </c>
      <c r="F3214" s="311" t="s">
        <v>258</v>
      </c>
      <c r="G3214" s="311" t="s">
        <v>23</v>
      </c>
      <c r="H3214" s="311" t="s">
        <v>354</v>
      </c>
      <c r="I3214" s="311" t="s">
        <v>56</v>
      </c>
      <c r="J3214" s="50" t="s">
        <v>1892</v>
      </c>
      <c r="K3214" s="50" t="s">
        <v>1892</v>
      </c>
      <c r="L3214" s="50" t="s">
        <v>1893</v>
      </c>
      <c r="M3214" s="50" t="s">
        <v>5800</v>
      </c>
      <c r="N3214" s="50" t="s">
        <v>5799</v>
      </c>
      <c r="O3214" s="50" t="s">
        <v>5799</v>
      </c>
      <c r="P3214" s="50" t="s">
        <v>5799</v>
      </c>
    </row>
    <row r="3215" spans="1:16" ht="12.75" customHeight="1" x14ac:dyDescent="0.25">
      <c r="A3215" s="311">
        <v>3212</v>
      </c>
      <c r="B3215" s="311" t="s">
        <v>60</v>
      </c>
      <c r="C3215" s="311" t="s">
        <v>462</v>
      </c>
      <c r="D3215" s="311" t="s">
        <v>462</v>
      </c>
      <c r="E3215" s="337" t="s">
        <v>462</v>
      </c>
      <c r="F3215" s="311" t="s">
        <v>258</v>
      </c>
      <c r="G3215" s="311" t="s">
        <v>23</v>
      </c>
      <c r="H3215" s="311" t="s">
        <v>354</v>
      </c>
      <c r="I3215" s="311" t="s">
        <v>56</v>
      </c>
      <c r="J3215" s="50" t="s">
        <v>1892</v>
      </c>
      <c r="K3215" s="50" t="s">
        <v>1892</v>
      </c>
      <c r="L3215" s="50" t="s">
        <v>1893</v>
      </c>
      <c r="M3215" s="50" t="s">
        <v>5801</v>
      </c>
      <c r="N3215" s="50" t="s">
        <v>5799</v>
      </c>
      <c r="O3215" s="50" t="s">
        <v>5799</v>
      </c>
      <c r="P3215" s="50" t="s">
        <v>5799</v>
      </c>
    </row>
    <row r="3216" spans="1:16" ht="12.75" customHeight="1" x14ac:dyDescent="0.25">
      <c r="A3216" s="311">
        <v>3213</v>
      </c>
      <c r="B3216" s="311" t="s">
        <v>94</v>
      </c>
      <c r="C3216" s="311" t="s">
        <v>462</v>
      </c>
      <c r="D3216" s="311" t="s">
        <v>462</v>
      </c>
      <c r="E3216" s="337" t="s">
        <v>462</v>
      </c>
      <c r="F3216" s="311" t="s">
        <v>258</v>
      </c>
      <c r="G3216" s="311" t="s">
        <v>23</v>
      </c>
      <c r="H3216" s="311" t="s">
        <v>354</v>
      </c>
      <c r="I3216" s="311" t="s">
        <v>56</v>
      </c>
      <c r="J3216" s="50" t="s">
        <v>1892</v>
      </c>
      <c r="K3216" s="50" t="s">
        <v>1892</v>
      </c>
      <c r="L3216" s="50" t="s">
        <v>1893</v>
      </c>
      <c r="M3216" s="50" t="s">
        <v>5802</v>
      </c>
      <c r="N3216" s="50" t="s">
        <v>5799</v>
      </c>
      <c r="O3216" s="50" t="s">
        <v>5799</v>
      </c>
      <c r="P3216" s="50" t="s">
        <v>5799</v>
      </c>
    </row>
    <row r="3217" spans="1:16" ht="12.75" customHeight="1" x14ac:dyDescent="0.25">
      <c r="A3217" s="311">
        <v>3214</v>
      </c>
      <c r="B3217" s="311" t="s">
        <v>84</v>
      </c>
      <c r="C3217" s="311" t="s">
        <v>462</v>
      </c>
      <c r="D3217" s="311" t="s">
        <v>462</v>
      </c>
      <c r="E3217" s="337" t="s">
        <v>462</v>
      </c>
      <c r="F3217" s="311" t="s">
        <v>258</v>
      </c>
      <c r="G3217" s="311" t="s">
        <v>23</v>
      </c>
      <c r="H3217" s="311" t="s">
        <v>354</v>
      </c>
      <c r="I3217" s="311" t="s">
        <v>56</v>
      </c>
      <c r="J3217" s="50" t="s">
        <v>1892</v>
      </c>
      <c r="K3217" s="50" t="s">
        <v>1892</v>
      </c>
      <c r="L3217" s="50" t="s">
        <v>1893</v>
      </c>
      <c r="M3217" s="50" t="s">
        <v>5803</v>
      </c>
      <c r="N3217" s="50" t="s">
        <v>5799</v>
      </c>
      <c r="O3217" s="50" t="s">
        <v>5799</v>
      </c>
      <c r="P3217" s="50" t="s">
        <v>5799</v>
      </c>
    </row>
    <row r="3218" spans="1:16" ht="12.75" customHeight="1" x14ac:dyDescent="0.25">
      <c r="A3218" s="311">
        <v>3215</v>
      </c>
      <c r="B3218" s="311" t="s">
        <v>123</v>
      </c>
      <c r="C3218" s="311" t="s">
        <v>462</v>
      </c>
      <c r="D3218" s="311" t="s">
        <v>462</v>
      </c>
      <c r="E3218" s="337" t="s">
        <v>462</v>
      </c>
      <c r="F3218" s="311" t="s">
        <v>258</v>
      </c>
      <c r="G3218" s="311" t="s">
        <v>23</v>
      </c>
      <c r="H3218" s="311" t="s">
        <v>354</v>
      </c>
      <c r="I3218" s="311" t="s">
        <v>56</v>
      </c>
      <c r="J3218" s="50" t="s">
        <v>1892</v>
      </c>
      <c r="K3218" s="50" t="s">
        <v>1892</v>
      </c>
      <c r="L3218" s="50" t="s">
        <v>1893</v>
      </c>
      <c r="M3218" s="50" t="s">
        <v>5804</v>
      </c>
      <c r="N3218" s="50" t="s">
        <v>5799</v>
      </c>
      <c r="O3218" s="50" t="s">
        <v>5799</v>
      </c>
      <c r="P3218" s="50" t="s">
        <v>5799</v>
      </c>
    </row>
    <row r="3219" spans="1:16" ht="12.75" customHeight="1" x14ac:dyDescent="0.25">
      <c r="A3219" s="311">
        <v>3216</v>
      </c>
      <c r="B3219" s="311" t="s">
        <v>75</v>
      </c>
      <c r="C3219" s="311" t="s">
        <v>462</v>
      </c>
      <c r="D3219" s="311" t="s">
        <v>462</v>
      </c>
      <c r="E3219" s="337" t="s">
        <v>462</v>
      </c>
      <c r="F3219" s="311" t="s">
        <v>258</v>
      </c>
      <c r="G3219" s="311" t="s">
        <v>23</v>
      </c>
      <c r="H3219" s="311" t="s">
        <v>354</v>
      </c>
      <c r="I3219" s="311" t="s">
        <v>56</v>
      </c>
      <c r="J3219" s="50" t="s">
        <v>1892</v>
      </c>
      <c r="K3219" s="50" t="s">
        <v>1892</v>
      </c>
      <c r="L3219" s="50" t="s">
        <v>1893</v>
      </c>
      <c r="M3219" s="50" t="s">
        <v>5805</v>
      </c>
      <c r="N3219" s="50" t="s">
        <v>5799</v>
      </c>
      <c r="O3219" s="50" t="s">
        <v>5799</v>
      </c>
      <c r="P3219" s="50" t="s">
        <v>5799</v>
      </c>
    </row>
    <row r="3220" spans="1:16" ht="12.75" customHeight="1" x14ac:dyDescent="0.25">
      <c r="A3220" s="311">
        <v>3217</v>
      </c>
      <c r="B3220" s="311" t="s">
        <v>72</v>
      </c>
      <c r="C3220" s="311" t="s">
        <v>462</v>
      </c>
      <c r="D3220" s="311" t="s">
        <v>462</v>
      </c>
      <c r="E3220" s="337" t="s">
        <v>462</v>
      </c>
      <c r="F3220" s="311" t="s">
        <v>258</v>
      </c>
      <c r="G3220" s="311" t="s">
        <v>237</v>
      </c>
      <c r="H3220" s="311" t="s">
        <v>354</v>
      </c>
      <c r="I3220" s="311" t="s">
        <v>56</v>
      </c>
      <c r="J3220" s="50" t="s">
        <v>1892</v>
      </c>
      <c r="K3220" s="50" t="s">
        <v>1892</v>
      </c>
      <c r="L3220" s="50" t="s">
        <v>1893</v>
      </c>
      <c r="M3220" s="50" t="s">
        <v>5806</v>
      </c>
      <c r="N3220" s="50" t="s">
        <v>5807</v>
      </c>
      <c r="O3220" s="50" t="s">
        <v>5807</v>
      </c>
      <c r="P3220" s="50" t="s">
        <v>5807</v>
      </c>
    </row>
    <row r="3221" spans="1:16" ht="12.75" customHeight="1" x14ac:dyDescent="0.25">
      <c r="A3221" s="311">
        <v>3218</v>
      </c>
      <c r="B3221" s="311" t="s">
        <v>99</v>
      </c>
      <c r="C3221" s="311" t="s">
        <v>462</v>
      </c>
      <c r="D3221" s="311" t="s">
        <v>462</v>
      </c>
      <c r="E3221" s="337" t="s">
        <v>462</v>
      </c>
      <c r="F3221" s="311" t="s">
        <v>258</v>
      </c>
      <c r="G3221" s="311" t="s">
        <v>237</v>
      </c>
      <c r="H3221" s="311" t="s">
        <v>354</v>
      </c>
      <c r="I3221" s="311" t="s">
        <v>56</v>
      </c>
      <c r="J3221" s="50" t="s">
        <v>1892</v>
      </c>
      <c r="K3221" s="50" t="s">
        <v>1892</v>
      </c>
      <c r="L3221" s="50" t="s">
        <v>1893</v>
      </c>
      <c r="M3221" s="50" t="s">
        <v>5808</v>
      </c>
      <c r="N3221" s="50" t="s">
        <v>5807</v>
      </c>
      <c r="O3221" s="50" t="s">
        <v>5807</v>
      </c>
      <c r="P3221" s="50" t="s">
        <v>5807</v>
      </c>
    </row>
    <row r="3222" spans="1:16" ht="12.75" customHeight="1" x14ac:dyDescent="0.25">
      <c r="A3222" s="311">
        <v>3219</v>
      </c>
      <c r="B3222" s="311" t="s">
        <v>60</v>
      </c>
      <c r="C3222" s="311" t="s">
        <v>462</v>
      </c>
      <c r="D3222" s="311" t="s">
        <v>462</v>
      </c>
      <c r="E3222" s="337" t="s">
        <v>462</v>
      </c>
      <c r="F3222" s="311" t="s">
        <v>258</v>
      </c>
      <c r="G3222" s="311" t="s">
        <v>237</v>
      </c>
      <c r="H3222" s="311" t="s">
        <v>354</v>
      </c>
      <c r="I3222" s="311" t="s">
        <v>56</v>
      </c>
      <c r="J3222" s="50" t="s">
        <v>1892</v>
      </c>
      <c r="K3222" s="50" t="s">
        <v>1892</v>
      </c>
      <c r="L3222" s="50" t="s">
        <v>1893</v>
      </c>
      <c r="M3222" s="50" t="s">
        <v>5809</v>
      </c>
      <c r="N3222" s="50" t="s">
        <v>5807</v>
      </c>
      <c r="O3222" s="50" t="s">
        <v>5807</v>
      </c>
      <c r="P3222" s="50" t="s">
        <v>5807</v>
      </c>
    </row>
    <row r="3223" spans="1:16" ht="12.75" customHeight="1" x14ac:dyDescent="0.25">
      <c r="A3223" s="311">
        <v>3220</v>
      </c>
      <c r="B3223" s="311" t="s">
        <v>94</v>
      </c>
      <c r="C3223" s="311" t="s">
        <v>462</v>
      </c>
      <c r="D3223" s="311" t="s">
        <v>462</v>
      </c>
      <c r="E3223" s="337" t="s">
        <v>462</v>
      </c>
      <c r="F3223" s="311" t="s">
        <v>258</v>
      </c>
      <c r="G3223" s="311" t="s">
        <v>237</v>
      </c>
      <c r="H3223" s="311" t="s">
        <v>354</v>
      </c>
      <c r="I3223" s="311" t="s">
        <v>56</v>
      </c>
      <c r="J3223" s="50" t="s">
        <v>1892</v>
      </c>
      <c r="K3223" s="50" t="s">
        <v>1892</v>
      </c>
      <c r="L3223" s="50" t="s">
        <v>1893</v>
      </c>
      <c r="M3223" s="50" t="s">
        <v>5810</v>
      </c>
      <c r="N3223" s="50" t="s">
        <v>5807</v>
      </c>
      <c r="O3223" s="50" t="s">
        <v>5807</v>
      </c>
      <c r="P3223" s="50" t="s">
        <v>5807</v>
      </c>
    </row>
    <row r="3224" spans="1:16" ht="12.75" customHeight="1" x14ac:dyDescent="0.25">
      <c r="A3224" s="311">
        <v>3221</v>
      </c>
      <c r="B3224" s="311" t="s">
        <v>84</v>
      </c>
      <c r="C3224" s="311" t="s">
        <v>462</v>
      </c>
      <c r="D3224" s="311" t="s">
        <v>462</v>
      </c>
      <c r="E3224" s="337" t="s">
        <v>462</v>
      </c>
      <c r="F3224" s="311" t="s">
        <v>258</v>
      </c>
      <c r="G3224" s="311" t="s">
        <v>237</v>
      </c>
      <c r="H3224" s="311" t="s">
        <v>354</v>
      </c>
      <c r="I3224" s="311" t="s">
        <v>56</v>
      </c>
      <c r="J3224" s="50" t="s">
        <v>1892</v>
      </c>
      <c r="K3224" s="50" t="s">
        <v>1892</v>
      </c>
      <c r="L3224" s="50" t="s">
        <v>1893</v>
      </c>
      <c r="M3224" s="50" t="s">
        <v>5811</v>
      </c>
      <c r="N3224" s="50" t="s">
        <v>5807</v>
      </c>
      <c r="O3224" s="50" t="s">
        <v>5807</v>
      </c>
      <c r="P3224" s="50" t="s">
        <v>5807</v>
      </c>
    </row>
    <row r="3225" spans="1:16" ht="12.75" customHeight="1" x14ac:dyDescent="0.25">
      <c r="A3225" s="311">
        <v>3222</v>
      </c>
      <c r="B3225" s="311" t="s">
        <v>123</v>
      </c>
      <c r="C3225" s="311" t="s">
        <v>462</v>
      </c>
      <c r="D3225" s="311" t="s">
        <v>462</v>
      </c>
      <c r="E3225" s="337" t="s">
        <v>462</v>
      </c>
      <c r="F3225" s="311" t="s">
        <v>258</v>
      </c>
      <c r="G3225" s="311" t="s">
        <v>237</v>
      </c>
      <c r="H3225" s="311" t="s">
        <v>354</v>
      </c>
      <c r="I3225" s="311" t="s">
        <v>56</v>
      </c>
      <c r="J3225" s="50" t="s">
        <v>1892</v>
      </c>
      <c r="K3225" s="50" t="s">
        <v>1892</v>
      </c>
      <c r="L3225" s="50" t="s">
        <v>1893</v>
      </c>
      <c r="M3225" s="50" t="s">
        <v>5812</v>
      </c>
      <c r="N3225" s="50" t="s">
        <v>5807</v>
      </c>
      <c r="O3225" s="50" t="s">
        <v>5807</v>
      </c>
      <c r="P3225" s="50" t="s">
        <v>5807</v>
      </c>
    </row>
    <row r="3226" spans="1:16" ht="12.75" customHeight="1" x14ac:dyDescent="0.25">
      <c r="A3226" s="311">
        <v>3223</v>
      </c>
      <c r="B3226" s="311" t="s">
        <v>75</v>
      </c>
      <c r="C3226" s="311" t="s">
        <v>462</v>
      </c>
      <c r="D3226" s="311" t="s">
        <v>462</v>
      </c>
      <c r="E3226" s="337" t="s">
        <v>462</v>
      </c>
      <c r="F3226" s="311" t="s">
        <v>258</v>
      </c>
      <c r="G3226" s="311" t="s">
        <v>237</v>
      </c>
      <c r="H3226" s="311" t="s">
        <v>354</v>
      </c>
      <c r="I3226" s="311" t="s">
        <v>56</v>
      </c>
      <c r="J3226" s="50" t="s">
        <v>1892</v>
      </c>
      <c r="K3226" s="50" t="s">
        <v>1892</v>
      </c>
      <c r="L3226" s="50" t="s">
        <v>1893</v>
      </c>
      <c r="M3226" s="50" t="s">
        <v>5813</v>
      </c>
      <c r="N3226" s="50" t="s">
        <v>5807</v>
      </c>
      <c r="O3226" s="50" t="s">
        <v>5807</v>
      </c>
      <c r="P3226" s="50" t="s">
        <v>5807</v>
      </c>
    </row>
    <row r="3227" spans="1:16" ht="12.75" customHeight="1" x14ac:dyDescent="0.25">
      <c r="A3227" s="311">
        <v>3224</v>
      </c>
      <c r="B3227" s="311" t="s">
        <v>63</v>
      </c>
      <c r="C3227" s="311" t="s">
        <v>63</v>
      </c>
      <c r="D3227" s="311" t="s">
        <v>462</v>
      </c>
      <c r="E3227" s="337" t="s">
        <v>63</v>
      </c>
      <c r="F3227" s="311" t="s">
        <v>177</v>
      </c>
      <c r="G3227" s="311" t="s">
        <v>236</v>
      </c>
      <c r="H3227" s="311" t="s">
        <v>390</v>
      </c>
      <c r="I3227" s="311" t="s">
        <v>66</v>
      </c>
      <c r="J3227" s="50" t="s">
        <v>1892</v>
      </c>
      <c r="K3227" s="50" t="s">
        <v>1892</v>
      </c>
      <c r="L3227" s="50" t="s">
        <v>1893</v>
      </c>
      <c r="M3227" s="50" t="s">
        <v>5814</v>
      </c>
      <c r="N3227" s="50" t="s">
        <v>5814</v>
      </c>
      <c r="O3227" s="50" t="s">
        <v>5767</v>
      </c>
      <c r="P3227" s="50" t="s">
        <v>5814</v>
      </c>
    </row>
    <row r="3228" spans="1:16" ht="12.75" customHeight="1" x14ac:dyDescent="0.25">
      <c r="A3228" s="311">
        <v>3225</v>
      </c>
      <c r="B3228" s="311" t="s">
        <v>140</v>
      </c>
      <c r="C3228" s="311" t="s">
        <v>140</v>
      </c>
      <c r="D3228" s="311" t="s">
        <v>462</v>
      </c>
      <c r="E3228" s="337" t="s">
        <v>140</v>
      </c>
      <c r="F3228" s="311" t="s">
        <v>177</v>
      </c>
      <c r="G3228" s="311" t="s">
        <v>236</v>
      </c>
      <c r="H3228" s="311" t="s">
        <v>390</v>
      </c>
      <c r="I3228" s="311" t="s">
        <v>66</v>
      </c>
      <c r="J3228" s="50" t="s">
        <v>1892</v>
      </c>
      <c r="K3228" s="50" t="s">
        <v>1892</v>
      </c>
      <c r="L3228" s="50" t="s">
        <v>1893</v>
      </c>
      <c r="M3228" s="50" t="s">
        <v>5815</v>
      </c>
      <c r="N3228" s="50" t="s">
        <v>5815</v>
      </c>
      <c r="O3228" s="50" t="s">
        <v>5767</v>
      </c>
      <c r="P3228" s="50" t="s">
        <v>5815</v>
      </c>
    </row>
    <row r="3229" spans="1:16" ht="12.75" customHeight="1" x14ac:dyDescent="0.25">
      <c r="A3229" s="311">
        <v>3226</v>
      </c>
      <c r="B3229" s="311" t="s">
        <v>121</v>
      </c>
      <c r="C3229" s="311" t="s">
        <v>121</v>
      </c>
      <c r="D3229" s="311" t="s">
        <v>462</v>
      </c>
      <c r="E3229" s="337" t="s">
        <v>121</v>
      </c>
      <c r="F3229" s="311" t="s">
        <v>177</v>
      </c>
      <c r="G3229" s="311" t="s">
        <v>236</v>
      </c>
      <c r="H3229" s="311" t="s">
        <v>390</v>
      </c>
      <c r="I3229" s="311" t="s">
        <v>66</v>
      </c>
      <c r="J3229" s="50" t="s">
        <v>1892</v>
      </c>
      <c r="K3229" s="50" t="s">
        <v>1892</v>
      </c>
      <c r="L3229" s="50" t="s">
        <v>1893</v>
      </c>
      <c r="M3229" s="50" t="s">
        <v>5816</v>
      </c>
      <c r="N3229" s="50" t="s">
        <v>5816</v>
      </c>
      <c r="O3229" s="50" t="s">
        <v>5767</v>
      </c>
      <c r="P3229" s="50" t="s">
        <v>5816</v>
      </c>
    </row>
    <row r="3230" spans="1:16" ht="12.75" customHeight="1" x14ac:dyDescent="0.25">
      <c r="A3230" s="311">
        <v>3227</v>
      </c>
      <c r="B3230" s="311" t="s">
        <v>87</v>
      </c>
      <c r="C3230" s="311" t="s">
        <v>87</v>
      </c>
      <c r="D3230" s="311" t="s">
        <v>462</v>
      </c>
      <c r="E3230" s="337" t="s">
        <v>87</v>
      </c>
      <c r="F3230" s="311" t="s">
        <v>177</v>
      </c>
      <c r="G3230" s="311" t="s">
        <v>236</v>
      </c>
      <c r="H3230" s="311" t="s">
        <v>390</v>
      </c>
      <c r="I3230" s="311" t="s">
        <v>66</v>
      </c>
      <c r="J3230" s="50" t="s">
        <v>1892</v>
      </c>
      <c r="K3230" s="50" t="s">
        <v>1892</v>
      </c>
      <c r="L3230" s="50" t="s">
        <v>1893</v>
      </c>
      <c r="M3230" s="50" t="s">
        <v>5817</v>
      </c>
      <c r="N3230" s="50" t="s">
        <v>5817</v>
      </c>
      <c r="O3230" s="50" t="s">
        <v>5767</v>
      </c>
      <c r="P3230" s="50" t="s">
        <v>5817</v>
      </c>
    </row>
    <row r="3231" spans="1:16" ht="12.75" customHeight="1" x14ac:dyDescent="0.25">
      <c r="A3231" s="311">
        <v>3228</v>
      </c>
      <c r="B3231" s="311" t="s">
        <v>125</v>
      </c>
      <c r="C3231" s="311" t="s">
        <v>125</v>
      </c>
      <c r="D3231" s="311" t="s">
        <v>125</v>
      </c>
      <c r="E3231" s="337" t="s">
        <v>125</v>
      </c>
      <c r="F3231" s="311" t="s">
        <v>177</v>
      </c>
      <c r="G3231" s="311" t="s">
        <v>236</v>
      </c>
      <c r="H3231" s="311" t="s">
        <v>390</v>
      </c>
      <c r="I3231" s="311" t="s">
        <v>66</v>
      </c>
      <c r="J3231" s="50" t="s">
        <v>1892</v>
      </c>
      <c r="K3231" s="50" t="s">
        <v>1892</v>
      </c>
      <c r="L3231" s="50" t="s">
        <v>1893</v>
      </c>
      <c r="M3231" s="50" t="s">
        <v>5818</v>
      </c>
      <c r="N3231" s="50" t="s">
        <v>5818</v>
      </c>
      <c r="O3231" s="50" t="s">
        <v>5818</v>
      </c>
      <c r="P3231" s="50" t="s">
        <v>5818</v>
      </c>
    </row>
    <row r="3232" spans="1:16" ht="12.75" customHeight="1" x14ac:dyDescent="0.25">
      <c r="A3232" s="311">
        <v>3229</v>
      </c>
      <c r="B3232" s="311" t="s">
        <v>134</v>
      </c>
      <c r="C3232" s="311" t="s">
        <v>134</v>
      </c>
      <c r="D3232" s="311" t="s">
        <v>134</v>
      </c>
      <c r="E3232" s="337" t="s">
        <v>134</v>
      </c>
      <c r="F3232" s="311" t="s">
        <v>177</v>
      </c>
      <c r="G3232" s="311" t="s">
        <v>236</v>
      </c>
      <c r="H3232" s="311" t="s">
        <v>390</v>
      </c>
      <c r="I3232" s="311" t="s">
        <v>66</v>
      </c>
      <c r="J3232" s="50" t="s">
        <v>1892</v>
      </c>
      <c r="K3232" s="50" t="s">
        <v>1892</v>
      </c>
      <c r="L3232" s="50" t="s">
        <v>1893</v>
      </c>
      <c r="M3232" s="50" t="s">
        <v>5819</v>
      </c>
      <c r="N3232" s="50" t="s">
        <v>5819</v>
      </c>
      <c r="O3232" s="50" t="s">
        <v>5819</v>
      </c>
      <c r="P3232" s="50" t="s">
        <v>5819</v>
      </c>
    </row>
    <row r="3233" spans="1:16" ht="12.75" customHeight="1" x14ac:dyDescent="0.25">
      <c r="A3233" s="311">
        <v>3230</v>
      </c>
      <c r="B3233" s="311" t="s">
        <v>141</v>
      </c>
      <c r="C3233" s="311" t="s">
        <v>141</v>
      </c>
      <c r="D3233" s="311" t="s">
        <v>141</v>
      </c>
      <c r="E3233" s="337" t="s">
        <v>141</v>
      </c>
      <c r="F3233" s="311" t="s">
        <v>177</v>
      </c>
      <c r="G3233" s="311" t="s">
        <v>236</v>
      </c>
      <c r="H3233" s="311" t="s">
        <v>390</v>
      </c>
      <c r="I3233" s="311" t="s">
        <v>66</v>
      </c>
      <c r="J3233" s="50" t="s">
        <v>1892</v>
      </c>
      <c r="K3233" s="50" t="s">
        <v>1892</v>
      </c>
      <c r="L3233" s="50" t="s">
        <v>1893</v>
      </c>
      <c r="M3233" s="50" t="s">
        <v>5820</v>
      </c>
      <c r="N3233" s="50" t="s">
        <v>5820</v>
      </c>
      <c r="O3233" s="50" t="s">
        <v>5820</v>
      </c>
      <c r="P3233" s="50" t="s">
        <v>5820</v>
      </c>
    </row>
    <row r="3234" spans="1:16" ht="12.75" customHeight="1" x14ac:dyDescent="0.25">
      <c r="A3234" s="311">
        <v>3231</v>
      </c>
      <c r="B3234" s="311" t="s">
        <v>69</v>
      </c>
      <c r="C3234" s="311" t="s">
        <v>69</v>
      </c>
      <c r="D3234" s="311" t="s">
        <v>69</v>
      </c>
      <c r="E3234" s="337" t="s">
        <v>69</v>
      </c>
      <c r="F3234" s="311" t="s">
        <v>177</v>
      </c>
      <c r="G3234" s="311" t="s">
        <v>236</v>
      </c>
      <c r="H3234" s="311" t="s">
        <v>390</v>
      </c>
      <c r="I3234" s="311" t="s">
        <v>66</v>
      </c>
      <c r="J3234" s="50" t="s">
        <v>1892</v>
      </c>
      <c r="K3234" s="50" t="s">
        <v>1892</v>
      </c>
      <c r="L3234" s="50" t="s">
        <v>1893</v>
      </c>
      <c r="M3234" s="50" t="s">
        <v>5821</v>
      </c>
      <c r="N3234" s="50" t="s">
        <v>5821</v>
      </c>
      <c r="O3234" s="50" t="s">
        <v>5821</v>
      </c>
      <c r="P3234" s="50" t="s">
        <v>5821</v>
      </c>
    </row>
    <row r="3235" spans="1:16" ht="12.75" customHeight="1" x14ac:dyDescent="0.25">
      <c r="A3235" s="311">
        <v>3232</v>
      </c>
      <c r="B3235" s="311" t="s">
        <v>63</v>
      </c>
      <c r="C3235" s="311" t="s">
        <v>63</v>
      </c>
      <c r="D3235" s="311" t="s">
        <v>462</v>
      </c>
      <c r="E3235" s="337" t="s">
        <v>63</v>
      </c>
      <c r="F3235" s="311" t="s">
        <v>177</v>
      </c>
      <c r="G3235" s="311" t="s">
        <v>23</v>
      </c>
      <c r="H3235" s="311" t="s">
        <v>390</v>
      </c>
      <c r="I3235" s="311" t="s">
        <v>66</v>
      </c>
      <c r="J3235" s="50" t="s">
        <v>1892</v>
      </c>
      <c r="K3235" s="50" t="s">
        <v>1892</v>
      </c>
      <c r="L3235" s="50" t="s">
        <v>1893</v>
      </c>
      <c r="M3235" s="50" t="s">
        <v>5822</v>
      </c>
      <c r="N3235" s="50" t="s">
        <v>5822</v>
      </c>
      <c r="O3235" s="50" t="s">
        <v>5775</v>
      </c>
      <c r="P3235" s="50" t="s">
        <v>5822</v>
      </c>
    </row>
    <row r="3236" spans="1:16" ht="12.75" customHeight="1" x14ac:dyDescent="0.25">
      <c r="A3236" s="311">
        <v>3233</v>
      </c>
      <c r="B3236" s="311" t="s">
        <v>140</v>
      </c>
      <c r="C3236" s="311" t="s">
        <v>140</v>
      </c>
      <c r="D3236" s="311" t="s">
        <v>462</v>
      </c>
      <c r="E3236" s="337" t="s">
        <v>140</v>
      </c>
      <c r="F3236" s="311" t="s">
        <v>177</v>
      </c>
      <c r="G3236" s="311" t="s">
        <v>23</v>
      </c>
      <c r="H3236" s="311" t="s">
        <v>390</v>
      </c>
      <c r="I3236" s="311" t="s">
        <v>66</v>
      </c>
      <c r="J3236" s="50" t="s">
        <v>1892</v>
      </c>
      <c r="K3236" s="50" t="s">
        <v>1892</v>
      </c>
      <c r="L3236" s="50" t="s">
        <v>1893</v>
      </c>
      <c r="M3236" s="50" t="s">
        <v>5823</v>
      </c>
      <c r="N3236" s="50" t="s">
        <v>5823</v>
      </c>
      <c r="O3236" s="50" t="s">
        <v>5775</v>
      </c>
      <c r="P3236" s="50" t="s">
        <v>5823</v>
      </c>
    </row>
    <row r="3237" spans="1:16" ht="12.75" customHeight="1" x14ac:dyDescent="0.25">
      <c r="A3237" s="311">
        <v>3234</v>
      </c>
      <c r="B3237" s="311" t="s">
        <v>121</v>
      </c>
      <c r="C3237" s="311" t="s">
        <v>121</v>
      </c>
      <c r="D3237" s="311" t="s">
        <v>462</v>
      </c>
      <c r="E3237" s="337" t="s">
        <v>121</v>
      </c>
      <c r="F3237" s="311" t="s">
        <v>177</v>
      </c>
      <c r="G3237" s="311" t="s">
        <v>23</v>
      </c>
      <c r="H3237" s="311" t="s">
        <v>390</v>
      </c>
      <c r="I3237" s="311" t="s">
        <v>66</v>
      </c>
      <c r="J3237" s="50" t="s">
        <v>1892</v>
      </c>
      <c r="K3237" s="50" t="s">
        <v>1892</v>
      </c>
      <c r="L3237" s="50" t="s">
        <v>1893</v>
      </c>
      <c r="M3237" s="50" t="s">
        <v>5824</v>
      </c>
      <c r="N3237" s="50" t="s">
        <v>5824</v>
      </c>
      <c r="O3237" s="50" t="s">
        <v>5775</v>
      </c>
      <c r="P3237" s="50" t="s">
        <v>5824</v>
      </c>
    </row>
    <row r="3238" spans="1:16" ht="12.75" customHeight="1" x14ac:dyDescent="0.25">
      <c r="A3238" s="311">
        <v>3235</v>
      </c>
      <c r="B3238" s="311" t="s">
        <v>87</v>
      </c>
      <c r="C3238" s="311" t="s">
        <v>87</v>
      </c>
      <c r="D3238" s="311" t="s">
        <v>462</v>
      </c>
      <c r="E3238" s="337" t="s">
        <v>87</v>
      </c>
      <c r="F3238" s="311" t="s">
        <v>177</v>
      </c>
      <c r="G3238" s="311" t="s">
        <v>23</v>
      </c>
      <c r="H3238" s="311" t="s">
        <v>390</v>
      </c>
      <c r="I3238" s="311" t="s">
        <v>66</v>
      </c>
      <c r="J3238" s="50" t="s">
        <v>1892</v>
      </c>
      <c r="K3238" s="50" t="s">
        <v>1892</v>
      </c>
      <c r="L3238" s="50" t="s">
        <v>1893</v>
      </c>
      <c r="M3238" s="50" t="s">
        <v>5825</v>
      </c>
      <c r="N3238" s="50" t="s">
        <v>5825</v>
      </c>
      <c r="O3238" s="50" t="s">
        <v>5775</v>
      </c>
      <c r="P3238" s="50" t="s">
        <v>5825</v>
      </c>
    </row>
    <row r="3239" spans="1:16" ht="12.75" customHeight="1" x14ac:dyDescent="0.25">
      <c r="A3239" s="311">
        <v>3236</v>
      </c>
      <c r="B3239" s="311" t="s">
        <v>125</v>
      </c>
      <c r="C3239" s="311" t="s">
        <v>125</v>
      </c>
      <c r="D3239" s="311" t="s">
        <v>125</v>
      </c>
      <c r="E3239" s="337" t="s">
        <v>125</v>
      </c>
      <c r="F3239" s="311" t="s">
        <v>177</v>
      </c>
      <c r="G3239" s="311" t="s">
        <v>23</v>
      </c>
      <c r="H3239" s="311" t="s">
        <v>390</v>
      </c>
      <c r="I3239" s="311" t="s">
        <v>66</v>
      </c>
      <c r="J3239" s="50" t="s">
        <v>1892</v>
      </c>
      <c r="K3239" s="50" t="s">
        <v>1892</v>
      </c>
      <c r="L3239" s="50" t="s">
        <v>1893</v>
      </c>
      <c r="M3239" s="50" t="s">
        <v>5826</v>
      </c>
      <c r="N3239" s="50" t="s">
        <v>5826</v>
      </c>
      <c r="O3239" s="50" t="s">
        <v>5826</v>
      </c>
      <c r="P3239" s="50" t="s">
        <v>5826</v>
      </c>
    </row>
    <row r="3240" spans="1:16" ht="12.75" customHeight="1" x14ac:dyDescent="0.25">
      <c r="A3240" s="311">
        <v>3237</v>
      </c>
      <c r="B3240" s="311" t="s">
        <v>134</v>
      </c>
      <c r="C3240" s="311" t="s">
        <v>134</v>
      </c>
      <c r="D3240" s="311" t="s">
        <v>134</v>
      </c>
      <c r="E3240" s="337" t="s">
        <v>134</v>
      </c>
      <c r="F3240" s="311" t="s">
        <v>177</v>
      </c>
      <c r="G3240" s="311" t="s">
        <v>23</v>
      </c>
      <c r="H3240" s="311" t="s">
        <v>390</v>
      </c>
      <c r="I3240" s="311" t="s">
        <v>66</v>
      </c>
      <c r="J3240" s="50" t="s">
        <v>1892</v>
      </c>
      <c r="K3240" s="50" t="s">
        <v>1892</v>
      </c>
      <c r="L3240" s="50" t="s">
        <v>1893</v>
      </c>
      <c r="M3240" s="50" t="s">
        <v>5827</v>
      </c>
      <c r="N3240" s="50" t="s">
        <v>5827</v>
      </c>
      <c r="O3240" s="50" t="s">
        <v>5827</v>
      </c>
      <c r="P3240" s="50" t="s">
        <v>5827</v>
      </c>
    </row>
    <row r="3241" spans="1:16" ht="12.75" customHeight="1" x14ac:dyDescent="0.25">
      <c r="A3241" s="311">
        <v>3238</v>
      </c>
      <c r="B3241" s="311" t="s">
        <v>141</v>
      </c>
      <c r="C3241" s="311" t="s">
        <v>141</v>
      </c>
      <c r="D3241" s="311" t="s">
        <v>141</v>
      </c>
      <c r="E3241" s="337" t="s">
        <v>141</v>
      </c>
      <c r="F3241" s="311" t="s">
        <v>177</v>
      </c>
      <c r="G3241" s="311" t="s">
        <v>23</v>
      </c>
      <c r="H3241" s="311" t="s">
        <v>390</v>
      </c>
      <c r="I3241" s="311" t="s">
        <v>66</v>
      </c>
      <c r="J3241" s="50" t="s">
        <v>1892</v>
      </c>
      <c r="K3241" s="50" t="s">
        <v>1892</v>
      </c>
      <c r="L3241" s="50" t="s">
        <v>1893</v>
      </c>
      <c r="M3241" s="50" t="s">
        <v>5828</v>
      </c>
      <c r="N3241" s="50" t="s">
        <v>5828</v>
      </c>
      <c r="O3241" s="50" t="s">
        <v>5828</v>
      </c>
      <c r="P3241" s="50" t="s">
        <v>5828</v>
      </c>
    </row>
    <row r="3242" spans="1:16" ht="12.75" customHeight="1" x14ac:dyDescent="0.25">
      <c r="A3242" s="311">
        <v>3239</v>
      </c>
      <c r="B3242" s="311" t="s">
        <v>69</v>
      </c>
      <c r="C3242" s="311" t="s">
        <v>69</v>
      </c>
      <c r="D3242" s="311" t="s">
        <v>69</v>
      </c>
      <c r="E3242" s="337" t="s">
        <v>69</v>
      </c>
      <c r="F3242" s="311" t="s">
        <v>177</v>
      </c>
      <c r="G3242" s="311" t="s">
        <v>23</v>
      </c>
      <c r="H3242" s="311" t="s">
        <v>390</v>
      </c>
      <c r="I3242" s="311" t="s">
        <v>66</v>
      </c>
      <c r="J3242" s="50" t="s">
        <v>1892</v>
      </c>
      <c r="K3242" s="50" t="s">
        <v>1892</v>
      </c>
      <c r="L3242" s="50" t="s">
        <v>1893</v>
      </c>
      <c r="M3242" s="50" t="s">
        <v>5829</v>
      </c>
      <c r="N3242" s="50" t="s">
        <v>5829</v>
      </c>
      <c r="O3242" s="50" t="s">
        <v>5829</v>
      </c>
      <c r="P3242" s="50" t="s">
        <v>5829</v>
      </c>
    </row>
    <row r="3243" spans="1:16" ht="12.75" customHeight="1" x14ac:dyDescent="0.25">
      <c r="A3243" s="311">
        <v>3240</v>
      </c>
      <c r="B3243" s="311" t="s">
        <v>63</v>
      </c>
      <c r="C3243" s="311" t="s">
        <v>63</v>
      </c>
      <c r="D3243" s="311" t="s">
        <v>462</v>
      </c>
      <c r="E3243" s="337" t="s">
        <v>63</v>
      </c>
      <c r="F3243" s="311" t="s">
        <v>177</v>
      </c>
      <c r="G3243" s="311" t="s">
        <v>237</v>
      </c>
      <c r="H3243" s="311" t="s">
        <v>390</v>
      </c>
      <c r="I3243" s="311" t="s">
        <v>66</v>
      </c>
      <c r="J3243" s="50" t="s">
        <v>1892</v>
      </c>
      <c r="K3243" s="50" t="s">
        <v>1892</v>
      </c>
      <c r="L3243" s="50" t="s">
        <v>1893</v>
      </c>
      <c r="M3243" s="50" t="s">
        <v>5830</v>
      </c>
      <c r="N3243" s="50" t="s">
        <v>5830</v>
      </c>
      <c r="O3243" s="50" t="s">
        <v>5783</v>
      </c>
      <c r="P3243" s="50" t="s">
        <v>5830</v>
      </c>
    </row>
    <row r="3244" spans="1:16" ht="12.75" customHeight="1" x14ac:dyDescent="0.25">
      <c r="A3244" s="311">
        <v>3241</v>
      </c>
      <c r="B3244" s="311" t="s">
        <v>140</v>
      </c>
      <c r="C3244" s="311" t="s">
        <v>140</v>
      </c>
      <c r="D3244" s="311" t="s">
        <v>462</v>
      </c>
      <c r="E3244" s="337" t="s">
        <v>140</v>
      </c>
      <c r="F3244" s="311" t="s">
        <v>177</v>
      </c>
      <c r="G3244" s="311" t="s">
        <v>237</v>
      </c>
      <c r="H3244" s="311" t="s">
        <v>390</v>
      </c>
      <c r="I3244" s="311" t="s">
        <v>66</v>
      </c>
      <c r="J3244" s="50" t="s">
        <v>1892</v>
      </c>
      <c r="K3244" s="50" t="s">
        <v>1892</v>
      </c>
      <c r="L3244" s="50" t="s">
        <v>1893</v>
      </c>
      <c r="M3244" s="50" t="s">
        <v>5831</v>
      </c>
      <c r="N3244" s="50" t="s">
        <v>5831</v>
      </c>
      <c r="O3244" s="50" t="s">
        <v>5783</v>
      </c>
      <c r="P3244" s="50" t="s">
        <v>5831</v>
      </c>
    </row>
    <row r="3245" spans="1:16" ht="12.75" customHeight="1" x14ac:dyDescent="0.25">
      <c r="A3245" s="311">
        <v>3242</v>
      </c>
      <c r="B3245" s="311" t="s">
        <v>121</v>
      </c>
      <c r="C3245" s="311" t="s">
        <v>121</v>
      </c>
      <c r="D3245" s="311" t="s">
        <v>462</v>
      </c>
      <c r="E3245" s="337" t="s">
        <v>121</v>
      </c>
      <c r="F3245" s="311" t="s">
        <v>177</v>
      </c>
      <c r="G3245" s="311" t="s">
        <v>237</v>
      </c>
      <c r="H3245" s="311" t="s">
        <v>390</v>
      </c>
      <c r="I3245" s="311" t="s">
        <v>66</v>
      </c>
      <c r="J3245" s="50" t="s">
        <v>1892</v>
      </c>
      <c r="K3245" s="50" t="s">
        <v>1892</v>
      </c>
      <c r="L3245" s="50" t="s">
        <v>1893</v>
      </c>
      <c r="M3245" s="50" t="s">
        <v>5832</v>
      </c>
      <c r="N3245" s="50" t="s">
        <v>5832</v>
      </c>
      <c r="O3245" s="50" t="s">
        <v>5783</v>
      </c>
      <c r="P3245" s="50" t="s">
        <v>5832</v>
      </c>
    </row>
    <row r="3246" spans="1:16" ht="12.75" customHeight="1" x14ac:dyDescent="0.25">
      <c r="A3246" s="311">
        <v>3243</v>
      </c>
      <c r="B3246" s="311" t="s">
        <v>87</v>
      </c>
      <c r="C3246" s="311" t="s">
        <v>87</v>
      </c>
      <c r="D3246" s="311" t="s">
        <v>462</v>
      </c>
      <c r="E3246" s="337" t="s">
        <v>87</v>
      </c>
      <c r="F3246" s="311" t="s">
        <v>177</v>
      </c>
      <c r="G3246" s="311" t="s">
        <v>237</v>
      </c>
      <c r="H3246" s="311" t="s">
        <v>390</v>
      </c>
      <c r="I3246" s="311" t="s">
        <v>66</v>
      </c>
      <c r="J3246" s="50" t="s">
        <v>1892</v>
      </c>
      <c r="K3246" s="50" t="s">
        <v>1892</v>
      </c>
      <c r="L3246" s="50" t="s">
        <v>1893</v>
      </c>
      <c r="M3246" s="50" t="s">
        <v>5833</v>
      </c>
      <c r="N3246" s="50" t="s">
        <v>5833</v>
      </c>
      <c r="O3246" s="50" t="s">
        <v>5783</v>
      </c>
      <c r="P3246" s="50" t="s">
        <v>5833</v>
      </c>
    </row>
    <row r="3247" spans="1:16" ht="12.75" customHeight="1" x14ac:dyDescent="0.25">
      <c r="A3247" s="311">
        <v>3244</v>
      </c>
      <c r="B3247" s="311" t="s">
        <v>125</v>
      </c>
      <c r="C3247" s="311" t="s">
        <v>125</v>
      </c>
      <c r="D3247" s="311" t="s">
        <v>125</v>
      </c>
      <c r="E3247" s="337" t="s">
        <v>125</v>
      </c>
      <c r="F3247" s="311" t="s">
        <v>177</v>
      </c>
      <c r="G3247" s="311" t="s">
        <v>237</v>
      </c>
      <c r="H3247" s="311" t="s">
        <v>390</v>
      </c>
      <c r="I3247" s="311" t="s">
        <v>66</v>
      </c>
      <c r="J3247" s="50" t="s">
        <v>1892</v>
      </c>
      <c r="K3247" s="50" t="s">
        <v>1892</v>
      </c>
      <c r="L3247" s="50" t="s">
        <v>1893</v>
      </c>
      <c r="M3247" s="50" t="s">
        <v>5834</v>
      </c>
      <c r="N3247" s="50" t="s">
        <v>5834</v>
      </c>
      <c r="O3247" s="50" t="s">
        <v>5834</v>
      </c>
      <c r="P3247" s="50" t="s">
        <v>5834</v>
      </c>
    </row>
    <row r="3248" spans="1:16" ht="12.75" customHeight="1" x14ac:dyDescent="0.25">
      <c r="A3248" s="311">
        <v>3245</v>
      </c>
      <c r="B3248" s="311" t="s">
        <v>134</v>
      </c>
      <c r="C3248" s="311" t="s">
        <v>134</v>
      </c>
      <c r="D3248" s="311" t="s">
        <v>134</v>
      </c>
      <c r="E3248" s="337" t="s">
        <v>134</v>
      </c>
      <c r="F3248" s="311" t="s">
        <v>177</v>
      </c>
      <c r="G3248" s="311" t="s">
        <v>237</v>
      </c>
      <c r="H3248" s="311" t="s">
        <v>390</v>
      </c>
      <c r="I3248" s="311" t="s">
        <v>66</v>
      </c>
      <c r="J3248" s="50" t="s">
        <v>1892</v>
      </c>
      <c r="K3248" s="50" t="s">
        <v>1892</v>
      </c>
      <c r="L3248" s="50" t="s">
        <v>1893</v>
      </c>
      <c r="M3248" s="50" t="s">
        <v>5835</v>
      </c>
      <c r="N3248" s="50" t="s">
        <v>5835</v>
      </c>
      <c r="O3248" s="50" t="s">
        <v>5835</v>
      </c>
      <c r="P3248" s="50" t="s">
        <v>5835</v>
      </c>
    </row>
    <row r="3249" spans="1:16" ht="12.75" customHeight="1" x14ac:dyDescent="0.25">
      <c r="A3249" s="311">
        <v>3246</v>
      </c>
      <c r="B3249" s="311" t="s">
        <v>141</v>
      </c>
      <c r="C3249" s="311" t="s">
        <v>141</v>
      </c>
      <c r="D3249" s="311" t="s">
        <v>141</v>
      </c>
      <c r="E3249" s="337" t="s">
        <v>141</v>
      </c>
      <c r="F3249" s="311" t="s">
        <v>177</v>
      </c>
      <c r="G3249" s="311" t="s">
        <v>237</v>
      </c>
      <c r="H3249" s="311" t="s">
        <v>390</v>
      </c>
      <c r="I3249" s="311" t="s">
        <v>66</v>
      </c>
      <c r="J3249" s="50" t="s">
        <v>1892</v>
      </c>
      <c r="K3249" s="50" t="s">
        <v>1892</v>
      </c>
      <c r="L3249" s="50" t="s">
        <v>1893</v>
      </c>
      <c r="M3249" s="50" t="s">
        <v>5836</v>
      </c>
      <c r="N3249" s="50" t="s">
        <v>5836</v>
      </c>
      <c r="O3249" s="50" t="s">
        <v>5836</v>
      </c>
      <c r="P3249" s="50" t="s">
        <v>5836</v>
      </c>
    </row>
    <row r="3250" spans="1:16" ht="12.75" customHeight="1" x14ac:dyDescent="0.25">
      <c r="A3250" s="311">
        <v>3247</v>
      </c>
      <c r="B3250" s="311" t="s">
        <v>69</v>
      </c>
      <c r="C3250" s="311" t="s">
        <v>69</v>
      </c>
      <c r="D3250" s="311" t="s">
        <v>69</v>
      </c>
      <c r="E3250" s="337" t="s">
        <v>69</v>
      </c>
      <c r="F3250" s="311" t="s">
        <v>177</v>
      </c>
      <c r="G3250" s="311" t="s">
        <v>237</v>
      </c>
      <c r="H3250" s="311" t="s">
        <v>390</v>
      </c>
      <c r="I3250" s="311" t="s">
        <v>66</v>
      </c>
      <c r="J3250" s="50" t="s">
        <v>1892</v>
      </c>
      <c r="K3250" s="50" t="s">
        <v>1892</v>
      </c>
      <c r="L3250" s="50" t="s">
        <v>1893</v>
      </c>
      <c r="M3250" s="50" t="s">
        <v>5837</v>
      </c>
      <c r="N3250" s="50" t="s">
        <v>5837</v>
      </c>
      <c r="O3250" s="50" t="s">
        <v>5837</v>
      </c>
      <c r="P3250" s="50" t="s">
        <v>5837</v>
      </c>
    </row>
    <row r="3251" spans="1:16" ht="12.75" customHeight="1" x14ac:dyDescent="0.25">
      <c r="A3251" s="311">
        <v>3248</v>
      </c>
      <c r="B3251" s="311" t="s">
        <v>63</v>
      </c>
      <c r="C3251" s="311" t="s">
        <v>63</v>
      </c>
      <c r="D3251" s="311" t="s">
        <v>462</v>
      </c>
      <c r="E3251" s="337" t="s">
        <v>63</v>
      </c>
      <c r="F3251" s="311" t="s">
        <v>258</v>
      </c>
      <c r="G3251" s="311" t="s">
        <v>236</v>
      </c>
      <c r="H3251" s="311" t="s">
        <v>353</v>
      </c>
      <c r="I3251" s="311" t="s">
        <v>66</v>
      </c>
      <c r="J3251" s="50" t="s">
        <v>1892</v>
      </c>
      <c r="K3251" s="50" t="s">
        <v>1892</v>
      </c>
      <c r="L3251" s="50" t="s">
        <v>1893</v>
      </c>
      <c r="M3251" s="50" t="s">
        <v>5838</v>
      </c>
      <c r="N3251" s="50" t="s">
        <v>5838</v>
      </c>
      <c r="O3251" s="50" t="s">
        <v>5791</v>
      </c>
      <c r="P3251" s="50" t="s">
        <v>5838</v>
      </c>
    </row>
    <row r="3252" spans="1:16" ht="12.75" customHeight="1" x14ac:dyDescent="0.25">
      <c r="A3252" s="311">
        <v>3249</v>
      </c>
      <c r="B3252" s="311" t="s">
        <v>140</v>
      </c>
      <c r="C3252" s="311" t="s">
        <v>140</v>
      </c>
      <c r="D3252" s="311" t="s">
        <v>462</v>
      </c>
      <c r="E3252" s="337" t="s">
        <v>140</v>
      </c>
      <c r="F3252" s="311" t="s">
        <v>258</v>
      </c>
      <c r="G3252" s="311" t="s">
        <v>236</v>
      </c>
      <c r="H3252" s="311" t="s">
        <v>353</v>
      </c>
      <c r="I3252" s="311" t="s">
        <v>66</v>
      </c>
      <c r="J3252" s="50" t="s">
        <v>1892</v>
      </c>
      <c r="K3252" s="50" t="s">
        <v>1892</v>
      </c>
      <c r="L3252" s="50" t="s">
        <v>1893</v>
      </c>
      <c r="M3252" s="50" t="s">
        <v>5839</v>
      </c>
      <c r="N3252" s="50" t="s">
        <v>5839</v>
      </c>
      <c r="O3252" s="50" t="s">
        <v>5791</v>
      </c>
      <c r="P3252" s="50" t="s">
        <v>5839</v>
      </c>
    </row>
    <row r="3253" spans="1:16" ht="12.75" customHeight="1" x14ac:dyDescent="0.25">
      <c r="A3253" s="311">
        <v>3250</v>
      </c>
      <c r="B3253" s="311" t="s">
        <v>121</v>
      </c>
      <c r="C3253" s="311" t="s">
        <v>121</v>
      </c>
      <c r="D3253" s="311" t="s">
        <v>462</v>
      </c>
      <c r="E3253" s="337" t="s">
        <v>121</v>
      </c>
      <c r="F3253" s="311" t="s">
        <v>258</v>
      </c>
      <c r="G3253" s="311" t="s">
        <v>236</v>
      </c>
      <c r="H3253" s="311" t="s">
        <v>353</v>
      </c>
      <c r="I3253" s="311" t="s">
        <v>66</v>
      </c>
      <c r="J3253" s="50" t="s">
        <v>1892</v>
      </c>
      <c r="K3253" s="50" t="s">
        <v>1892</v>
      </c>
      <c r="L3253" s="50" t="s">
        <v>1893</v>
      </c>
      <c r="M3253" s="50" t="s">
        <v>5840</v>
      </c>
      <c r="N3253" s="50" t="s">
        <v>5840</v>
      </c>
      <c r="O3253" s="50" t="s">
        <v>5791</v>
      </c>
      <c r="P3253" s="50" t="s">
        <v>5840</v>
      </c>
    </row>
    <row r="3254" spans="1:16" ht="12.75" customHeight="1" x14ac:dyDescent="0.25">
      <c r="A3254" s="311">
        <v>3251</v>
      </c>
      <c r="B3254" s="311" t="s">
        <v>87</v>
      </c>
      <c r="C3254" s="311" t="s">
        <v>87</v>
      </c>
      <c r="D3254" s="311" t="s">
        <v>462</v>
      </c>
      <c r="E3254" s="337" t="s">
        <v>87</v>
      </c>
      <c r="F3254" s="311" t="s">
        <v>258</v>
      </c>
      <c r="G3254" s="311" t="s">
        <v>236</v>
      </c>
      <c r="H3254" s="311" t="s">
        <v>353</v>
      </c>
      <c r="I3254" s="311" t="s">
        <v>66</v>
      </c>
      <c r="J3254" s="50" t="s">
        <v>1892</v>
      </c>
      <c r="K3254" s="50" t="s">
        <v>1892</v>
      </c>
      <c r="L3254" s="50" t="s">
        <v>1893</v>
      </c>
      <c r="M3254" s="50" t="s">
        <v>5841</v>
      </c>
      <c r="N3254" s="50" t="s">
        <v>5841</v>
      </c>
      <c r="O3254" s="50" t="s">
        <v>5791</v>
      </c>
      <c r="P3254" s="50" t="s">
        <v>5841</v>
      </c>
    </row>
    <row r="3255" spans="1:16" ht="12.75" customHeight="1" x14ac:dyDescent="0.25">
      <c r="A3255" s="311">
        <v>3252</v>
      </c>
      <c r="B3255" s="311" t="s">
        <v>125</v>
      </c>
      <c r="C3255" s="311" t="s">
        <v>125</v>
      </c>
      <c r="D3255" s="311" t="s">
        <v>125</v>
      </c>
      <c r="E3255" s="337" t="s">
        <v>125</v>
      </c>
      <c r="F3255" s="311" t="s">
        <v>258</v>
      </c>
      <c r="G3255" s="311" t="s">
        <v>236</v>
      </c>
      <c r="H3255" s="311" t="s">
        <v>353</v>
      </c>
      <c r="I3255" s="311" t="s">
        <v>66</v>
      </c>
      <c r="J3255" s="50" t="s">
        <v>1892</v>
      </c>
      <c r="K3255" s="50" t="s">
        <v>1892</v>
      </c>
      <c r="L3255" s="50" t="s">
        <v>1893</v>
      </c>
      <c r="M3255" s="50" t="s">
        <v>5842</v>
      </c>
      <c r="N3255" s="50" t="s">
        <v>5842</v>
      </c>
      <c r="O3255" s="50" t="s">
        <v>5842</v>
      </c>
      <c r="P3255" s="50" t="s">
        <v>5842</v>
      </c>
    </row>
    <row r="3256" spans="1:16" ht="12.75" customHeight="1" x14ac:dyDescent="0.25">
      <c r="A3256" s="311">
        <v>3253</v>
      </c>
      <c r="B3256" s="311" t="s">
        <v>134</v>
      </c>
      <c r="C3256" s="311" t="s">
        <v>134</v>
      </c>
      <c r="D3256" s="311" t="s">
        <v>134</v>
      </c>
      <c r="E3256" s="337" t="s">
        <v>134</v>
      </c>
      <c r="F3256" s="311" t="s">
        <v>258</v>
      </c>
      <c r="G3256" s="311" t="s">
        <v>236</v>
      </c>
      <c r="H3256" s="311" t="s">
        <v>353</v>
      </c>
      <c r="I3256" s="311" t="s">
        <v>66</v>
      </c>
      <c r="J3256" s="50" t="s">
        <v>1892</v>
      </c>
      <c r="K3256" s="50" t="s">
        <v>1892</v>
      </c>
      <c r="L3256" s="50" t="s">
        <v>1893</v>
      </c>
      <c r="M3256" s="50" t="s">
        <v>5843</v>
      </c>
      <c r="N3256" s="50" t="s">
        <v>5843</v>
      </c>
      <c r="O3256" s="50" t="s">
        <v>5843</v>
      </c>
      <c r="P3256" s="50" t="s">
        <v>5843</v>
      </c>
    </row>
    <row r="3257" spans="1:16" ht="12.75" customHeight="1" x14ac:dyDescent="0.25">
      <c r="A3257" s="311">
        <v>3254</v>
      </c>
      <c r="B3257" s="311" t="s">
        <v>141</v>
      </c>
      <c r="C3257" s="311" t="s">
        <v>141</v>
      </c>
      <c r="D3257" s="311" t="s">
        <v>141</v>
      </c>
      <c r="E3257" s="337" t="s">
        <v>141</v>
      </c>
      <c r="F3257" s="311" t="s">
        <v>258</v>
      </c>
      <c r="G3257" s="311" t="s">
        <v>236</v>
      </c>
      <c r="H3257" s="311" t="s">
        <v>353</v>
      </c>
      <c r="I3257" s="311" t="s">
        <v>66</v>
      </c>
      <c r="J3257" s="50" t="s">
        <v>1892</v>
      </c>
      <c r="K3257" s="50" t="s">
        <v>1892</v>
      </c>
      <c r="L3257" s="50" t="s">
        <v>1893</v>
      </c>
      <c r="M3257" s="50" t="s">
        <v>5844</v>
      </c>
      <c r="N3257" s="50" t="s">
        <v>5844</v>
      </c>
      <c r="O3257" s="50" t="s">
        <v>5844</v>
      </c>
      <c r="P3257" s="50" t="s">
        <v>5844</v>
      </c>
    </row>
    <row r="3258" spans="1:16" ht="12.75" customHeight="1" x14ac:dyDescent="0.25">
      <c r="A3258" s="311">
        <v>3255</v>
      </c>
      <c r="B3258" s="311" t="s">
        <v>69</v>
      </c>
      <c r="C3258" s="311" t="s">
        <v>69</v>
      </c>
      <c r="D3258" s="311" t="s">
        <v>69</v>
      </c>
      <c r="E3258" s="337" t="s">
        <v>69</v>
      </c>
      <c r="F3258" s="311" t="s">
        <v>258</v>
      </c>
      <c r="G3258" s="311" t="s">
        <v>236</v>
      </c>
      <c r="H3258" s="311" t="s">
        <v>353</v>
      </c>
      <c r="I3258" s="311" t="s">
        <v>66</v>
      </c>
      <c r="J3258" s="50" t="s">
        <v>1892</v>
      </c>
      <c r="K3258" s="50" t="s">
        <v>1892</v>
      </c>
      <c r="L3258" s="50" t="s">
        <v>1893</v>
      </c>
      <c r="M3258" s="50" t="s">
        <v>5845</v>
      </c>
      <c r="N3258" s="50" t="s">
        <v>5845</v>
      </c>
      <c r="O3258" s="50" t="s">
        <v>5845</v>
      </c>
      <c r="P3258" s="50" t="s">
        <v>5845</v>
      </c>
    </row>
    <row r="3259" spans="1:16" ht="12.75" customHeight="1" x14ac:dyDescent="0.25">
      <c r="A3259" s="311">
        <v>3256</v>
      </c>
      <c r="B3259" s="311" t="s">
        <v>63</v>
      </c>
      <c r="C3259" s="311" t="s">
        <v>63</v>
      </c>
      <c r="D3259" s="311" t="s">
        <v>462</v>
      </c>
      <c r="E3259" s="337" t="s">
        <v>63</v>
      </c>
      <c r="F3259" s="311" t="s">
        <v>258</v>
      </c>
      <c r="G3259" s="311" t="s">
        <v>23</v>
      </c>
      <c r="H3259" s="311" t="s">
        <v>353</v>
      </c>
      <c r="I3259" s="311" t="s">
        <v>66</v>
      </c>
      <c r="J3259" s="50" t="s">
        <v>1892</v>
      </c>
      <c r="K3259" s="50" t="s">
        <v>1892</v>
      </c>
      <c r="L3259" s="50" t="s">
        <v>1893</v>
      </c>
      <c r="M3259" s="50" t="s">
        <v>5846</v>
      </c>
      <c r="N3259" s="50" t="s">
        <v>5846</v>
      </c>
      <c r="O3259" s="50" t="s">
        <v>5799</v>
      </c>
      <c r="P3259" s="50" t="s">
        <v>5846</v>
      </c>
    </row>
    <row r="3260" spans="1:16" ht="12.75" customHeight="1" x14ac:dyDescent="0.25">
      <c r="A3260" s="311">
        <v>3257</v>
      </c>
      <c r="B3260" s="311" t="s">
        <v>140</v>
      </c>
      <c r="C3260" s="311" t="s">
        <v>140</v>
      </c>
      <c r="D3260" s="311" t="s">
        <v>462</v>
      </c>
      <c r="E3260" s="337" t="s">
        <v>140</v>
      </c>
      <c r="F3260" s="311" t="s">
        <v>258</v>
      </c>
      <c r="G3260" s="311" t="s">
        <v>23</v>
      </c>
      <c r="H3260" s="311" t="s">
        <v>353</v>
      </c>
      <c r="I3260" s="311" t="s">
        <v>66</v>
      </c>
      <c r="J3260" s="50" t="s">
        <v>1892</v>
      </c>
      <c r="K3260" s="50" t="s">
        <v>1892</v>
      </c>
      <c r="L3260" s="50" t="s">
        <v>1893</v>
      </c>
      <c r="M3260" s="50" t="s">
        <v>5847</v>
      </c>
      <c r="N3260" s="50" t="s">
        <v>5847</v>
      </c>
      <c r="O3260" s="50" t="s">
        <v>5799</v>
      </c>
      <c r="P3260" s="50" t="s">
        <v>5847</v>
      </c>
    </row>
    <row r="3261" spans="1:16" ht="12.75" customHeight="1" x14ac:dyDescent="0.25">
      <c r="A3261" s="311">
        <v>3258</v>
      </c>
      <c r="B3261" s="311" t="s">
        <v>121</v>
      </c>
      <c r="C3261" s="311" t="s">
        <v>121</v>
      </c>
      <c r="D3261" s="311" t="s">
        <v>462</v>
      </c>
      <c r="E3261" s="337" t="s">
        <v>121</v>
      </c>
      <c r="F3261" s="311" t="s">
        <v>258</v>
      </c>
      <c r="G3261" s="311" t="s">
        <v>23</v>
      </c>
      <c r="H3261" s="311" t="s">
        <v>353</v>
      </c>
      <c r="I3261" s="311" t="s">
        <v>66</v>
      </c>
      <c r="J3261" s="50" t="s">
        <v>1892</v>
      </c>
      <c r="K3261" s="50" t="s">
        <v>1892</v>
      </c>
      <c r="L3261" s="50" t="s">
        <v>1893</v>
      </c>
      <c r="M3261" s="50" t="s">
        <v>5848</v>
      </c>
      <c r="N3261" s="50" t="s">
        <v>5848</v>
      </c>
      <c r="O3261" s="50" t="s">
        <v>5799</v>
      </c>
      <c r="P3261" s="50" t="s">
        <v>5848</v>
      </c>
    </row>
    <row r="3262" spans="1:16" ht="12.75" customHeight="1" x14ac:dyDescent="0.25">
      <c r="A3262" s="311">
        <v>3259</v>
      </c>
      <c r="B3262" s="311" t="s">
        <v>87</v>
      </c>
      <c r="C3262" s="311" t="s">
        <v>87</v>
      </c>
      <c r="D3262" s="311" t="s">
        <v>462</v>
      </c>
      <c r="E3262" s="337" t="s">
        <v>87</v>
      </c>
      <c r="F3262" s="311" t="s">
        <v>258</v>
      </c>
      <c r="G3262" s="311" t="s">
        <v>23</v>
      </c>
      <c r="H3262" s="311" t="s">
        <v>353</v>
      </c>
      <c r="I3262" s="311" t="s">
        <v>66</v>
      </c>
      <c r="J3262" s="50" t="s">
        <v>1892</v>
      </c>
      <c r="K3262" s="50" t="s">
        <v>1892</v>
      </c>
      <c r="L3262" s="50" t="s">
        <v>1893</v>
      </c>
      <c r="M3262" s="50" t="s">
        <v>5849</v>
      </c>
      <c r="N3262" s="50" t="s">
        <v>5849</v>
      </c>
      <c r="O3262" s="50" t="s">
        <v>5799</v>
      </c>
      <c r="P3262" s="50" t="s">
        <v>5849</v>
      </c>
    </row>
    <row r="3263" spans="1:16" ht="12.75" customHeight="1" x14ac:dyDescent="0.25">
      <c r="A3263" s="311">
        <v>3260</v>
      </c>
      <c r="B3263" s="311" t="s">
        <v>125</v>
      </c>
      <c r="C3263" s="311" t="s">
        <v>125</v>
      </c>
      <c r="D3263" s="311" t="s">
        <v>125</v>
      </c>
      <c r="E3263" s="337" t="s">
        <v>125</v>
      </c>
      <c r="F3263" s="311" t="s">
        <v>258</v>
      </c>
      <c r="G3263" s="311" t="s">
        <v>23</v>
      </c>
      <c r="H3263" s="311" t="s">
        <v>353</v>
      </c>
      <c r="I3263" s="311" t="s">
        <v>66</v>
      </c>
      <c r="J3263" s="50" t="s">
        <v>1892</v>
      </c>
      <c r="K3263" s="50" t="s">
        <v>1892</v>
      </c>
      <c r="L3263" s="50" t="s">
        <v>1893</v>
      </c>
      <c r="M3263" s="50" t="s">
        <v>5850</v>
      </c>
      <c r="N3263" s="50" t="s">
        <v>5850</v>
      </c>
      <c r="O3263" s="50" t="s">
        <v>5850</v>
      </c>
      <c r="P3263" s="50" t="s">
        <v>5850</v>
      </c>
    </row>
    <row r="3264" spans="1:16" ht="12.75" customHeight="1" x14ac:dyDescent="0.25">
      <c r="A3264" s="311">
        <v>3261</v>
      </c>
      <c r="B3264" s="311" t="s">
        <v>134</v>
      </c>
      <c r="C3264" s="311" t="s">
        <v>134</v>
      </c>
      <c r="D3264" s="311" t="s">
        <v>134</v>
      </c>
      <c r="E3264" s="337" t="s">
        <v>134</v>
      </c>
      <c r="F3264" s="311" t="s">
        <v>258</v>
      </c>
      <c r="G3264" s="311" t="s">
        <v>23</v>
      </c>
      <c r="H3264" s="311" t="s">
        <v>353</v>
      </c>
      <c r="I3264" s="311" t="s">
        <v>66</v>
      </c>
      <c r="J3264" s="50" t="s">
        <v>1892</v>
      </c>
      <c r="K3264" s="50" t="s">
        <v>1892</v>
      </c>
      <c r="L3264" s="50" t="s">
        <v>1893</v>
      </c>
      <c r="M3264" s="50" t="s">
        <v>5851</v>
      </c>
      <c r="N3264" s="50" t="s">
        <v>5851</v>
      </c>
      <c r="O3264" s="50" t="s">
        <v>5851</v>
      </c>
      <c r="P3264" s="50" t="s">
        <v>5851</v>
      </c>
    </row>
    <row r="3265" spans="1:16" ht="12.75" customHeight="1" x14ac:dyDescent="0.25">
      <c r="A3265" s="311">
        <v>3262</v>
      </c>
      <c r="B3265" s="311" t="s">
        <v>141</v>
      </c>
      <c r="C3265" s="311" t="s">
        <v>141</v>
      </c>
      <c r="D3265" s="311" t="s">
        <v>141</v>
      </c>
      <c r="E3265" s="337" t="s">
        <v>141</v>
      </c>
      <c r="F3265" s="311" t="s">
        <v>258</v>
      </c>
      <c r="G3265" s="311" t="s">
        <v>23</v>
      </c>
      <c r="H3265" s="311" t="s">
        <v>353</v>
      </c>
      <c r="I3265" s="311" t="s">
        <v>66</v>
      </c>
      <c r="J3265" s="50" t="s">
        <v>1892</v>
      </c>
      <c r="K3265" s="50" t="s">
        <v>1892</v>
      </c>
      <c r="L3265" s="50" t="s">
        <v>1893</v>
      </c>
      <c r="M3265" s="50" t="s">
        <v>5852</v>
      </c>
      <c r="N3265" s="50" t="s">
        <v>5852</v>
      </c>
      <c r="O3265" s="50" t="s">
        <v>5852</v>
      </c>
      <c r="P3265" s="50" t="s">
        <v>5852</v>
      </c>
    </row>
    <row r="3266" spans="1:16" ht="12.75" customHeight="1" x14ac:dyDescent="0.25">
      <c r="A3266" s="311">
        <v>3263</v>
      </c>
      <c r="B3266" s="311" t="s">
        <v>69</v>
      </c>
      <c r="C3266" s="311" t="s">
        <v>69</v>
      </c>
      <c r="D3266" s="311" t="s">
        <v>69</v>
      </c>
      <c r="E3266" s="337" t="s">
        <v>69</v>
      </c>
      <c r="F3266" s="311" t="s">
        <v>258</v>
      </c>
      <c r="G3266" s="311" t="s">
        <v>23</v>
      </c>
      <c r="H3266" s="311" t="s">
        <v>353</v>
      </c>
      <c r="I3266" s="311" t="s">
        <v>66</v>
      </c>
      <c r="J3266" s="50" t="s">
        <v>1892</v>
      </c>
      <c r="K3266" s="50" t="s">
        <v>1892</v>
      </c>
      <c r="L3266" s="50" t="s">
        <v>1893</v>
      </c>
      <c r="M3266" s="50" t="s">
        <v>5853</v>
      </c>
      <c r="N3266" s="50" t="s">
        <v>5853</v>
      </c>
      <c r="O3266" s="50" t="s">
        <v>5853</v>
      </c>
      <c r="P3266" s="50" t="s">
        <v>5853</v>
      </c>
    </row>
    <row r="3267" spans="1:16" ht="12.75" customHeight="1" x14ac:dyDescent="0.25">
      <c r="A3267" s="311">
        <v>3264</v>
      </c>
      <c r="B3267" s="311" t="s">
        <v>63</v>
      </c>
      <c r="C3267" s="311" t="s">
        <v>63</v>
      </c>
      <c r="D3267" s="311" t="s">
        <v>462</v>
      </c>
      <c r="E3267" s="337" t="s">
        <v>63</v>
      </c>
      <c r="F3267" s="311" t="s">
        <v>258</v>
      </c>
      <c r="G3267" s="311" t="s">
        <v>237</v>
      </c>
      <c r="H3267" s="311" t="s">
        <v>353</v>
      </c>
      <c r="I3267" s="311" t="s">
        <v>66</v>
      </c>
      <c r="J3267" s="50" t="s">
        <v>1892</v>
      </c>
      <c r="K3267" s="50" t="s">
        <v>1892</v>
      </c>
      <c r="L3267" s="50" t="s">
        <v>1893</v>
      </c>
      <c r="M3267" s="50" t="s">
        <v>5854</v>
      </c>
      <c r="N3267" s="50" t="s">
        <v>5854</v>
      </c>
      <c r="O3267" s="50" t="s">
        <v>5807</v>
      </c>
      <c r="P3267" s="50" t="s">
        <v>5854</v>
      </c>
    </row>
    <row r="3268" spans="1:16" ht="12.75" customHeight="1" x14ac:dyDescent="0.25">
      <c r="A3268" s="311">
        <v>3265</v>
      </c>
      <c r="B3268" s="311" t="s">
        <v>140</v>
      </c>
      <c r="C3268" s="311" t="s">
        <v>140</v>
      </c>
      <c r="D3268" s="311" t="s">
        <v>462</v>
      </c>
      <c r="E3268" s="337" t="s">
        <v>140</v>
      </c>
      <c r="F3268" s="311" t="s">
        <v>258</v>
      </c>
      <c r="G3268" s="311" t="s">
        <v>237</v>
      </c>
      <c r="H3268" s="311" t="s">
        <v>353</v>
      </c>
      <c r="I3268" s="311" t="s">
        <v>66</v>
      </c>
      <c r="J3268" s="50" t="s">
        <v>1892</v>
      </c>
      <c r="K3268" s="50" t="s">
        <v>1892</v>
      </c>
      <c r="L3268" s="50" t="s">
        <v>1893</v>
      </c>
      <c r="M3268" s="50" t="s">
        <v>5855</v>
      </c>
      <c r="N3268" s="50" t="s">
        <v>5855</v>
      </c>
      <c r="O3268" s="50" t="s">
        <v>5807</v>
      </c>
      <c r="P3268" s="50" t="s">
        <v>5855</v>
      </c>
    </row>
    <row r="3269" spans="1:16" ht="12.75" customHeight="1" x14ac:dyDescent="0.25">
      <c r="A3269" s="311">
        <v>3266</v>
      </c>
      <c r="B3269" s="311" t="s">
        <v>121</v>
      </c>
      <c r="C3269" s="311" t="s">
        <v>121</v>
      </c>
      <c r="D3269" s="311" t="s">
        <v>462</v>
      </c>
      <c r="E3269" s="337" t="s">
        <v>121</v>
      </c>
      <c r="F3269" s="311" t="s">
        <v>258</v>
      </c>
      <c r="G3269" s="311" t="s">
        <v>237</v>
      </c>
      <c r="H3269" s="311" t="s">
        <v>353</v>
      </c>
      <c r="I3269" s="311" t="s">
        <v>66</v>
      </c>
      <c r="J3269" s="50" t="s">
        <v>1892</v>
      </c>
      <c r="K3269" s="50" t="s">
        <v>1892</v>
      </c>
      <c r="L3269" s="50" t="s">
        <v>1893</v>
      </c>
      <c r="M3269" s="50" t="s">
        <v>5856</v>
      </c>
      <c r="N3269" s="50" t="s">
        <v>5856</v>
      </c>
      <c r="O3269" s="50" t="s">
        <v>5807</v>
      </c>
      <c r="P3269" s="50" t="s">
        <v>5856</v>
      </c>
    </row>
    <row r="3270" spans="1:16" ht="12.75" customHeight="1" x14ac:dyDescent="0.25">
      <c r="A3270" s="311">
        <v>3267</v>
      </c>
      <c r="B3270" s="311" t="s">
        <v>87</v>
      </c>
      <c r="C3270" s="311" t="s">
        <v>87</v>
      </c>
      <c r="D3270" s="311" t="s">
        <v>462</v>
      </c>
      <c r="E3270" s="337" t="s">
        <v>87</v>
      </c>
      <c r="F3270" s="311" t="s">
        <v>258</v>
      </c>
      <c r="G3270" s="311" t="s">
        <v>237</v>
      </c>
      <c r="H3270" s="311" t="s">
        <v>353</v>
      </c>
      <c r="I3270" s="311" t="s">
        <v>66</v>
      </c>
      <c r="J3270" s="50" t="s">
        <v>1892</v>
      </c>
      <c r="K3270" s="50" t="s">
        <v>1892</v>
      </c>
      <c r="L3270" s="50" t="s">
        <v>1893</v>
      </c>
      <c r="M3270" s="50" t="s">
        <v>5857</v>
      </c>
      <c r="N3270" s="50" t="s">
        <v>5857</v>
      </c>
      <c r="O3270" s="50" t="s">
        <v>5807</v>
      </c>
      <c r="P3270" s="50" t="s">
        <v>5857</v>
      </c>
    </row>
    <row r="3271" spans="1:16" ht="12.75" customHeight="1" x14ac:dyDescent="0.25">
      <c r="A3271" s="311">
        <v>3268</v>
      </c>
      <c r="B3271" s="311" t="s">
        <v>125</v>
      </c>
      <c r="C3271" s="311" t="s">
        <v>125</v>
      </c>
      <c r="D3271" s="311" t="s">
        <v>125</v>
      </c>
      <c r="E3271" s="337" t="s">
        <v>125</v>
      </c>
      <c r="F3271" s="311" t="s">
        <v>258</v>
      </c>
      <c r="G3271" s="311" t="s">
        <v>237</v>
      </c>
      <c r="H3271" s="311" t="s">
        <v>353</v>
      </c>
      <c r="I3271" s="311" t="s">
        <v>66</v>
      </c>
      <c r="J3271" s="50" t="s">
        <v>1892</v>
      </c>
      <c r="K3271" s="50" t="s">
        <v>1892</v>
      </c>
      <c r="L3271" s="50" t="s">
        <v>1893</v>
      </c>
      <c r="M3271" s="50" t="s">
        <v>5858</v>
      </c>
      <c r="N3271" s="50" t="s">
        <v>5858</v>
      </c>
      <c r="O3271" s="50" t="s">
        <v>5858</v>
      </c>
      <c r="P3271" s="50" t="s">
        <v>5858</v>
      </c>
    </row>
    <row r="3272" spans="1:16" ht="12.75" customHeight="1" x14ac:dyDescent="0.25">
      <c r="A3272" s="311">
        <v>3269</v>
      </c>
      <c r="B3272" s="311" t="s">
        <v>134</v>
      </c>
      <c r="C3272" s="311" t="s">
        <v>134</v>
      </c>
      <c r="D3272" s="311" t="s">
        <v>134</v>
      </c>
      <c r="E3272" s="337" t="s">
        <v>134</v>
      </c>
      <c r="F3272" s="311" t="s">
        <v>258</v>
      </c>
      <c r="G3272" s="311" t="s">
        <v>237</v>
      </c>
      <c r="H3272" s="311" t="s">
        <v>353</v>
      </c>
      <c r="I3272" s="311" t="s">
        <v>66</v>
      </c>
      <c r="J3272" s="50" t="s">
        <v>1892</v>
      </c>
      <c r="K3272" s="50" t="s">
        <v>1892</v>
      </c>
      <c r="L3272" s="50" t="s">
        <v>1893</v>
      </c>
      <c r="M3272" s="50" t="s">
        <v>5859</v>
      </c>
      <c r="N3272" s="50" t="s">
        <v>5859</v>
      </c>
      <c r="O3272" s="50" t="s">
        <v>5859</v>
      </c>
      <c r="P3272" s="50" t="s">
        <v>5859</v>
      </c>
    </row>
    <row r="3273" spans="1:16" ht="12.75" customHeight="1" x14ac:dyDescent="0.25">
      <c r="A3273" s="311">
        <v>3270</v>
      </c>
      <c r="B3273" s="311" t="s">
        <v>141</v>
      </c>
      <c r="C3273" s="311" t="s">
        <v>141</v>
      </c>
      <c r="D3273" s="311" t="s">
        <v>141</v>
      </c>
      <c r="E3273" s="337" t="s">
        <v>141</v>
      </c>
      <c r="F3273" s="311" t="s">
        <v>258</v>
      </c>
      <c r="G3273" s="311" t="s">
        <v>237</v>
      </c>
      <c r="H3273" s="311" t="s">
        <v>353</v>
      </c>
      <c r="I3273" s="311" t="s">
        <v>66</v>
      </c>
      <c r="J3273" s="50" t="s">
        <v>1892</v>
      </c>
      <c r="K3273" s="50" t="s">
        <v>1892</v>
      </c>
      <c r="L3273" s="50" t="s">
        <v>1893</v>
      </c>
      <c r="M3273" s="50" t="s">
        <v>5860</v>
      </c>
      <c r="N3273" s="50" t="s">
        <v>5860</v>
      </c>
      <c r="O3273" s="50" t="s">
        <v>5860</v>
      </c>
      <c r="P3273" s="50" t="s">
        <v>5860</v>
      </c>
    </row>
    <row r="3274" spans="1:16" ht="12.75" customHeight="1" x14ac:dyDescent="0.25">
      <c r="A3274" s="311">
        <v>3271</v>
      </c>
      <c r="B3274" s="311" t="s">
        <v>69</v>
      </c>
      <c r="C3274" s="311" t="s">
        <v>69</v>
      </c>
      <c r="D3274" s="311" t="s">
        <v>69</v>
      </c>
      <c r="E3274" s="337" t="s">
        <v>69</v>
      </c>
      <c r="F3274" s="311" t="s">
        <v>258</v>
      </c>
      <c r="G3274" s="311" t="s">
        <v>237</v>
      </c>
      <c r="H3274" s="311" t="s">
        <v>353</v>
      </c>
      <c r="I3274" s="311" t="s">
        <v>66</v>
      </c>
      <c r="J3274" s="50" t="s">
        <v>1892</v>
      </c>
      <c r="K3274" s="50" t="s">
        <v>1892</v>
      </c>
      <c r="L3274" s="50" t="s">
        <v>1893</v>
      </c>
      <c r="M3274" s="50" t="s">
        <v>5861</v>
      </c>
      <c r="N3274" s="50" t="s">
        <v>5861</v>
      </c>
      <c r="O3274" s="50" t="s">
        <v>5861</v>
      </c>
      <c r="P3274" s="50" t="s">
        <v>5861</v>
      </c>
    </row>
    <row r="3275" spans="1:16" s="39" customFormat="1" ht="12.75" customHeight="1" x14ac:dyDescent="0.25">
      <c r="A3275" s="311">
        <v>3272</v>
      </c>
      <c r="B3275" s="311" t="s">
        <v>84</v>
      </c>
      <c r="C3275" s="311" t="s">
        <v>462</v>
      </c>
      <c r="D3275" s="311" t="s">
        <v>462</v>
      </c>
      <c r="E3275" s="337" t="s">
        <v>462</v>
      </c>
      <c r="F3275" s="311" t="s">
        <v>107</v>
      </c>
      <c r="G3275" s="311"/>
      <c r="H3275" s="311" t="s">
        <v>345</v>
      </c>
      <c r="I3275" s="311" t="s">
        <v>56</v>
      </c>
      <c r="J3275" s="50" t="s">
        <v>1892</v>
      </c>
      <c r="K3275" s="50" t="s">
        <v>1892</v>
      </c>
      <c r="L3275" s="50" t="s">
        <v>1893</v>
      </c>
      <c r="M3275" s="50" t="s">
        <v>5862</v>
      </c>
      <c r="N3275" s="50" t="s">
        <v>5863</v>
      </c>
      <c r="O3275" s="50" t="s">
        <v>5863</v>
      </c>
      <c r="P3275" s="50" t="s">
        <v>5863</v>
      </c>
    </row>
    <row r="3276" spans="1:16" s="39" customFormat="1" ht="12.75" customHeight="1" x14ac:dyDescent="0.25">
      <c r="A3276" s="311">
        <v>3273</v>
      </c>
      <c r="B3276" s="311" t="s">
        <v>123</v>
      </c>
      <c r="C3276" s="311" t="s">
        <v>462</v>
      </c>
      <c r="D3276" s="311" t="s">
        <v>462</v>
      </c>
      <c r="E3276" s="337" t="s">
        <v>462</v>
      </c>
      <c r="F3276" s="311" t="s">
        <v>107</v>
      </c>
      <c r="G3276" s="311"/>
      <c r="H3276" s="311" t="s">
        <v>345</v>
      </c>
      <c r="I3276" s="311" t="s">
        <v>56</v>
      </c>
      <c r="J3276" s="50" t="s">
        <v>1892</v>
      </c>
      <c r="K3276" s="50" t="s">
        <v>1892</v>
      </c>
      <c r="L3276" s="50" t="s">
        <v>1893</v>
      </c>
      <c r="M3276" s="50" t="s">
        <v>5864</v>
      </c>
      <c r="N3276" s="50" t="s">
        <v>5863</v>
      </c>
      <c r="O3276" s="50" t="s">
        <v>5863</v>
      </c>
      <c r="P3276" s="50" t="s">
        <v>5863</v>
      </c>
    </row>
    <row r="3277" spans="1:16" s="39" customFormat="1" ht="12.75" customHeight="1" x14ac:dyDescent="0.25">
      <c r="A3277" s="311">
        <v>3274</v>
      </c>
      <c r="B3277" s="311" t="s">
        <v>75</v>
      </c>
      <c r="C3277" s="311" t="s">
        <v>462</v>
      </c>
      <c r="D3277" s="311" t="s">
        <v>462</v>
      </c>
      <c r="E3277" s="337" t="s">
        <v>462</v>
      </c>
      <c r="F3277" s="311" t="s">
        <v>107</v>
      </c>
      <c r="G3277" s="311"/>
      <c r="H3277" s="311" t="s">
        <v>345</v>
      </c>
      <c r="I3277" s="311" t="s">
        <v>56</v>
      </c>
      <c r="J3277" s="50" t="s">
        <v>1892</v>
      </c>
      <c r="K3277" s="50" t="s">
        <v>1892</v>
      </c>
      <c r="L3277" s="50" t="s">
        <v>1893</v>
      </c>
      <c r="M3277" s="50" t="s">
        <v>5865</v>
      </c>
      <c r="N3277" s="50" t="s">
        <v>5863</v>
      </c>
      <c r="O3277" s="50" t="s">
        <v>5863</v>
      </c>
      <c r="P3277" s="50" t="s">
        <v>5863</v>
      </c>
    </row>
    <row r="3278" spans="1:16" s="39" customFormat="1" ht="12.75" customHeight="1" x14ac:dyDescent="0.25">
      <c r="A3278" s="311">
        <v>3275</v>
      </c>
      <c r="B3278" s="311" t="s">
        <v>63</v>
      </c>
      <c r="C3278" s="311" t="s">
        <v>63</v>
      </c>
      <c r="D3278" s="311" t="s">
        <v>462</v>
      </c>
      <c r="E3278" s="337" t="s">
        <v>63</v>
      </c>
      <c r="F3278" s="311" t="s">
        <v>107</v>
      </c>
      <c r="G3278" s="311"/>
      <c r="H3278" s="311" t="s">
        <v>345</v>
      </c>
      <c r="I3278" s="311" t="s">
        <v>56</v>
      </c>
      <c r="J3278" s="50" t="s">
        <v>1892</v>
      </c>
      <c r="K3278" s="50" t="s">
        <v>1892</v>
      </c>
      <c r="L3278" s="50" t="s">
        <v>1893</v>
      </c>
      <c r="M3278" s="50" t="s">
        <v>5866</v>
      </c>
      <c r="N3278" s="50" t="s">
        <v>5866</v>
      </c>
      <c r="O3278" s="50" t="s">
        <v>5863</v>
      </c>
      <c r="P3278" s="50" t="s">
        <v>5866</v>
      </c>
    </row>
    <row r="3279" spans="1:16" s="39" customFormat="1" ht="12.75" customHeight="1" x14ac:dyDescent="0.25">
      <c r="A3279" s="311">
        <v>3276</v>
      </c>
      <c r="B3279" s="311" t="s">
        <v>140</v>
      </c>
      <c r="C3279" s="311" t="s">
        <v>140</v>
      </c>
      <c r="D3279" s="311" t="s">
        <v>462</v>
      </c>
      <c r="E3279" s="337" t="s">
        <v>140</v>
      </c>
      <c r="F3279" s="311" t="s">
        <v>107</v>
      </c>
      <c r="G3279" s="311"/>
      <c r="H3279" s="311" t="s">
        <v>345</v>
      </c>
      <c r="I3279" s="311" t="s">
        <v>56</v>
      </c>
      <c r="J3279" s="50" t="s">
        <v>1892</v>
      </c>
      <c r="K3279" s="50" t="s">
        <v>1892</v>
      </c>
      <c r="L3279" s="50" t="s">
        <v>1893</v>
      </c>
      <c r="M3279" s="50" t="s">
        <v>5867</v>
      </c>
      <c r="N3279" s="50" t="s">
        <v>5867</v>
      </c>
      <c r="O3279" s="50" t="s">
        <v>5863</v>
      </c>
      <c r="P3279" s="50" t="s">
        <v>5867</v>
      </c>
    </row>
    <row r="3280" spans="1:16" s="39" customFormat="1" ht="12.75" customHeight="1" x14ac:dyDescent="0.25">
      <c r="A3280" s="311">
        <v>3277</v>
      </c>
      <c r="B3280" s="311" t="s">
        <v>121</v>
      </c>
      <c r="C3280" s="311" t="s">
        <v>121</v>
      </c>
      <c r="D3280" s="311" t="s">
        <v>462</v>
      </c>
      <c r="E3280" s="337" t="s">
        <v>121</v>
      </c>
      <c r="F3280" s="311" t="s">
        <v>107</v>
      </c>
      <c r="G3280" s="311"/>
      <c r="H3280" s="311" t="s">
        <v>345</v>
      </c>
      <c r="I3280" s="311" t="s">
        <v>56</v>
      </c>
      <c r="J3280" s="50" t="s">
        <v>1892</v>
      </c>
      <c r="K3280" s="50" t="s">
        <v>1892</v>
      </c>
      <c r="L3280" s="50" t="s">
        <v>1893</v>
      </c>
      <c r="M3280" s="50" t="s">
        <v>5868</v>
      </c>
      <c r="N3280" s="50" t="s">
        <v>5868</v>
      </c>
      <c r="O3280" s="50" t="s">
        <v>5863</v>
      </c>
      <c r="P3280" s="50" t="s">
        <v>5868</v>
      </c>
    </row>
    <row r="3281" spans="1:16" s="39" customFormat="1" ht="12.75" customHeight="1" x14ac:dyDescent="0.25">
      <c r="A3281" s="311">
        <v>3278</v>
      </c>
      <c r="B3281" s="311" t="s">
        <v>87</v>
      </c>
      <c r="C3281" s="311" t="s">
        <v>87</v>
      </c>
      <c r="D3281" s="311" t="s">
        <v>462</v>
      </c>
      <c r="E3281" s="337" t="s">
        <v>87</v>
      </c>
      <c r="F3281" s="311" t="s">
        <v>107</v>
      </c>
      <c r="G3281" s="311"/>
      <c r="H3281" s="311" t="s">
        <v>345</v>
      </c>
      <c r="I3281" s="311" t="s">
        <v>56</v>
      </c>
      <c r="J3281" s="50" t="s">
        <v>1892</v>
      </c>
      <c r="K3281" s="50" t="s">
        <v>1892</v>
      </c>
      <c r="L3281" s="50" t="s">
        <v>1893</v>
      </c>
      <c r="M3281" s="50" t="s">
        <v>5869</v>
      </c>
      <c r="N3281" s="50" t="s">
        <v>5869</v>
      </c>
      <c r="O3281" s="50" t="s">
        <v>5863</v>
      </c>
      <c r="P3281" s="50" t="s">
        <v>5869</v>
      </c>
    </row>
    <row r="3282" spans="1:16" s="39" customFormat="1" ht="12.75" customHeight="1" x14ac:dyDescent="0.25">
      <c r="A3282" s="311">
        <v>3279</v>
      </c>
      <c r="B3282" s="311" t="s">
        <v>125</v>
      </c>
      <c r="C3282" s="311" t="s">
        <v>125</v>
      </c>
      <c r="D3282" s="311" t="s">
        <v>125</v>
      </c>
      <c r="E3282" s="337" t="s">
        <v>125</v>
      </c>
      <c r="F3282" s="311" t="s">
        <v>107</v>
      </c>
      <c r="G3282" s="311"/>
      <c r="H3282" s="311" t="s">
        <v>345</v>
      </c>
      <c r="I3282" s="311" t="s">
        <v>56</v>
      </c>
      <c r="J3282" s="50" t="s">
        <v>1892</v>
      </c>
      <c r="K3282" s="50" t="s">
        <v>1892</v>
      </c>
      <c r="L3282" s="50" t="s">
        <v>1893</v>
      </c>
      <c r="M3282" s="50" t="s">
        <v>5870</v>
      </c>
      <c r="N3282" s="50" t="s">
        <v>5870</v>
      </c>
      <c r="O3282" s="50" t="s">
        <v>5870</v>
      </c>
      <c r="P3282" s="50" t="s">
        <v>5870</v>
      </c>
    </row>
    <row r="3283" spans="1:16" s="39" customFormat="1" ht="12.75" customHeight="1" x14ac:dyDescent="0.25">
      <c r="A3283" s="311">
        <v>3280</v>
      </c>
      <c r="B3283" s="311" t="s">
        <v>134</v>
      </c>
      <c r="C3283" s="311" t="s">
        <v>134</v>
      </c>
      <c r="D3283" s="311" t="s">
        <v>134</v>
      </c>
      <c r="E3283" s="337" t="s">
        <v>134</v>
      </c>
      <c r="F3283" s="311" t="s">
        <v>107</v>
      </c>
      <c r="G3283" s="311"/>
      <c r="H3283" s="311" t="s">
        <v>345</v>
      </c>
      <c r="I3283" s="311" t="s">
        <v>56</v>
      </c>
      <c r="J3283" s="50" t="s">
        <v>1892</v>
      </c>
      <c r="K3283" s="50" t="s">
        <v>1892</v>
      </c>
      <c r="L3283" s="50" t="s">
        <v>1893</v>
      </c>
      <c r="M3283" s="50" t="s">
        <v>5871</v>
      </c>
      <c r="N3283" s="50" t="s">
        <v>5871</v>
      </c>
      <c r="O3283" s="50" t="s">
        <v>5871</v>
      </c>
      <c r="P3283" s="50" t="s">
        <v>5871</v>
      </c>
    </row>
    <row r="3284" spans="1:16" s="39" customFormat="1" ht="12.75" customHeight="1" x14ac:dyDescent="0.25">
      <c r="A3284" s="311">
        <v>3281</v>
      </c>
      <c r="B3284" s="311" t="s">
        <v>141</v>
      </c>
      <c r="C3284" s="311" t="s">
        <v>141</v>
      </c>
      <c r="D3284" s="311" t="s">
        <v>141</v>
      </c>
      <c r="E3284" s="337" t="s">
        <v>141</v>
      </c>
      <c r="F3284" s="311" t="s">
        <v>107</v>
      </c>
      <c r="G3284" s="311"/>
      <c r="H3284" s="311" t="s">
        <v>345</v>
      </c>
      <c r="I3284" s="311" t="s">
        <v>56</v>
      </c>
      <c r="J3284" s="50" t="s">
        <v>1892</v>
      </c>
      <c r="K3284" s="50" t="s">
        <v>1892</v>
      </c>
      <c r="L3284" s="50" t="s">
        <v>1893</v>
      </c>
      <c r="M3284" s="50" t="s">
        <v>5872</v>
      </c>
      <c r="N3284" s="50" t="s">
        <v>5872</v>
      </c>
      <c r="O3284" s="50" t="s">
        <v>5872</v>
      </c>
      <c r="P3284" s="50" t="s">
        <v>5872</v>
      </c>
    </row>
    <row r="3285" spans="1:16" s="39" customFormat="1" ht="12.75" customHeight="1" x14ac:dyDescent="0.25">
      <c r="A3285" s="311">
        <v>3282</v>
      </c>
      <c r="B3285" s="311" t="s">
        <v>69</v>
      </c>
      <c r="C3285" s="311" t="s">
        <v>69</v>
      </c>
      <c r="D3285" s="311" t="s">
        <v>69</v>
      </c>
      <c r="E3285" s="337" t="s">
        <v>69</v>
      </c>
      <c r="F3285" s="311" t="s">
        <v>107</v>
      </c>
      <c r="G3285" s="311"/>
      <c r="H3285" s="311" t="s">
        <v>345</v>
      </c>
      <c r="I3285" s="311" t="s">
        <v>56</v>
      </c>
      <c r="J3285" s="50" t="s">
        <v>1892</v>
      </c>
      <c r="K3285" s="50" t="s">
        <v>1892</v>
      </c>
      <c r="L3285" s="50" t="s">
        <v>1893</v>
      </c>
      <c r="M3285" s="50" t="s">
        <v>5873</v>
      </c>
      <c r="N3285" s="50" t="s">
        <v>5873</v>
      </c>
      <c r="O3285" s="50" t="s">
        <v>5873</v>
      </c>
      <c r="P3285" s="50" t="s">
        <v>5873</v>
      </c>
    </row>
    <row r="3286" spans="1:16" ht="12.75" customHeight="1" x14ac:dyDescent="0.25">
      <c r="A3286" s="311">
        <v>3305</v>
      </c>
      <c r="B3286" s="311" t="s">
        <v>84</v>
      </c>
      <c r="C3286" s="311" t="s">
        <v>462</v>
      </c>
      <c r="D3286" s="311" t="s">
        <v>462</v>
      </c>
      <c r="E3286" s="337" t="s">
        <v>462</v>
      </c>
      <c r="F3286" s="311" t="s">
        <v>101</v>
      </c>
      <c r="G3286" s="311" t="s">
        <v>236</v>
      </c>
      <c r="H3286" s="311" t="s">
        <v>343</v>
      </c>
      <c r="I3286" s="311" t="s">
        <v>56</v>
      </c>
      <c r="J3286" s="50" t="s">
        <v>1892</v>
      </c>
      <c r="K3286" s="50" t="s">
        <v>1892</v>
      </c>
      <c r="L3286" s="50" t="s">
        <v>1893</v>
      </c>
      <c r="M3286" s="50" t="s">
        <v>5874</v>
      </c>
      <c r="N3286" s="50" t="s">
        <v>5875</v>
      </c>
      <c r="O3286" s="50" t="s">
        <v>5875</v>
      </c>
      <c r="P3286" s="50" t="s">
        <v>5875</v>
      </c>
    </row>
    <row r="3287" spans="1:16" ht="12.75" customHeight="1" x14ac:dyDescent="0.25">
      <c r="A3287" s="311">
        <v>3306</v>
      </c>
      <c r="B3287" s="311" t="s">
        <v>123</v>
      </c>
      <c r="C3287" s="311" t="s">
        <v>462</v>
      </c>
      <c r="D3287" s="311" t="s">
        <v>462</v>
      </c>
      <c r="E3287" s="337" t="s">
        <v>462</v>
      </c>
      <c r="F3287" s="311" t="s">
        <v>101</v>
      </c>
      <c r="G3287" s="311" t="s">
        <v>236</v>
      </c>
      <c r="H3287" s="311" t="s">
        <v>343</v>
      </c>
      <c r="I3287" s="311" t="s">
        <v>56</v>
      </c>
      <c r="J3287" s="50" t="s">
        <v>1892</v>
      </c>
      <c r="K3287" s="50" t="s">
        <v>1892</v>
      </c>
      <c r="L3287" s="50" t="s">
        <v>1893</v>
      </c>
      <c r="M3287" s="50" t="s">
        <v>5876</v>
      </c>
      <c r="N3287" s="50" t="s">
        <v>5875</v>
      </c>
      <c r="O3287" s="50" t="s">
        <v>5875</v>
      </c>
      <c r="P3287" s="50" t="s">
        <v>5875</v>
      </c>
    </row>
    <row r="3288" spans="1:16" ht="12.75" customHeight="1" x14ac:dyDescent="0.25">
      <c r="A3288" s="311">
        <v>3307</v>
      </c>
      <c r="B3288" s="311" t="s">
        <v>75</v>
      </c>
      <c r="C3288" s="311" t="s">
        <v>462</v>
      </c>
      <c r="D3288" s="311" t="s">
        <v>462</v>
      </c>
      <c r="E3288" s="337" t="s">
        <v>462</v>
      </c>
      <c r="F3288" s="311" t="s">
        <v>101</v>
      </c>
      <c r="G3288" s="311" t="s">
        <v>236</v>
      </c>
      <c r="H3288" s="311" t="s">
        <v>343</v>
      </c>
      <c r="I3288" s="311" t="s">
        <v>56</v>
      </c>
      <c r="J3288" s="50" t="s">
        <v>1892</v>
      </c>
      <c r="K3288" s="50" t="s">
        <v>1892</v>
      </c>
      <c r="L3288" s="50" t="s">
        <v>1893</v>
      </c>
      <c r="M3288" s="50" t="s">
        <v>5877</v>
      </c>
      <c r="N3288" s="50" t="s">
        <v>5875</v>
      </c>
      <c r="O3288" s="50" t="s">
        <v>5875</v>
      </c>
      <c r="P3288" s="50" t="s">
        <v>5875</v>
      </c>
    </row>
    <row r="3289" spans="1:16" ht="12.75" customHeight="1" x14ac:dyDescent="0.25">
      <c r="A3289" s="311">
        <v>3308</v>
      </c>
      <c r="B3289" s="311" t="s">
        <v>63</v>
      </c>
      <c r="C3289" s="311" t="s">
        <v>63</v>
      </c>
      <c r="D3289" s="311" t="s">
        <v>462</v>
      </c>
      <c r="E3289" s="337" t="s">
        <v>63</v>
      </c>
      <c r="F3289" s="311" t="s">
        <v>101</v>
      </c>
      <c r="G3289" s="311" t="s">
        <v>236</v>
      </c>
      <c r="H3289" s="311" t="s">
        <v>881</v>
      </c>
      <c r="I3289" s="311" t="s">
        <v>66</v>
      </c>
      <c r="J3289" s="50" t="s">
        <v>1892</v>
      </c>
      <c r="K3289" s="50" t="s">
        <v>1892</v>
      </c>
      <c r="L3289" s="50" t="s">
        <v>1893</v>
      </c>
      <c r="M3289" s="50" t="s">
        <v>5878</v>
      </c>
      <c r="N3289" s="50" t="s">
        <v>5878</v>
      </c>
      <c r="O3289" s="50" t="s">
        <v>5875</v>
      </c>
      <c r="P3289" s="50" t="s">
        <v>5878</v>
      </c>
    </row>
    <row r="3290" spans="1:16" ht="12.75" customHeight="1" x14ac:dyDescent="0.25">
      <c r="A3290" s="311">
        <v>3309</v>
      </c>
      <c r="B3290" s="311" t="s">
        <v>140</v>
      </c>
      <c r="C3290" s="311" t="s">
        <v>140</v>
      </c>
      <c r="D3290" s="311" t="s">
        <v>462</v>
      </c>
      <c r="E3290" s="337" t="s">
        <v>140</v>
      </c>
      <c r="F3290" s="311" t="s">
        <v>101</v>
      </c>
      <c r="G3290" s="311" t="s">
        <v>236</v>
      </c>
      <c r="H3290" s="311" t="s">
        <v>881</v>
      </c>
      <c r="I3290" s="311" t="s">
        <v>66</v>
      </c>
      <c r="J3290" s="50" t="s">
        <v>1892</v>
      </c>
      <c r="K3290" s="50" t="s">
        <v>1892</v>
      </c>
      <c r="L3290" s="50" t="s">
        <v>1893</v>
      </c>
      <c r="M3290" s="50" t="s">
        <v>5879</v>
      </c>
      <c r="N3290" s="50" t="s">
        <v>5879</v>
      </c>
      <c r="O3290" s="50" t="s">
        <v>5875</v>
      </c>
      <c r="P3290" s="50" t="s">
        <v>5879</v>
      </c>
    </row>
    <row r="3291" spans="1:16" ht="12.75" customHeight="1" x14ac:dyDescent="0.25">
      <c r="A3291" s="311">
        <v>3310</v>
      </c>
      <c r="B3291" s="311" t="s">
        <v>121</v>
      </c>
      <c r="C3291" s="311" t="s">
        <v>121</v>
      </c>
      <c r="D3291" s="311" t="s">
        <v>462</v>
      </c>
      <c r="E3291" s="337" t="s">
        <v>121</v>
      </c>
      <c r="F3291" s="311" t="s">
        <v>101</v>
      </c>
      <c r="G3291" s="311" t="s">
        <v>236</v>
      </c>
      <c r="H3291" s="311" t="s">
        <v>881</v>
      </c>
      <c r="I3291" s="311" t="s">
        <v>66</v>
      </c>
      <c r="J3291" s="50" t="s">
        <v>1892</v>
      </c>
      <c r="K3291" s="50" t="s">
        <v>1892</v>
      </c>
      <c r="L3291" s="50" t="s">
        <v>1893</v>
      </c>
      <c r="M3291" s="50" t="s">
        <v>5880</v>
      </c>
      <c r="N3291" s="50" t="s">
        <v>5880</v>
      </c>
      <c r="O3291" s="50" t="s">
        <v>5875</v>
      </c>
      <c r="P3291" s="50" t="s">
        <v>5880</v>
      </c>
    </row>
    <row r="3292" spans="1:16" ht="12.75" customHeight="1" x14ac:dyDescent="0.25">
      <c r="A3292" s="311">
        <v>3311</v>
      </c>
      <c r="B3292" s="311" t="s">
        <v>87</v>
      </c>
      <c r="C3292" s="311" t="s">
        <v>87</v>
      </c>
      <c r="D3292" s="311" t="s">
        <v>462</v>
      </c>
      <c r="E3292" s="337" t="s">
        <v>87</v>
      </c>
      <c r="F3292" s="311" t="s">
        <v>101</v>
      </c>
      <c r="G3292" s="311" t="s">
        <v>236</v>
      </c>
      <c r="H3292" s="311" t="s">
        <v>881</v>
      </c>
      <c r="I3292" s="311" t="s">
        <v>66</v>
      </c>
      <c r="J3292" s="50" t="s">
        <v>1892</v>
      </c>
      <c r="K3292" s="50" t="s">
        <v>1892</v>
      </c>
      <c r="L3292" s="50" t="s">
        <v>1893</v>
      </c>
      <c r="M3292" s="50" t="s">
        <v>5881</v>
      </c>
      <c r="N3292" s="50" t="s">
        <v>5881</v>
      </c>
      <c r="O3292" s="50" t="s">
        <v>5875</v>
      </c>
      <c r="P3292" s="50" t="s">
        <v>5881</v>
      </c>
    </row>
    <row r="3293" spans="1:16" ht="12.75" customHeight="1" x14ac:dyDescent="0.25">
      <c r="A3293" s="311">
        <v>3312</v>
      </c>
      <c r="B3293" s="311" t="s">
        <v>125</v>
      </c>
      <c r="C3293" s="311" t="s">
        <v>125</v>
      </c>
      <c r="D3293" s="311" t="s">
        <v>125</v>
      </c>
      <c r="E3293" s="337" t="s">
        <v>125</v>
      </c>
      <c r="F3293" s="311" t="s">
        <v>101</v>
      </c>
      <c r="G3293" s="311" t="s">
        <v>236</v>
      </c>
      <c r="H3293" s="311" t="s">
        <v>881</v>
      </c>
      <c r="I3293" s="311" t="s">
        <v>66</v>
      </c>
      <c r="J3293" s="50" t="s">
        <v>1892</v>
      </c>
      <c r="K3293" s="50" t="s">
        <v>1892</v>
      </c>
      <c r="L3293" s="50" t="s">
        <v>1893</v>
      </c>
      <c r="M3293" s="50" t="s">
        <v>5882</v>
      </c>
      <c r="N3293" s="50" t="s">
        <v>5882</v>
      </c>
      <c r="O3293" s="50" t="s">
        <v>5882</v>
      </c>
      <c r="P3293" s="50" t="s">
        <v>5882</v>
      </c>
    </row>
    <row r="3294" spans="1:16" ht="12.75" customHeight="1" x14ac:dyDescent="0.25">
      <c r="A3294" s="311">
        <v>3313</v>
      </c>
      <c r="B3294" s="311" t="s">
        <v>134</v>
      </c>
      <c r="C3294" s="311" t="s">
        <v>134</v>
      </c>
      <c r="D3294" s="311" t="s">
        <v>134</v>
      </c>
      <c r="E3294" s="337" t="s">
        <v>134</v>
      </c>
      <c r="F3294" s="311" t="s">
        <v>101</v>
      </c>
      <c r="G3294" s="311" t="s">
        <v>236</v>
      </c>
      <c r="H3294" s="311" t="s">
        <v>881</v>
      </c>
      <c r="I3294" s="311" t="s">
        <v>66</v>
      </c>
      <c r="J3294" s="50" t="s">
        <v>1892</v>
      </c>
      <c r="K3294" s="50" t="s">
        <v>1892</v>
      </c>
      <c r="L3294" s="50" t="s">
        <v>1893</v>
      </c>
      <c r="M3294" s="50" t="s">
        <v>5883</v>
      </c>
      <c r="N3294" s="50" t="s">
        <v>5883</v>
      </c>
      <c r="O3294" s="50" t="s">
        <v>5883</v>
      </c>
      <c r="P3294" s="50" t="s">
        <v>5883</v>
      </c>
    </row>
    <row r="3295" spans="1:16" ht="12.75" customHeight="1" x14ac:dyDescent="0.25">
      <c r="A3295" s="311">
        <v>3314</v>
      </c>
      <c r="B3295" s="311" t="s">
        <v>141</v>
      </c>
      <c r="C3295" s="311" t="s">
        <v>141</v>
      </c>
      <c r="D3295" s="311" t="s">
        <v>141</v>
      </c>
      <c r="E3295" s="337" t="s">
        <v>141</v>
      </c>
      <c r="F3295" s="311" t="s">
        <v>101</v>
      </c>
      <c r="G3295" s="311" t="s">
        <v>236</v>
      </c>
      <c r="H3295" s="311" t="s">
        <v>881</v>
      </c>
      <c r="I3295" s="311" t="s">
        <v>66</v>
      </c>
      <c r="J3295" s="50" t="s">
        <v>1892</v>
      </c>
      <c r="K3295" s="50" t="s">
        <v>1892</v>
      </c>
      <c r="L3295" s="50" t="s">
        <v>1893</v>
      </c>
      <c r="M3295" s="50" t="s">
        <v>5884</v>
      </c>
      <c r="N3295" s="50" t="s">
        <v>5884</v>
      </c>
      <c r="O3295" s="50" t="s">
        <v>5884</v>
      </c>
      <c r="P3295" s="50" t="s">
        <v>5884</v>
      </c>
    </row>
    <row r="3296" spans="1:16" ht="12.75" customHeight="1" x14ac:dyDescent="0.25">
      <c r="A3296" s="311">
        <v>3315</v>
      </c>
      <c r="B3296" s="311" t="s">
        <v>69</v>
      </c>
      <c r="C3296" s="311" t="s">
        <v>69</v>
      </c>
      <c r="D3296" s="311" t="s">
        <v>69</v>
      </c>
      <c r="E3296" s="337" t="s">
        <v>69</v>
      </c>
      <c r="F3296" s="311" t="s">
        <v>101</v>
      </c>
      <c r="G3296" s="311" t="s">
        <v>236</v>
      </c>
      <c r="H3296" s="311" t="s">
        <v>881</v>
      </c>
      <c r="I3296" s="311" t="s">
        <v>66</v>
      </c>
      <c r="J3296" s="50" t="s">
        <v>1892</v>
      </c>
      <c r="K3296" s="50" t="s">
        <v>1892</v>
      </c>
      <c r="L3296" s="50" t="s">
        <v>1893</v>
      </c>
      <c r="M3296" s="50" t="s">
        <v>5885</v>
      </c>
      <c r="N3296" s="50" t="s">
        <v>5885</v>
      </c>
      <c r="O3296" s="50" t="s">
        <v>5885</v>
      </c>
      <c r="P3296" s="50" t="s">
        <v>5885</v>
      </c>
    </row>
    <row r="3297" spans="1:16" ht="12.75" customHeight="1" x14ac:dyDescent="0.25">
      <c r="A3297" s="311">
        <v>3316</v>
      </c>
      <c r="B3297" s="311" t="s">
        <v>84</v>
      </c>
      <c r="C3297" s="311" t="s">
        <v>462</v>
      </c>
      <c r="D3297" s="311" t="s">
        <v>462</v>
      </c>
      <c r="E3297" s="337" t="s">
        <v>462</v>
      </c>
      <c r="F3297" s="311" t="s">
        <v>101</v>
      </c>
      <c r="G3297" s="311" t="s">
        <v>23</v>
      </c>
      <c r="H3297" s="311" t="s">
        <v>343</v>
      </c>
      <c r="I3297" s="311" t="s">
        <v>56</v>
      </c>
      <c r="J3297" s="50" t="s">
        <v>1892</v>
      </c>
      <c r="K3297" s="50" t="s">
        <v>1892</v>
      </c>
      <c r="L3297" s="50" t="s">
        <v>1893</v>
      </c>
      <c r="M3297" s="50" t="s">
        <v>5886</v>
      </c>
      <c r="N3297" s="50" t="s">
        <v>5887</v>
      </c>
      <c r="O3297" s="50" t="s">
        <v>5887</v>
      </c>
      <c r="P3297" s="50" t="s">
        <v>5887</v>
      </c>
    </row>
    <row r="3298" spans="1:16" ht="12.75" customHeight="1" x14ac:dyDescent="0.25">
      <c r="A3298" s="311">
        <v>3317</v>
      </c>
      <c r="B3298" s="311" t="s">
        <v>123</v>
      </c>
      <c r="C3298" s="311" t="s">
        <v>462</v>
      </c>
      <c r="D3298" s="311" t="s">
        <v>462</v>
      </c>
      <c r="E3298" s="337" t="s">
        <v>462</v>
      </c>
      <c r="F3298" s="311" t="s">
        <v>101</v>
      </c>
      <c r="G3298" s="311" t="s">
        <v>23</v>
      </c>
      <c r="H3298" s="311" t="s">
        <v>343</v>
      </c>
      <c r="I3298" s="311" t="s">
        <v>56</v>
      </c>
      <c r="J3298" s="50" t="s">
        <v>1892</v>
      </c>
      <c r="K3298" s="50" t="s">
        <v>1892</v>
      </c>
      <c r="L3298" s="50" t="s">
        <v>1893</v>
      </c>
      <c r="M3298" s="50" t="s">
        <v>5888</v>
      </c>
      <c r="N3298" s="50" t="s">
        <v>5887</v>
      </c>
      <c r="O3298" s="50" t="s">
        <v>5887</v>
      </c>
      <c r="P3298" s="50" t="s">
        <v>5887</v>
      </c>
    </row>
    <row r="3299" spans="1:16" ht="12.75" customHeight="1" x14ac:dyDescent="0.25">
      <c r="A3299" s="311">
        <v>3318</v>
      </c>
      <c r="B3299" s="311" t="s">
        <v>75</v>
      </c>
      <c r="C3299" s="311" t="s">
        <v>462</v>
      </c>
      <c r="D3299" s="311" t="s">
        <v>462</v>
      </c>
      <c r="E3299" s="337" t="s">
        <v>462</v>
      </c>
      <c r="F3299" s="311" t="s">
        <v>101</v>
      </c>
      <c r="G3299" s="311" t="s">
        <v>23</v>
      </c>
      <c r="H3299" s="311" t="s">
        <v>343</v>
      </c>
      <c r="I3299" s="311" t="s">
        <v>56</v>
      </c>
      <c r="J3299" s="50" t="s">
        <v>1892</v>
      </c>
      <c r="K3299" s="50" t="s">
        <v>1892</v>
      </c>
      <c r="L3299" s="50" t="s">
        <v>1893</v>
      </c>
      <c r="M3299" s="50" t="s">
        <v>5889</v>
      </c>
      <c r="N3299" s="50" t="s">
        <v>5887</v>
      </c>
      <c r="O3299" s="50" t="s">
        <v>5887</v>
      </c>
      <c r="P3299" s="50" t="s">
        <v>5887</v>
      </c>
    </row>
    <row r="3300" spans="1:16" ht="12.75" customHeight="1" x14ac:dyDescent="0.25">
      <c r="A3300" s="311">
        <v>3319</v>
      </c>
      <c r="B3300" s="311" t="s">
        <v>63</v>
      </c>
      <c r="C3300" s="311" t="s">
        <v>63</v>
      </c>
      <c r="D3300" s="311" t="s">
        <v>462</v>
      </c>
      <c r="E3300" s="337" t="s">
        <v>63</v>
      </c>
      <c r="F3300" s="311" t="s">
        <v>101</v>
      </c>
      <c r="G3300" s="311" t="s">
        <v>23</v>
      </c>
      <c r="H3300" s="311" t="s">
        <v>881</v>
      </c>
      <c r="I3300" s="311" t="s">
        <v>66</v>
      </c>
      <c r="J3300" s="50" t="s">
        <v>1892</v>
      </c>
      <c r="K3300" s="50" t="s">
        <v>1892</v>
      </c>
      <c r="L3300" s="50" t="s">
        <v>1893</v>
      </c>
      <c r="M3300" s="50" t="s">
        <v>5890</v>
      </c>
      <c r="N3300" s="50" t="s">
        <v>5890</v>
      </c>
      <c r="O3300" s="50" t="s">
        <v>5887</v>
      </c>
      <c r="P3300" s="50" t="s">
        <v>5890</v>
      </c>
    </row>
    <row r="3301" spans="1:16" ht="12.75" customHeight="1" x14ac:dyDescent="0.25">
      <c r="A3301" s="311">
        <v>3320</v>
      </c>
      <c r="B3301" s="311" t="s">
        <v>140</v>
      </c>
      <c r="C3301" s="311" t="s">
        <v>140</v>
      </c>
      <c r="D3301" s="311" t="s">
        <v>462</v>
      </c>
      <c r="E3301" s="337" t="s">
        <v>140</v>
      </c>
      <c r="F3301" s="311" t="s">
        <v>101</v>
      </c>
      <c r="G3301" s="311" t="s">
        <v>23</v>
      </c>
      <c r="H3301" s="311" t="s">
        <v>881</v>
      </c>
      <c r="I3301" s="311" t="s">
        <v>66</v>
      </c>
      <c r="J3301" s="50" t="s">
        <v>1892</v>
      </c>
      <c r="K3301" s="50" t="s">
        <v>1892</v>
      </c>
      <c r="L3301" s="50" t="s">
        <v>1893</v>
      </c>
      <c r="M3301" s="50" t="s">
        <v>5891</v>
      </c>
      <c r="N3301" s="50" t="s">
        <v>5891</v>
      </c>
      <c r="O3301" s="50" t="s">
        <v>5887</v>
      </c>
      <c r="P3301" s="50" t="s">
        <v>5891</v>
      </c>
    </row>
    <row r="3302" spans="1:16" ht="12.75" customHeight="1" x14ac:dyDescent="0.25">
      <c r="A3302" s="311">
        <v>3321</v>
      </c>
      <c r="B3302" s="311" t="s">
        <v>121</v>
      </c>
      <c r="C3302" s="311" t="s">
        <v>121</v>
      </c>
      <c r="D3302" s="311" t="s">
        <v>462</v>
      </c>
      <c r="E3302" s="337" t="s">
        <v>121</v>
      </c>
      <c r="F3302" s="311" t="s">
        <v>101</v>
      </c>
      <c r="G3302" s="311" t="s">
        <v>23</v>
      </c>
      <c r="H3302" s="311" t="s">
        <v>881</v>
      </c>
      <c r="I3302" s="311" t="s">
        <v>66</v>
      </c>
      <c r="J3302" s="50" t="s">
        <v>1892</v>
      </c>
      <c r="K3302" s="50" t="s">
        <v>1892</v>
      </c>
      <c r="L3302" s="50" t="s">
        <v>1893</v>
      </c>
      <c r="M3302" s="50" t="s">
        <v>5892</v>
      </c>
      <c r="N3302" s="50" t="s">
        <v>5892</v>
      </c>
      <c r="O3302" s="50" t="s">
        <v>5887</v>
      </c>
      <c r="P3302" s="50" t="s">
        <v>5892</v>
      </c>
    </row>
    <row r="3303" spans="1:16" ht="12.75" customHeight="1" x14ac:dyDescent="0.25">
      <c r="A3303" s="311">
        <v>3322</v>
      </c>
      <c r="B3303" s="311" t="s">
        <v>87</v>
      </c>
      <c r="C3303" s="311" t="s">
        <v>87</v>
      </c>
      <c r="D3303" s="311" t="s">
        <v>462</v>
      </c>
      <c r="E3303" s="337" t="s">
        <v>87</v>
      </c>
      <c r="F3303" s="311" t="s">
        <v>101</v>
      </c>
      <c r="G3303" s="311" t="s">
        <v>23</v>
      </c>
      <c r="H3303" s="311" t="s">
        <v>881</v>
      </c>
      <c r="I3303" s="311" t="s">
        <v>66</v>
      </c>
      <c r="J3303" s="50" t="s">
        <v>1892</v>
      </c>
      <c r="K3303" s="50" t="s">
        <v>1892</v>
      </c>
      <c r="L3303" s="50" t="s">
        <v>1893</v>
      </c>
      <c r="M3303" s="50" t="s">
        <v>5893</v>
      </c>
      <c r="N3303" s="50" t="s">
        <v>5893</v>
      </c>
      <c r="O3303" s="50" t="s">
        <v>5887</v>
      </c>
      <c r="P3303" s="50" t="s">
        <v>5893</v>
      </c>
    </row>
    <row r="3304" spans="1:16" ht="12.75" customHeight="1" x14ac:dyDescent="0.25">
      <c r="A3304" s="311">
        <v>3323</v>
      </c>
      <c r="B3304" s="311" t="s">
        <v>125</v>
      </c>
      <c r="C3304" s="311" t="s">
        <v>125</v>
      </c>
      <c r="D3304" s="311" t="s">
        <v>125</v>
      </c>
      <c r="E3304" s="337" t="s">
        <v>125</v>
      </c>
      <c r="F3304" s="311" t="s">
        <v>101</v>
      </c>
      <c r="G3304" s="311" t="s">
        <v>23</v>
      </c>
      <c r="H3304" s="311" t="s">
        <v>881</v>
      </c>
      <c r="I3304" s="311" t="s">
        <v>66</v>
      </c>
      <c r="J3304" s="50" t="s">
        <v>1892</v>
      </c>
      <c r="K3304" s="50" t="s">
        <v>1892</v>
      </c>
      <c r="L3304" s="50" t="s">
        <v>1893</v>
      </c>
      <c r="M3304" s="50" t="s">
        <v>5894</v>
      </c>
      <c r="N3304" s="50" t="s">
        <v>5894</v>
      </c>
      <c r="O3304" s="50" t="s">
        <v>5894</v>
      </c>
      <c r="P3304" s="50" t="s">
        <v>5894</v>
      </c>
    </row>
    <row r="3305" spans="1:16" ht="12.75" customHeight="1" x14ac:dyDescent="0.25">
      <c r="A3305" s="311">
        <v>3324</v>
      </c>
      <c r="B3305" s="311" t="s">
        <v>134</v>
      </c>
      <c r="C3305" s="311" t="s">
        <v>134</v>
      </c>
      <c r="D3305" s="311" t="s">
        <v>134</v>
      </c>
      <c r="E3305" s="337" t="s">
        <v>134</v>
      </c>
      <c r="F3305" s="311" t="s">
        <v>101</v>
      </c>
      <c r="G3305" s="311" t="s">
        <v>23</v>
      </c>
      <c r="H3305" s="311" t="s">
        <v>881</v>
      </c>
      <c r="I3305" s="311" t="s">
        <v>66</v>
      </c>
      <c r="J3305" s="50" t="s">
        <v>1892</v>
      </c>
      <c r="K3305" s="50" t="s">
        <v>1892</v>
      </c>
      <c r="L3305" s="50" t="s">
        <v>1893</v>
      </c>
      <c r="M3305" s="50" t="s">
        <v>5895</v>
      </c>
      <c r="N3305" s="50" t="s">
        <v>5895</v>
      </c>
      <c r="O3305" s="50" t="s">
        <v>5895</v>
      </c>
      <c r="P3305" s="50" t="s">
        <v>5895</v>
      </c>
    </row>
    <row r="3306" spans="1:16" ht="12.75" customHeight="1" x14ac:dyDescent="0.25">
      <c r="A3306" s="311">
        <v>3325</v>
      </c>
      <c r="B3306" s="311" t="s">
        <v>141</v>
      </c>
      <c r="C3306" s="311" t="s">
        <v>141</v>
      </c>
      <c r="D3306" s="311" t="s">
        <v>141</v>
      </c>
      <c r="E3306" s="337" t="s">
        <v>141</v>
      </c>
      <c r="F3306" s="311" t="s">
        <v>101</v>
      </c>
      <c r="G3306" s="311" t="s">
        <v>23</v>
      </c>
      <c r="H3306" s="311" t="s">
        <v>881</v>
      </c>
      <c r="I3306" s="311" t="s">
        <v>66</v>
      </c>
      <c r="J3306" s="50" t="s">
        <v>1892</v>
      </c>
      <c r="K3306" s="50" t="s">
        <v>1892</v>
      </c>
      <c r="L3306" s="50" t="s">
        <v>1893</v>
      </c>
      <c r="M3306" s="50" t="s">
        <v>5896</v>
      </c>
      <c r="N3306" s="50" t="s">
        <v>5896</v>
      </c>
      <c r="O3306" s="50" t="s">
        <v>5896</v>
      </c>
      <c r="P3306" s="50" t="s">
        <v>5896</v>
      </c>
    </row>
    <row r="3307" spans="1:16" ht="12.75" customHeight="1" x14ac:dyDescent="0.25">
      <c r="A3307" s="311">
        <v>3326</v>
      </c>
      <c r="B3307" s="311" t="s">
        <v>69</v>
      </c>
      <c r="C3307" s="311" t="s">
        <v>69</v>
      </c>
      <c r="D3307" s="311" t="s">
        <v>69</v>
      </c>
      <c r="E3307" s="337" t="s">
        <v>69</v>
      </c>
      <c r="F3307" s="311" t="s">
        <v>101</v>
      </c>
      <c r="G3307" s="311" t="s">
        <v>23</v>
      </c>
      <c r="H3307" s="311" t="s">
        <v>881</v>
      </c>
      <c r="I3307" s="311" t="s">
        <v>66</v>
      </c>
      <c r="J3307" s="50" t="s">
        <v>1892</v>
      </c>
      <c r="K3307" s="50" t="s">
        <v>1892</v>
      </c>
      <c r="L3307" s="50" t="s">
        <v>1893</v>
      </c>
      <c r="M3307" s="50" t="s">
        <v>5897</v>
      </c>
      <c r="N3307" s="50" t="s">
        <v>5897</v>
      </c>
      <c r="O3307" s="50" t="s">
        <v>5897</v>
      </c>
      <c r="P3307" s="50" t="s">
        <v>5897</v>
      </c>
    </row>
    <row r="3308" spans="1:16" ht="12.75" customHeight="1" x14ac:dyDescent="0.25">
      <c r="A3308" s="311">
        <v>3327</v>
      </c>
      <c r="B3308" s="311" t="s">
        <v>84</v>
      </c>
      <c r="C3308" s="311" t="s">
        <v>462</v>
      </c>
      <c r="D3308" s="311" t="s">
        <v>462</v>
      </c>
      <c r="E3308" s="337" t="s">
        <v>462</v>
      </c>
      <c r="F3308" s="311" t="s">
        <v>101</v>
      </c>
      <c r="G3308" s="311" t="s">
        <v>237</v>
      </c>
      <c r="H3308" s="311" t="s">
        <v>343</v>
      </c>
      <c r="I3308" s="311" t="s">
        <v>56</v>
      </c>
      <c r="J3308" s="50" t="s">
        <v>1892</v>
      </c>
      <c r="K3308" s="50" t="s">
        <v>1892</v>
      </c>
      <c r="L3308" s="50" t="s">
        <v>1893</v>
      </c>
      <c r="M3308" s="50" t="s">
        <v>5898</v>
      </c>
      <c r="N3308" s="50" t="s">
        <v>5899</v>
      </c>
      <c r="O3308" s="50" t="s">
        <v>5899</v>
      </c>
      <c r="P3308" s="50" t="s">
        <v>5899</v>
      </c>
    </row>
    <row r="3309" spans="1:16" ht="12.75" customHeight="1" x14ac:dyDescent="0.25">
      <c r="A3309" s="311">
        <v>3328</v>
      </c>
      <c r="B3309" s="311" t="s">
        <v>123</v>
      </c>
      <c r="C3309" s="311" t="s">
        <v>462</v>
      </c>
      <c r="D3309" s="311" t="s">
        <v>462</v>
      </c>
      <c r="E3309" s="337" t="s">
        <v>462</v>
      </c>
      <c r="F3309" s="311" t="s">
        <v>101</v>
      </c>
      <c r="G3309" s="311" t="s">
        <v>237</v>
      </c>
      <c r="H3309" s="311" t="s">
        <v>343</v>
      </c>
      <c r="I3309" s="311" t="s">
        <v>56</v>
      </c>
      <c r="J3309" s="50" t="s">
        <v>1892</v>
      </c>
      <c r="K3309" s="50" t="s">
        <v>1892</v>
      </c>
      <c r="L3309" s="50" t="s">
        <v>1893</v>
      </c>
      <c r="M3309" s="50" t="s">
        <v>5900</v>
      </c>
      <c r="N3309" s="50" t="s">
        <v>5899</v>
      </c>
      <c r="O3309" s="50" t="s">
        <v>5899</v>
      </c>
      <c r="P3309" s="50" t="s">
        <v>5899</v>
      </c>
    </row>
    <row r="3310" spans="1:16" ht="12.75" customHeight="1" x14ac:dyDescent="0.25">
      <c r="A3310" s="311">
        <v>3329</v>
      </c>
      <c r="B3310" s="311" t="s">
        <v>75</v>
      </c>
      <c r="C3310" s="311" t="s">
        <v>462</v>
      </c>
      <c r="D3310" s="311" t="s">
        <v>462</v>
      </c>
      <c r="E3310" s="337" t="s">
        <v>462</v>
      </c>
      <c r="F3310" s="311" t="s">
        <v>101</v>
      </c>
      <c r="G3310" s="311" t="s">
        <v>237</v>
      </c>
      <c r="H3310" s="311" t="s">
        <v>343</v>
      </c>
      <c r="I3310" s="311" t="s">
        <v>56</v>
      </c>
      <c r="J3310" s="50" t="s">
        <v>1892</v>
      </c>
      <c r="K3310" s="50" t="s">
        <v>1892</v>
      </c>
      <c r="L3310" s="50" t="s">
        <v>1893</v>
      </c>
      <c r="M3310" s="50" t="s">
        <v>5901</v>
      </c>
      <c r="N3310" s="50" t="s">
        <v>5899</v>
      </c>
      <c r="O3310" s="50" t="s">
        <v>5899</v>
      </c>
      <c r="P3310" s="50" t="s">
        <v>5899</v>
      </c>
    </row>
    <row r="3311" spans="1:16" ht="12.75" customHeight="1" x14ac:dyDescent="0.25">
      <c r="A3311" s="311">
        <v>3330</v>
      </c>
      <c r="B3311" s="311" t="s">
        <v>63</v>
      </c>
      <c r="C3311" s="311" t="s">
        <v>63</v>
      </c>
      <c r="D3311" s="311" t="s">
        <v>462</v>
      </c>
      <c r="E3311" s="337" t="s">
        <v>63</v>
      </c>
      <c r="F3311" s="311" t="s">
        <v>101</v>
      </c>
      <c r="G3311" s="311" t="s">
        <v>237</v>
      </c>
      <c r="H3311" s="311" t="s">
        <v>881</v>
      </c>
      <c r="I3311" s="311" t="s">
        <v>66</v>
      </c>
      <c r="J3311" s="50" t="s">
        <v>1892</v>
      </c>
      <c r="K3311" s="50" t="s">
        <v>1892</v>
      </c>
      <c r="L3311" s="50" t="s">
        <v>1893</v>
      </c>
      <c r="M3311" s="50" t="s">
        <v>5902</v>
      </c>
      <c r="N3311" s="50" t="s">
        <v>5902</v>
      </c>
      <c r="O3311" s="50" t="s">
        <v>5899</v>
      </c>
      <c r="P3311" s="50" t="s">
        <v>5902</v>
      </c>
    </row>
    <row r="3312" spans="1:16" ht="12.75" customHeight="1" x14ac:dyDescent="0.25">
      <c r="A3312" s="311">
        <v>3331</v>
      </c>
      <c r="B3312" s="311" t="s">
        <v>140</v>
      </c>
      <c r="C3312" s="311" t="s">
        <v>140</v>
      </c>
      <c r="D3312" s="311" t="s">
        <v>462</v>
      </c>
      <c r="E3312" s="337" t="s">
        <v>140</v>
      </c>
      <c r="F3312" s="311" t="s">
        <v>101</v>
      </c>
      <c r="G3312" s="311" t="s">
        <v>237</v>
      </c>
      <c r="H3312" s="311" t="s">
        <v>881</v>
      </c>
      <c r="I3312" s="311" t="s">
        <v>66</v>
      </c>
      <c r="J3312" s="50" t="s">
        <v>1892</v>
      </c>
      <c r="K3312" s="50" t="s">
        <v>1892</v>
      </c>
      <c r="L3312" s="50" t="s">
        <v>1893</v>
      </c>
      <c r="M3312" s="50" t="s">
        <v>5903</v>
      </c>
      <c r="N3312" s="50" t="s">
        <v>5903</v>
      </c>
      <c r="O3312" s="50" t="s">
        <v>5899</v>
      </c>
      <c r="P3312" s="50" t="s">
        <v>5903</v>
      </c>
    </row>
    <row r="3313" spans="1:16" ht="12.75" customHeight="1" x14ac:dyDescent="0.25">
      <c r="A3313" s="311">
        <v>3332</v>
      </c>
      <c r="B3313" s="311" t="s">
        <v>121</v>
      </c>
      <c r="C3313" s="311" t="s">
        <v>121</v>
      </c>
      <c r="D3313" s="311" t="s">
        <v>462</v>
      </c>
      <c r="E3313" s="337" t="s">
        <v>121</v>
      </c>
      <c r="F3313" s="311" t="s">
        <v>101</v>
      </c>
      <c r="G3313" s="311" t="s">
        <v>237</v>
      </c>
      <c r="H3313" s="311" t="s">
        <v>881</v>
      </c>
      <c r="I3313" s="311" t="s">
        <v>66</v>
      </c>
      <c r="J3313" s="50" t="s">
        <v>1892</v>
      </c>
      <c r="K3313" s="50" t="s">
        <v>1892</v>
      </c>
      <c r="L3313" s="50" t="s">
        <v>1893</v>
      </c>
      <c r="M3313" s="50" t="s">
        <v>5904</v>
      </c>
      <c r="N3313" s="50" t="s">
        <v>5904</v>
      </c>
      <c r="O3313" s="50" t="s">
        <v>5899</v>
      </c>
      <c r="P3313" s="50" t="s">
        <v>5904</v>
      </c>
    </row>
    <row r="3314" spans="1:16" ht="12.75" customHeight="1" x14ac:dyDescent="0.25">
      <c r="A3314" s="311">
        <v>3333</v>
      </c>
      <c r="B3314" s="311" t="s">
        <v>87</v>
      </c>
      <c r="C3314" s="311" t="s">
        <v>87</v>
      </c>
      <c r="D3314" s="311" t="s">
        <v>462</v>
      </c>
      <c r="E3314" s="337" t="s">
        <v>87</v>
      </c>
      <c r="F3314" s="311" t="s">
        <v>101</v>
      </c>
      <c r="G3314" s="311" t="s">
        <v>237</v>
      </c>
      <c r="H3314" s="311" t="s">
        <v>881</v>
      </c>
      <c r="I3314" s="311" t="s">
        <v>66</v>
      </c>
      <c r="J3314" s="50" t="s">
        <v>1892</v>
      </c>
      <c r="K3314" s="50" t="s">
        <v>1892</v>
      </c>
      <c r="L3314" s="50" t="s">
        <v>1893</v>
      </c>
      <c r="M3314" s="50" t="s">
        <v>5905</v>
      </c>
      <c r="N3314" s="50" t="s">
        <v>5905</v>
      </c>
      <c r="O3314" s="50" t="s">
        <v>5899</v>
      </c>
      <c r="P3314" s="50" t="s">
        <v>5905</v>
      </c>
    </row>
    <row r="3315" spans="1:16" ht="12.75" customHeight="1" x14ac:dyDescent="0.25">
      <c r="A3315" s="311">
        <v>3334</v>
      </c>
      <c r="B3315" s="311" t="s">
        <v>125</v>
      </c>
      <c r="C3315" s="311" t="s">
        <v>125</v>
      </c>
      <c r="D3315" s="311" t="s">
        <v>125</v>
      </c>
      <c r="E3315" s="337" t="s">
        <v>125</v>
      </c>
      <c r="F3315" s="311" t="s">
        <v>101</v>
      </c>
      <c r="G3315" s="311" t="s">
        <v>237</v>
      </c>
      <c r="H3315" s="311" t="s">
        <v>881</v>
      </c>
      <c r="I3315" s="311" t="s">
        <v>66</v>
      </c>
      <c r="J3315" s="50" t="s">
        <v>1892</v>
      </c>
      <c r="K3315" s="50" t="s">
        <v>1892</v>
      </c>
      <c r="L3315" s="50" t="s">
        <v>1893</v>
      </c>
      <c r="M3315" s="50" t="s">
        <v>5906</v>
      </c>
      <c r="N3315" s="50" t="s">
        <v>5906</v>
      </c>
      <c r="O3315" s="50" t="s">
        <v>5906</v>
      </c>
      <c r="P3315" s="50" t="s">
        <v>5906</v>
      </c>
    </row>
    <row r="3316" spans="1:16" ht="12.75" customHeight="1" x14ac:dyDescent="0.25">
      <c r="A3316" s="311">
        <v>3335</v>
      </c>
      <c r="B3316" s="311" t="s">
        <v>134</v>
      </c>
      <c r="C3316" s="311" t="s">
        <v>134</v>
      </c>
      <c r="D3316" s="311" t="s">
        <v>134</v>
      </c>
      <c r="E3316" s="337" t="s">
        <v>134</v>
      </c>
      <c r="F3316" s="311" t="s">
        <v>101</v>
      </c>
      <c r="G3316" s="311" t="s">
        <v>237</v>
      </c>
      <c r="H3316" s="311" t="s">
        <v>881</v>
      </c>
      <c r="I3316" s="311" t="s">
        <v>66</v>
      </c>
      <c r="J3316" s="50" t="s">
        <v>1892</v>
      </c>
      <c r="K3316" s="50" t="s">
        <v>1892</v>
      </c>
      <c r="L3316" s="50" t="s">
        <v>1893</v>
      </c>
      <c r="M3316" s="50" t="s">
        <v>5907</v>
      </c>
      <c r="N3316" s="50" t="s">
        <v>5907</v>
      </c>
      <c r="O3316" s="50" t="s">
        <v>5907</v>
      </c>
      <c r="P3316" s="50" t="s">
        <v>5907</v>
      </c>
    </row>
    <row r="3317" spans="1:16" ht="12.75" customHeight="1" x14ac:dyDescent="0.25">
      <c r="A3317" s="311">
        <v>3336</v>
      </c>
      <c r="B3317" s="311" t="s">
        <v>141</v>
      </c>
      <c r="C3317" s="311" t="s">
        <v>141</v>
      </c>
      <c r="D3317" s="311" t="s">
        <v>141</v>
      </c>
      <c r="E3317" s="337" t="s">
        <v>141</v>
      </c>
      <c r="F3317" s="311" t="s">
        <v>101</v>
      </c>
      <c r="G3317" s="311" t="s">
        <v>237</v>
      </c>
      <c r="H3317" s="311" t="s">
        <v>881</v>
      </c>
      <c r="I3317" s="311" t="s">
        <v>66</v>
      </c>
      <c r="J3317" s="50" t="s">
        <v>1892</v>
      </c>
      <c r="K3317" s="50" t="s">
        <v>1892</v>
      </c>
      <c r="L3317" s="50" t="s">
        <v>1893</v>
      </c>
      <c r="M3317" s="50" t="s">
        <v>5908</v>
      </c>
      <c r="N3317" s="50" t="s">
        <v>5908</v>
      </c>
      <c r="O3317" s="50" t="s">
        <v>5908</v>
      </c>
      <c r="P3317" s="50" t="s">
        <v>5908</v>
      </c>
    </row>
    <row r="3318" spans="1:16" ht="12.75" customHeight="1" x14ac:dyDescent="0.25">
      <c r="A3318" s="311">
        <v>3337</v>
      </c>
      <c r="B3318" s="311" t="s">
        <v>69</v>
      </c>
      <c r="C3318" s="311" t="s">
        <v>69</v>
      </c>
      <c r="D3318" s="311" t="s">
        <v>69</v>
      </c>
      <c r="E3318" s="337" t="s">
        <v>69</v>
      </c>
      <c r="F3318" s="311" t="s">
        <v>101</v>
      </c>
      <c r="G3318" s="311" t="s">
        <v>237</v>
      </c>
      <c r="H3318" s="311" t="s">
        <v>881</v>
      </c>
      <c r="I3318" s="311" t="s">
        <v>66</v>
      </c>
      <c r="J3318" s="50" t="s">
        <v>1892</v>
      </c>
      <c r="K3318" s="50" t="s">
        <v>1892</v>
      </c>
      <c r="L3318" s="50" t="s">
        <v>1893</v>
      </c>
      <c r="M3318" s="50" t="s">
        <v>5909</v>
      </c>
      <c r="N3318" s="50" t="s">
        <v>5909</v>
      </c>
      <c r="O3318" s="50" t="s">
        <v>5909</v>
      </c>
      <c r="P3318" s="50" t="s">
        <v>5909</v>
      </c>
    </row>
    <row r="3319" spans="1:16" ht="12.75" customHeight="1" x14ac:dyDescent="0.25">
      <c r="A3319" s="311">
        <v>3338</v>
      </c>
      <c r="B3319" s="311" t="s">
        <v>84</v>
      </c>
      <c r="C3319" s="311" t="s">
        <v>462</v>
      </c>
      <c r="D3319" s="311" t="s">
        <v>462</v>
      </c>
      <c r="E3319" s="337" t="s">
        <v>462</v>
      </c>
      <c r="F3319" s="311" t="s">
        <v>95</v>
      </c>
      <c r="G3319" s="311" t="s">
        <v>236</v>
      </c>
      <c r="H3319" s="311" t="s">
        <v>342</v>
      </c>
      <c r="I3319" s="311" t="s">
        <v>56</v>
      </c>
      <c r="J3319" s="50" t="s">
        <v>1892</v>
      </c>
      <c r="K3319" s="50" t="s">
        <v>1892</v>
      </c>
      <c r="L3319" s="50" t="s">
        <v>1893</v>
      </c>
      <c r="M3319" s="50" t="s">
        <v>5910</v>
      </c>
      <c r="N3319" s="50" t="s">
        <v>5911</v>
      </c>
      <c r="O3319" s="50" t="s">
        <v>5911</v>
      </c>
      <c r="P3319" s="50" t="s">
        <v>5911</v>
      </c>
    </row>
    <row r="3320" spans="1:16" ht="12.75" customHeight="1" x14ac:dyDescent="0.25">
      <c r="A3320" s="311">
        <v>3339</v>
      </c>
      <c r="B3320" s="311" t="s">
        <v>123</v>
      </c>
      <c r="C3320" s="311" t="s">
        <v>462</v>
      </c>
      <c r="D3320" s="311" t="s">
        <v>462</v>
      </c>
      <c r="E3320" s="337" t="s">
        <v>462</v>
      </c>
      <c r="F3320" s="311" t="s">
        <v>95</v>
      </c>
      <c r="G3320" s="311" t="s">
        <v>236</v>
      </c>
      <c r="H3320" s="311" t="s">
        <v>342</v>
      </c>
      <c r="I3320" s="311" t="s">
        <v>56</v>
      </c>
      <c r="J3320" s="50" t="s">
        <v>1892</v>
      </c>
      <c r="K3320" s="50" t="s">
        <v>1892</v>
      </c>
      <c r="L3320" s="50" t="s">
        <v>1893</v>
      </c>
      <c r="M3320" s="50" t="s">
        <v>5912</v>
      </c>
      <c r="N3320" s="50" t="s">
        <v>5911</v>
      </c>
      <c r="O3320" s="50" t="s">
        <v>5911</v>
      </c>
      <c r="P3320" s="50" t="s">
        <v>5911</v>
      </c>
    </row>
    <row r="3321" spans="1:16" ht="12.75" customHeight="1" x14ac:dyDescent="0.25">
      <c r="A3321" s="311">
        <v>3340</v>
      </c>
      <c r="B3321" s="311" t="s">
        <v>75</v>
      </c>
      <c r="C3321" s="311" t="s">
        <v>462</v>
      </c>
      <c r="D3321" s="311" t="s">
        <v>462</v>
      </c>
      <c r="E3321" s="337" t="s">
        <v>462</v>
      </c>
      <c r="F3321" s="311" t="s">
        <v>95</v>
      </c>
      <c r="G3321" s="311" t="s">
        <v>236</v>
      </c>
      <c r="H3321" s="311" t="s">
        <v>342</v>
      </c>
      <c r="I3321" s="311" t="s">
        <v>56</v>
      </c>
      <c r="J3321" s="50" t="s">
        <v>1892</v>
      </c>
      <c r="K3321" s="50" t="s">
        <v>1892</v>
      </c>
      <c r="L3321" s="50" t="s">
        <v>1893</v>
      </c>
      <c r="M3321" s="50" t="s">
        <v>5913</v>
      </c>
      <c r="N3321" s="50" t="s">
        <v>5911</v>
      </c>
      <c r="O3321" s="50" t="s">
        <v>5911</v>
      </c>
      <c r="P3321" s="50" t="s">
        <v>5911</v>
      </c>
    </row>
    <row r="3322" spans="1:16" ht="12.75" customHeight="1" x14ac:dyDescent="0.25">
      <c r="A3322" s="311">
        <v>3341</v>
      </c>
      <c r="B3322" s="311" t="s">
        <v>63</v>
      </c>
      <c r="C3322" s="311" t="s">
        <v>63</v>
      </c>
      <c r="D3322" s="311" t="s">
        <v>462</v>
      </c>
      <c r="E3322" s="337" t="s">
        <v>63</v>
      </c>
      <c r="F3322" s="311" t="s">
        <v>95</v>
      </c>
      <c r="G3322" s="311" t="s">
        <v>236</v>
      </c>
      <c r="H3322" s="311" t="s">
        <v>882</v>
      </c>
      <c r="I3322" s="311" t="s">
        <v>66</v>
      </c>
      <c r="J3322" s="50" t="s">
        <v>1892</v>
      </c>
      <c r="K3322" s="50" t="s">
        <v>1892</v>
      </c>
      <c r="L3322" s="50" t="s">
        <v>1893</v>
      </c>
      <c r="M3322" s="50" t="s">
        <v>5914</v>
      </c>
      <c r="N3322" s="50" t="s">
        <v>5914</v>
      </c>
      <c r="O3322" s="50" t="s">
        <v>5911</v>
      </c>
      <c r="P3322" s="50" t="s">
        <v>5914</v>
      </c>
    </row>
    <row r="3323" spans="1:16" ht="12.75" customHeight="1" x14ac:dyDescent="0.25">
      <c r="A3323" s="311">
        <v>3342</v>
      </c>
      <c r="B3323" s="311" t="s">
        <v>140</v>
      </c>
      <c r="C3323" s="311" t="s">
        <v>140</v>
      </c>
      <c r="D3323" s="311" t="s">
        <v>462</v>
      </c>
      <c r="E3323" s="337" t="s">
        <v>140</v>
      </c>
      <c r="F3323" s="311" t="s">
        <v>95</v>
      </c>
      <c r="G3323" s="311" t="s">
        <v>236</v>
      </c>
      <c r="H3323" s="311" t="s">
        <v>882</v>
      </c>
      <c r="I3323" s="311" t="s">
        <v>66</v>
      </c>
      <c r="J3323" s="50" t="s">
        <v>1892</v>
      </c>
      <c r="K3323" s="50" t="s">
        <v>1892</v>
      </c>
      <c r="L3323" s="50" t="s">
        <v>1893</v>
      </c>
      <c r="M3323" s="50" t="s">
        <v>5915</v>
      </c>
      <c r="N3323" s="50" t="s">
        <v>5915</v>
      </c>
      <c r="O3323" s="50" t="s">
        <v>5911</v>
      </c>
      <c r="P3323" s="50" t="s">
        <v>5915</v>
      </c>
    </row>
    <row r="3324" spans="1:16" ht="12.75" customHeight="1" x14ac:dyDescent="0.25">
      <c r="A3324" s="311">
        <v>3343</v>
      </c>
      <c r="B3324" s="311" t="s">
        <v>121</v>
      </c>
      <c r="C3324" s="311" t="s">
        <v>121</v>
      </c>
      <c r="D3324" s="311" t="s">
        <v>462</v>
      </c>
      <c r="E3324" s="337" t="s">
        <v>121</v>
      </c>
      <c r="F3324" s="311" t="s">
        <v>95</v>
      </c>
      <c r="G3324" s="311" t="s">
        <v>236</v>
      </c>
      <c r="H3324" s="311" t="s">
        <v>882</v>
      </c>
      <c r="I3324" s="311" t="s">
        <v>66</v>
      </c>
      <c r="J3324" s="50" t="s">
        <v>1892</v>
      </c>
      <c r="K3324" s="50" t="s">
        <v>1892</v>
      </c>
      <c r="L3324" s="50" t="s">
        <v>1893</v>
      </c>
      <c r="M3324" s="50" t="s">
        <v>5916</v>
      </c>
      <c r="N3324" s="50" t="s">
        <v>5916</v>
      </c>
      <c r="O3324" s="50" t="s">
        <v>5911</v>
      </c>
      <c r="P3324" s="50" t="s">
        <v>5916</v>
      </c>
    </row>
    <row r="3325" spans="1:16" ht="12.75" customHeight="1" x14ac:dyDescent="0.25">
      <c r="A3325" s="311">
        <v>3344</v>
      </c>
      <c r="B3325" s="311" t="s">
        <v>87</v>
      </c>
      <c r="C3325" s="311" t="s">
        <v>87</v>
      </c>
      <c r="D3325" s="311" t="s">
        <v>462</v>
      </c>
      <c r="E3325" s="337" t="s">
        <v>87</v>
      </c>
      <c r="F3325" s="311" t="s">
        <v>95</v>
      </c>
      <c r="G3325" s="311" t="s">
        <v>236</v>
      </c>
      <c r="H3325" s="311" t="s">
        <v>882</v>
      </c>
      <c r="I3325" s="311" t="s">
        <v>66</v>
      </c>
      <c r="J3325" s="50" t="s">
        <v>1892</v>
      </c>
      <c r="K3325" s="50" t="s">
        <v>1892</v>
      </c>
      <c r="L3325" s="50" t="s">
        <v>1893</v>
      </c>
      <c r="M3325" s="50" t="s">
        <v>5917</v>
      </c>
      <c r="N3325" s="50" t="s">
        <v>5917</v>
      </c>
      <c r="O3325" s="50" t="s">
        <v>5911</v>
      </c>
      <c r="P3325" s="50" t="s">
        <v>5917</v>
      </c>
    </row>
    <row r="3326" spans="1:16" ht="12.75" customHeight="1" x14ac:dyDescent="0.25">
      <c r="A3326" s="311">
        <v>3345</v>
      </c>
      <c r="B3326" s="311" t="s">
        <v>125</v>
      </c>
      <c r="C3326" s="311" t="s">
        <v>125</v>
      </c>
      <c r="D3326" s="311" t="s">
        <v>125</v>
      </c>
      <c r="E3326" s="337" t="s">
        <v>125</v>
      </c>
      <c r="F3326" s="311" t="s">
        <v>95</v>
      </c>
      <c r="G3326" s="311" t="s">
        <v>236</v>
      </c>
      <c r="H3326" s="311" t="s">
        <v>882</v>
      </c>
      <c r="I3326" s="311" t="s">
        <v>66</v>
      </c>
      <c r="J3326" s="50" t="s">
        <v>1892</v>
      </c>
      <c r="K3326" s="50" t="s">
        <v>1892</v>
      </c>
      <c r="L3326" s="50" t="s">
        <v>1893</v>
      </c>
      <c r="M3326" s="50" t="s">
        <v>5918</v>
      </c>
      <c r="N3326" s="50" t="s">
        <v>5918</v>
      </c>
      <c r="O3326" s="50" t="s">
        <v>5918</v>
      </c>
      <c r="P3326" s="50" t="s">
        <v>5918</v>
      </c>
    </row>
    <row r="3327" spans="1:16" ht="12.75" customHeight="1" x14ac:dyDescent="0.25">
      <c r="A3327" s="311">
        <v>3346</v>
      </c>
      <c r="B3327" s="311" t="s">
        <v>134</v>
      </c>
      <c r="C3327" s="311" t="s">
        <v>134</v>
      </c>
      <c r="D3327" s="311" t="s">
        <v>134</v>
      </c>
      <c r="E3327" s="337" t="s">
        <v>134</v>
      </c>
      <c r="F3327" s="311" t="s">
        <v>95</v>
      </c>
      <c r="G3327" s="311" t="s">
        <v>236</v>
      </c>
      <c r="H3327" s="311" t="s">
        <v>882</v>
      </c>
      <c r="I3327" s="311" t="s">
        <v>66</v>
      </c>
      <c r="J3327" s="50" t="s">
        <v>1892</v>
      </c>
      <c r="K3327" s="50" t="s">
        <v>1892</v>
      </c>
      <c r="L3327" s="50" t="s">
        <v>1893</v>
      </c>
      <c r="M3327" s="50" t="s">
        <v>5919</v>
      </c>
      <c r="N3327" s="50" t="s">
        <v>5919</v>
      </c>
      <c r="O3327" s="50" t="s">
        <v>5919</v>
      </c>
      <c r="P3327" s="50" t="s">
        <v>5919</v>
      </c>
    </row>
    <row r="3328" spans="1:16" ht="12.75" customHeight="1" x14ac:dyDescent="0.25">
      <c r="A3328" s="311">
        <v>3347</v>
      </c>
      <c r="B3328" s="311" t="s">
        <v>141</v>
      </c>
      <c r="C3328" s="311" t="s">
        <v>141</v>
      </c>
      <c r="D3328" s="311" t="s">
        <v>141</v>
      </c>
      <c r="E3328" s="337" t="s">
        <v>141</v>
      </c>
      <c r="F3328" s="311" t="s">
        <v>95</v>
      </c>
      <c r="G3328" s="311" t="s">
        <v>236</v>
      </c>
      <c r="H3328" s="311" t="s">
        <v>882</v>
      </c>
      <c r="I3328" s="311" t="s">
        <v>66</v>
      </c>
      <c r="J3328" s="50" t="s">
        <v>1892</v>
      </c>
      <c r="K3328" s="50" t="s">
        <v>1892</v>
      </c>
      <c r="L3328" s="50" t="s">
        <v>1893</v>
      </c>
      <c r="M3328" s="50" t="s">
        <v>5920</v>
      </c>
      <c r="N3328" s="50" t="s">
        <v>5920</v>
      </c>
      <c r="O3328" s="50" t="s">
        <v>5920</v>
      </c>
      <c r="P3328" s="50" t="s">
        <v>5920</v>
      </c>
    </row>
    <row r="3329" spans="1:16" ht="12.75" customHeight="1" x14ac:dyDescent="0.25">
      <c r="A3329" s="311">
        <v>3348</v>
      </c>
      <c r="B3329" s="311" t="s">
        <v>69</v>
      </c>
      <c r="C3329" s="311" t="s">
        <v>69</v>
      </c>
      <c r="D3329" s="311" t="s">
        <v>69</v>
      </c>
      <c r="E3329" s="337" t="s">
        <v>69</v>
      </c>
      <c r="F3329" s="311" t="s">
        <v>95</v>
      </c>
      <c r="G3329" s="311" t="s">
        <v>236</v>
      </c>
      <c r="H3329" s="311" t="s">
        <v>882</v>
      </c>
      <c r="I3329" s="311" t="s">
        <v>66</v>
      </c>
      <c r="J3329" s="50" t="s">
        <v>1892</v>
      </c>
      <c r="K3329" s="50" t="s">
        <v>1892</v>
      </c>
      <c r="L3329" s="50" t="s">
        <v>1893</v>
      </c>
      <c r="M3329" s="50" t="s">
        <v>5921</v>
      </c>
      <c r="N3329" s="50" t="s">
        <v>5921</v>
      </c>
      <c r="O3329" s="50" t="s">
        <v>5921</v>
      </c>
      <c r="P3329" s="50" t="s">
        <v>5921</v>
      </c>
    </row>
    <row r="3330" spans="1:16" ht="12.75" customHeight="1" x14ac:dyDescent="0.25">
      <c r="A3330" s="311">
        <v>3349</v>
      </c>
      <c r="B3330" s="311" t="s">
        <v>84</v>
      </c>
      <c r="C3330" s="311" t="s">
        <v>462</v>
      </c>
      <c r="D3330" s="311" t="s">
        <v>462</v>
      </c>
      <c r="E3330" s="337" t="s">
        <v>462</v>
      </c>
      <c r="F3330" s="311" t="s">
        <v>95</v>
      </c>
      <c r="G3330" s="311" t="s">
        <v>23</v>
      </c>
      <c r="H3330" s="311" t="s">
        <v>342</v>
      </c>
      <c r="I3330" s="311" t="s">
        <v>56</v>
      </c>
      <c r="J3330" s="50" t="s">
        <v>1892</v>
      </c>
      <c r="K3330" s="50" t="s">
        <v>1892</v>
      </c>
      <c r="L3330" s="50" t="s">
        <v>1893</v>
      </c>
      <c r="M3330" s="50" t="s">
        <v>5922</v>
      </c>
      <c r="N3330" s="50" t="s">
        <v>5923</v>
      </c>
      <c r="O3330" s="50" t="s">
        <v>5923</v>
      </c>
      <c r="P3330" s="50" t="s">
        <v>5923</v>
      </c>
    </row>
    <row r="3331" spans="1:16" ht="12.75" customHeight="1" x14ac:dyDescent="0.25">
      <c r="A3331" s="311">
        <v>3350</v>
      </c>
      <c r="B3331" s="311" t="s">
        <v>123</v>
      </c>
      <c r="C3331" s="311" t="s">
        <v>462</v>
      </c>
      <c r="D3331" s="311" t="s">
        <v>462</v>
      </c>
      <c r="E3331" s="337" t="s">
        <v>462</v>
      </c>
      <c r="F3331" s="311" t="s">
        <v>95</v>
      </c>
      <c r="G3331" s="311" t="s">
        <v>23</v>
      </c>
      <c r="H3331" s="311" t="s">
        <v>342</v>
      </c>
      <c r="I3331" s="311" t="s">
        <v>56</v>
      </c>
      <c r="J3331" s="50" t="s">
        <v>1892</v>
      </c>
      <c r="K3331" s="50" t="s">
        <v>1892</v>
      </c>
      <c r="L3331" s="50" t="s">
        <v>1893</v>
      </c>
      <c r="M3331" s="50" t="s">
        <v>5924</v>
      </c>
      <c r="N3331" s="50" t="s">
        <v>5923</v>
      </c>
      <c r="O3331" s="50" t="s">
        <v>5923</v>
      </c>
      <c r="P3331" s="50" t="s">
        <v>5923</v>
      </c>
    </row>
    <row r="3332" spans="1:16" ht="12.75" customHeight="1" x14ac:dyDescent="0.25">
      <c r="A3332" s="311">
        <v>3351</v>
      </c>
      <c r="B3332" s="311" t="s">
        <v>75</v>
      </c>
      <c r="C3332" s="311" t="s">
        <v>462</v>
      </c>
      <c r="D3332" s="311" t="s">
        <v>462</v>
      </c>
      <c r="E3332" s="337" t="s">
        <v>462</v>
      </c>
      <c r="F3332" s="311" t="s">
        <v>95</v>
      </c>
      <c r="G3332" s="311" t="s">
        <v>23</v>
      </c>
      <c r="H3332" s="311" t="s">
        <v>342</v>
      </c>
      <c r="I3332" s="311" t="s">
        <v>56</v>
      </c>
      <c r="J3332" s="50" t="s">
        <v>1892</v>
      </c>
      <c r="K3332" s="50" t="s">
        <v>1892</v>
      </c>
      <c r="L3332" s="50" t="s">
        <v>1893</v>
      </c>
      <c r="M3332" s="50" t="s">
        <v>5925</v>
      </c>
      <c r="N3332" s="50" t="s">
        <v>5923</v>
      </c>
      <c r="O3332" s="50" t="s">
        <v>5923</v>
      </c>
      <c r="P3332" s="50" t="s">
        <v>5923</v>
      </c>
    </row>
    <row r="3333" spans="1:16" ht="12.75" customHeight="1" x14ac:dyDescent="0.25">
      <c r="A3333" s="311">
        <v>3352</v>
      </c>
      <c r="B3333" s="311" t="s">
        <v>63</v>
      </c>
      <c r="C3333" s="311" t="s">
        <v>63</v>
      </c>
      <c r="D3333" s="311" t="s">
        <v>462</v>
      </c>
      <c r="E3333" s="337" t="s">
        <v>63</v>
      </c>
      <c r="F3333" s="311" t="s">
        <v>95</v>
      </c>
      <c r="G3333" s="311" t="s">
        <v>23</v>
      </c>
      <c r="H3333" s="311" t="s">
        <v>882</v>
      </c>
      <c r="I3333" s="311" t="s">
        <v>66</v>
      </c>
      <c r="J3333" s="50" t="s">
        <v>1892</v>
      </c>
      <c r="K3333" s="50" t="s">
        <v>1892</v>
      </c>
      <c r="L3333" s="50" t="s">
        <v>1893</v>
      </c>
      <c r="M3333" s="50" t="s">
        <v>5926</v>
      </c>
      <c r="N3333" s="50" t="s">
        <v>5926</v>
      </c>
      <c r="O3333" s="50" t="s">
        <v>5923</v>
      </c>
      <c r="P3333" s="50" t="s">
        <v>5926</v>
      </c>
    </row>
    <row r="3334" spans="1:16" ht="12.75" customHeight="1" x14ac:dyDescent="0.25">
      <c r="A3334" s="311">
        <v>3353</v>
      </c>
      <c r="B3334" s="311" t="s">
        <v>140</v>
      </c>
      <c r="C3334" s="311" t="s">
        <v>140</v>
      </c>
      <c r="D3334" s="311" t="s">
        <v>462</v>
      </c>
      <c r="E3334" s="337" t="s">
        <v>140</v>
      </c>
      <c r="F3334" s="311" t="s">
        <v>95</v>
      </c>
      <c r="G3334" s="311" t="s">
        <v>23</v>
      </c>
      <c r="H3334" s="311" t="s">
        <v>882</v>
      </c>
      <c r="I3334" s="311" t="s">
        <v>66</v>
      </c>
      <c r="J3334" s="50" t="s">
        <v>1892</v>
      </c>
      <c r="K3334" s="50" t="s">
        <v>1892</v>
      </c>
      <c r="L3334" s="50" t="s">
        <v>1893</v>
      </c>
      <c r="M3334" s="50" t="s">
        <v>5927</v>
      </c>
      <c r="N3334" s="50" t="s">
        <v>5927</v>
      </c>
      <c r="O3334" s="50" t="s">
        <v>5923</v>
      </c>
      <c r="P3334" s="50" t="s">
        <v>5927</v>
      </c>
    </row>
    <row r="3335" spans="1:16" ht="12.75" customHeight="1" x14ac:dyDescent="0.25">
      <c r="A3335" s="311">
        <v>3354</v>
      </c>
      <c r="B3335" s="311" t="s">
        <v>121</v>
      </c>
      <c r="C3335" s="311" t="s">
        <v>121</v>
      </c>
      <c r="D3335" s="311" t="s">
        <v>462</v>
      </c>
      <c r="E3335" s="337" t="s">
        <v>121</v>
      </c>
      <c r="F3335" s="311" t="s">
        <v>95</v>
      </c>
      <c r="G3335" s="311" t="s">
        <v>23</v>
      </c>
      <c r="H3335" s="311" t="s">
        <v>882</v>
      </c>
      <c r="I3335" s="311" t="s">
        <v>66</v>
      </c>
      <c r="J3335" s="50" t="s">
        <v>1892</v>
      </c>
      <c r="K3335" s="50" t="s">
        <v>1892</v>
      </c>
      <c r="L3335" s="50" t="s">
        <v>1893</v>
      </c>
      <c r="M3335" s="50" t="s">
        <v>5928</v>
      </c>
      <c r="N3335" s="50" t="s">
        <v>5928</v>
      </c>
      <c r="O3335" s="50" t="s">
        <v>5923</v>
      </c>
      <c r="P3335" s="50" t="s">
        <v>5928</v>
      </c>
    </row>
    <row r="3336" spans="1:16" ht="12.75" customHeight="1" x14ac:dyDescent="0.25">
      <c r="A3336" s="311">
        <v>3355</v>
      </c>
      <c r="B3336" s="311" t="s">
        <v>87</v>
      </c>
      <c r="C3336" s="311" t="s">
        <v>87</v>
      </c>
      <c r="D3336" s="311" t="s">
        <v>462</v>
      </c>
      <c r="E3336" s="337" t="s">
        <v>87</v>
      </c>
      <c r="F3336" s="311" t="s">
        <v>95</v>
      </c>
      <c r="G3336" s="311" t="s">
        <v>23</v>
      </c>
      <c r="H3336" s="311" t="s">
        <v>882</v>
      </c>
      <c r="I3336" s="311" t="s">
        <v>66</v>
      </c>
      <c r="J3336" s="50" t="s">
        <v>1892</v>
      </c>
      <c r="K3336" s="50" t="s">
        <v>1892</v>
      </c>
      <c r="L3336" s="50" t="s">
        <v>1893</v>
      </c>
      <c r="M3336" s="50" t="s">
        <v>5929</v>
      </c>
      <c r="N3336" s="50" t="s">
        <v>5929</v>
      </c>
      <c r="O3336" s="50" t="s">
        <v>5923</v>
      </c>
      <c r="P3336" s="50" t="s">
        <v>5929</v>
      </c>
    </row>
    <row r="3337" spans="1:16" ht="12.75" customHeight="1" x14ac:dyDescent="0.25">
      <c r="A3337" s="311">
        <v>3356</v>
      </c>
      <c r="B3337" s="311" t="s">
        <v>125</v>
      </c>
      <c r="C3337" s="311" t="s">
        <v>125</v>
      </c>
      <c r="D3337" s="311" t="s">
        <v>125</v>
      </c>
      <c r="E3337" s="337" t="s">
        <v>125</v>
      </c>
      <c r="F3337" s="311" t="s">
        <v>95</v>
      </c>
      <c r="G3337" s="311" t="s">
        <v>23</v>
      </c>
      <c r="H3337" s="311" t="s">
        <v>882</v>
      </c>
      <c r="I3337" s="311" t="s">
        <v>66</v>
      </c>
      <c r="J3337" s="50" t="s">
        <v>1892</v>
      </c>
      <c r="K3337" s="50" t="s">
        <v>1892</v>
      </c>
      <c r="L3337" s="50" t="s">
        <v>1893</v>
      </c>
      <c r="M3337" s="50" t="s">
        <v>5930</v>
      </c>
      <c r="N3337" s="50" t="s">
        <v>5930</v>
      </c>
      <c r="O3337" s="50" t="s">
        <v>5930</v>
      </c>
      <c r="P3337" s="50" t="s">
        <v>5930</v>
      </c>
    </row>
    <row r="3338" spans="1:16" ht="12.75" customHeight="1" x14ac:dyDescent="0.25">
      <c r="A3338" s="311">
        <v>3357</v>
      </c>
      <c r="B3338" s="311" t="s">
        <v>134</v>
      </c>
      <c r="C3338" s="311" t="s">
        <v>134</v>
      </c>
      <c r="D3338" s="311" t="s">
        <v>134</v>
      </c>
      <c r="E3338" s="337" t="s">
        <v>134</v>
      </c>
      <c r="F3338" s="311" t="s">
        <v>95</v>
      </c>
      <c r="G3338" s="311" t="s">
        <v>23</v>
      </c>
      <c r="H3338" s="311" t="s">
        <v>882</v>
      </c>
      <c r="I3338" s="311" t="s">
        <v>66</v>
      </c>
      <c r="J3338" s="50" t="s">
        <v>1892</v>
      </c>
      <c r="K3338" s="50" t="s">
        <v>1892</v>
      </c>
      <c r="L3338" s="50" t="s">
        <v>1893</v>
      </c>
      <c r="M3338" s="50" t="s">
        <v>5931</v>
      </c>
      <c r="N3338" s="50" t="s">
        <v>5931</v>
      </c>
      <c r="O3338" s="50" t="s">
        <v>5931</v>
      </c>
      <c r="P3338" s="50" t="s">
        <v>5931</v>
      </c>
    </row>
    <row r="3339" spans="1:16" ht="12.75" customHeight="1" x14ac:dyDescent="0.25">
      <c r="A3339" s="311">
        <v>3358</v>
      </c>
      <c r="B3339" s="311" t="s">
        <v>141</v>
      </c>
      <c r="C3339" s="311" t="s">
        <v>141</v>
      </c>
      <c r="D3339" s="311" t="s">
        <v>141</v>
      </c>
      <c r="E3339" s="337" t="s">
        <v>141</v>
      </c>
      <c r="F3339" s="311" t="s">
        <v>95</v>
      </c>
      <c r="G3339" s="311" t="s">
        <v>23</v>
      </c>
      <c r="H3339" s="311" t="s">
        <v>882</v>
      </c>
      <c r="I3339" s="311" t="s">
        <v>66</v>
      </c>
      <c r="J3339" s="50" t="s">
        <v>1892</v>
      </c>
      <c r="K3339" s="50" t="s">
        <v>1892</v>
      </c>
      <c r="L3339" s="50" t="s">
        <v>1893</v>
      </c>
      <c r="M3339" s="50" t="s">
        <v>5932</v>
      </c>
      <c r="N3339" s="50" t="s">
        <v>5932</v>
      </c>
      <c r="O3339" s="50" t="s">
        <v>5932</v>
      </c>
      <c r="P3339" s="50" t="s">
        <v>5932</v>
      </c>
    </row>
    <row r="3340" spans="1:16" ht="12.75" customHeight="1" x14ac:dyDescent="0.25">
      <c r="A3340" s="311">
        <v>3359</v>
      </c>
      <c r="B3340" s="311" t="s">
        <v>69</v>
      </c>
      <c r="C3340" s="311" t="s">
        <v>69</v>
      </c>
      <c r="D3340" s="311" t="s">
        <v>69</v>
      </c>
      <c r="E3340" s="337" t="s">
        <v>69</v>
      </c>
      <c r="F3340" s="311" t="s">
        <v>95</v>
      </c>
      <c r="G3340" s="311" t="s">
        <v>23</v>
      </c>
      <c r="H3340" s="311" t="s">
        <v>882</v>
      </c>
      <c r="I3340" s="311" t="s">
        <v>66</v>
      </c>
      <c r="J3340" s="50" t="s">
        <v>1892</v>
      </c>
      <c r="K3340" s="50" t="s">
        <v>1892</v>
      </c>
      <c r="L3340" s="50" t="s">
        <v>1893</v>
      </c>
      <c r="M3340" s="50" t="s">
        <v>5933</v>
      </c>
      <c r="N3340" s="50" t="s">
        <v>5933</v>
      </c>
      <c r="O3340" s="50" t="s">
        <v>5933</v>
      </c>
      <c r="P3340" s="50" t="s">
        <v>5933</v>
      </c>
    </row>
    <row r="3341" spans="1:16" ht="12.75" customHeight="1" x14ac:dyDescent="0.25">
      <c r="A3341" s="311">
        <v>3360</v>
      </c>
      <c r="B3341" s="311" t="s">
        <v>84</v>
      </c>
      <c r="C3341" s="311" t="s">
        <v>462</v>
      </c>
      <c r="D3341" s="311" t="s">
        <v>462</v>
      </c>
      <c r="E3341" s="337" t="s">
        <v>462</v>
      </c>
      <c r="F3341" s="311" t="s">
        <v>95</v>
      </c>
      <c r="G3341" s="311" t="s">
        <v>237</v>
      </c>
      <c r="H3341" s="311" t="s">
        <v>342</v>
      </c>
      <c r="I3341" s="311" t="s">
        <v>56</v>
      </c>
      <c r="J3341" s="50" t="s">
        <v>1892</v>
      </c>
      <c r="K3341" s="50" t="s">
        <v>1892</v>
      </c>
      <c r="L3341" s="50" t="s">
        <v>1893</v>
      </c>
      <c r="M3341" s="50" t="s">
        <v>5934</v>
      </c>
      <c r="N3341" s="50" t="s">
        <v>5935</v>
      </c>
      <c r="O3341" s="50" t="s">
        <v>5935</v>
      </c>
      <c r="P3341" s="50" t="s">
        <v>5935</v>
      </c>
    </row>
    <row r="3342" spans="1:16" ht="12.75" customHeight="1" x14ac:dyDescent="0.25">
      <c r="A3342" s="311">
        <v>3361</v>
      </c>
      <c r="B3342" s="311" t="s">
        <v>123</v>
      </c>
      <c r="C3342" s="311" t="s">
        <v>462</v>
      </c>
      <c r="D3342" s="311" t="s">
        <v>462</v>
      </c>
      <c r="E3342" s="337" t="s">
        <v>462</v>
      </c>
      <c r="F3342" s="311" t="s">
        <v>95</v>
      </c>
      <c r="G3342" s="311" t="s">
        <v>237</v>
      </c>
      <c r="H3342" s="311" t="s">
        <v>342</v>
      </c>
      <c r="I3342" s="311" t="s">
        <v>56</v>
      </c>
      <c r="J3342" s="50" t="s">
        <v>1892</v>
      </c>
      <c r="K3342" s="50" t="s">
        <v>1892</v>
      </c>
      <c r="L3342" s="50" t="s">
        <v>1893</v>
      </c>
      <c r="M3342" s="50" t="s">
        <v>5936</v>
      </c>
      <c r="N3342" s="50" t="s">
        <v>5935</v>
      </c>
      <c r="O3342" s="50" t="s">
        <v>5935</v>
      </c>
      <c r="P3342" s="50" t="s">
        <v>5935</v>
      </c>
    </row>
    <row r="3343" spans="1:16" ht="12.75" customHeight="1" x14ac:dyDescent="0.25">
      <c r="A3343" s="311">
        <v>3362</v>
      </c>
      <c r="B3343" s="311" t="s">
        <v>75</v>
      </c>
      <c r="C3343" s="311" t="s">
        <v>462</v>
      </c>
      <c r="D3343" s="311" t="s">
        <v>462</v>
      </c>
      <c r="E3343" s="337" t="s">
        <v>462</v>
      </c>
      <c r="F3343" s="311" t="s">
        <v>95</v>
      </c>
      <c r="G3343" s="311" t="s">
        <v>237</v>
      </c>
      <c r="H3343" s="311" t="s">
        <v>342</v>
      </c>
      <c r="I3343" s="311" t="s">
        <v>56</v>
      </c>
      <c r="J3343" s="50" t="s">
        <v>1892</v>
      </c>
      <c r="K3343" s="50" t="s">
        <v>1892</v>
      </c>
      <c r="L3343" s="50" t="s">
        <v>1893</v>
      </c>
      <c r="M3343" s="50" t="s">
        <v>5937</v>
      </c>
      <c r="N3343" s="50" t="s">
        <v>5935</v>
      </c>
      <c r="O3343" s="50" t="s">
        <v>5935</v>
      </c>
      <c r="P3343" s="50" t="s">
        <v>5935</v>
      </c>
    </row>
    <row r="3344" spans="1:16" ht="12.75" customHeight="1" x14ac:dyDescent="0.25">
      <c r="A3344" s="311">
        <v>3363</v>
      </c>
      <c r="B3344" s="311" t="s">
        <v>63</v>
      </c>
      <c r="C3344" s="311" t="s">
        <v>63</v>
      </c>
      <c r="D3344" s="311" t="s">
        <v>462</v>
      </c>
      <c r="E3344" s="337" t="s">
        <v>63</v>
      </c>
      <c r="F3344" s="311" t="s">
        <v>95</v>
      </c>
      <c r="G3344" s="311" t="s">
        <v>237</v>
      </c>
      <c r="H3344" s="311" t="s">
        <v>882</v>
      </c>
      <c r="I3344" s="311" t="s">
        <v>66</v>
      </c>
      <c r="J3344" s="50" t="s">
        <v>1892</v>
      </c>
      <c r="K3344" s="50" t="s">
        <v>1892</v>
      </c>
      <c r="L3344" s="50" t="s">
        <v>1893</v>
      </c>
      <c r="M3344" s="50" t="s">
        <v>5938</v>
      </c>
      <c r="N3344" s="50" t="s">
        <v>5938</v>
      </c>
      <c r="O3344" s="50" t="s">
        <v>5935</v>
      </c>
      <c r="P3344" s="50" t="s">
        <v>5938</v>
      </c>
    </row>
    <row r="3345" spans="1:16" ht="12.75" customHeight="1" x14ac:dyDescent="0.25">
      <c r="A3345" s="311">
        <v>3364</v>
      </c>
      <c r="B3345" s="311" t="s">
        <v>140</v>
      </c>
      <c r="C3345" s="311" t="s">
        <v>140</v>
      </c>
      <c r="D3345" s="311" t="s">
        <v>462</v>
      </c>
      <c r="E3345" s="337" t="s">
        <v>140</v>
      </c>
      <c r="F3345" s="311" t="s">
        <v>95</v>
      </c>
      <c r="G3345" s="311" t="s">
        <v>237</v>
      </c>
      <c r="H3345" s="311" t="s">
        <v>882</v>
      </c>
      <c r="I3345" s="311" t="s">
        <v>66</v>
      </c>
      <c r="J3345" s="50" t="s">
        <v>1892</v>
      </c>
      <c r="K3345" s="50" t="s">
        <v>1892</v>
      </c>
      <c r="L3345" s="50" t="s">
        <v>1893</v>
      </c>
      <c r="M3345" s="50" t="s">
        <v>5939</v>
      </c>
      <c r="N3345" s="50" t="s">
        <v>5939</v>
      </c>
      <c r="O3345" s="50" t="s">
        <v>5935</v>
      </c>
      <c r="P3345" s="50" t="s">
        <v>5939</v>
      </c>
    </row>
    <row r="3346" spans="1:16" ht="12.75" customHeight="1" x14ac:dyDescent="0.25">
      <c r="A3346" s="311">
        <v>3365</v>
      </c>
      <c r="B3346" s="311" t="s">
        <v>121</v>
      </c>
      <c r="C3346" s="311" t="s">
        <v>121</v>
      </c>
      <c r="D3346" s="311" t="s">
        <v>462</v>
      </c>
      <c r="E3346" s="337" t="s">
        <v>121</v>
      </c>
      <c r="F3346" s="311" t="s">
        <v>95</v>
      </c>
      <c r="G3346" s="311" t="s">
        <v>237</v>
      </c>
      <c r="H3346" s="311" t="s">
        <v>882</v>
      </c>
      <c r="I3346" s="311" t="s">
        <v>66</v>
      </c>
      <c r="J3346" s="50" t="s">
        <v>1892</v>
      </c>
      <c r="K3346" s="50" t="s">
        <v>1892</v>
      </c>
      <c r="L3346" s="50" t="s">
        <v>1893</v>
      </c>
      <c r="M3346" s="50" t="s">
        <v>5940</v>
      </c>
      <c r="N3346" s="50" t="s">
        <v>5940</v>
      </c>
      <c r="O3346" s="50" t="s">
        <v>5935</v>
      </c>
      <c r="P3346" s="50" t="s">
        <v>5940</v>
      </c>
    </row>
    <row r="3347" spans="1:16" ht="12.75" customHeight="1" x14ac:dyDescent="0.25">
      <c r="A3347" s="311">
        <v>3366</v>
      </c>
      <c r="B3347" s="311" t="s">
        <v>87</v>
      </c>
      <c r="C3347" s="311" t="s">
        <v>87</v>
      </c>
      <c r="D3347" s="311" t="s">
        <v>462</v>
      </c>
      <c r="E3347" s="337" t="s">
        <v>87</v>
      </c>
      <c r="F3347" s="311" t="s">
        <v>95</v>
      </c>
      <c r="G3347" s="311" t="s">
        <v>237</v>
      </c>
      <c r="H3347" s="311" t="s">
        <v>882</v>
      </c>
      <c r="I3347" s="311" t="s">
        <v>66</v>
      </c>
      <c r="J3347" s="50" t="s">
        <v>1892</v>
      </c>
      <c r="K3347" s="50" t="s">
        <v>1892</v>
      </c>
      <c r="L3347" s="50" t="s">
        <v>1893</v>
      </c>
      <c r="M3347" s="50" t="s">
        <v>5941</v>
      </c>
      <c r="N3347" s="50" t="s">
        <v>5941</v>
      </c>
      <c r="O3347" s="50" t="s">
        <v>5935</v>
      </c>
      <c r="P3347" s="50" t="s">
        <v>5941</v>
      </c>
    </row>
    <row r="3348" spans="1:16" ht="12.75" customHeight="1" x14ac:dyDescent="0.25">
      <c r="A3348" s="311">
        <v>3367</v>
      </c>
      <c r="B3348" s="311" t="s">
        <v>125</v>
      </c>
      <c r="C3348" s="311" t="s">
        <v>125</v>
      </c>
      <c r="D3348" s="311" t="s">
        <v>125</v>
      </c>
      <c r="E3348" s="337" t="s">
        <v>125</v>
      </c>
      <c r="F3348" s="311" t="s">
        <v>95</v>
      </c>
      <c r="G3348" s="311" t="s">
        <v>237</v>
      </c>
      <c r="H3348" s="311" t="s">
        <v>882</v>
      </c>
      <c r="I3348" s="311" t="s">
        <v>66</v>
      </c>
      <c r="J3348" s="50" t="s">
        <v>1892</v>
      </c>
      <c r="K3348" s="50" t="s">
        <v>1892</v>
      </c>
      <c r="L3348" s="50" t="s">
        <v>1893</v>
      </c>
      <c r="M3348" s="50" t="s">
        <v>5942</v>
      </c>
      <c r="N3348" s="50" t="s">
        <v>5942</v>
      </c>
      <c r="O3348" s="50" t="s">
        <v>5942</v>
      </c>
      <c r="P3348" s="50" t="s">
        <v>5942</v>
      </c>
    </row>
    <row r="3349" spans="1:16" ht="12.75" customHeight="1" x14ac:dyDescent="0.25">
      <c r="A3349" s="311">
        <v>3368</v>
      </c>
      <c r="B3349" s="311" t="s">
        <v>134</v>
      </c>
      <c r="C3349" s="311" t="s">
        <v>134</v>
      </c>
      <c r="D3349" s="311" t="s">
        <v>134</v>
      </c>
      <c r="E3349" s="337" t="s">
        <v>134</v>
      </c>
      <c r="F3349" s="311" t="s">
        <v>95</v>
      </c>
      <c r="G3349" s="311" t="s">
        <v>237</v>
      </c>
      <c r="H3349" s="311" t="s">
        <v>882</v>
      </c>
      <c r="I3349" s="311" t="s">
        <v>66</v>
      </c>
      <c r="J3349" s="50" t="s">
        <v>1892</v>
      </c>
      <c r="K3349" s="50" t="s">
        <v>1892</v>
      </c>
      <c r="L3349" s="50" t="s">
        <v>1893</v>
      </c>
      <c r="M3349" s="50" t="s">
        <v>5943</v>
      </c>
      <c r="N3349" s="50" t="s">
        <v>5943</v>
      </c>
      <c r="O3349" s="50" t="s">
        <v>5943</v>
      </c>
      <c r="P3349" s="50" t="s">
        <v>5943</v>
      </c>
    </row>
    <row r="3350" spans="1:16" ht="12.75" customHeight="1" x14ac:dyDescent="0.25">
      <c r="A3350" s="311">
        <v>3369</v>
      </c>
      <c r="B3350" s="311" t="s">
        <v>141</v>
      </c>
      <c r="C3350" s="311" t="s">
        <v>141</v>
      </c>
      <c r="D3350" s="311" t="s">
        <v>141</v>
      </c>
      <c r="E3350" s="337" t="s">
        <v>141</v>
      </c>
      <c r="F3350" s="311" t="s">
        <v>95</v>
      </c>
      <c r="G3350" s="311" t="s">
        <v>237</v>
      </c>
      <c r="H3350" s="311" t="s">
        <v>882</v>
      </c>
      <c r="I3350" s="311" t="s">
        <v>66</v>
      </c>
      <c r="J3350" s="50" t="s">
        <v>1892</v>
      </c>
      <c r="K3350" s="50" t="s">
        <v>1892</v>
      </c>
      <c r="L3350" s="50" t="s">
        <v>1893</v>
      </c>
      <c r="M3350" s="50" t="s">
        <v>5944</v>
      </c>
      <c r="N3350" s="50" t="s">
        <v>5944</v>
      </c>
      <c r="O3350" s="50" t="s">
        <v>5944</v>
      </c>
      <c r="P3350" s="50" t="s">
        <v>5944</v>
      </c>
    </row>
    <row r="3351" spans="1:16" ht="12.75" customHeight="1" x14ac:dyDescent="0.25">
      <c r="A3351" s="311">
        <v>3370</v>
      </c>
      <c r="B3351" s="311" t="s">
        <v>69</v>
      </c>
      <c r="C3351" s="311" t="s">
        <v>69</v>
      </c>
      <c r="D3351" s="311" t="s">
        <v>69</v>
      </c>
      <c r="E3351" s="337" t="s">
        <v>69</v>
      </c>
      <c r="F3351" s="311" t="s">
        <v>95</v>
      </c>
      <c r="G3351" s="311" t="s">
        <v>237</v>
      </c>
      <c r="H3351" s="311" t="s">
        <v>882</v>
      </c>
      <c r="I3351" s="311" t="s">
        <v>66</v>
      </c>
      <c r="J3351" s="50" t="s">
        <v>1892</v>
      </c>
      <c r="K3351" s="50" t="s">
        <v>1892</v>
      </c>
      <c r="L3351" s="50" t="s">
        <v>1893</v>
      </c>
      <c r="M3351" s="50" t="s">
        <v>5945</v>
      </c>
      <c r="N3351" s="50" t="s">
        <v>5945</v>
      </c>
      <c r="O3351" s="50" t="s">
        <v>5945</v>
      </c>
      <c r="P3351" s="50" t="s">
        <v>5945</v>
      </c>
    </row>
    <row r="3352" spans="1:16" ht="12.75" customHeight="1" x14ac:dyDescent="0.2">
      <c r="A3352" s="311">
        <v>3371</v>
      </c>
      <c r="B3352" s="311"/>
      <c r="C3352" s="311"/>
      <c r="D3352" s="311"/>
      <c r="E3352" s="311"/>
      <c r="F3352" s="311" t="s">
        <v>461</v>
      </c>
      <c r="G3352" s="311"/>
      <c r="H3352" s="311"/>
      <c r="I3352" s="311"/>
      <c r="J3352" s="50" t="s">
        <v>5946</v>
      </c>
      <c r="K3352" s="50" t="s">
        <v>2309</v>
      </c>
      <c r="L3352" s="50" t="s">
        <v>1893</v>
      </c>
      <c r="M3352" s="50" t="s">
        <v>461</v>
      </c>
      <c r="N3352" s="50" t="s">
        <v>461</v>
      </c>
      <c r="O3352" s="50" t="s">
        <v>461</v>
      </c>
      <c r="P3352" s="50" t="s">
        <v>461</v>
      </c>
    </row>
    <row r="3353" spans="1:16" ht="12.75" customHeight="1" x14ac:dyDescent="0.2">
      <c r="A3353" s="311">
        <v>3372</v>
      </c>
      <c r="B3353" s="311"/>
      <c r="C3353" s="311"/>
      <c r="D3353" s="311"/>
      <c r="E3353" s="311"/>
      <c r="F3353" s="311" t="s">
        <v>460</v>
      </c>
      <c r="G3353" s="311"/>
      <c r="H3353" s="311"/>
      <c r="I3353" s="311"/>
      <c r="J3353" s="50" t="s">
        <v>5946</v>
      </c>
      <c r="K3353" s="50" t="s">
        <v>2309</v>
      </c>
      <c r="L3353" s="50" t="s">
        <v>1893</v>
      </c>
      <c r="M3353" s="50" t="s">
        <v>460</v>
      </c>
      <c r="N3353" s="50" t="s">
        <v>460</v>
      </c>
      <c r="O3353" s="50" t="s">
        <v>460</v>
      </c>
      <c r="P3353" s="50" t="s">
        <v>460</v>
      </c>
    </row>
    <row r="3354" spans="1:16" ht="12.75" customHeight="1" x14ac:dyDescent="0.2">
      <c r="A3354" s="311">
        <v>3373</v>
      </c>
      <c r="B3354" s="311"/>
      <c r="C3354" s="311"/>
      <c r="D3354" s="311"/>
      <c r="E3354" s="311"/>
      <c r="F3354" s="311" t="s">
        <v>459</v>
      </c>
      <c r="G3354" s="311"/>
      <c r="H3354" s="311"/>
      <c r="I3354" s="311"/>
      <c r="J3354" s="50" t="s">
        <v>5946</v>
      </c>
      <c r="K3354" s="50" t="s">
        <v>2309</v>
      </c>
      <c r="L3354" s="50" t="s">
        <v>1893</v>
      </c>
      <c r="M3354" s="50" t="s">
        <v>459</v>
      </c>
      <c r="N3354" s="50" t="s">
        <v>459</v>
      </c>
      <c r="O3354" s="50" t="s">
        <v>459</v>
      </c>
      <c r="P3354" s="50" t="s">
        <v>459</v>
      </c>
    </row>
    <row r="3355" spans="1:16" ht="12.75" customHeight="1" x14ac:dyDescent="0.2">
      <c r="A3355" s="311">
        <v>3374</v>
      </c>
      <c r="B3355" s="311"/>
      <c r="C3355" s="311"/>
      <c r="D3355" s="311"/>
      <c r="E3355" s="311"/>
      <c r="F3355" s="311" t="s">
        <v>458</v>
      </c>
      <c r="G3355" s="311"/>
      <c r="H3355" s="311"/>
      <c r="I3355" s="311"/>
      <c r="J3355" s="50" t="s">
        <v>5946</v>
      </c>
      <c r="K3355" s="50" t="s">
        <v>2309</v>
      </c>
      <c r="L3355" s="50" t="s">
        <v>1893</v>
      </c>
      <c r="M3355" s="50" t="s">
        <v>458</v>
      </c>
      <c r="N3355" s="50" t="s">
        <v>458</v>
      </c>
      <c r="O3355" s="50" t="s">
        <v>458</v>
      </c>
      <c r="P3355" s="50" t="s">
        <v>458</v>
      </c>
    </row>
    <row r="3356" spans="1:16" ht="12.75" customHeight="1" x14ac:dyDescent="0.2">
      <c r="A3356" s="311">
        <v>3375</v>
      </c>
      <c r="B3356" s="311"/>
      <c r="C3356" s="311"/>
      <c r="D3356" s="311"/>
      <c r="E3356" s="311"/>
      <c r="F3356" s="311" t="s">
        <v>457</v>
      </c>
      <c r="G3356" s="311"/>
      <c r="H3356" s="311"/>
      <c r="I3356" s="311"/>
      <c r="J3356" s="50" t="s">
        <v>5946</v>
      </c>
      <c r="K3356" s="50" t="s">
        <v>2309</v>
      </c>
      <c r="L3356" s="50" t="s">
        <v>1893</v>
      </c>
      <c r="M3356" s="50" t="s">
        <v>457</v>
      </c>
      <c r="N3356" s="50" t="s">
        <v>457</v>
      </c>
      <c r="O3356" s="50" t="s">
        <v>457</v>
      </c>
      <c r="P3356" s="50" t="s">
        <v>457</v>
      </c>
    </row>
    <row r="3357" spans="1:16" ht="12.75" customHeight="1" x14ac:dyDescent="0.2">
      <c r="A3357" s="311">
        <v>3376</v>
      </c>
      <c r="B3357" s="311"/>
      <c r="C3357" s="311"/>
      <c r="D3357" s="311"/>
      <c r="E3357" s="311"/>
      <c r="F3357" s="311" t="s">
        <v>456</v>
      </c>
      <c r="G3357" s="311"/>
      <c r="H3357" s="311"/>
      <c r="I3357" s="311"/>
      <c r="J3357" s="50" t="s">
        <v>5946</v>
      </c>
      <c r="K3357" s="50" t="s">
        <v>2309</v>
      </c>
      <c r="L3357" s="50" t="s">
        <v>1893</v>
      </c>
      <c r="M3357" s="50" t="s">
        <v>456</v>
      </c>
      <c r="N3357" s="50" t="s">
        <v>456</v>
      </c>
      <c r="O3357" s="50" t="s">
        <v>456</v>
      </c>
      <c r="P3357" s="50" t="s">
        <v>456</v>
      </c>
    </row>
    <row r="3358" spans="1:16" ht="12.75" customHeight="1" x14ac:dyDescent="0.2">
      <c r="A3358" s="311">
        <v>3377</v>
      </c>
      <c r="B3358" s="311"/>
      <c r="C3358" s="311"/>
      <c r="D3358" s="311"/>
      <c r="E3358" s="311"/>
      <c r="F3358" s="311" t="s">
        <v>455</v>
      </c>
      <c r="G3358" s="311"/>
      <c r="H3358" s="311"/>
      <c r="I3358" s="311"/>
      <c r="J3358" s="50" t="s">
        <v>5946</v>
      </c>
      <c r="K3358" s="50" t="s">
        <v>2309</v>
      </c>
      <c r="L3358" s="50" t="s">
        <v>1893</v>
      </c>
      <c r="M3358" s="50" t="s">
        <v>455</v>
      </c>
      <c r="N3358" s="50" t="s">
        <v>455</v>
      </c>
      <c r="O3358" s="50" t="s">
        <v>455</v>
      </c>
      <c r="P3358" s="50" t="s">
        <v>455</v>
      </c>
    </row>
    <row r="3359" spans="1:16" ht="12.75" customHeight="1" x14ac:dyDescent="0.2">
      <c r="A3359" s="311">
        <v>3378</v>
      </c>
      <c r="B3359" s="311"/>
      <c r="C3359" s="311"/>
      <c r="D3359" s="311"/>
      <c r="E3359" s="311"/>
      <c r="F3359" s="311" t="s">
        <v>454</v>
      </c>
      <c r="G3359" s="311"/>
      <c r="H3359" s="311"/>
      <c r="I3359" s="311"/>
      <c r="J3359" s="50" t="s">
        <v>5946</v>
      </c>
      <c r="K3359" s="50" t="s">
        <v>2309</v>
      </c>
      <c r="L3359" s="50" t="s">
        <v>1893</v>
      </c>
      <c r="M3359" s="50" t="s">
        <v>454</v>
      </c>
      <c r="N3359" s="50" t="s">
        <v>454</v>
      </c>
      <c r="O3359" s="50" t="s">
        <v>454</v>
      </c>
      <c r="P3359" s="50" t="s">
        <v>454</v>
      </c>
    </row>
    <row r="3360" spans="1:16" ht="12.75" customHeight="1" x14ac:dyDescent="0.2">
      <c r="A3360" s="311">
        <v>3379</v>
      </c>
      <c r="B3360" s="311"/>
      <c r="C3360" s="311"/>
      <c r="D3360" s="311"/>
      <c r="E3360" s="311"/>
      <c r="F3360" s="311" t="s">
        <v>453</v>
      </c>
      <c r="G3360" s="311"/>
      <c r="H3360" s="311"/>
      <c r="I3360" s="311"/>
      <c r="J3360" s="50" t="s">
        <v>5946</v>
      </c>
      <c r="K3360" s="50" t="s">
        <v>2309</v>
      </c>
      <c r="L3360" s="50" t="s">
        <v>1893</v>
      </c>
      <c r="M3360" s="50" t="s">
        <v>453</v>
      </c>
      <c r="N3360" s="50" t="s">
        <v>453</v>
      </c>
      <c r="O3360" s="50" t="s">
        <v>453</v>
      </c>
      <c r="P3360" s="50" t="s">
        <v>453</v>
      </c>
    </row>
    <row r="3361" spans="1:16" ht="12.75" customHeight="1" x14ac:dyDescent="0.2">
      <c r="A3361" s="311">
        <v>3380</v>
      </c>
      <c r="B3361" s="311"/>
      <c r="C3361" s="311"/>
      <c r="D3361" s="311"/>
      <c r="E3361" s="311"/>
      <c r="F3361" s="311" t="s">
        <v>452</v>
      </c>
      <c r="G3361" s="311"/>
      <c r="H3361" s="311"/>
      <c r="I3361" s="311"/>
      <c r="J3361" s="50" t="s">
        <v>5946</v>
      </c>
      <c r="K3361" s="50" t="s">
        <v>2309</v>
      </c>
      <c r="L3361" s="50" t="s">
        <v>1893</v>
      </c>
      <c r="M3361" s="50" t="s">
        <v>452</v>
      </c>
      <c r="N3361" s="50" t="s">
        <v>452</v>
      </c>
      <c r="O3361" s="50" t="s">
        <v>452</v>
      </c>
      <c r="P3361" s="50" t="s">
        <v>452</v>
      </c>
    </row>
    <row r="3362" spans="1:16" ht="12.75" customHeight="1" x14ac:dyDescent="0.2">
      <c r="A3362" s="311">
        <v>3381</v>
      </c>
      <c r="B3362" s="311"/>
      <c r="C3362" s="311"/>
      <c r="D3362" s="311"/>
      <c r="E3362" s="311"/>
      <c r="F3362" s="311" t="s">
        <v>451</v>
      </c>
      <c r="G3362" s="311"/>
      <c r="H3362" s="311"/>
      <c r="I3362" s="311"/>
      <c r="J3362" s="50" t="s">
        <v>5946</v>
      </c>
      <c r="K3362" s="50" t="s">
        <v>2309</v>
      </c>
      <c r="L3362" s="50" t="s">
        <v>1893</v>
      </c>
      <c r="M3362" s="50" t="s">
        <v>451</v>
      </c>
      <c r="N3362" s="50" t="s">
        <v>451</v>
      </c>
      <c r="O3362" s="50" t="s">
        <v>451</v>
      </c>
      <c r="P3362" s="50" t="s">
        <v>451</v>
      </c>
    </row>
    <row r="3363" spans="1:16" ht="12.75" customHeight="1" x14ac:dyDescent="0.2">
      <c r="A3363" s="311">
        <v>3382</v>
      </c>
      <c r="B3363" s="311"/>
      <c r="C3363" s="311"/>
      <c r="D3363" s="311"/>
      <c r="E3363" s="311"/>
      <c r="F3363" s="311" t="s">
        <v>450</v>
      </c>
      <c r="G3363" s="311"/>
      <c r="H3363" s="311"/>
      <c r="I3363" s="311"/>
      <c r="J3363" s="50" t="s">
        <v>5946</v>
      </c>
      <c r="K3363" s="50" t="s">
        <v>2309</v>
      </c>
      <c r="L3363" s="50" t="s">
        <v>1893</v>
      </c>
      <c r="M3363" s="50" t="s">
        <v>450</v>
      </c>
      <c r="N3363" s="50" t="s">
        <v>450</v>
      </c>
      <c r="O3363" s="50" t="s">
        <v>450</v>
      </c>
      <c r="P3363" s="50" t="s">
        <v>450</v>
      </c>
    </row>
    <row r="3364" spans="1:16" ht="12.75" customHeight="1" x14ac:dyDescent="0.2">
      <c r="A3364" s="311">
        <v>3383</v>
      </c>
      <c r="B3364" s="311"/>
      <c r="C3364" s="311"/>
      <c r="D3364" s="311"/>
      <c r="E3364" s="311"/>
      <c r="F3364" s="311" t="s">
        <v>449</v>
      </c>
      <c r="G3364" s="311"/>
      <c r="H3364" s="311"/>
      <c r="I3364" s="311"/>
      <c r="J3364" s="50" t="s">
        <v>5946</v>
      </c>
      <c r="K3364" s="50" t="s">
        <v>2309</v>
      </c>
      <c r="L3364" s="50" t="s">
        <v>1893</v>
      </c>
      <c r="M3364" s="50" t="s">
        <v>449</v>
      </c>
      <c r="N3364" s="50" t="s">
        <v>449</v>
      </c>
      <c r="O3364" s="50" t="s">
        <v>449</v>
      </c>
      <c r="P3364" s="50" t="s">
        <v>449</v>
      </c>
    </row>
    <row r="3365" spans="1:16" ht="12.75" customHeight="1" x14ac:dyDescent="0.2">
      <c r="A3365" s="311">
        <v>3384</v>
      </c>
      <c r="B3365" s="311"/>
      <c r="C3365" s="311"/>
      <c r="D3365" s="311"/>
      <c r="E3365" s="311"/>
      <c r="F3365" s="311" t="s">
        <v>448</v>
      </c>
      <c r="G3365" s="311"/>
      <c r="H3365" s="311"/>
      <c r="I3365" s="311"/>
      <c r="J3365" s="50" t="s">
        <v>5946</v>
      </c>
      <c r="K3365" s="50" t="s">
        <v>2309</v>
      </c>
      <c r="L3365" s="50" t="s">
        <v>1893</v>
      </c>
      <c r="M3365" s="50" t="s">
        <v>448</v>
      </c>
      <c r="N3365" s="50" t="s">
        <v>448</v>
      </c>
      <c r="O3365" s="50" t="s">
        <v>448</v>
      </c>
      <c r="P3365" s="50" t="s">
        <v>448</v>
      </c>
    </row>
    <row r="3366" spans="1:16" ht="12.75" customHeight="1" x14ac:dyDescent="0.2">
      <c r="A3366" s="311">
        <v>3385</v>
      </c>
      <c r="B3366" s="311"/>
      <c r="C3366" s="311"/>
      <c r="D3366" s="311"/>
      <c r="E3366" s="311"/>
      <c r="F3366" s="311" t="s">
        <v>447</v>
      </c>
      <c r="G3366" s="311"/>
      <c r="H3366" s="311"/>
      <c r="I3366" s="311"/>
      <c r="J3366" s="50" t="s">
        <v>5946</v>
      </c>
      <c r="K3366" s="50" t="s">
        <v>2309</v>
      </c>
      <c r="L3366" s="50" t="s">
        <v>1893</v>
      </c>
      <c r="M3366" s="50" t="s">
        <v>447</v>
      </c>
      <c r="N3366" s="50" t="s">
        <v>447</v>
      </c>
      <c r="O3366" s="50" t="s">
        <v>447</v>
      </c>
      <c r="P3366" s="50" t="s">
        <v>447</v>
      </c>
    </row>
    <row r="3367" spans="1:16" ht="12.75" customHeight="1" x14ac:dyDescent="0.2">
      <c r="A3367" s="311">
        <v>3386</v>
      </c>
      <c r="B3367" s="311"/>
      <c r="C3367" s="311"/>
      <c r="D3367" s="311"/>
      <c r="E3367" s="311"/>
      <c r="F3367" s="311" t="s">
        <v>446</v>
      </c>
      <c r="G3367" s="311"/>
      <c r="H3367" s="311"/>
      <c r="I3367" s="311"/>
      <c r="J3367" s="50" t="s">
        <v>5946</v>
      </c>
      <c r="K3367" s="50" t="s">
        <v>2309</v>
      </c>
      <c r="L3367" s="50" t="s">
        <v>1893</v>
      </c>
      <c r="M3367" s="50" t="s">
        <v>446</v>
      </c>
      <c r="N3367" s="50" t="s">
        <v>446</v>
      </c>
      <c r="O3367" s="50" t="s">
        <v>446</v>
      </c>
      <c r="P3367" s="50" t="s">
        <v>446</v>
      </c>
    </row>
    <row r="3368" spans="1:16" ht="12.75" customHeight="1" x14ac:dyDescent="0.2">
      <c r="A3368" s="311">
        <v>3387</v>
      </c>
      <c r="B3368" s="311"/>
      <c r="C3368" s="311"/>
      <c r="D3368" s="311"/>
      <c r="E3368" s="311"/>
      <c r="F3368" s="311" t="s">
        <v>445</v>
      </c>
      <c r="G3368" s="311"/>
      <c r="H3368" s="311"/>
      <c r="I3368" s="311"/>
      <c r="J3368" s="50" t="s">
        <v>5946</v>
      </c>
      <c r="K3368" s="50" t="s">
        <v>2309</v>
      </c>
      <c r="L3368" s="50" t="s">
        <v>1893</v>
      </c>
      <c r="M3368" s="50" t="s">
        <v>445</v>
      </c>
      <c r="N3368" s="50" t="s">
        <v>445</v>
      </c>
      <c r="O3368" s="50" t="s">
        <v>445</v>
      </c>
      <c r="P3368" s="50" t="s">
        <v>445</v>
      </c>
    </row>
    <row r="3369" spans="1:16" ht="12.75" customHeight="1" x14ac:dyDescent="0.2">
      <c r="A3369" s="311">
        <v>3388</v>
      </c>
      <c r="B3369" s="311"/>
      <c r="C3369" s="311"/>
      <c r="D3369" s="311"/>
      <c r="E3369" s="311"/>
      <c r="F3369" s="311" t="s">
        <v>444</v>
      </c>
      <c r="G3369" s="311"/>
      <c r="H3369" s="311"/>
      <c r="I3369" s="311"/>
      <c r="J3369" s="50" t="s">
        <v>5946</v>
      </c>
      <c r="K3369" s="50" t="s">
        <v>2309</v>
      </c>
      <c r="L3369" s="50" t="s">
        <v>1893</v>
      </c>
      <c r="M3369" s="50" t="s">
        <v>444</v>
      </c>
      <c r="N3369" s="50" t="s">
        <v>444</v>
      </c>
      <c r="O3369" s="50" t="s">
        <v>444</v>
      </c>
      <c r="P3369" s="50" t="s">
        <v>444</v>
      </c>
    </row>
    <row r="3370" spans="1:16" ht="12.75" customHeight="1" x14ac:dyDescent="0.2">
      <c r="A3370" s="311">
        <v>3389</v>
      </c>
      <c r="B3370" s="311"/>
      <c r="C3370" s="311"/>
      <c r="D3370" s="311"/>
      <c r="E3370" s="311"/>
      <c r="F3370" s="311" t="s">
        <v>443</v>
      </c>
      <c r="G3370" s="311"/>
      <c r="H3370" s="311"/>
      <c r="I3370" s="311"/>
      <c r="J3370" s="50" t="s">
        <v>5946</v>
      </c>
      <c r="K3370" s="50" t="s">
        <v>2309</v>
      </c>
      <c r="L3370" s="50" t="s">
        <v>1893</v>
      </c>
      <c r="M3370" s="50" t="s">
        <v>443</v>
      </c>
      <c r="N3370" s="50" t="s">
        <v>443</v>
      </c>
      <c r="O3370" s="50" t="s">
        <v>443</v>
      </c>
      <c r="P3370" s="50" t="s">
        <v>443</v>
      </c>
    </row>
    <row r="3371" spans="1:16" ht="12.75" customHeight="1" x14ac:dyDescent="0.2">
      <c r="A3371" s="311">
        <v>3390</v>
      </c>
      <c r="B3371" s="311"/>
      <c r="C3371" s="311"/>
      <c r="D3371" s="311"/>
      <c r="E3371" s="311"/>
      <c r="F3371" s="311" t="s">
        <v>442</v>
      </c>
      <c r="G3371" s="311"/>
      <c r="H3371" s="311"/>
      <c r="I3371" s="311"/>
      <c r="J3371" s="50" t="s">
        <v>5946</v>
      </c>
      <c r="K3371" s="50" t="s">
        <v>2309</v>
      </c>
      <c r="L3371" s="50" t="s">
        <v>1893</v>
      </c>
      <c r="M3371" s="50" t="s">
        <v>442</v>
      </c>
      <c r="N3371" s="50" t="s">
        <v>442</v>
      </c>
      <c r="O3371" s="50" t="s">
        <v>442</v>
      </c>
      <c r="P3371" s="50" t="s">
        <v>442</v>
      </c>
    </row>
    <row r="3372" spans="1:16" ht="12.75" customHeight="1" x14ac:dyDescent="0.2">
      <c r="A3372" s="311">
        <v>3391</v>
      </c>
      <c r="B3372" s="311"/>
      <c r="C3372" s="311"/>
      <c r="D3372" s="311"/>
      <c r="E3372" s="311"/>
      <c r="F3372" s="311" t="s">
        <v>441</v>
      </c>
      <c r="G3372" s="311"/>
      <c r="H3372" s="311"/>
      <c r="I3372" s="311"/>
      <c r="J3372" s="50" t="s">
        <v>5946</v>
      </c>
      <c r="K3372" s="50" t="s">
        <v>2309</v>
      </c>
      <c r="L3372" s="50" t="s">
        <v>1893</v>
      </c>
      <c r="M3372" s="50" t="s">
        <v>441</v>
      </c>
      <c r="N3372" s="50" t="s">
        <v>441</v>
      </c>
      <c r="O3372" s="50" t="s">
        <v>441</v>
      </c>
      <c r="P3372" s="50" t="s">
        <v>441</v>
      </c>
    </row>
    <row r="3373" spans="1:16" ht="12.75" customHeight="1" x14ac:dyDescent="0.2">
      <c r="A3373" s="311">
        <v>3392</v>
      </c>
      <c r="B3373" s="311"/>
      <c r="C3373" s="311"/>
      <c r="D3373" s="311"/>
      <c r="E3373" s="311"/>
      <c r="F3373" s="311" t="s">
        <v>440</v>
      </c>
      <c r="G3373" s="311"/>
      <c r="H3373" s="311"/>
      <c r="I3373" s="311"/>
      <c r="J3373" s="50" t="s">
        <v>5946</v>
      </c>
      <c r="K3373" s="50" t="s">
        <v>2309</v>
      </c>
      <c r="L3373" s="50" t="s">
        <v>1893</v>
      </c>
      <c r="M3373" s="50" t="s">
        <v>440</v>
      </c>
      <c r="N3373" s="50" t="s">
        <v>440</v>
      </c>
      <c r="O3373" s="50" t="s">
        <v>440</v>
      </c>
      <c r="P3373" s="50" t="s">
        <v>440</v>
      </c>
    </row>
    <row r="3374" spans="1:16" ht="12.75" customHeight="1" x14ac:dyDescent="0.2">
      <c r="A3374" s="311">
        <v>3393</v>
      </c>
      <c r="B3374" s="311"/>
      <c r="C3374" s="311"/>
      <c r="D3374" s="311"/>
      <c r="E3374" s="311"/>
      <c r="F3374" s="311" t="s">
        <v>439</v>
      </c>
      <c r="G3374" s="311"/>
      <c r="H3374" s="311"/>
      <c r="I3374" s="311"/>
      <c r="J3374" s="50" t="s">
        <v>5946</v>
      </c>
      <c r="K3374" s="50" t="s">
        <v>2309</v>
      </c>
      <c r="L3374" s="50" t="s">
        <v>1893</v>
      </c>
      <c r="M3374" s="50" t="s">
        <v>439</v>
      </c>
      <c r="N3374" s="50" t="s">
        <v>439</v>
      </c>
      <c r="O3374" s="50" t="s">
        <v>439</v>
      </c>
      <c r="P3374" s="50" t="s">
        <v>439</v>
      </c>
    </row>
    <row r="3375" spans="1:16" ht="12.75" customHeight="1" x14ac:dyDescent="0.2">
      <c r="A3375" s="311">
        <v>3394</v>
      </c>
      <c r="B3375" s="311"/>
      <c r="C3375" s="311"/>
      <c r="D3375" s="311"/>
      <c r="E3375" s="311"/>
      <c r="F3375" s="311" t="s">
        <v>438</v>
      </c>
      <c r="G3375" s="311"/>
      <c r="H3375" s="311"/>
      <c r="I3375" s="311"/>
      <c r="J3375" s="50" t="s">
        <v>5946</v>
      </c>
      <c r="K3375" s="50" t="s">
        <v>2309</v>
      </c>
      <c r="L3375" s="50" t="s">
        <v>1893</v>
      </c>
      <c r="M3375" s="50" t="s">
        <v>438</v>
      </c>
      <c r="N3375" s="50" t="s">
        <v>438</v>
      </c>
      <c r="O3375" s="50" t="s">
        <v>438</v>
      </c>
      <c r="P3375" s="50" t="s">
        <v>438</v>
      </c>
    </row>
    <row r="3376" spans="1:16" ht="12.75" customHeight="1" x14ac:dyDescent="0.2">
      <c r="A3376" s="311">
        <v>3395</v>
      </c>
      <c r="B3376" s="311"/>
      <c r="C3376" s="311"/>
      <c r="D3376" s="311"/>
      <c r="E3376" s="311"/>
      <c r="F3376" s="311" t="s">
        <v>437</v>
      </c>
      <c r="G3376" s="311"/>
      <c r="H3376" s="311"/>
      <c r="I3376" s="311"/>
      <c r="J3376" s="50" t="s">
        <v>5946</v>
      </c>
      <c r="K3376" s="50" t="s">
        <v>2309</v>
      </c>
      <c r="L3376" s="50" t="s">
        <v>1893</v>
      </c>
      <c r="M3376" s="50" t="s">
        <v>437</v>
      </c>
      <c r="N3376" s="50" t="s">
        <v>437</v>
      </c>
      <c r="O3376" s="50" t="s">
        <v>437</v>
      </c>
      <c r="P3376" s="50" t="s">
        <v>437</v>
      </c>
    </row>
    <row r="3377" spans="1:16" ht="12.75" customHeight="1" x14ac:dyDescent="0.2">
      <c r="A3377" s="311">
        <v>3396</v>
      </c>
      <c r="B3377" s="311"/>
      <c r="C3377" s="311"/>
      <c r="D3377" s="311"/>
      <c r="E3377" s="311"/>
      <c r="F3377" s="311" t="s">
        <v>436</v>
      </c>
      <c r="G3377" s="311"/>
      <c r="H3377" s="311"/>
      <c r="I3377" s="311"/>
      <c r="J3377" s="50" t="s">
        <v>5946</v>
      </c>
      <c r="K3377" s="50" t="s">
        <v>2309</v>
      </c>
      <c r="L3377" s="50" t="s">
        <v>1893</v>
      </c>
      <c r="M3377" s="50" t="s">
        <v>436</v>
      </c>
      <c r="N3377" s="50" t="s">
        <v>436</v>
      </c>
      <c r="O3377" s="50" t="s">
        <v>436</v>
      </c>
      <c r="P3377" s="50" t="s">
        <v>436</v>
      </c>
    </row>
    <row r="3378" spans="1:16" ht="12.75" customHeight="1" x14ac:dyDescent="0.2">
      <c r="A3378" s="311">
        <v>3397</v>
      </c>
      <c r="B3378" s="311"/>
      <c r="C3378" s="311"/>
      <c r="D3378" s="311"/>
      <c r="E3378" s="311"/>
      <c r="F3378" s="311" t="s">
        <v>435</v>
      </c>
      <c r="G3378" s="311"/>
      <c r="H3378" s="311"/>
      <c r="I3378" s="311"/>
      <c r="J3378" s="50" t="s">
        <v>5946</v>
      </c>
      <c r="K3378" s="50" t="s">
        <v>2309</v>
      </c>
      <c r="L3378" s="50" t="s">
        <v>1893</v>
      </c>
      <c r="M3378" s="50" t="s">
        <v>435</v>
      </c>
      <c r="N3378" s="50" t="s">
        <v>435</v>
      </c>
      <c r="O3378" s="50" t="s">
        <v>435</v>
      </c>
      <c r="P3378" s="50" t="s">
        <v>435</v>
      </c>
    </row>
    <row r="3379" spans="1:16" ht="12.75" customHeight="1" x14ac:dyDescent="0.2">
      <c r="A3379" s="311">
        <v>3398</v>
      </c>
      <c r="B3379" s="311"/>
      <c r="C3379" s="311"/>
      <c r="D3379" s="311"/>
      <c r="E3379" s="311"/>
      <c r="F3379" s="311" t="s">
        <v>434</v>
      </c>
      <c r="G3379" s="311"/>
      <c r="H3379" s="311"/>
      <c r="I3379" s="311"/>
      <c r="J3379" s="50" t="s">
        <v>5946</v>
      </c>
      <c r="K3379" s="50" t="s">
        <v>2309</v>
      </c>
      <c r="L3379" s="50" t="s">
        <v>1893</v>
      </c>
      <c r="M3379" s="50" t="s">
        <v>434</v>
      </c>
      <c r="N3379" s="50" t="s">
        <v>434</v>
      </c>
      <c r="O3379" s="50" t="s">
        <v>434</v>
      </c>
      <c r="P3379" s="50" t="s">
        <v>434</v>
      </c>
    </row>
    <row r="3380" spans="1:16" ht="12.75" customHeight="1" x14ac:dyDescent="0.2">
      <c r="A3380" s="311">
        <v>3399</v>
      </c>
      <c r="B3380" s="311"/>
      <c r="C3380" s="311"/>
      <c r="D3380" s="311"/>
      <c r="E3380" s="311"/>
      <c r="F3380" s="311" t="s">
        <v>433</v>
      </c>
      <c r="G3380" s="311"/>
      <c r="H3380" s="311"/>
      <c r="I3380" s="311"/>
      <c r="J3380" s="50" t="s">
        <v>5946</v>
      </c>
      <c r="K3380" s="50" t="s">
        <v>2309</v>
      </c>
      <c r="L3380" s="50" t="s">
        <v>1893</v>
      </c>
      <c r="M3380" s="50" t="s">
        <v>433</v>
      </c>
      <c r="N3380" s="50" t="s">
        <v>433</v>
      </c>
      <c r="O3380" s="50" t="s">
        <v>433</v>
      </c>
      <c r="P3380" s="50" t="s">
        <v>433</v>
      </c>
    </row>
  </sheetData>
  <mergeCells count="14">
    <mergeCell ref="M2:M3"/>
    <mergeCell ref="N2:N3"/>
    <mergeCell ref="O2:O3"/>
    <mergeCell ref="P2:P3"/>
    <mergeCell ref="A1:E1"/>
    <mergeCell ref="L2:L3"/>
    <mergeCell ref="B2:E2"/>
    <mergeCell ref="A2:A3"/>
    <mergeCell ref="F2:F3"/>
    <mergeCell ref="G2:G3"/>
    <mergeCell ref="H2:H3"/>
    <mergeCell ref="I2:I3"/>
    <mergeCell ref="J2:J3"/>
    <mergeCell ref="K2:K3"/>
  </mergeCells>
  <dataValidations count="2">
    <dataValidation type="list" allowBlank="1" showInputMessage="1" showErrorMessage="1" sqref="G4:G3380" xr:uid="{00000000-0002-0000-1C00-000000000000}">
      <formula1>"Mild,Moderate,Severe"</formula1>
    </dataValidation>
    <dataValidation type="list" allowBlank="1" showInputMessage="1" showErrorMessage="1" sqref="H4:H3380" xr:uid="{00000000-0002-0000-1C00-000001000000}">
      <formula1>MaintenanceActions</formula1>
    </dataValidation>
  </dataValidations>
  <pageMargins left="0.70866141732283472" right="0.70866141732283472" top="0.74803149606299213" bottom="0.74803149606299213" header="0.31496062992125984" footer="0.31496062992125984"/>
  <pageSetup paperSize="8" orientation="landscape" r:id="rId1"/>
  <headerFooter>
    <oddHeader>&amp;LStructures Asset Management Planning Toolkit</oddHeader>
    <oddFooter>&amp;L&amp;A&amp;R&amp;P of &amp;N</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_Ref0708">
    <tabColor rgb="FFFFFF85"/>
  </sheetPr>
  <dimension ref="A1:K76"/>
  <sheetViews>
    <sheetView showGridLines="0" zoomScale="70" zoomScaleNormal="70" workbookViewId="0">
      <selection activeCell="B5" sqref="B5"/>
    </sheetView>
  </sheetViews>
  <sheetFormatPr defaultColWidth="9.140625" defaultRowHeight="12.75" customHeight="1" x14ac:dyDescent="0.2"/>
  <cols>
    <col min="1" max="1" width="63.42578125" style="19" bestFit="1" customWidth="1"/>
    <col min="2" max="2" width="50" style="19" customWidth="1"/>
    <col min="3" max="3" width="5.85546875" style="19" customWidth="1"/>
    <col min="4" max="4" width="36" style="19" customWidth="1"/>
    <col min="5" max="5" width="25.140625" style="19" customWidth="1"/>
    <col min="6" max="6" width="34.7109375" style="19" customWidth="1"/>
    <col min="7" max="7" width="31.42578125" style="19" customWidth="1"/>
    <col min="8" max="8" width="37.5703125" style="19" customWidth="1"/>
    <col min="9" max="9" width="11.140625" style="19" customWidth="1"/>
    <col min="10" max="10" width="36" style="19" customWidth="1"/>
    <col min="11" max="11" width="45" style="19" customWidth="1"/>
    <col min="12" max="16384" width="9.140625" style="19"/>
  </cols>
  <sheetData>
    <row r="1" spans="1:11" ht="38.25" x14ac:dyDescent="0.2">
      <c r="A1" s="338" t="s">
        <v>542</v>
      </c>
      <c r="B1" s="42"/>
      <c r="C1" s="42"/>
      <c r="D1" s="42"/>
      <c r="E1" s="594" t="s">
        <v>541</v>
      </c>
      <c r="F1" s="594"/>
      <c r="G1" s="594"/>
      <c r="H1" s="594"/>
      <c r="I1" s="594"/>
      <c r="J1" s="594"/>
      <c r="K1" s="594"/>
    </row>
    <row r="2" spans="1:11" ht="63.75" x14ac:dyDescent="0.2">
      <c r="A2" s="320" t="s">
        <v>169</v>
      </c>
      <c r="B2" s="320" t="s">
        <v>540</v>
      </c>
      <c r="C2" s="320" t="s">
        <v>539</v>
      </c>
      <c r="D2" s="339" t="s">
        <v>538</v>
      </c>
      <c r="E2" s="340" t="s">
        <v>1095</v>
      </c>
      <c r="F2" s="340" t="s">
        <v>1096</v>
      </c>
      <c r="G2" s="340" t="s">
        <v>1097</v>
      </c>
      <c r="H2" s="340" t="s">
        <v>1098</v>
      </c>
      <c r="I2" s="340" t="s">
        <v>537</v>
      </c>
      <c r="J2" s="340" t="s">
        <v>1099</v>
      </c>
      <c r="K2" s="340" t="s">
        <v>1100</v>
      </c>
    </row>
    <row r="3" spans="1:11" x14ac:dyDescent="0.2">
      <c r="A3" s="314" t="s">
        <v>88</v>
      </c>
      <c r="B3" s="314" t="s">
        <v>471</v>
      </c>
      <c r="C3" s="314" t="s">
        <v>341</v>
      </c>
      <c r="D3" s="314"/>
      <c r="E3" s="341">
        <v>1</v>
      </c>
      <c r="F3" s="341">
        <v>1</v>
      </c>
      <c r="G3" s="341">
        <v>1</v>
      </c>
      <c r="H3" s="341"/>
      <c r="I3" s="342"/>
      <c r="J3" s="341"/>
      <c r="K3" s="341"/>
    </row>
    <row r="4" spans="1:11" x14ac:dyDescent="0.2">
      <c r="A4" s="314" t="s">
        <v>117</v>
      </c>
      <c r="B4" s="314" t="s">
        <v>487</v>
      </c>
      <c r="C4" s="314" t="s">
        <v>341</v>
      </c>
      <c r="D4" s="314"/>
      <c r="E4" s="341">
        <v>1</v>
      </c>
      <c r="F4" s="341">
        <v>1</v>
      </c>
      <c r="G4" s="341">
        <v>1</v>
      </c>
      <c r="H4" s="341"/>
      <c r="I4" s="342">
        <v>0.25</v>
      </c>
      <c r="J4" s="341"/>
      <c r="K4" s="341"/>
    </row>
    <row r="5" spans="1:11" x14ac:dyDescent="0.2">
      <c r="A5" s="314" t="s">
        <v>86</v>
      </c>
      <c r="B5" s="314" t="s">
        <v>471</v>
      </c>
      <c r="C5" s="314" t="s">
        <v>341</v>
      </c>
      <c r="D5" s="314"/>
      <c r="E5" s="341">
        <v>1</v>
      </c>
      <c r="F5" s="341">
        <v>1</v>
      </c>
      <c r="G5" s="341">
        <v>1</v>
      </c>
      <c r="H5" s="341"/>
      <c r="I5" s="342"/>
      <c r="J5" s="341"/>
      <c r="K5" s="341"/>
    </row>
    <row r="6" spans="1:11" x14ac:dyDescent="0.2">
      <c r="A6" s="314" t="s">
        <v>159</v>
      </c>
      <c r="B6" s="314" t="s">
        <v>536</v>
      </c>
      <c r="C6" s="314" t="s">
        <v>341</v>
      </c>
      <c r="D6" s="314" t="s">
        <v>535</v>
      </c>
      <c r="E6" s="341">
        <v>1</v>
      </c>
      <c r="F6" s="341"/>
      <c r="G6" s="341">
        <v>1</v>
      </c>
      <c r="H6" s="341"/>
      <c r="I6" s="342">
        <v>2</v>
      </c>
      <c r="J6" s="341"/>
      <c r="K6" s="341"/>
    </row>
    <row r="7" spans="1:11" x14ac:dyDescent="0.2">
      <c r="A7" s="314" t="s">
        <v>83</v>
      </c>
      <c r="B7" s="314" t="s">
        <v>519</v>
      </c>
      <c r="C7" s="314" t="s">
        <v>341</v>
      </c>
      <c r="D7" s="314"/>
      <c r="E7" s="341">
        <v>1</v>
      </c>
      <c r="F7" s="341">
        <v>1</v>
      </c>
      <c r="G7" s="341">
        <v>1</v>
      </c>
      <c r="H7" s="341"/>
      <c r="I7" s="342">
        <v>0.2</v>
      </c>
      <c r="J7" s="341"/>
      <c r="K7" s="341"/>
    </row>
    <row r="8" spans="1:11" x14ac:dyDescent="0.2">
      <c r="A8" s="314" t="s">
        <v>129</v>
      </c>
      <c r="B8" s="314" t="s">
        <v>534</v>
      </c>
      <c r="C8" s="314" t="s">
        <v>341</v>
      </c>
      <c r="D8" s="314" t="s">
        <v>499</v>
      </c>
      <c r="E8" s="341">
        <v>1</v>
      </c>
      <c r="F8" s="341">
        <v>1</v>
      </c>
      <c r="G8" s="341"/>
      <c r="H8" s="341"/>
      <c r="I8" s="342">
        <v>1.4</v>
      </c>
      <c r="J8" s="341"/>
      <c r="K8" s="341"/>
    </row>
    <row r="9" spans="1:11" x14ac:dyDescent="0.2">
      <c r="A9" s="314" t="s">
        <v>130</v>
      </c>
      <c r="B9" s="314" t="s">
        <v>519</v>
      </c>
      <c r="C9" s="314" t="s">
        <v>341</v>
      </c>
      <c r="D9" s="314"/>
      <c r="E9" s="341">
        <v>1</v>
      </c>
      <c r="F9" s="341">
        <v>1</v>
      </c>
      <c r="G9" s="341">
        <v>1</v>
      </c>
      <c r="H9" s="341"/>
      <c r="I9" s="342">
        <v>0.2</v>
      </c>
      <c r="J9" s="341"/>
      <c r="K9" s="341"/>
    </row>
    <row r="10" spans="1:11" x14ac:dyDescent="0.2">
      <c r="A10" s="314" t="s">
        <v>81</v>
      </c>
      <c r="B10" s="314" t="s">
        <v>859</v>
      </c>
      <c r="C10" s="314" t="s">
        <v>341</v>
      </c>
      <c r="D10" s="314" t="s">
        <v>860</v>
      </c>
      <c r="E10" s="341">
        <v>1</v>
      </c>
      <c r="F10" s="341">
        <v>1</v>
      </c>
      <c r="G10" s="341">
        <v>1</v>
      </c>
      <c r="H10" s="341"/>
      <c r="I10" s="342">
        <v>0.3</v>
      </c>
      <c r="J10" s="341"/>
      <c r="K10" s="341"/>
    </row>
    <row r="11" spans="1:11" x14ac:dyDescent="0.2">
      <c r="A11" s="314" t="s">
        <v>79</v>
      </c>
      <c r="B11" s="314" t="s">
        <v>533</v>
      </c>
      <c r="C11" s="314" t="s">
        <v>341</v>
      </c>
      <c r="D11" s="314"/>
      <c r="E11" s="341">
        <v>1</v>
      </c>
      <c r="F11" s="341"/>
      <c r="G11" s="341">
        <v>1</v>
      </c>
      <c r="H11" s="341">
        <v>1</v>
      </c>
      <c r="I11" s="342">
        <v>2</v>
      </c>
      <c r="J11" s="341"/>
      <c r="K11" s="341"/>
    </row>
    <row r="12" spans="1:11" x14ac:dyDescent="0.2">
      <c r="A12" s="314" t="s">
        <v>98</v>
      </c>
      <c r="B12" s="314" t="s">
        <v>532</v>
      </c>
      <c r="C12" s="314" t="s">
        <v>341</v>
      </c>
      <c r="D12" s="314"/>
      <c r="E12" s="341">
        <v>1</v>
      </c>
      <c r="F12" s="341">
        <v>1</v>
      </c>
      <c r="G12" s="341"/>
      <c r="H12" s="341">
        <v>1</v>
      </c>
      <c r="I12" s="342">
        <v>0.66700000000000004</v>
      </c>
      <c r="J12" s="341"/>
      <c r="K12" s="341"/>
    </row>
    <row r="13" spans="1:11" x14ac:dyDescent="0.2">
      <c r="A13" s="314" t="s">
        <v>112</v>
      </c>
      <c r="B13" s="314" t="s">
        <v>531</v>
      </c>
      <c r="C13" s="314" t="s">
        <v>341</v>
      </c>
      <c r="D13" s="314" t="s">
        <v>530</v>
      </c>
      <c r="E13" s="341">
        <v>1</v>
      </c>
      <c r="F13" s="341"/>
      <c r="G13" s="341">
        <v>1</v>
      </c>
      <c r="H13" s="341">
        <v>1</v>
      </c>
      <c r="I13" s="342"/>
      <c r="J13" s="341">
        <v>1</v>
      </c>
      <c r="K13" s="341">
        <v>-1</v>
      </c>
    </row>
    <row r="14" spans="1:11" x14ac:dyDescent="0.2">
      <c r="A14" s="314" t="s">
        <v>131</v>
      </c>
      <c r="B14" s="314" t="s">
        <v>529</v>
      </c>
      <c r="C14" s="314" t="s">
        <v>341</v>
      </c>
      <c r="D14" s="314" t="s">
        <v>528</v>
      </c>
      <c r="E14" s="341">
        <v>1</v>
      </c>
      <c r="F14" s="341"/>
      <c r="G14" s="341">
        <v>1</v>
      </c>
      <c r="H14" s="341"/>
      <c r="I14" s="342">
        <v>0.7</v>
      </c>
      <c r="J14" s="341">
        <v>1</v>
      </c>
      <c r="K14" s="341">
        <v>-1</v>
      </c>
    </row>
    <row r="15" spans="1:11" x14ac:dyDescent="0.2">
      <c r="A15" s="314" t="s">
        <v>77</v>
      </c>
      <c r="B15" s="314" t="s">
        <v>525</v>
      </c>
      <c r="C15" s="314" t="s">
        <v>344</v>
      </c>
      <c r="D15" s="314"/>
      <c r="E15" s="341">
        <v>1</v>
      </c>
      <c r="F15" s="341"/>
      <c r="G15" s="341">
        <v>1</v>
      </c>
      <c r="H15" s="341"/>
      <c r="I15" s="342"/>
      <c r="J15" s="341">
        <v>1</v>
      </c>
      <c r="K15" s="341">
        <v>1</v>
      </c>
    </row>
    <row r="16" spans="1:11" x14ac:dyDescent="0.2">
      <c r="A16" s="314" t="s">
        <v>74</v>
      </c>
      <c r="B16" s="314" t="s">
        <v>527</v>
      </c>
      <c r="C16" s="314" t="s">
        <v>341</v>
      </c>
      <c r="D16" s="314" t="s">
        <v>499</v>
      </c>
      <c r="E16" s="341">
        <v>1</v>
      </c>
      <c r="F16" s="341"/>
      <c r="G16" s="341">
        <v>1</v>
      </c>
      <c r="H16" s="341"/>
      <c r="I16" s="342">
        <v>0.7</v>
      </c>
      <c r="J16" s="341">
        <v>1</v>
      </c>
      <c r="K16" s="341">
        <v>1</v>
      </c>
    </row>
    <row r="17" spans="1:11" x14ac:dyDescent="0.2">
      <c r="A17" s="314" t="s">
        <v>124</v>
      </c>
      <c r="B17" s="314" t="s">
        <v>496</v>
      </c>
      <c r="C17" s="314" t="s">
        <v>344</v>
      </c>
      <c r="D17" s="314"/>
      <c r="E17" s="341">
        <v>1</v>
      </c>
      <c r="F17" s="341">
        <v>1</v>
      </c>
      <c r="G17" s="341"/>
      <c r="H17" s="341"/>
      <c r="I17" s="342">
        <v>2</v>
      </c>
      <c r="J17" s="341"/>
      <c r="K17" s="341"/>
    </row>
    <row r="18" spans="1:11" x14ac:dyDescent="0.2">
      <c r="A18" s="314" t="s">
        <v>116</v>
      </c>
      <c r="B18" s="314" t="s">
        <v>526</v>
      </c>
      <c r="C18" s="314" t="s">
        <v>344</v>
      </c>
      <c r="D18" s="314"/>
      <c r="E18" s="341">
        <v>1</v>
      </c>
      <c r="F18" s="341"/>
      <c r="G18" s="341"/>
      <c r="H18" s="341">
        <v>1</v>
      </c>
      <c r="I18" s="342">
        <v>2</v>
      </c>
      <c r="J18" s="341"/>
      <c r="K18" s="341"/>
    </row>
    <row r="19" spans="1:11" x14ac:dyDescent="0.2">
      <c r="A19" s="314" t="s">
        <v>92</v>
      </c>
      <c r="B19" s="314" t="s">
        <v>471</v>
      </c>
      <c r="C19" s="314" t="s">
        <v>341</v>
      </c>
      <c r="D19" s="314"/>
      <c r="E19" s="341">
        <v>1</v>
      </c>
      <c r="F19" s="341">
        <v>1</v>
      </c>
      <c r="G19" s="341">
        <v>1</v>
      </c>
      <c r="H19" s="341"/>
      <c r="I19" s="342"/>
      <c r="J19" s="341"/>
      <c r="K19" s="341"/>
    </row>
    <row r="20" spans="1:11" x14ac:dyDescent="0.2">
      <c r="A20" s="314" t="s">
        <v>115</v>
      </c>
      <c r="B20" s="314" t="s">
        <v>525</v>
      </c>
      <c r="C20" s="314" t="s">
        <v>344</v>
      </c>
      <c r="D20" s="314"/>
      <c r="E20" s="341">
        <v>1</v>
      </c>
      <c r="F20" s="341"/>
      <c r="G20" s="341">
        <v>1</v>
      </c>
      <c r="H20" s="341"/>
      <c r="I20" s="342"/>
      <c r="J20" s="341">
        <v>1</v>
      </c>
      <c r="K20" s="341">
        <v>1</v>
      </c>
    </row>
    <row r="21" spans="1:11" x14ac:dyDescent="0.2">
      <c r="A21" s="314" t="s">
        <v>90</v>
      </c>
      <c r="B21" s="314" t="s">
        <v>471</v>
      </c>
      <c r="C21" s="314" t="s">
        <v>341</v>
      </c>
      <c r="D21" s="314"/>
      <c r="E21" s="341">
        <v>1</v>
      </c>
      <c r="F21" s="341">
        <v>1</v>
      </c>
      <c r="G21" s="341">
        <v>1</v>
      </c>
      <c r="H21" s="341"/>
      <c r="I21" s="342"/>
      <c r="J21" s="341"/>
      <c r="K21" s="341"/>
    </row>
    <row r="22" spans="1:11" x14ac:dyDescent="0.2">
      <c r="A22" s="314" t="s">
        <v>120</v>
      </c>
      <c r="B22" s="314" t="s">
        <v>524</v>
      </c>
      <c r="C22" s="314" t="s">
        <v>341</v>
      </c>
      <c r="D22" s="314"/>
      <c r="E22" s="341">
        <v>1</v>
      </c>
      <c r="F22" s="341"/>
      <c r="G22" s="341">
        <v>1</v>
      </c>
      <c r="H22" s="341">
        <v>1</v>
      </c>
      <c r="I22" s="342"/>
      <c r="J22" s="341">
        <v>1</v>
      </c>
      <c r="K22" s="341">
        <v>1</v>
      </c>
    </row>
    <row r="23" spans="1:11" x14ac:dyDescent="0.2">
      <c r="A23" s="314" t="s">
        <v>71</v>
      </c>
      <c r="B23" s="314" t="s">
        <v>521</v>
      </c>
      <c r="C23" s="314" t="s">
        <v>341</v>
      </c>
      <c r="D23" s="314" t="s">
        <v>520</v>
      </c>
      <c r="E23" s="341">
        <v>1</v>
      </c>
      <c r="F23" s="341">
        <v>1</v>
      </c>
      <c r="G23" s="341"/>
      <c r="H23" s="341"/>
      <c r="I23" s="342">
        <v>3</v>
      </c>
      <c r="J23" s="341"/>
      <c r="K23" s="341"/>
    </row>
    <row r="24" spans="1:11" x14ac:dyDescent="0.2">
      <c r="A24" s="314" t="s">
        <v>68</v>
      </c>
      <c r="B24" s="314" t="s">
        <v>523</v>
      </c>
      <c r="C24" s="314" t="s">
        <v>341</v>
      </c>
      <c r="D24" s="314" t="s">
        <v>522</v>
      </c>
      <c r="E24" s="341">
        <v>1</v>
      </c>
      <c r="F24" s="341">
        <v>1</v>
      </c>
      <c r="G24" s="341"/>
      <c r="H24" s="341"/>
      <c r="I24" s="342">
        <v>1.6</v>
      </c>
      <c r="J24" s="341"/>
      <c r="K24" s="341"/>
    </row>
    <row r="25" spans="1:11" x14ac:dyDescent="0.2">
      <c r="A25" s="314" t="s">
        <v>65</v>
      </c>
      <c r="B25" s="314" t="s">
        <v>521</v>
      </c>
      <c r="C25" s="314" t="s">
        <v>341</v>
      </c>
      <c r="D25" s="314" t="s">
        <v>520</v>
      </c>
      <c r="E25" s="341">
        <v>1</v>
      </c>
      <c r="F25" s="341">
        <v>1</v>
      </c>
      <c r="G25" s="341"/>
      <c r="H25" s="341"/>
      <c r="I25" s="342">
        <v>3</v>
      </c>
      <c r="J25" s="341"/>
      <c r="K25" s="341"/>
    </row>
    <row r="26" spans="1:11" x14ac:dyDescent="0.2">
      <c r="A26" s="314" t="s">
        <v>109</v>
      </c>
      <c r="B26" s="314" t="s">
        <v>861</v>
      </c>
      <c r="C26" s="314" t="s">
        <v>341</v>
      </c>
      <c r="D26" s="314"/>
      <c r="E26" s="341">
        <v>1</v>
      </c>
      <c r="F26" s="341">
        <v>1</v>
      </c>
      <c r="G26" s="341">
        <v>1</v>
      </c>
      <c r="H26" s="341"/>
      <c r="I26" s="342">
        <v>0.7</v>
      </c>
      <c r="J26" s="341"/>
      <c r="K26" s="341"/>
    </row>
    <row r="27" spans="1:11" x14ac:dyDescent="0.2">
      <c r="A27" s="314" t="s">
        <v>96</v>
      </c>
      <c r="B27" s="314" t="s">
        <v>521</v>
      </c>
      <c r="C27" s="314" t="s">
        <v>341</v>
      </c>
      <c r="D27" s="314" t="s">
        <v>862</v>
      </c>
      <c r="E27" s="341">
        <v>1</v>
      </c>
      <c r="F27" s="341">
        <v>1</v>
      </c>
      <c r="G27" s="341"/>
      <c r="H27" s="341"/>
      <c r="I27" s="342">
        <v>3</v>
      </c>
      <c r="J27" s="341"/>
      <c r="K27" s="341"/>
    </row>
    <row r="28" spans="1:11" x14ac:dyDescent="0.2">
      <c r="A28" s="314" t="s">
        <v>62</v>
      </c>
      <c r="B28" s="331" t="s">
        <v>519</v>
      </c>
      <c r="C28" s="314" t="s">
        <v>341</v>
      </c>
      <c r="D28" s="314" t="s">
        <v>518</v>
      </c>
      <c r="E28" s="341">
        <v>1</v>
      </c>
      <c r="F28" s="341">
        <v>1</v>
      </c>
      <c r="G28" s="341">
        <v>1</v>
      </c>
      <c r="H28" s="341"/>
      <c r="I28" s="342">
        <v>0.2</v>
      </c>
      <c r="J28" s="341"/>
      <c r="K28" s="341"/>
    </row>
    <row r="29" spans="1:11" x14ac:dyDescent="0.2">
      <c r="A29" s="314" t="s">
        <v>136</v>
      </c>
      <c r="B29" s="314" t="s">
        <v>517</v>
      </c>
      <c r="C29" s="314" t="s">
        <v>341</v>
      </c>
      <c r="D29" s="314" t="s">
        <v>516</v>
      </c>
      <c r="E29" s="341">
        <v>1</v>
      </c>
      <c r="F29" s="341"/>
      <c r="G29" s="341">
        <v>1</v>
      </c>
      <c r="H29" s="341">
        <v>1</v>
      </c>
      <c r="I29" s="342">
        <v>2.9809999999999999</v>
      </c>
      <c r="J29" s="341"/>
      <c r="K29" s="341"/>
    </row>
    <row r="30" spans="1:11" x14ac:dyDescent="0.2">
      <c r="A30" s="314" t="s">
        <v>158</v>
      </c>
      <c r="B30" s="314" t="s">
        <v>515</v>
      </c>
      <c r="C30" s="314" t="s">
        <v>341</v>
      </c>
      <c r="D30" s="314" t="s">
        <v>514</v>
      </c>
      <c r="E30" s="341">
        <v>1</v>
      </c>
      <c r="F30" s="341"/>
      <c r="G30" s="341">
        <v>1</v>
      </c>
      <c r="H30" s="341"/>
      <c r="I30" s="342">
        <v>6</v>
      </c>
      <c r="J30" s="341"/>
      <c r="K30" s="341"/>
    </row>
    <row r="31" spans="1:11" x14ac:dyDescent="0.2">
      <c r="A31" s="314" t="s">
        <v>89</v>
      </c>
      <c r="B31" s="314" t="s">
        <v>513</v>
      </c>
      <c r="C31" s="314" t="s">
        <v>341</v>
      </c>
      <c r="D31" s="314" t="s">
        <v>512</v>
      </c>
      <c r="E31" s="341">
        <v>1</v>
      </c>
      <c r="F31" s="341"/>
      <c r="G31" s="341">
        <v>1</v>
      </c>
      <c r="H31" s="341"/>
      <c r="I31" s="342">
        <v>4</v>
      </c>
      <c r="J31" s="341"/>
      <c r="K31" s="341"/>
    </row>
    <row r="32" spans="1:11" x14ac:dyDescent="0.2">
      <c r="A32" s="314" t="s">
        <v>128</v>
      </c>
      <c r="B32" s="314" t="s">
        <v>511</v>
      </c>
      <c r="C32" s="314" t="s">
        <v>341</v>
      </c>
      <c r="D32" s="314" t="s">
        <v>510</v>
      </c>
      <c r="E32" s="341">
        <v>1</v>
      </c>
      <c r="F32" s="341"/>
      <c r="G32" s="341">
        <v>1</v>
      </c>
      <c r="H32" s="341">
        <v>1</v>
      </c>
      <c r="I32" s="342">
        <v>2.2360000000000002</v>
      </c>
      <c r="J32" s="341"/>
      <c r="K32" s="341"/>
    </row>
    <row r="33" spans="1:11" x14ac:dyDescent="0.2">
      <c r="A33" s="314" t="s">
        <v>93</v>
      </c>
      <c r="B33" s="314" t="s">
        <v>509</v>
      </c>
      <c r="C33" s="314" t="s">
        <v>341</v>
      </c>
      <c r="D33" s="314" t="s">
        <v>508</v>
      </c>
      <c r="E33" s="341">
        <v>1</v>
      </c>
      <c r="F33" s="341"/>
      <c r="G33" s="341"/>
      <c r="H33" s="341">
        <v>1</v>
      </c>
      <c r="I33" s="342">
        <v>20</v>
      </c>
      <c r="J33" s="341"/>
      <c r="K33" s="341"/>
    </row>
    <row r="34" spans="1:11" x14ac:dyDescent="0.2">
      <c r="A34" s="314" t="s">
        <v>111</v>
      </c>
      <c r="B34" s="314" t="s">
        <v>507</v>
      </c>
      <c r="C34" s="314" t="s">
        <v>341</v>
      </c>
      <c r="D34" s="314" t="s">
        <v>506</v>
      </c>
      <c r="E34" s="341">
        <v>1</v>
      </c>
      <c r="F34" s="341"/>
      <c r="G34" s="341"/>
      <c r="H34" s="341">
        <v>1</v>
      </c>
      <c r="I34" s="342">
        <v>12</v>
      </c>
      <c r="J34" s="341"/>
      <c r="K34" s="341"/>
    </row>
    <row r="35" spans="1:11" x14ac:dyDescent="0.2">
      <c r="A35" s="314" t="s">
        <v>58</v>
      </c>
      <c r="B35" s="314" t="s">
        <v>505</v>
      </c>
      <c r="C35" s="314" t="s">
        <v>341</v>
      </c>
      <c r="D35" s="314" t="s">
        <v>504</v>
      </c>
      <c r="E35" s="341">
        <v>1</v>
      </c>
      <c r="F35" s="341">
        <v>1</v>
      </c>
      <c r="G35" s="341"/>
      <c r="H35" s="341">
        <v>1</v>
      </c>
      <c r="I35" s="342">
        <v>0.2</v>
      </c>
      <c r="J35" s="341"/>
      <c r="K35" s="341"/>
    </row>
    <row r="36" spans="1:11" x14ac:dyDescent="0.2">
      <c r="A36" s="314" t="s">
        <v>113</v>
      </c>
      <c r="B36" s="314" t="s">
        <v>503</v>
      </c>
      <c r="C36" s="314" t="s">
        <v>341</v>
      </c>
      <c r="D36" s="314" t="s">
        <v>502</v>
      </c>
      <c r="E36" s="341">
        <v>1</v>
      </c>
      <c r="F36" s="341">
        <v>1</v>
      </c>
      <c r="G36" s="341"/>
      <c r="H36" s="341"/>
      <c r="I36" s="342">
        <v>0.6</v>
      </c>
      <c r="J36" s="341"/>
      <c r="K36" s="341"/>
    </row>
    <row r="37" spans="1:11" x14ac:dyDescent="0.2">
      <c r="A37" s="314" t="s">
        <v>119</v>
      </c>
      <c r="B37" s="314" t="s">
        <v>501</v>
      </c>
      <c r="C37" s="314" t="s">
        <v>350</v>
      </c>
      <c r="D37" s="314"/>
      <c r="E37" s="341">
        <v>1</v>
      </c>
      <c r="F37" s="341"/>
      <c r="G37" s="341"/>
      <c r="H37" s="341"/>
      <c r="I37" s="342">
        <v>2</v>
      </c>
      <c r="J37" s="341">
        <v>1</v>
      </c>
      <c r="K37" s="341">
        <v>1</v>
      </c>
    </row>
    <row r="38" spans="1:11" x14ac:dyDescent="0.2">
      <c r="A38" s="314" t="s">
        <v>108</v>
      </c>
      <c r="B38" s="314" t="s">
        <v>863</v>
      </c>
      <c r="C38" s="314" t="s">
        <v>341</v>
      </c>
      <c r="D38" s="314" t="s">
        <v>864</v>
      </c>
      <c r="E38" s="341">
        <v>1</v>
      </c>
      <c r="F38" s="341">
        <v>1</v>
      </c>
      <c r="G38" s="341"/>
      <c r="H38" s="341"/>
      <c r="I38" s="342">
        <v>1</v>
      </c>
      <c r="J38" s="341">
        <v>1</v>
      </c>
      <c r="K38" s="341">
        <v>1</v>
      </c>
    </row>
    <row r="39" spans="1:11" x14ac:dyDescent="0.2">
      <c r="A39" s="314" t="s">
        <v>106</v>
      </c>
      <c r="B39" s="314" t="s">
        <v>473</v>
      </c>
      <c r="C39" s="314" t="s">
        <v>341</v>
      </c>
      <c r="D39" s="314"/>
      <c r="E39" s="341">
        <v>1</v>
      </c>
      <c r="F39" s="341">
        <v>1</v>
      </c>
      <c r="G39" s="341"/>
      <c r="H39" s="341">
        <v>1</v>
      </c>
      <c r="I39" s="342"/>
      <c r="J39" s="341"/>
      <c r="K39" s="341"/>
    </row>
    <row r="40" spans="1:11" x14ac:dyDescent="0.2">
      <c r="A40" s="314" t="s">
        <v>150</v>
      </c>
      <c r="B40" s="314" t="s">
        <v>473</v>
      </c>
      <c r="C40" s="314" t="s">
        <v>341</v>
      </c>
      <c r="D40" s="314"/>
      <c r="E40" s="341">
        <v>1</v>
      </c>
      <c r="F40" s="341">
        <v>1</v>
      </c>
      <c r="G40" s="341"/>
      <c r="H40" s="341">
        <v>1</v>
      </c>
      <c r="I40" s="342"/>
      <c r="J40" s="341"/>
      <c r="K40" s="341"/>
    </row>
    <row r="41" spans="1:11" x14ac:dyDescent="0.2">
      <c r="A41" s="314" t="s">
        <v>105</v>
      </c>
      <c r="B41" s="314" t="s">
        <v>500</v>
      </c>
      <c r="C41" s="314" t="s">
        <v>341</v>
      </c>
      <c r="D41" s="314" t="s">
        <v>499</v>
      </c>
      <c r="E41" s="341">
        <v>1</v>
      </c>
      <c r="F41" s="341">
        <v>1</v>
      </c>
      <c r="G41" s="341"/>
      <c r="H41" s="341"/>
      <c r="I41" s="342">
        <v>0.7</v>
      </c>
      <c r="J41" s="341"/>
      <c r="K41" s="341"/>
    </row>
    <row r="42" spans="1:11" x14ac:dyDescent="0.2">
      <c r="A42" s="314" t="s">
        <v>104</v>
      </c>
      <c r="B42" s="314" t="s">
        <v>472</v>
      </c>
      <c r="C42" s="314" t="s">
        <v>344</v>
      </c>
      <c r="D42" s="314"/>
      <c r="E42" s="341">
        <v>1</v>
      </c>
      <c r="F42" s="341">
        <v>1</v>
      </c>
      <c r="G42" s="341"/>
      <c r="H42" s="341"/>
      <c r="I42" s="342"/>
      <c r="J42" s="341"/>
      <c r="K42" s="341"/>
    </row>
    <row r="43" spans="1:11" x14ac:dyDescent="0.2">
      <c r="A43" s="314" t="s">
        <v>133</v>
      </c>
      <c r="B43" s="314" t="s">
        <v>498</v>
      </c>
      <c r="C43" s="314" t="s">
        <v>344</v>
      </c>
      <c r="D43" s="314"/>
      <c r="E43" s="341">
        <v>1</v>
      </c>
      <c r="F43" s="341"/>
      <c r="G43" s="341"/>
      <c r="H43" s="341">
        <v>1</v>
      </c>
      <c r="I43" s="342"/>
      <c r="J43" s="341"/>
      <c r="K43" s="341"/>
    </row>
    <row r="44" spans="1:11" x14ac:dyDescent="0.2">
      <c r="A44" s="314" t="s">
        <v>126</v>
      </c>
      <c r="B44" s="314" t="s">
        <v>473</v>
      </c>
      <c r="C44" s="314" t="s">
        <v>341</v>
      </c>
      <c r="D44" s="314"/>
      <c r="E44" s="341">
        <v>1</v>
      </c>
      <c r="F44" s="341">
        <v>1</v>
      </c>
      <c r="G44" s="341"/>
      <c r="H44" s="341">
        <v>1</v>
      </c>
      <c r="I44" s="342"/>
      <c r="J44" s="341"/>
      <c r="K44" s="341"/>
    </row>
    <row r="45" spans="1:11" x14ac:dyDescent="0.2">
      <c r="A45" s="314" t="s">
        <v>102</v>
      </c>
      <c r="B45" s="314" t="s">
        <v>482</v>
      </c>
      <c r="C45" s="314" t="s">
        <v>341</v>
      </c>
      <c r="D45" s="314" t="s">
        <v>497</v>
      </c>
      <c r="E45" s="341">
        <v>1</v>
      </c>
      <c r="F45" s="341">
        <v>1</v>
      </c>
      <c r="G45" s="341"/>
      <c r="H45" s="341"/>
      <c r="I45" s="342">
        <v>1.5</v>
      </c>
      <c r="J45" s="341"/>
      <c r="K45" s="341"/>
    </row>
    <row r="46" spans="1:11" x14ac:dyDescent="0.2">
      <c r="A46" s="314" t="s">
        <v>110</v>
      </c>
      <c r="B46" s="314" t="s">
        <v>482</v>
      </c>
      <c r="C46" s="314" t="s">
        <v>341</v>
      </c>
      <c r="D46" s="314" t="s">
        <v>497</v>
      </c>
      <c r="E46" s="341">
        <v>1</v>
      </c>
      <c r="F46" s="341">
        <v>1</v>
      </c>
      <c r="G46" s="341"/>
      <c r="H46" s="341"/>
      <c r="I46" s="342">
        <v>1.5</v>
      </c>
      <c r="J46" s="341"/>
      <c r="K46" s="341"/>
    </row>
    <row r="47" spans="1:11" x14ac:dyDescent="0.2">
      <c r="A47" s="314" t="s">
        <v>1821</v>
      </c>
      <c r="B47" s="314" t="s">
        <v>496</v>
      </c>
      <c r="C47" s="314" t="s">
        <v>341</v>
      </c>
      <c r="D47" s="314"/>
      <c r="E47" s="341">
        <v>1</v>
      </c>
      <c r="F47" s="341">
        <v>1</v>
      </c>
      <c r="G47" s="341"/>
      <c r="H47" s="341"/>
      <c r="I47" s="342">
        <v>2</v>
      </c>
      <c r="J47" s="341"/>
      <c r="K47" s="341"/>
    </row>
    <row r="48" spans="1:11" x14ac:dyDescent="0.2">
      <c r="A48" s="314" t="s">
        <v>1824</v>
      </c>
      <c r="B48" s="314" t="s">
        <v>496</v>
      </c>
      <c r="C48" s="314" t="s">
        <v>341</v>
      </c>
      <c r="D48" s="314"/>
      <c r="E48" s="341">
        <v>1</v>
      </c>
      <c r="F48" s="341">
        <v>1</v>
      </c>
      <c r="G48" s="341"/>
      <c r="H48" s="341"/>
      <c r="I48" s="342">
        <v>2</v>
      </c>
      <c r="J48" s="341"/>
      <c r="K48" s="341"/>
    </row>
    <row r="49" spans="1:11" x14ac:dyDescent="0.2">
      <c r="A49" s="314" t="s">
        <v>1822</v>
      </c>
      <c r="B49" s="314" t="s">
        <v>496</v>
      </c>
      <c r="C49" s="314" t="s">
        <v>341</v>
      </c>
      <c r="D49" s="314"/>
      <c r="E49" s="341">
        <v>1</v>
      </c>
      <c r="F49" s="341">
        <v>1</v>
      </c>
      <c r="G49" s="341"/>
      <c r="H49" s="341"/>
      <c r="I49" s="342">
        <v>2</v>
      </c>
      <c r="J49" s="341"/>
      <c r="K49" s="341"/>
    </row>
    <row r="50" spans="1:11" x14ac:dyDescent="0.2">
      <c r="A50" s="314" t="s">
        <v>1825</v>
      </c>
      <c r="B50" s="314" t="s">
        <v>496</v>
      </c>
      <c r="C50" s="314" t="s">
        <v>341</v>
      </c>
      <c r="D50" s="314"/>
      <c r="E50" s="341">
        <v>1</v>
      </c>
      <c r="F50" s="341">
        <v>1</v>
      </c>
      <c r="G50" s="341"/>
      <c r="H50" s="341"/>
      <c r="I50" s="342">
        <v>2</v>
      </c>
      <c r="J50" s="341"/>
      <c r="K50" s="341"/>
    </row>
    <row r="51" spans="1:11" x14ac:dyDescent="0.2">
      <c r="A51" s="314" t="s">
        <v>1823</v>
      </c>
      <c r="B51" s="314" t="s">
        <v>495</v>
      </c>
      <c r="C51" s="314" t="s">
        <v>341</v>
      </c>
      <c r="D51" s="314" t="s">
        <v>494</v>
      </c>
      <c r="E51" s="341">
        <v>1</v>
      </c>
      <c r="F51" s="341">
        <v>1</v>
      </c>
      <c r="G51" s="341"/>
      <c r="H51" s="341">
        <v>1</v>
      </c>
      <c r="I51" s="342">
        <v>0.373</v>
      </c>
      <c r="J51" s="341"/>
      <c r="K51" s="341"/>
    </row>
    <row r="52" spans="1:11" x14ac:dyDescent="0.2">
      <c r="A52" s="314" t="s">
        <v>1826</v>
      </c>
      <c r="B52" s="314" t="s">
        <v>491</v>
      </c>
      <c r="C52" s="314" t="s">
        <v>341</v>
      </c>
      <c r="D52" s="314" t="s">
        <v>490</v>
      </c>
      <c r="E52" s="341">
        <v>1</v>
      </c>
      <c r="F52" s="341">
        <v>1</v>
      </c>
      <c r="G52" s="341"/>
      <c r="H52" s="341">
        <v>1</v>
      </c>
      <c r="I52" s="342">
        <v>0.745</v>
      </c>
      <c r="J52" s="341"/>
      <c r="K52" s="341"/>
    </row>
    <row r="53" spans="1:11" x14ac:dyDescent="0.2">
      <c r="A53" s="314" t="s">
        <v>100</v>
      </c>
      <c r="B53" s="314" t="s">
        <v>493</v>
      </c>
      <c r="C53" s="314" t="s">
        <v>341</v>
      </c>
      <c r="D53" s="314" t="s">
        <v>492</v>
      </c>
      <c r="E53" s="341">
        <v>1</v>
      </c>
      <c r="F53" s="341">
        <v>1</v>
      </c>
      <c r="G53" s="341"/>
      <c r="H53" s="341"/>
      <c r="I53" s="342">
        <v>4.4720000000000004</v>
      </c>
      <c r="J53" s="341"/>
      <c r="K53" s="341"/>
    </row>
    <row r="54" spans="1:11" x14ac:dyDescent="0.2">
      <c r="A54" s="314" t="s">
        <v>225</v>
      </c>
      <c r="B54" s="314" t="s">
        <v>491</v>
      </c>
      <c r="C54" s="314" t="s">
        <v>341</v>
      </c>
      <c r="D54" s="314" t="s">
        <v>490</v>
      </c>
      <c r="E54" s="341">
        <v>1</v>
      </c>
      <c r="F54" s="341">
        <v>1</v>
      </c>
      <c r="G54" s="341"/>
      <c r="H54" s="341">
        <v>1</v>
      </c>
      <c r="I54" s="342">
        <v>0.745</v>
      </c>
      <c r="J54" s="341"/>
      <c r="K54" s="341"/>
    </row>
    <row r="55" spans="1:11" x14ac:dyDescent="0.2">
      <c r="A55" s="343" t="s">
        <v>720</v>
      </c>
      <c r="B55" s="343" t="s">
        <v>501</v>
      </c>
      <c r="C55" s="343" t="s">
        <v>350</v>
      </c>
      <c r="D55" s="343"/>
      <c r="E55" s="341"/>
      <c r="F55" s="341"/>
      <c r="G55" s="341"/>
      <c r="H55" s="341"/>
      <c r="I55" s="342"/>
      <c r="J55" s="341"/>
      <c r="K55" s="341"/>
    </row>
    <row r="56" spans="1:11" x14ac:dyDescent="0.2">
      <c r="A56" s="343" t="s">
        <v>721</v>
      </c>
      <c r="B56" s="343" t="s">
        <v>859</v>
      </c>
      <c r="C56" s="343" t="s">
        <v>341</v>
      </c>
      <c r="D56" s="343" t="s">
        <v>860</v>
      </c>
      <c r="E56" s="341">
        <v>1</v>
      </c>
      <c r="F56" s="341">
        <v>1</v>
      </c>
      <c r="G56" s="341">
        <v>1</v>
      </c>
      <c r="H56" s="341"/>
      <c r="I56" s="342">
        <v>0.3</v>
      </c>
      <c r="J56" s="341"/>
      <c r="K56" s="341"/>
    </row>
    <row r="57" spans="1:11" x14ac:dyDescent="0.2">
      <c r="A57" s="314" t="s">
        <v>149</v>
      </c>
      <c r="B57" s="314" t="s">
        <v>487</v>
      </c>
      <c r="C57" s="314" t="s">
        <v>341</v>
      </c>
      <c r="D57" s="314"/>
      <c r="E57" s="341">
        <v>1</v>
      </c>
      <c r="F57" s="341">
        <v>1</v>
      </c>
      <c r="G57" s="341">
        <v>1</v>
      </c>
      <c r="H57" s="341"/>
      <c r="I57" s="342">
        <v>0.25</v>
      </c>
      <c r="J57" s="341"/>
      <c r="K57" s="341"/>
    </row>
    <row r="58" spans="1:11" x14ac:dyDescent="0.2">
      <c r="A58" s="314" t="s">
        <v>157</v>
      </c>
      <c r="B58" s="314" t="s">
        <v>487</v>
      </c>
      <c r="C58" s="314" t="s">
        <v>341</v>
      </c>
      <c r="D58" s="314"/>
      <c r="E58" s="341">
        <v>1</v>
      </c>
      <c r="F58" s="341">
        <v>1</v>
      </c>
      <c r="G58" s="341">
        <v>1</v>
      </c>
      <c r="H58" s="341"/>
      <c r="I58" s="342">
        <v>0.25</v>
      </c>
      <c r="J58" s="341"/>
      <c r="K58" s="341"/>
    </row>
    <row r="59" spans="1:11" x14ac:dyDescent="0.2">
      <c r="A59" s="314" t="s">
        <v>148</v>
      </c>
      <c r="B59" s="314" t="s">
        <v>489</v>
      </c>
      <c r="C59" s="314" t="s">
        <v>341</v>
      </c>
      <c r="D59" s="314" t="s">
        <v>488</v>
      </c>
      <c r="E59" s="341">
        <v>1</v>
      </c>
      <c r="F59" s="341"/>
      <c r="G59" s="341"/>
      <c r="H59" s="341">
        <v>1</v>
      </c>
      <c r="I59" s="342">
        <v>1.2</v>
      </c>
      <c r="J59" s="341"/>
      <c r="K59" s="341"/>
    </row>
    <row r="60" spans="1:11" x14ac:dyDescent="0.2">
      <c r="A60" s="314" t="s">
        <v>147</v>
      </c>
      <c r="B60" s="314" t="s">
        <v>487</v>
      </c>
      <c r="C60" s="314" t="s">
        <v>341</v>
      </c>
      <c r="D60" s="314"/>
      <c r="E60" s="341">
        <v>1</v>
      </c>
      <c r="F60" s="341">
        <v>1</v>
      </c>
      <c r="G60" s="341">
        <v>1</v>
      </c>
      <c r="H60" s="341"/>
      <c r="I60" s="342">
        <v>0.25</v>
      </c>
      <c r="J60" s="341"/>
      <c r="K60" s="341"/>
    </row>
    <row r="61" spans="1:11" x14ac:dyDescent="0.2">
      <c r="A61" s="314" t="s">
        <v>146</v>
      </c>
      <c r="B61" s="314" t="s">
        <v>489</v>
      </c>
      <c r="C61" s="314" t="s">
        <v>341</v>
      </c>
      <c r="D61" s="314" t="s">
        <v>488</v>
      </c>
      <c r="E61" s="341">
        <v>1</v>
      </c>
      <c r="F61" s="341"/>
      <c r="G61" s="341"/>
      <c r="H61" s="341">
        <v>1</v>
      </c>
      <c r="I61" s="342">
        <v>1.2</v>
      </c>
      <c r="J61" s="341"/>
      <c r="K61" s="341"/>
    </row>
    <row r="62" spans="1:11" x14ac:dyDescent="0.2">
      <c r="A62" s="314" t="s">
        <v>156</v>
      </c>
      <c r="B62" s="314" t="s">
        <v>487</v>
      </c>
      <c r="C62" s="314" t="s">
        <v>341</v>
      </c>
      <c r="D62" s="314"/>
      <c r="E62" s="341">
        <v>1</v>
      </c>
      <c r="F62" s="341">
        <v>1</v>
      </c>
      <c r="G62" s="341">
        <v>1</v>
      </c>
      <c r="H62" s="341"/>
      <c r="I62" s="342">
        <v>0.25</v>
      </c>
      <c r="J62" s="341"/>
      <c r="K62" s="341"/>
    </row>
    <row r="63" spans="1:11" x14ac:dyDescent="0.2">
      <c r="A63" s="314" t="s">
        <v>155</v>
      </c>
      <c r="B63" s="314" t="s">
        <v>486</v>
      </c>
      <c r="C63" s="314" t="s">
        <v>341</v>
      </c>
      <c r="D63" s="314" t="s">
        <v>485</v>
      </c>
      <c r="E63" s="341">
        <v>1</v>
      </c>
      <c r="F63" s="341">
        <v>1</v>
      </c>
      <c r="G63" s="341"/>
      <c r="H63" s="341"/>
      <c r="I63" s="342">
        <v>0.8</v>
      </c>
      <c r="J63" s="341"/>
      <c r="K63" s="341"/>
    </row>
    <row r="64" spans="1:11" x14ac:dyDescent="0.2">
      <c r="A64" s="314" t="s">
        <v>154</v>
      </c>
      <c r="B64" s="314" t="s">
        <v>484</v>
      </c>
      <c r="C64" s="314" t="s">
        <v>341</v>
      </c>
      <c r="D64" s="314" t="s">
        <v>483</v>
      </c>
      <c r="E64" s="341">
        <v>1</v>
      </c>
      <c r="F64" s="341"/>
      <c r="G64" s="341"/>
      <c r="H64" s="341">
        <v>1</v>
      </c>
      <c r="I64" s="342">
        <v>0.8</v>
      </c>
      <c r="J64" s="341"/>
      <c r="K64" s="341"/>
    </row>
    <row r="65" spans="1:11" x14ac:dyDescent="0.2">
      <c r="A65" s="314" t="s">
        <v>153</v>
      </c>
      <c r="B65" s="314" t="s">
        <v>482</v>
      </c>
      <c r="C65" s="314" t="s">
        <v>341</v>
      </c>
      <c r="D65" s="314" t="s">
        <v>481</v>
      </c>
      <c r="E65" s="341">
        <v>1</v>
      </c>
      <c r="F65" s="341">
        <v>1</v>
      </c>
      <c r="G65" s="341"/>
      <c r="H65" s="341"/>
      <c r="I65" s="342">
        <v>1.5</v>
      </c>
      <c r="J65" s="341"/>
      <c r="K65" s="341"/>
    </row>
    <row r="66" spans="1:11" x14ac:dyDescent="0.2">
      <c r="A66" s="314" t="s">
        <v>145</v>
      </c>
      <c r="B66" s="314" t="s">
        <v>480</v>
      </c>
      <c r="C66" s="314" t="s">
        <v>350</v>
      </c>
      <c r="D66" s="314" t="s">
        <v>479</v>
      </c>
      <c r="E66" s="341">
        <v>1</v>
      </c>
      <c r="F66" s="341"/>
      <c r="G66" s="341"/>
      <c r="H66" s="341"/>
      <c r="I66" s="342">
        <v>2</v>
      </c>
      <c r="J66" s="341"/>
      <c r="K66" s="341"/>
    </row>
    <row r="67" spans="1:11" x14ac:dyDescent="0.2">
      <c r="A67" s="314" t="s">
        <v>143</v>
      </c>
      <c r="B67" s="314" t="s">
        <v>478</v>
      </c>
      <c r="C67" s="314" t="s">
        <v>341</v>
      </c>
      <c r="D67" s="314" t="s">
        <v>477</v>
      </c>
      <c r="E67" s="341">
        <v>1</v>
      </c>
      <c r="F67" s="341"/>
      <c r="G67" s="341"/>
      <c r="H67" s="341"/>
      <c r="I67" s="342">
        <v>0.64</v>
      </c>
      <c r="J67" s="341"/>
      <c r="K67" s="341"/>
    </row>
    <row r="68" spans="1:11" x14ac:dyDescent="0.2">
      <c r="A68" s="314" t="s">
        <v>142</v>
      </c>
      <c r="B68" s="314" t="s">
        <v>476</v>
      </c>
      <c r="C68" s="314" t="s">
        <v>341</v>
      </c>
      <c r="D68" s="314" t="s">
        <v>475</v>
      </c>
      <c r="E68" s="341">
        <v>1</v>
      </c>
      <c r="F68" s="341"/>
      <c r="G68" s="341">
        <v>1</v>
      </c>
      <c r="H68" s="341">
        <v>1</v>
      </c>
      <c r="I68" s="342">
        <v>0.1</v>
      </c>
      <c r="J68" s="341"/>
      <c r="K68" s="341"/>
    </row>
    <row r="69" spans="1:11" x14ac:dyDescent="0.2">
      <c r="A69" s="314" t="s">
        <v>224</v>
      </c>
      <c r="B69" s="314" t="s">
        <v>474</v>
      </c>
      <c r="C69" s="314" t="s">
        <v>350</v>
      </c>
      <c r="D69" s="314"/>
      <c r="E69" s="341">
        <v>1</v>
      </c>
      <c r="F69" s="341"/>
      <c r="G69" s="341"/>
      <c r="H69" s="341"/>
      <c r="I69" s="342"/>
      <c r="J69" s="341"/>
      <c r="K69" s="341"/>
    </row>
    <row r="70" spans="1:11" x14ac:dyDescent="0.2">
      <c r="A70" s="314" t="s">
        <v>223</v>
      </c>
      <c r="B70" s="314" t="s">
        <v>471</v>
      </c>
      <c r="C70" s="314" t="s">
        <v>341</v>
      </c>
      <c r="D70" s="314"/>
      <c r="E70" s="341">
        <v>1</v>
      </c>
      <c r="F70" s="341">
        <v>1</v>
      </c>
      <c r="G70" s="341">
        <v>1</v>
      </c>
      <c r="H70" s="341"/>
      <c r="I70" s="342"/>
      <c r="J70" s="341"/>
      <c r="K70" s="341"/>
    </row>
    <row r="71" spans="1:11" x14ac:dyDescent="0.2">
      <c r="A71" s="314" t="s">
        <v>222</v>
      </c>
      <c r="B71" s="314" t="s">
        <v>471</v>
      </c>
      <c r="C71" s="314" t="s">
        <v>341</v>
      </c>
      <c r="D71" s="314"/>
      <c r="E71" s="341">
        <v>1</v>
      </c>
      <c r="F71" s="341">
        <v>1</v>
      </c>
      <c r="G71" s="341">
        <v>1</v>
      </c>
      <c r="H71" s="341"/>
      <c r="I71" s="342"/>
      <c r="J71" s="341"/>
      <c r="K71" s="341"/>
    </row>
    <row r="72" spans="1:11" x14ac:dyDescent="0.2">
      <c r="A72" s="314" t="s">
        <v>221</v>
      </c>
      <c r="B72" s="314" t="s">
        <v>474</v>
      </c>
      <c r="C72" s="314" t="s">
        <v>350</v>
      </c>
      <c r="D72" s="314"/>
      <c r="E72" s="341">
        <v>1</v>
      </c>
      <c r="F72" s="341"/>
      <c r="G72" s="341"/>
      <c r="H72" s="341"/>
      <c r="I72" s="342"/>
      <c r="J72" s="341"/>
      <c r="K72" s="341"/>
    </row>
    <row r="73" spans="1:11" x14ac:dyDescent="0.2">
      <c r="A73" s="314" t="s">
        <v>220</v>
      </c>
      <c r="B73" s="314" t="s">
        <v>473</v>
      </c>
      <c r="C73" s="314" t="s">
        <v>341</v>
      </c>
      <c r="D73" s="314"/>
      <c r="E73" s="341">
        <v>1</v>
      </c>
      <c r="F73" s="341">
        <v>1</v>
      </c>
      <c r="G73" s="341"/>
      <c r="H73" s="341">
        <v>1</v>
      </c>
      <c r="I73" s="342"/>
      <c r="J73" s="341"/>
      <c r="K73" s="341"/>
    </row>
    <row r="74" spans="1:11" x14ac:dyDescent="0.2">
      <c r="A74" s="314" t="s">
        <v>219</v>
      </c>
      <c r="B74" s="314" t="s">
        <v>472</v>
      </c>
      <c r="C74" s="314" t="s">
        <v>344</v>
      </c>
      <c r="D74" s="314"/>
      <c r="E74" s="341">
        <v>1</v>
      </c>
      <c r="F74" s="341">
        <v>1</v>
      </c>
      <c r="G74" s="341"/>
      <c r="H74" s="341"/>
      <c r="I74" s="342"/>
      <c r="J74" s="341"/>
      <c r="K74" s="341"/>
    </row>
    <row r="75" spans="1:11" x14ac:dyDescent="0.2">
      <c r="A75" s="314" t="s">
        <v>218</v>
      </c>
      <c r="B75" s="314" t="s">
        <v>471</v>
      </c>
      <c r="C75" s="314" t="s">
        <v>341</v>
      </c>
      <c r="D75" s="314"/>
      <c r="E75" s="341">
        <v>1</v>
      </c>
      <c r="F75" s="341">
        <v>1</v>
      </c>
      <c r="G75" s="341">
        <v>1</v>
      </c>
      <c r="H75" s="341"/>
      <c r="I75" s="342"/>
      <c r="J75" s="341"/>
      <c r="K75" s="341"/>
    </row>
    <row r="76" spans="1:11" x14ac:dyDescent="0.2">
      <c r="A76" s="314" t="s">
        <v>217</v>
      </c>
      <c r="B76" s="314" t="s">
        <v>471</v>
      </c>
      <c r="C76" s="314" t="s">
        <v>341</v>
      </c>
      <c r="D76" s="314"/>
      <c r="E76" s="341">
        <v>1</v>
      </c>
      <c r="F76" s="341">
        <v>1</v>
      </c>
      <c r="G76" s="341">
        <v>1</v>
      </c>
      <c r="H76" s="341"/>
      <c r="I76" s="342"/>
      <c r="J76" s="341"/>
      <c r="K76" s="341"/>
    </row>
  </sheetData>
  <mergeCells count="1">
    <mergeCell ref="E1:K1"/>
  </mergeCells>
  <pageMargins left="0.74803149606299213" right="0.74803149606299213" top="0.98425196850393704" bottom="0.98425196850393704" header="0.51181102362204722" footer="0.51181102362204722"/>
  <pageSetup paperSize="8" orientation="landscape" r:id="rId1"/>
  <headerFooter alignWithMargins="0">
    <oddHeader>&amp;LStructures Asset Management Planning Toolkit</oddHeader>
    <oddFooter>&amp;L&amp;A&amp;R&amp;P of &amp;N</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_Ref09">
    <tabColor rgb="FFFFFF85"/>
    <pageSetUpPr fitToPage="1"/>
  </sheetPr>
  <dimension ref="A1:Q109"/>
  <sheetViews>
    <sheetView showGridLines="0" zoomScale="70" zoomScaleNormal="70" workbookViewId="0">
      <selection activeCell="B5" sqref="B5:C5"/>
    </sheetView>
  </sheetViews>
  <sheetFormatPr defaultColWidth="9.140625" defaultRowHeight="12.75" customHeight="1" x14ac:dyDescent="0.2"/>
  <cols>
    <col min="1" max="1" width="3.7109375" style="1" customWidth="1"/>
    <col min="2" max="2" width="73.28515625" style="1" customWidth="1"/>
    <col min="3" max="3" width="39.85546875" style="1" customWidth="1"/>
    <col min="4" max="9" width="14" style="1" customWidth="1"/>
    <col min="10" max="10" width="12.42578125" style="1" customWidth="1"/>
    <col min="11" max="11" width="17.140625" style="1" customWidth="1"/>
    <col min="12" max="16384" width="9.140625" style="1"/>
  </cols>
  <sheetData>
    <row r="1" spans="1:9" x14ac:dyDescent="0.2">
      <c r="A1" s="2"/>
      <c r="B1" s="2"/>
      <c r="C1" s="2"/>
      <c r="D1" s="2"/>
      <c r="E1" s="2"/>
      <c r="F1" s="2"/>
      <c r="G1" s="2"/>
      <c r="H1" s="2"/>
      <c r="I1" s="2"/>
    </row>
    <row r="2" spans="1:9" x14ac:dyDescent="0.2">
      <c r="A2" s="2"/>
      <c r="B2" s="2"/>
      <c r="C2" s="2"/>
      <c r="D2" s="2"/>
      <c r="E2" s="2"/>
      <c r="F2" s="2"/>
      <c r="G2" s="2"/>
      <c r="H2" s="2"/>
      <c r="I2" s="2"/>
    </row>
    <row r="3" spans="1:9" x14ac:dyDescent="0.2">
      <c r="A3" s="2"/>
      <c r="B3" s="2"/>
      <c r="C3" s="2"/>
      <c r="D3" s="2"/>
      <c r="E3" s="2"/>
      <c r="F3" s="2"/>
      <c r="G3" s="2"/>
      <c r="H3" s="2"/>
      <c r="I3" s="2"/>
    </row>
    <row r="4" spans="1:9" x14ac:dyDescent="0.2">
      <c r="A4" s="2"/>
      <c r="B4" s="595" t="s">
        <v>565</v>
      </c>
      <c r="C4" s="595"/>
      <c r="D4" s="2"/>
      <c r="E4" s="2"/>
      <c r="F4" s="2"/>
      <c r="G4" s="2"/>
      <c r="H4" s="2"/>
      <c r="I4" s="2"/>
    </row>
    <row r="5" spans="1:9" x14ac:dyDescent="0.2">
      <c r="A5" s="2"/>
      <c r="B5" s="596" t="s">
        <v>564</v>
      </c>
      <c r="C5" s="596"/>
      <c r="D5" s="2"/>
      <c r="E5" s="2"/>
      <c r="F5" s="2"/>
      <c r="G5" s="2"/>
      <c r="H5" s="2"/>
      <c r="I5" s="2"/>
    </row>
    <row r="6" spans="1:9" x14ac:dyDescent="0.2">
      <c r="A6" s="2"/>
      <c r="B6" s="597" t="s">
        <v>563</v>
      </c>
      <c r="C6" s="597"/>
      <c r="D6" s="2"/>
      <c r="E6" s="2"/>
      <c r="F6" s="2"/>
      <c r="G6" s="2"/>
      <c r="H6" s="2"/>
      <c r="I6" s="2"/>
    </row>
    <row r="7" spans="1:9" x14ac:dyDescent="0.2">
      <c r="A7" s="2"/>
      <c r="B7" s="595" t="s">
        <v>562</v>
      </c>
      <c r="C7" s="595"/>
      <c r="D7" s="2"/>
      <c r="E7" s="2"/>
      <c r="F7" s="2"/>
      <c r="G7" s="2"/>
      <c r="H7" s="2"/>
      <c r="I7" s="2"/>
    </row>
    <row r="8" spans="1:9" x14ac:dyDescent="0.2">
      <c r="A8" s="2"/>
      <c r="B8" s="595" t="s">
        <v>561</v>
      </c>
      <c r="C8" s="595"/>
      <c r="D8" s="2"/>
      <c r="E8" s="2"/>
      <c r="F8" s="2"/>
      <c r="G8" s="2"/>
      <c r="H8" s="2"/>
      <c r="I8" s="2"/>
    </row>
    <row r="9" spans="1:9" x14ac:dyDescent="0.2">
      <c r="A9" s="2"/>
      <c r="B9" s="595" t="s">
        <v>560</v>
      </c>
      <c r="C9" s="595"/>
      <c r="D9" s="2"/>
      <c r="E9" s="2"/>
      <c r="F9" s="2"/>
      <c r="G9" s="2"/>
      <c r="H9" s="2"/>
      <c r="I9" s="2"/>
    </row>
    <row r="10" spans="1:9" x14ac:dyDescent="0.2">
      <c r="A10" s="2"/>
      <c r="B10" s="2"/>
      <c r="C10" s="2"/>
      <c r="D10" s="2"/>
      <c r="E10" s="2"/>
      <c r="F10" s="2"/>
      <c r="G10" s="2"/>
      <c r="H10" s="2"/>
      <c r="I10" s="2"/>
    </row>
    <row r="11" spans="1:9" s="19" customFormat="1" x14ac:dyDescent="0.2">
      <c r="A11" s="27"/>
      <c r="B11" s="344" t="s">
        <v>559</v>
      </c>
      <c r="C11" s="345"/>
      <c r="D11" s="27"/>
      <c r="E11" s="27"/>
      <c r="F11" s="27"/>
      <c r="G11" s="27"/>
      <c r="H11" s="27"/>
      <c r="I11" s="27"/>
    </row>
    <row r="12" spans="1:9" s="19" customFormat="1" x14ac:dyDescent="0.2">
      <c r="A12" s="27"/>
      <c r="B12" s="320" t="s">
        <v>556</v>
      </c>
      <c r="C12" s="320" t="s">
        <v>558</v>
      </c>
      <c r="D12" s="27"/>
      <c r="E12" s="27"/>
      <c r="F12" s="27"/>
      <c r="G12" s="27"/>
      <c r="H12" s="27"/>
      <c r="I12" s="27"/>
    </row>
    <row r="13" spans="1:9" s="19" customFormat="1" x14ac:dyDescent="0.2">
      <c r="A13" s="27"/>
      <c r="B13" s="117">
        <v>0</v>
      </c>
      <c r="C13" s="118">
        <v>0.2</v>
      </c>
      <c r="D13" s="27"/>
      <c r="E13" s="27"/>
      <c r="F13" s="27"/>
      <c r="G13" s="27"/>
      <c r="H13" s="27"/>
      <c r="I13" s="27"/>
    </row>
    <row r="14" spans="1:9" s="19" customFormat="1" x14ac:dyDescent="0.2">
      <c r="A14" s="27"/>
      <c r="B14" s="117">
        <v>50000</v>
      </c>
      <c r="C14" s="118">
        <v>0.15</v>
      </c>
      <c r="D14" s="27"/>
      <c r="E14" s="27"/>
      <c r="F14" s="27"/>
      <c r="G14" s="27"/>
      <c r="H14" s="27"/>
      <c r="I14" s="27"/>
    </row>
    <row r="15" spans="1:9" s="19" customFormat="1" x14ac:dyDescent="0.2">
      <c r="A15" s="27"/>
      <c r="B15" s="117">
        <v>250000</v>
      </c>
      <c r="C15" s="118">
        <v>0.125</v>
      </c>
      <c r="D15" s="27"/>
      <c r="E15" s="27"/>
      <c r="F15" s="27"/>
      <c r="G15" s="27"/>
      <c r="H15" s="27"/>
      <c r="I15" s="27"/>
    </row>
    <row r="16" spans="1:9" s="19" customFormat="1" x14ac:dyDescent="0.2">
      <c r="A16" s="27"/>
      <c r="B16" s="117">
        <v>1000000</v>
      </c>
      <c r="C16" s="118">
        <v>0.1</v>
      </c>
      <c r="D16" s="27"/>
      <c r="E16" s="27"/>
      <c r="F16" s="27"/>
      <c r="G16" s="27"/>
      <c r="H16" s="27"/>
      <c r="I16" s="27"/>
    </row>
    <row r="17" spans="1:9" s="19" customFormat="1" x14ac:dyDescent="0.2">
      <c r="A17" s="27"/>
      <c r="B17" s="27"/>
      <c r="C17" s="54"/>
      <c r="D17" s="27"/>
      <c r="E17" s="27"/>
      <c r="F17" s="27"/>
      <c r="G17" s="27"/>
      <c r="H17" s="27"/>
      <c r="I17" s="27"/>
    </row>
    <row r="18" spans="1:9" s="19" customFormat="1" x14ac:dyDescent="0.2">
      <c r="A18" s="27"/>
      <c r="B18" s="344" t="s">
        <v>557</v>
      </c>
      <c r="C18" s="345"/>
      <c r="D18" s="27"/>
      <c r="E18" s="27"/>
      <c r="F18" s="27"/>
      <c r="G18" s="27"/>
      <c r="H18" s="27"/>
      <c r="I18" s="27"/>
    </row>
    <row r="19" spans="1:9" s="19" customFormat="1" x14ac:dyDescent="0.2">
      <c r="A19" s="27"/>
      <c r="B19" s="320" t="s">
        <v>556</v>
      </c>
      <c r="C19" s="320" t="s">
        <v>555</v>
      </c>
      <c r="D19" s="27"/>
      <c r="E19" s="27"/>
      <c r="F19" s="27"/>
      <c r="G19" s="27"/>
      <c r="H19" s="27"/>
      <c r="I19" s="27"/>
    </row>
    <row r="20" spans="1:9" s="19" customFormat="1" x14ac:dyDescent="0.2">
      <c r="A20" s="27"/>
      <c r="B20" s="117">
        <v>0</v>
      </c>
      <c r="C20" s="118">
        <v>0.2</v>
      </c>
      <c r="D20" s="27"/>
      <c r="E20" s="27"/>
      <c r="F20" s="27"/>
      <c r="G20" s="27"/>
      <c r="H20" s="27"/>
      <c r="I20" s="27"/>
    </row>
    <row r="21" spans="1:9" s="19" customFormat="1" x14ac:dyDescent="0.2">
      <c r="A21" s="27"/>
      <c r="B21" s="117">
        <v>50000</v>
      </c>
      <c r="C21" s="118">
        <v>0.15</v>
      </c>
      <c r="D21" s="27"/>
      <c r="E21" s="27"/>
      <c r="F21" s="27"/>
      <c r="G21" s="27"/>
      <c r="H21" s="27"/>
      <c r="I21" s="27"/>
    </row>
    <row r="22" spans="1:9" s="19" customFormat="1" x14ac:dyDescent="0.2">
      <c r="A22" s="27"/>
      <c r="B22" s="117">
        <v>250000</v>
      </c>
      <c r="C22" s="118">
        <v>0.125</v>
      </c>
      <c r="D22" s="27"/>
      <c r="E22" s="27"/>
      <c r="F22" s="27"/>
      <c r="G22" s="27"/>
      <c r="H22" s="27"/>
      <c r="I22" s="27"/>
    </row>
    <row r="23" spans="1:9" s="19" customFormat="1" x14ac:dyDescent="0.2">
      <c r="A23" s="27"/>
      <c r="B23" s="117">
        <v>1000000</v>
      </c>
      <c r="C23" s="118">
        <v>0.1</v>
      </c>
      <c r="D23" s="27"/>
      <c r="E23" s="27"/>
      <c r="F23" s="27"/>
      <c r="G23" s="27"/>
      <c r="H23" s="27"/>
      <c r="I23" s="27"/>
    </row>
    <row r="24" spans="1:9" s="19" customFormat="1" x14ac:dyDescent="0.2">
      <c r="A24" s="27"/>
      <c r="B24" s="27"/>
      <c r="C24" s="27"/>
      <c r="D24" s="27"/>
      <c r="E24" s="27"/>
      <c r="F24" s="27"/>
      <c r="G24" s="27"/>
      <c r="H24" s="27"/>
      <c r="I24" s="27"/>
    </row>
    <row r="25" spans="1:9" s="19" customFormat="1" x14ac:dyDescent="0.2">
      <c r="A25" s="27"/>
      <c r="B25" s="344" t="s">
        <v>554</v>
      </c>
      <c r="C25" s="345"/>
      <c r="D25" s="27"/>
      <c r="E25" s="27"/>
      <c r="F25" s="27"/>
      <c r="G25" s="27"/>
      <c r="H25" s="27"/>
      <c r="I25" s="27"/>
    </row>
    <row r="26" spans="1:9" s="19" customFormat="1" ht="25.5" x14ac:dyDescent="0.2">
      <c r="A26" s="27"/>
      <c r="B26" s="320" t="s">
        <v>553</v>
      </c>
      <c r="C26" s="320" t="s">
        <v>552</v>
      </c>
      <c r="D26" s="27"/>
      <c r="E26" s="27"/>
      <c r="F26" s="27"/>
      <c r="G26" s="27"/>
      <c r="H26" s="27"/>
      <c r="I26" s="27"/>
    </row>
    <row r="27" spans="1:9" s="19" customFormat="1" x14ac:dyDescent="0.2">
      <c r="A27" s="27"/>
      <c r="B27" s="117">
        <v>0</v>
      </c>
      <c r="C27" s="118">
        <v>0.4</v>
      </c>
      <c r="D27" s="27"/>
      <c r="E27" s="27"/>
      <c r="F27" s="27"/>
      <c r="G27" s="27"/>
      <c r="H27" s="27"/>
      <c r="I27" s="27"/>
    </row>
    <row r="28" spans="1:9" s="19" customFormat="1" x14ac:dyDescent="0.2">
      <c r="A28" s="27"/>
      <c r="B28" s="117">
        <v>50000</v>
      </c>
      <c r="C28" s="118">
        <v>0.2</v>
      </c>
      <c r="D28" s="27"/>
      <c r="E28" s="27"/>
      <c r="F28" s="27"/>
      <c r="G28" s="27"/>
      <c r="H28" s="27"/>
      <c r="I28" s="27"/>
    </row>
    <row r="29" spans="1:9" s="19" customFormat="1" x14ac:dyDescent="0.2">
      <c r="A29" s="27"/>
      <c r="B29" s="117">
        <v>250000</v>
      </c>
      <c r="C29" s="118">
        <v>0.15</v>
      </c>
      <c r="D29" s="27"/>
      <c r="E29" s="27"/>
      <c r="F29" s="27"/>
      <c r="G29" s="27"/>
      <c r="H29" s="27"/>
      <c r="I29" s="27"/>
    </row>
    <row r="30" spans="1:9" s="19" customFormat="1" x14ac:dyDescent="0.2">
      <c r="A30" s="27"/>
      <c r="B30" s="117">
        <v>1000000</v>
      </c>
      <c r="C30" s="118">
        <v>0.12</v>
      </c>
      <c r="D30" s="27"/>
      <c r="E30" s="27"/>
      <c r="F30" s="27"/>
      <c r="G30" s="27"/>
      <c r="H30" s="27"/>
      <c r="I30" s="27"/>
    </row>
    <row r="31" spans="1:9" s="19" customFormat="1" x14ac:dyDescent="0.2">
      <c r="A31" s="27"/>
      <c r="B31" s="27"/>
      <c r="C31" s="27"/>
      <c r="D31" s="27"/>
      <c r="E31" s="27"/>
      <c r="F31" s="27"/>
      <c r="G31" s="27"/>
      <c r="H31" s="27"/>
      <c r="I31" s="27"/>
    </row>
    <row r="32" spans="1:9" s="19" customFormat="1" ht="41.25" customHeight="1" x14ac:dyDescent="0.2">
      <c r="A32" s="27"/>
      <c r="B32" s="598" t="s">
        <v>551</v>
      </c>
      <c r="C32" s="598"/>
      <c r="D32" s="583" t="s">
        <v>1101</v>
      </c>
      <c r="E32" s="583"/>
      <c r="F32" s="583"/>
      <c r="G32" s="583"/>
      <c r="H32" s="583"/>
      <c r="I32" s="583"/>
    </row>
    <row r="33" spans="1:9" s="19" customFormat="1" ht="114.75" x14ac:dyDescent="0.2">
      <c r="A33" s="27"/>
      <c r="B33" s="320" t="s">
        <v>169</v>
      </c>
      <c r="C33" s="320" t="s">
        <v>550</v>
      </c>
      <c r="D33" s="320" t="s">
        <v>549</v>
      </c>
      <c r="E33" s="320" t="s">
        <v>548</v>
      </c>
      <c r="F33" s="320" t="s">
        <v>547</v>
      </c>
      <c r="G33" s="320" t="s">
        <v>546</v>
      </c>
      <c r="H33" s="320" t="s">
        <v>545</v>
      </c>
      <c r="I33" s="320" t="s">
        <v>544</v>
      </c>
    </row>
    <row r="34" spans="1:9" s="19" customFormat="1" x14ac:dyDescent="0.2">
      <c r="A34" s="27"/>
      <c r="B34" s="314" t="s">
        <v>88</v>
      </c>
      <c r="C34" s="314" t="s">
        <v>192</v>
      </c>
      <c r="D34" s="349">
        <v>0</v>
      </c>
      <c r="E34" s="349">
        <v>0</v>
      </c>
      <c r="F34" s="349">
        <v>1</v>
      </c>
      <c r="G34" s="349">
        <v>0</v>
      </c>
      <c r="H34" s="349">
        <v>1</v>
      </c>
      <c r="I34" s="341">
        <v>1</v>
      </c>
    </row>
    <row r="35" spans="1:9" s="19" customFormat="1" x14ac:dyDescent="0.2">
      <c r="A35" s="27"/>
      <c r="B35" s="314" t="s">
        <v>117</v>
      </c>
      <c r="C35" s="314" t="s">
        <v>192</v>
      </c>
      <c r="D35" s="349">
        <v>0</v>
      </c>
      <c r="E35" s="349">
        <v>0</v>
      </c>
      <c r="F35" s="349">
        <v>1</v>
      </c>
      <c r="G35" s="349">
        <v>0</v>
      </c>
      <c r="H35" s="349">
        <v>1</v>
      </c>
      <c r="I35" s="341">
        <v>1</v>
      </c>
    </row>
    <row r="36" spans="1:9" s="19" customFormat="1" x14ac:dyDescent="0.2">
      <c r="A36" s="27"/>
      <c r="B36" s="314" t="s">
        <v>86</v>
      </c>
      <c r="C36" s="314" t="s">
        <v>192</v>
      </c>
      <c r="D36" s="349">
        <v>0</v>
      </c>
      <c r="E36" s="349">
        <v>0</v>
      </c>
      <c r="F36" s="349">
        <v>1</v>
      </c>
      <c r="G36" s="349">
        <v>0</v>
      </c>
      <c r="H36" s="349">
        <v>1</v>
      </c>
      <c r="I36" s="341">
        <v>1</v>
      </c>
    </row>
    <row r="37" spans="1:9" s="19" customFormat="1" x14ac:dyDescent="0.2">
      <c r="A37" s="27"/>
      <c r="B37" s="314" t="s">
        <v>159</v>
      </c>
      <c r="C37" s="314" t="s">
        <v>192</v>
      </c>
      <c r="D37" s="349">
        <v>0</v>
      </c>
      <c r="E37" s="349">
        <v>0</v>
      </c>
      <c r="F37" s="349">
        <v>1</v>
      </c>
      <c r="G37" s="349">
        <v>0</v>
      </c>
      <c r="H37" s="349">
        <v>1</v>
      </c>
      <c r="I37" s="341">
        <v>1</v>
      </c>
    </row>
    <row r="38" spans="1:9" s="19" customFormat="1" x14ac:dyDescent="0.2">
      <c r="A38" s="27"/>
      <c r="B38" s="314" t="s">
        <v>83</v>
      </c>
      <c r="C38" s="314" t="s">
        <v>192</v>
      </c>
      <c r="D38" s="349">
        <v>0</v>
      </c>
      <c r="E38" s="349">
        <v>0</v>
      </c>
      <c r="F38" s="349">
        <v>1</v>
      </c>
      <c r="G38" s="349">
        <v>0</v>
      </c>
      <c r="H38" s="349">
        <v>1</v>
      </c>
      <c r="I38" s="341">
        <v>1</v>
      </c>
    </row>
    <row r="39" spans="1:9" s="19" customFormat="1" x14ac:dyDescent="0.2">
      <c r="A39" s="27"/>
      <c r="B39" s="314" t="s">
        <v>129</v>
      </c>
      <c r="C39" s="314" t="s">
        <v>192</v>
      </c>
      <c r="D39" s="349">
        <v>0</v>
      </c>
      <c r="E39" s="349">
        <v>0</v>
      </c>
      <c r="F39" s="349">
        <v>1</v>
      </c>
      <c r="G39" s="349">
        <v>0</v>
      </c>
      <c r="H39" s="349">
        <v>1</v>
      </c>
      <c r="I39" s="341">
        <v>1</v>
      </c>
    </row>
    <row r="40" spans="1:9" s="19" customFormat="1" x14ac:dyDescent="0.2">
      <c r="A40" s="27"/>
      <c r="B40" s="314" t="s">
        <v>130</v>
      </c>
      <c r="C40" s="314" t="s">
        <v>192</v>
      </c>
      <c r="D40" s="349">
        <v>0</v>
      </c>
      <c r="E40" s="349">
        <v>0</v>
      </c>
      <c r="F40" s="349">
        <v>1</v>
      </c>
      <c r="G40" s="349">
        <v>0</v>
      </c>
      <c r="H40" s="349">
        <v>1</v>
      </c>
      <c r="I40" s="341">
        <v>1</v>
      </c>
    </row>
    <row r="41" spans="1:9" s="19" customFormat="1" x14ac:dyDescent="0.2">
      <c r="A41" s="27"/>
      <c r="B41" s="314" t="s">
        <v>81</v>
      </c>
      <c r="C41" s="314" t="s">
        <v>192</v>
      </c>
      <c r="D41" s="349">
        <v>0</v>
      </c>
      <c r="E41" s="349">
        <v>0</v>
      </c>
      <c r="F41" s="349">
        <v>1</v>
      </c>
      <c r="G41" s="349">
        <v>0</v>
      </c>
      <c r="H41" s="349">
        <v>1</v>
      </c>
      <c r="I41" s="341">
        <v>1</v>
      </c>
    </row>
    <row r="42" spans="1:9" s="19" customFormat="1" x14ac:dyDescent="0.2">
      <c r="A42" s="27"/>
      <c r="B42" s="314" t="s">
        <v>79</v>
      </c>
      <c r="C42" s="314" t="s">
        <v>192</v>
      </c>
      <c r="D42" s="349">
        <v>0</v>
      </c>
      <c r="E42" s="349">
        <v>1</v>
      </c>
      <c r="F42" s="349">
        <v>1</v>
      </c>
      <c r="G42" s="349">
        <v>0</v>
      </c>
      <c r="H42" s="349">
        <v>0</v>
      </c>
      <c r="I42" s="341">
        <v>1</v>
      </c>
    </row>
    <row r="43" spans="1:9" s="19" customFormat="1" x14ac:dyDescent="0.2">
      <c r="A43" s="27"/>
      <c r="B43" s="314" t="s">
        <v>98</v>
      </c>
      <c r="C43" s="314" t="s">
        <v>192</v>
      </c>
      <c r="D43" s="349">
        <v>0</v>
      </c>
      <c r="E43" s="349">
        <v>0</v>
      </c>
      <c r="F43" s="349">
        <v>1</v>
      </c>
      <c r="G43" s="349">
        <v>0</v>
      </c>
      <c r="H43" s="349">
        <v>1</v>
      </c>
      <c r="I43" s="341">
        <v>1</v>
      </c>
    </row>
    <row r="44" spans="1:9" s="19" customFormat="1" x14ac:dyDescent="0.2">
      <c r="A44" s="27"/>
      <c r="B44" s="314" t="s">
        <v>112</v>
      </c>
      <c r="C44" s="314" t="s">
        <v>192</v>
      </c>
      <c r="D44" s="349">
        <v>0</v>
      </c>
      <c r="E44" s="349">
        <v>0</v>
      </c>
      <c r="F44" s="349">
        <v>1</v>
      </c>
      <c r="G44" s="349">
        <v>0</v>
      </c>
      <c r="H44" s="349">
        <v>1</v>
      </c>
      <c r="I44" s="341">
        <v>1</v>
      </c>
    </row>
    <row r="45" spans="1:9" s="19" customFormat="1" x14ac:dyDescent="0.2">
      <c r="A45" s="27"/>
      <c r="B45" s="314" t="s">
        <v>131</v>
      </c>
      <c r="C45" s="314" t="s">
        <v>192</v>
      </c>
      <c r="D45" s="349">
        <v>0</v>
      </c>
      <c r="E45" s="349">
        <v>0</v>
      </c>
      <c r="F45" s="349">
        <v>1</v>
      </c>
      <c r="G45" s="349">
        <v>0</v>
      </c>
      <c r="H45" s="349">
        <v>1</v>
      </c>
      <c r="I45" s="341">
        <v>1</v>
      </c>
    </row>
    <row r="46" spans="1:9" s="19" customFormat="1" x14ac:dyDescent="0.2">
      <c r="A46" s="27"/>
      <c r="B46" s="314" t="s">
        <v>77</v>
      </c>
      <c r="C46" s="314" t="s">
        <v>192</v>
      </c>
      <c r="D46" s="349">
        <v>1</v>
      </c>
      <c r="E46" s="349">
        <v>0</v>
      </c>
      <c r="F46" s="349">
        <v>1</v>
      </c>
      <c r="G46" s="349">
        <v>0</v>
      </c>
      <c r="H46" s="349">
        <v>0</v>
      </c>
      <c r="I46" s="341">
        <v>1</v>
      </c>
    </row>
    <row r="47" spans="1:9" s="19" customFormat="1" x14ac:dyDescent="0.2">
      <c r="A47" s="27"/>
      <c r="B47" s="314" t="s">
        <v>74</v>
      </c>
      <c r="C47" s="314" t="s">
        <v>192</v>
      </c>
      <c r="D47" s="349">
        <v>0</v>
      </c>
      <c r="E47" s="349">
        <v>0</v>
      </c>
      <c r="F47" s="349">
        <v>1</v>
      </c>
      <c r="G47" s="349">
        <v>0</v>
      </c>
      <c r="H47" s="349">
        <v>1</v>
      </c>
      <c r="I47" s="341">
        <v>1</v>
      </c>
    </row>
    <row r="48" spans="1:9" s="19" customFormat="1" x14ac:dyDescent="0.2">
      <c r="A48" s="27"/>
      <c r="B48" s="314" t="s">
        <v>124</v>
      </c>
      <c r="C48" s="314" t="s">
        <v>193</v>
      </c>
      <c r="D48" s="349">
        <v>0</v>
      </c>
      <c r="E48" s="349">
        <v>0</v>
      </c>
      <c r="F48" s="349">
        <v>0</v>
      </c>
      <c r="G48" s="349">
        <v>0</v>
      </c>
      <c r="H48" s="349">
        <v>1</v>
      </c>
      <c r="I48" s="341">
        <v>0</v>
      </c>
    </row>
    <row r="49" spans="1:9" s="19" customFormat="1" x14ac:dyDescent="0.2">
      <c r="A49" s="27"/>
      <c r="B49" s="314" t="s">
        <v>116</v>
      </c>
      <c r="C49" s="314" t="s">
        <v>192</v>
      </c>
      <c r="D49" s="349">
        <v>0</v>
      </c>
      <c r="E49" s="349">
        <v>0</v>
      </c>
      <c r="F49" s="349">
        <v>1</v>
      </c>
      <c r="G49" s="349">
        <v>0</v>
      </c>
      <c r="H49" s="349">
        <v>1</v>
      </c>
      <c r="I49" s="341">
        <v>1</v>
      </c>
    </row>
    <row r="50" spans="1:9" s="19" customFormat="1" x14ac:dyDescent="0.2">
      <c r="A50" s="27"/>
      <c r="B50" s="314" t="s">
        <v>92</v>
      </c>
      <c r="C50" s="314" t="s">
        <v>193</v>
      </c>
      <c r="D50" s="349">
        <v>1</v>
      </c>
      <c r="E50" s="349">
        <v>0</v>
      </c>
      <c r="F50" s="349">
        <v>0</v>
      </c>
      <c r="G50" s="349">
        <v>0</v>
      </c>
      <c r="H50" s="349">
        <v>0</v>
      </c>
      <c r="I50" s="341">
        <v>0</v>
      </c>
    </row>
    <row r="51" spans="1:9" s="19" customFormat="1" x14ac:dyDescent="0.2">
      <c r="A51" s="27"/>
      <c r="B51" s="314" t="s">
        <v>115</v>
      </c>
      <c r="C51" s="314" t="s">
        <v>193</v>
      </c>
      <c r="D51" s="349">
        <v>0</v>
      </c>
      <c r="E51" s="349">
        <v>0</v>
      </c>
      <c r="F51" s="349">
        <v>0</v>
      </c>
      <c r="G51" s="349">
        <v>0</v>
      </c>
      <c r="H51" s="349">
        <v>1</v>
      </c>
      <c r="I51" s="341">
        <v>0</v>
      </c>
    </row>
    <row r="52" spans="1:9" s="19" customFormat="1" x14ac:dyDescent="0.2">
      <c r="A52" s="27"/>
      <c r="B52" s="314" t="s">
        <v>90</v>
      </c>
      <c r="C52" s="314" t="s">
        <v>192</v>
      </c>
      <c r="D52" s="349">
        <v>0</v>
      </c>
      <c r="E52" s="349">
        <v>0</v>
      </c>
      <c r="F52" s="349">
        <v>1</v>
      </c>
      <c r="G52" s="349">
        <v>0</v>
      </c>
      <c r="H52" s="349">
        <v>1</v>
      </c>
      <c r="I52" s="341">
        <v>1</v>
      </c>
    </row>
    <row r="53" spans="1:9" s="19" customFormat="1" x14ac:dyDescent="0.2">
      <c r="A53" s="27"/>
      <c r="B53" s="314" t="s">
        <v>120</v>
      </c>
      <c r="C53" s="314" t="s">
        <v>192</v>
      </c>
      <c r="D53" s="349">
        <v>0</v>
      </c>
      <c r="E53" s="349">
        <v>0</v>
      </c>
      <c r="F53" s="349">
        <v>1</v>
      </c>
      <c r="G53" s="349">
        <v>0</v>
      </c>
      <c r="H53" s="349">
        <v>1</v>
      </c>
      <c r="I53" s="341">
        <v>1</v>
      </c>
    </row>
    <row r="54" spans="1:9" s="19" customFormat="1" x14ac:dyDescent="0.2">
      <c r="A54" s="27"/>
      <c r="B54" s="314" t="s">
        <v>71</v>
      </c>
      <c r="C54" s="314" t="s">
        <v>193</v>
      </c>
      <c r="D54" s="349">
        <v>0</v>
      </c>
      <c r="E54" s="349">
        <v>1</v>
      </c>
      <c r="F54" s="349">
        <v>0</v>
      </c>
      <c r="G54" s="349">
        <v>0</v>
      </c>
      <c r="H54" s="349">
        <v>0</v>
      </c>
      <c r="I54" s="341">
        <v>0</v>
      </c>
    </row>
    <row r="55" spans="1:9" s="19" customFormat="1" x14ac:dyDescent="0.2">
      <c r="A55" s="27"/>
      <c r="B55" s="314" t="s">
        <v>68</v>
      </c>
      <c r="C55" s="314" t="s">
        <v>192</v>
      </c>
      <c r="D55" s="349">
        <v>0</v>
      </c>
      <c r="E55" s="349">
        <v>0</v>
      </c>
      <c r="F55" s="349">
        <v>1</v>
      </c>
      <c r="G55" s="349">
        <v>0</v>
      </c>
      <c r="H55" s="349">
        <v>1</v>
      </c>
      <c r="I55" s="341">
        <v>1</v>
      </c>
    </row>
    <row r="56" spans="1:9" s="19" customFormat="1" x14ac:dyDescent="0.2">
      <c r="A56" s="27"/>
      <c r="B56" s="314" t="s">
        <v>65</v>
      </c>
      <c r="C56" s="314" t="s">
        <v>193</v>
      </c>
      <c r="D56" s="349">
        <v>0</v>
      </c>
      <c r="E56" s="349">
        <v>1</v>
      </c>
      <c r="F56" s="349">
        <v>0</v>
      </c>
      <c r="G56" s="349">
        <v>0</v>
      </c>
      <c r="H56" s="349">
        <v>0</v>
      </c>
      <c r="I56" s="341">
        <v>0</v>
      </c>
    </row>
    <row r="57" spans="1:9" s="19" customFormat="1" x14ac:dyDescent="0.2">
      <c r="A57" s="27"/>
      <c r="B57" s="314" t="s">
        <v>109</v>
      </c>
      <c r="C57" s="314" t="s">
        <v>193</v>
      </c>
      <c r="D57" s="349">
        <v>1</v>
      </c>
      <c r="E57" s="349">
        <v>0</v>
      </c>
      <c r="F57" s="349">
        <v>0</v>
      </c>
      <c r="G57" s="349">
        <v>0</v>
      </c>
      <c r="H57" s="349">
        <v>0</v>
      </c>
      <c r="I57" s="341">
        <v>0</v>
      </c>
    </row>
    <row r="58" spans="1:9" s="19" customFormat="1" x14ac:dyDescent="0.2">
      <c r="A58" s="27"/>
      <c r="B58" s="314" t="s">
        <v>96</v>
      </c>
      <c r="C58" s="314" t="s">
        <v>193</v>
      </c>
      <c r="D58" s="349">
        <v>0</v>
      </c>
      <c r="E58" s="349">
        <v>1</v>
      </c>
      <c r="F58" s="349">
        <v>0</v>
      </c>
      <c r="G58" s="349">
        <v>0</v>
      </c>
      <c r="H58" s="349">
        <v>0</v>
      </c>
      <c r="I58" s="341">
        <v>0</v>
      </c>
    </row>
    <row r="59" spans="1:9" s="19" customFormat="1" x14ac:dyDescent="0.2">
      <c r="A59" s="27"/>
      <c r="B59" s="314" t="s">
        <v>62</v>
      </c>
      <c r="C59" s="314" t="s">
        <v>192</v>
      </c>
      <c r="D59" s="349">
        <v>0</v>
      </c>
      <c r="E59" s="349">
        <v>0</v>
      </c>
      <c r="F59" s="349">
        <v>0</v>
      </c>
      <c r="G59" s="349">
        <v>0</v>
      </c>
      <c r="H59" s="349">
        <v>0</v>
      </c>
      <c r="I59" s="341">
        <v>1</v>
      </c>
    </row>
    <row r="60" spans="1:9" s="19" customFormat="1" x14ac:dyDescent="0.2">
      <c r="A60" s="27"/>
      <c r="B60" s="314" t="s">
        <v>136</v>
      </c>
      <c r="C60" s="314" t="s">
        <v>192</v>
      </c>
      <c r="D60" s="349">
        <v>0</v>
      </c>
      <c r="E60" s="349">
        <v>1</v>
      </c>
      <c r="F60" s="349">
        <v>1</v>
      </c>
      <c r="G60" s="349">
        <v>0</v>
      </c>
      <c r="H60" s="349">
        <v>0</v>
      </c>
      <c r="I60" s="341">
        <v>1</v>
      </c>
    </row>
    <row r="61" spans="1:9" s="19" customFormat="1" x14ac:dyDescent="0.2">
      <c r="A61" s="27"/>
      <c r="B61" s="314" t="s">
        <v>158</v>
      </c>
      <c r="C61" s="314" t="s">
        <v>192</v>
      </c>
      <c r="D61" s="349">
        <v>0</v>
      </c>
      <c r="E61" s="349">
        <v>0</v>
      </c>
      <c r="F61" s="349">
        <v>0</v>
      </c>
      <c r="G61" s="349">
        <v>0</v>
      </c>
      <c r="H61" s="349">
        <v>1</v>
      </c>
      <c r="I61" s="341">
        <v>1</v>
      </c>
    </row>
    <row r="62" spans="1:9" s="19" customFormat="1" x14ac:dyDescent="0.2">
      <c r="A62" s="27"/>
      <c r="B62" s="314" t="s">
        <v>89</v>
      </c>
      <c r="C62" s="314" t="s">
        <v>192</v>
      </c>
      <c r="D62" s="349">
        <v>0</v>
      </c>
      <c r="E62" s="349">
        <v>0</v>
      </c>
      <c r="F62" s="349">
        <v>0</v>
      </c>
      <c r="G62" s="349">
        <v>0</v>
      </c>
      <c r="H62" s="349">
        <v>0</v>
      </c>
      <c r="I62" s="341">
        <v>1</v>
      </c>
    </row>
    <row r="63" spans="1:9" s="19" customFormat="1" x14ac:dyDescent="0.2">
      <c r="A63" s="27"/>
      <c r="B63" s="314" t="s">
        <v>128</v>
      </c>
      <c r="C63" s="314" t="s">
        <v>192</v>
      </c>
      <c r="D63" s="349">
        <v>0</v>
      </c>
      <c r="E63" s="349">
        <v>0</v>
      </c>
      <c r="F63" s="349">
        <v>0</v>
      </c>
      <c r="G63" s="349">
        <v>0</v>
      </c>
      <c r="H63" s="349">
        <v>0</v>
      </c>
      <c r="I63" s="341">
        <v>1</v>
      </c>
    </row>
    <row r="64" spans="1:9" s="19" customFormat="1" x14ac:dyDescent="0.2">
      <c r="A64" s="27"/>
      <c r="B64" s="314" t="s">
        <v>93</v>
      </c>
      <c r="C64" s="314" t="s">
        <v>192</v>
      </c>
      <c r="D64" s="349">
        <v>0</v>
      </c>
      <c r="E64" s="349">
        <v>1</v>
      </c>
      <c r="F64" s="349">
        <v>1</v>
      </c>
      <c r="G64" s="349">
        <v>0</v>
      </c>
      <c r="H64" s="349">
        <v>0</v>
      </c>
      <c r="I64" s="341">
        <v>1</v>
      </c>
    </row>
    <row r="65" spans="1:9" s="19" customFormat="1" x14ac:dyDescent="0.2">
      <c r="A65" s="27"/>
      <c r="B65" s="314" t="s">
        <v>111</v>
      </c>
      <c r="C65" s="314" t="s">
        <v>192</v>
      </c>
      <c r="D65" s="349">
        <v>0</v>
      </c>
      <c r="E65" s="349">
        <v>0</v>
      </c>
      <c r="F65" s="349">
        <v>1</v>
      </c>
      <c r="G65" s="349">
        <v>0</v>
      </c>
      <c r="H65" s="349">
        <v>1</v>
      </c>
      <c r="I65" s="341">
        <v>1</v>
      </c>
    </row>
    <row r="66" spans="1:9" s="19" customFormat="1" x14ac:dyDescent="0.2">
      <c r="A66" s="27"/>
      <c r="B66" s="314" t="s">
        <v>58</v>
      </c>
      <c r="C66" s="314" t="s">
        <v>192</v>
      </c>
      <c r="D66" s="349">
        <v>0</v>
      </c>
      <c r="E66" s="349">
        <v>0</v>
      </c>
      <c r="F66" s="349">
        <v>0</v>
      </c>
      <c r="G66" s="349">
        <v>0</v>
      </c>
      <c r="H66" s="349">
        <v>0</v>
      </c>
      <c r="I66" s="341">
        <v>0</v>
      </c>
    </row>
    <row r="67" spans="1:9" s="19" customFormat="1" x14ac:dyDescent="0.2">
      <c r="A67" s="27"/>
      <c r="B67" s="314" t="s">
        <v>113</v>
      </c>
      <c r="C67" s="314" t="s">
        <v>193</v>
      </c>
      <c r="D67" s="349">
        <v>0</v>
      </c>
      <c r="E67" s="349">
        <v>0</v>
      </c>
      <c r="F67" s="349">
        <v>0</v>
      </c>
      <c r="G67" s="349">
        <v>0</v>
      </c>
      <c r="H67" s="349">
        <v>0</v>
      </c>
      <c r="I67" s="341">
        <v>0</v>
      </c>
    </row>
    <row r="68" spans="1:9" s="19" customFormat="1" x14ac:dyDescent="0.2">
      <c r="A68" s="27"/>
      <c r="B68" s="314" t="s">
        <v>119</v>
      </c>
      <c r="C68" s="314" t="s">
        <v>193</v>
      </c>
      <c r="D68" s="349">
        <v>0</v>
      </c>
      <c r="E68" s="349">
        <v>1</v>
      </c>
      <c r="F68" s="349">
        <v>0</v>
      </c>
      <c r="G68" s="349">
        <v>0</v>
      </c>
      <c r="H68" s="349">
        <v>0</v>
      </c>
      <c r="I68" s="341">
        <v>0</v>
      </c>
    </row>
    <row r="69" spans="1:9" s="19" customFormat="1" x14ac:dyDescent="0.2">
      <c r="A69" s="27"/>
      <c r="B69" s="314" t="s">
        <v>108</v>
      </c>
      <c r="C69" s="314" t="s">
        <v>194</v>
      </c>
      <c r="D69" s="349">
        <v>0</v>
      </c>
      <c r="E69" s="349">
        <v>0</v>
      </c>
      <c r="F69" s="349">
        <v>0</v>
      </c>
      <c r="G69" s="349">
        <v>1</v>
      </c>
      <c r="H69" s="349">
        <v>0</v>
      </c>
      <c r="I69" s="341">
        <v>0</v>
      </c>
    </row>
    <row r="70" spans="1:9" s="19" customFormat="1" x14ac:dyDescent="0.2">
      <c r="A70" s="27"/>
      <c r="B70" s="314" t="s">
        <v>106</v>
      </c>
      <c r="C70" s="314" t="s">
        <v>194</v>
      </c>
      <c r="D70" s="349">
        <v>0</v>
      </c>
      <c r="E70" s="349">
        <v>0</v>
      </c>
      <c r="F70" s="349">
        <v>0</v>
      </c>
      <c r="G70" s="349">
        <v>1</v>
      </c>
      <c r="H70" s="349">
        <v>0</v>
      </c>
      <c r="I70" s="341">
        <v>0</v>
      </c>
    </row>
    <row r="71" spans="1:9" s="19" customFormat="1" x14ac:dyDescent="0.2">
      <c r="A71" s="27"/>
      <c r="B71" s="314" t="s">
        <v>150</v>
      </c>
      <c r="C71" s="314" t="s">
        <v>194</v>
      </c>
      <c r="D71" s="349">
        <v>0</v>
      </c>
      <c r="E71" s="349">
        <v>0</v>
      </c>
      <c r="F71" s="349">
        <v>0</v>
      </c>
      <c r="G71" s="349">
        <v>1</v>
      </c>
      <c r="H71" s="349">
        <v>0</v>
      </c>
      <c r="I71" s="341">
        <v>0</v>
      </c>
    </row>
    <row r="72" spans="1:9" s="19" customFormat="1" x14ac:dyDescent="0.2">
      <c r="A72" s="27"/>
      <c r="B72" s="314" t="s">
        <v>105</v>
      </c>
      <c r="C72" s="314" t="s">
        <v>194</v>
      </c>
      <c r="D72" s="349">
        <v>0</v>
      </c>
      <c r="E72" s="349">
        <v>0</v>
      </c>
      <c r="F72" s="349">
        <v>0</v>
      </c>
      <c r="G72" s="349">
        <v>1</v>
      </c>
      <c r="H72" s="349">
        <v>0</v>
      </c>
      <c r="I72" s="341">
        <v>0</v>
      </c>
    </row>
    <row r="73" spans="1:9" s="19" customFormat="1" x14ac:dyDescent="0.2">
      <c r="A73" s="27"/>
      <c r="B73" s="314" t="s">
        <v>104</v>
      </c>
      <c r="C73" s="314" t="s">
        <v>192</v>
      </c>
      <c r="D73" s="349">
        <v>0</v>
      </c>
      <c r="E73" s="349">
        <v>1</v>
      </c>
      <c r="F73" s="349">
        <v>1</v>
      </c>
      <c r="G73" s="349">
        <v>0</v>
      </c>
      <c r="H73" s="349">
        <v>0</v>
      </c>
      <c r="I73" s="341">
        <v>1</v>
      </c>
    </row>
    <row r="74" spans="1:9" s="19" customFormat="1" x14ac:dyDescent="0.2">
      <c r="A74" s="27"/>
      <c r="B74" s="314" t="s">
        <v>133</v>
      </c>
      <c r="C74" s="314" t="s">
        <v>194</v>
      </c>
      <c r="D74" s="349">
        <v>0</v>
      </c>
      <c r="E74" s="349">
        <v>0</v>
      </c>
      <c r="F74" s="349">
        <v>0</v>
      </c>
      <c r="G74" s="349">
        <v>1</v>
      </c>
      <c r="H74" s="349">
        <v>0</v>
      </c>
      <c r="I74" s="341">
        <v>0</v>
      </c>
    </row>
    <row r="75" spans="1:9" s="19" customFormat="1" x14ac:dyDescent="0.2">
      <c r="A75" s="27"/>
      <c r="B75" s="314" t="s">
        <v>126</v>
      </c>
      <c r="C75" s="314" t="s">
        <v>192</v>
      </c>
      <c r="D75" s="349">
        <v>0</v>
      </c>
      <c r="E75" s="349">
        <v>1</v>
      </c>
      <c r="F75" s="349">
        <v>1</v>
      </c>
      <c r="G75" s="349">
        <v>0</v>
      </c>
      <c r="H75" s="349">
        <v>0</v>
      </c>
      <c r="I75" s="341">
        <v>1</v>
      </c>
    </row>
    <row r="76" spans="1:9" s="19" customFormat="1" x14ac:dyDescent="0.2">
      <c r="A76" s="27"/>
      <c r="B76" s="314" t="s">
        <v>102</v>
      </c>
      <c r="C76" s="314" t="s">
        <v>194</v>
      </c>
      <c r="D76" s="349">
        <v>0</v>
      </c>
      <c r="E76" s="349">
        <v>0</v>
      </c>
      <c r="F76" s="349">
        <v>0</v>
      </c>
      <c r="G76" s="349">
        <v>1</v>
      </c>
      <c r="H76" s="349">
        <v>0</v>
      </c>
      <c r="I76" s="341">
        <v>0</v>
      </c>
    </row>
    <row r="77" spans="1:9" s="19" customFormat="1" x14ac:dyDescent="0.2">
      <c r="A77" s="27"/>
      <c r="B77" s="314" t="s">
        <v>110</v>
      </c>
      <c r="C77" s="314" t="s">
        <v>194</v>
      </c>
      <c r="D77" s="349">
        <v>0</v>
      </c>
      <c r="E77" s="349">
        <v>0</v>
      </c>
      <c r="F77" s="349">
        <v>0</v>
      </c>
      <c r="G77" s="349">
        <v>1</v>
      </c>
      <c r="H77" s="349">
        <v>0</v>
      </c>
      <c r="I77" s="341">
        <v>0</v>
      </c>
    </row>
    <row r="78" spans="1:9" s="19" customFormat="1" x14ac:dyDescent="0.2">
      <c r="A78" s="27"/>
      <c r="B78" s="314" t="s">
        <v>1821</v>
      </c>
      <c r="C78" s="314" t="s">
        <v>194</v>
      </c>
      <c r="D78" s="349">
        <v>0</v>
      </c>
      <c r="E78" s="349">
        <v>0</v>
      </c>
      <c r="F78" s="349">
        <v>0</v>
      </c>
      <c r="G78" s="349">
        <v>1</v>
      </c>
      <c r="H78" s="349">
        <v>0</v>
      </c>
      <c r="I78" s="341">
        <v>0</v>
      </c>
    </row>
    <row r="79" spans="1:9" s="19" customFormat="1" x14ac:dyDescent="0.2">
      <c r="A79" s="27"/>
      <c r="B79" s="314" t="s">
        <v>1824</v>
      </c>
      <c r="C79" s="314" t="s">
        <v>192</v>
      </c>
      <c r="D79" s="349">
        <v>0</v>
      </c>
      <c r="E79" s="349">
        <v>1</v>
      </c>
      <c r="F79" s="349">
        <v>1</v>
      </c>
      <c r="G79" s="349">
        <v>0</v>
      </c>
      <c r="H79" s="349">
        <v>0</v>
      </c>
      <c r="I79" s="341">
        <v>1</v>
      </c>
    </row>
    <row r="80" spans="1:9" s="19" customFormat="1" x14ac:dyDescent="0.2">
      <c r="A80" s="27"/>
      <c r="B80" s="314" t="s">
        <v>1822</v>
      </c>
      <c r="C80" s="314" t="s">
        <v>194</v>
      </c>
      <c r="D80" s="349">
        <v>0</v>
      </c>
      <c r="E80" s="349">
        <v>0</v>
      </c>
      <c r="F80" s="349">
        <v>0</v>
      </c>
      <c r="G80" s="349">
        <v>1</v>
      </c>
      <c r="H80" s="349">
        <v>0</v>
      </c>
      <c r="I80" s="341">
        <v>0</v>
      </c>
    </row>
    <row r="81" spans="1:9" s="19" customFormat="1" x14ac:dyDescent="0.2">
      <c r="A81" s="27"/>
      <c r="B81" s="314" t="s">
        <v>1825</v>
      </c>
      <c r="C81" s="314" t="s">
        <v>192</v>
      </c>
      <c r="D81" s="349">
        <v>0</v>
      </c>
      <c r="E81" s="349">
        <v>1</v>
      </c>
      <c r="F81" s="349">
        <v>0</v>
      </c>
      <c r="G81" s="349">
        <v>0</v>
      </c>
      <c r="H81" s="349">
        <v>0</v>
      </c>
      <c r="I81" s="341">
        <v>1</v>
      </c>
    </row>
    <row r="82" spans="1:9" s="19" customFormat="1" x14ac:dyDescent="0.2">
      <c r="A82" s="27"/>
      <c r="B82" s="314" t="s">
        <v>1823</v>
      </c>
      <c r="C82" s="314" t="s">
        <v>194</v>
      </c>
      <c r="D82" s="349">
        <v>0</v>
      </c>
      <c r="E82" s="349">
        <v>0</v>
      </c>
      <c r="F82" s="349">
        <v>0</v>
      </c>
      <c r="G82" s="349">
        <v>1</v>
      </c>
      <c r="H82" s="349">
        <v>0</v>
      </c>
      <c r="I82" s="341">
        <v>0</v>
      </c>
    </row>
    <row r="83" spans="1:9" s="19" customFormat="1" x14ac:dyDescent="0.2">
      <c r="A83" s="27"/>
      <c r="B83" s="314" t="s">
        <v>1826</v>
      </c>
      <c r="C83" s="314" t="s">
        <v>192</v>
      </c>
      <c r="D83" s="349">
        <v>0</v>
      </c>
      <c r="E83" s="349">
        <v>1</v>
      </c>
      <c r="F83" s="349">
        <v>1</v>
      </c>
      <c r="G83" s="349">
        <v>0</v>
      </c>
      <c r="H83" s="349">
        <v>0</v>
      </c>
      <c r="I83" s="341">
        <v>1</v>
      </c>
    </row>
    <row r="84" spans="1:9" s="19" customFormat="1" x14ac:dyDescent="0.2">
      <c r="A84" s="27"/>
      <c r="B84" s="314" t="s">
        <v>100</v>
      </c>
      <c r="C84" s="314" t="s">
        <v>192</v>
      </c>
      <c r="D84" s="349">
        <v>0</v>
      </c>
      <c r="E84" s="349">
        <v>0</v>
      </c>
      <c r="F84" s="349">
        <v>0</v>
      </c>
      <c r="G84" s="349">
        <v>0</v>
      </c>
      <c r="H84" s="349">
        <v>0</v>
      </c>
      <c r="I84" s="341">
        <v>1</v>
      </c>
    </row>
    <row r="85" spans="1:9" s="19" customFormat="1" x14ac:dyDescent="0.2">
      <c r="A85" s="27"/>
      <c r="B85" s="314" t="s">
        <v>225</v>
      </c>
      <c r="C85" s="314" t="s">
        <v>192</v>
      </c>
      <c r="D85" s="349">
        <v>0</v>
      </c>
      <c r="E85" s="349">
        <v>1</v>
      </c>
      <c r="F85" s="349">
        <v>1</v>
      </c>
      <c r="G85" s="349">
        <v>0</v>
      </c>
      <c r="H85" s="349">
        <v>0</v>
      </c>
      <c r="I85" s="341">
        <v>1</v>
      </c>
    </row>
    <row r="86" spans="1:9" s="19" customFormat="1" x14ac:dyDescent="0.2">
      <c r="A86" s="27"/>
      <c r="B86" s="314" t="s">
        <v>720</v>
      </c>
      <c r="C86" s="314" t="s">
        <v>193</v>
      </c>
      <c r="D86" s="349">
        <v>0</v>
      </c>
      <c r="E86" s="349">
        <v>1</v>
      </c>
      <c r="F86" s="349">
        <v>0</v>
      </c>
      <c r="G86" s="349">
        <v>0</v>
      </c>
      <c r="H86" s="349">
        <v>0</v>
      </c>
      <c r="I86" s="341">
        <v>0</v>
      </c>
    </row>
    <row r="87" spans="1:9" s="19" customFormat="1" x14ac:dyDescent="0.2">
      <c r="A87" s="27"/>
      <c r="B87" s="314" t="s">
        <v>721</v>
      </c>
      <c r="C87" s="314" t="s">
        <v>193</v>
      </c>
      <c r="D87" s="349">
        <v>0</v>
      </c>
      <c r="E87" s="349">
        <v>0</v>
      </c>
      <c r="F87" s="349">
        <v>1</v>
      </c>
      <c r="G87" s="349">
        <v>0</v>
      </c>
      <c r="H87" s="349">
        <v>1</v>
      </c>
      <c r="I87" s="341">
        <v>1</v>
      </c>
    </row>
    <row r="88" spans="1:9" s="19" customFormat="1" x14ac:dyDescent="0.2">
      <c r="A88" s="27"/>
      <c r="B88" s="314" t="s">
        <v>149</v>
      </c>
      <c r="C88" s="314" t="s">
        <v>193</v>
      </c>
      <c r="D88" s="349">
        <v>0</v>
      </c>
      <c r="E88" s="349">
        <v>0</v>
      </c>
      <c r="F88" s="349">
        <v>0</v>
      </c>
      <c r="G88" s="349">
        <v>0</v>
      </c>
      <c r="H88" s="349">
        <v>1</v>
      </c>
      <c r="I88" s="341">
        <v>0</v>
      </c>
    </row>
    <row r="89" spans="1:9" s="19" customFormat="1" x14ac:dyDescent="0.2">
      <c r="A89" s="27"/>
      <c r="B89" s="314" t="s">
        <v>157</v>
      </c>
      <c r="C89" s="314" t="s">
        <v>193</v>
      </c>
      <c r="D89" s="349">
        <v>0</v>
      </c>
      <c r="E89" s="349">
        <v>0</v>
      </c>
      <c r="F89" s="349">
        <v>0</v>
      </c>
      <c r="G89" s="349">
        <v>0</v>
      </c>
      <c r="H89" s="349">
        <v>1</v>
      </c>
      <c r="I89" s="341">
        <v>0</v>
      </c>
    </row>
    <row r="90" spans="1:9" s="19" customFormat="1" x14ac:dyDescent="0.2">
      <c r="A90" s="27"/>
      <c r="B90" s="314" t="s">
        <v>148</v>
      </c>
      <c r="C90" s="314" t="s">
        <v>193</v>
      </c>
      <c r="D90" s="349">
        <v>0</v>
      </c>
      <c r="E90" s="349">
        <v>0</v>
      </c>
      <c r="F90" s="349">
        <v>0</v>
      </c>
      <c r="G90" s="349">
        <v>0</v>
      </c>
      <c r="H90" s="349">
        <v>1</v>
      </c>
      <c r="I90" s="341">
        <v>0</v>
      </c>
    </row>
    <row r="91" spans="1:9" s="19" customFormat="1" x14ac:dyDescent="0.2">
      <c r="A91" s="27"/>
      <c r="B91" s="314" t="s">
        <v>147</v>
      </c>
      <c r="C91" s="314" t="s">
        <v>193</v>
      </c>
      <c r="D91" s="349">
        <v>0</v>
      </c>
      <c r="E91" s="349">
        <v>0</v>
      </c>
      <c r="F91" s="349">
        <v>0</v>
      </c>
      <c r="G91" s="349">
        <v>0</v>
      </c>
      <c r="H91" s="349">
        <v>1</v>
      </c>
      <c r="I91" s="341">
        <v>0</v>
      </c>
    </row>
    <row r="92" spans="1:9" s="19" customFormat="1" x14ac:dyDescent="0.2">
      <c r="A92" s="27"/>
      <c r="B92" s="314" t="s">
        <v>146</v>
      </c>
      <c r="C92" s="314" t="s">
        <v>193</v>
      </c>
      <c r="D92" s="349">
        <v>0</v>
      </c>
      <c r="E92" s="349">
        <v>0</v>
      </c>
      <c r="F92" s="349">
        <v>0</v>
      </c>
      <c r="G92" s="349">
        <v>0</v>
      </c>
      <c r="H92" s="349">
        <v>1</v>
      </c>
      <c r="I92" s="341">
        <v>0</v>
      </c>
    </row>
    <row r="93" spans="1:9" s="19" customFormat="1" x14ac:dyDescent="0.2">
      <c r="A93" s="27"/>
      <c r="B93" s="314" t="s">
        <v>156</v>
      </c>
      <c r="C93" s="314" t="s">
        <v>193</v>
      </c>
      <c r="D93" s="349">
        <v>0</v>
      </c>
      <c r="E93" s="349">
        <v>0</v>
      </c>
      <c r="F93" s="349">
        <v>0</v>
      </c>
      <c r="G93" s="349">
        <v>0</v>
      </c>
      <c r="H93" s="349">
        <v>1</v>
      </c>
      <c r="I93" s="341">
        <v>0</v>
      </c>
    </row>
    <row r="94" spans="1:9" s="19" customFormat="1" x14ac:dyDescent="0.2">
      <c r="A94" s="27"/>
      <c r="B94" s="314" t="s">
        <v>155</v>
      </c>
      <c r="C94" s="314" t="s">
        <v>193</v>
      </c>
      <c r="D94" s="349">
        <v>0</v>
      </c>
      <c r="E94" s="349">
        <v>0</v>
      </c>
      <c r="F94" s="349">
        <v>0</v>
      </c>
      <c r="G94" s="349">
        <v>0</v>
      </c>
      <c r="H94" s="349">
        <v>1</v>
      </c>
      <c r="I94" s="341">
        <v>0</v>
      </c>
    </row>
    <row r="95" spans="1:9" s="19" customFormat="1" x14ac:dyDescent="0.2">
      <c r="A95" s="27"/>
      <c r="B95" s="314" t="s">
        <v>154</v>
      </c>
      <c r="C95" s="314" t="s">
        <v>193</v>
      </c>
      <c r="D95" s="349">
        <v>0</v>
      </c>
      <c r="E95" s="349">
        <v>0</v>
      </c>
      <c r="F95" s="349">
        <v>0</v>
      </c>
      <c r="G95" s="349">
        <v>0</v>
      </c>
      <c r="H95" s="349">
        <v>1</v>
      </c>
      <c r="I95" s="341">
        <v>0</v>
      </c>
    </row>
    <row r="96" spans="1:9" s="19" customFormat="1" x14ac:dyDescent="0.2">
      <c r="A96" s="27"/>
      <c r="B96" s="314" t="s">
        <v>153</v>
      </c>
      <c r="C96" s="314" t="s">
        <v>193</v>
      </c>
      <c r="D96" s="349">
        <v>0</v>
      </c>
      <c r="E96" s="349">
        <v>0</v>
      </c>
      <c r="F96" s="349">
        <v>0</v>
      </c>
      <c r="G96" s="349">
        <v>0</v>
      </c>
      <c r="H96" s="349">
        <v>1</v>
      </c>
      <c r="I96" s="341">
        <v>0</v>
      </c>
    </row>
    <row r="97" spans="1:17" s="19" customFormat="1" x14ac:dyDescent="0.2">
      <c r="A97" s="27"/>
      <c r="B97" s="314" t="s">
        <v>145</v>
      </c>
      <c r="C97" s="314" t="s">
        <v>193</v>
      </c>
      <c r="D97" s="349">
        <v>0</v>
      </c>
      <c r="E97" s="349">
        <v>1</v>
      </c>
      <c r="F97" s="349">
        <v>0</v>
      </c>
      <c r="G97" s="349">
        <v>0</v>
      </c>
      <c r="H97" s="349">
        <v>0</v>
      </c>
      <c r="I97" s="341">
        <v>0</v>
      </c>
    </row>
    <row r="98" spans="1:17" s="19" customFormat="1" x14ac:dyDescent="0.2">
      <c r="A98" s="27"/>
      <c r="B98" s="314" t="s">
        <v>143</v>
      </c>
      <c r="C98" s="314" t="s">
        <v>193</v>
      </c>
      <c r="D98" s="349">
        <v>0</v>
      </c>
      <c r="E98" s="349">
        <v>0</v>
      </c>
      <c r="F98" s="349">
        <v>0</v>
      </c>
      <c r="G98" s="349">
        <v>0</v>
      </c>
      <c r="H98" s="349">
        <v>1</v>
      </c>
      <c r="I98" s="341">
        <v>0</v>
      </c>
    </row>
    <row r="99" spans="1:17" s="19" customFormat="1" x14ac:dyDescent="0.2">
      <c r="A99" s="27"/>
      <c r="B99" s="314" t="s">
        <v>142</v>
      </c>
      <c r="C99" s="314" t="s">
        <v>193</v>
      </c>
      <c r="D99" s="349">
        <v>0</v>
      </c>
      <c r="E99" s="349">
        <v>0</v>
      </c>
      <c r="F99" s="349">
        <v>0</v>
      </c>
      <c r="G99" s="349">
        <v>0</v>
      </c>
      <c r="H99" s="349">
        <v>1</v>
      </c>
      <c r="I99" s="341">
        <v>0</v>
      </c>
    </row>
    <row r="100" spans="1:17" s="19" customFormat="1" x14ac:dyDescent="0.2">
      <c r="A100" s="27"/>
      <c r="B100" s="314" t="s">
        <v>224</v>
      </c>
      <c r="C100" s="314" t="s">
        <v>193</v>
      </c>
      <c r="D100" s="349">
        <v>0</v>
      </c>
      <c r="E100" s="349">
        <v>1</v>
      </c>
      <c r="F100" s="349">
        <v>0</v>
      </c>
      <c r="G100" s="349">
        <v>0</v>
      </c>
      <c r="H100" s="349">
        <v>0</v>
      </c>
      <c r="I100" s="341">
        <v>0</v>
      </c>
    </row>
    <row r="101" spans="1:17" s="19" customFormat="1" x14ac:dyDescent="0.2">
      <c r="A101" s="27"/>
      <c r="B101" s="314" t="s">
        <v>223</v>
      </c>
      <c r="C101" s="314"/>
      <c r="D101" s="349">
        <v>0</v>
      </c>
      <c r="E101" s="349">
        <v>0</v>
      </c>
      <c r="F101" s="349">
        <v>0</v>
      </c>
      <c r="G101" s="349">
        <v>0</v>
      </c>
      <c r="H101" s="349">
        <v>0</v>
      </c>
      <c r="I101" s="341">
        <v>0</v>
      </c>
    </row>
    <row r="102" spans="1:17" s="19" customFormat="1" x14ac:dyDescent="0.2">
      <c r="A102" s="27"/>
      <c r="B102" s="314" t="s">
        <v>222</v>
      </c>
      <c r="C102" s="314"/>
      <c r="D102" s="349">
        <v>0</v>
      </c>
      <c r="E102" s="349">
        <v>0</v>
      </c>
      <c r="F102" s="349">
        <v>0</v>
      </c>
      <c r="G102" s="349">
        <v>0</v>
      </c>
      <c r="H102" s="349">
        <v>0</v>
      </c>
      <c r="I102" s="341">
        <v>0</v>
      </c>
    </row>
    <row r="103" spans="1:17" s="19" customFormat="1" x14ac:dyDescent="0.2">
      <c r="A103" s="27"/>
      <c r="B103" s="314" t="s">
        <v>221</v>
      </c>
      <c r="C103" s="314" t="s">
        <v>193</v>
      </c>
      <c r="D103" s="349">
        <v>0</v>
      </c>
      <c r="E103" s="349">
        <v>1</v>
      </c>
      <c r="F103" s="349">
        <v>0</v>
      </c>
      <c r="G103" s="349">
        <v>0</v>
      </c>
      <c r="H103" s="349">
        <v>0</v>
      </c>
      <c r="I103" s="341">
        <v>0</v>
      </c>
    </row>
    <row r="104" spans="1:17" s="19" customFormat="1" x14ac:dyDescent="0.2">
      <c r="A104" s="27"/>
      <c r="B104" s="314" t="s">
        <v>220</v>
      </c>
      <c r="C104" s="314" t="s">
        <v>194</v>
      </c>
      <c r="D104" s="349">
        <v>0</v>
      </c>
      <c r="E104" s="349">
        <v>0</v>
      </c>
      <c r="F104" s="349">
        <v>0</v>
      </c>
      <c r="G104" s="349">
        <v>1</v>
      </c>
      <c r="H104" s="349">
        <v>0</v>
      </c>
      <c r="I104" s="341">
        <v>0</v>
      </c>
    </row>
    <row r="105" spans="1:17" s="19" customFormat="1" x14ac:dyDescent="0.2">
      <c r="A105" s="27"/>
      <c r="B105" s="314" t="s">
        <v>219</v>
      </c>
      <c r="C105" s="314" t="s">
        <v>193</v>
      </c>
      <c r="D105" s="349">
        <v>0</v>
      </c>
      <c r="E105" s="349">
        <v>1</v>
      </c>
      <c r="F105" s="349">
        <v>0</v>
      </c>
      <c r="G105" s="349">
        <v>0</v>
      </c>
      <c r="H105" s="349">
        <v>0</v>
      </c>
      <c r="I105" s="341">
        <v>0</v>
      </c>
    </row>
    <row r="106" spans="1:17" s="19" customFormat="1" x14ac:dyDescent="0.2">
      <c r="A106" s="27"/>
      <c r="B106" s="314" t="s">
        <v>218</v>
      </c>
      <c r="C106" s="314" t="s">
        <v>194</v>
      </c>
      <c r="D106" s="349">
        <v>0</v>
      </c>
      <c r="E106" s="349">
        <v>0</v>
      </c>
      <c r="F106" s="349">
        <v>0</v>
      </c>
      <c r="G106" s="349">
        <v>1</v>
      </c>
      <c r="H106" s="349">
        <v>0</v>
      </c>
      <c r="I106" s="341">
        <v>0</v>
      </c>
    </row>
    <row r="107" spans="1:17" s="19" customFormat="1" x14ac:dyDescent="0.2">
      <c r="A107" s="27"/>
      <c r="B107" s="314" t="s">
        <v>217</v>
      </c>
      <c r="C107" s="314"/>
      <c r="D107" s="349">
        <v>0</v>
      </c>
      <c r="E107" s="349">
        <v>0</v>
      </c>
      <c r="F107" s="349">
        <v>0</v>
      </c>
      <c r="G107" s="349">
        <v>0</v>
      </c>
      <c r="H107" s="349">
        <v>0</v>
      </c>
      <c r="I107" s="341">
        <v>0</v>
      </c>
      <c r="K107" s="120" t="s">
        <v>1094</v>
      </c>
    </row>
    <row r="108" spans="1:17" s="19" customFormat="1" ht="25.5" x14ac:dyDescent="0.2">
      <c r="A108" s="27"/>
      <c r="C108" s="332" t="s">
        <v>543</v>
      </c>
      <c r="D108" s="346">
        <f t="shared" ref="D108:I108" si="0">IF($J$109&lt;&gt;0,L108*$J$109,L108)</f>
        <v>728.46642212326753</v>
      </c>
      <c r="E108" s="346">
        <f t="shared" si="0"/>
        <v>193.9317768068654</v>
      </c>
      <c r="F108" s="346">
        <f t="shared" si="0"/>
        <v>1214.1107035387793</v>
      </c>
      <c r="G108" s="346">
        <f t="shared" si="0"/>
        <v>585.70655953266737</v>
      </c>
      <c r="H108" s="346">
        <f t="shared" si="0"/>
        <v>363.4183716632856</v>
      </c>
      <c r="I108" s="346">
        <f t="shared" si="0"/>
        <v>428.60552353113951</v>
      </c>
      <c r="J108" s="332" t="s">
        <v>1110</v>
      </c>
      <c r="K108" s="121" t="s">
        <v>543</v>
      </c>
      <c r="L108" s="122">
        <v>447</v>
      </c>
      <c r="M108" s="122">
        <v>119</v>
      </c>
      <c r="N108" s="122">
        <v>745</v>
      </c>
      <c r="O108" s="122">
        <v>359.4</v>
      </c>
      <c r="P108" s="122">
        <v>223</v>
      </c>
      <c r="Q108" s="122">
        <v>263</v>
      </c>
    </row>
    <row r="109" spans="1:17" s="19" customFormat="1" ht="38.25" x14ac:dyDescent="0.2">
      <c r="A109" s="27"/>
      <c r="C109" s="332" t="s">
        <v>1102</v>
      </c>
      <c r="D109" s="348">
        <v>1</v>
      </c>
      <c r="E109" s="348">
        <v>2</v>
      </c>
      <c r="F109" s="348">
        <v>3</v>
      </c>
      <c r="G109" s="348">
        <v>4</v>
      </c>
      <c r="H109" s="348">
        <v>5</v>
      </c>
      <c r="I109" s="348">
        <v>6</v>
      </c>
      <c r="J109" s="347">
        <f>'Main Page'!$AO$48</f>
        <v>1.629678796696348</v>
      </c>
      <c r="K109" s="121" t="s">
        <v>160</v>
      </c>
      <c r="L109" s="123">
        <v>1</v>
      </c>
      <c r="M109" s="123">
        <v>2</v>
      </c>
      <c r="N109" s="123">
        <v>3</v>
      </c>
      <c r="O109" s="123">
        <v>4</v>
      </c>
      <c r="P109" s="123">
        <v>5</v>
      </c>
      <c r="Q109" s="123">
        <v>6</v>
      </c>
    </row>
  </sheetData>
  <mergeCells count="8">
    <mergeCell ref="D32:I32"/>
    <mergeCell ref="B4:C4"/>
    <mergeCell ref="B5:C5"/>
    <mergeCell ref="B6:C6"/>
    <mergeCell ref="B7:C7"/>
    <mergeCell ref="B8:C8"/>
    <mergeCell ref="B9:C9"/>
    <mergeCell ref="B32:C32"/>
  </mergeCells>
  <dataValidations count="1">
    <dataValidation type="list" allowBlank="1" showInputMessage="1" showErrorMessage="1" sqref="C34:C107" xr:uid="{00000000-0002-0000-1E00-000000000000}">
      <formula1>TrafficManagement_On...</formula1>
    </dataValidation>
  </dataValidations>
  <pageMargins left="0.74803149606299213" right="0.74803149606299213" top="0.98425196850393704" bottom="0.98425196850393704" header="0.51181102362204722" footer="0.51181102362204722"/>
  <pageSetup paperSize="8" scale="10" fitToHeight="0" orientation="landscape" r:id="rId1"/>
  <headerFooter alignWithMargins="0">
    <oddHeader>&amp;LStructures Asset Management Planning Toolkit</oddHeader>
    <oddFooter>&amp;L&amp;A&amp;R&amp;P of &amp;N</oddFooter>
  </headerFooter>
  <rowBreaks count="2" manualBreakCount="2">
    <brk id="31" max="16383" man="1"/>
    <brk id="87" max="16383" man="1"/>
  </rowBreaks>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_Ref10">
    <tabColor rgb="FFFFFF85"/>
  </sheetPr>
  <dimension ref="A1:H27"/>
  <sheetViews>
    <sheetView showGridLines="0" zoomScale="70" zoomScaleNormal="70" workbookViewId="0">
      <selection activeCell="B5" sqref="B5"/>
    </sheetView>
  </sheetViews>
  <sheetFormatPr defaultColWidth="9.140625" defaultRowHeight="12.75" customHeight="1" x14ac:dyDescent="0.2"/>
  <cols>
    <col min="1" max="1" width="10.42578125" style="19" customWidth="1"/>
    <col min="2" max="2" width="28.140625" style="19" customWidth="1"/>
    <col min="3" max="8" width="16.85546875" style="19" customWidth="1"/>
    <col min="9" max="16384" width="9.140625" style="19"/>
  </cols>
  <sheetData>
    <row r="1" spans="1:8" x14ac:dyDescent="0.2">
      <c r="A1" s="27"/>
      <c r="B1" s="27"/>
      <c r="C1" s="27"/>
      <c r="D1" s="27"/>
    </row>
    <row r="2" spans="1:8" ht="13.9" customHeight="1" x14ac:dyDescent="0.2">
      <c r="A2" s="27"/>
      <c r="B2" s="598" t="s">
        <v>1166</v>
      </c>
      <c r="C2" s="598"/>
      <c r="D2" s="27"/>
    </row>
    <row r="3" spans="1:8" ht="30.6" customHeight="1" x14ac:dyDescent="0.2">
      <c r="A3" s="27"/>
      <c r="B3" s="580" t="s">
        <v>585</v>
      </c>
      <c r="C3" s="599" t="s">
        <v>1165</v>
      </c>
      <c r="D3" s="600"/>
    </row>
    <row r="4" spans="1:8" x14ac:dyDescent="0.2">
      <c r="A4" s="27"/>
      <c r="B4" s="580"/>
      <c r="C4" s="355">
        <v>4</v>
      </c>
      <c r="D4" s="355">
        <v>5</v>
      </c>
    </row>
    <row r="5" spans="1:8" x14ac:dyDescent="0.2">
      <c r="A5" s="27"/>
      <c r="B5" s="351" t="s">
        <v>573</v>
      </c>
      <c r="C5" s="348">
        <v>2</v>
      </c>
      <c r="D5" s="348">
        <v>3</v>
      </c>
    </row>
    <row r="6" spans="1:8" x14ac:dyDescent="0.2">
      <c r="A6" s="27"/>
      <c r="B6" s="351" t="s">
        <v>571</v>
      </c>
      <c r="C6" s="348">
        <v>2</v>
      </c>
      <c r="D6" s="348">
        <v>3</v>
      </c>
    </row>
    <row r="7" spans="1:8" x14ac:dyDescent="0.2">
      <c r="A7" s="27"/>
      <c r="B7" s="351" t="s">
        <v>568</v>
      </c>
      <c r="C7" s="348">
        <v>2</v>
      </c>
      <c r="D7" s="348">
        <v>3</v>
      </c>
    </row>
    <row r="8" spans="1:8" x14ac:dyDescent="0.2">
      <c r="A8" s="27"/>
      <c r="B8" s="351" t="s">
        <v>572</v>
      </c>
      <c r="C8" s="348">
        <v>4</v>
      </c>
      <c r="D8" s="348">
        <v>5</v>
      </c>
    </row>
    <row r="9" spans="1:8" x14ac:dyDescent="0.2">
      <c r="A9" s="27"/>
      <c r="B9" s="351" t="s">
        <v>570</v>
      </c>
      <c r="C9" s="348">
        <v>6</v>
      </c>
      <c r="D9" s="348">
        <v>7</v>
      </c>
    </row>
    <row r="10" spans="1:8" x14ac:dyDescent="0.2">
      <c r="A10" s="27"/>
      <c r="B10" s="351" t="s">
        <v>569</v>
      </c>
      <c r="C10" s="348">
        <v>6</v>
      </c>
      <c r="D10" s="348">
        <v>7</v>
      </c>
    </row>
    <row r="11" spans="1:8" x14ac:dyDescent="0.2">
      <c r="A11" s="27"/>
      <c r="B11" s="351" t="s">
        <v>681</v>
      </c>
      <c r="C11" s="348">
        <v>6</v>
      </c>
      <c r="D11" s="348">
        <v>7</v>
      </c>
    </row>
    <row r="12" spans="1:8" x14ac:dyDescent="0.2">
      <c r="A12" s="27"/>
      <c r="C12" s="27"/>
      <c r="D12" s="27"/>
    </row>
    <row r="13" spans="1:8" x14ac:dyDescent="0.2">
      <c r="A13" s="27"/>
      <c r="B13" s="27"/>
      <c r="C13" s="27"/>
      <c r="D13" s="27"/>
    </row>
    <row r="14" spans="1:8" ht="27.75" customHeight="1" x14ac:dyDescent="0.2">
      <c r="A14" s="27"/>
      <c r="B14" s="598" t="s">
        <v>1167</v>
      </c>
      <c r="C14" s="598"/>
      <c r="D14" s="27"/>
    </row>
    <row r="15" spans="1:8" ht="13.9" customHeight="1" x14ac:dyDescent="0.2">
      <c r="A15" s="27"/>
      <c r="B15" s="580" t="s">
        <v>1103</v>
      </c>
      <c r="C15" s="580" t="s">
        <v>1163</v>
      </c>
      <c r="D15" s="580"/>
      <c r="E15" s="580" t="s">
        <v>180</v>
      </c>
      <c r="F15" s="580"/>
      <c r="G15" s="580" t="s">
        <v>1164</v>
      </c>
      <c r="H15" s="580"/>
    </row>
    <row r="16" spans="1:8" ht="26.45" customHeight="1" x14ac:dyDescent="0.2">
      <c r="A16" s="27"/>
      <c r="B16" s="580"/>
      <c r="C16" s="580" t="s">
        <v>1104</v>
      </c>
      <c r="D16" s="580"/>
      <c r="E16" s="580"/>
      <c r="F16" s="580"/>
      <c r="G16" s="580"/>
      <c r="H16" s="580"/>
    </row>
    <row r="17" spans="1:8" x14ac:dyDescent="0.2">
      <c r="A17" s="27"/>
      <c r="B17" s="580"/>
      <c r="C17" s="350">
        <v>4</v>
      </c>
      <c r="D17" s="350">
        <v>5</v>
      </c>
      <c r="E17" s="350">
        <v>4</v>
      </c>
      <c r="F17" s="350">
        <v>5</v>
      </c>
      <c r="G17" s="350">
        <v>4</v>
      </c>
      <c r="H17" s="350">
        <v>5</v>
      </c>
    </row>
    <row r="18" spans="1:8" ht="12.75" customHeight="1" x14ac:dyDescent="0.2">
      <c r="A18" s="353" t="s">
        <v>1132</v>
      </c>
      <c r="B18" s="351">
        <v>0</v>
      </c>
      <c r="C18" s="352">
        <v>5</v>
      </c>
      <c r="D18" s="352">
        <v>30</v>
      </c>
      <c r="E18" s="352">
        <v>5</v>
      </c>
      <c r="F18" s="352">
        <v>30</v>
      </c>
      <c r="G18" s="352">
        <v>5</v>
      </c>
      <c r="H18" s="352">
        <v>5</v>
      </c>
    </row>
    <row r="19" spans="1:8" ht="12.75" customHeight="1" x14ac:dyDescent="0.2">
      <c r="A19" s="354" t="s">
        <v>1133</v>
      </c>
      <c r="B19" s="351">
        <v>10.0001</v>
      </c>
      <c r="C19" s="352">
        <v>10</v>
      </c>
      <c r="D19" s="352">
        <v>30</v>
      </c>
      <c r="E19" s="352">
        <v>10</v>
      </c>
      <c r="F19" s="352">
        <v>30</v>
      </c>
      <c r="G19" s="352">
        <v>5</v>
      </c>
      <c r="H19" s="352">
        <v>5</v>
      </c>
    </row>
    <row r="20" spans="1:8" x14ac:dyDescent="0.2">
      <c r="A20" s="354" t="s">
        <v>1134</v>
      </c>
      <c r="B20" s="351">
        <v>20.0001</v>
      </c>
      <c r="C20" s="352">
        <v>15</v>
      </c>
      <c r="D20" s="352">
        <v>30</v>
      </c>
      <c r="E20" s="352">
        <v>15</v>
      </c>
      <c r="F20" s="352">
        <v>30</v>
      </c>
      <c r="G20" s="352">
        <v>5</v>
      </c>
      <c r="H20" s="352">
        <v>5</v>
      </c>
    </row>
    <row r="21" spans="1:8" x14ac:dyDescent="0.2">
      <c r="A21" s="27"/>
      <c r="B21" s="27"/>
      <c r="C21" s="27"/>
      <c r="D21" s="27"/>
    </row>
    <row r="22" spans="1:8" x14ac:dyDescent="0.2">
      <c r="A22" s="27"/>
      <c r="B22" s="27"/>
      <c r="C22" s="27"/>
      <c r="D22" s="27"/>
    </row>
    <row r="23" spans="1:8" x14ac:dyDescent="0.2">
      <c r="A23" s="27"/>
      <c r="B23" s="598" t="s">
        <v>1168</v>
      </c>
      <c r="C23" s="598"/>
      <c r="D23" s="27"/>
      <c r="E23" s="120" t="s">
        <v>1094</v>
      </c>
    </row>
    <row r="24" spans="1:8" ht="35.450000000000003" customHeight="1" x14ac:dyDescent="0.2">
      <c r="A24" s="27"/>
      <c r="B24" s="320" t="s">
        <v>567</v>
      </c>
      <c r="C24" s="320" t="s">
        <v>566</v>
      </c>
      <c r="D24" s="332" t="s">
        <v>1110</v>
      </c>
      <c r="E24" s="124" t="s">
        <v>567</v>
      </c>
      <c r="F24" s="125" t="s">
        <v>566</v>
      </c>
    </row>
    <row r="25" spans="1:8" ht="15" x14ac:dyDescent="0.2">
      <c r="A25" s="27"/>
      <c r="B25" s="328" t="s">
        <v>30</v>
      </c>
      <c r="C25" s="333">
        <f>IF($D$25&lt;&gt;0,F25*$D$25,F25)</f>
        <v>1398.2644075654666</v>
      </c>
      <c r="D25" s="347">
        <f>'Main Page'!$AO$48</f>
        <v>1.629678796696348</v>
      </c>
      <c r="E25" s="128" t="s">
        <v>30</v>
      </c>
      <c r="F25" s="127">
        <v>858</v>
      </c>
    </row>
    <row r="26" spans="1:8" x14ac:dyDescent="0.2">
      <c r="A26" s="27"/>
      <c r="B26" s="328" t="s">
        <v>23</v>
      </c>
      <c r="C26" s="333">
        <f>IF($D$25&lt;&gt;0,F26*$D$25,F26)</f>
        <v>976.17759922111247</v>
      </c>
      <c r="D26" s="27"/>
      <c r="E26" s="126" t="s">
        <v>23</v>
      </c>
      <c r="F26" s="127">
        <v>599</v>
      </c>
    </row>
    <row r="27" spans="1:8" x14ac:dyDescent="0.2">
      <c r="A27" s="27"/>
      <c r="B27" s="328" t="s">
        <v>13</v>
      </c>
      <c r="C27" s="333">
        <f>IF($D$25&lt;&gt;0,F27*$D$25,F27)</f>
        <v>422.0868083443541</v>
      </c>
      <c r="D27" s="27"/>
      <c r="E27" s="126" t="s">
        <v>13</v>
      </c>
      <c r="F27" s="127">
        <v>259</v>
      </c>
    </row>
  </sheetData>
  <mergeCells count="10">
    <mergeCell ref="B23:C23"/>
    <mergeCell ref="C15:D15"/>
    <mergeCell ref="B15:B17"/>
    <mergeCell ref="B14:C14"/>
    <mergeCell ref="E15:F15"/>
    <mergeCell ref="B2:C2"/>
    <mergeCell ref="G15:H15"/>
    <mergeCell ref="C16:H16"/>
    <mergeCell ref="C3:D3"/>
    <mergeCell ref="B3:B4"/>
  </mergeCells>
  <pageMargins left="0.74803149606299213" right="0.74803149606299213" top="0.98425196850393704" bottom="0.98425196850393704" header="0.51181102362204722" footer="0.51181102362204722"/>
  <pageSetup paperSize="9" orientation="portrait" r:id="rId1"/>
  <headerFooter alignWithMargins="0">
    <oddHeader>&amp;LStructures Asset Management Planning Toolkit</oddHeader>
    <oddFooter>&amp;L&amp;A&amp;R&amp;P of &amp;N</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_Ref11i">
    <tabColor rgb="FFFFFF85"/>
    <pageSetUpPr fitToPage="1"/>
  </sheetPr>
  <dimension ref="B2:J89"/>
  <sheetViews>
    <sheetView showGridLines="0" zoomScale="70" zoomScaleNormal="70" workbookViewId="0">
      <selection activeCell="B5" sqref="B5"/>
    </sheetView>
  </sheetViews>
  <sheetFormatPr defaultColWidth="9.140625" defaultRowHeight="12.75" customHeight="1" x14ac:dyDescent="0.2"/>
  <cols>
    <col min="1" max="1" width="3.5703125" style="19" customWidth="1"/>
    <col min="2" max="2" width="71.140625" style="19" customWidth="1"/>
    <col min="3" max="3" width="29" style="19" bestFit="1" customWidth="1"/>
    <col min="4" max="4" width="32.85546875" style="19" bestFit="1" customWidth="1"/>
    <col min="5" max="7" width="25.7109375" style="19" customWidth="1"/>
    <col min="8" max="8" width="27.28515625" style="19" customWidth="1"/>
    <col min="9" max="9" width="25.7109375" style="19" customWidth="1"/>
    <col min="10" max="10" width="20.28515625" style="19" bestFit="1" customWidth="1"/>
    <col min="11" max="16384" width="9.140625" style="19"/>
  </cols>
  <sheetData>
    <row r="2" spans="2:9" x14ac:dyDescent="0.2">
      <c r="B2" s="602" t="s">
        <v>611</v>
      </c>
      <c r="C2" s="602"/>
    </row>
    <row r="3" spans="2:9" x14ac:dyDescent="0.2">
      <c r="B3" s="601" t="s">
        <v>610</v>
      </c>
      <c r="C3" s="601"/>
      <c r="D3" s="129"/>
      <c r="E3" s="130"/>
    </row>
    <row r="4" spans="2:9" x14ac:dyDescent="0.2">
      <c r="B4" s="356" t="s">
        <v>609</v>
      </c>
      <c r="C4" s="357">
        <v>1</v>
      </c>
      <c r="D4" s="130" t="s">
        <v>608</v>
      </c>
    </row>
    <row r="5" spans="2:9" x14ac:dyDescent="0.2">
      <c r="B5" s="356" t="s">
        <v>607</v>
      </c>
      <c r="C5" s="357">
        <v>0.25</v>
      </c>
      <c r="D5" s="130" t="s">
        <v>606</v>
      </c>
    </row>
    <row r="6" spans="2:9" x14ac:dyDescent="0.2">
      <c r="B6" s="356" t="s">
        <v>605</v>
      </c>
      <c r="C6" s="357">
        <v>0.5</v>
      </c>
      <c r="D6" s="130" t="s">
        <v>604</v>
      </c>
    </row>
    <row r="7" spans="2:9" x14ac:dyDescent="0.2"/>
    <row r="8" spans="2:9" x14ac:dyDescent="0.2">
      <c r="B8" s="602" t="s">
        <v>603</v>
      </c>
      <c r="C8" s="602"/>
    </row>
    <row r="9" spans="2:9" x14ac:dyDescent="0.2">
      <c r="B9" s="320" t="s">
        <v>602</v>
      </c>
      <c r="C9" s="320" t="s">
        <v>601</v>
      </c>
      <c r="D9" s="320" t="s">
        <v>600</v>
      </c>
    </row>
    <row r="10" spans="2:9" x14ac:dyDescent="0.2">
      <c r="B10" s="356" t="s">
        <v>30</v>
      </c>
      <c r="C10" s="343">
        <v>1</v>
      </c>
      <c r="D10" s="314">
        <v>3</v>
      </c>
    </row>
    <row r="11" spans="2:9" x14ac:dyDescent="0.2">
      <c r="B11" s="356" t="s">
        <v>23</v>
      </c>
      <c r="C11" s="343">
        <v>0.5</v>
      </c>
      <c r="D11" s="314">
        <v>2</v>
      </c>
    </row>
    <row r="12" spans="2:9" x14ac:dyDescent="0.2">
      <c r="B12" s="356" t="s">
        <v>13</v>
      </c>
      <c r="C12" s="343">
        <v>0.2</v>
      </c>
      <c r="D12" s="314">
        <v>1</v>
      </c>
    </row>
    <row r="14" spans="2:9" ht="27.75" customHeight="1" x14ac:dyDescent="0.2">
      <c r="B14" s="584" t="s">
        <v>599</v>
      </c>
      <c r="C14" s="584"/>
      <c r="D14" s="583" t="s">
        <v>1105</v>
      </c>
      <c r="E14" s="583"/>
      <c r="F14" s="583"/>
      <c r="G14" s="583"/>
      <c r="H14" s="583"/>
      <c r="I14" s="583"/>
    </row>
    <row r="15" spans="2:9" ht="25.5" x14ac:dyDescent="0.2">
      <c r="B15" s="320" t="s">
        <v>598</v>
      </c>
      <c r="C15" s="320" t="s">
        <v>597</v>
      </c>
      <c r="D15" s="320" t="s">
        <v>549</v>
      </c>
      <c r="E15" s="320" t="s">
        <v>548</v>
      </c>
      <c r="F15" s="320" t="s">
        <v>547</v>
      </c>
      <c r="G15" s="320" t="s">
        <v>546</v>
      </c>
      <c r="H15" s="320" t="s">
        <v>545</v>
      </c>
      <c r="I15" s="320" t="s">
        <v>544</v>
      </c>
    </row>
    <row r="16" spans="2:9" x14ac:dyDescent="0.2">
      <c r="B16" s="314" t="s">
        <v>592</v>
      </c>
      <c r="C16" s="357">
        <v>6</v>
      </c>
      <c r="D16" s="358">
        <v>1</v>
      </c>
      <c r="E16" s="358">
        <v>1</v>
      </c>
      <c r="F16" s="358">
        <v>0</v>
      </c>
      <c r="G16" s="358">
        <v>1</v>
      </c>
      <c r="H16" s="358">
        <v>1</v>
      </c>
      <c r="I16" s="358">
        <v>0</v>
      </c>
    </row>
    <row r="17" spans="2:9" x14ac:dyDescent="0.2">
      <c r="B17" s="314" t="s">
        <v>591</v>
      </c>
      <c r="C17" s="357">
        <v>4</v>
      </c>
      <c r="D17" s="358">
        <v>1</v>
      </c>
      <c r="E17" s="358">
        <v>1</v>
      </c>
      <c r="F17" s="358">
        <v>0</v>
      </c>
      <c r="G17" s="358">
        <v>1</v>
      </c>
      <c r="H17" s="358">
        <v>1</v>
      </c>
      <c r="I17" s="358">
        <v>0</v>
      </c>
    </row>
    <row r="18" spans="2:9" x14ac:dyDescent="0.2">
      <c r="B18" s="314" t="s">
        <v>590</v>
      </c>
      <c r="C18" s="357">
        <v>3</v>
      </c>
      <c r="D18" s="358">
        <v>1</v>
      </c>
      <c r="E18" s="358">
        <v>1</v>
      </c>
      <c r="F18" s="358">
        <v>0</v>
      </c>
      <c r="G18" s="358">
        <v>1</v>
      </c>
      <c r="H18" s="358">
        <v>1</v>
      </c>
      <c r="I18" s="358">
        <v>0</v>
      </c>
    </row>
    <row r="19" spans="2:9" x14ac:dyDescent="0.2">
      <c r="B19" s="314" t="s">
        <v>589</v>
      </c>
      <c r="C19" s="357">
        <v>2.5</v>
      </c>
      <c r="D19" s="358">
        <v>1</v>
      </c>
      <c r="E19" s="358">
        <v>1</v>
      </c>
      <c r="F19" s="358">
        <v>0</v>
      </c>
      <c r="G19" s="358">
        <v>1</v>
      </c>
      <c r="H19" s="358">
        <v>1</v>
      </c>
      <c r="I19" s="358">
        <v>0</v>
      </c>
    </row>
    <row r="20" spans="2:9" x14ac:dyDescent="0.2">
      <c r="B20" s="314" t="s">
        <v>19</v>
      </c>
      <c r="C20" s="357">
        <v>1.5</v>
      </c>
      <c r="D20" s="358">
        <v>1</v>
      </c>
      <c r="E20" s="358">
        <v>1</v>
      </c>
      <c r="F20" s="358">
        <v>0</v>
      </c>
      <c r="G20" s="358">
        <v>1</v>
      </c>
      <c r="H20" s="358">
        <v>1</v>
      </c>
      <c r="I20" s="358">
        <v>0</v>
      </c>
    </row>
    <row r="21" spans="2:9" x14ac:dyDescent="0.2">
      <c r="B21" s="314" t="s">
        <v>28</v>
      </c>
      <c r="C21" s="357">
        <v>1</v>
      </c>
      <c r="D21" s="358">
        <v>0</v>
      </c>
      <c r="E21" s="358">
        <v>0</v>
      </c>
      <c r="F21" s="358">
        <v>0</v>
      </c>
      <c r="G21" s="358">
        <v>0</v>
      </c>
      <c r="H21" s="358">
        <v>0</v>
      </c>
      <c r="I21" s="358">
        <v>0</v>
      </c>
    </row>
    <row r="22" spans="2:9" x14ac:dyDescent="0.2">
      <c r="B22" s="314" t="s">
        <v>33</v>
      </c>
      <c r="C22" s="357">
        <v>0.5</v>
      </c>
      <c r="D22" s="358">
        <v>0</v>
      </c>
      <c r="E22" s="358">
        <v>0</v>
      </c>
      <c r="F22" s="358">
        <v>0</v>
      </c>
      <c r="G22" s="358">
        <v>0</v>
      </c>
      <c r="H22" s="358">
        <v>0</v>
      </c>
      <c r="I22" s="358">
        <v>0</v>
      </c>
    </row>
    <row r="23" spans="2:9" x14ac:dyDescent="0.2">
      <c r="B23" s="314" t="s">
        <v>38</v>
      </c>
      <c r="C23" s="357">
        <v>1</v>
      </c>
      <c r="D23" s="358">
        <v>0</v>
      </c>
      <c r="E23" s="358">
        <v>0</v>
      </c>
      <c r="F23" s="358">
        <v>0</v>
      </c>
      <c r="G23" s="358">
        <v>1</v>
      </c>
      <c r="H23" s="358">
        <v>0</v>
      </c>
      <c r="I23" s="358">
        <v>1</v>
      </c>
    </row>
    <row r="24" spans="2:9" x14ac:dyDescent="0.2">
      <c r="B24" s="314" t="s">
        <v>12</v>
      </c>
      <c r="C24" s="357">
        <v>0.1</v>
      </c>
      <c r="D24" s="358">
        <v>0</v>
      </c>
      <c r="E24" s="358">
        <v>0</v>
      </c>
      <c r="F24" s="358">
        <v>0</v>
      </c>
      <c r="G24" s="358">
        <v>0</v>
      </c>
      <c r="H24" s="358">
        <v>0</v>
      </c>
      <c r="I24" s="358">
        <v>0</v>
      </c>
    </row>
    <row r="25" spans="2:9" x14ac:dyDescent="0.2">
      <c r="B25" s="314" t="s">
        <v>44</v>
      </c>
      <c r="C25" s="357">
        <v>0.2</v>
      </c>
      <c r="D25" s="358">
        <v>0</v>
      </c>
      <c r="E25" s="358">
        <v>0</v>
      </c>
      <c r="F25" s="358">
        <v>0</v>
      </c>
      <c r="G25" s="358">
        <v>0</v>
      </c>
      <c r="H25" s="358">
        <v>0</v>
      </c>
      <c r="I25" s="358">
        <v>0</v>
      </c>
    </row>
    <row r="26" spans="2:9" x14ac:dyDescent="0.2">
      <c r="B26" s="314" t="s">
        <v>18</v>
      </c>
      <c r="C26" s="357">
        <v>0</v>
      </c>
      <c r="D26" s="358">
        <v>0</v>
      </c>
      <c r="E26" s="358">
        <v>0</v>
      </c>
      <c r="F26" s="358">
        <v>0</v>
      </c>
      <c r="G26" s="358">
        <v>0</v>
      </c>
      <c r="H26" s="358">
        <v>0</v>
      </c>
      <c r="I26" s="358">
        <v>0</v>
      </c>
    </row>
    <row r="27" spans="2:9" x14ac:dyDescent="0.2">
      <c r="B27" s="356" t="s">
        <v>596</v>
      </c>
      <c r="C27" s="357">
        <v>1</v>
      </c>
      <c r="D27" s="358">
        <v>0</v>
      </c>
      <c r="E27" s="358">
        <v>0</v>
      </c>
      <c r="F27" s="358">
        <v>1</v>
      </c>
      <c r="G27" s="358">
        <v>1</v>
      </c>
      <c r="H27" s="358">
        <v>0</v>
      </c>
      <c r="I27" s="358">
        <v>0</v>
      </c>
    </row>
    <row r="28" spans="2:9" x14ac:dyDescent="0.2">
      <c r="B28" s="356" t="s">
        <v>43</v>
      </c>
      <c r="C28" s="357">
        <v>9</v>
      </c>
      <c r="D28" s="358">
        <v>0</v>
      </c>
      <c r="E28" s="358">
        <v>0</v>
      </c>
      <c r="F28" s="358">
        <v>1</v>
      </c>
      <c r="G28" s="358">
        <v>1</v>
      </c>
      <c r="H28" s="358">
        <v>0</v>
      </c>
      <c r="I28" s="358">
        <v>0</v>
      </c>
    </row>
    <row r="29" spans="2:9" x14ac:dyDescent="0.2">
      <c r="B29" s="314" t="s">
        <v>27</v>
      </c>
      <c r="C29" s="357">
        <v>5</v>
      </c>
      <c r="D29" s="358">
        <v>0</v>
      </c>
      <c r="E29" s="358">
        <v>0</v>
      </c>
      <c r="F29" s="358">
        <v>1</v>
      </c>
      <c r="G29" s="358">
        <v>1</v>
      </c>
      <c r="H29" s="358">
        <v>0</v>
      </c>
      <c r="I29" s="358">
        <v>0</v>
      </c>
    </row>
    <row r="30" spans="2:9" x14ac:dyDescent="0.2">
      <c r="B30" s="356" t="s">
        <v>22</v>
      </c>
      <c r="C30" s="357">
        <v>5</v>
      </c>
      <c r="D30" s="358">
        <v>0</v>
      </c>
      <c r="E30" s="358">
        <v>0</v>
      </c>
      <c r="F30" s="358">
        <v>0</v>
      </c>
      <c r="G30" s="358">
        <v>0</v>
      </c>
      <c r="H30" s="358">
        <v>0</v>
      </c>
      <c r="I30" s="358">
        <v>0</v>
      </c>
    </row>
    <row r="31" spans="2:9" x14ac:dyDescent="0.2">
      <c r="B31" s="356" t="s">
        <v>35</v>
      </c>
      <c r="C31" s="357">
        <v>2.5</v>
      </c>
      <c r="D31" s="358">
        <v>0</v>
      </c>
      <c r="E31" s="358">
        <v>0</v>
      </c>
      <c r="F31" s="358">
        <v>0</v>
      </c>
      <c r="G31" s="358">
        <v>0</v>
      </c>
      <c r="H31" s="358">
        <v>0</v>
      </c>
      <c r="I31" s="358">
        <v>0</v>
      </c>
    </row>
    <row r="32" spans="2:9" x14ac:dyDescent="0.2">
      <c r="B32" s="356" t="s">
        <v>25</v>
      </c>
      <c r="C32" s="357">
        <v>2</v>
      </c>
      <c r="D32" s="358">
        <v>0</v>
      </c>
      <c r="E32" s="358">
        <v>0</v>
      </c>
      <c r="F32" s="358">
        <v>0</v>
      </c>
      <c r="G32" s="358">
        <v>0</v>
      </c>
      <c r="H32" s="358">
        <v>0</v>
      </c>
      <c r="I32" s="358">
        <v>0</v>
      </c>
    </row>
    <row r="34" spans="2:10" ht="41.25" customHeight="1" x14ac:dyDescent="0.2">
      <c r="B34" s="584" t="s">
        <v>595</v>
      </c>
      <c r="C34" s="584"/>
      <c r="D34" s="583" t="s">
        <v>1105</v>
      </c>
      <c r="E34" s="583"/>
      <c r="F34" s="583"/>
      <c r="G34" s="583"/>
      <c r="H34" s="583"/>
      <c r="I34" s="583"/>
    </row>
    <row r="35" spans="2:10" x14ac:dyDescent="0.2">
      <c r="B35" s="320" t="s">
        <v>594</v>
      </c>
      <c r="C35" s="320" t="s">
        <v>593</v>
      </c>
      <c r="D35" s="320" t="s">
        <v>549</v>
      </c>
      <c r="E35" s="320" t="s">
        <v>548</v>
      </c>
      <c r="F35" s="320" t="s">
        <v>547</v>
      </c>
      <c r="G35" s="320" t="s">
        <v>546</v>
      </c>
      <c r="H35" s="320" t="s">
        <v>545</v>
      </c>
      <c r="I35" s="320" t="s">
        <v>544</v>
      </c>
    </row>
    <row r="36" spans="2:10" x14ac:dyDescent="0.2">
      <c r="B36" s="314" t="s">
        <v>592</v>
      </c>
      <c r="C36" s="357">
        <v>6</v>
      </c>
      <c r="D36" s="358">
        <v>1</v>
      </c>
      <c r="E36" s="358">
        <v>1</v>
      </c>
      <c r="F36" s="358">
        <v>0</v>
      </c>
      <c r="G36" s="358">
        <v>1</v>
      </c>
      <c r="H36" s="358">
        <v>1</v>
      </c>
      <c r="I36" s="358">
        <v>0</v>
      </c>
    </row>
    <row r="37" spans="2:10" x14ac:dyDescent="0.2">
      <c r="B37" s="314" t="s">
        <v>591</v>
      </c>
      <c r="C37" s="357">
        <v>4</v>
      </c>
      <c r="D37" s="358">
        <v>1</v>
      </c>
      <c r="E37" s="358">
        <v>1</v>
      </c>
      <c r="F37" s="358">
        <v>0</v>
      </c>
      <c r="G37" s="358">
        <v>1</v>
      </c>
      <c r="H37" s="358">
        <v>1</v>
      </c>
      <c r="I37" s="358">
        <v>0</v>
      </c>
    </row>
    <row r="38" spans="2:10" x14ac:dyDescent="0.2">
      <c r="B38" s="314" t="s">
        <v>590</v>
      </c>
      <c r="C38" s="357">
        <v>3</v>
      </c>
      <c r="D38" s="358">
        <v>1</v>
      </c>
      <c r="E38" s="358">
        <v>1</v>
      </c>
      <c r="F38" s="358">
        <v>0</v>
      </c>
      <c r="G38" s="358">
        <v>1</v>
      </c>
      <c r="H38" s="358">
        <v>1</v>
      </c>
      <c r="I38" s="358">
        <v>0</v>
      </c>
    </row>
    <row r="39" spans="2:10" x14ac:dyDescent="0.2">
      <c r="B39" s="314" t="s">
        <v>589</v>
      </c>
      <c r="C39" s="357">
        <v>2.5</v>
      </c>
      <c r="D39" s="358">
        <v>1</v>
      </c>
      <c r="E39" s="358">
        <v>1</v>
      </c>
      <c r="F39" s="358">
        <v>0</v>
      </c>
      <c r="G39" s="358">
        <v>1</v>
      </c>
      <c r="H39" s="358">
        <v>1</v>
      </c>
      <c r="I39" s="358">
        <v>0</v>
      </c>
    </row>
    <row r="40" spans="2:10" x14ac:dyDescent="0.2">
      <c r="B40" s="314" t="s">
        <v>19</v>
      </c>
      <c r="C40" s="357">
        <v>1.5</v>
      </c>
      <c r="D40" s="358">
        <v>1</v>
      </c>
      <c r="E40" s="358">
        <v>1</v>
      </c>
      <c r="F40" s="358">
        <v>0</v>
      </c>
      <c r="G40" s="358">
        <v>1</v>
      </c>
      <c r="H40" s="358">
        <v>1</v>
      </c>
      <c r="I40" s="358">
        <v>0</v>
      </c>
    </row>
    <row r="41" spans="2:10" x14ac:dyDescent="0.2">
      <c r="B41" s="314" t="s">
        <v>14</v>
      </c>
      <c r="C41" s="357">
        <v>0.5</v>
      </c>
      <c r="D41" s="358">
        <v>0</v>
      </c>
      <c r="E41" s="358">
        <v>0</v>
      </c>
      <c r="F41" s="358">
        <v>0</v>
      </c>
      <c r="G41" s="358">
        <v>0</v>
      </c>
      <c r="H41" s="358">
        <v>0</v>
      </c>
      <c r="I41" s="358">
        <v>0</v>
      </c>
    </row>
    <row r="42" spans="2:10" x14ac:dyDescent="0.2">
      <c r="B42" s="314" t="s">
        <v>588</v>
      </c>
      <c r="C42" s="357">
        <v>0.2</v>
      </c>
      <c r="D42" s="358">
        <v>0</v>
      </c>
      <c r="E42" s="358">
        <v>0</v>
      </c>
      <c r="F42" s="358">
        <v>0</v>
      </c>
      <c r="G42" s="358">
        <v>0</v>
      </c>
      <c r="H42" s="358">
        <v>0</v>
      </c>
      <c r="I42" s="358">
        <v>0</v>
      </c>
    </row>
    <row r="43" spans="2:10" x14ac:dyDescent="0.2">
      <c r="B43" s="314" t="s">
        <v>34</v>
      </c>
      <c r="C43" s="357">
        <v>0.2</v>
      </c>
      <c r="D43" s="358">
        <v>0</v>
      </c>
      <c r="E43" s="358">
        <v>0</v>
      </c>
      <c r="F43" s="358">
        <v>0</v>
      </c>
      <c r="G43" s="358">
        <v>0</v>
      </c>
      <c r="H43" s="358">
        <v>0</v>
      </c>
      <c r="I43" s="358">
        <v>0</v>
      </c>
    </row>
    <row r="44" spans="2:10" x14ac:dyDescent="0.2">
      <c r="B44" s="314" t="s">
        <v>587</v>
      </c>
      <c r="C44" s="357">
        <v>0.5</v>
      </c>
      <c r="D44" s="358">
        <v>0</v>
      </c>
      <c r="E44" s="358">
        <v>0</v>
      </c>
      <c r="F44" s="358">
        <v>0</v>
      </c>
      <c r="G44" s="358">
        <v>0</v>
      </c>
      <c r="H44" s="358">
        <v>0</v>
      </c>
      <c r="I44" s="358">
        <v>0</v>
      </c>
    </row>
    <row r="45" spans="2:10" x14ac:dyDescent="0.2">
      <c r="B45" s="314" t="s">
        <v>25</v>
      </c>
      <c r="C45" s="357">
        <v>2</v>
      </c>
      <c r="D45" s="358">
        <v>0</v>
      </c>
      <c r="E45" s="358">
        <v>0</v>
      </c>
      <c r="F45" s="358">
        <v>0</v>
      </c>
      <c r="G45" s="358">
        <v>0</v>
      </c>
      <c r="H45" s="358">
        <v>0</v>
      </c>
      <c r="I45" s="358">
        <v>0</v>
      </c>
    </row>
    <row r="47" spans="2:10" ht="27" customHeight="1" x14ac:dyDescent="0.2">
      <c r="B47" s="603" t="s">
        <v>586</v>
      </c>
      <c r="C47" s="603"/>
      <c r="D47" s="398"/>
      <c r="E47" s="583" t="s">
        <v>1106</v>
      </c>
      <c r="F47" s="583"/>
      <c r="G47" s="583"/>
      <c r="H47" s="583"/>
      <c r="I47" s="332"/>
      <c r="J47" s="398"/>
    </row>
    <row r="48" spans="2:10" ht="51" x14ac:dyDescent="0.2">
      <c r="B48" s="320" t="s">
        <v>585</v>
      </c>
      <c r="C48" s="320" t="s">
        <v>1107</v>
      </c>
      <c r="D48" s="320" t="s">
        <v>50</v>
      </c>
      <c r="E48" s="320" t="s">
        <v>584</v>
      </c>
      <c r="F48" s="320" t="s">
        <v>583</v>
      </c>
      <c r="G48" s="320" t="s">
        <v>582</v>
      </c>
      <c r="H48" s="320" t="s">
        <v>581</v>
      </c>
      <c r="I48" s="320" t="s">
        <v>1108</v>
      </c>
      <c r="J48" s="339" t="s">
        <v>880</v>
      </c>
    </row>
    <row r="49" spans="2:10" x14ac:dyDescent="0.2">
      <c r="B49" s="331" t="s">
        <v>24</v>
      </c>
      <c r="C49" s="314">
        <v>6</v>
      </c>
      <c r="D49" s="314" t="s">
        <v>573</v>
      </c>
      <c r="E49" s="359">
        <v>1</v>
      </c>
      <c r="F49" s="359">
        <v>1</v>
      </c>
      <c r="G49" s="359">
        <v>1</v>
      </c>
      <c r="H49" s="359"/>
      <c r="I49" s="359">
        <v>1</v>
      </c>
      <c r="J49" s="311">
        <f t="shared" ref="J49:J69" si="0">SUM(E49:H49)</f>
        <v>3</v>
      </c>
    </row>
    <row r="50" spans="2:10" x14ac:dyDescent="0.2">
      <c r="B50" s="331" t="s">
        <v>32</v>
      </c>
      <c r="C50" s="314">
        <v>8</v>
      </c>
      <c r="D50" s="314" t="s">
        <v>573</v>
      </c>
      <c r="E50" s="359">
        <v>1</v>
      </c>
      <c r="F50" s="359">
        <v>1</v>
      </c>
      <c r="G50" s="359">
        <v>1</v>
      </c>
      <c r="H50" s="359"/>
      <c r="I50" s="359">
        <v>1</v>
      </c>
      <c r="J50" s="311">
        <f t="shared" si="0"/>
        <v>3</v>
      </c>
    </row>
    <row r="51" spans="2:10" x14ac:dyDescent="0.2">
      <c r="B51" s="331" t="s">
        <v>41</v>
      </c>
      <c r="C51" s="314">
        <v>10</v>
      </c>
      <c r="D51" s="314" t="s">
        <v>573</v>
      </c>
      <c r="E51" s="359">
        <v>1</v>
      </c>
      <c r="F51" s="359">
        <v>1</v>
      </c>
      <c r="G51" s="359">
        <v>1</v>
      </c>
      <c r="H51" s="359"/>
      <c r="I51" s="359">
        <v>1</v>
      </c>
      <c r="J51" s="311">
        <f t="shared" si="0"/>
        <v>3</v>
      </c>
    </row>
    <row r="52" spans="2:10" x14ac:dyDescent="0.2">
      <c r="B52" s="331" t="s">
        <v>16</v>
      </c>
      <c r="C52" s="314">
        <v>4</v>
      </c>
      <c r="D52" s="314" t="s">
        <v>573</v>
      </c>
      <c r="E52" s="359">
        <v>1</v>
      </c>
      <c r="F52" s="359">
        <v>1</v>
      </c>
      <c r="G52" s="359">
        <v>1</v>
      </c>
      <c r="H52" s="359"/>
      <c r="I52" s="359"/>
      <c r="J52" s="311">
        <f t="shared" si="0"/>
        <v>3</v>
      </c>
    </row>
    <row r="53" spans="2:10" x14ac:dyDescent="0.2">
      <c r="B53" s="331" t="s">
        <v>31</v>
      </c>
      <c r="C53" s="314">
        <v>6</v>
      </c>
      <c r="D53" s="314" t="s">
        <v>573</v>
      </c>
      <c r="E53" s="359">
        <v>1</v>
      </c>
      <c r="F53" s="359">
        <v>1</v>
      </c>
      <c r="G53" s="359">
        <v>1</v>
      </c>
      <c r="H53" s="359"/>
      <c r="I53" s="359"/>
      <c r="J53" s="311">
        <f t="shared" si="0"/>
        <v>3</v>
      </c>
    </row>
    <row r="54" spans="2:10" x14ac:dyDescent="0.2">
      <c r="B54" s="360" t="s">
        <v>304</v>
      </c>
      <c r="C54" s="314">
        <v>4</v>
      </c>
      <c r="D54" s="314" t="s">
        <v>681</v>
      </c>
      <c r="E54" s="359">
        <v>1</v>
      </c>
      <c r="F54" s="359"/>
      <c r="G54" s="359"/>
      <c r="H54" s="359"/>
      <c r="I54" s="359">
        <v>1</v>
      </c>
      <c r="J54" s="311">
        <f t="shared" si="0"/>
        <v>1</v>
      </c>
    </row>
    <row r="55" spans="2:10" x14ac:dyDescent="0.2">
      <c r="B55" s="314" t="s">
        <v>21</v>
      </c>
      <c r="C55" s="314">
        <v>6</v>
      </c>
      <c r="D55" s="314" t="s">
        <v>681</v>
      </c>
      <c r="E55" s="359">
        <v>1</v>
      </c>
      <c r="F55" s="359"/>
      <c r="G55" s="359"/>
      <c r="H55" s="359"/>
      <c r="I55" s="359"/>
      <c r="J55" s="311">
        <f t="shared" si="0"/>
        <v>1</v>
      </c>
    </row>
    <row r="56" spans="2:10" x14ac:dyDescent="0.2">
      <c r="B56" s="331" t="s">
        <v>17</v>
      </c>
      <c r="C56" s="314">
        <v>6</v>
      </c>
      <c r="D56" s="314" t="s">
        <v>571</v>
      </c>
      <c r="E56" s="359">
        <v>1</v>
      </c>
      <c r="F56" s="359">
        <v>1</v>
      </c>
      <c r="G56" s="359">
        <v>1</v>
      </c>
      <c r="H56" s="359"/>
      <c r="I56" s="359"/>
      <c r="J56" s="311">
        <f t="shared" si="0"/>
        <v>3</v>
      </c>
    </row>
    <row r="57" spans="2:10" x14ac:dyDescent="0.2">
      <c r="B57" s="331" t="s">
        <v>39</v>
      </c>
      <c r="C57" s="314">
        <v>10</v>
      </c>
      <c r="D57" s="314" t="s">
        <v>571</v>
      </c>
      <c r="E57" s="359">
        <v>1</v>
      </c>
      <c r="F57" s="359">
        <v>1</v>
      </c>
      <c r="G57" s="359">
        <v>1</v>
      </c>
      <c r="H57" s="359"/>
      <c r="I57" s="359"/>
      <c r="J57" s="311">
        <f t="shared" si="0"/>
        <v>3</v>
      </c>
    </row>
    <row r="58" spans="2:10" x14ac:dyDescent="0.2">
      <c r="B58" s="360" t="s">
        <v>177</v>
      </c>
      <c r="C58" s="314">
        <v>2</v>
      </c>
      <c r="D58" s="314" t="s">
        <v>569</v>
      </c>
      <c r="E58" s="359">
        <v>1</v>
      </c>
      <c r="F58" s="359"/>
      <c r="G58" s="359"/>
      <c r="H58" s="359"/>
      <c r="I58" s="359">
        <v>1</v>
      </c>
      <c r="J58" s="311">
        <f t="shared" si="0"/>
        <v>1</v>
      </c>
    </row>
    <row r="59" spans="2:10" x14ac:dyDescent="0.2">
      <c r="B59" s="331" t="s">
        <v>26</v>
      </c>
      <c r="C59" s="314">
        <v>6</v>
      </c>
      <c r="D59" s="314" t="s">
        <v>572</v>
      </c>
      <c r="E59" s="359">
        <v>1</v>
      </c>
      <c r="F59" s="359">
        <v>1</v>
      </c>
      <c r="G59" s="359"/>
      <c r="H59" s="359">
        <v>1</v>
      </c>
      <c r="I59" s="359">
        <v>1</v>
      </c>
      <c r="J59" s="311">
        <f t="shared" si="0"/>
        <v>3</v>
      </c>
    </row>
    <row r="60" spans="2:10" x14ac:dyDescent="0.2">
      <c r="B60" s="331" t="s">
        <v>740</v>
      </c>
      <c r="C60" s="314">
        <v>4</v>
      </c>
      <c r="D60" s="314" t="s">
        <v>572</v>
      </c>
      <c r="E60" s="359">
        <v>1</v>
      </c>
      <c r="F60" s="359">
        <v>1</v>
      </c>
      <c r="G60" s="359"/>
      <c r="H60" s="359">
        <v>1</v>
      </c>
      <c r="I60" s="359">
        <v>1</v>
      </c>
      <c r="J60" s="311">
        <f t="shared" si="0"/>
        <v>3</v>
      </c>
    </row>
    <row r="61" spans="2:10" x14ac:dyDescent="0.2">
      <c r="B61" s="331" t="s">
        <v>1143</v>
      </c>
      <c r="C61" s="314">
        <v>4</v>
      </c>
      <c r="D61" s="314" t="s">
        <v>570</v>
      </c>
      <c r="E61" s="359">
        <v>1</v>
      </c>
      <c r="F61" s="359">
        <v>1</v>
      </c>
      <c r="G61" s="359"/>
      <c r="H61" s="359"/>
      <c r="I61" s="359">
        <v>1</v>
      </c>
      <c r="J61" s="311">
        <f t="shared" si="0"/>
        <v>2</v>
      </c>
    </row>
    <row r="62" spans="2:10" x14ac:dyDescent="0.2">
      <c r="B62" s="331" t="s">
        <v>1144</v>
      </c>
      <c r="C62" s="314">
        <v>4</v>
      </c>
      <c r="D62" s="314" t="s">
        <v>570</v>
      </c>
      <c r="E62" s="359">
        <v>1</v>
      </c>
      <c r="F62" s="359">
        <v>1</v>
      </c>
      <c r="G62" s="359"/>
      <c r="H62" s="359"/>
      <c r="I62" s="359">
        <v>1</v>
      </c>
      <c r="J62" s="311">
        <f t="shared" si="0"/>
        <v>2</v>
      </c>
    </row>
    <row r="63" spans="2:10" x14ac:dyDescent="0.2">
      <c r="B63" s="331" t="s">
        <v>580</v>
      </c>
      <c r="C63" s="314">
        <v>6</v>
      </c>
      <c r="D63" s="314" t="s">
        <v>681</v>
      </c>
      <c r="E63" s="359">
        <v>1</v>
      </c>
      <c r="F63" s="359"/>
      <c r="G63" s="359"/>
      <c r="H63" s="359"/>
      <c r="I63" s="359">
        <v>1</v>
      </c>
      <c r="J63" s="311">
        <f t="shared" si="0"/>
        <v>1</v>
      </c>
    </row>
    <row r="64" spans="2:10" x14ac:dyDescent="0.2">
      <c r="B64" s="331" t="s">
        <v>579</v>
      </c>
      <c r="C64" s="314">
        <v>4</v>
      </c>
      <c r="D64" s="314" t="s">
        <v>681</v>
      </c>
      <c r="E64" s="359">
        <v>1</v>
      </c>
      <c r="F64" s="359"/>
      <c r="G64" s="359"/>
      <c r="H64" s="359"/>
      <c r="I64" s="359">
        <v>1</v>
      </c>
      <c r="J64" s="311">
        <f t="shared" si="0"/>
        <v>1</v>
      </c>
    </row>
    <row r="65" spans="2:10" x14ac:dyDescent="0.2">
      <c r="B65" s="331" t="s">
        <v>36</v>
      </c>
      <c r="C65" s="314">
        <v>6</v>
      </c>
      <c r="D65" s="314" t="s">
        <v>568</v>
      </c>
      <c r="E65" s="359">
        <v>1</v>
      </c>
      <c r="F65" s="359">
        <v>1</v>
      </c>
      <c r="G65" s="359">
        <v>1</v>
      </c>
      <c r="H65" s="359"/>
      <c r="I65" s="359">
        <v>1</v>
      </c>
      <c r="J65" s="311">
        <f t="shared" si="0"/>
        <v>3</v>
      </c>
    </row>
    <row r="66" spans="2:10" x14ac:dyDescent="0.2">
      <c r="B66" s="331" t="s">
        <v>29</v>
      </c>
      <c r="C66" s="314">
        <v>4</v>
      </c>
      <c r="D66" s="314" t="s">
        <v>681</v>
      </c>
      <c r="E66" s="359">
        <v>1</v>
      </c>
      <c r="F66" s="359"/>
      <c r="G66" s="359"/>
      <c r="H66" s="359"/>
      <c r="I66" s="359"/>
      <c r="J66" s="311">
        <f t="shared" si="0"/>
        <v>1</v>
      </c>
    </row>
    <row r="67" spans="2:10" x14ac:dyDescent="0.2">
      <c r="B67" s="331" t="s">
        <v>578</v>
      </c>
      <c r="C67" s="314">
        <v>4</v>
      </c>
      <c r="D67" s="314" t="s">
        <v>681</v>
      </c>
      <c r="E67" s="359">
        <v>1</v>
      </c>
      <c r="F67" s="359"/>
      <c r="G67" s="359"/>
      <c r="H67" s="359"/>
      <c r="I67" s="359"/>
      <c r="J67" s="311">
        <f t="shared" si="0"/>
        <v>1</v>
      </c>
    </row>
    <row r="68" spans="2:10" x14ac:dyDescent="0.2">
      <c r="B68" s="331" t="s">
        <v>577</v>
      </c>
      <c r="C68" s="314">
        <v>10</v>
      </c>
      <c r="D68" s="314" t="s">
        <v>568</v>
      </c>
      <c r="E68" s="359">
        <v>1</v>
      </c>
      <c r="F68" s="359">
        <v>1</v>
      </c>
      <c r="G68" s="359">
        <v>1</v>
      </c>
      <c r="H68" s="359"/>
      <c r="I68" s="359">
        <v>1</v>
      </c>
      <c r="J68" s="311">
        <f t="shared" si="0"/>
        <v>3</v>
      </c>
    </row>
    <row r="69" spans="2:10" x14ac:dyDescent="0.2">
      <c r="B69" s="331" t="s">
        <v>37</v>
      </c>
      <c r="C69" s="314">
        <v>10</v>
      </c>
      <c r="D69" s="314" t="s">
        <v>568</v>
      </c>
      <c r="E69" s="359">
        <v>1</v>
      </c>
      <c r="F69" s="359">
        <v>1</v>
      </c>
      <c r="G69" s="359">
        <v>1</v>
      </c>
      <c r="H69" s="359"/>
      <c r="I69" s="359">
        <v>1</v>
      </c>
      <c r="J69" s="311">
        <f t="shared" si="0"/>
        <v>3</v>
      </c>
    </row>
    <row r="71" spans="2:10" x14ac:dyDescent="0.2">
      <c r="B71" s="604" t="s">
        <v>576</v>
      </c>
      <c r="C71" s="604" t="s">
        <v>575</v>
      </c>
      <c r="D71" s="604"/>
      <c r="E71" s="604"/>
    </row>
    <row r="72" spans="2:10" x14ac:dyDescent="0.2">
      <c r="B72" s="604"/>
      <c r="C72" s="361" t="s">
        <v>187</v>
      </c>
      <c r="D72" s="361" t="s">
        <v>574</v>
      </c>
      <c r="E72" s="361" t="s">
        <v>1118</v>
      </c>
    </row>
    <row r="73" spans="2:10" x14ac:dyDescent="0.2">
      <c r="B73" s="362" t="s">
        <v>573</v>
      </c>
      <c r="C73" s="363">
        <v>0.2</v>
      </c>
      <c r="D73" s="363">
        <v>0.3</v>
      </c>
      <c r="E73" s="363">
        <v>1</v>
      </c>
    </row>
    <row r="74" spans="2:10" x14ac:dyDescent="0.2">
      <c r="B74" s="362" t="s">
        <v>572</v>
      </c>
      <c r="C74" s="363">
        <v>0.1</v>
      </c>
      <c r="D74" s="363">
        <v>0.25</v>
      </c>
      <c r="E74" s="363">
        <v>0.1</v>
      </c>
    </row>
    <row r="75" spans="2:10" x14ac:dyDescent="0.2">
      <c r="B75" s="362" t="s">
        <v>571</v>
      </c>
      <c r="C75" s="363">
        <v>0</v>
      </c>
      <c r="D75" s="363">
        <v>0.1</v>
      </c>
      <c r="E75" s="363">
        <v>0.5</v>
      </c>
    </row>
    <row r="76" spans="2:10" x14ac:dyDescent="0.2">
      <c r="B76" s="362" t="s">
        <v>570</v>
      </c>
      <c r="C76" s="363">
        <v>1</v>
      </c>
      <c r="D76" s="363">
        <v>1</v>
      </c>
      <c r="E76" s="363">
        <v>1</v>
      </c>
    </row>
    <row r="77" spans="2:10" x14ac:dyDescent="0.2">
      <c r="B77" s="362" t="s">
        <v>569</v>
      </c>
      <c r="C77" s="363">
        <v>0.6</v>
      </c>
      <c r="D77" s="363">
        <v>0.6</v>
      </c>
      <c r="E77" s="363">
        <v>0.5</v>
      </c>
    </row>
    <row r="78" spans="2:10" x14ac:dyDescent="0.2">
      <c r="B78" s="362" t="s">
        <v>568</v>
      </c>
      <c r="C78" s="363">
        <v>0.5</v>
      </c>
      <c r="D78" s="363">
        <v>0.5</v>
      </c>
      <c r="E78" s="363">
        <v>1</v>
      </c>
    </row>
    <row r="79" spans="2:10" x14ac:dyDescent="0.2">
      <c r="B79" s="362" t="s">
        <v>681</v>
      </c>
      <c r="C79" s="363">
        <v>0</v>
      </c>
      <c r="D79" s="363">
        <v>0</v>
      </c>
      <c r="E79" s="363">
        <v>0.5</v>
      </c>
    </row>
    <row r="89" ht="12" customHeight="1" x14ac:dyDescent="0.2"/>
  </sheetData>
  <mergeCells count="11">
    <mergeCell ref="D14:I14"/>
    <mergeCell ref="D34:I34"/>
    <mergeCell ref="B47:C47"/>
    <mergeCell ref="E47:H47"/>
    <mergeCell ref="B71:B72"/>
    <mergeCell ref="C71:E71"/>
    <mergeCell ref="B3:C3"/>
    <mergeCell ref="B2:C2"/>
    <mergeCell ref="B8:C8"/>
    <mergeCell ref="B14:C14"/>
    <mergeCell ref="B34:C34"/>
  </mergeCells>
  <pageMargins left="0.70866141732283472" right="0.70866141732283472" top="0.74803149606299213" bottom="0.74803149606299213" header="0.31496062992125984" footer="0.31496062992125984"/>
  <pageSetup paperSize="8" scale="10" fitToHeight="0" orientation="landscape" r:id="rId1"/>
  <headerFooter>
    <oddHeader>&amp;LStructures Asset Management Planning Toolkit</oddHeader>
    <oddFooter>&amp;L&amp;A&amp;R&amp;P of &amp;N</oddFooter>
  </headerFooter>
  <rowBreaks count="1" manualBreakCount="1">
    <brk id="46" max="16383"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_Ref11ii">
    <tabColor rgb="FFFFFF85"/>
  </sheetPr>
  <dimension ref="A1:W38"/>
  <sheetViews>
    <sheetView showGridLines="0" zoomScale="70" zoomScaleNormal="70" workbookViewId="0">
      <selection activeCell="B5" sqref="B5"/>
    </sheetView>
  </sheetViews>
  <sheetFormatPr defaultColWidth="9.140625" defaultRowHeight="12.75" customHeight="1" x14ac:dyDescent="0.2"/>
  <cols>
    <col min="1" max="1" width="3.28515625" style="19" customWidth="1"/>
    <col min="2" max="2" width="3.140625" style="19" bestFit="1" customWidth="1"/>
    <col min="3" max="23" width="32.5703125" style="19" customWidth="1"/>
    <col min="24" max="16384" width="9.140625" style="19"/>
  </cols>
  <sheetData>
    <row r="1" spans="1:23" ht="13.9" customHeight="1" x14ac:dyDescent="0.2">
      <c r="C1" s="580" t="s">
        <v>1109</v>
      </c>
      <c r="D1" s="580"/>
      <c r="E1" s="580"/>
      <c r="F1" s="580"/>
      <c r="G1" s="580"/>
      <c r="H1" s="580"/>
      <c r="I1" s="580"/>
      <c r="J1" s="580"/>
      <c r="K1" s="580"/>
      <c r="L1" s="580"/>
      <c r="M1" s="580"/>
      <c r="N1" s="580"/>
      <c r="O1" s="580"/>
      <c r="P1" s="580"/>
      <c r="Q1" s="580"/>
      <c r="R1" s="580"/>
      <c r="S1" s="580"/>
      <c r="T1" s="580"/>
      <c r="U1" s="580"/>
      <c r="V1" s="580"/>
      <c r="W1" s="580"/>
    </row>
    <row r="2" spans="1:23" ht="38.25" x14ac:dyDescent="0.2">
      <c r="C2" s="320" t="s">
        <v>24</v>
      </c>
      <c r="D2" s="320" t="s">
        <v>32</v>
      </c>
      <c r="E2" s="320" t="s">
        <v>41</v>
      </c>
      <c r="F2" s="320" t="s">
        <v>16</v>
      </c>
      <c r="G2" s="320" t="s">
        <v>31</v>
      </c>
      <c r="H2" s="320" t="s">
        <v>304</v>
      </c>
      <c r="I2" s="320" t="s">
        <v>21</v>
      </c>
      <c r="J2" s="320" t="s">
        <v>17</v>
      </c>
      <c r="K2" s="320" t="s">
        <v>39</v>
      </c>
      <c r="L2" s="320" t="s">
        <v>177</v>
      </c>
      <c r="M2" s="320" t="s">
        <v>26</v>
      </c>
      <c r="N2" s="320" t="s">
        <v>740</v>
      </c>
      <c r="O2" s="320" t="s">
        <v>1143</v>
      </c>
      <c r="P2" s="320" t="s">
        <v>1144</v>
      </c>
      <c r="Q2" s="320" t="s">
        <v>580</v>
      </c>
      <c r="R2" s="320" t="s">
        <v>579</v>
      </c>
      <c r="S2" s="320" t="s">
        <v>36</v>
      </c>
      <c r="T2" s="320" t="s">
        <v>29</v>
      </c>
      <c r="U2" s="320" t="s">
        <v>578</v>
      </c>
      <c r="V2" s="320" t="s">
        <v>577</v>
      </c>
      <c r="W2" s="320" t="s">
        <v>37</v>
      </c>
    </row>
    <row r="3" spans="1:23" ht="12.75" customHeight="1" x14ac:dyDescent="0.2">
      <c r="A3" s="605" t="s">
        <v>612</v>
      </c>
      <c r="B3" s="364">
        <v>1</v>
      </c>
      <c r="C3" s="311" t="s">
        <v>88</v>
      </c>
      <c r="D3" s="311" t="s">
        <v>88</v>
      </c>
      <c r="E3" s="311" t="s">
        <v>88</v>
      </c>
      <c r="F3" s="311" t="s">
        <v>88</v>
      </c>
      <c r="G3" s="311" t="s">
        <v>88</v>
      </c>
      <c r="H3" s="311" t="s">
        <v>721</v>
      </c>
      <c r="I3" s="311" t="s">
        <v>88</v>
      </c>
      <c r="J3" s="311" t="s">
        <v>88</v>
      </c>
      <c r="K3" s="311" t="s">
        <v>88</v>
      </c>
      <c r="L3" s="311" t="s">
        <v>721</v>
      </c>
      <c r="M3" s="311" t="s">
        <v>108</v>
      </c>
      <c r="N3" s="311" t="s">
        <v>108</v>
      </c>
      <c r="O3" s="311" t="s">
        <v>721</v>
      </c>
      <c r="P3" s="311" t="s">
        <v>721</v>
      </c>
      <c r="Q3" s="311" t="s">
        <v>108</v>
      </c>
      <c r="R3" s="311" t="s">
        <v>108</v>
      </c>
      <c r="S3" s="311" t="s">
        <v>88</v>
      </c>
      <c r="T3" s="311" t="s">
        <v>88</v>
      </c>
      <c r="U3" s="311" t="s">
        <v>88</v>
      </c>
      <c r="V3" s="311" t="s">
        <v>88</v>
      </c>
      <c r="W3" s="311" t="s">
        <v>88</v>
      </c>
    </row>
    <row r="4" spans="1:23" x14ac:dyDescent="0.2">
      <c r="A4" s="605"/>
      <c r="B4" s="364">
        <v>2</v>
      </c>
      <c r="C4" s="311" t="s">
        <v>117</v>
      </c>
      <c r="D4" s="311" t="s">
        <v>117</v>
      </c>
      <c r="E4" s="311" t="s">
        <v>117</v>
      </c>
      <c r="F4" s="311" t="s">
        <v>117</v>
      </c>
      <c r="G4" s="311" t="s">
        <v>117</v>
      </c>
      <c r="H4" s="311" t="s">
        <v>149</v>
      </c>
      <c r="I4" s="311" t="s">
        <v>117</v>
      </c>
      <c r="J4" s="311" t="s">
        <v>117</v>
      </c>
      <c r="K4" s="311" t="s">
        <v>117</v>
      </c>
      <c r="L4" s="311" t="s">
        <v>149</v>
      </c>
      <c r="M4" s="311" t="s">
        <v>106</v>
      </c>
      <c r="N4" s="311" t="s">
        <v>106</v>
      </c>
      <c r="O4" s="311" t="s">
        <v>149</v>
      </c>
      <c r="P4" s="311" t="s">
        <v>149</v>
      </c>
      <c r="Q4" s="311" t="s">
        <v>106</v>
      </c>
      <c r="R4" s="311" t="s">
        <v>106</v>
      </c>
      <c r="S4" s="311" t="s">
        <v>117</v>
      </c>
      <c r="T4" s="311" t="s">
        <v>117</v>
      </c>
      <c r="U4" s="311" t="s">
        <v>117</v>
      </c>
      <c r="V4" s="311" t="s">
        <v>117</v>
      </c>
      <c r="W4" s="311" t="s">
        <v>117</v>
      </c>
    </row>
    <row r="5" spans="1:23" x14ac:dyDescent="0.2">
      <c r="A5" s="605"/>
      <c r="B5" s="364">
        <v>3</v>
      </c>
      <c r="C5" s="311" t="s">
        <v>86</v>
      </c>
      <c r="D5" s="311" t="s">
        <v>86</v>
      </c>
      <c r="E5" s="311" t="s">
        <v>86</v>
      </c>
      <c r="F5" s="311" t="s">
        <v>86</v>
      </c>
      <c r="G5" s="311" t="s">
        <v>86</v>
      </c>
      <c r="H5" s="311" t="s">
        <v>157</v>
      </c>
      <c r="I5" s="311" t="s">
        <v>86</v>
      </c>
      <c r="J5" s="311" t="s">
        <v>86</v>
      </c>
      <c r="K5" s="311" t="s">
        <v>86</v>
      </c>
      <c r="L5" s="311" t="s">
        <v>157</v>
      </c>
      <c r="M5" s="311" t="s">
        <v>150</v>
      </c>
      <c r="N5" s="311" t="s">
        <v>150</v>
      </c>
      <c r="O5" s="311" t="s">
        <v>157</v>
      </c>
      <c r="P5" s="311" t="s">
        <v>157</v>
      </c>
      <c r="Q5" s="311" t="s">
        <v>150</v>
      </c>
      <c r="R5" s="311" t="s">
        <v>150</v>
      </c>
      <c r="S5" s="311" t="s">
        <v>86</v>
      </c>
      <c r="T5" s="311" t="s">
        <v>86</v>
      </c>
      <c r="U5" s="311" t="s">
        <v>86</v>
      </c>
      <c r="V5" s="311" t="s">
        <v>86</v>
      </c>
      <c r="W5" s="311" t="s">
        <v>86</v>
      </c>
    </row>
    <row r="6" spans="1:23" x14ac:dyDescent="0.2">
      <c r="A6" s="605"/>
      <c r="B6" s="364">
        <v>4</v>
      </c>
      <c r="C6" s="311" t="s">
        <v>159</v>
      </c>
      <c r="D6" s="311" t="s">
        <v>159</v>
      </c>
      <c r="E6" s="311" t="s">
        <v>159</v>
      </c>
      <c r="F6" s="311" t="s">
        <v>159</v>
      </c>
      <c r="G6" s="311" t="s">
        <v>159</v>
      </c>
      <c r="H6" s="311" t="s">
        <v>148</v>
      </c>
      <c r="I6" s="311" t="s">
        <v>159</v>
      </c>
      <c r="J6" s="311" t="s">
        <v>159</v>
      </c>
      <c r="K6" s="311" t="s">
        <v>159</v>
      </c>
      <c r="L6" s="311" t="s">
        <v>148</v>
      </c>
      <c r="M6" s="311" t="s">
        <v>105</v>
      </c>
      <c r="N6" s="311" t="s">
        <v>105</v>
      </c>
      <c r="O6" s="311" t="s">
        <v>148</v>
      </c>
      <c r="P6" s="311" t="s">
        <v>148</v>
      </c>
      <c r="Q6" s="311" t="s">
        <v>105</v>
      </c>
      <c r="R6" s="311" t="s">
        <v>105</v>
      </c>
      <c r="S6" s="311" t="s">
        <v>159</v>
      </c>
      <c r="T6" s="311" t="s">
        <v>159</v>
      </c>
      <c r="U6" s="311" t="s">
        <v>159</v>
      </c>
      <c r="V6" s="311" t="s">
        <v>159</v>
      </c>
      <c r="W6" s="311" t="s">
        <v>159</v>
      </c>
    </row>
    <row r="7" spans="1:23" x14ac:dyDescent="0.2">
      <c r="A7" s="605"/>
      <c r="B7" s="364">
        <v>5</v>
      </c>
      <c r="C7" s="311" t="s">
        <v>83</v>
      </c>
      <c r="D7" s="311" t="s">
        <v>83</v>
      </c>
      <c r="E7" s="311" t="s">
        <v>83</v>
      </c>
      <c r="F7" s="311" t="s">
        <v>83</v>
      </c>
      <c r="G7" s="311" t="s">
        <v>83</v>
      </c>
      <c r="H7" s="311" t="s">
        <v>147</v>
      </c>
      <c r="I7" s="311" t="s">
        <v>83</v>
      </c>
      <c r="J7" s="311" t="s">
        <v>83</v>
      </c>
      <c r="K7" s="311" t="s">
        <v>83</v>
      </c>
      <c r="L7" s="311" t="s">
        <v>147</v>
      </c>
      <c r="M7" s="311" t="s">
        <v>104</v>
      </c>
      <c r="N7" s="311" t="s">
        <v>104</v>
      </c>
      <c r="O7" s="311" t="s">
        <v>147</v>
      </c>
      <c r="P7" s="311" t="s">
        <v>147</v>
      </c>
      <c r="Q7" s="311" t="s">
        <v>104</v>
      </c>
      <c r="R7" s="311" t="s">
        <v>104</v>
      </c>
      <c r="S7" s="311" t="s">
        <v>83</v>
      </c>
      <c r="T7" s="311" t="s">
        <v>83</v>
      </c>
      <c r="U7" s="311" t="s">
        <v>83</v>
      </c>
      <c r="V7" s="311" t="s">
        <v>83</v>
      </c>
      <c r="W7" s="311" t="s">
        <v>83</v>
      </c>
    </row>
    <row r="8" spans="1:23" x14ac:dyDescent="0.2">
      <c r="A8" s="605"/>
      <c r="B8" s="364">
        <v>6</v>
      </c>
      <c r="C8" s="311" t="s">
        <v>129</v>
      </c>
      <c r="D8" s="311" t="s">
        <v>129</v>
      </c>
      <c r="E8" s="311" t="s">
        <v>129</v>
      </c>
      <c r="F8" s="311" t="s">
        <v>129</v>
      </c>
      <c r="G8" s="311" t="s">
        <v>129</v>
      </c>
      <c r="H8" s="311" t="s">
        <v>146</v>
      </c>
      <c r="I8" s="311" t="s">
        <v>129</v>
      </c>
      <c r="J8" s="311" t="s">
        <v>129</v>
      </c>
      <c r="K8" s="311" t="s">
        <v>129</v>
      </c>
      <c r="L8" s="311" t="s">
        <v>146</v>
      </c>
      <c r="M8" s="311" t="s">
        <v>133</v>
      </c>
      <c r="N8" s="311" t="s">
        <v>133</v>
      </c>
      <c r="O8" s="311" t="s">
        <v>146</v>
      </c>
      <c r="P8" s="311" t="s">
        <v>146</v>
      </c>
      <c r="Q8" s="311" t="s">
        <v>133</v>
      </c>
      <c r="R8" s="311" t="s">
        <v>133</v>
      </c>
      <c r="S8" s="311" t="s">
        <v>129</v>
      </c>
      <c r="T8" s="311" t="s">
        <v>129</v>
      </c>
      <c r="U8" s="311" t="s">
        <v>129</v>
      </c>
      <c r="V8" s="311" t="s">
        <v>129</v>
      </c>
      <c r="W8" s="311" t="s">
        <v>129</v>
      </c>
    </row>
    <row r="9" spans="1:23" x14ac:dyDescent="0.2">
      <c r="A9" s="605"/>
      <c r="B9" s="364">
        <v>7</v>
      </c>
      <c r="C9" s="311" t="s">
        <v>130</v>
      </c>
      <c r="D9" s="311" t="s">
        <v>130</v>
      </c>
      <c r="E9" s="311" t="s">
        <v>130</v>
      </c>
      <c r="F9" s="311" t="s">
        <v>130</v>
      </c>
      <c r="G9" s="311" t="s">
        <v>130</v>
      </c>
      <c r="H9" s="311" t="s">
        <v>156</v>
      </c>
      <c r="I9" s="311" t="s">
        <v>130</v>
      </c>
      <c r="J9" s="311" t="s">
        <v>130</v>
      </c>
      <c r="K9" s="311" t="s">
        <v>130</v>
      </c>
      <c r="L9" s="311" t="s">
        <v>156</v>
      </c>
      <c r="M9" s="311" t="s">
        <v>126</v>
      </c>
      <c r="N9" s="311" t="s">
        <v>126</v>
      </c>
      <c r="O9" s="311" t="s">
        <v>156</v>
      </c>
      <c r="P9" s="311" t="s">
        <v>156</v>
      </c>
      <c r="Q9" s="311" t="s">
        <v>126</v>
      </c>
      <c r="R9" s="311" t="s">
        <v>126</v>
      </c>
      <c r="S9" s="311" t="s">
        <v>130</v>
      </c>
      <c r="T9" s="311" t="s">
        <v>130</v>
      </c>
      <c r="U9" s="311" t="s">
        <v>130</v>
      </c>
      <c r="V9" s="311" t="s">
        <v>130</v>
      </c>
      <c r="W9" s="311" t="s">
        <v>130</v>
      </c>
    </row>
    <row r="10" spans="1:23" x14ac:dyDescent="0.2">
      <c r="A10" s="605"/>
      <c r="B10" s="364">
        <v>8</v>
      </c>
      <c r="C10" s="311" t="s">
        <v>81</v>
      </c>
      <c r="D10" s="311" t="s">
        <v>81</v>
      </c>
      <c r="E10" s="311" t="s">
        <v>81</v>
      </c>
      <c r="F10" s="311" t="s">
        <v>81</v>
      </c>
      <c r="G10" s="311" t="s">
        <v>81</v>
      </c>
      <c r="H10" s="311" t="s">
        <v>155</v>
      </c>
      <c r="I10" s="311" t="s">
        <v>81</v>
      </c>
      <c r="J10" s="311" t="s">
        <v>81</v>
      </c>
      <c r="K10" s="311" t="s">
        <v>81</v>
      </c>
      <c r="L10" s="311" t="s">
        <v>155</v>
      </c>
      <c r="M10" s="311" t="s">
        <v>102</v>
      </c>
      <c r="N10" s="311" t="s">
        <v>102</v>
      </c>
      <c r="O10" s="311" t="s">
        <v>155</v>
      </c>
      <c r="P10" s="311" t="s">
        <v>155</v>
      </c>
      <c r="Q10" s="311" t="s">
        <v>102</v>
      </c>
      <c r="R10" s="311" t="s">
        <v>102</v>
      </c>
      <c r="S10" s="311" t="s">
        <v>81</v>
      </c>
      <c r="T10" s="311" t="s">
        <v>81</v>
      </c>
      <c r="U10" s="311" t="s">
        <v>81</v>
      </c>
      <c r="V10" s="311" t="s">
        <v>81</v>
      </c>
      <c r="W10" s="311" t="s">
        <v>81</v>
      </c>
    </row>
    <row r="11" spans="1:23" x14ac:dyDescent="0.2">
      <c r="A11" s="605"/>
      <c r="B11" s="364">
        <v>9</v>
      </c>
      <c r="C11" s="311" t="s">
        <v>79</v>
      </c>
      <c r="D11" s="311" t="s">
        <v>79</v>
      </c>
      <c r="E11" s="311" t="s">
        <v>79</v>
      </c>
      <c r="F11" s="311" t="s">
        <v>79</v>
      </c>
      <c r="G11" s="311" t="s">
        <v>79</v>
      </c>
      <c r="H11" s="311" t="s">
        <v>154</v>
      </c>
      <c r="I11" s="311" t="s">
        <v>79</v>
      </c>
      <c r="J11" s="311" t="s">
        <v>79</v>
      </c>
      <c r="K11" s="311" t="s">
        <v>79</v>
      </c>
      <c r="L11" s="311" t="s">
        <v>154</v>
      </c>
      <c r="M11" s="311" t="s">
        <v>110</v>
      </c>
      <c r="N11" s="311" t="s">
        <v>110</v>
      </c>
      <c r="O11" s="311" t="s">
        <v>154</v>
      </c>
      <c r="P11" s="311" t="s">
        <v>154</v>
      </c>
      <c r="Q11" s="311" t="s">
        <v>110</v>
      </c>
      <c r="R11" s="311" t="s">
        <v>110</v>
      </c>
      <c r="S11" s="311" t="s">
        <v>79</v>
      </c>
      <c r="T11" s="311" t="s">
        <v>79</v>
      </c>
      <c r="U11" s="311" t="s">
        <v>79</v>
      </c>
      <c r="V11" s="311" t="s">
        <v>79</v>
      </c>
      <c r="W11" s="311" t="s">
        <v>79</v>
      </c>
    </row>
    <row r="12" spans="1:23" x14ac:dyDescent="0.2">
      <c r="A12" s="605"/>
      <c r="B12" s="364">
        <v>10</v>
      </c>
      <c r="C12" s="311" t="s">
        <v>98</v>
      </c>
      <c r="D12" s="311" t="s">
        <v>98</v>
      </c>
      <c r="E12" s="311" t="s">
        <v>98</v>
      </c>
      <c r="F12" s="311" t="s">
        <v>98</v>
      </c>
      <c r="G12" s="311" t="s">
        <v>98</v>
      </c>
      <c r="H12" s="311" t="s">
        <v>153</v>
      </c>
      <c r="I12" s="311" t="s">
        <v>98</v>
      </c>
      <c r="J12" s="311" t="s">
        <v>98</v>
      </c>
      <c r="K12" s="311" t="s">
        <v>98</v>
      </c>
      <c r="L12" s="311" t="s">
        <v>153</v>
      </c>
      <c r="M12" s="311" t="s">
        <v>1821</v>
      </c>
      <c r="N12" s="311" t="s">
        <v>1821</v>
      </c>
      <c r="O12" s="311" t="s">
        <v>153</v>
      </c>
      <c r="P12" s="311" t="s">
        <v>153</v>
      </c>
      <c r="Q12" s="311" t="s">
        <v>1821</v>
      </c>
      <c r="R12" s="311" t="s">
        <v>1821</v>
      </c>
      <c r="S12" s="311" t="s">
        <v>98</v>
      </c>
      <c r="T12" s="311" t="s">
        <v>98</v>
      </c>
      <c r="U12" s="311" t="s">
        <v>98</v>
      </c>
      <c r="V12" s="311" t="s">
        <v>98</v>
      </c>
      <c r="W12" s="311" t="s">
        <v>98</v>
      </c>
    </row>
    <row r="13" spans="1:23" x14ac:dyDescent="0.2">
      <c r="A13" s="605"/>
      <c r="B13" s="364">
        <v>11</v>
      </c>
      <c r="C13" s="311" t="s">
        <v>112</v>
      </c>
      <c r="D13" s="311" t="s">
        <v>112</v>
      </c>
      <c r="E13" s="311" t="s">
        <v>112</v>
      </c>
      <c r="F13" s="311" t="s">
        <v>112</v>
      </c>
      <c r="G13" s="311" t="s">
        <v>112</v>
      </c>
      <c r="H13" s="311" t="s">
        <v>145</v>
      </c>
      <c r="I13" s="311" t="s">
        <v>112</v>
      </c>
      <c r="J13" s="311" t="s">
        <v>112</v>
      </c>
      <c r="K13" s="311" t="s">
        <v>112</v>
      </c>
      <c r="L13" s="311" t="s">
        <v>145</v>
      </c>
      <c r="M13" s="311" t="s">
        <v>1824</v>
      </c>
      <c r="N13" s="311" t="s">
        <v>1824</v>
      </c>
      <c r="O13" s="311" t="s">
        <v>145</v>
      </c>
      <c r="P13" s="311" t="s">
        <v>145</v>
      </c>
      <c r="Q13" s="311" t="s">
        <v>1824</v>
      </c>
      <c r="R13" s="311" t="s">
        <v>1824</v>
      </c>
      <c r="S13" s="311" t="s">
        <v>112</v>
      </c>
      <c r="T13" s="311" t="s">
        <v>112</v>
      </c>
      <c r="U13" s="311" t="s">
        <v>112</v>
      </c>
      <c r="V13" s="311" t="s">
        <v>112</v>
      </c>
      <c r="W13" s="311" t="s">
        <v>112</v>
      </c>
    </row>
    <row r="14" spans="1:23" x14ac:dyDescent="0.2">
      <c r="A14" s="605"/>
      <c r="B14" s="364">
        <v>12</v>
      </c>
      <c r="C14" s="311" t="s">
        <v>131</v>
      </c>
      <c r="D14" s="311" t="s">
        <v>131</v>
      </c>
      <c r="E14" s="311" t="s">
        <v>131</v>
      </c>
      <c r="F14" s="311" t="s">
        <v>131</v>
      </c>
      <c r="G14" s="311" t="s">
        <v>131</v>
      </c>
      <c r="H14" s="311" t="s">
        <v>143</v>
      </c>
      <c r="I14" s="311" t="s">
        <v>131</v>
      </c>
      <c r="J14" s="311" t="s">
        <v>131</v>
      </c>
      <c r="K14" s="311" t="s">
        <v>131</v>
      </c>
      <c r="L14" s="311" t="s">
        <v>143</v>
      </c>
      <c r="M14" s="311" t="s">
        <v>1822</v>
      </c>
      <c r="N14" s="311" t="s">
        <v>1822</v>
      </c>
      <c r="O14" s="311" t="s">
        <v>143</v>
      </c>
      <c r="P14" s="311" t="s">
        <v>143</v>
      </c>
      <c r="Q14" s="311" t="s">
        <v>1822</v>
      </c>
      <c r="R14" s="311" t="s">
        <v>1822</v>
      </c>
      <c r="S14" s="311" t="s">
        <v>131</v>
      </c>
      <c r="T14" s="311" t="s">
        <v>131</v>
      </c>
      <c r="U14" s="311" t="s">
        <v>131</v>
      </c>
      <c r="V14" s="311" t="s">
        <v>131</v>
      </c>
      <c r="W14" s="311" t="s">
        <v>131</v>
      </c>
    </row>
    <row r="15" spans="1:23" x14ac:dyDescent="0.2">
      <c r="A15" s="605"/>
      <c r="B15" s="364">
        <v>13</v>
      </c>
      <c r="C15" s="311" t="s">
        <v>77</v>
      </c>
      <c r="D15" s="311" t="s">
        <v>77</v>
      </c>
      <c r="E15" s="311" t="s">
        <v>77</v>
      </c>
      <c r="F15" s="311" t="s">
        <v>77</v>
      </c>
      <c r="G15" s="311" t="s">
        <v>77</v>
      </c>
      <c r="H15" s="311" t="s">
        <v>142</v>
      </c>
      <c r="I15" s="311" t="s">
        <v>77</v>
      </c>
      <c r="J15" s="311" t="s">
        <v>77</v>
      </c>
      <c r="K15" s="311" t="s">
        <v>77</v>
      </c>
      <c r="L15" s="311" t="s">
        <v>142</v>
      </c>
      <c r="M15" s="311" t="s">
        <v>1825</v>
      </c>
      <c r="N15" s="311" t="s">
        <v>1825</v>
      </c>
      <c r="O15" s="311" t="s">
        <v>142</v>
      </c>
      <c r="P15" s="311" t="s">
        <v>142</v>
      </c>
      <c r="Q15" s="311" t="s">
        <v>1825</v>
      </c>
      <c r="R15" s="311" t="s">
        <v>1825</v>
      </c>
      <c r="S15" s="311" t="s">
        <v>77</v>
      </c>
      <c r="T15" s="311" t="s">
        <v>77</v>
      </c>
      <c r="U15" s="311" t="s">
        <v>77</v>
      </c>
      <c r="V15" s="311" t="s">
        <v>77</v>
      </c>
      <c r="W15" s="311" t="s">
        <v>77</v>
      </c>
    </row>
    <row r="16" spans="1:23" x14ac:dyDescent="0.2">
      <c r="A16" s="605"/>
      <c r="B16" s="364">
        <v>14</v>
      </c>
      <c r="C16" s="311" t="s">
        <v>74</v>
      </c>
      <c r="D16" s="311" t="s">
        <v>74</v>
      </c>
      <c r="E16" s="311" t="s">
        <v>74</v>
      </c>
      <c r="F16" s="311" t="s">
        <v>74</v>
      </c>
      <c r="G16" s="311" t="s">
        <v>74</v>
      </c>
      <c r="H16" s="311" t="s">
        <v>224</v>
      </c>
      <c r="I16" s="311" t="s">
        <v>74</v>
      </c>
      <c r="J16" s="311" t="s">
        <v>74</v>
      </c>
      <c r="K16" s="311" t="s">
        <v>74</v>
      </c>
      <c r="L16" s="311" t="s">
        <v>221</v>
      </c>
      <c r="M16" s="311" t="s">
        <v>1823</v>
      </c>
      <c r="N16" s="311" t="s">
        <v>1823</v>
      </c>
      <c r="O16" s="311" t="s">
        <v>219</v>
      </c>
      <c r="P16" s="311" t="s">
        <v>219</v>
      </c>
      <c r="Q16" s="311" t="s">
        <v>1823</v>
      </c>
      <c r="R16" s="311" t="s">
        <v>1823</v>
      </c>
      <c r="S16" s="311" t="s">
        <v>74</v>
      </c>
      <c r="T16" s="311" t="s">
        <v>74</v>
      </c>
      <c r="U16" s="311" t="s">
        <v>74</v>
      </c>
      <c r="V16" s="311" t="s">
        <v>74</v>
      </c>
      <c r="W16" s="311" t="s">
        <v>74</v>
      </c>
    </row>
    <row r="17" spans="1:23" x14ac:dyDescent="0.2">
      <c r="A17" s="605"/>
      <c r="B17" s="364">
        <v>15</v>
      </c>
      <c r="C17" s="311" t="s">
        <v>124</v>
      </c>
      <c r="D17" s="311" t="s">
        <v>124</v>
      </c>
      <c r="E17" s="311" t="s">
        <v>124</v>
      </c>
      <c r="F17" s="311" t="s">
        <v>124</v>
      </c>
      <c r="G17" s="311" t="s">
        <v>124</v>
      </c>
      <c r="H17" s="311"/>
      <c r="I17" s="311" t="s">
        <v>124</v>
      </c>
      <c r="J17" s="311" t="s">
        <v>124</v>
      </c>
      <c r="K17" s="311" t="s">
        <v>124</v>
      </c>
      <c r="L17" s="311"/>
      <c r="M17" s="311" t="s">
        <v>1826</v>
      </c>
      <c r="N17" s="311" t="s">
        <v>1826</v>
      </c>
      <c r="O17" s="311" t="s">
        <v>113</v>
      </c>
      <c r="P17" s="311" t="s">
        <v>113</v>
      </c>
      <c r="Q17" s="311" t="s">
        <v>1826</v>
      </c>
      <c r="R17" s="311" t="s">
        <v>1826</v>
      </c>
      <c r="S17" s="311" t="s">
        <v>124</v>
      </c>
      <c r="T17" s="311" t="s">
        <v>124</v>
      </c>
      <c r="U17" s="311" t="s">
        <v>124</v>
      </c>
      <c r="V17" s="311" t="s">
        <v>124</v>
      </c>
      <c r="W17" s="311" t="s">
        <v>124</v>
      </c>
    </row>
    <row r="18" spans="1:23" x14ac:dyDescent="0.2">
      <c r="A18" s="605"/>
      <c r="B18" s="364">
        <v>16</v>
      </c>
      <c r="C18" s="311" t="s">
        <v>116</v>
      </c>
      <c r="D18" s="311" t="s">
        <v>116</v>
      </c>
      <c r="E18" s="311" t="s">
        <v>116</v>
      </c>
      <c r="F18" s="311" t="s">
        <v>116</v>
      </c>
      <c r="G18" s="311" t="s">
        <v>116</v>
      </c>
      <c r="H18" s="311"/>
      <c r="I18" s="311" t="s">
        <v>116</v>
      </c>
      <c r="J18" s="311" t="s">
        <v>116</v>
      </c>
      <c r="K18" s="311" t="s">
        <v>116</v>
      </c>
      <c r="L18" s="311" t="s">
        <v>45</v>
      </c>
      <c r="M18" s="311" t="s">
        <v>100</v>
      </c>
      <c r="N18" s="311" t="s">
        <v>100</v>
      </c>
      <c r="O18" s="311" t="s">
        <v>45</v>
      </c>
      <c r="P18" s="311" t="s">
        <v>45</v>
      </c>
      <c r="Q18" s="311" t="s">
        <v>100</v>
      </c>
      <c r="R18" s="311" t="s">
        <v>100</v>
      </c>
      <c r="S18" s="311" t="s">
        <v>116</v>
      </c>
      <c r="T18" s="311" t="s">
        <v>116</v>
      </c>
      <c r="U18" s="311" t="s">
        <v>116</v>
      </c>
      <c r="V18" s="311" t="s">
        <v>116</v>
      </c>
      <c r="W18" s="311" t="s">
        <v>116</v>
      </c>
    </row>
    <row r="19" spans="1:23" x14ac:dyDescent="0.2">
      <c r="A19" s="605"/>
      <c r="B19" s="364">
        <v>17</v>
      </c>
      <c r="C19" s="311" t="s">
        <v>92</v>
      </c>
      <c r="D19" s="311" t="s">
        <v>92</v>
      </c>
      <c r="E19" s="311" t="s">
        <v>92</v>
      </c>
      <c r="F19" s="311" t="s">
        <v>92</v>
      </c>
      <c r="G19" s="311" t="s">
        <v>92</v>
      </c>
      <c r="H19" s="311" t="s">
        <v>45</v>
      </c>
      <c r="I19" s="311" t="s">
        <v>92</v>
      </c>
      <c r="J19" s="311" t="s">
        <v>92</v>
      </c>
      <c r="K19" s="311" t="s">
        <v>92</v>
      </c>
      <c r="L19" s="311" t="s">
        <v>45</v>
      </c>
      <c r="M19" s="311" t="s">
        <v>225</v>
      </c>
      <c r="N19" s="311" t="s">
        <v>225</v>
      </c>
      <c r="O19" s="311" t="s">
        <v>45</v>
      </c>
      <c r="P19" s="311" t="s">
        <v>45</v>
      </c>
      <c r="Q19" s="311" t="s">
        <v>225</v>
      </c>
      <c r="R19" s="311" t="s">
        <v>225</v>
      </c>
      <c r="S19" s="311" t="s">
        <v>92</v>
      </c>
      <c r="T19" s="311" t="s">
        <v>92</v>
      </c>
      <c r="U19" s="311" t="s">
        <v>92</v>
      </c>
      <c r="V19" s="311" t="s">
        <v>92</v>
      </c>
      <c r="W19" s="311" t="s">
        <v>92</v>
      </c>
    </row>
    <row r="20" spans="1:23" x14ac:dyDescent="0.2">
      <c r="A20" s="605"/>
      <c r="B20" s="364">
        <v>18</v>
      </c>
      <c r="C20" s="311" t="s">
        <v>115</v>
      </c>
      <c r="D20" s="311" t="s">
        <v>115</v>
      </c>
      <c r="E20" s="311" t="s">
        <v>115</v>
      </c>
      <c r="F20" s="311" t="s">
        <v>115</v>
      </c>
      <c r="G20" s="311" t="s">
        <v>115</v>
      </c>
      <c r="H20" s="311" t="s">
        <v>45</v>
      </c>
      <c r="I20" s="311" t="s">
        <v>115</v>
      </c>
      <c r="J20" s="311" t="s">
        <v>115</v>
      </c>
      <c r="K20" s="311" t="s">
        <v>115</v>
      </c>
      <c r="L20" s="311" t="s">
        <v>45</v>
      </c>
      <c r="M20" s="311" t="s">
        <v>720</v>
      </c>
      <c r="N20" s="311" t="s">
        <v>720</v>
      </c>
      <c r="O20" s="311" t="s">
        <v>45</v>
      </c>
      <c r="P20" s="311" t="s">
        <v>45</v>
      </c>
      <c r="Q20" s="311" t="s">
        <v>720</v>
      </c>
      <c r="R20" s="311" t="s">
        <v>720</v>
      </c>
      <c r="S20" s="311" t="s">
        <v>115</v>
      </c>
      <c r="T20" s="311" t="s">
        <v>115</v>
      </c>
      <c r="U20" s="311" t="s">
        <v>115</v>
      </c>
      <c r="V20" s="311" t="s">
        <v>115</v>
      </c>
      <c r="W20" s="311" t="s">
        <v>115</v>
      </c>
    </row>
    <row r="21" spans="1:23" x14ac:dyDescent="0.2">
      <c r="A21" s="605"/>
      <c r="B21" s="364">
        <v>19</v>
      </c>
      <c r="C21" s="311" t="s">
        <v>90</v>
      </c>
      <c r="D21" s="311" t="s">
        <v>90</v>
      </c>
      <c r="E21" s="311" t="s">
        <v>90</v>
      </c>
      <c r="F21" s="311" t="s">
        <v>90</v>
      </c>
      <c r="G21" s="311" t="s">
        <v>90</v>
      </c>
      <c r="H21" s="311" t="s">
        <v>45</v>
      </c>
      <c r="I21" s="311" t="s">
        <v>90</v>
      </c>
      <c r="J21" s="311" t="s">
        <v>90</v>
      </c>
      <c r="K21" s="311" t="s">
        <v>90</v>
      </c>
      <c r="L21" s="311" t="s">
        <v>45</v>
      </c>
      <c r="M21" s="311" t="s">
        <v>220</v>
      </c>
      <c r="N21" s="311" t="s">
        <v>220</v>
      </c>
      <c r="O21" s="311" t="s">
        <v>45</v>
      </c>
      <c r="P21" s="311" t="s">
        <v>45</v>
      </c>
      <c r="Q21" s="311" t="s">
        <v>220</v>
      </c>
      <c r="R21" s="311" t="s">
        <v>220</v>
      </c>
      <c r="S21" s="311" t="s">
        <v>90</v>
      </c>
      <c r="T21" s="311" t="s">
        <v>90</v>
      </c>
      <c r="U21" s="311" t="s">
        <v>90</v>
      </c>
      <c r="V21" s="311" t="s">
        <v>90</v>
      </c>
      <c r="W21" s="311" t="s">
        <v>90</v>
      </c>
    </row>
    <row r="22" spans="1:23" x14ac:dyDescent="0.2">
      <c r="A22" s="605"/>
      <c r="B22" s="364">
        <v>20</v>
      </c>
      <c r="C22" s="311" t="s">
        <v>120</v>
      </c>
      <c r="D22" s="311" t="s">
        <v>120</v>
      </c>
      <c r="E22" s="311" t="s">
        <v>120</v>
      </c>
      <c r="F22" s="311" t="s">
        <v>120</v>
      </c>
      <c r="G22" s="311" t="s">
        <v>120</v>
      </c>
      <c r="H22" s="311" t="s">
        <v>45</v>
      </c>
      <c r="I22" s="311" t="s">
        <v>120</v>
      </c>
      <c r="J22" s="311" t="s">
        <v>120</v>
      </c>
      <c r="K22" s="311" t="s">
        <v>120</v>
      </c>
      <c r="L22" s="311" t="s">
        <v>45</v>
      </c>
      <c r="M22" s="311" t="s">
        <v>113</v>
      </c>
      <c r="N22" s="311" t="s">
        <v>113</v>
      </c>
      <c r="O22" s="311" t="s">
        <v>45</v>
      </c>
      <c r="P22" s="311" t="s">
        <v>45</v>
      </c>
      <c r="Q22" s="311" t="s">
        <v>218</v>
      </c>
      <c r="R22" s="311" t="s">
        <v>218</v>
      </c>
      <c r="S22" s="311" t="s">
        <v>120</v>
      </c>
      <c r="T22" s="311" t="s">
        <v>120</v>
      </c>
      <c r="U22" s="311" t="s">
        <v>120</v>
      </c>
      <c r="V22" s="311" t="s">
        <v>120</v>
      </c>
      <c r="W22" s="311" t="s">
        <v>120</v>
      </c>
    </row>
    <row r="23" spans="1:23" x14ac:dyDescent="0.2">
      <c r="A23" s="605"/>
      <c r="B23" s="364">
        <v>21</v>
      </c>
      <c r="C23" s="311" t="s">
        <v>71</v>
      </c>
      <c r="D23" s="311" t="s">
        <v>71</v>
      </c>
      <c r="E23" s="311" t="s">
        <v>71</v>
      </c>
      <c r="F23" s="311" t="s">
        <v>71</v>
      </c>
      <c r="G23" s="311" t="s">
        <v>71</v>
      </c>
      <c r="H23" s="311" t="s">
        <v>45</v>
      </c>
      <c r="I23" s="311" t="s">
        <v>71</v>
      </c>
      <c r="J23" s="311" t="s">
        <v>71</v>
      </c>
      <c r="K23" s="311" t="s">
        <v>71</v>
      </c>
      <c r="L23" s="311" t="s">
        <v>45</v>
      </c>
      <c r="M23" s="311" t="s">
        <v>45</v>
      </c>
      <c r="N23" s="311" t="s">
        <v>45</v>
      </c>
      <c r="O23" s="311" t="s">
        <v>45</v>
      </c>
      <c r="P23" s="311" t="s">
        <v>45</v>
      </c>
      <c r="Q23" s="311" t="s">
        <v>113</v>
      </c>
      <c r="R23" s="311" t="s">
        <v>113</v>
      </c>
      <c r="S23" s="311" t="s">
        <v>71</v>
      </c>
      <c r="T23" s="311" t="s">
        <v>71</v>
      </c>
      <c r="U23" s="311" t="s">
        <v>71</v>
      </c>
      <c r="V23" s="311" t="s">
        <v>71</v>
      </c>
      <c r="W23" s="311" t="s">
        <v>71</v>
      </c>
    </row>
    <row r="24" spans="1:23" x14ac:dyDescent="0.2">
      <c r="A24" s="605"/>
      <c r="B24" s="364">
        <v>22</v>
      </c>
      <c r="C24" s="311" t="s">
        <v>68</v>
      </c>
      <c r="D24" s="311" t="s">
        <v>68</v>
      </c>
      <c r="E24" s="311" t="s">
        <v>68</v>
      </c>
      <c r="F24" s="311" t="s">
        <v>68</v>
      </c>
      <c r="G24" s="311" t="s">
        <v>68</v>
      </c>
      <c r="H24" s="311" t="s">
        <v>45</v>
      </c>
      <c r="I24" s="311" t="s">
        <v>68</v>
      </c>
      <c r="J24" s="311" t="s">
        <v>68</v>
      </c>
      <c r="K24" s="311" t="s">
        <v>68</v>
      </c>
      <c r="L24" s="311" t="s">
        <v>45</v>
      </c>
      <c r="M24" s="311" t="s">
        <v>45</v>
      </c>
      <c r="N24" s="311" t="s">
        <v>45</v>
      </c>
      <c r="O24" s="311" t="s">
        <v>45</v>
      </c>
      <c r="P24" s="311" t="s">
        <v>45</v>
      </c>
      <c r="Q24" s="311" t="s">
        <v>45</v>
      </c>
      <c r="R24" s="311" t="s">
        <v>45</v>
      </c>
      <c r="S24" s="311" t="s">
        <v>68</v>
      </c>
      <c r="T24" s="311" t="s">
        <v>68</v>
      </c>
      <c r="U24" s="311" t="s">
        <v>68</v>
      </c>
      <c r="V24" s="311" t="s">
        <v>68</v>
      </c>
      <c r="W24" s="311" t="s">
        <v>68</v>
      </c>
    </row>
    <row r="25" spans="1:23" x14ac:dyDescent="0.2">
      <c r="A25" s="605"/>
      <c r="B25" s="364">
        <v>23</v>
      </c>
      <c r="C25" s="311" t="s">
        <v>65</v>
      </c>
      <c r="D25" s="311" t="s">
        <v>65</v>
      </c>
      <c r="E25" s="311" t="s">
        <v>65</v>
      </c>
      <c r="F25" s="311" t="s">
        <v>65</v>
      </c>
      <c r="G25" s="311" t="s">
        <v>65</v>
      </c>
      <c r="H25" s="311" t="s">
        <v>45</v>
      </c>
      <c r="I25" s="311" t="s">
        <v>65</v>
      </c>
      <c r="J25" s="311" t="s">
        <v>65</v>
      </c>
      <c r="K25" s="311" t="s">
        <v>65</v>
      </c>
      <c r="L25" s="311" t="s">
        <v>45</v>
      </c>
      <c r="M25" s="311" t="s">
        <v>45</v>
      </c>
      <c r="N25" s="311" t="s">
        <v>45</v>
      </c>
      <c r="O25" s="311" t="s">
        <v>45</v>
      </c>
      <c r="P25" s="311" t="s">
        <v>45</v>
      </c>
      <c r="Q25" s="311" t="s">
        <v>45</v>
      </c>
      <c r="R25" s="311" t="s">
        <v>45</v>
      </c>
      <c r="S25" s="311" t="s">
        <v>65</v>
      </c>
      <c r="T25" s="311" t="s">
        <v>65</v>
      </c>
      <c r="U25" s="311" t="s">
        <v>65</v>
      </c>
      <c r="V25" s="311" t="s">
        <v>65</v>
      </c>
      <c r="W25" s="311" t="s">
        <v>65</v>
      </c>
    </row>
    <row r="26" spans="1:23" x14ac:dyDescent="0.2">
      <c r="A26" s="605"/>
      <c r="B26" s="364">
        <v>24</v>
      </c>
      <c r="C26" s="311" t="s">
        <v>109</v>
      </c>
      <c r="D26" s="311" t="s">
        <v>109</v>
      </c>
      <c r="E26" s="311" t="s">
        <v>109</v>
      </c>
      <c r="F26" s="311" t="s">
        <v>109</v>
      </c>
      <c r="G26" s="311" t="s">
        <v>109</v>
      </c>
      <c r="H26" s="311" t="s">
        <v>45</v>
      </c>
      <c r="I26" s="311" t="s">
        <v>109</v>
      </c>
      <c r="J26" s="311" t="s">
        <v>109</v>
      </c>
      <c r="K26" s="311" t="s">
        <v>109</v>
      </c>
      <c r="L26" s="311" t="s">
        <v>45</v>
      </c>
      <c r="M26" s="311" t="s">
        <v>45</v>
      </c>
      <c r="N26" s="311" t="s">
        <v>45</v>
      </c>
      <c r="O26" s="311" t="s">
        <v>45</v>
      </c>
      <c r="P26" s="311" t="s">
        <v>45</v>
      </c>
      <c r="Q26" s="311" t="s">
        <v>45</v>
      </c>
      <c r="R26" s="311" t="s">
        <v>45</v>
      </c>
      <c r="S26" s="311" t="s">
        <v>109</v>
      </c>
      <c r="T26" s="311" t="s">
        <v>109</v>
      </c>
      <c r="U26" s="311" t="s">
        <v>109</v>
      </c>
      <c r="V26" s="311" t="s">
        <v>109</v>
      </c>
      <c r="W26" s="311" t="s">
        <v>109</v>
      </c>
    </row>
    <row r="27" spans="1:23" x14ac:dyDescent="0.2">
      <c r="A27" s="605"/>
      <c r="B27" s="364">
        <v>25</v>
      </c>
      <c r="C27" s="311" t="s">
        <v>96</v>
      </c>
      <c r="D27" s="311" t="s">
        <v>96</v>
      </c>
      <c r="E27" s="311" t="s">
        <v>96</v>
      </c>
      <c r="F27" s="311" t="s">
        <v>96</v>
      </c>
      <c r="G27" s="311" t="s">
        <v>96</v>
      </c>
      <c r="H27" s="311" t="s">
        <v>45</v>
      </c>
      <c r="I27" s="311" t="s">
        <v>96</v>
      </c>
      <c r="J27" s="311" t="s">
        <v>96</v>
      </c>
      <c r="K27" s="311" t="s">
        <v>96</v>
      </c>
      <c r="L27" s="311" t="s">
        <v>45</v>
      </c>
      <c r="M27" s="311" t="s">
        <v>45</v>
      </c>
      <c r="N27" s="311" t="s">
        <v>45</v>
      </c>
      <c r="O27" s="311" t="s">
        <v>45</v>
      </c>
      <c r="P27" s="311" t="s">
        <v>45</v>
      </c>
      <c r="Q27" s="311" t="s">
        <v>45</v>
      </c>
      <c r="R27" s="311" t="s">
        <v>45</v>
      </c>
      <c r="S27" s="311" t="s">
        <v>96</v>
      </c>
      <c r="T27" s="311" t="s">
        <v>96</v>
      </c>
      <c r="U27" s="311" t="s">
        <v>96</v>
      </c>
      <c r="V27" s="311" t="s">
        <v>96</v>
      </c>
      <c r="W27" s="311" t="s">
        <v>96</v>
      </c>
    </row>
    <row r="28" spans="1:23" x14ac:dyDescent="0.2">
      <c r="A28" s="605"/>
      <c r="B28" s="364">
        <v>26</v>
      </c>
      <c r="C28" s="311" t="s">
        <v>62</v>
      </c>
      <c r="D28" s="311" t="s">
        <v>62</v>
      </c>
      <c r="E28" s="311" t="s">
        <v>62</v>
      </c>
      <c r="F28" s="311" t="s">
        <v>62</v>
      </c>
      <c r="G28" s="311" t="s">
        <v>62</v>
      </c>
      <c r="H28" s="311" t="s">
        <v>45</v>
      </c>
      <c r="I28" s="311" t="s">
        <v>62</v>
      </c>
      <c r="J28" s="311" t="s">
        <v>62</v>
      </c>
      <c r="K28" s="311" t="s">
        <v>62</v>
      </c>
      <c r="L28" s="311" t="s">
        <v>45</v>
      </c>
      <c r="M28" s="311" t="s">
        <v>45</v>
      </c>
      <c r="N28" s="311" t="s">
        <v>45</v>
      </c>
      <c r="O28" s="311" t="s">
        <v>45</v>
      </c>
      <c r="P28" s="311" t="s">
        <v>45</v>
      </c>
      <c r="Q28" s="311" t="s">
        <v>45</v>
      </c>
      <c r="R28" s="311" t="s">
        <v>45</v>
      </c>
      <c r="S28" s="311" t="s">
        <v>62</v>
      </c>
      <c r="T28" s="311" t="s">
        <v>62</v>
      </c>
      <c r="U28" s="311" t="s">
        <v>62</v>
      </c>
      <c r="V28" s="311" t="s">
        <v>62</v>
      </c>
      <c r="W28" s="311" t="s">
        <v>62</v>
      </c>
    </row>
    <row r="29" spans="1:23" x14ac:dyDescent="0.2">
      <c r="A29" s="605"/>
      <c r="B29" s="364">
        <v>27</v>
      </c>
      <c r="C29" s="311" t="s">
        <v>136</v>
      </c>
      <c r="D29" s="311" t="s">
        <v>136</v>
      </c>
      <c r="E29" s="311" t="s">
        <v>136</v>
      </c>
      <c r="F29" s="311" t="s">
        <v>136</v>
      </c>
      <c r="G29" s="311" t="s">
        <v>136</v>
      </c>
      <c r="H29" s="311" t="s">
        <v>45</v>
      </c>
      <c r="I29" s="311" t="s">
        <v>136</v>
      </c>
      <c r="J29" s="311" t="s">
        <v>136</v>
      </c>
      <c r="K29" s="311" t="s">
        <v>136</v>
      </c>
      <c r="L29" s="311" t="s">
        <v>45</v>
      </c>
      <c r="M29" s="311" t="s">
        <v>45</v>
      </c>
      <c r="N29" s="311" t="s">
        <v>45</v>
      </c>
      <c r="O29" s="311" t="s">
        <v>45</v>
      </c>
      <c r="P29" s="311" t="s">
        <v>45</v>
      </c>
      <c r="Q29" s="311" t="s">
        <v>45</v>
      </c>
      <c r="R29" s="311" t="s">
        <v>45</v>
      </c>
      <c r="S29" s="311" t="s">
        <v>136</v>
      </c>
      <c r="T29" s="311" t="s">
        <v>136</v>
      </c>
      <c r="U29" s="311" t="s">
        <v>136</v>
      </c>
      <c r="V29" s="311" t="s">
        <v>136</v>
      </c>
      <c r="W29" s="311" t="s">
        <v>136</v>
      </c>
    </row>
    <row r="30" spans="1:23" x14ac:dyDescent="0.2">
      <c r="A30" s="605"/>
      <c r="B30" s="364">
        <v>28</v>
      </c>
      <c r="C30" s="311" t="s">
        <v>158</v>
      </c>
      <c r="D30" s="311" t="s">
        <v>158</v>
      </c>
      <c r="E30" s="311" t="s">
        <v>158</v>
      </c>
      <c r="F30" s="311" t="s">
        <v>158</v>
      </c>
      <c r="G30" s="311" t="s">
        <v>158</v>
      </c>
      <c r="H30" s="311" t="s">
        <v>45</v>
      </c>
      <c r="I30" s="311" t="s">
        <v>158</v>
      </c>
      <c r="J30" s="311" t="s">
        <v>158</v>
      </c>
      <c r="K30" s="311" t="s">
        <v>158</v>
      </c>
      <c r="L30" s="311" t="s">
        <v>45</v>
      </c>
      <c r="M30" s="311" t="s">
        <v>45</v>
      </c>
      <c r="N30" s="311" t="s">
        <v>45</v>
      </c>
      <c r="O30" s="311" t="s">
        <v>45</v>
      </c>
      <c r="P30" s="311" t="s">
        <v>45</v>
      </c>
      <c r="Q30" s="311" t="s">
        <v>45</v>
      </c>
      <c r="R30" s="311" t="s">
        <v>45</v>
      </c>
      <c r="S30" s="311" t="s">
        <v>158</v>
      </c>
      <c r="T30" s="311" t="s">
        <v>158</v>
      </c>
      <c r="U30" s="311" t="s">
        <v>158</v>
      </c>
      <c r="V30" s="311" t="s">
        <v>158</v>
      </c>
      <c r="W30" s="311" t="s">
        <v>158</v>
      </c>
    </row>
    <row r="31" spans="1:23" x14ac:dyDescent="0.2">
      <c r="A31" s="605"/>
      <c r="B31" s="364">
        <v>29</v>
      </c>
      <c r="C31" s="311" t="s">
        <v>89</v>
      </c>
      <c r="D31" s="311" t="s">
        <v>89</v>
      </c>
      <c r="E31" s="311" t="s">
        <v>89</v>
      </c>
      <c r="F31" s="311" t="s">
        <v>89</v>
      </c>
      <c r="G31" s="311" t="s">
        <v>89</v>
      </c>
      <c r="H31" s="311" t="s">
        <v>45</v>
      </c>
      <c r="I31" s="311" t="s">
        <v>89</v>
      </c>
      <c r="J31" s="311" t="s">
        <v>89</v>
      </c>
      <c r="K31" s="311" t="s">
        <v>89</v>
      </c>
      <c r="L31" s="311" t="s">
        <v>45</v>
      </c>
      <c r="M31" s="311" t="s">
        <v>45</v>
      </c>
      <c r="N31" s="311" t="s">
        <v>45</v>
      </c>
      <c r="O31" s="311"/>
      <c r="P31" s="311"/>
      <c r="Q31" s="311" t="s">
        <v>45</v>
      </c>
      <c r="R31" s="311" t="s">
        <v>45</v>
      </c>
      <c r="S31" s="311" t="s">
        <v>89</v>
      </c>
      <c r="T31" s="311" t="s">
        <v>89</v>
      </c>
      <c r="U31" s="311" t="s">
        <v>89</v>
      </c>
      <c r="V31" s="311" t="s">
        <v>89</v>
      </c>
      <c r="W31" s="311" t="s">
        <v>89</v>
      </c>
    </row>
    <row r="32" spans="1:23" x14ac:dyDescent="0.2">
      <c r="A32" s="605"/>
      <c r="B32" s="364">
        <v>30</v>
      </c>
      <c r="C32" s="311" t="s">
        <v>128</v>
      </c>
      <c r="D32" s="311" t="s">
        <v>128</v>
      </c>
      <c r="E32" s="311" t="s">
        <v>128</v>
      </c>
      <c r="F32" s="311" t="s">
        <v>128</v>
      </c>
      <c r="G32" s="311" t="s">
        <v>128</v>
      </c>
      <c r="H32" s="311" t="s">
        <v>45</v>
      </c>
      <c r="I32" s="311" t="s">
        <v>128</v>
      </c>
      <c r="J32" s="311" t="s">
        <v>128</v>
      </c>
      <c r="K32" s="311" t="s">
        <v>128</v>
      </c>
      <c r="L32" s="311" t="s">
        <v>45</v>
      </c>
      <c r="M32" s="311" t="s">
        <v>45</v>
      </c>
      <c r="N32" s="311" t="s">
        <v>45</v>
      </c>
      <c r="O32" s="311" t="s">
        <v>45</v>
      </c>
      <c r="P32" s="311" t="s">
        <v>45</v>
      </c>
      <c r="Q32" s="311" t="s">
        <v>45</v>
      </c>
      <c r="R32" s="311" t="s">
        <v>45</v>
      </c>
      <c r="S32" s="311" t="s">
        <v>128</v>
      </c>
      <c r="T32" s="311" t="s">
        <v>128</v>
      </c>
      <c r="U32" s="311" t="s">
        <v>128</v>
      </c>
      <c r="V32" s="311" t="s">
        <v>128</v>
      </c>
      <c r="W32" s="311" t="s">
        <v>128</v>
      </c>
    </row>
    <row r="33" spans="1:23" x14ac:dyDescent="0.2">
      <c r="A33" s="605"/>
      <c r="B33" s="364">
        <v>31</v>
      </c>
      <c r="C33" s="311" t="s">
        <v>93</v>
      </c>
      <c r="D33" s="311" t="s">
        <v>93</v>
      </c>
      <c r="E33" s="311" t="s">
        <v>93</v>
      </c>
      <c r="F33" s="311" t="s">
        <v>93</v>
      </c>
      <c r="G33" s="311" t="s">
        <v>93</v>
      </c>
      <c r="H33" s="311" t="s">
        <v>45</v>
      </c>
      <c r="I33" s="311" t="s">
        <v>93</v>
      </c>
      <c r="J33" s="311" t="s">
        <v>93</v>
      </c>
      <c r="K33" s="311" t="s">
        <v>93</v>
      </c>
      <c r="L33" s="311" t="s">
        <v>45</v>
      </c>
      <c r="M33" s="311" t="s">
        <v>45</v>
      </c>
      <c r="N33" s="311" t="s">
        <v>45</v>
      </c>
      <c r="O33" s="311" t="s">
        <v>45</v>
      </c>
      <c r="P33" s="311" t="s">
        <v>45</v>
      </c>
      <c r="Q33" s="311" t="s">
        <v>45</v>
      </c>
      <c r="R33" s="311" t="s">
        <v>45</v>
      </c>
      <c r="S33" s="311" t="s">
        <v>93</v>
      </c>
      <c r="T33" s="311" t="s">
        <v>93</v>
      </c>
      <c r="U33" s="311" t="s">
        <v>93</v>
      </c>
      <c r="V33" s="311" t="s">
        <v>93</v>
      </c>
      <c r="W33" s="311" t="s">
        <v>93</v>
      </c>
    </row>
    <row r="34" spans="1:23" x14ac:dyDescent="0.2">
      <c r="A34" s="605"/>
      <c r="B34" s="364">
        <v>32</v>
      </c>
      <c r="C34" s="311" t="s">
        <v>111</v>
      </c>
      <c r="D34" s="311" t="s">
        <v>111</v>
      </c>
      <c r="E34" s="311" t="s">
        <v>111</v>
      </c>
      <c r="F34" s="311" t="s">
        <v>111</v>
      </c>
      <c r="G34" s="311" t="s">
        <v>111</v>
      </c>
      <c r="H34" s="311" t="s">
        <v>45</v>
      </c>
      <c r="I34" s="311" t="s">
        <v>111</v>
      </c>
      <c r="J34" s="311" t="s">
        <v>111</v>
      </c>
      <c r="K34" s="311" t="s">
        <v>111</v>
      </c>
      <c r="L34" s="311" t="s">
        <v>45</v>
      </c>
      <c r="M34" s="311" t="s">
        <v>45</v>
      </c>
      <c r="N34" s="311" t="s">
        <v>45</v>
      </c>
      <c r="O34" s="311" t="s">
        <v>45</v>
      </c>
      <c r="P34" s="311" t="s">
        <v>45</v>
      </c>
      <c r="Q34" s="311" t="s">
        <v>45</v>
      </c>
      <c r="R34" s="311" t="s">
        <v>45</v>
      </c>
      <c r="S34" s="311" t="s">
        <v>111</v>
      </c>
      <c r="T34" s="311" t="s">
        <v>111</v>
      </c>
      <c r="U34" s="311" t="s">
        <v>111</v>
      </c>
      <c r="V34" s="311" t="s">
        <v>111</v>
      </c>
      <c r="W34" s="311" t="s">
        <v>111</v>
      </c>
    </row>
    <row r="35" spans="1:23" x14ac:dyDescent="0.2">
      <c r="A35" s="605"/>
      <c r="B35" s="364">
        <v>33</v>
      </c>
      <c r="C35" s="311" t="s">
        <v>58</v>
      </c>
      <c r="D35" s="311" t="s">
        <v>58</v>
      </c>
      <c r="E35" s="311" t="s">
        <v>58</v>
      </c>
      <c r="F35" s="311" t="s">
        <v>58</v>
      </c>
      <c r="G35" s="311" t="s">
        <v>58</v>
      </c>
      <c r="H35" s="311"/>
      <c r="I35" s="311" t="s">
        <v>58</v>
      </c>
      <c r="J35" s="311" t="s">
        <v>58</v>
      </c>
      <c r="K35" s="311" t="s">
        <v>58</v>
      </c>
      <c r="L35" s="311"/>
      <c r="M35" s="311"/>
      <c r="N35" s="311"/>
      <c r="O35" s="311"/>
      <c r="P35" s="311"/>
      <c r="Q35" s="311"/>
      <c r="R35" s="311"/>
      <c r="S35" s="311" t="s">
        <v>58</v>
      </c>
      <c r="T35" s="311" t="s">
        <v>58</v>
      </c>
      <c r="U35" s="311" t="s">
        <v>58</v>
      </c>
      <c r="V35" s="311" t="s">
        <v>58</v>
      </c>
      <c r="W35" s="311" t="s">
        <v>58</v>
      </c>
    </row>
    <row r="36" spans="1:23" x14ac:dyDescent="0.2">
      <c r="A36" s="605"/>
      <c r="B36" s="364">
        <v>34</v>
      </c>
      <c r="C36" s="311" t="s">
        <v>113</v>
      </c>
      <c r="D36" s="311" t="s">
        <v>113</v>
      </c>
      <c r="E36" s="311" t="s">
        <v>113</v>
      </c>
      <c r="F36" s="311" t="s">
        <v>113</v>
      </c>
      <c r="G36" s="311" t="s">
        <v>113</v>
      </c>
      <c r="H36" s="311" t="s">
        <v>45</v>
      </c>
      <c r="I36" s="311" t="s">
        <v>113</v>
      </c>
      <c r="J36" s="311" t="s">
        <v>113</v>
      </c>
      <c r="K36" s="311" t="s">
        <v>113</v>
      </c>
      <c r="L36" s="311" t="s">
        <v>45</v>
      </c>
      <c r="M36" s="311" t="s">
        <v>45</v>
      </c>
      <c r="N36" s="311" t="s">
        <v>45</v>
      </c>
      <c r="O36" s="311" t="s">
        <v>45</v>
      </c>
      <c r="P36" s="311" t="s">
        <v>45</v>
      </c>
      <c r="Q36" s="311" t="s">
        <v>45</v>
      </c>
      <c r="R36" s="311" t="s">
        <v>45</v>
      </c>
      <c r="S36" s="311" t="s">
        <v>113</v>
      </c>
      <c r="T36" s="311" t="s">
        <v>113</v>
      </c>
      <c r="U36" s="311" t="s">
        <v>113</v>
      </c>
      <c r="V36" s="311" t="s">
        <v>113</v>
      </c>
      <c r="W36" s="311" t="s">
        <v>113</v>
      </c>
    </row>
    <row r="37" spans="1:23" x14ac:dyDescent="0.2">
      <c r="A37" s="605"/>
      <c r="B37" s="364">
        <v>35</v>
      </c>
      <c r="C37" s="311" t="s">
        <v>119</v>
      </c>
      <c r="D37" s="311" t="s">
        <v>119</v>
      </c>
      <c r="E37" s="311" t="s">
        <v>119</v>
      </c>
      <c r="F37" s="311" t="s">
        <v>119</v>
      </c>
      <c r="G37" s="311" t="s">
        <v>119</v>
      </c>
      <c r="H37" s="311" t="s">
        <v>45</v>
      </c>
      <c r="I37" s="311" t="s">
        <v>119</v>
      </c>
      <c r="J37" s="311" t="s">
        <v>119</v>
      </c>
      <c r="K37" s="311" t="s">
        <v>119</v>
      </c>
      <c r="L37" s="311" t="s">
        <v>45</v>
      </c>
      <c r="M37" s="311" t="s">
        <v>45</v>
      </c>
      <c r="N37" s="311" t="s">
        <v>45</v>
      </c>
      <c r="O37" s="311" t="s">
        <v>45</v>
      </c>
      <c r="P37" s="311" t="s">
        <v>45</v>
      </c>
      <c r="Q37" s="311" t="s">
        <v>45</v>
      </c>
      <c r="R37" s="311" t="s">
        <v>45</v>
      </c>
      <c r="S37" s="311" t="s">
        <v>119</v>
      </c>
      <c r="T37" s="311" t="s">
        <v>119</v>
      </c>
      <c r="U37" s="311" t="s">
        <v>119</v>
      </c>
      <c r="V37" s="311" t="s">
        <v>119</v>
      </c>
      <c r="W37" s="311" t="s">
        <v>119</v>
      </c>
    </row>
    <row r="38" spans="1:23" x14ac:dyDescent="0.2">
      <c r="A38" s="605"/>
      <c r="B38" s="364">
        <v>36</v>
      </c>
      <c r="C38" s="311"/>
      <c r="D38" s="311"/>
      <c r="E38" s="311"/>
      <c r="F38" s="311"/>
      <c r="G38" s="311"/>
      <c r="H38" s="311" t="s">
        <v>45</v>
      </c>
      <c r="I38" s="311" t="s">
        <v>223</v>
      </c>
      <c r="J38" s="311" t="s">
        <v>222</v>
      </c>
      <c r="K38" s="311" t="s">
        <v>222</v>
      </c>
      <c r="L38" s="311" t="s">
        <v>45</v>
      </c>
      <c r="M38" s="311" t="s">
        <v>45</v>
      </c>
      <c r="N38" s="311" t="s">
        <v>45</v>
      </c>
      <c r="O38" s="311" t="s">
        <v>45</v>
      </c>
      <c r="P38" s="311" t="s">
        <v>45</v>
      </c>
      <c r="Q38" s="311" t="s">
        <v>45</v>
      </c>
      <c r="R38" s="311" t="s">
        <v>45</v>
      </c>
      <c r="S38" s="311" t="s">
        <v>45</v>
      </c>
      <c r="T38" s="311" t="s">
        <v>45</v>
      </c>
      <c r="U38" s="311" t="s">
        <v>217</v>
      </c>
      <c r="V38" s="311" t="s">
        <v>45</v>
      </c>
      <c r="W38" s="311" t="s">
        <v>45</v>
      </c>
    </row>
  </sheetData>
  <mergeCells count="2">
    <mergeCell ref="C1:W1"/>
    <mergeCell ref="A3:A38"/>
  </mergeCells>
  <pageMargins left="0.74803149606299213" right="0.74803149606299213" top="0.98425196850393704" bottom="0.98425196850393704" header="0.51181102362204722" footer="0.51181102362204722"/>
  <pageSetup paperSize="8" scale="91" orientation="landscape" r:id="rId1"/>
  <headerFooter alignWithMargins="0">
    <oddHeader>&amp;LStructures Asset Management Planning Toolkit</oddHeader>
    <oddFooter>&amp;L&amp;A&amp;R&amp;P of &amp;N</oddFooter>
  </headerFooter>
  <colBreaks count="1" manualBreakCount="1">
    <brk id="17" max="101" man="1"/>
  </col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_Ref12">
    <tabColor rgb="FFFFFF85"/>
    <pageSetUpPr fitToPage="1"/>
  </sheetPr>
  <dimension ref="A1:K48"/>
  <sheetViews>
    <sheetView showGridLines="0" zoomScale="70" zoomScaleNormal="70" workbookViewId="0">
      <selection activeCell="B5" sqref="B5"/>
    </sheetView>
  </sheetViews>
  <sheetFormatPr defaultColWidth="8.85546875" defaultRowHeight="12.75" customHeight="1" x14ac:dyDescent="0.2"/>
  <cols>
    <col min="1" max="1" width="3.7109375" style="19" customWidth="1"/>
    <col min="2" max="2" width="69.7109375" style="19" bestFit="1" customWidth="1"/>
    <col min="3" max="3" width="14.5703125" style="19" bestFit="1" customWidth="1"/>
    <col min="4" max="4" width="44.28515625" style="19" bestFit="1" customWidth="1"/>
    <col min="5" max="5" width="15.5703125" style="19" customWidth="1"/>
    <col min="6" max="6" width="23.85546875" style="19" customWidth="1"/>
    <col min="7" max="7" width="23.5703125" style="19" customWidth="1"/>
    <col min="8" max="8" width="26.85546875" style="19" customWidth="1"/>
    <col min="9" max="9" width="13.85546875" style="19" customWidth="1"/>
    <col min="10" max="10" width="64.85546875" style="19" bestFit="1" customWidth="1"/>
    <col min="11" max="11" width="12.85546875" style="19" bestFit="1" customWidth="1"/>
    <col min="12" max="16384" width="8.85546875" style="19"/>
  </cols>
  <sheetData>
    <row r="1" spans="1:11" x14ac:dyDescent="0.2">
      <c r="A1" s="132"/>
      <c r="B1" s="27"/>
      <c r="C1" s="27"/>
      <c r="D1" s="27"/>
      <c r="E1" s="54"/>
      <c r="F1" s="54"/>
      <c r="G1" s="54"/>
      <c r="H1" s="54"/>
    </row>
    <row r="2" spans="1:11" x14ac:dyDescent="0.2">
      <c r="A2" s="27"/>
      <c r="B2" s="610" t="s">
        <v>640</v>
      </c>
      <c r="C2" s="610"/>
      <c r="D2" s="610"/>
      <c r="E2" s="27"/>
      <c r="F2" s="133"/>
      <c r="G2" s="133"/>
      <c r="H2" s="133"/>
      <c r="J2" s="120" t="s">
        <v>1094</v>
      </c>
    </row>
    <row r="3" spans="1:11" ht="27" customHeight="1" x14ac:dyDescent="0.2">
      <c r="A3" s="27"/>
      <c r="B3" s="580" t="s">
        <v>585</v>
      </c>
      <c r="C3" s="580" t="s">
        <v>639</v>
      </c>
      <c r="D3" s="580" t="s">
        <v>319</v>
      </c>
      <c r="E3" s="580" t="s">
        <v>638</v>
      </c>
      <c r="F3" s="580"/>
      <c r="G3" s="580"/>
      <c r="H3" s="580"/>
      <c r="I3" s="332" t="s">
        <v>1111</v>
      </c>
      <c r="J3" s="606" t="s">
        <v>585</v>
      </c>
      <c r="K3" s="608" t="s">
        <v>639</v>
      </c>
    </row>
    <row r="4" spans="1:11" ht="51" x14ac:dyDescent="0.2">
      <c r="A4" s="27"/>
      <c r="B4" s="580"/>
      <c r="C4" s="580"/>
      <c r="D4" s="580"/>
      <c r="E4" s="320" t="s">
        <v>584</v>
      </c>
      <c r="F4" s="320" t="s">
        <v>583</v>
      </c>
      <c r="G4" s="320" t="s">
        <v>582</v>
      </c>
      <c r="H4" s="320" t="s">
        <v>581</v>
      </c>
      <c r="I4" s="347">
        <f>'Main Page'!$AO$50</f>
        <v>1.6137015535914818</v>
      </c>
      <c r="J4" s="607"/>
      <c r="K4" s="609"/>
    </row>
    <row r="5" spans="1:11" x14ac:dyDescent="0.2">
      <c r="A5" s="27"/>
      <c r="B5" s="365" t="s">
        <v>24</v>
      </c>
      <c r="C5" s="348">
        <f>IF($I$4&lt;&gt;0,K5*$I$4,K5)</f>
        <v>10242.163760645135</v>
      </c>
      <c r="D5" s="314" t="s">
        <v>626</v>
      </c>
      <c r="E5" s="359">
        <v>1</v>
      </c>
      <c r="F5" s="359">
        <v>1</v>
      </c>
      <c r="G5" s="359">
        <v>1</v>
      </c>
      <c r="H5" s="359"/>
      <c r="J5" s="126" t="s">
        <v>24</v>
      </c>
      <c r="K5" s="127">
        <v>6347</v>
      </c>
    </row>
    <row r="6" spans="1:11" x14ac:dyDescent="0.2">
      <c r="A6" s="27"/>
      <c r="B6" s="314" t="s">
        <v>32</v>
      </c>
      <c r="C6" s="348">
        <f t="shared" ref="C6:C25" si="0">IF($I$4&lt;&gt;0,K6*$I$4,K6)</f>
        <v>7345.5694719484254</v>
      </c>
      <c r="D6" s="314" t="s">
        <v>626</v>
      </c>
      <c r="E6" s="359">
        <v>1</v>
      </c>
      <c r="F6" s="359">
        <v>1</v>
      </c>
      <c r="G6" s="359">
        <v>1</v>
      </c>
      <c r="H6" s="359"/>
      <c r="J6" s="126" t="s">
        <v>32</v>
      </c>
      <c r="K6" s="127">
        <v>4552</v>
      </c>
    </row>
    <row r="7" spans="1:11" x14ac:dyDescent="0.2">
      <c r="A7" s="27"/>
      <c r="B7" s="314" t="s">
        <v>41</v>
      </c>
      <c r="C7" s="348">
        <f t="shared" si="0"/>
        <v>5241.3026460651326</v>
      </c>
      <c r="D7" s="314" t="s">
        <v>626</v>
      </c>
      <c r="E7" s="359">
        <v>1</v>
      </c>
      <c r="F7" s="359">
        <v>1</v>
      </c>
      <c r="G7" s="359">
        <v>1</v>
      </c>
      <c r="H7" s="359"/>
      <c r="J7" s="126" t="s">
        <v>41</v>
      </c>
      <c r="K7" s="127">
        <v>3248</v>
      </c>
    </row>
    <row r="8" spans="1:11" x14ac:dyDescent="0.2">
      <c r="A8" s="27"/>
      <c r="B8" s="314" t="s">
        <v>16</v>
      </c>
      <c r="C8" s="348">
        <f t="shared" si="0"/>
        <v>6238.5702061846687</v>
      </c>
      <c r="D8" s="314" t="s">
        <v>626</v>
      </c>
      <c r="E8" s="359">
        <v>1</v>
      </c>
      <c r="F8" s="359">
        <v>1</v>
      </c>
      <c r="G8" s="359">
        <v>1</v>
      </c>
      <c r="H8" s="359"/>
      <c r="J8" s="126" t="s">
        <v>16</v>
      </c>
      <c r="K8" s="127">
        <v>3866</v>
      </c>
    </row>
    <row r="9" spans="1:11" x14ac:dyDescent="0.2">
      <c r="A9" s="27"/>
      <c r="B9" s="314" t="s">
        <v>31</v>
      </c>
      <c r="C9" s="348">
        <f t="shared" si="0"/>
        <v>3743.7876043322376</v>
      </c>
      <c r="D9" s="314" t="s">
        <v>619</v>
      </c>
      <c r="E9" s="359">
        <v>1</v>
      </c>
      <c r="F9" s="359">
        <v>1</v>
      </c>
      <c r="G9" s="359">
        <v>1</v>
      </c>
      <c r="H9" s="359"/>
      <c r="J9" s="126" t="s">
        <v>31</v>
      </c>
      <c r="K9" s="127">
        <v>2320</v>
      </c>
    </row>
    <row r="10" spans="1:11" x14ac:dyDescent="0.2">
      <c r="A10" s="27"/>
      <c r="B10" s="314" t="s">
        <v>304</v>
      </c>
      <c r="C10" s="348">
        <f t="shared" si="0"/>
        <v>142131.60543723052</v>
      </c>
      <c r="D10" s="314" t="s">
        <v>619</v>
      </c>
      <c r="E10" s="359">
        <v>1</v>
      </c>
      <c r="F10" s="359"/>
      <c r="G10" s="359"/>
      <c r="H10" s="359"/>
      <c r="J10" s="126" t="s">
        <v>304</v>
      </c>
      <c r="K10" s="127">
        <v>88078</v>
      </c>
    </row>
    <row r="11" spans="1:11" x14ac:dyDescent="0.2">
      <c r="A11" s="27"/>
      <c r="B11" s="314" t="s">
        <v>21</v>
      </c>
      <c r="C11" s="348">
        <f t="shared" si="0"/>
        <v>7106.7416420168856</v>
      </c>
      <c r="D11" s="314" t="s">
        <v>637</v>
      </c>
      <c r="E11" s="359">
        <v>1</v>
      </c>
      <c r="F11" s="359">
        <v>1</v>
      </c>
      <c r="G11" s="359">
        <v>1</v>
      </c>
      <c r="H11" s="359"/>
      <c r="J11" s="126" t="s">
        <v>21</v>
      </c>
      <c r="K11" s="127">
        <v>4404</v>
      </c>
    </row>
    <row r="12" spans="1:11" x14ac:dyDescent="0.2">
      <c r="A12" s="27"/>
      <c r="B12" s="314" t="s">
        <v>17</v>
      </c>
      <c r="C12" s="348">
        <f t="shared" si="0"/>
        <v>7324.5913517517356</v>
      </c>
      <c r="D12" s="314" t="s">
        <v>626</v>
      </c>
      <c r="E12" s="359">
        <v>1</v>
      </c>
      <c r="F12" s="359">
        <v>1</v>
      </c>
      <c r="G12" s="359">
        <v>1</v>
      </c>
      <c r="H12" s="359"/>
      <c r="J12" s="126" t="s">
        <v>17</v>
      </c>
      <c r="K12" s="127">
        <v>4539</v>
      </c>
    </row>
    <row r="13" spans="1:11" x14ac:dyDescent="0.2">
      <c r="A13" s="27"/>
      <c r="B13" s="314" t="s">
        <v>39</v>
      </c>
      <c r="C13" s="348">
        <f t="shared" si="0"/>
        <v>3663.1025266526635</v>
      </c>
      <c r="D13" s="314" t="s">
        <v>619</v>
      </c>
      <c r="E13" s="359">
        <v>1</v>
      </c>
      <c r="F13" s="359">
        <v>1</v>
      </c>
      <c r="G13" s="359">
        <v>1</v>
      </c>
      <c r="H13" s="359"/>
      <c r="J13" s="126" t="s">
        <v>39</v>
      </c>
      <c r="K13" s="127">
        <v>2270</v>
      </c>
    </row>
    <row r="14" spans="1:11" x14ac:dyDescent="0.2">
      <c r="A14" s="27"/>
      <c r="B14" s="314" t="s">
        <v>177</v>
      </c>
      <c r="C14" s="348">
        <f t="shared" si="0"/>
        <v>42638.836150547722</v>
      </c>
      <c r="D14" s="314" t="s">
        <v>619</v>
      </c>
      <c r="E14" s="359">
        <v>1</v>
      </c>
      <c r="F14" s="359"/>
      <c r="G14" s="359"/>
      <c r="H14" s="359"/>
      <c r="J14" s="126" t="s">
        <v>177</v>
      </c>
      <c r="K14" s="127">
        <v>26423</v>
      </c>
    </row>
    <row r="15" spans="1:11" x14ac:dyDescent="0.2">
      <c r="A15" s="27"/>
      <c r="B15" s="314" t="s">
        <v>26</v>
      </c>
      <c r="C15" s="348">
        <f t="shared" si="0"/>
        <v>3477.5268479896431</v>
      </c>
      <c r="D15" s="314" t="s">
        <v>626</v>
      </c>
      <c r="E15" s="359">
        <v>1</v>
      </c>
      <c r="F15" s="359">
        <v>1</v>
      </c>
      <c r="G15" s="359"/>
      <c r="H15" s="359"/>
      <c r="J15" s="126" t="s">
        <v>26</v>
      </c>
      <c r="K15" s="127">
        <v>2155</v>
      </c>
    </row>
    <row r="16" spans="1:11" x14ac:dyDescent="0.2">
      <c r="A16" s="27"/>
      <c r="B16" s="314" t="s">
        <v>740</v>
      </c>
      <c r="C16" s="348">
        <f t="shared" si="0"/>
        <v>2607.7417106038347</v>
      </c>
      <c r="D16" s="314" t="s">
        <v>619</v>
      </c>
      <c r="E16" s="359">
        <v>1</v>
      </c>
      <c r="F16" s="359">
        <v>1</v>
      </c>
      <c r="G16" s="359"/>
      <c r="H16" s="359"/>
      <c r="J16" s="126" t="s">
        <v>740</v>
      </c>
      <c r="K16" s="127">
        <v>1616</v>
      </c>
    </row>
    <row r="17" spans="1:11" x14ac:dyDescent="0.2">
      <c r="A17" s="27"/>
      <c r="B17" s="314" t="s">
        <v>1143</v>
      </c>
      <c r="C17" s="348">
        <f t="shared" si="0"/>
        <v>14211.86958248018</v>
      </c>
      <c r="D17" s="314" t="s">
        <v>619</v>
      </c>
      <c r="E17" s="359">
        <v>1</v>
      </c>
      <c r="F17" s="359">
        <v>1</v>
      </c>
      <c r="G17" s="359"/>
      <c r="H17" s="359"/>
      <c r="J17" s="126" t="s">
        <v>40</v>
      </c>
      <c r="K17" s="127">
        <v>8807</v>
      </c>
    </row>
    <row r="18" spans="1:11" x14ac:dyDescent="0.2">
      <c r="A18" s="27"/>
      <c r="B18" s="314" t="s">
        <v>1144</v>
      </c>
      <c r="C18" s="348">
        <f t="shared" si="0"/>
        <v>14211.86958248018</v>
      </c>
      <c r="D18" s="314" t="s">
        <v>619</v>
      </c>
      <c r="E18" s="359">
        <v>1</v>
      </c>
      <c r="F18" s="359">
        <v>1</v>
      </c>
      <c r="G18" s="359"/>
      <c r="H18" s="359"/>
      <c r="J18" s="126" t="s">
        <v>42</v>
      </c>
      <c r="K18" s="127">
        <v>8807</v>
      </c>
    </row>
    <row r="19" spans="1:11" x14ac:dyDescent="0.2">
      <c r="A19" s="27"/>
      <c r="B19" s="314" t="s">
        <v>580</v>
      </c>
      <c r="C19" s="348">
        <f t="shared" si="0"/>
        <v>1273.2105257836793</v>
      </c>
      <c r="D19" s="314" t="s">
        <v>619</v>
      </c>
      <c r="E19" s="359">
        <v>1</v>
      </c>
      <c r="F19" s="359">
        <v>1</v>
      </c>
      <c r="G19" s="359">
        <v>1</v>
      </c>
      <c r="H19" s="359"/>
      <c r="J19" s="126" t="s">
        <v>580</v>
      </c>
      <c r="K19" s="127">
        <v>789</v>
      </c>
    </row>
    <row r="20" spans="1:11" x14ac:dyDescent="0.2">
      <c r="A20" s="27"/>
      <c r="B20" s="314" t="s">
        <v>579</v>
      </c>
      <c r="C20" s="348">
        <f t="shared" si="0"/>
        <v>1702.4551390390134</v>
      </c>
      <c r="D20" s="314" t="s">
        <v>619</v>
      </c>
      <c r="E20" s="359">
        <v>1</v>
      </c>
      <c r="F20" s="359">
        <v>1</v>
      </c>
      <c r="G20" s="359">
        <v>1</v>
      </c>
      <c r="H20" s="359"/>
      <c r="J20" s="126" t="s">
        <v>579</v>
      </c>
      <c r="K20" s="127">
        <v>1055</v>
      </c>
    </row>
    <row r="21" spans="1:11" x14ac:dyDescent="0.2">
      <c r="A21" s="27"/>
      <c r="B21" s="314" t="s">
        <v>36</v>
      </c>
      <c r="C21" s="348">
        <f t="shared" si="0"/>
        <v>12791.812215319676</v>
      </c>
      <c r="D21" s="314" t="s">
        <v>619</v>
      </c>
      <c r="E21" s="359">
        <v>1</v>
      </c>
      <c r="F21" s="359">
        <v>1</v>
      </c>
      <c r="G21" s="359">
        <v>1</v>
      </c>
      <c r="H21" s="359"/>
      <c r="J21" s="126" t="s">
        <v>36</v>
      </c>
      <c r="K21" s="127">
        <v>7927</v>
      </c>
    </row>
    <row r="22" spans="1:11" x14ac:dyDescent="0.2">
      <c r="A22" s="27"/>
      <c r="B22" s="314" t="s">
        <v>29</v>
      </c>
      <c r="C22" s="348">
        <f t="shared" si="0"/>
        <v>6898.5741416035844</v>
      </c>
      <c r="D22" s="314" t="s">
        <v>619</v>
      </c>
      <c r="E22" s="359">
        <v>1</v>
      </c>
      <c r="F22" s="359">
        <v>1</v>
      </c>
      <c r="G22" s="359">
        <v>1</v>
      </c>
      <c r="H22" s="359"/>
      <c r="J22" s="126" t="s">
        <v>29</v>
      </c>
      <c r="K22" s="127">
        <v>4275</v>
      </c>
    </row>
    <row r="23" spans="1:11" x14ac:dyDescent="0.2">
      <c r="A23" s="27"/>
      <c r="B23" s="314" t="s">
        <v>578</v>
      </c>
      <c r="C23" s="348">
        <f t="shared" si="0"/>
        <v>7106.7416420168856</v>
      </c>
      <c r="D23" s="314" t="s">
        <v>619</v>
      </c>
      <c r="E23" s="359">
        <v>1</v>
      </c>
      <c r="F23" s="359">
        <v>1</v>
      </c>
      <c r="G23" s="359">
        <v>1</v>
      </c>
      <c r="H23" s="359"/>
      <c r="J23" s="126" t="s">
        <v>578</v>
      </c>
      <c r="K23" s="127">
        <v>4404</v>
      </c>
    </row>
    <row r="24" spans="1:11" x14ac:dyDescent="0.2">
      <c r="A24" s="27"/>
      <c r="B24" s="314" t="s">
        <v>577</v>
      </c>
      <c r="C24" s="348">
        <f t="shared" si="0"/>
        <v>31980.337389075987</v>
      </c>
      <c r="D24" s="314" t="s">
        <v>619</v>
      </c>
      <c r="E24" s="359">
        <v>1</v>
      </c>
      <c r="F24" s="359">
        <v>1</v>
      </c>
      <c r="G24" s="359">
        <v>1</v>
      </c>
      <c r="H24" s="359"/>
      <c r="J24" s="126" t="s">
        <v>577</v>
      </c>
      <c r="K24" s="127">
        <v>19818</v>
      </c>
    </row>
    <row r="25" spans="1:11" x14ac:dyDescent="0.2">
      <c r="A25" s="27"/>
      <c r="B25" s="314" t="s">
        <v>37</v>
      </c>
      <c r="C25" s="348">
        <f t="shared" si="0"/>
        <v>21320.224926050658</v>
      </c>
      <c r="D25" s="314" t="s">
        <v>619</v>
      </c>
      <c r="E25" s="359">
        <v>1</v>
      </c>
      <c r="F25" s="359">
        <v>1</v>
      </c>
      <c r="G25" s="359">
        <v>1</v>
      </c>
      <c r="H25" s="359"/>
      <c r="J25" s="126" t="s">
        <v>37</v>
      </c>
      <c r="K25" s="127">
        <v>13212</v>
      </c>
    </row>
    <row r="26" spans="1:11" x14ac:dyDescent="0.2">
      <c r="A26" s="27"/>
      <c r="B26" s="27"/>
      <c r="C26" s="27"/>
      <c r="D26" s="27"/>
      <c r="E26" s="54"/>
      <c r="F26" s="54"/>
      <c r="G26" s="54"/>
      <c r="H26" s="54"/>
    </row>
    <row r="27" spans="1:11" ht="14.45" customHeight="1" x14ac:dyDescent="0.2">
      <c r="A27" s="27"/>
      <c r="B27" s="610" t="s">
        <v>636</v>
      </c>
      <c r="C27" s="610"/>
      <c r="D27" s="610"/>
      <c r="E27" s="54"/>
      <c r="F27" s="54"/>
      <c r="G27" s="54"/>
      <c r="H27" s="54"/>
    </row>
    <row r="28" spans="1:11" x14ac:dyDescent="0.2">
      <c r="A28" s="27"/>
      <c r="B28" s="320" t="s">
        <v>635</v>
      </c>
      <c r="C28" s="320" t="s">
        <v>634</v>
      </c>
      <c r="D28" s="320" t="s">
        <v>319</v>
      </c>
      <c r="E28" s="54"/>
      <c r="F28" s="54"/>
      <c r="G28" s="54"/>
      <c r="H28" s="54"/>
    </row>
    <row r="29" spans="1:11" x14ac:dyDescent="0.2">
      <c r="A29" s="27"/>
      <c r="B29" s="314" t="s">
        <v>633</v>
      </c>
      <c r="C29" s="357">
        <v>1.25</v>
      </c>
      <c r="D29" s="366" t="s">
        <v>619</v>
      </c>
      <c r="E29" s="54"/>
      <c r="F29" s="54"/>
      <c r="G29" s="54"/>
      <c r="H29" s="54"/>
    </row>
    <row r="30" spans="1:11" x14ac:dyDescent="0.2">
      <c r="A30" s="27"/>
      <c r="B30" s="314" t="s">
        <v>632</v>
      </c>
      <c r="C30" s="357">
        <v>0.7</v>
      </c>
      <c r="D30" s="357" t="s">
        <v>626</v>
      </c>
      <c r="E30" s="54"/>
      <c r="F30" s="54"/>
      <c r="G30" s="54"/>
      <c r="H30" s="54"/>
    </row>
    <row r="31" spans="1:11" x14ac:dyDescent="0.2">
      <c r="A31" s="27"/>
      <c r="B31" s="314" t="s">
        <v>631</v>
      </c>
      <c r="C31" s="357">
        <v>0.8</v>
      </c>
      <c r="D31" s="357" t="s">
        <v>626</v>
      </c>
      <c r="E31" s="54"/>
      <c r="F31" s="54"/>
      <c r="G31" s="54"/>
      <c r="H31" s="54"/>
    </row>
    <row r="32" spans="1:11" x14ac:dyDescent="0.2">
      <c r="A32" s="27"/>
      <c r="B32" s="314" t="s">
        <v>630</v>
      </c>
      <c r="C32" s="357">
        <v>0.75</v>
      </c>
      <c r="D32" s="357" t="s">
        <v>619</v>
      </c>
      <c r="E32" s="54"/>
      <c r="F32" s="54"/>
      <c r="G32" s="54"/>
      <c r="H32" s="54"/>
    </row>
    <row r="33" spans="1:8" x14ac:dyDescent="0.2">
      <c r="A33" s="27"/>
      <c r="B33" s="314" t="s">
        <v>629</v>
      </c>
      <c r="C33" s="357">
        <v>0.9</v>
      </c>
      <c r="D33" s="357" t="s">
        <v>626</v>
      </c>
      <c r="E33" s="54"/>
      <c r="F33" s="54"/>
      <c r="G33" s="54"/>
      <c r="H33" s="54"/>
    </row>
    <row r="34" spans="1:8" x14ac:dyDescent="0.2">
      <c r="A34" s="27"/>
      <c r="B34" s="314" t="s">
        <v>628</v>
      </c>
      <c r="C34" s="357">
        <v>0.9</v>
      </c>
      <c r="D34" s="357" t="s">
        <v>626</v>
      </c>
      <c r="E34" s="54"/>
      <c r="F34" s="54"/>
      <c r="G34" s="54"/>
      <c r="H34" s="54"/>
    </row>
    <row r="35" spans="1:8" x14ac:dyDescent="0.2">
      <c r="A35" s="27"/>
      <c r="B35" s="314" t="s">
        <v>627</v>
      </c>
      <c r="C35" s="357">
        <v>2</v>
      </c>
      <c r="D35" s="357" t="s">
        <v>626</v>
      </c>
      <c r="E35" s="54"/>
      <c r="F35" s="54"/>
      <c r="G35" s="54"/>
      <c r="H35" s="54"/>
    </row>
    <row r="36" spans="1:8" x14ac:dyDescent="0.2">
      <c r="A36" s="27"/>
      <c r="B36" s="314" t="s">
        <v>625</v>
      </c>
      <c r="C36" s="357">
        <v>1.1000000000000001</v>
      </c>
      <c r="D36" s="357" t="s">
        <v>619</v>
      </c>
      <c r="E36" s="54"/>
      <c r="F36" s="54"/>
      <c r="G36" s="54"/>
      <c r="H36" s="54"/>
    </row>
    <row r="37" spans="1:8" x14ac:dyDescent="0.2">
      <c r="A37" s="27"/>
      <c r="B37" s="314" t="s">
        <v>624</v>
      </c>
      <c r="C37" s="357">
        <v>2</v>
      </c>
      <c r="D37" s="357" t="s">
        <v>619</v>
      </c>
      <c r="E37" s="54"/>
      <c r="F37" s="54"/>
      <c r="G37" s="54"/>
      <c r="H37" s="54"/>
    </row>
    <row r="38" spans="1:8" x14ac:dyDescent="0.2">
      <c r="A38" s="27"/>
      <c r="B38" s="314" t="s">
        <v>623</v>
      </c>
      <c r="C38" s="357">
        <v>1.25</v>
      </c>
      <c r="D38" s="357" t="s">
        <v>619</v>
      </c>
      <c r="E38" s="54"/>
      <c r="F38" s="54"/>
      <c r="G38" s="54"/>
      <c r="H38" s="54"/>
    </row>
    <row r="39" spans="1:8" x14ac:dyDescent="0.2">
      <c r="A39" s="27"/>
      <c r="B39" s="314" t="s">
        <v>622</v>
      </c>
      <c r="C39" s="357">
        <v>1.4</v>
      </c>
      <c r="D39" s="357" t="s">
        <v>619</v>
      </c>
      <c r="E39" s="54"/>
      <c r="F39" s="54"/>
      <c r="G39" s="54"/>
      <c r="H39" s="54"/>
    </row>
    <row r="40" spans="1:8" x14ac:dyDescent="0.2">
      <c r="A40" s="27"/>
      <c r="B40" s="314" t="s">
        <v>621</v>
      </c>
      <c r="C40" s="357">
        <v>1.6</v>
      </c>
      <c r="D40" s="357" t="s">
        <v>619</v>
      </c>
      <c r="E40" s="54"/>
      <c r="F40" s="54"/>
      <c r="G40" s="54"/>
      <c r="H40" s="54"/>
    </row>
    <row r="41" spans="1:8" x14ac:dyDescent="0.2">
      <c r="A41" s="27"/>
      <c r="B41" s="314" t="s">
        <v>620</v>
      </c>
      <c r="C41" s="357">
        <v>0.85</v>
      </c>
      <c r="D41" s="357" t="s">
        <v>619</v>
      </c>
      <c r="E41" s="54"/>
      <c r="F41" s="54"/>
      <c r="G41" s="54"/>
      <c r="H41" s="54"/>
    </row>
    <row r="42" spans="1:8" x14ac:dyDescent="0.2">
      <c r="A42" s="27"/>
      <c r="B42" s="320" t="s">
        <v>635</v>
      </c>
      <c r="C42" s="320" t="s">
        <v>634</v>
      </c>
      <c r="D42" s="320" t="s">
        <v>319</v>
      </c>
      <c r="E42" s="54"/>
      <c r="F42" s="54"/>
      <c r="G42" s="54"/>
      <c r="H42" s="54"/>
    </row>
    <row r="43" spans="1:8" ht="15" x14ac:dyDescent="0.2">
      <c r="A43" s="27"/>
      <c r="B43" s="367" t="s">
        <v>618</v>
      </c>
      <c r="C43" s="368">
        <v>1</v>
      </c>
      <c r="D43" s="357" t="s">
        <v>746</v>
      </c>
      <c r="E43" s="54"/>
      <c r="F43" s="54"/>
      <c r="G43" s="54"/>
      <c r="H43" s="54"/>
    </row>
    <row r="44" spans="1:8" ht="15" x14ac:dyDescent="0.2">
      <c r="A44" s="27"/>
      <c r="B44" s="367" t="s">
        <v>617</v>
      </c>
      <c r="C44" s="368">
        <v>1</v>
      </c>
      <c r="D44" s="357" t="s">
        <v>746</v>
      </c>
      <c r="E44" s="54"/>
      <c r="F44" s="54"/>
      <c r="G44" s="54"/>
      <c r="H44" s="54"/>
    </row>
    <row r="45" spans="1:8" ht="15" x14ac:dyDescent="0.2">
      <c r="A45" s="27"/>
      <c r="B45" s="367" t="s">
        <v>616</v>
      </c>
      <c r="C45" s="368">
        <v>1</v>
      </c>
      <c r="D45" s="357" t="s">
        <v>746</v>
      </c>
      <c r="E45" s="54"/>
      <c r="F45" s="54"/>
      <c r="G45" s="54"/>
      <c r="H45" s="54"/>
    </row>
    <row r="46" spans="1:8" ht="15" x14ac:dyDescent="0.2">
      <c r="A46" s="27"/>
      <c r="B46" s="367" t="s">
        <v>615</v>
      </c>
      <c r="C46" s="368">
        <v>1</v>
      </c>
      <c r="D46" s="357" t="s">
        <v>746</v>
      </c>
      <c r="E46" s="54"/>
      <c r="G46" s="27"/>
    </row>
    <row r="47" spans="1:8" ht="15" x14ac:dyDescent="0.2">
      <c r="A47" s="27"/>
      <c r="B47" s="367" t="s">
        <v>614</v>
      </c>
      <c r="C47" s="368">
        <v>1</v>
      </c>
      <c r="D47" s="357" t="s">
        <v>746</v>
      </c>
      <c r="E47" s="54"/>
      <c r="F47" s="54"/>
      <c r="G47" s="54"/>
      <c r="H47" s="54"/>
    </row>
    <row r="48" spans="1:8" ht="15" x14ac:dyDescent="0.2">
      <c r="A48" s="27"/>
      <c r="B48" s="367" t="s">
        <v>613</v>
      </c>
      <c r="C48" s="368">
        <v>1</v>
      </c>
      <c r="D48" s="357" t="s">
        <v>746</v>
      </c>
      <c r="E48" s="54"/>
      <c r="F48" s="54"/>
      <c r="G48" s="54"/>
      <c r="H48" s="54"/>
    </row>
  </sheetData>
  <mergeCells count="8">
    <mergeCell ref="J3:J4"/>
    <mergeCell ref="K3:K4"/>
    <mergeCell ref="B2:D2"/>
    <mergeCell ref="B27:D27"/>
    <mergeCell ref="E3:H3"/>
    <mergeCell ref="D3:D4"/>
    <mergeCell ref="B3:B4"/>
    <mergeCell ref="C3:C4"/>
  </mergeCells>
  <pageMargins left="0.74803149606299213" right="0.74803149606299213" top="0.98425196850393704" bottom="0.98425196850393704" header="0.51181102362204722" footer="0.51181102362204722"/>
  <pageSetup paperSize="8" scale="10" fitToHeight="0" orientation="portrait" r:id="rId1"/>
  <headerFooter alignWithMargins="0">
    <oddHeader>&amp;LStructures Asset Management Planning Toolkit</oddHeader>
    <oddFooter>&amp;L&amp;A&amp;R&amp;P of &amp;N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_Ref14">
    <tabColor rgb="FFFFFF85"/>
  </sheetPr>
  <dimension ref="A1:E76"/>
  <sheetViews>
    <sheetView showGridLines="0" topLeftCell="A2" zoomScale="70" zoomScaleNormal="70" workbookViewId="0">
      <selection activeCell="B5" sqref="B5"/>
    </sheetView>
  </sheetViews>
  <sheetFormatPr defaultColWidth="9.140625" defaultRowHeight="12.75" customHeight="1" x14ac:dyDescent="0.2"/>
  <cols>
    <col min="1" max="1" width="63.42578125" style="19" bestFit="1" customWidth="1"/>
    <col min="2" max="2" width="23.7109375" style="19" bestFit="1" customWidth="1"/>
    <col min="3" max="3" width="13.42578125" style="19" customWidth="1"/>
    <col min="4" max="4" width="9.28515625" style="19" customWidth="1"/>
    <col min="5" max="5" width="15.85546875" style="19" customWidth="1"/>
    <col min="6" max="16384" width="9.140625" style="19"/>
  </cols>
  <sheetData>
    <row r="1" spans="1:5" ht="12.75" hidden="1" customHeight="1" x14ac:dyDescent="0.2">
      <c r="D1" s="134">
        <f>SUMIF(Ref00_ElementImportanceTypes,C1,Ref00!$C$32:$C$35)</f>
        <v>0</v>
      </c>
    </row>
    <row r="2" spans="1:5" ht="45" x14ac:dyDescent="0.2">
      <c r="A2" s="339" t="s">
        <v>169</v>
      </c>
      <c r="B2" s="339" t="s">
        <v>641</v>
      </c>
      <c r="C2" s="320" t="s">
        <v>202</v>
      </c>
      <c r="D2" s="320" t="s">
        <v>188</v>
      </c>
      <c r="E2" s="369" t="s">
        <v>1848</v>
      </c>
    </row>
    <row r="3" spans="1:5" x14ac:dyDescent="0.2">
      <c r="A3" s="314" t="s">
        <v>88</v>
      </c>
      <c r="B3" s="314" t="s">
        <v>189</v>
      </c>
      <c r="C3" s="311" t="s">
        <v>200</v>
      </c>
      <c r="D3" s="134">
        <v>2</v>
      </c>
      <c r="E3" s="370"/>
    </row>
    <row r="4" spans="1:5" x14ac:dyDescent="0.2">
      <c r="A4" s="314" t="s">
        <v>117</v>
      </c>
      <c r="B4" s="314" t="s">
        <v>189</v>
      </c>
      <c r="C4" s="311" t="s">
        <v>200</v>
      </c>
      <c r="D4" s="134">
        <v>2</v>
      </c>
      <c r="E4" s="370"/>
    </row>
    <row r="5" spans="1:5" x14ac:dyDescent="0.2">
      <c r="A5" s="314" t="s">
        <v>86</v>
      </c>
      <c r="B5" s="314" t="s">
        <v>189</v>
      </c>
      <c r="C5" s="311" t="s">
        <v>200</v>
      </c>
      <c r="D5" s="134">
        <v>2</v>
      </c>
      <c r="E5" s="370"/>
    </row>
    <row r="6" spans="1:5" x14ac:dyDescent="0.2">
      <c r="A6" s="314" t="s">
        <v>159</v>
      </c>
      <c r="B6" s="314" t="s">
        <v>189</v>
      </c>
      <c r="C6" s="311" t="s">
        <v>200</v>
      </c>
      <c r="D6" s="134">
        <v>2</v>
      </c>
      <c r="E6" s="370"/>
    </row>
    <row r="7" spans="1:5" x14ac:dyDescent="0.2">
      <c r="A7" s="314" t="s">
        <v>83</v>
      </c>
      <c r="B7" s="314" t="s">
        <v>189</v>
      </c>
      <c r="C7" s="311" t="s">
        <v>200</v>
      </c>
      <c r="D7" s="134">
        <v>2</v>
      </c>
      <c r="E7" s="370"/>
    </row>
    <row r="8" spans="1:5" x14ac:dyDescent="0.2">
      <c r="A8" s="314" t="s">
        <v>129</v>
      </c>
      <c r="B8" s="314" t="s">
        <v>189</v>
      </c>
      <c r="C8" s="311" t="s">
        <v>200</v>
      </c>
      <c r="D8" s="134">
        <v>2</v>
      </c>
      <c r="E8" s="370"/>
    </row>
    <row r="9" spans="1:5" x14ac:dyDescent="0.2">
      <c r="A9" s="314" t="s">
        <v>130</v>
      </c>
      <c r="B9" s="314" t="s">
        <v>189</v>
      </c>
      <c r="C9" s="311" t="s">
        <v>30</v>
      </c>
      <c r="D9" s="134">
        <v>1.5</v>
      </c>
      <c r="E9" s="370"/>
    </row>
    <row r="10" spans="1:5" x14ac:dyDescent="0.2">
      <c r="A10" s="314" t="s">
        <v>81</v>
      </c>
      <c r="B10" s="314" t="s">
        <v>189</v>
      </c>
      <c r="C10" s="311" t="s">
        <v>30</v>
      </c>
      <c r="D10" s="134">
        <v>1.5</v>
      </c>
      <c r="E10" s="370">
        <v>1</v>
      </c>
    </row>
    <row r="11" spans="1:5" x14ac:dyDescent="0.2">
      <c r="A11" s="314" t="s">
        <v>79</v>
      </c>
      <c r="B11" s="314" t="s">
        <v>189</v>
      </c>
      <c r="C11" s="311" t="s">
        <v>30</v>
      </c>
      <c r="D11" s="134">
        <v>1.5</v>
      </c>
      <c r="E11" s="370"/>
    </row>
    <row r="12" spans="1:5" x14ac:dyDescent="0.2">
      <c r="A12" s="314" t="s">
        <v>98</v>
      </c>
      <c r="B12" s="314" t="s">
        <v>189</v>
      </c>
      <c r="C12" s="311" t="s">
        <v>30</v>
      </c>
      <c r="D12" s="134">
        <v>1.5</v>
      </c>
      <c r="E12" s="370"/>
    </row>
    <row r="13" spans="1:5" x14ac:dyDescent="0.2">
      <c r="A13" s="314" t="s">
        <v>112</v>
      </c>
      <c r="B13" s="314" t="s">
        <v>189</v>
      </c>
      <c r="C13" s="311" t="s">
        <v>200</v>
      </c>
      <c r="D13" s="134">
        <v>2</v>
      </c>
      <c r="E13" s="370"/>
    </row>
    <row r="14" spans="1:5" x14ac:dyDescent="0.2">
      <c r="A14" s="314" t="s">
        <v>131</v>
      </c>
      <c r="B14" s="314" t="s">
        <v>189</v>
      </c>
      <c r="C14" s="311" t="s">
        <v>200</v>
      </c>
      <c r="D14" s="134">
        <v>2</v>
      </c>
      <c r="E14" s="370"/>
    </row>
    <row r="15" spans="1:5" x14ac:dyDescent="0.2">
      <c r="A15" s="314" t="s">
        <v>77</v>
      </c>
      <c r="B15" s="314" t="s">
        <v>190</v>
      </c>
      <c r="C15" s="311" t="s">
        <v>30</v>
      </c>
      <c r="D15" s="134">
        <v>1.5</v>
      </c>
      <c r="E15" s="370"/>
    </row>
    <row r="16" spans="1:5" x14ac:dyDescent="0.2">
      <c r="A16" s="314" t="s">
        <v>74</v>
      </c>
      <c r="B16" s="314" t="s">
        <v>189</v>
      </c>
      <c r="C16" s="311" t="s">
        <v>201</v>
      </c>
      <c r="D16" s="134">
        <v>1.2</v>
      </c>
      <c r="E16" s="370"/>
    </row>
    <row r="17" spans="1:5" x14ac:dyDescent="0.2">
      <c r="A17" s="314" t="s">
        <v>124</v>
      </c>
      <c r="B17" s="314" t="s">
        <v>189</v>
      </c>
      <c r="C17" s="311" t="s">
        <v>201</v>
      </c>
      <c r="D17" s="134">
        <v>1.2</v>
      </c>
      <c r="E17" s="370"/>
    </row>
    <row r="18" spans="1:5" x14ac:dyDescent="0.2">
      <c r="A18" s="314" t="s">
        <v>116</v>
      </c>
      <c r="B18" s="314" t="s">
        <v>189</v>
      </c>
      <c r="C18" s="311" t="s">
        <v>201</v>
      </c>
      <c r="D18" s="134">
        <v>1.2</v>
      </c>
      <c r="E18" s="370"/>
    </row>
    <row r="19" spans="1:5" x14ac:dyDescent="0.2">
      <c r="A19" s="314" t="s">
        <v>92</v>
      </c>
      <c r="B19" s="314" t="s">
        <v>190</v>
      </c>
      <c r="C19" s="311" t="s">
        <v>201</v>
      </c>
      <c r="D19" s="134">
        <v>1.2</v>
      </c>
      <c r="E19" s="370"/>
    </row>
    <row r="20" spans="1:5" x14ac:dyDescent="0.2">
      <c r="A20" s="314" t="s">
        <v>115</v>
      </c>
      <c r="B20" s="314" t="s">
        <v>190</v>
      </c>
      <c r="C20" s="311" t="s">
        <v>30</v>
      </c>
      <c r="D20" s="134">
        <v>1.5</v>
      </c>
      <c r="E20" s="370"/>
    </row>
    <row r="21" spans="1:5" x14ac:dyDescent="0.2">
      <c r="A21" s="314" t="s">
        <v>90</v>
      </c>
      <c r="B21" s="314" t="s">
        <v>190</v>
      </c>
      <c r="C21" s="311" t="s">
        <v>201</v>
      </c>
      <c r="D21" s="134">
        <v>1.2</v>
      </c>
      <c r="E21" s="370"/>
    </row>
    <row r="22" spans="1:5" x14ac:dyDescent="0.2">
      <c r="A22" s="314" t="s">
        <v>120</v>
      </c>
      <c r="B22" s="314" t="s">
        <v>190</v>
      </c>
      <c r="C22" s="311" t="s">
        <v>201</v>
      </c>
      <c r="D22" s="134">
        <v>1.2</v>
      </c>
      <c r="E22" s="370"/>
    </row>
    <row r="23" spans="1:5" x14ac:dyDescent="0.2">
      <c r="A23" s="314" t="s">
        <v>71</v>
      </c>
      <c r="B23" s="314" t="s">
        <v>190</v>
      </c>
      <c r="C23" s="311" t="s">
        <v>201</v>
      </c>
      <c r="D23" s="134">
        <v>1.2</v>
      </c>
      <c r="E23" s="370"/>
    </row>
    <row r="24" spans="1:5" x14ac:dyDescent="0.2">
      <c r="A24" s="314" t="s">
        <v>68</v>
      </c>
      <c r="B24" s="314" t="s">
        <v>189</v>
      </c>
      <c r="C24" s="311" t="s">
        <v>201</v>
      </c>
      <c r="D24" s="134">
        <v>1.2</v>
      </c>
      <c r="E24" s="370"/>
    </row>
    <row r="25" spans="1:5" x14ac:dyDescent="0.2">
      <c r="A25" s="314" t="s">
        <v>65</v>
      </c>
      <c r="B25" s="314" t="s">
        <v>189</v>
      </c>
      <c r="C25" s="311" t="s">
        <v>30</v>
      </c>
      <c r="D25" s="134">
        <v>1.5</v>
      </c>
      <c r="E25" s="370"/>
    </row>
    <row r="26" spans="1:5" x14ac:dyDescent="0.2">
      <c r="A26" s="314" t="s">
        <v>109</v>
      </c>
      <c r="B26" s="314" t="s">
        <v>190</v>
      </c>
      <c r="C26" s="311" t="s">
        <v>30</v>
      </c>
      <c r="D26" s="134">
        <v>1.5</v>
      </c>
      <c r="E26" s="370">
        <v>1</v>
      </c>
    </row>
    <row r="27" spans="1:5" x14ac:dyDescent="0.2">
      <c r="A27" s="314" t="s">
        <v>96</v>
      </c>
      <c r="B27" s="314" t="s">
        <v>190</v>
      </c>
      <c r="C27" s="311" t="s">
        <v>201</v>
      </c>
      <c r="D27" s="134">
        <v>1.2</v>
      </c>
      <c r="E27" s="370">
        <v>1</v>
      </c>
    </row>
    <row r="28" spans="1:5" x14ac:dyDescent="0.2">
      <c r="A28" s="314" t="s">
        <v>62</v>
      </c>
      <c r="B28" s="314" t="s">
        <v>189</v>
      </c>
      <c r="C28" s="311" t="s">
        <v>201</v>
      </c>
      <c r="D28" s="134">
        <v>1.2</v>
      </c>
      <c r="E28" s="370"/>
    </row>
    <row r="29" spans="1:5" x14ac:dyDescent="0.2">
      <c r="A29" s="314" t="s">
        <v>136</v>
      </c>
      <c r="B29" s="314" t="s">
        <v>189</v>
      </c>
      <c r="C29" s="311" t="s">
        <v>201</v>
      </c>
      <c r="D29" s="134">
        <v>1.2</v>
      </c>
      <c r="E29" s="370"/>
    </row>
    <row r="30" spans="1:5" x14ac:dyDescent="0.2">
      <c r="A30" s="314" t="s">
        <v>158</v>
      </c>
      <c r="B30" s="314" t="s">
        <v>189</v>
      </c>
      <c r="C30" s="311" t="s">
        <v>201</v>
      </c>
      <c r="D30" s="134">
        <v>1.2</v>
      </c>
      <c r="E30" s="370"/>
    </row>
    <row r="31" spans="1:5" x14ac:dyDescent="0.2">
      <c r="A31" s="314" t="s">
        <v>89</v>
      </c>
      <c r="B31" s="314" t="s">
        <v>189</v>
      </c>
      <c r="C31" s="311" t="s">
        <v>201</v>
      </c>
      <c r="D31" s="134">
        <v>1.2</v>
      </c>
      <c r="E31" s="370"/>
    </row>
    <row r="32" spans="1:5" x14ac:dyDescent="0.2">
      <c r="A32" s="314" t="s">
        <v>128</v>
      </c>
      <c r="B32" s="314" t="s">
        <v>189</v>
      </c>
      <c r="C32" s="311" t="s">
        <v>13</v>
      </c>
      <c r="D32" s="134">
        <v>1</v>
      </c>
      <c r="E32" s="370"/>
    </row>
    <row r="33" spans="1:5" x14ac:dyDescent="0.2">
      <c r="A33" s="314" t="s">
        <v>93</v>
      </c>
      <c r="B33" s="314" t="s">
        <v>189</v>
      </c>
      <c r="C33" s="311" t="s">
        <v>30</v>
      </c>
      <c r="D33" s="134">
        <v>1.5</v>
      </c>
      <c r="E33" s="370"/>
    </row>
    <row r="34" spans="1:5" x14ac:dyDescent="0.2">
      <c r="A34" s="314" t="s">
        <v>111</v>
      </c>
      <c r="B34" s="314" t="s">
        <v>189</v>
      </c>
      <c r="C34" s="311" t="s">
        <v>201</v>
      </c>
      <c r="D34" s="134">
        <v>1.2</v>
      </c>
      <c r="E34" s="370"/>
    </row>
    <row r="35" spans="1:5" x14ac:dyDescent="0.2">
      <c r="A35" s="314" t="s">
        <v>58</v>
      </c>
      <c r="B35" s="314" t="s">
        <v>189</v>
      </c>
      <c r="C35" s="311" t="s">
        <v>13</v>
      </c>
      <c r="D35" s="134">
        <v>1</v>
      </c>
      <c r="E35" s="370"/>
    </row>
    <row r="36" spans="1:5" x14ac:dyDescent="0.2">
      <c r="A36" s="314" t="s">
        <v>113</v>
      </c>
      <c r="B36" s="314" t="s">
        <v>189</v>
      </c>
      <c r="C36" s="311"/>
      <c r="D36" s="134">
        <v>0</v>
      </c>
      <c r="E36" s="370"/>
    </row>
    <row r="37" spans="1:5" x14ac:dyDescent="0.2">
      <c r="A37" s="314" t="s">
        <v>119</v>
      </c>
      <c r="B37" s="314" t="s">
        <v>190</v>
      </c>
      <c r="C37" s="311"/>
      <c r="D37" s="134">
        <v>0</v>
      </c>
      <c r="E37" s="370"/>
    </row>
    <row r="38" spans="1:5" x14ac:dyDescent="0.2">
      <c r="A38" s="314" t="s">
        <v>108</v>
      </c>
      <c r="B38" s="314" t="s">
        <v>189</v>
      </c>
      <c r="C38" s="311" t="s">
        <v>30</v>
      </c>
      <c r="D38" s="134">
        <v>1.5</v>
      </c>
      <c r="E38" s="370">
        <v>1</v>
      </c>
    </row>
    <row r="39" spans="1:5" x14ac:dyDescent="0.2">
      <c r="A39" s="314" t="s">
        <v>106</v>
      </c>
      <c r="B39" s="314" t="s">
        <v>189</v>
      </c>
      <c r="C39" s="311" t="s">
        <v>200</v>
      </c>
      <c r="D39" s="134">
        <v>2</v>
      </c>
      <c r="E39" s="370"/>
    </row>
    <row r="40" spans="1:5" x14ac:dyDescent="0.2">
      <c r="A40" s="314" t="s">
        <v>150</v>
      </c>
      <c r="B40" s="314" t="s">
        <v>189</v>
      </c>
      <c r="C40" s="311" t="s">
        <v>200</v>
      </c>
      <c r="D40" s="134">
        <v>2</v>
      </c>
      <c r="E40" s="370"/>
    </row>
    <row r="41" spans="1:5" x14ac:dyDescent="0.2">
      <c r="A41" s="314" t="s">
        <v>105</v>
      </c>
      <c r="B41" s="314" t="s">
        <v>189</v>
      </c>
      <c r="C41" s="311" t="s">
        <v>30</v>
      </c>
      <c r="D41" s="134">
        <v>1.5</v>
      </c>
      <c r="E41" s="370"/>
    </row>
    <row r="42" spans="1:5" x14ac:dyDescent="0.2">
      <c r="A42" s="314" t="s">
        <v>104</v>
      </c>
      <c r="B42" s="314" t="s">
        <v>189</v>
      </c>
      <c r="C42" s="311" t="s">
        <v>201</v>
      </c>
      <c r="D42" s="134">
        <v>1.2</v>
      </c>
      <c r="E42" s="370"/>
    </row>
    <row r="43" spans="1:5" x14ac:dyDescent="0.2">
      <c r="A43" s="314" t="s">
        <v>133</v>
      </c>
      <c r="B43" s="314" t="s">
        <v>190</v>
      </c>
      <c r="C43" s="311" t="s">
        <v>201</v>
      </c>
      <c r="D43" s="134">
        <v>1.2</v>
      </c>
      <c r="E43" s="370"/>
    </row>
    <row r="44" spans="1:5" x14ac:dyDescent="0.2">
      <c r="A44" s="314" t="s">
        <v>126</v>
      </c>
      <c r="B44" s="314" t="s">
        <v>190</v>
      </c>
      <c r="C44" s="311" t="s">
        <v>201</v>
      </c>
      <c r="D44" s="134">
        <v>1.2</v>
      </c>
      <c r="E44" s="370"/>
    </row>
    <row r="45" spans="1:5" x14ac:dyDescent="0.2">
      <c r="A45" s="314" t="s">
        <v>102</v>
      </c>
      <c r="B45" s="314" t="s">
        <v>190</v>
      </c>
      <c r="C45" s="311" t="s">
        <v>201</v>
      </c>
      <c r="D45" s="134">
        <v>1.2</v>
      </c>
      <c r="E45" s="370"/>
    </row>
    <row r="46" spans="1:5" x14ac:dyDescent="0.2">
      <c r="A46" s="314" t="s">
        <v>110</v>
      </c>
      <c r="B46" s="314" t="s">
        <v>189</v>
      </c>
      <c r="C46" s="311" t="s">
        <v>30</v>
      </c>
      <c r="D46" s="134">
        <v>1.5</v>
      </c>
      <c r="E46" s="370"/>
    </row>
    <row r="47" spans="1:5" x14ac:dyDescent="0.2">
      <c r="A47" s="314" t="s">
        <v>1821</v>
      </c>
      <c r="B47" s="314" t="s">
        <v>190</v>
      </c>
      <c r="C47" s="311" t="s">
        <v>201</v>
      </c>
      <c r="D47" s="134">
        <v>1.2</v>
      </c>
      <c r="E47" s="370">
        <v>1</v>
      </c>
    </row>
    <row r="48" spans="1:5" x14ac:dyDescent="0.2">
      <c r="A48" s="314" t="s">
        <v>1824</v>
      </c>
      <c r="B48" s="314" t="s">
        <v>190</v>
      </c>
      <c r="C48" s="311" t="s">
        <v>201</v>
      </c>
      <c r="D48" s="134">
        <v>1.2</v>
      </c>
      <c r="E48" s="370">
        <v>1</v>
      </c>
    </row>
    <row r="49" spans="1:5" x14ac:dyDescent="0.2">
      <c r="A49" s="314" t="s">
        <v>1822</v>
      </c>
      <c r="B49" s="314" t="s">
        <v>190</v>
      </c>
      <c r="C49" s="311" t="s">
        <v>13</v>
      </c>
      <c r="D49" s="134">
        <v>1</v>
      </c>
      <c r="E49" s="370">
        <v>1</v>
      </c>
    </row>
    <row r="50" spans="1:5" x14ac:dyDescent="0.2">
      <c r="A50" s="314" t="s">
        <v>1825</v>
      </c>
      <c r="B50" s="314" t="s">
        <v>190</v>
      </c>
      <c r="C50" s="311" t="s">
        <v>13</v>
      </c>
      <c r="D50" s="134">
        <v>1</v>
      </c>
      <c r="E50" s="370">
        <v>1</v>
      </c>
    </row>
    <row r="51" spans="1:5" x14ac:dyDescent="0.2">
      <c r="A51" s="314" t="s">
        <v>1823</v>
      </c>
      <c r="B51" s="314" t="s">
        <v>189</v>
      </c>
      <c r="C51" s="311" t="s">
        <v>13</v>
      </c>
      <c r="D51" s="134">
        <v>1</v>
      </c>
      <c r="E51" s="370"/>
    </row>
    <row r="52" spans="1:5" x14ac:dyDescent="0.2">
      <c r="A52" s="314" t="s">
        <v>1826</v>
      </c>
      <c r="B52" s="314" t="s">
        <v>189</v>
      </c>
      <c r="C52" s="311" t="s">
        <v>13</v>
      </c>
      <c r="D52" s="134">
        <v>1</v>
      </c>
      <c r="E52" s="370"/>
    </row>
    <row r="53" spans="1:5" x14ac:dyDescent="0.2">
      <c r="A53" s="314" t="s">
        <v>100</v>
      </c>
      <c r="B53" s="314" t="s">
        <v>189</v>
      </c>
      <c r="C53" s="311" t="s">
        <v>201</v>
      </c>
      <c r="D53" s="134">
        <v>1.2</v>
      </c>
      <c r="E53" s="370"/>
    </row>
    <row r="54" spans="1:5" x14ac:dyDescent="0.2">
      <c r="A54" s="314" t="s">
        <v>225</v>
      </c>
      <c r="B54" s="314" t="s">
        <v>189</v>
      </c>
      <c r="C54" s="311" t="s">
        <v>201</v>
      </c>
      <c r="D54" s="134">
        <v>1.2</v>
      </c>
      <c r="E54" s="370"/>
    </row>
    <row r="55" spans="1:5" x14ac:dyDescent="0.2">
      <c r="A55" s="314" t="s">
        <v>720</v>
      </c>
      <c r="B55" s="314" t="s">
        <v>190</v>
      </c>
      <c r="C55" s="311"/>
      <c r="D55" s="134">
        <v>0</v>
      </c>
      <c r="E55" s="370"/>
    </row>
    <row r="56" spans="1:5" x14ac:dyDescent="0.2">
      <c r="A56" s="314" t="s">
        <v>721</v>
      </c>
      <c r="B56" s="314" t="s">
        <v>189</v>
      </c>
      <c r="C56" s="311" t="s">
        <v>30</v>
      </c>
      <c r="D56" s="134">
        <v>1.5</v>
      </c>
      <c r="E56" s="370">
        <v>1</v>
      </c>
    </row>
    <row r="57" spans="1:5" x14ac:dyDescent="0.2">
      <c r="A57" s="314" t="s">
        <v>149</v>
      </c>
      <c r="B57" s="314" t="s">
        <v>189</v>
      </c>
      <c r="C57" s="311" t="s">
        <v>200</v>
      </c>
      <c r="D57" s="134">
        <v>2</v>
      </c>
      <c r="E57" s="370"/>
    </row>
    <row r="58" spans="1:5" x14ac:dyDescent="0.2">
      <c r="A58" s="314" t="s">
        <v>157</v>
      </c>
      <c r="B58" s="314" t="s">
        <v>189</v>
      </c>
      <c r="C58" s="311" t="s">
        <v>200</v>
      </c>
      <c r="D58" s="134">
        <v>2</v>
      </c>
      <c r="E58" s="370"/>
    </row>
    <row r="59" spans="1:5" x14ac:dyDescent="0.2">
      <c r="A59" s="314" t="s">
        <v>148</v>
      </c>
      <c r="B59" s="314" t="s">
        <v>189</v>
      </c>
      <c r="C59" s="311" t="s">
        <v>200</v>
      </c>
      <c r="D59" s="134">
        <v>2</v>
      </c>
      <c r="E59" s="370"/>
    </row>
    <row r="60" spans="1:5" x14ac:dyDescent="0.2">
      <c r="A60" s="314" t="s">
        <v>147</v>
      </c>
      <c r="B60" s="314" t="s">
        <v>190</v>
      </c>
      <c r="C60" s="311" t="s">
        <v>201</v>
      </c>
      <c r="D60" s="134">
        <v>1.2</v>
      </c>
      <c r="E60" s="370"/>
    </row>
    <row r="61" spans="1:5" x14ac:dyDescent="0.2">
      <c r="A61" s="314" t="s">
        <v>146</v>
      </c>
      <c r="B61" s="314" t="s">
        <v>190</v>
      </c>
      <c r="C61" s="311" t="s">
        <v>201</v>
      </c>
      <c r="D61" s="134">
        <v>1.2</v>
      </c>
      <c r="E61" s="370"/>
    </row>
    <row r="62" spans="1:5" x14ac:dyDescent="0.2">
      <c r="A62" s="314" t="s">
        <v>156</v>
      </c>
      <c r="B62" s="314" t="s">
        <v>190</v>
      </c>
      <c r="C62" s="311" t="s">
        <v>13</v>
      </c>
      <c r="D62" s="134">
        <v>1</v>
      </c>
      <c r="E62" s="370"/>
    </row>
    <row r="63" spans="1:5" x14ac:dyDescent="0.2">
      <c r="A63" s="314" t="s">
        <v>155</v>
      </c>
      <c r="B63" s="314" t="s">
        <v>189</v>
      </c>
      <c r="C63" s="311" t="s">
        <v>30</v>
      </c>
      <c r="D63" s="134">
        <v>1.5</v>
      </c>
      <c r="E63" s="370"/>
    </row>
    <row r="64" spans="1:5" x14ac:dyDescent="0.2">
      <c r="A64" s="314" t="s">
        <v>154</v>
      </c>
      <c r="B64" s="314" t="s">
        <v>189</v>
      </c>
      <c r="C64" s="311" t="s">
        <v>30</v>
      </c>
      <c r="D64" s="134">
        <v>1.5</v>
      </c>
      <c r="E64" s="370"/>
    </row>
    <row r="65" spans="1:5" x14ac:dyDescent="0.2">
      <c r="A65" s="314" t="s">
        <v>153</v>
      </c>
      <c r="B65" s="314" t="s">
        <v>189</v>
      </c>
      <c r="C65" s="311" t="s">
        <v>30</v>
      </c>
      <c r="D65" s="134">
        <v>1.5</v>
      </c>
      <c r="E65" s="370"/>
    </row>
    <row r="66" spans="1:5" x14ac:dyDescent="0.2">
      <c r="A66" s="314" t="s">
        <v>145</v>
      </c>
      <c r="B66" s="314" t="s">
        <v>189</v>
      </c>
      <c r="C66" s="311" t="s">
        <v>200</v>
      </c>
      <c r="D66" s="134">
        <v>2</v>
      </c>
      <c r="E66" s="370"/>
    </row>
    <row r="67" spans="1:5" x14ac:dyDescent="0.2">
      <c r="A67" s="314" t="s">
        <v>143</v>
      </c>
      <c r="B67" s="314" t="s">
        <v>189</v>
      </c>
      <c r="C67" s="311" t="s">
        <v>200</v>
      </c>
      <c r="D67" s="134">
        <v>2</v>
      </c>
      <c r="E67" s="370"/>
    </row>
    <row r="68" spans="1:5" x14ac:dyDescent="0.2">
      <c r="A68" s="314" t="s">
        <v>142</v>
      </c>
      <c r="B68" s="314" t="s">
        <v>190</v>
      </c>
      <c r="C68" s="311" t="s">
        <v>201</v>
      </c>
      <c r="D68" s="134">
        <v>1.2</v>
      </c>
      <c r="E68" s="370"/>
    </row>
    <row r="69" spans="1:5" x14ac:dyDescent="0.2">
      <c r="A69" s="314" t="s">
        <v>224</v>
      </c>
      <c r="B69" s="314" t="s">
        <v>190</v>
      </c>
      <c r="C69" s="311" t="s">
        <v>200</v>
      </c>
      <c r="D69" s="134">
        <v>2</v>
      </c>
      <c r="E69" s="370"/>
    </row>
    <row r="70" spans="1:5" x14ac:dyDescent="0.2">
      <c r="A70" s="314" t="s">
        <v>223</v>
      </c>
      <c r="B70" s="314" t="s">
        <v>189</v>
      </c>
      <c r="C70" s="311" t="s">
        <v>200</v>
      </c>
      <c r="D70" s="134">
        <v>2</v>
      </c>
      <c r="E70" s="370"/>
    </row>
    <row r="71" spans="1:5" x14ac:dyDescent="0.2">
      <c r="A71" s="314" t="s">
        <v>222</v>
      </c>
      <c r="B71" s="314" t="s">
        <v>189</v>
      </c>
      <c r="C71" s="311" t="s">
        <v>200</v>
      </c>
      <c r="D71" s="134">
        <v>2</v>
      </c>
      <c r="E71" s="370"/>
    </row>
    <row r="72" spans="1:5" x14ac:dyDescent="0.2">
      <c r="A72" s="314" t="s">
        <v>221</v>
      </c>
      <c r="B72" s="314" t="s">
        <v>190</v>
      </c>
      <c r="C72" s="311" t="s">
        <v>200</v>
      </c>
      <c r="D72" s="134">
        <v>2</v>
      </c>
      <c r="E72" s="370"/>
    </row>
    <row r="73" spans="1:5" x14ac:dyDescent="0.2">
      <c r="A73" s="314" t="s">
        <v>220</v>
      </c>
      <c r="B73" s="314" t="s">
        <v>189</v>
      </c>
      <c r="C73" s="311" t="s">
        <v>200</v>
      </c>
      <c r="D73" s="134">
        <v>2</v>
      </c>
      <c r="E73" s="370"/>
    </row>
    <row r="74" spans="1:5" x14ac:dyDescent="0.2">
      <c r="A74" s="314" t="s">
        <v>219</v>
      </c>
      <c r="B74" s="314" t="s">
        <v>190</v>
      </c>
      <c r="C74" s="311" t="s">
        <v>200</v>
      </c>
      <c r="D74" s="134">
        <v>2</v>
      </c>
      <c r="E74" s="370"/>
    </row>
    <row r="75" spans="1:5" x14ac:dyDescent="0.2">
      <c r="A75" s="314" t="s">
        <v>218</v>
      </c>
      <c r="B75" s="314" t="s">
        <v>189</v>
      </c>
      <c r="C75" s="311" t="s">
        <v>200</v>
      </c>
      <c r="D75" s="134">
        <v>2</v>
      </c>
      <c r="E75" s="370"/>
    </row>
    <row r="76" spans="1:5" x14ac:dyDescent="0.2">
      <c r="A76" s="314" t="s">
        <v>217</v>
      </c>
      <c r="B76" s="314" t="s">
        <v>190</v>
      </c>
      <c r="C76" s="311" t="s">
        <v>200</v>
      </c>
      <c r="D76" s="134">
        <v>2</v>
      </c>
      <c r="E76" s="370"/>
    </row>
  </sheetData>
  <dataValidations count="2">
    <dataValidation type="list" allowBlank="1" showInputMessage="1" showErrorMessage="1" sqref="B3:B76" xr:uid="{00000000-0002-0000-2300-000000000000}">
      <formula1>Ref00_ElementLifeTypes</formula1>
    </dataValidation>
    <dataValidation type="list" allowBlank="1" showInputMessage="1" showErrorMessage="1" sqref="C3:C76" xr:uid="{00000000-0002-0000-2300-000001000000}">
      <formula1>Ref00_ElementImportanceTypes</formula1>
    </dataValidation>
  </dataValidations>
  <pageMargins left="0.70866141732283472" right="0.70866141732283472" top="0.74803149606299213" bottom="0.74803149606299213" header="0.31496062992125984" footer="0.31496062992125984"/>
  <pageSetup paperSize="8" orientation="portrait" r:id="rId1"/>
  <headerFooter>
    <oddHeader>&amp;LStructures Asset Management Planning Toolkit</oddHeader>
    <oddFooter>&amp;L&amp;A&amp;R&amp;P of &amp;N</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_Ref15">
    <tabColor rgb="FFFFFF85"/>
  </sheetPr>
  <dimension ref="B2:O41"/>
  <sheetViews>
    <sheetView showGridLines="0" tabSelected="1" zoomScale="70" zoomScaleNormal="70" workbookViewId="0">
      <selection activeCell="F19" sqref="F19"/>
    </sheetView>
  </sheetViews>
  <sheetFormatPr defaultColWidth="8.85546875" defaultRowHeight="12.75" x14ac:dyDescent="0.2"/>
  <cols>
    <col min="1" max="1" width="2.140625" style="22" bestFit="1" customWidth="1"/>
    <col min="2" max="2" width="19" style="22" customWidth="1"/>
    <col min="3" max="5" width="31.7109375" style="22" customWidth="1"/>
    <col min="6" max="6" width="21.7109375" style="22" customWidth="1"/>
    <col min="7" max="9" width="8.85546875" style="22"/>
    <col min="10" max="10" width="12.140625" style="22" customWidth="1"/>
    <col min="11" max="16384" width="8.85546875" style="22"/>
  </cols>
  <sheetData>
    <row r="2" spans="2:15" ht="15" x14ac:dyDescent="0.25">
      <c r="B2" s="481" t="s">
        <v>1834</v>
      </c>
      <c r="C2" s="481"/>
      <c r="D2" s="481"/>
      <c r="E2" s="481"/>
      <c r="F2" s="481"/>
      <c r="H2" t="s">
        <v>1879</v>
      </c>
      <c r="I2"/>
      <c r="J2"/>
    </row>
    <row r="3" spans="2:15" ht="15" x14ac:dyDescent="0.25">
      <c r="B3" s="371" t="s">
        <v>802</v>
      </c>
      <c r="C3" s="402" t="s">
        <v>800</v>
      </c>
      <c r="D3" s="402" t="s">
        <v>801</v>
      </c>
      <c r="E3" s="371" t="s">
        <v>744</v>
      </c>
      <c r="F3" s="371" t="s">
        <v>5953</v>
      </c>
      <c r="H3" t="s">
        <v>1880</v>
      </c>
      <c r="I3"/>
      <c r="J3"/>
    </row>
    <row r="4" spans="2:15" ht="15" x14ac:dyDescent="0.25">
      <c r="B4" s="373" t="s">
        <v>799</v>
      </c>
      <c r="C4" s="374">
        <v>1</v>
      </c>
      <c r="D4" s="374">
        <v>1</v>
      </c>
      <c r="E4" s="311" t="s">
        <v>1831</v>
      </c>
      <c r="F4" s="311" t="s">
        <v>5954</v>
      </c>
      <c r="H4" t="s">
        <v>1881</v>
      </c>
      <c r="I4"/>
      <c r="J4"/>
    </row>
    <row r="5" spans="2:15" ht="14.45" customHeight="1" x14ac:dyDescent="0.25">
      <c r="B5" s="373" t="s">
        <v>798</v>
      </c>
      <c r="C5" s="374">
        <v>1</v>
      </c>
      <c r="D5" s="374">
        <v>0.99007405073262955</v>
      </c>
      <c r="E5" s="311" t="s">
        <v>1831</v>
      </c>
      <c r="F5" s="311" t="s">
        <v>5955</v>
      </c>
      <c r="H5"/>
      <c r="I5"/>
      <c r="J5"/>
    </row>
    <row r="6" spans="2:15" ht="13.9" customHeight="1" x14ac:dyDescent="0.2">
      <c r="B6" s="373" t="s">
        <v>797</v>
      </c>
      <c r="C6" s="374">
        <v>1.0465535907614578</v>
      </c>
      <c r="D6" s="374">
        <v>1.0055122734766948</v>
      </c>
      <c r="E6" s="311" t="s">
        <v>1831</v>
      </c>
      <c r="F6" s="311" t="s">
        <v>5956</v>
      </c>
      <c r="H6" s="488" t="s">
        <v>734</v>
      </c>
      <c r="I6" s="485" t="s">
        <v>1882</v>
      </c>
      <c r="J6" s="486" t="s">
        <v>1883</v>
      </c>
    </row>
    <row r="7" spans="2:15" x14ac:dyDescent="0.2">
      <c r="B7" s="373" t="s">
        <v>796</v>
      </c>
      <c r="C7" s="374">
        <v>1.1602626197395325</v>
      </c>
      <c r="D7" s="374">
        <v>1.1036145035993083</v>
      </c>
      <c r="E7" s="311" t="s">
        <v>1833</v>
      </c>
      <c r="F7" s="311" t="s">
        <v>5957</v>
      </c>
      <c r="H7" s="489"/>
      <c r="I7" s="485"/>
      <c r="J7" s="487"/>
    </row>
    <row r="8" spans="2:15" x14ac:dyDescent="0.2">
      <c r="B8" s="373" t="s">
        <v>795</v>
      </c>
      <c r="C8" s="374">
        <v>1.1417226453599414</v>
      </c>
      <c r="D8" s="374">
        <v>1.1305292860917069</v>
      </c>
      <c r="E8" s="311" t="s">
        <v>1833</v>
      </c>
      <c r="F8" s="311" t="s">
        <v>5958</v>
      </c>
      <c r="H8" s="399">
        <v>42125</v>
      </c>
      <c r="I8" s="311">
        <v>241</v>
      </c>
      <c r="J8" s="311"/>
    </row>
    <row r="9" spans="2:15" x14ac:dyDescent="0.2">
      <c r="B9" s="373" t="s">
        <v>794</v>
      </c>
      <c r="C9" s="374">
        <f>C8*J9</f>
        <v>1.1275103302724734</v>
      </c>
      <c r="D9" s="374">
        <f>D8*J9</f>
        <v>1.1164563074266649</v>
      </c>
      <c r="E9" s="311" t="s">
        <v>1832</v>
      </c>
      <c r="F9" s="311" t="s">
        <v>5959</v>
      </c>
      <c r="H9" s="399">
        <v>42491</v>
      </c>
      <c r="I9" s="311">
        <v>238</v>
      </c>
      <c r="J9" s="311">
        <v>0.98755186721991706</v>
      </c>
    </row>
    <row r="10" spans="2:15" x14ac:dyDescent="0.2">
      <c r="B10" s="373" t="s">
        <v>793</v>
      </c>
      <c r="C10" s="374">
        <f t="shared" ref="C10:C12" si="0">C9*J10</f>
        <v>1.1654098371723887</v>
      </c>
      <c r="D10" s="374">
        <f t="shared" ref="D10:D12" si="1">D9*J10</f>
        <v>1.1539842505334437</v>
      </c>
      <c r="E10" s="311" t="s">
        <v>1832</v>
      </c>
      <c r="F10" s="311" t="s">
        <v>5960</v>
      </c>
      <c r="H10" s="399">
        <v>42856</v>
      </c>
      <c r="I10" s="311">
        <v>246</v>
      </c>
      <c r="J10" s="311">
        <v>1.0336134453781514</v>
      </c>
    </row>
    <row r="11" spans="2:15" x14ac:dyDescent="0.2">
      <c r="B11" s="373" t="s">
        <v>792</v>
      </c>
      <c r="C11" s="374">
        <f t="shared" si="0"/>
        <v>1.2127842207972825</v>
      </c>
      <c r="D11" s="374">
        <f t="shared" si="1"/>
        <v>1.200894179416917</v>
      </c>
      <c r="E11" s="311" t="s">
        <v>1832</v>
      </c>
      <c r="F11" s="311" t="s">
        <v>5961</v>
      </c>
      <c r="H11" s="399">
        <v>43221</v>
      </c>
      <c r="I11" s="311">
        <v>256</v>
      </c>
      <c r="J11" s="311">
        <v>1.0406504065040652</v>
      </c>
    </row>
    <row r="12" spans="2:15" x14ac:dyDescent="0.2">
      <c r="B12" s="400" t="s">
        <v>1128</v>
      </c>
      <c r="C12" s="374">
        <f t="shared" si="0"/>
        <v>1.2506837276971976</v>
      </c>
      <c r="D12" s="374">
        <f t="shared" si="1"/>
        <v>1.2384221225236958</v>
      </c>
      <c r="E12" s="311" t="s">
        <v>1884</v>
      </c>
      <c r="F12" s="311" t="s">
        <v>1887</v>
      </c>
      <c r="H12" s="399">
        <v>43586</v>
      </c>
      <c r="I12" s="311">
        <v>264</v>
      </c>
      <c r="J12" s="311">
        <f>I12/I11</f>
        <v>1.03125</v>
      </c>
      <c r="O12" s="22" t="str">
        <f>VLOOKUP(B15,B4:E24,4,FALSE)</f>
        <v>ROCOS Index</v>
      </c>
    </row>
    <row r="13" spans="2:15" x14ac:dyDescent="0.2">
      <c r="B13" s="400" t="s">
        <v>1129</v>
      </c>
      <c r="C13" s="374">
        <f>IF($I13&lt;&gt;"",C12*$J13,"")</f>
        <v>1.2317339742472402</v>
      </c>
      <c r="D13" s="374">
        <f>IF($I13&lt;&gt;"",D12*$J13,"")</f>
        <v>1.2196581509703064</v>
      </c>
      <c r="E13" s="311" t="str">
        <f>IF(C13&lt;&gt;"","ROCOS Index","Please define the values on Ref 15")</f>
        <v>ROCOS Index</v>
      </c>
      <c r="F13" s="311" t="s">
        <v>5950</v>
      </c>
      <c r="H13" s="399">
        <v>43952</v>
      </c>
      <c r="I13" s="311">
        <v>260</v>
      </c>
      <c r="J13" s="311">
        <f>IF(I13&gt;0,I13/I12,"")</f>
        <v>0.98484848484848486</v>
      </c>
    </row>
    <row r="14" spans="2:15" x14ac:dyDescent="0.2">
      <c r="B14" s="400" t="s">
        <v>1130</v>
      </c>
      <c r="C14" s="374">
        <f t="shared" ref="C14:C19" si="2">IF($I14&lt;&gt;"",C13*$J14,"")</f>
        <v>1.3027955496845809</v>
      </c>
      <c r="D14" s="374">
        <f t="shared" ref="D14:D19" si="3">IF($I14&lt;&gt;"",D13*$J14,"")</f>
        <v>1.2900230442955163</v>
      </c>
      <c r="E14" s="311" t="str">
        <f t="shared" ref="E14" si="4">IF(C14&lt;&gt;"","ROCOS Index","Please define the values on Ref 15")</f>
        <v>ROCOS Index</v>
      </c>
      <c r="F14" s="311" t="s">
        <v>5952</v>
      </c>
      <c r="H14" s="399">
        <v>44317</v>
      </c>
      <c r="I14" s="311">
        <v>275</v>
      </c>
      <c r="J14" s="311">
        <f t="shared" ref="J14:J18" si="5">IF(I14&gt;0,I14/I13,"")</f>
        <v>1.0576923076923077</v>
      </c>
    </row>
    <row r="15" spans="2:15" x14ac:dyDescent="0.2">
      <c r="B15" s="400" t="s">
        <v>1886</v>
      </c>
      <c r="C15" s="374">
        <f t="shared" si="2"/>
        <v>1.5965167281589225</v>
      </c>
      <c r="D15" s="374">
        <f t="shared" si="3"/>
        <v>1.5808646033730507</v>
      </c>
      <c r="E15" s="311" t="str">
        <f t="shared" ref="E15:E16" si="6">IF(C15&lt;&gt;"","ROCOS Index","Please define the values on Ref 15")</f>
        <v>ROCOS Index</v>
      </c>
      <c r="F15" s="311" t="s">
        <v>5965</v>
      </c>
      <c r="H15" s="399">
        <v>44682</v>
      </c>
      <c r="I15" s="311">
        <v>337</v>
      </c>
      <c r="J15" s="311">
        <f t="shared" si="5"/>
        <v>1.2254545454545454</v>
      </c>
    </row>
    <row r="16" spans="2:15" x14ac:dyDescent="0.2">
      <c r="B16" s="400" t="s">
        <v>5963</v>
      </c>
      <c r="C16" s="374">
        <f t="shared" si="2"/>
        <v>1.6107290432463905</v>
      </c>
      <c r="D16" s="374">
        <f t="shared" si="3"/>
        <v>1.5949375820380927</v>
      </c>
      <c r="E16" s="311" t="str">
        <f t="shared" si="6"/>
        <v>ROCOS Index</v>
      </c>
      <c r="F16" s="311" t="s">
        <v>5970</v>
      </c>
      <c r="H16" s="399">
        <v>45047</v>
      </c>
      <c r="I16" s="311">
        <v>340</v>
      </c>
      <c r="J16" s="311">
        <f t="shared" si="5"/>
        <v>1.0089020771513353</v>
      </c>
    </row>
    <row r="17" spans="2:13" x14ac:dyDescent="0.2">
      <c r="B17" s="400" t="s">
        <v>5964</v>
      </c>
      <c r="C17" s="374">
        <f t="shared" si="2"/>
        <v>1.6391536734213268</v>
      </c>
      <c r="D17" s="374">
        <f t="shared" si="3"/>
        <v>1.6230835393681766</v>
      </c>
      <c r="E17" s="311" t="str">
        <f t="shared" ref="E17:E19" si="7">IF(C17&lt;&gt;"","ROCOS Index","Please define the values on Ref 15")</f>
        <v>ROCOS Index</v>
      </c>
      <c r="F17" s="311" t="s">
        <v>5972</v>
      </c>
      <c r="H17" s="399">
        <v>45413</v>
      </c>
      <c r="I17" s="311">
        <v>346</v>
      </c>
      <c r="J17" s="311">
        <f t="shared" si="5"/>
        <v>1.0176470588235293</v>
      </c>
    </row>
    <row r="18" spans="2:13" x14ac:dyDescent="0.2">
      <c r="B18" s="400" t="s">
        <v>5976</v>
      </c>
      <c r="C18" s="374">
        <f t="shared" si="2"/>
        <v>1.629678796696348</v>
      </c>
      <c r="D18" s="374">
        <f t="shared" si="3"/>
        <v>1.6137015535914818</v>
      </c>
      <c r="E18" s="311" t="str">
        <f t="shared" si="7"/>
        <v>ROCOS Index</v>
      </c>
      <c r="F18" s="311" t="s">
        <v>5977</v>
      </c>
      <c r="H18" s="399">
        <v>45778</v>
      </c>
      <c r="I18" s="311">
        <v>344</v>
      </c>
      <c r="J18" s="311">
        <f t="shared" si="5"/>
        <v>0.9942196531791907</v>
      </c>
    </row>
    <row r="19" spans="2:13" x14ac:dyDescent="0.2">
      <c r="B19" s="400"/>
      <c r="C19" s="374" t="str">
        <f t="shared" si="2"/>
        <v/>
      </c>
      <c r="D19" s="374" t="str">
        <f t="shared" si="3"/>
        <v/>
      </c>
      <c r="E19" s="311" t="str">
        <f t="shared" si="7"/>
        <v>Please define the values on Ref 15</v>
      </c>
      <c r="F19" s="311"/>
      <c r="H19" s="399"/>
      <c r="I19" s="311"/>
      <c r="J19" s="311"/>
    </row>
    <row r="20" spans="2:13" x14ac:dyDescent="0.2">
      <c r="B20" s="400"/>
      <c r="C20" s="374"/>
      <c r="D20" s="374"/>
      <c r="E20" s="311"/>
      <c r="F20" s="311"/>
      <c r="H20" s="399"/>
      <c r="I20" s="311"/>
      <c r="J20" s="311"/>
    </row>
    <row r="21" spans="2:13" x14ac:dyDescent="0.2">
      <c r="B21" s="400"/>
      <c r="C21" s="374"/>
      <c r="D21" s="374"/>
      <c r="E21" s="311"/>
      <c r="F21" s="311"/>
      <c r="H21" s="399"/>
      <c r="I21" s="311"/>
      <c r="J21" s="311"/>
    </row>
    <row r="22" spans="2:13" x14ac:dyDescent="0.2">
      <c r="B22" s="400"/>
      <c r="C22" s="374"/>
      <c r="D22" s="374"/>
      <c r="E22" s="311"/>
      <c r="F22" s="311"/>
      <c r="H22" s="399"/>
      <c r="I22" s="311"/>
      <c r="J22" s="311"/>
    </row>
    <row r="23" spans="2:13" x14ac:dyDescent="0.2">
      <c r="B23" s="400"/>
      <c r="C23" s="374" t="str">
        <f>IF($I23&lt;&gt;"",C14*$J23,"")</f>
        <v/>
      </c>
      <c r="D23" s="374" t="str">
        <f>IF($I23&lt;&gt;"",D14*$J23,"")</f>
        <v/>
      </c>
      <c r="E23" s="311"/>
      <c r="F23" s="311"/>
      <c r="H23" s="399"/>
      <c r="I23" s="311"/>
      <c r="J23" s="311" t="str">
        <f>IF(I23&gt;0,I23/I14,"")</f>
        <v/>
      </c>
    </row>
    <row r="24" spans="2:13" ht="15" x14ac:dyDescent="0.25">
      <c r="B24" s="373" t="s">
        <v>791</v>
      </c>
      <c r="C24" s="375" t="s">
        <v>791</v>
      </c>
      <c r="D24" s="375" t="s">
        <v>791</v>
      </c>
      <c r="E24" s="311" t="s">
        <v>5973</v>
      </c>
      <c r="F24" s="311"/>
      <c r="H24" s="422"/>
      <c r="I24" s="423"/>
      <c r="J24"/>
    </row>
    <row r="26" spans="2:13" x14ac:dyDescent="0.2">
      <c r="B26" s="481" t="s">
        <v>1835</v>
      </c>
      <c r="C26" s="481"/>
      <c r="D26" s="481"/>
    </row>
    <row r="27" spans="2:13" x14ac:dyDescent="0.2">
      <c r="B27" s="483" t="s">
        <v>970</v>
      </c>
      <c r="C27" s="483"/>
      <c r="D27" s="483"/>
    </row>
    <row r="28" spans="2:13" ht="13.9" customHeight="1" x14ac:dyDescent="0.2">
      <c r="B28" s="482" t="s">
        <v>973</v>
      </c>
      <c r="C28" s="482"/>
      <c r="D28" s="366">
        <v>1.5</v>
      </c>
    </row>
    <row r="31" spans="2:13" x14ac:dyDescent="0.2">
      <c r="B31" s="481" t="s">
        <v>1836</v>
      </c>
      <c r="C31" s="481"/>
      <c r="D31" s="481"/>
    </row>
    <row r="32" spans="2:13" s="19" customFormat="1" ht="12.75" customHeight="1" x14ac:dyDescent="0.2">
      <c r="B32" s="484" t="s">
        <v>893</v>
      </c>
      <c r="C32" s="484"/>
      <c r="D32" s="371" t="s">
        <v>894</v>
      </c>
      <c r="G32" s="22"/>
      <c r="H32" s="22"/>
      <c r="I32" s="22"/>
      <c r="J32" s="22"/>
      <c r="K32" s="22"/>
      <c r="L32" s="22"/>
      <c r="M32" s="22"/>
    </row>
    <row r="33" spans="2:13" s="19" customFormat="1" ht="12.75" customHeight="1" x14ac:dyDescent="0.2">
      <c r="B33" s="482" t="s">
        <v>1849</v>
      </c>
      <c r="C33" s="482"/>
      <c r="D33" s="357">
        <v>60</v>
      </c>
    </row>
    <row r="34" spans="2:13" s="19" customFormat="1" ht="12.75" customHeight="1" x14ac:dyDescent="0.2">
      <c r="B34" s="482" t="s">
        <v>1850</v>
      </c>
      <c r="C34" s="482"/>
      <c r="D34" s="357">
        <v>45</v>
      </c>
    </row>
    <row r="35" spans="2:13" s="19" customFormat="1" ht="12.75" customHeight="1" x14ac:dyDescent="0.2"/>
    <row r="36" spans="2:13" s="19" customFormat="1" ht="12.75" customHeight="1" x14ac:dyDescent="0.2"/>
    <row r="37" spans="2:13" x14ac:dyDescent="0.2">
      <c r="B37" s="481" t="s">
        <v>1837</v>
      </c>
      <c r="C37" s="481"/>
      <c r="D37" s="481"/>
      <c r="G37" s="19"/>
      <c r="H37" s="19"/>
      <c r="I37" s="19"/>
      <c r="J37" s="19"/>
      <c r="K37" s="19"/>
      <c r="L37" s="19"/>
      <c r="M37" s="19"/>
    </row>
    <row r="38" spans="2:13" x14ac:dyDescent="0.2">
      <c r="B38" s="371" t="s">
        <v>812</v>
      </c>
      <c r="C38" s="371" t="s">
        <v>811</v>
      </c>
      <c r="D38" s="371" t="s">
        <v>1193</v>
      </c>
    </row>
    <row r="39" spans="2:13" x14ac:dyDescent="0.2">
      <c r="B39" s="311">
        <v>1</v>
      </c>
      <c r="C39" s="311">
        <v>30</v>
      </c>
      <c r="D39" s="372">
        <v>3.5000000000000003E-2</v>
      </c>
    </row>
    <row r="40" spans="2:13" x14ac:dyDescent="0.2">
      <c r="B40" s="311">
        <v>31</v>
      </c>
      <c r="C40" s="311">
        <v>75</v>
      </c>
      <c r="D40" s="372">
        <v>0.03</v>
      </c>
    </row>
    <row r="41" spans="2:13" x14ac:dyDescent="0.2">
      <c r="B41" s="311">
        <v>76</v>
      </c>
      <c r="C41" s="311">
        <v>125</v>
      </c>
      <c r="D41" s="372">
        <v>2.5000000000000001E-2</v>
      </c>
    </row>
  </sheetData>
  <mergeCells count="12">
    <mergeCell ref="I6:I7"/>
    <mergeCell ref="J6:J7"/>
    <mergeCell ref="H6:H7"/>
    <mergeCell ref="B2:F2"/>
    <mergeCell ref="B26:D26"/>
    <mergeCell ref="B31:D31"/>
    <mergeCell ref="B37:D37"/>
    <mergeCell ref="B34:C34"/>
    <mergeCell ref="B27:D27"/>
    <mergeCell ref="B28:C28"/>
    <mergeCell ref="B32:C32"/>
    <mergeCell ref="B33:C33"/>
  </mergeCells>
  <phoneticPr fontId="87" type="noConversion"/>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0212C-2055-4836-A320-628DE3C107A2}">
  <sheetPr codeName="Sheet_Ref98">
    <tabColor rgb="FFFFFF00"/>
  </sheetPr>
  <dimension ref="A1:S132"/>
  <sheetViews>
    <sheetView showGridLines="0" zoomScale="70" zoomScaleNormal="70" workbookViewId="0">
      <selection activeCell="B5" sqref="B5"/>
    </sheetView>
  </sheetViews>
  <sheetFormatPr defaultColWidth="8.85546875" defaultRowHeight="12.75" x14ac:dyDescent="0.2"/>
  <cols>
    <col min="1" max="1" width="8.85546875" style="22"/>
    <col min="2" max="2" width="23.5703125" style="22" customWidth="1"/>
    <col min="3" max="3" width="19.42578125" style="22" customWidth="1"/>
    <col min="4" max="4" width="10" style="22" bestFit="1" customWidth="1"/>
    <col min="5" max="7" width="9" style="22" bestFit="1" customWidth="1"/>
    <col min="8" max="8" width="19" style="22" customWidth="1"/>
    <col min="9" max="9" width="17.85546875" style="22" customWidth="1"/>
    <col min="10" max="11" width="8.85546875" style="22"/>
    <col min="12" max="12" width="9" style="22" bestFit="1" customWidth="1"/>
    <col min="13" max="13" width="13.28515625" style="22" customWidth="1"/>
    <col min="14" max="14" width="21.140625" style="22" customWidth="1"/>
    <col min="15" max="15" width="14.5703125" style="22" bestFit="1" customWidth="1"/>
    <col min="16" max="17" width="16.28515625" style="22" customWidth="1"/>
    <col min="18" max="19" width="14.5703125" style="22" bestFit="1" customWidth="1"/>
    <col min="20" max="16384" width="8.85546875" style="22"/>
  </cols>
  <sheetData>
    <row r="1" spans="1:19" x14ac:dyDescent="0.2">
      <c r="B1" s="22" t="s">
        <v>935</v>
      </c>
      <c r="H1" s="22" t="s">
        <v>936</v>
      </c>
      <c r="N1" s="22" t="s">
        <v>937</v>
      </c>
    </row>
    <row r="2" spans="1:19" x14ac:dyDescent="0.2">
      <c r="B2" s="135" t="s">
        <v>898</v>
      </c>
      <c r="C2" s="112">
        <f>IF(AND((MAX(B$2:B$2)+5)&gt;109,(MAX(B$2:B$2)+5)&lt;&gt;209,(MAX(B$2:B$2)+5)&lt;&gt;426,(MAX(B$2:B$2)+5)&lt;&gt;3380,(MAX(B$2:B$2)+5)&lt;&gt;29283),(MAX(B$2:B$2)+5),111)</f>
        <v>111</v>
      </c>
      <c r="D2" s="19" t="str">
        <f>IF($C$2+1=(COUNTA(Structures!E:E)+5),"rows number matched","rows mis-count")</f>
        <v>rows mis-count</v>
      </c>
      <c r="H2" s="112" t="s">
        <v>898</v>
      </c>
      <c r="I2" s="112">
        <f>IF(AND((MAX(H$2:H$3)+5)&gt;109,(MAX(H$2:H$3)+5)&lt;&gt;209,(MAX(H$2:H$3)+5)&lt;&gt;426,(MAX(H$2:H$3)+5)&lt;&gt;3380,(MAX(H$2:H$3)+5)&lt;&gt;29283,(MAX(H$2:H$3)+5)&lt;&gt;'Ref98'!$C$2,(MAX(H$2:H$3)+5)&lt;&gt;PlannedElem),(MAX(H$2:H$3)+5),222)</f>
        <v>222</v>
      </c>
      <c r="J2" s="19" t="str">
        <f>IF($I$2+1=(COUNTA(Elements!E:E)+5),"rows number matched","rows mis-count")</f>
        <v>rows mis-count</v>
      </c>
      <c r="N2" s="112" t="s">
        <v>745</v>
      </c>
      <c r="P2" s="138" t="s">
        <v>815</v>
      </c>
    </row>
    <row r="3" spans="1:19" x14ac:dyDescent="0.2">
      <c r="B3" s="135" t="s">
        <v>900</v>
      </c>
      <c r="C3" s="112">
        <f>SUM(Structures!F:F)</f>
        <v>0</v>
      </c>
      <c r="H3" s="112" t="s">
        <v>899</v>
      </c>
      <c r="I3" s="112">
        <f>COUNTA(Elements!D:D)-1</f>
        <v>0</v>
      </c>
      <c r="J3" s="19"/>
      <c r="N3" s="112">
        <f>IF(AND((COUNTA(Planned!F:F)+3)&gt;109,(COUNTA(Planned!F:F)+3)&lt;&gt;209,(COUNTA(Planned!F:F)+3)&lt;&gt;426,(COUNTA(Planned!F:F)+3)&lt;&gt;3380,(COUNTA(Planned!F:F)+3)&lt;&gt;29283,(COUNTA(Planned!F:F)+3)&lt;&gt;111,(COUNTA(Planned!F:F)+3)&lt;&gt;222),(COUNTA(Planned!F:F)+3),333)</f>
        <v>333</v>
      </c>
      <c r="O3" s="22" t="str">
        <f>'Main Page'!BO34</f>
        <v>V. poor condition, ECS5</v>
      </c>
      <c r="P3" s="139">
        <f>IF('Main Page'!CB34="Yes",1,0)</f>
        <v>1</v>
      </c>
    </row>
    <row r="4" spans="1:19" x14ac:dyDescent="0.2">
      <c r="O4" s="22">
        <f>'Main Page'!BO35</f>
        <v>0</v>
      </c>
      <c r="P4" s="139">
        <f>IF('Main Page'!CB35="Yes",1,0)</f>
        <v>0</v>
      </c>
    </row>
    <row r="5" spans="1:19" x14ac:dyDescent="0.2">
      <c r="O5" s="22" t="str">
        <f>'Main Page'!BO36</f>
        <v>Poor condition, ECS4</v>
      </c>
      <c r="P5" s="139">
        <f>IF('Main Page'!CB36="Yes",1,0)</f>
        <v>1</v>
      </c>
    </row>
    <row r="6" spans="1:19" x14ac:dyDescent="0.2">
      <c r="O6" s="22">
        <f>'Main Page'!BO37</f>
        <v>0</v>
      </c>
      <c r="P6" s="139">
        <f>IF('Main Page'!CB37="Yes",1,0)</f>
        <v>0</v>
      </c>
    </row>
    <row r="10" spans="1:19" x14ac:dyDescent="0.2">
      <c r="A10" s="19"/>
      <c r="B10" s="19"/>
      <c r="C10" s="19"/>
      <c r="D10" s="19"/>
      <c r="E10" s="19" t="s">
        <v>9</v>
      </c>
      <c r="F10" s="19"/>
      <c r="G10" s="19"/>
      <c r="H10" s="19"/>
      <c r="I10" s="114"/>
      <c r="J10" s="19"/>
      <c r="K10" s="19"/>
      <c r="L10" s="19"/>
      <c r="M10" s="114"/>
      <c r="N10" s="114"/>
      <c r="O10" s="114"/>
      <c r="P10" s="19"/>
      <c r="Q10" s="19"/>
      <c r="R10" s="114"/>
      <c r="S10" s="114"/>
    </row>
    <row r="11" spans="1:19" x14ac:dyDescent="0.2">
      <c r="A11" s="19"/>
      <c r="B11" s="143" t="s">
        <v>6</v>
      </c>
      <c r="C11" s="143" t="s">
        <v>5</v>
      </c>
      <c r="D11" s="143" t="s">
        <v>4</v>
      </c>
      <c r="E11" s="131" t="s">
        <v>3</v>
      </c>
      <c r="F11" s="131" t="s">
        <v>2</v>
      </c>
      <c r="G11" s="131" t="s">
        <v>1</v>
      </c>
      <c r="H11" s="131" t="s">
        <v>0</v>
      </c>
      <c r="I11" s="114"/>
      <c r="J11" s="19"/>
      <c r="K11" s="19"/>
      <c r="L11" s="19"/>
      <c r="M11" s="24" t="s">
        <v>789</v>
      </c>
      <c r="N11" s="24" t="s">
        <v>790</v>
      </c>
      <c r="O11" s="24" t="s">
        <v>7</v>
      </c>
      <c r="P11" s="24" t="s">
        <v>1193</v>
      </c>
      <c r="Q11" s="24" t="s">
        <v>1196</v>
      </c>
      <c r="R11" s="24" t="s">
        <v>1776</v>
      </c>
      <c r="S11" s="24" t="s">
        <v>1777</v>
      </c>
    </row>
    <row r="12" spans="1:19" x14ac:dyDescent="0.2">
      <c r="A12" s="19" t="s">
        <v>806</v>
      </c>
      <c r="B12" s="136">
        <f ca="1">COUNTIF('Y5'!DH:DH,"&gt;0")</f>
        <v>0</v>
      </c>
      <c r="C12" s="136">
        <f ca="1">COUNTIF('Y5'!DP:DP,1)</f>
        <v>0</v>
      </c>
      <c r="D12" s="136">
        <f>'LAMP Results'!D8</f>
        <v>0</v>
      </c>
      <c r="E12" s="136">
        <f>COUNTIFS('Y5'!C:C,"&gt;=5",'Y5'!DP:DP,1)</f>
        <v>0</v>
      </c>
      <c r="F12" s="136">
        <f>COUNTIFS('Y5'!C:C,"&gt;=4",'Y5'!DP:DP,1)-E12</f>
        <v>0</v>
      </c>
      <c r="G12" s="136">
        <f>COUNTIFS('Y5'!C:C,"&gt;=3",'Y5'!DP:DP,1)-E12-F12</f>
        <v>0</v>
      </c>
      <c r="H12" s="136">
        <f>COUNTIFS('Y5'!C:C,"&gt;=2",'Y5'!DP:DP,1)-E12-F12-G12</f>
        <v>0</v>
      </c>
      <c r="I12" s="19"/>
      <c r="J12" s="19"/>
      <c r="K12" s="19"/>
      <c r="L12" s="19">
        <v>1</v>
      </c>
      <c r="M12" s="137">
        <f>IF(AND($N12&gt;='Main Page'!$BW$19,$N12&lt;='Main Page'!$BY$19),'Main Page'!$CA$19,IF(AND($N12&gt;='Main Page'!$BW$20,$N12&lt;='Main Page'!$BY$20),'Main Page'!$CA$20,IF(AND($N12&gt;='Main Page'!$BW$21,$N12&lt;='Main Page'!$BY$21),'Main Page'!$CA$21,IF(AND($N12&gt;='Main Page'!$BW$22,$N12&lt;='Main Page'!$BY$22),'Main Page'!$CA$22,IF(AND($N12&gt;='Main Page'!$BW$23,$N12&lt;='Main Page'!$BY$23),'Main Page'!$CA$23,IF(AND($N12&gt;='Main Page'!$BW$24,$N12&lt;='Main Page'!$BY$24),'Main Page'!$CA$24,IF(AND($N12&gt;='Main Page'!$BW$25,$N12&lt;'Main Page'!$BY$25),'Main Page'!$CA$25,IF(AND($N12&gt;='Main Page'!$BW$26,$N12&lt;'Main Page'!$BY$26),'Main Page'!$CA$26,0))))))))</f>
        <v>0</v>
      </c>
      <c r="N12" s="116" t="str">
        <f>IF(L12&lt;='Main Page'!$CB$16,L12,"")</f>
        <v/>
      </c>
      <c r="O12" s="140">
        <f>IF(M12=0,0.0000000001,IF($N12&lt;='Main Page'!$CB$16,$M12,0))</f>
        <v>1E-10</v>
      </c>
      <c r="P12" s="175" t="str">
        <f>IF($N12&lt;='Ref15'!$C$39,'Ref15'!$D$39,IF($N12&lt;='Ref15'!$C$40,'Ref15'!$D$40,IF($N12&lt;='Ref15'!$C$41,'Ref15'!$D$41,"")))</f>
        <v/>
      </c>
      <c r="Q12" s="176">
        <v>1</v>
      </c>
      <c r="R12" s="140">
        <f t="shared" ref="R12:R43" ca="1" si="0">IFERROR(SUMIF(Pln_YearofWork,$N12,Pln_PlannedWorksCost),0)</f>
        <v>0</v>
      </c>
      <c r="S12" s="140">
        <f>IF($N12&lt;&gt;"",Routine!$G5,0)</f>
        <v>0</v>
      </c>
    </row>
    <row r="13" spans="1:19" x14ac:dyDescent="0.2">
      <c r="A13" s="19" t="s">
        <v>807</v>
      </c>
      <c r="B13" s="136">
        <f ca="1">COUNTIF(Yn!DH:DH,"&gt;0")</f>
        <v>0</v>
      </c>
      <c r="C13" s="136">
        <f ca="1">COUNTIF(Yn!DN:DN,1)</f>
        <v>0</v>
      </c>
      <c r="D13" s="136">
        <f>'LAMP Results'!D8</f>
        <v>0</v>
      </c>
      <c r="E13" s="136">
        <f>COUNTIFS(Yn!C:C,"&gt;=5",Yn!DN:DN,1)</f>
        <v>0</v>
      </c>
      <c r="F13" s="136">
        <f>COUNTIFS(Yn!C:C,"&gt;=4",Yn!DN:DN,1)-E13</f>
        <v>0</v>
      </c>
      <c r="G13" s="136">
        <f>COUNTIFS(Yn!C:C,"&gt;=3",Yn!DN:DN,1)-E13-F13</f>
        <v>0</v>
      </c>
      <c r="H13" s="136">
        <f>COUNTIFS(Yn!C:C,"&gt;=2",Yn!DN:DN,1)-E13-F13-G13</f>
        <v>0</v>
      </c>
      <c r="I13" s="19"/>
      <c r="J13" s="19"/>
      <c r="K13" s="19"/>
      <c r="L13" s="19">
        <v>2</v>
      </c>
      <c r="M13" s="137">
        <f>IF(AND($N13&gt;='Main Page'!$BW$19,$N13&lt;='Main Page'!$BY$19),'Main Page'!$CA$19,IF(AND($N13&gt;='Main Page'!$BW$20,$N13&lt;='Main Page'!$BY$20),'Main Page'!$CA$20,IF(AND($N13&gt;='Main Page'!$BW$21,$N13&lt;='Main Page'!$BY$21),'Main Page'!$CA$21,IF(AND($N13&gt;='Main Page'!$BW$22,$N13&lt;='Main Page'!$BY$22),'Main Page'!$CA$22,IF(AND($N13&gt;='Main Page'!$BW$23,$N13&lt;='Main Page'!$BY$23),'Main Page'!$CA$23,IF(AND($N13&gt;='Main Page'!$BW$24,$N13&lt;='Main Page'!$BY$24),'Main Page'!$CA$24,IF(AND($N13&gt;='Main Page'!$BW$25,$N13&lt;'Main Page'!$BY$25),'Main Page'!$CA$25,IF(AND($N13&gt;='Main Page'!$BW$26,$N13&lt;'Main Page'!$BY$26),'Main Page'!$CA$26,0))))))))</f>
        <v>0</v>
      </c>
      <c r="N13" s="116" t="str">
        <f>IF(L13&lt;='Main Page'!$CB$16,L13,"")</f>
        <v/>
      </c>
      <c r="O13" s="140">
        <f>IF(M13=0,0.0000000001,IF($N13&lt;='Main Page'!$CB$16,$M13,0))</f>
        <v>1E-10</v>
      </c>
      <c r="P13" s="175" t="str">
        <f>IF($N13&lt;='Ref15'!$C$39,'Ref15'!$D$39,IF($N13&lt;='Ref15'!$C$40,'Ref15'!$D$40,IF($N13&lt;='Ref15'!$C$41,'Ref15'!$D$41,"")))</f>
        <v/>
      </c>
      <c r="Q13" s="176" t="str">
        <f>IF(P13="","",Q12/(1+P13))</f>
        <v/>
      </c>
      <c r="R13" s="140">
        <f t="shared" ca="1" si="0"/>
        <v>0</v>
      </c>
      <c r="S13" s="140">
        <f>IF($N13&lt;&gt;"",Routine!$G6,0)</f>
        <v>0</v>
      </c>
    </row>
    <row r="14" spans="1:19" x14ac:dyDescent="0.2">
      <c r="A14" s="19"/>
      <c r="B14" s="19"/>
      <c r="C14" s="19"/>
      <c r="D14" s="19"/>
      <c r="E14" s="19"/>
      <c r="F14" s="19"/>
      <c r="G14" s="114"/>
      <c r="H14" s="19"/>
      <c r="I14" s="19"/>
      <c r="J14" s="19"/>
      <c r="K14" s="19"/>
      <c r="L14" s="19">
        <v>3</v>
      </c>
      <c r="M14" s="137">
        <f>IF(AND($N14&gt;='Main Page'!$BW$19,$N14&lt;='Main Page'!$BY$19),'Main Page'!$CA$19,IF(AND($N14&gt;='Main Page'!$BW$20,$N14&lt;='Main Page'!$BY$20),'Main Page'!$CA$20,IF(AND($N14&gt;='Main Page'!$BW$21,$N14&lt;='Main Page'!$BY$21),'Main Page'!$CA$21,IF(AND($N14&gt;='Main Page'!$BW$22,$N14&lt;='Main Page'!$BY$22),'Main Page'!$CA$22,IF(AND($N14&gt;='Main Page'!$BW$23,$N14&lt;='Main Page'!$BY$23),'Main Page'!$CA$23,IF(AND($N14&gt;='Main Page'!$BW$24,$N14&lt;='Main Page'!$BY$24),'Main Page'!$CA$24,IF(AND($N14&gt;='Main Page'!$BW$25,$N14&lt;'Main Page'!$BY$25),'Main Page'!$CA$25,IF(AND($N14&gt;='Main Page'!$BW$26,$N14&lt;'Main Page'!$BY$26),'Main Page'!$CA$26,0))))))))</f>
        <v>0</v>
      </c>
      <c r="N14" s="116" t="str">
        <f>IF(L14&lt;='Main Page'!$CB$16,L14,"")</f>
        <v/>
      </c>
      <c r="O14" s="140">
        <f>IF(M14=0,0.0000000001,IF($N14&lt;='Main Page'!$CB$16,$M14,0))</f>
        <v>1E-10</v>
      </c>
      <c r="P14" s="175" t="str">
        <f>IF($N14&lt;='Ref15'!$C$39,'Ref15'!$D$39,IF($N14&lt;='Ref15'!$C$40,'Ref15'!$D$40,IF($N14&lt;='Ref15'!$C$41,'Ref15'!$D$41,"")))</f>
        <v/>
      </c>
      <c r="Q14" s="176" t="str">
        <f t="shared" ref="Q14:Q77" si="1">IF(P14="","",Q13/(1+P14))</f>
        <v/>
      </c>
      <c r="R14" s="140">
        <f t="shared" ca="1" si="0"/>
        <v>0</v>
      </c>
      <c r="S14" s="140">
        <f>IF($N14&lt;&gt;"",Routine!$G7,0)</f>
        <v>0</v>
      </c>
    </row>
    <row r="15" spans="1:19" x14ac:dyDescent="0.2">
      <c r="A15" s="19"/>
      <c r="B15" s="114"/>
      <c r="C15" s="114"/>
      <c r="D15" s="114"/>
      <c r="E15" s="114"/>
      <c r="F15" s="114"/>
      <c r="G15" s="114"/>
      <c r="H15" s="114"/>
      <c r="I15" s="114"/>
      <c r="J15" s="114"/>
      <c r="K15" s="42"/>
      <c r="L15" s="19">
        <v>4</v>
      </c>
      <c r="M15" s="137">
        <f>IF(AND($N15&gt;='Main Page'!$BW$19,$N15&lt;='Main Page'!$BY$19),'Main Page'!$CA$19,IF(AND($N15&gt;='Main Page'!$BW$20,$N15&lt;='Main Page'!$BY$20),'Main Page'!$CA$20,IF(AND($N15&gt;='Main Page'!$BW$21,$N15&lt;='Main Page'!$BY$21),'Main Page'!$CA$21,IF(AND($N15&gt;='Main Page'!$BW$22,$N15&lt;='Main Page'!$BY$22),'Main Page'!$CA$22,IF(AND($N15&gt;='Main Page'!$BW$23,$N15&lt;='Main Page'!$BY$23),'Main Page'!$CA$23,IF(AND($N15&gt;='Main Page'!$BW$24,$N15&lt;='Main Page'!$BY$24),'Main Page'!$CA$24,IF(AND($N15&gt;='Main Page'!$BW$25,$N15&lt;'Main Page'!$BY$25),'Main Page'!$CA$25,IF(AND($N15&gt;='Main Page'!$BW$26,$N15&lt;'Main Page'!$BY$26),'Main Page'!$CA$26,0))))))))</f>
        <v>0</v>
      </c>
      <c r="N15" s="116" t="str">
        <f>IF(L15&lt;='Main Page'!$CB$16,L15,"")</f>
        <v/>
      </c>
      <c r="O15" s="140">
        <f>IF(M15=0,0.0000000001,IF($N15&lt;='Main Page'!$CB$16,$M15,0))</f>
        <v>1E-10</v>
      </c>
      <c r="P15" s="175" t="str">
        <f>IF($N15&lt;='Ref15'!$C$39,'Ref15'!$D$39,IF($N15&lt;='Ref15'!$C$40,'Ref15'!$D$40,IF($N15&lt;='Ref15'!$C$41,'Ref15'!$D$41,"")))</f>
        <v/>
      </c>
      <c r="Q15" s="176" t="str">
        <f t="shared" si="1"/>
        <v/>
      </c>
      <c r="R15" s="140">
        <f t="shared" ca="1" si="0"/>
        <v>0</v>
      </c>
      <c r="S15" s="140">
        <f>IF($N15&lt;&gt;"",Routine!$G8,0)</f>
        <v>0</v>
      </c>
    </row>
    <row r="16" spans="1:19" x14ac:dyDescent="0.2">
      <c r="A16" s="19"/>
      <c r="B16" s="114"/>
      <c r="C16" s="114"/>
      <c r="D16" s="114"/>
      <c r="E16" s="114"/>
      <c r="F16" s="114"/>
      <c r="G16" s="114"/>
      <c r="H16" s="114"/>
      <c r="I16" s="114"/>
      <c r="J16" s="114"/>
      <c r="K16" s="114"/>
      <c r="L16" s="19">
        <v>5</v>
      </c>
      <c r="M16" s="137">
        <f>IF(AND($N16&gt;='Main Page'!$BW$19,$N16&lt;='Main Page'!$BY$19),'Main Page'!$CA$19,IF(AND($N16&gt;='Main Page'!$BW$20,$N16&lt;='Main Page'!$BY$20),'Main Page'!$CA$20,IF(AND($N16&gt;='Main Page'!$BW$21,$N16&lt;='Main Page'!$BY$21),'Main Page'!$CA$21,IF(AND($N16&gt;='Main Page'!$BW$22,$N16&lt;='Main Page'!$BY$22),'Main Page'!$CA$22,IF(AND($N16&gt;='Main Page'!$BW$23,$N16&lt;='Main Page'!$BY$23),'Main Page'!$CA$23,IF(AND($N16&gt;='Main Page'!$BW$24,$N16&lt;='Main Page'!$BY$24),'Main Page'!$CA$24,IF(AND($N16&gt;='Main Page'!$BW$25,$N16&lt;'Main Page'!$BY$25),'Main Page'!$CA$25,IF(AND($N16&gt;='Main Page'!$BW$26,$N16&lt;'Main Page'!$BY$26),'Main Page'!$CA$26,0))))))))</f>
        <v>0</v>
      </c>
      <c r="N16" s="116" t="str">
        <f>IF(L16&lt;='Main Page'!$CB$16,L16,"")</f>
        <v/>
      </c>
      <c r="O16" s="140">
        <f>IF(M16=0,0.0000000001,IF($N16&lt;='Main Page'!$CB$16,$M16,0))</f>
        <v>1E-10</v>
      </c>
      <c r="P16" s="175" t="str">
        <f>IF($N16&lt;='Ref15'!$C$39,'Ref15'!$D$39,IF($N16&lt;='Ref15'!$C$40,'Ref15'!$D$40,IF($N16&lt;='Ref15'!$C$41,'Ref15'!$D$41,"")))</f>
        <v/>
      </c>
      <c r="Q16" s="176" t="str">
        <f t="shared" si="1"/>
        <v/>
      </c>
      <c r="R16" s="140">
        <f t="shared" ca="1" si="0"/>
        <v>0</v>
      </c>
      <c r="S16" s="140">
        <f>IF($N16&lt;&gt;"",Routine!$G9,0)</f>
        <v>0</v>
      </c>
    </row>
    <row r="17" spans="1:19" x14ac:dyDescent="0.2">
      <c r="A17" s="19"/>
      <c r="B17" s="114"/>
      <c r="C17" s="114"/>
      <c r="D17" s="114"/>
      <c r="E17" s="114"/>
      <c r="F17" s="114"/>
      <c r="G17" s="114"/>
      <c r="H17" s="114"/>
      <c r="I17" s="114"/>
      <c r="J17" s="114"/>
      <c r="K17" s="114"/>
      <c r="L17" s="19">
        <v>6</v>
      </c>
      <c r="M17" s="137">
        <f>IF(AND($N17&gt;='Main Page'!$BW$19,$N17&lt;='Main Page'!$BY$19),'Main Page'!$CA$19,IF(AND($N17&gt;='Main Page'!$BW$20,$N17&lt;='Main Page'!$BY$20),'Main Page'!$CA$20,IF(AND($N17&gt;='Main Page'!$BW$21,$N17&lt;='Main Page'!$BY$21),'Main Page'!$CA$21,IF(AND($N17&gt;='Main Page'!$BW$22,$N17&lt;='Main Page'!$BY$22),'Main Page'!$CA$22,IF(AND($N17&gt;='Main Page'!$BW$23,$N17&lt;='Main Page'!$BY$23),'Main Page'!$CA$23,IF(AND($N17&gt;='Main Page'!$BW$24,$N17&lt;='Main Page'!$BY$24),'Main Page'!$CA$24,IF(AND($N17&gt;='Main Page'!$BW$25,$N17&lt;'Main Page'!$BY$25),'Main Page'!$CA$25,IF(AND($N17&gt;='Main Page'!$BW$26,$N17&lt;'Main Page'!$BY$26),'Main Page'!$CA$26,0))))))))</f>
        <v>0</v>
      </c>
      <c r="N17" s="116" t="str">
        <f>IF(L17&lt;='Main Page'!$CB$16,L17,"")</f>
        <v/>
      </c>
      <c r="O17" s="140">
        <f>IF(M17=0,0.0000000001,IF($N17&lt;='Main Page'!$CB$16,$M17,0))</f>
        <v>1E-10</v>
      </c>
      <c r="P17" s="175" t="str">
        <f>IF($N17&lt;='Ref15'!$C$39,'Ref15'!$D$39,IF($N17&lt;='Ref15'!$C$40,'Ref15'!$D$40,IF($N17&lt;='Ref15'!$C$41,'Ref15'!$D$41,"")))</f>
        <v/>
      </c>
      <c r="Q17" s="176" t="str">
        <f t="shared" si="1"/>
        <v/>
      </c>
      <c r="R17" s="140">
        <f t="shared" ca="1" si="0"/>
        <v>0</v>
      </c>
      <c r="S17" s="140">
        <f>IF($N17&lt;&gt;"",Routine!$G10,0)</f>
        <v>0</v>
      </c>
    </row>
    <row r="18" spans="1:19" x14ac:dyDescent="0.2">
      <c r="A18" s="19"/>
      <c r="B18" s="114"/>
      <c r="C18" s="114"/>
      <c r="D18" s="114"/>
      <c r="E18" s="114"/>
      <c r="F18" s="114"/>
      <c r="G18" s="114"/>
      <c r="H18" s="114"/>
      <c r="I18" s="114"/>
      <c r="J18" s="114"/>
      <c r="K18" s="114"/>
      <c r="L18" s="19">
        <v>7</v>
      </c>
      <c r="M18" s="137">
        <f>IF(AND($N18&gt;='Main Page'!$BW$19,$N18&lt;='Main Page'!$BY$19),'Main Page'!$CA$19,IF(AND($N18&gt;='Main Page'!$BW$20,$N18&lt;='Main Page'!$BY$20),'Main Page'!$CA$20,IF(AND($N18&gt;='Main Page'!$BW$21,$N18&lt;='Main Page'!$BY$21),'Main Page'!$CA$21,IF(AND($N18&gt;='Main Page'!$BW$22,$N18&lt;='Main Page'!$BY$22),'Main Page'!$CA$22,IF(AND($N18&gt;='Main Page'!$BW$23,$N18&lt;='Main Page'!$BY$23),'Main Page'!$CA$23,IF(AND($N18&gt;='Main Page'!$BW$24,$N18&lt;='Main Page'!$BY$24),'Main Page'!$CA$24,IF(AND($N18&gt;='Main Page'!$BW$25,$N18&lt;'Main Page'!$BY$25),'Main Page'!$CA$25,IF(AND($N18&gt;='Main Page'!$BW$26,$N18&lt;'Main Page'!$BY$26),'Main Page'!$CA$26,0))))))))</f>
        <v>0</v>
      </c>
      <c r="N18" s="116" t="str">
        <f>IF(L18&lt;='Main Page'!$CB$16,L18,"")</f>
        <v/>
      </c>
      <c r="O18" s="140">
        <f>IF(M18=0,0.0000000001,IF($N18&lt;='Main Page'!$CB$16,$M18,0))</f>
        <v>1E-10</v>
      </c>
      <c r="P18" s="175" t="str">
        <f>IF($N18&lt;='Ref15'!$C$39,'Ref15'!$D$39,IF($N18&lt;='Ref15'!$C$40,'Ref15'!$D$40,IF($N18&lt;='Ref15'!$C$41,'Ref15'!$D$41,"")))</f>
        <v/>
      </c>
      <c r="Q18" s="176" t="str">
        <f t="shared" si="1"/>
        <v/>
      </c>
      <c r="R18" s="140">
        <f t="shared" ca="1" si="0"/>
        <v>0</v>
      </c>
      <c r="S18" s="140">
        <f>IF($N18&lt;&gt;"",Routine!$G11,0)</f>
        <v>0</v>
      </c>
    </row>
    <row r="19" spans="1:19" x14ac:dyDescent="0.2">
      <c r="A19" s="19"/>
      <c r="B19" s="114"/>
      <c r="C19" s="114"/>
      <c r="D19" s="114"/>
      <c r="E19" s="114"/>
      <c r="F19" s="114"/>
      <c r="G19" s="114"/>
      <c r="H19" s="114"/>
      <c r="I19" s="114"/>
      <c r="J19" s="114"/>
      <c r="K19" s="114"/>
      <c r="L19" s="19">
        <v>8</v>
      </c>
      <c r="M19" s="137">
        <f>IF(AND($N19&gt;='Main Page'!$BW$19,$N19&lt;='Main Page'!$BY$19),'Main Page'!$CA$19,IF(AND($N19&gt;='Main Page'!$BW$20,$N19&lt;='Main Page'!$BY$20),'Main Page'!$CA$20,IF(AND($N19&gt;='Main Page'!$BW$21,$N19&lt;='Main Page'!$BY$21),'Main Page'!$CA$21,IF(AND($N19&gt;='Main Page'!$BW$22,$N19&lt;='Main Page'!$BY$22),'Main Page'!$CA$22,IF(AND($N19&gt;='Main Page'!$BW$23,$N19&lt;='Main Page'!$BY$23),'Main Page'!$CA$23,IF(AND($N19&gt;='Main Page'!$BW$24,$N19&lt;='Main Page'!$BY$24),'Main Page'!$CA$24,IF(AND($N19&gt;='Main Page'!$BW$25,$N19&lt;'Main Page'!$BY$25),'Main Page'!$CA$25,IF(AND($N19&gt;='Main Page'!$BW$26,$N19&lt;'Main Page'!$BY$26),'Main Page'!$CA$26,0))))))))</f>
        <v>0</v>
      </c>
      <c r="N19" s="116" t="str">
        <f>IF(L19&lt;='Main Page'!$CB$16,L19,"")</f>
        <v/>
      </c>
      <c r="O19" s="140">
        <f>IF(M19=0,0.0000000001,IF($N19&lt;='Main Page'!$CB$16,$M19,0))</f>
        <v>1E-10</v>
      </c>
      <c r="P19" s="175" t="str">
        <f>IF($N19&lt;='Ref15'!$C$39,'Ref15'!$D$39,IF($N19&lt;='Ref15'!$C$40,'Ref15'!$D$40,IF($N19&lt;='Ref15'!$C$41,'Ref15'!$D$41,"")))</f>
        <v/>
      </c>
      <c r="Q19" s="176" t="str">
        <f t="shared" si="1"/>
        <v/>
      </c>
      <c r="R19" s="140">
        <f t="shared" ca="1" si="0"/>
        <v>0</v>
      </c>
      <c r="S19" s="140">
        <f>IF($N19&lt;&gt;"",Routine!$G12,0)</f>
        <v>0</v>
      </c>
    </row>
    <row r="20" spans="1:19" x14ac:dyDescent="0.2">
      <c r="A20" s="19"/>
      <c r="B20" s="114"/>
      <c r="C20" s="114"/>
      <c r="D20" s="114"/>
      <c r="E20" s="114"/>
      <c r="F20" s="114"/>
      <c r="G20" s="114"/>
      <c r="H20" s="114"/>
      <c r="I20" s="114"/>
      <c r="J20" s="114"/>
      <c r="K20" s="114"/>
      <c r="L20" s="19">
        <v>9</v>
      </c>
      <c r="M20" s="137">
        <f>IF(AND($N20&gt;='Main Page'!$BW$19,$N20&lt;='Main Page'!$BY$19),'Main Page'!$CA$19,IF(AND($N20&gt;='Main Page'!$BW$20,$N20&lt;='Main Page'!$BY$20),'Main Page'!$CA$20,IF(AND($N20&gt;='Main Page'!$BW$21,$N20&lt;='Main Page'!$BY$21),'Main Page'!$CA$21,IF(AND($N20&gt;='Main Page'!$BW$22,$N20&lt;='Main Page'!$BY$22),'Main Page'!$CA$22,IF(AND($N20&gt;='Main Page'!$BW$23,$N20&lt;='Main Page'!$BY$23),'Main Page'!$CA$23,IF(AND($N20&gt;='Main Page'!$BW$24,$N20&lt;='Main Page'!$BY$24),'Main Page'!$CA$24,IF(AND($N20&gt;='Main Page'!$BW$25,$N20&lt;'Main Page'!$BY$25),'Main Page'!$CA$25,IF(AND($N20&gt;='Main Page'!$BW$26,$N20&lt;'Main Page'!$BY$26),'Main Page'!$CA$26,0))))))))</f>
        <v>0</v>
      </c>
      <c r="N20" s="116" t="str">
        <f>IF(L20&lt;='Main Page'!$CB$16,L20,"")</f>
        <v/>
      </c>
      <c r="O20" s="140">
        <f>IF(M20=0,0.0000000001,IF($N20&lt;='Main Page'!$CB$16,$M20,0))</f>
        <v>1E-10</v>
      </c>
      <c r="P20" s="175" t="str">
        <f>IF($N20&lt;='Ref15'!$C$39,'Ref15'!$D$39,IF($N20&lt;='Ref15'!$C$40,'Ref15'!$D$40,IF($N20&lt;='Ref15'!$C$41,'Ref15'!$D$41,"")))</f>
        <v/>
      </c>
      <c r="Q20" s="176" t="str">
        <f t="shared" si="1"/>
        <v/>
      </c>
      <c r="R20" s="140">
        <f t="shared" ca="1" si="0"/>
        <v>0</v>
      </c>
      <c r="S20" s="140">
        <f>IF($N20&lt;&gt;"",Routine!$G13,0)</f>
        <v>0</v>
      </c>
    </row>
    <row r="21" spans="1:19" x14ac:dyDescent="0.2">
      <c r="A21" s="19"/>
      <c r="B21" s="114"/>
      <c r="C21" s="114"/>
      <c r="D21" s="114"/>
      <c r="E21" s="114"/>
      <c r="F21" s="114"/>
      <c r="G21" s="114"/>
      <c r="H21" s="114"/>
      <c r="I21" s="114"/>
      <c r="J21" s="114"/>
      <c r="K21" s="114"/>
      <c r="L21" s="19">
        <v>10</v>
      </c>
      <c r="M21" s="137">
        <f>IF(AND($N21&gt;='Main Page'!$BW$19,$N21&lt;='Main Page'!$BY$19),'Main Page'!$CA$19,IF(AND($N21&gt;='Main Page'!$BW$20,$N21&lt;='Main Page'!$BY$20),'Main Page'!$CA$20,IF(AND($N21&gt;='Main Page'!$BW$21,$N21&lt;='Main Page'!$BY$21),'Main Page'!$CA$21,IF(AND($N21&gt;='Main Page'!$BW$22,$N21&lt;='Main Page'!$BY$22),'Main Page'!$CA$22,IF(AND($N21&gt;='Main Page'!$BW$23,$N21&lt;='Main Page'!$BY$23),'Main Page'!$CA$23,IF(AND($N21&gt;='Main Page'!$BW$24,$N21&lt;='Main Page'!$BY$24),'Main Page'!$CA$24,IF(AND($N21&gt;='Main Page'!$BW$25,$N21&lt;'Main Page'!$BY$25),'Main Page'!$CA$25,IF(AND($N21&gt;='Main Page'!$BW$26,$N21&lt;'Main Page'!$BY$26),'Main Page'!$CA$26,0))))))))</f>
        <v>0</v>
      </c>
      <c r="N21" s="116" t="str">
        <f>IF(L21&lt;='Main Page'!$CB$16,L21,"")</f>
        <v/>
      </c>
      <c r="O21" s="140">
        <f>IF(M21=0,0.0000000001,IF($N21&lt;='Main Page'!$CB$16,$M21,0))</f>
        <v>1E-10</v>
      </c>
      <c r="P21" s="175" t="str">
        <f>IF($N21&lt;='Ref15'!$C$39,'Ref15'!$D$39,IF($N21&lt;='Ref15'!$C$40,'Ref15'!$D$40,IF($N21&lt;='Ref15'!$C$41,'Ref15'!$D$41,"")))</f>
        <v/>
      </c>
      <c r="Q21" s="176" t="str">
        <f t="shared" si="1"/>
        <v/>
      </c>
      <c r="R21" s="140">
        <f t="shared" ca="1" si="0"/>
        <v>0</v>
      </c>
      <c r="S21" s="140">
        <f>IF($N21&lt;&gt;"",Routine!$G14,0)</f>
        <v>0</v>
      </c>
    </row>
    <row r="22" spans="1:19" x14ac:dyDescent="0.2">
      <c r="A22" s="19"/>
      <c r="B22" s="114"/>
      <c r="C22" s="114"/>
      <c r="D22" s="114"/>
      <c r="E22" s="114"/>
      <c r="F22" s="114"/>
      <c r="G22" s="114"/>
      <c r="H22" s="114"/>
      <c r="I22" s="114"/>
      <c r="J22" s="114"/>
      <c r="K22" s="114"/>
      <c r="L22" s="19">
        <v>11</v>
      </c>
      <c r="M22" s="137">
        <f>IF(AND($N22&gt;='Main Page'!$BW$19,$N22&lt;='Main Page'!$BY$19),'Main Page'!$CA$19,IF(AND($N22&gt;='Main Page'!$BW$20,$N22&lt;='Main Page'!$BY$20),'Main Page'!$CA$20,IF(AND($N22&gt;='Main Page'!$BW$21,$N22&lt;='Main Page'!$BY$21),'Main Page'!$CA$21,IF(AND($N22&gt;='Main Page'!$BW$22,$N22&lt;='Main Page'!$BY$22),'Main Page'!$CA$22,IF(AND($N22&gt;='Main Page'!$BW$23,$N22&lt;='Main Page'!$BY$23),'Main Page'!$CA$23,IF(AND($N22&gt;='Main Page'!$BW$24,$N22&lt;='Main Page'!$BY$24),'Main Page'!$CA$24,IF(AND($N22&gt;='Main Page'!$BW$25,$N22&lt;'Main Page'!$BY$25),'Main Page'!$CA$25,IF(AND($N22&gt;='Main Page'!$BW$26,$N22&lt;'Main Page'!$BY$26),'Main Page'!$CA$26,0))))))))</f>
        <v>0</v>
      </c>
      <c r="N22" s="116" t="str">
        <f>IF(L22&lt;='Main Page'!$CB$16,L22,"")</f>
        <v/>
      </c>
      <c r="O22" s="140">
        <f>IF(M22=0,0.0000000001,IF($N22&lt;='Main Page'!$CB$16,$M22,0))</f>
        <v>1E-10</v>
      </c>
      <c r="P22" s="175" t="str">
        <f>IF($N22&lt;='Ref15'!$C$39,'Ref15'!$D$39,IF($N22&lt;='Ref15'!$C$40,'Ref15'!$D$40,IF($N22&lt;='Ref15'!$C$41,'Ref15'!$D$41,"")))</f>
        <v/>
      </c>
      <c r="Q22" s="176" t="str">
        <f t="shared" si="1"/>
        <v/>
      </c>
      <c r="R22" s="140">
        <f t="shared" ca="1" si="0"/>
        <v>0</v>
      </c>
      <c r="S22" s="140">
        <f>IF($N22&lt;&gt;"",Routine!$G15,0)</f>
        <v>0</v>
      </c>
    </row>
    <row r="23" spans="1:19" x14ac:dyDescent="0.2">
      <c r="A23" s="19"/>
      <c r="B23" s="114"/>
      <c r="C23" s="114"/>
      <c r="D23" s="114"/>
      <c r="E23" s="114"/>
      <c r="F23" s="114"/>
      <c r="G23" s="114"/>
      <c r="H23" s="114"/>
      <c r="I23" s="114"/>
      <c r="J23" s="114"/>
      <c r="K23" s="114"/>
      <c r="L23" s="19">
        <v>12</v>
      </c>
      <c r="M23" s="137">
        <f>IF(AND($N23&gt;='Main Page'!$BW$19,$N23&lt;='Main Page'!$BY$19),'Main Page'!$CA$19,IF(AND($N23&gt;='Main Page'!$BW$20,$N23&lt;='Main Page'!$BY$20),'Main Page'!$CA$20,IF(AND($N23&gt;='Main Page'!$BW$21,$N23&lt;='Main Page'!$BY$21),'Main Page'!$CA$21,IF(AND($N23&gt;='Main Page'!$BW$22,$N23&lt;='Main Page'!$BY$22),'Main Page'!$CA$22,IF(AND($N23&gt;='Main Page'!$BW$23,$N23&lt;='Main Page'!$BY$23),'Main Page'!$CA$23,IF(AND($N23&gt;='Main Page'!$BW$24,$N23&lt;='Main Page'!$BY$24),'Main Page'!$CA$24,IF(AND($N23&gt;='Main Page'!$BW$25,$N23&lt;'Main Page'!$BY$25),'Main Page'!$CA$25,IF(AND($N23&gt;='Main Page'!$BW$26,$N23&lt;'Main Page'!$BY$26),'Main Page'!$CA$26,0))))))))</f>
        <v>0</v>
      </c>
      <c r="N23" s="116" t="str">
        <f>IF(L23&lt;='Main Page'!$CB$16,L23,"")</f>
        <v/>
      </c>
      <c r="O23" s="140">
        <f>IF(M23=0,0.0000000001,IF($N23&lt;='Main Page'!$CB$16,$M23,0))</f>
        <v>1E-10</v>
      </c>
      <c r="P23" s="175" t="str">
        <f>IF($N23&lt;='Ref15'!$C$39,'Ref15'!$D$39,IF($N23&lt;='Ref15'!$C$40,'Ref15'!$D$40,IF($N23&lt;='Ref15'!$C$41,'Ref15'!$D$41,"")))</f>
        <v/>
      </c>
      <c r="Q23" s="176" t="str">
        <f t="shared" si="1"/>
        <v/>
      </c>
      <c r="R23" s="140">
        <f t="shared" ca="1" si="0"/>
        <v>0</v>
      </c>
      <c r="S23" s="140">
        <f>IF($N23&lt;&gt;"",Routine!$G16,0)</f>
        <v>0</v>
      </c>
    </row>
    <row r="24" spans="1:19" x14ac:dyDescent="0.2">
      <c r="A24" s="19"/>
      <c r="B24" s="114"/>
      <c r="C24" s="114"/>
      <c r="D24" s="114"/>
      <c r="E24" s="114"/>
      <c r="F24" s="114"/>
      <c r="G24" s="114"/>
      <c r="H24" s="114"/>
      <c r="I24" s="114"/>
      <c r="J24" s="114"/>
      <c r="K24" s="114"/>
      <c r="L24" s="19">
        <v>13</v>
      </c>
      <c r="M24" s="137">
        <f>IF(AND($N24&gt;='Main Page'!$BW$19,$N24&lt;='Main Page'!$BY$19),'Main Page'!$CA$19,IF(AND($N24&gt;='Main Page'!$BW$20,$N24&lt;='Main Page'!$BY$20),'Main Page'!$CA$20,IF(AND($N24&gt;='Main Page'!$BW$21,$N24&lt;='Main Page'!$BY$21),'Main Page'!$CA$21,IF(AND($N24&gt;='Main Page'!$BW$22,$N24&lt;='Main Page'!$BY$22),'Main Page'!$CA$22,IF(AND($N24&gt;='Main Page'!$BW$23,$N24&lt;='Main Page'!$BY$23),'Main Page'!$CA$23,IF(AND($N24&gt;='Main Page'!$BW$24,$N24&lt;='Main Page'!$BY$24),'Main Page'!$CA$24,IF(AND($N24&gt;='Main Page'!$BW$25,$N24&lt;'Main Page'!$BY$25),'Main Page'!$CA$25,IF(AND($N24&gt;='Main Page'!$BW$26,$N24&lt;'Main Page'!$BY$26),'Main Page'!$CA$26,0))))))))</f>
        <v>0</v>
      </c>
      <c r="N24" s="116" t="str">
        <f>IF(L24&lt;='Main Page'!$CB$16,L24,"")</f>
        <v/>
      </c>
      <c r="O24" s="140">
        <f>IF(M24=0,0.0000000001,IF($N24&lt;='Main Page'!$CB$16,$M24,0))</f>
        <v>1E-10</v>
      </c>
      <c r="P24" s="175" t="str">
        <f>IF($N24&lt;='Ref15'!$C$39,'Ref15'!$D$39,IF($N24&lt;='Ref15'!$C$40,'Ref15'!$D$40,IF($N24&lt;='Ref15'!$C$41,'Ref15'!$D$41,"")))</f>
        <v/>
      </c>
      <c r="Q24" s="176" t="str">
        <f t="shared" si="1"/>
        <v/>
      </c>
      <c r="R24" s="140">
        <f t="shared" ca="1" si="0"/>
        <v>0</v>
      </c>
      <c r="S24" s="140">
        <f>IF($N24&lt;&gt;"",Routine!$G17,0)</f>
        <v>0</v>
      </c>
    </row>
    <row r="25" spans="1:19" x14ac:dyDescent="0.2">
      <c r="A25" s="19"/>
      <c r="B25" s="141"/>
      <c r="C25" s="19"/>
      <c r="D25" s="19"/>
      <c r="E25" s="19"/>
      <c r="F25" s="142"/>
      <c r="G25" s="114"/>
      <c r="H25" s="19"/>
      <c r="I25" s="114"/>
      <c r="J25" s="114"/>
      <c r="K25" s="114"/>
      <c r="L25" s="19">
        <v>14</v>
      </c>
      <c r="M25" s="137">
        <f>IF(AND($N25&gt;='Main Page'!$BW$19,$N25&lt;='Main Page'!$BY$19),'Main Page'!$CA$19,IF(AND($N25&gt;='Main Page'!$BW$20,$N25&lt;='Main Page'!$BY$20),'Main Page'!$CA$20,IF(AND($N25&gt;='Main Page'!$BW$21,$N25&lt;='Main Page'!$BY$21),'Main Page'!$CA$21,IF(AND($N25&gt;='Main Page'!$BW$22,$N25&lt;='Main Page'!$BY$22),'Main Page'!$CA$22,IF(AND($N25&gt;='Main Page'!$BW$23,$N25&lt;='Main Page'!$BY$23),'Main Page'!$CA$23,IF(AND($N25&gt;='Main Page'!$BW$24,$N25&lt;='Main Page'!$BY$24),'Main Page'!$CA$24,IF(AND($N25&gt;='Main Page'!$BW$25,$N25&lt;'Main Page'!$BY$25),'Main Page'!$CA$25,IF(AND($N25&gt;='Main Page'!$BW$26,$N25&lt;'Main Page'!$BY$26),'Main Page'!$CA$26,0))))))))</f>
        <v>0</v>
      </c>
      <c r="N25" s="116" t="str">
        <f>IF(L25&lt;='Main Page'!$CB$16,L25,"")</f>
        <v/>
      </c>
      <c r="O25" s="140">
        <f>IF(M25=0,0.0000000001,IF($N25&lt;='Main Page'!$CB$16,$M25,0))</f>
        <v>1E-10</v>
      </c>
      <c r="P25" s="175" t="str">
        <f>IF($N25&lt;='Ref15'!$C$39,'Ref15'!$D$39,IF($N25&lt;='Ref15'!$C$40,'Ref15'!$D$40,IF($N25&lt;='Ref15'!$C$41,'Ref15'!$D$41,"")))</f>
        <v/>
      </c>
      <c r="Q25" s="176" t="str">
        <f t="shared" si="1"/>
        <v/>
      </c>
      <c r="R25" s="140">
        <f t="shared" ca="1" si="0"/>
        <v>0</v>
      </c>
      <c r="S25" s="140">
        <f>IF($N25&lt;&gt;"",Routine!$G18,0)</f>
        <v>0</v>
      </c>
    </row>
    <row r="26" spans="1:19" x14ac:dyDescent="0.2">
      <c r="A26" s="19"/>
      <c r="B26" s="141"/>
      <c r="C26" s="19"/>
      <c r="D26" s="19"/>
      <c r="E26" s="19"/>
      <c r="F26" s="142"/>
      <c r="G26" s="114"/>
      <c r="H26" s="19"/>
      <c r="I26" s="114"/>
      <c r="J26" s="114"/>
      <c r="K26" s="114"/>
      <c r="L26" s="19">
        <v>15</v>
      </c>
      <c r="M26" s="137">
        <f>IF(AND($N26&gt;='Main Page'!$BW$19,$N26&lt;='Main Page'!$BY$19),'Main Page'!$CA$19,IF(AND($N26&gt;='Main Page'!$BW$20,$N26&lt;='Main Page'!$BY$20),'Main Page'!$CA$20,IF(AND($N26&gt;='Main Page'!$BW$21,$N26&lt;='Main Page'!$BY$21),'Main Page'!$CA$21,IF(AND($N26&gt;='Main Page'!$BW$22,$N26&lt;='Main Page'!$BY$22),'Main Page'!$CA$22,IF(AND($N26&gt;='Main Page'!$BW$23,$N26&lt;='Main Page'!$BY$23),'Main Page'!$CA$23,IF(AND($N26&gt;='Main Page'!$BW$24,$N26&lt;='Main Page'!$BY$24),'Main Page'!$CA$24,IF(AND($N26&gt;='Main Page'!$BW$25,$N26&lt;'Main Page'!$BY$25),'Main Page'!$CA$25,IF(AND($N26&gt;='Main Page'!$BW$26,$N26&lt;'Main Page'!$BY$26),'Main Page'!$CA$26,0))))))))</f>
        <v>0</v>
      </c>
      <c r="N26" s="116" t="str">
        <f>IF(L26&lt;='Main Page'!$CB$16,L26,"")</f>
        <v/>
      </c>
      <c r="O26" s="140">
        <f>IF(M26=0,0.0000000001,IF($N26&lt;='Main Page'!$CB$16,$M26,0))</f>
        <v>1E-10</v>
      </c>
      <c r="P26" s="175" t="str">
        <f>IF($N26&lt;='Ref15'!$C$39,'Ref15'!$D$39,IF($N26&lt;='Ref15'!$C$40,'Ref15'!$D$40,IF($N26&lt;='Ref15'!$C$41,'Ref15'!$D$41,"")))</f>
        <v/>
      </c>
      <c r="Q26" s="176" t="str">
        <f t="shared" si="1"/>
        <v/>
      </c>
      <c r="R26" s="140">
        <f t="shared" ca="1" si="0"/>
        <v>0</v>
      </c>
      <c r="S26" s="140">
        <f>IF($N26&lt;&gt;"",Routine!$G19,0)</f>
        <v>0</v>
      </c>
    </row>
    <row r="27" spans="1:19" x14ac:dyDescent="0.2">
      <c r="A27" s="19"/>
      <c r="B27" s="141"/>
      <c r="C27" s="19"/>
      <c r="D27" s="19"/>
      <c r="E27" s="19"/>
      <c r="F27" s="142"/>
      <c r="G27" s="114"/>
      <c r="H27" s="19"/>
      <c r="I27" s="114"/>
      <c r="J27" s="114"/>
      <c r="K27" s="114"/>
      <c r="L27" s="19">
        <v>16</v>
      </c>
      <c r="M27" s="137">
        <f>IF(AND($N27&gt;='Main Page'!$BW$19,$N27&lt;='Main Page'!$BY$19),'Main Page'!$CA$19,IF(AND($N27&gt;='Main Page'!$BW$20,$N27&lt;='Main Page'!$BY$20),'Main Page'!$CA$20,IF(AND($N27&gt;='Main Page'!$BW$21,$N27&lt;='Main Page'!$BY$21),'Main Page'!$CA$21,IF(AND($N27&gt;='Main Page'!$BW$22,$N27&lt;='Main Page'!$BY$22),'Main Page'!$CA$22,IF(AND($N27&gt;='Main Page'!$BW$23,$N27&lt;='Main Page'!$BY$23),'Main Page'!$CA$23,IF(AND($N27&gt;='Main Page'!$BW$24,$N27&lt;='Main Page'!$BY$24),'Main Page'!$CA$24,IF(AND($N27&gt;='Main Page'!$BW$25,$N27&lt;'Main Page'!$BY$25),'Main Page'!$CA$25,IF(AND($N27&gt;='Main Page'!$BW$26,$N27&lt;'Main Page'!$BY$26),'Main Page'!$CA$26,0))))))))</f>
        <v>0</v>
      </c>
      <c r="N27" s="116" t="str">
        <f>IF(L27&lt;='Main Page'!$CB$16,L27,"")</f>
        <v/>
      </c>
      <c r="O27" s="140">
        <f>IF(M27=0,0.0000000001,IF($N27&lt;='Main Page'!$CB$16,$M27,0))</f>
        <v>1E-10</v>
      </c>
      <c r="P27" s="175" t="str">
        <f>IF($N27&lt;='Ref15'!$C$39,'Ref15'!$D$39,IF($N27&lt;='Ref15'!$C$40,'Ref15'!$D$40,IF($N27&lt;='Ref15'!$C$41,'Ref15'!$D$41,"")))</f>
        <v/>
      </c>
      <c r="Q27" s="176" t="str">
        <f t="shared" si="1"/>
        <v/>
      </c>
      <c r="R27" s="140">
        <f t="shared" ca="1" si="0"/>
        <v>0</v>
      </c>
      <c r="S27" s="140">
        <f>IF($N27&lt;&gt;"",Routine!$G20,0)</f>
        <v>0</v>
      </c>
    </row>
    <row r="28" spans="1:19" x14ac:dyDescent="0.2">
      <c r="A28" s="19"/>
      <c r="B28" s="19"/>
      <c r="C28" s="19"/>
      <c r="D28" s="19"/>
      <c r="E28" s="19"/>
      <c r="F28" s="19"/>
      <c r="G28" s="114"/>
      <c r="H28" s="114"/>
      <c r="I28" s="114"/>
      <c r="J28" s="114"/>
      <c r="K28" s="114"/>
      <c r="L28" s="19">
        <v>17</v>
      </c>
      <c r="M28" s="137">
        <f>IF(AND($N28&gt;='Main Page'!$BW$19,$N28&lt;='Main Page'!$BY$19),'Main Page'!$CA$19,IF(AND($N28&gt;='Main Page'!$BW$20,$N28&lt;='Main Page'!$BY$20),'Main Page'!$CA$20,IF(AND($N28&gt;='Main Page'!$BW$21,$N28&lt;='Main Page'!$BY$21),'Main Page'!$CA$21,IF(AND($N28&gt;='Main Page'!$BW$22,$N28&lt;='Main Page'!$BY$22),'Main Page'!$CA$22,IF(AND($N28&gt;='Main Page'!$BW$23,$N28&lt;='Main Page'!$BY$23),'Main Page'!$CA$23,IF(AND($N28&gt;='Main Page'!$BW$24,$N28&lt;='Main Page'!$BY$24),'Main Page'!$CA$24,IF(AND($N28&gt;='Main Page'!$BW$25,$N28&lt;'Main Page'!$BY$25),'Main Page'!$CA$25,IF(AND($N28&gt;='Main Page'!$BW$26,$N28&lt;'Main Page'!$BY$26),'Main Page'!$CA$26,0))))))))</f>
        <v>0</v>
      </c>
      <c r="N28" s="116" t="str">
        <f>IF(L28&lt;='Main Page'!$CB$16,L28,"")</f>
        <v/>
      </c>
      <c r="O28" s="140">
        <f>IF(M28=0,0.0000000001,IF($N28&lt;='Main Page'!$CB$16,$M28,0))</f>
        <v>1E-10</v>
      </c>
      <c r="P28" s="175" t="str">
        <f>IF($N28&lt;='Ref15'!$C$39,'Ref15'!$D$39,IF($N28&lt;='Ref15'!$C$40,'Ref15'!$D$40,IF($N28&lt;='Ref15'!$C$41,'Ref15'!$D$41,"")))</f>
        <v/>
      </c>
      <c r="Q28" s="176" t="str">
        <f t="shared" si="1"/>
        <v/>
      </c>
      <c r="R28" s="140">
        <f t="shared" ca="1" si="0"/>
        <v>0</v>
      </c>
      <c r="S28" s="140">
        <f>IF($N28&lt;&gt;"",Routine!$G21,0)</f>
        <v>0</v>
      </c>
    </row>
    <row r="29" spans="1:19" x14ac:dyDescent="0.2">
      <c r="A29" s="19"/>
      <c r="B29" s="19"/>
      <c r="C29" s="19"/>
      <c r="D29" s="19"/>
      <c r="E29" s="19"/>
      <c r="F29" s="19"/>
      <c r="G29" s="114"/>
      <c r="H29" s="114"/>
      <c r="I29" s="114"/>
      <c r="J29" s="114"/>
      <c r="K29" s="114"/>
      <c r="L29" s="19">
        <v>18</v>
      </c>
      <c r="M29" s="137">
        <f>IF(AND($N29&gt;='Main Page'!$BW$19,$N29&lt;='Main Page'!$BY$19),'Main Page'!$CA$19,IF(AND($N29&gt;='Main Page'!$BW$20,$N29&lt;='Main Page'!$BY$20),'Main Page'!$CA$20,IF(AND($N29&gt;='Main Page'!$BW$21,$N29&lt;='Main Page'!$BY$21),'Main Page'!$CA$21,IF(AND($N29&gt;='Main Page'!$BW$22,$N29&lt;='Main Page'!$BY$22),'Main Page'!$CA$22,IF(AND($N29&gt;='Main Page'!$BW$23,$N29&lt;='Main Page'!$BY$23),'Main Page'!$CA$23,IF(AND($N29&gt;='Main Page'!$BW$24,$N29&lt;='Main Page'!$BY$24),'Main Page'!$CA$24,IF(AND($N29&gt;='Main Page'!$BW$25,$N29&lt;'Main Page'!$BY$25),'Main Page'!$CA$25,IF(AND($N29&gt;='Main Page'!$BW$26,$N29&lt;'Main Page'!$BY$26),'Main Page'!$CA$26,0))))))))</f>
        <v>0</v>
      </c>
      <c r="N29" s="116" t="str">
        <f>IF(L29&lt;='Main Page'!$CB$16,L29,"")</f>
        <v/>
      </c>
      <c r="O29" s="140">
        <f>IF(M29=0,0.0000000001,IF($N29&lt;='Main Page'!$CB$16,$M29,0))</f>
        <v>1E-10</v>
      </c>
      <c r="P29" s="175" t="str">
        <f>IF($N29&lt;='Ref15'!$C$39,'Ref15'!$D$39,IF($N29&lt;='Ref15'!$C$40,'Ref15'!$D$40,IF($N29&lt;='Ref15'!$C$41,'Ref15'!$D$41,"")))</f>
        <v/>
      </c>
      <c r="Q29" s="176" t="str">
        <f t="shared" si="1"/>
        <v/>
      </c>
      <c r="R29" s="140">
        <f t="shared" ca="1" si="0"/>
        <v>0</v>
      </c>
      <c r="S29" s="140">
        <f>IF($N29&lt;&gt;"",Routine!$G22,0)</f>
        <v>0</v>
      </c>
    </row>
    <row r="30" spans="1:19" x14ac:dyDescent="0.2">
      <c r="A30" s="19"/>
      <c r="B30" s="19"/>
      <c r="C30" s="19"/>
      <c r="D30" s="19"/>
      <c r="E30" s="19"/>
      <c r="F30" s="19"/>
      <c r="G30" s="114"/>
      <c r="H30" s="114"/>
      <c r="I30" s="114"/>
      <c r="J30" s="114"/>
      <c r="K30" s="114"/>
      <c r="L30" s="19">
        <v>19</v>
      </c>
      <c r="M30" s="137">
        <f>IF(AND($N30&gt;='Main Page'!$BW$19,$N30&lt;='Main Page'!$BY$19),'Main Page'!$CA$19,IF(AND($N30&gt;='Main Page'!$BW$20,$N30&lt;='Main Page'!$BY$20),'Main Page'!$CA$20,IF(AND($N30&gt;='Main Page'!$BW$21,$N30&lt;='Main Page'!$BY$21),'Main Page'!$CA$21,IF(AND($N30&gt;='Main Page'!$BW$22,$N30&lt;='Main Page'!$BY$22),'Main Page'!$CA$22,IF(AND($N30&gt;='Main Page'!$BW$23,$N30&lt;='Main Page'!$BY$23),'Main Page'!$CA$23,IF(AND($N30&gt;='Main Page'!$BW$24,$N30&lt;='Main Page'!$BY$24),'Main Page'!$CA$24,IF(AND($N30&gt;='Main Page'!$BW$25,$N30&lt;'Main Page'!$BY$25),'Main Page'!$CA$25,IF(AND($N30&gt;='Main Page'!$BW$26,$N30&lt;'Main Page'!$BY$26),'Main Page'!$CA$26,0))))))))</f>
        <v>0</v>
      </c>
      <c r="N30" s="116" t="str">
        <f>IF(L30&lt;='Main Page'!$CB$16,L30,"")</f>
        <v/>
      </c>
      <c r="O30" s="140">
        <f>IF(M30=0,0.0000000001,IF($N30&lt;='Main Page'!$CB$16,$M30,0))</f>
        <v>1E-10</v>
      </c>
      <c r="P30" s="175" t="str">
        <f>IF($N30&lt;='Ref15'!$C$39,'Ref15'!$D$39,IF($N30&lt;='Ref15'!$C$40,'Ref15'!$D$40,IF($N30&lt;='Ref15'!$C$41,'Ref15'!$D$41,"")))</f>
        <v/>
      </c>
      <c r="Q30" s="176" t="str">
        <f t="shared" si="1"/>
        <v/>
      </c>
      <c r="R30" s="140">
        <f t="shared" ca="1" si="0"/>
        <v>0</v>
      </c>
      <c r="S30" s="140">
        <f>IF($N30&lt;&gt;"",Routine!$G23,0)</f>
        <v>0</v>
      </c>
    </row>
    <row r="31" spans="1:19" x14ac:dyDescent="0.2">
      <c r="A31" s="19"/>
      <c r="B31" s="19"/>
      <c r="C31" s="19"/>
      <c r="D31" s="19"/>
      <c r="E31" s="19"/>
      <c r="F31" s="19"/>
      <c r="G31" s="114"/>
      <c r="H31" s="114"/>
      <c r="I31" s="114"/>
      <c r="J31" s="114"/>
      <c r="K31" s="114"/>
      <c r="L31" s="19">
        <v>20</v>
      </c>
      <c r="M31" s="137">
        <f>IF(AND($N31&gt;='Main Page'!$BW$19,$N31&lt;='Main Page'!$BY$19),'Main Page'!$CA$19,IF(AND($N31&gt;='Main Page'!$BW$20,$N31&lt;='Main Page'!$BY$20),'Main Page'!$CA$20,IF(AND($N31&gt;='Main Page'!$BW$21,$N31&lt;='Main Page'!$BY$21),'Main Page'!$CA$21,IF(AND($N31&gt;='Main Page'!$BW$22,$N31&lt;='Main Page'!$BY$22),'Main Page'!$CA$22,IF(AND($N31&gt;='Main Page'!$BW$23,$N31&lt;='Main Page'!$BY$23),'Main Page'!$CA$23,IF(AND($N31&gt;='Main Page'!$BW$24,$N31&lt;='Main Page'!$BY$24),'Main Page'!$CA$24,IF(AND($N31&gt;='Main Page'!$BW$25,$N31&lt;'Main Page'!$BY$25),'Main Page'!$CA$25,IF(AND($N31&gt;='Main Page'!$BW$26,$N31&lt;'Main Page'!$BY$26),'Main Page'!$CA$26,0))))))))</f>
        <v>0</v>
      </c>
      <c r="N31" s="116" t="str">
        <f>IF(L31&lt;='Main Page'!$CB$16,L31,"")</f>
        <v/>
      </c>
      <c r="O31" s="140">
        <f>IF(M31=0,0.0000000001,IF($N31&lt;='Main Page'!$CB$16,$M31,0))</f>
        <v>1E-10</v>
      </c>
      <c r="P31" s="175" t="str">
        <f>IF($N31&lt;='Ref15'!$C$39,'Ref15'!$D$39,IF($N31&lt;='Ref15'!$C$40,'Ref15'!$D$40,IF($N31&lt;='Ref15'!$C$41,'Ref15'!$D$41,"")))</f>
        <v/>
      </c>
      <c r="Q31" s="176" t="str">
        <f t="shared" si="1"/>
        <v/>
      </c>
      <c r="R31" s="140">
        <f t="shared" ca="1" si="0"/>
        <v>0</v>
      </c>
      <c r="S31" s="140">
        <f>IF($N31&lt;&gt;"",Routine!$G24,0)</f>
        <v>0</v>
      </c>
    </row>
    <row r="32" spans="1:19" x14ac:dyDescent="0.2">
      <c r="A32" s="19"/>
      <c r="B32" s="19"/>
      <c r="C32" s="19"/>
      <c r="D32" s="19"/>
      <c r="E32" s="19"/>
      <c r="F32" s="19"/>
      <c r="G32" s="114"/>
      <c r="H32" s="114"/>
      <c r="I32" s="114"/>
      <c r="J32" s="114"/>
      <c r="K32" s="114"/>
      <c r="L32" s="19">
        <v>21</v>
      </c>
      <c r="M32" s="137">
        <f>IF(AND($N32&gt;='Main Page'!$BW$19,$N32&lt;='Main Page'!$BY$19),'Main Page'!$CA$19,IF(AND($N32&gt;='Main Page'!$BW$20,$N32&lt;='Main Page'!$BY$20),'Main Page'!$CA$20,IF(AND($N32&gt;='Main Page'!$BW$21,$N32&lt;='Main Page'!$BY$21),'Main Page'!$CA$21,IF(AND($N32&gt;='Main Page'!$BW$22,$N32&lt;='Main Page'!$BY$22),'Main Page'!$CA$22,IF(AND($N32&gt;='Main Page'!$BW$23,$N32&lt;='Main Page'!$BY$23),'Main Page'!$CA$23,IF(AND($N32&gt;='Main Page'!$BW$24,$N32&lt;='Main Page'!$BY$24),'Main Page'!$CA$24,IF(AND($N32&gt;='Main Page'!$BW$25,$N32&lt;'Main Page'!$BY$25),'Main Page'!$CA$25,IF(AND($N32&gt;='Main Page'!$BW$26,$N32&lt;'Main Page'!$BY$26),'Main Page'!$CA$26,0))))))))</f>
        <v>0</v>
      </c>
      <c r="N32" s="116" t="str">
        <f>IF(L32&lt;='Main Page'!$CB$16,L32,"")</f>
        <v/>
      </c>
      <c r="O32" s="140">
        <f>IF(M32=0,0.0000000001,IF($N32&lt;='Main Page'!$CB$16,$M32,0))</f>
        <v>1E-10</v>
      </c>
      <c r="P32" s="175" t="str">
        <f>IF($N32&lt;='Ref15'!$C$39,'Ref15'!$D$39,IF($N32&lt;='Ref15'!$C$40,'Ref15'!$D$40,IF($N32&lt;='Ref15'!$C$41,'Ref15'!$D$41,"")))</f>
        <v/>
      </c>
      <c r="Q32" s="176" t="str">
        <f t="shared" si="1"/>
        <v/>
      </c>
      <c r="R32" s="140">
        <f t="shared" ca="1" si="0"/>
        <v>0</v>
      </c>
      <c r="S32" s="140">
        <f>IF($N32&lt;&gt;"",Routine!$G25,0)</f>
        <v>0</v>
      </c>
    </row>
    <row r="33" spans="1:19" x14ac:dyDescent="0.2">
      <c r="A33" s="19"/>
      <c r="B33" s="19"/>
      <c r="C33" s="19"/>
      <c r="D33" s="19"/>
      <c r="E33" s="19"/>
      <c r="F33" s="19"/>
      <c r="G33" s="114"/>
      <c r="H33" s="114"/>
      <c r="I33" s="114"/>
      <c r="J33" s="114"/>
      <c r="K33" s="114"/>
      <c r="L33" s="19">
        <v>22</v>
      </c>
      <c r="M33" s="137">
        <f>IF(AND($N33&gt;='Main Page'!$BW$19,$N33&lt;='Main Page'!$BY$19),'Main Page'!$CA$19,IF(AND($N33&gt;='Main Page'!$BW$20,$N33&lt;='Main Page'!$BY$20),'Main Page'!$CA$20,IF(AND($N33&gt;='Main Page'!$BW$21,$N33&lt;='Main Page'!$BY$21),'Main Page'!$CA$21,IF(AND($N33&gt;='Main Page'!$BW$22,$N33&lt;='Main Page'!$BY$22),'Main Page'!$CA$22,IF(AND($N33&gt;='Main Page'!$BW$23,$N33&lt;='Main Page'!$BY$23),'Main Page'!$CA$23,IF(AND($N33&gt;='Main Page'!$BW$24,$N33&lt;='Main Page'!$BY$24),'Main Page'!$CA$24,IF(AND($N33&gt;='Main Page'!$BW$25,$N33&lt;'Main Page'!$BY$25),'Main Page'!$CA$25,IF(AND($N33&gt;='Main Page'!$BW$26,$N33&lt;'Main Page'!$BY$26),'Main Page'!$CA$26,0))))))))</f>
        <v>0</v>
      </c>
      <c r="N33" s="116" t="str">
        <f>IF(L33&lt;='Main Page'!$CB$16,L33,"")</f>
        <v/>
      </c>
      <c r="O33" s="140">
        <f>IF(M33=0,0.0000000001,IF($N33&lt;='Main Page'!$CB$16,$M33,0))</f>
        <v>1E-10</v>
      </c>
      <c r="P33" s="175" t="str">
        <f>IF($N33&lt;='Ref15'!$C$39,'Ref15'!$D$39,IF($N33&lt;='Ref15'!$C$40,'Ref15'!$D$40,IF($N33&lt;='Ref15'!$C$41,'Ref15'!$D$41,"")))</f>
        <v/>
      </c>
      <c r="Q33" s="176" t="str">
        <f t="shared" si="1"/>
        <v/>
      </c>
      <c r="R33" s="140">
        <f t="shared" ca="1" si="0"/>
        <v>0</v>
      </c>
      <c r="S33" s="140">
        <f>IF($N33&lt;&gt;"",Routine!$G26,0)</f>
        <v>0</v>
      </c>
    </row>
    <row r="34" spans="1:19" x14ac:dyDescent="0.2">
      <c r="A34" s="42"/>
      <c r="B34" s="19"/>
      <c r="C34" s="19"/>
      <c r="D34" s="19"/>
      <c r="E34" s="19"/>
      <c r="F34" s="19"/>
      <c r="G34" s="114"/>
      <c r="H34" s="114"/>
      <c r="I34" s="42"/>
      <c r="J34" s="114"/>
      <c r="K34" s="114"/>
      <c r="L34" s="19">
        <v>23</v>
      </c>
      <c r="M34" s="137">
        <f>IF(AND($N34&gt;='Main Page'!$BW$19,$N34&lt;='Main Page'!$BY$19),'Main Page'!$CA$19,IF(AND($N34&gt;='Main Page'!$BW$20,$N34&lt;='Main Page'!$BY$20),'Main Page'!$CA$20,IF(AND($N34&gt;='Main Page'!$BW$21,$N34&lt;='Main Page'!$BY$21),'Main Page'!$CA$21,IF(AND($N34&gt;='Main Page'!$BW$22,$N34&lt;='Main Page'!$BY$22),'Main Page'!$CA$22,IF(AND($N34&gt;='Main Page'!$BW$23,$N34&lt;='Main Page'!$BY$23),'Main Page'!$CA$23,IF(AND($N34&gt;='Main Page'!$BW$24,$N34&lt;='Main Page'!$BY$24),'Main Page'!$CA$24,IF(AND($N34&gt;='Main Page'!$BW$25,$N34&lt;'Main Page'!$BY$25),'Main Page'!$CA$25,IF(AND($N34&gt;='Main Page'!$BW$26,$N34&lt;'Main Page'!$BY$26),'Main Page'!$CA$26,0))))))))</f>
        <v>0</v>
      </c>
      <c r="N34" s="116" t="str">
        <f>IF(L34&lt;='Main Page'!$CB$16,L34,"")</f>
        <v/>
      </c>
      <c r="O34" s="140">
        <f>IF(M34=0,0.0000000001,IF($N34&lt;='Main Page'!$CB$16,$M34,0))</f>
        <v>1E-10</v>
      </c>
      <c r="P34" s="175" t="str">
        <f>IF($N34&lt;='Ref15'!$C$39,'Ref15'!$D$39,IF($N34&lt;='Ref15'!$C$40,'Ref15'!$D$40,IF($N34&lt;='Ref15'!$C$41,'Ref15'!$D$41,"")))</f>
        <v/>
      </c>
      <c r="Q34" s="176" t="str">
        <f t="shared" si="1"/>
        <v/>
      </c>
      <c r="R34" s="140">
        <f t="shared" ca="1" si="0"/>
        <v>0</v>
      </c>
      <c r="S34" s="140">
        <f>IF($N34&lt;&gt;"",Routine!$G27,0)</f>
        <v>0</v>
      </c>
    </row>
    <row r="35" spans="1:19" x14ac:dyDescent="0.2">
      <c r="A35" s="19"/>
      <c r="B35" s="19"/>
      <c r="C35" s="19"/>
      <c r="D35" s="19"/>
      <c r="E35" s="19"/>
      <c r="F35" s="19"/>
      <c r="G35" s="114"/>
      <c r="H35" s="114"/>
      <c r="I35" s="114"/>
      <c r="J35" s="114"/>
      <c r="K35" s="114"/>
      <c r="L35" s="19">
        <v>24</v>
      </c>
      <c r="M35" s="137">
        <f>IF(AND($N35&gt;='Main Page'!$BW$19,$N35&lt;='Main Page'!$BY$19),'Main Page'!$CA$19,IF(AND($N35&gt;='Main Page'!$BW$20,$N35&lt;='Main Page'!$BY$20),'Main Page'!$CA$20,IF(AND($N35&gt;='Main Page'!$BW$21,$N35&lt;='Main Page'!$BY$21),'Main Page'!$CA$21,IF(AND($N35&gt;='Main Page'!$BW$22,$N35&lt;='Main Page'!$BY$22),'Main Page'!$CA$22,IF(AND($N35&gt;='Main Page'!$BW$23,$N35&lt;='Main Page'!$BY$23),'Main Page'!$CA$23,IF(AND($N35&gt;='Main Page'!$BW$24,$N35&lt;='Main Page'!$BY$24),'Main Page'!$CA$24,IF(AND($N35&gt;='Main Page'!$BW$25,$N35&lt;'Main Page'!$BY$25),'Main Page'!$CA$25,IF(AND($N35&gt;='Main Page'!$BW$26,$N35&lt;'Main Page'!$BY$26),'Main Page'!$CA$26,0))))))))</f>
        <v>0</v>
      </c>
      <c r="N35" s="116" t="str">
        <f>IF(L35&lt;='Main Page'!$CB$16,L35,"")</f>
        <v/>
      </c>
      <c r="O35" s="140">
        <f>IF(M35=0,0.0000000001,IF($N35&lt;='Main Page'!$CB$16,$M35,0))</f>
        <v>1E-10</v>
      </c>
      <c r="P35" s="175" t="str">
        <f>IF($N35&lt;='Ref15'!$C$39,'Ref15'!$D$39,IF($N35&lt;='Ref15'!$C$40,'Ref15'!$D$40,IF($N35&lt;='Ref15'!$C$41,'Ref15'!$D$41,"")))</f>
        <v/>
      </c>
      <c r="Q35" s="176" t="str">
        <f t="shared" si="1"/>
        <v/>
      </c>
      <c r="R35" s="140">
        <f t="shared" ca="1" si="0"/>
        <v>0</v>
      </c>
      <c r="S35" s="140">
        <f>IF($N35&lt;&gt;"",Routine!$G28,0)</f>
        <v>0</v>
      </c>
    </row>
    <row r="36" spans="1:19" x14ac:dyDescent="0.2">
      <c r="A36" s="19"/>
      <c r="B36" s="19"/>
      <c r="C36" s="19"/>
      <c r="D36" s="19"/>
      <c r="E36" s="19"/>
      <c r="F36" s="19"/>
      <c r="G36" s="114"/>
      <c r="H36" s="114"/>
      <c r="I36" s="114"/>
      <c r="J36" s="114"/>
      <c r="K36" s="114"/>
      <c r="L36" s="19">
        <v>25</v>
      </c>
      <c r="M36" s="137">
        <f>IF(AND($N36&gt;='Main Page'!$BW$19,$N36&lt;='Main Page'!$BY$19),'Main Page'!$CA$19,IF(AND($N36&gt;='Main Page'!$BW$20,$N36&lt;='Main Page'!$BY$20),'Main Page'!$CA$20,IF(AND($N36&gt;='Main Page'!$BW$21,$N36&lt;='Main Page'!$BY$21),'Main Page'!$CA$21,IF(AND($N36&gt;='Main Page'!$BW$22,$N36&lt;='Main Page'!$BY$22),'Main Page'!$CA$22,IF(AND($N36&gt;='Main Page'!$BW$23,$N36&lt;='Main Page'!$BY$23),'Main Page'!$CA$23,IF(AND($N36&gt;='Main Page'!$BW$24,$N36&lt;='Main Page'!$BY$24),'Main Page'!$CA$24,IF(AND($N36&gt;='Main Page'!$BW$25,$N36&lt;'Main Page'!$BY$25),'Main Page'!$CA$25,IF(AND($N36&gt;='Main Page'!$BW$26,$N36&lt;'Main Page'!$BY$26),'Main Page'!$CA$26,0))))))))</f>
        <v>0</v>
      </c>
      <c r="N36" s="116" t="str">
        <f>IF(L36&lt;='Main Page'!$CB$16,L36,"")</f>
        <v/>
      </c>
      <c r="O36" s="140">
        <f>IF(M36=0,0.0000000001,IF($N36&lt;='Main Page'!$CB$16,$M36,0))</f>
        <v>1E-10</v>
      </c>
      <c r="P36" s="175" t="str">
        <f>IF($N36&lt;='Ref15'!$C$39,'Ref15'!$D$39,IF($N36&lt;='Ref15'!$C$40,'Ref15'!$D$40,IF($N36&lt;='Ref15'!$C$41,'Ref15'!$D$41,"")))</f>
        <v/>
      </c>
      <c r="Q36" s="176" t="str">
        <f t="shared" si="1"/>
        <v/>
      </c>
      <c r="R36" s="140">
        <f t="shared" ca="1" si="0"/>
        <v>0</v>
      </c>
      <c r="S36" s="140">
        <f>IF($N36&lt;&gt;"",Routine!$G29,0)</f>
        <v>0</v>
      </c>
    </row>
    <row r="37" spans="1:19" x14ac:dyDescent="0.2">
      <c r="A37" s="19"/>
      <c r="B37" s="19"/>
      <c r="C37" s="19"/>
      <c r="D37" s="19"/>
      <c r="E37" s="19"/>
      <c r="F37" s="19"/>
      <c r="G37" s="114"/>
      <c r="H37" s="114"/>
      <c r="I37" s="114"/>
      <c r="J37" s="114"/>
      <c r="K37" s="114"/>
      <c r="L37" s="19">
        <v>26</v>
      </c>
      <c r="M37" s="137">
        <f>IF(AND($N37&gt;='Main Page'!$BW$19,$N37&lt;='Main Page'!$BY$19),'Main Page'!$CA$19,IF(AND($N37&gt;='Main Page'!$BW$20,$N37&lt;='Main Page'!$BY$20),'Main Page'!$CA$20,IF(AND($N37&gt;='Main Page'!$BW$21,$N37&lt;='Main Page'!$BY$21),'Main Page'!$CA$21,IF(AND($N37&gt;='Main Page'!$BW$22,$N37&lt;='Main Page'!$BY$22),'Main Page'!$CA$22,IF(AND($N37&gt;='Main Page'!$BW$23,$N37&lt;='Main Page'!$BY$23),'Main Page'!$CA$23,IF(AND($N37&gt;='Main Page'!$BW$24,$N37&lt;='Main Page'!$BY$24),'Main Page'!$CA$24,IF(AND($N37&gt;='Main Page'!$BW$25,$N37&lt;'Main Page'!$BY$25),'Main Page'!$CA$25,IF(AND($N37&gt;='Main Page'!$BW$26,$N37&lt;'Main Page'!$BY$26),'Main Page'!$CA$26,0))))))))</f>
        <v>0</v>
      </c>
      <c r="N37" s="116" t="str">
        <f>IF(L37&lt;='Main Page'!$CB$16,L37,"")</f>
        <v/>
      </c>
      <c r="O37" s="140">
        <f>IF(M37=0,0.0000000001,IF($N37&lt;='Main Page'!$CB$16,$M37,0))</f>
        <v>1E-10</v>
      </c>
      <c r="P37" s="175" t="str">
        <f>IF($N37&lt;='Ref15'!$C$39,'Ref15'!$D$39,IF($N37&lt;='Ref15'!$C$40,'Ref15'!$D$40,IF($N37&lt;='Ref15'!$C$41,'Ref15'!$D$41,"")))</f>
        <v/>
      </c>
      <c r="Q37" s="176" t="str">
        <f t="shared" si="1"/>
        <v/>
      </c>
      <c r="R37" s="140">
        <f t="shared" ca="1" si="0"/>
        <v>0</v>
      </c>
      <c r="S37" s="140">
        <f>IF($N37&lt;&gt;"",Routine!$G30,0)</f>
        <v>0</v>
      </c>
    </row>
    <row r="38" spans="1:19" x14ac:dyDescent="0.2">
      <c r="A38" s="19"/>
      <c r="B38" s="19"/>
      <c r="C38" s="19"/>
      <c r="D38" s="19"/>
      <c r="E38" s="19"/>
      <c r="F38" s="19"/>
      <c r="G38" s="114"/>
      <c r="H38" s="114"/>
      <c r="I38" s="114"/>
      <c r="J38" s="114"/>
      <c r="K38" s="114"/>
      <c r="L38" s="19">
        <v>27</v>
      </c>
      <c r="M38" s="137">
        <f>IF(AND($N38&gt;='Main Page'!$BW$19,$N38&lt;='Main Page'!$BY$19),'Main Page'!$CA$19,IF(AND($N38&gt;='Main Page'!$BW$20,$N38&lt;='Main Page'!$BY$20),'Main Page'!$CA$20,IF(AND($N38&gt;='Main Page'!$BW$21,$N38&lt;='Main Page'!$BY$21),'Main Page'!$CA$21,IF(AND($N38&gt;='Main Page'!$BW$22,$N38&lt;='Main Page'!$BY$22),'Main Page'!$CA$22,IF(AND($N38&gt;='Main Page'!$BW$23,$N38&lt;='Main Page'!$BY$23),'Main Page'!$CA$23,IF(AND($N38&gt;='Main Page'!$BW$24,$N38&lt;='Main Page'!$BY$24),'Main Page'!$CA$24,IF(AND($N38&gt;='Main Page'!$BW$25,$N38&lt;'Main Page'!$BY$25),'Main Page'!$CA$25,IF(AND($N38&gt;='Main Page'!$BW$26,$N38&lt;'Main Page'!$BY$26),'Main Page'!$CA$26,0))))))))</f>
        <v>0</v>
      </c>
      <c r="N38" s="116" t="str">
        <f>IF(L38&lt;='Main Page'!$CB$16,L38,"")</f>
        <v/>
      </c>
      <c r="O38" s="140">
        <f>IF(M38=0,0.0000000001,IF($N38&lt;='Main Page'!$CB$16,$M38,0))</f>
        <v>1E-10</v>
      </c>
      <c r="P38" s="175" t="str">
        <f>IF($N38&lt;='Ref15'!$C$39,'Ref15'!$D$39,IF($N38&lt;='Ref15'!$C$40,'Ref15'!$D$40,IF($N38&lt;='Ref15'!$C$41,'Ref15'!$D$41,"")))</f>
        <v/>
      </c>
      <c r="Q38" s="176" t="str">
        <f t="shared" si="1"/>
        <v/>
      </c>
      <c r="R38" s="140">
        <f t="shared" ca="1" si="0"/>
        <v>0</v>
      </c>
      <c r="S38" s="140">
        <f>IF($N38&lt;&gt;"",Routine!$G31,0)</f>
        <v>0</v>
      </c>
    </row>
    <row r="39" spans="1:19" x14ac:dyDescent="0.2">
      <c r="A39" s="19"/>
      <c r="B39" s="19"/>
      <c r="C39" s="19"/>
      <c r="D39" s="19"/>
      <c r="E39" s="19"/>
      <c r="F39" s="19"/>
      <c r="G39" s="114"/>
      <c r="H39" s="114"/>
      <c r="I39" s="114"/>
      <c r="J39" s="114"/>
      <c r="K39" s="114"/>
      <c r="L39" s="19">
        <v>28</v>
      </c>
      <c r="M39" s="137">
        <f>IF(AND($N39&gt;='Main Page'!$BW$19,$N39&lt;='Main Page'!$BY$19),'Main Page'!$CA$19,IF(AND($N39&gt;='Main Page'!$BW$20,$N39&lt;='Main Page'!$BY$20),'Main Page'!$CA$20,IF(AND($N39&gt;='Main Page'!$BW$21,$N39&lt;='Main Page'!$BY$21),'Main Page'!$CA$21,IF(AND($N39&gt;='Main Page'!$BW$22,$N39&lt;='Main Page'!$BY$22),'Main Page'!$CA$22,IF(AND($N39&gt;='Main Page'!$BW$23,$N39&lt;='Main Page'!$BY$23),'Main Page'!$CA$23,IF(AND($N39&gt;='Main Page'!$BW$24,$N39&lt;='Main Page'!$BY$24),'Main Page'!$CA$24,IF(AND($N39&gt;='Main Page'!$BW$25,$N39&lt;'Main Page'!$BY$25),'Main Page'!$CA$25,IF(AND($N39&gt;='Main Page'!$BW$26,$N39&lt;'Main Page'!$BY$26),'Main Page'!$CA$26,0))))))))</f>
        <v>0</v>
      </c>
      <c r="N39" s="116" t="str">
        <f>IF(L39&lt;='Main Page'!$CB$16,L39,"")</f>
        <v/>
      </c>
      <c r="O39" s="140">
        <f>IF(M39=0,0.0000000001,IF($N39&lt;='Main Page'!$CB$16,$M39,0))</f>
        <v>1E-10</v>
      </c>
      <c r="P39" s="175" t="str">
        <f>IF($N39&lt;='Ref15'!$C$39,'Ref15'!$D$39,IF($N39&lt;='Ref15'!$C$40,'Ref15'!$D$40,IF($N39&lt;='Ref15'!$C$41,'Ref15'!$D$41,"")))</f>
        <v/>
      </c>
      <c r="Q39" s="176" t="str">
        <f t="shared" si="1"/>
        <v/>
      </c>
      <c r="R39" s="140">
        <f t="shared" ca="1" si="0"/>
        <v>0</v>
      </c>
      <c r="S39" s="140">
        <f>IF($N39&lt;&gt;"",Routine!$G32,0)</f>
        <v>0</v>
      </c>
    </row>
    <row r="40" spans="1:19" x14ac:dyDescent="0.2">
      <c r="A40" s="19"/>
      <c r="B40" s="19"/>
      <c r="C40" s="19"/>
      <c r="D40" s="19"/>
      <c r="E40" s="19"/>
      <c r="F40" s="19"/>
      <c r="G40" s="114"/>
      <c r="H40" s="114"/>
      <c r="I40" s="114"/>
      <c r="J40" s="114"/>
      <c r="K40" s="114"/>
      <c r="L40" s="19">
        <v>29</v>
      </c>
      <c r="M40" s="137">
        <f>IF(AND($N40&gt;='Main Page'!$BW$19,$N40&lt;='Main Page'!$BY$19),'Main Page'!$CA$19,IF(AND($N40&gt;='Main Page'!$BW$20,$N40&lt;='Main Page'!$BY$20),'Main Page'!$CA$20,IF(AND($N40&gt;='Main Page'!$BW$21,$N40&lt;='Main Page'!$BY$21),'Main Page'!$CA$21,IF(AND($N40&gt;='Main Page'!$BW$22,$N40&lt;='Main Page'!$BY$22),'Main Page'!$CA$22,IF(AND($N40&gt;='Main Page'!$BW$23,$N40&lt;='Main Page'!$BY$23),'Main Page'!$CA$23,IF(AND($N40&gt;='Main Page'!$BW$24,$N40&lt;='Main Page'!$BY$24),'Main Page'!$CA$24,IF(AND($N40&gt;='Main Page'!$BW$25,$N40&lt;'Main Page'!$BY$25),'Main Page'!$CA$25,IF(AND($N40&gt;='Main Page'!$BW$26,$N40&lt;'Main Page'!$BY$26),'Main Page'!$CA$26,0))))))))</f>
        <v>0</v>
      </c>
      <c r="N40" s="116" t="str">
        <f>IF(L40&lt;='Main Page'!$CB$16,L40,"")</f>
        <v/>
      </c>
      <c r="O40" s="140">
        <f>IF(M40=0,0.0000000001,IF($N40&lt;='Main Page'!$CB$16,$M40,0))</f>
        <v>1E-10</v>
      </c>
      <c r="P40" s="175" t="str">
        <f>IF($N40&lt;='Ref15'!$C$39,'Ref15'!$D$39,IF($N40&lt;='Ref15'!$C$40,'Ref15'!$D$40,IF($N40&lt;='Ref15'!$C$41,'Ref15'!$D$41,"")))</f>
        <v/>
      </c>
      <c r="Q40" s="176" t="str">
        <f t="shared" si="1"/>
        <v/>
      </c>
      <c r="R40" s="140">
        <f t="shared" ca="1" si="0"/>
        <v>0</v>
      </c>
      <c r="S40" s="140">
        <f>IF($N40&lt;&gt;"",Routine!$G33,0)</f>
        <v>0</v>
      </c>
    </row>
    <row r="41" spans="1:19" x14ac:dyDescent="0.2">
      <c r="A41" s="19"/>
      <c r="B41" s="19"/>
      <c r="C41" s="19"/>
      <c r="D41" s="19"/>
      <c r="E41" s="19"/>
      <c r="F41" s="19"/>
      <c r="G41" s="114"/>
      <c r="H41" s="114"/>
      <c r="I41" s="114"/>
      <c r="J41" s="114"/>
      <c r="K41" s="114"/>
      <c r="L41" s="19">
        <v>30</v>
      </c>
      <c r="M41" s="137">
        <f>IF(AND($N41&gt;='Main Page'!$BW$19,$N41&lt;='Main Page'!$BY$19),'Main Page'!$CA$19,IF(AND($N41&gt;='Main Page'!$BW$20,$N41&lt;='Main Page'!$BY$20),'Main Page'!$CA$20,IF(AND($N41&gt;='Main Page'!$BW$21,$N41&lt;='Main Page'!$BY$21),'Main Page'!$CA$21,IF(AND($N41&gt;='Main Page'!$BW$22,$N41&lt;='Main Page'!$BY$22),'Main Page'!$CA$22,IF(AND($N41&gt;='Main Page'!$BW$23,$N41&lt;='Main Page'!$BY$23),'Main Page'!$CA$23,IF(AND($N41&gt;='Main Page'!$BW$24,$N41&lt;='Main Page'!$BY$24),'Main Page'!$CA$24,IF(AND($N41&gt;='Main Page'!$BW$25,$N41&lt;'Main Page'!$BY$25),'Main Page'!$CA$25,IF(AND($N41&gt;='Main Page'!$BW$26,$N41&lt;'Main Page'!$BY$26),'Main Page'!$CA$26,0))))))))</f>
        <v>0</v>
      </c>
      <c r="N41" s="116" t="str">
        <f>IF(L41&lt;='Main Page'!$CB$16,L41,"")</f>
        <v/>
      </c>
      <c r="O41" s="140">
        <f>IF(M41=0,0.0000000001,IF($N41&lt;='Main Page'!$CB$16,$M41,0))</f>
        <v>1E-10</v>
      </c>
      <c r="P41" s="175" t="str">
        <f>IF($N41&lt;='Ref15'!$C$39,'Ref15'!$D$39,IF($N41&lt;='Ref15'!$C$40,'Ref15'!$D$40,IF($N41&lt;='Ref15'!$C$41,'Ref15'!$D$41,"")))</f>
        <v/>
      </c>
      <c r="Q41" s="176" t="str">
        <f t="shared" si="1"/>
        <v/>
      </c>
      <c r="R41" s="140">
        <f t="shared" ca="1" si="0"/>
        <v>0</v>
      </c>
      <c r="S41" s="140">
        <f>IF($N41&lt;&gt;"",Routine!$G34,0)</f>
        <v>0</v>
      </c>
    </row>
    <row r="42" spans="1:19" x14ac:dyDescent="0.2">
      <c r="A42" s="19"/>
      <c r="B42" s="19"/>
      <c r="C42" s="19"/>
      <c r="D42" s="19"/>
      <c r="E42" s="19"/>
      <c r="F42" s="19"/>
      <c r="G42" s="114"/>
      <c r="H42" s="114"/>
      <c r="I42" s="114"/>
      <c r="J42" s="114"/>
      <c r="K42" s="114"/>
      <c r="L42" s="19">
        <v>31</v>
      </c>
      <c r="M42" s="137">
        <f>IF(AND($N42&gt;='Main Page'!$BW$19,$N42&lt;='Main Page'!$BY$19),'Main Page'!$CA$19,IF(AND($N42&gt;='Main Page'!$BW$20,$N42&lt;='Main Page'!$BY$20),'Main Page'!$CA$20,IF(AND($N42&gt;='Main Page'!$BW$21,$N42&lt;='Main Page'!$BY$21),'Main Page'!$CA$21,IF(AND($N42&gt;='Main Page'!$BW$22,$N42&lt;='Main Page'!$BY$22),'Main Page'!$CA$22,IF(AND($N42&gt;='Main Page'!$BW$23,$N42&lt;='Main Page'!$BY$23),'Main Page'!$CA$23,IF(AND($N42&gt;='Main Page'!$BW$24,$N42&lt;='Main Page'!$BY$24),'Main Page'!$CA$24,IF(AND($N42&gt;='Main Page'!$BW$25,$N42&lt;'Main Page'!$BY$25),'Main Page'!$CA$25,IF(AND($N42&gt;='Main Page'!$BW$26,$N42&lt;'Main Page'!$BY$26),'Main Page'!$CA$26,0))))))))</f>
        <v>0</v>
      </c>
      <c r="N42" s="116" t="str">
        <f>IF(L42&lt;='Main Page'!$CB$16,L42,"")</f>
        <v/>
      </c>
      <c r="O42" s="140">
        <f>IF(M42=0,0.0000000001,IF($N42&lt;='Main Page'!$CB$16,$M42,0))</f>
        <v>1E-10</v>
      </c>
      <c r="P42" s="175" t="str">
        <f>IF($N42&lt;='Ref15'!$C$39,'Ref15'!$D$39,IF($N42&lt;='Ref15'!$C$40,'Ref15'!$D$40,IF($N42&lt;='Ref15'!$C$41,'Ref15'!$D$41,"")))</f>
        <v/>
      </c>
      <c r="Q42" s="176" t="str">
        <f t="shared" si="1"/>
        <v/>
      </c>
      <c r="R42" s="140">
        <f t="shared" ca="1" si="0"/>
        <v>0</v>
      </c>
      <c r="S42" s="140">
        <f>IF($N42&lt;&gt;"",Routine!$G35,0)</f>
        <v>0</v>
      </c>
    </row>
    <row r="43" spans="1:19" x14ac:dyDescent="0.2">
      <c r="A43" s="19"/>
      <c r="B43" s="19"/>
      <c r="C43" s="19"/>
      <c r="D43" s="19"/>
      <c r="E43" s="19"/>
      <c r="F43" s="19"/>
      <c r="G43" s="114"/>
      <c r="H43" s="114"/>
      <c r="I43" s="114"/>
      <c r="J43" s="114"/>
      <c r="K43" s="114"/>
      <c r="L43" s="19">
        <v>32</v>
      </c>
      <c r="M43" s="137">
        <f>IF(AND($N43&gt;='Main Page'!$BW$19,$N43&lt;='Main Page'!$BY$19),'Main Page'!$CA$19,IF(AND($N43&gt;='Main Page'!$BW$20,$N43&lt;='Main Page'!$BY$20),'Main Page'!$CA$20,IF(AND($N43&gt;='Main Page'!$BW$21,$N43&lt;='Main Page'!$BY$21),'Main Page'!$CA$21,IF(AND($N43&gt;='Main Page'!$BW$22,$N43&lt;='Main Page'!$BY$22),'Main Page'!$CA$22,IF(AND($N43&gt;='Main Page'!$BW$23,$N43&lt;='Main Page'!$BY$23),'Main Page'!$CA$23,IF(AND($N43&gt;='Main Page'!$BW$24,$N43&lt;='Main Page'!$BY$24),'Main Page'!$CA$24,IF(AND($N43&gt;='Main Page'!$BW$25,$N43&lt;'Main Page'!$BY$25),'Main Page'!$CA$25,IF(AND($N43&gt;='Main Page'!$BW$26,$N43&lt;'Main Page'!$BY$26),'Main Page'!$CA$26,0))))))))</f>
        <v>0</v>
      </c>
      <c r="N43" s="116" t="str">
        <f>IF(L43&lt;='Main Page'!$CB$16,L43,"")</f>
        <v/>
      </c>
      <c r="O43" s="140">
        <f>IF(M43=0,0.0000000001,IF($N43&lt;='Main Page'!$CB$16,$M43,0))</f>
        <v>1E-10</v>
      </c>
      <c r="P43" s="175" t="str">
        <f>IF($N43&lt;='Ref15'!$C$39,'Ref15'!$D$39,IF($N43&lt;='Ref15'!$C$40,'Ref15'!$D$40,IF($N43&lt;='Ref15'!$C$41,'Ref15'!$D$41,"")))</f>
        <v/>
      </c>
      <c r="Q43" s="176" t="str">
        <f t="shared" si="1"/>
        <v/>
      </c>
      <c r="R43" s="140">
        <f t="shared" ca="1" si="0"/>
        <v>0</v>
      </c>
      <c r="S43" s="140">
        <f>IF($N43&lt;&gt;"",Routine!$G36,0)</f>
        <v>0</v>
      </c>
    </row>
    <row r="44" spans="1:19" x14ac:dyDescent="0.2">
      <c r="A44" s="19"/>
      <c r="B44" s="19"/>
      <c r="C44" s="19"/>
      <c r="D44" s="19"/>
      <c r="E44" s="19"/>
      <c r="F44" s="19"/>
      <c r="G44" s="114"/>
      <c r="H44" s="114"/>
      <c r="I44" s="114"/>
      <c r="J44" s="114"/>
      <c r="K44" s="114"/>
      <c r="L44" s="19">
        <v>33</v>
      </c>
      <c r="M44" s="137">
        <f>IF(AND($N44&gt;='Main Page'!$BW$19,$N44&lt;='Main Page'!$BY$19),'Main Page'!$CA$19,IF(AND($N44&gt;='Main Page'!$BW$20,$N44&lt;='Main Page'!$BY$20),'Main Page'!$CA$20,IF(AND($N44&gt;='Main Page'!$BW$21,$N44&lt;='Main Page'!$BY$21),'Main Page'!$CA$21,IF(AND($N44&gt;='Main Page'!$BW$22,$N44&lt;='Main Page'!$BY$22),'Main Page'!$CA$22,IF(AND($N44&gt;='Main Page'!$BW$23,$N44&lt;='Main Page'!$BY$23),'Main Page'!$CA$23,IF(AND($N44&gt;='Main Page'!$BW$24,$N44&lt;='Main Page'!$BY$24),'Main Page'!$CA$24,IF(AND($N44&gt;='Main Page'!$BW$25,$N44&lt;'Main Page'!$BY$25),'Main Page'!$CA$25,IF(AND($N44&gt;='Main Page'!$BW$26,$N44&lt;'Main Page'!$BY$26),'Main Page'!$CA$26,0))))))))</f>
        <v>0</v>
      </c>
      <c r="N44" s="116" t="str">
        <f>IF(L44&lt;='Main Page'!$CB$16,L44,"")</f>
        <v/>
      </c>
      <c r="O44" s="140">
        <f>IF(M44=0,0.0000000001,IF($N44&lt;='Main Page'!$CB$16,$M44,0))</f>
        <v>1E-10</v>
      </c>
      <c r="P44" s="175" t="str">
        <f>IF($N44&lt;='Ref15'!$C$39,'Ref15'!$D$39,IF($N44&lt;='Ref15'!$C$40,'Ref15'!$D$40,IF($N44&lt;='Ref15'!$C$41,'Ref15'!$D$41,"")))</f>
        <v/>
      </c>
      <c r="Q44" s="176" t="str">
        <f t="shared" si="1"/>
        <v/>
      </c>
      <c r="R44" s="140">
        <f t="shared" ref="R44:R75" ca="1" si="2">IFERROR(SUMIF(Pln_YearofWork,$N44,Pln_PlannedWorksCost),0)</f>
        <v>0</v>
      </c>
      <c r="S44" s="140">
        <f>IF($N44&lt;&gt;"",Routine!$G37,0)</f>
        <v>0</v>
      </c>
    </row>
    <row r="45" spans="1:19" x14ac:dyDescent="0.2">
      <c r="A45" s="19"/>
      <c r="B45" s="19"/>
      <c r="C45" s="19"/>
      <c r="D45" s="19"/>
      <c r="E45" s="19"/>
      <c r="F45" s="19"/>
      <c r="G45" s="114"/>
      <c r="H45" s="114"/>
      <c r="I45" s="114"/>
      <c r="J45" s="114"/>
      <c r="K45" s="114"/>
      <c r="L45" s="19">
        <v>34</v>
      </c>
      <c r="M45" s="137">
        <f>IF(AND($N45&gt;='Main Page'!$BW$19,$N45&lt;='Main Page'!$BY$19),'Main Page'!$CA$19,IF(AND($N45&gt;='Main Page'!$BW$20,$N45&lt;='Main Page'!$BY$20),'Main Page'!$CA$20,IF(AND($N45&gt;='Main Page'!$BW$21,$N45&lt;='Main Page'!$BY$21),'Main Page'!$CA$21,IF(AND($N45&gt;='Main Page'!$BW$22,$N45&lt;='Main Page'!$BY$22),'Main Page'!$CA$22,IF(AND($N45&gt;='Main Page'!$BW$23,$N45&lt;='Main Page'!$BY$23),'Main Page'!$CA$23,IF(AND($N45&gt;='Main Page'!$BW$24,$N45&lt;='Main Page'!$BY$24),'Main Page'!$CA$24,IF(AND($N45&gt;='Main Page'!$BW$25,$N45&lt;'Main Page'!$BY$25),'Main Page'!$CA$25,IF(AND($N45&gt;='Main Page'!$BW$26,$N45&lt;'Main Page'!$BY$26),'Main Page'!$CA$26,0))))))))</f>
        <v>0</v>
      </c>
      <c r="N45" s="116" t="str">
        <f>IF(L45&lt;='Main Page'!$CB$16,L45,"")</f>
        <v/>
      </c>
      <c r="O45" s="140">
        <f>IF(M45=0,0.0000000001,IF($N45&lt;='Main Page'!$CB$16,$M45,0))</f>
        <v>1E-10</v>
      </c>
      <c r="P45" s="175" t="str">
        <f>IF($N45&lt;='Ref15'!$C$39,'Ref15'!$D$39,IF($N45&lt;='Ref15'!$C$40,'Ref15'!$D$40,IF($N45&lt;='Ref15'!$C$41,'Ref15'!$D$41,"")))</f>
        <v/>
      </c>
      <c r="Q45" s="176" t="str">
        <f t="shared" si="1"/>
        <v/>
      </c>
      <c r="R45" s="140">
        <f t="shared" ca="1" si="2"/>
        <v>0</v>
      </c>
      <c r="S45" s="140">
        <f>IF($N45&lt;&gt;"",Routine!$G38,0)</f>
        <v>0</v>
      </c>
    </row>
    <row r="46" spans="1:19" x14ac:dyDescent="0.2">
      <c r="A46" s="19"/>
      <c r="B46" s="19"/>
      <c r="C46" s="19"/>
      <c r="D46" s="19"/>
      <c r="E46" s="19"/>
      <c r="F46" s="19"/>
      <c r="G46" s="114"/>
      <c r="H46" s="114"/>
      <c r="I46" s="114"/>
      <c r="J46" s="114"/>
      <c r="K46" s="114"/>
      <c r="L46" s="19">
        <v>35</v>
      </c>
      <c r="M46" s="137">
        <f>IF(AND($N46&gt;='Main Page'!$BW$19,$N46&lt;='Main Page'!$BY$19),'Main Page'!$CA$19,IF(AND($N46&gt;='Main Page'!$BW$20,$N46&lt;='Main Page'!$BY$20),'Main Page'!$CA$20,IF(AND($N46&gt;='Main Page'!$BW$21,$N46&lt;='Main Page'!$BY$21),'Main Page'!$CA$21,IF(AND($N46&gt;='Main Page'!$BW$22,$N46&lt;='Main Page'!$BY$22),'Main Page'!$CA$22,IF(AND($N46&gt;='Main Page'!$BW$23,$N46&lt;='Main Page'!$BY$23),'Main Page'!$CA$23,IF(AND($N46&gt;='Main Page'!$BW$24,$N46&lt;='Main Page'!$BY$24),'Main Page'!$CA$24,IF(AND($N46&gt;='Main Page'!$BW$25,$N46&lt;'Main Page'!$BY$25),'Main Page'!$CA$25,IF(AND($N46&gt;='Main Page'!$BW$26,$N46&lt;'Main Page'!$BY$26),'Main Page'!$CA$26,0))))))))</f>
        <v>0</v>
      </c>
      <c r="N46" s="116" t="str">
        <f>IF(L46&lt;='Main Page'!$CB$16,L46,"")</f>
        <v/>
      </c>
      <c r="O46" s="140">
        <f>IF(M46=0,0.0000000001,IF($N46&lt;='Main Page'!$CB$16,$M46,0))</f>
        <v>1E-10</v>
      </c>
      <c r="P46" s="175" t="str">
        <f>IF($N46&lt;='Ref15'!$C$39,'Ref15'!$D$39,IF($N46&lt;='Ref15'!$C$40,'Ref15'!$D$40,IF($N46&lt;='Ref15'!$C$41,'Ref15'!$D$41,"")))</f>
        <v/>
      </c>
      <c r="Q46" s="176" t="str">
        <f t="shared" si="1"/>
        <v/>
      </c>
      <c r="R46" s="140">
        <f t="shared" ca="1" si="2"/>
        <v>0</v>
      </c>
      <c r="S46" s="140">
        <f>IF($N46&lt;&gt;"",Routine!$G39,0)</f>
        <v>0</v>
      </c>
    </row>
    <row r="47" spans="1:19" x14ac:dyDescent="0.2">
      <c r="A47" s="19"/>
      <c r="B47" s="19"/>
      <c r="C47" s="19"/>
      <c r="D47" s="19"/>
      <c r="E47" s="19"/>
      <c r="F47" s="19"/>
      <c r="G47" s="114"/>
      <c r="H47" s="114"/>
      <c r="I47" s="114"/>
      <c r="J47" s="114"/>
      <c r="K47" s="114"/>
      <c r="L47" s="19">
        <v>36</v>
      </c>
      <c r="M47" s="137">
        <f>IF(AND($N47&gt;='Main Page'!$BW$19,$N47&lt;='Main Page'!$BY$19),'Main Page'!$CA$19,IF(AND($N47&gt;='Main Page'!$BW$20,$N47&lt;='Main Page'!$BY$20),'Main Page'!$CA$20,IF(AND($N47&gt;='Main Page'!$BW$21,$N47&lt;='Main Page'!$BY$21),'Main Page'!$CA$21,IF(AND($N47&gt;='Main Page'!$BW$22,$N47&lt;='Main Page'!$BY$22),'Main Page'!$CA$22,IF(AND($N47&gt;='Main Page'!$BW$23,$N47&lt;='Main Page'!$BY$23),'Main Page'!$CA$23,IF(AND($N47&gt;='Main Page'!$BW$24,$N47&lt;='Main Page'!$BY$24),'Main Page'!$CA$24,IF(AND($N47&gt;='Main Page'!$BW$25,$N47&lt;'Main Page'!$BY$25),'Main Page'!$CA$25,IF(AND($N47&gt;='Main Page'!$BW$26,$N47&lt;'Main Page'!$BY$26),'Main Page'!$CA$26,0))))))))</f>
        <v>0</v>
      </c>
      <c r="N47" s="116" t="str">
        <f>IF(L47&lt;='Main Page'!$CB$16,L47,"")</f>
        <v/>
      </c>
      <c r="O47" s="140">
        <f>IF(M47=0,0.0000000001,IF($N47&lt;='Main Page'!$CB$16,$M47,0))</f>
        <v>1E-10</v>
      </c>
      <c r="P47" s="175" t="str">
        <f>IF($N47&lt;='Ref15'!$C$39,'Ref15'!$D$39,IF($N47&lt;='Ref15'!$C$40,'Ref15'!$D$40,IF($N47&lt;='Ref15'!$C$41,'Ref15'!$D$41,"")))</f>
        <v/>
      </c>
      <c r="Q47" s="176" t="str">
        <f t="shared" si="1"/>
        <v/>
      </c>
      <c r="R47" s="140">
        <f t="shared" ca="1" si="2"/>
        <v>0</v>
      </c>
      <c r="S47" s="140">
        <f>IF($N47&lt;&gt;"",Routine!$G40,0)</f>
        <v>0</v>
      </c>
    </row>
    <row r="48" spans="1:19" x14ac:dyDescent="0.2">
      <c r="A48" s="19"/>
      <c r="B48" s="19"/>
      <c r="C48" s="19"/>
      <c r="D48" s="19"/>
      <c r="E48" s="19"/>
      <c r="F48" s="19"/>
      <c r="G48" s="114"/>
      <c r="H48" s="114"/>
      <c r="I48" s="114"/>
      <c r="J48" s="114"/>
      <c r="K48" s="114"/>
      <c r="L48" s="19">
        <v>37</v>
      </c>
      <c r="M48" s="137">
        <f>IF(AND($N48&gt;='Main Page'!$BW$19,$N48&lt;='Main Page'!$BY$19),'Main Page'!$CA$19,IF(AND($N48&gt;='Main Page'!$BW$20,$N48&lt;='Main Page'!$BY$20),'Main Page'!$CA$20,IF(AND($N48&gt;='Main Page'!$BW$21,$N48&lt;='Main Page'!$BY$21),'Main Page'!$CA$21,IF(AND($N48&gt;='Main Page'!$BW$22,$N48&lt;='Main Page'!$BY$22),'Main Page'!$CA$22,IF(AND($N48&gt;='Main Page'!$BW$23,$N48&lt;='Main Page'!$BY$23),'Main Page'!$CA$23,IF(AND($N48&gt;='Main Page'!$BW$24,$N48&lt;='Main Page'!$BY$24),'Main Page'!$CA$24,IF(AND($N48&gt;='Main Page'!$BW$25,$N48&lt;'Main Page'!$BY$25),'Main Page'!$CA$25,IF(AND($N48&gt;='Main Page'!$BW$26,$N48&lt;'Main Page'!$BY$26),'Main Page'!$CA$26,0))))))))</f>
        <v>0</v>
      </c>
      <c r="N48" s="116" t="str">
        <f>IF(L48&lt;='Main Page'!$CB$16,L48,"")</f>
        <v/>
      </c>
      <c r="O48" s="140">
        <f>IF(M48=0,0.0000000001,IF($N48&lt;='Main Page'!$CB$16,$M48,0))</f>
        <v>1E-10</v>
      </c>
      <c r="P48" s="175" t="str">
        <f>IF($N48&lt;='Ref15'!$C$39,'Ref15'!$D$39,IF($N48&lt;='Ref15'!$C$40,'Ref15'!$D$40,IF($N48&lt;='Ref15'!$C$41,'Ref15'!$D$41,"")))</f>
        <v/>
      </c>
      <c r="Q48" s="176" t="str">
        <f t="shared" si="1"/>
        <v/>
      </c>
      <c r="R48" s="140">
        <f t="shared" ca="1" si="2"/>
        <v>0</v>
      </c>
      <c r="S48" s="140">
        <f>IF($N48&lt;&gt;"",Routine!$G41,0)</f>
        <v>0</v>
      </c>
    </row>
    <row r="49" spans="1:19" x14ac:dyDescent="0.2">
      <c r="A49" s="19"/>
      <c r="B49" s="19"/>
      <c r="C49" s="19"/>
      <c r="D49" s="19"/>
      <c r="E49" s="19"/>
      <c r="F49" s="19"/>
      <c r="G49" s="114"/>
      <c r="H49" s="114"/>
      <c r="I49" s="114"/>
      <c r="J49" s="114"/>
      <c r="K49" s="114"/>
      <c r="L49" s="19">
        <v>38</v>
      </c>
      <c r="M49" s="137">
        <f>IF(AND($N49&gt;='Main Page'!$BW$19,$N49&lt;='Main Page'!$BY$19),'Main Page'!$CA$19,IF(AND($N49&gt;='Main Page'!$BW$20,$N49&lt;='Main Page'!$BY$20),'Main Page'!$CA$20,IF(AND($N49&gt;='Main Page'!$BW$21,$N49&lt;='Main Page'!$BY$21),'Main Page'!$CA$21,IF(AND($N49&gt;='Main Page'!$BW$22,$N49&lt;='Main Page'!$BY$22),'Main Page'!$CA$22,IF(AND($N49&gt;='Main Page'!$BW$23,$N49&lt;='Main Page'!$BY$23),'Main Page'!$CA$23,IF(AND($N49&gt;='Main Page'!$BW$24,$N49&lt;='Main Page'!$BY$24),'Main Page'!$CA$24,IF(AND($N49&gt;='Main Page'!$BW$25,$N49&lt;'Main Page'!$BY$25),'Main Page'!$CA$25,IF(AND($N49&gt;='Main Page'!$BW$26,$N49&lt;'Main Page'!$BY$26),'Main Page'!$CA$26,0))))))))</f>
        <v>0</v>
      </c>
      <c r="N49" s="116" t="str">
        <f>IF(L49&lt;='Main Page'!$CB$16,L49,"")</f>
        <v/>
      </c>
      <c r="O49" s="140">
        <f>IF(M49=0,0.0000000001,IF($N49&lt;='Main Page'!$CB$16,$M49,0))</f>
        <v>1E-10</v>
      </c>
      <c r="P49" s="175" t="str">
        <f>IF($N49&lt;='Ref15'!$C$39,'Ref15'!$D$39,IF($N49&lt;='Ref15'!$C$40,'Ref15'!$D$40,IF($N49&lt;='Ref15'!$C$41,'Ref15'!$D$41,"")))</f>
        <v/>
      </c>
      <c r="Q49" s="176" t="str">
        <f t="shared" si="1"/>
        <v/>
      </c>
      <c r="R49" s="140">
        <f t="shared" ca="1" si="2"/>
        <v>0</v>
      </c>
      <c r="S49" s="140">
        <f>IF($N49&lt;&gt;"",Routine!$G42,0)</f>
        <v>0</v>
      </c>
    </row>
    <row r="50" spans="1:19" x14ac:dyDescent="0.2">
      <c r="A50" s="19"/>
      <c r="B50" s="19"/>
      <c r="C50" s="19"/>
      <c r="D50" s="19"/>
      <c r="E50" s="19"/>
      <c r="F50" s="19"/>
      <c r="G50" s="114"/>
      <c r="H50" s="114"/>
      <c r="I50" s="114"/>
      <c r="J50" s="114"/>
      <c r="K50" s="114"/>
      <c r="L50" s="19">
        <v>39</v>
      </c>
      <c r="M50" s="137">
        <f>IF(AND($N50&gt;='Main Page'!$BW$19,$N50&lt;='Main Page'!$BY$19),'Main Page'!$CA$19,IF(AND($N50&gt;='Main Page'!$BW$20,$N50&lt;='Main Page'!$BY$20),'Main Page'!$CA$20,IF(AND($N50&gt;='Main Page'!$BW$21,$N50&lt;='Main Page'!$BY$21),'Main Page'!$CA$21,IF(AND($N50&gt;='Main Page'!$BW$22,$N50&lt;='Main Page'!$BY$22),'Main Page'!$CA$22,IF(AND($N50&gt;='Main Page'!$BW$23,$N50&lt;='Main Page'!$BY$23),'Main Page'!$CA$23,IF(AND($N50&gt;='Main Page'!$BW$24,$N50&lt;='Main Page'!$BY$24),'Main Page'!$CA$24,IF(AND($N50&gt;='Main Page'!$BW$25,$N50&lt;'Main Page'!$BY$25),'Main Page'!$CA$25,IF(AND($N50&gt;='Main Page'!$BW$26,$N50&lt;'Main Page'!$BY$26),'Main Page'!$CA$26,0))))))))</f>
        <v>0</v>
      </c>
      <c r="N50" s="116" t="str">
        <f>IF(L50&lt;='Main Page'!$CB$16,L50,"")</f>
        <v/>
      </c>
      <c r="O50" s="140">
        <f>IF(M50=0,0.0000000001,IF($N50&lt;='Main Page'!$CB$16,$M50,0))</f>
        <v>1E-10</v>
      </c>
      <c r="P50" s="175" t="str">
        <f>IF($N50&lt;='Ref15'!$C$39,'Ref15'!$D$39,IF($N50&lt;='Ref15'!$C$40,'Ref15'!$D$40,IF($N50&lt;='Ref15'!$C$41,'Ref15'!$D$41,"")))</f>
        <v/>
      </c>
      <c r="Q50" s="176" t="str">
        <f t="shared" si="1"/>
        <v/>
      </c>
      <c r="R50" s="140">
        <f t="shared" ca="1" si="2"/>
        <v>0</v>
      </c>
      <c r="S50" s="140">
        <f>IF($N50&lt;&gt;"",Routine!$G43,0)</f>
        <v>0</v>
      </c>
    </row>
    <row r="51" spans="1:19" x14ac:dyDescent="0.2">
      <c r="A51" s="19"/>
      <c r="B51" s="19"/>
      <c r="C51" s="19"/>
      <c r="D51" s="19"/>
      <c r="E51" s="19"/>
      <c r="F51" s="19"/>
      <c r="G51" s="114"/>
      <c r="H51" s="114"/>
      <c r="I51" s="114"/>
      <c r="J51" s="114"/>
      <c r="K51" s="114"/>
      <c r="L51" s="19">
        <v>40</v>
      </c>
      <c r="M51" s="137">
        <f>IF(AND($N51&gt;='Main Page'!$BW$19,$N51&lt;='Main Page'!$BY$19),'Main Page'!$CA$19,IF(AND($N51&gt;='Main Page'!$BW$20,$N51&lt;='Main Page'!$BY$20),'Main Page'!$CA$20,IF(AND($N51&gt;='Main Page'!$BW$21,$N51&lt;='Main Page'!$BY$21),'Main Page'!$CA$21,IF(AND($N51&gt;='Main Page'!$BW$22,$N51&lt;='Main Page'!$BY$22),'Main Page'!$CA$22,IF(AND($N51&gt;='Main Page'!$BW$23,$N51&lt;='Main Page'!$BY$23),'Main Page'!$CA$23,IF(AND($N51&gt;='Main Page'!$BW$24,$N51&lt;='Main Page'!$BY$24),'Main Page'!$CA$24,IF(AND($N51&gt;='Main Page'!$BW$25,$N51&lt;'Main Page'!$BY$25),'Main Page'!$CA$25,IF(AND($N51&gt;='Main Page'!$BW$26,$N51&lt;'Main Page'!$BY$26),'Main Page'!$CA$26,0))))))))</f>
        <v>0</v>
      </c>
      <c r="N51" s="116" t="str">
        <f>IF(L51&lt;='Main Page'!$CB$16,L51,"")</f>
        <v/>
      </c>
      <c r="O51" s="140">
        <f>IF(M51=0,0.0000000001,IF($N51&lt;='Main Page'!$CB$16,$M51,0))</f>
        <v>1E-10</v>
      </c>
      <c r="P51" s="175" t="str">
        <f>IF($N51&lt;='Ref15'!$C$39,'Ref15'!$D$39,IF($N51&lt;='Ref15'!$C$40,'Ref15'!$D$40,IF($N51&lt;='Ref15'!$C$41,'Ref15'!$D$41,"")))</f>
        <v/>
      </c>
      <c r="Q51" s="176" t="str">
        <f t="shared" si="1"/>
        <v/>
      </c>
      <c r="R51" s="140">
        <f t="shared" ca="1" si="2"/>
        <v>0</v>
      </c>
      <c r="S51" s="140">
        <f>IF($N51&lt;&gt;"",Routine!$G44,0)</f>
        <v>0</v>
      </c>
    </row>
    <row r="52" spans="1:19" x14ac:dyDescent="0.2">
      <c r="A52" s="19"/>
      <c r="B52" s="19"/>
      <c r="C52" s="19"/>
      <c r="D52" s="19"/>
      <c r="E52" s="19"/>
      <c r="F52" s="19"/>
      <c r="G52" s="114"/>
      <c r="H52" s="114"/>
      <c r="I52" s="114"/>
      <c r="J52" s="114"/>
      <c r="K52" s="114"/>
      <c r="L52" s="19">
        <v>41</v>
      </c>
      <c r="M52" s="137">
        <f>IF(AND($N52&gt;='Main Page'!$BW$19,$N52&lt;='Main Page'!$BY$19),'Main Page'!$CA$19,IF(AND($N52&gt;='Main Page'!$BW$20,$N52&lt;='Main Page'!$BY$20),'Main Page'!$CA$20,IF(AND($N52&gt;='Main Page'!$BW$21,$N52&lt;='Main Page'!$BY$21),'Main Page'!$CA$21,IF(AND($N52&gt;='Main Page'!$BW$22,$N52&lt;='Main Page'!$BY$22),'Main Page'!$CA$22,IF(AND($N52&gt;='Main Page'!$BW$23,$N52&lt;='Main Page'!$BY$23),'Main Page'!$CA$23,IF(AND($N52&gt;='Main Page'!$BW$24,$N52&lt;='Main Page'!$BY$24),'Main Page'!$CA$24,IF(AND($N52&gt;='Main Page'!$BW$25,$N52&lt;'Main Page'!$BY$25),'Main Page'!$CA$25,IF(AND($N52&gt;='Main Page'!$BW$26,$N52&lt;'Main Page'!$BY$26),'Main Page'!$CA$26,0))))))))</f>
        <v>0</v>
      </c>
      <c r="N52" s="116" t="str">
        <f>IF(L52&lt;='Main Page'!$CB$16,L52,"")</f>
        <v/>
      </c>
      <c r="O52" s="140">
        <f>IF(M52=0,0.0000000001,IF($N52&lt;='Main Page'!$CB$16,$M52,0))</f>
        <v>1E-10</v>
      </c>
      <c r="P52" s="175" t="str">
        <f>IF($N52&lt;='Ref15'!$C$39,'Ref15'!$D$39,IF($N52&lt;='Ref15'!$C$40,'Ref15'!$D$40,IF($N52&lt;='Ref15'!$C$41,'Ref15'!$D$41,"")))</f>
        <v/>
      </c>
      <c r="Q52" s="176" t="str">
        <f t="shared" si="1"/>
        <v/>
      </c>
      <c r="R52" s="140">
        <f t="shared" ca="1" si="2"/>
        <v>0</v>
      </c>
      <c r="S52" s="140">
        <f>IF($N52&lt;&gt;"",Routine!$G45,0)</f>
        <v>0</v>
      </c>
    </row>
    <row r="53" spans="1:19" x14ac:dyDescent="0.2">
      <c r="A53" s="19"/>
      <c r="B53" s="19"/>
      <c r="C53" s="19"/>
      <c r="D53" s="19"/>
      <c r="E53" s="19"/>
      <c r="F53" s="19"/>
      <c r="G53" s="114"/>
      <c r="H53" s="114"/>
      <c r="I53" s="114"/>
      <c r="J53" s="114"/>
      <c r="K53" s="114"/>
      <c r="L53" s="19">
        <v>42</v>
      </c>
      <c r="M53" s="137">
        <f>IF(AND($N53&gt;='Main Page'!$BW$19,$N53&lt;='Main Page'!$BY$19),'Main Page'!$CA$19,IF(AND($N53&gt;='Main Page'!$BW$20,$N53&lt;='Main Page'!$BY$20),'Main Page'!$CA$20,IF(AND($N53&gt;='Main Page'!$BW$21,$N53&lt;='Main Page'!$BY$21),'Main Page'!$CA$21,IF(AND($N53&gt;='Main Page'!$BW$22,$N53&lt;='Main Page'!$BY$22),'Main Page'!$CA$22,IF(AND($N53&gt;='Main Page'!$BW$23,$N53&lt;='Main Page'!$BY$23),'Main Page'!$CA$23,IF(AND($N53&gt;='Main Page'!$BW$24,$N53&lt;='Main Page'!$BY$24),'Main Page'!$CA$24,IF(AND($N53&gt;='Main Page'!$BW$25,$N53&lt;'Main Page'!$BY$25),'Main Page'!$CA$25,IF(AND($N53&gt;='Main Page'!$BW$26,$N53&lt;'Main Page'!$BY$26),'Main Page'!$CA$26,0))))))))</f>
        <v>0</v>
      </c>
      <c r="N53" s="116" t="str">
        <f>IF(L53&lt;='Main Page'!$CB$16,L53,"")</f>
        <v/>
      </c>
      <c r="O53" s="140">
        <f>IF(M53=0,0.0000000001,IF($N53&lt;='Main Page'!$CB$16,$M53,0))</f>
        <v>1E-10</v>
      </c>
      <c r="P53" s="175" t="str">
        <f>IF($N53&lt;='Ref15'!$C$39,'Ref15'!$D$39,IF($N53&lt;='Ref15'!$C$40,'Ref15'!$D$40,IF($N53&lt;='Ref15'!$C$41,'Ref15'!$D$41,"")))</f>
        <v/>
      </c>
      <c r="Q53" s="176" t="str">
        <f t="shared" si="1"/>
        <v/>
      </c>
      <c r="R53" s="140">
        <f t="shared" ca="1" si="2"/>
        <v>0</v>
      </c>
      <c r="S53" s="140">
        <f>IF($N53&lt;&gt;"",Routine!$G46,0)</f>
        <v>0</v>
      </c>
    </row>
    <row r="54" spans="1:19" x14ac:dyDescent="0.2">
      <c r="A54" s="19"/>
      <c r="B54" s="19"/>
      <c r="C54" s="19"/>
      <c r="D54" s="19"/>
      <c r="E54" s="19"/>
      <c r="F54" s="19"/>
      <c r="G54" s="114"/>
      <c r="H54" s="114"/>
      <c r="I54" s="114"/>
      <c r="J54" s="114"/>
      <c r="K54" s="114"/>
      <c r="L54" s="19">
        <v>43</v>
      </c>
      <c r="M54" s="137">
        <f>IF(AND($N54&gt;='Main Page'!$BW$19,$N54&lt;='Main Page'!$BY$19),'Main Page'!$CA$19,IF(AND($N54&gt;='Main Page'!$BW$20,$N54&lt;='Main Page'!$BY$20),'Main Page'!$CA$20,IF(AND($N54&gt;='Main Page'!$BW$21,$N54&lt;='Main Page'!$BY$21),'Main Page'!$CA$21,IF(AND($N54&gt;='Main Page'!$BW$22,$N54&lt;='Main Page'!$BY$22),'Main Page'!$CA$22,IF(AND($N54&gt;='Main Page'!$BW$23,$N54&lt;='Main Page'!$BY$23),'Main Page'!$CA$23,IF(AND($N54&gt;='Main Page'!$BW$24,$N54&lt;='Main Page'!$BY$24),'Main Page'!$CA$24,IF(AND($N54&gt;='Main Page'!$BW$25,$N54&lt;'Main Page'!$BY$25),'Main Page'!$CA$25,IF(AND($N54&gt;='Main Page'!$BW$26,$N54&lt;'Main Page'!$BY$26),'Main Page'!$CA$26,0))))))))</f>
        <v>0</v>
      </c>
      <c r="N54" s="116" t="str">
        <f>IF(L54&lt;='Main Page'!$CB$16,L54,"")</f>
        <v/>
      </c>
      <c r="O54" s="140">
        <f>IF(M54=0,0.0000000001,IF($N54&lt;='Main Page'!$CB$16,$M54,0))</f>
        <v>1E-10</v>
      </c>
      <c r="P54" s="175" t="str">
        <f>IF($N54&lt;='Ref15'!$C$39,'Ref15'!$D$39,IF($N54&lt;='Ref15'!$C$40,'Ref15'!$D$40,IF($N54&lt;='Ref15'!$C$41,'Ref15'!$D$41,"")))</f>
        <v/>
      </c>
      <c r="Q54" s="176" t="str">
        <f t="shared" si="1"/>
        <v/>
      </c>
      <c r="R54" s="140">
        <f t="shared" ca="1" si="2"/>
        <v>0</v>
      </c>
      <c r="S54" s="140">
        <f>IF($N54&lt;&gt;"",Routine!$G47,0)</f>
        <v>0</v>
      </c>
    </row>
    <row r="55" spans="1:19" x14ac:dyDescent="0.2">
      <c r="A55" s="19"/>
      <c r="B55" s="19"/>
      <c r="C55" s="19"/>
      <c r="D55" s="19"/>
      <c r="E55" s="19"/>
      <c r="F55" s="19"/>
      <c r="G55" s="114"/>
      <c r="H55" s="114"/>
      <c r="I55" s="114"/>
      <c r="J55" s="114"/>
      <c r="K55" s="114"/>
      <c r="L55" s="19">
        <v>44</v>
      </c>
      <c r="M55" s="137">
        <f>IF(AND($N55&gt;='Main Page'!$BW$19,$N55&lt;='Main Page'!$BY$19),'Main Page'!$CA$19,IF(AND($N55&gt;='Main Page'!$BW$20,$N55&lt;='Main Page'!$BY$20),'Main Page'!$CA$20,IF(AND($N55&gt;='Main Page'!$BW$21,$N55&lt;='Main Page'!$BY$21),'Main Page'!$CA$21,IF(AND($N55&gt;='Main Page'!$BW$22,$N55&lt;='Main Page'!$BY$22),'Main Page'!$CA$22,IF(AND($N55&gt;='Main Page'!$BW$23,$N55&lt;='Main Page'!$BY$23),'Main Page'!$CA$23,IF(AND($N55&gt;='Main Page'!$BW$24,$N55&lt;='Main Page'!$BY$24),'Main Page'!$CA$24,IF(AND($N55&gt;='Main Page'!$BW$25,$N55&lt;'Main Page'!$BY$25),'Main Page'!$CA$25,IF(AND($N55&gt;='Main Page'!$BW$26,$N55&lt;'Main Page'!$BY$26),'Main Page'!$CA$26,0))))))))</f>
        <v>0</v>
      </c>
      <c r="N55" s="116" t="str">
        <f>IF(L55&lt;='Main Page'!$CB$16,L55,"")</f>
        <v/>
      </c>
      <c r="O55" s="140">
        <f>IF(M55=0,0.0000000001,IF($N55&lt;='Main Page'!$CB$16,$M55,0))</f>
        <v>1E-10</v>
      </c>
      <c r="P55" s="175" t="str">
        <f>IF($N55&lt;='Ref15'!$C$39,'Ref15'!$D$39,IF($N55&lt;='Ref15'!$C$40,'Ref15'!$D$40,IF($N55&lt;='Ref15'!$C$41,'Ref15'!$D$41,"")))</f>
        <v/>
      </c>
      <c r="Q55" s="176" t="str">
        <f t="shared" si="1"/>
        <v/>
      </c>
      <c r="R55" s="140">
        <f t="shared" ca="1" si="2"/>
        <v>0</v>
      </c>
      <c r="S55" s="140">
        <f>IF($N55&lt;&gt;"",Routine!$G48,0)</f>
        <v>0</v>
      </c>
    </row>
    <row r="56" spans="1:19" x14ac:dyDescent="0.2">
      <c r="A56" s="19"/>
      <c r="B56" s="19"/>
      <c r="C56" s="19"/>
      <c r="D56" s="19"/>
      <c r="E56" s="19"/>
      <c r="F56" s="19"/>
      <c r="G56" s="114"/>
      <c r="H56" s="114"/>
      <c r="I56" s="114"/>
      <c r="J56" s="114"/>
      <c r="K56" s="114"/>
      <c r="L56" s="19">
        <v>45</v>
      </c>
      <c r="M56" s="137">
        <f>IF(AND($N56&gt;='Main Page'!$BW$19,$N56&lt;='Main Page'!$BY$19),'Main Page'!$CA$19,IF(AND($N56&gt;='Main Page'!$BW$20,$N56&lt;='Main Page'!$BY$20),'Main Page'!$CA$20,IF(AND($N56&gt;='Main Page'!$BW$21,$N56&lt;='Main Page'!$BY$21),'Main Page'!$CA$21,IF(AND($N56&gt;='Main Page'!$BW$22,$N56&lt;='Main Page'!$BY$22),'Main Page'!$CA$22,IF(AND($N56&gt;='Main Page'!$BW$23,$N56&lt;='Main Page'!$BY$23),'Main Page'!$CA$23,IF(AND($N56&gt;='Main Page'!$BW$24,$N56&lt;='Main Page'!$BY$24),'Main Page'!$CA$24,IF(AND($N56&gt;='Main Page'!$BW$25,$N56&lt;'Main Page'!$BY$25),'Main Page'!$CA$25,IF(AND($N56&gt;='Main Page'!$BW$26,$N56&lt;'Main Page'!$BY$26),'Main Page'!$CA$26,0))))))))</f>
        <v>0</v>
      </c>
      <c r="N56" s="116" t="str">
        <f>IF(L56&lt;='Main Page'!$CB$16,L56,"")</f>
        <v/>
      </c>
      <c r="O56" s="140">
        <f>IF(M56=0,0.0000000001,IF($N56&lt;='Main Page'!$CB$16,$M56,0))</f>
        <v>1E-10</v>
      </c>
      <c r="P56" s="175" t="str">
        <f>IF($N56&lt;='Ref15'!$C$39,'Ref15'!$D$39,IF($N56&lt;='Ref15'!$C$40,'Ref15'!$D$40,IF($N56&lt;='Ref15'!$C$41,'Ref15'!$D$41,"")))</f>
        <v/>
      </c>
      <c r="Q56" s="176" t="str">
        <f t="shared" si="1"/>
        <v/>
      </c>
      <c r="R56" s="140">
        <f t="shared" ca="1" si="2"/>
        <v>0</v>
      </c>
      <c r="S56" s="140">
        <f>IF($N56&lt;&gt;"",Routine!$G49,0)</f>
        <v>0</v>
      </c>
    </row>
    <row r="57" spans="1:19" x14ac:dyDescent="0.2">
      <c r="A57" s="19"/>
      <c r="B57" s="19"/>
      <c r="C57" s="19"/>
      <c r="D57" s="19"/>
      <c r="E57" s="19"/>
      <c r="F57" s="19"/>
      <c r="G57" s="114"/>
      <c r="H57" s="114"/>
      <c r="I57" s="114"/>
      <c r="J57" s="114"/>
      <c r="K57" s="114"/>
      <c r="L57" s="19">
        <v>46</v>
      </c>
      <c r="M57" s="137">
        <f>IF(AND($N57&gt;='Main Page'!$BW$19,$N57&lt;='Main Page'!$BY$19),'Main Page'!$CA$19,IF(AND($N57&gt;='Main Page'!$BW$20,$N57&lt;='Main Page'!$BY$20),'Main Page'!$CA$20,IF(AND($N57&gt;='Main Page'!$BW$21,$N57&lt;='Main Page'!$BY$21),'Main Page'!$CA$21,IF(AND($N57&gt;='Main Page'!$BW$22,$N57&lt;='Main Page'!$BY$22),'Main Page'!$CA$22,IF(AND($N57&gt;='Main Page'!$BW$23,$N57&lt;='Main Page'!$BY$23),'Main Page'!$CA$23,IF(AND($N57&gt;='Main Page'!$BW$24,$N57&lt;='Main Page'!$BY$24),'Main Page'!$CA$24,IF(AND($N57&gt;='Main Page'!$BW$25,$N57&lt;'Main Page'!$BY$25),'Main Page'!$CA$25,IF(AND($N57&gt;='Main Page'!$BW$26,$N57&lt;'Main Page'!$BY$26),'Main Page'!$CA$26,0))))))))</f>
        <v>0</v>
      </c>
      <c r="N57" s="116" t="str">
        <f>IF(L57&lt;='Main Page'!$CB$16,L57,"")</f>
        <v/>
      </c>
      <c r="O57" s="140">
        <f>IF(M57=0,0.0000000001,IF($N57&lt;='Main Page'!$CB$16,$M57,0))</f>
        <v>1E-10</v>
      </c>
      <c r="P57" s="175" t="str">
        <f>IF($N57&lt;='Ref15'!$C$39,'Ref15'!$D$39,IF($N57&lt;='Ref15'!$C$40,'Ref15'!$D$40,IF($N57&lt;='Ref15'!$C$41,'Ref15'!$D$41,"")))</f>
        <v/>
      </c>
      <c r="Q57" s="176" t="str">
        <f t="shared" si="1"/>
        <v/>
      </c>
      <c r="R57" s="140">
        <f t="shared" ca="1" si="2"/>
        <v>0</v>
      </c>
      <c r="S57" s="140">
        <f>IF($N57&lt;&gt;"",Routine!$G50,0)</f>
        <v>0</v>
      </c>
    </row>
    <row r="58" spans="1:19" x14ac:dyDescent="0.2">
      <c r="A58" s="19"/>
      <c r="B58" s="19"/>
      <c r="C58" s="19"/>
      <c r="D58" s="19"/>
      <c r="E58" s="19"/>
      <c r="F58" s="19"/>
      <c r="G58" s="114"/>
      <c r="H58" s="114"/>
      <c r="I58" s="114"/>
      <c r="J58" s="114"/>
      <c r="K58" s="114"/>
      <c r="L58" s="19">
        <v>47</v>
      </c>
      <c r="M58" s="137">
        <f>IF(AND($N58&gt;='Main Page'!$BW$19,$N58&lt;='Main Page'!$BY$19),'Main Page'!$CA$19,IF(AND($N58&gt;='Main Page'!$BW$20,$N58&lt;='Main Page'!$BY$20),'Main Page'!$CA$20,IF(AND($N58&gt;='Main Page'!$BW$21,$N58&lt;='Main Page'!$BY$21),'Main Page'!$CA$21,IF(AND($N58&gt;='Main Page'!$BW$22,$N58&lt;='Main Page'!$BY$22),'Main Page'!$CA$22,IF(AND($N58&gt;='Main Page'!$BW$23,$N58&lt;='Main Page'!$BY$23),'Main Page'!$CA$23,IF(AND($N58&gt;='Main Page'!$BW$24,$N58&lt;='Main Page'!$BY$24),'Main Page'!$CA$24,IF(AND($N58&gt;='Main Page'!$BW$25,$N58&lt;'Main Page'!$BY$25),'Main Page'!$CA$25,IF(AND($N58&gt;='Main Page'!$BW$26,$N58&lt;'Main Page'!$BY$26),'Main Page'!$CA$26,0))))))))</f>
        <v>0</v>
      </c>
      <c r="N58" s="116" t="str">
        <f>IF(L58&lt;='Main Page'!$CB$16,L58,"")</f>
        <v/>
      </c>
      <c r="O58" s="140">
        <f>IF(M58=0,0.0000000001,IF($N58&lt;='Main Page'!$CB$16,$M58,0))</f>
        <v>1E-10</v>
      </c>
      <c r="P58" s="175" t="str">
        <f>IF($N58&lt;='Ref15'!$C$39,'Ref15'!$D$39,IF($N58&lt;='Ref15'!$C$40,'Ref15'!$D$40,IF($N58&lt;='Ref15'!$C$41,'Ref15'!$D$41,"")))</f>
        <v/>
      </c>
      <c r="Q58" s="176" t="str">
        <f t="shared" si="1"/>
        <v/>
      </c>
      <c r="R58" s="140">
        <f t="shared" ca="1" si="2"/>
        <v>0</v>
      </c>
      <c r="S58" s="140">
        <f>IF($N58&lt;&gt;"",Routine!$G51,0)</f>
        <v>0</v>
      </c>
    </row>
    <row r="59" spans="1:19" x14ac:dyDescent="0.2">
      <c r="A59" s="19"/>
      <c r="B59" s="19"/>
      <c r="C59" s="19"/>
      <c r="D59" s="19"/>
      <c r="E59" s="19"/>
      <c r="F59" s="19"/>
      <c r="G59" s="114"/>
      <c r="H59" s="114"/>
      <c r="I59" s="114"/>
      <c r="J59" s="114"/>
      <c r="K59" s="114"/>
      <c r="L59" s="19">
        <v>48</v>
      </c>
      <c r="M59" s="137">
        <f>IF(AND($N59&gt;='Main Page'!$BW$19,$N59&lt;='Main Page'!$BY$19),'Main Page'!$CA$19,IF(AND($N59&gt;='Main Page'!$BW$20,$N59&lt;='Main Page'!$BY$20),'Main Page'!$CA$20,IF(AND($N59&gt;='Main Page'!$BW$21,$N59&lt;='Main Page'!$BY$21),'Main Page'!$CA$21,IF(AND($N59&gt;='Main Page'!$BW$22,$N59&lt;='Main Page'!$BY$22),'Main Page'!$CA$22,IF(AND($N59&gt;='Main Page'!$BW$23,$N59&lt;='Main Page'!$BY$23),'Main Page'!$CA$23,IF(AND($N59&gt;='Main Page'!$BW$24,$N59&lt;='Main Page'!$BY$24),'Main Page'!$CA$24,IF(AND($N59&gt;='Main Page'!$BW$25,$N59&lt;'Main Page'!$BY$25),'Main Page'!$CA$25,IF(AND($N59&gt;='Main Page'!$BW$26,$N59&lt;'Main Page'!$BY$26),'Main Page'!$CA$26,0))))))))</f>
        <v>0</v>
      </c>
      <c r="N59" s="116" t="str">
        <f>IF(L59&lt;='Main Page'!$CB$16,L59,"")</f>
        <v/>
      </c>
      <c r="O59" s="140">
        <f>IF(M59=0,0.0000000001,IF($N59&lt;='Main Page'!$CB$16,$M59,0))</f>
        <v>1E-10</v>
      </c>
      <c r="P59" s="175" t="str">
        <f>IF($N59&lt;='Ref15'!$C$39,'Ref15'!$D$39,IF($N59&lt;='Ref15'!$C$40,'Ref15'!$D$40,IF($N59&lt;='Ref15'!$C$41,'Ref15'!$D$41,"")))</f>
        <v/>
      </c>
      <c r="Q59" s="176" t="str">
        <f t="shared" si="1"/>
        <v/>
      </c>
      <c r="R59" s="140">
        <f t="shared" ca="1" si="2"/>
        <v>0</v>
      </c>
      <c r="S59" s="140">
        <f>IF($N59&lt;&gt;"",Routine!$G52,0)</f>
        <v>0</v>
      </c>
    </row>
    <row r="60" spans="1:19" x14ac:dyDescent="0.2">
      <c r="A60" s="19"/>
      <c r="B60" s="19"/>
      <c r="C60" s="19"/>
      <c r="D60" s="19"/>
      <c r="E60" s="19"/>
      <c r="F60" s="19"/>
      <c r="G60" s="114"/>
      <c r="H60" s="114"/>
      <c r="I60" s="114"/>
      <c r="J60" s="114"/>
      <c r="K60" s="114"/>
      <c r="L60" s="19">
        <v>49</v>
      </c>
      <c r="M60" s="137">
        <f>IF(AND($N60&gt;='Main Page'!$BW$19,$N60&lt;='Main Page'!$BY$19),'Main Page'!$CA$19,IF(AND($N60&gt;='Main Page'!$BW$20,$N60&lt;='Main Page'!$BY$20),'Main Page'!$CA$20,IF(AND($N60&gt;='Main Page'!$BW$21,$N60&lt;='Main Page'!$BY$21),'Main Page'!$CA$21,IF(AND($N60&gt;='Main Page'!$BW$22,$N60&lt;='Main Page'!$BY$22),'Main Page'!$CA$22,IF(AND($N60&gt;='Main Page'!$BW$23,$N60&lt;='Main Page'!$BY$23),'Main Page'!$CA$23,IF(AND($N60&gt;='Main Page'!$BW$24,$N60&lt;='Main Page'!$BY$24),'Main Page'!$CA$24,IF(AND($N60&gt;='Main Page'!$BW$25,$N60&lt;'Main Page'!$BY$25),'Main Page'!$CA$25,IF(AND($N60&gt;='Main Page'!$BW$26,$N60&lt;'Main Page'!$BY$26),'Main Page'!$CA$26,0))))))))</f>
        <v>0</v>
      </c>
      <c r="N60" s="116" t="str">
        <f>IF(L60&lt;='Main Page'!$CB$16,L60,"")</f>
        <v/>
      </c>
      <c r="O60" s="140">
        <f>IF(M60=0,0.0000000001,IF($N60&lt;='Main Page'!$CB$16,$M60,0))</f>
        <v>1E-10</v>
      </c>
      <c r="P60" s="175" t="str">
        <f>IF($N60&lt;='Ref15'!$C$39,'Ref15'!$D$39,IF($N60&lt;='Ref15'!$C$40,'Ref15'!$D$40,IF($N60&lt;='Ref15'!$C$41,'Ref15'!$D$41,"")))</f>
        <v/>
      </c>
      <c r="Q60" s="176" t="str">
        <f t="shared" si="1"/>
        <v/>
      </c>
      <c r="R60" s="140">
        <f t="shared" ca="1" si="2"/>
        <v>0</v>
      </c>
      <c r="S60" s="140">
        <f>IF($N60&lt;&gt;"",Routine!$G53,0)</f>
        <v>0</v>
      </c>
    </row>
    <row r="61" spans="1:19" x14ac:dyDescent="0.2">
      <c r="A61" s="19"/>
      <c r="B61" s="19"/>
      <c r="C61" s="19"/>
      <c r="D61" s="19"/>
      <c r="E61" s="19"/>
      <c r="F61" s="19"/>
      <c r="G61" s="114"/>
      <c r="H61" s="114"/>
      <c r="I61" s="114"/>
      <c r="J61" s="114"/>
      <c r="K61" s="114"/>
      <c r="L61" s="19">
        <v>50</v>
      </c>
      <c r="M61" s="137">
        <f>IF(AND($N61&gt;='Main Page'!$BW$19,$N61&lt;='Main Page'!$BY$19),'Main Page'!$CA$19,IF(AND($N61&gt;='Main Page'!$BW$20,$N61&lt;='Main Page'!$BY$20),'Main Page'!$CA$20,IF(AND($N61&gt;='Main Page'!$BW$21,$N61&lt;='Main Page'!$BY$21),'Main Page'!$CA$21,IF(AND($N61&gt;='Main Page'!$BW$22,$N61&lt;='Main Page'!$BY$22),'Main Page'!$CA$22,IF(AND($N61&gt;='Main Page'!$BW$23,$N61&lt;='Main Page'!$BY$23),'Main Page'!$CA$23,IF(AND($N61&gt;='Main Page'!$BW$24,$N61&lt;='Main Page'!$BY$24),'Main Page'!$CA$24,IF(AND($N61&gt;='Main Page'!$BW$25,$N61&lt;'Main Page'!$BY$25),'Main Page'!$CA$25,IF(AND($N61&gt;='Main Page'!$BW$26,$N61&lt;'Main Page'!$BY$26),'Main Page'!$CA$26,0))))))))</f>
        <v>0</v>
      </c>
      <c r="N61" s="116" t="str">
        <f>IF(L61&lt;='Main Page'!$CB$16,L61,"")</f>
        <v/>
      </c>
      <c r="O61" s="140">
        <f>IF(M61=0,0.0000000001,IF($N61&lt;='Main Page'!$CB$16,$M61,0))</f>
        <v>1E-10</v>
      </c>
      <c r="P61" s="175" t="str">
        <f>IF($N61&lt;='Ref15'!$C$39,'Ref15'!$D$39,IF($N61&lt;='Ref15'!$C$40,'Ref15'!$D$40,IF($N61&lt;='Ref15'!$C$41,'Ref15'!$D$41,"")))</f>
        <v/>
      </c>
      <c r="Q61" s="176" t="str">
        <f t="shared" si="1"/>
        <v/>
      </c>
      <c r="R61" s="140">
        <f t="shared" ca="1" si="2"/>
        <v>0</v>
      </c>
      <c r="S61" s="140">
        <f>IF($N61&lt;&gt;"",Routine!$G54,0)</f>
        <v>0</v>
      </c>
    </row>
    <row r="62" spans="1:19" x14ac:dyDescent="0.2">
      <c r="A62" s="19"/>
      <c r="B62" s="19"/>
      <c r="C62" s="19"/>
      <c r="D62" s="19"/>
      <c r="E62" s="19"/>
      <c r="F62" s="19"/>
      <c r="G62" s="114"/>
      <c r="H62" s="114"/>
      <c r="I62" s="114"/>
      <c r="J62" s="114"/>
      <c r="K62" s="114"/>
      <c r="L62" s="19">
        <v>51</v>
      </c>
      <c r="M62" s="137">
        <f>IF(AND($N62&gt;='Main Page'!$BW$19,$N62&lt;='Main Page'!$BY$19),'Main Page'!$CA$19,IF(AND($N62&gt;='Main Page'!$BW$20,$N62&lt;='Main Page'!$BY$20),'Main Page'!$CA$20,IF(AND($N62&gt;='Main Page'!$BW$21,$N62&lt;='Main Page'!$BY$21),'Main Page'!$CA$21,IF(AND($N62&gt;='Main Page'!$BW$22,$N62&lt;='Main Page'!$BY$22),'Main Page'!$CA$22,IF(AND($N62&gt;='Main Page'!$BW$23,$N62&lt;='Main Page'!$BY$23),'Main Page'!$CA$23,IF(AND($N62&gt;='Main Page'!$BW$24,$N62&lt;='Main Page'!$BY$24),'Main Page'!$CA$24,IF(AND($N62&gt;='Main Page'!$BW$25,$N62&lt;'Main Page'!$BY$25),'Main Page'!$CA$25,IF(AND($N62&gt;='Main Page'!$BW$26,$N62&lt;'Main Page'!$BY$26),'Main Page'!$CA$26,0))))))))</f>
        <v>0</v>
      </c>
      <c r="N62" s="116" t="str">
        <f>IF(L62&lt;='Main Page'!$CB$16,L62,"")</f>
        <v/>
      </c>
      <c r="O62" s="140">
        <f>IF(M62=0,0.0000000001,IF($N62&lt;='Main Page'!$CB$16,$M62,0))</f>
        <v>1E-10</v>
      </c>
      <c r="P62" s="175" t="str">
        <f>IF($N62&lt;='Ref15'!$C$39,'Ref15'!$D$39,IF($N62&lt;='Ref15'!$C$40,'Ref15'!$D$40,IF($N62&lt;='Ref15'!$C$41,'Ref15'!$D$41,"")))</f>
        <v/>
      </c>
      <c r="Q62" s="176" t="str">
        <f t="shared" si="1"/>
        <v/>
      </c>
      <c r="R62" s="140">
        <f t="shared" ca="1" si="2"/>
        <v>0</v>
      </c>
      <c r="S62" s="140">
        <f>IF($N62&lt;&gt;"",Routine!$G55,0)</f>
        <v>0</v>
      </c>
    </row>
    <row r="63" spans="1:19" x14ac:dyDescent="0.2">
      <c r="A63" s="19"/>
      <c r="B63" s="19"/>
      <c r="C63" s="19"/>
      <c r="D63" s="19"/>
      <c r="E63" s="19"/>
      <c r="F63" s="19"/>
      <c r="G63" s="114"/>
      <c r="H63" s="114"/>
      <c r="I63" s="114"/>
      <c r="J63" s="114"/>
      <c r="K63" s="114"/>
      <c r="L63" s="19">
        <v>52</v>
      </c>
      <c r="M63" s="137">
        <f>IF(AND($N63&gt;='Main Page'!$BW$19,$N63&lt;='Main Page'!$BY$19),'Main Page'!$CA$19,IF(AND($N63&gt;='Main Page'!$BW$20,$N63&lt;='Main Page'!$BY$20),'Main Page'!$CA$20,IF(AND($N63&gt;='Main Page'!$BW$21,$N63&lt;='Main Page'!$BY$21),'Main Page'!$CA$21,IF(AND($N63&gt;='Main Page'!$BW$22,$N63&lt;='Main Page'!$BY$22),'Main Page'!$CA$22,IF(AND($N63&gt;='Main Page'!$BW$23,$N63&lt;='Main Page'!$BY$23),'Main Page'!$CA$23,IF(AND($N63&gt;='Main Page'!$BW$24,$N63&lt;='Main Page'!$BY$24),'Main Page'!$CA$24,IF(AND($N63&gt;='Main Page'!$BW$25,$N63&lt;'Main Page'!$BY$25),'Main Page'!$CA$25,IF(AND($N63&gt;='Main Page'!$BW$26,$N63&lt;'Main Page'!$BY$26),'Main Page'!$CA$26,0))))))))</f>
        <v>0</v>
      </c>
      <c r="N63" s="116" t="str">
        <f>IF(L63&lt;='Main Page'!$CB$16,L63,"")</f>
        <v/>
      </c>
      <c r="O63" s="140">
        <f>IF(M63=0,0.0000000001,IF($N63&lt;='Main Page'!$CB$16,$M63,0))</f>
        <v>1E-10</v>
      </c>
      <c r="P63" s="175" t="str">
        <f>IF($N63&lt;='Ref15'!$C$39,'Ref15'!$D$39,IF($N63&lt;='Ref15'!$C$40,'Ref15'!$D$40,IF($N63&lt;='Ref15'!$C$41,'Ref15'!$D$41,"")))</f>
        <v/>
      </c>
      <c r="Q63" s="176" t="str">
        <f t="shared" si="1"/>
        <v/>
      </c>
      <c r="R63" s="140">
        <f t="shared" ca="1" si="2"/>
        <v>0</v>
      </c>
      <c r="S63" s="140">
        <f>IF($N63&lt;&gt;"",Routine!$G56,0)</f>
        <v>0</v>
      </c>
    </row>
    <row r="64" spans="1:19" x14ac:dyDescent="0.2">
      <c r="A64" s="19"/>
      <c r="B64" s="19"/>
      <c r="C64" s="19"/>
      <c r="D64" s="19"/>
      <c r="E64" s="19"/>
      <c r="F64" s="19"/>
      <c r="G64" s="114"/>
      <c r="H64" s="114"/>
      <c r="I64" s="114"/>
      <c r="J64" s="114"/>
      <c r="K64" s="114"/>
      <c r="L64" s="19">
        <v>53</v>
      </c>
      <c r="M64" s="137">
        <f>IF(AND($N64&gt;='Main Page'!$BW$19,$N64&lt;='Main Page'!$BY$19),'Main Page'!$CA$19,IF(AND($N64&gt;='Main Page'!$BW$20,$N64&lt;='Main Page'!$BY$20),'Main Page'!$CA$20,IF(AND($N64&gt;='Main Page'!$BW$21,$N64&lt;='Main Page'!$BY$21),'Main Page'!$CA$21,IF(AND($N64&gt;='Main Page'!$BW$22,$N64&lt;='Main Page'!$BY$22),'Main Page'!$CA$22,IF(AND($N64&gt;='Main Page'!$BW$23,$N64&lt;='Main Page'!$BY$23),'Main Page'!$CA$23,IF(AND($N64&gt;='Main Page'!$BW$24,$N64&lt;='Main Page'!$BY$24),'Main Page'!$CA$24,IF(AND($N64&gt;='Main Page'!$BW$25,$N64&lt;'Main Page'!$BY$25),'Main Page'!$CA$25,IF(AND($N64&gt;='Main Page'!$BW$26,$N64&lt;'Main Page'!$BY$26),'Main Page'!$CA$26,0))))))))</f>
        <v>0</v>
      </c>
      <c r="N64" s="116" t="str">
        <f>IF(L64&lt;='Main Page'!$CB$16,L64,"")</f>
        <v/>
      </c>
      <c r="O64" s="140">
        <f>IF(M64=0,0.0000000001,IF($N64&lt;='Main Page'!$CB$16,$M64,0))</f>
        <v>1E-10</v>
      </c>
      <c r="P64" s="175" t="str">
        <f>IF($N64&lt;='Ref15'!$C$39,'Ref15'!$D$39,IF($N64&lt;='Ref15'!$C$40,'Ref15'!$D$40,IF($N64&lt;='Ref15'!$C$41,'Ref15'!$D$41,"")))</f>
        <v/>
      </c>
      <c r="Q64" s="176" t="str">
        <f t="shared" si="1"/>
        <v/>
      </c>
      <c r="R64" s="140">
        <f t="shared" ca="1" si="2"/>
        <v>0</v>
      </c>
      <c r="S64" s="140">
        <f>IF($N64&lt;&gt;"",Routine!$G57,0)</f>
        <v>0</v>
      </c>
    </row>
    <row r="65" spans="1:19" x14ac:dyDescent="0.2">
      <c r="A65" s="19"/>
      <c r="B65" s="19"/>
      <c r="C65" s="19"/>
      <c r="D65" s="19"/>
      <c r="E65" s="19"/>
      <c r="F65" s="19"/>
      <c r="G65" s="114"/>
      <c r="H65" s="114"/>
      <c r="I65" s="114"/>
      <c r="J65" s="114"/>
      <c r="K65" s="114"/>
      <c r="L65" s="19">
        <v>54</v>
      </c>
      <c r="M65" s="137">
        <f>IF(AND($N65&gt;='Main Page'!$BW$19,$N65&lt;='Main Page'!$BY$19),'Main Page'!$CA$19,IF(AND($N65&gt;='Main Page'!$BW$20,$N65&lt;='Main Page'!$BY$20),'Main Page'!$CA$20,IF(AND($N65&gt;='Main Page'!$BW$21,$N65&lt;='Main Page'!$BY$21),'Main Page'!$CA$21,IF(AND($N65&gt;='Main Page'!$BW$22,$N65&lt;='Main Page'!$BY$22),'Main Page'!$CA$22,IF(AND($N65&gt;='Main Page'!$BW$23,$N65&lt;='Main Page'!$BY$23),'Main Page'!$CA$23,IF(AND($N65&gt;='Main Page'!$BW$24,$N65&lt;='Main Page'!$BY$24),'Main Page'!$CA$24,IF(AND($N65&gt;='Main Page'!$BW$25,$N65&lt;'Main Page'!$BY$25),'Main Page'!$CA$25,IF(AND($N65&gt;='Main Page'!$BW$26,$N65&lt;'Main Page'!$BY$26),'Main Page'!$CA$26,0))))))))</f>
        <v>0</v>
      </c>
      <c r="N65" s="116" t="str">
        <f>IF(L65&lt;='Main Page'!$CB$16,L65,"")</f>
        <v/>
      </c>
      <c r="O65" s="140">
        <f>IF(M65=0,0.0000000001,IF($N65&lt;='Main Page'!$CB$16,$M65,0))</f>
        <v>1E-10</v>
      </c>
      <c r="P65" s="175" t="str">
        <f>IF($N65&lt;='Ref15'!$C$39,'Ref15'!$D$39,IF($N65&lt;='Ref15'!$C$40,'Ref15'!$D$40,IF($N65&lt;='Ref15'!$C$41,'Ref15'!$D$41,"")))</f>
        <v/>
      </c>
      <c r="Q65" s="176" t="str">
        <f t="shared" si="1"/>
        <v/>
      </c>
      <c r="R65" s="140">
        <f t="shared" ca="1" si="2"/>
        <v>0</v>
      </c>
      <c r="S65" s="140">
        <f>IF($N65&lt;&gt;"",Routine!$G58,0)</f>
        <v>0</v>
      </c>
    </row>
    <row r="66" spans="1:19" x14ac:dyDescent="0.2">
      <c r="A66" s="19"/>
      <c r="B66" s="19"/>
      <c r="C66" s="19"/>
      <c r="D66" s="19"/>
      <c r="E66" s="19"/>
      <c r="F66" s="19"/>
      <c r="G66" s="114"/>
      <c r="H66" s="114"/>
      <c r="I66" s="114"/>
      <c r="J66" s="114"/>
      <c r="K66" s="114"/>
      <c r="L66" s="19">
        <v>55</v>
      </c>
      <c r="M66" s="137">
        <f>IF(AND($N66&gt;='Main Page'!$BW$19,$N66&lt;='Main Page'!$BY$19),'Main Page'!$CA$19,IF(AND($N66&gt;='Main Page'!$BW$20,$N66&lt;='Main Page'!$BY$20),'Main Page'!$CA$20,IF(AND($N66&gt;='Main Page'!$BW$21,$N66&lt;='Main Page'!$BY$21),'Main Page'!$CA$21,IF(AND($N66&gt;='Main Page'!$BW$22,$N66&lt;='Main Page'!$BY$22),'Main Page'!$CA$22,IF(AND($N66&gt;='Main Page'!$BW$23,$N66&lt;='Main Page'!$BY$23),'Main Page'!$CA$23,IF(AND($N66&gt;='Main Page'!$BW$24,$N66&lt;='Main Page'!$BY$24),'Main Page'!$CA$24,IF(AND($N66&gt;='Main Page'!$BW$25,$N66&lt;'Main Page'!$BY$25),'Main Page'!$CA$25,IF(AND($N66&gt;='Main Page'!$BW$26,$N66&lt;'Main Page'!$BY$26),'Main Page'!$CA$26,0))))))))</f>
        <v>0</v>
      </c>
      <c r="N66" s="116" t="str">
        <f>IF(L66&lt;='Main Page'!$CB$16,L66,"")</f>
        <v/>
      </c>
      <c r="O66" s="140">
        <f>IF(M66=0,0.0000000001,IF($N66&lt;='Main Page'!$CB$16,$M66,0))</f>
        <v>1E-10</v>
      </c>
      <c r="P66" s="175" t="str">
        <f>IF($N66&lt;='Ref15'!$C$39,'Ref15'!$D$39,IF($N66&lt;='Ref15'!$C$40,'Ref15'!$D$40,IF($N66&lt;='Ref15'!$C$41,'Ref15'!$D$41,"")))</f>
        <v/>
      </c>
      <c r="Q66" s="176" t="str">
        <f t="shared" si="1"/>
        <v/>
      </c>
      <c r="R66" s="140">
        <f t="shared" ca="1" si="2"/>
        <v>0</v>
      </c>
      <c r="S66" s="140">
        <f>IF($N66&lt;&gt;"",Routine!$G59,0)</f>
        <v>0</v>
      </c>
    </row>
    <row r="67" spans="1:19" x14ac:dyDescent="0.2">
      <c r="A67" s="19"/>
      <c r="B67" s="19"/>
      <c r="C67" s="19"/>
      <c r="D67" s="19"/>
      <c r="E67" s="19"/>
      <c r="F67" s="19"/>
      <c r="G67" s="114"/>
      <c r="H67" s="114"/>
      <c r="I67" s="114"/>
      <c r="J67" s="114"/>
      <c r="K67" s="114"/>
      <c r="L67" s="19">
        <v>56</v>
      </c>
      <c r="M67" s="137">
        <f>IF(AND($N67&gt;='Main Page'!$BW$19,$N67&lt;='Main Page'!$BY$19),'Main Page'!$CA$19,IF(AND($N67&gt;='Main Page'!$BW$20,$N67&lt;='Main Page'!$BY$20),'Main Page'!$CA$20,IF(AND($N67&gt;='Main Page'!$BW$21,$N67&lt;='Main Page'!$BY$21),'Main Page'!$CA$21,IF(AND($N67&gt;='Main Page'!$BW$22,$N67&lt;='Main Page'!$BY$22),'Main Page'!$CA$22,IF(AND($N67&gt;='Main Page'!$BW$23,$N67&lt;='Main Page'!$BY$23),'Main Page'!$CA$23,IF(AND($N67&gt;='Main Page'!$BW$24,$N67&lt;='Main Page'!$BY$24),'Main Page'!$CA$24,IF(AND($N67&gt;='Main Page'!$BW$25,$N67&lt;'Main Page'!$BY$25),'Main Page'!$CA$25,IF(AND($N67&gt;='Main Page'!$BW$26,$N67&lt;'Main Page'!$BY$26),'Main Page'!$CA$26,0))))))))</f>
        <v>0</v>
      </c>
      <c r="N67" s="116" t="str">
        <f>IF(L67&lt;='Main Page'!$CB$16,L67,"")</f>
        <v/>
      </c>
      <c r="O67" s="140">
        <f>IF(M67=0,0.0000000001,IF($N67&lt;='Main Page'!$CB$16,$M67,0))</f>
        <v>1E-10</v>
      </c>
      <c r="P67" s="175" t="str">
        <f>IF($N67&lt;='Ref15'!$C$39,'Ref15'!$D$39,IF($N67&lt;='Ref15'!$C$40,'Ref15'!$D$40,IF($N67&lt;='Ref15'!$C$41,'Ref15'!$D$41,"")))</f>
        <v/>
      </c>
      <c r="Q67" s="176" t="str">
        <f t="shared" si="1"/>
        <v/>
      </c>
      <c r="R67" s="140">
        <f t="shared" ca="1" si="2"/>
        <v>0</v>
      </c>
      <c r="S67" s="140">
        <f>IF($N67&lt;&gt;"",Routine!$G60,0)</f>
        <v>0</v>
      </c>
    </row>
    <row r="68" spans="1:19" x14ac:dyDescent="0.2">
      <c r="A68" s="19"/>
      <c r="B68" s="19"/>
      <c r="C68" s="19"/>
      <c r="D68" s="19"/>
      <c r="E68" s="19"/>
      <c r="F68" s="19"/>
      <c r="G68" s="114"/>
      <c r="H68" s="114"/>
      <c r="I68" s="114"/>
      <c r="J68" s="114"/>
      <c r="K68" s="114"/>
      <c r="L68" s="19">
        <v>57</v>
      </c>
      <c r="M68" s="137">
        <f>IF(AND($N68&gt;='Main Page'!$BW$19,$N68&lt;='Main Page'!$BY$19),'Main Page'!$CA$19,IF(AND($N68&gt;='Main Page'!$BW$20,$N68&lt;='Main Page'!$BY$20),'Main Page'!$CA$20,IF(AND($N68&gt;='Main Page'!$BW$21,$N68&lt;='Main Page'!$BY$21),'Main Page'!$CA$21,IF(AND($N68&gt;='Main Page'!$BW$22,$N68&lt;='Main Page'!$BY$22),'Main Page'!$CA$22,IF(AND($N68&gt;='Main Page'!$BW$23,$N68&lt;='Main Page'!$BY$23),'Main Page'!$CA$23,IF(AND($N68&gt;='Main Page'!$BW$24,$N68&lt;='Main Page'!$BY$24),'Main Page'!$CA$24,IF(AND($N68&gt;='Main Page'!$BW$25,$N68&lt;'Main Page'!$BY$25),'Main Page'!$CA$25,IF(AND($N68&gt;='Main Page'!$BW$26,$N68&lt;'Main Page'!$BY$26),'Main Page'!$CA$26,0))))))))</f>
        <v>0</v>
      </c>
      <c r="N68" s="116" t="str">
        <f>IF(L68&lt;='Main Page'!$CB$16,L68,"")</f>
        <v/>
      </c>
      <c r="O68" s="140">
        <f>IF(M68=0,0.0000000001,IF($N68&lt;='Main Page'!$CB$16,$M68,0))</f>
        <v>1E-10</v>
      </c>
      <c r="P68" s="175" t="str">
        <f>IF($N68&lt;='Ref15'!$C$39,'Ref15'!$D$39,IF($N68&lt;='Ref15'!$C$40,'Ref15'!$D$40,IF($N68&lt;='Ref15'!$C$41,'Ref15'!$D$41,"")))</f>
        <v/>
      </c>
      <c r="Q68" s="176" t="str">
        <f t="shared" si="1"/>
        <v/>
      </c>
      <c r="R68" s="140">
        <f t="shared" ca="1" si="2"/>
        <v>0</v>
      </c>
      <c r="S68" s="140">
        <f>IF($N68&lt;&gt;"",Routine!$G61,0)</f>
        <v>0</v>
      </c>
    </row>
    <row r="69" spans="1:19" x14ac:dyDescent="0.2">
      <c r="A69" s="19"/>
      <c r="B69" s="19"/>
      <c r="C69" s="19"/>
      <c r="D69" s="19"/>
      <c r="E69" s="19"/>
      <c r="F69" s="19"/>
      <c r="G69" s="114"/>
      <c r="H69" s="114"/>
      <c r="I69" s="114"/>
      <c r="J69" s="114"/>
      <c r="K69" s="114"/>
      <c r="L69" s="19">
        <v>58</v>
      </c>
      <c r="M69" s="137">
        <f>IF(AND($N69&gt;='Main Page'!$BW$19,$N69&lt;='Main Page'!$BY$19),'Main Page'!$CA$19,IF(AND($N69&gt;='Main Page'!$BW$20,$N69&lt;='Main Page'!$BY$20),'Main Page'!$CA$20,IF(AND($N69&gt;='Main Page'!$BW$21,$N69&lt;='Main Page'!$BY$21),'Main Page'!$CA$21,IF(AND($N69&gt;='Main Page'!$BW$22,$N69&lt;='Main Page'!$BY$22),'Main Page'!$CA$22,IF(AND($N69&gt;='Main Page'!$BW$23,$N69&lt;='Main Page'!$BY$23),'Main Page'!$CA$23,IF(AND($N69&gt;='Main Page'!$BW$24,$N69&lt;='Main Page'!$BY$24),'Main Page'!$CA$24,IF(AND($N69&gt;='Main Page'!$BW$25,$N69&lt;'Main Page'!$BY$25),'Main Page'!$CA$25,IF(AND($N69&gt;='Main Page'!$BW$26,$N69&lt;'Main Page'!$BY$26),'Main Page'!$CA$26,0))))))))</f>
        <v>0</v>
      </c>
      <c r="N69" s="116" t="str">
        <f>IF(L69&lt;='Main Page'!$CB$16,L69,"")</f>
        <v/>
      </c>
      <c r="O69" s="140">
        <f>IF(M69=0,0.0000000001,IF($N69&lt;='Main Page'!$CB$16,$M69,0))</f>
        <v>1E-10</v>
      </c>
      <c r="P69" s="175" t="str">
        <f>IF($N69&lt;='Ref15'!$C$39,'Ref15'!$D$39,IF($N69&lt;='Ref15'!$C$40,'Ref15'!$D$40,IF($N69&lt;='Ref15'!$C$41,'Ref15'!$D$41,"")))</f>
        <v/>
      </c>
      <c r="Q69" s="176" t="str">
        <f t="shared" si="1"/>
        <v/>
      </c>
      <c r="R69" s="140">
        <f t="shared" ca="1" si="2"/>
        <v>0</v>
      </c>
      <c r="S69" s="140">
        <f>IF($N69&lt;&gt;"",Routine!$G62,0)</f>
        <v>0</v>
      </c>
    </row>
    <row r="70" spans="1:19" x14ac:dyDescent="0.2">
      <c r="A70" s="19"/>
      <c r="B70" s="19"/>
      <c r="C70" s="19"/>
      <c r="D70" s="19"/>
      <c r="E70" s="19"/>
      <c r="F70" s="19"/>
      <c r="G70" s="114"/>
      <c r="H70" s="114"/>
      <c r="I70" s="114"/>
      <c r="J70" s="114"/>
      <c r="K70" s="114"/>
      <c r="L70" s="19">
        <v>59</v>
      </c>
      <c r="M70" s="137">
        <f>IF(AND($N70&gt;='Main Page'!$BW$19,$N70&lt;='Main Page'!$BY$19),'Main Page'!$CA$19,IF(AND($N70&gt;='Main Page'!$BW$20,$N70&lt;='Main Page'!$BY$20),'Main Page'!$CA$20,IF(AND($N70&gt;='Main Page'!$BW$21,$N70&lt;='Main Page'!$BY$21),'Main Page'!$CA$21,IF(AND($N70&gt;='Main Page'!$BW$22,$N70&lt;='Main Page'!$BY$22),'Main Page'!$CA$22,IF(AND($N70&gt;='Main Page'!$BW$23,$N70&lt;='Main Page'!$BY$23),'Main Page'!$CA$23,IF(AND($N70&gt;='Main Page'!$BW$24,$N70&lt;='Main Page'!$BY$24),'Main Page'!$CA$24,IF(AND($N70&gt;='Main Page'!$BW$25,$N70&lt;'Main Page'!$BY$25),'Main Page'!$CA$25,IF(AND($N70&gt;='Main Page'!$BW$26,$N70&lt;'Main Page'!$BY$26),'Main Page'!$CA$26,0))))))))</f>
        <v>0</v>
      </c>
      <c r="N70" s="116" t="str">
        <f>IF(L70&lt;='Main Page'!$CB$16,L70,"")</f>
        <v/>
      </c>
      <c r="O70" s="140">
        <f>IF(M70=0,0.0000000001,IF($N70&lt;='Main Page'!$CB$16,$M70,0))</f>
        <v>1E-10</v>
      </c>
      <c r="P70" s="175" t="str">
        <f>IF($N70&lt;='Ref15'!$C$39,'Ref15'!$D$39,IF($N70&lt;='Ref15'!$C$40,'Ref15'!$D$40,IF($N70&lt;='Ref15'!$C$41,'Ref15'!$D$41,"")))</f>
        <v/>
      </c>
      <c r="Q70" s="176" t="str">
        <f t="shared" si="1"/>
        <v/>
      </c>
      <c r="R70" s="140">
        <f t="shared" ca="1" si="2"/>
        <v>0</v>
      </c>
      <c r="S70" s="140">
        <f>IF($N70&lt;&gt;"",Routine!$G63,0)</f>
        <v>0</v>
      </c>
    </row>
    <row r="71" spans="1:19" x14ac:dyDescent="0.2">
      <c r="A71" s="19"/>
      <c r="B71" s="19"/>
      <c r="C71" s="19"/>
      <c r="D71" s="19"/>
      <c r="E71" s="19"/>
      <c r="F71" s="19"/>
      <c r="G71" s="114"/>
      <c r="H71" s="114"/>
      <c r="I71" s="114"/>
      <c r="J71" s="114"/>
      <c r="K71" s="114"/>
      <c r="L71" s="19">
        <v>60</v>
      </c>
      <c r="M71" s="137">
        <f>IF(AND($N71&gt;='Main Page'!$BW$19,$N71&lt;='Main Page'!$BY$19),'Main Page'!$CA$19,IF(AND($N71&gt;='Main Page'!$BW$20,$N71&lt;='Main Page'!$BY$20),'Main Page'!$CA$20,IF(AND($N71&gt;='Main Page'!$BW$21,$N71&lt;='Main Page'!$BY$21),'Main Page'!$CA$21,IF(AND($N71&gt;='Main Page'!$BW$22,$N71&lt;='Main Page'!$BY$22),'Main Page'!$CA$22,IF(AND($N71&gt;='Main Page'!$BW$23,$N71&lt;='Main Page'!$BY$23),'Main Page'!$CA$23,IF(AND($N71&gt;='Main Page'!$BW$24,$N71&lt;='Main Page'!$BY$24),'Main Page'!$CA$24,IF(AND($N71&gt;='Main Page'!$BW$25,$N71&lt;'Main Page'!$BY$25),'Main Page'!$CA$25,IF(AND($N71&gt;='Main Page'!$BW$26,$N71&lt;'Main Page'!$BY$26),'Main Page'!$CA$26,0))))))))</f>
        <v>0</v>
      </c>
      <c r="N71" s="116" t="str">
        <f>IF(L71&lt;='Main Page'!$CB$16,L71,"")</f>
        <v/>
      </c>
      <c r="O71" s="140">
        <f>IF(M71=0,0.0000000001,IF($N71&lt;='Main Page'!$CB$16,$M71,0))</f>
        <v>1E-10</v>
      </c>
      <c r="P71" s="175" t="str">
        <f>IF($N71&lt;='Ref15'!$C$39,'Ref15'!$D$39,IF($N71&lt;='Ref15'!$C$40,'Ref15'!$D$40,IF($N71&lt;='Ref15'!$C$41,'Ref15'!$D$41,"")))</f>
        <v/>
      </c>
      <c r="Q71" s="176" t="str">
        <f t="shared" si="1"/>
        <v/>
      </c>
      <c r="R71" s="140">
        <f t="shared" ca="1" si="2"/>
        <v>0</v>
      </c>
      <c r="S71" s="140">
        <f>IF($N71&lt;&gt;"",Routine!$G64,0)</f>
        <v>0</v>
      </c>
    </row>
    <row r="72" spans="1:19" x14ac:dyDescent="0.2">
      <c r="A72" s="19"/>
      <c r="B72" s="19"/>
      <c r="C72" s="19"/>
      <c r="D72" s="19"/>
      <c r="E72" s="19"/>
      <c r="F72" s="19"/>
      <c r="G72" s="114"/>
      <c r="H72" s="114"/>
      <c r="I72" s="114"/>
      <c r="J72" s="114"/>
      <c r="K72" s="114"/>
      <c r="L72" s="19">
        <v>61</v>
      </c>
      <c r="M72" s="137">
        <f>IF(AND($N72&gt;='Main Page'!$BW$19,$N72&lt;='Main Page'!$BY$19),'Main Page'!$CA$19,IF(AND($N72&gt;='Main Page'!$BW$20,$N72&lt;='Main Page'!$BY$20),'Main Page'!$CA$20,IF(AND($N72&gt;='Main Page'!$BW$21,$N72&lt;='Main Page'!$BY$21),'Main Page'!$CA$21,IF(AND($N72&gt;='Main Page'!$BW$22,$N72&lt;='Main Page'!$BY$22),'Main Page'!$CA$22,IF(AND($N72&gt;='Main Page'!$BW$23,$N72&lt;='Main Page'!$BY$23),'Main Page'!$CA$23,IF(AND($N72&gt;='Main Page'!$BW$24,$N72&lt;='Main Page'!$BY$24),'Main Page'!$CA$24,IF(AND($N72&gt;='Main Page'!$BW$25,$N72&lt;'Main Page'!$BY$25),'Main Page'!$CA$25,IF(AND($N72&gt;='Main Page'!$BW$26,$N72&lt;'Main Page'!$BY$26),'Main Page'!$CA$26,0))))))))</f>
        <v>0</v>
      </c>
      <c r="N72" s="116" t="str">
        <f>IF(L72&lt;='Main Page'!$CB$16,L72,"")</f>
        <v/>
      </c>
      <c r="O72" s="140">
        <f>IF(M72=0,0.0000000001,IF($N72&lt;='Main Page'!$CB$16,$M72,0))</f>
        <v>1E-10</v>
      </c>
      <c r="P72" s="175" t="str">
        <f>IF($N72&lt;='Ref15'!$C$39,'Ref15'!$D$39,IF($N72&lt;='Ref15'!$C$40,'Ref15'!$D$40,IF($N72&lt;='Ref15'!$C$41,'Ref15'!$D$41,"")))</f>
        <v/>
      </c>
      <c r="Q72" s="176" t="str">
        <f t="shared" si="1"/>
        <v/>
      </c>
      <c r="R72" s="140">
        <f t="shared" ca="1" si="2"/>
        <v>0</v>
      </c>
      <c r="S72" s="140">
        <f>IF($N72&lt;&gt;"",Routine!$G65,0)</f>
        <v>0</v>
      </c>
    </row>
    <row r="73" spans="1:19" x14ac:dyDescent="0.2">
      <c r="A73" s="19"/>
      <c r="B73" s="19"/>
      <c r="C73" s="19"/>
      <c r="D73" s="19"/>
      <c r="E73" s="19"/>
      <c r="F73" s="19"/>
      <c r="G73" s="114"/>
      <c r="H73" s="114"/>
      <c r="I73" s="114"/>
      <c r="J73" s="114"/>
      <c r="K73" s="114"/>
      <c r="L73" s="19">
        <v>62</v>
      </c>
      <c r="M73" s="137">
        <f>IF(AND($N73&gt;='Main Page'!$BW$19,$N73&lt;='Main Page'!$BY$19),'Main Page'!$CA$19,IF(AND($N73&gt;='Main Page'!$BW$20,$N73&lt;='Main Page'!$BY$20),'Main Page'!$CA$20,IF(AND($N73&gt;='Main Page'!$BW$21,$N73&lt;='Main Page'!$BY$21),'Main Page'!$CA$21,IF(AND($N73&gt;='Main Page'!$BW$22,$N73&lt;='Main Page'!$BY$22),'Main Page'!$CA$22,IF(AND($N73&gt;='Main Page'!$BW$23,$N73&lt;='Main Page'!$BY$23),'Main Page'!$CA$23,IF(AND($N73&gt;='Main Page'!$BW$24,$N73&lt;='Main Page'!$BY$24),'Main Page'!$CA$24,IF(AND($N73&gt;='Main Page'!$BW$25,$N73&lt;'Main Page'!$BY$25),'Main Page'!$CA$25,IF(AND($N73&gt;='Main Page'!$BW$26,$N73&lt;'Main Page'!$BY$26),'Main Page'!$CA$26,0))))))))</f>
        <v>0</v>
      </c>
      <c r="N73" s="116" t="str">
        <f>IF(L73&lt;='Main Page'!$CB$16,L73,"")</f>
        <v/>
      </c>
      <c r="O73" s="140">
        <f>IF(M73=0,0.0000000001,IF($N73&lt;='Main Page'!$CB$16,$M73,0))</f>
        <v>1E-10</v>
      </c>
      <c r="P73" s="175" t="str">
        <f>IF($N73&lt;='Ref15'!$C$39,'Ref15'!$D$39,IF($N73&lt;='Ref15'!$C$40,'Ref15'!$D$40,IF($N73&lt;='Ref15'!$C$41,'Ref15'!$D$41,"")))</f>
        <v/>
      </c>
      <c r="Q73" s="176" t="str">
        <f t="shared" si="1"/>
        <v/>
      </c>
      <c r="R73" s="140">
        <f t="shared" ca="1" si="2"/>
        <v>0</v>
      </c>
      <c r="S73" s="140">
        <f>IF($N73&lt;&gt;"",Routine!$G66,0)</f>
        <v>0</v>
      </c>
    </row>
    <row r="74" spans="1:19" x14ac:dyDescent="0.2">
      <c r="A74" s="19"/>
      <c r="B74" s="19"/>
      <c r="C74" s="19"/>
      <c r="D74" s="19"/>
      <c r="E74" s="19"/>
      <c r="F74" s="19"/>
      <c r="G74" s="114"/>
      <c r="H74" s="114"/>
      <c r="I74" s="114"/>
      <c r="J74" s="114"/>
      <c r="K74" s="114"/>
      <c r="L74" s="19">
        <v>63</v>
      </c>
      <c r="M74" s="137">
        <f>IF(AND($N74&gt;='Main Page'!$BW$19,$N74&lt;='Main Page'!$BY$19),'Main Page'!$CA$19,IF(AND($N74&gt;='Main Page'!$BW$20,$N74&lt;='Main Page'!$BY$20),'Main Page'!$CA$20,IF(AND($N74&gt;='Main Page'!$BW$21,$N74&lt;='Main Page'!$BY$21),'Main Page'!$CA$21,IF(AND($N74&gt;='Main Page'!$BW$22,$N74&lt;='Main Page'!$BY$22),'Main Page'!$CA$22,IF(AND($N74&gt;='Main Page'!$BW$23,$N74&lt;='Main Page'!$BY$23),'Main Page'!$CA$23,IF(AND($N74&gt;='Main Page'!$BW$24,$N74&lt;='Main Page'!$BY$24),'Main Page'!$CA$24,IF(AND($N74&gt;='Main Page'!$BW$25,$N74&lt;'Main Page'!$BY$25),'Main Page'!$CA$25,IF(AND($N74&gt;='Main Page'!$BW$26,$N74&lt;'Main Page'!$BY$26),'Main Page'!$CA$26,0))))))))</f>
        <v>0</v>
      </c>
      <c r="N74" s="116" t="str">
        <f>IF(L74&lt;='Main Page'!$CB$16,L74,"")</f>
        <v/>
      </c>
      <c r="O74" s="140">
        <f>IF(M74=0,0.0000000001,IF($N74&lt;='Main Page'!$CB$16,$M74,0))</f>
        <v>1E-10</v>
      </c>
      <c r="P74" s="175" t="str">
        <f>IF($N74&lt;='Ref15'!$C$39,'Ref15'!$D$39,IF($N74&lt;='Ref15'!$C$40,'Ref15'!$D$40,IF($N74&lt;='Ref15'!$C$41,'Ref15'!$D$41,"")))</f>
        <v/>
      </c>
      <c r="Q74" s="176" t="str">
        <f t="shared" si="1"/>
        <v/>
      </c>
      <c r="R74" s="140">
        <f t="shared" ca="1" si="2"/>
        <v>0</v>
      </c>
      <c r="S74" s="140">
        <f>IF($N74&lt;&gt;"",Routine!$G67,0)</f>
        <v>0</v>
      </c>
    </row>
    <row r="75" spans="1:19" x14ac:dyDescent="0.2">
      <c r="A75" s="19"/>
      <c r="B75" s="19"/>
      <c r="C75" s="19"/>
      <c r="D75" s="19"/>
      <c r="E75" s="19"/>
      <c r="F75" s="19"/>
      <c r="G75" s="114"/>
      <c r="H75" s="114"/>
      <c r="I75" s="114"/>
      <c r="J75" s="114"/>
      <c r="K75" s="114"/>
      <c r="L75" s="19">
        <v>64</v>
      </c>
      <c r="M75" s="137">
        <f>IF(AND($N75&gt;='Main Page'!$BW$19,$N75&lt;='Main Page'!$BY$19),'Main Page'!$CA$19,IF(AND($N75&gt;='Main Page'!$BW$20,$N75&lt;='Main Page'!$BY$20),'Main Page'!$CA$20,IF(AND($N75&gt;='Main Page'!$BW$21,$N75&lt;='Main Page'!$BY$21),'Main Page'!$CA$21,IF(AND($N75&gt;='Main Page'!$BW$22,$N75&lt;='Main Page'!$BY$22),'Main Page'!$CA$22,IF(AND($N75&gt;='Main Page'!$BW$23,$N75&lt;='Main Page'!$BY$23),'Main Page'!$CA$23,IF(AND($N75&gt;='Main Page'!$BW$24,$N75&lt;='Main Page'!$BY$24),'Main Page'!$CA$24,IF(AND($N75&gt;='Main Page'!$BW$25,$N75&lt;'Main Page'!$BY$25),'Main Page'!$CA$25,IF(AND($N75&gt;='Main Page'!$BW$26,$N75&lt;'Main Page'!$BY$26),'Main Page'!$CA$26,0))))))))</f>
        <v>0</v>
      </c>
      <c r="N75" s="116" t="str">
        <f>IF(L75&lt;='Main Page'!$CB$16,L75,"")</f>
        <v/>
      </c>
      <c r="O75" s="140">
        <f>IF(M75=0,0.0000000001,IF($N75&lt;='Main Page'!$CB$16,$M75,0))</f>
        <v>1E-10</v>
      </c>
      <c r="P75" s="175" t="str">
        <f>IF($N75&lt;='Ref15'!$C$39,'Ref15'!$D$39,IF($N75&lt;='Ref15'!$C$40,'Ref15'!$D$40,IF($N75&lt;='Ref15'!$C$41,'Ref15'!$D$41,"")))</f>
        <v/>
      </c>
      <c r="Q75" s="176" t="str">
        <f t="shared" si="1"/>
        <v/>
      </c>
      <c r="R75" s="140">
        <f t="shared" ca="1" si="2"/>
        <v>0</v>
      </c>
      <c r="S75" s="140">
        <f>IF($N75&lt;&gt;"",Routine!$G68,0)</f>
        <v>0</v>
      </c>
    </row>
    <row r="76" spans="1:19" x14ac:dyDescent="0.2">
      <c r="A76" s="19"/>
      <c r="B76" s="19"/>
      <c r="C76" s="19"/>
      <c r="D76" s="19"/>
      <c r="E76" s="19"/>
      <c r="F76" s="19"/>
      <c r="G76" s="114"/>
      <c r="H76" s="114"/>
      <c r="I76" s="114"/>
      <c r="J76" s="114"/>
      <c r="K76" s="114"/>
      <c r="L76" s="19">
        <v>65</v>
      </c>
      <c r="M76" s="137">
        <f>IF(AND($N76&gt;='Main Page'!$BW$19,$N76&lt;='Main Page'!$BY$19),'Main Page'!$CA$19,IF(AND($N76&gt;='Main Page'!$BW$20,$N76&lt;='Main Page'!$BY$20),'Main Page'!$CA$20,IF(AND($N76&gt;='Main Page'!$BW$21,$N76&lt;='Main Page'!$BY$21),'Main Page'!$CA$21,IF(AND($N76&gt;='Main Page'!$BW$22,$N76&lt;='Main Page'!$BY$22),'Main Page'!$CA$22,IF(AND($N76&gt;='Main Page'!$BW$23,$N76&lt;='Main Page'!$BY$23),'Main Page'!$CA$23,IF(AND($N76&gt;='Main Page'!$BW$24,$N76&lt;='Main Page'!$BY$24),'Main Page'!$CA$24,IF(AND($N76&gt;='Main Page'!$BW$25,$N76&lt;'Main Page'!$BY$25),'Main Page'!$CA$25,IF(AND($N76&gt;='Main Page'!$BW$26,$N76&lt;'Main Page'!$BY$26),'Main Page'!$CA$26,0))))))))</f>
        <v>0</v>
      </c>
      <c r="N76" s="116" t="str">
        <f>IF(L76&lt;='Main Page'!$CB$16,L76,"")</f>
        <v/>
      </c>
      <c r="O76" s="140">
        <f>IF(M76=0,0.0000000001,IF($N76&lt;='Main Page'!$CB$16,$M76,0))</f>
        <v>1E-10</v>
      </c>
      <c r="P76" s="175" t="str">
        <f>IF($N76&lt;='Ref15'!$C$39,'Ref15'!$D$39,IF($N76&lt;='Ref15'!$C$40,'Ref15'!$D$40,IF($N76&lt;='Ref15'!$C$41,'Ref15'!$D$41,"")))</f>
        <v/>
      </c>
      <c r="Q76" s="176" t="str">
        <f t="shared" si="1"/>
        <v/>
      </c>
      <c r="R76" s="140">
        <f t="shared" ref="R76:R107" ca="1" si="3">IFERROR(SUMIF(Pln_YearofWork,$N76,Pln_PlannedWorksCost),0)</f>
        <v>0</v>
      </c>
      <c r="S76" s="140">
        <f>IF($N76&lt;&gt;"",Routine!$G69,0)</f>
        <v>0</v>
      </c>
    </row>
    <row r="77" spans="1:19" x14ac:dyDescent="0.2">
      <c r="A77" s="19"/>
      <c r="B77" s="19"/>
      <c r="C77" s="19"/>
      <c r="D77" s="19"/>
      <c r="E77" s="19"/>
      <c r="F77" s="19"/>
      <c r="G77" s="114"/>
      <c r="H77" s="114"/>
      <c r="I77" s="114"/>
      <c r="J77" s="114"/>
      <c r="K77" s="114"/>
      <c r="L77" s="19">
        <v>66</v>
      </c>
      <c r="M77" s="137">
        <f>IF(AND($N77&gt;='Main Page'!$BW$19,$N77&lt;='Main Page'!$BY$19),'Main Page'!$CA$19,IF(AND($N77&gt;='Main Page'!$BW$20,$N77&lt;='Main Page'!$BY$20),'Main Page'!$CA$20,IF(AND($N77&gt;='Main Page'!$BW$21,$N77&lt;='Main Page'!$BY$21),'Main Page'!$CA$21,IF(AND($N77&gt;='Main Page'!$BW$22,$N77&lt;='Main Page'!$BY$22),'Main Page'!$CA$22,IF(AND($N77&gt;='Main Page'!$BW$23,$N77&lt;='Main Page'!$BY$23),'Main Page'!$CA$23,IF(AND($N77&gt;='Main Page'!$BW$24,$N77&lt;='Main Page'!$BY$24),'Main Page'!$CA$24,IF(AND($N77&gt;='Main Page'!$BW$25,$N77&lt;'Main Page'!$BY$25),'Main Page'!$CA$25,IF(AND($N77&gt;='Main Page'!$BW$26,$N77&lt;'Main Page'!$BY$26),'Main Page'!$CA$26,0))))))))</f>
        <v>0</v>
      </c>
      <c r="N77" s="116" t="str">
        <f>IF(L77&lt;='Main Page'!$CB$16,L77,"")</f>
        <v/>
      </c>
      <c r="O77" s="140">
        <f>IF(M77=0,0.0000000001,IF($N77&lt;='Main Page'!$CB$16,$M77,0))</f>
        <v>1E-10</v>
      </c>
      <c r="P77" s="175" t="str">
        <f>IF($N77&lt;='Ref15'!$C$39,'Ref15'!$D$39,IF($N77&lt;='Ref15'!$C$40,'Ref15'!$D$40,IF($N77&lt;='Ref15'!$C$41,'Ref15'!$D$41,"")))</f>
        <v/>
      </c>
      <c r="Q77" s="176" t="str">
        <f t="shared" si="1"/>
        <v/>
      </c>
      <c r="R77" s="140">
        <f t="shared" ca="1" si="3"/>
        <v>0</v>
      </c>
      <c r="S77" s="140">
        <f>IF($N77&lt;&gt;"",Routine!$G70,0)</f>
        <v>0</v>
      </c>
    </row>
    <row r="78" spans="1:19" x14ac:dyDescent="0.2">
      <c r="A78" s="19"/>
      <c r="B78" s="19"/>
      <c r="C78" s="19"/>
      <c r="D78" s="19"/>
      <c r="E78" s="19"/>
      <c r="F78" s="19"/>
      <c r="G78" s="114"/>
      <c r="H78" s="114"/>
      <c r="I78" s="114"/>
      <c r="J78" s="114"/>
      <c r="K78" s="114"/>
      <c r="L78" s="19">
        <v>67</v>
      </c>
      <c r="M78" s="137">
        <f>IF(AND($N78&gt;='Main Page'!$BW$19,$N78&lt;='Main Page'!$BY$19),'Main Page'!$CA$19,IF(AND($N78&gt;='Main Page'!$BW$20,$N78&lt;='Main Page'!$BY$20),'Main Page'!$CA$20,IF(AND($N78&gt;='Main Page'!$BW$21,$N78&lt;='Main Page'!$BY$21),'Main Page'!$CA$21,IF(AND($N78&gt;='Main Page'!$BW$22,$N78&lt;='Main Page'!$BY$22),'Main Page'!$CA$22,IF(AND($N78&gt;='Main Page'!$BW$23,$N78&lt;='Main Page'!$BY$23),'Main Page'!$CA$23,IF(AND($N78&gt;='Main Page'!$BW$24,$N78&lt;='Main Page'!$BY$24),'Main Page'!$CA$24,IF(AND($N78&gt;='Main Page'!$BW$25,$N78&lt;'Main Page'!$BY$25),'Main Page'!$CA$25,IF(AND($N78&gt;='Main Page'!$BW$26,$N78&lt;'Main Page'!$BY$26),'Main Page'!$CA$26,0))))))))</f>
        <v>0</v>
      </c>
      <c r="N78" s="116" t="str">
        <f>IF(L78&lt;='Main Page'!$CB$16,L78,"")</f>
        <v/>
      </c>
      <c r="O78" s="140">
        <f>IF(M78=0,0.0000000001,IF($N78&lt;='Main Page'!$CB$16,$M78,0))</f>
        <v>1E-10</v>
      </c>
      <c r="P78" s="175" t="str">
        <f>IF($N78&lt;='Ref15'!$C$39,'Ref15'!$D$39,IF($N78&lt;='Ref15'!$C$40,'Ref15'!$D$40,IF($N78&lt;='Ref15'!$C$41,'Ref15'!$D$41,"")))</f>
        <v/>
      </c>
      <c r="Q78" s="176" t="str">
        <f t="shared" ref="Q78:Q132" si="4">IF(P78="","",Q77/(1+P78))</f>
        <v/>
      </c>
      <c r="R78" s="140">
        <f t="shared" ca="1" si="3"/>
        <v>0</v>
      </c>
      <c r="S78" s="140">
        <f>IF($N78&lt;&gt;"",Routine!$G71,0)</f>
        <v>0</v>
      </c>
    </row>
    <row r="79" spans="1:19" x14ac:dyDescent="0.2">
      <c r="A79" s="19"/>
      <c r="B79" s="19"/>
      <c r="C79" s="19"/>
      <c r="D79" s="19"/>
      <c r="E79" s="19"/>
      <c r="F79" s="19"/>
      <c r="G79" s="114"/>
      <c r="H79" s="114"/>
      <c r="I79" s="114"/>
      <c r="J79" s="114"/>
      <c r="K79" s="114"/>
      <c r="L79" s="19">
        <v>68</v>
      </c>
      <c r="M79" s="137">
        <f>IF(AND($N79&gt;='Main Page'!$BW$19,$N79&lt;='Main Page'!$BY$19),'Main Page'!$CA$19,IF(AND($N79&gt;='Main Page'!$BW$20,$N79&lt;='Main Page'!$BY$20),'Main Page'!$CA$20,IF(AND($N79&gt;='Main Page'!$BW$21,$N79&lt;='Main Page'!$BY$21),'Main Page'!$CA$21,IF(AND($N79&gt;='Main Page'!$BW$22,$N79&lt;='Main Page'!$BY$22),'Main Page'!$CA$22,IF(AND($N79&gt;='Main Page'!$BW$23,$N79&lt;='Main Page'!$BY$23),'Main Page'!$CA$23,IF(AND($N79&gt;='Main Page'!$BW$24,$N79&lt;='Main Page'!$BY$24),'Main Page'!$CA$24,IF(AND($N79&gt;='Main Page'!$BW$25,$N79&lt;'Main Page'!$BY$25),'Main Page'!$CA$25,IF(AND($N79&gt;='Main Page'!$BW$26,$N79&lt;'Main Page'!$BY$26),'Main Page'!$CA$26,0))))))))</f>
        <v>0</v>
      </c>
      <c r="N79" s="116" t="str">
        <f>IF(L79&lt;='Main Page'!$CB$16,L79,"")</f>
        <v/>
      </c>
      <c r="O79" s="140">
        <f>IF(M79=0,0.0000000001,IF($N79&lt;='Main Page'!$CB$16,$M79,0))</f>
        <v>1E-10</v>
      </c>
      <c r="P79" s="175" t="str">
        <f>IF($N79&lt;='Ref15'!$C$39,'Ref15'!$D$39,IF($N79&lt;='Ref15'!$C$40,'Ref15'!$D$40,IF($N79&lt;='Ref15'!$C$41,'Ref15'!$D$41,"")))</f>
        <v/>
      </c>
      <c r="Q79" s="176" t="str">
        <f t="shared" si="4"/>
        <v/>
      </c>
      <c r="R79" s="140">
        <f t="shared" ca="1" si="3"/>
        <v>0</v>
      </c>
      <c r="S79" s="140">
        <f>IF($N79&lt;&gt;"",Routine!$G72,0)</f>
        <v>0</v>
      </c>
    </row>
    <row r="80" spans="1:19" x14ac:dyDescent="0.2">
      <c r="A80" s="19"/>
      <c r="B80" s="19"/>
      <c r="C80" s="19"/>
      <c r="D80" s="19"/>
      <c r="E80" s="19"/>
      <c r="F80" s="19"/>
      <c r="G80" s="114"/>
      <c r="H80" s="114"/>
      <c r="I80" s="114"/>
      <c r="J80" s="114"/>
      <c r="K80" s="114"/>
      <c r="L80" s="19">
        <v>69</v>
      </c>
      <c r="M80" s="137">
        <f>IF(AND($N80&gt;='Main Page'!$BW$19,$N80&lt;='Main Page'!$BY$19),'Main Page'!$CA$19,IF(AND($N80&gt;='Main Page'!$BW$20,$N80&lt;='Main Page'!$BY$20),'Main Page'!$CA$20,IF(AND($N80&gt;='Main Page'!$BW$21,$N80&lt;='Main Page'!$BY$21),'Main Page'!$CA$21,IF(AND($N80&gt;='Main Page'!$BW$22,$N80&lt;='Main Page'!$BY$22),'Main Page'!$CA$22,IF(AND($N80&gt;='Main Page'!$BW$23,$N80&lt;='Main Page'!$BY$23),'Main Page'!$CA$23,IF(AND($N80&gt;='Main Page'!$BW$24,$N80&lt;='Main Page'!$BY$24),'Main Page'!$CA$24,IF(AND($N80&gt;='Main Page'!$BW$25,$N80&lt;'Main Page'!$BY$25),'Main Page'!$CA$25,IF(AND($N80&gt;='Main Page'!$BW$26,$N80&lt;'Main Page'!$BY$26),'Main Page'!$CA$26,0))))))))</f>
        <v>0</v>
      </c>
      <c r="N80" s="116" t="str">
        <f>IF(L80&lt;='Main Page'!$CB$16,L80,"")</f>
        <v/>
      </c>
      <c r="O80" s="140">
        <f>IF(M80=0,0.0000000001,IF($N80&lt;='Main Page'!$CB$16,$M80,0))</f>
        <v>1E-10</v>
      </c>
      <c r="P80" s="175" t="str">
        <f>IF($N80&lt;='Ref15'!$C$39,'Ref15'!$D$39,IF($N80&lt;='Ref15'!$C$40,'Ref15'!$D$40,IF($N80&lt;='Ref15'!$C$41,'Ref15'!$D$41,"")))</f>
        <v/>
      </c>
      <c r="Q80" s="176" t="str">
        <f t="shared" si="4"/>
        <v/>
      </c>
      <c r="R80" s="140">
        <f t="shared" ca="1" si="3"/>
        <v>0</v>
      </c>
      <c r="S80" s="140">
        <f>IF($N80&lt;&gt;"",Routine!$G73,0)</f>
        <v>0</v>
      </c>
    </row>
    <row r="81" spans="1:19" x14ac:dyDescent="0.2">
      <c r="A81" s="19"/>
      <c r="B81" s="19"/>
      <c r="C81" s="19"/>
      <c r="D81" s="19"/>
      <c r="E81" s="19"/>
      <c r="F81" s="19"/>
      <c r="G81" s="114"/>
      <c r="H81" s="114"/>
      <c r="I81" s="114"/>
      <c r="J81" s="114"/>
      <c r="K81" s="114"/>
      <c r="L81" s="19">
        <v>70</v>
      </c>
      <c r="M81" s="137">
        <f>IF(AND($N81&gt;='Main Page'!$BW$19,$N81&lt;='Main Page'!$BY$19),'Main Page'!$CA$19,IF(AND($N81&gt;='Main Page'!$BW$20,$N81&lt;='Main Page'!$BY$20),'Main Page'!$CA$20,IF(AND($N81&gt;='Main Page'!$BW$21,$N81&lt;='Main Page'!$BY$21),'Main Page'!$CA$21,IF(AND($N81&gt;='Main Page'!$BW$22,$N81&lt;='Main Page'!$BY$22),'Main Page'!$CA$22,IF(AND($N81&gt;='Main Page'!$BW$23,$N81&lt;='Main Page'!$BY$23),'Main Page'!$CA$23,IF(AND($N81&gt;='Main Page'!$BW$24,$N81&lt;='Main Page'!$BY$24),'Main Page'!$CA$24,IF(AND($N81&gt;='Main Page'!$BW$25,$N81&lt;'Main Page'!$BY$25),'Main Page'!$CA$25,IF(AND($N81&gt;='Main Page'!$BW$26,$N81&lt;'Main Page'!$BY$26),'Main Page'!$CA$26,0))))))))</f>
        <v>0</v>
      </c>
      <c r="N81" s="116" t="str">
        <f>IF(L81&lt;='Main Page'!$CB$16,L81,"")</f>
        <v/>
      </c>
      <c r="O81" s="140">
        <f>IF(M81=0,0.0000000001,IF($N81&lt;='Main Page'!$CB$16,$M81,0))</f>
        <v>1E-10</v>
      </c>
      <c r="P81" s="175" t="str">
        <f>IF($N81&lt;='Ref15'!$C$39,'Ref15'!$D$39,IF($N81&lt;='Ref15'!$C$40,'Ref15'!$D$40,IF($N81&lt;='Ref15'!$C$41,'Ref15'!$D$41,"")))</f>
        <v/>
      </c>
      <c r="Q81" s="176" t="str">
        <f t="shared" si="4"/>
        <v/>
      </c>
      <c r="R81" s="140">
        <f t="shared" ca="1" si="3"/>
        <v>0</v>
      </c>
      <c r="S81" s="140">
        <f>IF($N81&lt;&gt;"",Routine!$G74,0)</f>
        <v>0</v>
      </c>
    </row>
    <row r="82" spans="1:19" x14ac:dyDescent="0.2">
      <c r="A82" s="19"/>
      <c r="B82" s="19"/>
      <c r="C82" s="19"/>
      <c r="D82" s="19"/>
      <c r="E82" s="19"/>
      <c r="F82" s="19"/>
      <c r="G82" s="114"/>
      <c r="H82" s="114"/>
      <c r="I82" s="114"/>
      <c r="J82" s="114"/>
      <c r="K82" s="114"/>
      <c r="L82" s="19">
        <v>71</v>
      </c>
      <c r="M82" s="137">
        <f>IF(AND($N82&gt;='Main Page'!$BW$19,$N82&lt;='Main Page'!$BY$19),'Main Page'!$CA$19,IF(AND($N82&gt;='Main Page'!$BW$20,$N82&lt;='Main Page'!$BY$20),'Main Page'!$CA$20,IF(AND($N82&gt;='Main Page'!$BW$21,$N82&lt;='Main Page'!$BY$21),'Main Page'!$CA$21,IF(AND($N82&gt;='Main Page'!$BW$22,$N82&lt;='Main Page'!$BY$22),'Main Page'!$CA$22,IF(AND($N82&gt;='Main Page'!$BW$23,$N82&lt;='Main Page'!$BY$23),'Main Page'!$CA$23,IF(AND($N82&gt;='Main Page'!$BW$24,$N82&lt;='Main Page'!$BY$24),'Main Page'!$CA$24,IF(AND($N82&gt;='Main Page'!$BW$25,$N82&lt;'Main Page'!$BY$25),'Main Page'!$CA$25,IF(AND($N82&gt;='Main Page'!$BW$26,$N82&lt;'Main Page'!$BY$26),'Main Page'!$CA$26,0))))))))</f>
        <v>0</v>
      </c>
      <c r="N82" s="116" t="str">
        <f>IF(L82&lt;='Main Page'!$CB$16,L82,"")</f>
        <v/>
      </c>
      <c r="O82" s="140">
        <f>IF(M82=0,0.0000000001,IF($N82&lt;='Main Page'!$CB$16,$M82,0))</f>
        <v>1E-10</v>
      </c>
      <c r="P82" s="175" t="str">
        <f>IF($N82&lt;='Ref15'!$C$39,'Ref15'!$D$39,IF($N82&lt;='Ref15'!$C$40,'Ref15'!$D$40,IF($N82&lt;='Ref15'!$C$41,'Ref15'!$D$41,"")))</f>
        <v/>
      </c>
      <c r="Q82" s="176" t="str">
        <f t="shared" si="4"/>
        <v/>
      </c>
      <c r="R82" s="140">
        <f t="shared" ca="1" si="3"/>
        <v>0</v>
      </c>
      <c r="S82" s="140">
        <f>IF($N82&lt;&gt;"",Routine!$G75,0)</f>
        <v>0</v>
      </c>
    </row>
    <row r="83" spans="1:19" x14ac:dyDescent="0.2">
      <c r="A83" s="19"/>
      <c r="B83" s="19"/>
      <c r="C83" s="19"/>
      <c r="D83" s="19"/>
      <c r="E83" s="19"/>
      <c r="F83" s="19"/>
      <c r="G83" s="114"/>
      <c r="H83" s="114"/>
      <c r="I83" s="114"/>
      <c r="J83" s="114"/>
      <c r="K83" s="114"/>
      <c r="L83" s="19">
        <v>72</v>
      </c>
      <c r="M83" s="137">
        <f>IF(AND($N83&gt;='Main Page'!$BW$19,$N83&lt;='Main Page'!$BY$19),'Main Page'!$CA$19,IF(AND($N83&gt;='Main Page'!$BW$20,$N83&lt;='Main Page'!$BY$20),'Main Page'!$CA$20,IF(AND($N83&gt;='Main Page'!$BW$21,$N83&lt;='Main Page'!$BY$21),'Main Page'!$CA$21,IF(AND($N83&gt;='Main Page'!$BW$22,$N83&lt;='Main Page'!$BY$22),'Main Page'!$CA$22,IF(AND($N83&gt;='Main Page'!$BW$23,$N83&lt;='Main Page'!$BY$23),'Main Page'!$CA$23,IF(AND($N83&gt;='Main Page'!$BW$24,$N83&lt;='Main Page'!$BY$24),'Main Page'!$CA$24,IF(AND($N83&gt;='Main Page'!$BW$25,$N83&lt;'Main Page'!$BY$25),'Main Page'!$CA$25,IF(AND($N83&gt;='Main Page'!$BW$26,$N83&lt;'Main Page'!$BY$26),'Main Page'!$CA$26,0))))))))</f>
        <v>0</v>
      </c>
      <c r="N83" s="116" t="str">
        <f>IF(L83&lt;='Main Page'!$CB$16,L83,"")</f>
        <v/>
      </c>
      <c r="O83" s="140">
        <f>IF(M83=0,0.0000000001,IF($N83&lt;='Main Page'!$CB$16,$M83,0))</f>
        <v>1E-10</v>
      </c>
      <c r="P83" s="175" t="str">
        <f>IF($N83&lt;='Ref15'!$C$39,'Ref15'!$D$39,IF($N83&lt;='Ref15'!$C$40,'Ref15'!$D$40,IF($N83&lt;='Ref15'!$C$41,'Ref15'!$D$41,"")))</f>
        <v/>
      </c>
      <c r="Q83" s="176" t="str">
        <f t="shared" si="4"/>
        <v/>
      </c>
      <c r="R83" s="140">
        <f t="shared" ca="1" si="3"/>
        <v>0</v>
      </c>
      <c r="S83" s="140">
        <f>IF($N83&lt;&gt;"",Routine!$G76,0)</f>
        <v>0</v>
      </c>
    </row>
    <row r="84" spans="1:19" x14ac:dyDescent="0.2">
      <c r="A84" s="19"/>
      <c r="B84" s="19"/>
      <c r="C84" s="19"/>
      <c r="D84" s="19"/>
      <c r="E84" s="19"/>
      <c r="F84" s="19"/>
      <c r="G84" s="114"/>
      <c r="H84" s="114"/>
      <c r="I84" s="114"/>
      <c r="J84" s="114"/>
      <c r="K84" s="114"/>
      <c r="L84" s="19">
        <v>73</v>
      </c>
      <c r="M84" s="137">
        <f>IF(AND($N84&gt;='Main Page'!$BW$19,$N84&lt;='Main Page'!$BY$19),'Main Page'!$CA$19,IF(AND($N84&gt;='Main Page'!$BW$20,$N84&lt;='Main Page'!$BY$20),'Main Page'!$CA$20,IF(AND($N84&gt;='Main Page'!$BW$21,$N84&lt;='Main Page'!$BY$21),'Main Page'!$CA$21,IF(AND($N84&gt;='Main Page'!$BW$22,$N84&lt;='Main Page'!$BY$22),'Main Page'!$CA$22,IF(AND($N84&gt;='Main Page'!$BW$23,$N84&lt;='Main Page'!$BY$23),'Main Page'!$CA$23,IF(AND($N84&gt;='Main Page'!$BW$24,$N84&lt;='Main Page'!$BY$24),'Main Page'!$CA$24,IF(AND($N84&gt;='Main Page'!$BW$25,$N84&lt;'Main Page'!$BY$25),'Main Page'!$CA$25,IF(AND($N84&gt;='Main Page'!$BW$26,$N84&lt;'Main Page'!$BY$26),'Main Page'!$CA$26,0))))))))</f>
        <v>0</v>
      </c>
      <c r="N84" s="116" t="str">
        <f>IF(L84&lt;='Main Page'!$CB$16,L84,"")</f>
        <v/>
      </c>
      <c r="O84" s="140">
        <f>IF(M84=0,0.0000000001,IF($N84&lt;='Main Page'!$CB$16,$M84,0))</f>
        <v>1E-10</v>
      </c>
      <c r="P84" s="175" t="str">
        <f>IF($N84&lt;='Ref15'!$C$39,'Ref15'!$D$39,IF($N84&lt;='Ref15'!$C$40,'Ref15'!$D$40,IF($N84&lt;='Ref15'!$C$41,'Ref15'!$D$41,"")))</f>
        <v/>
      </c>
      <c r="Q84" s="176" t="str">
        <f t="shared" si="4"/>
        <v/>
      </c>
      <c r="R84" s="140">
        <f t="shared" ca="1" si="3"/>
        <v>0</v>
      </c>
      <c r="S84" s="140">
        <f>IF($N84&lt;&gt;"",Routine!$G77,0)</f>
        <v>0</v>
      </c>
    </row>
    <row r="85" spans="1:19" x14ac:dyDescent="0.2">
      <c r="A85" s="19"/>
      <c r="B85" s="19"/>
      <c r="C85" s="19"/>
      <c r="D85" s="19"/>
      <c r="E85" s="19"/>
      <c r="F85" s="19"/>
      <c r="G85" s="114"/>
      <c r="H85" s="114"/>
      <c r="I85" s="114"/>
      <c r="J85" s="114"/>
      <c r="K85" s="114"/>
      <c r="L85" s="19">
        <v>74</v>
      </c>
      <c r="M85" s="137">
        <f>IF(AND($N85&gt;='Main Page'!$BW$19,$N85&lt;='Main Page'!$BY$19),'Main Page'!$CA$19,IF(AND($N85&gt;='Main Page'!$BW$20,$N85&lt;='Main Page'!$BY$20),'Main Page'!$CA$20,IF(AND($N85&gt;='Main Page'!$BW$21,$N85&lt;='Main Page'!$BY$21),'Main Page'!$CA$21,IF(AND($N85&gt;='Main Page'!$BW$22,$N85&lt;='Main Page'!$BY$22),'Main Page'!$CA$22,IF(AND($N85&gt;='Main Page'!$BW$23,$N85&lt;='Main Page'!$BY$23),'Main Page'!$CA$23,IF(AND($N85&gt;='Main Page'!$BW$24,$N85&lt;='Main Page'!$BY$24),'Main Page'!$CA$24,IF(AND($N85&gt;='Main Page'!$BW$25,$N85&lt;'Main Page'!$BY$25),'Main Page'!$CA$25,IF(AND($N85&gt;='Main Page'!$BW$26,$N85&lt;'Main Page'!$BY$26),'Main Page'!$CA$26,0))))))))</f>
        <v>0</v>
      </c>
      <c r="N85" s="116" t="str">
        <f>IF(L85&lt;='Main Page'!$CB$16,L85,"")</f>
        <v/>
      </c>
      <c r="O85" s="140">
        <f>IF(M85=0,0.0000000001,IF($N85&lt;='Main Page'!$CB$16,$M85,0))</f>
        <v>1E-10</v>
      </c>
      <c r="P85" s="175" t="str">
        <f>IF($N85&lt;='Ref15'!$C$39,'Ref15'!$D$39,IF($N85&lt;='Ref15'!$C$40,'Ref15'!$D$40,IF($N85&lt;='Ref15'!$C$41,'Ref15'!$D$41,"")))</f>
        <v/>
      </c>
      <c r="Q85" s="176" t="str">
        <f t="shared" si="4"/>
        <v/>
      </c>
      <c r="R85" s="140">
        <f t="shared" ca="1" si="3"/>
        <v>0</v>
      </c>
      <c r="S85" s="140">
        <f>IF($N85&lt;&gt;"",Routine!$G78,0)</f>
        <v>0</v>
      </c>
    </row>
    <row r="86" spans="1:19" x14ac:dyDescent="0.2">
      <c r="A86" s="19"/>
      <c r="B86" s="19"/>
      <c r="C86" s="19"/>
      <c r="D86" s="19"/>
      <c r="E86" s="19"/>
      <c r="F86" s="19"/>
      <c r="G86" s="114"/>
      <c r="H86" s="114"/>
      <c r="I86" s="114"/>
      <c r="J86" s="114"/>
      <c r="K86" s="114"/>
      <c r="L86" s="19">
        <v>75</v>
      </c>
      <c r="M86" s="137">
        <f>IF(AND($N86&gt;='Main Page'!$BW$19,$N86&lt;='Main Page'!$BY$19),'Main Page'!$CA$19,IF(AND($N86&gt;='Main Page'!$BW$20,$N86&lt;='Main Page'!$BY$20),'Main Page'!$CA$20,IF(AND($N86&gt;='Main Page'!$BW$21,$N86&lt;='Main Page'!$BY$21),'Main Page'!$CA$21,IF(AND($N86&gt;='Main Page'!$BW$22,$N86&lt;='Main Page'!$BY$22),'Main Page'!$CA$22,IF(AND($N86&gt;='Main Page'!$BW$23,$N86&lt;='Main Page'!$BY$23),'Main Page'!$CA$23,IF(AND($N86&gt;='Main Page'!$BW$24,$N86&lt;='Main Page'!$BY$24),'Main Page'!$CA$24,IF(AND($N86&gt;='Main Page'!$BW$25,$N86&lt;'Main Page'!$BY$25),'Main Page'!$CA$25,IF(AND($N86&gt;='Main Page'!$BW$26,$N86&lt;'Main Page'!$BY$26),'Main Page'!$CA$26,0))))))))</f>
        <v>0</v>
      </c>
      <c r="N86" s="116" t="str">
        <f>IF(L86&lt;='Main Page'!$CB$16,L86,"")</f>
        <v/>
      </c>
      <c r="O86" s="140">
        <f>IF(M86=0,0.0000000001,IF($N86&lt;='Main Page'!$CB$16,$M86,0))</f>
        <v>1E-10</v>
      </c>
      <c r="P86" s="175" t="str">
        <f>IF($N86&lt;='Ref15'!$C$39,'Ref15'!$D$39,IF($N86&lt;='Ref15'!$C$40,'Ref15'!$D$40,IF($N86&lt;='Ref15'!$C$41,'Ref15'!$D$41,"")))</f>
        <v/>
      </c>
      <c r="Q86" s="176" t="str">
        <f t="shared" si="4"/>
        <v/>
      </c>
      <c r="R86" s="140">
        <f t="shared" ca="1" si="3"/>
        <v>0</v>
      </c>
      <c r="S86" s="140">
        <f>IF($N86&lt;&gt;"",Routine!$G79,0)</f>
        <v>0</v>
      </c>
    </row>
    <row r="87" spans="1:19" x14ac:dyDescent="0.2">
      <c r="A87" s="19"/>
      <c r="B87" s="19"/>
      <c r="C87" s="19"/>
      <c r="D87" s="19"/>
      <c r="E87" s="19"/>
      <c r="F87" s="19"/>
      <c r="G87" s="114"/>
      <c r="H87" s="114"/>
      <c r="I87" s="114"/>
      <c r="J87" s="114"/>
      <c r="K87" s="114"/>
      <c r="L87" s="19">
        <v>76</v>
      </c>
      <c r="M87" s="137">
        <f>IF(AND($N87&gt;='Main Page'!$BW$19,$N87&lt;='Main Page'!$BY$19),'Main Page'!$CA$19,IF(AND($N87&gt;='Main Page'!$BW$20,$N87&lt;='Main Page'!$BY$20),'Main Page'!$CA$20,IF(AND($N87&gt;='Main Page'!$BW$21,$N87&lt;='Main Page'!$BY$21),'Main Page'!$CA$21,IF(AND($N87&gt;='Main Page'!$BW$22,$N87&lt;='Main Page'!$BY$22),'Main Page'!$CA$22,IF(AND($N87&gt;='Main Page'!$BW$23,$N87&lt;='Main Page'!$BY$23),'Main Page'!$CA$23,IF(AND($N87&gt;='Main Page'!$BW$24,$N87&lt;='Main Page'!$BY$24),'Main Page'!$CA$24,IF(AND($N87&gt;='Main Page'!$BW$25,$N87&lt;'Main Page'!$BY$25),'Main Page'!$CA$25,IF(AND($N87&gt;='Main Page'!$BW$26,$N87&lt;'Main Page'!$BY$26),'Main Page'!$CA$26,0))))))))</f>
        <v>0</v>
      </c>
      <c r="N87" s="116" t="str">
        <f>IF(L87&lt;='Main Page'!$CB$16,L87,"")</f>
        <v/>
      </c>
      <c r="O87" s="140">
        <f>IF(M87=0,0.0000000001,IF($N87&lt;='Main Page'!$CB$16,$M87,0))</f>
        <v>1E-10</v>
      </c>
      <c r="P87" s="175" t="str">
        <f>IF($N87&lt;='Ref15'!$C$39,'Ref15'!$D$39,IF($N87&lt;='Ref15'!$C$40,'Ref15'!$D$40,IF($N87&lt;='Ref15'!$C$41,'Ref15'!$D$41,"")))</f>
        <v/>
      </c>
      <c r="Q87" s="176" t="str">
        <f t="shared" si="4"/>
        <v/>
      </c>
      <c r="R87" s="140">
        <f t="shared" ca="1" si="3"/>
        <v>0</v>
      </c>
      <c r="S87" s="140">
        <f>IF($N87&lt;&gt;"",Routine!$G80,0)</f>
        <v>0</v>
      </c>
    </row>
    <row r="88" spans="1:19" x14ac:dyDescent="0.2">
      <c r="A88" s="19"/>
      <c r="B88" s="19"/>
      <c r="C88" s="19"/>
      <c r="D88" s="19"/>
      <c r="E88" s="19"/>
      <c r="F88" s="19"/>
      <c r="G88" s="114"/>
      <c r="H88" s="114"/>
      <c r="I88" s="114"/>
      <c r="J88" s="114"/>
      <c r="K88" s="114"/>
      <c r="L88" s="19">
        <v>77</v>
      </c>
      <c r="M88" s="137">
        <f>IF(AND($N88&gt;='Main Page'!$BW$19,$N88&lt;='Main Page'!$BY$19),'Main Page'!$CA$19,IF(AND($N88&gt;='Main Page'!$BW$20,$N88&lt;='Main Page'!$BY$20),'Main Page'!$CA$20,IF(AND($N88&gt;='Main Page'!$BW$21,$N88&lt;='Main Page'!$BY$21),'Main Page'!$CA$21,IF(AND($N88&gt;='Main Page'!$BW$22,$N88&lt;='Main Page'!$BY$22),'Main Page'!$CA$22,IF(AND($N88&gt;='Main Page'!$BW$23,$N88&lt;='Main Page'!$BY$23),'Main Page'!$CA$23,IF(AND($N88&gt;='Main Page'!$BW$24,$N88&lt;='Main Page'!$BY$24),'Main Page'!$CA$24,IF(AND($N88&gt;='Main Page'!$BW$25,$N88&lt;'Main Page'!$BY$25),'Main Page'!$CA$25,IF(AND($N88&gt;='Main Page'!$BW$26,$N88&lt;'Main Page'!$BY$26),'Main Page'!$CA$26,0))))))))</f>
        <v>0</v>
      </c>
      <c r="N88" s="116" t="str">
        <f>IF(L88&lt;='Main Page'!$CB$16,L88,"")</f>
        <v/>
      </c>
      <c r="O88" s="140">
        <f>IF(M88=0,0.0000000001,IF($N88&lt;='Main Page'!$CB$16,$M88,0))</f>
        <v>1E-10</v>
      </c>
      <c r="P88" s="175" t="str">
        <f>IF($N88&lt;='Ref15'!$C$39,'Ref15'!$D$39,IF($N88&lt;='Ref15'!$C$40,'Ref15'!$D$40,IF($N88&lt;='Ref15'!$C$41,'Ref15'!$D$41,"")))</f>
        <v/>
      </c>
      <c r="Q88" s="176" t="str">
        <f t="shared" si="4"/>
        <v/>
      </c>
      <c r="R88" s="140">
        <f t="shared" ca="1" si="3"/>
        <v>0</v>
      </c>
      <c r="S88" s="140">
        <f>IF($N88&lt;&gt;"",Routine!$G81,0)</f>
        <v>0</v>
      </c>
    </row>
    <row r="89" spans="1:19" x14ac:dyDescent="0.2">
      <c r="A89" s="19"/>
      <c r="B89" s="19"/>
      <c r="C89" s="19"/>
      <c r="D89" s="19"/>
      <c r="E89" s="19"/>
      <c r="F89" s="19"/>
      <c r="G89" s="114"/>
      <c r="H89" s="114"/>
      <c r="I89" s="114"/>
      <c r="J89" s="114"/>
      <c r="K89" s="114"/>
      <c r="L89" s="19">
        <v>78</v>
      </c>
      <c r="M89" s="137">
        <f>IF(AND($N89&gt;='Main Page'!$BW$19,$N89&lt;='Main Page'!$BY$19),'Main Page'!$CA$19,IF(AND($N89&gt;='Main Page'!$BW$20,$N89&lt;='Main Page'!$BY$20),'Main Page'!$CA$20,IF(AND($N89&gt;='Main Page'!$BW$21,$N89&lt;='Main Page'!$BY$21),'Main Page'!$CA$21,IF(AND($N89&gt;='Main Page'!$BW$22,$N89&lt;='Main Page'!$BY$22),'Main Page'!$CA$22,IF(AND($N89&gt;='Main Page'!$BW$23,$N89&lt;='Main Page'!$BY$23),'Main Page'!$CA$23,IF(AND($N89&gt;='Main Page'!$BW$24,$N89&lt;='Main Page'!$BY$24),'Main Page'!$CA$24,IF(AND($N89&gt;='Main Page'!$BW$25,$N89&lt;'Main Page'!$BY$25),'Main Page'!$CA$25,IF(AND($N89&gt;='Main Page'!$BW$26,$N89&lt;'Main Page'!$BY$26),'Main Page'!$CA$26,0))))))))</f>
        <v>0</v>
      </c>
      <c r="N89" s="116" t="str">
        <f>IF(L89&lt;='Main Page'!$CB$16,L89,"")</f>
        <v/>
      </c>
      <c r="O89" s="140">
        <f>IF(M89=0,0.0000000001,IF($N89&lt;='Main Page'!$CB$16,$M89,0))</f>
        <v>1E-10</v>
      </c>
      <c r="P89" s="175" t="str">
        <f>IF($N89&lt;='Ref15'!$C$39,'Ref15'!$D$39,IF($N89&lt;='Ref15'!$C$40,'Ref15'!$D$40,IF($N89&lt;='Ref15'!$C$41,'Ref15'!$D$41,"")))</f>
        <v/>
      </c>
      <c r="Q89" s="176" t="str">
        <f t="shared" si="4"/>
        <v/>
      </c>
      <c r="R89" s="140">
        <f t="shared" ca="1" si="3"/>
        <v>0</v>
      </c>
      <c r="S89" s="140">
        <f>IF($N89&lt;&gt;"",Routine!$G82,0)</f>
        <v>0</v>
      </c>
    </row>
    <row r="90" spans="1:19" x14ac:dyDescent="0.2">
      <c r="A90" s="19"/>
      <c r="B90" s="19"/>
      <c r="C90" s="19"/>
      <c r="D90" s="19"/>
      <c r="E90" s="19"/>
      <c r="F90" s="19"/>
      <c r="G90" s="114"/>
      <c r="H90" s="114"/>
      <c r="I90" s="114"/>
      <c r="J90" s="114"/>
      <c r="K90" s="114"/>
      <c r="L90" s="19">
        <v>79</v>
      </c>
      <c r="M90" s="137">
        <f>IF(AND($N90&gt;='Main Page'!$BW$19,$N90&lt;='Main Page'!$BY$19),'Main Page'!$CA$19,IF(AND($N90&gt;='Main Page'!$BW$20,$N90&lt;='Main Page'!$BY$20),'Main Page'!$CA$20,IF(AND($N90&gt;='Main Page'!$BW$21,$N90&lt;='Main Page'!$BY$21),'Main Page'!$CA$21,IF(AND($N90&gt;='Main Page'!$BW$22,$N90&lt;='Main Page'!$BY$22),'Main Page'!$CA$22,IF(AND($N90&gt;='Main Page'!$BW$23,$N90&lt;='Main Page'!$BY$23),'Main Page'!$CA$23,IF(AND($N90&gt;='Main Page'!$BW$24,$N90&lt;='Main Page'!$BY$24),'Main Page'!$CA$24,IF(AND($N90&gt;='Main Page'!$BW$25,$N90&lt;'Main Page'!$BY$25),'Main Page'!$CA$25,IF(AND($N90&gt;='Main Page'!$BW$26,$N90&lt;'Main Page'!$BY$26),'Main Page'!$CA$26,0))))))))</f>
        <v>0</v>
      </c>
      <c r="N90" s="116" t="str">
        <f>IF(L90&lt;='Main Page'!$CB$16,L90,"")</f>
        <v/>
      </c>
      <c r="O90" s="140">
        <f>IF(M90=0,0.0000000001,IF($N90&lt;='Main Page'!$CB$16,$M90,0))</f>
        <v>1E-10</v>
      </c>
      <c r="P90" s="175" t="str">
        <f>IF($N90&lt;='Ref15'!$C$39,'Ref15'!$D$39,IF($N90&lt;='Ref15'!$C$40,'Ref15'!$D$40,IF($N90&lt;='Ref15'!$C$41,'Ref15'!$D$41,"")))</f>
        <v/>
      </c>
      <c r="Q90" s="176" t="str">
        <f t="shared" si="4"/>
        <v/>
      </c>
      <c r="R90" s="140">
        <f t="shared" ca="1" si="3"/>
        <v>0</v>
      </c>
      <c r="S90" s="140">
        <f>IF($N90&lt;&gt;"",Routine!$G83,0)</f>
        <v>0</v>
      </c>
    </row>
    <row r="91" spans="1:19" x14ac:dyDescent="0.2">
      <c r="A91" s="19"/>
      <c r="B91" s="19"/>
      <c r="C91" s="19"/>
      <c r="D91" s="19"/>
      <c r="E91" s="19"/>
      <c r="F91" s="19"/>
      <c r="G91" s="114"/>
      <c r="H91" s="114"/>
      <c r="I91" s="114"/>
      <c r="J91" s="114"/>
      <c r="K91" s="114"/>
      <c r="L91" s="19">
        <v>80</v>
      </c>
      <c r="M91" s="137">
        <f>IF(AND($N91&gt;='Main Page'!$BW$19,$N91&lt;='Main Page'!$BY$19),'Main Page'!$CA$19,IF(AND($N91&gt;='Main Page'!$BW$20,$N91&lt;='Main Page'!$BY$20),'Main Page'!$CA$20,IF(AND($N91&gt;='Main Page'!$BW$21,$N91&lt;='Main Page'!$BY$21),'Main Page'!$CA$21,IF(AND($N91&gt;='Main Page'!$BW$22,$N91&lt;='Main Page'!$BY$22),'Main Page'!$CA$22,IF(AND($N91&gt;='Main Page'!$BW$23,$N91&lt;='Main Page'!$BY$23),'Main Page'!$CA$23,IF(AND($N91&gt;='Main Page'!$BW$24,$N91&lt;='Main Page'!$BY$24),'Main Page'!$CA$24,IF(AND($N91&gt;='Main Page'!$BW$25,$N91&lt;'Main Page'!$BY$25),'Main Page'!$CA$25,IF(AND($N91&gt;='Main Page'!$BW$26,$N91&lt;'Main Page'!$BY$26),'Main Page'!$CA$26,0))))))))</f>
        <v>0</v>
      </c>
      <c r="N91" s="116" t="str">
        <f>IF(L91&lt;='Main Page'!$CB$16,L91,"")</f>
        <v/>
      </c>
      <c r="O91" s="140">
        <f>IF(M91=0,0.0000000001,IF($N91&lt;='Main Page'!$CB$16,$M91,0))</f>
        <v>1E-10</v>
      </c>
      <c r="P91" s="175" t="str">
        <f>IF($N91&lt;='Ref15'!$C$39,'Ref15'!$D$39,IF($N91&lt;='Ref15'!$C$40,'Ref15'!$D$40,IF($N91&lt;='Ref15'!$C$41,'Ref15'!$D$41,"")))</f>
        <v/>
      </c>
      <c r="Q91" s="176" t="str">
        <f t="shared" si="4"/>
        <v/>
      </c>
      <c r="R91" s="140">
        <f t="shared" ca="1" si="3"/>
        <v>0</v>
      </c>
      <c r="S91" s="140">
        <f>IF($N91&lt;&gt;"",Routine!$G84,0)</f>
        <v>0</v>
      </c>
    </row>
    <row r="92" spans="1:19" x14ac:dyDescent="0.2">
      <c r="A92" s="19"/>
      <c r="B92" s="19"/>
      <c r="C92" s="19"/>
      <c r="D92" s="19"/>
      <c r="E92" s="19"/>
      <c r="F92" s="19"/>
      <c r="G92" s="114"/>
      <c r="H92" s="114"/>
      <c r="I92" s="114"/>
      <c r="J92" s="114"/>
      <c r="K92" s="114"/>
      <c r="L92" s="19">
        <v>81</v>
      </c>
      <c r="M92" s="137">
        <f>IF(AND($N92&gt;='Main Page'!$BW$19,$N92&lt;='Main Page'!$BY$19),'Main Page'!$CA$19,IF(AND($N92&gt;='Main Page'!$BW$20,$N92&lt;='Main Page'!$BY$20),'Main Page'!$CA$20,IF(AND($N92&gt;='Main Page'!$BW$21,$N92&lt;='Main Page'!$BY$21),'Main Page'!$CA$21,IF(AND($N92&gt;='Main Page'!$BW$22,$N92&lt;='Main Page'!$BY$22),'Main Page'!$CA$22,IF(AND($N92&gt;='Main Page'!$BW$23,$N92&lt;='Main Page'!$BY$23),'Main Page'!$CA$23,IF(AND($N92&gt;='Main Page'!$BW$24,$N92&lt;='Main Page'!$BY$24),'Main Page'!$CA$24,IF(AND($N92&gt;='Main Page'!$BW$25,$N92&lt;'Main Page'!$BY$25),'Main Page'!$CA$25,IF(AND($N92&gt;='Main Page'!$BW$26,$N92&lt;'Main Page'!$BY$26),'Main Page'!$CA$26,0))))))))</f>
        <v>0</v>
      </c>
      <c r="N92" s="116" t="str">
        <f>IF(L92&lt;='Main Page'!$CB$16,L92,"")</f>
        <v/>
      </c>
      <c r="O92" s="140">
        <f>IF(M92=0,0.0000000001,IF($N92&lt;='Main Page'!$CB$16,$M92,0))</f>
        <v>1E-10</v>
      </c>
      <c r="P92" s="175" t="str">
        <f>IF($N92&lt;='Ref15'!$C$39,'Ref15'!$D$39,IF($N92&lt;='Ref15'!$C$40,'Ref15'!$D$40,IF($N92&lt;='Ref15'!$C$41,'Ref15'!$D$41,"")))</f>
        <v/>
      </c>
      <c r="Q92" s="176" t="str">
        <f t="shared" si="4"/>
        <v/>
      </c>
      <c r="R92" s="140">
        <f t="shared" ca="1" si="3"/>
        <v>0</v>
      </c>
      <c r="S92" s="140">
        <f>IF($N92&lt;&gt;"",Routine!$G85,0)</f>
        <v>0</v>
      </c>
    </row>
    <row r="93" spans="1:19" x14ac:dyDescent="0.2">
      <c r="A93" s="19"/>
      <c r="B93" s="19"/>
      <c r="C93" s="19"/>
      <c r="D93" s="19"/>
      <c r="E93" s="19"/>
      <c r="F93" s="19"/>
      <c r="G93" s="114"/>
      <c r="H93" s="114"/>
      <c r="I93" s="114"/>
      <c r="J93" s="114"/>
      <c r="K93" s="114"/>
      <c r="L93" s="19">
        <v>82</v>
      </c>
      <c r="M93" s="137">
        <f>IF(AND($N93&gt;='Main Page'!$BW$19,$N93&lt;='Main Page'!$BY$19),'Main Page'!$CA$19,IF(AND($N93&gt;='Main Page'!$BW$20,$N93&lt;='Main Page'!$BY$20),'Main Page'!$CA$20,IF(AND($N93&gt;='Main Page'!$BW$21,$N93&lt;='Main Page'!$BY$21),'Main Page'!$CA$21,IF(AND($N93&gt;='Main Page'!$BW$22,$N93&lt;='Main Page'!$BY$22),'Main Page'!$CA$22,IF(AND($N93&gt;='Main Page'!$BW$23,$N93&lt;='Main Page'!$BY$23),'Main Page'!$CA$23,IF(AND($N93&gt;='Main Page'!$BW$24,$N93&lt;='Main Page'!$BY$24),'Main Page'!$CA$24,IF(AND($N93&gt;='Main Page'!$BW$25,$N93&lt;'Main Page'!$BY$25),'Main Page'!$CA$25,IF(AND($N93&gt;='Main Page'!$BW$26,$N93&lt;'Main Page'!$BY$26),'Main Page'!$CA$26,0))))))))</f>
        <v>0</v>
      </c>
      <c r="N93" s="116" t="str">
        <f>IF(L93&lt;='Main Page'!$CB$16,L93,"")</f>
        <v/>
      </c>
      <c r="O93" s="140">
        <f>IF(M93=0,0.0000000001,IF($N93&lt;='Main Page'!$CB$16,$M93,0))</f>
        <v>1E-10</v>
      </c>
      <c r="P93" s="175" t="str">
        <f>IF($N93&lt;='Ref15'!$C$39,'Ref15'!$D$39,IF($N93&lt;='Ref15'!$C$40,'Ref15'!$D$40,IF($N93&lt;='Ref15'!$C$41,'Ref15'!$D$41,"")))</f>
        <v/>
      </c>
      <c r="Q93" s="176" t="str">
        <f t="shared" si="4"/>
        <v/>
      </c>
      <c r="R93" s="140">
        <f t="shared" ca="1" si="3"/>
        <v>0</v>
      </c>
      <c r="S93" s="140">
        <f>IF($N93&lt;&gt;"",Routine!$G86,0)</f>
        <v>0</v>
      </c>
    </row>
    <row r="94" spans="1:19" x14ac:dyDescent="0.2">
      <c r="A94" s="19"/>
      <c r="B94" s="19"/>
      <c r="C94" s="19"/>
      <c r="D94" s="19"/>
      <c r="E94" s="19"/>
      <c r="F94" s="19"/>
      <c r="G94" s="114"/>
      <c r="H94" s="114"/>
      <c r="I94" s="114"/>
      <c r="J94" s="114"/>
      <c r="K94" s="114"/>
      <c r="L94" s="19">
        <v>83</v>
      </c>
      <c r="M94" s="137">
        <f>IF(AND($N94&gt;='Main Page'!$BW$19,$N94&lt;='Main Page'!$BY$19),'Main Page'!$CA$19,IF(AND($N94&gt;='Main Page'!$BW$20,$N94&lt;='Main Page'!$BY$20),'Main Page'!$CA$20,IF(AND($N94&gt;='Main Page'!$BW$21,$N94&lt;='Main Page'!$BY$21),'Main Page'!$CA$21,IF(AND($N94&gt;='Main Page'!$BW$22,$N94&lt;='Main Page'!$BY$22),'Main Page'!$CA$22,IF(AND($N94&gt;='Main Page'!$BW$23,$N94&lt;='Main Page'!$BY$23),'Main Page'!$CA$23,IF(AND($N94&gt;='Main Page'!$BW$24,$N94&lt;='Main Page'!$BY$24),'Main Page'!$CA$24,IF(AND($N94&gt;='Main Page'!$BW$25,$N94&lt;'Main Page'!$BY$25),'Main Page'!$CA$25,IF(AND($N94&gt;='Main Page'!$BW$26,$N94&lt;'Main Page'!$BY$26),'Main Page'!$CA$26,0))))))))</f>
        <v>0</v>
      </c>
      <c r="N94" s="116" t="str">
        <f>IF(L94&lt;='Main Page'!$CB$16,L94,"")</f>
        <v/>
      </c>
      <c r="O94" s="140">
        <f>IF(M94=0,0.0000000001,IF($N94&lt;='Main Page'!$CB$16,$M94,0))</f>
        <v>1E-10</v>
      </c>
      <c r="P94" s="175" t="str">
        <f>IF($N94&lt;='Ref15'!$C$39,'Ref15'!$D$39,IF($N94&lt;='Ref15'!$C$40,'Ref15'!$D$40,IF($N94&lt;='Ref15'!$C$41,'Ref15'!$D$41,"")))</f>
        <v/>
      </c>
      <c r="Q94" s="176" t="str">
        <f t="shared" si="4"/>
        <v/>
      </c>
      <c r="R94" s="140">
        <f t="shared" ca="1" si="3"/>
        <v>0</v>
      </c>
      <c r="S94" s="140">
        <f>IF($N94&lt;&gt;"",Routine!$G87,0)</f>
        <v>0</v>
      </c>
    </row>
    <row r="95" spans="1:19" x14ac:dyDescent="0.2">
      <c r="A95" s="19"/>
      <c r="B95" s="19"/>
      <c r="C95" s="19"/>
      <c r="D95" s="19"/>
      <c r="E95" s="19"/>
      <c r="F95" s="19"/>
      <c r="G95" s="114"/>
      <c r="H95" s="114"/>
      <c r="I95" s="114"/>
      <c r="J95" s="114"/>
      <c r="K95" s="114"/>
      <c r="L95" s="19">
        <v>84</v>
      </c>
      <c r="M95" s="137">
        <f>IF(AND($N95&gt;='Main Page'!$BW$19,$N95&lt;='Main Page'!$BY$19),'Main Page'!$CA$19,IF(AND($N95&gt;='Main Page'!$BW$20,$N95&lt;='Main Page'!$BY$20),'Main Page'!$CA$20,IF(AND($N95&gt;='Main Page'!$BW$21,$N95&lt;='Main Page'!$BY$21),'Main Page'!$CA$21,IF(AND($N95&gt;='Main Page'!$BW$22,$N95&lt;='Main Page'!$BY$22),'Main Page'!$CA$22,IF(AND($N95&gt;='Main Page'!$BW$23,$N95&lt;='Main Page'!$BY$23),'Main Page'!$CA$23,IF(AND($N95&gt;='Main Page'!$BW$24,$N95&lt;='Main Page'!$BY$24),'Main Page'!$CA$24,IF(AND($N95&gt;='Main Page'!$BW$25,$N95&lt;'Main Page'!$BY$25),'Main Page'!$CA$25,IF(AND($N95&gt;='Main Page'!$BW$26,$N95&lt;'Main Page'!$BY$26),'Main Page'!$CA$26,0))))))))</f>
        <v>0</v>
      </c>
      <c r="N95" s="116" t="str">
        <f>IF(L95&lt;='Main Page'!$CB$16,L95,"")</f>
        <v/>
      </c>
      <c r="O95" s="140">
        <f>IF(M95=0,0.0000000001,IF($N95&lt;='Main Page'!$CB$16,$M95,0))</f>
        <v>1E-10</v>
      </c>
      <c r="P95" s="175" t="str">
        <f>IF($N95&lt;='Ref15'!$C$39,'Ref15'!$D$39,IF($N95&lt;='Ref15'!$C$40,'Ref15'!$D$40,IF($N95&lt;='Ref15'!$C$41,'Ref15'!$D$41,"")))</f>
        <v/>
      </c>
      <c r="Q95" s="176" t="str">
        <f t="shared" si="4"/>
        <v/>
      </c>
      <c r="R95" s="140">
        <f t="shared" ca="1" si="3"/>
        <v>0</v>
      </c>
      <c r="S95" s="140">
        <f>IF($N95&lt;&gt;"",Routine!$G88,0)</f>
        <v>0</v>
      </c>
    </row>
    <row r="96" spans="1:19" x14ac:dyDescent="0.2">
      <c r="A96" s="19"/>
      <c r="B96" s="19"/>
      <c r="C96" s="19"/>
      <c r="D96" s="19"/>
      <c r="E96" s="19"/>
      <c r="F96" s="19"/>
      <c r="G96" s="114"/>
      <c r="H96" s="114"/>
      <c r="I96" s="114"/>
      <c r="J96" s="114"/>
      <c r="K96" s="114"/>
      <c r="L96" s="19">
        <v>85</v>
      </c>
      <c r="M96" s="137">
        <f>IF(AND($N96&gt;='Main Page'!$BW$19,$N96&lt;='Main Page'!$BY$19),'Main Page'!$CA$19,IF(AND($N96&gt;='Main Page'!$BW$20,$N96&lt;='Main Page'!$BY$20),'Main Page'!$CA$20,IF(AND($N96&gt;='Main Page'!$BW$21,$N96&lt;='Main Page'!$BY$21),'Main Page'!$CA$21,IF(AND($N96&gt;='Main Page'!$BW$22,$N96&lt;='Main Page'!$BY$22),'Main Page'!$CA$22,IF(AND($N96&gt;='Main Page'!$BW$23,$N96&lt;='Main Page'!$BY$23),'Main Page'!$CA$23,IF(AND($N96&gt;='Main Page'!$BW$24,$N96&lt;='Main Page'!$BY$24),'Main Page'!$CA$24,IF(AND($N96&gt;='Main Page'!$BW$25,$N96&lt;'Main Page'!$BY$25),'Main Page'!$CA$25,IF(AND($N96&gt;='Main Page'!$BW$26,$N96&lt;'Main Page'!$BY$26),'Main Page'!$CA$26,0))))))))</f>
        <v>0</v>
      </c>
      <c r="N96" s="116" t="str">
        <f>IF(L96&lt;='Main Page'!$CB$16,L96,"")</f>
        <v/>
      </c>
      <c r="O96" s="140">
        <f>IF(M96=0,0.0000000001,IF($N96&lt;='Main Page'!$CB$16,$M96,0))</f>
        <v>1E-10</v>
      </c>
      <c r="P96" s="175" t="str">
        <f>IF($N96&lt;='Ref15'!$C$39,'Ref15'!$D$39,IF($N96&lt;='Ref15'!$C$40,'Ref15'!$D$40,IF($N96&lt;='Ref15'!$C$41,'Ref15'!$D$41,"")))</f>
        <v/>
      </c>
      <c r="Q96" s="176" t="str">
        <f t="shared" si="4"/>
        <v/>
      </c>
      <c r="R96" s="140">
        <f t="shared" ca="1" si="3"/>
        <v>0</v>
      </c>
      <c r="S96" s="140">
        <f>IF($N96&lt;&gt;"",Routine!$G89,0)</f>
        <v>0</v>
      </c>
    </row>
    <row r="97" spans="1:19" x14ac:dyDescent="0.2">
      <c r="A97" s="19"/>
      <c r="B97" s="19"/>
      <c r="C97" s="19"/>
      <c r="D97" s="19"/>
      <c r="E97" s="19"/>
      <c r="F97" s="19"/>
      <c r="G97" s="114"/>
      <c r="H97" s="114"/>
      <c r="I97" s="114"/>
      <c r="J97" s="114"/>
      <c r="K97" s="114"/>
      <c r="L97" s="19">
        <v>86</v>
      </c>
      <c r="M97" s="137">
        <f>IF(AND($N97&gt;='Main Page'!$BW$19,$N97&lt;='Main Page'!$BY$19),'Main Page'!$CA$19,IF(AND($N97&gt;='Main Page'!$BW$20,$N97&lt;='Main Page'!$BY$20),'Main Page'!$CA$20,IF(AND($N97&gt;='Main Page'!$BW$21,$N97&lt;='Main Page'!$BY$21),'Main Page'!$CA$21,IF(AND($N97&gt;='Main Page'!$BW$22,$N97&lt;='Main Page'!$BY$22),'Main Page'!$CA$22,IF(AND($N97&gt;='Main Page'!$BW$23,$N97&lt;='Main Page'!$BY$23),'Main Page'!$CA$23,IF(AND($N97&gt;='Main Page'!$BW$24,$N97&lt;='Main Page'!$BY$24),'Main Page'!$CA$24,IF(AND($N97&gt;='Main Page'!$BW$25,$N97&lt;'Main Page'!$BY$25),'Main Page'!$CA$25,IF(AND($N97&gt;='Main Page'!$BW$26,$N97&lt;'Main Page'!$BY$26),'Main Page'!$CA$26,0))))))))</f>
        <v>0</v>
      </c>
      <c r="N97" s="116" t="str">
        <f>IF(L97&lt;='Main Page'!$CB$16,L97,"")</f>
        <v/>
      </c>
      <c r="O97" s="140">
        <f>IF(M97=0,0.0000000001,IF($N97&lt;='Main Page'!$CB$16,$M97,0))</f>
        <v>1E-10</v>
      </c>
      <c r="P97" s="175" t="str">
        <f>IF($N97&lt;='Ref15'!$C$39,'Ref15'!$D$39,IF($N97&lt;='Ref15'!$C$40,'Ref15'!$D$40,IF($N97&lt;='Ref15'!$C$41,'Ref15'!$D$41,"")))</f>
        <v/>
      </c>
      <c r="Q97" s="176" t="str">
        <f t="shared" si="4"/>
        <v/>
      </c>
      <c r="R97" s="140">
        <f t="shared" ca="1" si="3"/>
        <v>0</v>
      </c>
      <c r="S97" s="140">
        <f>IF($N97&lt;&gt;"",Routine!$G90,0)</f>
        <v>0</v>
      </c>
    </row>
    <row r="98" spans="1:19" x14ac:dyDescent="0.2">
      <c r="A98" s="19"/>
      <c r="B98" s="19"/>
      <c r="C98" s="19"/>
      <c r="D98" s="19"/>
      <c r="E98" s="19"/>
      <c r="F98" s="19"/>
      <c r="G98" s="114"/>
      <c r="H98" s="114"/>
      <c r="I98" s="114"/>
      <c r="J98" s="114"/>
      <c r="K98" s="114"/>
      <c r="L98" s="19">
        <v>87</v>
      </c>
      <c r="M98" s="137">
        <f>IF(AND($N98&gt;='Main Page'!$BW$19,$N98&lt;='Main Page'!$BY$19),'Main Page'!$CA$19,IF(AND($N98&gt;='Main Page'!$BW$20,$N98&lt;='Main Page'!$BY$20),'Main Page'!$CA$20,IF(AND($N98&gt;='Main Page'!$BW$21,$N98&lt;='Main Page'!$BY$21),'Main Page'!$CA$21,IF(AND($N98&gt;='Main Page'!$BW$22,$N98&lt;='Main Page'!$BY$22),'Main Page'!$CA$22,IF(AND($N98&gt;='Main Page'!$BW$23,$N98&lt;='Main Page'!$BY$23),'Main Page'!$CA$23,IF(AND($N98&gt;='Main Page'!$BW$24,$N98&lt;='Main Page'!$BY$24),'Main Page'!$CA$24,IF(AND($N98&gt;='Main Page'!$BW$25,$N98&lt;'Main Page'!$BY$25),'Main Page'!$CA$25,IF(AND($N98&gt;='Main Page'!$BW$26,$N98&lt;'Main Page'!$BY$26),'Main Page'!$CA$26,0))))))))</f>
        <v>0</v>
      </c>
      <c r="N98" s="116" t="str">
        <f>IF(L98&lt;='Main Page'!$CB$16,L98,"")</f>
        <v/>
      </c>
      <c r="O98" s="140">
        <f>IF(M98=0,0.0000000001,IF($N98&lt;='Main Page'!$CB$16,$M98,0))</f>
        <v>1E-10</v>
      </c>
      <c r="P98" s="175" t="str">
        <f>IF($N98&lt;='Ref15'!$C$39,'Ref15'!$D$39,IF($N98&lt;='Ref15'!$C$40,'Ref15'!$D$40,IF($N98&lt;='Ref15'!$C$41,'Ref15'!$D$41,"")))</f>
        <v/>
      </c>
      <c r="Q98" s="176" t="str">
        <f t="shared" si="4"/>
        <v/>
      </c>
      <c r="R98" s="140">
        <f t="shared" ca="1" si="3"/>
        <v>0</v>
      </c>
      <c r="S98" s="140">
        <f>IF($N98&lt;&gt;"",Routine!$G91,0)</f>
        <v>0</v>
      </c>
    </row>
    <row r="99" spans="1:19" x14ac:dyDescent="0.2">
      <c r="A99" s="19"/>
      <c r="B99" s="19"/>
      <c r="C99" s="19"/>
      <c r="D99" s="19"/>
      <c r="E99" s="19"/>
      <c r="F99" s="19"/>
      <c r="G99" s="114"/>
      <c r="H99" s="114"/>
      <c r="I99" s="114"/>
      <c r="J99" s="114"/>
      <c r="K99" s="114"/>
      <c r="L99" s="19">
        <v>88</v>
      </c>
      <c r="M99" s="137">
        <f>IF(AND($N99&gt;='Main Page'!$BW$19,$N99&lt;='Main Page'!$BY$19),'Main Page'!$CA$19,IF(AND($N99&gt;='Main Page'!$BW$20,$N99&lt;='Main Page'!$BY$20),'Main Page'!$CA$20,IF(AND($N99&gt;='Main Page'!$BW$21,$N99&lt;='Main Page'!$BY$21),'Main Page'!$CA$21,IF(AND($N99&gt;='Main Page'!$BW$22,$N99&lt;='Main Page'!$BY$22),'Main Page'!$CA$22,IF(AND($N99&gt;='Main Page'!$BW$23,$N99&lt;='Main Page'!$BY$23),'Main Page'!$CA$23,IF(AND($N99&gt;='Main Page'!$BW$24,$N99&lt;='Main Page'!$BY$24),'Main Page'!$CA$24,IF(AND($N99&gt;='Main Page'!$BW$25,$N99&lt;'Main Page'!$BY$25),'Main Page'!$CA$25,IF(AND($N99&gt;='Main Page'!$BW$26,$N99&lt;'Main Page'!$BY$26),'Main Page'!$CA$26,0))))))))</f>
        <v>0</v>
      </c>
      <c r="N99" s="116" t="str">
        <f>IF(L99&lt;='Main Page'!$CB$16,L99,"")</f>
        <v/>
      </c>
      <c r="O99" s="140">
        <f>IF(M99=0,0.0000000001,IF($N99&lt;='Main Page'!$CB$16,$M99,0))</f>
        <v>1E-10</v>
      </c>
      <c r="P99" s="175" t="str">
        <f>IF($N99&lt;='Ref15'!$C$39,'Ref15'!$D$39,IF($N99&lt;='Ref15'!$C$40,'Ref15'!$D$40,IF($N99&lt;='Ref15'!$C$41,'Ref15'!$D$41,"")))</f>
        <v/>
      </c>
      <c r="Q99" s="176" t="str">
        <f t="shared" si="4"/>
        <v/>
      </c>
      <c r="R99" s="140">
        <f t="shared" ca="1" si="3"/>
        <v>0</v>
      </c>
      <c r="S99" s="140">
        <f>IF($N99&lt;&gt;"",Routine!$G92,0)</f>
        <v>0</v>
      </c>
    </row>
    <row r="100" spans="1:19" x14ac:dyDescent="0.2">
      <c r="A100" s="19"/>
      <c r="B100" s="19"/>
      <c r="C100" s="19"/>
      <c r="D100" s="19"/>
      <c r="E100" s="19"/>
      <c r="F100" s="19"/>
      <c r="G100" s="114"/>
      <c r="H100" s="114"/>
      <c r="I100" s="114"/>
      <c r="J100" s="114"/>
      <c r="K100" s="114"/>
      <c r="L100" s="19">
        <v>89</v>
      </c>
      <c r="M100" s="137">
        <f>IF(AND($N100&gt;='Main Page'!$BW$19,$N100&lt;='Main Page'!$BY$19),'Main Page'!$CA$19,IF(AND($N100&gt;='Main Page'!$BW$20,$N100&lt;='Main Page'!$BY$20),'Main Page'!$CA$20,IF(AND($N100&gt;='Main Page'!$BW$21,$N100&lt;='Main Page'!$BY$21),'Main Page'!$CA$21,IF(AND($N100&gt;='Main Page'!$BW$22,$N100&lt;='Main Page'!$BY$22),'Main Page'!$CA$22,IF(AND($N100&gt;='Main Page'!$BW$23,$N100&lt;='Main Page'!$BY$23),'Main Page'!$CA$23,IF(AND($N100&gt;='Main Page'!$BW$24,$N100&lt;='Main Page'!$BY$24),'Main Page'!$CA$24,IF(AND($N100&gt;='Main Page'!$BW$25,$N100&lt;'Main Page'!$BY$25),'Main Page'!$CA$25,IF(AND($N100&gt;='Main Page'!$BW$26,$N100&lt;'Main Page'!$BY$26),'Main Page'!$CA$26,0))))))))</f>
        <v>0</v>
      </c>
      <c r="N100" s="116" t="str">
        <f>IF(L100&lt;='Main Page'!$CB$16,L100,"")</f>
        <v/>
      </c>
      <c r="O100" s="140">
        <f>IF(M100=0,0.0000000001,IF($N100&lt;='Main Page'!$CB$16,$M100,0))</f>
        <v>1E-10</v>
      </c>
      <c r="P100" s="175" t="str">
        <f>IF($N100&lt;='Ref15'!$C$39,'Ref15'!$D$39,IF($N100&lt;='Ref15'!$C$40,'Ref15'!$D$40,IF($N100&lt;='Ref15'!$C$41,'Ref15'!$D$41,"")))</f>
        <v/>
      </c>
      <c r="Q100" s="176" t="str">
        <f t="shared" si="4"/>
        <v/>
      </c>
      <c r="R100" s="140">
        <f t="shared" ca="1" si="3"/>
        <v>0</v>
      </c>
      <c r="S100" s="140">
        <f>IF($N100&lt;&gt;"",Routine!$G93,0)</f>
        <v>0</v>
      </c>
    </row>
    <row r="101" spans="1:19" x14ac:dyDescent="0.2">
      <c r="A101" s="19"/>
      <c r="B101" s="19"/>
      <c r="C101" s="19"/>
      <c r="D101" s="19"/>
      <c r="E101" s="19"/>
      <c r="F101" s="19"/>
      <c r="G101" s="114"/>
      <c r="H101" s="114"/>
      <c r="I101" s="114"/>
      <c r="J101" s="114"/>
      <c r="K101" s="114"/>
      <c r="L101" s="19">
        <v>90</v>
      </c>
      <c r="M101" s="137">
        <f>IF(AND($N101&gt;='Main Page'!$BW$19,$N101&lt;='Main Page'!$BY$19),'Main Page'!$CA$19,IF(AND($N101&gt;='Main Page'!$BW$20,$N101&lt;='Main Page'!$BY$20),'Main Page'!$CA$20,IF(AND($N101&gt;='Main Page'!$BW$21,$N101&lt;='Main Page'!$BY$21),'Main Page'!$CA$21,IF(AND($N101&gt;='Main Page'!$BW$22,$N101&lt;='Main Page'!$BY$22),'Main Page'!$CA$22,IF(AND($N101&gt;='Main Page'!$BW$23,$N101&lt;='Main Page'!$BY$23),'Main Page'!$CA$23,IF(AND($N101&gt;='Main Page'!$BW$24,$N101&lt;='Main Page'!$BY$24),'Main Page'!$CA$24,IF(AND($N101&gt;='Main Page'!$BW$25,$N101&lt;'Main Page'!$BY$25),'Main Page'!$CA$25,IF(AND($N101&gt;='Main Page'!$BW$26,$N101&lt;'Main Page'!$BY$26),'Main Page'!$CA$26,0))))))))</f>
        <v>0</v>
      </c>
      <c r="N101" s="116" t="str">
        <f>IF(L101&lt;='Main Page'!$CB$16,L101,"")</f>
        <v/>
      </c>
      <c r="O101" s="140">
        <f>IF(M101=0,0.0000000001,IF($N101&lt;='Main Page'!$CB$16,$M101,0))</f>
        <v>1E-10</v>
      </c>
      <c r="P101" s="175" t="str">
        <f>IF($N101&lt;='Ref15'!$C$39,'Ref15'!$D$39,IF($N101&lt;='Ref15'!$C$40,'Ref15'!$D$40,IF($N101&lt;='Ref15'!$C$41,'Ref15'!$D$41,"")))</f>
        <v/>
      </c>
      <c r="Q101" s="176" t="str">
        <f t="shared" si="4"/>
        <v/>
      </c>
      <c r="R101" s="140">
        <f t="shared" ca="1" si="3"/>
        <v>0</v>
      </c>
      <c r="S101" s="140">
        <f>IF($N101&lt;&gt;"",Routine!$G94,0)</f>
        <v>0</v>
      </c>
    </row>
    <row r="102" spans="1:19" x14ac:dyDescent="0.2">
      <c r="A102" s="19"/>
      <c r="B102" s="19"/>
      <c r="C102" s="19"/>
      <c r="D102" s="19"/>
      <c r="E102" s="19"/>
      <c r="F102" s="19"/>
      <c r="G102" s="114"/>
      <c r="H102" s="114"/>
      <c r="I102" s="114"/>
      <c r="J102" s="114"/>
      <c r="K102" s="114"/>
      <c r="L102" s="19">
        <v>91</v>
      </c>
      <c r="M102" s="137">
        <f>IF(AND($N102&gt;='Main Page'!$BW$19,$N102&lt;='Main Page'!$BY$19),'Main Page'!$CA$19,IF(AND($N102&gt;='Main Page'!$BW$20,$N102&lt;='Main Page'!$BY$20),'Main Page'!$CA$20,IF(AND($N102&gt;='Main Page'!$BW$21,$N102&lt;='Main Page'!$BY$21),'Main Page'!$CA$21,IF(AND($N102&gt;='Main Page'!$BW$22,$N102&lt;='Main Page'!$BY$22),'Main Page'!$CA$22,IF(AND($N102&gt;='Main Page'!$BW$23,$N102&lt;='Main Page'!$BY$23),'Main Page'!$CA$23,IF(AND($N102&gt;='Main Page'!$BW$24,$N102&lt;='Main Page'!$BY$24),'Main Page'!$CA$24,IF(AND($N102&gt;='Main Page'!$BW$25,$N102&lt;'Main Page'!$BY$25),'Main Page'!$CA$25,IF(AND($N102&gt;='Main Page'!$BW$26,$N102&lt;'Main Page'!$BY$26),'Main Page'!$CA$26,0))))))))</f>
        <v>0</v>
      </c>
      <c r="N102" s="116" t="str">
        <f>IF(L102&lt;='Main Page'!$CB$16,L102,"")</f>
        <v/>
      </c>
      <c r="O102" s="140">
        <f>IF(M102=0,0.0000000001,IF($N102&lt;='Main Page'!$CB$16,$M102,0))</f>
        <v>1E-10</v>
      </c>
      <c r="P102" s="175" t="str">
        <f>IF($N102&lt;='Ref15'!$C$39,'Ref15'!$D$39,IF($N102&lt;='Ref15'!$C$40,'Ref15'!$D$40,IF($N102&lt;='Ref15'!$C$41,'Ref15'!$D$41,"")))</f>
        <v/>
      </c>
      <c r="Q102" s="176" t="str">
        <f t="shared" si="4"/>
        <v/>
      </c>
      <c r="R102" s="140">
        <f t="shared" ca="1" si="3"/>
        <v>0</v>
      </c>
      <c r="S102" s="140">
        <f>IF($N102&lt;&gt;"",Routine!$G95,0)</f>
        <v>0</v>
      </c>
    </row>
    <row r="103" spans="1:19" x14ac:dyDescent="0.2">
      <c r="A103" s="19"/>
      <c r="B103" s="19"/>
      <c r="C103" s="19"/>
      <c r="D103" s="19"/>
      <c r="E103" s="19"/>
      <c r="F103" s="19"/>
      <c r="G103" s="114"/>
      <c r="H103" s="114"/>
      <c r="I103" s="114"/>
      <c r="J103" s="114"/>
      <c r="K103" s="114"/>
      <c r="L103" s="19">
        <v>92</v>
      </c>
      <c r="M103" s="137">
        <f>IF(AND($N103&gt;='Main Page'!$BW$19,$N103&lt;='Main Page'!$BY$19),'Main Page'!$CA$19,IF(AND($N103&gt;='Main Page'!$BW$20,$N103&lt;='Main Page'!$BY$20),'Main Page'!$CA$20,IF(AND($N103&gt;='Main Page'!$BW$21,$N103&lt;='Main Page'!$BY$21),'Main Page'!$CA$21,IF(AND($N103&gt;='Main Page'!$BW$22,$N103&lt;='Main Page'!$BY$22),'Main Page'!$CA$22,IF(AND($N103&gt;='Main Page'!$BW$23,$N103&lt;='Main Page'!$BY$23),'Main Page'!$CA$23,IF(AND($N103&gt;='Main Page'!$BW$24,$N103&lt;='Main Page'!$BY$24),'Main Page'!$CA$24,IF(AND($N103&gt;='Main Page'!$BW$25,$N103&lt;'Main Page'!$BY$25),'Main Page'!$CA$25,IF(AND($N103&gt;='Main Page'!$BW$26,$N103&lt;'Main Page'!$BY$26),'Main Page'!$CA$26,0))))))))</f>
        <v>0</v>
      </c>
      <c r="N103" s="116" t="str">
        <f>IF(L103&lt;='Main Page'!$CB$16,L103,"")</f>
        <v/>
      </c>
      <c r="O103" s="140">
        <f>IF(M103=0,0.0000000001,IF($N103&lt;='Main Page'!$CB$16,$M103,0))</f>
        <v>1E-10</v>
      </c>
      <c r="P103" s="175" t="str">
        <f>IF($N103&lt;='Ref15'!$C$39,'Ref15'!$D$39,IF($N103&lt;='Ref15'!$C$40,'Ref15'!$D$40,IF($N103&lt;='Ref15'!$C$41,'Ref15'!$D$41,"")))</f>
        <v/>
      </c>
      <c r="Q103" s="176" t="str">
        <f t="shared" si="4"/>
        <v/>
      </c>
      <c r="R103" s="140">
        <f t="shared" ca="1" si="3"/>
        <v>0</v>
      </c>
      <c r="S103" s="140">
        <f>IF($N103&lt;&gt;"",Routine!$G96,0)</f>
        <v>0</v>
      </c>
    </row>
    <row r="104" spans="1:19" x14ac:dyDescent="0.2">
      <c r="A104" s="19"/>
      <c r="B104" s="19"/>
      <c r="C104" s="19"/>
      <c r="D104" s="19"/>
      <c r="E104" s="19"/>
      <c r="F104" s="19"/>
      <c r="G104" s="114"/>
      <c r="H104" s="114"/>
      <c r="I104" s="114"/>
      <c r="J104" s="114"/>
      <c r="K104" s="114"/>
      <c r="L104" s="19">
        <v>93</v>
      </c>
      <c r="M104" s="137">
        <f>IF(AND($N104&gt;='Main Page'!$BW$19,$N104&lt;='Main Page'!$BY$19),'Main Page'!$CA$19,IF(AND($N104&gt;='Main Page'!$BW$20,$N104&lt;='Main Page'!$BY$20),'Main Page'!$CA$20,IF(AND($N104&gt;='Main Page'!$BW$21,$N104&lt;='Main Page'!$BY$21),'Main Page'!$CA$21,IF(AND($N104&gt;='Main Page'!$BW$22,$N104&lt;='Main Page'!$BY$22),'Main Page'!$CA$22,IF(AND($N104&gt;='Main Page'!$BW$23,$N104&lt;='Main Page'!$BY$23),'Main Page'!$CA$23,IF(AND($N104&gt;='Main Page'!$BW$24,$N104&lt;='Main Page'!$BY$24),'Main Page'!$CA$24,IF(AND($N104&gt;='Main Page'!$BW$25,$N104&lt;'Main Page'!$BY$25),'Main Page'!$CA$25,IF(AND($N104&gt;='Main Page'!$BW$26,$N104&lt;'Main Page'!$BY$26),'Main Page'!$CA$26,0))))))))</f>
        <v>0</v>
      </c>
      <c r="N104" s="116" t="str">
        <f>IF(L104&lt;='Main Page'!$CB$16,L104,"")</f>
        <v/>
      </c>
      <c r="O104" s="140">
        <f>IF(M104=0,0.0000000001,IF($N104&lt;='Main Page'!$CB$16,$M104,0))</f>
        <v>1E-10</v>
      </c>
      <c r="P104" s="175" t="str">
        <f>IF($N104&lt;='Ref15'!$C$39,'Ref15'!$D$39,IF($N104&lt;='Ref15'!$C$40,'Ref15'!$D$40,IF($N104&lt;='Ref15'!$C$41,'Ref15'!$D$41,"")))</f>
        <v/>
      </c>
      <c r="Q104" s="176" t="str">
        <f t="shared" si="4"/>
        <v/>
      </c>
      <c r="R104" s="140">
        <f t="shared" ca="1" si="3"/>
        <v>0</v>
      </c>
      <c r="S104" s="140">
        <f>IF($N104&lt;&gt;"",Routine!$G97,0)</f>
        <v>0</v>
      </c>
    </row>
    <row r="105" spans="1:19" x14ac:dyDescent="0.2">
      <c r="A105" s="19"/>
      <c r="B105" s="19"/>
      <c r="C105" s="19"/>
      <c r="D105" s="19"/>
      <c r="E105" s="19"/>
      <c r="F105" s="19"/>
      <c r="G105" s="114"/>
      <c r="H105" s="114"/>
      <c r="I105" s="114"/>
      <c r="J105" s="114"/>
      <c r="K105" s="114"/>
      <c r="L105" s="19">
        <v>94</v>
      </c>
      <c r="M105" s="137">
        <f>IF(AND($N105&gt;='Main Page'!$BW$19,$N105&lt;='Main Page'!$BY$19),'Main Page'!$CA$19,IF(AND($N105&gt;='Main Page'!$BW$20,$N105&lt;='Main Page'!$BY$20),'Main Page'!$CA$20,IF(AND($N105&gt;='Main Page'!$BW$21,$N105&lt;='Main Page'!$BY$21),'Main Page'!$CA$21,IF(AND($N105&gt;='Main Page'!$BW$22,$N105&lt;='Main Page'!$BY$22),'Main Page'!$CA$22,IF(AND($N105&gt;='Main Page'!$BW$23,$N105&lt;='Main Page'!$BY$23),'Main Page'!$CA$23,IF(AND($N105&gt;='Main Page'!$BW$24,$N105&lt;='Main Page'!$BY$24),'Main Page'!$CA$24,IF(AND($N105&gt;='Main Page'!$BW$25,$N105&lt;'Main Page'!$BY$25),'Main Page'!$CA$25,IF(AND($N105&gt;='Main Page'!$BW$26,$N105&lt;'Main Page'!$BY$26),'Main Page'!$CA$26,0))))))))</f>
        <v>0</v>
      </c>
      <c r="N105" s="116" t="str">
        <f>IF(L105&lt;='Main Page'!$CB$16,L105,"")</f>
        <v/>
      </c>
      <c r="O105" s="140">
        <f>IF(M105=0,0.0000000001,IF($N105&lt;='Main Page'!$CB$16,$M105,0))</f>
        <v>1E-10</v>
      </c>
      <c r="P105" s="175" t="str">
        <f>IF($N105&lt;='Ref15'!$C$39,'Ref15'!$D$39,IF($N105&lt;='Ref15'!$C$40,'Ref15'!$D$40,IF($N105&lt;='Ref15'!$C$41,'Ref15'!$D$41,"")))</f>
        <v/>
      </c>
      <c r="Q105" s="176" t="str">
        <f t="shared" si="4"/>
        <v/>
      </c>
      <c r="R105" s="140">
        <f t="shared" ca="1" si="3"/>
        <v>0</v>
      </c>
      <c r="S105" s="140">
        <f>IF($N105&lt;&gt;"",Routine!$G98,0)</f>
        <v>0</v>
      </c>
    </row>
    <row r="106" spans="1:19" x14ac:dyDescent="0.2">
      <c r="A106" s="19"/>
      <c r="B106" s="19"/>
      <c r="C106" s="19"/>
      <c r="D106" s="19"/>
      <c r="E106" s="19"/>
      <c r="F106" s="19"/>
      <c r="G106" s="114"/>
      <c r="H106" s="114"/>
      <c r="I106" s="114"/>
      <c r="J106" s="114"/>
      <c r="K106" s="114"/>
      <c r="L106" s="19">
        <v>95</v>
      </c>
      <c r="M106" s="137">
        <f>IF(AND($N106&gt;='Main Page'!$BW$19,$N106&lt;='Main Page'!$BY$19),'Main Page'!$CA$19,IF(AND($N106&gt;='Main Page'!$BW$20,$N106&lt;='Main Page'!$BY$20),'Main Page'!$CA$20,IF(AND($N106&gt;='Main Page'!$BW$21,$N106&lt;='Main Page'!$BY$21),'Main Page'!$CA$21,IF(AND($N106&gt;='Main Page'!$BW$22,$N106&lt;='Main Page'!$BY$22),'Main Page'!$CA$22,IF(AND($N106&gt;='Main Page'!$BW$23,$N106&lt;='Main Page'!$BY$23),'Main Page'!$CA$23,IF(AND($N106&gt;='Main Page'!$BW$24,$N106&lt;='Main Page'!$BY$24),'Main Page'!$CA$24,IF(AND($N106&gt;='Main Page'!$BW$25,$N106&lt;'Main Page'!$BY$25),'Main Page'!$CA$25,IF(AND($N106&gt;='Main Page'!$BW$26,$N106&lt;'Main Page'!$BY$26),'Main Page'!$CA$26,0))))))))</f>
        <v>0</v>
      </c>
      <c r="N106" s="116" t="str">
        <f>IF(L106&lt;='Main Page'!$CB$16,L106,"")</f>
        <v/>
      </c>
      <c r="O106" s="140">
        <f>IF(M106=0,0.0000000001,IF($N106&lt;='Main Page'!$CB$16,$M106,0))</f>
        <v>1E-10</v>
      </c>
      <c r="P106" s="175" t="str">
        <f>IF($N106&lt;='Ref15'!$C$39,'Ref15'!$D$39,IF($N106&lt;='Ref15'!$C$40,'Ref15'!$D$40,IF($N106&lt;='Ref15'!$C$41,'Ref15'!$D$41,"")))</f>
        <v/>
      </c>
      <c r="Q106" s="176" t="str">
        <f t="shared" si="4"/>
        <v/>
      </c>
      <c r="R106" s="140">
        <f t="shared" ca="1" si="3"/>
        <v>0</v>
      </c>
      <c r="S106" s="140">
        <f>IF($N106&lt;&gt;"",Routine!$G99,0)</f>
        <v>0</v>
      </c>
    </row>
    <row r="107" spans="1:19" x14ac:dyDescent="0.2">
      <c r="A107" s="19"/>
      <c r="B107" s="19"/>
      <c r="C107" s="19"/>
      <c r="D107" s="19"/>
      <c r="E107" s="19"/>
      <c r="F107" s="19"/>
      <c r="G107" s="114"/>
      <c r="H107" s="114"/>
      <c r="I107" s="114"/>
      <c r="J107" s="114"/>
      <c r="K107" s="114"/>
      <c r="L107" s="19">
        <v>96</v>
      </c>
      <c r="M107" s="137">
        <f>IF(AND($N107&gt;='Main Page'!$BW$19,$N107&lt;='Main Page'!$BY$19),'Main Page'!$CA$19,IF(AND($N107&gt;='Main Page'!$BW$20,$N107&lt;='Main Page'!$BY$20),'Main Page'!$CA$20,IF(AND($N107&gt;='Main Page'!$BW$21,$N107&lt;='Main Page'!$BY$21),'Main Page'!$CA$21,IF(AND($N107&gt;='Main Page'!$BW$22,$N107&lt;='Main Page'!$BY$22),'Main Page'!$CA$22,IF(AND($N107&gt;='Main Page'!$BW$23,$N107&lt;='Main Page'!$BY$23),'Main Page'!$CA$23,IF(AND($N107&gt;='Main Page'!$BW$24,$N107&lt;='Main Page'!$BY$24),'Main Page'!$CA$24,IF(AND($N107&gt;='Main Page'!$BW$25,$N107&lt;'Main Page'!$BY$25),'Main Page'!$CA$25,IF(AND($N107&gt;='Main Page'!$BW$26,$N107&lt;'Main Page'!$BY$26),'Main Page'!$CA$26,0))))))))</f>
        <v>0</v>
      </c>
      <c r="N107" s="116" t="str">
        <f>IF(L107&lt;='Main Page'!$CB$16,L107,"")</f>
        <v/>
      </c>
      <c r="O107" s="140">
        <f>IF(M107=0,0.0000000001,IF($N107&lt;='Main Page'!$CB$16,$M107,0))</f>
        <v>1E-10</v>
      </c>
      <c r="P107" s="175" t="str">
        <f>IF($N107&lt;='Ref15'!$C$39,'Ref15'!$D$39,IF($N107&lt;='Ref15'!$C$40,'Ref15'!$D$40,IF($N107&lt;='Ref15'!$C$41,'Ref15'!$D$41,"")))</f>
        <v/>
      </c>
      <c r="Q107" s="176" t="str">
        <f t="shared" si="4"/>
        <v/>
      </c>
      <c r="R107" s="140">
        <f t="shared" ca="1" si="3"/>
        <v>0</v>
      </c>
      <c r="S107" s="140">
        <f>IF($N107&lt;&gt;"",Routine!$G100,0)</f>
        <v>0</v>
      </c>
    </row>
    <row r="108" spans="1:19" x14ac:dyDescent="0.2">
      <c r="A108" s="19"/>
      <c r="B108" s="19"/>
      <c r="C108" s="19"/>
      <c r="D108" s="19"/>
      <c r="E108" s="19"/>
      <c r="F108" s="19"/>
      <c r="G108" s="114"/>
      <c r="H108" s="114"/>
      <c r="I108" s="114"/>
      <c r="J108" s="114"/>
      <c r="K108" s="114"/>
      <c r="L108" s="19">
        <v>97</v>
      </c>
      <c r="M108" s="137">
        <f>IF(AND($N108&gt;='Main Page'!$BW$19,$N108&lt;='Main Page'!$BY$19),'Main Page'!$CA$19,IF(AND($N108&gt;='Main Page'!$BW$20,$N108&lt;='Main Page'!$BY$20),'Main Page'!$CA$20,IF(AND($N108&gt;='Main Page'!$BW$21,$N108&lt;='Main Page'!$BY$21),'Main Page'!$CA$21,IF(AND($N108&gt;='Main Page'!$BW$22,$N108&lt;='Main Page'!$BY$22),'Main Page'!$CA$22,IF(AND($N108&gt;='Main Page'!$BW$23,$N108&lt;='Main Page'!$BY$23),'Main Page'!$CA$23,IF(AND($N108&gt;='Main Page'!$BW$24,$N108&lt;='Main Page'!$BY$24),'Main Page'!$CA$24,IF(AND($N108&gt;='Main Page'!$BW$25,$N108&lt;'Main Page'!$BY$25),'Main Page'!$CA$25,IF(AND($N108&gt;='Main Page'!$BW$26,$N108&lt;'Main Page'!$BY$26),'Main Page'!$CA$26,0))))))))</f>
        <v>0</v>
      </c>
      <c r="N108" s="116" t="str">
        <f>IF(L108&lt;='Main Page'!$CB$16,L108,"")</f>
        <v/>
      </c>
      <c r="O108" s="140">
        <f>IF(M108=0,0.0000000001,IF($N108&lt;='Main Page'!$CB$16,$M108,0))</f>
        <v>1E-10</v>
      </c>
      <c r="P108" s="175" t="str">
        <f>IF($N108&lt;='Ref15'!$C$39,'Ref15'!$D$39,IF($N108&lt;='Ref15'!$C$40,'Ref15'!$D$40,IF($N108&lt;='Ref15'!$C$41,'Ref15'!$D$41,"")))</f>
        <v/>
      </c>
      <c r="Q108" s="176" t="str">
        <f t="shared" si="4"/>
        <v/>
      </c>
      <c r="R108" s="140">
        <f t="shared" ref="R108:R131" ca="1" si="5">IFERROR(SUMIF(Pln_YearofWork,$N108,Pln_PlannedWorksCost),0)</f>
        <v>0</v>
      </c>
      <c r="S108" s="140">
        <f>IF($N108&lt;&gt;"",Routine!$G101,0)</f>
        <v>0</v>
      </c>
    </row>
    <row r="109" spans="1:19" x14ac:dyDescent="0.2">
      <c r="A109" s="19"/>
      <c r="B109" s="19"/>
      <c r="C109" s="19"/>
      <c r="D109" s="19"/>
      <c r="E109" s="19"/>
      <c r="F109" s="19"/>
      <c r="G109" s="114"/>
      <c r="H109" s="114"/>
      <c r="I109" s="114"/>
      <c r="J109" s="114"/>
      <c r="K109" s="114"/>
      <c r="L109" s="19">
        <v>98</v>
      </c>
      <c r="M109" s="137">
        <f>IF(AND($N109&gt;='Main Page'!$BW$19,$N109&lt;='Main Page'!$BY$19),'Main Page'!$CA$19,IF(AND($N109&gt;='Main Page'!$BW$20,$N109&lt;='Main Page'!$BY$20),'Main Page'!$CA$20,IF(AND($N109&gt;='Main Page'!$BW$21,$N109&lt;='Main Page'!$BY$21),'Main Page'!$CA$21,IF(AND($N109&gt;='Main Page'!$BW$22,$N109&lt;='Main Page'!$BY$22),'Main Page'!$CA$22,IF(AND($N109&gt;='Main Page'!$BW$23,$N109&lt;='Main Page'!$BY$23),'Main Page'!$CA$23,IF(AND($N109&gt;='Main Page'!$BW$24,$N109&lt;='Main Page'!$BY$24),'Main Page'!$CA$24,IF(AND($N109&gt;='Main Page'!$BW$25,$N109&lt;'Main Page'!$BY$25),'Main Page'!$CA$25,IF(AND($N109&gt;='Main Page'!$BW$26,$N109&lt;'Main Page'!$BY$26),'Main Page'!$CA$26,0))))))))</f>
        <v>0</v>
      </c>
      <c r="N109" s="116" t="str">
        <f>IF(L109&lt;='Main Page'!$CB$16,L109,"")</f>
        <v/>
      </c>
      <c r="O109" s="140">
        <f>IF(M109=0,0.0000000001,IF($N109&lt;='Main Page'!$CB$16,$M109,0))</f>
        <v>1E-10</v>
      </c>
      <c r="P109" s="175" t="str">
        <f>IF($N109&lt;='Ref15'!$C$39,'Ref15'!$D$39,IF($N109&lt;='Ref15'!$C$40,'Ref15'!$D$40,IF($N109&lt;='Ref15'!$C$41,'Ref15'!$D$41,"")))</f>
        <v/>
      </c>
      <c r="Q109" s="176" t="str">
        <f t="shared" si="4"/>
        <v/>
      </c>
      <c r="R109" s="140">
        <f t="shared" ca="1" si="5"/>
        <v>0</v>
      </c>
      <c r="S109" s="140">
        <f>IF($N109&lt;&gt;"",Routine!$G102,0)</f>
        <v>0</v>
      </c>
    </row>
    <row r="110" spans="1:19" x14ac:dyDescent="0.2">
      <c r="A110" s="19"/>
      <c r="B110" s="19"/>
      <c r="C110" s="19"/>
      <c r="D110" s="19"/>
      <c r="E110" s="19"/>
      <c r="F110" s="19"/>
      <c r="G110" s="114"/>
      <c r="H110" s="114"/>
      <c r="I110" s="114"/>
      <c r="J110" s="114"/>
      <c r="K110" s="114"/>
      <c r="L110" s="19">
        <v>99</v>
      </c>
      <c r="M110" s="137">
        <f>IF(AND($N110&gt;='Main Page'!$BW$19,$N110&lt;='Main Page'!$BY$19),'Main Page'!$CA$19,IF(AND($N110&gt;='Main Page'!$BW$20,$N110&lt;='Main Page'!$BY$20),'Main Page'!$CA$20,IF(AND($N110&gt;='Main Page'!$BW$21,$N110&lt;='Main Page'!$BY$21),'Main Page'!$CA$21,IF(AND($N110&gt;='Main Page'!$BW$22,$N110&lt;='Main Page'!$BY$22),'Main Page'!$CA$22,IF(AND($N110&gt;='Main Page'!$BW$23,$N110&lt;='Main Page'!$BY$23),'Main Page'!$CA$23,IF(AND($N110&gt;='Main Page'!$BW$24,$N110&lt;='Main Page'!$BY$24),'Main Page'!$CA$24,IF(AND($N110&gt;='Main Page'!$BW$25,$N110&lt;'Main Page'!$BY$25),'Main Page'!$CA$25,IF(AND($N110&gt;='Main Page'!$BW$26,$N110&lt;'Main Page'!$BY$26),'Main Page'!$CA$26,0))))))))</f>
        <v>0</v>
      </c>
      <c r="N110" s="116" t="str">
        <f>IF(L110&lt;='Main Page'!$CB$16,L110,"")</f>
        <v/>
      </c>
      <c r="O110" s="140">
        <f>IF(M110=0,0.0000000001,IF($N110&lt;='Main Page'!$CB$16,$M110,0))</f>
        <v>1E-10</v>
      </c>
      <c r="P110" s="175" t="str">
        <f>IF($N110&lt;='Ref15'!$C$39,'Ref15'!$D$39,IF($N110&lt;='Ref15'!$C$40,'Ref15'!$D$40,IF($N110&lt;='Ref15'!$C$41,'Ref15'!$D$41,"")))</f>
        <v/>
      </c>
      <c r="Q110" s="176" t="str">
        <f t="shared" si="4"/>
        <v/>
      </c>
      <c r="R110" s="140">
        <f t="shared" ca="1" si="5"/>
        <v>0</v>
      </c>
      <c r="S110" s="140">
        <f>IF($N110&lt;&gt;"",Routine!$G103,0)</f>
        <v>0</v>
      </c>
    </row>
    <row r="111" spans="1:19" x14ac:dyDescent="0.2">
      <c r="A111" s="19"/>
      <c r="B111" s="19"/>
      <c r="C111" s="19"/>
      <c r="D111" s="19"/>
      <c r="E111" s="19"/>
      <c r="F111" s="19"/>
      <c r="G111" s="114"/>
      <c r="H111" s="114"/>
      <c r="I111" s="114"/>
      <c r="J111" s="114"/>
      <c r="K111" s="114"/>
      <c r="L111" s="19">
        <v>100</v>
      </c>
      <c r="M111" s="137">
        <f>IF(AND($N111&gt;='Main Page'!$BW$19,$N111&lt;='Main Page'!$BY$19),'Main Page'!$CA$19,IF(AND($N111&gt;='Main Page'!$BW$20,$N111&lt;='Main Page'!$BY$20),'Main Page'!$CA$20,IF(AND($N111&gt;='Main Page'!$BW$21,$N111&lt;='Main Page'!$BY$21),'Main Page'!$CA$21,IF(AND($N111&gt;='Main Page'!$BW$22,$N111&lt;='Main Page'!$BY$22),'Main Page'!$CA$22,IF(AND($N111&gt;='Main Page'!$BW$23,$N111&lt;='Main Page'!$BY$23),'Main Page'!$CA$23,IF(AND($N111&gt;='Main Page'!$BW$24,$N111&lt;='Main Page'!$BY$24),'Main Page'!$CA$24,IF(AND($N111&gt;='Main Page'!$BW$25,$N111&lt;'Main Page'!$BY$25),'Main Page'!$CA$25,IF(AND($N111&gt;='Main Page'!$BW$26,$N111&lt;'Main Page'!$BY$26),'Main Page'!$CA$26,0))))))))</f>
        <v>0</v>
      </c>
      <c r="N111" s="116" t="str">
        <f>IF(L111&lt;='Main Page'!$CB$16,L111,"")</f>
        <v/>
      </c>
      <c r="O111" s="140">
        <f>IF(M111=0,0.0000000001,IF($N111&lt;='Main Page'!$CB$16,$M111,0))</f>
        <v>1E-10</v>
      </c>
      <c r="P111" s="175" t="str">
        <f>IF($N111&lt;='Ref15'!$C$39,'Ref15'!$D$39,IF($N111&lt;='Ref15'!$C$40,'Ref15'!$D$40,IF($N111&lt;='Ref15'!$C$41,'Ref15'!$D$41,"")))</f>
        <v/>
      </c>
      <c r="Q111" s="176" t="str">
        <f t="shared" si="4"/>
        <v/>
      </c>
      <c r="R111" s="140">
        <f t="shared" ca="1" si="5"/>
        <v>0</v>
      </c>
      <c r="S111" s="140">
        <f>IF($N111&lt;&gt;"",Routine!$G104,0)</f>
        <v>0</v>
      </c>
    </row>
    <row r="112" spans="1:19" x14ac:dyDescent="0.2">
      <c r="A112" s="19"/>
      <c r="B112" s="19"/>
      <c r="C112" s="19"/>
      <c r="D112" s="19"/>
      <c r="E112" s="19"/>
      <c r="F112" s="19"/>
      <c r="G112" s="114"/>
      <c r="H112" s="114"/>
      <c r="I112" s="114"/>
      <c r="J112" s="114"/>
      <c r="K112" s="114"/>
      <c r="L112" s="19">
        <v>101</v>
      </c>
      <c r="M112" s="137">
        <f>IF(AND($N112&gt;='Main Page'!$BW$19,$N112&lt;='Main Page'!$BY$19),'Main Page'!$CA$19,IF(AND($N112&gt;='Main Page'!$BW$20,$N112&lt;='Main Page'!$BY$20),'Main Page'!$CA$20,IF(AND($N112&gt;='Main Page'!$BW$21,$N112&lt;='Main Page'!$BY$21),'Main Page'!$CA$21,IF(AND($N112&gt;='Main Page'!$BW$22,$N112&lt;='Main Page'!$BY$22),'Main Page'!$CA$22,IF(AND($N112&gt;='Main Page'!$BW$23,$N112&lt;='Main Page'!$BY$23),'Main Page'!$CA$23,IF(AND($N112&gt;='Main Page'!$BW$24,$N112&lt;='Main Page'!$BY$24),'Main Page'!$CA$24,IF(AND($N112&gt;='Main Page'!$BW$25,$N112&lt;'Main Page'!$BY$25),'Main Page'!$CA$25,IF(AND($N112&gt;='Main Page'!$BW$26,$N112&lt;'Main Page'!$BY$26),'Main Page'!$CA$26,0))))))))</f>
        <v>0</v>
      </c>
      <c r="N112" s="116" t="str">
        <f>IF(L112&lt;='Main Page'!$CB$16,L112,"")</f>
        <v/>
      </c>
      <c r="O112" s="140">
        <f>IF(M112=0,0.0000000001,IF($N112&lt;='Main Page'!$CB$16,$M112,0))</f>
        <v>1E-10</v>
      </c>
      <c r="P112" s="175" t="str">
        <f>IF($N112&lt;='Ref15'!$C$39,'Ref15'!$D$39,IF($N112&lt;='Ref15'!$C$40,'Ref15'!$D$40,IF($N112&lt;='Ref15'!$C$41,'Ref15'!$D$41,"")))</f>
        <v/>
      </c>
      <c r="Q112" s="176" t="str">
        <f t="shared" si="4"/>
        <v/>
      </c>
      <c r="R112" s="140">
        <f t="shared" ca="1" si="5"/>
        <v>0</v>
      </c>
      <c r="S112" s="140">
        <f>IF($N112&lt;&gt;"",Routine!$G105,0)</f>
        <v>0</v>
      </c>
    </row>
    <row r="113" spans="1:19" x14ac:dyDescent="0.2">
      <c r="A113" s="19"/>
      <c r="B113" s="19"/>
      <c r="C113" s="19"/>
      <c r="D113" s="19"/>
      <c r="E113" s="19"/>
      <c r="F113" s="19"/>
      <c r="G113" s="114"/>
      <c r="H113" s="114"/>
      <c r="I113" s="114"/>
      <c r="J113" s="114"/>
      <c r="K113" s="114"/>
      <c r="L113" s="19">
        <v>102</v>
      </c>
      <c r="M113" s="137">
        <f>IF(AND($N113&gt;='Main Page'!$BW$19,$N113&lt;='Main Page'!$BY$19),'Main Page'!$CA$19,IF(AND($N113&gt;='Main Page'!$BW$20,$N113&lt;='Main Page'!$BY$20),'Main Page'!$CA$20,IF(AND($N113&gt;='Main Page'!$BW$21,$N113&lt;='Main Page'!$BY$21),'Main Page'!$CA$21,IF(AND($N113&gt;='Main Page'!$BW$22,$N113&lt;='Main Page'!$BY$22),'Main Page'!$CA$22,IF(AND($N113&gt;='Main Page'!$BW$23,$N113&lt;='Main Page'!$BY$23),'Main Page'!$CA$23,IF(AND($N113&gt;='Main Page'!$BW$24,$N113&lt;='Main Page'!$BY$24),'Main Page'!$CA$24,IF(AND($N113&gt;='Main Page'!$BW$25,$N113&lt;'Main Page'!$BY$25),'Main Page'!$CA$25,IF(AND($N113&gt;='Main Page'!$BW$26,$N113&lt;'Main Page'!$BY$26),'Main Page'!$CA$26,0))))))))</f>
        <v>0</v>
      </c>
      <c r="N113" s="116" t="str">
        <f>IF(L113&lt;='Main Page'!$CB$16,L113,"")</f>
        <v/>
      </c>
      <c r="O113" s="140">
        <f>IF(M113=0,0.0000000001,IF($N113&lt;='Main Page'!$CB$16,$M113,0))</f>
        <v>1E-10</v>
      </c>
      <c r="P113" s="175" t="str">
        <f>IF($N113&lt;='Ref15'!$C$39,'Ref15'!$D$39,IF($N113&lt;='Ref15'!$C$40,'Ref15'!$D$40,IF($N113&lt;='Ref15'!$C$41,'Ref15'!$D$41,"")))</f>
        <v/>
      </c>
      <c r="Q113" s="176" t="str">
        <f t="shared" si="4"/>
        <v/>
      </c>
      <c r="R113" s="140">
        <f t="shared" ca="1" si="5"/>
        <v>0</v>
      </c>
      <c r="S113" s="140">
        <f>IF($N113&lt;&gt;"",Routine!$G106,0)</f>
        <v>0</v>
      </c>
    </row>
    <row r="114" spans="1:19" x14ac:dyDescent="0.2">
      <c r="A114" s="19"/>
      <c r="B114" s="19"/>
      <c r="C114" s="19"/>
      <c r="D114" s="19"/>
      <c r="E114" s="19"/>
      <c r="F114" s="19"/>
      <c r="G114" s="114"/>
      <c r="H114" s="114"/>
      <c r="I114" s="114"/>
      <c r="J114" s="114"/>
      <c r="K114" s="114"/>
      <c r="L114" s="19">
        <v>103</v>
      </c>
      <c r="M114" s="137">
        <f>IF(AND($N114&gt;='Main Page'!$BW$19,$N114&lt;='Main Page'!$BY$19),'Main Page'!$CA$19,IF(AND($N114&gt;='Main Page'!$BW$20,$N114&lt;='Main Page'!$BY$20),'Main Page'!$CA$20,IF(AND($N114&gt;='Main Page'!$BW$21,$N114&lt;='Main Page'!$BY$21),'Main Page'!$CA$21,IF(AND($N114&gt;='Main Page'!$BW$22,$N114&lt;='Main Page'!$BY$22),'Main Page'!$CA$22,IF(AND($N114&gt;='Main Page'!$BW$23,$N114&lt;='Main Page'!$BY$23),'Main Page'!$CA$23,IF(AND($N114&gt;='Main Page'!$BW$24,$N114&lt;='Main Page'!$BY$24),'Main Page'!$CA$24,IF(AND($N114&gt;='Main Page'!$BW$25,$N114&lt;'Main Page'!$BY$25),'Main Page'!$CA$25,IF(AND($N114&gt;='Main Page'!$BW$26,$N114&lt;'Main Page'!$BY$26),'Main Page'!$CA$26,0))))))))</f>
        <v>0</v>
      </c>
      <c r="N114" s="116" t="str">
        <f>IF(L114&lt;='Main Page'!$CB$16,L114,"")</f>
        <v/>
      </c>
      <c r="O114" s="140">
        <f>IF(M114=0,0.0000000001,IF($N114&lt;='Main Page'!$CB$16,$M114,0))</f>
        <v>1E-10</v>
      </c>
      <c r="P114" s="175" t="str">
        <f>IF($N114&lt;='Ref15'!$C$39,'Ref15'!$D$39,IF($N114&lt;='Ref15'!$C$40,'Ref15'!$D$40,IF($N114&lt;='Ref15'!$C$41,'Ref15'!$D$41,"")))</f>
        <v/>
      </c>
      <c r="Q114" s="176" t="str">
        <f t="shared" si="4"/>
        <v/>
      </c>
      <c r="R114" s="140">
        <f t="shared" ca="1" si="5"/>
        <v>0</v>
      </c>
      <c r="S114" s="140">
        <f>IF($N114&lt;&gt;"",Routine!$G107,0)</f>
        <v>0</v>
      </c>
    </row>
    <row r="115" spans="1:19" x14ac:dyDescent="0.2">
      <c r="A115" s="19"/>
      <c r="B115" s="19"/>
      <c r="C115" s="19"/>
      <c r="D115" s="19"/>
      <c r="E115" s="19"/>
      <c r="F115" s="19"/>
      <c r="G115" s="114"/>
      <c r="H115" s="114"/>
      <c r="I115" s="114"/>
      <c r="J115" s="114"/>
      <c r="K115" s="114"/>
      <c r="L115" s="19">
        <v>104</v>
      </c>
      <c r="M115" s="137">
        <f>IF(AND($N115&gt;='Main Page'!$BW$19,$N115&lt;='Main Page'!$BY$19),'Main Page'!$CA$19,IF(AND($N115&gt;='Main Page'!$BW$20,$N115&lt;='Main Page'!$BY$20),'Main Page'!$CA$20,IF(AND($N115&gt;='Main Page'!$BW$21,$N115&lt;='Main Page'!$BY$21),'Main Page'!$CA$21,IF(AND($N115&gt;='Main Page'!$BW$22,$N115&lt;='Main Page'!$BY$22),'Main Page'!$CA$22,IF(AND($N115&gt;='Main Page'!$BW$23,$N115&lt;='Main Page'!$BY$23),'Main Page'!$CA$23,IF(AND($N115&gt;='Main Page'!$BW$24,$N115&lt;='Main Page'!$BY$24),'Main Page'!$CA$24,IF(AND($N115&gt;='Main Page'!$BW$25,$N115&lt;'Main Page'!$BY$25),'Main Page'!$CA$25,IF(AND($N115&gt;='Main Page'!$BW$26,$N115&lt;'Main Page'!$BY$26),'Main Page'!$CA$26,0))))))))</f>
        <v>0</v>
      </c>
      <c r="N115" s="116" t="str">
        <f>IF(L115&lt;='Main Page'!$CB$16,L115,"")</f>
        <v/>
      </c>
      <c r="O115" s="140">
        <f>IF(M115=0,0.0000000001,IF($N115&lt;='Main Page'!$CB$16,$M115,0))</f>
        <v>1E-10</v>
      </c>
      <c r="P115" s="175" t="str">
        <f>IF($N115&lt;='Ref15'!$C$39,'Ref15'!$D$39,IF($N115&lt;='Ref15'!$C$40,'Ref15'!$D$40,IF($N115&lt;='Ref15'!$C$41,'Ref15'!$D$41,"")))</f>
        <v/>
      </c>
      <c r="Q115" s="176" t="str">
        <f t="shared" si="4"/>
        <v/>
      </c>
      <c r="R115" s="140">
        <f t="shared" ca="1" si="5"/>
        <v>0</v>
      </c>
      <c r="S115" s="140">
        <f>IF($N115&lt;&gt;"",Routine!$G108,0)</f>
        <v>0</v>
      </c>
    </row>
    <row r="116" spans="1:19" x14ac:dyDescent="0.2">
      <c r="A116" s="19"/>
      <c r="B116" s="19"/>
      <c r="C116" s="19"/>
      <c r="D116" s="19"/>
      <c r="E116" s="19"/>
      <c r="F116" s="19"/>
      <c r="G116" s="114"/>
      <c r="H116" s="114"/>
      <c r="I116" s="114"/>
      <c r="J116" s="114"/>
      <c r="K116" s="114"/>
      <c r="L116" s="19">
        <v>105</v>
      </c>
      <c r="M116" s="137">
        <f>IF(AND($N116&gt;='Main Page'!$BW$19,$N116&lt;='Main Page'!$BY$19),'Main Page'!$CA$19,IF(AND($N116&gt;='Main Page'!$BW$20,$N116&lt;='Main Page'!$BY$20),'Main Page'!$CA$20,IF(AND($N116&gt;='Main Page'!$BW$21,$N116&lt;='Main Page'!$BY$21),'Main Page'!$CA$21,IF(AND($N116&gt;='Main Page'!$BW$22,$N116&lt;='Main Page'!$BY$22),'Main Page'!$CA$22,IF(AND($N116&gt;='Main Page'!$BW$23,$N116&lt;='Main Page'!$BY$23),'Main Page'!$CA$23,IF(AND($N116&gt;='Main Page'!$BW$24,$N116&lt;='Main Page'!$BY$24),'Main Page'!$CA$24,IF(AND($N116&gt;='Main Page'!$BW$25,$N116&lt;'Main Page'!$BY$25),'Main Page'!$CA$25,IF(AND($N116&gt;='Main Page'!$BW$26,$N116&lt;'Main Page'!$BY$26),'Main Page'!$CA$26,0))))))))</f>
        <v>0</v>
      </c>
      <c r="N116" s="116" t="str">
        <f>IF(L116&lt;='Main Page'!$CB$16,L116,"")</f>
        <v/>
      </c>
      <c r="O116" s="140">
        <f>IF(M116=0,0.0000000001,IF($N116&lt;='Main Page'!$CB$16,$M116,0))</f>
        <v>1E-10</v>
      </c>
      <c r="P116" s="175" t="str">
        <f>IF($N116&lt;='Ref15'!$C$39,'Ref15'!$D$39,IF($N116&lt;='Ref15'!$C$40,'Ref15'!$D$40,IF($N116&lt;='Ref15'!$C$41,'Ref15'!$D$41,"")))</f>
        <v/>
      </c>
      <c r="Q116" s="176" t="str">
        <f t="shared" si="4"/>
        <v/>
      </c>
      <c r="R116" s="140">
        <f t="shared" ca="1" si="5"/>
        <v>0</v>
      </c>
      <c r="S116" s="140">
        <f>IF($N116&lt;&gt;"",Routine!$G109,0)</f>
        <v>0</v>
      </c>
    </row>
    <row r="117" spans="1:19" x14ac:dyDescent="0.2">
      <c r="A117" s="19"/>
      <c r="B117" s="19"/>
      <c r="C117" s="19"/>
      <c r="D117" s="19"/>
      <c r="E117" s="19"/>
      <c r="F117" s="19"/>
      <c r="G117" s="114"/>
      <c r="H117" s="114"/>
      <c r="I117" s="114"/>
      <c r="J117" s="114"/>
      <c r="K117" s="114"/>
      <c r="L117" s="19">
        <v>106</v>
      </c>
      <c r="M117" s="137">
        <f>IF(AND($N117&gt;='Main Page'!$BW$19,$N117&lt;='Main Page'!$BY$19),'Main Page'!$CA$19,IF(AND($N117&gt;='Main Page'!$BW$20,$N117&lt;='Main Page'!$BY$20),'Main Page'!$CA$20,IF(AND($N117&gt;='Main Page'!$BW$21,$N117&lt;='Main Page'!$BY$21),'Main Page'!$CA$21,IF(AND($N117&gt;='Main Page'!$BW$22,$N117&lt;='Main Page'!$BY$22),'Main Page'!$CA$22,IF(AND($N117&gt;='Main Page'!$BW$23,$N117&lt;='Main Page'!$BY$23),'Main Page'!$CA$23,IF(AND($N117&gt;='Main Page'!$BW$24,$N117&lt;='Main Page'!$BY$24),'Main Page'!$CA$24,IF(AND($N117&gt;='Main Page'!$BW$25,$N117&lt;'Main Page'!$BY$25),'Main Page'!$CA$25,IF(AND($N117&gt;='Main Page'!$BW$26,$N117&lt;'Main Page'!$BY$26),'Main Page'!$CA$26,0))))))))</f>
        <v>0</v>
      </c>
      <c r="N117" s="116" t="str">
        <f>IF(L117&lt;='Main Page'!$CB$16,L117,"")</f>
        <v/>
      </c>
      <c r="O117" s="140">
        <f>IF(M117=0,0.0000000001,IF($N117&lt;='Main Page'!$CB$16,$M117,0))</f>
        <v>1E-10</v>
      </c>
      <c r="P117" s="175" t="str">
        <f>IF($N117&lt;='Ref15'!$C$39,'Ref15'!$D$39,IF($N117&lt;='Ref15'!$C$40,'Ref15'!$D$40,IF($N117&lt;='Ref15'!$C$41,'Ref15'!$D$41,"")))</f>
        <v/>
      </c>
      <c r="Q117" s="176" t="str">
        <f t="shared" si="4"/>
        <v/>
      </c>
      <c r="R117" s="140">
        <f t="shared" ca="1" si="5"/>
        <v>0</v>
      </c>
      <c r="S117" s="140">
        <f>IF($N117&lt;&gt;"",Routine!$G110,0)</f>
        <v>0</v>
      </c>
    </row>
    <row r="118" spans="1:19" x14ac:dyDescent="0.2">
      <c r="A118" s="19"/>
      <c r="B118" s="19"/>
      <c r="C118" s="19"/>
      <c r="D118" s="19"/>
      <c r="E118" s="19"/>
      <c r="F118" s="19"/>
      <c r="G118" s="114"/>
      <c r="H118" s="114"/>
      <c r="I118" s="114"/>
      <c r="J118" s="114"/>
      <c r="K118" s="114"/>
      <c r="L118" s="19">
        <v>107</v>
      </c>
      <c r="M118" s="137">
        <f>IF(AND($N118&gt;='Main Page'!$BW$19,$N118&lt;='Main Page'!$BY$19),'Main Page'!$CA$19,IF(AND($N118&gt;='Main Page'!$BW$20,$N118&lt;='Main Page'!$BY$20),'Main Page'!$CA$20,IF(AND($N118&gt;='Main Page'!$BW$21,$N118&lt;='Main Page'!$BY$21),'Main Page'!$CA$21,IF(AND($N118&gt;='Main Page'!$BW$22,$N118&lt;='Main Page'!$BY$22),'Main Page'!$CA$22,IF(AND($N118&gt;='Main Page'!$BW$23,$N118&lt;='Main Page'!$BY$23),'Main Page'!$CA$23,IF(AND($N118&gt;='Main Page'!$BW$24,$N118&lt;='Main Page'!$BY$24),'Main Page'!$CA$24,IF(AND($N118&gt;='Main Page'!$BW$25,$N118&lt;'Main Page'!$BY$25),'Main Page'!$CA$25,IF(AND($N118&gt;='Main Page'!$BW$26,$N118&lt;'Main Page'!$BY$26),'Main Page'!$CA$26,0))))))))</f>
        <v>0</v>
      </c>
      <c r="N118" s="116" t="str">
        <f>IF(L118&lt;='Main Page'!$CB$16,L118,"")</f>
        <v/>
      </c>
      <c r="O118" s="140">
        <f>IF(M118=0,0.0000000001,IF($N118&lt;='Main Page'!$CB$16,$M118,0))</f>
        <v>1E-10</v>
      </c>
      <c r="P118" s="175" t="str">
        <f>IF($N118&lt;='Ref15'!$C$39,'Ref15'!$D$39,IF($N118&lt;='Ref15'!$C$40,'Ref15'!$D$40,IF($N118&lt;='Ref15'!$C$41,'Ref15'!$D$41,"")))</f>
        <v/>
      </c>
      <c r="Q118" s="176" t="str">
        <f t="shared" si="4"/>
        <v/>
      </c>
      <c r="R118" s="140">
        <f t="shared" ca="1" si="5"/>
        <v>0</v>
      </c>
      <c r="S118" s="140">
        <f>IF($N118&lt;&gt;"",Routine!$G111,0)</f>
        <v>0</v>
      </c>
    </row>
    <row r="119" spans="1:19" x14ac:dyDescent="0.2">
      <c r="A119" s="19"/>
      <c r="B119" s="19"/>
      <c r="C119" s="19"/>
      <c r="D119" s="19"/>
      <c r="E119" s="19"/>
      <c r="F119" s="19"/>
      <c r="G119" s="114"/>
      <c r="H119" s="114"/>
      <c r="I119" s="114"/>
      <c r="J119" s="114"/>
      <c r="K119" s="114"/>
      <c r="L119" s="19">
        <v>108</v>
      </c>
      <c r="M119" s="137">
        <f>IF(AND($N119&gt;='Main Page'!$BW$19,$N119&lt;='Main Page'!$BY$19),'Main Page'!$CA$19,IF(AND($N119&gt;='Main Page'!$BW$20,$N119&lt;='Main Page'!$BY$20),'Main Page'!$CA$20,IF(AND($N119&gt;='Main Page'!$BW$21,$N119&lt;='Main Page'!$BY$21),'Main Page'!$CA$21,IF(AND($N119&gt;='Main Page'!$BW$22,$N119&lt;='Main Page'!$BY$22),'Main Page'!$CA$22,IF(AND($N119&gt;='Main Page'!$BW$23,$N119&lt;='Main Page'!$BY$23),'Main Page'!$CA$23,IF(AND($N119&gt;='Main Page'!$BW$24,$N119&lt;='Main Page'!$BY$24),'Main Page'!$CA$24,IF(AND($N119&gt;='Main Page'!$BW$25,$N119&lt;'Main Page'!$BY$25),'Main Page'!$CA$25,IF(AND($N119&gt;='Main Page'!$BW$26,$N119&lt;'Main Page'!$BY$26),'Main Page'!$CA$26,0))))))))</f>
        <v>0</v>
      </c>
      <c r="N119" s="116" t="str">
        <f>IF(L119&lt;='Main Page'!$CB$16,L119,"")</f>
        <v/>
      </c>
      <c r="O119" s="140">
        <f>IF(M119=0,0.0000000001,IF($N119&lt;='Main Page'!$CB$16,$M119,0))</f>
        <v>1E-10</v>
      </c>
      <c r="P119" s="175" t="str">
        <f>IF($N119&lt;='Ref15'!$C$39,'Ref15'!$D$39,IF($N119&lt;='Ref15'!$C$40,'Ref15'!$D$40,IF($N119&lt;='Ref15'!$C$41,'Ref15'!$D$41,"")))</f>
        <v/>
      </c>
      <c r="Q119" s="176" t="str">
        <f t="shared" si="4"/>
        <v/>
      </c>
      <c r="R119" s="140">
        <f t="shared" ca="1" si="5"/>
        <v>0</v>
      </c>
      <c r="S119" s="140">
        <f>IF($N119&lt;&gt;"",Routine!$G112,0)</f>
        <v>0</v>
      </c>
    </row>
    <row r="120" spans="1:19" x14ac:dyDescent="0.2">
      <c r="A120" s="19"/>
      <c r="B120" s="19"/>
      <c r="C120" s="19"/>
      <c r="D120" s="19"/>
      <c r="E120" s="19"/>
      <c r="F120" s="19"/>
      <c r="G120" s="114"/>
      <c r="H120" s="114"/>
      <c r="I120" s="114"/>
      <c r="J120" s="114"/>
      <c r="K120" s="114"/>
      <c r="L120" s="19">
        <v>109</v>
      </c>
      <c r="M120" s="137">
        <f>IF(AND($N120&gt;='Main Page'!$BW$19,$N120&lt;='Main Page'!$BY$19),'Main Page'!$CA$19,IF(AND($N120&gt;='Main Page'!$BW$20,$N120&lt;='Main Page'!$BY$20),'Main Page'!$CA$20,IF(AND($N120&gt;='Main Page'!$BW$21,$N120&lt;='Main Page'!$BY$21),'Main Page'!$CA$21,IF(AND($N120&gt;='Main Page'!$BW$22,$N120&lt;='Main Page'!$BY$22),'Main Page'!$CA$22,IF(AND($N120&gt;='Main Page'!$BW$23,$N120&lt;='Main Page'!$BY$23),'Main Page'!$CA$23,IF(AND($N120&gt;='Main Page'!$BW$24,$N120&lt;='Main Page'!$BY$24),'Main Page'!$CA$24,IF(AND($N120&gt;='Main Page'!$BW$25,$N120&lt;'Main Page'!$BY$25),'Main Page'!$CA$25,IF(AND($N120&gt;='Main Page'!$BW$26,$N120&lt;'Main Page'!$BY$26),'Main Page'!$CA$26,0))))))))</f>
        <v>0</v>
      </c>
      <c r="N120" s="116" t="str">
        <f>IF(L120&lt;='Main Page'!$CB$16,L120,"")</f>
        <v/>
      </c>
      <c r="O120" s="140">
        <f>IF(M120=0,0.0000000001,IF($N120&lt;='Main Page'!$CB$16,$M120,0))</f>
        <v>1E-10</v>
      </c>
      <c r="P120" s="175" t="str">
        <f>IF($N120&lt;='Ref15'!$C$39,'Ref15'!$D$39,IF($N120&lt;='Ref15'!$C$40,'Ref15'!$D$40,IF($N120&lt;='Ref15'!$C$41,'Ref15'!$D$41,"")))</f>
        <v/>
      </c>
      <c r="Q120" s="176" t="str">
        <f t="shared" si="4"/>
        <v/>
      </c>
      <c r="R120" s="140">
        <f t="shared" ca="1" si="5"/>
        <v>0</v>
      </c>
      <c r="S120" s="140">
        <f>IF($N120&lt;&gt;"",Routine!$G113,0)</f>
        <v>0</v>
      </c>
    </row>
    <row r="121" spans="1:19" x14ac:dyDescent="0.2">
      <c r="A121" s="19"/>
      <c r="B121" s="19"/>
      <c r="C121" s="19"/>
      <c r="D121" s="19"/>
      <c r="E121" s="19"/>
      <c r="F121" s="19"/>
      <c r="G121" s="114"/>
      <c r="H121" s="114"/>
      <c r="I121" s="114"/>
      <c r="J121" s="114"/>
      <c r="K121" s="114"/>
      <c r="L121" s="19">
        <v>110</v>
      </c>
      <c r="M121" s="137">
        <f>IF(AND($N121&gt;='Main Page'!$BW$19,$N121&lt;='Main Page'!$BY$19),'Main Page'!$CA$19,IF(AND($N121&gt;='Main Page'!$BW$20,$N121&lt;='Main Page'!$BY$20),'Main Page'!$CA$20,IF(AND($N121&gt;='Main Page'!$BW$21,$N121&lt;='Main Page'!$BY$21),'Main Page'!$CA$21,IF(AND($N121&gt;='Main Page'!$BW$22,$N121&lt;='Main Page'!$BY$22),'Main Page'!$CA$22,IF(AND($N121&gt;='Main Page'!$BW$23,$N121&lt;='Main Page'!$BY$23),'Main Page'!$CA$23,IF(AND($N121&gt;='Main Page'!$BW$24,$N121&lt;='Main Page'!$BY$24),'Main Page'!$CA$24,IF(AND($N121&gt;='Main Page'!$BW$25,$N121&lt;'Main Page'!$BY$25),'Main Page'!$CA$25,IF(AND($N121&gt;='Main Page'!$BW$26,$N121&lt;'Main Page'!$BY$26),'Main Page'!$CA$26,0))))))))</f>
        <v>0</v>
      </c>
      <c r="N121" s="116" t="str">
        <f>IF(L121&lt;='Main Page'!$CB$16,L121,"")</f>
        <v/>
      </c>
      <c r="O121" s="140">
        <f>IF(M121=0,0.0000000001,IF($N121&lt;='Main Page'!$CB$16,$M121,0))</f>
        <v>1E-10</v>
      </c>
      <c r="P121" s="175" t="str">
        <f>IF($N121&lt;='Ref15'!$C$39,'Ref15'!$D$39,IF($N121&lt;='Ref15'!$C$40,'Ref15'!$D$40,IF($N121&lt;='Ref15'!$C$41,'Ref15'!$D$41,"")))</f>
        <v/>
      </c>
      <c r="Q121" s="176" t="str">
        <f t="shared" si="4"/>
        <v/>
      </c>
      <c r="R121" s="140">
        <f t="shared" ca="1" si="5"/>
        <v>0</v>
      </c>
      <c r="S121" s="140">
        <f>IF($N121&lt;&gt;"",Routine!$G114,0)</f>
        <v>0</v>
      </c>
    </row>
    <row r="122" spans="1:19" x14ac:dyDescent="0.2">
      <c r="A122" s="19"/>
      <c r="B122" s="19"/>
      <c r="C122" s="19"/>
      <c r="D122" s="19"/>
      <c r="E122" s="19"/>
      <c r="F122" s="19"/>
      <c r="G122" s="114"/>
      <c r="H122" s="114"/>
      <c r="I122" s="114"/>
      <c r="J122" s="114"/>
      <c r="K122" s="114"/>
      <c r="L122" s="19">
        <v>111</v>
      </c>
      <c r="M122" s="137">
        <f>IF(AND($N122&gt;='Main Page'!$BW$19,$N122&lt;='Main Page'!$BY$19),'Main Page'!$CA$19,IF(AND($N122&gt;='Main Page'!$BW$20,$N122&lt;='Main Page'!$BY$20),'Main Page'!$CA$20,IF(AND($N122&gt;='Main Page'!$BW$21,$N122&lt;='Main Page'!$BY$21),'Main Page'!$CA$21,IF(AND($N122&gt;='Main Page'!$BW$22,$N122&lt;='Main Page'!$BY$22),'Main Page'!$CA$22,IF(AND($N122&gt;='Main Page'!$BW$23,$N122&lt;='Main Page'!$BY$23),'Main Page'!$CA$23,IF(AND($N122&gt;='Main Page'!$BW$24,$N122&lt;='Main Page'!$BY$24),'Main Page'!$CA$24,IF(AND($N122&gt;='Main Page'!$BW$25,$N122&lt;'Main Page'!$BY$25),'Main Page'!$CA$25,IF(AND($N122&gt;='Main Page'!$BW$26,$N122&lt;'Main Page'!$BY$26),'Main Page'!$CA$26,0))))))))</f>
        <v>0</v>
      </c>
      <c r="N122" s="116" t="str">
        <f>IF(L122&lt;='Main Page'!$CB$16,L122,"")</f>
        <v/>
      </c>
      <c r="O122" s="140">
        <f>IF(M122=0,0.0000000001,IF($N122&lt;='Main Page'!$CB$16,$M122,0))</f>
        <v>1E-10</v>
      </c>
      <c r="P122" s="175" t="str">
        <f>IF($N122&lt;='Ref15'!$C$39,'Ref15'!$D$39,IF($N122&lt;='Ref15'!$C$40,'Ref15'!$D$40,IF($N122&lt;='Ref15'!$C$41,'Ref15'!$D$41,"")))</f>
        <v/>
      </c>
      <c r="Q122" s="176" t="str">
        <f t="shared" si="4"/>
        <v/>
      </c>
      <c r="R122" s="140">
        <f t="shared" ca="1" si="5"/>
        <v>0</v>
      </c>
      <c r="S122" s="140">
        <f>IF($N122&lt;&gt;"",Routine!$G115,0)</f>
        <v>0</v>
      </c>
    </row>
    <row r="123" spans="1:19" x14ac:dyDescent="0.2">
      <c r="A123" s="19"/>
      <c r="B123" s="19"/>
      <c r="C123" s="19"/>
      <c r="D123" s="19"/>
      <c r="E123" s="19"/>
      <c r="F123" s="19"/>
      <c r="G123" s="114"/>
      <c r="H123" s="114"/>
      <c r="I123" s="114"/>
      <c r="J123" s="114"/>
      <c r="K123" s="114"/>
      <c r="L123" s="19">
        <v>112</v>
      </c>
      <c r="M123" s="137">
        <f>IF(AND($N123&gt;='Main Page'!$BW$19,$N123&lt;='Main Page'!$BY$19),'Main Page'!$CA$19,IF(AND($N123&gt;='Main Page'!$BW$20,$N123&lt;='Main Page'!$BY$20),'Main Page'!$CA$20,IF(AND($N123&gt;='Main Page'!$BW$21,$N123&lt;='Main Page'!$BY$21),'Main Page'!$CA$21,IF(AND($N123&gt;='Main Page'!$BW$22,$N123&lt;='Main Page'!$BY$22),'Main Page'!$CA$22,IF(AND($N123&gt;='Main Page'!$BW$23,$N123&lt;='Main Page'!$BY$23),'Main Page'!$CA$23,IF(AND($N123&gt;='Main Page'!$BW$24,$N123&lt;='Main Page'!$BY$24),'Main Page'!$CA$24,IF(AND($N123&gt;='Main Page'!$BW$25,$N123&lt;'Main Page'!$BY$25),'Main Page'!$CA$25,IF(AND($N123&gt;='Main Page'!$BW$26,$N123&lt;'Main Page'!$BY$26),'Main Page'!$CA$26,0))))))))</f>
        <v>0</v>
      </c>
      <c r="N123" s="116" t="str">
        <f>IF(L123&lt;='Main Page'!$CB$16,L123,"")</f>
        <v/>
      </c>
      <c r="O123" s="140">
        <f>IF(M123=0,0.0000000001,IF($N123&lt;='Main Page'!$CB$16,$M123,0))</f>
        <v>1E-10</v>
      </c>
      <c r="P123" s="175" t="str">
        <f>IF($N123&lt;='Ref15'!$C$39,'Ref15'!$D$39,IF($N123&lt;='Ref15'!$C$40,'Ref15'!$D$40,IF($N123&lt;='Ref15'!$C$41,'Ref15'!$D$41,"")))</f>
        <v/>
      </c>
      <c r="Q123" s="176" t="str">
        <f t="shared" si="4"/>
        <v/>
      </c>
      <c r="R123" s="140">
        <f t="shared" ca="1" si="5"/>
        <v>0</v>
      </c>
      <c r="S123" s="140">
        <f>IF($N123&lt;&gt;"",Routine!$G116,0)</f>
        <v>0</v>
      </c>
    </row>
    <row r="124" spans="1:19" x14ac:dyDescent="0.2">
      <c r="A124" s="19"/>
      <c r="B124" s="19"/>
      <c r="C124" s="19"/>
      <c r="D124" s="19"/>
      <c r="E124" s="19"/>
      <c r="F124" s="19"/>
      <c r="G124" s="114"/>
      <c r="H124" s="114"/>
      <c r="I124" s="114"/>
      <c r="J124" s="114"/>
      <c r="K124" s="114"/>
      <c r="L124" s="19">
        <v>113</v>
      </c>
      <c r="M124" s="137">
        <f>IF(AND($N124&gt;='Main Page'!$BW$19,$N124&lt;='Main Page'!$BY$19),'Main Page'!$CA$19,IF(AND($N124&gt;='Main Page'!$BW$20,$N124&lt;='Main Page'!$BY$20),'Main Page'!$CA$20,IF(AND($N124&gt;='Main Page'!$BW$21,$N124&lt;='Main Page'!$BY$21),'Main Page'!$CA$21,IF(AND($N124&gt;='Main Page'!$BW$22,$N124&lt;='Main Page'!$BY$22),'Main Page'!$CA$22,IF(AND($N124&gt;='Main Page'!$BW$23,$N124&lt;='Main Page'!$BY$23),'Main Page'!$CA$23,IF(AND($N124&gt;='Main Page'!$BW$24,$N124&lt;='Main Page'!$BY$24),'Main Page'!$CA$24,IF(AND($N124&gt;='Main Page'!$BW$25,$N124&lt;'Main Page'!$BY$25),'Main Page'!$CA$25,IF(AND($N124&gt;='Main Page'!$BW$26,$N124&lt;'Main Page'!$BY$26),'Main Page'!$CA$26,0))))))))</f>
        <v>0</v>
      </c>
      <c r="N124" s="116" t="str">
        <f>IF(L124&lt;='Main Page'!$CB$16,L124,"")</f>
        <v/>
      </c>
      <c r="O124" s="140">
        <f>IF(M124=0,0.0000000001,IF($N124&lt;='Main Page'!$CB$16,$M124,0))</f>
        <v>1E-10</v>
      </c>
      <c r="P124" s="175" t="str">
        <f>IF($N124&lt;='Ref15'!$C$39,'Ref15'!$D$39,IF($N124&lt;='Ref15'!$C$40,'Ref15'!$D$40,IF($N124&lt;='Ref15'!$C$41,'Ref15'!$D$41,"")))</f>
        <v/>
      </c>
      <c r="Q124" s="176" t="str">
        <f t="shared" si="4"/>
        <v/>
      </c>
      <c r="R124" s="140">
        <f t="shared" ca="1" si="5"/>
        <v>0</v>
      </c>
      <c r="S124" s="140">
        <f>IF($N124&lt;&gt;"",Routine!$G117,0)</f>
        <v>0</v>
      </c>
    </row>
    <row r="125" spans="1:19" x14ac:dyDescent="0.2">
      <c r="A125" s="19"/>
      <c r="B125" s="19"/>
      <c r="C125" s="19"/>
      <c r="D125" s="19"/>
      <c r="E125" s="19"/>
      <c r="F125" s="19"/>
      <c r="G125" s="114"/>
      <c r="H125" s="114"/>
      <c r="I125" s="114"/>
      <c r="J125" s="114"/>
      <c r="K125" s="114"/>
      <c r="L125" s="19">
        <v>114</v>
      </c>
      <c r="M125" s="137">
        <f>IF(AND($N125&gt;='Main Page'!$BW$19,$N125&lt;='Main Page'!$BY$19),'Main Page'!$CA$19,IF(AND($N125&gt;='Main Page'!$BW$20,$N125&lt;='Main Page'!$BY$20),'Main Page'!$CA$20,IF(AND($N125&gt;='Main Page'!$BW$21,$N125&lt;='Main Page'!$BY$21),'Main Page'!$CA$21,IF(AND($N125&gt;='Main Page'!$BW$22,$N125&lt;='Main Page'!$BY$22),'Main Page'!$CA$22,IF(AND($N125&gt;='Main Page'!$BW$23,$N125&lt;='Main Page'!$BY$23),'Main Page'!$CA$23,IF(AND($N125&gt;='Main Page'!$BW$24,$N125&lt;='Main Page'!$BY$24),'Main Page'!$CA$24,IF(AND($N125&gt;='Main Page'!$BW$25,$N125&lt;'Main Page'!$BY$25),'Main Page'!$CA$25,IF(AND($N125&gt;='Main Page'!$BW$26,$N125&lt;'Main Page'!$BY$26),'Main Page'!$CA$26,0))))))))</f>
        <v>0</v>
      </c>
      <c r="N125" s="116" t="str">
        <f>IF(L125&lt;='Main Page'!$CB$16,L125,"")</f>
        <v/>
      </c>
      <c r="O125" s="140">
        <f>IF(M125=0,0.0000000001,IF($N125&lt;='Main Page'!$CB$16,$M125,0))</f>
        <v>1E-10</v>
      </c>
      <c r="P125" s="175" t="str">
        <f>IF($N125&lt;='Ref15'!$C$39,'Ref15'!$D$39,IF($N125&lt;='Ref15'!$C$40,'Ref15'!$D$40,IF($N125&lt;='Ref15'!$C$41,'Ref15'!$D$41,"")))</f>
        <v/>
      </c>
      <c r="Q125" s="176" t="str">
        <f t="shared" si="4"/>
        <v/>
      </c>
      <c r="R125" s="140">
        <f t="shared" ca="1" si="5"/>
        <v>0</v>
      </c>
      <c r="S125" s="140">
        <f>IF($N125&lt;&gt;"",Routine!$G118,0)</f>
        <v>0</v>
      </c>
    </row>
    <row r="126" spans="1:19" x14ac:dyDescent="0.2">
      <c r="A126" s="19"/>
      <c r="B126" s="19"/>
      <c r="C126" s="19"/>
      <c r="D126" s="19"/>
      <c r="E126" s="19"/>
      <c r="F126" s="19"/>
      <c r="G126" s="114"/>
      <c r="H126" s="114"/>
      <c r="I126" s="114"/>
      <c r="J126" s="114"/>
      <c r="K126" s="114"/>
      <c r="L126" s="19">
        <v>115</v>
      </c>
      <c r="M126" s="137">
        <f>IF(AND($N126&gt;='Main Page'!$BW$19,$N126&lt;='Main Page'!$BY$19),'Main Page'!$CA$19,IF(AND($N126&gt;='Main Page'!$BW$20,$N126&lt;='Main Page'!$BY$20),'Main Page'!$CA$20,IF(AND($N126&gt;='Main Page'!$BW$21,$N126&lt;='Main Page'!$BY$21),'Main Page'!$CA$21,IF(AND($N126&gt;='Main Page'!$BW$22,$N126&lt;='Main Page'!$BY$22),'Main Page'!$CA$22,IF(AND($N126&gt;='Main Page'!$BW$23,$N126&lt;='Main Page'!$BY$23),'Main Page'!$CA$23,IF(AND($N126&gt;='Main Page'!$BW$24,$N126&lt;='Main Page'!$BY$24),'Main Page'!$CA$24,IF(AND($N126&gt;='Main Page'!$BW$25,$N126&lt;'Main Page'!$BY$25),'Main Page'!$CA$25,IF(AND($N126&gt;='Main Page'!$BW$26,$N126&lt;'Main Page'!$BY$26),'Main Page'!$CA$26,0))))))))</f>
        <v>0</v>
      </c>
      <c r="N126" s="116" t="str">
        <f>IF(L126&lt;='Main Page'!$CB$16,L126,"")</f>
        <v/>
      </c>
      <c r="O126" s="140">
        <f>IF(M126=0,0.0000000001,IF($N126&lt;='Main Page'!$CB$16,$M126,0))</f>
        <v>1E-10</v>
      </c>
      <c r="P126" s="175" t="str">
        <f>IF($N126&lt;='Ref15'!$C$39,'Ref15'!$D$39,IF($N126&lt;='Ref15'!$C$40,'Ref15'!$D$40,IF($N126&lt;='Ref15'!$C$41,'Ref15'!$D$41,"")))</f>
        <v/>
      </c>
      <c r="Q126" s="176" t="str">
        <f t="shared" si="4"/>
        <v/>
      </c>
      <c r="R126" s="140">
        <f t="shared" ca="1" si="5"/>
        <v>0</v>
      </c>
      <c r="S126" s="140">
        <f>IF($N126&lt;&gt;"",Routine!$G119,0)</f>
        <v>0</v>
      </c>
    </row>
    <row r="127" spans="1:19" x14ac:dyDescent="0.2">
      <c r="A127" s="19"/>
      <c r="B127" s="19"/>
      <c r="C127" s="19"/>
      <c r="D127" s="19"/>
      <c r="E127" s="19"/>
      <c r="F127" s="19"/>
      <c r="G127" s="114"/>
      <c r="H127" s="114"/>
      <c r="I127" s="114"/>
      <c r="J127" s="114"/>
      <c r="K127" s="114"/>
      <c r="L127" s="19">
        <v>116</v>
      </c>
      <c r="M127" s="137">
        <f>IF(AND($N127&gt;='Main Page'!$BW$19,$N127&lt;='Main Page'!$BY$19),'Main Page'!$CA$19,IF(AND($N127&gt;='Main Page'!$BW$20,$N127&lt;='Main Page'!$BY$20),'Main Page'!$CA$20,IF(AND($N127&gt;='Main Page'!$BW$21,$N127&lt;='Main Page'!$BY$21),'Main Page'!$CA$21,IF(AND($N127&gt;='Main Page'!$BW$22,$N127&lt;='Main Page'!$BY$22),'Main Page'!$CA$22,IF(AND($N127&gt;='Main Page'!$BW$23,$N127&lt;='Main Page'!$BY$23),'Main Page'!$CA$23,IF(AND($N127&gt;='Main Page'!$BW$24,$N127&lt;='Main Page'!$BY$24),'Main Page'!$CA$24,IF(AND($N127&gt;='Main Page'!$BW$25,$N127&lt;'Main Page'!$BY$25),'Main Page'!$CA$25,IF(AND($N127&gt;='Main Page'!$BW$26,$N127&lt;'Main Page'!$BY$26),'Main Page'!$CA$26,0))))))))</f>
        <v>0</v>
      </c>
      <c r="N127" s="116" t="str">
        <f>IF(L127&lt;='Main Page'!$CB$16,L127,"")</f>
        <v/>
      </c>
      <c r="O127" s="140">
        <f>IF(M127=0,0.0000000001,IF($N127&lt;='Main Page'!$CB$16,$M127,0))</f>
        <v>1E-10</v>
      </c>
      <c r="P127" s="175" t="str">
        <f>IF($N127&lt;='Ref15'!$C$39,'Ref15'!$D$39,IF($N127&lt;='Ref15'!$C$40,'Ref15'!$D$40,IF($N127&lt;='Ref15'!$C$41,'Ref15'!$D$41,"")))</f>
        <v/>
      </c>
      <c r="Q127" s="176" t="str">
        <f t="shared" si="4"/>
        <v/>
      </c>
      <c r="R127" s="140">
        <f t="shared" ca="1" si="5"/>
        <v>0</v>
      </c>
      <c r="S127" s="140">
        <f>IF($N127&lt;&gt;"",Routine!$G120,0)</f>
        <v>0</v>
      </c>
    </row>
    <row r="128" spans="1:19" x14ac:dyDescent="0.2">
      <c r="A128" s="19"/>
      <c r="B128" s="19"/>
      <c r="C128" s="19"/>
      <c r="D128" s="19"/>
      <c r="E128" s="19"/>
      <c r="F128" s="19"/>
      <c r="G128" s="114"/>
      <c r="H128" s="114"/>
      <c r="I128" s="114"/>
      <c r="J128" s="114"/>
      <c r="K128" s="114"/>
      <c r="L128" s="19">
        <v>117</v>
      </c>
      <c r="M128" s="137">
        <f>IF(AND($N128&gt;='Main Page'!$BW$19,$N128&lt;='Main Page'!$BY$19),'Main Page'!$CA$19,IF(AND($N128&gt;='Main Page'!$BW$20,$N128&lt;='Main Page'!$BY$20),'Main Page'!$CA$20,IF(AND($N128&gt;='Main Page'!$BW$21,$N128&lt;='Main Page'!$BY$21),'Main Page'!$CA$21,IF(AND($N128&gt;='Main Page'!$BW$22,$N128&lt;='Main Page'!$BY$22),'Main Page'!$CA$22,IF(AND($N128&gt;='Main Page'!$BW$23,$N128&lt;='Main Page'!$BY$23),'Main Page'!$CA$23,IF(AND($N128&gt;='Main Page'!$BW$24,$N128&lt;='Main Page'!$BY$24),'Main Page'!$CA$24,IF(AND($N128&gt;='Main Page'!$BW$25,$N128&lt;'Main Page'!$BY$25),'Main Page'!$CA$25,IF(AND($N128&gt;='Main Page'!$BW$26,$N128&lt;'Main Page'!$BY$26),'Main Page'!$CA$26,0))))))))</f>
        <v>0</v>
      </c>
      <c r="N128" s="116" t="str">
        <f>IF(L128&lt;='Main Page'!$CB$16,L128,"")</f>
        <v/>
      </c>
      <c r="O128" s="140">
        <f>IF(M128=0,0.0000000001,IF($N128&lt;='Main Page'!$CB$16,$M128,0))</f>
        <v>1E-10</v>
      </c>
      <c r="P128" s="175" t="str">
        <f>IF($N128&lt;='Ref15'!$C$39,'Ref15'!$D$39,IF($N128&lt;='Ref15'!$C$40,'Ref15'!$D$40,IF($N128&lt;='Ref15'!$C$41,'Ref15'!$D$41,"")))</f>
        <v/>
      </c>
      <c r="Q128" s="176" t="str">
        <f t="shared" si="4"/>
        <v/>
      </c>
      <c r="R128" s="140">
        <f t="shared" ca="1" si="5"/>
        <v>0</v>
      </c>
      <c r="S128" s="140">
        <f>IF($N128&lt;&gt;"",Routine!$G121,0)</f>
        <v>0</v>
      </c>
    </row>
    <row r="129" spans="1:19" x14ac:dyDescent="0.2">
      <c r="A129" s="19"/>
      <c r="B129" s="19"/>
      <c r="C129" s="19"/>
      <c r="D129" s="19"/>
      <c r="E129" s="19"/>
      <c r="F129" s="19"/>
      <c r="G129" s="114"/>
      <c r="H129" s="114"/>
      <c r="I129" s="114"/>
      <c r="J129" s="114"/>
      <c r="K129" s="114"/>
      <c r="L129" s="19">
        <v>118</v>
      </c>
      <c r="M129" s="137">
        <f>IF(AND($N129&gt;='Main Page'!$BW$19,$N129&lt;='Main Page'!$BY$19),'Main Page'!$CA$19,IF(AND($N129&gt;='Main Page'!$BW$20,$N129&lt;='Main Page'!$BY$20),'Main Page'!$CA$20,IF(AND($N129&gt;='Main Page'!$BW$21,$N129&lt;='Main Page'!$BY$21),'Main Page'!$CA$21,IF(AND($N129&gt;='Main Page'!$BW$22,$N129&lt;='Main Page'!$BY$22),'Main Page'!$CA$22,IF(AND($N129&gt;='Main Page'!$BW$23,$N129&lt;='Main Page'!$BY$23),'Main Page'!$CA$23,IF(AND($N129&gt;='Main Page'!$BW$24,$N129&lt;='Main Page'!$BY$24),'Main Page'!$CA$24,IF(AND($N129&gt;='Main Page'!$BW$25,$N129&lt;'Main Page'!$BY$25),'Main Page'!$CA$25,IF(AND($N129&gt;='Main Page'!$BW$26,$N129&lt;'Main Page'!$BY$26),'Main Page'!$CA$26,0))))))))</f>
        <v>0</v>
      </c>
      <c r="N129" s="116" t="str">
        <f>IF(L129&lt;='Main Page'!$CB$16,L129,"")</f>
        <v/>
      </c>
      <c r="O129" s="140">
        <f>IF(M129=0,0.0000000001,IF($N129&lt;='Main Page'!$CB$16,$M129,0))</f>
        <v>1E-10</v>
      </c>
      <c r="P129" s="175" t="str">
        <f>IF($N129&lt;='Ref15'!$C$39,'Ref15'!$D$39,IF($N129&lt;='Ref15'!$C$40,'Ref15'!$D$40,IF($N129&lt;='Ref15'!$C$41,'Ref15'!$D$41,"")))</f>
        <v/>
      </c>
      <c r="Q129" s="176" t="str">
        <f t="shared" si="4"/>
        <v/>
      </c>
      <c r="R129" s="140">
        <f t="shared" ca="1" si="5"/>
        <v>0</v>
      </c>
      <c r="S129" s="140">
        <f>IF($N129&lt;&gt;"",Routine!$G122,0)</f>
        <v>0</v>
      </c>
    </row>
    <row r="130" spans="1:19" x14ac:dyDescent="0.2">
      <c r="A130" s="19"/>
      <c r="B130" s="19"/>
      <c r="C130" s="19"/>
      <c r="D130" s="19"/>
      <c r="E130" s="19"/>
      <c r="F130" s="19"/>
      <c r="G130" s="114"/>
      <c r="H130" s="114"/>
      <c r="I130" s="114"/>
      <c r="J130" s="114"/>
      <c r="K130" s="114"/>
      <c r="L130" s="19">
        <v>119</v>
      </c>
      <c r="M130" s="137">
        <f>IF(AND($N130&gt;='Main Page'!$BW$19,$N130&lt;='Main Page'!$BY$19),'Main Page'!$CA$19,IF(AND($N130&gt;='Main Page'!$BW$20,$N130&lt;='Main Page'!$BY$20),'Main Page'!$CA$20,IF(AND($N130&gt;='Main Page'!$BW$21,$N130&lt;='Main Page'!$BY$21),'Main Page'!$CA$21,IF(AND($N130&gt;='Main Page'!$BW$22,$N130&lt;='Main Page'!$BY$22),'Main Page'!$CA$22,IF(AND($N130&gt;='Main Page'!$BW$23,$N130&lt;='Main Page'!$BY$23),'Main Page'!$CA$23,IF(AND($N130&gt;='Main Page'!$BW$24,$N130&lt;='Main Page'!$BY$24),'Main Page'!$CA$24,IF(AND($N130&gt;='Main Page'!$BW$25,$N130&lt;'Main Page'!$BY$25),'Main Page'!$CA$25,IF(AND($N130&gt;='Main Page'!$BW$26,$N130&lt;'Main Page'!$BY$26),'Main Page'!$CA$26,0))))))))</f>
        <v>0</v>
      </c>
      <c r="N130" s="116" t="str">
        <f>IF(L130&lt;='Main Page'!$CB$16,L130,"")</f>
        <v/>
      </c>
      <c r="O130" s="140">
        <f>IF(M130=0,0.0000000001,IF($N130&lt;='Main Page'!$CB$16,$M130,0))</f>
        <v>1E-10</v>
      </c>
      <c r="P130" s="175" t="str">
        <f>IF($N130&lt;='Ref15'!$C$39,'Ref15'!$D$39,IF($N130&lt;='Ref15'!$C$40,'Ref15'!$D$40,IF($N130&lt;='Ref15'!$C$41,'Ref15'!$D$41,"")))</f>
        <v/>
      </c>
      <c r="Q130" s="176" t="str">
        <f t="shared" si="4"/>
        <v/>
      </c>
      <c r="R130" s="140">
        <f t="shared" ca="1" si="5"/>
        <v>0</v>
      </c>
      <c r="S130" s="140">
        <f>IF($N130&lt;&gt;"",Routine!$G123,0)</f>
        <v>0</v>
      </c>
    </row>
    <row r="131" spans="1:19" x14ac:dyDescent="0.2">
      <c r="A131" s="19"/>
      <c r="B131" s="19"/>
      <c r="C131" s="19"/>
      <c r="D131" s="19"/>
      <c r="E131" s="19"/>
      <c r="F131" s="19"/>
      <c r="G131" s="114"/>
      <c r="H131" s="114"/>
      <c r="I131" s="114"/>
      <c r="J131" s="114"/>
      <c r="K131" s="114"/>
      <c r="L131" s="19">
        <v>120</v>
      </c>
      <c r="M131" s="137">
        <f>IF(AND($N131&gt;='Main Page'!$BW$19,$N131&lt;='Main Page'!$BY$19),'Main Page'!$CA$19,IF(AND($N131&gt;='Main Page'!$BW$20,$N131&lt;='Main Page'!$BY$20),'Main Page'!$CA$20,IF(AND($N131&gt;='Main Page'!$BW$21,$N131&lt;='Main Page'!$BY$21),'Main Page'!$CA$21,IF(AND($N131&gt;='Main Page'!$BW$22,$N131&lt;='Main Page'!$BY$22),'Main Page'!$CA$22,IF(AND($N131&gt;='Main Page'!$BW$23,$N131&lt;='Main Page'!$BY$23),'Main Page'!$CA$23,IF(AND($N131&gt;='Main Page'!$BW$24,$N131&lt;='Main Page'!$BY$24),'Main Page'!$CA$24,IF(AND($N131&gt;='Main Page'!$BW$25,$N131&lt;'Main Page'!$BY$25),'Main Page'!$CA$25,IF(AND($N131&gt;='Main Page'!$BW$26,$N131&lt;'Main Page'!$BY$26),'Main Page'!$CA$26,0))))))))</f>
        <v>0</v>
      </c>
      <c r="N131" s="116" t="str">
        <f>IF(L131&lt;='Main Page'!$CB$16,L131,"")</f>
        <v/>
      </c>
      <c r="O131" s="140">
        <f>IF(M131=0,0.0000000001,IF($N131&lt;='Main Page'!$CB$16,$M131,0))</f>
        <v>1E-10</v>
      </c>
      <c r="P131" s="175" t="str">
        <f>IF($N131&lt;='Ref15'!$C$39,'Ref15'!$D$39,IF($N131&lt;='Ref15'!$C$40,'Ref15'!$D$40,IF($N131&lt;='Ref15'!$C$41,'Ref15'!$D$41,"")))</f>
        <v/>
      </c>
      <c r="Q131" s="176" t="str">
        <f t="shared" si="4"/>
        <v/>
      </c>
      <c r="R131" s="140">
        <f t="shared" ca="1" si="5"/>
        <v>0</v>
      </c>
      <c r="S131" s="140">
        <f>IF($N131&lt;&gt;"",Routine!$G124,0)</f>
        <v>0</v>
      </c>
    </row>
    <row r="132" spans="1:19" x14ac:dyDescent="0.2">
      <c r="A132" s="19"/>
      <c r="B132" s="19"/>
      <c r="C132" s="19"/>
      <c r="D132" s="19"/>
      <c r="E132" s="19"/>
      <c r="F132" s="19"/>
      <c r="G132" s="114"/>
      <c r="H132" s="114"/>
      <c r="I132" s="114"/>
      <c r="J132" s="114"/>
      <c r="K132" s="114"/>
      <c r="L132" s="19" t="s">
        <v>1207</v>
      </c>
      <c r="M132" s="137">
        <f>IF(AND($N132&gt;='Main Page'!$BW$19,$N132&lt;='Main Page'!$BY$19),'Main Page'!$CA$19,IF(AND($N132&gt;='Main Page'!$BW$20,$N132&lt;='Main Page'!$BY$20),'Main Page'!$CA$20,IF(AND($N132&gt;='Main Page'!$BW$21,$N132&lt;='Main Page'!$BY$21),'Main Page'!$CA$21,IF(AND($N132&gt;='Main Page'!$BW$22,$N132&lt;='Main Page'!$BY$22),'Main Page'!$CA$22,IF(AND($N132&gt;='Main Page'!$BW$23,$N132&lt;='Main Page'!$BY$23),'Main Page'!$CA$23,IF(AND($N132&gt;='Main Page'!$BW$24,$N132&lt;='Main Page'!$BY$24),'Main Page'!$CA$24,IF(AND($N132&gt;='Main Page'!$BW$25,$N132&lt;'Main Page'!$BY$25),'Main Page'!$CA$25,IF(AND($N132&gt;='Main Page'!$BW$26,$N132&lt;'Main Page'!$BY$26),'Main Page'!$CA$26,0))))))))</f>
        <v>0</v>
      </c>
      <c r="N132" s="116" t="str">
        <f>IF(L132&lt;='Main Page'!$CB$16,L132,"")</f>
        <v/>
      </c>
      <c r="O132" s="140">
        <v>1000000000</v>
      </c>
      <c r="P132" s="175" t="str">
        <f>IF($N132&lt;='Ref15'!$C$39,'Ref15'!$D$39,IF($N132&lt;='Ref15'!$C$40,'Ref15'!$D$40,IF($N132&lt;='Ref15'!$C$41,'Ref15'!$D$41,"")))</f>
        <v/>
      </c>
      <c r="Q132" s="176" t="str">
        <f t="shared" si="4"/>
        <v/>
      </c>
      <c r="R132" s="140"/>
      <c r="S132" s="140"/>
    </row>
  </sheetData>
  <pageMargins left="0.7" right="0.7" top="0.75" bottom="0.75" header="0.3" footer="0.3"/>
  <pageSetup paperSize="9" orientation="portrait" horizontalDpi="1200" verticalDpi="120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ECD7E-CF93-41FF-BB3E-5FDDE8F6D428}">
  <sheetPr codeName="Sheet_Ref99">
    <tabColor rgb="FFFFFF00"/>
  </sheetPr>
  <dimension ref="A4:A8696"/>
  <sheetViews>
    <sheetView showGridLines="0" zoomScale="70" zoomScaleNormal="70" workbookViewId="0">
      <selection activeCell="B5" sqref="B5"/>
    </sheetView>
  </sheetViews>
  <sheetFormatPr defaultColWidth="8.85546875" defaultRowHeight="12.75" x14ac:dyDescent="0.2"/>
  <cols>
    <col min="1" max="1" width="13.7109375" style="22" customWidth="1"/>
    <col min="2" max="16384" width="8.85546875" style="22"/>
  </cols>
  <sheetData>
    <row r="4" spans="1:1" x14ac:dyDescent="0.2">
      <c r="A4" s="108"/>
    </row>
    <row r="5" spans="1:1" x14ac:dyDescent="0.2">
      <c r="A5" s="144">
        <v>0.39693087339401245</v>
      </c>
    </row>
    <row r="6" spans="1:1" x14ac:dyDescent="0.2">
      <c r="A6" s="115">
        <v>0.56083643436431885</v>
      </c>
    </row>
    <row r="7" spans="1:1" x14ac:dyDescent="0.2">
      <c r="A7" s="115">
        <v>0.19259387254714966</v>
      </c>
    </row>
    <row r="8" spans="1:1" x14ac:dyDescent="0.2">
      <c r="A8" s="115">
        <v>0.36439919471740723</v>
      </c>
    </row>
    <row r="9" spans="1:1" x14ac:dyDescent="0.2">
      <c r="A9" s="115">
        <v>0.33525031805038452</v>
      </c>
    </row>
    <row r="10" spans="1:1" x14ac:dyDescent="0.2">
      <c r="A10" s="115">
        <v>0.90139567852020264</v>
      </c>
    </row>
    <row r="11" spans="1:1" x14ac:dyDescent="0.2">
      <c r="A11" s="115">
        <v>0.95436340570449829</v>
      </c>
    </row>
    <row r="12" spans="1:1" x14ac:dyDescent="0.2">
      <c r="A12" s="115">
        <v>0.97874879837036133</v>
      </c>
    </row>
    <row r="13" spans="1:1" x14ac:dyDescent="0.2">
      <c r="A13" s="115">
        <v>4.3226897716522217E-2</v>
      </c>
    </row>
    <row r="14" spans="1:1" x14ac:dyDescent="0.2">
      <c r="A14" s="115">
        <v>0.37438976764678955</v>
      </c>
    </row>
    <row r="15" spans="1:1" x14ac:dyDescent="0.2">
      <c r="A15" s="115">
        <v>0.99460965394973755</v>
      </c>
    </row>
    <row r="16" spans="1:1" x14ac:dyDescent="0.2">
      <c r="A16" s="115">
        <v>0.73032450675964355</v>
      </c>
    </row>
    <row r="17" spans="1:1" x14ac:dyDescent="0.2">
      <c r="A17" s="115">
        <v>0.42155641317367554</v>
      </c>
    </row>
    <row r="18" spans="1:1" x14ac:dyDescent="0.2">
      <c r="A18" s="115">
        <v>0.59023129940032959</v>
      </c>
    </row>
    <row r="19" spans="1:1" x14ac:dyDescent="0.2">
      <c r="A19" s="115">
        <v>0.54459482431411743</v>
      </c>
    </row>
    <row r="20" spans="1:1" x14ac:dyDescent="0.2">
      <c r="A20" s="115">
        <v>0.73783969879150391</v>
      </c>
    </row>
    <row r="21" spans="1:1" x14ac:dyDescent="0.2">
      <c r="A21" s="115">
        <v>0.67659872770309448</v>
      </c>
    </row>
    <row r="22" spans="1:1" x14ac:dyDescent="0.2">
      <c r="A22" s="115">
        <v>0.24234068393707275</v>
      </c>
    </row>
    <row r="23" spans="1:1" x14ac:dyDescent="0.2">
      <c r="A23" s="115">
        <v>0.58655768632888794</v>
      </c>
    </row>
    <row r="24" spans="1:1" x14ac:dyDescent="0.2">
      <c r="A24" s="115">
        <v>0.86707806587219238</v>
      </c>
    </row>
    <row r="25" spans="1:1" x14ac:dyDescent="0.2">
      <c r="A25" s="115">
        <v>0.77350276708602905</v>
      </c>
    </row>
    <row r="26" spans="1:1" x14ac:dyDescent="0.2">
      <c r="A26" s="115">
        <v>0.74777114391326904</v>
      </c>
    </row>
    <row r="27" spans="1:1" x14ac:dyDescent="0.2">
      <c r="A27" s="115">
        <v>0.93183857202529907</v>
      </c>
    </row>
    <row r="28" spans="1:1" x14ac:dyDescent="0.2">
      <c r="A28" s="115">
        <v>0.49651861190795898</v>
      </c>
    </row>
    <row r="29" spans="1:1" x14ac:dyDescent="0.2">
      <c r="A29" s="115">
        <v>0.13933151960372925</v>
      </c>
    </row>
    <row r="30" spans="1:1" x14ac:dyDescent="0.2">
      <c r="A30" s="115">
        <v>0.13783371448516846</v>
      </c>
    </row>
    <row r="31" spans="1:1" x14ac:dyDescent="0.2">
      <c r="A31" s="115">
        <v>0.54900437593460083</v>
      </c>
    </row>
    <row r="32" spans="1:1" x14ac:dyDescent="0.2">
      <c r="A32" s="115">
        <v>0.53296065330505371</v>
      </c>
    </row>
    <row r="33" spans="1:1" x14ac:dyDescent="0.2">
      <c r="A33" s="115">
        <v>0.61618703603744507</v>
      </c>
    </row>
    <row r="34" spans="1:1" x14ac:dyDescent="0.2">
      <c r="A34" s="115">
        <v>0.198722243309021</v>
      </c>
    </row>
    <row r="35" spans="1:1" x14ac:dyDescent="0.2">
      <c r="A35" s="115">
        <v>0.14197355508804321</v>
      </c>
    </row>
    <row r="36" spans="1:1" x14ac:dyDescent="0.2">
      <c r="A36" s="115">
        <v>0.67714881896972656</v>
      </c>
    </row>
    <row r="37" spans="1:1" x14ac:dyDescent="0.2">
      <c r="A37" s="115">
        <v>0.66433542966842651</v>
      </c>
    </row>
    <row r="38" spans="1:1" x14ac:dyDescent="0.2">
      <c r="A38" s="115">
        <v>0.86213839054107666</v>
      </c>
    </row>
    <row r="39" spans="1:1" x14ac:dyDescent="0.2">
      <c r="A39" s="115">
        <v>0.97814112901687622</v>
      </c>
    </row>
    <row r="40" spans="1:1" x14ac:dyDescent="0.2">
      <c r="A40" s="115">
        <v>0.93939805030822754</v>
      </c>
    </row>
    <row r="41" spans="1:1" x14ac:dyDescent="0.2">
      <c r="A41" s="115">
        <v>0.81533187627792358</v>
      </c>
    </row>
    <row r="42" spans="1:1" x14ac:dyDescent="0.2">
      <c r="A42" s="115">
        <v>0.84591662883758545</v>
      </c>
    </row>
    <row r="43" spans="1:1" x14ac:dyDescent="0.2">
      <c r="A43" s="115">
        <v>0.96650367975234985</v>
      </c>
    </row>
    <row r="44" spans="1:1" x14ac:dyDescent="0.2">
      <c r="A44" s="115">
        <v>0.40521860122680664</v>
      </c>
    </row>
    <row r="45" spans="1:1" x14ac:dyDescent="0.2">
      <c r="A45" s="115">
        <v>0.37514561414718628</v>
      </c>
    </row>
    <row r="46" spans="1:1" x14ac:dyDescent="0.2">
      <c r="A46" s="115">
        <v>0.54464924335479736</v>
      </c>
    </row>
    <row r="47" spans="1:1" x14ac:dyDescent="0.2">
      <c r="A47" s="115">
        <v>0.98578435182571411</v>
      </c>
    </row>
    <row r="48" spans="1:1" x14ac:dyDescent="0.2">
      <c r="A48" s="115">
        <v>0.25094103813171387</v>
      </c>
    </row>
    <row r="49" spans="1:1" x14ac:dyDescent="0.2">
      <c r="A49" s="115">
        <v>0.3772849440574646</v>
      </c>
    </row>
    <row r="50" spans="1:1" x14ac:dyDescent="0.2">
      <c r="A50" s="115">
        <v>0.1703113317489624</v>
      </c>
    </row>
    <row r="51" spans="1:1" x14ac:dyDescent="0.2">
      <c r="A51" s="115">
        <v>0.46255785226821899</v>
      </c>
    </row>
    <row r="52" spans="1:1" x14ac:dyDescent="0.2">
      <c r="A52" s="115">
        <v>9.3412399291992188E-3</v>
      </c>
    </row>
    <row r="53" spans="1:1" x14ac:dyDescent="0.2">
      <c r="A53" s="115">
        <v>0.78592222929000854</v>
      </c>
    </row>
    <row r="54" spans="1:1" x14ac:dyDescent="0.2">
      <c r="A54" s="115">
        <v>0.14288580417633057</v>
      </c>
    </row>
    <row r="55" spans="1:1" x14ac:dyDescent="0.2">
      <c r="A55" s="115">
        <v>0.1993754506111145</v>
      </c>
    </row>
    <row r="56" spans="1:1" x14ac:dyDescent="0.2">
      <c r="A56" s="115">
        <v>8.5265398025512695E-2</v>
      </c>
    </row>
    <row r="57" spans="1:1" x14ac:dyDescent="0.2">
      <c r="A57" s="115">
        <v>0.94901889562606812</v>
      </c>
    </row>
    <row r="58" spans="1:1" x14ac:dyDescent="0.2">
      <c r="A58" s="115">
        <v>0.73098838329315186</v>
      </c>
    </row>
    <row r="59" spans="1:1" x14ac:dyDescent="0.2">
      <c r="A59" s="115">
        <v>0.45288997888565063</v>
      </c>
    </row>
    <row r="60" spans="1:1" x14ac:dyDescent="0.2">
      <c r="A60" s="115">
        <v>0.5212550163269043</v>
      </c>
    </row>
    <row r="61" spans="1:1" x14ac:dyDescent="0.2">
      <c r="A61" s="115">
        <v>0.30145043134689331</v>
      </c>
    </row>
    <row r="62" spans="1:1" x14ac:dyDescent="0.2">
      <c r="A62" s="115">
        <v>0.94249260425567627</v>
      </c>
    </row>
    <row r="63" spans="1:1" x14ac:dyDescent="0.2">
      <c r="A63" s="115">
        <v>0.26198083162307739</v>
      </c>
    </row>
    <row r="64" spans="1:1" x14ac:dyDescent="0.2">
      <c r="A64" s="115">
        <v>1.3171911239624023E-2</v>
      </c>
    </row>
    <row r="65" spans="1:1" x14ac:dyDescent="0.2">
      <c r="A65" s="115">
        <v>0.31813138723373413</v>
      </c>
    </row>
    <row r="66" spans="1:1" x14ac:dyDescent="0.2">
      <c r="A66" s="115">
        <v>0.66515481472015381</v>
      </c>
    </row>
    <row r="67" spans="1:1" x14ac:dyDescent="0.2">
      <c r="A67" s="115">
        <v>2.5878965854644775E-2</v>
      </c>
    </row>
    <row r="68" spans="1:1" x14ac:dyDescent="0.2">
      <c r="A68" s="115">
        <v>0.17582321166992188</v>
      </c>
    </row>
    <row r="69" spans="1:1" x14ac:dyDescent="0.2">
      <c r="A69" s="115">
        <v>0.71714037656784058</v>
      </c>
    </row>
    <row r="70" spans="1:1" x14ac:dyDescent="0.2">
      <c r="A70" s="115">
        <v>5.7239174842834473E-2</v>
      </c>
    </row>
    <row r="71" spans="1:1" x14ac:dyDescent="0.2">
      <c r="A71" s="115">
        <v>0.33229190111160278</v>
      </c>
    </row>
    <row r="72" spans="1:1" x14ac:dyDescent="0.2">
      <c r="A72" s="115">
        <v>5.8586359024047852E-2</v>
      </c>
    </row>
    <row r="73" spans="1:1" x14ac:dyDescent="0.2">
      <c r="A73" s="115">
        <v>0.91284507513046265</v>
      </c>
    </row>
    <row r="74" spans="1:1" x14ac:dyDescent="0.2">
      <c r="A74" s="115">
        <v>0.18814265727996826</v>
      </c>
    </row>
    <row r="75" spans="1:1" x14ac:dyDescent="0.2">
      <c r="A75" s="115">
        <v>3.5528719425201416E-2</v>
      </c>
    </row>
    <row r="76" spans="1:1" x14ac:dyDescent="0.2">
      <c r="A76" s="115">
        <v>0.91103410720825195</v>
      </c>
    </row>
    <row r="77" spans="1:1" x14ac:dyDescent="0.2">
      <c r="A77" s="115">
        <v>0.71902722120285034</v>
      </c>
    </row>
    <row r="78" spans="1:1" x14ac:dyDescent="0.2">
      <c r="A78" s="115">
        <v>0.92902004718780518</v>
      </c>
    </row>
    <row r="79" spans="1:1" x14ac:dyDescent="0.2">
      <c r="A79" s="115">
        <v>0.58462506532669067</v>
      </c>
    </row>
    <row r="80" spans="1:1" x14ac:dyDescent="0.2">
      <c r="A80" s="115">
        <v>0.19855952262878418</v>
      </c>
    </row>
    <row r="81" spans="1:1" x14ac:dyDescent="0.2">
      <c r="A81" s="115">
        <v>0.30200761556625366</v>
      </c>
    </row>
    <row r="82" spans="1:1" x14ac:dyDescent="0.2">
      <c r="A82" s="115">
        <v>9.3408942222595215E-2</v>
      </c>
    </row>
    <row r="83" spans="1:1" x14ac:dyDescent="0.2">
      <c r="A83" s="115">
        <v>0.60146814584732056</v>
      </c>
    </row>
    <row r="84" spans="1:1" x14ac:dyDescent="0.2">
      <c r="A84" s="115">
        <v>0.86800098419189453</v>
      </c>
    </row>
    <row r="85" spans="1:1" x14ac:dyDescent="0.2">
      <c r="A85" s="115">
        <v>0.38377112150192261</v>
      </c>
    </row>
    <row r="86" spans="1:1" x14ac:dyDescent="0.2">
      <c r="A86" s="115">
        <v>0.82785475254058838</v>
      </c>
    </row>
    <row r="87" spans="1:1" x14ac:dyDescent="0.2">
      <c r="A87" s="115">
        <v>0.70892173051834106</v>
      </c>
    </row>
    <row r="88" spans="1:1" x14ac:dyDescent="0.2">
      <c r="A88" s="115">
        <v>0.86326718330383301</v>
      </c>
    </row>
    <row r="89" spans="1:1" x14ac:dyDescent="0.2">
      <c r="A89" s="115">
        <v>0.69509166479110718</v>
      </c>
    </row>
    <row r="90" spans="1:1" x14ac:dyDescent="0.2">
      <c r="A90" s="115">
        <v>0.25253570079803467</v>
      </c>
    </row>
    <row r="91" spans="1:1" x14ac:dyDescent="0.2">
      <c r="A91" s="115">
        <v>0.6089511513710022</v>
      </c>
    </row>
    <row r="92" spans="1:1" x14ac:dyDescent="0.2">
      <c r="A92" s="115">
        <v>0.89096212387084961</v>
      </c>
    </row>
    <row r="93" spans="1:1" x14ac:dyDescent="0.2">
      <c r="A93" s="115">
        <v>0.67865723371505737</v>
      </c>
    </row>
    <row r="94" spans="1:1" x14ac:dyDescent="0.2">
      <c r="A94" s="19">
        <v>0.35188782215118408</v>
      </c>
    </row>
    <row r="95" spans="1:1" x14ac:dyDescent="0.2">
      <c r="A95" s="19">
        <v>0.41074830293655396</v>
      </c>
    </row>
    <row r="96" spans="1:1" x14ac:dyDescent="0.2">
      <c r="A96" s="19">
        <v>0.43601012229919434</v>
      </c>
    </row>
    <row r="97" spans="1:1" x14ac:dyDescent="0.2">
      <c r="A97" s="19">
        <v>0.44219487905502319</v>
      </c>
    </row>
    <row r="98" spans="1:1" x14ac:dyDescent="0.2">
      <c r="A98" s="19">
        <v>0.11522996425628662</v>
      </c>
    </row>
    <row r="99" spans="1:1" x14ac:dyDescent="0.2">
      <c r="A99" s="19">
        <v>0.20885664224624634</v>
      </c>
    </row>
    <row r="100" spans="1:1" x14ac:dyDescent="0.2">
      <c r="A100" s="19">
        <v>2.7280807495117188E-2</v>
      </c>
    </row>
    <row r="101" spans="1:1" x14ac:dyDescent="0.2">
      <c r="A101" s="19">
        <v>0.96159571409225464</v>
      </c>
    </row>
    <row r="102" spans="1:1" x14ac:dyDescent="0.2">
      <c r="A102" s="19">
        <v>0.92738878726959229</v>
      </c>
    </row>
    <row r="103" spans="1:1" x14ac:dyDescent="0.2">
      <c r="A103" s="19">
        <v>0.91129618883132935</v>
      </c>
    </row>
    <row r="104" spans="1:1" x14ac:dyDescent="0.2">
      <c r="A104" s="19">
        <v>0.75321412086486816</v>
      </c>
    </row>
    <row r="105" spans="1:1" x14ac:dyDescent="0.2">
      <c r="A105" s="19">
        <v>0.53403991460800171</v>
      </c>
    </row>
    <row r="106" spans="1:1" x14ac:dyDescent="0.2">
      <c r="A106" s="19">
        <v>0.20932376384735107</v>
      </c>
    </row>
    <row r="107" spans="1:1" x14ac:dyDescent="0.2">
      <c r="A107" s="19">
        <v>0.31768852472305298</v>
      </c>
    </row>
    <row r="108" spans="1:1" x14ac:dyDescent="0.2">
      <c r="A108" s="19">
        <v>2.7445316314697266E-2</v>
      </c>
    </row>
    <row r="109" spans="1:1" x14ac:dyDescent="0.2">
      <c r="A109" s="19">
        <v>0.4811217188835144</v>
      </c>
    </row>
    <row r="110" spans="1:1" x14ac:dyDescent="0.2">
      <c r="A110" s="19">
        <v>0.30875217914581299</v>
      </c>
    </row>
    <row r="111" spans="1:1" x14ac:dyDescent="0.2">
      <c r="A111" s="19">
        <v>0.44738179445266724</v>
      </c>
    </row>
    <row r="112" spans="1:1" x14ac:dyDescent="0.2">
      <c r="A112" s="19">
        <v>0.60442996025085449</v>
      </c>
    </row>
    <row r="113" spans="1:1" x14ac:dyDescent="0.2">
      <c r="A113" s="19">
        <v>0.10197442770004272</v>
      </c>
    </row>
    <row r="114" spans="1:1" x14ac:dyDescent="0.2">
      <c r="A114" s="19">
        <v>0.64077413082122803</v>
      </c>
    </row>
    <row r="115" spans="1:1" x14ac:dyDescent="0.2">
      <c r="A115" s="19">
        <v>0.11757570505142212</v>
      </c>
    </row>
    <row r="116" spans="1:1" x14ac:dyDescent="0.2">
      <c r="A116" s="19">
        <v>0.84506893157958984</v>
      </c>
    </row>
    <row r="117" spans="1:1" x14ac:dyDescent="0.2">
      <c r="A117" s="19">
        <v>0.87639540433883667</v>
      </c>
    </row>
    <row r="118" spans="1:1" x14ac:dyDescent="0.2">
      <c r="A118" s="19">
        <v>7.8497529029846191E-2</v>
      </c>
    </row>
    <row r="119" spans="1:1" x14ac:dyDescent="0.2">
      <c r="A119" s="19">
        <v>0.77144652605056763</v>
      </c>
    </row>
    <row r="120" spans="1:1" x14ac:dyDescent="0.2">
      <c r="A120" s="19">
        <v>0.23233342170715332</v>
      </c>
    </row>
    <row r="121" spans="1:1" x14ac:dyDescent="0.2">
      <c r="A121" s="19">
        <v>0.91797107458114624</v>
      </c>
    </row>
    <row r="122" spans="1:1" x14ac:dyDescent="0.2">
      <c r="A122" s="19">
        <v>0.59366309642791748</v>
      </c>
    </row>
    <row r="123" spans="1:1" x14ac:dyDescent="0.2">
      <c r="A123" s="19">
        <v>0.55627208948135376</v>
      </c>
    </row>
    <row r="124" spans="1:1" x14ac:dyDescent="0.2">
      <c r="A124" s="19">
        <v>0.13688993453979492</v>
      </c>
    </row>
    <row r="125" spans="1:1" x14ac:dyDescent="0.2">
      <c r="A125" s="19">
        <v>0.67720192670822144</v>
      </c>
    </row>
    <row r="126" spans="1:1" x14ac:dyDescent="0.2">
      <c r="A126" s="19">
        <v>0.14726936817169189</v>
      </c>
    </row>
    <row r="127" spans="1:1" x14ac:dyDescent="0.2">
      <c r="A127" s="19">
        <v>0.65155678987503052</v>
      </c>
    </row>
    <row r="128" spans="1:1" x14ac:dyDescent="0.2">
      <c r="A128" s="19">
        <v>0.83272528648376465</v>
      </c>
    </row>
    <row r="129" spans="1:1" x14ac:dyDescent="0.2">
      <c r="A129" s="19">
        <v>0.89462751150131226</v>
      </c>
    </row>
    <row r="130" spans="1:1" x14ac:dyDescent="0.2">
      <c r="A130" s="19">
        <v>0.83019769191741943</v>
      </c>
    </row>
    <row r="131" spans="1:1" x14ac:dyDescent="0.2">
      <c r="A131" s="19">
        <v>0.8471565842628479</v>
      </c>
    </row>
    <row r="132" spans="1:1" x14ac:dyDescent="0.2">
      <c r="A132" s="19">
        <v>0.7627716064453125</v>
      </c>
    </row>
    <row r="133" spans="1:1" x14ac:dyDescent="0.2">
      <c r="A133" s="19">
        <v>0.8039514422416687</v>
      </c>
    </row>
    <row r="134" spans="1:1" x14ac:dyDescent="0.2">
      <c r="A134" s="19">
        <v>0.2538372278213501</v>
      </c>
    </row>
    <row r="135" spans="1:1" x14ac:dyDescent="0.2">
      <c r="A135" s="19">
        <v>0.37140399217605591</v>
      </c>
    </row>
    <row r="136" spans="1:1" x14ac:dyDescent="0.2">
      <c r="A136" s="19">
        <v>5.4531335830688477E-2</v>
      </c>
    </row>
    <row r="137" spans="1:1" x14ac:dyDescent="0.2">
      <c r="A137" s="19">
        <v>0.58516639471054077</v>
      </c>
    </row>
    <row r="138" spans="1:1" x14ac:dyDescent="0.2">
      <c r="A138" s="19">
        <v>0.19070994853973389</v>
      </c>
    </row>
    <row r="139" spans="1:1" x14ac:dyDescent="0.2">
      <c r="A139" s="19">
        <v>0.96923309564590454</v>
      </c>
    </row>
    <row r="140" spans="1:1" x14ac:dyDescent="0.2">
      <c r="A140" s="19">
        <v>0.28570222854614258</v>
      </c>
    </row>
    <row r="141" spans="1:1" x14ac:dyDescent="0.2">
      <c r="A141" s="19">
        <v>6.7679107189178467E-2</v>
      </c>
    </row>
    <row r="142" spans="1:1" x14ac:dyDescent="0.2">
      <c r="A142" s="19">
        <v>0.4650956392288208</v>
      </c>
    </row>
    <row r="143" spans="1:1" x14ac:dyDescent="0.2">
      <c r="A143" s="19">
        <v>0.2303045392036438</v>
      </c>
    </row>
    <row r="144" spans="1:1" x14ac:dyDescent="0.2">
      <c r="A144" s="19">
        <v>0.4998023509979248</v>
      </c>
    </row>
    <row r="145" spans="1:1" x14ac:dyDescent="0.2">
      <c r="A145" s="19">
        <v>0.68343538045883179</v>
      </c>
    </row>
    <row r="146" spans="1:1" x14ac:dyDescent="0.2">
      <c r="A146" s="19">
        <v>9.365689754486084E-2</v>
      </c>
    </row>
    <row r="147" spans="1:1" x14ac:dyDescent="0.2">
      <c r="A147" s="19">
        <v>0.16713052988052368</v>
      </c>
    </row>
    <row r="148" spans="1:1" x14ac:dyDescent="0.2">
      <c r="A148" s="19">
        <v>0.47179508209228516</v>
      </c>
    </row>
    <row r="149" spans="1:1" x14ac:dyDescent="0.2">
      <c r="A149" s="19">
        <v>0.67004507780075073</v>
      </c>
    </row>
    <row r="150" spans="1:1" x14ac:dyDescent="0.2">
      <c r="A150" s="19">
        <v>0.676064133644104</v>
      </c>
    </row>
    <row r="151" spans="1:1" x14ac:dyDescent="0.2">
      <c r="A151" s="19">
        <v>4.3199837207794189E-2</v>
      </c>
    </row>
    <row r="152" spans="1:1" x14ac:dyDescent="0.2">
      <c r="A152" s="19">
        <v>0.22371411323547363</v>
      </c>
    </row>
    <row r="153" spans="1:1" x14ac:dyDescent="0.2">
      <c r="A153" s="19">
        <v>0.5239071249961853</v>
      </c>
    </row>
    <row r="154" spans="1:1" x14ac:dyDescent="0.2">
      <c r="A154" s="19">
        <v>3.5620570182800293E-2</v>
      </c>
    </row>
    <row r="155" spans="1:1" x14ac:dyDescent="0.2">
      <c r="A155" s="19">
        <v>0.45110279321670532</v>
      </c>
    </row>
    <row r="156" spans="1:1" x14ac:dyDescent="0.2">
      <c r="A156" s="19">
        <v>0.79028844833374023</v>
      </c>
    </row>
    <row r="157" spans="1:1" x14ac:dyDescent="0.2">
      <c r="A157" s="19">
        <v>0.7033345103263855</v>
      </c>
    </row>
    <row r="158" spans="1:1" x14ac:dyDescent="0.2">
      <c r="A158" s="19">
        <v>0.10988724231719971</v>
      </c>
    </row>
    <row r="159" spans="1:1" x14ac:dyDescent="0.2">
      <c r="A159" s="19">
        <v>0.64065629243850708</v>
      </c>
    </row>
    <row r="160" spans="1:1" x14ac:dyDescent="0.2">
      <c r="A160" s="19">
        <v>0.23456740379333496</v>
      </c>
    </row>
    <row r="161" spans="1:1" x14ac:dyDescent="0.2">
      <c r="A161" s="19">
        <v>0.58167928457260132</v>
      </c>
    </row>
    <row r="162" spans="1:1" x14ac:dyDescent="0.2">
      <c r="A162" s="19">
        <v>9.1307997703552246E-2</v>
      </c>
    </row>
    <row r="163" spans="1:1" x14ac:dyDescent="0.2">
      <c r="A163" s="19">
        <v>9.7028791904449463E-2</v>
      </c>
    </row>
    <row r="164" spans="1:1" x14ac:dyDescent="0.2">
      <c r="A164" s="19">
        <v>0.91354560852050781</v>
      </c>
    </row>
    <row r="165" spans="1:1" x14ac:dyDescent="0.2">
      <c r="A165" s="19">
        <v>0.65045756101608276</v>
      </c>
    </row>
    <row r="166" spans="1:1" x14ac:dyDescent="0.2">
      <c r="A166" s="19">
        <v>0.81783449649810791</v>
      </c>
    </row>
    <row r="167" spans="1:1" x14ac:dyDescent="0.2">
      <c r="A167" s="19">
        <v>0.36886531114578247</v>
      </c>
    </row>
    <row r="168" spans="1:1" x14ac:dyDescent="0.2">
      <c r="A168" s="19">
        <v>0.99378800392150879</v>
      </c>
    </row>
    <row r="169" spans="1:1" x14ac:dyDescent="0.2">
      <c r="A169" s="19">
        <v>0.97247451543807983</v>
      </c>
    </row>
    <row r="170" spans="1:1" x14ac:dyDescent="0.2">
      <c r="A170" s="19">
        <v>0.4135512113571167</v>
      </c>
    </row>
    <row r="171" spans="1:1" x14ac:dyDescent="0.2">
      <c r="A171" s="19">
        <v>0.1464124321937561</v>
      </c>
    </row>
    <row r="172" spans="1:1" x14ac:dyDescent="0.2">
      <c r="A172" s="19">
        <v>0.21705484390258789</v>
      </c>
    </row>
    <row r="173" spans="1:1" x14ac:dyDescent="0.2">
      <c r="A173" s="19">
        <v>0.88494938611984253</v>
      </c>
    </row>
    <row r="174" spans="1:1" x14ac:dyDescent="0.2">
      <c r="A174" s="19">
        <v>0.17930042743682861</v>
      </c>
    </row>
    <row r="175" spans="1:1" x14ac:dyDescent="0.2">
      <c r="A175" s="19">
        <v>0.58964329957962036</v>
      </c>
    </row>
    <row r="176" spans="1:1" x14ac:dyDescent="0.2">
      <c r="A176" s="19">
        <v>0.91592669486999512</v>
      </c>
    </row>
    <row r="177" spans="1:1" x14ac:dyDescent="0.2">
      <c r="A177" s="19">
        <v>0.95264047384262085</v>
      </c>
    </row>
    <row r="178" spans="1:1" x14ac:dyDescent="0.2">
      <c r="A178" s="19">
        <v>0.73330724239349365</v>
      </c>
    </row>
    <row r="179" spans="1:1" x14ac:dyDescent="0.2">
      <c r="A179" s="19">
        <v>0.90638262033462524</v>
      </c>
    </row>
    <row r="180" spans="1:1" x14ac:dyDescent="0.2">
      <c r="A180" s="19">
        <v>0.27942943572998047</v>
      </c>
    </row>
    <row r="181" spans="1:1" x14ac:dyDescent="0.2">
      <c r="A181" s="19">
        <v>0.17097014188766479</v>
      </c>
    </row>
    <row r="182" spans="1:1" x14ac:dyDescent="0.2">
      <c r="A182" s="19">
        <v>0.40180456638336182</v>
      </c>
    </row>
    <row r="183" spans="1:1" x14ac:dyDescent="0.2">
      <c r="A183" s="19">
        <v>0.18043166399002075</v>
      </c>
    </row>
    <row r="184" spans="1:1" x14ac:dyDescent="0.2">
      <c r="A184" s="19">
        <v>0.86865925788879395</v>
      </c>
    </row>
    <row r="185" spans="1:1" x14ac:dyDescent="0.2">
      <c r="A185" s="19">
        <v>0.41914981603622437</v>
      </c>
    </row>
    <row r="186" spans="1:1" x14ac:dyDescent="0.2">
      <c r="A186" s="19">
        <v>0.85965812206268311</v>
      </c>
    </row>
    <row r="187" spans="1:1" x14ac:dyDescent="0.2">
      <c r="A187" s="19">
        <v>0.44969326257705688</v>
      </c>
    </row>
    <row r="188" spans="1:1" x14ac:dyDescent="0.2">
      <c r="A188" s="19">
        <v>0.38240766525268555</v>
      </c>
    </row>
    <row r="189" spans="1:1" x14ac:dyDescent="0.2">
      <c r="A189" s="19">
        <v>0.16330498456954956</v>
      </c>
    </row>
    <row r="190" spans="1:1" x14ac:dyDescent="0.2">
      <c r="A190" s="19">
        <v>2.099144458770752E-2</v>
      </c>
    </row>
    <row r="191" spans="1:1" x14ac:dyDescent="0.2">
      <c r="A191" s="19">
        <v>3.4296810626983643E-2</v>
      </c>
    </row>
    <row r="192" spans="1:1" x14ac:dyDescent="0.2">
      <c r="A192" s="19">
        <v>0.67278647422790527</v>
      </c>
    </row>
    <row r="193" spans="1:1" x14ac:dyDescent="0.2">
      <c r="A193" s="19">
        <v>0.40960019826889038</v>
      </c>
    </row>
    <row r="194" spans="1:1" x14ac:dyDescent="0.2">
      <c r="A194" s="19">
        <v>0.17981088161468506</v>
      </c>
    </row>
    <row r="195" spans="1:1" x14ac:dyDescent="0.2">
      <c r="A195" s="19">
        <v>0.11472326517105103</v>
      </c>
    </row>
    <row r="196" spans="1:1" x14ac:dyDescent="0.2">
      <c r="A196" s="19">
        <v>1.0852813720703125E-2</v>
      </c>
    </row>
    <row r="197" spans="1:1" x14ac:dyDescent="0.2">
      <c r="A197" s="19">
        <v>0.90736407041549683</v>
      </c>
    </row>
    <row r="198" spans="1:1" x14ac:dyDescent="0.2">
      <c r="A198" s="19">
        <v>0.40063059329986572</v>
      </c>
    </row>
    <row r="199" spans="1:1" x14ac:dyDescent="0.2">
      <c r="A199" s="19">
        <v>0.55993014574050903</v>
      </c>
    </row>
    <row r="200" spans="1:1" x14ac:dyDescent="0.2">
      <c r="A200" s="19">
        <v>0.6022341251373291</v>
      </c>
    </row>
    <row r="201" spans="1:1" x14ac:dyDescent="0.2">
      <c r="A201" s="19">
        <v>0.6022142767906189</v>
      </c>
    </row>
    <row r="202" spans="1:1" x14ac:dyDescent="0.2">
      <c r="A202" s="19">
        <v>0.15909755229949951</v>
      </c>
    </row>
    <row r="203" spans="1:1" x14ac:dyDescent="0.2">
      <c r="A203" s="19">
        <v>5.476534366607666E-3</v>
      </c>
    </row>
    <row r="204" spans="1:1" x14ac:dyDescent="0.2">
      <c r="A204" s="19">
        <v>0.3527531623840332</v>
      </c>
    </row>
    <row r="205" spans="1:1" x14ac:dyDescent="0.2">
      <c r="A205" s="19">
        <v>0.33918255567550659</v>
      </c>
    </row>
    <row r="206" spans="1:1" x14ac:dyDescent="0.2">
      <c r="A206" s="19">
        <v>0.23261654376983643</v>
      </c>
    </row>
    <row r="207" spans="1:1" x14ac:dyDescent="0.2">
      <c r="A207" s="19">
        <v>0.18164807558059692</v>
      </c>
    </row>
    <row r="208" spans="1:1" x14ac:dyDescent="0.2">
      <c r="A208" s="19">
        <v>0.88405299186706543</v>
      </c>
    </row>
    <row r="209" spans="1:1" x14ac:dyDescent="0.2">
      <c r="A209" s="19">
        <v>0.81583970785140991</v>
      </c>
    </row>
    <row r="210" spans="1:1" x14ac:dyDescent="0.2">
      <c r="A210" s="19">
        <v>0.84097516536712646</v>
      </c>
    </row>
    <row r="211" spans="1:1" x14ac:dyDescent="0.2">
      <c r="A211" s="19">
        <v>0.49158197641372681</v>
      </c>
    </row>
    <row r="212" spans="1:1" x14ac:dyDescent="0.2">
      <c r="A212" s="19">
        <v>0.79922199249267578</v>
      </c>
    </row>
    <row r="213" spans="1:1" x14ac:dyDescent="0.2">
      <c r="A213" s="19">
        <v>0.78542059659957886</v>
      </c>
    </row>
    <row r="214" spans="1:1" x14ac:dyDescent="0.2">
      <c r="A214" s="19">
        <v>3.6968827247619629E-2</v>
      </c>
    </row>
    <row r="215" spans="1:1" x14ac:dyDescent="0.2">
      <c r="A215" s="19">
        <v>0.83939200639724731</v>
      </c>
    </row>
    <row r="216" spans="1:1" x14ac:dyDescent="0.2">
      <c r="A216" s="19">
        <v>0.19841885566711426</v>
      </c>
    </row>
    <row r="217" spans="1:1" x14ac:dyDescent="0.2">
      <c r="A217" s="19">
        <v>0.50994914770126343</v>
      </c>
    </row>
    <row r="218" spans="1:1" x14ac:dyDescent="0.2">
      <c r="A218" s="19">
        <v>0.34702575206756592</v>
      </c>
    </row>
    <row r="219" spans="1:1" x14ac:dyDescent="0.2">
      <c r="A219" s="19">
        <v>0.70829349756240845</v>
      </c>
    </row>
    <row r="220" spans="1:1" x14ac:dyDescent="0.2">
      <c r="A220" s="19">
        <v>0.44449758529663086</v>
      </c>
    </row>
    <row r="221" spans="1:1" x14ac:dyDescent="0.2">
      <c r="A221" s="19">
        <v>0.46336334943771362</v>
      </c>
    </row>
    <row r="222" spans="1:1" x14ac:dyDescent="0.2">
      <c r="A222" s="19">
        <v>0.66183197498321533</v>
      </c>
    </row>
    <row r="223" spans="1:1" x14ac:dyDescent="0.2">
      <c r="A223" s="19">
        <v>0.48872834444046021</v>
      </c>
    </row>
    <row r="224" spans="1:1" x14ac:dyDescent="0.2">
      <c r="A224" s="19">
        <v>0.17863249778747559</v>
      </c>
    </row>
    <row r="225" spans="1:1" x14ac:dyDescent="0.2">
      <c r="A225" s="19">
        <v>0.28464025259017944</v>
      </c>
    </row>
    <row r="226" spans="1:1" x14ac:dyDescent="0.2">
      <c r="A226" s="19">
        <v>0.37695634365081787</v>
      </c>
    </row>
    <row r="227" spans="1:1" x14ac:dyDescent="0.2">
      <c r="A227" s="19">
        <v>5.6490004062652588E-2</v>
      </c>
    </row>
    <row r="228" spans="1:1" x14ac:dyDescent="0.2">
      <c r="A228" s="19">
        <v>0.58594322204589844</v>
      </c>
    </row>
    <row r="229" spans="1:1" x14ac:dyDescent="0.2">
      <c r="A229" s="19">
        <v>0.98092097043991089</v>
      </c>
    </row>
    <row r="230" spans="1:1" x14ac:dyDescent="0.2">
      <c r="A230" s="19">
        <v>0.78347551822662354</v>
      </c>
    </row>
    <row r="231" spans="1:1" x14ac:dyDescent="0.2">
      <c r="A231" s="19">
        <v>0.6008484959602356</v>
      </c>
    </row>
    <row r="232" spans="1:1" x14ac:dyDescent="0.2">
      <c r="A232" s="19">
        <v>0.91111969947814941</v>
      </c>
    </row>
    <row r="233" spans="1:1" x14ac:dyDescent="0.2">
      <c r="A233" s="19">
        <v>0.38063567876815796</v>
      </c>
    </row>
    <row r="234" spans="1:1" x14ac:dyDescent="0.2">
      <c r="A234" s="19">
        <v>0.70859897136688232</v>
      </c>
    </row>
    <row r="235" spans="1:1" x14ac:dyDescent="0.2">
      <c r="A235" s="19">
        <v>0.70267540216445923</v>
      </c>
    </row>
    <row r="236" spans="1:1" x14ac:dyDescent="0.2">
      <c r="A236" s="19">
        <v>0.22404718399047852</v>
      </c>
    </row>
    <row r="237" spans="1:1" x14ac:dyDescent="0.2">
      <c r="A237" s="19">
        <v>0.83662861585617065</v>
      </c>
    </row>
    <row r="238" spans="1:1" x14ac:dyDescent="0.2">
      <c r="A238" s="19">
        <v>0.40629398822784424</v>
      </c>
    </row>
    <row r="239" spans="1:1" x14ac:dyDescent="0.2">
      <c r="A239" s="19">
        <v>0.66256886720657349</v>
      </c>
    </row>
    <row r="240" spans="1:1" x14ac:dyDescent="0.2">
      <c r="A240" s="19">
        <v>0.43543124198913574</v>
      </c>
    </row>
    <row r="241" spans="1:1" x14ac:dyDescent="0.2">
      <c r="A241" s="19">
        <v>0.17928308248519897</v>
      </c>
    </row>
    <row r="242" spans="1:1" x14ac:dyDescent="0.2">
      <c r="A242" s="19">
        <v>0.69791066646575928</v>
      </c>
    </row>
    <row r="243" spans="1:1" x14ac:dyDescent="0.2">
      <c r="A243" s="19">
        <v>7.8978598117828369E-2</v>
      </c>
    </row>
    <row r="244" spans="1:1" x14ac:dyDescent="0.2">
      <c r="A244" s="19">
        <v>0.56242275238037109</v>
      </c>
    </row>
    <row r="245" spans="1:1" x14ac:dyDescent="0.2">
      <c r="A245" s="19">
        <v>0.91964644193649292</v>
      </c>
    </row>
    <row r="246" spans="1:1" x14ac:dyDescent="0.2">
      <c r="A246" s="19">
        <v>0.36280691623687744</v>
      </c>
    </row>
    <row r="247" spans="1:1" x14ac:dyDescent="0.2">
      <c r="A247" s="19">
        <v>0.67633086442947388</v>
      </c>
    </row>
    <row r="248" spans="1:1" x14ac:dyDescent="0.2">
      <c r="A248" s="19">
        <v>0.24424290657043457</v>
      </c>
    </row>
    <row r="249" spans="1:1" x14ac:dyDescent="0.2">
      <c r="A249" s="19">
        <v>0.70255511999130249</v>
      </c>
    </row>
    <row r="250" spans="1:1" x14ac:dyDescent="0.2">
      <c r="A250" s="19">
        <v>0.77897346019744873</v>
      </c>
    </row>
    <row r="251" spans="1:1" x14ac:dyDescent="0.2">
      <c r="A251" s="19">
        <v>0.38315349817276001</v>
      </c>
    </row>
    <row r="252" spans="1:1" x14ac:dyDescent="0.2">
      <c r="A252" s="19">
        <v>0.50780820846557617</v>
      </c>
    </row>
    <row r="253" spans="1:1" x14ac:dyDescent="0.2">
      <c r="A253" s="19">
        <v>9.7596049308776855E-3</v>
      </c>
    </row>
    <row r="254" spans="1:1" x14ac:dyDescent="0.2">
      <c r="A254" s="19">
        <v>0.81365883350372314</v>
      </c>
    </row>
    <row r="255" spans="1:1" x14ac:dyDescent="0.2">
      <c r="A255" s="19">
        <v>0.66020089387893677</v>
      </c>
    </row>
    <row r="256" spans="1:1" x14ac:dyDescent="0.2">
      <c r="A256" s="19">
        <v>0.7833554744720459</v>
      </c>
    </row>
    <row r="257" spans="1:1" x14ac:dyDescent="0.2">
      <c r="A257" s="19">
        <v>0.11304944753646851</v>
      </c>
    </row>
    <row r="258" spans="1:1" x14ac:dyDescent="0.2">
      <c r="A258" s="19">
        <v>0.96399438381195068</v>
      </c>
    </row>
    <row r="259" spans="1:1" x14ac:dyDescent="0.2">
      <c r="A259" s="19">
        <v>7.857900857925415E-2</v>
      </c>
    </row>
    <row r="260" spans="1:1" x14ac:dyDescent="0.2">
      <c r="A260" s="19">
        <v>0.17006683349609375</v>
      </c>
    </row>
    <row r="261" spans="1:1" x14ac:dyDescent="0.2">
      <c r="A261" s="19">
        <v>0.27737826108932495</v>
      </c>
    </row>
    <row r="262" spans="1:1" x14ac:dyDescent="0.2">
      <c r="A262" s="19">
        <v>0.74761927127838135</v>
      </c>
    </row>
    <row r="263" spans="1:1" x14ac:dyDescent="0.2">
      <c r="A263" s="19">
        <v>0.14787036180496216</v>
      </c>
    </row>
    <row r="264" spans="1:1" x14ac:dyDescent="0.2">
      <c r="A264" s="19">
        <v>0.95169472694396973</v>
      </c>
    </row>
    <row r="265" spans="1:1" x14ac:dyDescent="0.2">
      <c r="A265" s="19">
        <v>0.21398872137069702</v>
      </c>
    </row>
    <row r="266" spans="1:1" x14ac:dyDescent="0.2">
      <c r="A266" s="19">
        <v>0.34330546855926514</v>
      </c>
    </row>
    <row r="267" spans="1:1" x14ac:dyDescent="0.2">
      <c r="A267" s="19">
        <v>0.39425903558731079</v>
      </c>
    </row>
    <row r="268" spans="1:1" x14ac:dyDescent="0.2">
      <c r="A268" s="19">
        <v>0.36218690872192383</v>
      </c>
    </row>
    <row r="269" spans="1:1" x14ac:dyDescent="0.2">
      <c r="A269" s="19">
        <v>0.78353756666183472</v>
      </c>
    </row>
    <row r="270" spans="1:1" x14ac:dyDescent="0.2">
      <c r="A270" s="19">
        <v>0.48158276081085205</v>
      </c>
    </row>
    <row r="271" spans="1:1" x14ac:dyDescent="0.2">
      <c r="A271" s="19">
        <v>0.68865567445755005</v>
      </c>
    </row>
    <row r="272" spans="1:1" x14ac:dyDescent="0.2">
      <c r="A272" s="19">
        <v>0.60131144523620605</v>
      </c>
    </row>
    <row r="273" spans="1:1" x14ac:dyDescent="0.2">
      <c r="A273" s="19">
        <v>0.94922059774398804</v>
      </c>
    </row>
    <row r="274" spans="1:1" x14ac:dyDescent="0.2">
      <c r="A274" s="19">
        <v>0.58536374568939209</v>
      </c>
    </row>
    <row r="275" spans="1:1" x14ac:dyDescent="0.2">
      <c r="A275" s="19">
        <v>0.82482248544692993</v>
      </c>
    </row>
    <row r="276" spans="1:1" x14ac:dyDescent="0.2">
      <c r="A276" s="19">
        <v>0.10028171539306641</v>
      </c>
    </row>
    <row r="277" spans="1:1" x14ac:dyDescent="0.2">
      <c r="A277" s="19">
        <v>0.97989767789840698</v>
      </c>
    </row>
    <row r="278" spans="1:1" x14ac:dyDescent="0.2">
      <c r="A278" s="19">
        <v>0.16056883335113525</v>
      </c>
    </row>
    <row r="279" spans="1:1" x14ac:dyDescent="0.2">
      <c r="A279" s="19">
        <v>0.34749823808670044</v>
      </c>
    </row>
    <row r="280" spans="1:1" x14ac:dyDescent="0.2">
      <c r="A280" s="19">
        <v>3.7381410598754883E-2</v>
      </c>
    </row>
    <row r="281" spans="1:1" x14ac:dyDescent="0.2">
      <c r="A281" s="19">
        <v>0.90321773290634155</v>
      </c>
    </row>
    <row r="282" spans="1:1" x14ac:dyDescent="0.2">
      <c r="A282" s="19">
        <v>0.43675124645233154</v>
      </c>
    </row>
    <row r="283" spans="1:1" x14ac:dyDescent="0.2">
      <c r="A283" s="19">
        <v>0.63052326440811157</v>
      </c>
    </row>
    <row r="284" spans="1:1" x14ac:dyDescent="0.2">
      <c r="A284" s="19">
        <v>0.10358953475952148</v>
      </c>
    </row>
    <row r="285" spans="1:1" x14ac:dyDescent="0.2">
      <c r="A285" s="19">
        <v>0.20874375104904175</v>
      </c>
    </row>
    <row r="286" spans="1:1" x14ac:dyDescent="0.2">
      <c r="A286" s="19">
        <v>0.25772202014923096</v>
      </c>
    </row>
    <row r="287" spans="1:1" x14ac:dyDescent="0.2">
      <c r="A287" s="19">
        <v>0.20496445894241333</v>
      </c>
    </row>
    <row r="288" spans="1:1" x14ac:dyDescent="0.2">
      <c r="A288" s="19">
        <v>0.51820540428161621</v>
      </c>
    </row>
    <row r="289" spans="1:1" x14ac:dyDescent="0.2">
      <c r="A289" s="19">
        <v>0.80107778310775757</v>
      </c>
    </row>
    <row r="290" spans="1:1" x14ac:dyDescent="0.2">
      <c r="A290" s="19">
        <v>0.2221750020980835</v>
      </c>
    </row>
    <row r="291" spans="1:1" x14ac:dyDescent="0.2">
      <c r="A291" s="19">
        <v>0.33724027872085571</v>
      </c>
    </row>
    <row r="292" spans="1:1" x14ac:dyDescent="0.2">
      <c r="A292" s="19">
        <v>0.29447364807128906</v>
      </c>
    </row>
    <row r="293" spans="1:1" x14ac:dyDescent="0.2">
      <c r="A293" s="19">
        <v>0.20298594236373901</v>
      </c>
    </row>
    <row r="294" spans="1:1" x14ac:dyDescent="0.2">
      <c r="A294" s="19">
        <v>7.431185245513916E-2</v>
      </c>
    </row>
    <row r="295" spans="1:1" x14ac:dyDescent="0.2">
      <c r="A295" s="19">
        <v>0.85724574327468872</v>
      </c>
    </row>
    <row r="296" spans="1:1" x14ac:dyDescent="0.2">
      <c r="A296" s="19">
        <v>0.75520920753479004</v>
      </c>
    </row>
    <row r="297" spans="1:1" x14ac:dyDescent="0.2">
      <c r="A297" s="19">
        <v>8.523404598236084E-3</v>
      </c>
    </row>
    <row r="298" spans="1:1" x14ac:dyDescent="0.2">
      <c r="A298" s="19">
        <v>0.34446704387664795</v>
      </c>
    </row>
    <row r="299" spans="1:1" x14ac:dyDescent="0.2">
      <c r="A299" s="19">
        <v>0.23647743463516235</v>
      </c>
    </row>
    <row r="300" spans="1:1" x14ac:dyDescent="0.2">
      <c r="A300" s="19">
        <v>0.29842233657836914</v>
      </c>
    </row>
    <row r="301" spans="1:1" x14ac:dyDescent="0.2">
      <c r="A301" s="19">
        <v>0.58615940809249878</v>
      </c>
    </row>
    <row r="302" spans="1:1" x14ac:dyDescent="0.2">
      <c r="A302" s="19">
        <v>0.23973286151885986</v>
      </c>
    </row>
    <row r="303" spans="1:1" x14ac:dyDescent="0.2">
      <c r="A303" s="19">
        <v>0.91615849733352661</v>
      </c>
    </row>
    <row r="304" spans="1:1" x14ac:dyDescent="0.2">
      <c r="A304" s="19">
        <v>0.41294360160827637</v>
      </c>
    </row>
    <row r="305" spans="1:1" x14ac:dyDescent="0.2">
      <c r="A305" s="19">
        <v>3.19022536277771E-2</v>
      </c>
    </row>
    <row r="306" spans="1:1" x14ac:dyDescent="0.2">
      <c r="A306" s="19">
        <v>0.7845844030380249</v>
      </c>
    </row>
    <row r="307" spans="1:1" x14ac:dyDescent="0.2">
      <c r="A307" s="19">
        <v>0.88536363840103149</v>
      </c>
    </row>
    <row r="308" spans="1:1" x14ac:dyDescent="0.2">
      <c r="A308" s="19">
        <v>0.94404888153076172</v>
      </c>
    </row>
    <row r="309" spans="1:1" x14ac:dyDescent="0.2">
      <c r="A309" s="19">
        <v>0.37242430448532104</v>
      </c>
    </row>
    <row r="310" spans="1:1" x14ac:dyDescent="0.2">
      <c r="A310" s="19">
        <v>0.21150457859039307</v>
      </c>
    </row>
    <row r="311" spans="1:1" x14ac:dyDescent="0.2">
      <c r="A311" s="19">
        <v>0.509144127368927</v>
      </c>
    </row>
    <row r="312" spans="1:1" x14ac:dyDescent="0.2">
      <c r="A312" s="19">
        <v>0.6090843677520752</v>
      </c>
    </row>
    <row r="313" spans="1:1" x14ac:dyDescent="0.2">
      <c r="A313" s="19">
        <v>1.8186986446380615E-2</v>
      </c>
    </row>
    <row r="314" spans="1:1" x14ac:dyDescent="0.2">
      <c r="A314" s="19">
        <v>0.60160911083221436</v>
      </c>
    </row>
    <row r="315" spans="1:1" x14ac:dyDescent="0.2">
      <c r="A315" s="19">
        <v>0.60665279626846313</v>
      </c>
    </row>
    <row r="316" spans="1:1" x14ac:dyDescent="0.2">
      <c r="A316" s="19">
        <v>0.7630915641784668</v>
      </c>
    </row>
    <row r="317" spans="1:1" x14ac:dyDescent="0.2">
      <c r="A317" s="19">
        <v>0.46656578779220581</v>
      </c>
    </row>
    <row r="318" spans="1:1" x14ac:dyDescent="0.2">
      <c r="A318" s="19">
        <v>0.77527153491973877</v>
      </c>
    </row>
    <row r="319" spans="1:1" x14ac:dyDescent="0.2">
      <c r="A319" s="19">
        <v>0.77926903963088989</v>
      </c>
    </row>
    <row r="320" spans="1:1" x14ac:dyDescent="0.2">
      <c r="A320" s="19">
        <v>0.41443228721618652</v>
      </c>
    </row>
    <row r="321" spans="1:1" x14ac:dyDescent="0.2">
      <c r="A321" s="19">
        <v>0.25497525930404663</v>
      </c>
    </row>
    <row r="322" spans="1:1" x14ac:dyDescent="0.2">
      <c r="A322" s="19">
        <v>0.43274819850921631</v>
      </c>
    </row>
    <row r="323" spans="1:1" x14ac:dyDescent="0.2">
      <c r="A323" s="19">
        <v>0.98872381448745728</v>
      </c>
    </row>
    <row r="324" spans="1:1" x14ac:dyDescent="0.2">
      <c r="A324" s="19">
        <v>0.49041366577148438</v>
      </c>
    </row>
    <row r="325" spans="1:1" x14ac:dyDescent="0.2">
      <c r="A325" s="19">
        <v>0.16399401426315308</v>
      </c>
    </row>
    <row r="326" spans="1:1" x14ac:dyDescent="0.2">
      <c r="A326" s="19">
        <v>0.54480326175689697</v>
      </c>
    </row>
    <row r="327" spans="1:1" x14ac:dyDescent="0.2">
      <c r="A327" s="19">
        <v>0.38522464036941528</v>
      </c>
    </row>
    <row r="328" spans="1:1" x14ac:dyDescent="0.2">
      <c r="A328" s="19">
        <v>0.35291314125061035</v>
      </c>
    </row>
    <row r="329" spans="1:1" x14ac:dyDescent="0.2">
      <c r="A329" s="19">
        <v>0.67048972845077515</v>
      </c>
    </row>
    <row r="330" spans="1:1" x14ac:dyDescent="0.2">
      <c r="A330" s="19">
        <v>0.99333369731903076</v>
      </c>
    </row>
    <row r="331" spans="1:1" x14ac:dyDescent="0.2">
      <c r="A331" s="19">
        <v>0.38558059930801392</v>
      </c>
    </row>
    <row r="332" spans="1:1" x14ac:dyDescent="0.2">
      <c r="A332" s="19">
        <v>0.56400346755981445</v>
      </c>
    </row>
    <row r="333" spans="1:1" x14ac:dyDescent="0.2">
      <c r="A333" s="19">
        <v>0.65074414014816284</v>
      </c>
    </row>
    <row r="334" spans="1:1" x14ac:dyDescent="0.2">
      <c r="A334" s="19">
        <v>0.46199429035186768</v>
      </c>
    </row>
    <row r="335" spans="1:1" x14ac:dyDescent="0.2">
      <c r="A335" s="19">
        <v>1.3273358345031738E-3</v>
      </c>
    </row>
    <row r="336" spans="1:1" x14ac:dyDescent="0.2">
      <c r="A336" s="19">
        <v>0.90157771110534668</v>
      </c>
    </row>
    <row r="337" spans="1:1" x14ac:dyDescent="0.2">
      <c r="A337" s="19">
        <v>0.33357805013656616</v>
      </c>
    </row>
    <row r="338" spans="1:1" x14ac:dyDescent="0.2">
      <c r="A338" s="19">
        <v>0.57682263851165771</v>
      </c>
    </row>
    <row r="339" spans="1:1" x14ac:dyDescent="0.2">
      <c r="A339" s="19">
        <v>0.41685205698013306</v>
      </c>
    </row>
    <row r="340" spans="1:1" x14ac:dyDescent="0.2">
      <c r="A340" s="19">
        <v>0.62497425079345703</v>
      </c>
    </row>
    <row r="341" spans="1:1" x14ac:dyDescent="0.2">
      <c r="A341" s="19">
        <v>0.50347632169723511</v>
      </c>
    </row>
    <row r="342" spans="1:1" x14ac:dyDescent="0.2">
      <c r="A342" s="19">
        <v>0.29686415195465088</v>
      </c>
    </row>
    <row r="343" spans="1:1" x14ac:dyDescent="0.2">
      <c r="A343" s="19">
        <v>0.81751853227615356</v>
      </c>
    </row>
    <row r="344" spans="1:1" x14ac:dyDescent="0.2">
      <c r="A344" s="19">
        <v>0.99060177803039551</v>
      </c>
    </row>
    <row r="345" spans="1:1" x14ac:dyDescent="0.2">
      <c r="A345" s="19">
        <v>0.95371288061141968</v>
      </c>
    </row>
    <row r="346" spans="1:1" x14ac:dyDescent="0.2">
      <c r="A346" s="19">
        <v>0.55479705333709717</v>
      </c>
    </row>
    <row r="347" spans="1:1" x14ac:dyDescent="0.2">
      <c r="A347" s="19">
        <v>0.4677920937538147</v>
      </c>
    </row>
    <row r="348" spans="1:1" x14ac:dyDescent="0.2">
      <c r="A348" s="19">
        <v>1.7564296722412109E-2</v>
      </c>
    </row>
    <row r="349" spans="1:1" x14ac:dyDescent="0.2">
      <c r="A349" s="19">
        <v>0.18947571516036987</v>
      </c>
    </row>
    <row r="350" spans="1:1" x14ac:dyDescent="0.2">
      <c r="A350" s="19">
        <v>0.14755737781524658</v>
      </c>
    </row>
    <row r="351" spans="1:1" x14ac:dyDescent="0.2">
      <c r="A351" s="19">
        <v>3.9364635944366455E-2</v>
      </c>
    </row>
    <row r="352" spans="1:1" x14ac:dyDescent="0.2">
      <c r="A352" s="19">
        <v>0.50328612327575684</v>
      </c>
    </row>
    <row r="353" spans="1:1" x14ac:dyDescent="0.2">
      <c r="A353" s="19">
        <v>0.38099187612533569</v>
      </c>
    </row>
    <row r="354" spans="1:1" x14ac:dyDescent="0.2">
      <c r="A354" s="19">
        <v>0.87696397304534912</v>
      </c>
    </row>
    <row r="355" spans="1:1" x14ac:dyDescent="0.2">
      <c r="A355" s="19">
        <v>0.18927961587905884</v>
      </c>
    </row>
    <row r="356" spans="1:1" x14ac:dyDescent="0.2">
      <c r="A356" s="19">
        <v>0.28913688659667969</v>
      </c>
    </row>
    <row r="357" spans="1:1" x14ac:dyDescent="0.2">
      <c r="A357" s="19">
        <v>0.56665247678756714</v>
      </c>
    </row>
    <row r="358" spans="1:1" x14ac:dyDescent="0.2">
      <c r="A358" s="19">
        <v>0.94034349918365479</v>
      </c>
    </row>
    <row r="359" spans="1:1" x14ac:dyDescent="0.2">
      <c r="A359" s="19">
        <v>0.38805705308914185</v>
      </c>
    </row>
    <row r="360" spans="1:1" x14ac:dyDescent="0.2">
      <c r="A360" s="19">
        <v>0.77605652809143066</v>
      </c>
    </row>
    <row r="361" spans="1:1" x14ac:dyDescent="0.2">
      <c r="A361" s="19">
        <v>0.10613769292831421</v>
      </c>
    </row>
    <row r="362" spans="1:1" x14ac:dyDescent="0.2">
      <c r="A362" s="19">
        <v>0.57115542888641357</v>
      </c>
    </row>
    <row r="363" spans="1:1" x14ac:dyDescent="0.2">
      <c r="A363" s="19">
        <v>0.99781852960586548</v>
      </c>
    </row>
    <row r="364" spans="1:1" x14ac:dyDescent="0.2">
      <c r="A364" s="19">
        <v>0.69018030166625977</v>
      </c>
    </row>
    <row r="365" spans="1:1" x14ac:dyDescent="0.2">
      <c r="A365" s="19">
        <v>0.3835417628288269</v>
      </c>
    </row>
    <row r="366" spans="1:1" x14ac:dyDescent="0.2">
      <c r="A366" s="19">
        <v>0.92961704730987549</v>
      </c>
    </row>
    <row r="367" spans="1:1" x14ac:dyDescent="0.2">
      <c r="A367" s="19">
        <v>0.60041218996047974</v>
      </c>
    </row>
    <row r="368" spans="1:1" x14ac:dyDescent="0.2">
      <c r="A368" s="19">
        <v>9.8463773727416992E-2</v>
      </c>
    </row>
    <row r="369" spans="1:1" x14ac:dyDescent="0.2">
      <c r="A369" s="19">
        <v>0.76049798727035522</v>
      </c>
    </row>
    <row r="370" spans="1:1" x14ac:dyDescent="0.2">
      <c r="A370" s="19">
        <v>0.24332845211029053</v>
      </c>
    </row>
    <row r="371" spans="1:1" x14ac:dyDescent="0.2">
      <c r="A371" s="19">
        <v>0.57553774118423462</v>
      </c>
    </row>
    <row r="372" spans="1:1" x14ac:dyDescent="0.2">
      <c r="A372" s="19">
        <v>0.67430782318115234</v>
      </c>
    </row>
    <row r="373" spans="1:1" x14ac:dyDescent="0.2">
      <c r="A373" s="19">
        <v>0.77930372953414917</v>
      </c>
    </row>
    <row r="374" spans="1:1" x14ac:dyDescent="0.2">
      <c r="A374" s="19">
        <v>0.19789755344390869</v>
      </c>
    </row>
    <row r="375" spans="1:1" x14ac:dyDescent="0.2">
      <c r="A375" s="19">
        <v>0.92887145280838013</v>
      </c>
    </row>
    <row r="376" spans="1:1" x14ac:dyDescent="0.2">
      <c r="A376" s="19">
        <v>0.21318364143371582</v>
      </c>
    </row>
    <row r="377" spans="1:1" x14ac:dyDescent="0.2">
      <c r="A377" s="19">
        <v>0.61604541540145874</v>
      </c>
    </row>
    <row r="378" spans="1:1" x14ac:dyDescent="0.2">
      <c r="A378" s="19">
        <v>0.57756507396697998</v>
      </c>
    </row>
    <row r="379" spans="1:1" x14ac:dyDescent="0.2">
      <c r="A379" s="19">
        <v>0.37019115686416626</v>
      </c>
    </row>
    <row r="380" spans="1:1" x14ac:dyDescent="0.2">
      <c r="A380" s="19">
        <v>0.39825773239135742</v>
      </c>
    </row>
    <row r="381" spans="1:1" x14ac:dyDescent="0.2">
      <c r="A381" s="19">
        <v>0.78372353315353394</v>
      </c>
    </row>
    <row r="382" spans="1:1" x14ac:dyDescent="0.2">
      <c r="A382" s="19">
        <v>0.15582954883575439</v>
      </c>
    </row>
    <row r="383" spans="1:1" x14ac:dyDescent="0.2">
      <c r="A383" s="19">
        <v>0.64150124788284302</v>
      </c>
    </row>
    <row r="384" spans="1:1" x14ac:dyDescent="0.2">
      <c r="A384" s="19">
        <v>0.81601691246032715</v>
      </c>
    </row>
    <row r="385" spans="1:1" x14ac:dyDescent="0.2">
      <c r="A385" s="19">
        <v>8.5377633571624756E-2</v>
      </c>
    </row>
    <row r="386" spans="1:1" x14ac:dyDescent="0.2">
      <c r="A386" s="19">
        <v>0.83607232570648193</v>
      </c>
    </row>
    <row r="387" spans="1:1" x14ac:dyDescent="0.2">
      <c r="A387" s="19">
        <v>9.51576828956604E-2</v>
      </c>
    </row>
    <row r="388" spans="1:1" x14ac:dyDescent="0.2">
      <c r="A388" s="19">
        <v>0.221893310546875</v>
      </c>
    </row>
    <row r="389" spans="1:1" x14ac:dyDescent="0.2">
      <c r="A389" s="19">
        <v>0.8172113299369812</v>
      </c>
    </row>
    <row r="390" spans="1:1" x14ac:dyDescent="0.2">
      <c r="A390" s="19">
        <v>4.2182564735412598E-2</v>
      </c>
    </row>
    <row r="391" spans="1:1" x14ac:dyDescent="0.2">
      <c r="A391" s="19">
        <v>0.52199298143386841</v>
      </c>
    </row>
    <row r="392" spans="1:1" x14ac:dyDescent="0.2">
      <c r="A392" s="19">
        <v>5.5889368057250977E-2</v>
      </c>
    </row>
    <row r="393" spans="1:1" x14ac:dyDescent="0.2">
      <c r="A393" s="19">
        <v>0.22171729803085327</v>
      </c>
    </row>
    <row r="394" spans="1:1" x14ac:dyDescent="0.2">
      <c r="A394" s="19">
        <v>0.35918223857879639</v>
      </c>
    </row>
    <row r="395" spans="1:1" x14ac:dyDescent="0.2">
      <c r="A395" s="19">
        <v>0.22944122552871704</v>
      </c>
    </row>
    <row r="396" spans="1:1" x14ac:dyDescent="0.2">
      <c r="A396" s="19">
        <v>0.20820283889770508</v>
      </c>
    </row>
    <row r="397" spans="1:1" x14ac:dyDescent="0.2">
      <c r="A397" s="19">
        <v>0.19080227613449097</v>
      </c>
    </row>
    <row r="398" spans="1:1" x14ac:dyDescent="0.2">
      <c r="A398" s="19">
        <v>0.4238511323928833</v>
      </c>
    </row>
    <row r="399" spans="1:1" x14ac:dyDescent="0.2">
      <c r="A399" s="19">
        <v>0.3696630597114563</v>
      </c>
    </row>
    <row r="400" spans="1:1" x14ac:dyDescent="0.2">
      <c r="A400" s="19">
        <v>3.4851789474487305E-2</v>
      </c>
    </row>
    <row r="401" spans="1:1" x14ac:dyDescent="0.2">
      <c r="A401" s="19">
        <v>0.21891206502914429</v>
      </c>
    </row>
    <row r="402" spans="1:1" x14ac:dyDescent="0.2">
      <c r="A402" s="19">
        <v>6.535184383392334E-2</v>
      </c>
    </row>
    <row r="403" spans="1:1" x14ac:dyDescent="0.2">
      <c r="A403" s="19">
        <v>0.51767069101333618</v>
      </c>
    </row>
    <row r="404" spans="1:1" x14ac:dyDescent="0.2">
      <c r="A404" s="19">
        <v>0.62329959869384766</v>
      </c>
    </row>
    <row r="405" spans="1:1" x14ac:dyDescent="0.2">
      <c r="A405" s="19">
        <v>0.60615652799606323</v>
      </c>
    </row>
    <row r="406" spans="1:1" x14ac:dyDescent="0.2">
      <c r="A406" s="19">
        <v>0.6958547830581665</v>
      </c>
    </row>
    <row r="407" spans="1:1" x14ac:dyDescent="0.2">
      <c r="A407" s="19">
        <v>0.49945288896560669</v>
      </c>
    </row>
    <row r="408" spans="1:1" x14ac:dyDescent="0.2">
      <c r="A408" s="19">
        <v>0.30807995796203613</v>
      </c>
    </row>
    <row r="409" spans="1:1" x14ac:dyDescent="0.2">
      <c r="A409" s="19">
        <v>0.9114345908164978</v>
      </c>
    </row>
    <row r="410" spans="1:1" x14ac:dyDescent="0.2">
      <c r="A410" s="19">
        <v>0.95116317272186279</v>
      </c>
    </row>
    <row r="411" spans="1:1" x14ac:dyDescent="0.2">
      <c r="A411" s="19">
        <v>0.47009998559951782</v>
      </c>
    </row>
    <row r="412" spans="1:1" x14ac:dyDescent="0.2">
      <c r="A412" s="19">
        <v>0.43642187118530273</v>
      </c>
    </row>
    <row r="413" spans="1:1" x14ac:dyDescent="0.2">
      <c r="A413" s="19">
        <v>0.655559241771698</v>
      </c>
    </row>
    <row r="414" spans="1:1" x14ac:dyDescent="0.2">
      <c r="A414" s="19">
        <v>0.58133804798126221</v>
      </c>
    </row>
    <row r="415" spans="1:1" x14ac:dyDescent="0.2">
      <c r="A415" s="19">
        <v>0.24192887544631958</v>
      </c>
    </row>
    <row r="416" spans="1:1" x14ac:dyDescent="0.2">
      <c r="A416" s="19">
        <v>0.38387465476989746</v>
      </c>
    </row>
    <row r="417" spans="1:1" x14ac:dyDescent="0.2">
      <c r="A417" s="19">
        <v>0.27438253164291382</v>
      </c>
    </row>
    <row r="418" spans="1:1" x14ac:dyDescent="0.2">
      <c r="A418" s="19">
        <v>0.59132325649261475</v>
      </c>
    </row>
    <row r="419" spans="1:1" x14ac:dyDescent="0.2">
      <c r="A419" s="19">
        <v>0.86260801553726196</v>
      </c>
    </row>
    <row r="420" spans="1:1" x14ac:dyDescent="0.2">
      <c r="A420" s="19">
        <v>0.81993293762207031</v>
      </c>
    </row>
    <row r="421" spans="1:1" x14ac:dyDescent="0.2">
      <c r="A421" s="19">
        <v>0.32192057371139526</v>
      </c>
    </row>
    <row r="422" spans="1:1" x14ac:dyDescent="0.2">
      <c r="A422" s="19">
        <v>0.63157045841217041</v>
      </c>
    </row>
    <row r="423" spans="1:1" x14ac:dyDescent="0.2">
      <c r="A423" s="19">
        <v>0.44328242540359497</v>
      </c>
    </row>
    <row r="424" spans="1:1" x14ac:dyDescent="0.2">
      <c r="A424" s="19">
        <v>0.22366166114807129</v>
      </c>
    </row>
    <row r="425" spans="1:1" x14ac:dyDescent="0.2">
      <c r="A425" s="19">
        <v>0.92347854375839233</v>
      </c>
    </row>
    <row r="426" spans="1:1" x14ac:dyDescent="0.2">
      <c r="A426" s="19">
        <v>0.6386641263961792</v>
      </c>
    </row>
    <row r="427" spans="1:1" x14ac:dyDescent="0.2">
      <c r="A427" s="19">
        <v>0.2366986870765686</v>
      </c>
    </row>
    <row r="428" spans="1:1" x14ac:dyDescent="0.2">
      <c r="A428" s="19">
        <v>0.64932107925415039</v>
      </c>
    </row>
    <row r="429" spans="1:1" x14ac:dyDescent="0.2">
      <c r="A429" s="19">
        <v>0.47877568006515503</v>
      </c>
    </row>
    <row r="430" spans="1:1" x14ac:dyDescent="0.2">
      <c r="A430" s="19">
        <v>0.72594654560089111</v>
      </c>
    </row>
    <row r="431" spans="1:1" x14ac:dyDescent="0.2">
      <c r="A431" s="19">
        <v>0.96532994508743286</v>
      </c>
    </row>
    <row r="432" spans="1:1" x14ac:dyDescent="0.2">
      <c r="A432" s="19">
        <v>0.74199175834655762</v>
      </c>
    </row>
    <row r="433" spans="1:1" x14ac:dyDescent="0.2">
      <c r="A433" s="19">
        <v>0.61507028341293335</v>
      </c>
    </row>
    <row r="434" spans="1:1" x14ac:dyDescent="0.2">
      <c r="A434" s="19">
        <v>0.32414281368255615</v>
      </c>
    </row>
    <row r="435" spans="1:1" x14ac:dyDescent="0.2">
      <c r="A435" s="19">
        <v>0.39950090646743774</v>
      </c>
    </row>
    <row r="436" spans="1:1" x14ac:dyDescent="0.2">
      <c r="A436" s="19">
        <v>3.1995773315429688E-3</v>
      </c>
    </row>
    <row r="437" spans="1:1" x14ac:dyDescent="0.2">
      <c r="A437" s="19">
        <v>0.39028471708297729</v>
      </c>
    </row>
    <row r="438" spans="1:1" x14ac:dyDescent="0.2">
      <c r="A438" s="19">
        <v>0.57198584079742432</v>
      </c>
    </row>
    <row r="439" spans="1:1" x14ac:dyDescent="0.2">
      <c r="A439" s="19">
        <v>0.18551284074783325</v>
      </c>
    </row>
    <row r="440" spans="1:1" x14ac:dyDescent="0.2">
      <c r="A440" s="19">
        <v>0.30654072761535645</v>
      </c>
    </row>
    <row r="441" spans="1:1" x14ac:dyDescent="0.2">
      <c r="A441" s="19">
        <v>0.74613040685653687</v>
      </c>
    </row>
    <row r="442" spans="1:1" x14ac:dyDescent="0.2">
      <c r="A442" s="19">
        <v>0.95684134960174561</v>
      </c>
    </row>
    <row r="443" spans="1:1" x14ac:dyDescent="0.2">
      <c r="A443" s="19">
        <v>0.92376857995986938</v>
      </c>
    </row>
    <row r="444" spans="1:1" x14ac:dyDescent="0.2">
      <c r="A444" s="19">
        <v>0.66330671310424805</v>
      </c>
    </row>
    <row r="445" spans="1:1" x14ac:dyDescent="0.2">
      <c r="A445" s="19">
        <v>0.21123284101486206</v>
      </c>
    </row>
    <row r="446" spans="1:1" x14ac:dyDescent="0.2">
      <c r="A446" s="19">
        <v>0.20533287525177002</v>
      </c>
    </row>
    <row r="447" spans="1:1" x14ac:dyDescent="0.2">
      <c r="A447" s="19">
        <v>0.49689751863479614</v>
      </c>
    </row>
    <row r="448" spans="1:1" x14ac:dyDescent="0.2">
      <c r="A448" s="19">
        <v>0.23810935020446777</v>
      </c>
    </row>
    <row r="449" spans="1:1" x14ac:dyDescent="0.2">
      <c r="A449" s="19">
        <v>0.85425657033920288</v>
      </c>
    </row>
    <row r="450" spans="1:1" x14ac:dyDescent="0.2">
      <c r="A450" s="19">
        <v>0.42396676540374756</v>
      </c>
    </row>
    <row r="451" spans="1:1" x14ac:dyDescent="0.2">
      <c r="A451" s="19">
        <v>0.64788061380386353</v>
      </c>
    </row>
    <row r="452" spans="1:1" x14ac:dyDescent="0.2">
      <c r="A452" s="19">
        <v>0.61450576782226563</v>
      </c>
    </row>
    <row r="453" spans="1:1" x14ac:dyDescent="0.2">
      <c r="A453" s="19">
        <v>0.48703020811080933</v>
      </c>
    </row>
    <row r="454" spans="1:1" x14ac:dyDescent="0.2">
      <c r="A454" s="19">
        <v>0.48975718021392822</v>
      </c>
    </row>
    <row r="455" spans="1:1" x14ac:dyDescent="0.2">
      <c r="A455" s="19">
        <v>0.80817538499832153</v>
      </c>
    </row>
    <row r="456" spans="1:1" x14ac:dyDescent="0.2">
      <c r="A456" s="19">
        <v>0.3106234073638916</v>
      </c>
    </row>
    <row r="457" spans="1:1" x14ac:dyDescent="0.2">
      <c r="A457" s="19">
        <v>0.1176714301109314</v>
      </c>
    </row>
    <row r="458" spans="1:1" x14ac:dyDescent="0.2">
      <c r="A458" s="19">
        <v>0.69085109233856201</v>
      </c>
    </row>
    <row r="459" spans="1:1" x14ac:dyDescent="0.2">
      <c r="A459" s="19">
        <v>0.17584091424942017</v>
      </c>
    </row>
    <row r="460" spans="1:1" x14ac:dyDescent="0.2">
      <c r="A460" s="19">
        <v>0.5447850227355957</v>
      </c>
    </row>
    <row r="461" spans="1:1" x14ac:dyDescent="0.2">
      <c r="A461" s="19">
        <v>0.65371197462081909</v>
      </c>
    </row>
    <row r="462" spans="1:1" x14ac:dyDescent="0.2">
      <c r="A462" s="19">
        <v>0.61715328693389893</v>
      </c>
    </row>
    <row r="463" spans="1:1" x14ac:dyDescent="0.2">
      <c r="A463" s="19">
        <v>4.3662846088409424E-2</v>
      </c>
    </row>
    <row r="464" spans="1:1" x14ac:dyDescent="0.2">
      <c r="A464" s="19">
        <v>0.25113368034362793</v>
      </c>
    </row>
    <row r="465" spans="1:1" x14ac:dyDescent="0.2">
      <c r="A465" s="19">
        <v>0.85522264242172241</v>
      </c>
    </row>
    <row r="466" spans="1:1" x14ac:dyDescent="0.2">
      <c r="A466" s="19">
        <v>0.30095136165618896</v>
      </c>
    </row>
    <row r="467" spans="1:1" x14ac:dyDescent="0.2">
      <c r="A467" s="19">
        <v>0.37727838754653931</v>
      </c>
    </row>
    <row r="468" spans="1:1" x14ac:dyDescent="0.2">
      <c r="A468" s="19">
        <v>0.34525775909423828</v>
      </c>
    </row>
    <row r="469" spans="1:1" x14ac:dyDescent="0.2">
      <c r="A469" s="19">
        <v>0.53793829679489136</v>
      </c>
    </row>
    <row r="470" spans="1:1" x14ac:dyDescent="0.2">
      <c r="A470" s="19">
        <v>0.60754072666168213</v>
      </c>
    </row>
    <row r="471" spans="1:1" x14ac:dyDescent="0.2">
      <c r="A471" s="19">
        <v>0.64330130815505981</v>
      </c>
    </row>
    <row r="472" spans="1:1" x14ac:dyDescent="0.2">
      <c r="A472" s="19">
        <v>0.23981595039367676</v>
      </c>
    </row>
    <row r="473" spans="1:1" x14ac:dyDescent="0.2">
      <c r="A473" s="19">
        <v>2.6382863521575928E-2</v>
      </c>
    </row>
    <row r="474" spans="1:1" x14ac:dyDescent="0.2">
      <c r="A474" s="19">
        <v>0.87584960460662842</v>
      </c>
    </row>
    <row r="475" spans="1:1" x14ac:dyDescent="0.2">
      <c r="A475" s="19">
        <v>0.88744693994522095</v>
      </c>
    </row>
    <row r="476" spans="1:1" x14ac:dyDescent="0.2">
      <c r="A476" s="19">
        <v>0.61016225814819336</v>
      </c>
    </row>
    <row r="477" spans="1:1" x14ac:dyDescent="0.2">
      <c r="A477" s="19">
        <v>0.85699433088302612</v>
      </c>
    </row>
    <row r="478" spans="1:1" x14ac:dyDescent="0.2">
      <c r="A478" s="19">
        <v>0.80906403064727783</v>
      </c>
    </row>
    <row r="479" spans="1:1" x14ac:dyDescent="0.2">
      <c r="A479" s="19">
        <v>6.2657177448272705E-2</v>
      </c>
    </row>
    <row r="480" spans="1:1" x14ac:dyDescent="0.2">
      <c r="A480" s="19">
        <v>0.40997099876403809</v>
      </c>
    </row>
    <row r="481" spans="1:1" x14ac:dyDescent="0.2">
      <c r="A481" s="19">
        <v>0.73124974966049194</v>
      </c>
    </row>
    <row r="482" spans="1:1" x14ac:dyDescent="0.2">
      <c r="A482" s="19">
        <v>0.61525285243988037</v>
      </c>
    </row>
    <row r="483" spans="1:1" x14ac:dyDescent="0.2">
      <c r="A483" s="19">
        <v>0.60722547769546509</v>
      </c>
    </row>
    <row r="484" spans="1:1" x14ac:dyDescent="0.2">
      <c r="A484" s="19">
        <v>0.13686180114746094</v>
      </c>
    </row>
    <row r="485" spans="1:1" x14ac:dyDescent="0.2">
      <c r="A485" s="19">
        <v>0.71879023313522339</v>
      </c>
    </row>
    <row r="486" spans="1:1" x14ac:dyDescent="0.2">
      <c r="A486" s="19">
        <v>0.39799273014068604</v>
      </c>
    </row>
    <row r="487" spans="1:1" x14ac:dyDescent="0.2">
      <c r="A487" s="19">
        <v>0.2729218602180481</v>
      </c>
    </row>
    <row r="488" spans="1:1" x14ac:dyDescent="0.2">
      <c r="A488" s="19">
        <v>0.34802460670471191</v>
      </c>
    </row>
    <row r="489" spans="1:1" x14ac:dyDescent="0.2">
      <c r="A489" s="19">
        <v>0.71054595708847046</v>
      </c>
    </row>
    <row r="490" spans="1:1" x14ac:dyDescent="0.2">
      <c r="A490" s="19">
        <v>0.79699313640594482</v>
      </c>
    </row>
    <row r="491" spans="1:1" x14ac:dyDescent="0.2">
      <c r="A491" s="19">
        <v>0.20311790704727173</v>
      </c>
    </row>
    <row r="492" spans="1:1" x14ac:dyDescent="0.2">
      <c r="A492" s="19">
        <v>0.42584466934204102</v>
      </c>
    </row>
    <row r="493" spans="1:1" x14ac:dyDescent="0.2">
      <c r="A493" s="19">
        <v>0.12186115980148315</v>
      </c>
    </row>
    <row r="494" spans="1:1" x14ac:dyDescent="0.2">
      <c r="A494" s="19">
        <v>0.87872135639190674</v>
      </c>
    </row>
    <row r="495" spans="1:1" x14ac:dyDescent="0.2">
      <c r="A495" s="19">
        <v>0.26091176271438599</v>
      </c>
    </row>
    <row r="496" spans="1:1" x14ac:dyDescent="0.2">
      <c r="A496" s="19">
        <v>0.59352755546569824</v>
      </c>
    </row>
    <row r="497" spans="1:1" x14ac:dyDescent="0.2">
      <c r="A497" s="19">
        <v>0.84561914205551147</v>
      </c>
    </row>
    <row r="498" spans="1:1" x14ac:dyDescent="0.2">
      <c r="A498" s="19">
        <v>0.27702748775482178</v>
      </c>
    </row>
    <row r="499" spans="1:1" x14ac:dyDescent="0.2">
      <c r="A499" s="19">
        <v>0.60725313425064087</v>
      </c>
    </row>
    <row r="500" spans="1:1" x14ac:dyDescent="0.2">
      <c r="A500" s="19">
        <v>0.18072414398193359</v>
      </c>
    </row>
    <row r="501" spans="1:1" x14ac:dyDescent="0.2">
      <c r="A501" s="19">
        <v>0.45536726713180542</v>
      </c>
    </row>
    <row r="502" spans="1:1" x14ac:dyDescent="0.2">
      <c r="A502" s="19">
        <v>0.58376944065093994</v>
      </c>
    </row>
    <row r="503" spans="1:1" x14ac:dyDescent="0.2">
      <c r="A503" s="19">
        <v>0.52906829118728638</v>
      </c>
    </row>
    <row r="504" spans="1:1" x14ac:dyDescent="0.2">
      <c r="A504" s="19">
        <v>0.13915562629699707</v>
      </c>
    </row>
    <row r="505" spans="1:1" x14ac:dyDescent="0.2">
      <c r="A505" s="19">
        <v>0.65844196081161499</v>
      </c>
    </row>
    <row r="506" spans="1:1" x14ac:dyDescent="0.2">
      <c r="A506" s="19">
        <v>0.98943793773651123</v>
      </c>
    </row>
    <row r="507" spans="1:1" x14ac:dyDescent="0.2">
      <c r="A507" s="19">
        <v>0.51738506555557251</v>
      </c>
    </row>
    <row r="508" spans="1:1" x14ac:dyDescent="0.2">
      <c r="A508" s="19">
        <v>0.80823850631713867</v>
      </c>
    </row>
    <row r="509" spans="1:1" x14ac:dyDescent="0.2">
      <c r="A509" s="19">
        <v>0.99909371137619019</v>
      </c>
    </row>
    <row r="510" spans="1:1" x14ac:dyDescent="0.2">
      <c r="A510" s="19">
        <v>0.17378151416778564</v>
      </c>
    </row>
    <row r="511" spans="1:1" x14ac:dyDescent="0.2">
      <c r="A511" s="19">
        <v>0.59545785188674927</v>
      </c>
    </row>
    <row r="512" spans="1:1" x14ac:dyDescent="0.2">
      <c r="A512" s="19">
        <v>0.9307096004486084</v>
      </c>
    </row>
    <row r="513" spans="1:1" x14ac:dyDescent="0.2">
      <c r="A513" s="19">
        <v>0.81161206960678101</v>
      </c>
    </row>
    <row r="514" spans="1:1" x14ac:dyDescent="0.2">
      <c r="A514" s="19">
        <v>0.44643151760101318</v>
      </c>
    </row>
    <row r="515" spans="1:1" x14ac:dyDescent="0.2">
      <c r="A515" s="19">
        <v>0.89689260721206665</v>
      </c>
    </row>
    <row r="516" spans="1:1" x14ac:dyDescent="0.2">
      <c r="A516" s="19">
        <v>0.91825103759765625</v>
      </c>
    </row>
    <row r="517" spans="1:1" x14ac:dyDescent="0.2">
      <c r="A517" s="19">
        <v>0.42345064878463745</v>
      </c>
    </row>
    <row r="518" spans="1:1" x14ac:dyDescent="0.2">
      <c r="A518" s="19">
        <v>0.13752710819244385</v>
      </c>
    </row>
    <row r="519" spans="1:1" x14ac:dyDescent="0.2">
      <c r="A519" s="19">
        <v>0.49377185106277466</v>
      </c>
    </row>
    <row r="520" spans="1:1" x14ac:dyDescent="0.2">
      <c r="A520" s="19">
        <v>0.36711525917053223</v>
      </c>
    </row>
    <row r="521" spans="1:1" x14ac:dyDescent="0.2">
      <c r="A521" s="19">
        <v>0.60835212469100952</v>
      </c>
    </row>
    <row r="522" spans="1:1" x14ac:dyDescent="0.2">
      <c r="A522" s="19">
        <v>0.23834025859832764</v>
      </c>
    </row>
    <row r="523" spans="1:1" x14ac:dyDescent="0.2">
      <c r="A523" s="19">
        <v>0.47477966547012329</v>
      </c>
    </row>
    <row r="524" spans="1:1" x14ac:dyDescent="0.2">
      <c r="A524" s="19">
        <v>0.82375001907348633</v>
      </c>
    </row>
    <row r="525" spans="1:1" x14ac:dyDescent="0.2">
      <c r="A525" s="19">
        <v>0.28947323560714722</v>
      </c>
    </row>
    <row r="526" spans="1:1" x14ac:dyDescent="0.2">
      <c r="A526" s="19">
        <v>0.29190075397491455</v>
      </c>
    </row>
    <row r="527" spans="1:1" x14ac:dyDescent="0.2">
      <c r="A527" s="19">
        <v>0.27332669496536255</v>
      </c>
    </row>
    <row r="528" spans="1:1" x14ac:dyDescent="0.2">
      <c r="A528" s="19">
        <v>0.80042338371276855</v>
      </c>
    </row>
    <row r="529" spans="1:1" x14ac:dyDescent="0.2">
      <c r="A529" s="19">
        <v>0.49250978231430054</v>
      </c>
    </row>
    <row r="530" spans="1:1" x14ac:dyDescent="0.2">
      <c r="A530" s="19">
        <v>0.53362119197845459</v>
      </c>
    </row>
    <row r="531" spans="1:1" x14ac:dyDescent="0.2">
      <c r="A531" s="19">
        <v>0.24567514657974243</v>
      </c>
    </row>
    <row r="532" spans="1:1" x14ac:dyDescent="0.2">
      <c r="A532" s="19">
        <v>4.0848731994628906E-2</v>
      </c>
    </row>
    <row r="533" spans="1:1" x14ac:dyDescent="0.2">
      <c r="A533" s="19">
        <v>0.54882162809371948</v>
      </c>
    </row>
    <row r="534" spans="1:1" x14ac:dyDescent="0.2">
      <c r="A534" s="19">
        <v>0.28192198276519775</v>
      </c>
    </row>
    <row r="535" spans="1:1" x14ac:dyDescent="0.2">
      <c r="A535" s="19">
        <v>0.49906378984451294</v>
      </c>
    </row>
    <row r="536" spans="1:1" x14ac:dyDescent="0.2">
      <c r="A536" s="19">
        <v>3.5809755325317383E-2</v>
      </c>
    </row>
    <row r="537" spans="1:1" x14ac:dyDescent="0.2">
      <c r="A537" s="19">
        <v>0.54855769872665405</v>
      </c>
    </row>
    <row r="538" spans="1:1" x14ac:dyDescent="0.2">
      <c r="A538" s="19">
        <v>0.57885634899139404</v>
      </c>
    </row>
    <row r="539" spans="1:1" x14ac:dyDescent="0.2">
      <c r="A539" s="19">
        <v>0.96983295679092407</v>
      </c>
    </row>
    <row r="540" spans="1:1" x14ac:dyDescent="0.2">
      <c r="A540" s="19">
        <v>0.78878545761108398</v>
      </c>
    </row>
    <row r="541" spans="1:1" x14ac:dyDescent="0.2">
      <c r="A541" s="19">
        <v>4.3780982494354248E-2</v>
      </c>
    </row>
    <row r="542" spans="1:1" x14ac:dyDescent="0.2">
      <c r="A542" s="19">
        <v>8.0735325813293457E-2</v>
      </c>
    </row>
    <row r="543" spans="1:1" x14ac:dyDescent="0.2">
      <c r="A543" s="19">
        <v>0.75154954195022583</v>
      </c>
    </row>
    <row r="544" spans="1:1" x14ac:dyDescent="0.2">
      <c r="A544" s="19">
        <v>0.83157515525817871</v>
      </c>
    </row>
    <row r="545" spans="1:1" x14ac:dyDescent="0.2">
      <c r="A545" s="19">
        <v>1.5935301780700684E-3</v>
      </c>
    </row>
    <row r="546" spans="1:1" x14ac:dyDescent="0.2">
      <c r="A546" s="19">
        <v>0.198752760887146</v>
      </c>
    </row>
    <row r="547" spans="1:1" x14ac:dyDescent="0.2">
      <c r="A547" s="19">
        <v>0.67313200235366821</v>
      </c>
    </row>
    <row r="548" spans="1:1" x14ac:dyDescent="0.2">
      <c r="A548" s="19">
        <v>0.48992347717285156</v>
      </c>
    </row>
    <row r="549" spans="1:1" x14ac:dyDescent="0.2">
      <c r="A549" s="19">
        <v>7.2614550590515137E-3</v>
      </c>
    </row>
    <row r="550" spans="1:1" x14ac:dyDescent="0.2">
      <c r="A550" s="19">
        <v>0.48961031436920166</v>
      </c>
    </row>
    <row r="551" spans="1:1" x14ac:dyDescent="0.2">
      <c r="A551" s="19">
        <v>0.12697535753250122</v>
      </c>
    </row>
    <row r="552" spans="1:1" x14ac:dyDescent="0.2">
      <c r="A552" s="19">
        <v>0.39914536476135254</v>
      </c>
    </row>
    <row r="553" spans="1:1" x14ac:dyDescent="0.2">
      <c r="A553" s="19">
        <v>0.71733993291854858</v>
      </c>
    </row>
    <row r="554" spans="1:1" x14ac:dyDescent="0.2">
      <c r="A554" s="19">
        <v>0.29614245891571045</v>
      </c>
    </row>
    <row r="555" spans="1:1" x14ac:dyDescent="0.2">
      <c r="A555" s="19">
        <v>0.14707618951797485</v>
      </c>
    </row>
    <row r="556" spans="1:1" x14ac:dyDescent="0.2">
      <c r="A556" s="19">
        <v>0.26975107192993164</v>
      </c>
    </row>
    <row r="557" spans="1:1" x14ac:dyDescent="0.2">
      <c r="A557" s="19">
        <v>0.56279820203781128</v>
      </c>
    </row>
    <row r="558" spans="1:1" x14ac:dyDescent="0.2">
      <c r="A558" s="19">
        <v>0.63794147968292236</v>
      </c>
    </row>
    <row r="559" spans="1:1" x14ac:dyDescent="0.2">
      <c r="A559" s="19">
        <v>0.73715764284133911</v>
      </c>
    </row>
    <row r="560" spans="1:1" x14ac:dyDescent="0.2">
      <c r="A560" s="19">
        <v>0.90307116508483887</v>
      </c>
    </row>
    <row r="561" spans="1:1" x14ac:dyDescent="0.2">
      <c r="A561" s="19">
        <v>0.7021445631980896</v>
      </c>
    </row>
    <row r="562" spans="1:1" x14ac:dyDescent="0.2">
      <c r="A562" s="19">
        <v>0.3519824743270874</v>
      </c>
    </row>
    <row r="563" spans="1:1" x14ac:dyDescent="0.2">
      <c r="A563" s="19">
        <v>0.44879442453384399</v>
      </c>
    </row>
    <row r="564" spans="1:1" x14ac:dyDescent="0.2">
      <c r="A564" s="19">
        <v>0.45688152313232422</v>
      </c>
    </row>
    <row r="565" spans="1:1" x14ac:dyDescent="0.2">
      <c r="A565" s="19">
        <v>0.22455137968063354</v>
      </c>
    </row>
    <row r="566" spans="1:1" x14ac:dyDescent="0.2">
      <c r="A566" s="19">
        <v>0.48324835300445557</v>
      </c>
    </row>
    <row r="567" spans="1:1" x14ac:dyDescent="0.2">
      <c r="A567" s="19">
        <v>0.2095378041267395</v>
      </c>
    </row>
    <row r="568" spans="1:1" x14ac:dyDescent="0.2">
      <c r="A568" s="19">
        <v>0.9610283374786377</v>
      </c>
    </row>
    <row r="569" spans="1:1" x14ac:dyDescent="0.2">
      <c r="A569" s="19">
        <v>0.60298007726669312</v>
      </c>
    </row>
    <row r="570" spans="1:1" x14ac:dyDescent="0.2">
      <c r="A570" s="19">
        <v>0.92535483837127686</v>
      </c>
    </row>
    <row r="571" spans="1:1" x14ac:dyDescent="0.2">
      <c r="A571" s="19">
        <v>0.40104061365127563</v>
      </c>
    </row>
    <row r="572" spans="1:1" x14ac:dyDescent="0.2">
      <c r="A572" s="19">
        <v>8.3053112030029297E-2</v>
      </c>
    </row>
    <row r="573" spans="1:1" x14ac:dyDescent="0.2">
      <c r="A573" s="19">
        <v>0.39730614423751831</v>
      </c>
    </row>
    <row r="574" spans="1:1" x14ac:dyDescent="0.2">
      <c r="A574" s="19">
        <v>0.31117546558380127</v>
      </c>
    </row>
    <row r="575" spans="1:1" x14ac:dyDescent="0.2">
      <c r="A575" s="19">
        <v>0.18718224763870239</v>
      </c>
    </row>
    <row r="576" spans="1:1" x14ac:dyDescent="0.2">
      <c r="A576" s="19">
        <v>0.14381766319274902</v>
      </c>
    </row>
    <row r="577" spans="1:1" x14ac:dyDescent="0.2">
      <c r="A577" s="19">
        <v>0.20744413137435913</v>
      </c>
    </row>
    <row r="578" spans="1:1" x14ac:dyDescent="0.2">
      <c r="A578" s="19">
        <v>0.15346658229827881</v>
      </c>
    </row>
    <row r="579" spans="1:1" x14ac:dyDescent="0.2">
      <c r="A579" s="19">
        <v>9.2193663120269775E-2</v>
      </c>
    </row>
    <row r="580" spans="1:1" x14ac:dyDescent="0.2">
      <c r="A580" s="19">
        <v>0.38312911987304688</v>
      </c>
    </row>
    <row r="581" spans="1:1" x14ac:dyDescent="0.2">
      <c r="A581" s="19">
        <v>0.87647265195846558</v>
      </c>
    </row>
    <row r="582" spans="1:1" x14ac:dyDescent="0.2">
      <c r="A582" s="19">
        <v>0.23549234867095947</v>
      </c>
    </row>
    <row r="583" spans="1:1" x14ac:dyDescent="0.2">
      <c r="A583" s="19">
        <v>0.82878237962722778</v>
      </c>
    </row>
    <row r="584" spans="1:1" x14ac:dyDescent="0.2">
      <c r="A584" s="19">
        <v>0.47536492347717285</v>
      </c>
    </row>
    <row r="585" spans="1:1" x14ac:dyDescent="0.2">
      <c r="A585" s="19">
        <v>0.94375938177108765</v>
      </c>
    </row>
    <row r="586" spans="1:1" x14ac:dyDescent="0.2">
      <c r="A586" s="19">
        <v>0.25164973735809326</v>
      </c>
    </row>
    <row r="587" spans="1:1" x14ac:dyDescent="0.2">
      <c r="A587" s="19">
        <v>0.37625747919082642</v>
      </c>
    </row>
    <row r="588" spans="1:1" x14ac:dyDescent="0.2">
      <c r="A588" s="19">
        <v>0.29509782791137695</v>
      </c>
    </row>
    <row r="589" spans="1:1" x14ac:dyDescent="0.2">
      <c r="A589" s="19">
        <v>0.34808605909347534</v>
      </c>
    </row>
    <row r="590" spans="1:1" x14ac:dyDescent="0.2">
      <c r="A590" s="19">
        <v>0.69809353351593018</v>
      </c>
    </row>
    <row r="591" spans="1:1" x14ac:dyDescent="0.2">
      <c r="A591" s="19">
        <v>0.30865460634231567</v>
      </c>
    </row>
    <row r="592" spans="1:1" x14ac:dyDescent="0.2">
      <c r="A592" s="19">
        <v>0.93272089958190918</v>
      </c>
    </row>
    <row r="593" spans="1:1" x14ac:dyDescent="0.2">
      <c r="A593" s="19">
        <v>0.38077348470687866</v>
      </c>
    </row>
    <row r="594" spans="1:1" x14ac:dyDescent="0.2">
      <c r="A594" s="19">
        <v>1.3361334800720215E-2</v>
      </c>
    </row>
    <row r="595" spans="1:1" x14ac:dyDescent="0.2">
      <c r="A595" s="19">
        <v>0.37286096811294556</v>
      </c>
    </row>
    <row r="596" spans="1:1" x14ac:dyDescent="0.2">
      <c r="A596" s="19">
        <v>0.96007251739501953</v>
      </c>
    </row>
    <row r="597" spans="1:1" x14ac:dyDescent="0.2">
      <c r="A597" s="19">
        <v>0.88880652189254761</v>
      </c>
    </row>
    <row r="598" spans="1:1" x14ac:dyDescent="0.2">
      <c r="A598" s="19">
        <v>0.96899855136871338</v>
      </c>
    </row>
    <row r="599" spans="1:1" x14ac:dyDescent="0.2">
      <c r="A599" s="19">
        <v>0.31674033403396606</v>
      </c>
    </row>
    <row r="600" spans="1:1" x14ac:dyDescent="0.2">
      <c r="A600" s="19">
        <v>0.94606137275695801</v>
      </c>
    </row>
    <row r="601" spans="1:1" x14ac:dyDescent="0.2">
      <c r="A601" s="19">
        <v>0.72795909643173218</v>
      </c>
    </row>
    <row r="602" spans="1:1" x14ac:dyDescent="0.2">
      <c r="A602" s="19">
        <v>0.31018340587615967</v>
      </c>
    </row>
    <row r="603" spans="1:1" x14ac:dyDescent="0.2">
      <c r="A603" s="19">
        <v>0.9672580361366272</v>
      </c>
    </row>
    <row r="604" spans="1:1" x14ac:dyDescent="0.2">
      <c r="A604" s="19">
        <v>0.22229146957397461</v>
      </c>
    </row>
    <row r="605" spans="1:1" x14ac:dyDescent="0.2">
      <c r="A605" s="19">
        <v>0.46591919660568237</v>
      </c>
    </row>
    <row r="606" spans="1:1" x14ac:dyDescent="0.2">
      <c r="A606" s="19">
        <v>0.64635193347930908</v>
      </c>
    </row>
    <row r="607" spans="1:1" x14ac:dyDescent="0.2">
      <c r="A607" s="19">
        <v>0.55860596895217896</v>
      </c>
    </row>
    <row r="608" spans="1:1" x14ac:dyDescent="0.2">
      <c r="A608" s="19">
        <v>0.89868712425231934</v>
      </c>
    </row>
    <row r="609" spans="1:1" x14ac:dyDescent="0.2">
      <c r="A609" s="19">
        <v>0.33541387319564819</v>
      </c>
    </row>
    <row r="610" spans="1:1" x14ac:dyDescent="0.2">
      <c r="A610" s="19">
        <v>0.59182298183441162</v>
      </c>
    </row>
    <row r="611" spans="1:1" x14ac:dyDescent="0.2">
      <c r="A611" s="19">
        <v>0.31032758951187134</v>
      </c>
    </row>
    <row r="612" spans="1:1" x14ac:dyDescent="0.2">
      <c r="A612" s="19">
        <v>0.12911796569824219</v>
      </c>
    </row>
    <row r="613" spans="1:1" x14ac:dyDescent="0.2">
      <c r="A613" s="19">
        <v>0.43733423948287964</v>
      </c>
    </row>
    <row r="614" spans="1:1" x14ac:dyDescent="0.2">
      <c r="A614" s="19">
        <v>0.15642321109771729</v>
      </c>
    </row>
    <row r="615" spans="1:1" x14ac:dyDescent="0.2">
      <c r="A615" s="19">
        <v>0.25544291734695435</v>
      </c>
    </row>
    <row r="616" spans="1:1" x14ac:dyDescent="0.2">
      <c r="A616" s="19">
        <v>0.62702393531799316</v>
      </c>
    </row>
    <row r="617" spans="1:1" x14ac:dyDescent="0.2">
      <c r="A617" s="19">
        <v>0.19386047124862671</v>
      </c>
    </row>
    <row r="618" spans="1:1" x14ac:dyDescent="0.2">
      <c r="A618" s="19">
        <v>0.38611209392547607</v>
      </c>
    </row>
    <row r="619" spans="1:1" x14ac:dyDescent="0.2">
      <c r="A619" s="19">
        <v>0.31857353448867798</v>
      </c>
    </row>
    <row r="620" spans="1:1" x14ac:dyDescent="0.2">
      <c r="A620" s="19">
        <v>0.43104028701782227</v>
      </c>
    </row>
    <row r="621" spans="1:1" x14ac:dyDescent="0.2">
      <c r="A621" s="19">
        <v>5.1586806774139404E-2</v>
      </c>
    </row>
    <row r="622" spans="1:1" x14ac:dyDescent="0.2">
      <c r="A622" s="19">
        <v>0.25360691547393799</v>
      </c>
    </row>
    <row r="623" spans="1:1" x14ac:dyDescent="0.2">
      <c r="A623" s="19">
        <v>0.64406758546829224</v>
      </c>
    </row>
    <row r="624" spans="1:1" x14ac:dyDescent="0.2">
      <c r="A624" s="19">
        <v>0.92062258720397949</v>
      </c>
    </row>
    <row r="625" spans="1:1" x14ac:dyDescent="0.2">
      <c r="A625" s="19">
        <v>0.43464654684066772</v>
      </c>
    </row>
    <row r="626" spans="1:1" x14ac:dyDescent="0.2">
      <c r="A626" s="19">
        <v>0.79900777339935303</v>
      </c>
    </row>
    <row r="627" spans="1:1" x14ac:dyDescent="0.2">
      <c r="A627" s="19">
        <v>0.17412477731704712</v>
      </c>
    </row>
    <row r="628" spans="1:1" x14ac:dyDescent="0.2">
      <c r="A628" s="19">
        <v>8.1671714782714844E-2</v>
      </c>
    </row>
    <row r="629" spans="1:1" x14ac:dyDescent="0.2">
      <c r="A629" s="19">
        <v>0.94783705472946167</v>
      </c>
    </row>
    <row r="630" spans="1:1" x14ac:dyDescent="0.2">
      <c r="A630" s="19">
        <v>0.52042257785797119</v>
      </c>
    </row>
    <row r="631" spans="1:1" x14ac:dyDescent="0.2">
      <c r="A631" s="19">
        <v>0.47692137956619263</v>
      </c>
    </row>
    <row r="632" spans="1:1" x14ac:dyDescent="0.2">
      <c r="A632" s="19">
        <v>2.215886116027832E-2</v>
      </c>
    </row>
    <row r="633" spans="1:1" x14ac:dyDescent="0.2">
      <c r="A633" s="19">
        <v>0.82974475622177124</v>
      </c>
    </row>
    <row r="634" spans="1:1" x14ac:dyDescent="0.2">
      <c r="A634" s="19">
        <v>1.459205150604248E-2</v>
      </c>
    </row>
    <row r="635" spans="1:1" x14ac:dyDescent="0.2">
      <c r="A635" s="19">
        <v>0.82473522424697876</v>
      </c>
    </row>
    <row r="636" spans="1:1" x14ac:dyDescent="0.2">
      <c r="A636" s="19">
        <v>0.73775053024291992</v>
      </c>
    </row>
    <row r="637" spans="1:1" x14ac:dyDescent="0.2">
      <c r="A637" s="19">
        <v>0.65587013959884644</v>
      </c>
    </row>
    <row r="638" spans="1:1" x14ac:dyDescent="0.2">
      <c r="A638" s="19">
        <v>0.86751472949981689</v>
      </c>
    </row>
    <row r="639" spans="1:1" x14ac:dyDescent="0.2">
      <c r="A639" s="19">
        <v>0.52207070589065552</v>
      </c>
    </row>
    <row r="640" spans="1:1" x14ac:dyDescent="0.2">
      <c r="A640" s="19">
        <v>0.12743353843688965</v>
      </c>
    </row>
    <row r="641" spans="1:1" x14ac:dyDescent="0.2">
      <c r="A641" s="19">
        <v>0.29175275564193726</v>
      </c>
    </row>
    <row r="642" spans="1:1" x14ac:dyDescent="0.2">
      <c r="A642" s="19">
        <v>0.79507195949554443</v>
      </c>
    </row>
    <row r="643" spans="1:1" x14ac:dyDescent="0.2">
      <c r="A643" s="19">
        <v>0.4837837815284729</v>
      </c>
    </row>
    <row r="644" spans="1:1" x14ac:dyDescent="0.2">
      <c r="A644" s="19">
        <v>0.2591400146484375</v>
      </c>
    </row>
    <row r="645" spans="1:1" x14ac:dyDescent="0.2">
      <c r="A645" s="19">
        <v>9.6096217632293701E-2</v>
      </c>
    </row>
    <row r="646" spans="1:1" x14ac:dyDescent="0.2">
      <c r="A646" s="19">
        <v>3.3652901649475098E-2</v>
      </c>
    </row>
    <row r="647" spans="1:1" x14ac:dyDescent="0.2">
      <c r="A647" s="19">
        <v>6.3206970691680908E-2</v>
      </c>
    </row>
    <row r="648" spans="1:1" x14ac:dyDescent="0.2">
      <c r="A648" s="19">
        <v>0.88537240028381348</v>
      </c>
    </row>
    <row r="649" spans="1:1" x14ac:dyDescent="0.2">
      <c r="A649" s="19">
        <v>0.37389320135116577</v>
      </c>
    </row>
    <row r="650" spans="1:1" x14ac:dyDescent="0.2">
      <c r="A650" s="19">
        <v>0.98077952861785889</v>
      </c>
    </row>
    <row r="651" spans="1:1" x14ac:dyDescent="0.2">
      <c r="A651" s="19">
        <v>0.13027435541152954</v>
      </c>
    </row>
    <row r="652" spans="1:1" x14ac:dyDescent="0.2">
      <c r="A652" s="19">
        <v>0.20882844924926758</v>
      </c>
    </row>
    <row r="653" spans="1:1" x14ac:dyDescent="0.2">
      <c r="A653" s="19">
        <v>7.9550445079803467E-2</v>
      </c>
    </row>
    <row r="654" spans="1:1" x14ac:dyDescent="0.2">
      <c r="A654" s="19">
        <v>8.5731625556945801E-2</v>
      </c>
    </row>
    <row r="655" spans="1:1" x14ac:dyDescent="0.2">
      <c r="A655" s="19">
        <v>0.3996465802192688</v>
      </c>
    </row>
    <row r="656" spans="1:1" x14ac:dyDescent="0.2">
      <c r="A656" s="19">
        <v>0.8980262279510498</v>
      </c>
    </row>
    <row r="657" spans="1:1" x14ac:dyDescent="0.2">
      <c r="A657" s="19">
        <v>0.77001374959945679</v>
      </c>
    </row>
    <row r="658" spans="1:1" x14ac:dyDescent="0.2">
      <c r="A658" s="19">
        <v>0.99017179012298584</v>
      </c>
    </row>
    <row r="659" spans="1:1" x14ac:dyDescent="0.2">
      <c r="A659" s="19">
        <v>8.8358521461486816E-3</v>
      </c>
    </row>
    <row r="660" spans="1:1" x14ac:dyDescent="0.2">
      <c r="A660" s="19">
        <v>0.35292911529541016</v>
      </c>
    </row>
    <row r="661" spans="1:1" x14ac:dyDescent="0.2">
      <c r="A661" s="19">
        <v>0.80789297819137573</v>
      </c>
    </row>
    <row r="662" spans="1:1" x14ac:dyDescent="0.2">
      <c r="A662" s="19">
        <v>0.918770432472229</v>
      </c>
    </row>
    <row r="663" spans="1:1" x14ac:dyDescent="0.2">
      <c r="A663" s="19">
        <v>0.34633094072341919</v>
      </c>
    </row>
    <row r="664" spans="1:1" x14ac:dyDescent="0.2">
      <c r="A664" s="19">
        <v>0.22057080268859863</v>
      </c>
    </row>
    <row r="665" spans="1:1" x14ac:dyDescent="0.2">
      <c r="A665" s="19">
        <v>0.8145870566368103</v>
      </c>
    </row>
    <row r="666" spans="1:1" x14ac:dyDescent="0.2">
      <c r="A666" s="19">
        <v>0.31983077526092529</v>
      </c>
    </row>
    <row r="667" spans="1:1" x14ac:dyDescent="0.2">
      <c r="A667" s="19">
        <v>0.12972217798233032</v>
      </c>
    </row>
    <row r="668" spans="1:1" x14ac:dyDescent="0.2">
      <c r="A668" s="19">
        <v>0.16068029403686523</v>
      </c>
    </row>
    <row r="669" spans="1:1" x14ac:dyDescent="0.2">
      <c r="A669" s="19">
        <v>0.3734089732170105</v>
      </c>
    </row>
    <row r="670" spans="1:1" x14ac:dyDescent="0.2">
      <c r="A670" s="19">
        <v>0.75591385364532471</v>
      </c>
    </row>
    <row r="671" spans="1:1" x14ac:dyDescent="0.2">
      <c r="A671" s="19">
        <v>0.73382645845413208</v>
      </c>
    </row>
    <row r="672" spans="1:1" x14ac:dyDescent="0.2">
      <c r="A672" s="19">
        <v>0.86130690574645996</v>
      </c>
    </row>
    <row r="673" spans="1:1" x14ac:dyDescent="0.2">
      <c r="A673" s="19">
        <v>0.98271077871322632</v>
      </c>
    </row>
    <row r="674" spans="1:1" x14ac:dyDescent="0.2">
      <c r="A674" s="19">
        <v>4.4463515281677246E-2</v>
      </c>
    </row>
    <row r="675" spans="1:1" x14ac:dyDescent="0.2">
      <c r="A675" s="19">
        <v>0.76881223917007446</v>
      </c>
    </row>
    <row r="676" spans="1:1" x14ac:dyDescent="0.2">
      <c r="A676" s="19">
        <v>0.30444526672363281</v>
      </c>
    </row>
    <row r="677" spans="1:1" x14ac:dyDescent="0.2">
      <c r="A677" s="19">
        <v>0.25900858640670776</v>
      </c>
    </row>
    <row r="678" spans="1:1" x14ac:dyDescent="0.2">
      <c r="A678" s="19">
        <v>0.64843142032623291</v>
      </c>
    </row>
    <row r="679" spans="1:1" x14ac:dyDescent="0.2">
      <c r="A679" s="19">
        <v>0.90832453966140747</v>
      </c>
    </row>
    <row r="680" spans="1:1" x14ac:dyDescent="0.2">
      <c r="A680" s="19">
        <v>0.28166031837463379</v>
      </c>
    </row>
    <row r="681" spans="1:1" x14ac:dyDescent="0.2">
      <c r="A681" s="19">
        <v>0.39010757207870483</v>
      </c>
    </row>
    <row r="682" spans="1:1" x14ac:dyDescent="0.2">
      <c r="A682" s="19">
        <v>0.3169020414352417</v>
      </c>
    </row>
    <row r="683" spans="1:1" x14ac:dyDescent="0.2">
      <c r="A683" s="19">
        <v>0.9676099419593811</v>
      </c>
    </row>
    <row r="684" spans="1:1" x14ac:dyDescent="0.2">
      <c r="A684" s="19">
        <v>0.15971231460571289</v>
      </c>
    </row>
    <row r="685" spans="1:1" x14ac:dyDescent="0.2">
      <c r="A685" s="19">
        <v>0.83822697401046753</v>
      </c>
    </row>
    <row r="686" spans="1:1" x14ac:dyDescent="0.2">
      <c r="A686" s="19">
        <v>0.97571766376495361</v>
      </c>
    </row>
    <row r="687" spans="1:1" x14ac:dyDescent="0.2">
      <c r="A687" s="19">
        <v>0.23164159059524536</v>
      </c>
    </row>
    <row r="688" spans="1:1" x14ac:dyDescent="0.2">
      <c r="A688" s="19">
        <v>0.89618182182312012</v>
      </c>
    </row>
    <row r="689" spans="1:1" x14ac:dyDescent="0.2">
      <c r="A689" s="19">
        <v>0.29312509298324585</v>
      </c>
    </row>
    <row r="690" spans="1:1" x14ac:dyDescent="0.2">
      <c r="A690" s="19">
        <v>0.86810338497161865</v>
      </c>
    </row>
    <row r="691" spans="1:1" x14ac:dyDescent="0.2">
      <c r="A691" s="19">
        <v>3.3244192600250244E-2</v>
      </c>
    </row>
    <row r="692" spans="1:1" x14ac:dyDescent="0.2">
      <c r="A692" s="19">
        <v>0.30509471893310547</v>
      </c>
    </row>
    <row r="693" spans="1:1" x14ac:dyDescent="0.2">
      <c r="A693" s="19">
        <v>0.87522429227828979</v>
      </c>
    </row>
    <row r="694" spans="1:1" x14ac:dyDescent="0.2">
      <c r="A694" s="19">
        <v>0.94529211521148682</v>
      </c>
    </row>
    <row r="695" spans="1:1" x14ac:dyDescent="0.2">
      <c r="A695" s="19">
        <v>0.58121901750564575</v>
      </c>
    </row>
    <row r="696" spans="1:1" x14ac:dyDescent="0.2">
      <c r="A696" s="19">
        <v>0.57254719734191895</v>
      </c>
    </row>
    <row r="697" spans="1:1" x14ac:dyDescent="0.2">
      <c r="A697" s="19">
        <v>0.58873599767684937</v>
      </c>
    </row>
    <row r="698" spans="1:1" x14ac:dyDescent="0.2">
      <c r="A698" s="19">
        <v>0.50714957714080811</v>
      </c>
    </row>
    <row r="699" spans="1:1" x14ac:dyDescent="0.2">
      <c r="A699" s="19">
        <v>3.8468897342681885E-2</v>
      </c>
    </row>
    <row r="700" spans="1:1" x14ac:dyDescent="0.2">
      <c r="A700" s="19">
        <v>2.2330760955810547E-2</v>
      </c>
    </row>
    <row r="701" spans="1:1" x14ac:dyDescent="0.2">
      <c r="A701" s="19">
        <v>2.4785697460174561E-2</v>
      </c>
    </row>
    <row r="702" spans="1:1" x14ac:dyDescent="0.2">
      <c r="A702" s="19">
        <v>9.279930591583252E-2</v>
      </c>
    </row>
    <row r="703" spans="1:1" x14ac:dyDescent="0.2">
      <c r="A703" s="19">
        <v>0.85012322664260864</v>
      </c>
    </row>
    <row r="704" spans="1:1" x14ac:dyDescent="0.2">
      <c r="A704" s="19">
        <v>0.13155722618103027</v>
      </c>
    </row>
    <row r="705" spans="1:1" x14ac:dyDescent="0.2">
      <c r="A705" s="19">
        <v>0.31453794240951538</v>
      </c>
    </row>
    <row r="706" spans="1:1" x14ac:dyDescent="0.2">
      <c r="A706" s="19">
        <v>0.62124764919281006</v>
      </c>
    </row>
    <row r="707" spans="1:1" x14ac:dyDescent="0.2">
      <c r="A707" s="19">
        <v>0.32166296243667603</v>
      </c>
    </row>
    <row r="708" spans="1:1" x14ac:dyDescent="0.2">
      <c r="A708" s="19">
        <v>0.79628372192382813</v>
      </c>
    </row>
    <row r="709" spans="1:1" x14ac:dyDescent="0.2">
      <c r="A709" s="19">
        <v>0.33232134580612183</v>
      </c>
    </row>
    <row r="710" spans="1:1" x14ac:dyDescent="0.2">
      <c r="A710" s="19">
        <v>0.78200876712799072</v>
      </c>
    </row>
    <row r="711" spans="1:1" x14ac:dyDescent="0.2">
      <c r="A711" s="19">
        <v>0.44704562425613403</v>
      </c>
    </row>
    <row r="712" spans="1:1" x14ac:dyDescent="0.2">
      <c r="A712" s="19">
        <v>0.8471376895904541</v>
      </c>
    </row>
    <row r="713" spans="1:1" x14ac:dyDescent="0.2">
      <c r="A713" s="22">
        <v>0.1487535834312439</v>
      </c>
    </row>
    <row r="714" spans="1:1" x14ac:dyDescent="0.2">
      <c r="A714" s="22">
        <v>0.67572963237762451</v>
      </c>
    </row>
    <row r="715" spans="1:1" x14ac:dyDescent="0.2">
      <c r="A715" s="22">
        <v>0.98683029413223267</v>
      </c>
    </row>
    <row r="716" spans="1:1" x14ac:dyDescent="0.2">
      <c r="A716" s="22">
        <v>0.8149418830871582</v>
      </c>
    </row>
    <row r="717" spans="1:1" x14ac:dyDescent="0.2">
      <c r="A717" s="22">
        <v>0.73386639356613159</v>
      </c>
    </row>
    <row r="718" spans="1:1" x14ac:dyDescent="0.2">
      <c r="A718" s="22">
        <v>0.70481503009796143</v>
      </c>
    </row>
    <row r="719" spans="1:1" x14ac:dyDescent="0.2">
      <c r="A719" s="22">
        <v>0.79630261659622192</v>
      </c>
    </row>
    <row r="720" spans="1:1" x14ac:dyDescent="0.2">
      <c r="A720" s="22">
        <v>0.94633936882019043</v>
      </c>
    </row>
    <row r="721" spans="1:1" x14ac:dyDescent="0.2">
      <c r="A721" s="22">
        <v>0.91023057699203491</v>
      </c>
    </row>
    <row r="722" spans="1:1" x14ac:dyDescent="0.2">
      <c r="A722" s="22">
        <v>0.71405255794525146</v>
      </c>
    </row>
    <row r="723" spans="1:1" x14ac:dyDescent="0.2">
      <c r="A723" s="22">
        <v>0.40359979867935181</v>
      </c>
    </row>
    <row r="724" spans="1:1" x14ac:dyDescent="0.2">
      <c r="A724" s="22">
        <v>0.46941852569580078</v>
      </c>
    </row>
    <row r="725" spans="1:1" x14ac:dyDescent="0.2">
      <c r="A725" s="22">
        <v>0.55608099699020386</v>
      </c>
    </row>
    <row r="726" spans="1:1" x14ac:dyDescent="0.2">
      <c r="A726" s="22">
        <v>0.38123762607574463</v>
      </c>
    </row>
    <row r="727" spans="1:1" x14ac:dyDescent="0.2">
      <c r="A727" s="22">
        <v>0.83783560991287231</v>
      </c>
    </row>
    <row r="728" spans="1:1" x14ac:dyDescent="0.2">
      <c r="A728" s="22">
        <v>0.10933804512023926</v>
      </c>
    </row>
    <row r="729" spans="1:1" x14ac:dyDescent="0.2">
      <c r="A729" s="22">
        <v>5.8441579341888428E-2</v>
      </c>
    </row>
    <row r="730" spans="1:1" x14ac:dyDescent="0.2">
      <c r="A730" s="22">
        <v>0.85779845714569092</v>
      </c>
    </row>
    <row r="731" spans="1:1" x14ac:dyDescent="0.2">
      <c r="A731" s="22">
        <v>0.70722538232803345</v>
      </c>
    </row>
    <row r="732" spans="1:1" x14ac:dyDescent="0.2">
      <c r="A732" s="22">
        <v>0.85395193099975586</v>
      </c>
    </row>
    <row r="733" spans="1:1" x14ac:dyDescent="0.2">
      <c r="A733" s="22">
        <v>1.6250312328338623E-2</v>
      </c>
    </row>
    <row r="734" spans="1:1" x14ac:dyDescent="0.2">
      <c r="A734" s="22">
        <v>0.65942108631134033</v>
      </c>
    </row>
    <row r="735" spans="1:1" x14ac:dyDescent="0.2">
      <c r="A735" s="22">
        <v>0.52721101045608521</v>
      </c>
    </row>
    <row r="736" spans="1:1" x14ac:dyDescent="0.2">
      <c r="A736" s="22">
        <v>0.96943449974060059</v>
      </c>
    </row>
    <row r="737" spans="1:1" x14ac:dyDescent="0.2">
      <c r="A737" s="22">
        <v>0.19348424673080444</v>
      </c>
    </row>
    <row r="738" spans="1:1" x14ac:dyDescent="0.2">
      <c r="A738" s="22">
        <v>0.80667436122894287</v>
      </c>
    </row>
    <row r="739" spans="1:1" x14ac:dyDescent="0.2">
      <c r="A739" s="22">
        <v>0.29858595132827759</v>
      </c>
    </row>
    <row r="740" spans="1:1" x14ac:dyDescent="0.2">
      <c r="A740" s="22">
        <v>0.26590538024902344</v>
      </c>
    </row>
    <row r="741" spans="1:1" x14ac:dyDescent="0.2">
      <c r="A741" s="22">
        <v>0.72228449583053589</v>
      </c>
    </row>
    <row r="742" spans="1:1" x14ac:dyDescent="0.2">
      <c r="A742" s="22">
        <v>0.21563494205474854</v>
      </c>
    </row>
    <row r="743" spans="1:1" x14ac:dyDescent="0.2">
      <c r="A743" s="22">
        <v>0.3356202244758606</v>
      </c>
    </row>
    <row r="744" spans="1:1" x14ac:dyDescent="0.2">
      <c r="A744" s="22">
        <v>0.61305451393127441</v>
      </c>
    </row>
    <row r="745" spans="1:1" x14ac:dyDescent="0.2">
      <c r="A745" s="22">
        <v>0.55608123540878296</v>
      </c>
    </row>
    <row r="746" spans="1:1" x14ac:dyDescent="0.2">
      <c r="A746" s="22">
        <v>0.33851230144500732</v>
      </c>
    </row>
    <row r="747" spans="1:1" x14ac:dyDescent="0.2">
      <c r="A747" s="22">
        <v>0.34418541193008423</v>
      </c>
    </row>
    <row r="748" spans="1:1" x14ac:dyDescent="0.2">
      <c r="A748" s="22">
        <v>0.70576715469360352</v>
      </c>
    </row>
    <row r="749" spans="1:1" x14ac:dyDescent="0.2">
      <c r="A749" s="22">
        <v>0.17271870374679565</v>
      </c>
    </row>
    <row r="750" spans="1:1" x14ac:dyDescent="0.2">
      <c r="A750" s="22">
        <v>5.4273724555969238E-2</v>
      </c>
    </row>
    <row r="751" spans="1:1" x14ac:dyDescent="0.2">
      <c r="A751" s="22">
        <v>0.74987965822219849</v>
      </c>
    </row>
    <row r="752" spans="1:1" x14ac:dyDescent="0.2">
      <c r="A752" s="22">
        <v>7.9748868942260742E-2</v>
      </c>
    </row>
    <row r="753" spans="1:1" x14ac:dyDescent="0.2">
      <c r="A753" s="22">
        <v>0.52758020162582397</v>
      </c>
    </row>
    <row r="754" spans="1:1" x14ac:dyDescent="0.2">
      <c r="A754" s="22">
        <v>0.80926930904388428</v>
      </c>
    </row>
    <row r="755" spans="1:1" x14ac:dyDescent="0.2">
      <c r="A755" s="22">
        <v>0.27615267038345337</v>
      </c>
    </row>
    <row r="756" spans="1:1" x14ac:dyDescent="0.2">
      <c r="A756" s="22">
        <v>0.37715053558349609</v>
      </c>
    </row>
    <row r="757" spans="1:1" x14ac:dyDescent="0.2">
      <c r="A757" s="22">
        <v>0.25671309232711792</v>
      </c>
    </row>
    <row r="758" spans="1:1" x14ac:dyDescent="0.2">
      <c r="A758" s="22">
        <v>7.8569650650024414E-3</v>
      </c>
    </row>
    <row r="759" spans="1:1" x14ac:dyDescent="0.2">
      <c r="A759" s="22">
        <v>0.77243071794509888</v>
      </c>
    </row>
    <row r="760" spans="1:1" x14ac:dyDescent="0.2">
      <c r="A760" s="22">
        <v>0.86219334602355957</v>
      </c>
    </row>
    <row r="761" spans="1:1" x14ac:dyDescent="0.2">
      <c r="A761" s="22">
        <v>0.12995380163192749</v>
      </c>
    </row>
    <row r="762" spans="1:1" x14ac:dyDescent="0.2">
      <c r="A762" s="22">
        <v>0.65302741527557373</v>
      </c>
    </row>
    <row r="763" spans="1:1" x14ac:dyDescent="0.2">
      <c r="A763" s="22">
        <v>0.29224163293838501</v>
      </c>
    </row>
    <row r="764" spans="1:1" x14ac:dyDescent="0.2">
      <c r="A764" s="22">
        <v>0.18679380416870117</v>
      </c>
    </row>
    <row r="765" spans="1:1" x14ac:dyDescent="0.2">
      <c r="A765" s="22">
        <v>0.75405281782150269</v>
      </c>
    </row>
    <row r="766" spans="1:1" x14ac:dyDescent="0.2">
      <c r="A766" s="22">
        <v>0.23702919483184814</v>
      </c>
    </row>
    <row r="767" spans="1:1" x14ac:dyDescent="0.2">
      <c r="A767" s="22">
        <v>0.42133980989456177</v>
      </c>
    </row>
    <row r="768" spans="1:1" x14ac:dyDescent="0.2">
      <c r="A768" s="22">
        <v>0.4061887264251709</v>
      </c>
    </row>
    <row r="769" spans="1:1" x14ac:dyDescent="0.2">
      <c r="A769" s="22">
        <v>0.52579969167709351</v>
      </c>
    </row>
    <row r="770" spans="1:1" x14ac:dyDescent="0.2">
      <c r="A770" s="22">
        <v>0.88199365139007568</v>
      </c>
    </row>
    <row r="771" spans="1:1" x14ac:dyDescent="0.2">
      <c r="A771" s="22">
        <v>0.85583120584487915</v>
      </c>
    </row>
    <row r="772" spans="1:1" x14ac:dyDescent="0.2">
      <c r="A772" s="22">
        <v>0.24456024169921875</v>
      </c>
    </row>
    <row r="773" spans="1:1" x14ac:dyDescent="0.2">
      <c r="A773" s="22">
        <v>0.83514803647994995</v>
      </c>
    </row>
    <row r="774" spans="1:1" x14ac:dyDescent="0.2">
      <c r="A774" s="22">
        <v>0.73055994510650635</v>
      </c>
    </row>
    <row r="775" spans="1:1" x14ac:dyDescent="0.2">
      <c r="A775" s="22">
        <v>0.23029834032058716</v>
      </c>
    </row>
    <row r="776" spans="1:1" x14ac:dyDescent="0.2">
      <c r="A776" s="22">
        <v>0.61066079139709473</v>
      </c>
    </row>
    <row r="777" spans="1:1" x14ac:dyDescent="0.2">
      <c r="A777" s="22">
        <v>0.51834052801132202</v>
      </c>
    </row>
    <row r="778" spans="1:1" x14ac:dyDescent="0.2">
      <c r="A778" s="22">
        <v>0.58650004863739014</v>
      </c>
    </row>
    <row r="779" spans="1:1" x14ac:dyDescent="0.2">
      <c r="A779" s="22">
        <v>0.19592529535293579</v>
      </c>
    </row>
    <row r="780" spans="1:1" x14ac:dyDescent="0.2">
      <c r="A780" s="22">
        <v>0.36343812942504883</v>
      </c>
    </row>
    <row r="781" spans="1:1" x14ac:dyDescent="0.2">
      <c r="A781" s="22">
        <v>0.56103390455245972</v>
      </c>
    </row>
    <row r="782" spans="1:1" x14ac:dyDescent="0.2">
      <c r="A782" s="22">
        <v>0.80534374713897705</v>
      </c>
    </row>
    <row r="783" spans="1:1" x14ac:dyDescent="0.2">
      <c r="A783" s="22">
        <v>0.74862271547317505</v>
      </c>
    </row>
    <row r="784" spans="1:1" x14ac:dyDescent="0.2">
      <c r="A784" s="22">
        <v>0.32766032218933105</v>
      </c>
    </row>
    <row r="785" spans="1:1" x14ac:dyDescent="0.2">
      <c r="A785" s="22">
        <v>5.1423966884613037E-2</v>
      </c>
    </row>
    <row r="786" spans="1:1" x14ac:dyDescent="0.2">
      <c r="A786" s="22">
        <v>0.43500363826751709</v>
      </c>
    </row>
    <row r="787" spans="1:1" x14ac:dyDescent="0.2">
      <c r="A787" s="22">
        <v>0.80715280771255493</v>
      </c>
    </row>
    <row r="788" spans="1:1" x14ac:dyDescent="0.2">
      <c r="A788" s="22">
        <v>0.55954074859619141</v>
      </c>
    </row>
    <row r="789" spans="1:1" x14ac:dyDescent="0.2">
      <c r="A789" s="22">
        <v>0.38337057828903198</v>
      </c>
    </row>
    <row r="790" spans="1:1" x14ac:dyDescent="0.2">
      <c r="A790" s="22">
        <v>0.60640013217926025</v>
      </c>
    </row>
    <row r="791" spans="1:1" x14ac:dyDescent="0.2">
      <c r="A791" s="22">
        <v>4.1254341602325439E-2</v>
      </c>
    </row>
    <row r="792" spans="1:1" x14ac:dyDescent="0.2">
      <c r="A792" s="22">
        <v>0.86236310005187988</v>
      </c>
    </row>
    <row r="793" spans="1:1" x14ac:dyDescent="0.2">
      <c r="A793" s="22">
        <v>0.70952266454696655</v>
      </c>
    </row>
    <row r="794" spans="1:1" x14ac:dyDescent="0.2">
      <c r="A794" s="22">
        <v>0.17408645153045654</v>
      </c>
    </row>
    <row r="795" spans="1:1" x14ac:dyDescent="0.2">
      <c r="A795" s="22">
        <v>0.94976764917373657</v>
      </c>
    </row>
    <row r="796" spans="1:1" x14ac:dyDescent="0.2">
      <c r="A796" s="22">
        <v>0.55210638046264648</v>
      </c>
    </row>
    <row r="797" spans="1:1" x14ac:dyDescent="0.2">
      <c r="A797" s="22">
        <v>0.64444321393966675</v>
      </c>
    </row>
    <row r="798" spans="1:1" x14ac:dyDescent="0.2">
      <c r="A798" s="22">
        <v>0.60687363147735596</v>
      </c>
    </row>
    <row r="799" spans="1:1" x14ac:dyDescent="0.2">
      <c r="A799" s="22">
        <v>0.18875962495803833</v>
      </c>
    </row>
    <row r="800" spans="1:1" x14ac:dyDescent="0.2">
      <c r="A800" s="22">
        <v>0.47306990623474121</v>
      </c>
    </row>
    <row r="801" spans="1:1" x14ac:dyDescent="0.2">
      <c r="A801" s="22">
        <v>0.21773427724838257</v>
      </c>
    </row>
    <row r="802" spans="1:1" x14ac:dyDescent="0.2">
      <c r="A802" s="22">
        <v>0.1284555196762085</v>
      </c>
    </row>
    <row r="803" spans="1:1" x14ac:dyDescent="0.2">
      <c r="A803" s="22">
        <v>0.14964872598648071</v>
      </c>
    </row>
    <row r="804" spans="1:1" x14ac:dyDescent="0.2">
      <c r="A804" s="22">
        <v>0.26349830627441406</v>
      </c>
    </row>
    <row r="805" spans="1:1" x14ac:dyDescent="0.2">
      <c r="A805" s="22">
        <v>7.7161967754364014E-2</v>
      </c>
    </row>
    <row r="806" spans="1:1" x14ac:dyDescent="0.2">
      <c r="A806" s="22">
        <v>0.10803377628326416</v>
      </c>
    </row>
    <row r="807" spans="1:1" x14ac:dyDescent="0.2">
      <c r="A807" s="22">
        <v>0.78732997179031372</v>
      </c>
    </row>
    <row r="808" spans="1:1" x14ac:dyDescent="0.2">
      <c r="A808" s="22">
        <v>0.87120652198791504</v>
      </c>
    </row>
    <row r="809" spans="1:1" x14ac:dyDescent="0.2">
      <c r="A809" s="22">
        <v>0.94178146123886108</v>
      </c>
    </row>
    <row r="810" spans="1:1" x14ac:dyDescent="0.2">
      <c r="A810" s="22">
        <v>0.70094287395477295</v>
      </c>
    </row>
    <row r="811" spans="1:1" x14ac:dyDescent="0.2">
      <c r="A811" s="22">
        <v>0.69829994440078735</v>
      </c>
    </row>
    <row r="812" spans="1:1" x14ac:dyDescent="0.2">
      <c r="A812" s="22">
        <v>0.31920480728149414</v>
      </c>
    </row>
    <row r="813" spans="1:1" x14ac:dyDescent="0.2">
      <c r="A813" s="22">
        <v>0.30506199598312378</v>
      </c>
    </row>
    <row r="814" spans="1:1" x14ac:dyDescent="0.2">
      <c r="A814" s="22">
        <v>0.73927509784698486</v>
      </c>
    </row>
    <row r="815" spans="1:1" x14ac:dyDescent="0.2">
      <c r="A815" s="22">
        <v>0.44878178834915161</v>
      </c>
    </row>
    <row r="816" spans="1:1" x14ac:dyDescent="0.2">
      <c r="A816" s="22">
        <v>0.72132372856140137</v>
      </c>
    </row>
    <row r="817" spans="1:1" x14ac:dyDescent="0.2">
      <c r="A817" s="22">
        <v>0.3880118727684021</v>
      </c>
    </row>
    <row r="818" spans="1:1" x14ac:dyDescent="0.2">
      <c r="A818" s="22">
        <v>0.8725055456161499</v>
      </c>
    </row>
    <row r="819" spans="1:1" x14ac:dyDescent="0.2">
      <c r="A819" s="22">
        <v>0.15285021066665649</v>
      </c>
    </row>
    <row r="820" spans="1:1" x14ac:dyDescent="0.2">
      <c r="A820" s="22">
        <v>0.54783916473388672</v>
      </c>
    </row>
    <row r="821" spans="1:1" x14ac:dyDescent="0.2">
      <c r="A821" s="22">
        <v>0.34230345487594604</v>
      </c>
    </row>
    <row r="822" spans="1:1" x14ac:dyDescent="0.2">
      <c r="A822" s="22">
        <v>0.95811712741851807</v>
      </c>
    </row>
    <row r="823" spans="1:1" x14ac:dyDescent="0.2">
      <c r="A823" s="22">
        <v>0.300556480884552</v>
      </c>
    </row>
    <row r="824" spans="1:1" x14ac:dyDescent="0.2">
      <c r="A824" s="22">
        <v>0.1410973072052002</v>
      </c>
    </row>
    <row r="825" spans="1:1" x14ac:dyDescent="0.2">
      <c r="A825" s="22">
        <v>0.70339816808700562</v>
      </c>
    </row>
    <row r="826" spans="1:1" x14ac:dyDescent="0.2">
      <c r="A826" s="22">
        <v>0.70222556591033936</v>
      </c>
    </row>
    <row r="827" spans="1:1" x14ac:dyDescent="0.2">
      <c r="A827" s="22">
        <v>0.83605343103408813</v>
      </c>
    </row>
    <row r="828" spans="1:1" x14ac:dyDescent="0.2">
      <c r="A828" s="22">
        <v>0.4811396598815918</v>
      </c>
    </row>
    <row r="829" spans="1:1" x14ac:dyDescent="0.2">
      <c r="A829" s="22">
        <v>9.3671500682830811E-2</v>
      </c>
    </row>
    <row r="830" spans="1:1" x14ac:dyDescent="0.2">
      <c r="A830" s="22">
        <v>0.55020439624786377</v>
      </c>
    </row>
    <row r="831" spans="1:1" x14ac:dyDescent="0.2">
      <c r="A831" s="22">
        <v>0.48572045564651489</v>
      </c>
    </row>
    <row r="832" spans="1:1" x14ac:dyDescent="0.2">
      <c r="A832" s="22">
        <v>0.20132803916931152</v>
      </c>
    </row>
    <row r="833" spans="1:1" x14ac:dyDescent="0.2">
      <c r="A833" s="22">
        <v>0.17553800344467163</v>
      </c>
    </row>
    <row r="834" spans="1:1" x14ac:dyDescent="0.2">
      <c r="A834" s="22">
        <v>0.82730996608734131</v>
      </c>
    </row>
    <row r="835" spans="1:1" x14ac:dyDescent="0.2">
      <c r="A835" s="22">
        <v>0.33628851175308228</v>
      </c>
    </row>
    <row r="836" spans="1:1" x14ac:dyDescent="0.2">
      <c r="A836" s="22">
        <v>0.85396957397460938</v>
      </c>
    </row>
    <row r="837" spans="1:1" x14ac:dyDescent="0.2">
      <c r="A837" s="22">
        <v>0.85457628965377808</v>
      </c>
    </row>
    <row r="838" spans="1:1" x14ac:dyDescent="0.2">
      <c r="A838" s="22">
        <v>0.12930643558502197</v>
      </c>
    </row>
    <row r="839" spans="1:1" x14ac:dyDescent="0.2">
      <c r="A839" s="22">
        <v>0.66296511888504028</v>
      </c>
    </row>
    <row r="840" spans="1:1" x14ac:dyDescent="0.2">
      <c r="A840" s="22">
        <v>0.42594170570373535</v>
      </c>
    </row>
    <row r="841" spans="1:1" x14ac:dyDescent="0.2">
      <c r="A841" s="22">
        <v>0.73265403509140015</v>
      </c>
    </row>
    <row r="842" spans="1:1" x14ac:dyDescent="0.2">
      <c r="A842" s="22">
        <v>0.96309077739715576</v>
      </c>
    </row>
    <row r="843" spans="1:1" x14ac:dyDescent="0.2">
      <c r="A843" s="22">
        <v>7.559359073638916E-3</v>
      </c>
    </row>
    <row r="844" spans="1:1" x14ac:dyDescent="0.2">
      <c r="A844" s="22">
        <v>0.10431718826293945</v>
      </c>
    </row>
    <row r="845" spans="1:1" x14ac:dyDescent="0.2">
      <c r="A845" s="22">
        <v>0.81105297803878784</v>
      </c>
    </row>
    <row r="846" spans="1:1" x14ac:dyDescent="0.2">
      <c r="A846" s="22">
        <v>0.63731777667999268</v>
      </c>
    </row>
    <row r="847" spans="1:1" x14ac:dyDescent="0.2">
      <c r="A847" s="22">
        <v>0.50660687685012817</v>
      </c>
    </row>
    <row r="848" spans="1:1" x14ac:dyDescent="0.2">
      <c r="A848" s="22">
        <v>0.29198908805847168</v>
      </c>
    </row>
    <row r="849" spans="1:1" x14ac:dyDescent="0.2">
      <c r="A849" s="22">
        <v>0.44359391927719116</v>
      </c>
    </row>
    <row r="850" spans="1:1" x14ac:dyDescent="0.2">
      <c r="A850" s="22">
        <v>0.40302503108978271</v>
      </c>
    </row>
    <row r="851" spans="1:1" x14ac:dyDescent="0.2">
      <c r="A851" s="22">
        <v>0.46949487924575806</v>
      </c>
    </row>
    <row r="852" spans="1:1" x14ac:dyDescent="0.2">
      <c r="A852" s="22">
        <v>0.87329578399658203</v>
      </c>
    </row>
    <row r="853" spans="1:1" x14ac:dyDescent="0.2">
      <c r="A853" s="22">
        <v>0.53976172208786011</v>
      </c>
    </row>
    <row r="854" spans="1:1" x14ac:dyDescent="0.2">
      <c r="A854" s="22">
        <v>0.84425795078277588</v>
      </c>
    </row>
    <row r="855" spans="1:1" x14ac:dyDescent="0.2">
      <c r="A855" s="22">
        <v>0.20658713579177856</v>
      </c>
    </row>
    <row r="856" spans="1:1" x14ac:dyDescent="0.2">
      <c r="A856" s="22">
        <v>0.72964596748352051</v>
      </c>
    </row>
    <row r="857" spans="1:1" x14ac:dyDescent="0.2">
      <c r="A857" s="22">
        <v>1.7830312252044678E-2</v>
      </c>
    </row>
    <row r="858" spans="1:1" x14ac:dyDescent="0.2">
      <c r="A858" s="22">
        <v>0.51869475841522217</v>
      </c>
    </row>
    <row r="859" spans="1:1" x14ac:dyDescent="0.2">
      <c r="A859" s="22">
        <v>0.1073489785194397</v>
      </c>
    </row>
    <row r="860" spans="1:1" x14ac:dyDescent="0.2">
      <c r="A860" s="22">
        <v>0.50514364242553711</v>
      </c>
    </row>
    <row r="861" spans="1:1" x14ac:dyDescent="0.2">
      <c r="A861" s="22">
        <v>0.50798767805099487</v>
      </c>
    </row>
    <row r="862" spans="1:1" x14ac:dyDescent="0.2">
      <c r="A862" s="22">
        <v>0.84827148914337158</v>
      </c>
    </row>
    <row r="863" spans="1:1" x14ac:dyDescent="0.2">
      <c r="A863" s="22">
        <v>0.96847230195999146</v>
      </c>
    </row>
    <row r="864" spans="1:1" x14ac:dyDescent="0.2">
      <c r="A864" s="22">
        <v>0.62221312522888184</v>
      </c>
    </row>
    <row r="865" spans="1:1" x14ac:dyDescent="0.2">
      <c r="A865" s="22">
        <v>0.30546087026596069</v>
      </c>
    </row>
    <row r="866" spans="1:1" x14ac:dyDescent="0.2">
      <c r="A866" s="22">
        <v>0.25980699062347412</v>
      </c>
    </row>
    <row r="867" spans="1:1" x14ac:dyDescent="0.2">
      <c r="A867" s="22">
        <v>0.57200056314468384</v>
      </c>
    </row>
    <row r="868" spans="1:1" x14ac:dyDescent="0.2">
      <c r="A868" s="22">
        <v>0.54722404479980469</v>
      </c>
    </row>
    <row r="869" spans="1:1" x14ac:dyDescent="0.2">
      <c r="A869" s="22">
        <v>0.57364100217819214</v>
      </c>
    </row>
    <row r="870" spans="1:1" x14ac:dyDescent="0.2">
      <c r="A870" s="22">
        <v>0.57562792301177979</v>
      </c>
    </row>
    <row r="871" spans="1:1" x14ac:dyDescent="0.2">
      <c r="A871" s="22">
        <v>0.51345378160476685</v>
      </c>
    </row>
    <row r="872" spans="1:1" x14ac:dyDescent="0.2">
      <c r="A872" s="22">
        <v>0.30611634254455566</v>
      </c>
    </row>
    <row r="873" spans="1:1" x14ac:dyDescent="0.2">
      <c r="A873" s="22">
        <v>0.79720824956893921</v>
      </c>
    </row>
    <row r="874" spans="1:1" x14ac:dyDescent="0.2">
      <c r="A874" s="22">
        <v>0.65419375896453857</v>
      </c>
    </row>
    <row r="875" spans="1:1" x14ac:dyDescent="0.2">
      <c r="A875" s="22">
        <v>0.27995353937149048</v>
      </c>
    </row>
    <row r="876" spans="1:1" x14ac:dyDescent="0.2">
      <c r="A876" s="22">
        <v>0.25002527236938477</v>
      </c>
    </row>
    <row r="877" spans="1:1" x14ac:dyDescent="0.2">
      <c r="A877" s="22">
        <v>0.4852568507194519</v>
      </c>
    </row>
    <row r="878" spans="1:1" x14ac:dyDescent="0.2">
      <c r="A878" s="22">
        <v>0.28072178363800049</v>
      </c>
    </row>
    <row r="879" spans="1:1" x14ac:dyDescent="0.2">
      <c r="A879" s="22">
        <v>0.57834798097610474</v>
      </c>
    </row>
    <row r="880" spans="1:1" x14ac:dyDescent="0.2">
      <c r="A880" s="22">
        <v>7.0906400680541992E-2</v>
      </c>
    </row>
    <row r="881" spans="1:1" x14ac:dyDescent="0.2">
      <c r="A881" s="22">
        <v>0.12442010641098022</v>
      </c>
    </row>
    <row r="882" spans="1:1" x14ac:dyDescent="0.2">
      <c r="A882" s="22">
        <v>0.30781209468841553</v>
      </c>
    </row>
    <row r="883" spans="1:1" x14ac:dyDescent="0.2">
      <c r="A883" s="22">
        <v>0.91333681344985962</v>
      </c>
    </row>
    <row r="884" spans="1:1" x14ac:dyDescent="0.2">
      <c r="A884" s="22">
        <v>6.7160606384277344E-2</v>
      </c>
    </row>
    <row r="885" spans="1:1" x14ac:dyDescent="0.2">
      <c r="A885" s="22">
        <v>0.38199537992477417</v>
      </c>
    </row>
    <row r="886" spans="1:1" x14ac:dyDescent="0.2">
      <c r="A886" s="22">
        <v>4.6072602272033691E-2</v>
      </c>
    </row>
    <row r="887" spans="1:1" x14ac:dyDescent="0.2">
      <c r="A887" s="22">
        <v>0.41559630632400513</v>
      </c>
    </row>
    <row r="888" spans="1:1" x14ac:dyDescent="0.2">
      <c r="A888" s="22">
        <v>0.65925908088684082</v>
      </c>
    </row>
    <row r="889" spans="1:1" x14ac:dyDescent="0.2">
      <c r="A889" s="22">
        <v>0.55906909704208374</v>
      </c>
    </row>
    <row r="890" spans="1:1" x14ac:dyDescent="0.2">
      <c r="A890" s="22">
        <v>0.90474402904510498</v>
      </c>
    </row>
    <row r="891" spans="1:1" x14ac:dyDescent="0.2">
      <c r="A891" s="22">
        <v>0.91990429162979126</v>
      </c>
    </row>
    <row r="892" spans="1:1" x14ac:dyDescent="0.2">
      <c r="A892" s="22">
        <v>0.15536832809448242</v>
      </c>
    </row>
    <row r="893" spans="1:1" x14ac:dyDescent="0.2">
      <c r="A893" s="22">
        <v>0.29364174604415894</v>
      </c>
    </row>
    <row r="894" spans="1:1" x14ac:dyDescent="0.2">
      <c r="A894" s="22">
        <v>0.28232491016387939</v>
      </c>
    </row>
    <row r="895" spans="1:1" x14ac:dyDescent="0.2">
      <c r="A895" s="22">
        <v>0.29326516389846802</v>
      </c>
    </row>
    <row r="896" spans="1:1" x14ac:dyDescent="0.2">
      <c r="A896" s="22">
        <v>0.76697516441345215</v>
      </c>
    </row>
    <row r="897" spans="1:1" x14ac:dyDescent="0.2">
      <c r="A897" s="22">
        <v>0.51375287771224976</v>
      </c>
    </row>
    <row r="898" spans="1:1" x14ac:dyDescent="0.2">
      <c r="A898" s="22">
        <v>0.70719659328460693</v>
      </c>
    </row>
    <row r="899" spans="1:1" x14ac:dyDescent="0.2">
      <c r="A899" s="22">
        <v>1.30348801612854E-2</v>
      </c>
    </row>
    <row r="900" spans="1:1" x14ac:dyDescent="0.2">
      <c r="A900" s="22">
        <v>0.87451171875</v>
      </c>
    </row>
    <row r="901" spans="1:1" x14ac:dyDescent="0.2">
      <c r="A901" s="22">
        <v>0.6406061053276062</v>
      </c>
    </row>
    <row r="902" spans="1:1" x14ac:dyDescent="0.2">
      <c r="A902" s="22">
        <v>0.2282482385635376</v>
      </c>
    </row>
    <row r="903" spans="1:1" x14ac:dyDescent="0.2">
      <c r="A903" s="22">
        <v>0.99504595994949341</v>
      </c>
    </row>
    <row r="904" spans="1:1" x14ac:dyDescent="0.2">
      <c r="A904" s="22">
        <v>0.54298043251037598</v>
      </c>
    </row>
    <row r="905" spans="1:1" x14ac:dyDescent="0.2">
      <c r="A905" s="22">
        <v>4.1694104671478271E-2</v>
      </c>
    </row>
    <row r="906" spans="1:1" x14ac:dyDescent="0.2">
      <c r="A906" s="22">
        <v>5.5501818656921387E-2</v>
      </c>
    </row>
    <row r="907" spans="1:1" x14ac:dyDescent="0.2">
      <c r="A907" s="22">
        <v>0.67173248529434204</v>
      </c>
    </row>
    <row r="908" spans="1:1" x14ac:dyDescent="0.2">
      <c r="A908" s="22">
        <v>0.28757905960083008</v>
      </c>
    </row>
    <row r="909" spans="1:1" x14ac:dyDescent="0.2">
      <c r="A909" s="22">
        <v>0.73392361402511597</v>
      </c>
    </row>
    <row r="910" spans="1:1" x14ac:dyDescent="0.2">
      <c r="A910" s="22">
        <v>0.4507371187210083</v>
      </c>
    </row>
    <row r="911" spans="1:1" x14ac:dyDescent="0.2">
      <c r="A911" s="22">
        <v>0.3202551007270813</v>
      </c>
    </row>
    <row r="912" spans="1:1" x14ac:dyDescent="0.2">
      <c r="A912" s="22">
        <v>8.9325666427612305E-2</v>
      </c>
    </row>
    <row r="913" spans="1:1" x14ac:dyDescent="0.2">
      <c r="A913" s="22">
        <v>0.33674043416976929</v>
      </c>
    </row>
    <row r="914" spans="1:1" x14ac:dyDescent="0.2">
      <c r="A914" s="22">
        <v>0.86811673641204834</v>
      </c>
    </row>
    <row r="915" spans="1:1" x14ac:dyDescent="0.2">
      <c r="A915" s="22">
        <v>0.64062601327896118</v>
      </c>
    </row>
    <row r="916" spans="1:1" x14ac:dyDescent="0.2">
      <c r="A916" s="22">
        <v>0.66068363189697266</v>
      </c>
    </row>
    <row r="917" spans="1:1" x14ac:dyDescent="0.2">
      <c r="A917" s="22">
        <v>0.27525442838668823</v>
      </c>
    </row>
    <row r="918" spans="1:1" x14ac:dyDescent="0.2">
      <c r="A918" s="22">
        <v>0.3448110818862915</v>
      </c>
    </row>
    <row r="919" spans="1:1" x14ac:dyDescent="0.2">
      <c r="A919" s="22">
        <v>0.58383399248123169</v>
      </c>
    </row>
    <row r="920" spans="1:1" x14ac:dyDescent="0.2">
      <c r="A920" s="22">
        <v>0.96118664741516113</v>
      </c>
    </row>
    <row r="921" spans="1:1" x14ac:dyDescent="0.2">
      <c r="A921" s="22">
        <v>0.2333645224571228</v>
      </c>
    </row>
    <row r="922" spans="1:1" x14ac:dyDescent="0.2">
      <c r="A922" s="22">
        <v>0.14162337779998779</v>
      </c>
    </row>
    <row r="923" spans="1:1" x14ac:dyDescent="0.2">
      <c r="A923" s="22">
        <v>0.42996937036514282</v>
      </c>
    </row>
    <row r="924" spans="1:1" x14ac:dyDescent="0.2">
      <c r="A924" s="22">
        <v>0.96306371688842773</v>
      </c>
    </row>
    <row r="925" spans="1:1" x14ac:dyDescent="0.2">
      <c r="A925" s="22">
        <v>0.856883704662323</v>
      </c>
    </row>
    <row r="926" spans="1:1" x14ac:dyDescent="0.2">
      <c r="A926" s="22">
        <v>0.63361465930938721</v>
      </c>
    </row>
    <row r="927" spans="1:1" x14ac:dyDescent="0.2">
      <c r="A927" s="22">
        <v>0.11634904146194458</v>
      </c>
    </row>
    <row r="928" spans="1:1" x14ac:dyDescent="0.2">
      <c r="A928" s="22">
        <v>0.66686415672302246</v>
      </c>
    </row>
    <row r="929" spans="1:1" x14ac:dyDescent="0.2">
      <c r="A929" s="22">
        <v>0.70666402578353882</v>
      </c>
    </row>
    <row r="930" spans="1:1" x14ac:dyDescent="0.2">
      <c r="A930" s="22">
        <v>0.45072877407073975</v>
      </c>
    </row>
    <row r="931" spans="1:1" x14ac:dyDescent="0.2">
      <c r="A931" s="22">
        <v>0.81564146280288696</v>
      </c>
    </row>
    <row r="932" spans="1:1" x14ac:dyDescent="0.2">
      <c r="A932" s="22">
        <v>0.36708259582519531</v>
      </c>
    </row>
    <row r="933" spans="1:1" x14ac:dyDescent="0.2">
      <c r="A933" s="22">
        <v>0.46172159910202026</v>
      </c>
    </row>
    <row r="934" spans="1:1" x14ac:dyDescent="0.2">
      <c r="A934" s="22">
        <v>0.86841738224029541</v>
      </c>
    </row>
    <row r="935" spans="1:1" x14ac:dyDescent="0.2">
      <c r="A935" s="22">
        <v>0.76399165391921997</v>
      </c>
    </row>
    <row r="936" spans="1:1" x14ac:dyDescent="0.2">
      <c r="A936" s="22">
        <v>0.16778397560119629</v>
      </c>
    </row>
    <row r="937" spans="1:1" x14ac:dyDescent="0.2">
      <c r="A937" s="22">
        <v>0.37236160039901733</v>
      </c>
    </row>
    <row r="938" spans="1:1" x14ac:dyDescent="0.2">
      <c r="A938" s="22">
        <v>0.4482649564743042</v>
      </c>
    </row>
    <row r="939" spans="1:1" x14ac:dyDescent="0.2">
      <c r="A939" s="22">
        <v>0.3391461968421936</v>
      </c>
    </row>
    <row r="940" spans="1:1" x14ac:dyDescent="0.2">
      <c r="A940" s="22">
        <v>0.74822854995727539</v>
      </c>
    </row>
    <row r="941" spans="1:1" x14ac:dyDescent="0.2">
      <c r="A941" s="22">
        <v>0.96330326795578003</v>
      </c>
    </row>
    <row r="942" spans="1:1" x14ac:dyDescent="0.2">
      <c r="A942" s="22">
        <v>0.92861378192901611</v>
      </c>
    </row>
    <row r="943" spans="1:1" x14ac:dyDescent="0.2">
      <c r="A943" s="22">
        <v>0.38857823610305786</v>
      </c>
    </row>
    <row r="944" spans="1:1" x14ac:dyDescent="0.2">
      <c r="A944" s="22">
        <v>0.37849688529968262</v>
      </c>
    </row>
    <row r="945" spans="1:1" x14ac:dyDescent="0.2">
      <c r="A945" s="22">
        <v>0.98680490255355835</v>
      </c>
    </row>
    <row r="946" spans="1:1" x14ac:dyDescent="0.2">
      <c r="A946" s="22">
        <v>0.36518895626068115</v>
      </c>
    </row>
    <row r="947" spans="1:1" x14ac:dyDescent="0.2">
      <c r="A947" s="22">
        <v>0.80761247873306274</v>
      </c>
    </row>
    <row r="948" spans="1:1" x14ac:dyDescent="0.2">
      <c r="A948" s="22">
        <v>0.18511486053466797</v>
      </c>
    </row>
    <row r="949" spans="1:1" x14ac:dyDescent="0.2">
      <c r="A949" s="22">
        <v>0.62578886747360229</v>
      </c>
    </row>
    <row r="950" spans="1:1" x14ac:dyDescent="0.2">
      <c r="A950" s="22">
        <v>0.52172338962554932</v>
      </c>
    </row>
    <row r="951" spans="1:1" x14ac:dyDescent="0.2">
      <c r="A951" s="22">
        <v>0.36755019426345825</v>
      </c>
    </row>
    <row r="952" spans="1:1" x14ac:dyDescent="0.2">
      <c r="A952" s="22">
        <v>0.66667866706848145</v>
      </c>
    </row>
    <row r="953" spans="1:1" x14ac:dyDescent="0.2">
      <c r="A953" s="22">
        <v>0.94696658849716187</v>
      </c>
    </row>
    <row r="954" spans="1:1" x14ac:dyDescent="0.2">
      <c r="A954" s="22">
        <v>0.51058280467987061</v>
      </c>
    </row>
    <row r="955" spans="1:1" x14ac:dyDescent="0.2">
      <c r="A955" s="22">
        <v>0.79379421472549438</v>
      </c>
    </row>
    <row r="956" spans="1:1" x14ac:dyDescent="0.2">
      <c r="A956" s="22">
        <v>0.45947980880737305</v>
      </c>
    </row>
    <row r="957" spans="1:1" x14ac:dyDescent="0.2">
      <c r="A957" s="22">
        <v>0.60396355390548706</v>
      </c>
    </row>
    <row r="958" spans="1:1" x14ac:dyDescent="0.2">
      <c r="A958" s="22">
        <v>0.68339073657989502</v>
      </c>
    </row>
    <row r="959" spans="1:1" x14ac:dyDescent="0.2">
      <c r="A959" s="22">
        <v>9.3973934650421143E-2</v>
      </c>
    </row>
    <row r="960" spans="1:1" x14ac:dyDescent="0.2">
      <c r="A960" s="22">
        <v>0.35313010215759277</v>
      </c>
    </row>
    <row r="961" spans="1:1" x14ac:dyDescent="0.2">
      <c r="A961" s="22">
        <v>0.79044431447982788</v>
      </c>
    </row>
    <row r="962" spans="1:1" x14ac:dyDescent="0.2">
      <c r="A962" s="22">
        <v>0.77165353298187256</v>
      </c>
    </row>
    <row r="963" spans="1:1" x14ac:dyDescent="0.2">
      <c r="A963" s="22">
        <v>0.13607031106948853</v>
      </c>
    </row>
    <row r="964" spans="1:1" x14ac:dyDescent="0.2">
      <c r="A964" s="22">
        <v>0.55618667602539063</v>
      </c>
    </row>
    <row r="965" spans="1:1" x14ac:dyDescent="0.2">
      <c r="A965" s="22">
        <v>0.44323748350143433</v>
      </c>
    </row>
    <row r="966" spans="1:1" x14ac:dyDescent="0.2">
      <c r="A966" s="22">
        <v>0.27738535404205322</v>
      </c>
    </row>
    <row r="967" spans="1:1" x14ac:dyDescent="0.2">
      <c r="A967" s="22">
        <v>0.47654086351394653</v>
      </c>
    </row>
    <row r="968" spans="1:1" x14ac:dyDescent="0.2">
      <c r="A968" s="22">
        <v>0.2117769718170166</v>
      </c>
    </row>
    <row r="969" spans="1:1" x14ac:dyDescent="0.2">
      <c r="A969" s="22">
        <v>0.6954607367515564</v>
      </c>
    </row>
    <row r="970" spans="1:1" x14ac:dyDescent="0.2">
      <c r="A970" s="22">
        <v>0.11373317241668701</v>
      </c>
    </row>
    <row r="971" spans="1:1" x14ac:dyDescent="0.2">
      <c r="A971" s="22">
        <v>0.43844467401504517</v>
      </c>
    </row>
    <row r="972" spans="1:1" x14ac:dyDescent="0.2">
      <c r="A972" s="22">
        <v>0.1632237434387207</v>
      </c>
    </row>
    <row r="973" spans="1:1" x14ac:dyDescent="0.2">
      <c r="A973" s="22">
        <v>0.57964581251144409</v>
      </c>
    </row>
    <row r="974" spans="1:1" x14ac:dyDescent="0.2">
      <c r="A974" s="22">
        <v>0.49560177326202393</v>
      </c>
    </row>
    <row r="975" spans="1:1" x14ac:dyDescent="0.2">
      <c r="A975" s="22">
        <v>0.43956738710403442</v>
      </c>
    </row>
    <row r="976" spans="1:1" x14ac:dyDescent="0.2">
      <c r="A976" s="22">
        <v>0.96967005729675293</v>
      </c>
    </row>
    <row r="977" spans="1:1" x14ac:dyDescent="0.2">
      <c r="A977" s="22">
        <v>0.98086351156234741</v>
      </c>
    </row>
    <row r="978" spans="1:1" x14ac:dyDescent="0.2">
      <c r="A978" s="22">
        <v>8.0278754234313965E-2</v>
      </c>
    </row>
    <row r="979" spans="1:1" x14ac:dyDescent="0.2">
      <c r="A979" s="22">
        <v>0.57054620981216431</v>
      </c>
    </row>
    <row r="980" spans="1:1" x14ac:dyDescent="0.2">
      <c r="A980" s="22">
        <v>0.17170429229736328</v>
      </c>
    </row>
    <row r="981" spans="1:1" x14ac:dyDescent="0.2">
      <c r="A981" s="22">
        <v>0.83984869718551636</v>
      </c>
    </row>
    <row r="982" spans="1:1" x14ac:dyDescent="0.2">
      <c r="A982" s="22">
        <v>0.35805952548980713</v>
      </c>
    </row>
    <row r="983" spans="1:1" x14ac:dyDescent="0.2">
      <c r="A983" s="22">
        <v>0.42299491167068481</v>
      </c>
    </row>
    <row r="984" spans="1:1" x14ac:dyDescent="0.2">
      <c r="A984" s="22">
        <v>0.80698513984680176</v>
      </c>
    </row>
    <row r="985" spans="1:1" x14ac:dyDescent="0.2">
      <c r="A985" s="22">
        <v>0.60612529516220093</v>
      </c>
    </row>
    <row r="986" spans="1:1" x14ac:dyDescent="0.2">
      <c r="A986" s="22">
        <v>0.29287230968475342</v>
      </c>
    </row>
    <row r="987" spans="1:1" x14ac:dyDescent="0.2">
      <c r="A987" s="22">
        <v>0.16762882471084595</v>
      </c>
    </row>
    <row r="988" spans="1:1" x14ac:dyDescent="0.2">
      <c r="A988" s="22">
        <v>0.17586660385131836</v>
      </c>
    </row>
    <row r="989" spans="1:1" x14ac:dyDescent="0.2">
      <c r="A989" s="22">
        <v>0.94113129377365112</v>
      </c>
    </row>
    <row r="990" spans="1:1" x14ac:dyDescent="0.2">
      <c r="A990" s="22">
        <v>0.21290314197540283</v>
      </c>
    </row>
    <row r="991" spans="1:1" x14ac:dyDescent="0.2">
      <c r="A991" s="22">
        <v>0.88238984346389771</v>
      </c>
    </row>
    <row r="992" spans="1:1" x14ac:dyDescent="0.2">
      <c r="A992" s="22">
        <v>0.85702300071716309</v>
      </c>
    </row>
    <row r="993" spans="1:1" x14ac:dyDescent="0.2">
      <c r="A993" s="22">
        <v>0.67134374380111694</v>
      </c>
    </row>
    <row r="994" spans="1:1" x14ac:dyDescent="0.2">
      <c r="A994" s="22">
        <v>0.95122087001800537</v>
      </c>
    </row>
    <row r="995" spans="1:1" x14ac:dyDescent="0.2">
      <c r="A995" s="22">
        <v>0.13057142496109009</v>
      </c>
    </row>
    <row r="996" spans="1:1" x14ac:dyDescent="0.2">
      <c r="A996" s="22">
        <v>0.97307395935058594</v>
      </c>
    </row>
    <row r="997" spans="1:1" x14ac:dyDescent="0.2">
      <c r="A997" s="22">
        <v>0.99140375852584839</v>
      </c>
    </row>
    <row r="998" spans="1:1" x14ac:dyDescent="0.2">
      <c r="A998" s="22">
        <v>0.23640215396881104</v>
      </c>
    </row>
    <row r="999" spans="1:1" x14ac:dyDescent="0.2">
      <c r="A999" s="22">
        <v>0.7889435887336731</v>
      </c>
    </row>
    <row r="1000" spans="1:1" x14ac:dyDescent="0.2">
      <c r="A1000" s="22">
        <v>0.70620942115783691</v>
      </c>
    </row>
    <row r="1001" spans="1:1" x14ac:dyDescent="0.2">
      <c r="A1001" s="22">
        <v>0.91724151372909546</v>
      </c>
    </row>
    <row r="1002" spans="1:1" x14ac:dyDescent="0.2">
      <c r="A1002" s="22">
        <v>0.33315646648406982</v>
      </c>
    </row>
    <row r="1003" spans="1:1" x14ac:dyDescent="0.2">
      <c r="A1003" s="22">
        <v>0.12587791681289673</v>
      </c>
    </row>
    <row r="1004" spans="1:1" x14ac:dyDescent="0.2">
      <c r="A1004" s="22">
        <v>6.3814640045166016E-2</v>
      </c>
    </row>
    <row r="1005" spans="1:1" x14ac:dyDescent="0.2">
      <c r="A1005" s="22">
        <v>0.98920124769210815</v>
      </c>
    </row>
    <row r="1006" spans="1:1" x14ac:dyDescent="0.2">
      <c r="A1006" s="22">
        <v>0.93295109272003174</v>
      </c>
    </row>
    <row r="1007" spans="1:1" x14ac:dyDescent="0.2">
      <c r="A1007" s="22">
        <v>0.12947255373001099</v>
      </c>
    </row>
    <row r="1008" spans="1:1" x14ac:dyDescent="0.2">
      <c r="A1008" s="22">
        <v>0.89409518241882324</v>
      </c>
    </row>
    <row r="1009" spans="1:1" x14ac:dyDescent="0.2">
      <c r="A1009" s="22">
        <v>0.22516626119613647</v>
      </c>
    </row>
    <row r="1010" spans="1:1" x14ac:dyDescent="0.2">
      <c r="A1010" s="22">
        <v>0.29463613033294678</v>
      </c>
    </row>
    <row r="1011" spans="1:1" x14ac:dyDescent="0.2">
      <c r="A1011" s="22">
        <v>8.5677206516265869E-2</v>
      </c>
    </row>
    <row r="1012" spans="1:1" x14ac:dyDescent="0.2">
      <c r="A1012" s="22">
        <v>0.15170192718505859</v>
      </c>
    </row>
    <row r="1013" spans="1:1" x14ac:dyDescent="0.2">
      <c r="A1013" s="22">
        <v>0.32368391752243042</v>
      </c>
    </row>
    <row r="1014" spans="1:1" x14ac:dyDescent="0.2">
      <c r="A1014" s="22">
        <v>0.63506948947906494</v>
      </c>
    </row>
    <row r="1015" spans="1:1" x14ac:dyDescent="0.2">
      <c r="A1015" s="22">
        <v>0.40641814470291138</v>
      </c>
    </row>
    <row r="1016" spans="1:1" x14ac:dyDescent="0.2">
      <c r="A1016" s="22">
        <v>0.41335606575012207</v>
      </c>
    </row>
    <row r="1017" spans="1:1" x14ac:dyDescent="0.2">
      <c r="A1017" s="22">
        <v>0.11709064245223999</v>
      </c>
    </row>
    <row r="1018" spans="1:1" x14ac:dyDescent="0.2">
      <c r="A1018" s="22">
        <v>0.76974189281463623</v>
      </c>
    </row>
    <row r="1019" spans="1:1" x14ac:dyDescent="0.2">
      <c r="A1019" s="22">
        <v>0.70772320032119751</v>
      </c>
    </row>
    <row r="1020" spans="1:1" x14ac:dyDescent="0.2">
      <c r="A1020" s="22">
        <v>0.64347410202026367</v>
      </c>
    </row>
    <row r="1021" spans="1:1" x14ac:dyDescent="0.2">
      <c r="A1021" s="22">
        <v>0.27463692426681519</v>
      </c>
    </row>
    <row r="1022" spans="1:1" x14ac:dyDescent="0.2">
      <c r="A1022" s="22">
        <v>3.4018754959106445E-3</v>
      </c>
    </row>
    <row r="1023" spans="1:1" x14ac:dyDescent="0.2">
      <c r="A1023" s="22">
        <v>0.13784676790237427</v>
      </c>
    </row>
    <row r="1024" spans="1:1" x14ac:dyDescent="0.2">
      <c r="A1024" s="22">
        <v>0.2097928524017334</v>
      </c>
    </row>
    <row r="1025" spans="1:1" x14ac:dyDescent="0.2">
      <c r="A1025" s="22">
        <v>0.25561231374740601</v>
      </c>
    </row>
    <row r="1026" spans="1:1" x14ac:dyDescent="0.2">
      <c r="A1026" s="22">
        <v>0.27068078517913818</v>
      </c>
    </row>
    <row r="1027" spans="1:1" x14ac:dyDescent="0.2">
      <c r="A1027" s="22">
        <v>0.95539480447769165</v>
      </c>
    </row>
    <row r="1028" spans="1:1" x14ac:dyDescent="0.2">
      <c r="A1028" s="22">
        <v>0.14899444580078125</v>
      </c>
    </row>
    <row r="1029" spans="1:1" x14ac:dyDescent="0.2">
      <c r="A1029" s="22">
        <v>0.51247042417526245</v>
      </c>
    </row>
    <row r="1030" spans="1:1" x14ac:dyDescent="0.2">
      <c r="A1030" s="22">
        <v>0.52671778202056885</v>
      </c>
    </row>
    <row r="1031" spans="1:1" x14ac:dyDescent="0.2">
      <c r="A1031" s="22">
        <v>0.35744982957839966</v>
      </c>
    </row>
    <row r="1032" spans="1:1" x14ac:dyDescent="0.2">
      <c r="A1032" s="22">
        <v>0.68233132362365723</v>
      </c>
    </row>
    <row r="1033" spans="1:1" x14ac:dyDescent="0.2">
      <c r="A1033" s="22">
        <v>0.94395393133163452</v>
      </c>
    </row>
    <row r="1034" spans="1:1" x14ac:dyDescent="0.2">
      <c r="A1034" s="22">
        <v>0.38778483867645264</v>
      </c>
    </row>
    <row r="1035" spans="1:1" x14ac:dyDescent="0.2">
      <c r="A1035" s="22">
        <v>0.55769592523574829</v>
      </c>
    </row>
    <row r="1036" spans="1:1" x14ac:dyDescent="0.2">
      <c r="A1036" s="22">
        <v>0.98125123977661133</v>
      </c>
    </row>
    <row r="1037" spans="1:1" x14ac:dyDescent="0.2">
      <c r="A1037" s="22">
        <v>0.59821957349777222</v>
      </c>
    </row>
    <row r="1038" spans="1:1" x14ac:dyDescent="0.2">
      <c r="A1038" s="22">
        <v>2.1911740303039551E-2</v>
      </c>
    </row>
    <row r="1039" spans="1:1" x14ac:dyDescent="0.2">
      <c r="A1039" s="22">
        <v>0.11454373598098755</v>
      </c>
    </row>
    <row r="1040" spans="1:1" x14ac:dyDescent="0.2">
      <c r="A1040" s="22">
        <v>0.18302226066589355</v>
      </c>
    </row>
    <row r="1041" spans="1:1" x14ac:dyDescent="0.2">
      <c r="A1041" s="22">
        <v>0.62596315145492554</v>
      </c>
    </row>
    <row r="1042" spans="1:1" x14ac:dyDescent="0.2">
      <c r="A1042" s="22">
        <v>0.28951108455657959</v>
      </c>
    </row>
    <row r="1043" spans="1:1" x14ac:dyDescent="0.2">
      <c r="A1043" s="22">
        <v>0.50925546884536743</v>
      </c>
    </row>
    <row r="1044" spans="1:1" x14ac:dyDescent="0.2">
      <c r="A1044" s="22">
        <v>0.65635776519775391</v>
      </c>
    </row>
    <row r="1045" spans="1:1" x14ac:dyDescent="0.2">
      <c r="A1045" s="22">
        <v>0.48354452848434448</v>
      </c>
    </row>
    <row r="1046" spans="1:1" x14ac:dyDescent="0.2">
      <c r="A1046" s="22">
        <v>0.13400328159332275</v>
      </c>
    </row>
    <row r="1047" spans="1:1" x14ac:dyDescent="0.2">
      <c r="A1047" s="22">
        <v>0.97406989336013794</v>
      </c>
    </row>
    <row r="1048" spans="1:1" x14ac:dyDescent="0.2">
      <c r="A1048" s="22">
        <v>0.51704144477844238</v>
      </c>
    </row>
    <row r="1049" spans="1:1" x14ac:dyDescent="0.2">
      <c r="A1049" s="22">
        <v>0.38611263036727905</v>
      </c>
    </row>
    <row r="1050" spans="1:1" x14ac:dyDescent="0.2">
      <c r="A1050" s="22">
        <v>0.22244155406951904</v>
      </c>
    </row>
    <row r="1051" spans="1:1" x14ac:dyDescent="0.2">
      <c r="A1051" s="22">
        <v>0.57032734155654907</v>
      </c>
    </row>
    <row r="1052" spans="1:1" x14ac:dyDescent="0.2">
      <c r="A1052" s="22">
        <v>0.39355230331420898</v>
      </c>
    </row>
    <row r="1053" spans="1:1" x14ac:dyDescent="0.2">
      <c r="A1053" s="22">
        <v>1.0730445384979248E-2</v>
      </c>
    </row>
    <row r="1054" spans="1:1" x14ac:dyDescent="0.2">
      <c r="A1054" s="22">
        <v>0.83613693714141846</v>
      </c>
    </row>
    <row r="1055" spans="1:1" x14ac:dyDescent="0.2">
      <c r="A1055" s="22">
        <v>0.51659470796585083</v>
      </c>
    </row>
    <row r="1056" spans="1:1" x14ac:dyDescent="0.2">
      <c r="A1056" s="22">
        <v>0.44268965721130371</v>
      </c>
    </row>
    <row r="1057" spans="1:1" x14ac:dyDescent="0.2">
      <c r="A1057" s="22">
        <v>0.44950002431869507</v>
      </c>
    </row>
    <row r="1058" spans="1:1" x14ac:dyDescent="0.2">
      <c r="A1058" s="22">
        <v>1.1283278465270996E-2</v>
      </c>
    </row>
    <row r="1059" spans="1:1" x14ac:dyDescent="0.2">
      <c r="A1059" s="22">
        <v>0.76679044961929321</v>
      </c>
    </row>
    <row r="1060" spans="1:1" x14ac:dyDescent="0.2">
      <c r="A1060" s="22">
        <v>0.61519813537597656</v>
      </c>
    </row>
    <row r="1061" spans="1:1" x14ac:dyDescent="0.2">
      <c r="A1061" s="22">
        <v>0.41268748044967651</v>
      </c>
    </row>
    <row r="1062" spans="1:1" x14ac:dyDescent="0.2">
      <c r="A1062" s="22">
        <v>0.92958223819732666</v>
      </c>
    </row>
    <row r="1063" spans="1:1" x14ac:dyDescent="0.2">
      <c r="A1063" s="22">
        <v>0.83830958604812622</v>
      </c>
    </row>
    <row r="1064" spans="1:1" x14ac:dyDescent="0.2">
      <c r="A1064" s="22">
        <v>0.17139267921447754</v>
      </c>
    </row>
    <row r="1065" spans="1:1" x14ac:dyDescent="0.2">
      <c r="A1065" s="22">
        <v>0.68184798955917358</v>
      </c>
    </row>
    <row r="1066" spans="1:1" x14ac:dyDescent="0.2">
      <c r="A1066" s="22">
        <v>0.55886828899383545</v>
      </c>
    </row>
    <row r="1067" spans="1:1" x14ac:dyDescent="0.2">
      <c r="A1067" s="22">
        <v>0.89014869928359985</v>
      </c>
    </row>
    <row r="1068" spans="1:1" x14ac:dyDescent="0.2">
      <c r="A1068" s="22">
        <v>0.44678354263305664</v>
      </c>
    </row>
    <row r="1069" spans="1:1" x14ac:dyDescent="0.2">
      <c r="A1069" s="22">
        <v>0.81295078992843628</v>
      </c>
    </row>
    <row r="1070" spans="1:1" x14ac:dyDescent="0.2">
      <c r="A1070" s="22">
        <v>0.54373371601104736</v>
      </c>
    </row>
    <row r="1071" spans="1:1" x14ac:dyDescent="0.2">
      <c r="A1071" s="22">
        <v>5.1030933856964111E-2</v>
      </c>
    </row>
    <row r="1072" spans="1:1" x14ac:dyDescent="0.2">
      <c r="A1072" s="22">
        <v>0.86770129203796387</v>
      </c>
    </row>
    <row r="1073" spans="1:1" x14ac:dyDescent="0.2">
      <c r="A1073" s="22">
        <v>8.95041823387146E-2</v>
      </c>
    </row>
    <row r="1074" spans="1:1" x14ac:dyDescent="0.2">
      <c r="A1074" s="22">
        <v>0.3461536169052124</v>
      </c>
    </row>
    <row r="1075" spans="1:1" x14ac:dyDescent="0.2">
      <c r="A1075" s="22">
        <v>0.99753099679946899</v>
      </c>
    </row>
    <row r="1076" spans="1:1" x14ac:dyDescent="0.2">
      <c r="A1076" s="22">
        <v>0.21692180633544922</v>
      </c>
    </row>
    <row r="1077" spans="1:1" x14ac:dyDescent="0.2">
      <c r="A1077" s="22">
        <v>0.72568053007125854</v>
      </c>
    </row>
    <row r="1078" spans="1:1" x14ac:dyDescent="0.2">
      <c r="A1078" s="22">
        <v>0.63611090183258057</v>
      </c>
    </row>
    <row r="1079" spans="1:1" x14ac:dyDescent="0.2">
      <c r="A1079" s="22">
        <v>0.7822001576423645</v>
      </c>
    </row>
    <row r="1080" spans="1:1" x14ac:dyDescent="0.2">
      <c r="A1080" s="22">
        <v>0.1492912769317627</v>
      </c>
    </row>
    <row r="1081" spans="1:1" x14ac:dyDescent="0.2">
      <c r="A1081" s="22">
        <v>0.31944125890731812</v>
      </c>
    </row>
    <row r="1082" spans="1:1" x14ac:dyDescent="0.2">
      <c r="A1082" s="22">
        <v>0.93222129344940186</v>
      </c>
    </row>
    <row r="1083" spans="1:1" x14ac:dyDescent="0.2">
      <c r="A1083" s="22">
        <v>0.91169124841690063</v>
      </c>
    </row>
    <row r="1084" spans="1:1" x14ac:dyDescent="0.2">
      <c r="A1084" s="22">
        <v>0.9573512077331543</v>
      </c>
    </row>
    <row r="1085" spans="1:1" x14ac:dyDescent="0.2">
      <c r="A1085" s="22">
        <v>0.55566185712814331</v>
      </c>
    </row>
    <row r="1086" spans="1:1" x14ac:dyDescent="0.2">
      <c r="A1086" s="22">
        <v>0.49235832691192627</v>
      </c>
    </row>
    <row r="1087" spans="1:1" x14ac:dyDescent="0.2">
      <c r="A1087" s="22">
        <v>0.67488366365432739</v>
      </c>
    </row>
    <row r="1088" spans="1:1" x14ac:dyDescent="0.2">
      <c r="A1088" s="22">
        <v>0.58696341514587402</v>
      </c>
    </row>
    <row r="1089" spans="1:1" x14ac:dyDescent="0.2">
      <c r="A1089" s="22">
        <v>0.15925687551498413</v>
      </c>
    </row>
    <row r="1090" spans="1:1" x14ac:dyDescent="0.2">
      <c r="A1090" s="22">
        <v>0.45427834987640381</v>
      </c>
    </row>
    <row r="1091" spans="1:1" x14ac:dyDescent="0.2">
      <c r="A1091" s="22">
        <v>0.72100836038589478</v>
      </c>
    </row>
    <row r="1092" spans="1:1" x14ac:dyDescent="0.2">
      <c r="A1092" s="22">
        <v>0.90293502807617188</v>
      </c>
    </row>
    <row r="1093" spans="1:1" x14ac:dyDescent="0.2">
      <c r="A1093" s="22">
        <v>9.8304927349090576E-2</v>
      </c>
    </row>
    <row r="1094" spans="1:1" x14ac:dyDescent="0.2">
      <c r="A1094" s="22">
        <v>0.22624552249908447</v>
      </c>
    </row>
    <row r="1095" spans="1:1" x14ac:dyDescent="0.2">
      <c r="A1095" s="22">
        <v>0.88777285814285278</v>
      </c>
    </row>
    <row r="1096" spans="1:1" x14ac:dyDescent="0.2">
      <c r="A1096" s="22">
        <v>0.20464348793029785</v>
      </c>
    </row>
    <row r="1097" spans="1:1" x14ac:dyDescent="0.2">
      <c r="A1097" s="22">
        <v>3.7173688411712646E-2</v>
      </c>
    </row>
    <row r="1098" spans="1:1" x14ac:dyDescent="0.2">
      <c r="A1098" s="22">
        <v>0.12765681743621826</v>
      </c>
    </row>
    <row r="1099" spans="1:1" x14ac:dyDescent="0.2">
      <c r="A1099" s="22">
        <v>0.27948623895645142</v>
      </c>
    </row>
    <row r="1100" spans="1:1" x14ac:dyDescent="0.2">
      <c r="A1100" s="22">
        <v>0.99166154861450195</v>
      </c>
    </row>
    <row r="1101" spans="1:1" x14ac:dyDescent="0.2">
      <c r="A1101" s="22">
        <v>3.9644896984100342E-2</v>
      </c>
    </row>
    <row r="1102" spans="1:1" x14ac:dyDescent="0.2">
      <c r="A1102" s="22">
        <v>0.27966701984405518</v>
      </c>
    </row>
    <row r="1103" spans="1:1" x14ac:dyDescent="0.2">
      <c r="A1103" s="22">
        <v>0.59518414735794067</v>
      </c>
    </row>
    <row r="1104" spans="1:1" x14ac:dyDescent="0.2">
      <c r="A1104" s="22">
        <v>0.97938227653503418</v>
      </c>
    </row>
    <row r="1105" spans="1:1" x14ac:dyDescent="0.2">
      <c r="A1105" s="22">
        <v>0.52203935384750366</v>
      </c>
    </row>
    <row r="1106" spans="1:1" x14ac:dyDescent="0.2">
      <c r="A1106" s="22">
        <v>0.74581372737884521</v>
      </c>
    </row>
    <row r="1107" spans="1:1" x14ac:dyDescent="0.2">
      <c r="A1107" s="22">
        <v>0.70675379037857056</v>
      </c>
    </row>
    <row r="1108" spans="1:1" x14ac:dyDescent="0.2">
      <c r="A1108" s="22">
        <v>0.36464405059814453</v>
      </c>
    </row>
    <row r="1109" spans="1:1" x14ac:dyDescent="0.2">
      <c r="A1109" s="22">
        <v>0.45634192228317261</v>
      </c>
    </row>
    <row r="1110" spans="1:1" x14ac:dyDescent="0.2">
      <c r="A1110" s="22">
        <v>0.92264235019683838</v>
      </c>
    </row>
    <row r="1111" spans="1:1" x14ac:dyDescent="0.2">
      <c r="A1111" s="22">
        <v>0.48705893754959106</v>
      </c>
    </row>
    <row r="1112" spans="1:1" x14ac:dyDescent="0.2">
      <c r="A1112" s="22">
        <v>0.34135556221008301</v>
      </c>
    </row>
    <row r="1113" spans="1:1" x14ac:dyDescent="0.2">
      <c r="A1113" s="22">
        <v>0.82332652807235718</v>
      </c>
    </row>
    <row r="1114" spans="1:1" x14ac:dyDescent="0.2">
      <c r="A1114" s="22">
        <v>0.18033111095428467</v>
      </c>
    </row>
    <row r="1115" spans="1:1" x14ac:dyDescent="0.2">
      <c r="A1115" s="22">
        <v>0.8880649209022522</v>
      </c>
    </row>
    <row r="1116" spans="1:1" x14ac:dyDescent="0.2">
      <c r="A1116" s="22">
        <v>0.86612081527709961</v>
      </c>
    </row>
    <row r="1117" spans="1:1" x14ac:dyDescent="0.2">
      <c r="A1117" s="22">
        <v>0.31568115949630737</v>
      </c>
    </row>
    <row r="1118" spans="1:1" x14ac:dyDescent="0.2">
      <c r="A1118" s="22">
        <v>0.75331604480743408</v>
      </c>
    </row>
    <row r="1119" spans="1:1" x14ac:dyDescent="0.2">
      <c r="A1119" s="22">
        <v>0.26896363496780396</v>
      </c>
    </row>
    <row r="1120" spans="1:1" x14ac:dyDescent="0.2">
      <c r="A1120" s="22">
        <v>0.67386412620544434</v>
      </c>
    </row>
    <row r="1121" spans="1:1" x14ac:dyDescent="0.2">
      <c r="A1121" s="22">
        <v>0.29113286733627319</v>
      </c>
    </row>
    <row r="1122" spans="1:1" x14ac:dyDescent="0.2">
      <c r="A1122" s="22">
        <v>0.88091599941253662</v>
      </c>
    </row>
    <row r="1123" spans="1:1" x14ac:dyDescent="0.2">
      <c r="A1123" s="22">
        <v>0.97429853677749634</v>
      </c>
    </row>
    <row r="1124" spans="1:1" x14ac:dyDescent="0.2">
      <c r="A1124" s="22">
        <v>0.54345512390136719</v>
      </c>
    </row>
    <row r="1125" spans="1:1" x14ac:dyDescent="0.2">
      <c r="A1125" s="22">
        <v>0.97557276487350464</v>
      </c>
    </row>
    <row r="1126" spans="1:1" x14ac:dyDescent="0.2">
      <c r="A1126" s="22">
        <v>0.19795763492584229</v>
      </c>
    </row>
    <row r="1127" spans="1:1" x14ac:dyDescent="0.2">
      <c r="A1127" s="22">
        <v>0.16208964586257935</v>
      </c>
    </row>
    <row r="1128" spans="1:1" x14ac:dyDescent="0.2">
      <c r="A1128" s="22">
        <v>0.81333374977111816</v>
      </c>
    </row>
    <row r="1129" spans="1:1" x14ac:dyDescent="0.2">
      <c r="A1129" s="22">
        <v>0.91618102788925171</v>
      </c>
    </row>
    <row r="1130" spans="1:1" x14ac:dyDescent="0.2">
      <c r="A1130" s="22">
        <v>0.37540042400360107</v>
      </c>
    </row>
    <row r="1131" spans="1:1" x14ac:dyDescent="0.2">
      <c r="A1131" s="22">
        <v>0.88195854425430298</v>
      </c>
    </row>
    <row r="1132" spans="1:1" x14ac:dyDescent="0.2">
      <c r="A1132" s="22">
        <v>0.14713525772094727</v>
      </c>
    </row>
    <row r="1133" spans="1:1" x14ac:dyDescent="0.2">
      <c r="A1133" s="22">
        <v>0.6845518946647644</v>
      </c>
    </row>
    <row r="1134" spans="1:1" x14ac:dyDescent="0.2">
      <c r="A1134" s="22">
        <v>1.0961651802062988E-2</v>
      </c>
    </row>
    <row r="1135" spans="1:1" x14ac:dyDescent="0.2">
      <c r="A1135" s="22">
        <v>0.40325337648391724</v>
      </c>
    </row>
    <row r="1136" spans="1:1" x14ac:dyDescent="0.2">
      <c r="A1136" s="22">
        <v>0.54931521415710449</v>
      </c>
    </row>
    <row r="1137" spans="1:1" x14ac:dyDescent="0.2">
      <c r="A1137" s="22">
        <v>0.82981866598129272</v>
      </c>
    </row>
    <row r="1138" spans="1:1" x14ac:dyDescent="0.2">
      <c r="A1138" s="22">
        <v>0.76974141597747803</v>
      </c>
    </row>
    <row r="1139" spans="1:1" x14ac:dyDescent="0.2">
      <c r="A1139" s="22">
        <v>0.79317384958267212</v>
      </c>
    </row>
    <row r="1140" spans="1:1" x14ac:dyDescent="0.2">
      <c r="A1140" s="22">
        <v>0.63077449798583984</v>
      </c>
    </row>
    <row r="1141" spans="1:1" x14ac:dyDescent="0.2">
      <c r="A1141" s="22">
        <v>8.177870512008667E-2</v>
      </c>
    </row>
    <row r="1142" spans="1:1" x14ac:dyDescent="0.2">
      <c r="A1142" s="22">
        <v>0.77484762668609619</v>
      </c>
    </row>
    <row r="1143" spans="1:1" x14ac:dyDescent="0.2">
      <c r="A1143" s="22">
        <v>0.74489623308181763</v>
      </c>
    </row>
    <row r="1144" spans="1:1" x14ac:dyDescent="0.2">
      <c r="A1144" s="22">
        <v>0.12448430061340332</v>
      </c>
    </row>
    <row r="1145" spans="1:1" x14ac:dyDescent="0.2">
      <c r="A1145" s="22">
        <v>0.80401843786239624</v>
      </c>
    </row>
    <row r="1146" spans="1:1" x14ac:dyDescent="0.2">
      <c r="A1146" s="22">
        <v>0.24802100658416748</v>
      </c>
    </row>
    <row r="1147" spans="1:1" x14ac:dyDescent="0.2">
      <c r="A1147" s="22">
        <v>0.65569835901260376</v>
      </c>
    </row>
    <row r="1148" spans="1:1" x14ac:dyDescent="0.2">
      <c r="A1148" s="22">
        <v>0.65111112594604492</v>
      </c>
    </row>
    <row r="1149" spans="1:1" x14ac:dyDescent="0.2">
      <c r="A1149" s="22">
        <v>0.69703835248947144</v>
      </c>
    </row>
    <row r="1150" spans="1:1" x14ac:dyDescent="0.2">
      <c r="A1150" s="22">
        <v>0.40026009082794189</v>
      </c>
    </row>
    <row r="1151" spans="1:1" x14ac:dyDescent="0.2">
      <c r="A1151" s="22">
        <v>0.95508462190628052</v>
      </c>
    </row>
    <row r="1152" spans="1:1" x14ac:dyDescent="0.2">
      <c r="A1152" s="22">
        <v>0.73464179039001465</v>
      </c>
    </row>
    <row r="1153" spans="1:1" x14ac:dyDescent="0.2">
      <c r="A1153" s="22">
        <v>0.75137799978256226</v>
      </c>
    </row>
    <row r="1154" spans="1:1" x14ac:dyDescent="0.2">
      <c r="A1154" s="22">
        <v>0.57244622707366943</v>
      </c>
    </row>
    <row r="1155" spans="1:1" x14ac:dyDescent="0.2">
      <c r="A1155" s="22">
        <v>0.6829109787940979</v>
      </c>
    </row>
    <row r="1156" spans="1:1" x14ac:dyDescent="0.2">
      <c r="A1156" s="22">
        <v>6.80084228515625E-2</v>
      </c>
    </row>
    <row r="1157" spans="1:1" x14ac:dyDescent="0.2">
      <c r="A1157" s="22">
        <v>0.4507409930229187</v>
      </c>
    </row>
    <row r="1158" spans="1:1" x14ac:dyDescent="0.2">
      <c r="A1158" s="22">
        <v>0.6259685754776001</v>
      </c>
    </row>
    <row r="1159" spans="1:1" x14ac:dyDescent="0.2">
      <c r="A1159" s="22">
        <v>0.31750994920730591</v>
      </c>
    </row>
    <row r="1160" spans="1:1" x14ac:dyDescent="0.2">
      <c r="A1160" s="22">
        <v>2.8713464736938477E-2</v>
      </c>
    </row>
    <row r="1161" spans="1:1" x14ac:dyDescent="0.2">
      <c r="A1161" s="22">
        <v>0.22512000799179077</v>
      </c>
    </row>
    <row r="1162" spans="1:1" x14ac:dyDescent="0.2">
      <c r="A1162" s="22">
        <v>0.58334910869598389</v>
      </c>
    </row>
    <row r="1163" spans="1:1" x14ac:dyDescent="0.2">
      <c r="A1163" s="22">
        <v>0.85381561517715454</v>
      </c>
    </row>
    <row r="1164" spans="1:1" x14ac:dyDescent="0.2">
      <c r="A1164" s="22">
        <v>0.44445466995239258</v>
      </c>
    </row>
    <row r="1165" spans="1:1" x14ac:dyDescent="0.2">
      <c r="A1165" s="22">
        <v>0.15392178297042847</v>
      </c>
    </row>
    <row r="1166" spans="1:1" x14ac:dyDescent="0.2">
      <c r="A1166" s="22">
        <v>0.5188676118850708</v>
      </c>
    </row>
    <row r="1167" spans="1:1" x14ac:dyDescent="0.2">
      <c r="A1167" s="22">
        <v>0.1314886212348938</v>
      </c>
    </row>
    <row r="1168" spans="1:1" x14ac:dyDescent="0.2">
      <c r="A1168" s="22">
        <v>0.6087501049041748</v>
      </c>
    </row>
    <row r="1169" spans="1:1" x14ac:dyDescent="0.2">
      <c r="A1169" s="22">
        <v>0.91909211874008179</v>
      </c>
    </row>
    <row r="1170" spans="1:1" x14ac:dyDescent="0.2">
      <c r="A1170" s="22">
        <v>0.69918668270111084</v>
      </c>
    </row>
    <row r="1171" spans="1:1" x14ac:dyDescent="0.2">
      <c r="A1171" s="22">
        <v>0.41304117441177368</v>
      </c>
    </row>
    <row r="1172" spans="1:1" x14ac:dyDescent="0.2">
      <c r="A1172" s="22">
        <v>0.54656314849853516</v>
      </c>
    </row>
    <row r="1173" spans="1:1" x14ac:dyDescent="0.2">
      <c r="A1173" s="22">
        <v>8.2408785820007324E-3</v>
      </c>
    </row>
    <row r="1174" spans="1:1" x14ac:dyDescent="0.2">
      <c r="A1174" s="22">
        <v>0.973976731300354</v>
      </c>
    </row>
    <row r="1175" spans="1:1" x14ac:dyDescent="0.2">
      <c r="A1175" s="22">
        <v>0.21196204423904419</v>
      </c>
    </row>
    <row r="1176" spans="1:1" x14ac:dyDescent="0.2">
      <c r="A1176" s="22">
        <v>0.52992749214172363</v>
      </c>
    </row>
    <row r="1177" spans="1:1" x14ac:dyDescent="0.2">
      <c r="A1177" s="22">
        <v>0.1677669882774353</v>
      </c>
    </row>
    <row r="1178" spans="1:1" x14ac:dyDescent="0.2">
      <c r="A1178" s="22">
        <v>0.41654098033905029</v>
      </c>
    </row>
    <row r="1179" spans="1:1" x14ac:dyDescent="0.2">
      <c r="A1179" s="22">
        <v>0.37084156274795532</v>
      </c>
    </row>
    <row r="1180" spans="1:1" x14ac:dyDescent="0.2">
      <c r="A1180" s="22">
        <v>0.84357213973999023</v>
      </c>
    </row>
    <row r="1181" spans="1:1" x14ac:dyDescent="0.2">
      <c r="A1181" s="22">
        <v>0.1059834361076355</v>
      </c>
    </row>
    <row r="1182" spans="1:1" x14ac:dyDescent="0.2">
      <c r="A1182" s="22">
        <v>0.21444046497344971</v>
      </c>
    </row>
    <row r="1183" spans="1:1" x14ac:dyDescent="0.2">
      <c r="A1183" s="22">
        <v>0.38949662446975708</v>
      </c>
    </row>
    <row r="1184" spans="1:1" x14ac:dyDescent="0.2">
      <c r="A1184" s="22">
        <v>0.80054640769958496</v>
      </c>
    </row>
    <row r="1185" spans="1:1" x14ac:dyDescent="0.2">
      <c r="A1185" s="22">
        <v>0.44624227285385132</v>
      </c>
    </row>
    <row r="1186" spans="1:1" x14ac:dyDescent="0.2">
      <c r="A1186" s="22">
        <v>0.81011903285980225</v>
      </c>
    </row>
    <row r="1187" spans="1:1" x14ac:dyDescent="0.2">
      <c r="A1187" s="22">
        <v>3.0956864356994629E-3</v>
      </c>
    </row>
    <row r="1188" spans="1:1" x14ac:dyDescent="0.2">
      <c r="A1188" s="22">
        <v>7.8449249267578125E-3</v>
      </c>
    </row>
    <row r="1189" spans="1:1" x14ac:dyDescent="0.2">
      <c r="A1189" s="22">
        <v>0.93005961179733276</v>
      </c>
    </row>
    <row r="1190" spans="1:1" x14ac:dyDescent="0.2">
      <c r="A1190" s="22">
        <v>0.29152834415435791</v>
      </c>
    </row>
    <row r="1191" spans="1:1" x14ac:dyDescent="0.2">
      <c r="A1191" s="22">
        <v>1.0283768177032471E-2</v>
      </c>
    </row>
    <row r="1192" spans="1:1" x14ac:dyDescent="0.2">
      <c r="A1192" s="22">
        <v>0.88203263282775879</v>
      </c>
    </row>
    <row r="1193" spans="1:1" x14ac:dyDescent="0.2">
      <c r="A1193" s="22">
        <v>0.87024062871932983</v>
      </c>
    </row>
    <row r="1194" spans="1:1" x14ac:dyDescent="0.2">
      <c r="A1194" s="22">
        <v>3.2752871513366699E-2</v>
      </c>
    </row>
    <row r="1195" spans="1:1" x14ac:dyDescent="0.2">
      <c r="A1195" s="22">
        <v>0.3513074517250061</v>
      </c>
    </row>
    <row r="1196" spans="1:1" x14ac:dyDescent="0.2">
      <c r="A1196" s="22">
        <v>0.41486978530883789</v>
      </c>
    </row>
    <row r="1197" spans="1:1" x14ac:dyDescent="0.2">
      <c r="A1197" s="22">
        <v>0.85400456190109253</v>
      </c>
    </row>
    <row r="1198" spans="1:1" x14ac:dyDescent="0.2">
      <c r="A1198" s="22">
        <v>0.58463490009307861</v>
      </c>
    </row>
    <row r="1199" spans="1:1" x14ac:dyDescent="0.2">
      <c r="A1199" s="22">
        <v>0.43613988161087036</v>
      </c>
    </row>
    <row r="1200" spans="1:1" x14ac:dyDescent="0.2">
      <c r="A1200" s="22">
        <v>0.18893694877624512</v>
      </c>
    </row>
    <row r="1201" spans="1:1" x14ac:dyDescent="0.2">
      <c r="A1201" s="22">
        <v>0.69610971212387085</v>
      </c>
    </row>
    <row r="1202" spans="1:1" x14ac:dyDescent="0.2">
      <c r="A1202" s="22">
        <v>0.81539952754974365</v>
      </c>
    </row>
    <row r="1203" spans="1:1" x14ac:dyDescent="0.2">
      <c r="A1203" s="22">
        <v>0.72260576486587524</v>
      </c>
    </row>
    <row r="1204" spans="1:1" x14ac:dyDescent="0.2">
      <c r="A1204" s="22">
        <v>0.64326000213623047</v>
      </c>
    </row>
    <row r="1205" spans="1:1" x14ac:dyDescent="0.2">
      <c r="A1205" s="22">
        <v>0.64197844266891479</v>
      </c>
    </row>
    <row r="1206" spans="1:1" x14ac:dyDescent="0.2">
      <c r="A1206" s="22">
        <v>0.30127966403961182</v>
      </c>
    </row>
    <row r="1207" spans="1:1" x14ac:dyDescent="0.2">
      <c r="A1207" s="22">
        <v>0.54450637102127075</v>
      </c>
    </row>
    <row r="1208" spans="1:1" x14ac:dyDescent="0.2">
      <c r="A1208" s="22">
        <v>0.58893513679504395</v>
      </c>
    </row>
    <row r="1209" spans="1:1" x14ac:dyDescent="0.2">
      <c r="A1209" s="22">
        <v>0.82082217931747437</v>
      </c>
    </row>
    <row r="1210" spans="1:1" x14ac:dyDescent="0.2">
      <c r="A1210" s="22">
        <v>0.96714103221893311</v>
      </c>
    </row>
    <row r="1211" spans="1:1" x14ac:dyDescent="0.2">
      <c r="A1211" s="22">
        <v>0.18974453210830688</v>
      </c>
    </row>
    <row r="1212" spans="1:1" x14ac:dyDescent="0.2">
      <c r="A1212" s="22">
        <v>0.97475385665893555</v>
      </c>
    </row>
    <row r="1213" spans="1:1" x14ac:dyDescent="0.2">
      <c r="A1213" s="22">
        <v>0.94876641035079956</v>
      </c>
    </row>
    <row r="1214" spans="1:1" x14ac:dyDescent="0.2">
      <c r="A1214" s="22">
        <v>0.97710716724395752</v>
      </c>
    </row>
    <row r="1215" spans="1:1" x14ac:dyDescent="0.2">
      <c r="A1215" s="22">
        <v>0.22844964265823364</v>
      </c>
    </row>
    <row r="1216" spans="1:1" x14ac:dyDescent="0.2">
      <c r="A1216" s="22">
        <v>0.90282797813415527</v>
      </c>
    </row>
    <row r="1217" spans="1:1" x14ac:dyDescent="0.2">
      <c r="A1217" s="22">
        <v>0.28197568655014038</v>
      </c>
    </row>
    <row r="1218" spans="1:1" x14ac:dyDescent="0.2">
      <c r="A1218" s="22">
        <v>0.87518441677093506</v>
      </c>
    </row>
    <row r="1219" spans="1:1" x14ac:dyDescent="0.2">
      <c r="A1219" s="22">
        <v>9.1102659702301025E-2</v>
      </c>
    </row>
    <row r="1220" spans="1:1" x14ac:dyDescent="0.2">
      <c r="A1220" s="22">
        <v>0.89421463012695313</v>
      </c>
    </row>
    <row r="1221" spans="1:1" x14ac:dyDescent="0.2">
      <c r="A1221" s="22">
        <v>0.81977862119674683</v>
      </c>
    </row>
    <row r="1222" spans="1:1" x14ac:dyDescent="0.2">
      <c r="A1222" s="22">
        <v>0.97588694095611572</v>
      </c>
    </row>
    <row r="1223" spans="1:1" x14ac:dyDescent="0.2">
      <c r="A1223" s="22">
        <v>0.89666110277175903</v>
      </c>
    </row>
    <row r="1224" spans="1:1" x14ac:dyDescent="0.2">
      <c r="A1224" s="22">
        <v>0.4045412540435791</v>
      </c>
    </row>
    <row r="1225" spans="1:1" x14ac:dyDescent="0.2">
      <c r="A1225" s="22">
        <v>0.7577928900718689</v>
      </c>
    </row>
    <row r="1226" spans="1:1" x14ac:dyDescent="0.2">
      <c r="A1226" s="22">
        <v>4.8617124557495117E-3</v>
      </c>
    </row>
    <row r="1227" spans="1:1" x14ac:dyDescent="0.2">
      <c r="A1227" s="22">
        <v>0.53068405389785767</v>
      </c>
    </row>
    <row r="1228" spans="1:1" x14ac:dyDescent="0.2">
      <c r="A1228" s="22">
        <v>0.5896306037902832</v>
      </c>
    </row>
    <row r="1229" spans="1:1" x14ac:dyDescent="0.2">
      <c r="A1229" s="22">
        <v>0.19105023145675659</v>
      </c>
    </row>
    <row r="1230" spans="1:1" x14ac:dyDescent="0.2">
      <c r="A1230" s="22">
        <v>0.98951351642608643</v>
      </c>
    </row>
    <row r="1231" spans="1:1" x14ac:dyDescent="0.2">
      <c r="A1231" s="22">
        <v>0.97345715761184692</v>
      </c>
    </row>
    <row r="1232" spans="1:1" x14ac:dyDescent="0.2">
      <c r="A1232" s="22">
        <v>0.32112574577331543</v>
      </c>
    </row>
    <row r="1233" spans="1:1" x14ac:dyDescent="0.2">
      <c r="A1233" s="22">
        <v>6.7121446132659912E-2</v>
      </c>
    </row>
    <row r="1234" spans="1:1" x14ac:dyDescent="0.2">
      <c r="A1234" s="22">
        <v>0.39962995052337646</v>
      </c>
    </row>
    <row r="1235" spans="1:1" x14ac:dyDescent="0.2">
      <c r="A1235" s="22">
        <v>0.87811762094497681</v>
      </c>
    </row>
    <row r="1236" spans="1:1" x14ac:dyDescent="0.2">
      <c r="A1236" s="22">
        <v>0.45211505889892578</v>
      </c>
    </row>
    <row r="1237" spans="1:1" x14ac:dyDescent="0.2">
      <c r="A1237" s="22">
        <v>0.38924139738082886</v>
      </c>
    </row>
    <row r="1238" spans="1:1" x14ac:dyDescent="0.2">
      <c r="A1238" s="22">
        <v>0.53800642490386963</v>
      </c>
    </row>
    <row r="1239" spans="1:1" x14ac:dyDescent="0.2">
      <c r="A1239" s="22">
        <v>0.39877921342849731</v>
      </c>
    </row>
    <row r="1240" spans="1:1" x14ac:dyDescent="0.2">
      <c r="A1240" s="22">
        <v>0.33275723457336426</v>
      </c>
    </row>
    <row r="1241" spans="1:1" x14ac:dyDescent="0.2">
      <c r="A1241" s="22">
        <v>0.66943401098251343</v>
      </c>
    </row>
    <row r="1242" spans="1:1" x14ac:dyDescent="0.2">
      <c r="A1242" s="22">
        <v>0.18107116222381592</v>
      </c>
    </row>
    <row r="1243" spans="1:1" x14ac:dyDescent="0.2">
      <c r="A1243" s="22">
        <v>0.26865726709365845</v>
      </c>
    </row>
    <row r="1244" spans="1:1" x14ac:dyDescent="0.2">
      <c r="A1244" s="22">
        <v>0.57590627670288086</v>
      </c>
    </row>
    <row r="1245" spans="1:1" x14ac:dyDescent="0.2">
      <c r="A1245" s="22">
        <v>0.63163727521896362</v>
      </c>
    </row>
    <row r="1246" spans="1:1" x14ac:dyDescent="0.2">
      <c r="A1246" s="22">
        <v>0.46951019763946533</v>
      </c>
    </row>
    <row r="1247" spans="1:1" x14ac:dyDescent="0.2">
      <c r="A1247" s="22">
        <v>0.12819367647171021</v>
      </c>
    </row>
    <row r="1248" spans="1:1" x14ac:dyDescent="0.2">
      <c r="A1248" s="22">
        <v>7.2736501693725586E-2</v>
      </c>
    </row>
    <row r="1249" spans="1:1" x14ac:dyDescent="0.2">
      <c r="A1249" s="22">
        <v>0.16482824087142944</v>
      </c>
    </row>
    <row r="1250" spans="1:1" x14ac:dyDescent="0.2">
      <c r="A1250" s="22">
        <v>4.8892378807067871E-2</v>
      </c>
    </row>
    <row r="1251" spans="1:1" x14ac:dyDescent="0.2">
      <c r="A1251" s="22">
        <v>0.10318189859390259</v>
      </c>
    </row>
    <row r="1252" spans="1:1" x14ac:dyDescent="0.2">
      <c r="A1252" s="22">
        <v>0.25836753845214844</v>
      </c>
    </row>
    <row r="1253" spans="1:1" x14ac:dyDescent="0.2">
      <c r="A1253" s="22">
        <v>0.52614802122116089</v>
      </c>
    </row>
    <row r="1254" spans="1:1" x14ac:dyDescent="0.2">
      <c r="A1254" s="22">
        <v>0.46029436588287354</v>
      </c>
    </row>
    <row r="1255" spans="1:1" x14ac:dyDescent="0.2">
      <c r="A1255" s="22">
        <v>0.6328919529914856</v>
      </c>
    </row>
    <row r="1256" spans="1:1" x14ac:dyDescent="0.2">
      <c r="A1256" s="22">
        <v>0.62748932838439941</v>
      </c>
    </row>
    <row r="1257" spans="1:1" x14ac:dyDescent="0.2">
      <c r="A1257" s="22">
        <v>0.79402679204940796</v>
      </c>
    </row>
    <row r="1258" spans="1:1" x14ac:dyDescent="0.2">
      <c r="A1258" s="22">
        <v>0.78092563152313232</v>
      </c>
    </row>
    <row r="1259" spans="1:1" x14ac:dyDescent="0.2">
      <c r="A1259" s="22">
        <v>0.54819542169570923</v>
      </c>
    </row>
    <row r="1260" spans="1:1" x14ac:dyDescent="0.2">
      <c r="A1260" s="22">
        <v>0.49998712539672852</v>
      </c>
    </row>
    <row r="1261" spans="1:1" x14ac:dyDescent="0.2">
      <c r="A1261" s="22">
        <v>0.57130879163742065</v>
      </c>
    </row>
    <row r="1262" spans="1:1" x14ac:dyDescent="0.2">
      <c r="A1262" s="22">
        <v>0.51475346088409424</v>
      </c>
    </row>
    <row r="1263" spans="1:1" x14ac:dyDescent="0.2">
      <c r="A1263" s="22">
        <v>0.39969044923782349</v>
      </c>
    </row>
    <row r="1264" spans="1:1" x14ac:dyDescent="0.2">
      <c r="A1264" s="22">
        <v>3.6566495895385742E-2</v>
      </c>
    </row>
    <row r="1265" spans="1:1" x14ac:dyDescent="0.2">
      <c r="A1265" s="22">
        <v>0.93837732076644897</v>
      </c>
    </row>
    <row r="1266" spans="1:1" x14ac:dyDescent="0.2">
      <c r="A1266" s="22">
        <v>0.73312795162200928</v>
      </c>
    </row>
    <row r="1267" spans="1:1" x14ac:dyDescent="0.2">
      <c r="A1267" s="22">
        <v>3.5826742649078369E-2</v>
      </c>
    </row>
    <row r="1268" spans="1:1" x14ac:dyDescent="0.2">
      <c r="A1268" s="22">
        <v>0.50437831878662109</v>
      </c>
    </row>
    <row r="1269" spans="1:1" x14ac:dyDescent="0.2">
      <c r="A1269" s="22">
        <v>0.65627974271774292</v>
      </c>
    </row>
    <row r="1270" spans="1:1" x14ac:dyDescent="0.2">
      <c r="A1270" s="22">
        <v>0.46540701389312744</v>
      </c>
    </row>
    <row r="1271" spans="1:1" x14ac:dyDescent="0.2">
      <c r="A1271" s="22">
        <v>0.43103057146072388</v>
      </c>
    </row>
    <row r="1272" spans="1:1" x14ac:dyDescent="0.2">
      <c r="A1272" s="22">
        <v>0.79264378547668457</v>
      </c>
    </row>
    <row r="1273" spans="1:1" x14ac:dyDescent="0.2">
      <c r="A1273" s="22">
        <v>0.61985248327255249</v>
      </c>
    </row>
    <row r="1274" spans="1:1" x14ac:dyDescent="0.2">
      <c r="A1274" s="22">
        <v>0.33958137035369873</v>
      </c>
    </row>
    <row r="1275" spans="1:1" x14ac:dyDescent="0.2">
      <c r="A1275" s="22">
        <v>0.76382976770401001</v>
      </c>
    </row>
    <row r="1276" spans="1:1" x14ac:dyDescent="0.2">
      <c r="A1276" s="22">
        <v>0.17827939987182617</v>
      </c>
    </row>
    <row r="1277" spans="1:1" x14ac:dyDescent="0.2">
      <c r="A1277" s="22">
        <v>0.56084603071212769</v>
      </c>
    </row>
    <row r="1278" spans="1:1" x14ac:dyDescent="0.2">
      <c r="A1278" s="22">
        <v>0.47289955615997314</v>
      </c>
    </row>
    <row r="1279" spans="1:1" x14ac:dyDescent="0.2">
      <c r="A1279" s="22">
        <v>0.74497872591018677</v>
      </c>
    </row>
    <row r="1280" spans="1:1" x14ac:dyDescent="0.2">
      <c r="A1280" s="22">
        <v>0.3415219783782959</v>
      </c>
    </row>
    <row r="1281" spans="1:1" x14ac:dyDescent="0.2">
      <c r="A1281" s="22">
        <v>1.0499358177185059E-3</v>
      </c>
    </row>
    <row r="1282" spans="1:1" x14ac:dyDescent="0.2">
      <c r="A1282" s="22">
        <v>0.61249291896820068</v>
      </c>
    </row>
    <row r="1283" spans="1:1" x14ac:dyDescent="0.2">
      <c r="A1283" s="22">
        <v>0.19558340311050415</v>
      </c>
    </row>
    <row r="1284" spans="1:1" x14ac:dyDescent="0.2">
      <c r="A1284" s="22">
        <v>0.63155364990234375</v>
      </c>
    </row>
    <row r="1285" spans="1:1" x14ac:dyDescent="0.2">
      <c r="A1285" s="22">
        <v>0.45541781187057495</v>
      </c>
    </row>
    <row r="1286" spans="1:1" x14ac:dyDescent="0.2">
      <c r="A1286" s="22">
        <v>0.52600061893463135</v>
      </c>
    </row>
    <row r="1287" spans="1:1" x14ac:dyDescent="0.2">
      <c r="A1287" s="22">
        <v>0.87522631883621216</v>
      </c>
    </row>
    <row r="1288" spans="1:1" x14ac:dyDescent="0.2">
      <c r="A1288" s="22">
        <v>0.58212685585021973</v>
      </c>
    </row>
    <row r="1289" spans="1:1" x14ac:dyDescent="0.2">
      <c r="A1289" s="22">
        <v>0.88519233465194702</v>
      </c>
    </row>
    <row r="1290" spans="1:1" x14ac:dyDescent="0.2">
      <c r="A1290" s="22">
        <v>0.64219462871551514</v>
      </c>
    </row>
    <row r="1291" spans="1:1" x14ac:dyDescent="0.2">
      <c r="A1291" s="22">
        <v>0.56009155511856079</v>
      </c>
    </row>
    <row r="1292" spans="1:1" x14ac:dyDescent="0.2">
      <c r="A1292" s="22">
        <v>0.67718935012817383</v>
      </c>
    </row>
    <row r="1293" spans="1:1" x14ac:dyDescent="0.2">
      <c r="A1293" s="22">
        <v>0.40103024244308472</v>
      </c>
    </row>
    <row r="1294" spans="1:1" x14ac:dyDescent="0.2">
      <c r="A1294" s="22">
        <v>0.94160473346710205</v>
      </c>
    </row>
    <row r="1295" spans="1:1" x14ac:dyDescent="0.2">
      <c r="A1295" s="22">
        <v>0.37108975648880005</v>
      </c>
    </row>
    <row r="1296" spans="1:1" x14ac:dyDescent="0.2">
      <c r="A1296" s="22">
        <v>0.36650919914245605</v>
      </c>
    </row>
    <row r="1297" spans="1:1" x14ac:dyDescent="0.2">
      <c r="A1297" s="22">
        <v>0.21612733602523804</v>
      </c>
    </row>
    <row r="1298" spans="1:1" x14ac:dyDescent="0.2">
      <c r="A1298" s="22">
        <v>9.714353084564209E-2</v>
      </c>
    </row>
    <row r="1299" spans="1:1" x14ac:dyDescent="0.2">
      <c r="A1299" s="22">
        <v>0.35198312997817993</v>
      </c>
    </row>
    <row r="1300" spans="1:1" x14ac:dyDescent="0.2">
      <c r="A1300" s="22">
        <v>0.33129978179931641</v>
      </c>
    </row>
    <row r="1301" spans="1:1" x14ac:dyDescent="0.2">
      <c r="A1301" s="22">
        <v>0.84934347867965698</v>
      </c>
    </row>
    <row r="1302" spans="1:1" x14ac:dyDescent="0.2">
      <c r="A1302" s="22">
        <v>0.86473143100738525</v>
      </c>
    </row>
    <row r="1303" spans="1:1" x14ac:dyDescent="0.2">
      <c r="A1303" s="22">
        <v>0.29751044511795044</v>
      </c>
    </row>
    <row r="1304" spans="1:1" x14ac:dyDescent="0.2">
      <c r="A1304" s="22">
        <v>0.99984478950500488</v>
      </c>
    </row>
    <row r="1305" spans="1:1" x14ac:dyDescent="0.2">
      <c r="A1305" s="22">
        <v>0.57832759618759155</v>
      </c>
    </row>
    <row r="1306" spans="1:1" x14ac:dyDescent="0.2">
      <c r="A1306" s="22">
        <v>0.72392165660858154</v>
      </c>
    </row>
    <row r="1307" spans="1:1" x14ac:dyDescent="0.2">
      <c r="A1307" s="22">
        <v>0.83151203393936157</v>
      </c>
    </row>
    <row r="1308" spans="1:1" x14ac:dyDescent="0.2">
      <c r="A1308" s="22">
        <v>0.31312322616577148</v>
      </c>
    </row>
    <row r="1309" spans="1:1" x14ac:dyDescent="0.2">
      <c r="A1309" s="22">
        <v>0.14264267683029175</v>
      </c>
    </row>
    <row r="1310" spans="1:1" x14ac:dyDescent="0.2">
      <c r="A1310" s="22">
        <v>0.76852524280548096</v>
      </c>
    </row>
    <row r="1311" spans="1:1" x14ac:dyDescent="0.2">
      <c r="A1311" s="22">
        <v>0.73505479097366333</v>
      </c>
    </row>
    <row r="1312" spans="1:1" x14ac:dyDescent="0.2">
      <c r="A1312" s="22">
        <v>0.74043440818786621</v>
      </c>
    </row>
    <row r="1313" spans="1:1" x14ac:dyDescent="0.2">
      <c r="A1313" s="22">
        <v>0.69689077138900757</v>
      </c>
    </row>
    <row r="1314" spans="1:1" x14ac:dyDescent="0.2">
      <c r="A1314" s="22">
        <v>0.8472360372543335</v>
      </c>
    </row>
    <row r="1315" spans="1:1" x14ac:dyDescent="0.2">
      <c r="A1315" s="22">
        <v>0.52455717325210571</v>
      </c>
    </row>
    <row r="1316" spans="1:1" x14ac:dyDescent="0.2">
      <c r="A1316" s="22">
        <v>0.54502296447753906</v>
      </c>
    </row>
    <row r="1317" spans="1:1" x14ac:dyDescent="0.2">
      <c r="A1317" s="22">
        <v>1.3837993144989014E-2</v>
      </c>
    </row>
    <row r="1318" spans="1:1" x14ac:dyDescent="0.2">
      <c r="A1318" s="22">
        <v>0.95425570011138916</v>
      </c>
    </row>
    <row r="1319" spans="1:1" x14ac:dyDescent="0.2">
      <c r="A1319" s="22">
        <v>0.27991420030593872</v>
      </c>
    </row>
    <row r="1320" spans="1:1" x14ac:dyDescent="0.2">
      <c r="A1320" s="22">
        <v>0.29970383644104004</v>
      </c>
    </row>
    <row r="1321" spans="1:1" x14ac:dyDescent="0.2">
      <c r="A1321" s="22">
        <v>0.93753951787948608</v>
      </c>
    </row>
    <row r="1322" spans="1:1" x14ac:dyDescent="0.2">
      <c r="A1322" s="22">
        <v>0.86991870403289795</v>
      </c>
    </row>
    <row r="1323" spans="1:1" x14ac:dyDescent="0.2">
      <c r="A1323" s="22">
        <v>0.72262245416641235</v>
      </c>
    </row>
    <row r="1324" spans="1:1" x14ac:dyDescent="0.2">
      <c r="A1324" s="22">
        <v>0.65248727798461914</v>
      </c>
    </row>
    <row r="1325" spans="1:1" x14ac:dyDescent="0.2">
      <c r="A1325" s="22">
        <v>8.6464583873748779E-2</v>
      </c>
    </row>
    <row r="1326" spans="1:1" x14ac:dyDescent="0.2">
      <c r="A1326" s="22">
        <v>5.1317334175109863E-2</v>
      </c>
    </row>
    <row r="1327" spans="1:1" x14ac:dyDescent="0.2">
      <c r="A1327" s="22">
        <v>0.54390507936477661</v>
      </c>
    </row>
    <row r="1328" spans="1:1" x14ac:dyDescent="0.2">
      <c r="A1328" s="22">
        <v>0.34220385551452637</v>
      </c>
    </row>
    <row r="1329" spans="1:1" x14ac:dyDescent="0.2">
      <c r="A1329" s="22">
        <v>0.8066214919090271</v>
      </c>
    </row>
    <row r="1330" spans="1:1" x14ac:dyDescent="0.2">
      <c r="A1330" s="22">
        <v>0.7729266881942749</v>
      </c>
    </row>
    <row r="1331" spans="1:1" x14ac:dyDescent="0.2">
      <c r="A1331" s="22">
        <v>0.98283678293228149</v>
      </c>
    </row>
    <row r="1332" spans="1:1" x14ac:dyDescent="0.2">
      <c r="A1332" s="22">
        <v>0.46412944793701172</v>
      </c>
    </row>
    <row r="1333" spans="1:1" x14ac:dyDescent="0.2">
      <c r="A1333" s="22">
        <v>0.37468260526657104</v>
      </c>
    </row>
    <row r="1334" spans="1:1" x14ac:dyDescent="0.2">
      <c r="A1334" s="22">
        <v>0.51722967624664307</v>
      </c>
    </row>
    <row r="1335" spans="1:1" x14ac:dyDescent="0.2">
      <c r="A1335" s="22">
        <v>0.654468834400177</v>
      </c>
    </row>
    <row r="1336" spans="1:1" x14ac:dyDescent="0.2">
      <c r="A1336" s="22">
        <v>0.9856102466583252</v>
      </c>
    </row>
    <row r="1337" spans="1:1" x14ac:dyDescent="0.2">
      <c r="A1337" s="22">
        <v>0.45110934972763062</v>
      </c>
    </row>
    <row r="1338" spans="1:1" x14ac:dyDescent="0.2">
      <c r="A1338" s="22">
        <v>0.61534202098846436</v>
      </c>
    </row>
    <row r="1339" spans="1:1" x14ac:dyDescent="0.2">
      <c r="A1339" s="22">
        <v>0.62795406579971313</v>
      </c>
    </row>
    <row r="1340" spans="1:1" x14ac:dyDescent="0.2">
      <c r="A1340" s="22">
        <v>0.5116877555847168</v>
      </c>
    </row>
    <row r="1341" spans="1:1" x14ac:dyDescent="0.2">
      <c r="A1341" s="22">
        <v>0.78327721357345581</v>
      </c>
    </row>
    <row r="1342" spans="1:1" x14ac:dyDescent="0.2">
      <c r="A1342" s="22">
        <v>0.13763725757598877</v>
      </c>
    </row>
    <row r="1343" spans="1:1" x14ac:dyDescent="0.2">
      <c r="A1343" s="22">
        <v>0.75467187166213989</v>
      </c>
    </row>
    <row r="1344" spans="1:1" x14ac:dyDescent="0.2">
      <c r="A1344" s="22">
        <v>0.30072379112243652</v>
      </c>
    </row>
    <row r="1345" spans="1:1" x14ac:dyDescent="0.2">
      <c r="A1345" s="22">
        <v>0.15860074758529663</v>
      </c>
    </row>
    <row r="1346" spans="1:1" x14ac:dyDescent="0.2">
      <c r="A1346" s="22">
        <v>3.4371733665466309E-2</v>
      </c>
    </row>
    <row r="1347" spans="1:1" x14ac:dyDescent="0.2">
      <c r="A1347" s="22">
        <v>0.24635320901870728</v>
      </c>
    </row>
    <row r="1348" spans="1:1" x14ac:dyDescent="0.2">
      <c r="A1348" s="22">
        <v>0.53002548217773438</v>
      </c>
    </row>
    <row r="1349" spans="1:1" x14ac:dyDescent="0.2">
      <c r="A1349" s="22">
        <v>0.60765856504440308</v>
      </c>
    </row>
    <row r="1350" spans="1:1" x14ac:dyDescent="0.2">
      <c r="A1350" s="22">
        <v>0.52630960941314697</v>
      </c>
    </row>
    <row r="1351" spans="1:1" x14ac:dyDescent="0.2">
      <c r="A1351" s="22">
        <v>0.50320559740066528</v>
      </c>
    </row>
    <row r="1352" spans="1:1" x14ac:dyDescent="0.2">
      <c r="A1352" s="22">
        <v>0.81147027015686035</v>
      </c>
    </row>
    <row r="1353" spans="1:1" x14ac:dyDescent="0.2">
      <c r="A1353" s="22">
        <v>0.85731834173202515</v>
      </c>
    </row>
    <row r="1354" spans="1:1" x14ac:dyDescent="0.2">
      <c r="A1354" s="22">
        <v>0.74534785747528076</v>
      </c>
    </row>
    <row r="1355" spans="1:1" x14ac:dyDescent="0.2">
      <c r="A1355" s="22">
        <v>0.19203811883926392</v>
      </c>
    </row>
    <row r="1356" spans="1:1" x14ac:dyDescent="0.2">
      <c r="A1356" s="22">
        <v>0.95713090896606445</v>
      </c>
    </row>
    <row r="1357" spans="1:1" x14ac:dyDescent="0.2">
      <c r="A1357" s="22">
        <v>3.3861815929412842E-2</v>
      </c>
    </row>
    <row r="1358" spans="1:1" x14ac:dyDescent="0.2">
      <c r="A1358" s="22">
        <v>0.62514126300811768</v>
      </c>
    </row>
    <row r="1359" spans="1:1" x14ac:dyDescent="0.2">
      <c r="A1359" s="22">
        <v>0.57438641786575317</v>
      </c>
    </row>
    <row r="1360" spans="1:1" x14ac:dyDescent="0.2">
      <c r="A1360" s="22">
        <v>0.99490046501159668</v>
      </c>
    </row>
    <row r="1361" spans="1:1" x14ac:dyDescent="0.2">
      <c r="A1361" s="22">
        <v>0.61610978841781616</v>
      </c>
    </row>
    <row r="1362" spans="1:1" x14ac:dyDescent="0.2">
      <c r="A1362" s="22">
        <v>4.1727423667907715E-2</v>
      </c>
    </row>
    <row r="1363" spans="1:1" x14ac:dyDescent="0.2">
      <c r="A1363" s="22">
        <v>8.4637701511383057E-2</v>
      </c>
    </row>
    <row r="1364" spans="1:1" x14ac:dyDescent="0.2">
      <c r="A1364" s="22">
        <v>0.43411731719970703</v>
      </c>
    </row>
    <row r="1365" spans="1:1" x14ac:dyDescent="0.2">
      <c r="A1365" s="22">
        <v>0.63854712247848511</v>
      </c>
    </row>
    <row r="1366" spans="1:1" x14ac:dyDescent="0.2">
      <c r="A1366" s="22">
        <v>0.20415174961090088</v>
      </c>
    </row>
    <row r="1367" spans="1:1" x14ac:dyDescent="0.2">
      <c r="A1367" s="22">
        <v>0.15815573930740356</v>
      </c>
    </row>
    <row r="1368" spans="1:1" x14ac:dyDescent="0.2">
      <c r="A1368" s="22">
        <v>0.78119015693664551</v>
      </c>
    </row>
    <row r="1369" spans="1:1" x14ac:dyDescent="0.2">
      <c r="A1369" s="22">
        <v>0.14444774389266968</v>
      </c>
    </row>
    <row r="1370" spans="1:1" x14ac:dyDescent="0.2">
      <c r="A1370" s="22">
        <v>0.29509246349334717</v>
      </c>
    </row>
    <row r="1371" spans="1:1" x14ac:dyDescent="0.2">
      <c r="A1371" s="22">
        <v>0.3094058632850647</v>
      </c>
    </row>
    <row r="1372" spans="1:1" x14ac:dyDescent="0.2">
      <c r="A1372" s="22">
        <v>0.30522298812866211</v>
      </c>
    </row>
    <row r="1373" spans="1:1" x14ac:dyDescent="0.2">
      <c r="A1373" s="22">
        <v>0.88899964094161987</v>
      </c>
    </row>
    <row r="1374" spans="1:1" x14ac:dyDescent="0.2">
      <c r="A1374" s="22">
        <v>0.36148560047149658</v>
      </c>
    </row>
    <row r="1375" spans="1:1" x14ac:dyDescent="0.2">
      <c r="A1375" s="22">
        <v>0.46007996797561646</v>
      </c>
    </row>
    <row r="1376" spans="1:1" x14ac:dyDescent="0.2">
      <c r="A1376" s="22">
        <v>5.3640127182006836E-2</v>
      </c>
    </row>
    <row r="1377" spans="1:1" x14ac:dyDescent="0.2">
      <c r="A1377" s="22">
        <v>0.29242986440658569</v>
      </c>
    </row>
    <row r="1378" spans="1:1" x14ac:dyDescent="0.2">
      <c r="A1378" s="22">
        <v>0.45515000820159912</v>
      </c>
    </row>
    <row r="1379" spans="1:1" x14ac:dyDescent="0.2">
      <c r="A1379" s="22">
        <v>0.51722151041030884</v>
      </c>
    </row>
    <row r="1380" spans="1:1" x14ac:dyDescent="0.2">
      <c r="A1380" s="22">
        <v>0.11781120300292969</v>
      </c>
    </row>
    <row r="1381" spans="1:1" x14ac:dyDescent="0.2">
      <c r="A1381" s="22">
        <v>0.64312952756881714</v>
      </c>
    </row>
    <row r="1382" spans="1:1" x14ac:dyDescent="0.2">
      <c r="A1382" s="22">
        <v>2.3412346839904785E-2</v>
      </c>
    </row>
    <row r="1383" spans="1:1" x14ac:dyDescent="0.2">
      <c r="A1383" s="22">
        <v>0.20135051012039185</v>
      </c>
    </row>
    <row r="1384" spans="1:1" x14ac:dyDescent="0.2">
      <c r="A1384" s="22">
        <v>0.14867615699768066</v>
      </c>
    </row>
    <row r="1385" spans="1:1" x14ac:dyDescent="0.2">
      <c r="A1385" s="22">
        <v>0.55077880620956421</v>
      </c>
    </row>
    <row r="1386" spans="1:1" x14ac:dyDescent="0.2">
      <c r="A1386" s="22">
        <v>0.54973208904266357</v>
      </c>
    </row>
    <row r="1387" spans="1:1" x14ac:dyDescent="0.2">
      <c r="A1387" s="22">
        <v>0.12458854913711548</v>
      </c>
    </row>
    <row r="1388" spans="1:1" x14ac:dyDescent="0.2">
      <c r="A1388" s="22">
        <v>0.12237024307250977</v>
      </c>
    </row>
    <row r="1389" spans="1:1" x14ac:dyDescent="0.2">
      <c r="A1389" s="22">
        <v>0.6494719386100769</v>
      </c>
    </row>
    <row r="1390" spans="1:1" x14ac:dyDescent="0.2">
      <c r="A1390" s="22">
        <v>0.44432651996612549</v>
      </c>
    </row>
    <row r="1391" spans="1:1" x14ac:dyDescent="0.2">
      <c r="A1391" s="22">
        <v>0.11878377199172974</v>
      </c>
    </row>
    <row r="1392" spans="1:1" x14ac:dyDescent="0.2">
      <c r="A1392" s="22">
        <v>0.35584902763366699</v>
      </c>
    </row>
    <row r="1393" spans="1:1" x14ac:dyDescent="0.2">
      <c r="A1393" s="22">
        <v>0.55084222555160522</v>
      </c>
    </row>
    <row r="1394" spans="1:1" x14ac:dyDescent="0.2">
      <c r="A1394" s="22">
        <v>0.18479573726654053</v>
      </c>
    </row>
    <row r="1395" spans="1:1" x14ac:dyDescent="0.2">
      <c r="A1395" s="22">
        <v>0.81363588571548462</v>
      </c>
    </row>
    <row r="1396" spans="1:1" x14ac:dyDescent="0.2">
      <c r="A1396" s="22">
        <v>0.77251338958740234</v>
      </c>
    </row>
    <row r="1397" spans="1:1" x14ac:dyDescent="0.2">
      <c r="A1397" s="22">
        <v>4.718703031539917E-2</v>
      </c>
    </row>
    <row r="1398" spans="1:1" x14ac:dyDescent="0.2">
      <c r="A1398" s="22">
        <v>0.70674765110015869</v>
      </c>
    </row>
    <row r="1399" spans="1:1" x14ac:dyDescent="0.2">
      <c r="A1399" s="22">
        <v>0.46482115983963013</v>
      </c>
    </row>
    <row r="1400" spans="1:1" x14ac:dyDescent="0.2">
      <c r="A1400" s="22">
        <v>0.41783452033996582</v>
      </c>
    </row>
    <row r="1401" spans="1:1" x14ac:dyDescent="0.2">
      <c r="A1401" s="22">
        <v>0.56459277868270874</v>
      </c>
    </row>
    <row r="1402" spans="1:1" x14ac:dyDescent="0.2">
      <c r="A1402" s="22">
        <v>4.442298412322998E-2</v>
      </c>
    </row>
    <row r="1403" spans="1:1" x14ac:dyDescent="0.2">
      <c r="A1403" s="22">
        <v>3.211742639541626E-2</v>
      </c>
    </row>
    <row r="1404" spans="1:1" x14ac:dyDescent="0.2">
      <c r="A1404" s="22">
        <v>0.22497892379760742</v>
      </c>
    </row>
    <row r="1405" spans="1:1" x14ac:dyDescent="0.2">
      <c r="A1405" s="22">
        <v>0.86605995893478394</v>
      </c>
    </row>
    <row r="1406" spans="1:1" x14ac:dyDescent="0.2">
      <c r="A1406" s="22">
        <v>0.22132027149200439</v>
      </c>
    </row>
    <row r="1407" spans="1:1" x14ac:dyDescent="0.2">
      <c r="A1407" s="22">
        <v>0.50752907991409302</v>
      </c>
    </row>
    <row r="1408" spans="1:1" x14ac:dyDescent="0.2">
      <c r="A1408" s="22">
        <v>3.0433416366577148E-2</v>
      </c>
    </row>
    <row r="1409" spans="1:1" x14ac:dyDescent="0.2">
      <c r="A1409" s="22">
        <v>4.6281218528747559E-3</v>
      </c>
    </row>
    <row r="1410" spans="1:1" x14ac:dyDescent="0.2">
      <c r="A1410" s="22">
        <v>0.39082086086273193</v>
      </c>
    </row>
    <row r="1411" spans="1:1" x14ac:dyDescent="0.2">
      <c r="A1411" s="22">
        <v>0.4934120774269104</v>
      </c>
    </row>
    <row r="1412" spans="1:1" x14ac:dyDescent="0.2">
      <c r="A1412" s="22">
        <v>0.839630126953125</v>
      </c>
    </row>
    <row r="1413" spans="1:1" x14ac:dyDescent="0.2">
      <c r="A1413" s="22">
        <v>0.5265008807182312</v>
      </c>
    </row>
    <row r="1414" spans="1:1" x14ac:dyDescent="0.2">
      <c r="A1414" s="22">
        <v>0.2268139123916626</v>
      </c>
    </row>
    <row r="1415" spans="1:1" x14ac:dyDescent="0.2">
      <c r="A1415" s="22">
        <v>3.0598938465118408E-2</v>
      </c>
    </row>
    <row r="1416" spans="1:1" x14ac:dyDescent="0.2">
      <c r="A1416" s="22">
        <v>0.34257149696350098</v>
      </c>
    </row>
    <row r="1417" spans="1:1" x14ac:dyDescent="0.2">
      <c r="A1417" s="22">
        <v>0.92417091131210327</v>
      </c>
    </row>
    <row r="1418" spans="1:1" x14ac:dyDescent="0.2">
      <c r="A1418" s="22">
        <v>0.56432139873504639</v>
      </c>
    </row>
    <row r="1419" spans="1:1" x14ac:dyDescent="0.2">
      <c r="A1419" s="22">
        <v>0.67652374505996704</v>
      </c>
    </row>
    <row r="1420" spans="1:1" x14ac:dyDescent="0.2">
      <c r="A1420" s="22">
        <v>0.67945528030395508</v>
      </c>
    </row>
    <row r="1421" spans="1:1" x14ac:dyDescent="0.2">
      <c r="A1421" s="22">
        <v>0.33954495191574097</v>
      </c>
    </row>
    <row r="1422" spans="1:1" x14ac:dyDescent="0.2">
      <c r="A1422" s="22">
        <v>0.2901231050491333</v>
      </c>
    </row>
    <row r="1423" spans="1:1" x14ac:dyDescent="0.2">
      <c r="A1423" s="22">
        <v>0.8333471417427063</v>
      </c>
    </row>
    <row r="1424" spans="1:1" x14ac:dyDescent="0.2">
      <c r="A1424" s="22">
        <v>0.4562995433807373</v>
      </c>
    </row>
    <row r="1425" spans="1:1" x14ac:dyDescent="0.2">
      <c r="A1425" s="22">
        <v>0.51706880331039429</v>
      </c>
    </row>
    <row r="1426" spans="1:1" x14ac:dyDescent="0.2">
      <c r="A1426" s="22">
        <v>0.48338162899017334</v>
      </c>
    </row>
    <row r="1427" spans="1:1" x14ac:dyDescent="0.2">
      <c r="A1427" s="22">
        <v>0.32608133554458618</v>
      </c>
    </row>
    <row r="1428" spans="1:1" x14ac:dyDescent="0.2">
      <c r="A1428" s="22">
        <v>1.0567665100097656E-2</v>
      </c>
    </row>
    <row r="1429" spans="1:1" x14ac:dyDescent="0.2">
      <c r="A1429" s="22">
        <v>6.8523287773132324E-3</v>
      </c>
    </row>
    <row r="1430" spans="1:1" x14ac:dyDescent="0.2">
      <c r="A1430" s="22">
        <v>0.8062673807144165</v>
      </c>
    </row>
    <row r="1431" spans="1:1" x14ac:dyDescent="0.2">
      <c r="A1431" s="22">
        <v>0.23071509599685669</v>
      </c>
    </row>
    <row r="1432" spans="1:1" x14ac:dyDescent="0.2">
      <c r="A1432" s="22">
        <v>0.92679333686828613</v>
      </c>
    </row>
    <row r="1433" spans="1:1" x14ac:dyDescent="0.2">
      <c r="A1433" s="22">
        <v>0.6177944540977478</v>
      </c>
    </row>
    <row r="1434" spans="1:1" x14ac:dyDescent="0.2">
      <c r="A1434" s="22">
        <v>0.14458358287811279</v>
      </c>
    </row>
    <row r="1435" spans="1:1" x14ac:dyDescent="0.2">
      <c r="A1435" s="22">
        <v>0.95233875513076782</v>
      </c>
    </row>
    <row r="1436" spans="1:1" x14ac:dyDescent="0.2">
      <c r="A1436" s="22">
        <v>0.80220556259155273</v>
      </c>
    </row>
    <row r="1437" spans="1:1" x14ac:dyDescent="0.2">
      <c r="A1437" s="22">
        <v>0.120708167552948</v>
      </c>
    </row>
    <row r="1438" spans="1:1" x14ac:dyDescent="0.2">
      <c r="A1438" s="22">
        <v>0.49839127063751221</v>
      </c>
    </row>
    <row r="1439" spans="1:1" x14ac:dyDescent="0.2">
      <c r="A1439" s="22">
        <v>0.55326920747756958</v>
      </c>
    </row>
    <row r="1440" spans="1:1" x14ac:dyDescent="0.2">
      <c r="A1440" s="22">
        <v>0.26235365867614746</v>
      </c>
    </row>
    <row r="1441" spans="1:1" x14ac:dyDescent="0.2">
      <c r="A1441" s="22">
        <v>0.20144551992416382</v>
      </c>
    </row>
    <row r="1442" spans="1:1" x14ac:dyDescent="0.2">
      <c r="A1442" s="22">
        <v>0.12263429164886475</v>
      </c>
    </row>
    <row r="1443" spans="1:1" x14ac:dyDescent="0.2">
      <c r="A1443" s="22">
        <v>0.33117491006851196</v>
      </c>
    </row>
    <row r="1444" spans="1:1" x14ac:dyDescent="0.2">
      <c r="A1444" s="22">
        <v>0.22673225402832031</v>
      </c>
    </row>
    <row r="1445" spans="1:1" x14ac:dyDescent="0.2">
      <c r="A1445" s="22">
        <v>0.66402262449264526</v>
      </c>
    </row>
    <row r="1446" spans="1:1" x14ac:dyDescent="0.2">
      <c r="A1446" s="22">
        <v>0.91776430606842041</v>
      </c>
    </row>
    <row r="1447" spans="1:1" x14ac:dyDescent="0.2">
      <c r="A1447" s="22">
        <v>0.64720088243484497</v>
      </c>
    </row>
    <row r="1448" spans="1:1" x14ac:dyDescent="0.2">
      <c r="A1448" s="22">
        <v>0.42440629005432129</v>
      </c>
    </row>
    <row r="1449" spans="1:1" x14ac:dyDescent="0.2">
      <c r="A1449" s="22">
        <v>0.88374465703964233</v>
      </c>
    </row>
    <row r="1450" spans="1:1" x14ac:dyDescent="0.2">
      <c r="A1450" s="22">
        <v>7.0365786552429199E-2</v>
      </c>
    </row>
    <row r="1451" spans="1:1" x14ac:dyDescent="0.2">
      <c r="A1451" s="22">
        <v>4.0937066078186035E-3</v>
      </c>
    </row>
    <row r="1452" spans="1:1" x14ac:dyDescent="0.2">
      <c r="A1452" s="22">
        <v>0.15963602066040039</v>
      </c>
    </row>
    <row r="1453" spans="1:1" x14ac:dyDescent="0.2">
      <c r="A1453" s="22">
        <v>0.51033085584640503</v>
      </c>
    </row>
    <row r="1454" spans="1:1" x14ac:dyDescent="0.2">
      <c r="A1454" s="22">
        <v>0.94378101825714111</v>
      </c>
    </row>
    <row r="1455" spans="1:1" x14ac:dyDescent="0.2">
      <c r="A1455" s="22">
        <v>0.37432652711868286</v>
      </c>
    </row>
    <row r="1456" spans="1:1" x14ac:dyDescent="0.2">
      <c r="A1456" s="22">
        <v>0.32750201225280762</v>
      </c>
    </row>
    <row r="1457" spans="1:1" x14ac:dyDescent="0.2">
      <c r="A1457" s="22">
        <v>0.42103952169418335</v>
      </c>
    </row>
    <row r="1458" spans="1:1" x14ac:dyDescent="0.2">
      <c r="A1458" s="22">
        <v>0.21873509883880615</v>
      </c>
    </row>
    <row r="1459" spans="1:1" x14ac:dyDescent="0.2">
      <c r="A1459" s="22">
        <v>0.77822405099868774</v>
      </c>
    </row>
    <row r="1460" spans="1:1" x14ac:dyDescent="0.2">
      <c r="A1460" s="22">
        <v>0.67953014373779297</v>
      </c>
    </row>
    <row r="1461" spans="1:1" x14ac:dyDescent="0.2">
      <c r="A1461" s="22">
        <v>0.92379301786422729</v>
      </c>
    </row>
    <row r="1462" spans="1:1" x14ac:dyDescent="0.2">
      <c r="A1462" s="22">
        <v>0.28396093845367432</v>
      </c>
    </row>
    <row r="1463" spans="1:1" x14ac:dyDescent="0.2">
      <c r="A1463" s="22">
        <v>0.11208754777908325</v>
      </c>
    </row>
    <row r="1464" spans="1:1" x14ac:dyDescent="0.2">
      <c r="A1464" s="22">
        <v>0.33931660652160645</v>
      </c>
    </row>
    <row r="1465" spans="1:1" x14ac:dyDescent="0.2">
      <c r="A1465" s="22">
        <v>0.21030277013778687</v>
      </c>
    </row>
    <row r="1466" spans="1:1" x14ac:dyDescent="0.2">
      <c r="A1466" s="22">
        <v>0.87682425975799561</v>
      </c>
    </row>
    <row r="1467" spans="1:1" x14ac:dyDescent="0.2">
      <c r="A1467" s="22">
        <v>0.22631984949111938</v>
      </c>
    </row>
    <row r="1468" spans="1:1" x14ac:dyDescent="0.2">
      <c r="A1468" s="22">
        <v>0.56815290451049805</v>
      </c>
    </row>
    <row r="1469" spans="1:1" x14ac:dyDescent="0.2">
      <c r="A1469" s="22">
        <v>5.9194266796112061E-2</v>
      </c>
    </row>
    <row r="1470" spans="1:1" x14ac:dyDescent="0.2">
      <c r="A1470" s="22">
        <v>0.97394859790802002</v>
      </c>
    </row>
    <row r="1471" spans="1:1" x14ac:dyDescent="0.2">
      <c r="A1471" s="22">
        <v>0.25355035066604614</v>
      </c>
    </row>
    <row r="1472" spans="1:1" x14ac:dyDescent="0.2">
      <c r="A1472" s="22">
        <v>0.78065085411071777</v>
      </c>
    </row>
    <row r="1473" spans="1:1" x14ac:dyDescent="0.2">
      <c r="A1473" s="22">
        <v>0.78913205862045288</v>
      </c>
    </row>
    <row r="1474" spans="1:1" x14ac:dyDescent="0.2">
      <c r="A1474" s="22">
        <v>0.93184030055999756</v>
      </c>
    </row>
    <row r="1475" spans="1:1" x14ac:dyDescent="0.2">
      <c r="A1475" s="22">
        <v>0.18676000833511353</v>
      </c>
    </row>
    <row r="1476" spans="1:1" x14ac:dyDescent="0.2">
      <c r="A1476" s="22">
        <v>0.81036758422851563</v>
      </c>
    </row>
    <row r="1477" spans="1:1" x14ac:dyDescent="0.2">
      <c r="A1477" s="22">
        <v>0.46194475889205933</v>
      </c>
    </row>
    <row r="1478" spans="1:1" x14ac:dyDescent="0.2">
      <c r="A1478" s="22">
        <v>0.87751352787017822</v>
      </c>
    </row>
    <row r="1479" spans="1:1" x14ac:dyDescent="0.2">
      <c r="A1479" s="22">
        <v>0.70740634202957153</v>
      </c>
    </row>
    <row r="1480" spans="1:1" x14ac:dyDescent="0.2">
      <c r="A1480" s="22">
        <v>0.4254305362701416</v>
      </c>
    </row>
    <row r="1481" spans="1:1" x14ac:dyDescent="0.2">
      <c r="A1481" s="22">
        <v>0.3357500433921814</v>
      </c>
    </row>
    <row r="1482" spans="1:1" x14ac:dyDescent="0.2">
      <c r="A1482" s="22">
        <v>0.34911525249481201</v>
      </c>
    </row>
    <row r="1483" spans="1:1" x14ac:dyDescent="0.2">
      <c r="A1483" s="22">
        <v>0.26354843378067017</v>
      </c>
    </row>
    <row r="1484" spans="1:1" x14ac:dyDescent="0.2">
      <c r="A1484" s="22">
        <v>9.4162464141845703E-2</v>
      </c>
    </row>
    <row r="1485" spans="1:1" x14ac:dyDescent="0.2">
      <c r="A1485" s="22">
        <v>0.56807965040206909</v>
      </c>
    </row>
    <row r="1486" spans="1:1" x14ac:dyDescent="0.2">
      <c r="A1486" s="22">
        <v>0.18655025959014893</v>
      </c>
    </row>
    <row r="1487" spans="1:1" x14ac:dyDescent="0.2">
      <c r="A1487" s="22">
        <v>0.39797192811965942</v>
      </c>
    </row>
    <row r="1488" spans="1:1" x14ac:dyDescent="0.2">
      <c r="A1488" s="22">
        <v>7.0643424987792969E-4</v>
      </c>
    </row>
    <row r="1489" spans="1:1" x14ac:dyDescent="0.2">
      <c r="A1489" s="22">
        <v>0.16900438070297241</v>
      </c>
    </row>
    <row r="1490" spans="1:1" x14ac:dyDescent="0.2">
      <c r="A1490" s="22">
        <v>0.67210614681243896</v>
      </c>
    </row>
    <row r="1491" spans="1:1" x14ac:dyDescent="0.2">
      <c r="A1491" s="22">
        <v>0.32631403207778931</v>
      </c>
    </row>
    <row r="1492" spans="1:1" x14ac:dyDescent="0.2">
      <c r="A1492" s="22">
        <v>0.31065082550048828</v>
      </c>
    </row>
    <row r="1493" spans="1:1" x14ac:dyDescent="0.2">
      <c r="A1493" s="22">
        <v>0.20425909757614136</v>
      </c>
    </row>
    <row r="1494" spans="1:1" x14ac:dyDescent="0.2">
      <c r="A1494" s="22">
        <v>0.92107832431793213</v>
      </c>
    </row>
    <row r="1495" spans="1:1" x14ac:dyDescent="0.2">
      <c r="A1495" s="22">
        <v>0.76518851518630981</v>
      </c>
    </row>
    <row r="1496" spans="1:1" x14ac:dyDescent="0.2">
      <c r="A1496" s="22">
        <v>0.68665432929992676</v>
      </c>
    </row>
    <row r="1497" spans="1:1" x14ac:dyDescent="0.2">
      <c r="A1497" s="22">
        <v>0.24836772680282593</v>
      </c>
    </row>
    <row r="1498" spans="1:1" x14ac:dyDescent="0.2">
      <c r="A1498" s="22">
        <v>0.52239501476287842</v>
      </c>
    </row>
    <row r="1499" spans="1:1" x14ac:dyDescent="0.2">
      <c r="A1499" s="22">
        <v>1.0310709476470947E-2</v>
      </c>
    </row>
    <row r="1500" spans="1:1" x14ac:dyDescent="0.2">
      <c r="A1500" s="22">
        <v>5.4070949554443359E-2</v>
      </c>
    </row>
    <row r="1501" spans="1:1" x14ac:dyDescent="0.2">
      <c r="A1501" s="22">
        <v>8.7768256664276123E-2</v>
      </c>
    </row>
    <row r="1502" spans="1:1" x14ac:dyDescent="0.2">
      <c r="A1502" s="22">
        <v>0.42924225330352783</v>
      </c>
    </row>
    <row r="1503" spans="1:1" x14ac:dyDescent="0.2">
      <c r="A1503" s="22">
        <v>0.26462250947952271</v>
      </c>
    </row>
    <row r="1504" spans="1:1" x14ac:dyDescent="0.2">
      <c r="A1504" s="22">
        <v>0.61657500267028809</v>
      </c>
    </row>
    <row r="1505" spans="1:1" x14ac:dyDescent="0.2">
      <c r="A1505" s="22">
        <v>0.67393773794174194</v>
      </c>
    </row>
    <row r="1506" spans="1:1" x14ac:dyDescent="0.2">
      <c r="A1506" s="22">
        <v>9.9688887596130371E-2</v>
      </c>
    </row>
    <row r="1507" spans="1:1" x14ac:dyDescent="0.2">
      <c r="A1507" s="22">
        <v>0.21641737222671509</v>
      </c>
    </row>
    <row r="1508" spans="1:1" x14ac:dyDescent="0.2">
      <c r="A1508" s="22">
        <v>0.12178611755371094</v>
      </c>
    </row>
    <row r="1509" spans="1:1" x14ac:dyDescent="0.2">
      <c r="A1509" s="22">
        <v>0.32651728391647339</v>
      </c>
    </row>
    <row r="1510" spans="1:1" x14ac:dyDescent="0.2">
      <c r="A1510" s="22">
        <v>0.88731157779693604</v>
      </c>
    </row>
    <row r="1511" spans="1:1" x14ac:dyDescent="0.2">
      <c r="A1511" s="22">
        <v>0.8674653172492981</v>
      </c>
    </row>
    <row r="1512" spans="1:1" x14ac:dyDescent="0.2">
      <c r="A1512" s="22">
        <v>0.37689423561096191</v>
      </c>
    </row>
    <row r="1513" spans="1:1" x14ac:dyDescent="0.2">
      <c r="A1513" s="22">
        <v>0.18643707036972046</v>
      </c>
    </row>
    <row r="1514" spans="1:1" x14ac:dyDescent="0.2">
      <c r="A1514" s="22">
        <v>0.68181979656219482</v>
      </c>
    </row>
    <row r="1515" spans="1:1" x14ac:dyDescent="0.2">
      <c r="A1515" s="22">
        <v>0.61113792657852173</v>
      </c>
    </row>
    <row r="1516" spans="1:1" x14ac:dyDescent="0.2">
      <c r="A1516" s="22">
        <v>1.4284610748291016E-2</v>
      </c>
    </row>
    <row r="1517" spans="1:1" x14ac:dyDescent="0.2">
      <c r="A1517" s="22">
        <v>0.91904133558273315</v>
      </c>
    </row>
    <row r="1518" spans="1:1" x14ac:dyDescent="0.2">
      <c r="A1518" s="22">
        <v>0.79968082904815674</v>
      </c>
    </row>
    <row r="1519" spans="1:1" x14ac:dyDescent="0.2">
      <c r="A1519" s="22">
        <v>0.56053334474563599</v>
      </c>
    </row>
    <row r="1520" spans="1:1" x14ac:dyDescent="0.2">
      <c r="A1520" s="22">
        <v>0.50716280937194824</v>
      </c>
    </row>
    <row r="1521" spans="1:1" x14ac:dyDescent="0.2">
      <c r="A1521" s="22">
        <v>0.66721338033676147</v>
      </c>
    </row>
    <row r="1522" spans="1:1" x14ac:dyDescent="0.2">
      <c r="A1522" s="22">
        <v>0.12474477291107178</v>
      </c>
    </row>
    <row r="1523" spans="1:1" x14ac:dyDescent="0.2">
      <c r="A1523" s="22">
        <v>0.12660127878189087</v>
      </c>
    </row>
    <row r="1524" spans="1:1" x14ac:dyDescent="0.2">
      <c r="A1524" s="22">
        <v>0.43517971038818359</v>
      </c>
    </row>
    <row r="1525" spans="1:1" x14ac:dyDescent="0.2">
      <c r="A1525" s="22">
        <v>0.25450056791305542</v>
      </c>
    </row>
    <row r="1526" spans="1:1" x14ac:dyDescent="0.2">
      <c r="A1526" s="22">
        <v>0.49886953830718994</v>
      </c>
    </row>
    <row r="1527" spans="1:1" x14ac:dyDescent="0.2">
      <c r="A1527" s="22">
        <v>0.84626799821853638</v>
      </c>
    </row>
    <row r="1528" spans="1:1" x14ac:dyDescent="0.2">
      <c r="A1528" s="22">
        <v>5.6505203247070313E-5</v>
      </c>
    </row>
    <row r="1529" spans="1:1" x14ac:dyDescent="0.2">
      <c r="A1529" s="22">
        <v>0.63823932409286499</v>
      </c>
    </row>
    <row r="1530" spans="1:1" x14ac:dyDescent="0.2">
      <c r="A1530" s="22">
        <v>0.36254584789276123</v>
      </c>
    </row>
    <row r="1531" spans="1:1" x14ac:dyDescent="0.2">
      <c r="A1531" s="22">
        <v>0.46056133508682251</v>
      </c>
    </row>
    <row r="1532" spans="1:1" x14ac:dyDescent="0.2">
      <c r="A1532" s="22">
        <v>0.79120969772338867</v>
      </c>
    </row>
    <row r="1533" spans="1:1" x14ac:dyDescent="0.2">
      <c r="A1533" s="22">
        <v>0.61268013715744019</v>
      </c>
    </row>
    <row r="1534" spans="1:1" x14ac:dyDescent="0.2">
      <c r="A1534" s="22">
        <v>0.64552223682403564</v>
      </c>
    </row>
    <row r="1535" spans="1:1" x14ac:dyDescent="0.2">
      <c r="A1535" s="22">
        <v>0.24273568391799927</v>
      </c>
    </row>
    <row r="1536" spans="1:1" x14ac:dyDescent="0.2">
      <c r="A1536" s="22">
        <v>0.8013761043548584</v>
      </c>
    </row>
    <row r="1537" spans="1:1" x14ac:dyDescent="0.2">
      <c r="A1537" s="22">
        <v>0.76211255788803101</v>
      </c>
    </row>
    <row r="1538" spans="1:1" x14ac:dyDescent="0.2">
      <c r="A1538" s="22">
        <v>0.90743005275726318</v>
      </c>
    </row>
    <row r="1539" spans="1:1" x14ac:dyDescent="0.2">
      <c r="A1539" s="22">
        <v>0.57639700174331665</v>
      </c>
    </row>
    <row r="1540" spans="1:1" x14ac:dyDescent="0.2">
      <c r="A1540" s="22">
        <v>0.69223785400390625</v>
      </c>
    </row>
    <row r="1541" spans="1:1" x14ac:dyDescent="0.2">
      <c r="A1541" s="22">
        <v>0.66399019956588745</v>
      </c>
    </row>
    <row r="1542" spans="1:1" x14ac:dyDescent="0.2">
      <c r="A1542" s="22">
        <v>0.72840845584869385</v>
      </c>
    </row>
    <row r="1543" spans="1:1" x14ac:dyDescent="0.2">
      <c r="A1543" s="22">
        <v>0.78362780809402466</v>
      </c>
    </row>
    <row r="1544" spans="1:1" x14ac:dyDescent="0.2">
      <c r="A1544" s="22">
        <v>0.31004738807678223</v>
      </c>
    </row>
    <row r="1545" spans="1:1" x14ac:dyDescent="0.2">
      <c r="A1545" s="22">
        <v>0.34205573797225952</v>
      </c>
    </row>
    <row r="1546" spans="1:1" x14ac:dyDescent="0.2">
      <c r="A1546" s="22">
        <v>0.34972941875457764</v>
      </c>
    </row>
    <row r="1547" spans="1:1" x14ac:dyDescent="0.2">
      <c r="A1547" s="22">
        <v>0.20311218500137329</v>
      </c>
    </row>
    <row r="1548" spans="1:1" x14ac:dyDescent="0.2">
      <c r="A1548" s="22">
        <v>0.45125246047973633</v>
      </c>
    </row>
    <row r="1549" spans="1:1" x14ac:dyDescent="0.2">
      <c r="A1549" s="22">
        <v>0.96946591138839722</v>
      </c>
    </row>
    <row r="1550" spans="1:1" x14ac:dyDescent="0.2">
      <c r="A1550" s="22">
        <v>0.56442272663116455</v>
      </c>
    </row>
    <row r="1551" spans="1:1" x14ac:dyDescent="0.2">
      <c r="A1551" s="22">
        <v>0.51826077699661255</v>
      </c>
    </row>
    <row r="1552" spans="1:1" x14ac:dyDescent="0.2">
      <c r="A1552" s="22">
        <v>0.87812113761901855</v>
      </c>
    </row>
    <row r="1553" spans="1:1" x14ac:dyDescent="0.2">
      <c r="A1553" s="22">
        <v>0.82191652059555054</v>
      </c>
    </row>
    <row r="1554" spans="1:1" x14ac:dyDescent="0.2">
      <c r="A1554" s="22">
        <v>0.85790097713470459</v>
      </c>
    </row>
    <row r="1555" spans="1:1" x14ac:dyDescent="0.2">
      <c r="A1555" s="22">
        <v>0.33533579111099243</v>
      </c>
    </row>
    <row r="1556" spans="1:1" x14ac:dyDescent="0.2">
      <c r="A1556" s="22">
        <v>0.58436679840087891</v>
      </c>
    </row>
    <row r="1557" spans="1:1" x14ac:dyDescent="0.2">
      <c r="A1557" s="22">
        <v>0.48076742887496948</v>
      </c>
    </row>
    <row r="1558" spans="1:1" x14ac:dyDescent="0.2">
      <c r="A1558" s="22">
        <v>0.79858458042144775</v>
      </c>
    </row>
    <row r="1559" spans="1:1" x14ac:dyDescent="0.2">
      <c r="A1559" s="22">
        <v>1.1575996875762939E-2</v>
      </c>
    </row>
    <row r="1560" spans="1:1" x14ac:dyDescent="0.2">
      <c r="A1560" s="22">
        <v>0.31077313423156738</v>
      </c>
    </row>
    <row r="1561" spans="1:1" x14ac:dyDescent="0.2">
      <c r="A1561" s="22">
        <v>0.28616756200790405</v>
      </c>
    </row>
    <row r="1562" spans="1:1" x14ac:dyDescent="0.2">
      <c r="A1562" s="22">
        <v>0.67852675914764404</v>
      </c>
    </row>
    <row r="1563" spans="1:1" x14ac:dyDescent="0.2">
      <c r="A1563" s="22">
        <v>0.73332172632217407</v>
      </c>
    </row>
    <row r="1564" spans="1:1" x14ac:dyDescent="0.2">
      <c r="A1564" s="22">
        <v>0.31081914901733398</v>
      </c>
    </row>
    <row r="1565" spans="1:1" x14ac:dyDescent="0.2">
      <c r="A1565" s="22">
        <v>4.0179908275604248E-2</v>
      </c>
    </row>
    <row r="1566" spans="1:1" x14ac:dyDescent="0.2">
      <c r="A1566" s="22">
        <v>0.40403854846954346</v>
      </c>
    </row>
    <row r="1567" spans="1:1" x14ac:dyDescent="0.2">
      <c r="A1567" s="22">
        <v>0.84413987398147583</v>
      </c>
    </row>
    <row r="1568" spans="1:1" x14ac:dyDescent="0.2">
      <c r="A1568" s="22">
        <v>0.36630415916442871</v>
      </c>
    </row>
    <row r="1569" spans="1:1" x14ac:dyDescent="0.2">
      <c r="A1569" s="22">
        <v>0.95990651845932007</v>
      </c>
    </row>
    <row r="1570" spans="1:1" x14ac:dyDescent="0.2">
      <c r="A1570" s="22">
        <v>0.636313796043396</v>
      </c>
    </row>
    <row r="1571" spans="1:1" x14ac:dyDescent="0.2">
      <c r="A1571" s="22">
        <v>0.42294889688491821</v>
      </c>
    </row>
    <row r="1572" spans="1:1" x14ac:dyDescent="0.2">
      <c r="A1572" s="22">
        <v>5.2972793579101563E-2</v>
      </c>
    </row>
    <row r="1573" spans="1:1" x14ac:dyDescent="0.2">
      <c r="A1573" s="22">
        <v>0.88061350584030151</v>
      </c>
    </row>
    <row r="1574" spans="1:1" x14ac:dyDescent="0.2">
      <c r="A1574" s="22">
        <v>0.18205416202545166</v>
      </c>
    </row>
    <row r="1575" spans="1:1" x14ac:dyDescent="0.2">
      <c r="A1575" s="22">
        <v>0.11214381456375122</v>
      </c>
    </row>
    <row r="1576" spans="1:1" x14ac:dyDescent="0.2">
      <c r="A1576" s="22">
        <v>0.25613999366760254</v>
      </c>
    </row>
    <row r="1577" spans="1:1" x14ac:dyDescent="0.2">
      <c r="A1577" s="22">
        <v>0.70885604619979858</v>
      </c>
    </row>
    <row r="1578" spans="1:1" x14ac:dyDescent="0.2">
      <c r="A1578" s="22">
        <v>0.63409411907196045</v>
      </c>
    </row>
    <row r="1579" spans="1:1" x14ac:dyDescent="0.2">
      <c r="A1579" s="22">
        <v>0.19572120904922485</v>
      </c>
    </row>
    <row r="1580" spans="1:1" x14ac:dyDescent="0.2">
      <c r="A1580" s="22">
        <v>0.93631601333618164</v>
      </c>
    </row>
    <row r="1581" spans="1:1" x14ac:dyDescent="0.2">
      <c r="A1581" s="22">
        <v>0.12560337781906128</v>
      </c>
    </row>
    <row r="1582" spans="1:1" x14ac:dyDescent="0.2">
      <c r="A1582" s="22">
        <v>0.26202595233917236</v>
      </c>
    </row>
    <row r="1583" spans="1:1" x14ac:dyDescent="0.2">
      <c r="A1583" s="22">
        <v>0.92740422487258911</v>
      </c>
    </row>
    <row r="1584" spans="1:1" x14ac:dyDescent="0.2">
      <c r="A1584" s="22">
        <v>0.14483141899108887</v>
      </c>
    </row>
    <row r="1585" spans="1:1" x14ac:dyDescent="0.2">
      <c r="A1585" s="22">
        <v>0.5393638014793396</v>
      </c>
    </row>
    <row r="1586" spans="1:1" x14ac:dyDescent="0.2">
      <c r="A1586" s="22">
        <v>0.1528247594833374</v>
      </c>
    </row>
    <row r="1587" spans="1:1" x14ac:dyDescent="0.2">
      <c r="A1587" s="22">
        <v>0.10876756906509399</v>
      </c>
    </row>
    <row r="1588" spans="1:1" x14ac:dyDescent="0.2">
      <c r="A1588" s="22">
        <v>0.28946208953857422</v>
      </c>
    </row>
    <row r="1589" spans="1:1" x14ac:dyDescent="0.2">
      <c r="A1589" s="22">
        <v>0.28930968046188354</v>
      </c>
    </row>
    <row r="1590" spans="1:1" x14ac:dyDescent="0.2">
      <c r="A1590" s="22">
        <v>0.60147345066070557</v>
      </c>
    </row>
    <row r="1591" spans="1:1" x14ac:dyDescent="0.2">
      <c r="A1591" s="22">
        <v>0.9173625111579895</v>
      </c>
    </row>
    <row r="1592" spans="1:1" x14ac:dyDescent="0.2">
      <c r="A1592" s="22">
        <v>0.6500542163848877</v>
      </c>
    </row>
    <row r="1593" spans="1:1" x14ac:dyDescent="0.2">
      <c r="A1593" s="22">
        <v>9.8402440547943115E-2</v>
      </c>
    </row>
    <row r="1594" spans="1:1" x14ac:dyDescent="0.2">
      <c r="A1594" s="22">
        <v>0.75158774852752686</v>
      </c>
    </row>
    <row r="1595" spans="1:1" x14ac:dyDescent="0.2">
      <c r="A1595" s="22">
        <v>0.98484188318252563</v>
      </c>
    </row>
    <row r="1596" spans="1:1" x14ac:dyDescent="0.2">
      <c r="A1596" s="22">
        <v>0.1441493034362793</v>
      </c>
    </row>
    <row r="1597" spans="1:1" x14ac:dyDescent="0.2">
      <c r="A1597" s="22">
        <v>0.77651757001876831</v>
      </c>
    </row>
    <row r="1598" spans="1:1" x14ac:dyDescent="0.2">
      <c r="A1598" s="22">
        <v>0.48604118824005127</v>
      </c>
    </row>
    <row r="1599" spans="1:1" x14ac:dyDescent="0.2">
      <c r="A1599" s="22">
        <v>0.72508507966995239</v>
      </c>
    </row>
    <row r="1600" spans="1:1" x14ac:dyDescent="0.2">
      <c r="A1600" s="22">
        <v>0.34260916709899902</v>
      </c>
    </row>
    <row r="1601" spans="1:1" x14ac:dyDescent="0.2">
      <c r="A1601" s="22">
        <v>0.17356961965560913</v>
      </c>
    </row>
    <row r="1602" spans="1:1" x14ac:dyDescent="0.2">
      <c r="A1602" s="22">
        <v>0.56759011745452881</v>
      </c>
    </row>
    <row r="1603" spans="1:1" x14ac:dyDescent="0.2">
      <c r="A1603" s="22">
        <v>0.91232305765151978</v>
      </c>
    </row>
    <row r="1604" spans="1:1" x14ac:dyDescent="0.2">
      <c r="A1604" s="22">
        <v>0.73524093627929688</v>
      </c>
    </row>
    <row r="1605" spans="1:1" x14ac:dyDescent="0.2">
      <c r="A1605" s="22">
        <v>0.38263720273971558</v>
      </c>
    </row>
    <row r="1606" spans="1:1" x14ac:dyDescent="0.2">
      <c r="A1606" s="22">
        <v>2.9498696327209473E-2</v>
      </c>
    </row>
    <row r="1607" spans="1:1" x14ac:dyDescent="0.2">
      <c r="A1607" s="22">
        <v>0.50926333665847778</v>
      </c>
    </row>
    <row r="1608" spans="1:1" x14ac:dyDescent="0.2">
      <c r="A1608" s="22">
        <v>0.24642205238342285</v>
      </c>
    </row>
    <row r="1609" spans="1:1" x14ac:dyDescent="0.2">
      <c r="A1609" s="22">
        <v>0.19308799505233765</v>
      </c>
    </row>
    <row r="1610" spans="1:1" x14ac:dyDescent="0.2">
      <c r="A1610" s="22">
        <v>0.81616389751434326</v>
      </c>
    </row>
    <row r="1611" spans="1:1" x14ac:dyDescent="0.2">
      <c r="A1611" s="22">
        <v>0.74521499872207642</v>
      </c>
    </row>
    <row r="1612" spans="1:1" x14ac:dyDescent="0.2">
      <c r="A1612" s="22">
        <v>7.2526931762695313E-4</v>
      </c>
    </row>
    <row r="1613" spans="1:1" x14ac:dyDescent="0.2">
      <c r="A1613" s="22">
        <v>0.79370373487472534</v>
      </c>
    </row>
    <row r="1614" spans="1:1" x14ac:dyDescent="0.2">
      <c r="A1614" s="22">
        <v>0.67374050617218018</v>
      </c>
    </row>
    <row r="1615" spans="1:1" x14ac:dyDescent="0.2">
      <c r="A1615" s="22">
        <v>0.44421368837356567</v>
      </c>
    </row>
    <row r="1616" spans="1:1" x14ac:dyDescent="0.2">
      <c r="A1616" s="22">
        <v>0.33854365348815918</v>
      </c>
    </row>
    <row r="1617" spans="1:1" x14ac:dyDescent="0.2">
      <c r="A1617" s="22">
        <v>0.72580522298812866</v>
      </c>
    </row>
    <row r="1618" spans="1:1" x14ac:dyDescent="0.2">
      <c r="A1618" s="22">
        <v>0.29076611995697021</v>
      </c>
    </row>
    <row r="1619" spans="1:1" x14ac:dyDescent="0.2">
      <c r="A1619" s="22">
        <v>0.60314661264419556</v>
      </c>
    </row>
    <row r="1620" spans="1:1" x14ac:dyDescent="0.2">
      <c r="A1620" s="22">
        <v>8.1715583801269531E-2</v>
      </c>
    </row>
    <row r="1621" spans="1:1" x14ac:dyDescent="0.2">
      <c r="A1621" s="22">
        <v>8.6377322673797607E-2</v>
      </c>
    </row>
    <row r="1622" spans="1:1" x14ac:dyDescent="0.2">
      <c r="A1622" s="22">
        <v>0.68878614902496338</v>
      </c>
    </row>
    <row r="1623" spans="1:1" x14ac:dyDescent="0.2">
      <c r="A1623" s="22">
        <v>0.21987754106521606</v>
      </c>
    </row>
    <row r="1624" spans="1:1" x14ac:dyDescent="0.2">
      <c r="A1624" s="22">
        <v>4.9149751663208008E-2</v>
      </c>
    </row>
    <row r="1625" spans="1:1" x14ac:dyDescent="0.2">
      <c r="A1625" s="22">
        <v>0.98119395971298218</v>
      </c>
    </row>
    <row r="1626" spans="1:1" x14ac:dyDescent="0.2">
      <c r="A1626" s="22">
        <v>0.86297881603240967</v>
      </c>
    </row>
    <row r="1627" spans="1:1" x14ac:dyDescent="0.2">
      <c r="A1627" s="22">
        <v>0.3713718056678772</v>
      </c>
    </row>
    <row r="1628" spans="1:1" x14ac:dyDescent="0.2">
      <c r="A1628" s="22">
        <v>0.82245016098022461</v>
      </c>
    </row>
    <row r="1629" spans="1:1" x14ac:dyDescent="0.2">
      <c r="A1629" s="22">
        <v>0.22794312238693237</v>
      </c>
    </row>
    <row r="1630" spans="1:1" x14ac:dyDescent="0.2">
      <c r="A1630" s="22">
        <v>0.67278015613555908</v>
      </c>
    </row>
    <row r="1631" spans="1:1" x14ac:dyDescent="0.2">
      <c r="A1631" s="22">
        <v>0.54182130098342896</v>
      </c>
    </row>
    <row r="1632" spans="1:1" x14ac:dyDescent="0.2">
      <c r="A1632" s="22">
        <v>0.76154112815856934</v>
      </c>
    </row>
    <row r="1633" spans="1:1" x14ac:dyDescent="0.2">
      <c r="A1633" s="22">
        <v>0.30935186147689819</v>
      </c>
    </row>
    <row r="1634" spans="1:1" x14ac:dyDescent="0.2">
      <c r="A1634" s="22">
        <v>0.98250901699066162</v>
      </c>
    </row>
    <row r="1635" spans="1:1" x14ac:dyDescent="0.2">
      <c r="A1635" s="22">
        <v>0.20076948404312134</v>
      </c>
    </row>
    <row r="1636" spans="1:1" x14ac:dyDescent="0.2">
      <c r="A1636" s="22">
        <v>0.27029228210449219</v>
      </c>
    </row>
    <row r="1637" spans="1:1" x14ac:dyDescent="0.2">
      <c r="A1637" s="22">
        <v>0.57631129026412964</v>
      </c>
    </row>
    <row r="1638" spans="1:1" x14ac:dyDescent="0.2">
      <c r="A1638" s="22">
        <v>5.1992058753967285E-2</v>
      </c>
    </row>
    <row r="1639" spans="1:1" x14ac:dyDescent="0.2">
      <c r="A1639" s="22">
        <v>0.63123637437820435</v>
      </c>
    </row>
    <row r="1640" spans="1:1" x14ac:dyDescent="0.2">
      <c r="A1640" s="22">
        <v>0.31214356422424316</v>
      </c>
    </row>
    <row r="1641" spans="1:1" x14ac:dyDescent="0.2">
      <c r="A1641" s="22">
        <v>0.70100158452987671</v>
      </c>
    </row>
    <row r="1642" spans="1:1" x14ac:dyDescent="0.2">
      <c r="A1642" s="22">
        <v>0.17718875408172607</v>
      </c>
    </row>
    <row r="1643" spans="1:1" x14ac:dyDescent="0.2">
      <c r="A1643" s="22">
        <v>7.8435540199279785E-3</v>
      </c>
    </row>
    <row r="1644" spans="1:1" x14ac:dyDescent="0.2">
      <c r="A1644" s="22">
        <v>0.17573022842407227</v>
      </c>
    </row>
    <row r="1645" spans="1:1" x14ac:dyDescent="0.2">
      <c r="A1645" s="22">
        <v>0.3800169825553894</v>
      </c>
    </row>
    <row r="1646" spans="1:1" x14ac:dyDescent="0.2">
      <c r="A1646" s="22">
        <v>0.58081638813018799</v>
      </c>
    </row>
    <row r="1647" spans="1:1" x14ac:dyDescent="0.2">
      <c r="A1647" s="22">
        <v>0.72493916749954224</v>
      </c>
    </row>
    <row r="1648" spans="1:1" x14ac:dyDescent="0.2">
      <c r="A1648" s="22">
        <v>0.49050784111022949</v>
      </c>
    </row>
    <row r="1649" spans="1:1" x14ac:dyDescent="0.2">
      <c r="A1649" s="22">
        <v>0.28749078512191772</v>
      </c>
    </row>
    <row r="1650" spans="1:1" x14ac:dyDescent="0.2">
      <c r="A1650" s="22">
        <v>0.55297505855560303</v>
      </c>
    </row>
    <row r="1651" spans="1:1" x14ac:dyDescent="0.2">
      <c r="A1651" s="22">
        <v>0.97472292184829712</v>
      </c>
    </row>
    <row r="1652" spans="1:1" x14ac:dyDescent="0.2">
      <c r="A1652" s="22">
        <v>0.49237728118896484</v>
      </c>
    </row>
    <row r="1653" spans="1:1" x14ac:dyDescent="0.2">
      <c r="A1653" s="22">
        <v>0.27822035551071167</v>
      </c>
    </row>
    <row r="1654" spans="1:1" x14ac:dyDescent="0.2">
      <c r="A1654" s="22">
        <v>0.84177267551422119</v>
      </c>
    </row>
    <row r="1655" spans="1:1" x14ac:dyDescent="0.2">
      <c r="A1655" s="22">
        <v>0.57537108659744263</v>
      </c>
    </row>
    <row r="1656" spans="1:1" x14ac:dyDescent="0.2">
      <c r="A1656" s="22">
        <v>0.53930974006652832</v>
      </c>
    </row>
    <row r="1657" spans="1:1" x14ac:dyDescent="0.2">
      <c r="A1657" s="22">
        <v>0.84079211950302124</v>
      </c>
    </row>
    <row r="1658" spans="1:1" x14ac:dyDescent="0.2">
      <c r="A1658" s="22">
        <v>0.29394996166229248</v>
      </c>
    </row>
    <row r="1659" spans="1:1" x14ac:dyDescent="0.2">
      <c r="A1659" s="22">
        <v>4.916149377822876E-2</v>
      </c>
    </row>
    <row r="1660" spans="1:1" x14ac:dyDescent="0.2">
      <c r="A1660" s="22">
        <v>0.87697172164916992</v>
      </c>
    </row>
    <row r="1661" spans="1:1" x14ac:dyDescent="0.2">
      <c r="A1661" s="22">
        <v>0.80070656538009644</v>
      </c>
    </row>
    <row r="1662" spans="1:1" x14ac:dyDescent="0.2">
      <c r="A1662" s="22">
        <v>0.74550545215606689</v>
      </c>
    </row>
    <row r="1663" spans="1:1" x14ac:dyDescent="0.2">
      <c r="A1663" s="22">
        <v>0.95059853792190552</v>
      </c>
    </row>
    <row r="1664" spans="1:1" x14ac:dyDescent="0.2">
      <c r="A1664" s="22">
        <v>0.65435004234313965</v>
      </c>
    </row>
    <row r="1665" spans="1:1" x14ac:dyDescent="0.2">
      <c r="A1665" s="22">
        <v>0.27350324392318726</v>
      </c>
    </row>
    <row r="1666" spans="1:1" x14ac:dyDescent="0.2">
      <c r="A1666" s="22">
        <v>0.16232049465179443</v>
      </c>
    </row>
    <row r="1667" spans="1:1" x14ac:dyDescent="0.2">
      <c r="A1667" s="22">
        <v>0.4445381760597229</v>
      </c>
    </row>
    <row r="1668" spans="1:1" x14ac:dyDescent="0.2">
      <c r="A1668" s="22">
        <v>0.1893768310546875</v>
      </c>
    </row>
    <row r="1669" spans="1:1" x14ac:dyDescent="0.2">
      <c r="A1669" s="22">
        <v>0.8678857684135437</v>
      </c>
    </row>
    <row r="1670" spans="1:1" x14ac:dyDescent="0.2">
      <c r="A1670" s="22">
        <v>3.0784249305725098E-2</v>
      </c>
    </row>
    <row r="1671" spans="1:1" x14ac:dyDescent="0.2">
      <c r="A1671" s="22">
        <v>0.13431292772293091</v>
      </c>
    </row>
    <row r="1672" spans="1:1" x14ac:dyDescent="0.2">
      <c r="A1672" s="22">
        <v>0.48455452919006348</v>
      </c>
    </row>
    <row r="1673" spans="1:1" x14ac:dyDescent="0.2">
      <c r="A1673" s="22">
        <v>0.13884681463241577</v>
      </c>
    </row>
    <row r="1674" spans="1:1" x14ac:dyDescent="0.2">
      <c r="A1674" s="22">
        <v>0.99841868877410889</v>
      </c>
    </row>
    <row r="1675" spans="1:1" x14ac:dyDescent="0.2">
      <c r="A1675" s="22">
        <v>0.13985687494277954</v>
      </c>
    </row>
    <row r="1676" spans="1:1" x14ac:dyDescent="0.2">
      <c r="A1676" s="22">
        <v>0.99258089065551758</v>
      </c>
    </row>
    <row r="1677" spans="1:1" x14ac:dyDescent="0.2">
      <c r="A1677" s="22">
        <v>0.29079312086105347</v>
      </c>
    </row>
    <row r="1678" spans="1:1" x14ac:dyDescent="0.2">
      <c r="A1678" s="22">
        <v>0.7645035982131958</v>
      </c>
    </row>
    <row r="1679" spans="1:1" x14ac:dyDescent="0.2">
      <c r="A1679" s="22">
        <v>0.4258306622505188</v>
      </c>
    </row>
    <row r="1680" spans="1:1" x14ac:dyDescent="0.2">
      <c r="A1680" s="22">
        <v>0.6319739818572998</v>
      </c>
    </row>
    <row r="1681" spans="1:1" x14ac:dyDescent="0.2">
      <c r="A1681" s="22">
        <v>0.13067048788070679</v>
      </c>
    </row>
    <row r="1682" spans="1:1" x14ac:dyDescent="0.2">
      <c r="A1682" s="22">
        <v>0.22070157527923584</v>
      </c>
    </row>
    <row r="1683" spans="1:1" x14ac:dyDescent="0.2">
      <c r="A1683" s="22">
        <v>0.37974649667739868</v>
      </c>
    </row>
    <row r="1684" spans="1:1" x14ac:dyDescent="0.2">
      <c r="A1684" s="22">
        <v>5.2697181701660156E-2</v>
      </c>
    </row>
    <row r="1685" spans="1:1" x14ac:dyDescent="0.2">
      <c r="A1685" s="22">
        <v>0.27108877897262573</v>
      </c>
    </row>
    <row r="1686" spans="1:1" x14ac:dyDescent="0.2">
      <c r="A1686" s="22">
        <v>0.841683030128479</v>
      </c>
    </row>
    <row r="1687" spans="1:1" x14ac:dyDescent="0.2">
      <c r="A1687" s="22">
        <v>0.64009314775466919</v>
      </c>
    </row>
    <row r="1688" spans="1:1" x14ac:dyDescent="0.2">
      <c r="A1688" s="22">
        <v>0.15178418159484863</v>
      </c>
    </row>
    <row r="1689" spans="1:1" x14ac:dyDescent="0.2">
      <c r="A1689" s="22">
        <v>0.5834469199180603</v>
      </c>
    </row>
    <row r="1690" spans="1:1" x14ac:dyDescent="0.2">
      <c r="A1690" s="22">
        <v>0.32575118541717529</v>
      </c>
    </row>
    <row r="1691" spans="1:1" x14ac:dyDescent="0.2">
      <c r="A1691" s="22">
        <v>0.17446094751358032</v>
      </c>
    </row>
    <row r="1692" spans="1:1" x14ac:dyDescent="0.2">
      <c r="A1692" s="22">
        <v>0.83896398544311523</v>
      </c>
    </row>
    <row r="1693" spans="1:1" x14ac:dyDescent="0.2">
      <c r="A1693" s="22">
        <v>0.9010578989982605</v>
      </c>
    </row>
    <row r="1694" spans="1:1" x14ac:dyDescent="0.2">
      <c r="A1694" s="22">
        <v>0.48546707630157471</v>
      </c>
    </row>
    <row r="1695" spans="1:1" x14ac:dyDescent="0.2">
      <c r="A1695" s="22">
        <v>0.60766679048538208</v>
      </c>
    </row>
    <row r="1696" spans="1:1" x14ac:dyDescent="0.2">
      <c r="A1696" s="22">
        <v>5.2285909652709961E-2</v>
      </c>
    </row>
    <row r="1697" spans="1:1" x14ac:dyDescent="0.2">
      <c r="A1697" s="22">
        <v>0.97227376699447632</v>
      </c>
    </row>
    <row r="1698" spans="1:1" x14ac:dyDescent="0.2">
      <c r="A1698" s="22">
        <v>0.38827455043792725</v>
      </c>
    </row>
    <row r="1699" spans="1:1" x14ac:dyDescent="0.2">
      <c r="A1699" s="22">
        <v>0.79987913370132446</v>
      </c>
    </row>
    <row r="1700" spans="1:1" x14ac:dyDescent="0.2">
      <c r="A1700" s="22">
        <v>2.3744583129882813E-2</v>
      </c>
    </row>
    <row r="1701" spans="1:1" x14ac:dyDescent="0.2">
      <c r="A1701" s="22">
        <v>0.66361063718795776</v>
      </c>
    </row>
    <row r="1702" spans="1:1" x14ac:dyDescent="0.2">
      <c r="A1702" s="22">
        <v>0.74712526798248291</v>
      </c>
    </row>
    <row r="1703" spans="1:1" x14ac:dyDescent="0.2">
      <c r="A1703" s="22">
        <v>0.67474299669265747</v>
      </c>
    </row>
    <row r="1704" spans="1:1" x14ac:dyDescent="0.2">
      <c r="A1704" s="22">
        <v>0.79490494728088379</v>
      </c>
    </row>
    <row r="1705" spans="1:1" x14ac:dyDescent="0.2">
      <c r="A1705" s="22">
        <v>0.41287368535995483</v>
      </c>
    </row>
    <row r="1706" spans="1:1" x14ac:dyDescent="0.2">
      <c r="A1706" s="22">
        <v>0.5611037015914917</v>
      </c>
    </row>
    <row r="1707" spans="1:1" x14ac:dyDescent="0.2">
      <c r="A1707" s="22">
        <v>0.2975049614906311</v>
      </c>
    </row>
    <row r="1708" spans="1:1" x14ac:dyDescent="0.2">
      <c r="A1708" s="22">
        <v>0.98252725601196289</v>
      </c>
    </row>
    <row r="1709" spans="1:1" x14ac:dyDescent="0.2">
      <c r="A1709" s="22">
        <v>0.93228214979171753</v>
      </c>
    </row>
    <row r="1710" spans="1:1" x14ac:dyDescent="0.2">
      <c r="A1710" s="22">
        <v>6.0521364212036133E-3</v>
      </c>
    </row>
    <row r="1711" spans="1:1" x14ac:dyDescent="0.2">
      <c r="A1711" s="22">
        <v>0.20313817262649536</v>
      </c>
    </row>
    <row r="1712" spans="1:1" x14ac:dyDescent="0.2">
      <c r="A1712" s="22">
        <v>0.79419207572937012</v>
      </c>
    </row>
    <row r="1713" spans="1:1" x14ac:dyDescent="0.2">
      <c r="A1713" s="22">
        <v>0.16159433126449585</v>
      </c>
    </row>
    <row r="1714" spans="1:1" x14ac:dyDescent="0.2">
      <c r="A1714" s="22">
        <v>0.57519567012786865</v>
      </c>
    </row>
    <row r="1715" spans="1:1" x14ac:dyDescent="0.2">
      <c r="A1715" s="22">
        <v>0.97446733713150024</v>
      </c>
    </row>
    <row r="1716" spans="1:1" x14ac:dyDescent="0.2">
      <c r="A1716" s="22">
        <v>0.29392528533935547</v>
      </c>
    </row>
    <row r="1717" spans="1:1" x14ac:dyDescent="0.2">
      <c r="A1717" s="22">
        <v>0.47123259305953979</v>
      </c>
    </row>
    <row r="1718" spans="1:1" x14ac:dyDescent="0.2">
      <c r="A1718" s="22">
        <v>0.46976721286773682</v>
      </c>
    </row>
    <row r="1719" spans="1:1" x14ac:dyDescent="0.2">
      <c r="A1719" s="22">
        <v>7.0293724536895752E-2</v>
      </c>
    </row>
    <row r="1720" spans="1:1" x14ac:dyDescent="0.2">
      <c r="A1720" s="22">
        <v>0.91782307624816895</v>
      </c>
    </row>
    <row r="1721" spans="1:1" x14ac:dyDescent="0.2">
      <c r="A1721" s="22">
        <v>0.11540836095809937</v>
      </c>
    </row>
    <row r="1722" spans="1:1" x14ac:dyDescent="0.2">
      <c r="A1722" s="22">
        <v>0.23963248729705811</v>
      </c>
    </row>
    <row r="1723" spans="1:1" x14ac:dyDescent="0.2">
      <c r="A1723" s="22">
        <v>0.90352016687393188</v>
      </c>
    </row>
    <row r="1724" spans="1:1" x14ac:dyDescent="0.2">
      <c r="A1724" s="22">
        <v>0.23967695236206055</v>
      </c>
    </row>
    <row r="1725" spans="1:1" x14ac:dyDescent="0.2">
      <c r="A1725" s="22">
        <v>0.93524712324142456</v>
      </c>
    </row>
    <row r="1726" spans="1:1" x14ac:dyDescent="0.2">
      <c r="A1726" s="22">
        <v>0.67391502857208252</v>
      </c>
    </row>
    <row r="1727" spans="1:1" x14ac:dyDescent="0.2">
      <c r="A1727" s="22">
        <v>0.16927605867385864</v>
      </c>
    </row>
    <row r="1728" spans="1:1" x14ac:dyDescent="0.2">
      <c r="A1728" s="22">
        <v>0.98659873008728027</v>
      </c>
    </row>
    <row r="1729" spans="1:1" x14ac:dyDescent="0.2">
      <c r="A1729" s="22">
        <v>0.31191343069076538</v>
      </c>
    </row>
    <row r="1730" spans="1:1" x14ac:dyDescent="0.2">
      <c r="A1730" s="22">
        <v>0.94162118434906006</v>
      </c>
    </row>
    <row r="1731" spans="1:1" x14ac:dyDescent="0.2">
      <c r="A1731" s="22">
        <v>0.42304235696792603</v>
      </c>
    </row>
    <row r="1732" spans="1:1" x14ac:dyDescent="0.2">
      <c r="A1732" s="22">
        <v>0.30464553833007813</v>
      </c>
    </row>
    <row r="1733" spans="1:1" x14ac:dyDescent="0.2">
      <c r="A1733" s="22">
        <v>0.36973589658737183</v>
      </c>
    </row>
    <row r="1734" spans="1:1" x14ac:dyDescent="0.2">
      <c r="A1734" s="22">
        <v>0.98226511478424072</v>
      </c>
    </row>
    <row r="1735" spans="1:1" x14ac:dyDescent="0.2">
      <c r="A1735" s="22">
        <v>0.90877658128738403</v>
      </c>
    </row>
    <row r="1736" spans="1:1" x14ac:dyDescent="0.2">
      <c r="A1736" s="22">
        <v>0.2744448184967041</v>
      </c>
    </row>
    <row r="1737" spans="1:1" x14ac:dyDescent="0.2">
      <c r="A1737" s="22">
        <v>0.4293321967124939</v>
      </c>
    </row>
    <row r="1738" spans="1:1" x14ac:dyDescent="0.2">
      <c r="A1738" s="22">
        <v>0.14649379253387451</v>
      </c>
    </row>
    <row r="1739" spans="1:1" x14ac:dyDescent="0.2">
      <c r="A1739" s="22">
        <v>0.63703781366348267</v>
      </c>
    </row>
    <row r="1740" spans="1:1" x14ac:dyDescent="0.2">
      <c r="A1740" s="22">
        <v>0.6768193244934082</v>
      </c>
    </row>
    <row r="1741" spans="1:1" x14ac:dyDescent="0.2">
      <c r="A1741" s="22">
        <v>0.71073406934738159</v>
      </c>
    </row>
    <row r="1742" spans="1:1" x14ac:dyDescent="0.2">
      <c r="A1742" s="22">
        <v>8.6712002754211426E-2</v>
      </c>
    </row>
    <row r="1743" spans="1:1" x14ac:dyDescent="0.2">
      <c r="A1743" s="22">
        <v>0.71311169862747192</v>
      </c>
    </row>
    <row r="1744" spans="1:1" x14ac:dyDescent="0.2">
      <c r="A1744" s="22">
        <v>8.4121227264404297E-3</v>
      </c>
    </row>
    <row r="1745" spans="1:1" x14ac:dyDescent="0.2">
      <c r="A1745" s="22">
        <v>0.28651231527328491</v>
      </c>
    </row>
    <row r="1746" spans="1:1" x14ac:dyDescent="0.2">
      <c r="A1746" s="22">
        <v>0.89770734310150146</v>
      </c>
    </row>
    <row r="1747" spans="1:1" x14ac:dyDescent="0.2">
      <c r="A1747" s="22">
        <v>0.91513544321060181</v>
      </c>
    </row>
    <row r="1748" spans="1:1" x14ac:dyDescent="0.2">
      <c r="A1748" s="22">
        <v>0.74731159210205078</v>
      </c>
    </row>
    <row r="1749" spans="1:1" x14ac:dyDescent="0.2">
      <c r="A1749" s="22">
        <v>0.28490179777145386</v>
      </c>
    </row>
    <row r="1750" spans="1:1" x14ac:dyDescent="0.2">
      <c r="A1750" s="22">
        <v>0.50727522373199463</v>
      </c>
    </row>
    <row r="1751" spans="1:1" x14ac:dyDescent="0.2">
      <c r="A1751" s="22">
        <v>0.52222281694412231</v>
      </c>
    </row>
    <row r="1752" spans="1:1" x14ac:dyDescent="0.2">
      <c r="A1752" s="22">
        <v>0.86867642402648926</v>
      </c>
    </row>
    <row r="1753" spans="1:1" x14ac:dyDescent="0.2">
      <c r="A1753" s="22">
        <v>0.34292644262313843</v>
      </c>
    </row>
    <row r="1754" spans="1:1" x14ac:dyDescent="0.2">
      <c r="A1754" s="22">
        <v>0.31684386730194092</v>
      </c>
    </row>
    <row r="1755" spans="1:1" x14ac:dyDescent="0.2">
      <c r="A1755" s="22">
        <v>0.39258915185928345</v>
      </c>
    </row>
    <row r="1756" spans="1:1" x14ac:dyDescent="0.2">
      <c r="A1756" s="22">
        <v>0.61036062240600586</v>
      </c>
    </row>
    <row r="1757" spans="1:1" x14ac:dyDescent="0.2">
      <c r="A1757" s="22">
        <v>0.30952423810958862</v>
      </c>
    </row>
    <row r="1758" spans="1:1" x14ac:dyDescent="0.2">
      <c r="A1758" s="22">
        <v>9.2099308967590332E-2</v>
      </c>
    </row>
    <row r="1759" spans="1:1" x14ac:dyDescent="0.2">
      <c r="A1759" s="22">
        <v>0.29167634248733521</v>
      </c>
    </row>
    <row r="1760" spans="1:1" x14ac:dyDescent="0.2">
      <c r="A1760" s="22">
        <v>0.48853850364685059</v>
      </c>
    </row>
    <row r="1761" spans="1:1" x14ac:dyDescent="0.2">
      <c r="A1761" s="22">
        <v>0.19867223501205444</v>
      </c>
    </row>
    <row r="1762" spans="1:1" x14ac:dyDescent="0.2">
      <c r="A1762" s="22">
        <v>0.10361039638519287</v>
      </c>
    </row>
    <row r="1763" spans="1:1" x14ac:dyDescent="0.2">
      <c r="A1763" s="22">
        <v>0.47027784585952759</v>
      </c>
    </row>
    <row r="1764" spans="1:1" x14ac:dyDescent="0.2">
      <c r="A1764" s="22">
        <v>0.56332969665527344</v>
      </c>
    </row>
    <row r="1765" spans="1:1" x14ac:dyDescent="0.2">
      <c r="A1765" s="22">
        <v>0.39251154661178589</v>
      </c>
    </row>
    <row r="1766" spans="1:1" x14ac:dyDescent="0.2">
      <c r="A1766" s="22">
        <v>0.51745378971099854</v>
      </c>
    </row>
    <row r="1767" spans="1:1" x14ac:dyDescent="0.2">
      <c r="A1767" s="22">
        <v>0.4926636815071106</v>
      </c>
    </row>
    <row r="1768" spans="1:1" x14ac:dyDescent="0.2">
      <c r="A1768" s="22">
        <v>0.95442414283752441</v>
      </c>
    </row>
    <row r="1769" spans="1:1" x14ac:dyDescent="0.2">
      <c r="A1769" s="22">
        <v>9.4472348690032959E-2</v>
      </c>
    </row>
    <row r="1770" spans="1:1" x14ac:dyDescent="0.2">
      <c r="A1770" s="22">
        <v>3.5838961601257324E-2</v>
      </c>
    </row>
    <row r="1771" spans="1:1" x14ac:dyDescent="0.2">
      <c r="A1771" s="22">
        <v>0.31470543146133423</v>
      </c>
    </row>
    <row r="1772" spans="1:1" x14ac:dyDescent="0.2">
      <c r="A1772" s="22">
        <v>0.60670709609985352</v>
      </c>
    </row>
    <row r="1773" spans="1:1" x14ac:dyDescent="0.2">
      <c r="A1773" s="22">
        <v>3.2398879528045654E-2</v>
      </c>
    </row>
    <row r="1774" spans="1:1" x14ac:dyDescent="0.2">
      <c r="A1774" s="22">
        <v>0.78773319721221924</v>
      </c>
    </row>
    <row r="1775" spans="1:1" x14ac:dyDescent="0.2">
      <c r="A1775" s="22">
        <v>0.61200124025344849</v>
      </c>
    </row>
    <row r="1776" spans="1:1" x14ac:dyDescent="0.2">
      <c r="A1776" s="22">
        <v>0.30588412284851074</v>
      </c>
    </row>
    <row r="1777" spans="1:1" x14ac:dyDescent="0.2">
      <c r="A1777" s="22">
        <v>0.41167443990707397</v>
      </c>
    </row>
    <row r="1778" spans="1:1" x14ac:dyDescent="0.2">
      <c r="A1778" s="22">
        <v>0.46948659420013428</v>
      </c>
    </row>
    <row r="1779" spans="1:1" x14ac:dyDescent="0.2">
      <c r="A1779" s="22">
        <v>0.35800081491470337</v>
      </c>
    </row>
    <row r="1780" spans="1:1" x14ac:dyDescent="0.2">
      <c r="A1780" s="22">
        <v>0.94410610198974609</v>
      </c>
    </row>
    <row r="1781" spans="1:1" x14ac:dyDescent="0.2">
      <c r="A1781" s="22">
        <v>0.11834639310836792</v>
      </c>
    </row>
    <row r="1782" spans="1:1" x14ac:dyDescent="0.2">
      <c r="A1782" s="22">
        <v>0.73545706272125244</v>
      </c>
    </row>
    <row r="1783" spans="1:1" x14ac:dyDescent="0.2">
      <c r="A1783" s="22">
        <v>0.65213042497634888</v>
      </c>
    </row>
    <row r="1784" spans="1:1" x14ac:dyDescent="0.2">
      <c r="A1784" s="22">
        <v>3.559422492980957E-2</v>
      </c>
    </row>
    <row r="1785" spans="1:1" x14ac:dyDescent="0.2">
      <c r="A1785" s="22">
        <v>0.17225116491317749</v>
      </c>
    </row>
    <row r="1786" spans="1:1" x14ac:dyDescent="0.2">
      <c r="A1786" s="22">
        <v>0.83863532543182373</v>
      </c>
    </row>
    <row r="1787" spans="1:1" x14ac:dyDescent="0.2">
      <c r="A1787" s="22">
        <v>0.79791790246963501</v>
      </c>
    </row>
    <row r="1788" spans="1:1" x14ac:dyDescent="0.2">
      <c r="A1788" s="22">
        <v>0.48226499557495117</v>
      </c>
    </row>
    <row r="1789" spans="1:1" x14ac:dyDescent="0.2">
      <c r="A1789" s="22">
        <v>0.43013924360275269</v>
      </c>
    </row>
    <row r="1790" spans="1:1" x14ac:dyDescent="0.2">
      <c r="A1790" s="22">
        <v>0.52126991748809814</v>
      </c>
    </row>
    <row r="1791" spans="1:1" x14ac:dyDescent="0.2">
      <c r="A1791" s="22">
        <v>0.63111764192581177</v>
      </c>
    </row>
    <row r="1792" spans="1:1" x14ac:dyDescent="0.2">
      <c r="A1792" s="22">
        <v>0.5893552303314209</v>
      </c>
    </row>
    <row r="1793" spans="1:1" x14ac:dyDescent="0.2">
      <c r="A1793" s="22">
        <v>0.53880017995834351</v>
      </c>
    </row>
    <row r="1794" spans="1:1" x14ac:dyDescent="0.2">
      <c r="A1794" s="22">
        <v>0.15549218654632568</v>
      </c>
    </row>
    <row r="1795" spans="1:1" x14ac:dyDescent="0.2">
      <c r="A1795" s="22">
        <v>9.783560037612915E-2</v>
      </c>
    </row>
    <row r="1796" spans="1:1" x14ac:dyDescent="0.2">
      <c r="A1796" s="22">
        <v>0.33104705810546875</v>
      </c>
    </row>
    <row r="1797" spans="1:1" x14ac:dyDescent="0.2">
      <c r="A1797" s="22">
        <v>0.13818758726119995</v>
      </c>
    </row>
    <row r="1798" spans="1:1" x14ac:dyDescent="0.2">
      <c r="A1798" s="22">
        <v>0.13394129276275635</v>
      </c>
    </row>
    <row r="1799" spans="1:1" x14ac:dyDescent="0.2">
      <c r="A1799" s="22">
        <v>8.2654297351837158E-2</v>
      </c>
    </row>
    <row r="1800" spans="1:1" x14ac:dyDescent="0.2">
      <c r="A1800" s="22">
        <v>0.86609292030334473</v>
      </c>
    </row>
    <row r="1801" spans="1:1" x14ac:dyDescent="0.2">
      <c r="A1801" s="22">
        <v>0.31454414129257202</v>
      </c>
    </row>
    <row r="1802" spans="1:1" x14ac:dyDescent="0.2">
      <c r="A1802" s="22">
        <v>0.51038920879364014</v>
      </c>
    </row>
    <row r="1803" spans="1:1" x14ac:dyDescent="0.2">
      <c r="A1803" s="22">
        <v>0.48675781488418579</v>
      </c>
    </row>
    <row r="1804" spans="1:1" x14ac:dyDescent="0.2">
      <c r="A1804" s="22">
        <v>0.30344057083129883</v>
      </c>
    </row>
    <row r="1805" spans="1:1" x14ac:dyDescent="0.2">
      <c r="A1805" s="22">
        <v>0.30352658033370972</v>
      </c>
    </row>
    <row r="1806" spans="1:1" x14ac:dyDescent="0.2">
      <c r="A1806" s="22">
        <v>0.89036571979522705</v>
      </c>
    </row>
    <row r="1807" spans="1:1" x14ac:dyDescent="0.2">
      <c r="A1807" s="22">
        <v>0.55605679750442505</v>
      </c>
    </row>
    <row r="1808" spans="1:1" x14ac:dyDescent="0.2">
      <c r="A1808" s="22">
        <v>0.71785807609558105</v>
      </c>
    </row>
    <row r="1809" spans="1:1" x14ac:dyDescent="0.2">
      <c r="A1809" s="22">
        <v>0.44333070516586304</v>
      </c>
    </row>
    <row r="1810" spans="1:1" x14ac:dyDescent="0.2">
      <c r="A1810" s="22">
        <v>0.57178342342376709</v>
      </c>
    </row>
    <row r="1811" spans="1:1" x14ac:dyDescent="0.2">
      <c r="A1811" s="22">
        <v>0.45931345224380493</v>
      </c>
    </row>
    <row r="1812" spans="1:1" x14ac:dyDescent="0.2">
      <c r="A1812" s="22">
        <v>0.41555881500244141</v>
      </c>
    </row>
    <row r="1813" spans="1:1" x14ac:dyDescent="0.2">
      <c r="A1813" s="22">
        <v>0.37781637907028198</v>
      </c>
    </row>
    <row r="1814" spans="1:1" x14ac:dyDescent="0.2">
      <c r="A1814" s="22">
        <v>0.93556272983551025</v>
      </c>
    </row>
    <row r="1815" spans="1:1" x14ac:dyDescent="0.2">
      <c r="A1815" s="22">
        <v>0.11626654863357544</v>
      </c>
    </row>
    <row r="1816" spans="1:1" x14ac:dyDescent="0.2">
      <c r="A1816" s="22">
        <v>0.44982647895812988</v>
      </c>
    </row>
    <row r="1817" spans="1:1" x14ac:dyDescent="0.2">
      <c r="A1817" s="22">
        <v>0.50963252782821655</v>
      </c>
    </row>
    <row r="1818" spans="1:1" x14ac:dyDescent="0.2">
      <c r="A1818" s="22">
        <v>8.6256861686706543E-2</v>
      </c>
    </row>
    <row r="1819" spans="1:1" x14ac:dyDescent="0.2">
      <c r="A1819" s="22">
        <v>0.27575641870498657</v>
      </c>
    </row>
    <row r="1820" spans="1:1" x14ac:dyDescent="0.2">
      <c r="A1820" s="22">
        <v>0.38664007186889648</v>
      </c>
    </row>
    <row r="1821" spans="1:1" x14ac:dyDescent="0.2">
      <c r="A1821" s="22">
        <v>0.70334213972091675</v>
      </c>
    </row>
    <row r="1822" spans="1:1" x14ac:dyDescent="0.2">
      <c r="A1822" s="22">
        <v>0.74267685413360596</v>
      </c>
    </row>
    <row r="1823" spans="1:1" x14ac:dyDescent="0.2">
      <c r="A1823" s="22">
        <v>0.84384995698928833</v>
      </c>
    </row>
    <row r="1824" spans="1:1" x14ac:dyDescent="0.2">
      <c r="A1824" s="22">
        <v>0.32029891014099121</v>
      </c>
    </row>
    <row r="1825" spans="1:1" x14ac:dyDescent="0.2">
      <c r="A1825" s="22">
        <v>0.23854726552963257</v>
      </c>
    </row>
    <row r="1826" spans="1:1" x14ac:dyDescent="0.2">
      <c r="A1826" s="22">
        <v>0.3785165548324585</v>
      </c>
    </row>
    <row r="1827" spans="1:1" x14ac:dyDescent="0.2">
      <c r="A1827" s="22">
        <v>0.46196562051773071</v>
      </c>
    </row>
    <row r="1828" spans="1:1" x14ac:dyDescent="0.2">
      <c r="A1828" s="22">
        <v>0.13904762268066406</v>
      </c>
    </row>
    <row r="1829" spans="1:1" x14ac:dyDescent="0.2">
      <c r="A1829" s="22">
        <v>1.3014018535614014E-2</v>
      </c>
    </row>
    <row r="1830" spans="1:1" x14ac:dyDescent="0.2">
      <c r="A1830" s="22">
        <v>0.61297762393951416</v>
      </c>
    </row>
    <row r="1831" spans="1:1" x14ac:dyDescent="0.2">
      <c r="A1831" s="22">
        <v>0.33499842882156372</v>
      </c>
    </row>
    <row r="1832" spans="1:1" x14ac:dyDescent="0.2">
      <c r="A1832" s="22">
        <v>4.0701150894165039E-2</v>
      </c>
    </row>
    <row r="1833" spans="1:1" x14ac:dyDescent="0.2">
      <c r="A1833" s="22">
        <v>0.99579757452011108</v>
      </c>
    </row>
    <row r="1834" spans="1:1" x14ac:dyDescent="0.2">
      <c r="A1834" s="22">
        <v>0.85139453411102295</v>
      </c>
    </row>
    <row r="1835" spans="1:1" x14ac:dyDescent="0.2">
      <c r="A1835" s="22">
        <v>0.30944496393203735</v>
      </c>
    </row>
    <row r="1836" spans="1:1" x14ac:dyDescent="0.2">
      <c r="A1836" s="22">
        <v>0.29826974868774414</v>
      </c>
    </row>
    <row r="1837" spans="1:1" x14ac:dyDescent="0.2">
      <c r="A1837" s="22">
        <v>0.93036717176437378</v>
      </c>
    </row>
    <row r="1838" spans="1:1" x14ac:dyDescent="0.2">
      <c r="A1838" s="22">
        <v>0.17585957050323486</v>
      </c>
    </row>
    <row r="1839" spans="1:1" x14ac:dyDescent="0.2">
      <c r="A1839" s="22">
        <v>0.20152837038040161</v>
      </c>
    </row>
    <row r="1840" spans="1:1" x14ac:dyDescent="0.2">
      <c r="A1840" s="22">
        <v>0.27558398246765137</v>
      </c>
    </row>
    <row r="1841" spans="1:1" x14ac:dyDescent="0.2">
      <c r="A1841" s="22">
        <v>0.2877311110496521</v>
      </c>
    </row>
    <row r="1842" spans="1:1" x14ac:dyDescent="0.2">
      <c r="A1842" s="22">
        <v>0.4858478307723999</v>
      </c>
    </row>
    <row r="1843" spans="1:1" x14ac:dyDescent="0.2">
      <c r="A1843" s="22">
        <v>0.37532335519790649</v>
      </c>
    </row>
    <row r="1844" spans="1:1" x14ac:dyDescent="0.2">
      <c r="A1844" s="22">
        <v>0.69291973114013672</v>
      </c>
    </row>
    <row r="1845" spans="1:1" x14ac:dyDescent="0.2">
      <c r="A1845" s="22">
        <v>0.46956175565719604</v>
      </c>
    </row>
    <row r="1846" spans="1:1" x14ac:dyDescent="0.2">
      <c r="A1846" s="22">
        <v>0.88884222507476807</v>
      </c>
    </row>
    <row r="1847" spans="1:1" x14ac:dyDescent="0.2">
      <c r="A1847" s="22">
        <v>0.570881187915802</v>
      </c>
    </row>
    <row r="1848" spans="1:1" x14ac:dyDescent="0.2">
      <c r="A1848" s="22">
        <v>0.1426231861114502</v>
      </c>
    </row>
    <row r="1849" spans="1:1" x14ac:dyDescent="0.2">
      <c r="A1849" s="22">
        <v>0.26132053136825562</v>
      </c>
    </row>
    <row r="1850" spans="1:1" x14ac:dyDescent="0.2">
      <c r="A1850" s="22">
        <v>0.34095847606658936</v>
      </c>
    </row>
    <row r="1851" spans="1:1" x14ac:dyDescent="0.2">
      <c r="A1851" s="22">
        <v>0.98235470056533813</v>
      </c>
    </row>
    <row r="1852" spans="1:1" x14ac:dyDescent="0.2">
      <c r="A1852" s="22">
        <v>0.8547358512878418</v>
      </c>
    </row>
    <row r="1853" spans="1:1" x14ac:dyDescent="0.2">
      <c r="A1853" s="22">
        <v>0.53538292646408081</v>
      </c>
    </row>
    <row r="1854" spans="1:1" x14ac:dyDescent="0.2">
      <c r="A1854" s="22">
        <v>0.53757011890411377</v>
      </c>
    </row>
    <row r="1855" spans="1:1" x14ac:dyDescent="0.2">
      <c r="A1855" s="22">
        <v>0.58612328767776489</v>
      </c>
    </row>
    <row r="1856" spans="1:1" x14ac:dyDescent="0.2">
      <c r="A1856" s="22">
        <v>0.71261954307556152</v>
      </c>
    </row>
    <row r="1857" spans="1:1" x14ac:dyDescent="0.2">
      <c r="A1857" s="22">
        <v>0.20416349172592163</v>
      </c>
    </row>
    <row r="1858" spans="1:1" x14ac:dyDescent="0.2">
      <c r="A1858" s="22">
        <v>5.3933501243591309E-2</v>
      </c>
    </row>
    <row r="1859" spans="1:1" x14ac:dyDescent="0.2">
      <c r="A1859" s="22">
        <v>0.71891790628433228</v>
      </c>
    </row>
    <row r="1860" spans="1:1" x14ac:dyDescent="0.2">
      <c r="A1860" s="22">
        <v>0.51858139038085938</v>
      </c>
    </row>
    <row r="1861" spans="1:1" x14ac:dyDescent="0.2">
      <c r="A1861" s="22">
        <v>0.42324084043502808</v>
      </c>
    </row>
    <row r="1862" spans="1:1" x14ac:dyDescent="0.2">
      <c r="A1862" s="22">
        <v>0.73581278324127197</v>
      </c>
    </row>
    <row r="1863" spans="1:1" x14ac:dyDescent="0.2">
      <c r="A1863" s="22">
        <v>0.90594607591629028</v>
      </c>
    </row>
    <row r="1864" spans="1:1" x14ac:dyDescent="0.2">
      <c r="A1864" s="22">
        <v>0.50949883460998535</v>
      </c>
    </row>
    <row r="1865" spans="1:1" x14ac:dyDescent="0.2">
      <c r="A1865" s="22">
        <v>4.4482648372650146E-2</v>
      </c>
    </row>
    <row r="1866" spans="1:1" x14ac:dyDescent="0.2">
      <c r="A1866" s="22">
        <v>0.34010493755340576</v>
      </c>
    </row>
    <row r="1867" spans="1:1" x14ac:dyDescent="0.2">
      <c r="A1867" s="22">
        <v>0.93901687860488892</v>
      </c>
    </row>
    <row r="1868" spans="1:1" x14ac:dyDescent="0.2">
      <c r="A1868" s="22">
        <v>0.12244462966918945</v>
      </c>
    </row>
    <row r="1869" spans="1:1" x14ac:dyDescent="0.2">
      <c r="A1869" s="22">
        <v>0.31917065382003784</v>
      </c>
    </row>
    <row r="1870" spans="1:1" x14ac:dyDescent="0.2">
      <c r="A1870" s="22">
        <v>0.42546474933624268</v>
      </c>
    </row>
    <row r="1871" spans="1:1" x14ac:dyDescent="0.2">
      <c r="A1871" s="22">
        <v>0.20466595888137817</v>
      </c>
    </row>
    <row r="1872" spans="1:1" x14ac:dyDescent="0.2">
      <c r="A1872" s="22">
        <v>1.031184196472168E-2</v>
      </c>
    </row>
    <row r="1873" spans="1:1" x14ac:dyDescent="0.2">
      <c r="A1873" s="22">
        <v>0.85112565755844116</v>
      </c>
    </row>
    <row r="1874" spans="1:1" x14ac:dyDescent="0.2">
      <c r="A1874" s="22">
        <v>0.49292981624603271</v>
      </c>
    </row>
    <row r="1875" spans="1:1" x14ac:dyDescent="0.2">
      <c r="A1875" s="22">
        <v>0.26228052377700806</v>
      </c>
    </row>
    <row r="1876" spans="1:1" x14ac:dyDescent="0.2">
      <c r="A1876" s="22">
        <v>0.30743885040283203</v>
      </c>
    </row>
    <row r="1877" spans="1:1" x14ac:dyDescent="0.2">
      <c r="A1877" s="22">
        <v>0.79983252286911011</v>
      </c>
    </row>
    <row r="1878" spans="1:1" x14ac:dyDescent="0.2">
      <c r="A1878" s="22">
        <v>0.37654554843902588</v>
      </c>
    </row>
    <row r="1879" spans="1:1" x14ac:dyDescent="0.2">
      <c r="A1879" s="22">
        <v>0.67222434282302856</v>
      </c>
    </row>
    <row r="1880" spans="1:1" x14ac:dyDescent="0.2">
      <c r="A1880" s="22">
        <v>0.14523434638977051</v>
      </c>
    </row>
    <row r="1881" spans="1:1" x14ac:dyDescent="0.2">
      <c r="A1881" s="22">
        <v>0.33356517553329468</v>
      </c>
    </row>
    <row r="1882" spans="1:1" x14ac:dyDescent="0.2">
      <c r="A1882" s="22">
        <v>0.88399016857147217</v>
      </c>
    </row>
    <row r="1883" spans="1:1" x14ac:dyDescent="0.2">
      <c r="A1883" s="22">
        <v>7.3962748050689697E-2</v>
      </c>
    </row>
    <row r="1884" spans="1:1" x14ac:dyDescent="0.2">
      <c r="A1884" s="22">
        <v>0.41780233383178711</v>
      </c>
    </row>
    <row r="1885" spans="1:1" x14ac:dyDescent="0.2">
      <c r="A1885" s="22">
        <v>0.33251160383224487</v>
      </c>
    </row>
    <row r="1886" spans="1:1" x14ac:dyDescent="0.2">
      <c r="A1886" s="22">
        <v>0.68719971179962158</v>
      </c>
    </row>
    <row r="1887" spans="1:1" x14ac:dyDescent="0.2">
      <c r="A1887" s="22">
        <v>0.51418763399124146</v>
      </c>
    </row>
    <row r="1888" spans="1:1" x14ac:dyDescent="0.2">
      <c r="A1888" s="22">
        <v>0.79756712913513184</v>
      </c>
    </row>
    <row r="1889" spans="1:1" x14ac:dyDescent="0.2">
      <c r="A1889" s="22">
        <v>0.34189885854721069</v>
      </c>
    </row>
    <row r="1890" spans="1:1" x14ac:dyDescent="0.2">
      <c r="A1890" s="22">
        <v>0.46299302577972412</v>
      </c>
    </row>
    <row r="1891" spans="1:1" x14ac:dyDescent="0.2">
      <c r="A1891" s="22">
        <v>2.4942457675933838E-2</v>
      </c>
    </row>
    <row r="1892" spans="1:1" x14ac:dyDescent="0.2">
      <c r="A1892" s="22">
        <v>8.983612060546875E-4</v>
      </c>
    </row>
    <row r="1893" spans="1:1" x14ac:dyDescent="0.2">
      <c r="A1893" s="22">
        <v>0.77511805295944214</v>
      </c>
    </row>
    <row r="1894" spans="1:1" x14ac:dyDescent="0.2">
      <c r="A1894" s="22">
        <v>0.28369677066802979</v>
      </c>
    </row>
    <row r="1895" spans="1:1" x14ac:dyDescent="0.2">
      <c r="A1895" s="22">
        <v>0.45174723863601685</v>
      </c>
    </row>
    <row r="1896" spans="1:1" x14ac:dyDescent="0.2">
      <c r="A1896" s="22">
        <v>0.30373597145080566</v>
      </c>
    </row>
    <row r="1897" spans="1:1" x14ac:dyDescent="0.2">
      <c r="A1897" s="22">
        <v>0.36684936285018921</v>
      </c>
    </row>
    <row r="1898" spans="1:1" x14ac:dyDescent="0.2">
      <c r="A1898" s="22">
        <v>0.25777041912078857</v>
      </c>
    </row>
    <row r="1899" spans="1:1" x14ac:dyDescent="0.2">
      <c r="A1899" s="22">
        <v>0.53172355890274048</v>
      </c>
    </row>
    <row r="1900" spans="1:1" x14ac:dyDescent="0.2">
      <c r="A1900" s="22">
        <v>0.30721521377563477</v>
      </c>
    </row>
    <row r="1901" spans="1:1" x14ac:dyDescent="0.2">
      <c r="A1901" s="22">
        <v>0.8761870265007019</v>
      </c>
    </row>
    <row r="1902" spans="1:1" x14ac:dyDescent="0.2">
      <c r="A1902" s="22">
        <v>0.42043125629425049</v>
      </c>
    </row>
    <row r="1903" spans="1:1" x14ac:dyDescent="0.2">
      <c r="A1903" s="22">
        <v>0.22171956300735474</v>
      </c>
    </row>
    <row r="1904" spans="1:1" x14ac:dyDescent="0.2">
      <c r="A1904" s="22">
        <v>0.95329165458679199</v>
      </c>
    </row>
    <row r="1905" spans="1:1" x14ac:dyDescent="0.2">
      <c r="A1905" s="22">
        <v>3.9764344692230225E-2</v>
      </c>
    </row>
    <row r="1906" spans="1:1" x14ac:dyDescent="0.2">
      <c r="A1906" s="22">
        <v>0.87427937984466553</v>
      </c>
    </row>
    <row r="1907" spans="1:1" x14ac:dyDescent="0.2">
      <c r="A1907" s="22">
        <v>0.27643495798110962</v>
      </c>
    </row>
    <row r="1908" spans="1:1" x14ac:dyDescent="0.2">
      <c r="A1908" s="22">
        <v>0.79036617279052734</v>
      </c>
    </row>
    <row r="1909" spans="1:1" x14ac:dyDescent="0.2">
      <c r="A1909" s="22">
        <v>0.77487868070602417</v>
      </c>
    </row>
    <row r="1910" spans="1:1" x14ac:dyDescent="0.2">
      <c r="A1910" s="22">
        <v>0.17992269992828369</v>
      </c>
    </row>
    <row r="1911" spans="1:1" x14ac:dyDescent="0.2">
      <c r="A1911" s="22">
        <v>7.6546013355255127E-2</v>
      </c>
    </row>
    <row r="1912" spans="1:1" x14ac:dyDescent="0.2">
      <c r="A1912" s="22">
        <v>0.48890995979309082</v>
      </c>
    </row>
    <row r="1913" spans="1:1" x14ac:dyDescent="0.2">
      <c r="A1913" s="22">
        <v>0.63261646032333374</v>
      </c>
    </row>
    <row r="1914" spans="1:1" x14ac:dyDescent="0.2">
      <c r="A1914" s="22">
        <v>0.99660193920135498</v>
      </c>
    </row>
    <row r="1915" spans="1:1" x14ac:dyDescent="0.2">
      <c r="A1915" s="22">
        <v>0.70683056116104126</v>
      </c>
    </row>
    <row r="1916" spans="1:1" x14ac:dyDescent="0.2">
      <c r="A1916" s="22">
        <v>0.60708951950073242</v>
      </c>
    </row>
    <row r="1917" spans="1:1" x14ac:dyDescent="0.2">
      <c r="A1917" s="22">
        <v>0.50097817182540894</v>
      </c>
    </row>
    <row r="1918" spans="1:1" x14ac:dyDescent="0.2">
      <c r="A1918" s="22">
        <v>0.97281563282012939</v>
      </c>
    </row>
    <row r="1919" spans="1:1" x14ac:dyDescent="0.2">
      <c r="A1919" s="22">
        <v>0.28429299592971802</v>
      </c>
    </row>
    <row r="1920" spans="1:1" x14ac:dyDescent="0.2">
      <c r="A1920" s="22">
        <v>0.60639166831970215</v>
      </c>
    </row>
    <row r="1921" spans="1:1" x14ac:dyDescent="0.2">
      <c r="A1921" s="22">
        <v>0.55800336599349976</v>
      </c>
    </row>
    <row r="1922" spans="1:1" x14ac:dyDescent="0.2">
      <c r="A1922" s="22">
        <v>0.88694512844085693</v>
      </c>
    </row>
    <row r="1923" spans="1:1" x14ac:dyDescent="0.2">
      <c r="A1923" s="22">
        <v>0.5362892746925354</v>
      </c>
    </row>
    <row r="1924" spans="1:1" x14ac:dyDescent="0.2">
      <c r="A1924" s="22">
        <v>0.11724853515625</v>
      </c>
    </row>
    <row r="1925" spans="1:1" x14ac:dyDescent="0.2">
      <c r="A1925" s="22">
        <v>0.4748956561088562</v>
      </c>
    </row>
    <row r="1926" spans="1:1" x14ac:dyDescent="0.2">
      <c r="A1926" s="22">
        <v>3.7879586219787598E-2</v>
      </c>
    </row>
    <row r="1927" spans="1:1" x14ac:dyDescent="0.2">
      <c r="A1927" s="22">
        <v>0.62865191698074341</v>
      </c>
    </row>
    <row r="1928" spans="1:1" x14ac:dyDescent="0.2">
      <c r="A1928" s="22">
        <v>0.45466256141662598</v>
      </c>
    </row>
    <row r="1929" spans="1:1" x14ac:dyDescent="0.2">
      <c r="A1929" s="22">
        <v>0.86914771795272827</v>
      </c>
    </row>
    <row r="1930" spans="1:1" x14ac:dyDescent="0.2">
      <c r="A1930" s="22">
        <v>0.88564097881317139</v>
      </c>
    </row>
    <row r="1931" spans="1:1" x14ac:dyDescent="0.2">
      <c r="A1931" s="22">
        <v>0.24381500482559204</v>
      </c>
    </row>
    <row r="1932" spans="1:1" x14ac:dyDescent="0.2">
      <c r="A1932" s="22">
        <v>0.38383150100708008</v>
      </c>
    </row>
    <row r="1933" spans="1:1" x14ac:dyDescent="0.2">
      <c r="A1933" s="22">
        <v>7.6662898063659668E-3</v>
      </c>
    </row>
    <row r="1934" spans="1:1" x14ac:dyDescent="0.2">
      <c r="A1934" s="22">
        <v>0.9420090913772583</v>
      </c>
    </row>
    <row r="1935" spans="1:1" x14ac:dyDescent="0.2">
      <c r="A1935" s="22">
        <v>0.9089391827583313</v>
      </c>
    </row>
    <row r="1936" spans="1:1" x14ac:dyDescent="0.2">
      <c r="A1936" s="22">
        <v>0.1357734203338623</v>
      </c>
    </row>
    <row r="1937" spans="1:1" x14ac:dyDescent="0.2">
      <c r="A1937" s="22">
        <v>0.75989717245101929</v>
      </c>
    </row>
    <row r="1938" spans="1:1" x14ac:dyDescent="0.2">
      <c r="A1938" s="22">
        <v>0.91114652156829834</v>
      </c>
    </row>
    <row r="1939" spans="1:1" x14ac:dyDescent="0.2">
      <c r="A1939" s="22">
        <v>0.57403665781021118</v>
      </c>
    </row>
    <row r="1940" spans="1:1" x14ac:dyDescent="0.2">
      <c r="A1940" s="22">
        <v>0.67295169830322266</v>
      </c>
    </row>
    <row r="1941" spans="1:1" x14ac:dyDescent="0.2">
      <c r="A1941" s="22">
        <v>0.80095022916793823</v>
      </c>
    </row>
    <row r="1942" spans="1:1" x14ac:dyDescent="0.2">
      <c r="A1942" s="22">
        <v>8.0223679542541504E-2</v>
      </c>
    </row>
    <row r="1943" spans="1:1" x14ac:dyDescent="0.2">
      <c r="A1943" s="22">
        <v>0.44009619951248169</v>
      </c>
    </row>
    <row r="1944" spans="1:1" x14ac:dyDescent="0.2">
      <c r="A1944" s="22">
        <v>0.20490002632141113</v>
      </c>
    </row>
    <row r="1945" spans="1:1" x14ac:dyDescent="0.2">
      <c r="A1945" s="22">
        <v>6.4724385738372803E-2</v>
      </c>
    </row>
    <row r="1946" spans="1:1" x14ac:dyDescent="0.2">
      <c r="A1946" s="22">
        <v>0.96004378795623779</v>
      </c>
    </row>
    <row r="1947" spans="1:1" x14ac:dyDescent="0.2">
      <c r="A1947" s="22">
        <v>3.7208139896392822E-2</v>
      </c>
    </row>
    <row r="1948" spans="1:1" x14ac:dyDescent="0.2">
      <c r="A1948" s="22">
        <v>0.95384740829467773</v>
      </c>
    </row>
    <row r="1949" spans="1:1" x14ac:dyDescent="0.2">
      <c r="A1949" s="22">
        <v>0.447032630443573</v>
      </c>
    </row>
    <row r="1950" spans="1:1" x14ac:dyDescent="0.2">
      <c r="A1950" s="22">
        <v>0.17566788196563721</v>
      </c>
    </row>
    <row r="1951" spans="1:1" x14ac:dyDescent="0.2">
      <c r="A1951" s="22">
        <v>0.55268937349319458</v>
      </c>
    </row>
    <row r="1952" spans="1:1" x14ac:dyDescent="0.2">
      <c r="A1952" s="22">
        <v>0.17034316062927246</v>
      </c>
    </row>
    <row r="1953" spans="1:1" x14ac:dyDescent="0.2">
      <c r="A1953" s="22">
        <v>0.75872701406478882</v>
      </c>
    </row>
    <row r="1954" spans="1:1" x14ac:dyDescent="0.2">
      <c r="A1954" s="22">
        <v>0.60703980922698975</v>
      </c>
    </row>
    <row r="1955" spans="1:1" x14ac:dyDescent="0.2">
      <c r="A1955" s="22">
        <v>0.40920835733413696</v>
      </c>
    </row>
    <row r="1956" spans="1:1" x14ac:dyDescent="0.2">
      <c r="A1956" s="22">
        <v>0.39888191223144531</v>
      </c>
    </row>
    <row r="1957" spans="1:1" x14ac:dyDescent="0.2">
      <c r="A1957" s="22">
        <v>0.92882364988327026</v>
      </c>
    </row>
    <row r="1958" spans="1:1" x14ac:dyDescent="0.2">
      <c r="A1958" s="22">
        <v>0.77961122989654541</v>
      </c>
    </row>
    <row r="1959" spans="1:1" x14ac:dyDescent="0.2">
      <c r="A1959" s="22">
        <v>9.2910110950469971E-2</v>
      </c>
    </row>
    <row r="1960" spans="1:1" x14ac:dyDescent="0.2">
      <c r="A1960" s="22">
        <v>0.99352860450744629</v>
      </c>
    </row>
    <row r="1961" spans="1:1" x14ac:dyDescent="0.2">
      <c r="A1961" s="22">
        <v>0.45762771368026733</v>
      </c>
    </row>
    <row r="1962" spans="1:1" x14ac:dyDescent="0.2">
      <c r="A1962" s="22">
        <v>0.5049666166305542</v>
      </c>
    </row>
    <row r="1963" spans="1:1" x14ac:dyDescent="0.2">
      <c r="A1963" s="22">
        <v>0.2315412163734436</v>
      </c>
    </row>
    <row r="1964" spans="1:1" x14ac:dyDescent="0.2">
      <c r="A1964" s="22">
        <v>0.88354349136352539</v>
      </c>
    </row>
    <row r="1965" spans="1:1" x14ac:dyDescent="0.2">
      <c r="A1965" s="22">
        <v>0.11985844373703003</v>
      </c>
    </row>
    <row r="1966" spans="1:1" x14ac:dyDescent="0.2">
      <c r="A1966" s="22">
        <v>0.77144825458526611</v>
      </c>
    </row>
    <row r="1967" spans="1:1" x14ac:dyDescent="0.2">
      <c r="A1967" s="22">
        <v>0.92257481813430786</v>
      </c>
    </row>
    <row r="1968" spans="1:1" x14ac:dyDescent="0.2">
      <c r="A1968" s="22">
        <v>0.58900713920593262</v>
      </c>
    </row>
    <row r="1969" spans="1:1" x14ac:dyDescent="0.2">
      <c r="A1969" s="22">
        <v>0.91777414083480835</v>
      </c>
    </row>
    <row r="1970" spans="1:1" x14ac:dyDescent="0.2">
      <c r="A1970" s="22">
        <v>0.88478124141693115</v>
      </c>
    </row>
    <row r="1971" spans="1:1" x14ac:dyDescent="0.2">
      <c r="A1971" s="22">
        <v>0.31133562326431274</v>
      </c>
    </row>
    <row r="1972" spans="1:1" x14ac:dyDescent="0.2">
      <c r="A1972" s="22">
        <v>0.48644542694091797</v>
      </c>
    </row>
    <row r="1973" spans="1:1" x14ac:dyDescent="0.2">
      <c r="A1973" s="22">
        <v>0.28429716825485229</v>
      </c>
    </row>
    <row r="1974" spans="1:1" x14ac:dyDescent="0.2">
      <c r="A1974" s="22">
        <v>0.85869848728179932</v>
      </c>
    </row>
    <row r="1975" spans="1:1" x14ac:dyDescent="0.2">
      <c r="A1975" s="22">
        <v>0.41912490129470825</v>
      </c>
    </row>
    <row r="1976" spans="1:1" x14ac:dyDescent="0.2">
      <c r="A1976" s="22">
        <v>0.32445454597473145</v>
      </c>
    </row>
    <row r="1977" spans="1:1" x14ac:dyDescent="0.2">
      <c r="A1977" s="22">
        <v>0.53613895177841187</v>
      </c>
    </row>
    <row r="1978" spans="1:1" x14ac:dyDescent="0.2">
      <c r="A1978" s="22">
        <v>5.5565714836120605E-2</v>
      </c>
    </row>
    <row r="1979" spans="1:1" x14ac:dyDescent="0.2">
      <c r="A1979" s="22">
        <v>0.22134548425674438</v>
      </c>
    </row>
    <row r="1980" spans="1:1" x14ac:dyDescent="0.2">
      <c r="A1980" s="22">
        <v>0.98932600021362305</v>
      </c>
    </row>
    <row r="1981" spans="1:1" x14ac:dyDescent="0.2">
      <c r="A1981" s="22">
        <v>0.57692497968673706</v>
      </c>
    </row>
    <row r="1982" spans="1:1" x14ac:dyDescent="0.2">
      <c r="A1982" s="22">
        <v>7.700645923614502E-2</v>
      </c>
    </row>
    <row r="1983" spans="1:1" x14ac:dyDescent="0.2">
      <c r="A1983" s="22">
        <v>0.97562676668167114</v>
      </c>
    </row>
    <row r="1984" spans="1:1" x14ac:dyDescent="0.2">
      <c r="A1984" s="22">
        <v>0.52067160606384277</v>
      </c>
    </row>
    <row r="1985" spans="1:1" x14ac:dyDescent="0.2">
      <c r="A1985" s="22">
        <v>0.85031980276107788</v>
      </c>
    </row>
    <row r="1986" spans="1:1" x14ac:dyDescent="0.2">
      <c r="A1986" s="22">
        <v>0.90452706813812256</v>
      </c>
    </row>
    <row r="1987" spans="1:1" x14ac:dyDescent="0.2">
      <c r="A1987" s="22">
        <v>0.79994970560073853</v>
      </c>
    </row>
    <row r="1988" spans="1:1" x14ac:dyDescent="0.2">
      <c r="A1988" s="22">
        <v>0.37704849243164063</v>
      </c>
    </row>
    <row r="1989" spans="1:1" x14ac:dyDescent="0.2">
      <c r="A1989" s="22">
        <v>0.54315203428268433</v>
      </c>
    </row>
    <row r="1990" spans="1:1" x14ac:dyDescent="0.2">
      <c r="A1990" s="22">
        <v>0.29014170169830322</v>
      </c>
    </row>
    <row r="1991" spans="1:1" x14ac:dyDescent="0.2">
      <c r="A1991" s="22">
        <v>0.50077182054519653</v>
      </c>
    </row>
    <row r="1992" spans="1:1" x14ac:dyDescent="0.2">
      <c r="A1992" s="22">
        <v>0.9515841007232666</v>
      </c>
    </row>
    <row r="1993" spans="1:1" x14ac:dyDescent="0.2">
      <c r="A1993" s="22">
        <v>3.8539350032806396E-2</v>
      </c>
    </row>
    <row r="1994" spans="1:1" x14ac:dyDescent="0.2">
      <c r="A1994" s="22">
        <v>0.39699733257293701</v>
      </c>
    </row>
    <row r="1995" spans="1:1" x14ac:dyDescent="0.2">
      <c r="A1995" s="22">
        <v>0.65115219354629517</v>
      </c>
    </row>
    <row r="1996" spans="1:1" x14ac:dyDescent="0.2">
      <c r="A1996" s="22">
        <v>0.3376011848449707</v>
      </c>
    </row>
    <row r="1997" spans="1:1" x14ac:dyDescent="0.2">
      <c r="A1997" s="22">
        <v>0.61901348829269409</v>
      </c>
    </row>
    <row r="1998" spans="1:1" x14ac:dyDescent="0.2">
      <c r="A1998" s="22">
        <v>0.68999874591827393</v>
      </c>
    </row>
    <row r="1999" spans="1:1" x14ac:dyDescent="0.2">
      <c r="A1999" s="22">
        <v>0.91887646913528442</v>
      </c>
    </row>
    <row r="2000" spans="1:1" x14ac:dyDescent="0.2">
      <c r="A2000" s="22">
        <v>0.34424281120300293</v>
      </c>
    </row>
    <row r="2001" spans="1:1" x14ac:dyDescent="0.2">
      <c r="A2001" s="22">
        <v>0.41964524984359741</v>
      </c>
    </row>
    <row r="2002" spans="1:1" x14ac:dyDescent="0.2">
      <c r="A2002" s="22">
        <v>7.6433539390563965E-2</v>
      </c>
    </row>
    <row r="2003" spans="1:1" x14ac:dyDescent="0.2">
      <c r="A2003" s="22">
        <v>0.64458185434341431</v>
      </c>
    </row>
    <row r="2004" spans="1:1" x14ac:dyDescent="0.2">
      <c r="A2004" s="22">
        <v>0.76209735870361328</v>
      </c>
    </row>
    <row r="2005" spans="1:1" x14ac:dyDescent="0.2">
      <c r="A2005" s="22">
        <v>0.63116949796676636</v>
      </c>
    </row>
    <row r="2006" spans="1:1" x14ac:dyDescent="0.2">
      <c r="A2006" s="22">
        <v>0.29659712314605713</v>
      </c>
    </row>
    <row r="2007" spans="1:1" x14ac:dyDescent="0.2">
      <c r="A2007" s="22">
        <v>0.66988211870193481</v>
      </c>
    </row>
    <row r="2008" spans="1:1" x14ac:dyDescent="0.2">
      <c r="A2008" s="22">
        <v>0.87882351875305176</v>
      </c>
    </row>
    <row r="2009" spans="1:1" x14ac:dyDescent="0.2">
      <c r="A2009" s="22">
        <v>0.95311015844345093</v>
      </c>
    </row>
    <row r="2010" spans="1:1" x14ac:dyDescent="0.2">
      <c r="A2010" s="22">
        <v>0.56441771984100342</v>
      </c>
    </row>
    <row r="2011" spans="1:1" x14ac:dyDescent="0.2">
      <c r="A2011" s="22">
        <v>0.41549259424209595</v>
      </c>
    </row>
    <row r="2012" spans="1:1" x14ac:dyDescent="0.2">
      <c r="A2012" s="22">
        <v>0.24477529525756836</v>
      </c>
    </row>
    <row r="2013" spans="1:1" x14ac:dyDescent="0.2">
      <c r="A2013" s="22">
        <v>0.29690521955490112</v>
      </c>
    </row>
    <row r="2014" spans="1:1" x14ac:dyDescent="0.2">
      <c r="A2014" s="22">
        <v>0.45808136463165283</v>
      </c>
    </row>
    <row r="2015" spans="1:1" x14ac:dyDescent="0.2">
      <c r="A2015" s="22">
        <v>0.20935517549514771</v>
      </c>
    </row>
    <row r="2016" spans="1:1" x14ac:dyDescent="0.2">
      <c r="A2016" s="22">
        <v>0.68862700462341309</v>
      </c>
    </row>
    <row r="2017" spans="1:1" x14ac:dyDescent="0.2">
      <c r="A2017" s="22">
        <v>0.73903173208236694</v>
      </c>
    </row>
    <row r="2018" spans="1:1" x14ac:dyDescent="0.2">
      <c r="A2018" s="22">
        <v>6.0656905174255371E-2</v>
      </c>
    </row>
    <row r="2019" spans="1:1" x14ac:dyDescent="0.2">
      <c r="A2019" s="22">
        <v>0.86476331949234009</v>
      </c>
    </row>
    <row r="2020" spans="1:1" x14ac:dyDescent="0.2">
      <c r="A2020" s="22">
        <v>0.58299827575683594</v>
      </c>
    </row>
    <row r="2021" spans="1:1" x14ac:dyDescent="0.2">
      <c r="A2021" s="22">
        <v>0.72413080930709839</v>
      </c>
    </row>
    <row r="2022" spans="1:1" x14ac:dyDescent="0.2">
      <c r="A2022" s="22">
        <v>0.35072100162506104</v>
      </c>
    </row>
    <row r="2023" spans="1:1" x14ac:dyDescent="0.2">
      <c r="A2023" s="22">
        <v>0.5084870457649231</v>
      </c>
    </row>
    <row r="2024" spans="1:1" x14ac:dyDescent="0.2">
      <c r="A2024" s="22">
        <v>0.36007905006408691</v>
      </c>
    </row>
    <row r="2025" spans="1:1" x14ac:dyDescent="0.2">
      <c r="A2025" s="22">
        <v>0.51813262701034546</v>
      </c>
    </row>
    <row r="2026" spans="1:1" x14ac:dyDescent="0.2">
      <c r="A2026" s="22">
        <v>0.84298312664031982</v>
      </c>
    </row>
    <row r="2027" spans="1:1" x14ac:dyDescent="0.2">
      <c r="A2027" s="22">
        <v>0.65889793634414673</v>
      </c>
    </row>
    <row r="2028" spans="1:1" x14ac:dyDescent="0.2">
      <c r="A2028" s="22">
        <v>0.27725458145141602</v>
      </c>
    </row>
    <row r="2029" spans="1:1" x14ac:dyDescent="0.2">
      <c r="A2029" s="22">
        <v>0.91138142347335815</v>
      </c>
    </row>
    <row r="2030" spans="1:1" x14ac:dyDescent="0.2">
      <c r="A2030" s="22">
        <v>0.47891056537628174</v>
      </c>
    </row>
    <row r="2031" spans="1:1" x14ac:dyDescent="0.2">
      <c r="A2031" s="22">
        <v>0.55409413576126099</v>
      </c>
    </row>
    <row r="2032" spans="1:1" x14ac:dyDescent="0.2">
      <c r="A2032" s="22">
        <v>0.43273043632507324</v>
      </c>
    </row>
    <row r="2033" spans="1:1" x14ac:dyDescent="0.2">
      <c r="A2033" s="22">
        <v>0.17176049947738647</v>
      </c>
    </row>
    <row r="2034" spans="1:1" x14ac:dyDescent="0.2">
      <c r="A2034" s="22">
        <v>0.76735341548919678</v>
      </c>
    </row>
    <row r="2035" spans="1:1" x14ac:dyDescent="0.2">
      <c r="A2035" s="22">
        <v>0.73002535104751587</v>
      </c>
    </row>
    <row r="2036" spans="1:1" x14ac:dyDescent="0.2">
      <c r="A2036" s="22">
        <v>3.1157493591308594E-2</v>
      </c>
    </row>
    <row r="2037" spans="1:1" x14ac:dyDescent="0.2">
      <c r="A2037" s="22">
        <v>0.24781721830368042</v>
      </c>
    </row>
    <row r="2038" spans="1:1" x14ac:dyDescent="0.2">
      <c r="A2038" s="22">
        <v>0.17516958713531494</v>
      </c>
    </row>
    <row r="2039" spans="1:1" x14ac:dyDescent="0.2">
      <c r="A2039" s="22">
        <v>0.84861785173416138</v>
      </c>
    </row>
    <row r="2040" spans="1:1" x14ac:dyDescent="0.2">
      <c r="A2040" s="22">
        <v>0.89925694465637207</v>
      </c>
    </row>
    <row r="2041" spans="1:1" x14ac:dyDescent="0.2">
      <c r="A2041" s="22">
        <v>0.22188800573348999</v>
      </c>
    </row>
    <row r="2042" spans="1:1" x14ac:dyDescent="0.2">
      <c r="A2042" s="22">
        <v>0.76784980297088623</v>
      </c>
    </row>
    <row r="2043" spans="1:1" x14ac:dyDescent="0.2">
      <c r="A2043" s="22">
        <v>0.77589946985244751</v>
      </c>
    </row>
    <row r="2044" spans="1:1" x14ac:dyDescent="0.2">
      <c r="A2044" s="22">
        <v>0.25144529342651367</v>
      </c>
    </row>
    <row r="2045" spans="1:1" x14ac:dyDescent="0.2">
      <c r="A2045" s="22">
        <v>1.3223350048065186E-2</v>
      </c>
    </row>
    <row r="2046" spans="1:1" x14ac:dyDescent="0.2">
      <c r="A2046" s="22">
        <v>0.10014259815216064</v>
      </c>
    </row>
    <row r="2047" spans="1:1" x14ac:dyDescent="0.2">
      <c r="A2047" s="22">
        <v>0.91012459993362427</v>
      </c>
    </row>
    <row r="2048" spans="1:1" x14ac:dyDescent="0.2">
      <c r="A2048" s="22">
        <v>0.7054593563079834</v>
      </c>
    </row>
    <row r="2049" spans="1:1" x14ac:dyDescent="0.2">
      <c r="A2049" s="22">
        <v>0.33111280202865601</v>
      </c>
    </row>
    <row r="2050" spans="1:1" x14ac:dyDescent="0.2">
      <c r="A2050" s="22">
        <v>0.35667932033538818</v>
      </c>
    </row>
    <row r="2051" spans="1:1" x14ac:dyDescent="0.2">
      <c r="A2051" s="22">
        <v>0.75989919900894165</v>
      </c>
    </row>
    <row r="2052" spans="1:1" x14ac:dyDescent="0.2">
      <c r="A2052" s="22">
        <v>0.54798126220703125</v>
      </c>
    </row>
    <row r="2053" spans="1:1" x14ac:dyDescent="0.2">
      <c r="A2053" s="22">
        <v>0.87800997495651245</v>
      </c>
    </row>
    <row r="2054" spans="1:1" x14ac:dyDescent="0.2">
      <c r="A2054" s="22">
        <v>0.74259912967681885</v>
      </c>
    </row>
    <row r="2055" spans="1:1" x14ac:dyDescent="0.2">
      <c r="A2055" s="22">
        <v>0.77230578660964966</v>
      </c>
    </row>
    <row r="2056" spans="1:1" x14ac:dyDescent="0.2">
      <c r="A2056" s="22">
        <v>0.25026345252990723</v>
      </c>
    </row>
    <row r="2057" spans="1:1" x14ac:dyDescent="0.2">
      <c r="A2057" s="22">
        <v>0.80265754461288452</v>
      </c>
    </row>
    <row r="2058" spans="1:1" x14ac:dyDescent="0.2">
      <c r="A2058" s="22">
        <v>0.12417399883270264</v>
      </c>
    </row>
    <row r="2059" spans="1:1" x14ac:dyDescent="0.2">
      <c r="A2059" s="22">
        <v>0.41102844476699829</v>
      </c>
    </row>
    <row r="2060" spans="1:1" x14ac:dyDescent="0.2">
      <c r="A2060" s="22">
        <v>0.23375368118286133</v>
      </c>
    </row>
    <row r="2061" spans="1:1" x14ac:dyDescent="0.2">
      <c r="A2061" s="22">
        <v>0.40321224927902222</v>
      </c>
    </row>
    <row r="2062" spans="1:1" x14ac:dyDescent="0.2">
      <c r="A2062" s="22">
        <v>0.91943371295928955</v>
      </c>
    </row>
    <row r="2063" spans="1:1" x14ac:dyDescent="0.2">
      <c r="A2063" s="22">
        <v>0.48447781801223755</v>
      </c>
    </row>
    <row r="2064" spans="1:1" x14ac:dyDescent="0.2">
      <c r="A2064" s="22">
        <v>0.88572001457214355</v>
      </c>
    </row>
    <row r="2065" spans="1:1" x14ac:dyDescent="0.2">
      <c r="A2065" s="22">
        <v>8.0369889736175537E-2</v>
      </c>
    </row>
    <row r="2066" spans="1:1" x14ac:dyDescent="0.2">
      <c r="A2066" s="22">
        <v>0.23879086971282959</v>
      </c>
    </row>
    <row r="2067" spans="1:1" x14ac:dyDescent="0.2">
      <c r="A2067" s="22">
        <v>0.72391611337661743</v>
      </c>
    </row>
    <row r="2068" spans="1:1" x14ac:dyDescent="0.2">
      <c r="A2068" s="22">
        <v>0.82487583160400391</v>
      </c>
    </row>
    <row r="2069" spans="1:1" x14ac:dyDescent="0.2">
      <c r="A2069" s="22">
        <v>0.54049032926559448</v>
      </c>
    </row>
    <row r="2070" spans="1:1" x14ac:dyDescent="0.2">
      <c r="A2070" s="22">
        <v>0.27566587924957275</v>
      </c>
    </row>
    <row r="2071" spans="1:1" x14ac:dyDescent="0.2">
      <c r="A2071" s="22">
        <v>0.61158210039138794</v>
      </c>
    </row>
    <row r="2072" spans="1:1" x14ac:dyDescent="0.2">
      <c r="A2072" s="22">
        <v>0.41700482368469238</v>
      </c>
    </row>
    <row r="2073" spans="1:1" x14ac:dyDescent="0.2">
      <c r="A2073" s="22">
        <v>0.24872249364852905</v>
      </c>
    </row>
    <row r="2074" spans="1:1" x14ac:dyDescent="0.2">
      <c r="A2074" s="22">
        <v>0.94711196422576904</v>
      </c>
    </row>
    <row r="2075" spans="1:1" x14ac:dyDescent="0.2">
      <c r="A2075" s="22">
        <v>0.45881611108779907</v>
      </c>
    </row>
    <row r="2076" spans="1:1" x14ac:dyDescent="0.2">
      <c r="A2076" s="22">
        <v>0.54058599472045898</v>
      </c>
    </row>
    <row r="2077" spans="1:1" x14ac:dyDescent="0.2">
      <c r="A2077" s="22">
        <v>0.13212937116622925</v>
      </c>
    </row>
    <row r="2078" spans="1:1" x14ac:dyDescent="0.2">
      <c r="A2078" s="22">
        <v>0.78444015979766846</v>
      </c>
    </row>
    <row r="2079" spans="1:1" x14ac:dyDescent="0.2">
      <c r="A2079" s="22">
        <v>0.73418503999710083</v>
      </c>
    </row>
    <row r="2080" spans="1:1" x14ac:dyDescent="0.2">
      <c r="A2080" s="22">
        <v>0.60241866111755371</v>
      </c>
    </row>
    <row r="2081" spans="1:1" x14ac:dyDescent="0.2">
      <c r="A2081" s="22">
        <v>0.53281301259994507</v>
      </c>
    </row>
    <row r="2082" spans="1:1" x14ac:dyDescent="0.2">
      <c r="A2082" s="22">
        <v>7.3844313621520996E-2</v>
      </c>
    </row>
    <row r="2083" spans="1:1" x14ac:dyDescent="0.2">
      <c r="A2083" s="22">
        <v>0.64160734415054321</v>
      </c>
    </row>
    <row r="2084" spans="1:1" x14ac:dyDescent="0.2">
      <c r="A2084" s="22">
        <v>0.80324745178222656</v>
      </c>
    </row>
    <row r="2085" spans="1:1" x14ac:dyDescent="0.2">
      <c r="A2085" s="22">
        <v>0.41103953123092651</v>
      </c>
    </row>
    <row r="2086" spans="1:1" x14ac:dyDescent="0.2">
      <c r="A2086" s="22">
        <v>0.24702608585357666</v>
      </c>
    </row>
    <row r="2087" spans="1:1" x14ac:dyDescent="0.2">
      <c r="A2087" s="22">
        <v>0.94847804307937622</v>
      </c>
    </row>
    <row r="2088" spans="1:1" x14ac:dyDescent="0.2">
      <c r="A2088" s="22">
        <v>0.65338730812072754</v>
      </c>
    </row>
    <row r="2089" spans="1:1" x14ac:dyDescent="0.2">
      <c r="A2089" s="22">
        <v>0.79836410284042358</v>
      </c>
    </row>
    <row r="2090" spans="1:1" x14ac:dyDescent="0.2">
      <c r="A2090" s="22">
        <v>0.52181994915008545</v>
      </c>
    </row>
    <row r="2091" spans="1:1" x14ac:dyDescent="0.2">
      <c r="A2091" s="22">
        <v>6.3793718814849854E-2</v>
      </c>
    </row>
    <row r="2092" spans="1:1" x14ac:dyDescent="0.2">
      <c r="A2092" s="22">
        <v>0.73834848403930664</v>
      </c>
    </row>
    <row r="2093" spans="1:1" x14ac:dyDescent="0.2">
      <c r="A2093" s="22">
        <v>0.50075596570968628</v>
      </c>
    </row>
    <row r="2094" spans="1:1" x14ac:dyDescent="0.2">
      <c r="A2094" s="22">
        <v>0.79281818866729736</v>
      </c>
    </row>
    <row r="2095" spans="1:1" x14ac:dyDescent="0.2">
      <c r="A2095" s="22">
        <v>0.36627751588821411</v>
      </c>
    </row>
    <row r="2096" spans="1:1" x14ac:dyDescent="0.2">
      <c r="A2096" s="22">
        <v>0.73446154594421387</v>
      </c>
    </row>
    <row r="2097" spans="1:1" x14ac:dyDescent="0.2">
      <c r="A2097" s="22">
        <v>5.17234206199646E-2</v>
      </c>
    </row>
    <row r="2098" spans="1:1" x14ac:dyDescent="0.2">
      <c r="A2098" s="22">
        <v>0.7719959020614624</v>
      </c>
    </row>
    <row r="2099" spans="1:1" x14ac:dyDescent="0.2">
      <c r="A2099" s="22">
        <v>0.78250414133071899</v>
      </c>
    </row>
    <row r="2100" spans="1:1" x14ac:dyDescent="0.2">
      <c r="A2100" s="22">
        <v>0.67450237274169922</v>
      </c>
    </row>
    <row r="2101" spans="1:1" x14ac:dyDescent="0.2">
      <c r="A2101" s="22">
        <v>0.91543883085250854</v>
      </c>
    </row>
    <row r="2102" spans="1:1" x14ac:dyDescent="0.2">
      <c r="A2102" s="22">
        <v>0.37933599948883057</v>
      </c>
    </row>
    <row r="2103" spans="1:1" x14ac:dyDescent="0.2">
      <c r="A2103" s="22">
        <v>0.6150248646736145</v>
      </c>
    </row>
    <row r="2104" spans="1:1" x14ac:dyDescent="0.2">
      <c r="A2104" s="22">
        <v>0.4633171558380127</v>
      </c>
    </row>
    <row r="2105" spans="1:1" x14ac:dyDescent="0.2">
      <c r="A2105" s="22">
        <v>0.93986362218856812</v>
      </c>
    </row>
    <row r="2106" spans="1:1" x14ac:dyDescent="0.2">
      <c r="A2106" s="22">
        <v>0.38345420360565186</v>
      </c>
    </row>
    <row r="2107" spans="1:1" x14ac:dyDescent="0.2">
      <c r="A2107" s="22">
        <v>0.62049251794815063</v>
      </c>
    </row>
    <row r="2108" spans="1:1" x14ac:dyDescent="0.2">
      <c r="A2108" s="22">
        <v>0.6434473991394043</v>
      </c>
    </row>
    <row r="2109" spans="1:1" x14ac:dyDescent="0.2">
      <c r="A2109" s="22">
        <v>5.9873282909393311E-2</v>
      </c>
    </row>
    <row r="2110" spans="1:1" x14ac:dyDescent="0.2">
      <c r="A2110" s="22">
        <v>0.29222404956817627</v>
      </c>
    </row>
    <row r="2111" spans="1:1" x14ac:dyDescent="0.2">
      <c r="A2111" s="22">
        <v>0.33778649568557739</v>
      </c>
    </row>
    <row r="2112" spans="1:1" x14ac:dyDescent="0.2">
      <c r="A2112" s="22">
        <v>0.41075491905212402</v>
      </c>
    </row>
    <row r="2113" spans="1:1" x14ac:dyDescent="0.2">
      <c r="A2113" s="22">
        <v>0.25038236379623413</v>
      </c>
    </row>
    <row r="2114" spans="1:1" x14ac:dyDescent="0.2">
      <c r="A2114" s="22">
        <v>0.49340188503265381</v>
      </c>
    </row>
    <row r="2115" spans="1:1" x14ac:dyDescent="0.2">
      <c r="A2115" s="22">
        <v>0.66613775491714478</v>
      </c>
    </row>
    <row r="2116" spans="1:1" x14ac:dyDescent="0.2">
      <c r="A2116" s="22">
        <v>0.88004684448242188</v>
      </c>
    </row>
    <row r="2117" spans="1:1" x14ac:dyDescent="0.2">
      <c r="A2117" s="22">
        <v>0.72946947813034058</v>
      </c>
    </row>
    <row r="2118" spans="1:1" x14ac:dyDescent="0.2">
      <c r="A2118" s="22">
        <v>0.64525187015533447</v>
      </c>
    </row>
    <row r="2119" spans="1:1" x14ac:dyDescent="0.2">
      <c r="A2119" s="22">
        <v>0.69325381517410278</v>
      </c>
    </row>
    <row r="2120" spans="1:1" x14ac:dyDescent="0.2">
      <c r="A2120" s="22">
        <v>0.60070061683654785</v>
      </c>
    </row>
    <row r="2121" spans="1:1" x14ac:dyDescent="0.2">
      <c r="A2121" s="22">
        <v>0.41150230169296265</v>
      </c>
    </row>
    <row r="2122" spans="1:1" x14ac:dyDescent="0.2">
      <c r="A2122" s="22">
        <v>0.31717097759246826</v>
      </c>
    </row>
    <row r="2123" spans="1:1" x14ac:dyDescent="0.2">
      <c r="A2123" s="22">
        <v>0.77344375848770142</v>
      </c>
    </row>
    <row r="2124" spans="1:1" x14ac:dyDescent="0.2">
      <c r="A2124" s="22">
        <v>0.32228899002075195</v>
      </c>
    </row>
    <row r="2125" spans="1:1" x14ac:dyDescent="0.2">
      <c r="A2125" s="22">
        <v>0.61026257276535034</v>
      </c>
    </row>
    <row r="2126" spans="1:1" x14ac:dyDescent="0.2">
      <c r="A2126" s="22">
        <v>0.88031399250030518</v>
      </c>
    </row>
    <row r="2127" spans="1:1" x14ac:dyDescent="0.2">
      <c r="A2127" s="22">
        <v>0.85574322938919067</v>
      </c>
    </row>
    <row r="2128" spans="1:1" x14ac:dyDescent="0.2">
      <c r="A2128" s="22">
        <v>1.020503044128418E-2</v>
      </c>
    </row>
    <row r="2129" spans="1:1" x14ac:dyDescent="0.2">
      <c r="A2129" s="22">
        <v>0.99207109212875366</v>
      </c>
    </row>
    <row r="2130" spans="1:1" x14ac:dyDescent="0.2">
      <c r="A2130" s="22">
        <v>0.64821851253509521</v>
      </c>
    </row>
    <row r="2131" spans="1:1" x14ac:dyDescent="0.2">
      <c r="A2131" s="22">
        <v>6.2039434909820557E-2</v>
      </c>
    </row>
    <row r="2132" spans="1:1" x14ac:dyDescent="0.2">
      <c r="A2132" s="22">
        <v>0.11128711700439453</v>
      </c>
    </row>
    <row r="2133" spans="1:1" x14ac:dyDescent="0.2">
      <c r="A2133" s="22">
        <v>0.77891272306442261</v>
      </c>
    </row>
    <row r="2134" spans="1:1" x14ac:dyDescent="0.2">
      <c r="A2134" s="22">
        <v>0.26742994785308838</v>
      </c>
    </row>
    <row r="2135" spans="1:1" x14ac:dyDescent="0.2">
      <c r="A2135" s="22">
        <v>0.51519614458084106</v>
      </c>
    </row>
    <row r="2136" spans="1:1" x14ac:dyDescent="0.2">
      <c r="A2136" s="22">
        <v>6.9443941116333008E-2</v>
      </c>
    </row>
    <row r="2137" spans="1:1" x14ac:dyDescent="0.2">
      <c r="A2137" s="22">
        <v>0.20156139135360718</v>
      </c>
    </row>
    <row r="2138" spans="1:1" x14ac:dyDescent="0.2">
      <c r="A2138" s="22">
        <v>0.35812652111053467</v>
      </c>
    </row>
    <row r="2139" spans="1:1" x14ac:dyDescent="0.2">
      <c r="A2139" s="22">
        <v>0.4171786904335022</v>
      </c>
    </row>
    <row r="2140" spans="1:1" x14ac:dyDescent="0.2">
      <c r="A2140" s="22">
        <v>9.1279506683349609E-2</v>
      </c>
    </row>
    <row r="2141" spans="1:1" x14ac:dyDescent="0.2">
      <c r="A2141" s="22">
        <v>0.20270508527755737</v>
      </c>
    </row>
    <row r="2142" spans="1:1" x14ac:dyDescent="0.2">
      <c r="A2142" s="22">
        <v>0.40474426746368408</v>
      </c>
    </row>
    <row r="2143" spans="1:1" x14ac:dyDescent="0.2">
      <c r="A2143" s="22">
        <v>0.37717896699905396</v>
      </c>
    </row>
    <row r="2144" spans="1:1" x14ac:dyDescent="0.2">
      <c r="A2144" s="22">
        <v>0.16171813011169434</v>
      </c>
    </row>
    <row r="2145" spans="1:1" x14ac:dyDescent="0.2">
      <c r="A2145" s="22">
        <v>0.39007085561752319</v>
      </c>
    </row>
    <row r="2146" spans="1:1" x14ac:dyDescent="0.2">
      <c r="A2146" s="22">
        <v>0.89660203456878662</v>
      </c>
    </row>
    <row r="2147" spans="1:1" x14ac:dyDescent="0.2">
      <c r="A2147" s="22">
        <v>0.98974043130874634</v>
      </c>
    </row>
    <row r="2148" spans="1:1" x14ac:dyDescent="0.2">
      <c r="A2148" s="22">
        <v>0.30962944030761719</v>
      </c>
    </row>
    <row r="2149" spans="1:1" x14ac:dyDescent="0.2">
      <c r="A2149" s="22">
        <v>0.23954981565475464</v>
      </c>
    </row>
    <row r="2150" spans="1:1" x14ac:dyDescent="0.2">
      <c r="A2150" s="22">
        <v>0.71852648258209229</v>
      </c>
    </row>
    <row r="2151" spans="1:1" x14ac:dyDescent="0.2">
      <c r="A2151" s="22">
        <v>0.66288310289382935</v>
      </c>
    </row>
    <row r="2152" spans="1:1" x14ac:dyDescent="0.2">
      <c r="A2152" s="22">
        <v>0.12345337867736816</v>
      </c>
    </row>
    <row r="2153" spans="1:1" x14ac:dyDescent="0.2">
      <c r="A2153" s="22">
        <v>0.54832214117050171</v>
      </c>
    </row>
    <row r="2154" spans="1:1" x14ac:dyDescent="0.2">
      <c r="A2154" s="22">
        <v>0.79147708415985107</v>
      </c>
    </row>
    <row r="2155" spans="1:1" x14ac:dyDescent="0.2">
      <c r="A2155" s="22">
        <v>0.69622856378555298</v>
      </c>
    </row>
    <row r="2156" spans="1:1" x14ac:dyDescent="0.2">
      <c r="A2156" s="22">
        <v>0.51682519912719727</v>
      </c>
    </row>
    <row r="2157" spans="1:1" x14ac:dyDescent="0.2">
      <c r="A2157" s="22">
        <v>0.1379820704460144</v>
      </c>
    </row>
    <row r="2158" spans="1:1" x14ac:dyDescent="0.2">
      <c r="A2158" s="22">
        <v>0.96317112445831299</v>
      </c>
    </row>
    <row r="2159" spans="1:1" x14ac:dyDescent="0.2">
      <c r="A2159" s="22">
        <v>0.60912495851516724</v>
      </c>
    </row>
    <row r="2160" spans="1:1" x14ac:dyDescent="0.2">
      <c r="A2160" s="22">
        <v>0.74420046806335449</v>
      </c>
    </row>
    <row r="2161" spans="1:1" x14ac:dyDescent="0.2">
      <c r="A2161" s="22">
        <v>0.80766290426254272</v>
      </c>
    </row>
    <row r="2162" spans="1:1" x14ac:dyDescent="0.2">
      <c r="A2162" s="22">
        <v>0.14870870113372803</v>
      </c>
    </row>
    <row r="2163" spans="1:1" x14ac:dyDescent="0.2">
      <c r="A2163" s="22">
        <v>0.71877199411392212</v>
      </c>
    </row>
    <row r="2164" spans="1:1" x14ac:dyDescent="0.2">
      <c r="A2164" s="22">
        <v>0.66648006439208984</v>
      </c>
    </row>
    <row r="2165" spans="1:1" x14ac:dyDescent="0.2">
      <c r="A2165" s="22">
        <v>0.53716200590133667</v>
      </c>
    </row>
    <row r="2166" spans="1:1" x14ac:dyDescent="0.2">
      <c r="A2166" s="22">
        <v>0.72119772434234619</v>
      </c>
    </row>
    <row r="2167" spans="1:1" x14ac:dyDescent="0.2">
      <c r="A2167" s="22">
        <v>0.96834594011306763</v>
      </c>
    </row>
    <row r="2168" spans="1:1" x14ac:dyDescent="0.2">
      <c r="A2168" s="22">
        <v>0.26663517951965332</v>
      </c>
    </row>
    <row r="2169" spans="1:1" x14ac:dyDescent="0.2">
      <c r="A2169" s="22">
        <v>0.94006580114364624</v>
      </c>
    </row>
    <row r="2170" spans="1:1" x14ac:dyDescent="0.2">
      <c r="A2170" s="22">
        <v>0.15237891674041748</v>
      </c>
    </row>
    <row r="2171" spans="1:1" x14ac:dyDescent="0.2">
      <c r="A2171" s="22">
        <v>5.1246285438537598E-3</v>
      </c>
    </row>
    <row r="2172" spans="1:1" x14ac:dyDescent="0.2">
      <c r="A2172" s="22">
        <v>0.41533231735229492</v>
      </c>
    </row>
    <row r="2173" spans="1:1" x14ac:dyDescent="0.2">
      <c r="A2173" s="22">
        <v>0.96687477827072144</v>
      </c>
    </row>
    <row r="2174" spans="1:1" x14ac:dyDescent="0.2">
      <c r="A2174" s="22">
        <v>0.90325081348419189</v>
      </c>
    </row>
    <row r="2175" spans="1:1" x14ac:dyDescent="0.2">
      <c r="A2175" s="22">
        <v>0.50861245393753052</v>
      </c>
    </row>
    <row r="2176" spans="1:1" x14ac:dyDescent="0.2">
      <c r="A2176" s="22">
        <v>0.88655829429626465</v>
      </c>
    </row>
    <row r="2177" spans="1:1" x14ac:dyDescent="0.2">
      <c r="A2177" s="22">
        <v>0.85812848806381226</v>
      </c>
    </row>
    <row r="2178" spans="1:1" x14ac:dyDescent="0.2">
      <c r="A2178" s="22">
        <v>0.56469476222991943</v>
      </c>
    </row>
    <row r="2179" spans="1:1" x14ac:dyDescent="0.2">
      <c r="A2179" s="22">
        <v>0.7686653733253479</v>
      </c>
    </row>
    <row r="2180" spans="1:1" x14ac:dyDescent="0.2">
      <c r="A2180" s="22">
        <v>0.6232452392578125</v>
      </c>
    </row>
    <row r="2181" spans="1:1" x14ac:dyDescent="0.2">
      <c r="A2181" s="22">
        <v>0.3475305438041687</v>
      </c>
    </row>
    <row r="2182" spans="1:1" x14ac:dyDescent="0.2">
      <c r="A2182" s="22">
        <v>0.2480999231338501</v>
      </c>
    </row>
    <row r="2183" spans="1:1" x14ac:dyDescent="0.2">
      <c r="A2183" s="22">
        <v>0.51361590623855591</v>
      </c>
    </row>
    <row r="2184" spans="1:1" x14ac:dyDescent="0.2">
      <c r="A2184" s="22">
        <v>0.25289559364318848</v>
      </c>
    </row>
    <row r="2185" spans="1:1" x14ac:dyDescent="0.2">
      <c r="A2185" s="22">
        <v>0.11507362127304077</v>
      </c>
    </row>
    <row r="2186" spans="1:1" x14ac:dyDescent="0.2">
      <c r="A2186" s="22">
        <v>0.22598826885223389</v>
      </c>
    </row>
    <row r="2187" spans="1:1" x14ac:dyDescent="0.2">
      <c r="A2187" s="22">
        <v>0.98839813470840454</v>
      </c>
    </row>
    <row r="2188" spans="1:1" x14ac:dyDescent="0.2">
      <c r="A2188" s="22">
        <v>0.85320711135864258</v>
      </c>
    </row>
    <row r="2189" spans="1:1" x14ac:dyDescent="0.2">
      <c r="A2189" s="22">
        <v>0.49016445875167847</v>
      </c>
    </row>
    <row r="2190" spans="1:1" x14ac:dyDescent="0.2">
      <c r="A2190" s="22">
        <v>0.8226395845413208</v>
      </c>
    </row>
    <row r="2191" spans="1:1" x14ac:dyDescent="0.2">
      <c r="A2191" s="22">
        <v>0.2826727032661438</v>
      </c>
    </row>
    <row r="2192" spans="1:1" x14ac:dyDescent="0.2">
      <c r="A2192" s="22">
        <v>0.9676978588104248</v>
      </c>
    </row>
    <row r="2193" spans="1:1" x14ac:dyDescent="0.2">
      <c r="A2193" s="22">
        <v>0.40474885702133179</v>
      </c>
    </row>
    <row r="2194" spans="1:1" x14ac:dyDescent="0.2">
      <c r="A2194" s="22">
        <v>0.55471646785736084</v>
      </c>
    </row>
    <row r="2195" spans="1:1" x14ac:dyDescent="0.2">
      <c r="A2195" s="22">
        <v>0.90895181894302368</v>
      </c>
    </row>
    <row r="2196" spans="1:1" x14ac:dyDescent="0.2">
      <c r="A2196" s="22">
        <v>0.87133121490478516</v>
      </c>
    </row>
    <row r="2197" spans="1:1" x14ac:dyDescent="0.2">
      <c r="A2197" s="22">
        <v>0.59643667936325073</v>
      </c>
    </row>
    <row r="2198" spans="1:1" x14ac:dyDescent="0.2">
      <c r="A2198" s="22">
        <v>0.521889328956604</v>
      </c>
    </row>
    <row r="2199" spans="1:1" x14ac:dyDescent="0.2">
      <c r="A2199" s="22">
        <v>0.63072425127029419</v>
      </c>
    </row>
    <row r="2200" spans="1:1" x14ac:dyDescent="0.2">
      <c r="A2200" s="22">
        <v>8.6140871047973633E-2</v>
      </c>
    </row>
    <row r="2201" spans="1:1" x14ac:dyDescent="0.2">
      <c r="A2201" s="22">
        <v>6.1626851558685303E-2</v>
      </c>
    </row>
    <row r="2202" spans="1:1" x14ac:dyDescent="0.2">
      <c r="A2202" s="22">
        <v>4.7461390495300293E-2</v>
      </c>
    </row>
    <row r="2203" spans="1:1" x14ac:dyDescent="0.2">
      <c r="A2203" s="22">
        <v>0.54058033227920532</v>
      </c>
    </row>
    <row r="2204" spans="1:1" x14ac:dyDescent="0.2">
      <c r="A2204" s="22">
        <v>0.14685583114624023</v>
      </c>
    </row>
    <row r="2205" spans="1:1" x14ac:dyDescent="0.2">
      <c r="A2205" s="22">
        <v>0.7586323618888855</v>
      </c>
    </row>
    <row r="2206" spans="1:1" x14ac:dyDescent="0.2">
      <c r="A2206" s="22">
        <v>0.56899368762969971</v>
      </c>
    </row>
    <row r="2207" spans="1:1" x14ac:dyDescent="0.2">
      <c r="A2207" s="22">
        <v>0.38833695650100708</v>
      </c>
    </row>
    <row r="2208" spans="1:1" x14ac:dyDescent="0.2">
      <c r="A2208" s="22">
        <v>0.61652541160583496</v>
      </c>
    </row>
    <row r="2209" spans="1:1" x14ac:dyDescent="0.2">
      <c r="A2209" s="22">
        <v>0.56080526113510132</v>
      </c>
    </row>
    <row r="2210" spans="1:1" x14ac:dyDescent="0.2">
      <c r="A2210" s="22">
        <v>0.77893006801605225</v>
      </c>
    </row>
    <row r="2211" spans="1:1" x14ac:dyDescent="0.2">
      <c r="A2211" s="22">
        <v>0.15916258096694946</v>
      </c>
    </row>
    <row r="2212" spans="1:1" x14ac:dyDescent="0.2">
      <c r="A2212" s="22">
        <v>0.35214424133300781</v>
      </c>
    </row>
    <row r="2213" spans="1:1" x14ac:dyDescent="0.2">
      <c r="A2213" s="22">
        <v>0.45966166257858276</v>
      </c>
    </row>
    <row r="2214" spans="1:1" x14ac:dyDescent="0.2">
      <c r="A2214" s="22">
        <v>1.522219181060791E-2</v>
      </c>
    </row>
    <row r="2215" spans="1:1" x14ac:dyDescent="0.2">
      <c r="A2215" s="22">
        <v>0.90170222520828247</v>
      </c>
    </row>
    <row r="2216" spans="1:1" x14ac:dyDescent="0.2">
      <c r="A2216" s="22">
        <v>2.0277261734008789E-2</v>
      </c>
    </row>
    <row r="2217" spans="1:1" x14ac:dyDescent="0.2">
      <c r="A2217" s="22">
        <v>1.8006742000579834E-2</v>
      </c>
    </row>
    <row r="2218" spans="1:1" x14ac:dyDescent="0.2">
      <c r="A2218" s="22">
        <v>0.9019545316696167</v>
      </c>
    </row>
    <row r="2219" spans="1:1" x14ac:dyDescent="0.2">
      <c r="A2219" s="22">
        <v>0.8062024712562561</v>
      </c>
    </row>
    <row r="2220" spans="1:1" x14ac:dyDescent="0.2">
      <c r="A2220" s="22">
        <v>0.86268472671508789</v>
      </c>
    </row>
    <row r="2221" spans="1:1" x14ac:dyDescent="0.2">
      <c r="A2221" s="22">
        <v>7.3059737682342529E-2</v>
      </c>
    </row>
    <row r="2222" spans="1:1" x14ac:dyDescent="0.2">
      <c r="A2222" s="22">
        <v>0.23996937274932861</v>
      </c>
    </row>
    <row r="2223" spans="1:1" x14ac:dyDescent="0.2">
      <c r="A2223" s="22">
        <v>0.53263646364212036</v>
      </c>
    </row>
    <row r="2224" spans="1:1" x14ac:dyDescent="0.2">
      <c r="A2224" s="22">
        <v>0.71194720268249512</v>
      </c>
    </row>
    <row r="2225" spans="1:1" x14ac:dyDescent="0.2">
      <c r="A2225" s="22">
        <v>0.68957895040512085</v>
      </c>
    </row>
    <row r="2226" spans="1:1" x14ac:dyDescent="0.2">
      <c r="A2226" s="22">
        <v>0.14749181270599365</v>
      </c>
    </row>
    <row r="2227" spans="1:1" x14ac:dyDescent="0.2">
      <c r="A2227" s="22">
        <v>0.78882890939712524</v>
      </c>
    </row>
    <row r="2228" spans="1:1" x14ac:dyDescent="0.2">
      <c r="A2228" s="22">
        <v>0.25709056854248047</v>
      </c>
    </row>
    <row r="2229" spans="1:1" x14ac:dyDescent="0.2">
      <c r="A2229" s="22">
        <v>0.36298674345016479</v>
      </c>
    </row>
    <row r="2230" spans="1:1" x14ac:dyDescent="0.2">
      <c r="A2230" s="22">
        <v>0.45075476169586182</v>
      </c>
    </row>
    <row r="2231" spans="1:1" x14ac:dyDescent="0.2">
      <c r="A2231" s="22">
        <v>0.15858107805252075</v>
      </c>
    </row>
    <row r="2232" spans="1:1" x14ac:dyDescent="0.2">
      <c r="A2232" s="22">
        <v>0.55921101570129395</v>
      </c>
    </row>
    <row r="2233" spans="1:1" x14ac:dyDescent="0.2">
      <c r="A2233" s="22">
        <v>0.47249454259872437</v>
      </c>
    </row>
    <row r="2234" spans="1:1" x14ac:dyDescent="0.2">
      <c r="A2234" s="22">
        <v>0.32462394237518311</v>
      </c>
    </row>
    <row r="2235" spans="1:1" x14ac:dyDescent="0.2">
      <c r="A2235" s="22">
        <v>0.17979580163955688</v>
      </c>
    </row>
    <row r="2236" spans="1:1" x14ac:dyDescent="0.2">
      <c r="A2236" s="22">
        <v>0.81710004806518555</v>
      </c>
    </row>
    <row r="2237" spans="1:1" x14ac:dyDescent="0.2">
      <c r="A2237" s="22">
        <v>0.98422783613204956</v>
      </c>
    </row>
    <row r="2238" spans="1:1" x14ac:dyDescent="0.2">
      <c r="A2238" s="22">
        <v>0.18322288990020752</v>
      </c>
    </row>
    <row r="2239" spans="1:1" x14ac:dyDescent="0.2">
      <c r="A2239" s="22">
        <v>0.67260247468948364</v>
      </c>
    </row>
    <row r="2240" spans="1:1" x14ac:dyDescent="0.2">
      <c r="A2240" s="22">
        <v>0.38286948204040527</v>
      </c>
    </row>
    <row r="2241" spans="1:1" x14ac:dyDescent="0.2">
      <c r="A2241" s="22">
        <v>0.40435117483139038</v>
      </c>
    </row>
    <row r="2242" spans="1:1" x14ac:dyDescent="0.2">
      <c r="A2242" s="22">
        <v>0.82055795192718506</v>
      </c>
    </row>
    <row r="2243" spans="1:1" x14ac:dyDescent="0.2">
      <c r="A2243" s="22">
        <v>0.31748205423355103</v>
      </c>
    </row>
    <row r="2244" spans="1:1" x14ac:dyDescent="0.2">
      <c r="A2244" s="22">
        <v>2.7576446533203125E-2</v>
      </c>
    </row>
    <row r="2245" spans="1:1" x14ac:dyDescent="0.2">
      <c r="A2245" s="22">
        <v>0.98219317197799683</v>
      </c>
    </row>
    <row r="2246" spans="1:1" x14ac:dyDescent="0.2">
      <c r="A2246" s="22">
        <v>0.80114328861236572</v>
      </c>
    </row>
    <row r="2247" spans="1:1" x14ac:dyDescent="0.2">
      <c r="A2247" s="22">
        <v>0.48339205980300903</v>
      </c>
    </row>
    <row r="2248" spans="1:1" x14ac:dyDescent="0.2">
      <c r="A2248" s="22">
        <v>0.4568483829498291</v>
      </c>
    </row>
    <row r="2249" spans="1:1" x14ac:dyDescent="0.2">
      <c r="A2249" s="22">
        <v>0.1633715033531189</v>
      </c>
    </row>
    <row r="2250" spans="1:1" x14ac:dyDescent="0.2">
      <c r="A2250" s="22">
        <v>0.10062587261199951</v>
      </c>
    </row>
    <row r="2251" spans="1:1" x14ac:dyDescent="0.2">
      <c r="A2251" s="22">
        <v>0.30589157342910767</v>
      </c>
    </row>
    <row r="2252" spans="1:1" x14ac:dyDescent="0.2">
      <c r="A2252" s="22">
        <v>7.6508045196533203E-2</v>
      </c>
    </row>
    <row r="2253" spans="1:1" x14ac:dyDescent="0.2">
      <c r="A2253" s="22">
        <v>0.29291790723800659</v>
      </c>
    </row>
    <row r="2254" spans="1:1" x14ac:dyDescent="0.2">
      <c r="A2254" s="22">
        <v>0.99641048908233643</v>
      </c>
    </row>
    <row r="2255" spans="1:1" x14ac:dyDescent="0.2">
      <c r="A2255" s="22">
        <v>1.5266239643096924E-2</v>
      </c>
    </row>
    <row r="2256" spans="1:1" x14ac:dyDescent="0.2">
      <c r="A2256" s="22">
        <v>8.1984996795654297E-3</v>
      </c>
    </row>
    <row r="2257" spans="1:1" x14ac:dyDescent="0.2">
      <c r="A2257" s="22">
        <v>0.56840318441390991</v>
      </c>
    </row>
    <row r="2258" spans="1:1" x14ac:dyDescent="0.2">
      <c r="A2258" s="22">
        <v>0.20828473567962646</v>
      </c>
    </row>
    <row r="2259" spans="1:1" x14ac:dyDescent="0.2">
      <c r="A2259" s="22">
        <v>0.51465326547622681</v>
      </c>
    </row>
    <row r="2260" spans="1:1" x14ac:dyDescent="0.2">
      <c r="A2260" s="22">
        <v>0.35500812530517578</v>
      </c>
    </row>
    <row r="2261" spans="1:1" x14ac:dyDescent="0.2">
      <c r="A2261" s="22">
        <v>0.24306219816207886</v>
      </c>
    </row>
    <row r="2262" spans="1:1" x14ac:dyDescent="0.2">
      <c r="A2262" s="22">
        <v>0.28904402256011963</v>
      </c>
    </row>
    <row r="2263" spans="1:1" x14ac:dyDescent="0.2">
      <c r="A2263" s="22">
        <v>0.20816642045974731</v>
      </c>
    </row>
    <row r="2264" spans="1:1" x14ac:dyDescent="0.2">
      <c r="A2264" s="22">
        <v>0.71709561347961426</v>
      </c>
    </row>
    <row r="2265" spans="1:1" x14ac:dyDescent="0.2">
      <c r="A2265" s="22">
        <v>7.8918874263763428E-2</v>
      </c>
    </row>
    <row r="2266" spans="1:1" x14ac:dyDescent="0.2">
      <c r="A2266" s="22">
        <v>0.26511657238006592</v>
      </c>
    </row>
    <row r="2267" spans="1:1" x14ac:dyDescent="0.2">
      <c r="A2267" s="22">
        <v>7.9021036624908447E-2</v>
      </c>
    </row>
    <row r="2268" spans="1:1" x14ac:dyDescent="0.2">
      <c r="A2268" s="22">
        <v>0.95731496810913086</v>
      </c>
    </row>
    <row r="2269" spans="1:1" x14ac:dyDescent="0.2">
      <c r="A2269" s="22">
        <v>4.9911201000213623E-2</v>
      </c>
    </row>
    <row r="2270" spans="1:1" x14ac:dyDescent="0.2">
      <c r="A2270" s="22">
        <v>0.52718842029571533</v>
      </c>
    </row>
    <row r="2271" spans="1:1" x14ac:dyDescent="0.2">
      <c r="A2271" s="22">
        <v>1.7659008502960205E-2</v>
      </c>
    </row>
    <row r="2272" spans="1:1" x14ac:dyDescent="0.2">
      <c r="A2272" s="22">
        <v>0.21684050559997559</v>
      </c>
    </row>
    <row r="2273" spans="1:1" x14ac:dyDescent="0.2">
      <c r="A2273" s="22">
        <v>0.29501622915267944</v>
      </c>
    </row>
    <row r="2274" spans="1:1" x14ac:dyDescent="0.2">
      <c r="A2274" s="22">
        <v>0.97082841396331787</v>
      </c>
    </row>
    <row r="2275" spans="1:1" x14ac:dyDescent="0.2">
      <c r="A2275" s="22">
        <v>0.39987379312515259</v>
      </c>
    </row>
    <row r="2276" spans="1:1" x14ac:dyDescent="0.2">
      <c r="A2276" s="22">
        <v>0.18079185485839844</v>
      </c>
    </row>
    <row r="2277" spans="1:1" x14ac:dyDescent="0.2">
      <c r="A2277" s="22">
        <v>0.32137507200241089</v>
      </c>
    </row>
    <row r="2278" spans="1:1" x14ac:dyDescent="0.2">
      <c r="A2278" s="22">
        <v>0.38711321353912354</v>
      </c>
    </row>
    <row r="2279" spans="1:1" x14ac:dyDescent="0.2">
      <c r="A2279" s="22">
        <v>0.9149354100227356</v>
      </c>
    </row>
    <row r="2280" spans="1:1" x14ac:dyDescent="0.2">
      <c r="A2280" s="22">
        <v>0.59385895729064941</v>
      </c>
    </row>
    <row r="2281" spans="1:1" x14ac:dyDescent="0.2">
      <c r="A2281" s="22">
        <v>0.45741790533065796</v>
      </c>
    </row>
    <row r="2282" spans="1:1" x14ac:dyDescent="0.2">
      <c r="A2282" s="22">
        <v>0.10325229167938232</v>
      </c>
    </row>
    <row r="2283" spans="1:1" x14ac:dyDescent="0.2">
      <c r="A2283" s="22">
        <v>0.64371544122695923</v>
      </c>
    </row>
    <row r="2284" spans="1:1" x14ac:dyDescent="0.2">
      <c r="A2284" s="22">
        <v>2.5927066802978516E-2</v>
      </c>
    </row>
    <row r="2285" spans="1:1" x14ac:dyDescent="0.2">
      <c r="A2285" s="22">
        <v>0.55598896741867065</v>
      </c>
    </row>
    <row r="2286" spans="1:1" x14ac:dyDescent="0.2">
      <c r="A2286" s="22">
        <v>0.87321293354034424</v>
      </c>
    </row>
    <row r="2287" spans="1:1" x14ac:dyDescent="0.2">
      <c r="A2287" s="22">
        <v>0.38681203126907349</v>
      </c>
    </row>
    <row r="2288" spans="1:1" x14ac:dyDescent="0.2">
      <c r="A2288" s="22">
        <v>0.88770174980163574</v>
      </c>
    </row>
    <row r="2289" spans="1:1" x14ac:dyDescent="0.2">
      <c r="A2289" s="22">
        <v>0.94747155904769897</v>
      </c>
    </row>
    <row r="2290" spans="1:1" x14ac:dyDescent="0.2">
      <c r="A2290" s="22">
        <v>1.8345236778259277E-2</v>
      </c>
    </row>
    <row r="2291" spans="1:1" x14ac:dyDescent="0.2">
      <c r="A2291" s="22">
        <v>0.24267488718032837</v>
      </c>
    </row>
    <row r="2292" spans="1:1" x14ac:dyDescent="0.2">
      <c r="A2292" s="22">
        <v>0.69633388519287109</v>
      </c>
    </row>
    <row r="2293" spans="1:1" x14ac:dyDescent="0.2">
      <c r="A2293" s="22">
        <v>0.64291304349899292</v>
      </c>
    </row>
    <row r="2294" spans="1:1" x14ac:dyDescent="0.2">
      <c r="A2294" s="22">
        <v>0.81800711154937744</v>
      </c>
    </row>
    <row r="2295" spans="1:1" x14ac:dyDescent="0.2">
      <c r="A2295" s="22">
        <v>0.43573027849197388</v>
      </c>
    </row>
    <row r="2296" spans="1:1" x14ac:dyDescent="0.2">
      <c r="A2296" s="22">
        <v>0.59104466438293457</v>
      </c>
    </row>
    <row r="2297" spans="1:1" x14ac:dyDescent="0.2">
      <c r="A2297" s="22">
        <v>0.78714984655380249</v>
      </c>
    </row>
    <row r="2298" spans="1:1" x14ac:dyDescent="0.2">
      <c r="A2298" s="22">
        <v>0.15018928050994873</v>
      </c>
    </row>
    <row r="2299" spans="1:1" x14ac:dyDescent="0.2">
      <c r="A2299" s="22">
        <v>0.39450603723526001</v>
      </c>
    </row>
    <row r="2300" spans="1:1" x14ac:dyDescent="0.2">
      <c r="A2300" s="22">
        <v>9.8750591278076172E-2</v>
      </c>
    </row>
    <row r="2301" spans="1:1" x14ac:dyDescent="0.2">
      <c r="A2301" s="22">
        <v>0.36193245649337769</v>
      </c>
    </row>
    <row r="2302" spans="1:1" x14ac:dyDescent="0.2">
      <c r="A2302" s="22">
        <v>0.38214027881622314</v>
      </c>
    </row>
    <row r="2303" spans="1:1" x14ac:dyDescent="0.2">
      <c r="A2303" s="22">
        <v>7.9756557941436768E-2</v>
      </c>
    </row>
    <row r="2304" spans="1:1" x14ac:dyDescent="0.2">
      <c r="A2304" s="22">
        <v>0.1496884822845459</v>
      </c>
    </row>
    <row r="2305" spans="1:1" x14ac:dyDescent="0.2">
      <c r="A2305" s="22">
        <v>0.13905042409896851</v>
      </c>
    </row>
    <row r="2306" spans="1:1" x14ac:dyDescent="0.2">
      <c r="A2306" s="22">
        <v>0.51099145412445068</v>
      </c>
    </row>
    <row r="2307" spans="1:1" x14ac:dyDescent="0.2">
      <c r="A2307" s="22">
        <v>0.56258779764175415</v>
      </c>
    </row>
    <row r="2308" spans="1:1" x14ac:dyDescent="0.2">
      <c r="A2308" s="22">
        <v>0.34304046630859375</v>
      </c>
    </row>
    <row r="2309" spans="1:1" x14ac:dyDescent="0.2">
      <c r="A2309" s="22">
        <v>0.88345736265182495</v>
      </c>
    </row>
    <row r="2310" spans="1:1" x14ac:dyDescent="0.2">
      <c r="A2310" s="22">
        <v>0.55438196659088135</v>
      </c>
    </row>
    <row r="2311" spans="1:1" x14ac:dyDescent="0.2">
      <c r="A2311" s="22">
        <v>0.85258227586746216</v>
      </c>
    </row>
    <row r="2312" spans="1:1" x14ac:dyDescent="0.2">
      <c r="A2312" s="22">
        <v>0.46255898475646973</v>
      </c>
    </row>
    <row r="2313" spans="1:1" x14ac:dyDescent="0.2">
      <c r="A2313" s="22">
        <v>0.80639594793319702</v>
      </c>
    </row>
    <row r="2314" spans="1:1" x14ac:dyDescent="0.2">
      <c r="A2314" s="22">
        <v>0.19108378887176514</v>
      </c>
    </row>
    <row r="2315" spans="1:1" x14ac:dyDescent="0.2">
      <c r="A2315" s="22">
        <v>0.97592407464981079</v>
      </c>
    </row>
    <row r="2316" spans="1:1" x14ac:dyDescent="0.2">
      <c r="A2316" s="22">
        <v>0.24219179153442383</v>
      </c>
    </row>
    <row r="2317" spans="1:1" x14ac:dyDescent="0.2">
      <c r="A2317" s="22">
        <v>0.26852291822433472</v>
      </c>
    </row>
    <row r="2318" spans="1:1" x14ac:dyDescent="0.2">
      <c r="A2318" s="22">
        <v>0.65162670612335205</v>
      </c>
    </row>
    <row r="2319" spans="1:1" x14ac:dyDescent="0.2">
      <c r="A2319" s="22">
        <v>0.30352383852005005</v>
      </c>
    </row>
    <row r="2320" spans="1:1" x14ac:dyDescent="0.2">
      <c r="A2320" s="22">
        <v>0.38170695304870605</v>
      </c>
    </row>
    <row r="2321" spans="1:1" x14ac:dyDescent="0.2">
      <c r="A2321" s="22">
        <v>0.73303407430648804</v>
      </c>
    </row>
    <row r="2322" spans="1:1" x14ac:dyDescent="0.2">
      <c r="A2322" s="22">
        <v>0.85892331600189209</v>
      </c>
    </row>
    <row r="2323" spans="1:1" x14ac:dyDescent="0.2">
      <c r="A2323" s="22">
        <v>0.12914377450942993</v>
      </c>
    </row>
    <row r="2324" spans="1:1" x14ac:dyDescent="0.2">
      <c r="A2324" s="22">
        <v>0.81231784820556641</v>
      </c>
    </row>
    <row r="2325" spans="1:1" x14ac:dyDescent="0.2">
      <c r="A2325" s="22">
        <v>0.96878927946090698</v>
      </c>
    </row>
    <row r="2326" spans="1:1" x14ac:dyDescent="0.2">
      <c r="A2326" s="22">
        <v>0.81889402866363525</v>
      </c>
    </row>
    <row r="2327" spans="1:1" x14ac:dyDescent="0.2">
      <c r="A2327" s="22">
        <v>0.49752265214920044</v>
      </c>
    </row>
    <row r="2328" spans="1:1" x14ac:dyDescent="0.2">
      <c r="A2328" s="22">
        <v>0.21230816841125488</v>
      </c>
    </row>
    <row r="2329" spans="1:1" x14ac:dyDescent="0.2">
      <c r="A2329" s="22">
        <v>0.50343745946884155</v>
      </c>
    </row>
    <row r="2330" spans="1:1" x14ac:dyDescent="0.2">
      <c r="A2330" s="22">
        <v>0.26109206676483154</v>
      </c>
    </row>
    <row r="2331" spans="1:1" x14ac:dyDescent="0.2">
      <c r="A2331" s="22">
        <v>0.28250080347061157</v>
      </c>
    </row>
    <row r="2332" spans="1:1" x14ac:dyDescent="0.2">
      <c r="A2332" s="22">
        <v>0.77265691757202148</v>
      </c>
    </row>
    <row r="2333" spans="1:1" x14ac:dyDescent="0.2">
      <c r="A2333" s="22">
        <v>0.32654160261154175</v>
      </c>
    </row>
    <row r="2334" spans="1:1" x14ac:dyDescent="0.2">
      <c r="A2334" s="22">
        <v>0.52932846546173096</v>
      </c>
    </row>
    <row r="2335" spans="1:1" x14ac:dyDescent="0.2">
      <c r="A2335" s="22">
        <v>0.51514512300491333</v>
      </c>
    </row>
    <row r="2336" spans="1:1" x14ac:dyDescent="0.2">
      <c r="A2336" s="22">
        <v>0.21266341209411621</v>
      </c>
    </row>
    <row r="2337" spans="1:1" x14ac:dyDescent="0.2">
      <c r="A2337" s="22">
        <v>0.84270375967025757</v>
      </c>
    </row>
    <row r="2338" spans="1:1" x14ac:dyDescent="0.2">
      <c r="A2338" s="22">
        <v>0.7222970724105835</v>
      </c>
    </row>
    <row r="2339" spans="1:1" x14ac:dyDescent="0.2">
      <c r="A2339" s="22">
        <v>0.96187406778335571</v>
      </c>
    </row>
    <row r="2340" spans="1:1" x14ac:dyDescent="0.2">
      <c r="A2340" s="22">
        <v>4.5572280883789063E-2</v>
      </c>
    </row>
    <row r="2341" spans="1:1" x14ac:dyDescent="0.2">
      <c r="A2341" s="22">
        <v>7.4690043926239014E-2</v>
      </c>
    </row>
    <row r="2342" spans="1:1" x14ac:dyDescent="0.2">
      <c r="A2342" s="22">
        <v>8.419954776763916E-2</v>
      </c>
    </row>
    <row r="2343" spans="1:1" x14ac:dyDescent="0.2">
      <c r="A2343" s="22">
        <v>0.95258265733718872</v>
      </c>
    </row>
    <row r="2344" spans="1:1" x14ac:dyDescent="0.2">
      <c r="A2344" s="22">
        <v>9.4198465347290039E-2</v>
      </c>
    </row>
    <row r="2345" spans="1:1" x14ac:dyDescent="0.2">
      <c r="A2345" s="22">
        <v>0.11655563116073608</v>
      </c>
    </row>
    <row r="2346" spans="1:1" x14ac:dyDescent="0.2">
      <c r="A2346" s="22">
        <v>0.64537036418914795</v>
      </c>
    </row>
    <row r="2347" spans="1:1" x14ac:dyDescent="0.2">
      <c r="A2347" s="22">
        <v>0.45876747369766235</v>
      </c>
    </row>
    <row r="2348" spans="1:1" x14ac:dyDescent="0.2">
      <c r="A2348" s="22">
        <v>0.25655221939086914</v>
      </c>
    </row>
    <row r="2349" spans="1:1" x14ac:dyDescent="0.2">
      <c r="A2349" s="22">
        <v>0.83676975965499878</v>
      </c>
    </row>
    <row r="2350" spans="1:1" x14ac:dyDescent="0.2">
      <c r="A2350" s="22">
        <v>0.11290180683135986</v>
      </c>
    </row>
    <row r="2351" spans="1:1" x14ac:dyDescent="0.2">
      <c r="A2351" s="22">
        <v>0.42165166139602661</v>
      </c>
    </row>
    <row r="2352" spans="1:1" x14ac:dyDescent="0.2">
      <c r="A2352" s="22">
        <v>0.52146410942077637</v>
      </c>
    </row>
    <row r="2353" spans="1:1" x14ac:dyDescent="0.2">
      <c r="A2353" s="22">
        <v>0.8313407301902771</v>
      </c>
    </row>
    <row r="2354" spans="1:1" x14ac:dyDescent="0.2">
      <c r="A2354" s="22">
        <v>1.1268973350524902E-2</v>
      </c>
    </row>
    <row r="2355" spans="1:1" x14ac:dyDescent="0.2">
      <c r="A2355" s="22">
        <v>0.33030992746353149</v>
      </c>
    </row>
    <row r="2356" spans="1:1" x14ac:dyDescent="0.2">
      <c r="A2356" s="22">
        <v>0.23421001434326172</v>
      </c>
    </row>
    <row r="2357" spans="1:1" x14ac:dyDescent="0.2">
      <c r="A2357" s="22">
        <v>0.62694090604782104</v>
      </c>
    </row>
    <row r="2358" spans="1:1" x14ac:dyDescent="0.2">
      <c r="A2358" s="22">
        <v>7.2954773902893066E-2</v>
      </c>
    </row>
    <row r="2359" spans="1:1" x14ac:dyDescent="0.2">
      <c r="A2359" s="22">
        <v>4.9793541431427002E-2</v>
      </c>
    </row>
    <row r="2360" spans="1:1" x14ac:dyDescent="0.2">
      <c r="A2360" s="22">
        <v>0.6121361255645752</v>
      </c>
    </row>
    <row r="2361" spans="1:1" x14ac:dyDescent="0.2">
      <c r="A2361" s="22">
        <v>0.13403171300888062</v>
      </c>
    </row>
    <row r="2362" spans="1:1" x14ac:dyDescent="0.2">
      <c r="A2362" s="22">
        <v>0.87907493114471436</v>
      </c>
    </row>
    <row r="2363" spans="1:1" x14ac:dyDescent="0.2">
      <c r="A2363" s="22">
        <v>0.89925533533096313</v>
      </c>
    </row>
    <row r="2364" spans="1:1" x14ac:dyDescent="0.2">
      <c r="A2364" s="22">
        <v>0.5102839469909668</v>
      </c>
    </row>
    <row r="2365" spans="1:1" x14ac:dyDescent="0.2">
      <c r="A2365" s="22">
        <v>0.34998863935470581</v>
      </c>
    </row>
    <row r="2366" spans="1:1" x14ac:dyDescent="0.2">
      <c r="A2366" s="22">
        <v>0.75000298023223877</v>
      </c>
    </row>
    <row r="2367" spans="1:1" x14ac:dyDescent="0.2">
      <c r="A2367" s="22">
        <v>0.98007470369338989</v>
      </c>
    </row>
    <row r="2368" spans="1:1" x14ac:dyDescent="0.2">
      <c r="A2368" s="22">
        <v>0.43701529502868652</v>
      </c>
    </row>
    <row r="2369" spans="1:1" x14ac:dyDescent="0.2">
      <c r="A2369" s="22">
        <v>0.31222623586654663</v>
      </c>
    </row>
    <row r="2370" spans="1:1" x14ac:dyDescent="0.2">
      <c r="A2370" s="22">
        <v>0.88599526882171631</v>
      </c>
    </row>
    <row r="2371" spans="1:1" x14ac:dyDescent="0.2">
      <c r="A2371" s="22">
        <v>0.75398260354995728</v>
      </c>
    </row>
    <row r="2372" spans="1:1" x14ac:dyDescent="0.2">
      <c r="A2372" s="22">
        <v>0.81963729858398438</v>
      </c>
    </row>
    <row r="2373" spans="1:1" x14ac:dyDescent="0.2">
      <c r="A2373" s="22">
        <v>0.30132311582565308</v>
      </c>
    </row>
    <row r="2374" spans="1:1" x14ac:dyDescent="0.2">
      <c r="A2374" s="22">
        <v>0.75781595706939697</v>
      </c>
    </row>
    <row r="2375" spans="1:1" x14ac:dyDescent="0.2">
      <c r="A2375" s="22">
        <v>0.87118655443191528</v>
      </c>
    </row>
    <row r="2376" spans="1:1" x14ac:dyDescent="0.2">
      <c r="A2376" s="22">
        <v>0.52002739906311035</v>
      </c>
    </row>
    <row r="2377" spans="1:1" x14ac:dyDescent="0.2">
      <c r="A2377" s="22">
        <v>0.29414695501327515</v>
      </c>
    </row>
    <row r="2378" spans="1:1" x14ac:dyDescent="0.2">
      <c r="A2378" s="22">
        <v>0.74736201763153076</v>
      </c>
    </row>
    <row r="2379" spans="1:1" x14ac:dyDescent="0.2">
      <c r="A2379" s="22">
        <v>0.24849563837051392</v>
      </c>
    </row>
    <row r="2380" spans="1:1" x14ac:dyDescent="0.2">
      <c r="A2380" s="22">
        <v>0.60025835037231445</v>
      </c>
    </row>
    <row r="2381" spans="1:1" x14ac:dyDescent="0.2">
      <c r="A2381" s="22">
        <v>0.66697949171066284</v>
      </c>
    </row>
    <row r="2382" spans="1:1" x14ac:dyDescent="0.2">
      <c r="A2382" s="22">
        <v>3.8288235664367676E-2</v>
      </c>
    </row>
    <row r="2383" spans="1:1" x14ac:dyDescent="0.2">
      <c r="A2383" s="22">
        <v>0.39744549989700317</v>
      </c>
    </row>
    <row r="2384" spans="1:1" x14ac:dyDescent="0.2">
      <c r="A2384" s="22">
        <v>0.33822321891784668</v>
      </c>
    </row>
    <row r="2385" spans="1:1" x14ac:dyDescent="0.2">
      <c r="A2385" s="22">
        <v>0.14864152669906616</v>
      </c>
    </row>
    <row r="2386" spans="1:1" x14ac:dyDescent="0.2">
      <c r="A2386" s="22">
        <v>0.75663220882415771</v>
      </c>
    </row>
    <row r="2387" spans="1:1" x14ac:dyDescent="0.2">
      <c r="A2387" s="22">
        <v>2.4233460426330566E-3</v>
      </c>
    </row>
    <row r="2388" spans="1:1" x14ac:dyDescent="0.2">
      <c r="A2388" s="22">
        <v>0.49326038360595703</v>
      </c>
    </row>
    <row r="2389" spans="1:1" x14ac:dyDescent="0.2">
      <c r="A2389" s="22">
        <v>2.3617923259735107E-2</v>
      </c>
    </row>
    <row r="2390" spans="1:1" x14ac:dyDescent="0.2">
      <c r="A2390" s="22">
        <v>0.36143934726715088</v>
      </c>
    </row>
    <row r="2391" spans="1:1" x14ac:dyDescent="0.2">
      <c r="A2391" s="22">
        <v>0.74879294633865356</v>
      </c>
    </row>
    <row r="2392" spans="1:1" x14ac:dyDescent="0.2">
      <c r="A2392" s="22">
        <v>0.82177853584289551</v>
      </c>
    </row>
    <row r="2393" spans="1:1" x14ac:dyDescent="0.2">
      <c r="A2393" s="22">
        <v>0.58518260717391968</v>
      </c>
    </row>
    <row r="2394" spans="1:1" x14ac:dyDescent="0.2">
      <c r="A2394" s="22">
        <v>0.28538787364959717</v>
      </c>
    </row>
    <row r="2395" spans="1:1" x14ac:dyDescent="0.2">
      <c r="A2395" s="22">
        <v>0.4010196328163147</v>
      </c>
    </row>
    <row r="2396" spans="1:1" x14ac:dyDescent="0.2">
      <c r="A2396" s="22">
        <v>0.84288167953491211</v>
      </c>
    </row>
    <row r="2397" spans="1:1" x14ac:dyDescent="0.2">
      <c r="A2397" s="22">
        <v>0.83852356672286987</v>
      </c>
    </row>
    <row r="2398" spans="1:1" x14ac:dyDescent="0.2">
      <c r="A2398" s="22">
        <v>0.82541382312774658</v>
      </c>
    </row>
    <row r="2399" spans="1:1" x14ac:dyDescent="0.2">
      <c r="A2399" s="22">
        <v>0.13079530000686646</v>
      </c>
    </row>
    <row r="2400" spans="1:1" x14ac:dyDescent="0.2">
      <c r="A2400" s="22">
        <v>0.85399413108825684</v>
      </c>
    </row>
    <row r="2401" spans="1:1" x14ac:dyDescent="0.2">
      <c r="A2401" s="22">
        <v>0.45386785268783569</v>
      </c>
    </row>
    <row r="2402" spans="1:1" x14ac:dyDescent="0.2">
      <c r="A2402" s="22">
        <v>0.28333604335784912</v>
      </c>
    </row>
    <row r="2403" spans="1:1" x14ac:dyDescent="0.2">
      <c r="A2403" s="22">
        <v>9.5163404941558838E-2</v>
      </c>
    </row>
    <row r="2404" spans="1:1" x14ac:dyDescent="0.2">
      <c r="A2404" s="22">
        <v>0.19648551940917969</v>
      </c>
    </row>
    <row r="2405" spans="1:1" x14ac:dyDescent="0.2">
      <c r="A2405" s="22">
        <v>0.96960657835006714</v>
      </c>
    </row>
    <row r="2406" spans="1:1" x14ac:dyDescent="0.2">
      <c r="A2406" s="22">
        <v>0.35648119449615479</v>
      </c>
    </row>
    <row r="2407" spans="1:1" x14ac:dyDescent="0.2">
      <c r="A2407" s="22">
        <v>0.26464396715164185</v>
      </c>
    </row>
    <row r="2408" spans="1:1" x14ac:dyDescent="0.2">
      <c r="A2408" s="22">
        <v>0.77129578590393066</v>
      </c>
    </row>
    <row r="2409" spans="1:1" x14ac:dyDescent="0.2">
      <c r="A2409" s="22">
        <v>0.24541991949081421</v>
      </c>
    </row>
    <row r="2410" spans="1:1" x14ac:dyDescent="0.2">
      <c r="A2410" s="22">
        <v>0.77830874919891357</v>
      </c>
    </row>
    <row r="2411" spans="1:1" x14ac:dyDescent="0.2">
      <c r="A2411" s="22">
        <v>0.50135856866836548</v>
      </c>
    </row>
    <row r="2412" spans="1:1" x14ac:dyDescent="0.2">
      <c r="A2412" s="22">
        <v>0.80456018447875977</v>
      </c>
    </row>
    <row r="2413" spans="1:1" x14ac:dyDescent="0.2">
      <c r="A2413" s="22">
        <v>0.1654021143913269</v>
      </c>
    </row>
    <row r="2414" spans="1:1" x14ac:dyDescent="0.2">
      <c r="A2414" s="22">
        <v>0.20903599262237549</v>
      </c>
    </row>
    <row r="2415" spans="1:1" x14ac:dyDescent="0.2">
      <c r="A2415" s="22">
        <v>0.88715535402297974</v>
      </c>
    </row>
    <row r="2416" spans="1:1" x14ac:dyDescent="0.2">
      <c r="A2416" s="22">
        <v>0.86323428153991699</v>
      </c>
    </row>
    <row r="2417" spans="1:1" x14ac:dyDescent="0.2">
      <c r="A2417" s="22">
        <v>0.59118646383285522</v>
      </c>
    </row>
    <row r="2418" spans="1:1" x14ac:dyDescent="0.2">
      <c r="A2418" s="22">
        <v>0.37626302242279053</v>
      </c>
    </row>
    <row r="2419" spans="1:1" x14ac:dyDescent="0.2">
      <c r="A2419" s="22">
        <v>0.30173403024673462</v>
      </c>
    </row>
    <row r="2420" spans="1:1" x14ac:dyDescent="0.2">
      <c r="A2420" s="22">
        <v>0.12071895599365234</v>
      </c>
    </row>
    <row r="2421" spans="1:1" x14ac:dyDescent="0.2">
      <c r="A2421" s="22">
        <v>0.56507033109664917</v>
      </c>
    </row>
    <row r="2422" spans="1:1" x14ac:dyDescent="0.2">
      <c r="A2422" s="22">
        <v>0.46559774875640869</v>
      </c>
    </row>
    <row r="2423" spans="1:1" x14ac:dyDescent="0.2">
      <c r="A2423" s="22">
        <v>0.25077086687088013</v>
      </c>
    </row>
    <row r="2424" spans="1:1" x14ac:dyDescent="0.2">
      <c r="A2424" s="22">
        <v>0.87248539924621582</v>
      </c>
    </row>
    <row r="2425" spans="1:1" x14ac:dyDescent="0.2">
      <c r="A2425" s="22">
        <v>0.76314014196395874</v>
      </c>
    </row>
    <row r="2426" spans="1:1" x14ac:dyDescent="0.2">
      <c r="A2426" s="22">
        <v>0.76128089427947998</v>
      </c>
    </row>
    <row r="2427" spans="1:1" x14ac:dyDescent="0.2">
      <c r="A2427" s="22">
        <v>0.94404369592666626</v>
      </c>
    </row>
    <row r="2428" spans="1:1" x14ac:dyDescent="0.2">
      <c r="A2428" s="22">
        <v>0.30170011520385742</v>
      </c>
    </row>
    <row r="2429" spans="1:1" x14ac:dyDescent="0.2">
      <c r="A2429" s="22">
        <v>0.19839638471603394</v>
      </c>
    </row>
    <row r="2430" spans="1:1" x14ac:dyDescent="0.2">
      <c r="A2430" s="22">
        <v>0.53681099414825439</v>
      </c>
    </row>
    <row r="2431" spans="1:1" x14ac:dyDescent="0.2">
      <c r="A2431" s="22">
        <v>0.62355691194534302</v>
      </c>
    </row>
    <row r="2432" spans="1:1" x14ac:dyDescent="0.2">
      <c r="A2432" s="22">
        <v>0.49484992027282715</v>
      </c>
    </row>
    <row r="2433" spans="1:1" x14ac:dyDescent="0.2">
      <c r="A2433" s="22">
        <v>0.17387861013412476</v>
      </c>
    </row>
    <row r="2434" spans="1:1" x14ac:dyDescent="0.2">
      <c r="A2434" s="22">
        <v>0.19556939601898193</v>
      </c>
    </row>
    <row r="2435" spans="1:1" x14ac:dyDescent="0.2">
      <c r="A2435" s="22">
        <v>0.1416664719581604</v>
      </c>
    </row>
    <row r="2436" spans="1:1" x14ac:dyDescent="0.2">
      <c r="A2436" s="22">
        <v>0.707366943359375</v>
      </c>
    </row>
    <row r="2437" spans="1:1" x14ac:dyDescent="0.2">
      <c r="A2437" s="22">
        <v>0.4857904314994812</v>
      </c>
    </row>
    <row r="2438" spans="1:1" x14ac:dyDescent="0.2">
      <c r="A2438" s="22">
        <v>0.6614452600479126</v>
      </c>
    </row>
    <row r="2439" spans="1:1" x14ac:dyDescent="0.2">
      <c r="A2439" s="22">
        <v>0.78920489549636841</v>
      </c>
    </row>
    <row r="2440" spans="1:1" x14ac:dyDescent="0.2">
      <c r="A2440" s="22">
        <v>0.87925362586975098</v>
      </c>
    </row>
    <row r="2441" spans="1:1" x14ac:dyDescent="0.2">
      <c r="A2441" s="22">
        <v>0.87662452459335327</v>
      </c>
    </row>
    <row r="2442" spans="1:1" x14ac:dyDescent="0.2">
      <c r="A2442" s="22">
        <v>1.9460558891296387E-2</v>
      </c>
    </row>
    <row r="2443" spans="1:1" x14ac:dyDescent="0.2">
      <c r="A2443" s="22">
        <v>0.37360626459121704</v>
      </c>
    </row>
    <row r="2444" spans="1:1" x14ac:dyDescent="0.2">
      <c r="A2444" s="22">
        <v>0.40070772171020508</v>
      </c>
    </row>
    <row r="2445" spans="1:1" x14ac:dyDescent="0.2">
      <c r="A2445" s="22">
        <v>0.73828762769699097</v>
      </c>
    </row>
    <row r="2446" spans="1:1" x14ac:dyDescent="0.2">
      <c r="A2446" s="22">
        <v>0.4063950777053833</v>
      </c>
    </row>
    <row r="2447" spans="1:1" x14ac:dyDescent="0.2">
      <c r="A2447" s="22">
        <v>0.5470312237739563</v>
      </c>
    </row>
    <row r="2448" spans="1:1" x14ac:dyDescent="0.2">
      <c r="A2448" s="22">
        <v>0.1277472972869873</v>
      </c>
    </row>
    <row r="2449" spans="1:1" x14ac:dyDescent="0.2">
      <c r="A2449" s="22">
        <v>6.5225541591644287E-2</v>
      </c>
    </row>
    <row r="2450" spans="1:1" x14ac:dyDescent="0.2">
      <c r="A2450" s="22">
        <v>0.15141141414642334</v>
      </c>
    </row>
    <row r="2451" spans="1:1" x14ac:dyDescent="0.2">
      <c r="A2451" s="22">
        <v>0.38449198007583618</v>
      </c>
    </row>
    <row r="2452" spans="1:1" x14ac:dyDescent="0.2">
      <c r="A2452" s="22">
        <v>0.64783573150634766</v>
      </c>
    </row>
    <row r="2453" spans="1:1" x14ac:dyDescent="0.2">
      <c r="A2453" s="22">
        <v>0.65754812955856323</v>
      </c>
    </row>
    <row r="2454" spans="1:1" x14ac:dyDescent="0.2">
      <c r="A2454" s="22">
        <v>0.1666799783706665</v>
      </c>
    </row>
    <row r="2455" spans="1:1" x14ac:dyDescent="0.2">
      <c r="A2455" s="22">
        <v>0.21197730302810669</v>
      </c>
    </row>
    <row r="2456" spans="1:1" x14ac:dyDescent="0.2">
      <c r="A2456" s="22">
        <v>0.79550671577453613</v>
      </c>
    </row>
    <row r="2457" spans="1:1" x14ac:dyDescent="0.2">
      <c r="A2457" s="22">
        <v>0.5741543173789978</v>
      </c>
    </row>
    <row r="2458" spans="1:1" x14ac:dyDescent="0.2">
      <c r="A2458" s="22">
        <v>0.58800399303436279</v>
      </c>
    </row>
    <row r="2459" spans="1:1" x14ac:dyDescent="0.2">
      <c r="A2459" s="22">
        <v>0.68457752466201782</v>
      </c>
    </row>
    <row r="2460" spans="1:1" x14ac:dyDescent="0.2">
      <c r="A2460" s="22">
        <v>0.41798925399780273</v>
      </c>
    </row>
    <row r="2461" spans="1:1" x14ac:dyDescent="0.2">
      <c r="A2461" s="22">
        <v>0.835857093334198</v>
      </c>
    </row>
    <row r="2462" spans="1:1" x14ac:dyDescent="0.2">
      <c r="A2462" s="22">
        <v>0.66544449329376221</v>
      </c>
    </row>
    <row r="2463" spans="1:1" x14ac:dyDescent="0.2">
      <c r="A2463" s="22">
        <v>0.11460953950881958</v>
      </c>
    </row>
    <row r="2464" spans="1:1" x14ac:dyDescent="0.2">
      <c r="A2464" s="22">
        <v>0.39083266258239746</v>
      </c>
    </row>
    <row r="2465" spans="1:1" x14ac:dyDescent="0.2">
      <c r="A2465" s="22">
        <v>0.37850850820541382</v>
      </c>
    </row>
    <row r="2466" spans="1:1" x14ac:dyDescent="0.2">
      <c r="A2466" s="22">
        <v>0.90394532680511475</v>
      </c>
    </row>
    <row r="2467" spans="1:1" x14ac:dyDescent="0.2">
      <c r="A2467" s="22">
        <v>4.9741804599761963E-2</v>
      </c>
    </row>
    <row r="2468" spans="1:1" x14ac:dyDescent="0.2">
      <c r="A2468" s="22">
        <v>0.88353157043457031</v>
      </c>
    </row>
    <row r="2469" spans="1:1" x14ac:dyDescent="0.2">
      <c r="A2469" s="22">
        <v>0.25612467527389526</v>
      </c>
    </row>
    <row r="2470" spans="1:1" x14ac:dyDescent="0.2">
      <c r="A2470" s="22">
        <v>0.45395815372467041</v>
      </c>
    </row>
    <row r="2471" spans="1:1" x14ac:dyDescent="0.2">
      <c r="A2471" s="22">
        <v>0.10111933946609497</v>
      </c>
    </row>
    <row r="2472" spans="1:1" x14ac:dyDescent="0.2">
      <c r="A2472" s="22">
        <v>0.87515091896057129</v>
      </c>
    </row>
    <row r="2473" spans="1:1" x14ac:dyDescent="0.2">
      <c r="A2473" s="22">
        <v>9.4010770320892334E-2</v>
      </c>
    </row>
    <row r="2474" spans="1:1" x14ac:dyDescent="0.2">
      <c r="A2474" s="22">
        <v>0.7520674467086792</v>
      </c>
    </row>
    <row r="2475" spans="1:1" x14ac:dyDescent="0.2">
      <c r="A2475" s="22">
        <v>2.1488726139068604E-2</v>
      </c>
    </row>
    <row r="2476" spans="1:1" x14ac:dyDescent="0.2">
      <c r="A2476" s="22">
        <v>0.91995096206665039</v>
      </c>
    </row>
    <row r="2477" spans="1:1" x14ac:dyDescent="0.2">
      <c r="A2477" s="22">
        <v>0.79188603162765503</v>
      </c>
    </row>
    <row r="2478" spans="1:1" x14ac:dyDescent="0.2">
      <c r="A2478" s="22">
        <v>0.41161549091339111</v>
      </c>
    </row>
    <row r="2479" spans="1:1" x14ac:dyDescent="0.2">
      <c r="A2479" s="22">
        <v>3.3323109149932861E-2</v>
      </c>
    </row>
    <row r="2480" spans="1:1" x14ac:dyDescent="0.2">
      <c r="A2480" s="22">
        <v>0.16301226615905762</v>
      </c>
    </row>
    <row r="2481" spans="1:1" x14ac:dyDescent="0.2">
      <c r="A2481" s="22">
        <v>0.47700875997543335</v>
      </c>
    </row>
    <row r="2482" spans="1:1" x14ac:dyDescent="0.2">
      <c r="A2482" s="22">
        <v>0.36332738399505615</v>
      </c>
    </row>
    <row r="2483" spans="1:1" x14ac:dyDescent="0.2">
      <c r="A2483" s="22">
        <v>0.40694719552993774</v>
      </c>
    </row>
    <row r="2484" spans="1:1" x14ac:dyDescent="0.2">
      <c r="A2484" s="22">
        <v>0.60586071014404297</v>
      </c>
    </row>
    <row r="2485" spans="1:1" x14ac:dyDescent="0.2">
      <c r="A2485" s="22">
        <v>0.70730131864547729</v>
      </c>
    </row>
    <row r="2486" spans="1:1" x14ac:dyDescent="0.2">
      <c r="A2486" s="22">
        <v>0.24593603610992432</v>
      </c>
    </row>
    <row r="2487" spans="1:1" x14ac:dyDescent="0.2">
      <c r="A2487" s="22">
        <v>0.28866225481033325</v>
      </c>
    </row>
    <row r="2488" spans="1:1" x14ac:dyDescent="0.2">
      <c r="A2488" s="22">
        <v>0.62209248542785645</v>
      </c>
    </row>
    <row r="2489" spans="1:1" x14ac:dyDescent="0.2">
      <c r="A2489" s="22">
        <v>0.92447513341903687</v>
      </c>
    </row>
    <row r="2490" spans="1:1" x14ac:dyDescent="0.2">
      <c r="A2490" s="22">
        <v>4.6807169914245605E-2</v>
      </c>
    </row>
    <row r="2491" spans="1:1" x14ac:dyDescent="0.2">
      <c r="A2491" s="22">
        <v>0.77887111902236938</v>
      </c>
    </row>
    <row r="2492" spans="1:1" x14ac:dyDescent="0.2">
      <c r="A2492" s="22">
        <v>0.72299909591674805</v>
      </c>
    </row>
    <row r="2493" spans="1:1" x14ac:dyDescent="0.2">
      <c r="A2493" s="22">
        <v>0.15715569257736206</v>
      </c>
    </row>
    <row r="2494" spans="1:1" x14ac:dyDescent="0.2">
      <c r="A2494" s="22">
        <v>0.99256432056427002</v>
      </c>
    </row>
    <row r="2495" spans="1:1" x14ac:dyDescent="0.2">
      <c r="A2495" s="22">
        <v>0.26020318269729614</v>
      </c>
    </row>
    <row r="2496" spans="1:1" x14ac:dyDescent="0.2">
      <c r="A2496" s="22">
        <v>0.57319235801696777</v>
      </c>
    </row>
    <row r="2497" spans="1:1" x14ac:dyDescent="0.2">
      <c r="A2497" s="22">
        <v>0.97400754690170288</v>
      </c>
    </row>
    <row r="2498" spans="1:1" x14ac:dyDescent="0.2">
      <c r="A2498" s="22">
        <v>0.68971383571624756</v>
      </c>
    </row>
    <row r="2499" spans="1:1" x14ac:dyDescent="0.2">
      <c r="A2499" s="22">
        <v>0.97563940286636353</v>
      </c>
    </row>
    <row r="2500" spans="1:1" x14ac:dyDescent="0.2">
      <c r="A2500" s="22">
        <v>0.25622940063476563</v>
      </c>
    </row>
    <row r="2501" spans="1:1" x14ac:dyDescent="0.2">
      <c r="A2501" s="22">
        <v>0.68685930967330933</v>
      </c>
    </row>
    <row r="2502" spans="1:1" x14ac:dyDescent="0.2">
      <c r="A2502" s="22">
        <v>0.51526987552642822</v>
      </c>
    </row>
    <row r="2503" spans="1:1" x14ac:dyDescent="0.2">
      <c r="A2503" s="22">
        <v>0.85663729906082153</v>
      </c>
    </row>
    <row r="2504" spans="1:1" x14ac:dyDescent="0.2">
      <c r="A2504" s="22">
        <v>0.7902376651763916</v>
      </c>
    </row>
    <row r="2505" spans="1:1" x14ac:dyDescent="0.2">
      <c r="A2505" s="22">
        <v>0.8038286566734314</v>
      </c>
    </row>
    <row r="2506" spans="1:1" x14ac:dyDescent="0.2">
      <c r="A2506" s="22">
        <v>0.25737941265106201</v>
      </c>
    </row>
    <row r="2507" spans="1:1" x14ac:dyDescent="0.2">
      <c r="A2507" s="22">
        <v>0.60125595331192017</v>
      </c>
    </row>
    <row r="2508" spans="1:1" x14ac:dyDescent="0.2">
      <c r="A2508" s="22">
        <v>0.8935399055480957</v>
      </c>
    </row>
    <row r="2509" spans="1:1" x14ac:dyDescent="0.2">
      <c r="A2509" s="22">
        <v>0.73244732618331909</v>
      </c>
    </row>
    <row r="2510" spans="1:1" x14ac:dyDescent="0.2">
      <c r="A2510" s="22">
        <v>5.9472322463989258E-3</v>
      </c>
    </row>
    <row r="2511" spans="1:1" x14ac:dyDescent="0.2">
      <c r="A2511" s="22">
        <v>2.2810101509094238E-3</v>
      </c>
    </row>
    <row r="2512" spans="1:1" x14ac:dyDescent="0.2">
      <c r="A2512" s="22">
        <v>2.7918815612792969E-4</v>
      </c>
    </row>
    <row r="2513" spans="1:1" x14ac:dyDescent="0.2">
      <c r="A2513" s="22">
        <v>0.73278611898422241</v>
      </c>
    </row>
    <row r="2514" spans="1:1" x14ac:dyDescent="0.2">
      <c r="A2514" s="22">
        <v>0.29326093196868896</v>
      </c>
    </row>
    <row r="2515" spans="1:1" x14ac:dyDescent="0.2">
      <c r="A2515" s="22">
        <v>0.52534967660903931</v>
      </c>
    </row>
    <row r="2516" spans="1:1" x14ac:dyDescent="0.2">
      <c r="A2516" s="22">
        <v>0.52604389190673828</v>
      </c>
    </row>
    <row r="2517" spans="1:1" x14ac:dyDescent="0.2">
      <c r="A2517" s="22">
        <v>0.12057989835739136</v>
      </c>
    </row>
    <row r="2518" spans="1:1" x14ac:dyDescent="0.2">
      <c r="A2518" s="22">
        <v>0.48461592197418213</v>
      </c>
    </row>
    <row r="2519" spans="1:1" x14ac:dyDescent="0.2">
      <c r="A2519" s="22">
        <v>0.13707572221755981</v>
      </c>
    </row>
    <row r="2520" spans="1:1" x14ac:dyDescent="0.2">
      <c r="A2520" s="22">
        <v>0.38349270820617676</v>
      </c>
    </row>
    <row r="2521" spans="1:1" x14ac:dyDescent="0.2">
      <c r="A2521" s="22">
        <v>0.72035259008407593</v>
      </c>
    </row>
    <row r="2522" spans="1:1" x14ac:dyDescent="0.2">
      <c r="A2522" s="22">
        <v>0.41894042491912842</v>
      </c>
    </row>
    <row r="2523" spans="1:1" x14ac:dyDescent="0.2">
      <c r="A2523" s="22">
        <v>0.38317447900772095</v>
      </c>
    </row>
    <row r="2524" spans="1:1" x14ac:dyDescent="0.2">
      <c r="A2524" s="22">
        <v>0.74797964096069336</v>
      </c>
    </row>
    <row r="2525" spans="1:1" x14ac:dyDescent="0.2">
      <c r="A2525" s="22">
        <v>0.56854218244552612</v>
      </c>
    </row>
    <row r="2526" spans="1:1" x14ac:dyDescent="0.2">
      <c r="A2526" s="22">
        <v>0.29942047595977783</v>
      </c>
    </row>
    <row r="2527" spans="1:1" x14ac:dyDescent="0.2">
      <c r="A2527" s="22">
        <v>0.71658784151077271</v>
      </c>
    </row>
    <row r="2528" spans="1:1" x14ac:dyDescent="0.2">
      <c r="A2528" s="22">
        <v>7.3179006576538086E-2</v>
      </c>
    </row>
    <row r="2529" spans="1:1" x14ac:dyDescent="0.2">
      <c r="A2529" s="22">
        <v>0.86662572622299194</v>
      </c>
    </row>
    <row r="2530" spans="1:1" x14ac:dyDescent="0.2">
      <c r="A2530" s="22">
        <v>0.83412492275238037</v>
      </c>
    </row>
    <row r="2531" spans="1:1" x14ac:dyDescent="0.2">
      <c r="A2531" s="22">
        <v>7.5609266757965088E-2</v>
      </c>
    </row>
    <row r="2532" spans="1:1" x14ac:dyDescent="0.2">
      <c r="A2532" s="22">
        <v>0.35671043395996094</v>
      </c>
    </row>
    <row r="2533" spans="1:1" x14ac:dyDescent="0.2">
      <c r="A2533" s="22">
        <v>0.18424433469772339</v>
      </c>
    </row>
    <row r="2534" spans="1:1" x14ac:dyDescent="0.2">
      <c r="A2534" s="22">
        <v>0.62663042545318604</v>
      </c>
    </row>
    <row r="2535" spans="1:1" x14ac:dyDescent="0.2">
      <c r="A2535" s="22">
        <v>0.7120087742805481</v>
      </c>
    </row>
    <row r="2536" spans="1:1" x14ac:dyDescent="0.2">
      <c r="A2536" s="22">
        <v>0.65576386451721191</v>
      </c>
    </row>
    <row r="2537" spans="1:1" x14ac:dyDescent="0.2">
      <c r="A2537" s="22">
        <v>0.91232818365097046</v>
      </c>
    </row>
    <row r="2538" spans="1:1" x14ac:dyDescent="0.2">
      <c r="A2538" s="22">
        <v>0.81664645671844482</v>
      </c>
    </row>
    <row r="2539" spans="1:1" x14ac:dyDescent="0.2">
      <c r="A2539" s="22">
        <v>0.26915794610977173</v>
      </c>
    </row>
    <row r="2540" spans="1:1" x14ac:dyDescent="0.2">
      <c r="A2540" s="22">
        <v>0.85272455215454102</v>
      </c>
    </row>
    <row r="2541" spans="1:1" x14ac:dyDescent="0.2">
      <c r="A2541" s="22">
        <v>0.96622151136398315</v>
      </c>
    </row>
    <row r="2542" spans="1:1" x14ac:dyDescent="0.2">
      <c r="A2542" s="22">
        <v>0.97064030170440674</v>
      </c>
    </row>
    <row r="2543" spans="1:1" x14ac:dyDescent="0.2">
      <c r="A2543" s="22">
        <v>0.11015492677688599</v>
      </c>
    </row>
    <row r="2544" spans="1:1" x14ac:dyDescent="0.2">
      <c r="A2544" s="22">
        <v>0.67079806327819824</v>
      </c>
    </row>
    <row r="2545" spans="1:1" x14ac:dyDescent="0.2">
      <c r="A2545" s="22">
        <v>0.73880761861801147</v>
      </c>
    </row>
    <row r="2546" spans="1:1" x14ac:dyDescent="0.2">
      <c r="A2546" s="22">
        <v>0.22246205806732178</v>
      </c>
    </row>
    <row r="2547" spans="1:1" x14ac:dyDescent="0.2">
      <c r="A2547" s="22">
        <v>0.89594942331314087</v>
      </c>
    </row>
    <row r="2548" spans="1:1" x14ac:dyDescent="0.2">
      <c r="A2548" s="22">
        <v>0.93963527679443359</v>
      </c>
    </row>
    <row r="2549" spans="1:1" x14ac:dyDescent="0.2">
      <c r="A2549" s="22">
        <v>0.30363386869430542</v>
      </c>
    </row>
    <row r="2550" spans="1:1" x14ac:dyDescent="0.2">
      <c r="A2550" s="22">
        <v>0.66396963596343994</v>
      </c>
    </row>
    <row r="2551" spans="1:1" x14ac:dyDescent="0.2">
      <c r="A2551" s="22">
        <v>0.41346770524978638</v>
      </c>
    </row>
    <row r="2552" spans="1:1" x14ac:dyDescent="0.2">
      <c r="A2552" s="22">
        <v>0.11095738410949707</v>
      </c>
    </row>
    <row r="2553" spans="1:1" x14ac:dyDescent="0.2">
      <c r="A2553" s="22">
        <v>0.86803668737411499</v>
      </c>
    </row>
    <row r="2554" spans="1:1" x14ac:dyDescent="0.2">
      <c r="A2554" s="22">
        <v>0.98565375804901123</v>
      </c>
    </row>
    <row r="2555" spans="1:1" x14ac:dyDescent="0.2">
      <c r="A2555" s="22">
        <v>0.65373760461807251</v>
      </c>
    </row>
    <row r="2556" spans="1:1" x14ac:dyDescent="0.2">
      <c r="A2556" s="22">
        <v>2.4180889129638672E-2</v>
      </c>
    </row>
    <row r="2557" spans="1:1" x14ac:dyDescent="0.2">
      <c r="A2557" s="22">
        <v>0.47626656293869019</v>
      </c>
    </row>
    <row r="2558" spans="1:1" x14ac:dyDescent="0.2">
      <c r="A2558" s="22">
        <v>0.36726295948028564</v>
      </c>
    </row>
    <row r="2559" spans="1:1" x14ac:dyDescent="0.2">
      <c r="A2559" s="22">
        <v>0.14001351594924927</v>
      </c>
    </row>
    <row r="2560" spans="1:1" x14ac:dyDescent="0.2">
      <c r="A2560" s="22">
        <v>0.9220426082611084</v>
      </c>
    </row>
    <row r="2561" spans="1:1" x14ac:dyDescent="0.2">
      <c r="A2561" s="22">
        <v>0.96261304616928101</v>
      </c>
    </row>
    <row r="2562" spans="1:1" x14ac:dyDescent="0.2">
      <c r="A2562" s="22">
        <v>0.61842858791351318</v>
      </c>
    </row>
    <row r="2563" spans="1:1" x14ac:dyDescent="0.2">
      <c r="A2563" s="22">
        <v>0.50590139627456665</v>
      </c>
    </row>
    <row r="2564" spans="1:1" x14ac:dyDescent="0.2">
      <c r="A2564" s="22">
        <v>0.71622467041015625</v>
      </c>
    </row>
    <row r="2565" spans="1:1" x14ac:dyDescent="0.2">
      <c r="A2565" s="22">
        <v>0.15452975034713745</v>
      </c>
    </row>
    <row r="2566" spans="1:1" x14ac:dyDescent="0.2">
      <c r="A2566" s="22">
        <v>0.56928980350494385</v>
      </c>
    </row>
    <row r="2567" spans="1:1" x14ac:dyDescent="0.2">
      <c r="A2567" s="22">
        <v>0.32348376512527466</v>
      </c>
    </row>
    <row r="2568" spans="1:1" x14ac:dyDescent="0.2">
      <c r="A2568" s="22">
        <v>0.50297951698303223</v>
      </c>
    </row>
    <row r="2569" spans="1:1" x14ac:dyDescent="0.2">
      <c r="A2569" s="22">
        <v>0.32575935125350952</v>
      </c>
    </row>
    <row r="2570" spans="1:1" x14ac:dyDescent="0.2">
      <c r="A2570" s="22">
        <v>0.71111857891082764</v>
      </c>
    </row>
    <row r="2571" spans="1:1" x14ac:dyDescent="0.2">
      <c r="A2571" s="22">
        <v>0.18144470453262329</v>
      </c>
    </row>
    <row r="2572" spans="1:1" x14ac:dyDescent="0.2">
      <c r="A2572" s="22">
        <v>0.32875490188598633</v>
      </c>
    </row>
    <row r="2573" spans="1:1" x14ac:dyDescent="0.2">
      <c r="A2573" s="22">
        <v>0.89945858716964722</v>
      </c>
    </row>
    <row r="2574" spans="1:1" x14ac:dyDescent="0.2">
      <c r="A2574" s="22">
        <v>8.6944699287414551E-2</v>
      </c>
    </row>
    <row r="2575" spans="1:1" x14ac:dyDescent="0.2">
      <c r="A2575" s="22">
        <v>1.3194859027862549E-2</v>
      </c>
    </row>
    <row r="2576" spans="1:1" x14ac:dyDescent="0.2">
      <c r="A2576" s="22">
        <v>0.20581889152526855</v>
      </c>
    </row>
    <row r="2577" spans="1:1" x14ac:dyDescent="0.2">
      <c r="A2577" s="22">
        <v>0.40132325887680054</v>
      </c>
    </row>
    <row r="2578" spans="1:1" x14ac:dyDescent="0.2">
      <c r="A2578" s="22">
        <v>0.43218076229095459</v>
      </c>
    </row>
    <row r="2579" spans="1:1" x14ac:dyDescent="0.2">
      <c r="A2579" s="22">
        <v>0.67499643564224243</v>
      </c>
    </row>
    <row r="2580" spans="1:1" x14ac:dyDescent="0.2">
      <c r="A2580" s="22">
        <v>0.37788486480712891</v>
      </c>
    </row>
    <row r="2581" spans="1:1" x14ac:dyDescent="0.2">
      <c r="A2581" s="22">
        <v>0.66271322965621948</v>
      </c>
    </row>
    <row r="2582" spans="1:1" x14ac:dyDescent="0.2">
      <c r="A2582" s="22">
        <v>0.56524717807769775</v>
      </c>
    </row>
    <row r="2583" spans="1:1" x14ac:dyDescent="0.2">
      <c r="A2583" s="22">
        <v>0.77408820390701294</v>
      </c>
    </row>
    <row r="2584" spans="1:1" x14ac:dyDescent="0.2">
      <c r="A2584" s="22">
        <v>0.83573651313781738</v>
      </c>
    </row>
    <row r="2585" spans="1:1" x14ac:dyDescent="0.2">
      <c r="A2585" s="22">
        <v>0.27377742528915405</v>
      </c>
    </row>
    <row r="2586" spans="1:1" x14ac:dyDescent="0.2">
      <c r="A2586" s="22">
        <v>2.8197169303894043E-2</v>
      </c>
    </row>
    <row r="2587" spans="1:1" x14ac:dyDescent="0.2">
      <c r="A2587" s="22">
        <v>0.74681049585342407</v>
      </c>
    </row>
    <row r="2588" spans="1:1" x14ac:dyDescent="0.2">
      <c r="A2588" s="22">
        <v>8.2852840423583984E-2</v>
      </c>
    </row>
    <row r="2589" spans="1:1" x14ac:dyDescent="0.2">
      <c r="A2589" s="22">
        <v>0.28657883405685425</v>
      </c>
    </row>
    <row r="2590" spans="1:1" x14ac:dyDescent="0.2">
      <c r="A2590" s="22">
        <v>0.97734177112579346</v>
      </c>
    </row>
    <row r="2591" spans="1:1" x14ac:dyDescent="0.2">
      <c r="A2591" s="22">
        <v>0.18673020601272583</v>
      </c>
    </row>
    <row r="2592" spans="1:1" x14ac:dyDescent="0.2">
      <c r="A2592" s="22">
        <v>0.15103316307067871</v>
      </c>
    </row>
    <row r="2593" spans="1:1" x14ac:dyDescent="0.2">
      <c r="A2593" s="22">
        <v>0.16821950674057007</v>
      </c>
    </row>
    <row r="2594" spans="1:1" x14ac:dyDescent="0.2">
      <c r="A2594" s="22">
        <v>0.323874831199646</v>
      </c>
    </row>
    <row r="2595" spans="1:1" x14ac:dyDescent="0.2">
      <c r="A2595" s="22">
        <v>0.42276579141616821</v>
      </c>
    </row>
    <row r="2596" spans="1:1" x14ac:dyDescent="0.2">
      <c r="A2596" s="22">
        <v>0.86602210998535156</v>
      </c>
    </row>
    <row r="2597" spans="1:1" x14ac:dyDescent="0.2">
      <c r="A2597" s="22">
        <v>3.9655566215515137E-3</v>
      </c>
    </row>
    <row r="2598" spans="1:1" x14ac:dyDescent="0.2">
      <c r="A2598" s="22">
        <v>0.12449800968170166</v>
      </c>
    </row>
    <row r="2599" spans="1:1" x14ac:dyDescent="0.2">
      <c r="A2599" s="22">
        <v>0.34731227159500122</v>
      </c>
    </row>
    <row r="2600" spans="1:1" x14ac:dyDescent="0.2">
      <c r="A2600" s="22">
        <v>0.36313462257385254</v>
      </c>
    </row>
    <row r="2601" spans="1:1" x14ac:dyDescent="0.2">
      <c r="A2601" s="22">
        <v>0.95037215948104858</v>
      </c>
    </row>
    <row r="2602" spans="1:1" x14ac:dyDescent="0.2">
      <c r="A2602" s="22">
        <v>0.22204577922821045</v>
      </c>
    </row>
    <row r="2603" spans="1:1" x14ac:dyDescent="0.2">
      <c r="A2603" s="22">
        <v>0.49436622858047485</v>
      </c>
    </row>
    <row r="2604" spans="1:1" x14ac:dyDescent="0.2">
      <c r="A2604" s="22">
        <v>0.85288095474243164</v>
      </c>
    </row>
    <row r="2605" spans="1:1" x14ac:dyDescent="0.2">
      <c r="A2605" s="22">
        <v>0.93840855360031128</v>
      </c>
    </row>
    <row r="2606" spans="1:1" x14ac:dyDescent="0.2">
      <c r="A2606" s="22">
        <v>0.13611042499542236</v>
      </c>
    </row>
    <row r="2607" spans="1:1" x14ac:dyDescent="0.2">
      <c r="A2607" s="22">
        <v>0.36765080690383911</v>
      </c>
    </row>
    <row r="2608" spans="1:1" x14ac:dyDescent="0.2">
      <c r="A2608" s="22">
        <v>0.63659167289733887</v>
      </c>
    </row>
    <row r="2609" spans="1:1" x14ac:dyDescent="0.2">
      <c r="A2609" s="22">
        <v>0.6265830397605896</v>
      </c>
    </row>
    <row r="2610" spans="1:1" x14ac:dyDescent="0.2">
      <c r="A2610" s="22">
        <v>0.2036670446395874</v>
      </c>
    </row>
    <row r="2611" spans="1:1" x14ac:dyDescent="0.2">
      <c r="A2611" s="22">
        <v>1.8740713596343994E-2</v>
      </c>
    </row>
    <row r="2612" spans="1:1" x14ac:dyDescent="0.2">
      <c r="A2612" s="22">
        <v>0.37204265594482422</v>
      </c>
    </row>
    <row r="2613" spans="1:1" x14ac:dyDescent="0.2">
      <c r="A2613" s="22">
        <v>0.60406798124313354</v>
      </c>
    </row>
    <row r="2614" spans="1:1" x14ac:dyDescent="0.2">
      <c r="A2614" s="22">
        <v>0.96969854831695557</v>
      </c>
    </row>
    <row r="2615" spans="1:1" x14ac:dyDescent="0.2">
      <c r="A2615" s="22">
        <v>0.8751872181892395</v>
      </c>
    </row>
    <row r="2616" spans="1:1" x14ac:dyDescent="0.2">
      <c r="A2616" s="22">
        <v>0.5890800952911377</v>
      </c>
    </row>
    <row r="2617" spans="1:1" x14ac:dyDescent="0.2">
      <c r="A2617" s="22">
        <v>0.84382480382919312</v>
      </c>
    </row>
    <row r="2618" spans="1:1" x14ac:dyDescent="0.2">
      <c r="A2618" s="22">
        <v>0.82782065868377686</v>
      </c>
    </row>
    <row r="2619" spans="1:1" x14ac:dyDescent="0.2">
      <c r="A2619" s="22">
        <v>0.81864315271377563</v>
      </c>
    </row>
    <row r="2620" spans="1:1" x14ac:dyDescent="0.2">
      <c r="A2620" s="22">
        <v>0.4552454948425293</v>
      </c>
    </row>
    <row r="2621" spans="1:1" x14ac:dyDescent="0.2">
      <c r="A2621" s="22">
        <v>0.40572899580001831</v>
      </c>
    </row>
    <row r="2622" spans="1:1" x14ac:dyDescent="0.2">
      <c r="A2622" s="22">
        <v>0.91090691089630127</v>
      </c>
    </row>
    <row r="2623" spans="1:1" x14ac:dyDescent="0.2">
      <c r="A2623" s="22">
        <v>0.51298791170120239</v>
      </c>
    </row>
    <row r="2624" spans="1:1" x14ac:dyDescent="0.2">
      <c r="A2624" s="22">
        <v>0.79140067100524902</v>
      </c>
    </row>
    <row r="2625" spans="1:1" x14ac:dyDescent="0.2">
      <c r="A2625" s="22">
        <v>0.38969510793685913</v>
      </c>
    </row>
    <row r="2626" spans="1:1" x14ac:dyDescent="0.2">
      <c r="A2626" s="22">
        <v>0.23171365261077881</v>
      </c>
    </row>
    <row r="2627" spans="1:1" x14ac:dyDescent="0.2">
      <c r="A2627" s="22">
        <v>0.98245245218276978</v>
      </c>
    </row>
    <row r="2628" spans="1:1" x14ac:dyDescent="0.2">
      <c r="A2628" s="22">
        <v>0.33735275268554688</v>
      </c>
    </row>
    <row r="2629" spans="1:1" x14ac:dyDescent="0.2">
      <c r="A2629" s="22">
        <v>0.13880175352096558</v>
      </c>
    </row>
    <row r="2630" spans="1:1" x14ac:dyDescent="0.2">
      <c r="A2630" s="22">
        <v>7.3505043983459473E-2</v>
      </c>
    </row>
    <row r="2631" spans="1:1" x14ac:dyDescent="0.2">
      <c r="A2631" s="22">
        <v>0.43974429368972778</v>
      </c>
    </row>
    <row r="2632" spans="1:1" x14ac:dyDescent="0.2">
      <c r="A2632" s="22">
        <v>0.26747918128967285</v>
      </c>
    </row>
    <row r="2633" spans="1:1" x14ac:dyDescent="0.2">
      <c r="A2633" s="22">
        <v>0.69241660833358765</v>
      </c>
    </row>
    <row r="2634" spans="1:1" x14ac:dyDescent="0.2">
      <c r="A2634" s="22">
        <v>0.63067805767059326</v>
      </c>
    </row>
    <row r="2635" spans="1:1" x14ac:dyDescent="0.2">
      <c r="A2635" s="22">
        <v>0.36417251825332642</v>
      </c>
    </row>
    <row r="2636" spans="1:1" x14ac:dyDescent="0.2">
      <c r="A2636" s="22">
        <v>0.95635271072387695</v>
      </c>
    </row>
    <row r="2637" spans="1:1" x14ac:dyDescent="0.2">
      <c r="A2637" s="22">
        <v>0.48932141065597534</v>
      </c>
    </row>
    <row r="2638" spans="1:1" x14ac:dyDescent="0.2">
      <c r="A2638" s="22">
        <v>0.89938747882843018</v>
      </c>
    </row>
    <row r="2639" spans="1:1" x14ac:dyDescent="0.2">
      <c r="A2639" s="22">
        <v>0.82977277040481567</v>
      </c>
    </row>
    <row r="2640" spans="1:1" x14ac:dyDescent="0.2">
      <c r="A2640" s="22">
        <v>0.99436640739440918</v>
      </c>
    </row>
    <row r="2641" spans="1:1" x14ac:dyDescent="0.2">
      <c r="A2641" s="22">
        <v>0.32083696126937866</v>
      </c>
    </row>
    <row r="2642" spans="1:1" x14ac:dyDescent="0.2">
      <c r="A2642" s="22">
        <v>0.81817090511322021</v>
      </c>
    </row>
    <row r="2643" spans="1:1" x14ac:dyDescent="0.2">
      <c r="A2643" s="22">
        <v>8.3432257175445557E-2</v>
      </c>
    </row>
    <row r="2644" spans="1:1" x14ac:dyDescent="0.2">
      <c r="A2644" s="22">
        <v>0.45335865020751953</v>
      </c>
    </row>
    <row r="2645" spans="1:1" x14ac:dyDescent="0.2">
      <c r="A2645" s="22">
        <v>0.53394812345504761</v>
      </c>
    </row>
    <row r="2646" spans="1:1" x14ac:dyDescent="0.2">
      <c r="A2646" s="22">
        <v>0.65857374668121338</v>
      </c>
    </row>
    <row r="2647" spans="1:1" x14ac:dyDescent="0.2">
      <c r="A2647" s="22">
        <v>0.37301474809646606</v>
      </c>
    </row>
    <row r="2648" spans="1:1" x14ac:dyDescent="0.2">
      <c r="A2648" s="22">
        <v>0.40223813056945801</v>
      </c>
    </row>
    <row r="2649" spans="1:1" x14ac:dyDescent="0.2">
      <c r="A2649" s="22">
        <v>0.48442882299423218</v>
      </c>
    </row>
    <row r="2650" spans="1:1" x14ac:dyDescent="0.2">
      <c r="A2650" s="22">
        <v>0.66577422618865967</v>
      </c>
    </row>
    <row r="2651" spans="1:1" x14ac:dyDescent="0.2">
      <c r="A2651" s="22">
        <v>2.5485575199127197E-2</v>
      </c>
    </row>
    <row r="2652" spans="1:1" x14ac:dyDescent="0.2">
      <c r="A2652" s="22">
        <v>0.67260885238647461</v>
      </c>
    </row>
    <row r="2653" spans="1:1" x14ac:dyDescent="0.2">
      <c r="A2653" s="22">
        <v>0.23996704816818237</v>
      </c>
    </row>
    <row r="2654" spans="1:1" x14ac:dyDescent="0.2">
      <c r="A2654" s="22">
        <v>0.94920837879180908</v>
      </c>
    </row>
    <row r="2655" spans="1:1" x14ac:dyDescent="0.2">
      <c r="A2655" s="22">
        <v>0.77503663301467896</v>
      </c>
    </row>
    <row r="2656" spans="1:1" x14ac:dyDescent="0.2">
      <c r="A2656" s="22">
        <v>0.87439513206481934</v>
      </c>
    </row>
    <row r="2657" spans="1:1" x14ac:dyDescent="0.2">
      <c r="A2657" s="22">
        <v>0.53328984975814819</v>
      </c>
    </row>
    <row r="2658" spans="1:1" x14ac:dyDescent="0.2">
      <c r="A2658" s="22">
        <v>0.62319505214691162</v>
      </c>
    </row>
    <row r="2659" spans="1:1" x14ac:dyDescent="0.2">
      <c r="A2659" s="22">
        <v>0.34121137857437134</v>
      </c>
    </row>
    <row r="2660" spans="1:1" x14ac:dyDescent="0.2">
      <c r="A2660" s="22">
        <v>0.66146659851074219</v>
      </c>
    </row>
    <row r="2661" spans="1:1" x14ac:dyDescent="0.2">
      <c r="A2661" s="22">
        <v>0.96528834104537964</v>
      </c>
    </row>
    <row r="2662" spans="1:1" x14ac:dyDescent="0.2">
      <c r="A2662" s="22">
        <v>0.19756090641021729</v>
      </c>
    </row>
    <row r="2663" spans="1:1" x14ac:dyDescent="0.2">
      <c r="A2663" s="22">
        <v>0.25702983140945435</v>
      </c>
    </row>
    <row r="2664" spans="1:1" x14ac:dyDescent="0.2">
      <c r="A2664" s="22">
        <v>0.24726319313049316</v>
      </c>
    </row>
    <row r="2665" spans="1:1" x14ac:dyDescent="0.2">
      <c r="A2665" s="22">
        <v>0.45814269781112671</v>
      </c>
    </row>
    <row r="2666" spans="1:1" x14ac:dyDescent="0.2">
      <c r="A2666" s="22">
        <v>0.21826541423797607</v>
      </c>
    </row>
    <row r="2667" spans="1:1" x14ac:dyDescent="0.2">
      <c r="A2667" s="22">
        <v>0.94711357355117798</v>
      </c>
    </row>
    <row r="2668" spans="1:1" x14ac:dyDescent="0.2">
      <c r="A2668" s="22">
        <v>0.17042016983032227</v>
      </c>
    </row>
    <row r="2669" spans="1:1" x14ac:dyDescent="0.2">
      <c r="A2669" s="22">
        <v>0.9584471583366394</v>
      </c>
    </row>
    <row r="2670" spans="1:1" x14ac:dyDescent="0.2">
      <c r="A2670" s="22">
        <v>0.15802586078643799</v>
      </c>
    </row>
    <row r="2671" spans="1:1" x14ac:dyDescent="0.2">
      <c r="A2671" s="22">
        <v>5.5810749530792236E-2</v>
      </c>
    </row>
    <row r="2672" spans="1:1" x14ac:dyDescent="0.2">
      <c r="A2672" s="22">
        <v>0.31039309501647949</v>
      </c>
    </row>
    <row r="2673" spans="1:1" x14ac:dyDescent="0.2">
      <c r="A2673" s="22">
        <v>0.39033502340316772</v>
      </c>
    </row>
    <row r="2674" spans="1:1" x14ac:dyDescent="0.2">
      <c r="A2674" s="22">
        <v>0.55694234371185303</v>
      </c>
    </row>
    <row r="2675" spans="1:1" x14ac:dyDescent="0.2">
      <c r="A2675" s="22">
        <v>2.5321066379547119E-2</v>
      </c>
    </row>
    <row r="2676" spans="1:1" x14ac:dyDescent="0.2">
      <c r="A2676" s="22">
        <v>0.15308284759521484</v>
      </c>
    </row>
    <row r="2677" spans="1:1" x14ac:dyDescent="0.2">
      <c r="A2677" s="22">
        <v>0.85860365629196167</v>
      </c>
    </row>
    <row r="2678" spans="1:1" x14ac:dyDescent="0.2">
      <c r="A2678" s="22">
        <v>0.41312277317047119</v>
      </c>
    </row>
    <row r="2679" spans="1:1" x14ac:dyDescent="0.2">
      <c r="A2679" s="22">
        <v>0.92382079362869263</v>
      </c>
    </row>
    <row r="2680" spans="1:1" x14ac:dyDescent="0.2">
      <c r="A2680" s="22">
        <v>0.30646061897277832</v>
      </c>
    </row>
    <row r="2681" spans="1:1" x14ac:dyDescent="0.2">
      <c r="A2681" s="22">
        <v>0.10183948278427124</v>
      </c>
    </row>
    <row r="2682" spans="1:1" x14ac:dyDescent="0.2">
      <c r="A2682" s="22">
        <v>0.82330787181854248</v>
      </c>
    </row>
    <row r="2683" spans="1:1" x14ac:dyDescent="0.2">
      <c r="A2683" s="22">
        <v>0.52358776330947876</v>
      </c>
    </row>
    <row r="2684" spans="1:1" x14ac:dyDescent="0.2">
      <c r="A2684" s="22">
        <v>0.26619291305541992</v>
      </c>
    </row>
    <row r="2685" spans="1:1" x14ac:dyDescent="0.2">
      <c r="A2685" s="22">
        <v>0.19554299116134644</v>
      </c>
    </row>
    <row r="2686" spans="1:1" x14ac:dyDescent="0.2">
      <c r="A2686" s="22">
        <v>0.87349617481231689</v>
      </c>
    </row>
    <row r="2687" spans="1:1" x14ac:dyDescent="0.2">
      <c r="A2687" s="22">
        <v>0.62912636995315552</v>
      </c>
    </row>
    <row r="2688" spans="1:1" x14ac:dyDescent="0.2">
      <c r="A2688" s="22">
        <v>0.43126654624938965</v>
      </c>
    </row>
    <row r="2689" spans="1:1" x14ac:dyDescent="0.2">
      <c r="A2689" s="22">
        <v>0.50525373220443726</v>
      </c>
    </row>
    <row r="2690" spans="1:1" x14ac:dyDescent="0.2">
      <c r="A2690" s="22">
        <v>0.77956902980804443</v>
      </c>
    </row>
    <row r="2691" spans="1:1" x14ac:dyDescent="0.2">
      <c r="A2691" s="22">
        <v>0.6552925705909729</v>
      </c>
    </row>
    <row r="2692" spans="1:1" x14ac:dyDescent="0.2">
      <c r="A2692" s="22">
        <v>0.3696136474609375</v>
      </c>
    </row>
    <row r="2693" spans="1:1" x14ac:dyDescent="0.2">
      <c r="A2693" s="22">
        <v>0.8896753191947937</v>
      </c>
    </row>
    <row r="2694" spans="1:1" x14ac:dyDescent="0.2">
      <c r="A2694" s="22">
        <v>0.2779155969619751</v>
      </c>
    </row>
    <row r="2695" spans="1:1" x14ac:dyDescent="0.2">
      <c r="A2695" s="22">
        <v>0.45541888475418091</v>
      </c>
    </row>
    <row r="2696" spans="1:1" x14ac:dyDescent="0.2">
      <c r="A2696" s="22">
        <v>0.33373665809631348</v>
      </c>
    </row>
    <row r="2697" spans="1:1" x14ac:dyDescent="0.2">
      <c r="A2697" s="22">
        <v>0.15380042791366577</v>
      </c>
    </row>
    <row r="2698" spans="1:1" x14ac:dyDescent="0.2">
      <c r="A2698" s="22">
        <v>0.26605784893035889</v>
      </c>
    </row>
    <row r="2699" spans="1:1" x14ac:dyDescent="0.2">
      <c r="A2699" s="22">
        <v>0.39943939447402954</v>
      </c>
    </row>
    <row r="2700" spans="1:1" x14ac:dyDescent="0.2">
      <c r="A2700" s="22">
        <v>2.6333332061767578E-2</v>
      </c>
    </row>
    <row r="2701" spans="1:1" x14ac:dyDescent="0.2">
      <c r="A2701" s="22">
        <v>0.75203579664230347</v>
      </c>
    </row>
    <row r="2702" spans="1:1" x14ac:dyDescent="0.2">
      <c r="A2702" s="22">
        <v>0.6932755708694458</v>
      </c>
    </row>
    <row r="2703" spans="1:1" x14ac:dyDescent="0.2">
      <c r="A2703" s="22">
        <v>0.7020147442817688</v>
      </c>
    </row>
    <row r="2704" spans="1:1" x14ac:dyDescent="0.2">
      <c r="A2704" s="22">
        <v>0.6159217357635498</v>
      </c>
    </row>
    <row r="2705" spans="1:1" x14ac:dyDescent="0.2">
      <c r="A2705" s="22">
        <v>0.74132722616195679</v>
      </c>
    </row>
    <row r="2706" spans="1:1" x14ac:dyDescent="0.2">
      <c r="A2706" s="22">
        <v>0.70123136043548584</v>
      </c>
    </row>
    <row r="2707" spans="1:1" x14ac:dyDescent="0.2">
      <c r="A2707" s="22">
        <v>6.5714120864868164E-4</v>
      </c>
    </row>
    <row r="2708" spans="1:1" x14ac:dyDescent="0.2">
      <c r="A2708" s="22">
        <v>2.4652481079101563E-3</v>
      </c>
    </row>
    <row r="2709" spans="1:1" x14ac:dyDescent="0.2">
      <c r="A2709" s="22">
        <v>0.98428457975387573</v>
      </c>
    </row>
    <row r="2710" spans="1:1" x14ac:dyDescent="0.2">
      <c r="A2710" s="22">
        <v>1.4595627784729004E-2</v>
      </c>
    </row>
    <row r="2711" spans="1:1" x14ac:dyDescent="0.2">
      <c r="A2711" s="22">
        <v>0.18385535478591919</v>
      </c>
    </row>
    <row r="2712" spans="1:1" x14ac:dyDescent="0.2">
      <c r="A2712" s="22">
        <v>0.33299756050109863</v>
      </c>
    </row>
    <row r="2713" spans="1:1" x14ac:dyDescent="0.2">
      <c r="A2713" s="22">
        <v>0.6023067831993103</v>
      </c>
    </row>
    <row r="2714" spans="1:1" x14ac:dyDescent="0.2">
      <c r="A2714" s="22">
        <v>0.58167159557342529</v>
      </c>
    </row>
    <row r="2715" spans="1:1" x14ac:dyDescent="0.2">
      <c r="A2715" s="22">
        <v>0.46919971704483032</v>
      </c>
    </row>
    <row r="2716" spans="1:1" x14ac:dyDescent="0.2">
      <c r="A2716" s="22">
        <v>0.76724767684936523</v>
      </c>
    </row>
    <row r="2717" spans="1:1" x14ac:dyDescent="0.2">
      <c r="A2717" s="22">
        <v>0.6787068247795105</v>
      </c>
    </row>
    <row r="2718" spans="1:1" x14ac:dyDescent="0.2">
      <c r="A2718" s="22">
        <v>0.46502029895782471</v>
      </c>
    </row>
    <row r="2719" spans="1:1" x14ac:dyDescent="0.2">
      <c r="A2719" s="22">
        <v>0.73150712251663208</v>
      </c>
    </row>
    <row r="2720" spans="1:1" x14ac:dyDescent="0.2">
      <c r="A2720" s="22">
        <v>0.49326491355895996</v>
      </c>
    </row>
    <row r="2721" spans="1:1" x14ac:dyDescent="0.2">
      <c r="A2721" s="22">
        <v>0.21183675527572632</v>
      </c>
    </row>
    <row r="2722" spans="1:1" x14ac:dyDescent="0.2">
      <c r="A2722" s="22">
        <v>0.98208558559417725</v>
      </c>
    </row>
    <row r="2723" spans="1:1" x14ac:dyDescent="0.2">
      <c r="A2723" s="22">
        <v>8.0946028232574463E-2</v>
      </c>
    </row>
    <row r="2724" spans="1:1" x14ac:dyDescent="0.2">
      <c r="A2724" s="22">
        <v>0.99304389953613281</v>
      </c>
    </row>
    <row r="2725" spans="1:1" x14ac:dyDescent="0.2">
      <c r="A2725" s="22">
        <v>0.31821268796920776</v>
      </c>
    </row>
    <row r="2726" spans="1:1" x14ac:dyDescent="0.2">
      <c r="A2726" s="22">
        <v>9.581911563873291E-2</v>
      </c>
    </row>
    <row r="2727" spans="1:1" x14ac:dyDescent="0.2">
      <c r="A2727" s="22">
        <v>0.69116145372390747</v>
      </c>
    </row>
    <row r="2728" spans="1:1" x14ac:dyDescent="0.2">
      <c r="A2728" s="22">
        <v>0.55814957618713379</v>
      </c>
    </row>
    <row r="2729" spans="1:1" x14ac:dyDescent="0.2">
      <c r="A2729" s="22">
        <v>0.68563979864120483</v>
      </c>
    </row>
    <row r="2730" spans="1:1" x14ac:dyDescent="0.2">
      <c r="A2730" s="22">
        <v>5.5305361747741699E-2</v>
      </c>
    </row>
    <row r="2731" spans="1:1" x14ac:dyDescent="0.2">
      <c r="A2731" s="22">
        <v>0.8773999810218811</v>
      </c>
    </row>
    <row r="2732" spans="1:1" x14ac:dyDescent="0.2">
      <c r="A2732" s="22">
        <v>5.5342197418212891E-2</v>
      </c>
    </row>
    <row r="2733" spans="1:1" x14ac:dyDescent="0.2">
      <c r="A2733" s="22">
        <v>0.27633732557296753</v>
      </c>
    </row>
    <row r="2734" spans="1:1" x14ac:dyDescent="0.2">
      <c r="A2734" s="22">
        <v>0.28638660907745361</v>
      </c>
    </row>
    <row r="2735" spans="1:1" x14ac:dyDescent="0.2">
      <c r="A2735" s="22">
        <v>0.42463475465774536</v>
      </c>
    </row>
    <row r="2736" spans="1:1" x14ac:dyDescent="0.2">
      <c r="A2736" s="22">
        <v>0.94220232963562012</v>
      </c>
    </row>
    <row r="2737" spans="1:1" x14ac:dyDescent="0.2">
      <c r="A2737" s="22">
        <v>0.28006356954574585</v>
      </c>
    </row>
    <row r="2738" spans="1:1" x14ac:dyDescent="0.2">
      <c r="A2738" s="22">
        <v>0.53228795528411865</v>
      </c>
    </row>
    <row r="2739" spans="1:1" x14ac:dyDescent="0.2">
      <c r="A2739" s="22">
        <v>0.16569048166275024</v>
      </c>
    </row>
    <row r="2740" spans="1:1" x14ac:dyDescent="0.2">
      <c r="A2740" s="22">
        <v>0.53275585174560547</v>
      </c>
    </row>
    <row r="2741" spans="1:1" x14ac:dyDescent="0.2">
      <c r="A2741" s="22">
        <v>0.31724089384078979</v>
      </c>
    </row>
    <row r="2742" spans="1:1" x14ac:dyDescent="0.2">
      <c r="A2742" s="22">
        <v>0.24424231052398682</v>
      </c>
    </row>
    <row r="2743" spans="1:1" x14ac:dyDescent="0.2">
      <c r="A2743" s="22">
        <v>0.80936843156814575</v>
      </c>
    </row>
    <row r="2744" spans="1:1" x14ac:dyDescent="0.2">
      <c r="A2744" s="22">
        <v>0.51309895515441895</v>
      </c>
    </row>
    <row r="2745" spans="1:1" x14ac:dyDescent="0.2">
      <c r="A2745" s="22">
        <v>0.89208072423934937</v>
      </c>
    </row>
    <row r="2746" spans="1:1" x14ac:dyDescent="0.2">
      <c r="A2746" s="22">
        <v>0.22211539745330811</v>
      </c>
    </row>
    <row r="2747" spans="1:1" x14ac:dyDescent="0.2">
      <c r="A2747" s="22">
        <v>1.8571436405181885E-2</v>
      </c>
    </row>
    <row r="2748" spans="1:1" x14ac:dyDescent="0.2">
      <c r="A2748" s="22">
        <v>0.70702314376831055</v>
      </c>
    </row>
    <row r="2749" spans="1:1" x14ac:dyDescent="0.2">
      <c r="A2749" s="22">
        <v>9.5708549022674561E-2</v>
      </c>
    </row>
    <row r="2750" spans="1:1" x14ac:dyDescent="0.2">
      <c r="A2750" s="22">
        <v>0.50503075122833252</v>
      </c>
    </row>
    <row r="2751" spans="1:1" x14ac:dyDescent="0.2">
      <c r="A2751" s="22">
        <v>0.73842889070510864</v>
      </c>
    </row>
    <row r="2752" spans="1:1" x14ac:dyDescent="0.2">
      <c r="A2752" s="22">
        <v>9.1640233993530273E-2</v>
      </c>
    </row>
    <row r="2753" spans="1:1" x14ac:dyDescent="0.2">
      <c r="A2753" s="22">
        <v>0.55928891897201538</v>
      </c>
    </row>
    <row r="2754" spans="1:1" x14ac:dyDescent="0.2">
      <c r="A2754" s="22">
        <v>0.51199471950531006</v>
      </c>
    </row>
    <row r="2755" spans="1:1" x14ac:dyDescent="0.2">
      <c r="A2755" s="22">
        <v>0.77442175149917603</v>
      </c>
    </row>
    <row r="2756" spans="1:1" x14ac:dyDescent="0.2">
      <c r="A2756" s="22">
        <v>6.3007354736328125E-2</v>
      </c>
    </row>
    <row r="2757" spans="1:1" x14ac:dyDescent="0.2">
      <c r="A2757" s="22">
        <v>0.65715044736862183</v>
      </c>
    </row>
    <row r="2758" spans="1:1" x14ac:dyDescent="0.2">
      <c r="A2758" s="22">
        <v>0.43252146244049072</v>
      </c>
    </row>
    <row r="2759" spans="1:1" x14ac:dyDescent="0.2">
      <c r="A2759" s="22">
        <v>0.62050753831863403</v>
      </c>
    </row>
    <row r="2760" spans="1:1" x14ac:dyDescent="0.2">
      <c r="A2760" s="22">
        <v>0.9517519474029541</v>
      </c>
    </row>
    <row r="2761" spans="1:1" x14ac:dyDescent="0.2">
      <c r="A2761" s="22">
        <v>0.9599108099937439</v>
      </c>
    </row>
    <row r="2762" spans="1:1" x14ac:dyDescent="0.2">
      <c r="A2762" s="22">
        <v>0.86725795269012451</v>
      </c>
    </row>
    <row r="2763" spans="1:1" x14ac:dyDescent="0.2">
      <c r="A2763" s="22">
        <v>0.53724533319473267</v>
      </c>
    </row>
    <row r="2764" spans="1:1" x14ac:dyDescent="0.2">
      <c r="A2764" s="22">
        <v>0.7886967658996582</v>
      </c>
    </row>
    <row r="2765" spans="1:1" x14ac:dyDescent="0.2">
      <c r="A2765" s="22">
        <v>0.93760174512863159</v>
      </c>
    </row>
    <row r="2766" spans="1:1" x14ac:dyDescent="0.2">
      <c r="A2766" s="22">
        <v>0.71860897541046143</v>
      </c>
    </row>
    <row r="2767" spans="1:1" x14ac:dyDescent="0.2">
      <c r="A2767" s="22">
        <v>0.87992078065872192</v>
      </c>
    </row>
    <row r="2768" spans="1:1" x14ac:dyDescent="0.2">
      <c r="A2768" s="22">
        <v>0.32048487663269043</v>
      </c>
    </row>
    <row r="2769" spans="1:1" x14ac:dyDescent="0.2">
      <c r="A2769" s="22">
        <v>0.91279405355453491</v>
      </c>
    </row>
    <row r="2770" spans="1:1" x14ac:dyDescent="0.2">
      <c r="A2770" s="22">
        <v>0.33136212825775146</v>
      </c>
    </row>
    <row r="2771" spans="1:1" x14ac:dyDescent="0.2">
      <c r="A2771" s="22">
        <v>0.67667108774185181</v>
      </c>
    </row>
    <row r="2772" spans="1:1" x14ac:dyDescent="0.2">
      <c r="A2772" s="22">
        <v>0.27520465850830078</v>
      </c>
    </row>
    <row r="2773" spans="1:1" x14ac:dyDescent="0.2">
      <c r="A2773" s="22">
        <v>0.26372259855270386</v>
      </c>
    </row>
    <row r="2774" spans="1:1" x14ac:dyDescent="0.2">
      <c r="A2774" s="22">
        <v>0.88331282138824463</v>
      </c>
    </row>
    <row r="2775" spans="1:1" x14ac:dyDescent="0.2">
      <c r="A2775" s="22">
        <v>0.45661002397537231</v>
      </c>
    </row>
    <row r="2776" spans="1:1" x14ac:dyDescent="0.2">
      <c r="A2776" s="22">
        <v>0.87801480293273926</v>
      </c>
    </row>
    <row r="2777" spans="1:1" x14ac:dyDescent="0.2">
      <c r="A2777" s="22">
        <v>0.87741130590438843</v>
      </c>
    </row>
    <row r="2778" spans="1:1" x14ac:dyDescent="0.2">
      <c r="A2778" s="22">
        <v>2.5889277458190918E-2</v>
      </c>
    </row>
    <row r="2779" spans="1:1" x14ac:dyDescent="0.2">
      <c r="A2779" s="22">
        <v>0.32795292139053345</v>
      </c>
    </row>
    <row r="2780" spans="1:1" x14ac:dyDescent="0.2">
      <c r="A2780" s="22">
        <v>0.61676931381225586</v>
      </c>
    </row>
    <row r="2781" spans="1:1" x14ac:dyDescent="0.2">
      <c r="A2781" s="22">
        <v>0.85279816389083862</v>
      </c>
    </row>
    <row r="2782" spans="1:1" x14ac:dyDescent="0.2">
      <c r="A2782" s="22">
        <v>0.77477753162384033</v>
      </c>
    </row>
    <row r="2783" spans="1:1" x14ac:dyDescent="0.2">
      <c r="A2783" s="22">
        <v>0.30614167451858521</v>
      </c>
    </row>
    <row r="2784" spans="1:1" x14ac:dyDescent="0.2">
      <c r="A2784" s="22">
        <v>0.25764250755310059</v>
      </c>
    </row>
    <row r="2785" spans="1:1" x14ac:dyDescent="0.2">
      <c r="A2785" s="22">
        <v>0.45386022329330444</v>
      </c>
    </row>
    <row r="2786" spans="1:1" x14ac:dyDescent="0.2">
      <c r="A2786" s="22">
        <v>0.65054643154144287</v>
      </c>
    </row>
    <row r="2787" spans="1:1" x14ac:dyDescent="0.2">
      <c r="A2787" s="22">
        <v>0.89196974039077759</v>
      </c>
    </row>
    <row r="2788" spans="1:1" x14ac:dyDescent="0.2">
      <c r="A2788" s="22">
        <v>0.11075401306152344</v>
      </c>
    </row>
    <row r="2789" spans="1:1" x14ac:dyDescent="0.2">
      <c r="A2789" s="22">
        <v>0.31273859739303589</v>
      </c>
    </row>
    <row r="2790" spans="1:1" x14ac:dyDescent="0.2">
      <c r="A2790" s="22">
        <v>6.9272637367248535E-2</v>
      </c>
    </row>
    <row r="2791" spans="1:1" x14ac:dyDescent="0.2">
      <c r="A2791" s="22">
        <v>0.8997071385383606</v>
      </c>
    </row>
    <row r="2792" spans="1:1" x14ac:dyDescent="0.2">
      <c r="A2792" s="22">
        <v>0.54579377174377441</v>
      </c>
    </row>
    <row r="2793" spans="1:1" x14ac:dyDescent="0.2">
      <c r="A2793" s="22">
        <v>0.88286346197128296</v>
      </c>
    </row>
    <row r="2794" spans="1:1" x14ac:dyDescent="0.2">
      <c r="A2794" s="22">
        <v>0.98316562175750732</v>
      </c>
    </row>
    <row r="2795" spans="1:1" x14ac:dyDescent="0.2">
      <c r="A2795" s="22">
        <v>0.53522545099258423</v>
      </c>
    </row>
    <row r="2796" spans="1:1" x14ac:dyDescent="0.2">
      <c r="A2796" s="22">
        <v>0.75764703750610352</v>
      </c>
    </row>
    <row r="2797" spans="1:1" x14ac:dyDescent="0.2">
      <c r="A2797" s="22">
        <v>0.14207905530929565</v>
      </c>
    </row>
    <row r="2798" spans="1:1" x14ac:dyDescent="0.2">
      <c r="A2798" s="22">
        <v>0.77119266986846924</v>
      </c>
    </row>
    <row r="2799" spans="1:1" x14ac:dyDescent="0.2">
      <c r="A2799" s="22">
        <v>0.72412282228469849</v>
      </c>
    </row>
    <row r="2800" spans="1:1" x14ac:dyDescent="0.2">
      <c r="A2800" s="22">
        <v>0.78201937675476074</v>
      </c>
    </row>
    <row r="2801" spans="1:1" x14ac:dyDescent="0.2">
      <c r="A2801" s="22">
        <v>0.54576867818832397</v>
      </c>
    </row>
    <row r="2802" spans="1:1" x14ac:dyDescent="0.2">
      <c r="A2802" s="22">
        <v>0.37970387935638428</v>
      </c>
    </row>
    <row r="2803" spans="1:1" x14ac:dyDescent="0.2">
      <c r="A2803" s="22">
        <v>0.68984895944595337</v>
      </c>
    </row>
    <row r="2804" spans="1:1" x14ac:dyDescent="0.2">
      <c r="A2804" s="22">
        <v>0.76106166839599609</v>
      </c>
    </row>
    <row r="2805" spans="1:1" x14ac:dyDescent="0.2">
      <c r="A2805" s="22">
        <v>0.22997969388961792</v>
      </c>
    </row>
    <row r="2806" spans="1:1" x14ac:dyDescent="0.2">
      <c r="A2806" s="22">
        <v>0.71305716037750244</v>
      </c>
    </row>
    <row r="2807" spans="1:1" x14ac:dyDescent="0.2">
      <c r="A2807" s="22">
        <v>0.78183013200759888</v>
      </c>
    </row>
    <row r="2808" spans="1:1" x14ac:dyDescent="0.2">
      <c r="A2808" s="22">
        <v>0.45899510383605957</v>
      </c>
    </row>
    <row r="2809" spans="1:1" x14ac:dyDescent="0.2">
      <c r="A2809" s="22">
        <v>0.46454852819442749</v>
      </c>
    </row>
    <row r="2810" spans="1:1" x14ac:dyDescent="0.2">
      <c r="A2810" s="22">
        <v>0.27424323558807373</v>
      </c>
    </row>
    <row r="2811" spans="1:1" x14ac:dyDescent="0.2">
      <c r="A2811" s="22">
        <v>0.55359417200088501</v>
      </c>
    </row>
    <row r="2812" spans="1:1" x14ac:dyDescent="0.2">
      <c r="A2812" s="22">
        <v>2.7736186981201172E-2</v>
      </c>
    </row>
    <row r="2813" spans="1:1" x14ac:dyDescent="0.2">
      <c r="A2813" s="22">
        <v>0.35622566938400269</v>
      </c>
    </row>
    <row r="2814" spans="1:1" x14ac:dyDescent="0.2">
      <c r="A2814" s="22">
        <v>5.5510640144348145E-2</v>
      </c>
    </row>
    <row r="2815" spans="1:1" x14ac:dyDescent="0.2">
      <c r="A2815" s="22">
        <v>9.0895473957061768E-2</v>
      </c>
    </row>
    <row r="2816" spans="1:1" x14ac:dyDescent="0.2">
      <c r="A2816" s="22">
        <v>2.2521734237670898E-2</v>
      </c>
    </row>
    <row r="2817" spans="1:1" x14ac:dyDescent="0.2">
      <c r="A2817" s="22">
        <v>0.80180066823959351</v>
      </c>
    </row>
    <row r="2818" spans="1:1" x14ac:dyDescent="0.2">
      <c r="A2818" s="22">
        <v>0.67899072170257568</v>
      </c>
    </row>
    <row r="2819" spans="1:1" x14ac:dyDescent="0.2">
      <c r="A2819" s="22">
        <v>0.58983999490737915</v>
      </c>
    </row>
    <row r="2820" spans="1:1" x14ac:dyDescent="0.2">
      <c r="A2820" s="22">
        <v>0.66753387451171875</v>
      </c>
    </row>
    <row r="2821" spans="1:1" x14ac:dyDescent="0.2">
      <c r="A2821" s="22">
        <v>0.69122713804244995</v>
      </c>
    </row>
    <row r="2822" spans="1:1" x14ac:dyDescent="0.2">
      <c r="A2822" s="22">
        <v>0.78732264041900635</v>
      </c>
    </row>
    <row r="2823" spans="1:1" x14ac:dyDescent="0.2">
      <c r="A2823" s="22">
        <v>0.18501025438308716</v>
      </c>
    </row>
    <row r="2824" spans="1:1" x14ac:dyDescent="0.2">
      <c r="A2824" s="22">
        <v>0.37152504920959473</v>
      </c>
    </row>
    <row r="2825" spans="1:1" x14ac:dyDescent="0.2">
      <c r="A2825" s="22">
        <v>0.36074775457382202</v>
      </c>
    </row>
    <row r="2826" spans="1:1" x14ac:dyDescent="0.2">
      <c r="A2826" s="22">
        <v>0.68427836894989014</v>
      </c>
    </row>
    <row r="2827" spans="1:1" x14ac:dyDescent="0.2">
      <c r="A2827" s="22">
        <v>2.7590334415435791E-2</v>
      </c>
    </row>
    <row r="2828" spans="1:1" x14ac:dyDescent="0.2">
      <c r="A2828" s="22">
        <v>0.49344301223754883</v>
      </c>
    </row>
    <row r="2829" spans="1:1" x14ac:dyDescent="0.2">
      <c r="A2829" s="22">
        <v>0.29601925611495972</v>
      </c>
    </row>
    <row r="2830" spans="1:1" x14ac:dyDescent="0.2">
      <c r="A2830" s="22">
        <v>0.22538769245147705</v>
      </c>
    </row>
    <row r="2831" spans="1:1" x14ac:dyDescent="0.2">
      <c r="A2831" s="22">
        <v>0.61349087953567505</v>
      </c>
    </row>
    <row r="2832" spans="1:1" x14ac:dyDescent="0.2">
      <c r="A2832" s="22">
        <v>0.35805583000183105</v>
      </c>
    </row>
    <row r="2833" spans="1:1" x14ac:dyDescent="0.2">
      <c r="A2833" s="22">
        <v>8.5237443447113037E-2</v>
      </c>
    </row>
    <row r="2834" spans="1:1" x14ac:dyDescent="0.2">
      <c r="A2834" s="22">
        <v>0.95856320858001709</v>
      </c>
    </row>
    <row r="2835" spans="1:1" x14ac:dyDescent="0.2">
      <c r="A2835" s="22">
        <v>0.36147409677505493</v>
      </c>
    </row>
    <row r="2836" spans="1:1" x14ac:dyDescent="0.2">
      <c r="A2836" s="22">
        <v>0.52157688140869141</v>
      </c>
    </row>
    <row r="2837" spans="1:1" x14ac:dyDescent="0.2">
      <c r="A2837" s="22">
        <v>0.62226217985153198</v>
      </c>
    </row>
    <row r="2838" spans="1:1" x14ac:dyDescent="0.2">
      <c r="A2838" s="22">
        <v>0.51472532749176025</v>
      </c>
    </row>
    <row r="2839" spans="1:1" x14ac:dyDescent="0.2">
      <c r="A2839" s="22">
        <v>0.44127875566482544</v>
      </c>
    </row>
    <row r="2840" spans="1:1" x14ac:dyDescent="0.2">
      <c r="A2840" s="22">
        <v>0.28728985786437988</v>
      </c>
    </row>
    <row r="2841" spans="1:1" x14ac:dyDescent="0.2">
      <c r="A2841" s="22">
        <v>0.55974239110946655</v>
      </c>
    </row>
    <row r="2842" spans="1:1" x14ac:dyDescent="0.2">
      <c r="A2842" s="22">
        <v>0.24842727184295654</v>
      </c>
    </row>
    <row r="2843" spans="1:1" x14ac:dyDescent="0.2">
      <c r="A2843" s="22">
        <v>0.85174518823623657</v>
      </c>
    </row>
    <row r="2844" spans="1:1" x14ac:dyDescent="0.2">
      <c r="A2844" s="22">
        <v>0.47117376327514648</v>
      </c>
    </row>
    <row r="2845" spans="1:1" x14ac:dyDescent="0.2">
      <c r="A2845" s="22">
        <v>1.2241065502166748E-2</v>
      </c>
    </row>
    <row r="2846" spans="1:1" x14ac:dyDescent="0.2">
      <c r="A2846" s="22">
        <v>0.12848007678985596</v>
      </c>
    </row>
    <row r="2847" spans="1:1" x14ac:dyDescent="0.2">
      <c r="A2847" s="22">
        <v>0.74894028902053833</v>
      </c>
    </row>
    <row r="2848" spans="1:1" x14ac:dyDescent="0.2">
      <c r="A2848" s="22">
        <v>0.41752791404724121</v>
      </c>
    </row>
    <row r="2849" spans="1:1" x14ac:dyDescent="0.2">
      <c r="A2849" s="22">
        <v>0.50936025381088257</v>
      </c>
    </row>
    <row r="2850" spans="1:1" x14ac:dyDescent="0.2">
      <c r="A2850" s="22">
        <v>0.8785775899887085</v>
      </c>
    </row>
    <row r="2851" spans="1:1" x14ac:dyDescent="0.2">
      <c r="A2851" s="22">
        <v>2.4282515048980713E-2</v>
      </c>
    </row>
    <row r="2852" spans="1:1" x14ac:dyDescent="0.2">
      <c r="A2852" s="22">
        <v>0.26459693908691406</v>
      </c>
    </row>
    <row r="2853" spans="1:1" x14ac:dyDescent="0.2">
      <c r="A2853" s="22">
        <v>0.19886606931686401</v>
      </c>
    </row>
    <row r="2854" spans="1:1" x14ac:dyDescent="0.2">
      <c r="A2854" s="22">
        <v>0.36792147159576416</v>
      </c>
    </row>
    <row r="2855" spans="1:1" x14ac:dyDescent="0.2">
      <c r="A2855" s="22">
        <v>0.13266688585281372</v>
      </c>
    </row>
    <row r="2856" spans="1:1" x14ac:dyDescent="0.2">
      <c r="A2856" s="22">
        <v>0.46019577980041504</v>
      </c>
    </row>
    <row r="2857" spans="1:1" x14ac:dyDescent="0.2">
      <c r="A2857" s="22">
        <v>0.29981368780136108</v>
      </c>
    </row>
    <row r="2858" spans="1:1" x14ac:dyDescent="0.2">
      <c r="A2858" s="22">
        <v>0.25184619426727295</v>
      </c>
    </row>
    <row r="2859" spans="1:1" x14ac:dyDescent="0.2">
      <c r="A2859" s="22">
        <v>0.17058998346328735</v>
      </c>
    </row>
    <row r="2860" spans="1:1" x14ac:dyDescent="0.2">
      <c r="A2860" s="22">
        <v>0.52733469009399414</v>
      </c>
    </row>
    <row r="2861" spans="1:1" x14ac:dyDescent="0.2">
      <c r="A2861" s="22">
        <v>0.80567234754562378</v>
      </c>
    </row>
    <row r="2862" spans="1:1" x14ac:dyDescent="0.2">
      <c r="A2862" s="22">
        <v>0.86244404315948486</v>
      </c>
    </row>
    <row r="2863" spans="1:1" x14ac:dyDescent="0.2">
      <c r="A2863" s="22">
        <v>0.20427495241165161</v>
      </c>
    </row>
    <row r="2864" spans="1:1" x14ac:dyDescent="0.2">
      <c r="A2864" s="22">
        <v>7.9844236373901367E-2</v>
      </c>
    </row>
    <row r="2865" spans="1:1" x14ac:dyDescent="0.2">
      <c r="A2865" s="22">
        <v>0.4374503493309021</v>
      </c>
    </row>
    <row r="2866" spans="1:1" x14ac:dyDescent="0.2">
      <c r="A2866" s="22">
        <v>0.3491901159286499</v>
      </c>
    </row>
    <row r="2867" spans="1:1" x14ac:dyDescent="0.2">
      <c r="A2867" s="22">
        <v>0.84779649972915649</v>
      </c>
    </row>
    <row r="2868" spans="1:1" x14ac:dyDescent="0.2">
      <c r="A2868" s="22">
        <v>8.8000297546386719E-2</v>
      </c>
    </row>
    <row r="2869" spans="1:1" x14ac:dyDescent="0.2">
      <c r="A2869" s="22">
        <v>0.84682005643844604</v>
      </c>
    </row>
    <row r="2870" spans="1:1" x14ac:dyDescent="0.2">
      <c r="A2870" s="22">
        <v>6.9567322731018066E-2</v>
      </c>
    </row>
    <row r="2871" spans="1:1" x14ac:dyDescent="0.2">
      <c r="A2871" s="22">
        <v>9.1205894947052002E-2</v>
      </c>
    </row>
    <row r="2872" spans="1:1" x14ac:dyDescent="0.2">
      <c r="A2872" s="22">
        <v>0.3941490650177002</v>
      </c>
    </row>
    <row r="2873" spans="1:1" x14ac:dyDescent="0.2">
      <c r="A2873" s="22">
        <v>6.9242894649505615E-2</v>
      </c>
    </row>
    <row r="2874" spans="1:1" x14ac:dyDescent="0.2">
      <c r="A2874" s="22">
        <v>0.22969138622283936</v>
      </c>
    </row>
    <row r="2875" spans="1:1" x14ac:dyDescent="0.2">
      <c r="A2875" s="22">
        <v>0.37865597009658813</v>
      </c>
    </row>
    <row r="2876" spans="1:1" x14ac:dyDescent="0.2">
      <c r="A2876" s="22">
        <v>0.4783320426940918</v>
      </c>
    </row>
    <row r="2877" spans="1:1" x14ac:dyDescent="0.2">
      <c r="A2877" s="22">
        <v>0.22709435224533081</v>
      </c>
    </row>
    <row r="2878" spans="1:1" x14ac:dyDescent="0.2">
      <c r="A2878" s="22">
        <v>0.77493584156036377</v>
      </c>
    </row>
    <row r="2879" spans="1:1" x14ac:dyDescent="0.2">
      <c r="A2879" s="22">
        <v>0.93652611970901489</v>
      </c>
    </row>
    <row r="2880" spans="1:1" x14ac:dyDescent="0.2">
      <c r="A2880" s="22">
        <v>0.47391104698181152</v>
      </c>
    </row>
    <row r="2881" spans="1:1" x14ac:dyDescent="0.2">
      <c r="A2881" s="22">
        <v>0.48278898000717163</v>
      </c>
    </row>
    <row r="2882" spans="1:1" x14ac:dyDescent="0.2">
      <c r="A2882" s="22">
        <v>0.53055703639984131</v>
      </c>
    </row>
    <row r="2883" spans="1:1" x14ac:dyDescent="0.2">
      <c r="A2883" s="22">
        <v>0.35154730081558228</v>
      </c>
    </row>
    <row r="2884" spans="1:1" x14ac:dyDescent="0.2">
      <c r="A2884" s="22">
        <v>0.43319320678710938</v>
      </c>
    </row>
    <row r="2885" spans="1:1" x14ac:dyDescent="0.2">
      <c r="A2885" s="22">
        <v>0.24190539121627808</v>
      </c>
    </row>
    <row r="2886" spans="1:1" x14ac:dyDescent="0.2">
      <c r="A2886" s="22">
        <v>0.59231913089752197</v>
      </c>
    </row>
    <row r="2887" spans="1:1" x14ac:dyDescent="0.2">
      <c r="A2887" s="22">
        <v>0.39892703294754028</v>
      </c>
    </row>
    <row r="2888" spans="1:1" x14ac:dyDescent="0.2">
      <c r="A2888" s="22">
        <v>0.84305596351623535</v>
      </c>
    </row>
    <row r="2889" spans="1:1" x14ac:dyDescent="0.2">
      <c r="A2889" s="22">
        <v>0.60631126165390015</v>
      </c>
    </row>
    <row r="2890" spans="1:1" x14ac:dyDescent="0.2">
      <c r="A2890" s="22">
        <v>0.96711909770965576</v>
      </c>
    </row>
    <row r="2891" spans="1:1" x14ac:dyDescent="0.2">
      <c r="A2891" s="22">
        <v>0.12047439813613892</v>
      </c>
    </row>
    <row r="2892" spans="1:1" x14ac:dyDescent="0.2">
      <c r="A2892" s="22">
        <v>0.39057207107543945</v>
      </c>
    </row>
    <row r="2893" spans="1:1" x14ac:dyDescent="0.2">
      <c r="A2893" s="22">
        <v>7.7288329601287842E-2</v>
      </c>
    </row>
    <row r="2894" spans="1:1" x14ac:dyDescent="0.2">
      <c r="A2894" s="22">
        <v>0.46361172199249268</v>
      </c>
    </row>
    <row r="2895" spans="1:1" x14ac:dyDescent="0.2">
      <c r="A2895" s="22">
        <v>0.15272504091262817</v>
      </c>
    </row>
    <row r="2896" spans="1:1" x14ac:dyDescent="0.2">
      <c r="A2896" s="22">
        <v>0.97863459587097168</v>
      </c>
    </row>
    <row r="2897" spans="1:1" x14ac:dyDescent="0.2">
      <c r="A2897" s="22">
        <v>0.50865739583969116</v>
      </c>
    </row>
    <row r="2898" spans="1:1" x14ac:dyDescent="0.2">
      <c r="A2898" s="22">
        <v>0.83283460140228271</v>
      </c>
    </row>
    <row r="2899" spans="1:1" x14ac:dyDescent="0.2">
      <c r="A2899" s="22">
        <v>0.30506616830825806</v>
      </c>
    </row>
    <row r="2900" spans="1:1" x14ac:dyDescent="0.2">
      <c r="A2900" s="22">
        <v>0.99158191680908203</v>
      </c>
    </row>
    <row r="2901" spans="1:1" x14ac:dyDescent="0.2">
      <c r="A2901" s="22">
        <v>0.30990332365036011</v>
      </c>
    </row>
    <row r="2902" spans="1:1" x14ac:dyDescent="0.2">
      <c r="A2902" s="22">
        <v>0.15883314609527588</v>
      </c>
    </row>
    <row r="2903" spans="1:1" x14ac:dyDescent="0.2">
      <c r="A2903" s="22">
        <v>0.38786154985427856</v>
      </c>
    </row>
    <row r="2904" spans="1:1" x14ac:dyDescent="0.2">
      <c r="A2904" s="22">
        <v>0.81082272529602051</v>
      </c>
    </row>
    <row r="2905" spans="1:1" x14ac:dyDescent="0.2">
      <c r="A2905" s="22">
        <v>0.89930003881454468</v>
      </c>
    </row>
    <row r="2906" spans="1:1" x14ac:dyDescent="0.2">
      <c r="A2906" s="22">
        <v>0.49928557872772217</v>
      </c>
    </row>
    <row r="2907" spans="1:1" x14ac:dyDescent="0.2">
      <c r="A2907" s="22">
        <v>0.2905765175819397</v>
      </c>
    </row>
    <row r="2908" spans="1:1" x14ac:dyDescent="0.2">
      <c r="A2908" s="22">
        <v>0.58046102523803711</v>
      </c>
    </row>
    <row r="2909" spans="1:1" x14ac:dyDescent="0.2">
      <c r="A2909" s="22">
        <v>0.40703552961349487</v>
      </c>
    </row>
    <row r="2910" spans="1:1" x14ac:dyDescent="0.2">
      <c r="A2910" s="22">
        <v>0.77612793445587158</v>
      </c>
    </row>
    <row r="2911" spans="1:1" x14ac:dyDescent="0.2">
      <c r="A2911" s="22">
        <v>0.30990296602249146</v>
      </c>
    </row>
    <row r="2912" spans="1:1" x14ac:dyDescent="0.2">
      <c r="A2912" s="22">
        <v>0.22292113304138184</v>
      </c>
    </row>
    <row r="2913" spans="1:1" x14ac:dyDescent="0.2">
      <c r="A2913" s="22">
        <v>0.62833684682846069</v>
      </c>
    </row>
    <row r="2914" spans="1:1" x14ac:dyDescent="0.2">
      <c r="A2914" s="22">
        <v>0.91617906093597412</v>
      </c>
    </row>
    <row r="2915" spans="1:1" x14ac:dyDescent="0.2">
      <c r="A2915" s="22">
        <v>0.72788435220718384</v>
      </c>
    </row>
    <row r="2916" spans="1:1" x14ac:dyDescent="0.2">
      <c r="A2916" s="22">
        <v>0.70457267761230469</v>
      </c>
    </row>
    <row r="2917" spans="1:1" x14ac:dyDescent="0.2">
      <c r="A2917" s="22">
        <v>0.22659510374069214</v>
      </c>
    </row>
    <row r="2918" spans="1:1" x14ac:dyDescent="0.2">
      <c r="A2918" s="22">
        <v>0.24176561832427979</v>
      </c>
    </row>
    <row r="2919" spans="1:1" x14ac:dyDescent="0.2">
      <c r="A2919" s="22">
        <v>0.64004069566726685</v>
      </c>
    </row>
    <row r="2920" spans="1:1" x14ac:dyDescent="0.2">
      <c r="A2920" s="22">
        <v>0.55135560035705566</v>
      </c>
    </row>
    <row r="2921" spans="1:1" x14ac:dyDescent="0.2">
      <c r="A2921" s="22">
        <v>0.18649047613143921</v>
      </c>
    </row>
    <row r="2922" spans="1:1" x14ac:dyDescent="0.2">
      <c r="A2922" s="22">
        <v>0.11134707927703857</v>
      </c>
    </row>
    <row r="2923" spans="1:1" x14ac:dyDescent="0.2">
      <c r="A2923" s="22">
        <v>3.3493578433990479E-2</v>
      </c>
    </row>
    <row r="2924" spans="1:1" x14ac:dyDescent="0.2">
      <c r="A2924" s="22">
        <v>0.61440515518188477</v>
      </c>
    </row>
    <row r="2925" spans="1:1" x14ac:dyDescent="0.2">
      <c r="A2925" s="22">
        <v>0.5171172022819519</v>
      </c>
    </row>
    <row r="2926" spans="1:1" x14ac:dyDescent="0.2">
      <c r="A2926" s="22">
        <v>0.81014072895050049</v>
      </c>
    </row>
    <row r="2927" spans="1:1" x14ac:dyDescent="0.2">
      <c r="A2927" s="22">
        <v>0.11509114503860474</v>
      </c>
    </row>
    <row r="2928" spans="1:1" x14ac:dyDescent="0.2">
      <c r="A2928" s="22">
        <v>8.5676908493041992E-2</v>
      </c>
    </row>
    <row r="2929" spans="1:1" x14ac:dyDescent="0.2">
      <c r="A2929" s="22">
        <v>0.20510858297348022</v>
      </c>
    </row>
    <row r="2930" spans="1:1" x14ac:dyDescent="0.2">
      <c r="A2930" s="22">
        <v>0.69074666500091553</v>
      </c>
    </row>
    <row r="2931" spans="1:1" x14ac:dyDescent="0.2">
      <c r="A2931" s="22">
        <v>0.88953310251235962</v>
      </c>
    </row>
    <row r="2932" spans="1:1" x14ac:dyDescent="0.2">
      <c r="A2932" s="22">
        <v>0.76357173919677734</v>
      </c>
    </row>
    <row r="2933" spans="1:1" x14ac:dyDescent="0.2">
      <c r="A2933" s="22">
        <v>0.41776198148727417</v>
      </c>
    </row>
    <row r="2934" spans="1:1" x14ac:dyDescent="0.2">
      <c r="A2934" s="22">
        <v>0.56377279758453369</v>
      </c>
    </row>
    <row r="2935" spans="1:1" x14ac:dyDescent="0.2">
      <c r="A2935" s="22">
        <v>0.98749572038650513</v>
      </c>
    </row>
    <row r="2936" spans="1:1" x14ac:dyDescent="0.2">
      <c r="A2936" s="22">
        <v>0.56856083869934082</v>
      </c>
    </row>
    <row r="2937" spans="1:1" x14ac:dyDescent="0.2">
      <c r="A2937" s="22">
        <v>0.95616382360458374</v>
      </c>
    </row>
    <row r="2938" spans="1:1" x14ac:dyDescent="0.2">
      <c r="A2938" s="22">
        <v>0.33845984935760498</v>
      </c>
    </row>
    <row r="2939" spans="1:1" x14ac:dyDescent="0.2">
      <c r="A2939" s="22">
        <v>0.74375683069229126</v>
      </c>
    </row>
    <row r="2940" spans="1:1" x14ac:dyDescent="0.2">
      <c r="A2940" s="22">
        <v>0.30881071090698242</v>
      </c>
    </row>
    <row r="2941" spans="1:1" x14ac:dyDescent="0.2">
      <c r="A2941" s="22">
        <v>0.95831459760665894</v>
      </c>
    </row>
    <row r="2942" spans="1:1" x14ac:dyDescent="0.2">
      <c r="A2942" s="22">
        <v>0.91330635547637939</v>
      </c>
    </row>
    <row r="2943" spans="1:1" x14ac:dyDescent="0.2">
      <c r="A2943" s="22">
        <v>0.52532082796096802</v>
      </c>
    </row>
    <row r="2944" spans="1:1" x14ac:dyDescent="0.2">
      <c r="A2944" s="22">
        <v>0.69580817222595215</v>
      </c>
    </row>
    <row r="2945" spans="1:1" x14ac:dyDescent="0.2">
      <c r="A2945" s="22">
        <v>0.85225385427474976</v>
      </c>
    </row>
    <row r="2946" spans="1:1" x14ac:dyDescent="0.2">
      <c r="A2946" s="22">
        <v>0.31669366359710693</v>
      </c>
    </row>
    <row r="2947" spans="1:1" x14ac:dyDescent="0.2">
      <c r="A2947" s="22">
        <v>0.3095436692237854</v>
      </c>
    </row>
    <row r="2948" spans="1:1" x14ac:dyDescent="0.2">
      <c r="A2948" s="22">
        <v>0.6099853515625</v>
      </c>
    </row>
    <row r="2949" spans="1:1" x14ac:dyDescent="0.2">
      <c r="A2949" s="22">
        <v>0.5591852068901062</v>
      </c>
    </row>
    <row r="2950" spans="1:1" x14ac:dyDescent="0.2">
      <c r="A2950" s="22">
        <v>9.7510933876037598E-2</v>
      </c>
    </row>
    <row r="2951" spans="1:1" x14ac:dyDescent="0.2">
      <c r="A2951" s="22">
        <v>0.51225787401199341</v>
      </c>
    </row>
    <row r="2952" spans="1:1" x14ac:dyDescent="0.2">
      <c r="A2952" s="22">
        <v>0.61634469032287598</v>
      </c>
    </row>
    <row r="2953" spans="1:1" x14ac:dyDescent="0.2">
      <c r="A2953" s="22">
        <v>0.94660133123397827</v>
      </c>
    </row>
    <row r="2954" spans="1:1" x14ac:dyDescent="0.2">
      <c r="A2954" s="22">
        <v>0.96578013896942139</v>
      </c>
    </row>
    <row r="2955" spans="1:1" x14ac:dyDescent="0.2">
      <c r="A2955" s="22">
        <v>6.5897524356842041E-2</v>
      </c>
    </row>
    <row r="2956" spans="1:1" x14ac:dyDescent="0.2">
      <c r="A2956" s="22">
        <v>0.73008394241333008</v>
      </c>
    </row>
    <row r="2957" spans="1:1" x14ac:dyDescent="0.2">
      <c r="A2957" s="22">
        <v>0.53140896558761597</v>
      </c>
    </row>
    <row r="2958" spans="1:1" x14ac:dyDescent="0.2">
      <c r="A2958" s="22">
        <v>0.6832810640335083</v>
      </c>
    </row>
    <row r="2959" spans="1:1" x14ac:dyDescent="0.2">
      <c r="A2959" s="22">
        <v>0.7476232647895813</v>
      </c>
    </row>
    <row r="2960" spans="1:1" x14ac:dyDescent="0.2">
      <c r="A2960" s="22">
        <v>0.4322211742401123</v>
      </c>
    </row>
    <row r="2961" spans="1:1" x14ac:dyDescent="0.2">
      <c r="A2961" s="22">
        <v>0.43305391073226929</v>
      </c>
    </row>
    <row r="2962" spans="1:1" x14ac:dyDescent="0.2">
      <c r="A2962" s="22">
        <v>0.20417630672454834</v>
      </c>
    </row>
    <row r="2963" spans="1:1" x14ac:dyDescent="0.2">
      <c r="A2963" s="22">
        <v>0.75744730234146118</v>
      </c>
    </row>
    <row r="2964" spans="1:1" x14ac:dyDescent="0.2">
      <c r="A2964" s="22">
        <v>0.93521976470947266</v>
      </c>
    </row>
    <row r="2965" spans="1:1" x14ac:dyDescent="0.2">
      <c r="A2965" s="22">
        <v>0.57664602994918823</v>
      </c>
    </row>
    <row r="2966" spans="1:1" x14ac:dyDescent="0.2">
      <c r="A2966" s="22">
        <v>6.5636277198791504E-2</v>
      </c>
    </row>
    <row r="2967" spans="1:1" x14ac:dyDescent="0.2">
      <c r="A2967" s="22">
        <v>0.54635840654373169</v>
      </c>
    </row>
    <row r="2968" spans="1:1" x14ac:dyDescent="0.2">
      <c r="A2968" s="22">
        <v>0.69861340522766113</v>
      </c>
    </row>
    <row r="2969" spans="1:1" x14ac:dyDescent="0.2">
      <c r="A2969" s="22">
        <v>0.1460842490196228</v>
      </c>
    </row>
    <row r="2970" spans="1:1" x14ac:dyDescent="0.2">
      <c r="A2970" s="22">
        <v>2.8464198112487793E-2</v>
      </c>
    </row>
    <row r="2971" spans="1:1" x14ac:dyDescent="0.2">
      <c r="A2971" s="22">
        <v>0.89444690942764282</v>
      </c>
    </row>
    <row r="2972" spans="1:1" x14ac:dyDescent="0.2">
      <c r="A2972" s="22">
        <v>0.19463109970092773</v>
      </c>
    </row>
    <row r="2973" spans="1:1" x14ac:dyDescent="0.2">
      <c r="A2973" s="22">
        <v>0.287181556224823</v>
      </c>
    </row>
    <row r="2974" spans="1:1" x14ac:dyDescent="0.2">
      <c r="A2974" s="22">
        <v>0.96772110462188721</v>
      </c>
    </row>
    <row r="2975" spans="1:1" x14ac:dyDescent="0.2">
      <c r="A2975" s="22">
        <v>0.23902970552444458</v>
      </c>
    </row>
    <row r="2976" spans="1:1" x14ac:dyDescent="0.2">
      <c r="A2976" s="22">
        <v>0.92382216453552246</v>
      </c>
    </row>
    <row r="2977" spans="1:1" x14ac:dyDescent="0.2">
      <c r="A2977" s="22">
        <v>6.0790002346038818E-2</v>
      </c>
    </row>
    <row r="2978" spans="1:1" x14ac:dyDescent="0.2">
      <c r="A2978" s="22">
        <v>1.3350844383239746E-2</v>
      </c>
    </row>
    <row r="2979" spans="1:1" x14ac:dyDescent="0.2">
      <c r="A2979" s="22">
        <v>0.25277525186538696</v>
      </c>
    </row>
    <row r="2980" spans="1:1" x14ac:dyDescent="0.2">
      <c r="A2980" s="22">
        <v>0.68068122863769531</v>
      </c>
    </row>
    <row r="2981" spans="1:1" x14ac:dyDescent="0.2">
      <c r="A2981" s="22">
        <v>0.64592570066452026</v>
      </c>
    </row>
    <row r="2982" spans="1:1" x14ac:dyDescent="0.2">
      <c r="A2982" s="22">
        <v>0.94080507755279541</v>
      </c>
    </row>
    <row r="2983" spans="1:1" x14ac:dyDescent="0.2">
      <c r="A2983" s="22">
        <v>0.67182856798171997</v>
      </c>
    </row>
    <row r="2984" spans="1:1" x14ac:dyDescent="0.2">
      <c r="A2984" s="22">
        <v>6.9273233413696289E-2</v>
      </c>
    </row>
    <row r="2985" spans="1:1" x14ac:dyDescent="0.2">
      <c r="A2985" s="22">
        <v>0.79289382696151733</v>
      </c>
    </row>
    <row r="2986" spans="1:1" x14ac:dyDescent="0.2">
      <c r="A2986" s="22">
        <v>0.8116682767868042</v>
      </c>
    </row>
    <row r="2987" spans="1:1" x14ac:dyDescent="0.2">
      <c r="A2987" s="22">
        <v>0.3739362359046936</v>
      </c>
    </row>
    <row r="2988" spans="1:1" x14ac:dyDescent="0.2">
      <c r="A2988" s="22">
        <v>0.26885843276977539</v>
      </c>
    </row>
    <row r="2989" spans="1:1" x14ac:dyDescent="0.2">
      <c r="A2989" s="22">
        <v>0.52641361951828003</v>
      </c>
    </row>
    <row r="2990" spans="1:1" x14ac:dyDescent="0.2">
      <c r="A2990" s="22">
        <v>0.86428272724151611</v>
      </c>
    </row>
    <row r="2991" spans="1:1" x14ac:dyDescent="0.2">
      <c r="A2991" s="22">
        <v>0.70657140016555786</v>
      </c>
    </row>
    <row r="2992" spans="1:1" x14ac:dyDescent="0.2">
      <c r="A2992" s="22">
        <v>4.9517393112182617E-2</v>
      </c>
    </row>
    <row r="2993" spans="1:1" x14ac:dyDescent="0.2">
      <c r="A2993" s="22">
        <v>9.874337911605835E-2</v>
      </c>
    </row>
    <row r="2994" spans="1:1" x14ac:dyDescent="0.2">
      <c r="A2994" s="22">
        <v>0.65437352657318115</v>
      </c>
    </row>
    <row r="2995" spans="1:1" x14ac:dyDescent="0.2">
      <c r="A2995" s="22">
        <v>6.5058767795562744E-2</v>
      </c>
    </row>
    <row r="2996" spans="1:1" x14ac:dyDescent="0.2">
      <c r="A2996" s="22">
        <v>3.7775993347167969E-2</v>
      </c>
    </row>
    <row r="2997" spans="1:1" x14ac:dyDescent="0.2">
      <c r="A2997" s="22">
        <v>0.19280546903610229</v>
      </c>
    </row>
    <row r="2998" spans="1:1" x14ac:dyDescent="0.2">
      <c r="A2998" s="22">
        <v>0.44567358493804932</v>
      </c>
    </row>
    <row r="2999" spans="1:1" x14ac:dyDescent="0.2">
      <c r="A2999" s="22">
        <v>0.72069960832595825</v>
      </c>
    </row>
    <row r="3000" spans="1:1" x14ac:dyDescent="0.2">
      <c r="A3000" s="22">
        <v>0.23223042488098145</v>
      </c>
    </row>
    <row r="3001" spans="1:1" x14ac:dyDescent="0.2">
      <c r="A3001" s="22">
        <v>0.37531131505966187</v>
      </c>
    </row>
    <row r="3002" spans="1:1" x14ac:dyDescent="0.2">
      <c r="A3002" s="22">
        <v>0.85054862499237061</v>
      </c>
    </row>
    <row r="3003" spans="1:1" x14ac:dyDescent="0.2">
      <c r="A3003" s="22">
        <v>0.89889675378799438</v>
      </c>
    </row>
    <row r="3004" spans="1:1" x14ac:dyDescent="0.2">
      <c r="A3004" s="22">
        <v>0.76917219161987305</v>
      </c>
    </row>
    <row r="3005" spans="1:1" x14ac:dyDescent="0.2">
      <c r="A3005" s="22">
        <v>0.79988640546798706</v>
      </c>
    </row>
    <row r="3006" spans="1:1" x14ac:dyDescent="0.2">
      <c r="A3006" s="22">
        <v>0.72062218189239502</v>
      </c>
    </row>
    <row r="3007" spans="1:1" x14ac:dyDescent="0.2">
      <c r="A3007" s="22">
        <v>0.10727959871292114</v>
      </c>
    </row>
    <row r="3008" spans="1:1" x14ac:dyDescent="0.2">
      <c r="A3008" s="22">
        <v>0.93821310997009277</v>
      </c>
    </row>
    <row r="3009" spans="1:1" x14ac:dyDescent="0.2">
      <c r="A3009" s="22">
        <v>0.16019529104232788</v>
      </c>
    </row>
    <row r="3010" spans="1:1" x14ac:dyDescent="0.2">
      <c r="A3010" s="22">
        <v>0.28740060329437256</v>
      </c>
    </row>
    <row r="3011" spans="1:1" x14ac:dyDescent="0.2">
      <c r="A3011" s="22">
        <v>0.71382910013198853</v>
      </c>
    </row>
    <row r="3012" spans="1:1" x14ac:dyDescent="0.2">
      <c r="A3012" s="22">
        <v>0.44791030883789063</v>
      </c>
    </row>
    <row r="3013" spans="1:1" x14ac:dyDescent="0.2">
      <c r="A3013" s="22">
        <v>0.89306658506393433</v>
      </c>
    </row>
    <row r="3014" spans="1:1" x14ac:dyDescent="0.2">
      <c r="A3014" s="22">
        <v>0.55289804935455322</v>
      </c>
    </row>
    <row r="3015" spans="1:1" x14ac:dyDescent="0.2">
      <c r="A3015" s="22">
        <v>0.77500277757644653</v>
      </c>
    </row>
    <row r="3016" spans="1:1" x14ac:dyDescent="0.2">
      <c r="A3016" s="22">
        <v>0.9413912296295166</v>
      </c>
    </row>
    <row r="3017" spans="1:1" x14ac:dyDescent="0.2">
      <c r="A3017" s="22">
        <v>0.6316179633140564</v>
      </c>
    </row>
    <row r="3018" spans="1:1" x14ac:dyDescent="0.2">
      <c r="A3018" s="22">
        <v>0.93026149272918701</v>
      </c>
    </row>
    <row r="3019" spans="1:1" x14ac:dyDescent="0.2">
      <c r="A3019" s="22">
        <v>0.11385971307754517</v>
      </c>
    </row>
    <row r="3020" spans="1:1" x14ac:dyDescent="0.2">
      <c r="A3020" s="22">
        <v>0.7619786262512207</v>
      </c>
    </row>
    <row r="3021" spans="1:1" x14ac:dyDescent="0.2">
      <c r="A3021" s="22">
        <v>0.90838116407394409</v>
      </c>
    </row>
    <row r="3022" spans="1:1" x14ac:dyDescent="0.2">
      <c r="A3022" s="22">
        <v>0.13439571857452393</v>
      </c>
    </row>
    <row r="3023" spans="1:1" x14ac:dyDescent="0.2">
      <c r="A3023" s="22">
        <v>0.64818555116653442</v>
      </c>
    </row>
    <row r="3024" spans="1:1" x14ac:dyDescent="0.2">
      <c r="A3024" s="22">
        <v>0.96881556510925293</v>
      </c>
    </row>
    <row r="3025" spans="1:1" x14ac:dyDescent="0.2">
      <c r="A3025" s="22">
        <v>0.10842698812484741</v>
      </c>
    </row>
    <row r="3026" spans="1:1" x14ac:dyDescent="0.2">
      <c r="A3026" s="22">
        <v>0.32258832454681396</v>
      </c>
    </row>
    <row r="3027" spans="1:1" x14ac:dyDescent="0.2">
      <c r="A3027" s="22">
        <v>0.96861749887466431</v>
      </c>
    </row>
    <row r="3028" spans="1:1" x14ac:dyDescent="0.2">
      <c r="A3028" s="22">
        <v>0.60249042510986328</v>
      </c>
    </row>
    <row r="3029" spans="1:1" x14ac:dyDescent="0.2">
      <c r="A3029" s="22">
        <v>0.67249029874801636</v>
      </c>
    </row>
    <row r="3030" spans="1:1" x14ac:dyDescent="0.2">
      <c r="A3030" s="22">
        <v>0.48513472080230713</v>
      </c>
    </row>
    <row r="3031" spans="1:1" x14ac:dyDescent="0.2">
      <c r="A3031" s="22">
        <v>0.16676932573318481</v>
      </c>
    </row>
    <row r="3032" spans="1:1" x14ac:dyDescent="0.2">
      <c r="A3032" s="22">
        <v>0.20066189765930176</v>
      </c>
    </row>
    <row r="3033" spans="1:1" x14ac:dyDescent="0.2">
      <c r="A3033" s="22">
        <v>0.55009502172470093</v>
      </c>
    </row>
    <row r="3034" spans="1:1" x14ac:dyDescent="0.2">
      <c r="A3034" s="22">
        <v>8.5963129997253418E-2</v>
      </c>
    </row>
    <row r="3035" spans="1:1" x14ac:dyDescent="0.2">
      <c r="A3035" s="22">
        <v>0.91335636377334595</v>
      </c>
    </row>
    <row r="3036" spans="1:1" x14ac:dyDescent="0.2">
      <c r="A3036" s="22">
        <v>0.56368398666381836</v>
      </c>
    </row>
    <row r="3037" spans="1:1" x14ac:dyDescent="0.2">
      <c r="A3037" s="22">
        <v>0.90267914533615112</v>
      </c>
    </row>
    <row r="3038" spans="1:1" x14ac:dyDescent="0.2">
      <c r="A3038" s="22">
        <v>0.95325958728790283</v>
      </c>
    </row>
    <row r="3039" spans="1:1" x14ac:dyDescent="0.2">
      <c r="A3039" s="22">
        <v>0.78632050752639771</v>
      </c>
    </row>
    <row r="3040" spans="1:1" x14ac:dyDescent="0.2">
      <c r="A3040" s="22">
        <v>0.77023100852966309</v>
      </c>
    </row>
    <row r="3041" spans="1:1" x14ac:dyDescent="0.2">
      <c r="A3041" s="22">
        <v>5.6719720363616943E-2</v>
      </c>
    </row>
    <row r="3042" spans="1:1" x14ac:dyDescent="0.2">
      <c r="A3042" s="22">
        <v>0.42009294033050537</v>
      </c>
    </row>
    <row r="3043" spans="1:1" x14ac:dyDescent="0.2">
      <c r="A3043" s="22">
        <v>0.84895521402359009</v>
      </c>
    </row>
    <row r="3044" spans="1:1" x14ac:dyDescent="0.2">
      <c r="A3044" s="22">
        <v>0.44292259216308594</v>
      </c>
    </row>
    <row r="3045" spans="1:1" x14ac:dyDescent="0.2">
      <c r="A3045" s="22">
        <v>0.70685786008834839</v>
      </c>
    </row>
    <row r="3046" spans="1:1" x14ac:dyDescent="0.2">
      <c r="A3046" s="22">
        <v>0.71503984928131104</v>
      </c>
    </row>
    <row r="3047" spans="1:1" x14ac:dyDescent="0.2">
      <c r="A3047" s="22">
        <v>0.4780305027961731</v>
      </c>
    </row>
    <row r="3048" spans="1:1" x14ac:dyDescent="0.2">
      <c r="A3048" s="22">
        <v>0.26394867897033691</v>
      </c>
    </row>
    <row r="3049" spans="1:1" x14ac:dyDescent="0.2">
      <c r="A3049" s="22">
        <v>0.36902374029159546</v>
      </c>
    </row>
    <row r="3050" spans="1:1" x14ac:dyDescent="0.2">
      <c r="A3050" s="22">
        <v>0.60280978679656982</v>
      </c>
    </row>
    <row r="3051" spans="1:1" x14ac:dyDescent="0.2">
      <c r="A3051" s="22">
        <v>0.44191795587539673</v>
      </c>
    </row>
    <row r="3052" spans="1:1" x14ac:dyDescent="0.2">
      <c r="A3052" s="22">
        <v>0.74069452285766602</v>
      </c>
    </row>
    <row r="3053" spans="1:1" x14ac:dyDescent="0.2">
      <c r="A3053" s="22">
        <v>8.3561599254608154E-2</v>
      </c>
    </row>
    <row r="3054" spans="1:1" x14ac:dyDescent="0.2">
      <c r="A3054" s="22">
        <v>0.27487003803253174</v>
      </c>
    </row>
    <row r="3055" spans="1:1" x14ac:dyDescent="0.2">
      <c r="A3055" s="22">
        <v>0.22871571779251099</v>
      </c>
    </row>
    <row r="3056" spans="1:1" x14ac:dyDescent="0.2">
      <c r="A3056" s="22">
        <v>0.22136569023132324</v>
      </c>
    </row>
    <row r="3057" spans="1:1" x14ac:dyDescent="0.2">
      <c r="A3057" s="22">
        <v>0.36835473775863647</v>
      </c>
    </row>
    <row r="3058" spans="1:1" x14ac:dyDescent="0.2">
      <c r="A3058" s="22">
        <v>0.49007070064544678</v>
      </c>
    </row>
    <row r="3059" spans="1:1" x14ac:dyDescent="0.2">
      <c r="A3059" s="22">
        <v>0.62437349557876587</v>
      </c>
    </row>
    <row r="3060" spans="1:1" x14ac:dyDescent="0.2">
      <c r="A3060" s="22">
        <v>0.16061305999755859</v>
      </c>
    </row>
    <row r="3061" spans="1:1" x14ac:dyDescent="0.2">
      <c r="A3061" s="22">
        <v>0.42195051908493042</v>
      </c>
    </row>
    <row r="3062" spans="1:1" x14ac:dyDescent="0.2">
      <c r="A3062" s="22">
        <v>0.96526968479156494</v>
      </c>
    </row>
    <row r="3063" spans="1:1" x14ac:dyDescent="0.2">
      <c r="A3063" s="22">
        <v>0.54081755876541138</v>
      </c>
    </row>
    <row r="3064" spans="1:1" x14ac:dyDescent="0.2">
      <c r="A3064" s="22">
        <v>0.63515782356262207</v>
      </c>
    </row>
    <row r="3065" spans="1:1" x14ac:dyDescent="0.2">
      <c r="A3065" s="22">
        <v>0.57668536901473999</v>
      </c>
    </row>
    <row r="3066" spans="1:1" x14ac:dyDescent="0.2">
      <c r="A3066" s="22">
        <v>1.595771312713623E-2</v>
      </c>
    </row>
    <row r="3067" spans="1:1" x14ac:dyDescent="0.2">
      <c r="A3067" s="22">
        <v>9.407573938369751E-2</v>
      </c>
    </row>
    <row r="3068" spans="1:1" x14ac:dyDescent="0.2">
      <c r="A3068" s="22">
        <v>0.10941648483276367</v>
      </c>
    </row>
    <row r="3069" spans="1:1" x14ac:dyDescent="0.2">
      <c r="A3069" s="22">
        <v>1.8097758293151855E-3</v>
      </c>
    </row>
    <row r="3070" spans="1:1" x14ac:dyDescent="0.2">
      <c r="A3070" s="22">
        <v>0.44688332080841064</v>
      </c>
    </row>
    <row r="3071" spans="1:1" x14ac:dyDescent="0.2">
      <c r="A3071" s="22">
        <v>0.93240243196487427</v>
      </c>
    </row>
    <row r="3072" spans="1:1" x14ac:dyDescent="0.2">
      <c r="A3072" s="22">
        <v>0.4511258602142334</v>
      </c>
    </row>
    <row r="3073" spans="1:1" x14ac:dyDescent="0.2">
      <c r="A3073" s="22">
        <v>0.65661329030990601</v>
      </c>
    </row>
    <row r="3074" spans="1:1" x14ac:dyDescent="0.2">
      <c r="A3074" s="22">
        <v>0.69267785549163818</v>
      </c>
    </row>
    <row r="3075" spans="1:1" x14ac:dyDescent="0.2">
      <c r="A3075" s="22">
        <v>0.81440359354019165</v>
      </c>
    </row>
    <row r="3076" spans="1:1" x14ac:dyDescent="0.2">
      <c r="A3076" s="22">
        <v>0.19696807861328125</v>
      </c>
    </row>
    <row r="3077" spans="1:1" x14ac:dyDescent="0.2">
      <c r="A3077" s="22">
        <v>0.49354952573776245</v>
      </c>
    </row>
    <row r="3078" spans="1:1" x14ac:dyDescent="0.2">
      <c r="A3078" s="22">
        <v>0.20848047733306885</v>
      </c>
    </row>
    <row r="3079" spans="1:1" x14ac:dyDescent="0.2">
      <c r="A3079" s="22">
        <v>0.43716174364089966</v>
      </c>
    </row>
    <row r="3080" spans="1:1" x14ac:dyDescent="0.2">
      <c r="A3080" s="22">
        <v>6.8195581436157227E-2</v>
      </c>
    </row>
    <row r="3081" spans="1:1" x14ac:dyDescent="0.2">
      <c r="A3081" s="22">
        <v>0.91136115789413452</v>
      </c>
    </row>
    <row r="3082" spans="1:1" x14ac:dyDescent="0.2">
      <c r="A3082" s="22">
        <v>0.11056315898895264</v>
      </c>
    </row>
    <row r="3083" spans="1:1" x14ac:dyDescent="0.2">
      <c r="A3083" s="22">
        <v>0.51436096429824829</v>
      </c>
    </row>
    <row r="3084" spans="1:1" x14ac:dyDescent="0.2">
      <c r="A3084" s="22">
        <v>0.73625612258911133</v>
      </c>
    </row>
    <row r="3085" spans="1:1" x14ac:dyDescent="0.2">
      <c r="A3085" s="22">
        <v>0.45820492506027222</v>
      </c>
    </row>
    <row r="3086" spans="1:1" x14ac:dyDescent="0.2">
      <c r="A3086" s="22">
        <v>6.6955685615539551E-2</v>
      </c>
    </row>
    <row r="3087" spans="1:1" x14ac:dyDescent="0.2">
      <c r="A3087" s="22">
        <v>0.10441190004348755</v>
      </c>
    </row>
    <row r="3088" spans="1:1" x14ac:dyDescent="0.2">
      <c r="A3088" s="22">
        <v>0.83841776847839355</v>
      </c>
    </row>
    <row r="3089" spans="1:1" x14ac:dyDescent="0.2">
      <c r="A3089" s="22">
        <v>0.78477662801742554</v>
      </c>
    </row>
    <row r="3090" spans="1:1" x14ac:dyDescent="0.2">
      <c r="A3090" s="22">
        <v>0.43807065486907959</v>
      </c>
    </row>
    <row r="3091" spans="1:1" x14ac:dyDescent="0.2">
      <c r="A3091" s="22">
        <v>0.18857675790786743</v>
      </c>
    </row>
    <row r="3092" spans="1:1" x14ac:dyDescent="0.2">
      <c r="A3092" s="22">
        <v>0.24339389801025391</v>
      </c>
    </row>
    <row r="3093" spans="1:1" x14ac:dyDescent="0.2">
      <c r="A3093" s="22">
        <v>0.84743613004684448</v>
      </c>
    </row>
    <row r="3094" spans="1:1" x14ac:dyDescent="0.2">
      <c r="A3094" s="22">
        <v>0.66732847690582275</v>
      </c>
    </row>
    <row r="3095" spans="1:1" x14ac:dyDescent="0.2">
      <c r="A3095" s="22">
        <v>0.49909430742263794</v>
      </c>
    </row>
    <row r="3096" spans="1:1" x14ac:dyDescent="0.2">
      <c r="A3096" s="22">
        <v>0.56696820259094238</v>
      </c>
    </row>
    <row r="3097" spans="1:1" x14ac:dyDescent="0.2">
      <c r="A3097" s="22">
        <v>0.36133235692977905</v>
      </c>
    </row>
    <row r="3098" spans="1:1" x14ac:dyDescent="0.2">
      <c r="A3098" s="22">
        <v>0.92178237438201904</v>
      </c>
    </row>
    <row r="3099" spans="1:1" x14ac:dyDescent="0.2">
      <c r="A3099" s="22">
        <v>0.59730488061904907</v>
      </c>
    </row>
    <row r="3100" spans="1:1" x14ac:dyDescent="0.2">
      <c r="A3100" s="22">
        <v>0.93761968612670898</v>
      </c>
    </row>
    <row r="3101" spans="1:1" x14ac:dyDescent="0.2">
      <c r="A3101" s="22">
        <v>0.50352829694747925</v>
      </c>
    </row>
    <row r="3102" spans="1:1" x14ac:dyDescent="0.2">
      <c r="A3102" s="22">
        <v>0.98274338245391846</v>
      </c>
    </row>
    <row r="3103" spans="1:1" x14ac:dyDescent="0.2">
      <c r="A3103" s="22">
        <v>0.20177537202835083</v>
      </c>
    </row>
    <row r="3104" spans="1:1" x14ac:dyDescent="0.2">
      <c r="A3104" s="22">
        <v>1.2147665023803711E-2</v>
      </c>
    </row>
    <row r="3105" spans="1:1" x14ac:dyDescent="0.2">
      <c r="A3105" s="22">
        <v>0.86612600088119507</v>
      </c>
    </row>
    <row r="3106" spans="1:1" x14ac:dyDescent="0.2">
      <c r="A3106" s="22">
        <v>0.386405348777771</v>
      </c>
    </row>
    <row r="3107" spans="1:1" x14ac:dyDescent="0.2">
      <c r="A3107" s="22">
        <v>0.76642423868179321</v>
      </c>
    </row>
    <row r="3108" spans="1:1" x14ac:dyDescent="0.2">
      <c r="A3108" s="22">
        <v>0.24129676818847656</v>
      </c>
    </row>
    <row r="3109" spans="1:1" x14ac:dyDescent="0.2">
      <c r="A3109" s="22">
        <v>0.65939158201217651</v>
      </c>
    </row>
    <row r="3110" spans="1:1" x14ac:dyDescent="0.2">
      <c r="A3110" s="22">
        <v>0.81446993350982666</v>
      </c>
    </row>
    <row r="3111" spans="1:1" x14ac:dyDescent="0.2">
      <c r="A3111" s="22">
        <v>0.30864650011062622</v>
      </c>
    </row>
    <row r="3112" spans="1:1" x14ac:dyDescent="0.2">
      <c r="A3112" s="22">
        <v>0.38538193702697754</v>
      </c>
    </row>
    <row r="3113" spans="1:1" x14ac:dyDescent="0.2">
      <c r="A3113" s="22">
        <v>0.16488021612167358</v>
      </c>
    </row>
    <row r="3114" spans="1:1" x14ac:dyDescent="0.2">
      <c r="A3114" s="22">
        <v>0.73477160930633545</v>
      </c>
    </row>
    <row r="3115" spans="1:1" x14ac:dyDescent="0.2">
      <c r="A3115" s="22">
        <v>0.48743873834609985</v>
      </c>
    </row>
    <row r="3116" spans="1:1" x14ac:dyDescent="0.2">
      <c r="A3116" s="22">
        <v>0.27991342544555664</v>
      </c>
    </row>
    <row r="3117" spans="1:1" x14ac:dyDescent="0.2">
      <c r="A3117" s="22">
        <v>0.43856114149093628</v>
      </c>
    </row>
    <row r="3118" spans="1:1" x14ac:dyDescent="0.2">
      <c r="A3118" s="22">
        <v>0.29190266132354736</v>
      </c>
    </row>
    <row r="3119" spans="1:1" x14ac:dyDescent="0.2">
      <c r="A3119" s="22">
        <v>0.93152409791946411</v>
      </c>
    </row>
    <row r="3120" spans="1:1" x14ac:dyDescent="0.2">
      <c r="A3120" s="22">
        <v>0.85122179985046387</v>
      </c>
    </row>
    <row r="3121" spans="1:1" x14ac:dyDescent="0.2">
      <c r="A3121" s="22">
        <v>0.2639426589012146</v>
      </c>
    </row>
    <row r="3122" spans="1:1" x14ac:dyDescent="0.2">
      <c r="A3122" s="22">
        <v>0.4478381872177124</v>
      </c>
    </row>
    <row r="3123" spans="1:1" x14ac:dyDescent="0.2">
      <c r="A3123" s="22">
        <v>0.81747728586196899</v>
      </c>
    </row>
    <row r="3124" spans="1:1" x14ac:dyDescent="0.2">
      <c r="A3124" s="22">
        <v>0.38208293914794922</v>
      </c>
    </row>
    <row r="3125" spans="1:1" x14ac:dyDescent="0.2">
      <c r="A3125" s="22">
        <v>0.35519713163375854</v>
      </c>
    </row>
    <row r="3126" spans="1:1" x14ac:dyDescent="0.2">
      <c r="A3126" s="22">
        <v>0.37256109714508057</v>
      </c>
    </row>
    <row r="3127" spans="1:1" x14ac:dyDescent="0.2">
      <c r="A3127" s="22">
        <v>0.6978495717048645</v>
      </c>
    </row>
    <row r="3128" spans="1:1" x14ac:dyDescent="0.2">
      <c r="A3128" s="22">
        <v>2.7343034744262695E-2</v>
      </c>
    </row>
    <row r="3129" spans="1:1" x14ac:dyDescent="0.2">
      <c r="A3129" s="22">
        <v>0.81028598546981812</v>
      </c>
    </row>
    <row r="3130" spans="1:1" x14ac:dyDescent="0.2">
      <c r="A3130" s="22">
        <v>8.4687113761901855E-2</v>
      </c>
    </row>
    <row r="3131" spans="1:1" x14ac:dyDescent="0.2">
      <c r="A3131" s="22">
        <v>0.57929378747940063</v>
      </c>
    </row>
    <row r="3132" spans="1:1" x14ac:dyDescent="0.2">
      <c r="A3132" s="22">
        <v>0.5795435905456543</v>
      </c>
    </row>
    <row r="3133" spans="1:1" x14ac:dyDescent="0.2">
      <c r="A3133" s="22">
        <v>0.81408470869064331</v>
      </c>
    </row>
    <row r="3134" spans="1:1" x14ac:dyDescent="0.2">
      <c r="A3134" s="22">
        <v>0.34208977222442627</v>
      </c>
    </row>
    <row r="3135" spans="1:1" x14ac:dyDescent="0.2">
      <c r="A3135" s="22">
        <v>0.25068932771682739</v>
      </c>
    </row>
    <row r="3136" spans="1:1" x14ac:dyDescent="0.2">
      <c r="A3136" s="22">
        <v>0.48454642295837402</v>
      </c>
    </row>
    <row r="3137" spans="1:1" x14ac:dyDescent="0.2">
      <c r="A3137" s="22">
        <v>0.59150785207748413</v>
      </c>
    </row>
    <row r="3138" spans="1:1" x14ac:dyDescent="0.2">
      <c r="A3138" s="22">
        <v>0.78252542018890381</v>
      </c>
    </row>
    <row r="3139" spans="1:1" x14ac:dyDescent="0.2">
      <c r="A3139" s="22">
        <v>0.86126714944839478</v>
      </c>
    </row>
    <row r="3140" spans="1:1" x14ac:dyDescent="0.2">
      <c r="A3140" s="22">
        <v>0.10715866088867188</v>
      </c>
    </row>
    <row r="3141" spans="1:1" x14ac:dyDescent="0.2">
      <c r="A3141" s="22">
        <v>0.61063402891159058</v>
      </c>
    </row>
    <row r="3142" spans="1:1" x14ac:dyDescent="0.2">
      <c r="A3142" s="22">
        <v>0.31425821781158447</v>
      </c>
    </row>
    <row r="3143" spans="1:1" x14ac:dyDescent="0.2">
      <c r="A3143" s="22">
        <v>0.74873477220535278</v>
      </c>
    </row>
    <row r="3144" spans="1:1" x14ac:dyDescent="0.2">
      <c r="A3144" s="22">
        <v>0.24675774574279785</v>
      </c>
    </row>
    <row r="3145" spans="1:1" x14ac:dyDescent="0.2">
      <c r="A3145" s="22">
        <v>3.5830914974212646E-2</v>
      </c>
    </row>
    <row r="3146" spans="1:1" x14ac:dyDescent="0.2">
      <c r="A3146" s="22">
        <v>0.75668513774871826</v>
      </c>
    </row>
    <row r="3147" spans="1:1" x14ac:dyDescent="0.2">
      <c r="A3147" s="22">
        <v>0.51740127801895142</v>
      </c>
    </row>
    <row r="3148" spans="1:1" x14ac:dyDescent="0.2">
      <c r="A3148" s="22">
        <v>0.90291643142700195</v>
      </c>
    </row>
    <row r="3149" spans="1:1" x14ac:dyDescent="0.2">
      <c r="A3149" s="22">
        <v>0.43088024854660034</v>
      </c>
    </row>
    <row r="3150" spans="1:1" x14ac:dyDescent="0.2">
      <c r="A3150" s="22">
        <v>0.73096096515655518</v>
      </c>
    </row>
    <row r="3151" spans="1:1" x14ac:dyDescent="0.2">
      <c r="A3151" s="22">
        <v>0.36630231142044067</v>
      </c>
    </row>
    <row r="3152" spans="1:1" x14ac:dyDescent="0.2">
      <c r="A3152" s="22">
        <v>0.29102778434753418</v>
      </c>
    </row>
    <row r="3153" spans="1:1" x14ac:dyDescent="0.2">
      <c r="A3153" s="22">
        <v>0.71210283041000366</v>
      </c>
    </row>
    <row r="3154" spans="1:1" x14ac:dyDescent="0.2">
      <c r="A3154" s="22">
        <v>0.80062329769134521</v>
      </c>
    </row>
    <row r="3155" spans="1:1" x14ac:dyDescent="0.2">
      <c r="A3155" s="22">
        <v>0.66732507944107056</v>
      </c>
    </row>
    <row r="3156" spans="1:1" x14ac:dyDescent="0.2">
      <c r="A3156" s="22">
        <v>0.10793018341064453</v>
      </c>
    </row>
    <row r="3157" spans="1:1" x14ac:dyDescent="0.2">
      <c r="A3157" s="22">
        <v>0.35148352384567261</v>
      </c>
    </row>
    <row r="3158" spans="1:1" x14ac:dyDescent="0.2">
      <c r="A3158" s="22">
        <v>0.86221754550933838</v>
      </c>
    </row>
    <row r="3159" spans="1:1" x14ac:dyDescent="0.2">
      <c r="A3159" s="22">
        <v>0.79333335161209106</v>
      </c>
    </row>
    <row r="3160" spans="1:1" x14ac:dyDescent="0.2">
      <c r="A3160" s="22">
        <v>4.7532320022583008E-2</v>
      </c>
    </row>
    <row r="3161" spans="1:1" x14ac:dyDescent="0.2">
      <c r="A3161" s="22">
        <v>0.82979625463485718</v>
      </c>
    </row>
    <row r="3162" spans="1:1" x14ac:dyDescent="0.2">
      <c r="A3162" s="22">
        <v>0.78592193126678467</v>
      </c>
    </row>
    <row r="3163" spans="1:1" x14ac:dyDescent="0.2">
      <c r="A3163" s="22">
        <v>0.1962924599647522</v>
      </c>
    </row>
    <row r="3164" spans="1:1" x14ac:dyDescent="0.2">
      <c r="A3164" s="22">
        <v>0.56643819808959961</v>
      </c>
    </row>
    <row r="3165" spans="1:1" x14ac:dyDescent="0.2">
      <c r="A3165" s="22">
        <v>0.33972901105880737</v>
      </c>
    </row>
    <row r="3166" spans="1:1" x14ac:dyDescent="0.2">
      <c r="A3166" s="22">
        <v>0.30617249011993408</v>
      </c>
    </row>
    <row r="3167" spans="1:1" x14ac:dyDescent="0.2">
      <c r="A3167" s="22">
        <v>0.73539429903030396</v>
      </c>
    </row>
    <row r="3168" spans="1:1" x14ac:dyDescent="0.2">
      <c r="A3168" s="22">
        <v>0.89957213401794434</v>
      </c>
    </row>
    <row r="3169" spans="1:1" x14ac:dyDescent="0.2">
      <c r="A3169" s="22">
        <v>0.73900884389877319</v>
      </c>
    </row>
    <row r="3170" spans="1:1" x14ac:dyDescent="0.2">
      <c r="A3170" s="22">
        <v>0.16228806972503662</v>
      </c>
    </row>
    <row r="3171" spans="1:1" x14ac:dyDescent="0.2">
      <c r="A3171" s="22">
        <v>0.25518232583999634</v>
      </c>
    </row>
    <row r="3172" spans="1:1" x14ac:dyDescent="0.2">
      <c r="A3172" s="22">
        <v>0.32580375671386719</v>
      </c>
    </row>
    <row r="3173" spans="1:1" x14ac:dyDescent="0.2">
      <c r="A3173" s="22">
        <v>0.75352686643600464</v>
      </c>
    </row>
    <row r="3174" spans="1:1" x14ac:dyDescent="0.2">
      <c r="A3174" s="22">
        <v>0.48909533023834229</v>
      </c>
    </row>
    <row r="3175" spans="1:1" x14ac:dyDescent="0.2">
      <c r="A3175" s="22">
        <v>0.41367655992507935</v>
      </c>
    </row>
    <row r="3176" spans="1:1" x14ac:dyDescent="0.2">
      <c r="A3176" s="22">
        <v>0.68357300758361816</v>
      </c>
    </row>
    <row r="3177" spans="1:1" x14ac:dyDescent="0.2">
      <c r="A3177" s="22">
        <v>0.43046325445175171</v>
      </c>
    </row>
    <row r="3178" spans="1:1" x14ac:dyDescent="0.2">
      <c r="A3178" s="22">
        <v>0.45755374431610107</v>
      </c>
    </row>
    <row r="3179" spans="1:1" x14ac:dyDescent="0.2">
      <c r="A3179" s="22">
        <v>0.76049858331680298</v>
      </c>
    </row>
    <row r="3180" spans="1:1" x14ac:dyDescent="0.2">
      <c r="A3180" s="22">
        <v>0.13651514053344727</v>
      </c>
    </row>
    <row r="3181" spans="1:1" x14ac:dyDescent="0.2">
      <c r="A3181" s="22">
        <v>0.8414122462272644</v>
      </c>
    </row>
    <row r="3182" spans="1:1" x14ac:dyDescent="0.2">
      <c r="A3182" s="22">
        <v>0.16538059711456299</v>
      </c>
    </row>
    <row r="3183" spans="1:1" x14ac:dyDescent="0.2">
      <c r="A3183" s="22">
        <v>6.4996540546417236E-2</v>
      </c>
    </row>
    <row r="3184" spans="1:1" x14ac:dyDescent="0.2">
      <c r="A3184" s="22">
        <v>0.18908572196960449</v>
      </c>
    </row>
    <row r="3185" spans="1:1" x14ac:dyDescent="0.2">
      <c r="A3185" s="22">
        <v>3.5507142543792725E-2</v>
      </c>
    </row>
    <row r="3186" spans="1:1" x14ac:dyDescent="0.2">
      <c r="A3186" s="22">
        <v>0.77767598628997803</v>
      </c>
    </row>
    <row r="3187" spans="1:1" x14ac:dyDescent="0.2">
      <c r="A3187" s="22">
        <v>0.89437013864517212</v>
      </c>
    </row>
    <row r="3188" spans="1:1" x14ac:dyDescent="0.2">
      <c r="A3188" s="22">
        <v>0.95218563079833984</v>
      </c>
    </row>
    <row r="3189" spans="1:1" x14ac:dyDescent="0.2">
      <c r="A3189" s="22">
        <v>0.24254530668258667</v>
      </c>
    </row>
    <row r="3190" spans="1:1" x14ac:dyDescent="0.2">
      <c r="A3190" s="22">
        <v>0.91754782199859619</v>
      </c>
    </row>
    <row r="3191" spans="1:1" x14ac:dyDescent="0.2">
      <c r="A3191" s="22">
        <v>0.44179564714431763</v>
      </c>
    </row>
    <row r="3192" spans="1:1" x14ac:dyDescent="0.2">
      <c r="A3192" s="22">
        <v>0.65878605842590332</v>
      </c>
    </row>
    <row r="3193" spans="1:1" x14ac:dyDescent="0.2">
      <c r="A3193" s="22">
        <v>0.32611316442489624</v>
      </c>
    </row>
    <row r="3194" spans="1:1" x14ac:dyDescent="0.2">
      <c r="A3194" s="22">
        <v>0.30673682689666748</v>
      </c>
    </row>
    <row r="3195" spans="1:1" x14ac:dyDescent="0.2">
      <c r="A3195" s="22">
        <v>0.60455089807510376</v>
      </c>
    </row>
    <row r="3196" spans="1:1" x14ac:dyDescent="0.2">
      <c r="A3196" s="22">
        <v>0.42955350875854492</v>
      </c>
    </row>
    <row r="3197" spans="1:1" x14ac:dyDescent="0.2">
      <c r="A3197" s="22">
        <v>0.48671120405197144</v>
      </c>
    </row>
    <row r="3198" spans="1:1" x14ac:dyDescent="0.2">
      <c r="A3198" s="22">
        <v>0.65624153614044189</v>
      </c>
    </row>
    <row r="3199" spans="1:1" x14ac:dyDescent="0.2">
      <c r="A3199" s="22">
        <v>0.31214028596878052</v>
      </c>
    </row>
    <row r="3200" spans="1:1" x14ac:dyDescent="0.2">
      <c r="A3200" s="22">
        <v>0.28847479820251465</v>
      </c>
    </row>
    <row r="3201" spans="1:1" x14ac:dyDescent="0.2">
      <c r="A3201" s="22">
        <v>0.21487897634506226</v>
      </c>
    </row>
    <row r="3202" spans="1:1" x14ac:dyDescent="0.2">
      <c r="A3202" s="22">
        <v>0.80694329738616943</v>
      </c>
    </row>
    <row r="3203" spans="1:1" x14ac:dyDescent="0.2">
      <c r="A3203" s="22">
        <v>0.1044197678565979</v>
      </c>
    </row>
    <row r="3204" spans="1:1" x14ac:dyDescent="0.2">
      <c r="A3204" s="22">
        <v>0.4284820556640625</v>
      </c>
    </row>
    <row r="3205" spans="1:1" x14ac:dyDescent="0.2">
      <c r="A3205" s="22">
        <v>0.4943200945854187</v>
      </c>
    </row>
    <row r="3206" spans="1:1" x14ac:dyDescent="0.2">
      <c r="A3206" s="22">
        <v>0.1202312707901001</v>
      </c>
    </row>
    <row r="3207" spans="1:1" x14ac:dyDescent="0.2">
      <c r="A3207" s="22">
        <v>0.95972186326980591</v>
      </c>
    </row>
    <row r="3208" spans="1:1" x14ac:dyDescent="0.2">
      <c r="A3208" s="22">
        <v>0.72707772254943848</v>
      </c>
    </row>
    <row r="3209" spans="1:1" x14ac:dyDescent="0.2">
      <c r="A3209" s="22">
        <v>0.25502723455429077</v>
      </c>
    </row>
    <row r="3210" spans="1:1" x14ac:dyDescent="0.2">
      <c r="A3210" s="22">
        <v>0.11862742900848389</v>
      </c>
    </row>
    <row r="3211" spans="1:1" x14ac:dyDescent="0.2">
      <c r="A3211" s="22">
        <v>0.37298065423965454</v>
      </c>
    </row>
    <row r="3212" spans="1:1" x14ac:dyDescent="0.2">
      <c r="A3212" s="22">
        <v>0.51195955276489258</v>
      </c>
    </row>
    <row r="3213" spans="1:1" x14ac:dyDescent="0.2">
      <c r="A3213" s="22">
        <v>7.6407134532928467E-2</v>
      </c>
    </row>
    <row r="3214" spans="1:1" x14ac:dyDescent="0.2">
      <c r="A3214" s="22">
        <v>0.3764115571975708</v>
      </c>
    </row>
    <row r="3215" spans="1:1" x14ac:dyDescent="0.2">
      <c r="A3215" s="22">
        <v>0.6838567852973938</v>
      </c>
    </row>
    <row r="3216" spans="1:1" x14ac:dyDescent="0.2">
      <c r="A3216" s="22">
        <v>0.5766456127166748</v>
      </c>
    </row>
    <row r="3217" spans="1:1" x14ac:dyDescent="0.2">
      <c r="A3217" s="22">
        <v>0.14040559530258179</v>
      </c>
    </row>
    <row r="3218" spans="1:1" x14ac:dyDescent="0.2">
      <c r="A3218" s="22">
        <v>0.66024625301361084</v>
      </c>
    </row>
    <row r="3219" spans="1:1" x14ac:dyDescent="0.2">
      <c r="A3219" s="22">
        <v>0.65486246347427368</v>
      </c>
    </row>
    <row r="3220" spans="1:1" x14ac:dyDescent="0.2">
      <c r="A3220" s="22">
        <v>0.44609928131103516</v>
      </c>
    </row>
    <row r="3221" spans="1:1" x14ac:dyDescent="0.2">
      <c r="A3221" s="22">
        <v>0.43463248014450073</v>
      </c>
    </row>
    <row r="3222" spans="1:1" x14ac:dyDescent="0.2">
      <c r="A3222" s="22">
        <v>0.319801926612854</v>
      </c>
    </row>
    <row r="3223" spans="1:1" x14ac:dyDescent="0.2">
      <c r="A3223" s="22">
        <v>0.29948645830154419</v>
      </c>
    </row>
    <row r="3224" spans="1:1" x14ac:dyDescent="0.2">
      <c r="A3224" s="22">
        <v>0.89235424995422363</v>
      </c>
    </row>
    <row r="3225" spans="1:1" x14ac:dyDescent="0.2">
      <c r="A3225" s="22">
        <v>0.2054867148399353</v>
      </c>
    </row>
    <row r="3226" spans="1:1" x14ac:dyDescent="0.2">
      <c r="A3226" s="22">
        <v>0.92838180065155029</v>
      </c>
    </row>
    <row r="3227" spans="1:1" x14ac:dyDescent="0.2">
      <c r="A3227" s="22">
        <v>0.96031910181045532</v>
      </c>
    </row>
    <row r="3228" spans="1:1" x14ac:dyDescent="0.2">
      <c r="A3228" s="22">
        <v>0.70013952255249023</v>
      </c>
    </row>
    <row r="3229" spans="1:1" x14ac:dyDescent="0.2">
      <c r="A3229" s="22">
        <v>0.6612812876701355</v>
      </c>
    </row>
    <row r="3230" spans="1:1" x14ac:dyDescent="0.2">
      <c r="A3230" s="22">
        <v>0.17354691028594971</v>
      </c>
    </row>
    <row r="3231" spans="1:1" x14ac:dyDescent="0.2">
      <c r="A3231" s="22">
        <v>0.63717728853225708</v>
      </c>
    </row>
    <row r="3232" spans="1:1" x14ac:dyDescent="0.2">
      <c r="A3232" s="22">
        <v>0.68250441551208496</v>
      </c>
    </row>
    <row r="3233" spans="1:1" x14ac:dyDescent="0.2">
      <c r="A3233" s="22">
        <v>0.92536824941635132</v>
      </c>
    </row>
    <row r="3234" spans="1:1" x14ac:dyDescent="0.2">
      <c r="A3234" s="22">
        <v>0.99774110317230225</v>
      </c>
    </row>
    <row r="3235" spans="1:1" x14ac:dyDescent="0.2">
      <c r="A3235" s="22">
        <v>0.56522947549819946</v>
      </c>
    </row>
    <row r="3236" spans="1:1" x14ac:dyDescent="0.2">
      <c r="A3236" s="22">
        <v>0.94644355773925781</v>
      </c>
    </row>
    <row r="3237" spans="1:1" x14ac:dyDescent="0.2">
      <c r="A3237" s="22">
        <v>0.23926371335983276</v>
      </c>
    </row>
    <row r="3238" spans="1:1" x14ac:dyDescent="0.2">
      <c r="A3238" s="22">
        <v>0.98891603946685791</v>
      </c>
    </row>
    <row r="3239" spans="1:1" x14ac:dyDescent="0.2">
      <c r="A3239" s="22">
        <v>4.3120682239532471E-2</v>
      </c>
    </row>
    <row r="3240" spans="1:1" x14ac:dyDescent="0.2">
      <c r="A3240" s="22">
        <v>0.40852189064025879</v>
      </c>
    </row>
    <row r="3241" spans="1:1" x14ac:dyDescent="0.2">
      <c r="A3241" s="22">
        <v>0.41577285528182983</v>
      </c>
    </row>
    <row r="3242" spans="1:1" x14ac:dyDescent="0.2">
      <c r="A3242" s="22">
        <v>2.1156191825866699E-2</v>
      </c>
    </row>
    <row r="3243" spans="1:1" x14ac:dyDescent="0.2">
      <c r="A3243" s="22">
        <v>0.5110974907875061</v>
      </c>
    </row>
    <row r="3244" spans="1:1" x14ac:dyDescent="0.2">
      <c r="A3244" s="22">
        <v>0.56049966812133789</v>
      </c>
    </row>
    <row r="3245" spans="1:1" x14ac:dyDescent="0.2">
      <c r="A3245" s="22">
        <v>0.54211491346359253</v>
      </c>
    </row>
    <row r="3246" spans="1:1" x14ac:dyDescent="0.2">
      <c r="A3246" s="22">
        <v>0.14530384540557861</v>
      </c>
    </row>
    <row r="3247" spans="1:1" x14ac:dyDescent="0.2">
      <c r="A3247" s="22">
        <v>0.87913304567337036</v>
      </c>
    </row>
    <row r="3248" spans="1:1" x14ac:dyDescent="0.2">
      <c r="A3248" s="22">
        <v>0.48495745658874512</v>
      </c>
    </row>
    <row r="3249" spans="1:1" x14ac:dyDescent="0.2">
      <c r="A3249" s="22">
        <v>0.93304818868637085</v>
      </c>
    </row>
    <row r="3250" spans="1:1" x14ac:dyDescent="0.2">
      <c r="A3250" s="22">
        <v>0.72958409786224365</v>
      </c>
    </row>
    <row r="3251" spans="1:1" x14ac:dyDescent="0.2">
      <c r="A3251" s="22">
        <v>0.10505205392837524</v>
      </c>
    </row>
    <row r="3252" spans="1:1" x14ac:dyDescent="0.2">
      <c r="A3252" s="22">
        <v>0.12092113494873047</v>
      </c>
    </row>
    <row r="3253" spans="1:1" x14ac:dyDescent="0.2">
      <c r="A3253" s="22">
        <v>0.33399504423141479</v>
      </c>
    </row>
    <row r="3254" spans="1:1" x14ac:dyDescent="0.2">
      <c r="A3254" s="22">
        <v>0.85022985935211182</v>
      </c>
    </row>
    <row r="3255" spans="1:1" x14ac:dyDescent="0.2">
      <c r="A3255" s="22">
        <v>2.2655785083770752E-2</v>
      </c>
    </row>
    <row r="3256" spans="1:1" x14ac:dyDescent="0.2">
      <c r="A3256" s="22">
        <v>0.77948689460754395</v>
      </c>
    </row>
    <row r="3257" spans="1:1" x14ac:dyDescent="0.2">
      <c r="A3257" s="22">
        <v>0.37416690587997437</v>
      </c>
    </row>
    <row r="3258" spans="1:1" x14ac:dyDescent="0.2">
      <c r="A3258" s="22">
        <v>0.93210685253143311</v>
      </c>
    </row>
    <row r="3259" spans="1:1" x14ac:dyDescent="0.2">
      <c r="A3259" s="22">
        <v>0.41984707117080688</v>
      </c>
    </row>
    <row r="3260" spans="1:1" x14ac:dyDescent="0.2">
      <c r="A3260" s="22">
        <v>0.90944623947143555</v>
      </c>
    </row>
    <row r="3261" spans="1:1" x14ac:dyDescent="0.2">
      <c r="A3261" s="22">
        <v>0.26968926191329956</v>
      </c>
    </row>
    <row r="3262" spans="1:1" x14ac:dyDescent="0.2">
      <c r="A3262" s="22">
        <v>0.63933861255645752</v>
      </c>
    </row>
    <row r="3263" spans="1:1" x14ac:dyDescent="0.2">
      <c r="A3263" s="22">
        <v>0.36675530672073364</v>
      </c>
    </row>
    <row r="3264" spans="1:1" x14ac:dyDescent="0.2">
      <c r="A3264" s="22">
        <v>0.11291098594665527</v>
      </c>
    </row>
    <row r="3265" spans="1:1" x14ac:dyDescent="0.2">
      <c r="A3265" s="22">
        <v>0.77672666311264038</v>
      </c>
    </row>
    <row r="3266" spans="1:1" x14ac:dyDescent="0.2">
      <c r="A3266" s="22">
        <v>1.5931487083435059E-2</v>
      </c>
    </row>
    <row r="3267" spans="1:1" x14ac:dyDescent="0.2">
      <c r="A3267" s="22">
        <v>0.79386144876480103</v>
      </c>
    </row>
    <row r="3268" spans="1:1" x14ac:dyDescent="0.2">
      <c r="A3268" s="22">
        <v>0.41093826293945313</v>
      </c>
    </row>
    <row r="3269" spans="1:1" x14ac:dyDescent="0.2">
      <c r="A3269" s="22">
        <v>0.39460772275924683</v>
      </c>
    </row>
    <row r="3270" spans="1:1" x14ac:dyDescent="0.2">
      <c r="A3270" s="22">
        <v>0.87639963626861572</v>
      </c>
    </row>
    <row r="3271" spans="1:1" x14ac:dyDescent="0.2">
      <c r="A3271" s="22">
        <v>0.32012301683425903</v>
      </c>
    </row>
    <row r="3272" spans="1:1" x14ac:dyDescent="0.2">
      <c r="A3272" s="22">
        <v>0.7591555118560791</v>
      </c>
    </row>
    <row r="3273" spans="1:1" x14ac:dyDescent="0.2">
      <c r="A3273" s="22">
        <v>0.8189501166343689</v>
      </c>
    </row>
    <row r="3274" spans="1:1" x14ac:dyDescent="0.2">
      <c r="A3274" s="22">
        <v>0.44639003276824951</v>
      </c>
    </row>
    <row r="3275" spans="1:1" x14ac:dyDescent="0.2">
      <c r="A3275" s="22">
        <v>0.33109909296035767</v>
      </c>
    </row>
    <row r="3276" spans="1:1" x14ac:dyDescent="0.2">
      <c r="A3276" s="22">
        <v>0.8133854866027832</v>
      </c>
    </row>
    <row r="3277" spans="1:1" x14ac:dyDescent="0.2">
      <c r="A3277" s="22">
        <v>0.64478558301925659</v>
      </c>
    </row>
    <row r="3278" spans="1:1" x14ac:dyDescent="0.2">
      <c r="A3278" s="22">
        <v>0.25330746173858643</v>
      </c>
    </row>
    <row r="3279" spans="1:1" x14ac:dyDescent="0.2">
      <c r="A3279" s="22">
        <v>0.30707532167434692</v>
      </c>
    </row>
    <row r="3280" spans="1:1" x14ac:dyDescent="0.2">
      <c r="A3280" s="22">
        <v>0.94527125358581543</v>
      </c>
    </row>
    <row r="3281" spans="1:1" x14ac:dyDescent="0.2">
      <c r="A3281" s="22">
        <v>0.31968492269515991</v>
      </c>
    </row>
    <row r="3282" spans="1:1" x14ac:dyDescent="0.2">
      <c r="A3282" s="22">
        <v>0.26693952083587646</v>
      </c>
    </row>
    <row r="3283" spans="1:1" x14ac:dyDescent="0.2">
      <c r="A3283" s="22">
        <v>0.40118891000747681</v>
      </c>
    </row>
    <row r="3284" spans="1:1" x14ac:dyDescent="0.2">
      <c r="A3284" s="22">
        <v>0.50790119171142578</v>
      </c>
    </row>
    <row r="3285" spans="1:1" x14ac:dyDescent="0.2">
      <c r="A3285" s="22">
        <v>0.34688299894332886</v>
      </c>
    </row>
    <row r="3286" spans="1:1" x14ac:dyDescent="0.2">
      <c r="A3286" s="22">
        <v>0.29008162021636963</v>
      </c>
    </row>
    <row r="3287" spans="1:1" x14ac:dyDescent="0.2">
      <c r="A3287" s="22">
        <v>0.26755362749099731</v>
      </c>
    </row>
    <row r="3288" spans="1:1" x14ac:dyDescent="0.2">
      <c r="A3288" s="22">
        <v>0.35143399238586426</v>
      </c>
    </row>
    <row r="3289" spans="1:1" x14ac:dyDescent="0.2">
      <c r="A3289" s="22">
        <v>0.73840373754501343</v>
      </c>
    </row>
    <row r="3290" spans="1:1" x14ac:dyDescent="0.2">
      <c r="A3290" s="22">
        <v>0.59916198253631592</v>
      </c>
    </row>
    <row r="3291" spans="1:1" x14ac:dyDescent="0.2">
      <c r="A3291" s="22">
        <v>0.13938480615615845</v>
      </c>
    </row>
    <row r="3292" spans="1:1" x14ac:dyDescent="0.2">
      <c r="A3292" s="22">
        <v>0.58872365951538086</v>
      </c>
    </row>
    <row r="3293" spans="1:1" x14ac:dyDescent="0.2">
      <c r="A3293" s="22">
        <v>0.71818512678146362</v>
      </c>
    </row>
    <row r="3294" spans="1:1" x14ac:dyDescent="0.2">
      <c r="A3294" s="22">
        <v>0.83486664295196533</v>
      </c>
    </row>
    <row r="3295" spans="1:1" x14ac:dyDescent="0.2">
      <c r="A3295" s="22">
        <v>0.15712434053421021</v>
      </c>
    </row>
    <row r="3296" spans="1:1" x14ac:dyDescent="0.2">
      <c r="A3296" s="22">
        <v>0.61094450950622559</v>
      </c>
    </row>
    <row r="3297" spans="1:1" x14ac:dyDescent="0.2">
      <c r="A3297" s="22">
        <v>0.67520421743392944</v>
      </c>
    </row>
    <row r="3298" spans="1:1" x14ac:dyDescent="0.2">
      <c r="A3298" s="22">
        <v>0.14276444911956787</v>
      </c>
    </row>
    <row r="3299" spans="1:1" x14ac:dyDescent="0.2">
      <c r="A3299" s="22">
        <v>0.94656568765640259</v>
      </c>
    </row>
    <row r="3300" spans="1:1" x14ac:dyDescent="0.2">
      <c r="A3300" s="22">
        <v>0.35321617126464844</v>
      </c>
    </row>
    <row r="3301" spans="1:1" x14ac:dyDescent="0.2">
      <c r="A3301" s="22">
        <v>0.36660212278366089</v>
      </c>
    </row>
    <row r="3302" spans="1:1" x14ac:dyDescent="0.2">
      <c r="A3302" s="22">
        <v>0.56393206119537354</v>
      </c>
    </row>
    <row r="3303" spans="1:1" x14ac:dyDescent="0.2">
      <c r="A3303" s="22">
        <v>0.4469788670539856</v>
      </c>
    </row>
    <row r="3304" spans="1:1" x14ac:dyDescent="0.2">
      <c r="A3304" s="22">
        <v>0.81022858619689941</v>
      </c>
    </row>
    <row r="3305" spans="1:1" x14ac:dyDescent="0.2">
      <c r="A3305" s="22">
        <v>0.37080901861190796</v>
      </c>
    </row>
    <row r="3306" spans="1:1" x14ac:dyDescent="0.2">
      <c r="A3306" s="22">
        <v>0.67557895183563232</v>
      </c>
    </row>
    <row r="3307" spans="1:1" x14ac:dyDescent="0.2">
      <c r="A3307" s="22">
        <v>0.98923546075820923</v>
      </c>
    </row>
    <row r="3308" spans="1:1" x14ac:dyDescent="0.2">
      <c r="A3308" s="22">
        <v>0.80186700820922852</v>
      </c>
    </row>
    <row r="3309" spans="1:1" x14ac:dyDescent="0.2">
      <c r="A3309" s="22">
        <v>0.79066914319992065</v>
      </c>
    </row>
    <row r="3310" spans="1:1" x14ac:dyDescent="0.2">
      <c r="A3310" s="22">
        <v>0.48167240619659424</v>
      </c>
    </row>
    <row r="3311" spans="1:1" x14ac:dyDescent="0.2">
      <c r="A3311" s="22">
        <v>0.62393361330032349</v>
      </c>
    </row>
    <row r="3312" spans="1:1" x14ac:dyDescent="0.2">
      <c r="A3312" s="22">
        <v>0.98883700370788574</v>
      </c>
    </row>
    <row r="3313" spans="1:1" x14ac:dyDescent="0.2">
      <c r="A3313" s="22">
        <v>0.20656579732894897</v>
      </c>
    </row>
    <row r="3314" spans="1:1" x14ac:dyDescent="0.2">
      <c r="A3314" s="22">
        <v>0.55356252193450928</v>
      </c>
    </row>
    <row r="3315" spans="1:1" x14ac:dyDescent="0.2">
      <c r="A3315" s="22">
        <v>0.69952303171157837</v>
      </c>
    </row>
    <row r="3316" spans="1:1" x14ac:dyDescent="0.2">
      <c r="A3316" s="22">
        <v>0.13828945159912109</v>
      </c>
    </row>
    <row r="3317" spans="1:1" x14ac:dyDescent="0.2">
      <c r="A3317" s="22">
        <v>0.87954634428024292</v>
      </c>
    </row>
    <row r="3318" spans="1:1" x14ac:dyDescent="0.2">
      <c r="A3318" s="22">
        <v>0.42060720920562744</v>
      </c>
    </row>
    <row r="3319" spans="1:1" x14ac:dyDescent="0.2">
      <c r="A3319" s="22">
        <v>0.69042998552322388</v>
      </c>
    </row>
    <row r="3320" spans="1:1" x14ac:dyDescent="0.2">
      <c r="A3320" s="22">
        <v>0.63944554328918457</v>
      </c>
    </row>
    <row r="3321" spans="1:1" x14ac:dyDescent="0.2">
      <c r="A3321" s="22">
        <v>0.20444720983505249</v>
      </c>
    </row>
    <row r="3322" spans="1:1" x14ac:dyDescent="0.2">
      <c r="A3322" s="22">
        <v>0.21079719066619873</v>
      </c>
    </row>
    <row r="3323" spans="1:1" x14ac:dyDescent="0.2">
      <c r="A3323" s="22">
        <v>0.27518230676651001</v>
      </c>
    </row>
    <row r="3324" spans="1:1" x14ac:dyDescent="0.2">
      <c r="A3324" s="22">
        <v>0.26922178268432617</v>
      </c>
    </row>
    <row r="3325" spans="1:1" x14ac:dyDescent="0.2">
      <c r="A3325" s="22">
        <v>0.41301888227462769</v>
      </c>
    </row>
    <row r="3326" spans="1:1" x14ac:dyDescent="0.2">
      <c r="A3326" s="22">
        <v>0.54138100147247314</v>
      </c>
    </row>
    <row r="3327" spans="1:1" x14ac:dyDescent="0.2">
      <c r="A3327" s="22">
        <v>0.66453438997268677</v>
      </c>
    </row>
    <row r="3328" spans="1:1" x14ac:dyDescent="0.2">
      <c r="A3328" s="22">
        <v>0.2078549861907959</v>
      </c>
    </row>
    <row r="3329" spans="1:1" x14ac:dyDescent="0.2">
      <c r="A3329" s="22">
        <v>0.52705091238021851</v>
      </c>
    </row>
    <row r="3330" spans="1:1" x14ac:dyDescent="0.2">
      <c r="A3330" s="22">
        <v>0.65948998928070068</v>
      </c>
    </row>
    <row r="3331" spans="1:1" x14ac:dyDescent="0.2">
      <c r="A3331" s="22">
        <v>0.17959219217300415</v>
      </c>
    </row>
    <row r="3332" spans="1:1" x14ac:dyDescent="0.2">
      <c r="A3332" s="22">
        <v>0.30452728271484375</v>
      </c>
    </row>
    <row r="3333" spans="1:1" x14ac:dyDescent="0.2">
      <c r="A3333" s="22">
        <v>0.56149691343307495</v>
      </c>
    </row>
    <row r="3334" spans="1:1" x14ac:dyDescent="0.2">
      <c r="A3334" s="22">
        <v>0.83276331424713135</v>
      </c>
    </row>
    <row r="3335" spans="1:1" x14ac:dyDescent="0.2">
      <c r="A3335" s="22">
        <v>7.9938232898712158E-2</v>
      </c>
    </row>
    <row r="3336" spans="1:1" x14ac:dyDescent="0.2">
      <c r="A3336" s="22">
        <v>0.59299111366271973</v>
      </c>
    </row>
    <row r="3337" spans="1:1" x14ac:dyDescent="0.2">
      <c r="A3337" s="22">
        <v>0.97759956121444702</v>
      </c>
    </row>
    <row r="3338" spans="1:1" x14ac:dyDescent="0.2">
      <c r="A3338" s="22">
        <v>0.98997294902801514</v>
      </c>
    </row>
    <row r="3339" spans="1:1" x14ac:dyDescent="0.2">
      <c r="A3339" s="22">
        <v>0.64175659418106079</v>
      </c>
    </row>
    <row r="3340" spans="1:1" x14ac:dyDescent="0.2">
      <c r="A3340" s="22">
        <v>5.7194232940673828E-2</v>
      </c>
    </row>
    <row r="3341" spans="1:1" x14ac:dyDescent="0.2">
      <c r="A3341" s="22">
        <v>0.38601559400558472</v>
      </c>
    </row>
    <row r="3342" spans="1:1" x14ac:dyDescent="0.2">
      <c r="A3342" s="22">
        <v>0.61164867877960205</v>
      </c>
    </row>
    <row r="3343" spans="1:1" x14ac:dyDescent="0.2">
      <c r="A3343" s="22">
        <v>0.48595792055130005</v>
      </c>
    </row>
    <row r="3344" spans="1:1" x14ac:dyDescent="0.2">
      <c r="A3344" s="22">
        <v>0.64690470695495605</v>
      </c>
    </row>
    <row r="3345" spans="1:1" x14ac:dyDescent="0.2">
      <c r="A3345" s="22">
        <v>0.49994081258773804</v>
      </c>
    </row>
    <row r="3346" spans="1:1" x14ac:dyDescent="0.2">
      <c r="A3346" s="22">
        <v>0.87070310115814209</v>
      </c>
    </row>
    <row r="3347" spans="1:1" x14ac:dyDescent="0.2">
      <c r="A3347" s="22">
        <v>0.15630441904067993</v>
      </c>
    </row>
    <row r="3348" spans="1:1" x14ac:dyDescent="0.2">
      <c r="A3348" s="22">
        <v>0.54333591461181641</v>
      </c>
    </row>
    <row r="3349" spans="1:1" x14ac:dyDescent="0.2">
      <c r="A3349" s="22">
        <v>0.33823508024215698</v>
      </c>
    </row>
    <row r="3350" spans="1:1" x14ac:dyDescent="0.2">
      <c r="A3350" s="22">
        <v>2.3056626319885254E-2</v>
      </c>
    </row>
    <row r="3351" spans="1:1" x14ac:dyDescent="0.2">
      <c r="A3351" s="22">
        <v>0.94753485918045044</v>
      </c>
    </row>
    <row r="3352" spans="1:1" x14ac:dyDescent="0.2">
      <c r="A3352" s="22">
        <v>0.67477154731750488</v>
      </c>
    </row>
    <row r="3353" spans="1:1" x14ac:dyDescent="0.2">
      <c r="A3353" s="22">
        <v>0.67854732275009155</v>
      </c>
    </row>
    <row r="3354" spans="1:1" x14ac:dyDescent="0.2">
      <c r="A3354" s="22">
        <v>4.8262476921081543E-2</v>
      </c>
    </row>
    <row r="3355" spans="1:1" x14ac:dyDescent="0.2">
      <c r="A3355" s="22">
        <v>0.98348957300186157</v>
      </c>
    </row>
    <row r="3356" spans="1:1" x14ac:dyDescent="0.2">
      <c r="A3356" s="22">
        <v>0.48219060897827148</v>
      </c>
    </row>
    <row r="3357" spans="1:1" x14ac:dyDescent="0.2">
      <c r="A3357" s="22">
        <v>0.76044052839279175</v>
      </c>
    </row>
    <row r="3358" spans="1:1" x14ac:dyDescent="0.2">
      <c r="A3358" s="22">
        <v>0.54013168811798096</v>
      </c>
    </row>
    <row r="3359" spans="1:1" x14ac:dyDescent="0.2">
      <c r="A3359" s="22">
        <v>0.54523545503616333</v>
      </c>
    </row>
    <row r="3360" spans="1:1" x14ac:dyDescent="0.2">
      <c r="A3360" s="22">
        <v>0.93489241600036621</v>
      </c>
    </row>
    <row r="3361" spans="1:1" x14ac:dyDescent="0.2">
      <c r="A3361" s="22">
        <v>0.23851674795150757</v>
      </c>
    </row>
    <row r="3362" spans="1:1" x14ac:dyDescent="0.2">
      <c r="A3362" s="22">
        <v>0.8473581075668335</v>
      </c>
    </row>
    <row r="3363" spans="1:1" x14ac:dyDescent="0.2">
      <c r="A3363" s="22">
        <v>0.64919096231460571</v>
      </c>
    </row>
    <row r="3364" spans="1:1" x14ac:dyDescent="0.2">
      <c r="A3364" s="22">
        <v>0.79612159729003906</v>
      </c>
    </row>
    <row r="3365" spans="1:1" x14ac:dyDescent="0.2">
      <c r="A3365" s="22">
        <v>0.38554209470748901</v>
      </c>
    </row>
    <row r="3366" spans="1:1" x14ac:dyDescent="0.2">
      <c r="A3366" s="22">
        <v>0.46414339542388916</v>
      </c>
    </row>
    <row r="3367" spans="1:1" x14ac:dyDescent="0.2">
      <c r="A3367" s="22">
        <v>0.87525111436843872</v>
      </c>
    </row>
    <row r="3368" spans="1:1" x14ac:dyDescent="0.2">
      <c r="A3368" s="22">
        <v>0.13869309425354004</v>
      </c>
    </row>
    <row r="3369" spans="1:1" x14ac:dyDescent="0.2">
      <c r="A3369" s="22">
        <v>0.54557174444198608</v>
      </c>
    </row>
    <row r="3370" spans="1:1" x14ac:dyDescent="0.2">
      <c r="A3370" s="22">
        <v>0.67082202434539795</v>
      </c>
    </row>
    <row r="3371" spans="1:1" x14ac:dyDescent="0.2">
      <c r="A3371" s="22">
        <v>0.44491249322891235</v>
      </c>
    </row>
    <row r="3372" spans="1:1" x14ac:dyDescent="0.2">
      <c r="A3372" s="22">
        <v>0.11061716079711914</v>
      </c>
    </row>
    <row r="3373" spans="1:1" x14ac:dyDescent="0.2">
      <c r="A3373" s="22">
        <v>0.83707493543624878</v>
      </c>
    </row>
    <row r="3374" spans="1:1" x14ac:dyDescent="0.2">
      <c r="A3374" s="22">
        <v>0.42448627948760986</v>
      </c>
    </row>
    <row r="3375" spans="1:1" x14ac:dyDescent="0.2">
      <c r="A3375" s="22">
        <v>0.54939824342727661</v>
      </c>
    </row>
    <row r="3376" spans="1:1" x14ac:dyDescent="0.2">
      <c r="A3376" s="22">
        <v>0.95072436332702637</v>
      </c>
    </row>
    <row r="3377" spans="1:1" x14ac:dyDescent="0.2">
      <c r="A3377" s="22">
        <v>0.1060599684715271</v>
      </c>
    </row>
    <row r="3378" spans="1:1" x14ac:dyDescent="0.2">
      <c r="A3378" s="22">
        <v>0.4996112585067749</v>
      </c>
    </row>
    <row r="3379" spans="1:1" x14ac:dyDescent="0.2">
      <c r="A3379" s="22">
        <v>0.92778307199478149</v>
      </c>
    </row>
    <row r="3380" spans="1:1" x14ac:dyDescent="0.2">
      <c r="A3380" s="22">
        <v>0.25429058074951172</v>
      </c>
    </row>
    <row r="3381" spans="1:1" x14ac:dyDescent="0.2">
      <c r="A3381" s="22">
        <v>0.12919920682907104</v>
      </c>
    </row>
    <row r="3382" spans="1:1" x14ac:dyDescent="0.2">
      <c r="A3382" s="22">
        <v>0.87867987155914307</v>
      </c>
    </row>
    <row r="3383" spans="1:1" x14ac:dyDescent="0.2">
      <c r="A3383" s="22">
        <v>0.695118248462677</v>
      </c>
    </row>
    <row r="3384" spans="1:1" x14ac:dyDescent="0.2">
      <c r="A3384" s="22">
        <v>0.4886620044708252</v>
      </c>
    </row>
    <row r="3385" spans="1:1" x14ac:dyDescent="0.2">
      <c r="A3385" s="22">
        <v>6.6954076290130615E-2</v>
      </c>
    </row>
    <row r="3386" spans="1:1" x14ac:dyDescent="0.2">
      <c r="A3386" s="22">
        <v>0.39280784130096436</v>
      </c>
    </row>
    <row r="3387" spans="1:1" x14ac:dyDescent="0.2">
      <c r="A3387" s="22">
        <v>0.42055660486221313</v>
      </c>
    </row>
    <row r="3388" spans="1:1" x14ac:dyDescent="0.2">
      <c r="A3388" s="22">
        <v>0.7588801383972168</v>
      </c>
    </row>
    <row r="3389" spans="1:1" x14ac:dyDescent="0.2">
      <c r="A3389" s="22">
        <v>0.16670006513595581</v>
      </c>
    </row>
    <row r="3390" spans="1:1" x14ac:dyDescent="0.2">
      <c r="A3390" s="22">
        <v>0.61236870288848877</v>
      </c>
    </row>
    <row r="3391" spans="1:1" x14ac:dyDescent="0.2">
      <c r="A3391" s="22">
        <v>0.45547753572463989</v>
      </c>
    </row>
    <row r="3392" spans="1:1" x14ac:dyDescent="0.2">
      <c r="A3392" s="22">
        <v>0.82330679893493652</v>
      </c>
    </row>
    <row r="3393" spans="1:1" x14ac:dyDescent="0.2">
      <c r="A3393" s="22">
        <v>0.71585172414779663</v>
      </c>
    </row>
    <row r="3394" spans="1:1" x14ac:dyDescent="0.2">
      <c r="A3394" s="22">
        <v>0.98761880397796631</v>
      </c>
    </row>
    <row r="3395" spans="1:1" x14ac:dyDescent="0.2">
      <c r="A3395" s="22">
        <v>0.51161199808120728</v>
      </c>
    </row>
    <row r="3396" spans="1:1" x14ac:dyDescent="0.2">
      <c r="A3396" s="22">
        <v>0.35924911499023438</v>
      </c>
    </row>
    <row r="3397" spans="1:1" x14ac:dyDescent="0.2">
      <c r="A3397" s="22">
        <v>0.24498766660690308</v>
      </c>
    </row>
    <row r="3398" spans="1:1" x14ac:dyDescent="0.2">
      <c r="A3398" s="22">
        <v>0.23932230472564697</v>
      </c>
    </row>
    <row r="3399" spans="1:1" x14ac:dyDescent="0.2">
      <c r="A3399" s="22">
        <v>0.48916751146316528</v>
      </c>
    </row>
    <row r="3400" spans="1:1" x14ac:dyDescent="0.2">
      <c r="A3400" s="22">
        <v>0.47858452796936035</v>
      </c>
    </row>
    <row r="3401" spans="1:1" x14ac:dyDescent="0.2">
      <c r="A3401" s="22">
        <v>0.98097556829452515</v>
      </c>
    </row>
    <row r="3402" spans="1:1" x14ac:dyDescent="0.2">
      <c r="A3402" s="22">
        <v>0.99937617778778076</v>
      </c>
    </row>
    <row r="3403" spans="1:1" x14ac:dyDescent="0.2">
      <c r="A3403" s="22">
        <v>0.55495315790176392</v>
      </c>
    </row>
    <row r="3404" spans="1:1" x14ac:dyDescent="0.2">
      <c r="A3404" s="22">
        <v>0.49338579177856445</v>
      </c>
    </row>
    <row r="3405" spans="1:1" x14ac:dyDescent="0.2">
      <c r="A3405" s="22">
        <v>0.55009716749191284</v>
      </c>
    </row>
    <row r="3406" spans="1:1" x14ac:dyDescent="0.2">
      <c r="A3406" s="22">
        <v>0.70143520832061768</v>
      </c>
    </row>
    <row r="3407" spans="1:1" x14ac:dyDescent="0.2">
      <c r="A3407" s="22">
        <v>0.47050458192825317</v>
      </c>
    </row>
    <row r="3408" spans="1:1" x14ac:dyDescent="0.2">
      <c r="A3408" s="22">
        <v>0.93154597282409668</v>
      </c>
    </row>
    <row r="3409" spans="1:1" x14ac:dyDescent="0.2">
      <c r="A3409" s="22">
        <v>0.93117326498031616</v>
      </c>
    </row>
    <row r="3410" spans="1:1" x14ac:dyDescent="0.2">
      <c r="A3410" s="22">
        <v>0.72153699398040771</v>
      </c>
    </row>
    <row r="3411" spans="1:1" x14ac:dyDescent="0.2">
      <c r="A3411" s="22">
        <v>0.17020899057388306</v>
      </c>
    </row>
    <row r="3412" spans="1:1" x14ac:dyDescent="0.2">
      <c r="A3412" s="22">
        <v>0.80240345001220703</v>
      </c>
    </row>
    <row r="3413" spans="1:1" x14ac:dyDescent="0.2">
      <c r="A3413" s="22">
        <v>0.65868872404098511</v>
      </c>
    </row>
    <row r="3414" spans="1:1" x14ac:dyDescent="0.2">
      <c r="A3414" s="22">
        <v>0.76872694492340088</v>
      </c>
    </row>
    <row r="3415" spans="1:1" x14ac:dyDescent="0.2">
      <c r="A3415" s="22">
        <v>0.58943015336990356</v>
      </c>
    </row>
    <row r="3416" spans="1:1" x14ac:dyDescent="0.2">
      <c r="A3416" s="22">
        <v>0.11236691474914551</v>
      </c>
    </row>
    <row r="3417" spans="1:1" x14ac:dyDescent="0.2">
      <c r="A3417" s="22">
        <v>0.27591747045516968</v>
      </c>
    </row>
    <row r="3418" spans="1:1" x14ac:dyDescent="0.2">
      <c r="A3418" s="22">
        <v>0.52568328380584717</v>
      </c>
    </row>
    <row r="3419" spans="1:1" x14ac:dyDescent="0.2">
      <c r="A3419" s="22">
        <v>0.7426334023475647</v>
      </c>
    </row>
    <row r="3420" spans="1:1" x14ac:dyDescent="0.2">
      <c r="A3420" s="22">
        <v>0.63054037094116211</v>
      </c>
    </row>
    <row r="3421" spans="1:1" x14ac:dyDescent="0.2">
      <c r="A3421" s="22">
        <v>3.8047492504119873E-2</v>
      </c>
    </row>
    <row r="3422" spans="1:1" x14ac:dyDescent="0.2">
      <c r="A3422" s="22">
        <v>0.53934204578399658</v>
      </c>
    </row>
    <row r="3423" spans="1:1" x14ac:dyDescent="0.2">
      <c r="A3423" s="22">
        <v>5.1510632038116455E-2</v>
      </c>
    </row>
    <row r="3424" spans="1:1" x14ac:dyDescent="0.2">
      <c r="A3424" s="22">
        <v>0.90434813499450684</v>
      </c>
    </row>
    <row r="3425" spans="1:1" x14ac:dyDescent="0.2">
      <c r="A3425" s="22">
        <v>0.86530584096908569</v>
      </c>
    </row>
    <row r="3426" spans="1:1" x14ac:dyDescent="0.2">
      <c r="A3426" s="22">
        <v>0.36152207851409912</v>
      </c>
    </row>
    <row r="3427" spans="1:1" x14ac:dyDescent="0.2">
      <c r="A3427" s="22">
        <v>0.92310529947280884</v>
      </c>
    </row>
    <row r="3428" spans="1:1" x14ac:dyDescent="0.2">
      <c r="A3428" s="22">
        <v>0.52515983581542969</v>
      </c>
    </row>
    <row r="3429" spans="1:1" x14ac:dyDescent="0.2">
      <c r="A3429" s="22">
        <v>0.54608362913131714</v>
      </c>
    </row>
    <row r="3430" spans="1:1" x14ac:dyDescent="0.2">
      <c r="A3430" s="22">
        <v>0.93955004215240479</v>
      </c>
    </row>
    <row r="3431" spans="1:1" x14ac:dyDescent="0.2">
      <c r="A3431" s="22">
        <v>0.57793742418289185</v>
      </c>
    </row>
    <row r="3432" spans="1:1" x14ac:dyDescent="0.2">
      <c r="A3432" s="22">
        <v>0.64391541481018066</v>
      </c>
    </row>
    <row r="3433" spans="1:1" x14ac:dyDescent="0.2">
      <c r="A3433" s="22">
        <v>0.19006103277206421</v>
      </c>
    </row>
    <row r="3434" spans="1:1" x14ac:dyDescent="0.2">
      <c r="A3434" s="22">
        <v>0.25688540935516357</v>
      </c>
    </row>
    <row r="3435" spans="1:1" x14ac:dyDescent="0.2">
      <c r="A3435" s="22">
        <v>0.12812858819961548</v>
      </c>
    </row>
    <row r="3436" spans="1:1" x14ac:dyDescent="0.2">
      <c r="A3436" s="22">
        <v>0.73675012588500977</v>
      </c>
    </row>
    <row r="3437" spans="1:1" x14ac:dyDescent="0.2">
      <c r="A3437" s="22">
        <v>0.9313322901725769</v>
      </c>
    </row>
    <row r="3438" spans="1:1" x14ac:dyDescent="0.2">
      <c r="A3438" s="22">
        <v>0.22374546527862549</v>
      </c>
    </row>
    <row r="3439" spans="1:1" x14ac:dyDescent="0.2">
      <c r="A3439" s="22">
        <v>0.90552693605422974</v>
      </c>
    </row>
    <row r="3440" spans="1:1" x14ac:dyDescent="0.2">
      <c r="A3440" s="22">
        <v>0.62061953544616699</v>
      </c>
    </row>
    <row r="3441" spans="1:1" x14ac:dyDescent="0.2">
      <c r="A3441" s="22">
        <v>0.88153070211410522</v>
      </c>
    </row>
    <row r="3442" spans="1:1" x14ac:dyDescent="0.2">
      <c r="A3442" s="22">
        <v>0.81773030757904053</v>
      </c>
    </row>
    <row r="3443" spans="1:1" x14ac:dyDescent="0.2">
      <c r="A3443" s="22">
        <v>3.9832174777984619E-2</v>
      </c>
    </row>
    <row r="3444" spans="1:1" x14ac:dyDescent="0.2">
      <c r="A3444" s="22">
        <v>0.71892452239990234</v>
      </c>
    </row>
    <row r="3445" spans="1:1" x14ac:dyDescent="0.2">
      <c r="A3445" s="22">
        <v>0.33295363187789917</v>
      </c>
    </row>
    <row r="3446" spans="1:1" x14ac:dyDescent="0.2">
      <c r="A3446" s="22">
        <v>0.47444784641265869</v>
      </c>
    </row>
    <row r="3447" spans="1:1" x14ac:dyDescent="0.2">
      <c r="A3447" s="22">
        <v>0.28672057390213013</v>
      </c>
    </row>
    <row r="3448" spans="1:1" x14ac:dyDescent="0.2">
      <c r="A3448" s="22">
        <v>0.57713627815246582</v>
      </c>
    </row>
    <row r="3449" spans="1:1" x14ac:dyDescent="0.2">
      <c r="A3449" s="22">
        <v>0.21168750524520874</v>
      </c>
    </row>
    <row r="3450" spans="1:1" x14ac:dyDescent="0.2">
      <c r="A3450" s="22">
        <v>0.72813880443572998</v>
      </c>
    </row>
    <row r="3451" spans="1:1" x14ac:dyDescent="0.2">
      <c r="A3451" s="22">
        <v>0.10596996545791626</v>
      </c>
    </row>
    <row r="3452" spans="1:1" x14ac:dyDescent="0.2">
      <c r="A3452" s="22">
        <v>0.62842130661010742</v>
      </c>
    </row>
    <row r="3453" spans="1:1" x14ac:dyDescent="0.2">
      <c r="A3453" s="22">
        <v>0.78073281049728394</v>
      </c>
    </row>
    <row r="3454" spans="1:1" x14ac:dyDescent="0.2">
      <c r="A3454" s="22">
        <v>0.10230171680450439</v>
      </c>
    </row>
    <row r="3455" spans="1:1" x14ac:dyDescent="0.2">
      <c r="A3455" s="22">
        <v>0.98958474397659302</v>
      </c>
    </row>
    <row r="3456" spans="1:1" x14ac:dyDescent="0.2">
      <c r="A3456" s="22">
        <v>0.20926642417907715</v>
      </c>
    </row>
    <row r="3457" spans="1:1" x14ac:dyDescent="0.2">
      <c r="A3457" s="22">
        <v>0.59312909841537476</v>
      </c>
    </row>
    <row r="3458" spans="1:1" x14ac:dyDescent="0.2">
      <c r="A3458" s="22">
        <v>0.25031793117523193</v>
      </c>
    </row>
    <row r="3459" spans="1:1" x14ac:dyDescent="0.2">
      <c r="A3459" s="22">
        <v>3.99208664894104E-2</v>
      </c>
    </row>
    <row r="3460" spans="1:1" x14ac:dyDescent="0.2">
      <c r="A3460" s="22">
        <v>0.825103759765625</v>
      </c>
    </row>
    <row r="3461" spans="1:1" x14ac:dyDescent="0.2">
      <c r="A3461" s="22">
        <v>0.6950799822807312</v>
      </c>
    </row>
    <row r="3462" spans="1:1" x14ac:dyDescent="0.2">
      <c r="A3462" s="22">
        <v>0.3460766077041626</v>
      </c>
    </row>
    <row r="3463" spans="1:1" x14ac:dyDescent="0.2">
      <c r="A3463" s="22">
        <v>0.79781085252761841</v>
      </c>
    </row>
    <row r="3464" spans="1:1" x14ac:dyDescent="0.2">
      <c r="A3464" s="22">
        <v>0.66593575477600098</v>
      </c>
    </row>
    <row r="3465" spans="1:1" x14ac:dyDescent="0.2">
      <c r="A3465" s="22">
        <v>7.9078137874603271E-2</v>
      </c>
    </row>
    <row r="3466" spans="1:1" x14ac:dyDescent="0.2">
      <c r="A3466" s="22">
        <v>0.72459971904754639</v>
      </c>
    </row>
    <row r="3467" spans="1:1" x14ac:dyDescent="0.2">
      <c r="A3467" s="22">
        <v>0.32068878412246704</v>
      </c>
    </row>
    <row r="3468" spans="1:1" x14ac:dyDescent="0.2">
      <c r="A3468" s="22">
        <v>0.37196016311645508</v>
      </c>
    </row>
    <row r="3469" spans="1:1" x14ac:dyDescent="0.2">
      <c r="A3469" s="22">
        <v>0.38703030347824097</v>
      </c>
    </row>
    <row r="3470" spans="1:1" x14ac:dyDescent="0.2">
      <c r="A3470" s="22">
        <v>0.7726670503616333</v>
      </c>
    </row>
    <row r="3471" spans="1:1" x14ac:dyDescent="0.2">
      <c r="A3471" s="22">
        <v>0.5107153058052063</v>
      </c>
    </row>
    <row r="3472" spans="1:1" x14ac:dyDescent="0.2">
      <c r="A3472" s="22">
        <v>4.9195051193237305E-2</v>
      </c>
    </row>
    <row r="3473" spans="1:1" x14ac:dyDescent="0.2">
      <c r="A3473" s="22">
        <v>0.86338227987289429</v>
      </c>
    </row>
    <row r="3474" spans="1:1" x14ac:dyDescent="0.2">
      <c r="A3474" s="22">
        <v>6.944119930267334E-2</v>
      </c>
    </row>
    <row r="3475" spans="1:1" x14ac:dyDescent="0.2">
      <c r="A3475" s="22">
        <v>0.69290262460708618</v>
      </c>
    </row>
    <row r="3476" spans="1:1" x14ac:dyDescent="0.2">
      <c r="A3476" s="22">
        <v>0.53510379791259766</v>
      </c>
    </row>
    <row r="3477" spans="1:1" x14ac:dyDescent="0.2">
      <c r="A3477" s="22">
        <v>0.55824393033981323</v>
      </c>
    </row>
    <row r="3478" spans="1:1" x14ac:dyDescent="0.2">
      <c r="A3478" s="22">
        <v>0.7770925760269165</v>
      </c>
    </row>
    <row r="3479" spans="1:1" x14ac:dyDescent="0.2">
      <c r="A3479" s="22">
        <v>0.44323951005935669</v>
      </c>
    </row>
    <row r="3480" spans="1:1" x14ac:dyDescent="0.2">
      <c r="A3480" s="22">
        <v>0.91422009468078613</v>
      </c>
    </row>
    <row r="3481" spans="1:1" x14ac:dyDescent="0.2">
      <c r="A3481" s="22">
        <v>0.7805141806602478</v>
      </c>
    </row>
    <row r="3482" spans="1:1" x14ac:dyDescent="0.2">
      <c r="A3482" s="22">
        <v>0.28142440319061279</v>
      </c>
    </row>
    <row r="3483" spans="1:1" x14ac:dyDescent="0.2">
      <c r="A3483" s="22">
        <v>0.66681629419326782</v>
      </c>
    </row>
    <row r="3484" spans="1:1" x14ac:dyDescent="0.2">
      <c r="A3484" s="22">
        <v>0.28377294540405273</v>
      </c>
    </row>
    <row r="3485" spans="1:1" x14ac:dyDescent="0.2">
      <c r="A3485" s="22">
        <v>0.801006019115448</v>
      </c>
    </row>
    <row r="3486" spans="1:1" x14ac:dyDescent="0.2">
      <c r="A3486" s="22">
        <v>8.2497715950012207E-2</v>
      </c>
    </row>
    <row r="3487" spans="1:1" x14ac:dyDescent="0.2">
      <c r="A3487" s="22">
        <v>0.92594987154006958</v>
      </c>
    </row>
    <row r="3488" spans="1:1" x14ac:dyDescent="0.2">
      <c r="A3488" s="22">
        <v>0.76931166648864746</v>
      </c>
    </row>
    <row r="3489" spans="1:1" x14ac:dyDescent="0.2">
      <c r="A3489" s="22">
        <v>0.80557149648666382</v>
      </c>
    </row>
    <row r="3490" spans="1:1" x14ac:dyDescent="0.2">
      <c r="A3490" s="22">
        <v>0.93525636196136475</v>
      </c>
    </row>
    <row r="3491" spans="1:1" x14ac:dyDescent="0.2">
      <c r="A3491" s="22">
        <v>1.8308699131011963E-2</v>
      </c>
    </row>
    <row r="3492" spans="1:1" x14ac:dyDescent="0.2">
      <c r="A3492" s="22">
        <v>0.79033088684082031</v>
      </c>
    </row>
    <row r="3493" spans="1:1" x14ac:dyDescent="0.2">
      <c r="A3493" s="22">
        <v>9.8226726055145264E-2</v>
      </c>
    </row>
    <row r="3494" spans="1:1" x14ac:dyDescent="0.2">
      <c r="A3494" s="22">
        <v>0.24015200138092041</v>
      </c>
    </row>
    <row r="3495" spans="1:1" x14ac:dyDescent="0.2">
      <c r="A3495" s="22">
        <v>0.80503779649734497</v>
      </c>
    </row>
    <row r="3496" spans="1:1" x14ac:dyDescent="0.2">
      <c r="A3496" s="22">
        <v>0.57589554786682129</v>
      </c>
    </row>
    <row r="3497" spans="1:1" x14ac:dyDescent="0.2">
      <c r="A3497" s="22">
        <v>0.55427688360214233</v>
      </c>
    </row>
    <row r="3498" spans="1:1" x14ac:dyDescent="0.2">
      <c r="A3498" s="22">
        <v>0.6837691068649292</v>
      </c>
    </row>
    <row r="3499" spans="1:1" x14ac:dyDescent="0.2">
      <c r="A3499" s="22">
        <v>0.2888837456703186</v>
      </c>
    </row>
    <row r="3500" spans="1:1" x14ac:dyDescent="0.2">
      <c r="A3500" s="22">
        <v>0.93026590347290039</v>
      </c>
    </row>
    <row r="3501" spans="1:1" x14ac:dyDescent="0.2">
      <c r="A3501" s="22">
        <v>0.32344120740890503</v>
      </c>
    </row>
    <row r="3502" spans="1:1" x14ac:dyDescent="0.2">
      <c r="A3502" s="22">
        <v>0.12944996356964111</v>
      </c>
    </row>
    <row r="3503" spans="1:1" x14ac:dyDescent="0.2">
      <c r="A3503" s="22">
        <v>0.94231969118118286</v>
      </c>
    </row>
    <row r="3504" spans="1:1" x14ac:dyDescent="0.2">
      <c r="A3504" s="22">
        <v>0.24852252006530762</v>
      </c>
    </row>
    <row r="3505" spans="1:1" x14ac:dyDescent="0.2">
      <c r="A3505" s="22">
        <v>0.78297799825668335</v>
      </c>
    </row>
    <row r="3506" spans="1:1" x14ac:dyDescent="0.2">
      <c r="A3506" s="22">
        <v>0.75791966915130615</v>
      </c>
    </row>
    <row r="3507" spans="1:1" x14ac:dyDescent="0.2">
      <c r="A3507" s="22">
        <v>0.28567034006118774</v>
      </c>
    </row>
    <row r="3508" spans="1:1" x14ac:dyDescent="0.2">
      <c r="A3508" s="22">
        <v>0.78219127655029297</v>
      </c>
    </row>
    <row r="3509" spans="1:1" x14ac:dyDescent="0.2">
      <c r="A3509" s="22">
        <v>0.74080961942672729</v>
      </c>
    </row>
    <row r="3510" spans="1:1" x14ac:dyDescent="0.2">
      <c r="A3510" s="22">
        <v>0.45791113376617432</v>
      </c>
    </row>
    <row r="3511" spans="1:1" x14ac:dyDescent="0.2">
      <c r="A3511" s="22">
        <v>0.71523696184158325</v>
      </c>
    </row>
    <row r="3512" spans="1:1" x14ac:dyDescent="0.2">
      <c r="A3512" s="22">
        <v>0.15486836433410645</v>
      </c>
    </row>
    <row r="3513" spans="1:1" x14ac:dyDescent="0.2">
      <c r="A3513" s="22">
        <v>0.88864749670028687</v>
      </c>
    </row>
    <row r="3514" spans="1:1" x14ac:dyDescent="0.2">
      <c r="A3514" s="22">
        <v>0.46679008007049561</v>
      </c>
    </row>
    <row r="3515" spans="1:1" x14ac:dyDescent="0.2">
      <c r="A3515" s="22">
        <v>0.58142238855361938</v>
      </c>
    </row>
    <row r="3516" spans="1:1" x14ac:dyDescent="0.2">
      <c r="A3516" s="22">
        <v>0.12784528732299805</v>
      </c>
    </row>
    <row r="3517" spans="1:1" x14ac:dyDescent="0.2">
      <c r="A3517" s="22">
        <v>0.50511711835861206</v>
      </c>
    </row>
    <row r="3518" spans="1:1" x14ac:dyDescent="0.2">
      <c r="A3518" s="22">
        <v>0.26118004322052002</v>
      </c>
    </row>
    <row r="3519" spans="1:1" x14ac:dyDescent="0.2">
      <c r="A3519" s="22">
        <v>0.51685601472854614</v>
      </c>
    </row>
    <row r="3520" spans="1:1" x14ac:dyDescent="0.2">
      <c r="A3520" s="22">
        <v>0.61573386192321777</v>
      </c>
    </row>
    <row r="3521" spans="1:1" x14ac:dyDescent="0.2">
      <c r="A3521" s="22">
        <v>0.40888303518295288</v>
      </c>
    </row>
    <row r="3522" spans="1:1" x14ac:dyDescent="0.2">
      <c r="A3522" s="22">
        <v>0.69758737087249756</v>
      </c>
    </row>
    <row r="3523" spans="1:1" x14ac:dyDescent="0.2">
      <c r="A3523" s="22">
        <v>1.4518797397613525E-2</v>
      </c>
    </row>
    <row r="3524" spans="1:1" x14ac:dyDescent="0.2">
      <c r="A3524" s="22">
        <v>0.95209121704101563</v>
      </c>
    </row>
    <row r="3525" spans="1:1" x14ac:dyDescent="0.2">
      <c r="A3525" s="22">
        <v>0.16177386045455933</v>
      </c>
    </row>
    <row r="3526" spans="1:1" x14ac:dyDescent="0.2">
      <c r="A3526" s="22">
        <v>0.40302622318267822</v>
      </c>
    </row>
    <row r="3527" spans="1:1" x14ac:dyDescent="0.2">
      <c r="A3527" s="22">
        <v>0.25586825609207153</v>
      </c>
    </row>
    <row r="3528" spans="1:1" x14ac:dyDescent="0.2">
      <c r="A3528" s="22">
        <v>0.4050447940826416</v>
      </c>
    </row>
    <row r="3529" spans="1:1" x14ac:dyDescent="0.2">
      <c r="A3529" s="22">
        <v>0.5219072699546814</v>
      </c>
    </row>
    <row r="3530" spans="1:1" x14ac:dyDescent="0.2">
      <c r="A3530" s="22">
        <v>0.41564357280731201</v>
      </c>
    </row>
    <row r="3531" spans="1:1" x14ac:dyDescent="0.2">
      <c r="A3531" s="22">
        <v>0.18896347284317017</v>
      </c>
    </row>
    <row r="3532" spans="1:1" x14ac:dyDescent="0.2">
      <c r="A3532" s="22">
        <v>0.9429173469543457</v>
      </c>
    </row>
    <row r="3533" spans="1:1" x14ac:dyDescent="0.2">
      <c r="A3533" s="22">
        <v>0.14681500196456909</v>
      </c>
    </row>
    <row r="3534" spans="1:1" x14ac:dyDescent="0.2">
      <c r="A3534" s="22">
        <v>7.5344204902648926E-2</v>
      </c>
    </row>
    <row r="3535" spans="1:1" x14ac:dyDescent="0.2">
      <c r="A3535" s="22">
        <v>0.85659009218215942</v>
      </c>
    </row>
    <row r="3536" spans="1:1" x14ac:dyDescent="0.2">
      <c r="A3536" s="22">
        <v>0.24985194206237793</v>
      </c>
    </row>
    <row r="3537" spans="1:1" x14ac:dyDescent="0.2">
      <c r="A3537" s="22">
        <v>0.54656785726547241</v>
      </c>
    </row>
    <row r="3538" spans="1:1" x14ac:dyDescent="0.2">
      <c r="A3538" s="22">
        <v>0.16441571712493896</v>
      </c>
    </row>
    <row r="3539" spans="1:1" x14ac:dyDescent="0.2">
      <c r="A3539" s="22">
        <v>0.97438532114028931</v>
      </c>
    </row>
    <row r="3540" spans="1:1" x14ac:dyDescent="0.2">
      <c r="A3540" s="22">
        <v>0.99143695831298828</v>
      </c>
    </row>
    <row r="3541" spans="1:1" x14ac:dyDescent="0.2">
      <c r="A3541" s="22">
        <v>0.28690069913864136</v>
      </c>
    </row>
    <row r="3542" spans="1:1" x14ac:dyDescent="0.2">
      <c r="A3542" s="22">
        <v>0.29815351963043213</v>
      </c>
    </row>
    <row r="3543" spans="1:1" x14ac:dyDescent="0.2">
      <c r="A3543" s="22">
        <v>0.75896292924880981</v>
      </c>
    </row>
    <row r="3544" spans="1:1" x14ac:dyDescent="0.2">
      <c r="A3544" s="22">
        <v>0.33033108711242676</v>
      </c>
    </row>
    <row r="3545" spans="1:1" x14ac:dyDescent="0.2">
      <c r="A3545" s="22">
        <v>0.44233745336532593</v>
      </c>
    </row>
    <row r="3546" spans="1:1" x14ac:dyDescent="0.2">
      <c r="A3546" s="22">
        <v>0.56548583507537842</v>
      </c>
    </row>
    <row r="3547" spans="1:1" x14ac:dyDescent="0.2">
      <c r="A3547" s="22">
        <v>6.0382485389709473E-3</v>
      </c>
    </row>
    <row r="3548" spans="1:1" x14ac:dyDescent="0.2">
      <c r="A3548" s="22">
        <v>0.69188833236694336</v>
      </c>
    </row>
    <row r="3549" spans="1:1" x14ac:dyDescent="0.2">
      <c r="A3549" s="22">
        <v>0.29931610822677612</v>
      </c>
    </row>
    <row r="3550" spans="1:1" x14ac:dyDescent="0.2">
      <c r="A3550" s="22">
        <v>0.41959869861602783</v>
      </c>
    </row>
    <row r="3551" spans="1:1" x14ac:dyDescent="0.2">
      <c r="A3551" s="22">
        <v>0.41855317354202271</v>
      </c>
    </row>
    <row r="3552" spans="1:1" x14ac:dyDescent="0.2">
      <c r="A3552" s="22">
        <v>0.77978301048278809</v>
      </c>
    </row>
    <row r="3553" spans="1:1" x14ac:dyDescent="0.2">
      <c r="A3553" s="22">
        <v>0.30931371450424194</v>
      </c>
    </row>
    <row r="3554" spans="1:1" x14ac:dyDescent="0.2">
      <c r="A3554" s="22">
        <v>0.81856095790863037</v>
      </c>
    </row>
    <row r="3555" spans="1:1" x14ac:dyDescent="0.2">
      <c r="A3555" s="22">
        <v>0.18480116128921509</v>
      </c>
    </row>
    <row r="3556" spans="1:1" x14ac:dyDescent="0.2">
      <c r="A3556" s="22">
        <v>0.84163475036621094</v>
      </c>
    </row>
    <row r="3557" spans="1:1" x14ac:dyDescent="0.2">
      <c r="A3557" s="22">
        <v>0.29197138547897339</v>
      </c>
    </row>
    <row r="3558" spans="1:1" x14ac:dyDescent="0.2">
      <c r="A3558" s="22">
        <v>0.61594927310943604</v>
      </c>
    </row>
    <row r="3559" spans="1:1" x14ac:dyDescent="0.2">
      <c r="A3559" s="22">
        <v>0.8065522313117981</v>
      </c>
    </row>
    <row r="3560" spans="1:1" x14ac:dyDescent="0.2">
      <c r="A3560" s="22">
        <v>0.18463349342346191</v>
      </c>
    </row>
    <row r="3561" spans="1:1" x14ac:dyDescent="0.2">
      <c r="A3561" s="22">
        <v>0.88821929693222046</v>
      </c>
    </row>
    <row r="3562" spans="1:1" x14ac:dyDescent="0.2">
      <c r="A3562" s="22">
        <v>0.20147311687469482</v>
      </c>
    </row>
    <row r="3563" spans="1:1" x14ac:dyDescent="0.2">
      <c r="A3563" s="22">
        <v>0.17717796564102173</v>
      </c>
    </row>
    <row r="3564" spans="1:1" x14ac:dyDescent="0.2">
      <c r="A3564" s="22">
        <v>0.94116449356079102</v>
      </c>
    </row>
    <row r="3565" spans="1:1" x14ac:dyDescent="0.2">
      <c r="A3565" s="22">
        <v>0.26340168714523315</v>
      </c>
    </row>
    <row r="3566" spans="1:1" x14ac:dyDescent="0.2">
      <c r="A3566" s="22">
        <v>0.39159977436065674</v>
      </c>
    </row>
    <row r="3567" spans="1:1" x14ac:dyDescent="0.2">
      <c r="A3567" s="22">
        <v>0.90977650880813599</v>
      </c>
    </row>
    <row r="3568" spans="1:1" x14ac:dyDescent="0.2">
      <c r="A3568" s="22">
        <v>8.4433317184448242E-2</v>
      </c>
    </row>
    <row r="3569" spans="1:1" x14ac:dyDescent="0.2">
      <c r="A3569" s="22">
        <v>6.0401856899261475E-2</v>
      </c>
    </row>
    <row r="3570" spans="1:1" x14ac:dyDescent="0.2">
      <c r="A3570" s="22">
        <v>0.57017934322357178</v>
      </c>
    </row>
    <row r="3571" spans="1:1" x14ac:dyDescent="0.2">
      <c r="A3571" s="22">
        <v>0.91529756784439087</v>
      </c>
    </row>
    <row r="3572" spans="1:1" x14ac:dyDescent="0.2">
      <c r="A3572" s="22">
        <v>0.69409084320068359</v>
      </c>
    </row>
    <row r="3573" spans="1:1" x14ac:dyDescent="0.2">
      <c r="A3573" s="22">
        <v>0.60276716947555542</v>
      </c>
    </row>
    <row r="3574" spans="1:1" x14ac:dyDescent="0.2">
      <c r="A3574" s="22">
        <v>7.9069733619689941E-2</v>
      </c>
    </row>
    <row r="3575" spans="1:1" x14ac:dyDescent="0.2">
      <c r="A3575" s="22">
        <v>0.23066741228103638</v>
      </c>
    </row>
    <row r="3576" spans="1:1" x14ac:dyDescent="0.2">
      <c r="A3576" s="22">
        <v>0.47185826301574707</v>
      </c>
    </row>
    <row r="3577" spans="1:1" x14ac:dyDescent="0.2">
      <c r="A3577" s="22">
        <v>0.34783405065536499</v>
      </c>
    </row>
    <row r="3578" spans="1:1" x14ac:dyDescent="0.2">
      <c r="A3578" s="22">
        <v>0.85876166820526123</v>
      </c>
    </row>
    <row r="3579" spans="1:1" x14ac:dyDescent="0.2">
      <c r="A3579" s="22">
        <v>9.691387414932251E-2</v>
      </c>
    </row>
    <row r="3580" spans="1:1" x14ac:dyDescent="0.2">
      <c r="A3580" s="22">
        <v>0.50715208053588867</v>
      </c>
    </row>
    <row r="3581" spans="1:1" x14ac:dyDescent="0.2">
      <c r="A3581" s="22">
        <v>0.58985298871994019</v>
      </c>
    </row>
    <row r="3582" spans="1:1" x14ac:dyDescent="0.2">
      <c r="A3582" s="22">
        <v>0.33900368213653564</v>
      </c>
    </row>
    <row r="3583" spans="1:1" x14ac:dyDescent="0.2">
      <c r="A3583" s="22">
        <v>0.28729134798049927</v>
      </c>
    </row>
    <row r="3584" spans="1:1" x14ac:dyDescent="0.2">
      <c r="A3584" s="22">
        <v>0.2927091121673584</v>
      </c>
    </row>
    <row r="3585" spans="1:1" x14ac:dyDescent="0.2">
      <c r="A3585" s="22">
        <v>0.41311353445053101</v>
      </c>
    </row>
    <row r="3586" spans="1:1" x14ac:dyDescent="0.2">
      <c r="A3586" s="22">
        <v>0.57942712306976318</v>
      </c>
    </row>
    <row r="3587" spans="1:1" x14ac:dyDescent="0.2">
      <c r="A3587" s="22">
        <v>0.68540579080581665</v>
      </c>
    </row>
    <row r="3588" spans="1:1" x14ac:dyDescent="0.2">
      <c r="A3588" s="22">
        <v>0.99021148681640625</v>
      </c>
    </row>
    <row r="3589" spans="1:1" x14ac:dyDescent="0.2">
      <c r="A3589" s="22">
        <v>0.89506930112838745</v>
      </c>
    </row>
    <row r="3590" spans="1:1" x14ac:dyDescent="0.2">
      <c r="A3590" s="22">
        <v>0.66017115116119385</v>
      </c>
    </row>
    <row r="3591" spans="1:1" x14ac:dyDescent="0.2">
      <c r="A3591" s="22">
        <v>0.11333972215652466</v>
      </c>
    </row>
    <row r="3592" spans="1:1" x14ac:dyDescent="0.2">
      <c r="A3592" s="22">
        <v>0.94591164588928223</v>
      </c>
    </row>
    <row r="3593" spans="1:1" x14ac:dyDescent="0.2">
      <c r="A3593" s="22">
        <v>0.55946296453475952</v>
      </c>
    </row>
    <row r="3594" spans="1:1" x14ac:dyDescent="0.2">
      <c r="A3594" s="22">
        <v>0.32250773906707764</v>
      </c>
    </row>
    <row r="3595" spans="1:1" x14ac:dyDescent="0.2">
      <c r="A3595" s="22">
        <v>0.40977722406387329</v>
      </c>
    </row>
    <row r="3596" spans="1:1" x14ac:dyDescent="0.2">
      <c r="A3596" s="22">
        <v>0.45625734329223633</v>
      </c>
    </row>
    <row r="3597" spans="1:1" x14ac:dyDescent="0.2">
      <c r="A3597" s="22">
        <v>7.9451262950897217E-2</v>
      </c>
    </row>
    <row r="3598" spans="1:1" x14ac:dyDescent="0.2">
      <c r="A3598" s="22">
        <v>0.85946667194366455</v>
      </c>
    </row>
    <row r="3599" spans="1:1" x14ac:dyDescent="0.2">
      <c r="A3599" s="22">
        <v>0.75812894105911255</v>
      </c>
    </row>
    <row r="3600" spans="1:1" x14ac:dyDescent="0.2">
      <c r="A3600" s="22">
        <v>0.78351664543151855</v>
      </c>
    </row>
    <row r="3601" spans="1:1" x14ac:dyDescent="0.2">
      <c r="A3601" s="22">
        <v>0.23072999715805054</v>
      </c>
    </row>
    <row r="3602" spans="1:1" x14ac:dyDescent="0.2">
      <c r="A3602" s="22">
        <v>0.25646054744720459</v>
      </c>
    </row>
    <row r="3603" spans="1:1" x14ac:dyDescent="0.2">
      <c r="A3603" s="22">
        <v>0.26465708017349243</v>
      </c>
    </row>
    <row r="3604" spans="1:1" x14ac:dyDescent="0.2">
      <c r="A3604" s="22">
        <v>0.42140293121337891</v>
      </c>
    </row>
    <row r="3605" spans="1:1" x14ac:dyDescent="0.2">
      <c r="A3605" s="22">
        <v>9.4659030437469482E-2</v>
      </c>
    </row>
    <row r="3606" spans="1:1" x14ac:dyDescent="0.2">
      <c r="A3606" s="22">
        <v>0.58190977573394775</v>
      </c>
    </row>
    <row r="3607" spans="1:1" x14ac:dyDescent="0.2">
      <c r="A3607" s="22">
        <v>0.78660041093826294</v>
      </c>
    </row>
    <row r="3608" spans="1:1" x14ac:dyDescent="0.2">
      <c r="A3608" s="22">
        <v>0.61069989204406738</v>
      </c>
    </row>
    <row r="3609" spans="1:1" x14ac:dyDescent="0.2">
      <c r="A3609" s="22">
        <v>0.51138728857040405</v>
      </c>
    </row>
    <row r="3610" spans="1:1" x14ac:dyDescent="0.2">
      <c r="A3610" s="22">
        <v>0.62786757946014404</v>
      </c>
    </row>
    <row r="3611" spans="1:1" x14ac:dyDescent="0.2">
      <c r="A3611" s="22">
        <v>1.0299265384674072E-2</v>
      </c>
    </row>
    <row r="3612" spans="1:1" x14ac:dyDescent="0.2">
      <c r="A3612" s="22">
        <v>0.10488653182983398</v>
      </c>
    </row>
    <row r="3613" spans="1:1" x14ac:dyDescent="0.2">
      <c r="A3613" s="22">
        <v>0.78297775983810425</v>
      </c>
    </row>
    <row r="3614" spans="1:1" x14ac:dyDescent="0.2">
      <c r="A3614" s="22">
        <v>0.80064499378204346</v>
      </c>
    </row>
    <row r="3615" spans="1:1" x14ac:dyDescent="0.2">
      <c r="A3615" s="22">
        <v>0.77932053804397583</v>
      </c>
    </row>
    <row r="3616" spans="1:1" x14ac:dyDescent="0.2">
      <c r="A3616" s="22">
        <v>0.18576216697692871</v>
      </c>
    </row>
    <row r="3617" spans="1:1" x14ac:dyDescent="0.2">
      <c r="A3617" s="22">
        <v>0.62653249502182007</v>
      </c>
    </row>
    <row r="3618" spans="1:1" x14ac:dyDescent="0.2">
      <c r="A3618" s="22">
        <v>0.261435866355896</v>
      </c>
    </row>
    <row r="3619" spans="1:1" x14ac:dyDescent="0.2">
      <c r="A3619" s="22">
        <v>0.67258268594741821</v>
      </c>
    </row>
    <row r="3620" spans="1:1" x14ac:dyDescent="0.2">
      <c r="A3620" s="22">
        <v>0.92907142639160156</v>
      </c>
    </row>
    <row r="3621" spans="1:1" x14ac:dyDescent="0.2">
      <c r="A3621" s="22">
        <v>0.37731760740280151</v>
      </c>
    </row>
    <row r="3622" spans="1:1" x14ac:dyDescent="0.2">
      <c r="A3622" s="22">
        <v>0.31694185733795166</v>
      </c>
    </row>
    <row r="3623" spans="1:1" x14ac:dyDescent="0.2">
      <c r="A3623" s="22">
        <v>0.83248072862625122</v>
      </c>
    </row>
    <row r="3624" spans="1:1" x14ac:dyDescent="0.2">
      <c r="A3624" s="22">
        <v>0.72012925148010254</v>
      </c>
    </row>
    <row r="3625" spans="1:1" x14ac:dyDescent="0.2">
      <c r="A3625" s="22">
        <v>0.44188827276229858</v>
      </c>
    </row>
    <row r="3626" spans="1:1" x14ac:dyDescent="0.2">
      <c r="A3626" s="22">
        <v>5.9997439384460449E-2</v>
      </c>
    </row>
    <row r="3627" spans="1:1" x14ac:dyDescent="0.2">
      <c r="A3627" s="22">
        <v>4.3011248111724854E-2</v>
      </c>
    </row>
    <row r="3628" spans="1:1" x14ac:dyDescent="0.2">
      <c r="A3628" s="22">
        <v>1.9445896148681641E-2</v>
      </c>
    </row>
    <row r="3629" spans="1:1" x14ac:dyDescent="0.2">
      <c r="A3629" s="22">
        <v>1.2137293815612793E-3</v>
      </c>
    </row>
    <row r="3630" spans="1:1" x14ac:dyDescent="0.2">
      <c r="A3630" s="22">
        <v>0.26019489765167236</v>
      </c>
    </row>
    <row r="3631" spans="1:1" x14ac:dyDescent="0.2">
      <c r="A3631" s="22">
        <v>5.7897388935089111E-2</v>
      </c>
    </row>
    <row r="3632" spans="1:1" x14ac:dyDescent="0.2">
      <c r="A3632" s="22">
        <v>0.37835192680358887</v>
      </c>
    </row>
    <row r="3633" spans="1:1" x14ac:dyDescent="0.2">
      <c r="A3633" s="22">
        <v>0.9638022780418396</v>
      </c>
    </row>
    <row r="3634" spans="1:1" x14ac:dyDescent="0.2">
      <c r="A3634" s="22">
        <v>0.5045093297958374</v>
      </c>
    </row>
    <row r="3635" spans="1:1" x14ac:dyDescent="0.2">
      <c r="A3635" s="22">
        <v>0.17871385812759399</v>
      </c>
    </row>
    <row r="3636" spans="1:1" x14ac:dyDescent="0.2">
      <c r="A3636" s="22">
        <v>0.70462322235107422</v>
      </c>
    </row>
    <row r="3637" spans="1:1" x14ac:dyDescent="0.2">
      <c r="A3637" s="22">
        <v>0.16882628202438354</v>
      </c>
    </row>
    <row r="3638" spans="1:1" x14ac:dyDescent="0.2">
      <c r="A3638" s="22">
        <v>0.58792364597320557</v>
      </c>
    </row>
    <row r="3639" spans="1:1" x14ac:dyDescent="0.2">
      <c r="A3639" s="22">
        <v>8.3011925220489502E-2</v>
      </c>
    </row>
    <row r="3640" spans="1:1" x14ac:dyDescent="0.2">
      <c r="A3640" s="22">
        <v>0.7781059741973877</v>
      </c>
    </row>
    <row r="3641" spans="1:1" x14ac:dyDescent="0.2">
      <c r="A3641" s="22">
        <v>0.83924716711044312</v>
      </c>
    </row>
    <row r="3642" spans="1:1" x14ac:dyDescent="0.2">
      <c r="A3642" s="22">
        <v>0.15405356884002686</v>
      </c>
    </row>
    <row r="3643" spans="1:1" x14ac:dyDescent="0.2">
      <c r="A3643" s="22">
        <v>0.90244442224502563</v>
      </c>
    </row>
    <row r="3644" spans="1:1" x14ac:dyDescent="0.2">
      <c r="A3644" s="22">
        <v>1.6341686248779297E-2</v>
      </c>
    </row>
    <row r="3645" spans="1:1" x14ac:dyDescent="0.2">
      <c r="A3645" s="22">
        <v>0.28494042158126831</v>
      </c>
    </row>
    <row r="3646" spans="1:1" x14ac:dyDescent="0.2">
      <c r="A3646" s="22">
        <v>0.58577263355255127</v>
      </c>
    </row>
    <row r="3647" spans="1:1" x14ac:dyDescent="0.2">
      <c r="A3647" s="22">
        <v>0.55089074373245239</v>
      </c>
    </row>
    <row r="3648" spans="1:1" x14ac:dyDescent="0.2">
      <c r="A3648" s="22">
        <v>0.49019217491149902</v>
      </c>
    </row>
    <row r="3649" spans="1:1" x14ac:dyDescent="0.2">
      <c r="A3649" s="22">
        <v>0.85582059621810913</v>
      </c>
    </row>
    <row r="3650" spans="1:1" x14ac:dyDescent="0.2">
      <c r="A3650" s="22">
        <v>0.14583718776702881</v>
      </c>
    </row>
    <row r="3651" spans="1:1" x14ac:dyDescent="0.2">
      <c r="A3651" s="22">
        <v>0.30258184671401978</v>
      </c>
    </row>
    <row r="3652" spans="1:1" x14ac:dyDescent="0.2">
      <c r="A3652" s="22">
        <v>0.18946456909179688</v>
      </c>
    </row>
    <row r="3653" spans="1:1" x14ac:dyDescent="0.2">
      <c r="A3653" s="22">
        <v>0.14496630430221558</v>
      </c>
    </row>
    <row r="3654" spans="1:1" x14ac:dyDescent="0.2">
      <c r="A3654" s="22">
        <v>0.36751139163970947</v>
      </c>
    </row>
    <row r="3655" spans="1:1" x14ac:dyDescent="0.2">
      <c r="A3655" s="22">
        <v>0.62022525072097778</v>
      </c>
    </row>
    <row r="3656" spans="1:1" x14ac:dyDescent="0.2">
      <c r="A3656" s="22">
        <v>0.53853631019592285</v>
      </c>
    </row>
    <row r="3657" spans="1:1" x14ac:dyDescent="0.2">
      <c r="A3657" s="22">
        <v>0.44174522161483765</v>
      </c>
    </row>
    <row r="3658" spans="1:1" x14ac:dyDescent="0.2">
      <c r="A3658" s="22">
        <v>0.69519221782684326</v>
      </c>
    </row>
    <row r="3659" spans="1:1" x14ac:dyDescent="0.2">
      <c r="A3659" s="22">
        <v>0.23313003778457642</v>
      </c>
    </row>
    <row r="3660" spans="1:1" x14ac:dyDescent="0.2">
      <c r="A3660" s="22">
        <v>0.16198015213012695</v>
      </c>
    </row>
    <row r="3661" spans="1:1" x14ac:dyDescent="0.2">
      <c r="A3661" s="22">
        <v>0.43493908643722534</v>
      </c>
    </row>
    <row r="3662" spans="1:1" x14ac:dyDescent="0.2">
      <c r="A3662" s="22">
        <v>0.37503445148468018</v>
      </c>
    </row>
    <row r="3663" spans="1:1" x14ac:dyDescent="0.2">
      <c r="A3663" s="22">
        <v>0.46533185243606567</v>
      </c>
    </row>
    <row r="3664" spans="1:1" x14ac:dyDescent="0.2">
      <c r="A3664" s="22">
        <v>0.90018916130065918</v>
      </c>
    </row>
    <row r="3665" spans="1:1" x14ac:dyDescent="0.2">
      <c r="A3665" s="22">
        <v>0.16586869955062866</v>
      </c>
    </row>
    <row r="3666" spans="1:1" x14ac:dyDescent="0.2">
      <c r="A3666" s="22">
        <v>0.59557569026947021</v>
      </c>
    </row>
    <row r="3667" spans="1:1" x14ac:dyDescent="0.2">
      <c r="A3667" s="22">
        <v>0.81371790170669556</v>
      </c>
    </row>
    <row r="3668" spans="1:1" x14ac:dyDescent="0.2">
      <c r="A3668" s="22">
        <v>7.5001716613769531E-2</v>
      </c>
    </row>
    <row r="3669" spans="1:1" x14ac:dyDescent="0.2">
      <c r="A3669" s="22">
        <v>0.23151892423629761</v>
      </c>
    </row>
    <row r="3670" spans="1:1" x14ac:dyDescent="0.2">
      <c r="A3670" s="22">
        <v>0.87836134433746338</v>
      </c>
    </row>
    <row r="3671" spans="1:1" x14ac:dyDescent="0.2">
      <c r="A3671" s="22">
        <v>0.77615195512771606</v>
      </c>
    </row>
    <row r="3672" spans="1:1" x14ac:dyDescent="0.2">
      <c r="A3672" s="22">
        <v>5.3265094757080078E-3</v>
      </c>
    </row>
    <row r="3673" spans="1:1" x14ac:dyDescent="0.2">
      <c r="A3673" s="22">
        <v>0.23766368627548218</v>
      </c>
    </row>
    <row r="3674" spans="1:1" x14ac:dyDescent="0.2">
      <c r="A3674" s="22">
        <v>0.71856963634490967</v>
      </c>
    </row>
    <row r="3675" spans="1:1" x14ac:dyDescent="0.2">
      <c r="A3675" s="22">
        <v>0.9295993447303772</v>
      </c>
    </row>
    <row r="3676" spans="1:1" x14ac:dyDescent="0.2">
      <c r="A3676" s="22">
        <v>0.77276754379272461</v>
      </c>
    </row>
    <row r="3677" spans="1:1" x14ac:dyDescent="0.2">
      <c r="A3677" s="22">
        <v>0.50199097394943237</v>
      </c>
    </row>
    <row r="3678" spans="1:1" x14ac:dyDescent="0.2">
      <c r="A3678" s="22">
        <v>0.47563660144805908</v>
      </c>
    </row>
    <row r="3679" spans="1:1" x14ac:dyDescent="0.2">
      <c r="A3679" s="22">
        <v>0.25825196504592896</v>
      </c>
    </row>
    <row r="3680" spans="1:1" x14ac:dyDescent="0.2">
      <c r="A3680" s="22">
        <v>0.23724913597106934</v>
      </c>
    </row>
    <row r="3681" spans="1:1" x14ac:dyDescent="0.2">
      <c r="A3681" s="22">
        <v>7.2278380393981934E-3</v>
      </c>
    </row>
    <row r="3682" spans="1:1" x14ac:dyDescent="0.2">
      <c r="A3682" s="22">
        <v>0.51388108730316162</v>
      </c>
    </row>
    <row r="3683" spans="1:1" x14ac:dyDescent="0.2">
      <c r="A3683" s="22">
        <v>0.73165327310562134</v>
      </c>
    </row>
    <row r="3684" spans="1:1" x14ac:dyDescent="0.2">
      <c r="A3684" s="22">
        <v>0.30264091491699219</v>
      </c>
    </row>
    <row r="3685" spans="1:1" x14ac:dyDescent="0.2">
      <c r="A3685" s="22">
        <v>0.60426539182662964</v>
      </c>
    </row>
    <row r="3686" spans="1:1" x14ac:dyDescent="0.2">
      <c r="A3686" s="22">
        <v>0.59312975406646729</v>
      </c>
    </row>
    <row r="3687" spans="1:1" x14ac:dyDescent="0.2">
      <c r="A3687" s="22">
        <v>0.13282328844070435</v>
      </c>
    </row>
    <row r="3688" spans="1:1" x14ac:dyDescent="0.2">
      <c r="A3688" s="22">
        <v>0.43238282203674316</v>
      </c>
    </row>
    <row r="3689" spans="1:1" x14ac:dyDescent="0.2">
      <c r="A3689" s="22">
        <v>0.46528381109237671</v>
      </c>
    </row>
    <row r="3690" spans="1:1" x14ac:dyDescent="0.2">
      <c r="A3690" s="22">
        <v>0.50934207439422607</v>
      </c>
    </row>
    <row r="3691" spans="1:1" x14ac:dyDescent="0.2">
      <c r="A3691" s="22">
        <v>0.13638359308242798</v>
      </c>
    </row>
    <row r="3692" spans="1:1" x14ac:dyDescent="0.2">
      <c r="A3692" s="22">
        <v>0.41511011123657227</v>
      </c>
    </row>
    <row r="3693" spans="1:1" x14ac:dyDescent="0.2">
      <c r="A3693" s="22">
        <v>0.7868773341178894</v>
      </c>
    </row>
    <row r="3694" spans="1:1" x14ac:dyDescent="0.2">
      <c r="A3694" s="22">
        <v>0.98523533344268799</v>
      </c>
    </row>
    <row r="3695" spans="1:1" x14ac:dyDescent="0.2">
      <c r="A3695" s="22">
        <v>0.63668233156204224</v>
      </c>
    </row>
    <row r="3696" spans="1:1" x14ac:dyDescent="0.2">
      <c r="A3696" s="22">
        <v>0.38027834892272949</v>
      </c>
    </row>
    <row r="3697" spans="1:1" x14ac:dyDescent="0.2">
      <c r="A3697" s="22">
        <v>0.74317926168441772</v>
      </c>
    </row>
    <row r="3698" spans="1:1" x14ac:dyDescent="0.2">
      <c r="A3698" s="22">
        <v>0.81090962886810303</v>
      </c>
    </row>
    <row r="3699" spans="1:1" x14ac:dyDescent="0.2">
      <c r="A3699" s="22">
        <v>0.32591921091079712</v>
      </c>
    </row>
    <row r="3700" spans="1:1" x14ac:dyDescent="0.2">
      <c r="A3700" s="22">
        <v>6.3788414001464844E-2</v>
      </c>
    </row>
    <row r="3701" spans="1:1" x14ac:dyDescent="0.2">
      <c r="A3701" s="22">
        <v>0.68898695707321167</v>
      </c>
    </row>
    <row r="3702" spans="1:1" x14ac:dyDescent="0.2">
      <c r="A3702" s="22">
        <v>0.23447287082672119</v>
      </c>
    </row>
    <row r="3703" spans="1:1" x14ac:dyDescent="0.2">
      <c r="A3703" s="22">
        <v>0.52227050065994263</v>
      </c>
    </row>
    <row r="3704" spans="1:1" x14ac:dyDescent="0.2">
      <c r="A3704" s="22">
        <v>0.32361149787902832</v>
      </c>
    </row>
    <row r="3705" spans="1:1" x14ac:dyDescent="0.2">
      <c r="A3705" s="22">
        <v>0.61288684606552124</v>
      </c>
    </row>
    <row r="3706" spans="1:1" x14ac:dyDescent="0.2">
      <c r="A3706" s="22">
        <v>0.60266578197479248</v>
      </c>
    </row>
    <row r="3707" spans="1:1" x14ac:dyDescent="0.2">
      <c r="A3707" s="22">
        <v>0.24801403284072876</v>
      </c>
    </row>
    <row r="3708" spans="1:1" x14ac:dyDescent="0.2">
      <c r="A3708" s="22">
        <v>0.90541410446166992</v>
      </c>
    </row>
    <row r="3709" spans="1:1" x14ac:dyDescent="0.2">
      <c r="A3709" s="22">
        <v>0.84037941694259644</v>
      </c>
    </row>
    <row r="3710" spans="1:1" x14ac:dyDescent="0.2">
      <c r="A3710" s="22">
        <v>0.25148689746856689</v>
      </c>
    </row>
    <row r="3711" spans="1:1" x14ac:dyDescent="0.2">
      <c r="A3711" s="22">
        <v>0.55765420198440552</v>
      </c>
    </row>
    <row r="3712" spans="1:1" x14ac:dyDescent="0.2">
      <c r="A3712" s="22">
        <v>0.45818305015563965</v>
      </c>
    </row>
    <row r="3713" spans="1:1" x14ac:dyDescent="0.2">
      <c r="A3713" s="22">
        <v>0.98700422048568726</v>
      </c>
    </row>
    <row r="3714" spans="1:1" x14ac:dyDescent="0.2">
      <c r="A3714" s="22">
        <v>0.64681756496429443</v>
      </c>
    </row>
    <row r="3715" spans="1:1" x14ac:dyDescent="0.2">
      <c r="A3715" s="22">
        <v>0.1160469651222229</v>
      </c>
    </row>
    <row r="3716" spans="1:1" x14ac:dyDescent="0.2">
      <c r="A3716" s="22">
        <v>0.7998504638671875</v>
      </c>
    </row>
    <row r="3717" spans="1:1" x14ac:dyDescent="0.2">
      <c r="A3717" s="22">
        <v>0.1614648699760437</v>
      </c>
    </row>
    <row r="3718" spans="1:1" x14ac:dyDescent="0.2">
      <c r="A3718" s="22">
        <v>0.7750469446182251</v>
      </c>
    </row>
    <row r="3719" spans="1:1" x14ac:dyDescent="0.2">
      <c r="A3719" s="22">
        <v>2.6524841785430908E-2</v>
      </c>
    </row>
    <row r="3720" spans="1:1" x14ac:dyDescent="0.2">
      <c r="A3720" s="22">
        <v>0.43291878700256348</v>
      </c>
    </row>
    <row r="3721" spans="1:1" x14ac:dyDescent="0.2">
      <c r="A3721" s="22">
        <v>0.41875404119491577</v>
      </c>
    </row>
    <row r="3722" spans="1:1" x14ac:dyDescent="0.2">
      <c r="A3722" s="22">
        <v>0.78369700908660889</v>
      </c>
    </row>
    <row r="3723" spans="1:1" x14ac:dyDescent="0.2">
      <c r="A3723" s="22">
        <v>0.90902191400527954</v>
      </c>
    </row>
    <row r="3724" spans="1:1" x14ac:dyDescent="0.2">
      <c r="A3724" s="22">
        <v>0.31008577346801758</v>
      </c>
    </row>
    <row r="3725" spans="1:1" x14ac:dyDescent="0.2">
      <c r="A3725" s="22">
        <v>0.46327847242355347</v>
      </c>
    </row>
    <row r="3726" spans="1:1" x14ac:dyDescent="0.2">
      <c r="A3726" s="22">
        <v>0.8720475435256958</v>
      </c>
    </row>
    <row r="3727" spans="1:1" x14ac:dyDescent="0.2">
      <c r="A3727" s="22">
        <v>0.2281988263130188</v>
      </c>
    </row>
    <row r="3728" spans="1:1" x14ac:dyDescent="0.2">
      <c r="A3728" s="22">
        <v>0.8498694896697998</v>
      </c>
    </row>
    <row r="3729" spans="1:1" x14ac:dyDescent="0.2">
      <c r="A3729" s="22">
        <v>0.60198396444320679</v>
      </c>
    </row>
    <row r="3730" spans="1:1" x14ac:dyDescent="0.2">
      <c r="A3730" s="22">
        <v>0.43176114559173584</v>
      </c>
    </row>
    <row r="3731" spans="1:1" x14ac:dyDescent="0.2">
      <c r="A3731" s="22">
        <v>0.87156778573989868</v>
      </c>
    </row>
    <row r="3732" spans="1:1" x14ac:dyDescent="0.2">
      <c r="A3732" s="22">
        <v>0.20223331451416016</v>
      </c>
    </row>
    <row r="3733" spans="1:1" x14ac:dyDescent="0.2">
      <c r="A3733" s="22">
        <v>0.94748038053512573</v>
      </c>
    </row>
    <row r="3734" spans="1:1" x14ac:dyDescent="0.2">
      <c r="A3734" s="22">
        <v>0.437508225440979</v>
      </c>
    </row>
    <row r="3735" spans="1:1" x14ac:dyDescent="0.2">
      <c r="A3735" s="22">
        <v>0.97761756181716919</v>
      </c>
    </row>
    <row r="3736" spans="1:1" x14ac:dyDescent="0.2">
      <c r="A3736" s="22">
        <v>0.76421093940734863</v>
      </c>
    </row>
    <row r="3737" spans="1:1" x14ac:dyDescent="0.2">
      <c r="A3737" s="22">
        <v>0.8711666464805603</v>
      </c>
    </row>
    <row r="3738" spans="1:1" x14ac:dyDescent="0.2">
      <c r="A3738" s="22">
        <v>8.7592005729675293E-2</v>
      </c>
    </row>
    <row r="3739" spans="1:1" x14ac:dyDescent="0.2">
      <c r="A3739" s="22">
        <v>1.3938486576080322E-2</v>
      </c>
    </row>
    <row r="3740" spans="1:1" x14ac:dyDescent="0.2">
      <c r="A3740" s="22">
        <v>0.94553136825561523</v>
      </c>
    </row>
    <row r="3741" spans="1:1" x14ac:dyDescent="0.2">
      <c r="A3741" s="22">
        <v>0.7063557505607605</v>
      </c>
    </row>
    <row r="3742" spans="1:1" x14ac:dyDescent="0.2">
      <c r="A3742" s="22">
        <v>0.69457352161407471</v>
      </c>
    </row>
    <row r="3743" spans="1:1" x14ac:dyDescent="0.2">
      <c r="A3743" s="22">
        <v>0.10534745454788208</v>
      </c>
    </row>
    <row r="3744" spans="1:1" x14ac:dyDescent="0.2">
      <c r="A3744" s="22">
        <v>0.18424391746520996</v>
      </c>
    </row>
    <row r="3745" spans="1:1" x14ac:dyDescent="0.2">
      <c r="A3745" s="22">
        <v>0.70139974355697632</v>
      </c>
    </row>
    <row r="3746" spans="1:1" x14ac:dyDescent="0.2">
      <c r="A3746" s="22">
        <v>0.82589662075042725</v>
      </c>
    </row>
    <row r="3747" spans="1:1" x14ac:dyDescent="0.2">
      <c r="A3747" s="22">
        <v>0.61201292276382446</v>
      </c>
    </row>
    <row r="3748" spans="1:1" x14ac:dyDescent="0.2">
      <c r="A3748" s="22">
        <v>0.21234321594238281</v>
      </c>
    </row>
    <row r="3749" spans="1:1" x14ac:dyDescent="0.2">
      <c r="A3749" s="22">
        <v>0.22281473875045776</v>
      </c>
    </row>
    <row r="3750" spans="1:1" x14ac:dyDescent="0.2">
      <c r="A3750" s="22">
        <v>0.69451296329498291</v>
      </c>
    </row>
    <row r="3751" spans="1:1" x14ac:dyDescent="0.2">
      <c r="A3751" s="22">
        <v>0.95757991075515747</v>
      </c>
    </row>
    <row r="3752" spans="1:1" x14ac:dyDescent="0.2">
      <c r="A3752" s="22">
        <v>0.57139420509338379</v>
      </c>
    </row>
    <row r="3753" spans="1:1" x14ac:dyDescent="0.2">
      <c r="A3753" s="22">
        <v>0.20840591192245483</v>
      </c>
    </row>
    <row r="3754" spans="1:1" x14ac:dyDescent="0.2">
      <c r="A3754" s="22">
        <v>0.7995070219039917</v>
      </c>
    </row>
    <row r="3755" spans="1:1" x14ac:dyDescent="0.2">
      <c r="A3755" s="22">
        <v>0.7072950005531311</v>
      </c>
    </row>
    <row r="3756" spans="1:1" x14ac:dyDescent="0.2">
      <c r="A3756" s="22">
        <v>0.37815713882446289</v>
      </c>
    </row>
    <row r="3757" spans="1:1" x14ac:dyDescent="0.2">
      <c r="A3757" s="22">
        <v>0.87039250135421753</v>
      </c>
    </row>
    <row r="3758" spans="1:1" x14ac:dyDescent="0.2">
      <c r="A3758" s="22">
        <v>0.81672108173370361</v>
      </c>
    </row>
    <row r="3759" spans="1:1" x14ac:dyDescent="0.2">
      <c r="A3759" s="22">
        <v>0.89613133668899536</v>
      </c>
    </row>
    <row r="3760" spans="1:1" x14ac:dyDescent="0.2">
      <c r="A3760" s="22">
        <v>0.34021258354187012</v>
      </c>
    </row>
    <row r="3761" spans="1:1" x14ac:dyDescent="0.2">
      <c r="A3761" s="22">
        <v>0.64853280782699585</v>
      </c>
    </row>
    <row r="3762" spans="1:1" x14ac:dyDescent="0.2">
      <c r="A3762" s="22">
        <v>0.73938024044036865</v>
      </c>
    </row>
    <row r="3763" spans="1:1" x14ac:dyDescent="0.2">
      <c r="A3763" s="22">
        <v>0.60691362619400024</v>
      </c>
    </row>
    <row r="3764" spans="1:1" x14ac:dyDescent="0.2">
      <c r="A3764" s="22">
        <v>2.1586418151855469E-2</v>
      </c>
    </row>
    <row r="3765" spans="1:1" x14ac:dyDescent="0.2">
      <c r="A3765" s="22">
        <v>0.41324919462203979</v>
      </c>
    </row>
    <row r="3766" spans="1:1" x14ac:dyDescent="0.2">
      <c r="A3766" s="22">
        <v>0.26871740818023682</v>
      </c>
    </row>
    <row r="3767" spans="1:1" x14ac:dyDescent="0.2">
      <c r="A3767" s="22">
        <v>0.79844313859939575</v>
      </c>
    </row>
    <row r="3768" spans="1:1" x14ac:dyDescent="0.2">
      <c r="A3768" s="22">
        <v>0.35837483406066895</v>
      </c>
    </row>
    <row r="3769" spans="1:1" x14ac:dyDescent="0.2">
      <c r="A3769" s="22">
        <v>0.91875308752059937</v>
      </c>
    </row>
    <row r="3770" spans="1:1" x14ac:dyDescent="0.2">
      <c r="A3770" s="22">
        <v>0.45459830760955811</v>
      </c>
    </row>
    <row r="3771" spans="1:1" x14ac:dyDescent="0.2">
      <c r="A3771" s="22">
        <v>0.38362270593643188</v>
      </c>
    </row>
    <row r="3772" spans="1:1" x14ac:dyDescent="0.2">
      <c r="A3772" s="22">
        <v>0.42436933517456055</v>
      </c>
    </row>
    <row r="3773" spans="1:1" x14ac:dyDescent="0.2">
      <c r="A3773" s="22">
        <v>0.50616997480392456</v>
      </c>
    </row>
    <row r="3774" spans="1:1" x14ac:dyDescent="0.2">
      <c r="A3774" s="22">
        <v>0.58614647388458252</v>
      </c>
    </row>
    <row r="3775" spans="1:1" x14ac:dyDescent="0.2">
      <c r="A3775" s="22">
        <v>0.55758172273635864</v>
      </c>
    </row>
    <row r="3776" spans="1:1" x14ac:dyDescent="0.2">
      <c r="A3776" s="22">
        <v>0.44668173789978027</v>
      </c>
    </row>
    <row r="3777" spans="1:1" x14ac:dyDescent="0.2">
      <c r="A3777" s="22">
        <v>5.6664407253265381E-2</v>
      </c>
    </row>
    <row r="3778" spans="1:1" x14ac:dyDescent="0.2">
      <c r="A3778" s="22">
        <v>0.33236825466156006</v>
      </c>
    </row>
    <row r="3779" spans="1:1" x14ac:dyDescent="0.2">
      <c r="A3779" s="22">
        <v>0.37580114603042603</v>
      </c>
    </row>
    <row r="3780" spans="1:1" x14ac:dyDescent="0.2">
      <c r="A3780" s="22">
        <v>7.1369171142578125E-2</v>
      </c>
    </row>
    <row r="3781" spans="1:1" x14ac:dyDescent="0.2">
      <c r="A3781" s="22">
        <v>0.19456499814987183</v>
      </c>
    </row>
    <row r="3782" spans="1:1" x14ac:dyDescent="0.2">
      <c r="A3782" s="22">
        <v>0.13277781009674072</v>
      </c>
    </row>
    <row r="3783" spans="1:1" x14ac:dyDescent="0.2">
      <c r="A3783" s="22">
        <v>0.58223849534988403</v>
      </c>
    </row>
    <row r="3784" spans="1:1" x14ac:dyDescent="0.2">
      <c r="A3784" s="22">
        <v>0.8790590763092041</v>
      </c>
    </row>
    <row r="3785" spans="1:1" x14ac:dyDescent="0.2">
      <c r="A3785" s="22">
        <v>0.7404894232749939</v>
      </c>
    </row>
    <row r="3786" spans="1:1" x14ac:dyDescent="0.2">
      <c r="A3786" s="22">
        <v>0.83802211284637451</v>
      </c>
    </row>
    <row r="3787" spans="1:1" x14ac:dyDescent="0.2">
      <c r="A3787" s="22">
        <v>0.68745285272598267</v>
      </c>
    </row>
    <row r="3788" spans="1:1" x14ac:dyDescent="0.2">
      <c r="A3788" s="22">
        <v>0.1505742073059082</v>
      </c>
    </row>
    <row r="3789" spans="1:1" x14ac:dyDescent="0.2">
      <c r="A3789" s="22">
        <v>0.41446942090988159</v>
      </c>
    </row>
    <row r="3790" spans="1:1" x14ac:dyDescent="0.2">
      <c r="A3790" s="22">
        <v>0.60050594806671143</v>
      </c>
    </row>
    <row r="3791" spans="1:1" x14ac:dyDescent="0.2">
      <c r="A3791" s="22">
        <v>0.29672986268997192</v>
      </c>
    </row>
    <row r="3792" spans="1:1" x14ac:dyDescent="0.2">
      <c r="A3792" s="22">
        <v>0.88255763053894043</v>
      </c>
    </row>
    <row r="3793" spans="1:1" x14ac:dyDescent="0.2">
      <c r="A3793" s="22">
        <v>0.78907579183578491</v>
      </c>
    </row>
    <row r="3794" spans="1:1" x14ac:dyDescent="0.2">
      <c r="A3794" s="22">
        <v>1.5016913414001465E-2</v>
      </c>
    </row>
    <row r="3795" spans="1:1" x14ac:dyDescent="0.2">
      <c r="A3795" s="22">
        <v>0.68820673227310181</v>
      </c>
    </row>
    <row r="3796" spans="1:1" x14ac:dyDescent="0.2">
      <c r="A3796" s="22">
        <v>5.3097724914550781E-2</v>
      </c>
    </row>
    <row r="3797" spans="1:1" x14ac:dyDescent="0.2">
      <c r="A3797" s="22">
        <v>0.49254339933395386</v>
      </c>
    </row>
    <row r="3798" spans="1:1" x14ac:dyDescent="0.2">
      <c r="A3798" s="22">
        <v>0.50935041904449463</v>
      </c>
    </row>
    <row r="3799" spans="1:1" x14ac:dyDescent="0.2">
      <c r="A3799" s="22">
        <v>0.64099723100662231</v>
      </c>
    </row>
    <row r="3800" spans="1:1" x14ac:dyDescent="0.2">
      <c r="A3800" s="22">
        <v>0.13735318183898926</v>
      </c>
    </row>
    <row r="3801" spans="1:1" x14ac:dyDescent="0.2">
      <c r="A3801" s="22">
        <v>0.66189616918563843</v>
      </c>
    </row>
    <row r="3802" spans="1:1" x14ac:dyDescent="0.2">
      <c r="A3802" s="22">
        <v>0.98493468761444092</v>
      </c>
    </row>
    <row r="3803" spans="1:1" x14ac:dyDescent="0.2">
      <c r="A3803" s="22">
        <v>0.51331669092178345</v>
      </c>
    </row>
    <row r="3804" spans="1:1" x14ac:dyDescent="0.2">
      <c r="A3804" s="22">
        <v>0.87317800521850586</v>
      </c>
    </row>
    <row r="3805" spans="1:1" x14ac:dyDescent="0.2">
      <c r="A3805" s="22">
        <v>0.64607208967208862</v>
      </c>
    </row>
    <row r="3806" spans="1:1" x14ac:dyDescent="0.2">
      <c r="A3806" s="22">
        <v>0.70745575428009033</v>
      </c>
    </row>
    <row r="3807" spans="1:1" x14ac:dyDescent="0.2">
      <c r="A3807" s="22">
        <v>0.57060700654983521</v>
      </c>
    </row>
    <row r="3808" spans="1:1" x14ac:dyDescent="0.2">
      <c r="A3808" s="22">
        <v>0.27674651145935059</v>
      </c>
    </row>
    <row r="3809" spans="1:1" x14ac:dyDescent="0.2">
      <c r="A3809" s="22">
        <v>0.95904821157455444</v>
      </c>
    </row>
    <row r="3810" spans="1:1" x14ac:dyDescent="0.2">
      <c r="A3810" s="22">
        <v>0.44748246669769287</v>
      </c>
    </row>
    <row r="3811" spans="1:1" x14ac:dyDescent="0.2">
      <c r="A3811" s="22">
        <v>0.56366163492202759</v>
      </c>
    </row>
    <row r="3812" spans="1:1" x14ac:dyDescent="0.2">
      <c r="A3812" s="22">
        <v>0.90817832946777344</v>
      </c>
    </row>
    <row r="3813" spans="1:1" x14ac:dyDescent="0.2">
      <c r="A3813" s="22">
        <v>0.48296564817428589</v>
      </c>
    </row>
    <row r="3814" spans="1:1" x14ac:dyDescent="0.2">
      <c r="A3814" s="22">
        <v>0.87109148502349854</v>
      </c>
    </row>
    <row r="3815" spans="1:1" x14ac:dyDescent="0.2">
      <c r="A3815" s="22">
        <v>0.5567505955696106</v>
      </c>
    </row>
    <row r="3816" spans="1:1" x14ac:dyDescent="0.2">
      <c r="A3816" s="22">
        <v>0.38716340065002441</v>
      </c>
    </row>
    <row r="3817" spans="1:1" x14ac:dyDescent="0.2">
      <c r="A3817" s="22">
        <v>0.92125457525253296</v>
      </c>
    </row>
    <row r="3818" spans="1:1" x14ac:dyDescent="0.2">
      <c r="A3818" s="22">
        <v>0.18049228191375732</v>
      </c>
    </row>
    <row r="3819" spans="1:1" x14ac:dyDescent="0.2">
      <c r="A3819" s="22">
        <v>5.7454705238342285E-3</v>
      </c>
    </row>
    <row r="3820" spans="1:1" x14ac:dyDescent="0.2">
      <c r="A3820" s="22">
        <v>0.15858697891235352</v>
      </c>
    </row>
    <row r="3821" spans="1:1" x14ac:dyDescent="0.2">
      <c r="A3821" s="22">
        <v>0.50175923109054565</v>
      </c>
    </row>
    <row r="3822" spans="1:1" x14ac:dyDescent="0.2">
      <c r="A3822" s="22">
        <v>4.6521425247192383E-3</v>
      </c>
    </row>
    <row r="3823" spans="1:1" x14ac:dyDescent="0.2">
      <c r="A3823" s="22">
        <v>8.6244404315948486E-2</v>
      </c>
    </row>
    <row r="3824" spans="1:1" x14ac:dyDescent="0.2">
      <c r="A3824" s="22">
        <v>0.50815463066101074</v>
      </c>
    </row>
    <row r="3825" spans="1:1" x14ac:dyDescent="0.2">
      <c r="A3825" s="22">
        <v>0.92986291646957397</v>
      </c>
    </row>
    <row r="3826" spans="1:1" x14ac:dyDescent="0.2">
      <c r="A3826" s="22">
        <v>0.53992116451263428</v>
      </c>
    </row>
    <row r="3827" spans="1:1" x14ac:dyDescent="0.2">
      <c r="A3827" s="22">
        <v>0.27169710397720337</v>
      </c>
    </row>
    <row r="3828" spans="1:1" x14ac:dyDescent="0.2">
      <c r="A3828" s="22">
        <v>0.82801723480224609</v>
      </c>
    </row>
    <row r="3829" spans="1:1" x14ac:dyDescent="0.2">
      <c r="A3829" s="22">
        <v>0.59161299467086792</v>
      </c>
    </row>
    <row r="3830" spans="1:1" x14ac:dyDescent="0.2">
      <c r="A3830" s="22">
        <v>0.94065725803375244</v>
      </c>
    </row>
    <row r="3831" spans="1:1" x14ac:dyDescent="0.2">
      <c r="A3831" s="22">
        <v>0.16152983903884888</v>
      </c>
    </row>
    <row r="3832" spans="1:1" x14ac:dyDescent="0.2">
      <c r="A3832" s="22">
        <v>0.13239598274230957</v>
      </c>
    </row>
    <row r="3833" spans="1:1" x14ac:dyDescent="0.2">
      <c r="A3833" s="22">
        <v>6.8458914756774902E-3</v>
      </c>
    </row>
    <row r="3834" spans="1:1" x14ac:dyDescent="0.2">
      <c r="A3834" s="22">
        <v>0.95985114574432373</v>
      </c>
    </row>
    <row r="3835" spans="1:1" x14ac:dyDescent="0.2">
      <c r="A3835" s="22">
        <v>0.55927044153213501</v>
      </c>
    </row>
    <row r="3836" spans="1:1" x14ac:dyDescent="0.2">
      <c r="A3836" s="22">
        <v>0.82320737838745117</v>
      </c>
    </row>
    <row r="3837" spans="1:1" x14ac:dyDescent="0.2">
      <c r="A3837" s="22">
        <v>0.53231209516525269</v>
      </c>
    </row>
    <row r="3838" spans="1:1" x14ac:dyDescent="0.2">
      <c r="A3838" s="22">
        <v>0.83975136280059814</v>
      </c>
    </row>
    <row r="3839" spans="1:1" x14ac:dyDescent="0.2">
      <c r="A3839" s="22">
        <v>0.80067330598831177</v>
      </c>
    </row>
    <row r="3840" spans="1:1" x14ac:dyDescent="0.2">
      <c r="A3840" s="22">
        <v>0.7056882381439209</v>
      </c>
    </row>
    <row r="3841" spans="1:1" x14ac:dyDescent="0.2">
      <c r="A3841" s="22">
        <v>0.31480115652084351</v>
      </c>
    </row>
    <row r="3842" spans="1:1" x14ac:dyDescent="0.2">
      <c r="A3842" s="22">
        <v>0.45248925685882568</v>
      </c>
    </row>
    <row r="3843" spans="1:1" x14ac:dyDescent="0.2">
      <c r="A3843" s="22">
        <v>0.33184438943862915</v>
      </c>
    </row>
    <row r="3844" spans="1:1" x14ac:dyDescent="0.2">
      <c r="A3844" s="22">
        <v>0.25402069091796875</v>
      </c>
    </row>
    <row r="3845" spans="1:1" x14ac:dyDescent="0.2">
      <c r="A3845" s="22">
        <v>0.49426668882369995</v>
      </c>
    </row>
    <row r="3846" spans="1:1" x14ac:dyDescent="0.2">
      <c r="A3846" s="22">
        <v>0.69070398807525635</v>
      </c>
    </row>
    <row r="3847" spans="1:1" x14ac:dyDescent="0.2">
      <c r="A3847" s="22">
        <v>0.53736621141433716</v>
      </c>
    </row>
    <row r="3848" spans="1:1" x14ac:dyDescent="0.2">
      <c r="A3848" s="22">
        <v>0.12695717811584473</v>
      </c>
    </row>
    <row r="3849" spans="1:1" x14ac:dyDescent="0.2">
      <c r="A3849" s="22">
        <v>0.65695136785507202</v>
      </c>
    </row>
    <row r="3850" spans="1:1" x14ac:dyDescent="0.2">
      <c r="A3850" s="22">
        <v>0.10816752910614014</v>
      </c>
    </row>
    <row r="3851" spans="1:1" x14ac:dyDescent="0.2">
      <c r="A3851" s="22">
        <v>0.81842285394668579</v>
      </c>
    </row>
    <row r="3852" spans="1:1" x14ac:dyDescent="0.2">
      <c r="A3852" s="22">
        <v>0.93344545364379883</v>
      </c>
    </row>
    <row r="3853" spans="1:1" x14ac:dyDescent="0.2">
      <c r="A3853" s="22">
        <v>0.53851193189620972</v>
      </c>
    </row>
    <row r="3854" spans="1:1" x14ac:dyDescent="0.2">
      <c r="A3854" s="22">
        <v>0.81040966510772705</v>
      </c>
    </row>
    <row r="3855" spans="1:1" x14ac:dyDescent="0.2">
      <c r="A3855" s="22">
        <v>0.92092496156692505</v>
      </c>
    </row>
    <row r="3856" spans="1:1" x14ac:dyDescent="0.2">
      <c r="A3856" s="22">
        <v>0.24825358390808105</v>
      </c>
    </row>
    <row r="3857" spans="1:1" x14ac:dyDescent="0.2">
      <c r="A3857" s="22">
        <v>0.97714418172836304</v>
      </c>
    </row>
    <row r="3858" spans="1:1" x14ac:dyDescent="0.2">
      <c r="A3858" s="22">
        <v>0.59534299373626709</v>
      </c>
    </row>
    <row r="3859" spans="1:1" x14ac:dyDescent="0.2">
      <c r="A3859" s="22">
        <v>0.51363474130630493</v>
      </c>
    </row>
    <row r="3860" spans="1:1" x14ac:dyDescent="0.2">
      <c r="A3860" s="22">
        <v>0.87759494781494141</v>
      </c>
    </row>
    <row r="3861" spans="1:1" x14ac:dyDescent="0.2">
      <c r="A3861" s="22">
        <v>0.11670798063278198</v>
      </c>
    </row>
    <row r="3862" spans="1:1" x14ac:dyDescent="0.2">
      <c r="A3862" s="22">
        <v>0.34388792514801025</v>
      </c>
    </row>
    <row r="3863" spans="1:1" x14ac:dyDescent="0.2">
      <c r="A3863" s="22">
        <v>1.6290962696075439E-2</v>
      </c>
    </row>
    <row r="3864" spans="1:1" x14ac:dyDescent="0.2">
      <c r="A3864" s="22">
        <v>0.37475323677062988</v>
      </c>
    </row>
    <row r="3865" spans="1:1" x14ac:dyDescent="0.2">
      <c r="A3865" s="22">
        <v>0.85985225439071655</v>
      </c>
    </row>
    <row r="3866" spans="1:1" x14ac:dyDescent="0.2">
      <c r="A3866" s="22">
        <v>0.66059768199920654</v>
      </c>
    </row>
    <row r="3867" spans="1:1" x14ac:dyDescent="0.2">
      <c r="A3867" s="22">
        <v>0.67773395776748657</v>
      </c>
    </row>
    <row r="3868" spans="1:1" x14ac:dyDescent="0.2">
      <c r="A3868" s="22">
        <v>0.80570745468139648</v>
      </c>
    </row>
    <row r="3869" spans="1:1" x14ac:dyDescent="0.2">
      <c r="A3869" s="22">
        <v>0.57113999128341675</v>
      </c>
    </row>
    <row r="3870" spans="1:1" x14ac:dyDescent="0.2">
      <c r="A3870" s="22">
        <v>0.76428329944610596</v>
      </c>
    </row>
    <row r="3871" spans="1:1" x14ac:dyDescent="0.2">
      <c r="A3871" s="22">
        <v>0.90403062105178833</v>
      </c>
    </row>
    <row r="3872" spans="1:1" x14ac:dyDescent="0.2">
      <c r="A3872" s="22">
        <v>0.76475691795349121</v>
      </c>
    </row>
    <row r="3873" spans="1:1" x14ac:dyDescent="0.2">
      <c r="A3873" s="22">
        <v>3.0173242092132568E-2</v>
      </c>
    </row>
    <row r="3874" spans="1:1" x14ac:dyDescent="0.2">
      <c r="A3874" s="22">
        <v>0.6286386251449585</v>
      </c>
    </row>
    <row r="3875" spans="1:1" x14ac:dyDescent="0.2">
      <c r="A3875" s="22">
        <v>0.83659940958023071</v>
      </c>
    </row>
    <row r="3876" spans="1:1" x14ac:dyDescent="0.2">
      <c r="A3876" s="22">
        <v>0.64014625549316406</v>
      </c>
    </row>
    <row r="3877" spans="1:1" x14ac:dyDescent="0.2">
      <c r="A3877" s="22">
        <v>0.63471812009811401</v>
      </c>
    </row>
    <row r="3878" spans="1:1" x14ac:dyDescent="0.2">
      <c r="A3878" s="22">
        <v>0.37286531925201416</v>
      </c>
    </row>
    <row r="3879" spans="1:1" x14ac:dyDescent="0.2">
      <c r="A3879" s="22">
        <v>0.18033534288406372</v>
      </c>
    </row>
    <row r="3880" spans="1:1" x14ac:dyDescent="0.2">
      <c r="A3880" s="22">
        <v>0.12969040870666504</v>
      </c>
    </row>
    <row r="3881" spans="1:1" x14ac:dyDescent="0.2">
      <c r="A3881" s="22">
        <v>0.85382980108261108</v>
      </c>
    </row>
    <row r="3882" spans="1:1" x14ac:dyDescent="0.2">
      <c r="A3882" s="22">
        <v>0.90229785442352295</v>
      </c>
    </row>
    <row r="3883" spans="1:1" x14ac:dyDescent="0.2">
      <c r="A3883" s="22">
        <v>0.28173500299453735</v>
      </c>
    </row>
    <row r="3884" spans="1:1" x14ac:dyDescent="0.2">
      <c r="A3884" s="22">
        <v>6.3996315002441406E-3</v>
      </c>
    </row>
    <row r="3885" spans="1:1" x14ac:dyDescent="0.2">
      <c r="A3885" s="22">
        <v>0.93097752332687378</v>
      </c>
    </row>
    <row r="3886" spans="1:1" x14ac:dyDescent="0.2">
      <c r="A3886" s="22">
        <v>0.79902851581573486</v>
      </c>
    </row>
    <row r="3887" spans="1:1" x14ac:dyDescent="0.2">
      <c r="A3887" s="22">
        <v>0.45702153444290161</v>
      </c>
    </row>
    <row r="3888" spans="1:1" x14ac:dyDescent="0.2">
      <c r="A3888" s="22">
        <v>0.13410449028015137</v>
      </c>
    </row>
    <row r="3889" spans="1:1" x14ac:dyDescent="0.2">
      <c r="A3889" s="22">
        <v>0.8371695876121521</v>
      </c>
    </row>
    <row r="3890" spans="1:1" x14ac:dyDescent="0.2">
      <c r="A3890" s="22">
        <v>0.4625324010848999</v>
      </c>
    </row>
    <row r="3891" spans="1:1" x14ac:dyDescent="0.2">
      <c r="A3891" s="22">
        <v>0.57026964426040649</v>
      </c>
    </row>
    <row r="3892" spans="1:1" x14ac:dyDescent="0.2">
      <c r="A3892" s="22">
        <v>0.73308086395263672</v>
      </c>
    </row>
    <row r="3893" spans="1:1" x14ac:dyDescent="0.2">
      <c r="A3893" s="22">
        <v>0.47407835721969604</v>
      </c>
    </row>
    <row r="3894" spans="1:1" x14ac:dyDescent="0.2">
      <c r="A3894" s="22">
        <v>0.50029242038726807</v>
      </c>
    </row>
    <row r="3895" spans="1:1" x14ac:dyDescent="0.2">
      <c r="A3895" s="22">
        <v>0.861530601978302</v>
      </c>
    </row>
    <row r="3896" spans="1:1" x14ac:dyDescent="0.2">
      <c r="A3896" s="22">
        <v>0.8956749439239502</v>
      </c>
    </row>
    <row r="3897" spans="1:1" x14ac:dyDescent="0.2">
      <c r="A3897" s="22">
        <v>0.12716525793075562</v>
      </c>
    </row>
    <row r="3898" spans="1:1" x14ac:dyDescent="0.2">
      <c r="A3898" s="22">
        <v>0.36842429637908936</v>
      </c>
    </row>
    <row r="3899" spans="1:1" x14ac:dyDescent="0.2">
      <c r="A3899" s="22">
        <v>2.4957239627838135E-2</v>
      </c>
    </row>
    <row r="3900" spans="1:1" x14ac:dyDescent="0.2">
      <c r="A3900" s="22">
        <v>0.3519282341003418</v>
      </c>
    </row>
    <row r="3901" spans="1:1" x14ac:dyDescent="0.2">
      <c r="A3901" s="22">
        <v>0.16880577802658081</v>
      </c>
    </row>
    <row r="3902" spans="1:1" x14ac:dyDescent="0.2">
      <c r="A3902" s="22">
        <v>0.26230156421661377</v>
      </c>
    </row>
    <row r="3903" spans="1:1" x14ac:dyDescent="0.2">
      <c r="A3903" s="22">
        <v>0.53692895174026489</v>
      </c>
    </row>
    <row r="3904" spans="1:1" x14ac:dyDescent="0.2">
      <c r="A3904" s="22">
        <v>0.48520255088806152</v>
      </c>
    </row>
    <row r="3905" spans="1:1" x14ac:dyDescent="0.2">
      <c r="A3905" s="22">
        <v>1.1414468288421631E-2</v>
      </c>
    </row>
    <row r="3906" spans="1:1" x14ac:dyDescent="0.2">
      <c r="A3906" s="22">
        <v>0.25718057155609131</v>
      </c>
    </row>
    <row r="3907" spans="1:1" x14ac:dyDescent="0.2">
      <c r="A3907" s="22">
        <v>0.23417669534683228</v>
      </c>
    </row>
    <row r="3908" spans="1:1" x14ac:dyDescent="0.2">
      <c r="A3908" s="22">
        <v>0.59780502319335938</v>
      </c>
    </row>
    <row r="3909" spans="1:1" x14ac:dyDescent="0.2">
      <c r="A3909" s="22">
        <v>0.31056994199752808</v>
      </c>
    </row>
    <row r="3910" spans="1:1" x14ac:dyDescent="0.2">
      <c r="A3910" s="22">
        <v>0.69882547855377197</v>
      </c>
    </row>
    <row r="3911" spans="1:1" x14ac:dyDescent="0.2">
      <c r="A3911" s="22">
        <v>0.14190798997879028</v>
      </c>
    </row>
    <row r="3912" spans="1:1" x14ac:dyDescent="0.2">
      <c r="A3912" s="22">
        <v>0.42661309242248535</v>
      </c>
    </row>
    <row r="3913" spans="1:1" x14ac:dyDescent="0.2">
      <c r="A3913" s="22">
        <v>0.41813987493515015</v>
      </c>
    </row>
    <row r="3914" spans="1:1" x14ac:dyDescent="0.2">
      <c r="A3914" s="22">
        <v>0.84413325786590576</v>
      </c>
    </row>
    <row r="3915" spans="1:1" x14ac:dyDescent="0.2">
      <c r="A3915" s="22">
        <v>0.55193191766738892</v>
      </c>
    </row>
    <row r="3916" spans="1:1" x14ac:dyDescent="0.2">
      <c r="A3916" s="22">
        <v>0.90869951248168945</v>
      </c>
    </row>
    <row r="3917" spans="1:1" x14ac:dyDescent="0.2">
      <c r="A3917" s="22">
        <v>8.5406005382537842E-2</v>
      </c>
    </row>
    <row r="3918" spans="1:1" x14ac:dyDescent="0.2">
      <c r="A3918" s="22">
        <v>0.75175869464874268</v>
      </c>
    </row>
    <row r="3919" spans="1:1" x14ac:dyDescent="0.2">
      <c r="A3919" s="22">
        <v>0.35078412294387817</v>
      </c>
    </row>
    <row r="3920" spans="1:1" x14ac:dyDescent="0.2">
      <c r="A3920" s="22">
        <v>0.19695734977722168</v>
      </c>
    </row>
    <row r="3921" spans="1:1" x14ac:dyDescent="0.2">
      <c r="A3921" s="22">
        <v>0.41618913412094116</v>
      </c>
    </row>
    <row r="3922" spans="1:1" x14ac:dyDescent="0.2">
      <c r="A3922" s="22">
        <v>0.42273938655853271</v>
      </c>
    </row>
    <row r="3923" spans="1:1" x14ac:dyDescent="0.2">
      <c r="A3923" s="22">
        <v>0.59785181283950806</v>
      </c>
    </row>
    <row r="3924" spans="1:1" x14ac:dyDescent="0.2">
      <c r="A3924" s="22">
        <v>0.92572498321533203</v>
      </c>
    </row>
    <row r="3925" spans="1:1" x14ac:dyDescent="0.2">
      <c r="A3925" s="22">
        <v>6.9974124431610107E-2</v>
      </c>
    </row>
    <row r="3926" spans="1:1" x14ac:dyDescent="0.2">
      <c r="A3926" s="22">
        <v>0.19112074375152588</v>
      </c>
    </row>
    <row r="3927" spans="1:1" x14ac:dyDescent="0.2">
      <c r="A3927" s="22">
        <v>0.35349875688552856</v>
      </c>
    </row>
    <row r="3928" spans="1:1" x14ac:dyDescent="0.2">
      <c r="A3928" s="22">
        <v>0.72641110420227051</v>
      </c>
    </row>
    <row r="3929" spans="1:1" x14ac:dyDescent="0.2">
      <c r="A3929" s="22">
        <v>0.71503490209579468</v>
      </c>
    </row>
    <row r="3930" spans="1:1" x14ac:dyDescent="0.2">
      <c r="A3930" s="22">
        <v>0.36458098888397217</v>
      </c>
    </row>
    <row r="3931" spans="1:1" x14ac:dyDescent="0.2">
      <c r="A3931" s="22">
        <v>0.7571902871131897</v>
      </c>
    </row>
    <row r="3932" spans="1:1" x14ac:dyDescent="0.2">
      <c r="A3932" s="22">
        <v>0.99311971664428711</v>
      </c>
    </row>
    <row r="3933" spans="1:1" x14ac:dyDescent="0.2">
      <c r="A3933" s="22">
        <v>0.73155945539474487</v>
      </c>
    </row>
    <row r="3934" spans="1:1" x14ac:dyDescent="0.2">
      <c r="A3934" s="22">
        <v>0.11505615711212158</v>
      </c>
    </row>
    <row r="3935" spans="1:1" x14ac:dyDescent="0.2">
      <c r="A3935" s="22">
        <v>0.35561829805374146</v>
      </c>
    </row>
    <row r="3936" spans="1:1" x14ac:dyDescent="0.2">
      <c r="A3936" s="22">
        <v>0.89827513694763184</v>
      </c>
    </row>
    <row r="3937" spans="1:1" x14ac:dyDescent="0.2">
      <c r="A3937" s="22">
        <v>0.16477483510971069</v>
      </c>
    </row>
    <row r="3938" spans="1:1" x14ac:dyDescent="0.2">
      <c r="A3938" s="22">
        <v>0.61936509609222412</v>
      </c>
    </row>
    <row r="3939" spans="1:1" x14ac:dyDescent="0.2">
      <c r="A3939" s="22">
        <v>0.68082624673843384</v>
      </c>
    </row>
    <row r="3940" spans="1:1" x14ac:dyDescent="0.2">
      <c r="A3940" s="22">
        <v>0.65824699401855469</v>
      </c>
    </row>
    <row r="3941" spans="1:1" x14ac:dyDescent="0.2">
      <c r="A3941" s="22">
        <v>0.92807215452194214</v>
      </c>
    </row>
    <row r="3942" spans="1:1" x14ac:dyDescent="0.2">
      <c r="A3942" s="22">
        <v>0.44983446598052979</v>
      </c>
    </row>
    <row r="3943" spans="1:1" x14ac:dyDescent="0.2">
      <c r="A3943" s="22">
        <v>7.8334152698516846E-2</v>
      </c>
    </row>
    <row r="3944" spans="1:1" x14ac:dyDescent="0.2">
      <c r="A3944" s="22">
        <v>4.8975229263305664E-2</v>
      </c>
    </row>
    <row r="3945" spans="1:1" x14ac:dyDescent="0.2">
      <c r="A3945" s="22">
        <v>0.25613158941268921</v>
      </c>
    </row>
    <row r="3946" spans="1:1" x14ac:dyDescent="0.2">
      <c r="A3946" s="22">
        <v>0.21492373943328857</v>
      </c>
    </row>
    <row r="3947" spans="1:1" x14ac:dyDescent="0.2">
      <c r="A3947" s="22">
        <v>0.78526359796524048</v>
      </c>
    </row>
    <row r="3948" spans="1:1" x14ac:dyDescent="0.2">
      <c r="A3948" s="22">
        <v>0.17159509658813477</v>
      </c>
    </row>
    <row r="3949" spans="1:1" x14ac:dyDescent="0.2">
      <c r="A3949" s="22">
        <v>0.4080473780632019</v>
      </c>
    </row>
    <row r="3950" spans="1:1" x14ac:dyDescent="0.2">
      <c r="A3950" s="22">
        <v>0.44985020160675049</v>
      </c>
    </row>
    <row r="3951" spans="1:1" x14ac:dyDescent="0.2">
      <c r="A3951" s="22">
        <v>0.25846272706985474</v>
      </c>
    </row>
    <row r="3952" spans="1:1" x14ac:dyDescent="0.2">
      <c r="A3952" s="22">
        <v>0.46806216239929199</v>
      </c>
    </row>
    <row r="3953" spans="1:1" x14ac:dyDescent="0.2">
      <c r="A3953" s="22">
        <v>0.62045282125473022</v>
      </c>
    </row>
    <row r="3954" spans="1:1" x14ac:dyDescent="0.2">
      <c r="A3954" s="22">
        <v>0.75721395015716553</v>
      </c>
    </row>
    <row r="3955" spans="1:1" x14ac:dyDescent="0.2">
      <c r="A3955" s="22">
        <v>0.75263124704360962</v>
      </c>
    </row>
    <row r="3956" spans="1:1" x14ac:dyDescent="0.2">
      <c r="A3956" s="22">
        <v>0.98677730560302734</v>
      </c>
    </row>
    <row r="3957" spans="1:1" x14ac:dyDescent="0.2">
      <c r="A3957" s="22">
        <v>0.31064528226852417</v>
      </c>
    </row>
    <row r="3958" spans="1:1" x14ac:dyDescent="0.2">
      <c r="A3958" s="22">
        <v>0.19762289524078369</v>
      </c>
    </row>
    <row r="3959" spans="1:1" x14ac:dyDescent="0.2">
      <c r="A3959" s="22">
        <v>0.14844542741775513</v>
      </c>
    </row>
    <row r="3960" spans="1:1" x14ac:dyDescent="0.2">
      <c r="A3960" s="22">
        <v>0.89821171760559082</v>
      </c>
    </row>
    <row r="3961" spans="1:1" x14ac:dyDescent="0.2">
      <c r="A3961" s="22">
        <v>0.52971118688583374</v>
      </c>
    </row>
    <row r="3962" spans="1:1" x14ac:dyDescent="0.2">
      <c r="A3962" s="22">
        <v>0.93031775951385498</v>
      </c>
    </row>
    <row r="3963" spans="1:1" x14ac:dyDescent="0.2">
      <c r="A3963" s="22">
        <v>3.068310022354126E-2</v>
      </c>
    </row>
    <row r="3964" spans="1:1" x14ac:dyDescent="0.2">
      <c r="A3964" s="22">
        <v>0.26053190231323242</v>
      </c>
    </row>
    <row r="3965" spans="1:1" x14ac:dyDescent="0.2">
      <c r="A3965" s="22">
        <v>0.66565102338790894</v>
      </c>
    </row>
    <row r="3966" spans="1:1" x14ac:dyDescent="0.2">
      <c r="A3966" s="22">
        <v>0.10379707813262939</v>
      </c>
    </row>
    <row r="3967" spans="1:1" x14ac:dyDescent="0.2">
      <c r="A3967" s="22">
        <v>1.6348659992218018E-2</v>
      </c>
    </row>
    <row r="3968" spans="1:1" x14ac:dyDescent="0.2">
      <c r="A3968" s="22">
        <v>3.5224676132202148E-2</v>
      </c>
    </row>
    <row r="3969" spans="1:1" x14ac:dyDescent="0.2">
      <c r="A3969" s="22">
        <v>0.39650434255599976</v>
      </c>
    </row>
    <row r="3970" spans="1:1" x14ac:dyDescent="0.2">
      <c r="A3970" s="22">
        <v>0.99644219875335693</v>
      </c>
    </row>
    <row r="3971" spans="1:1" x14ac:dyDescent="0.2">
      <c r="A3971" s="22">
        <v>0.3327980637550354</v>
      </c>
    </row>
    <row r="3972" spans="1:1" x14ac:dyDescent="0.2">
      <c r="A3972" s="22">
        <v>0.35272216796875</v>
      </c>
    </row>
    <row r="3973" spans="1:1" x14ac:dyDescent="0.2">
      <c r="A3973" s="22">
        <v>0.8934747576713562</v>
      </c>
    </row>
    <row r="3974" spans="1:1" x14ac:dyDescent="0.2">
      <c r="A3974" s="22">
        <v>0.4071422815322876</v>
      </c>
    </row>
    <row r="3975" spans="1:1" x14ac:dyDescent="0.2">
      <c r="A3975" s="22">
        <v>0.64586383104324341</v>
      </c>
    </row>
    <row r="3976" spans="1:1" x14ac:dyDescent="0.2">
      <c r="A3976" s="22">
        <v>2.8026819229125977E-2</v>
      </c>
    </row>
    <row r="3977" spans="1:1" x14ac:dyDescent="0.2">
      <c r="A3977" s="22">
        <v>0.27405494451522827</v>
      </c>
    </row>
    <row r="3978" spans="1:1" x14ac:dyDescent="0.2">
      <c r="A3978" s="22">
        <v>0.29591929912567139</v>
      </c>
    </row>
    <row r="3979" spans="1:1" x14ac:dyDescent="0.2">
      <c r="A3979" s="22">
        <v>0.13798004388809204</v>
      </c>
    </row>
    <row r="3980" spans="1:1" x14ac:dyDescent="0.2">
      <c r="A3980" s="22">
        <v>0.32633638381958008</v>
      </c>
    </row>
    <row r="3981" spans="1:1" x14ac:dyDescent="0.2">
      <c r="A3981" s="22">
        <v>0.30515164136886597</v>
      </c>
    </row>
    <row r="3982" spans="1:1" x14ac:dyDescent="0.2">
      <c r="A3982" s="22">
        <v>0.6745530366897583</v>
      </c>
    </row>
    <row r="3983" spans="1:1" x14ac:dyDescent="0.2">
      <c r="A3983" s="22">
        <v>0.8363073468208313</v>
      </c>
    </row>
    <row r="3984" spans="1:1" x14ac:dyDescent="0.2">
      <c r="A3984" s="22">
        <v>0.9786689281463623</v>
      </c>
    </row>
    <row r="3985" spans="1:1" x14ac:dyDescent="0.2">
      <c r="A3985" s="22">
        <v>0.35621064901351929</v>
      </c>
    </row>
    <row r="3986" spans="1:1" x14ac:dyDescent="0.2">
      <c r="A3986" s="22">
        <v>0.74720609188079834</v>
      </c>
    </row>
    <row r="3987" spans="1:1" x14ac:dyDescent="0.2">
      <c r="A3987" s="22">
        <v>0.19085794687271118</v>
      </c>
    </row>
    <row r="3988" spans="1:1" x14ac:dyDescent="0.2">
      <c r="A3988" s="22">
        <v>0.44748783111572266</v>
      </c>
    </row>
    <row r="3989" spans="1:1" x14ac:dyDescent="0.2">
      <c r="A3989" s="22">
        <v>0.60234183073043823</v>
      </c>
    </row>
    <row r="3990" spans="1:1" x14ac:dyDescent="0.2">
      <c r="A3990" s="22">
        <v>0.3010488748550415</v>
      </c>
    </row>
    <row r="3991" spans="1:1" x14ac:dyDescent="0.2">
      <c r="A3991" s="22">
        <v>0.90262061357498169</v>
      </c>
    </row>
    <row r="3992" spans="1:1" x14ac:dyDescent="0.2">
      <c r="A3992" s="22">
        <v>0.44232678413391113</v>
      </c>
    </row>
    <row r="3993" spans="1:1" x14ac:dyDescent="0.2">
      <c r="A3993" s="22">
        <v>0.4774441123008728</v>
      </c>
    </row>
    <row r="3994" spans="1:1" x14ac:dyDescent="0.2">
      <c r="A3994" s="22">
        <v>0.34688460826873779</v>
      </c>
    </row>
    <row r="3995" spans="1:1" x14ac:dyDescent="0.2">
      <c r="A3995" s="22">
        <v>1.6856789588928223E-3</v>
      </c>
    </row>
    <row r="3996" spans="1:1" x14ac:dyDescent="0.2">
      <c r="A3996" s="22">
        <v>0.68541479110717773</v>
      </c>
    </row>
    <row r="3997" spans="1:1" x14ac:dyDescent="0.2">
      <c r="A3997" s="22">
        <v>0.377330482006073</v>
      </c>
    </row>
    <row r="3998" spans="1:1" x14ac:dyDescent="0.2">
      <c r="A3998" s="22">
        <v>9.774327278137207E-3</v>
      </c>
    </row>
    <row r="3999" spans="1:1" x14ac:dyDescent="0.2">
      <c r="A3999" s="22">
        <v>0.17537003755569458</v>
      </c>
    </row>
    <row r="4000" spans="1:1" x14ac:dyDescent="0.2">
      <c r="A4000" s="22">
        <v>0.92730116844177246</v>
      </c>
    </row>
    <row r="4001" spans="1:1" x14ac:dyDescent="0.2">
      <c r="A4001" s="22">
        <v>0.61285299062728882</v>
      </c>
    </row>
    <row r="4002" spans="1:1" x14ac:dyDescent="0.2">
      <c r="A4002" s="22">
        <v>0.66966187953948975</v>
      </c>
    </row>
    <row r="4003" spans="1:1" x14ac:dyDescent="0.2">
      <c r="A4003" s="22">
        <v>0.34634214639663696</v>
      </c>
    </row>
    <row r="4004" spans="1:1" x14ac:dyDescent="0.2">
      <c r="A4004" s="22">
        <v>0.21248054504394531</v>
      </c>
    </row>
    <row r="4005" spans="1:1" x14ac:dyDescent="0.2">
      <c r="A4005" s="22">
        <v>0.61302775144577026</v>
      </c>
    </row>
    <row r="4006" spans="1:1" x14ac:dyDescent="0.2">
      <c r="A4006" s="22">
        <v>0.35199892520904541</v>
      </c>
    </row>
    <row r="4007" spans="1:1" x14ac:dyDescent="0.2">
      <c r="A4007" s="22">
        <v>0.50074702501296997</v>
      </c>
    </row>
    <row r="4008" spans="1:1" x14ac:dyDescent="0.2">
      <c r="A4008" s="22">
        <v>0.39501786231994629</v>
      </c>
    </row>
    <row r="4009" spans="1:1" x14ac:dyDescent="0.2">
      <c r="A4009" s="22">
        <v>0.37815994024276733</v>
      </c>
    </row>
    <row r="4010" spans="1:1" x14ac:dyDescent="0.2">
      <c r="A4010" s="22">
        <v>0.3683699369430542</v>
      </c>
    </row>
    <row r="4011" spans="1:1" x14ac:dyDescent="0.2">
      <c r="A4011" s="22">
        <v>0.7663312554359436</v>
      </c>
    </row>
    <row r="4012" spans="1:1" x14ac:dyDescent="0.2">
      <c r="A4012" s="22">
        <v>0.90417337417602539</v>
      </c>
    </row>
    <row r="4013" spans="1:1" x14ac:dyDescent="0.2">
      <c r="A4013" s="22">
        <v>0.18296879529953003</v>
      </c>
    </row>
    <row r="4014" spans="1:1" x14ac:dyDescent="0.2">
      <c r="A4014" s="22">
        <v>0.20711719989776611</v>
      </c>
    </row>
    <row r="4015" spans="1:1" x14ac:dyDescent="0.2">
      <c r="A4015" s="22">
        <v>0.74056798219680786</v>
      </c>
    </row>
    <row r="4016" spans="1:1" x14ac:dyDescent="0.2">
      <c r="A4016" s="22">
        <v>0.76002764701843262</v>
      </c>
    </row>
    <row r="4017" spans="1:1" x14ac:dyDescent="0.2">
      <c r="A4017" s="22">
        <v>0.52971261739730835</v>
      </c>
    </row>
    <row r="4018" spans="1:1" x14ac:dyDescent="0.2">
      <c r="A4018" s="22">
        <v>0.67396581172943115</v>
      </c>
    </row>
    <row r="4019" spans="1:1" x14ac:dyDescent="0.2">
      <c r="A4019" s="22">
        <v>6.8781912326812744E-2</v>
      </c>
    </row>
    <row r="4020" spans="1:1" x14ac:dyDescent="0.2">
      <c r="A4020" s="22">
        <v>0.83910655975341797</v>
      </c>
    </row>
    <row r="4021" spans="1:1" x14ac:dyDescent="0.2">
      <c r="A4021" s="22">
        <v>0.35131376981735229</v>
      </c>
    </row>
    <row r="4022" spans="1:1" x14ac:dyDescent="0.2">
      <c r="A4022" s="22">
        <v>0.28264868259429932</v>
      </c>
    </row>
    <row r="4023" spans="1:1" x14ac:dyDescent="0.2">
      <c r="A4023" s="22">
        <v>0.27227431535720825</v>
      </c>
    </row>
    <row r="4024" spans="1:1" x14ac:dyDescent="0.2">
      <c r="A4024" s="22">
        <v>0.39000630378723145</v>
      </c>
    </row>
    <row r="4025" spans="1:1" x14ac:dyDescent="0.2">
      <c r="A4025" s="22">
        <v>0.46448367834091187</v>
      </c>
    </row>
    <row r="4026" spans="1:1" x14ac:dyDescent="0.2">
      <c r="A4026" s="22">
        <v>0.89553153514862061</v>
      </c>
    </row>
    <row r="4027" spans="1:1" x14ac:dyDescent="0.2">
      <c r="A4027" s="22">
        <v>0.82644802331924438</v>
      </c>
    </row>
    <row r="4028" spans="1:1" x14ac:dyDescent="0.2">
      <c r="A4028" s="22">
        <v>0.79901838302612305</v>
      </c>
    </row>
    <row r="4029" spans="1:1" x14ac:dyDescent="0.2">
      <c r="A4029" s="22">
        <v>0.27284783124923706</v>
      </c>
    </row>
    <row r="4030" spans="1:1" x14ac:dyDescent="0.2">
      <c r="A4030" s="22">
        <v>0.61423790454864502</v>
      </c>
    </row>
    <row r="4031" spans="1:1" x14ac:dyDescent="0.2">
      <c r="A4031" s="22">
        <v>0.48893243074417114</v>
      </c>
    </row>
    <row r="4032" spans="1:1" x14ac:dyDescent="0.2">
      <c r="A4032" s="22">
        <v>0.60575461387634277</v>
      </c>
    </row>
    <row r="4033" spans="1:1" x14ac:dyDescent="0.2">
      <c r="A4033" s="22">
        <v>0.72007077932357788</v>
      </c>
    </row>
    <row r="4034" spans="1:1" x14ac:dyDescent="0.2">
      <c r="A4034" s="22">
        <v>0.92027413845062256</v>
      </c>
    </row>
    <row r="4035" spans="1:1" x14ac:dyDescent="0.2">
      <c r="A4035" s="22">
        <v>0.87770849466323853</v>
      </c>
    </row>
    <row r="4036" spans="1:1" x14ac:dyDescent="0.2">
      <c r="A4036" s="22">
        <v>0.76877212524414063</v>
      </c>
    </row>
    <row r="4037" spans="1:1" x14ac:dyDescent="0.2">
      <c r="A4037" s="22">
        <v>0.49298113584518433</v>
      </c>
    </row>
    <row r="4038" spans="1:1" x14ac:dyDescent="0.2">
      <c r="A4038" s="22">
        <v>6.5654397010803223E-2</v>
      </c>
    </row>
    <row r="4039" spans="1:1" x14ac:dyDescent="0.2">
      <c r="A4039" s="22">
        <v>0.29923373460769653</v>
      </c>
    </row>
    <row r="4040" spans="1:1" x14ac:dyDescent="0.2">
      <c r="A4040" s="22">
        <v>0.1811983585357666</v>
      </c>
    </row>
    <row r="4041" spans="1:1" x14ac:dyDescent="0.2">
      <c r="A4041" s="22">
        <v>0.4746965765953064</v>
      </c>
    </row>
    <row r="4042" spans="1:1" x14ac:dyDescent="0.2">
      <c r="A4042" s="22">
        <v>0.71352565288543701</v>
      </c>
    </row>
    <row r="4043" spans="1:1" x14ac:dyDescent="0.2">
      <c r="A4043" s="22">
        <v>0.82656723260879517</v>
      </c>
    </row>
    <row r="4044" spans="1:1" x14ac:dyDescent="0.2">
      <c r="A4044" s="22">
        <v>0.4363560676574707</v>
      </c>
    </row>
    <row r="4045" spans="1:1" x14ac:dyDescent="0.2">
      <c r="A4045" s="22">
        <v>0.44774883985519409</v>
      </c>
    </row>
    <row r="4046" spans="1:1" x14ac:dyDescent="0.2">
      <c r="A4046" s="22">
        <v>0.82879269123077393</v>
      </c>
    </row>
    <row r="4047" spans="1:1" x14ac:dyDescent="0.2">
      <c r="A4047" s="22">
        <v>0.62749463319778442</v>
      </c>
    </row>
    <row r="4048" spans="1:1" x14ac:dyDescent="0.2">
      <c r="A4048" s="22">
        <v>0.84338831901550293</v>
      </c>
    </row>
    <row r="4049" spans="1:1" x14ac:dyDescent="0.2">
      <c r="A4049" s="22">
        <v>4.7208726406097412E-2</v>
      </c>
    </row>
    <row r="4050" spans="1:1" x14ac:dyDescent="0.2">
      <c r="A4050" s="22">
        <v>0.81874310970306396</v>
      </c>
    </row>
    <row r="4051" spans="1:1" x14ac:dyDescent="0.2">
      <c r="A4051" s="22">
        <v>0.54265314340591431</v>
      </c>
    </row>
    <row r="4052" spans="1:1" x14ac:dyDescent="0.2">
      <c r="A4052" s="22">
        <v>0.69288349151611328</v>
      </c>
    </row>
    <row r="4053" spans="1:1" x14ac:dyDescent="0.2">
      <c r="A4053" s="22">
        <v>0.96381109952926636</v>
      </c>
    </row>
    <row r="4054" spans="1:1" x14ac:dyDescent="0.2">
      <c r="A4054" s="22">
        <v>0.92367231845855713</v>
      </c>
    </row>
    <row r="4055" spans="1:1" x14ac:dyDescent="0.2">
      <c r="A4055" s="22">
        <v>0.91365653276443481</v>
      </c>
    </row>
    <row r="4056" spans="1:1" x14ac:dyDescent="0.2">
      <c r="A4056" s="22">
        <v>0.77250027656555176</v>
      </c>
    </row>
    <row r="4057" spans="1:1" x14ac:dyDescent="0.2">
      <c r="A4057" s="22">
        <v>0.39707988500595093</v>
      </c>
    </row>
    <row r="4058" spans="1:1" x14ac:dyDescent="0.2">
      <c r="A4058" s="22">
        <v>0.85750854015350342</v>
      </c>
    </row>
    <row r="4059" spans="1:1" x14ac:dyDescent="0.2">
      <c r="A4059" s="22">
        <v>0.66122013330459595</v>
      </c>
    </row>
    <row r="4060" spans="1:1" x14ac:dyDescent="0.2">
      <c r="A4060" s="22">
        <v>0.13259267807006836</v>
      </c>
    </row>
    <row r="4061" spans="1:1" x14ac:dyDescent="0.2">
      <c r="A4061" s="22">
        <v>0.75845307111740112</v>
      </c>
    </row>
    <row r="4062" spans="1:1" x14ac:dyDescent="0.2">
      <c r="A4062" s="22">
        <v>0.69843780994415283</v>
      </c>
    </row>
    <row r="4063" spans="1:1" x14ac:dyDescent="0.2">
      <c r="A4063" s="22">
        <v>0.61328583955764771</v>
      </c>
    </row>
    <row r="4064" spans="1:1" x14ac:dyDescent="0.2">
      <c r="A4064" s="22">
        <v>0.10183501243591309</v>
      </c>
    </row>
    <row r="4065" spans="1:1" x14ac:dyDescent="0.2">
      <c r="A4065" s="22">
        <v>0.62440770864486694</v>
      </c>
    </row>
    <row r="4066" spans="1:1" x14ac:dyDescent="0.2">
      <c r="A4066" s="22">
        <v>2.9528975486755371E-2</v>
      </c>
    </row>
    <row r="4067" spans="1:1" x14ac:dyDescent="0.2">
      <c r="A4067" s="22">
        <v>8.3147108554840088E-2</v>
      </c>
    </row>
    <row r="4068" spans="1:1" x14ac:dyDescent="0.2">
      <c r="A4068" s="22">
        <v>0.55284690856933594</v>
      </c>
    </row>
    <row r="4069" spans="1:1" x14ac:dyDescent="0.2">
      <c r="A4069" s="22">
        <v>0.93958491086959839</v>
      </c>
    </row>
    <row r="4070" spans="1:1" x14ac:dyDescent="0.2">
      <c r="A4070" s="22">
        <v>0.32935869693756104</v>
      </c>
    </row>
    <row r="4071" spans="1:1" x14ac:dyDescent="0.2">
      <c r="A4071" s="22">
        <v>0.6975739598274231</v>
      </c>
    </row>
    <row r="4072" spans="1:1" x14ac:dyDescent="0.2">
      <c r="A4072" s="22">
        <v>0.41781830787658691</v>
      </c>
    </row>
    <row r="4073" spans="1:1" x14ac:dyDescent="0.2">
      <c r="A4073" s="22">
        <v>0.46991485357284546</v>
      </c>
    </row>
    <row r="4074" spans="1:1" x14ac:dyDescent="0.2">
      <c r="A4074" s="22">
        <v>0.61263644695281982</v>
      </c>
    </row>
    <row r="4075" spans="1:1" x14ac:dyDescent="0.2">
      <c r="A4075" s="22">
        <v>0.47493797540664673</v>
      </c>
    </row>
    <row r="4076" spans="1:1" x14ac:dyDescent="0.2">
      <c r="A4076" s="22">
        <v>0.45413446426391602</v>
      </c>
    </row>
    <row r="4077" spans="1:1" x14ac:dyDescent="0.2">
      <c r="A4077" s="22">
        <v>0.50574177503585815</v>
      </c>
    </row>
    <row r="4078" spans="1:1" x14ac:dyDescent="0.2">
      <c r="A4078" s="22">
        <v>0.32082951068878174</v>
      </c>
    </row>
    <row r="4079" spans="1:1" x14ac:dyDescent="0.2">
      <c r="A4079" s="22">
        <v>0.15333729982376099</v>
      </c>
    </row>
    <row r="4080" spans="1:1" x14ac:dyDescent="0.2">
      <c r="A4080" s="22">
        <v>0.26000094413757324</v>
      </c>
    </row>
    <row r="4081" spans="1:1" x14ac:dyDescent="0.2">
      <c r="A4081" s="22">
        <v>0.81494897603988647</v>
      </c>
    </row>
    <row r="4082" spans="1:1" x14ac:dyDescent="0.2">
      <c r="A4082" s="22">
        <v>0.46278798580169678</v>
      </c>
    </row>
    <row r="4083" spans="1:1" x14ac:dyDescent="0.2">
      <c r="A4083" s="22">
        <v>0.76872164011001587</v>
      </c>
    </row>
    <row r="4084" spans="1:1" x14ac:dyDescent="0.2">
      <c r="A4084" s="22">
        <v>0.54006862640380859</v>
      </c>
    </row>
    <row r="4085" spans="1:1" x14ac:dyDescent="0.2">
      <c r="A4085" s="22">
        <v>0.84608381986618042</v>
      </c>
    </row>
    <row r="4086" spans="1:1" x14ac:dyDescent="0.2">
      <c r="A4086" s="22">
        <v>5.3697824478149414E-3</v>
      </c>
    </row>
    <row r="4087" spans="1:1" x14ac:dyDescent="0.2">
      <c r="A4087" s="22">
        <v>0.48301726579666138</v>
      </c>
    </row>
    <row r="4088" spans="1:1" x14ac:dyDescent="0.2">
      <c r="A4088" s="22">
        <v>0.62105870246887207</v>
      </c>
    </row>
    <row r="4089" spans="1:1" x14ac:dyDescent="0.2">
      <c r="A4089" s="22">
        <v>0.18148273229598999</v>
      </c>
    </row>
    <row r="4090" spans="1:1" x14ac:dyDescent="0.2">
      <c r="A4090" s="22">
        <v>0.51406562328338623</v>
      </c>
    </row>
    <row r="4091" spans="1:1" x14ac:dyDescent="0.2">
      <c r="A4091" s="22">
        <v>0.66225200891494751</v>
      </c>
    </row>
    <row r="4092" spans="1:1" x14ac:dyDescent="0.2">
      <c r="A4092" s="22">
        <v>0.21738767623901367</v>
      </c>
    </row>
    <row r="4093" spans="1:1" x14ac:dyDescent="0.2">
      <c r="A4093" s="22">
        <v>0.24039620161056519</v>
      </c>
    </row>
    <row r="4094" spans="1:1" x14ac:dyDescent="0.2">
      <c r="A4094" s="22">
        <v>4.3624043464660645E-2</v>
      </c>
    </row>
    <row r="4095" spans="1:1" x14ac:dyDescent="0.2">
      <c r="A4095" s="22">
        <v>0.20468026399612427</v>
      </c>
    </row>
    <row r="4096" spans="1:1" x14ac:dyDescent="0.2">
      <c r="A4096" s="22">
        <v>0.4467923641204834</v>
      </c>
    </row>
    <row r="4097" spans="1:1" x14ac:dyDescent="0.2">
      <c r="A4097" s="22">
        <v>0.23211377859115601</v>
      </c>
    </row>
    <row r="4098" spans="1:1" x14ac:dyDescent="0.2">
      <c r="A4098" s="22">
        <v>0.27867639064788818</v>
      </c>
    </row>
    <row r="4099" spans="1:1" x14ac:dyDescent="0.2">
      <c r="A4099" s="22">
        <v>0.11890798807144165</v>
      </c>
    </row>
    <row r="4100" spans="1:1" x14ac:dyDescent="0.2">
      <c r="A4100" s="22">
        <v>9.595489501953125E-2</v>
      </c>
    </row>
    <row r="4101" spans="1:1" x14ac:dyDescent="0.2">
      <c r="A4101" s="22">
        <v>0.35908907651901245</v>
      </c>
    </row>
    <row r="4102" spans="1:1" x14ac:dyDescent="0.2">
      <c r="A4102" s="22">
        <v>0.92436182498931885</v>
      </c>
    </row>
    <row r="4103" spans="1:1" x14ac:dyDescent="0.2">
      <c r="A4103" s="22">
        <v>0.35201770067214966</v>
      </c>
    </row>
    <row r="4104" spans="1:1" x14ac:dyDescent="0.2">
      <c r="A4104" s="22">
        <v>0.13612771034240723</v>
      </c>
    </row>
    <row r="4105" spans="1:1" x14ac:dyDescent="0.2">
      <c r="A4105" s="22">
        <v>0.27006477117538452</v>
      </c>
    </row>
    <row r="4106" spans="1:1" x14ac:dyDescent="0.2">
      <c r="A4106" s="22">
        <v>0.34695231914520264</v>
      </c>
    </row>
    <row r="4107" spans="1:1" x14ac:dyDescent="0.2">
      <c r="A4107" s="22">
        <v>0.86769348382949829</v>
      </c>
    </row>
    <row r="4108" spans="1:1" x14ac:dyDescent="0.2">
      <c r="A4108" s="22">
        <v>0.48875856399536133</v>
      </c>
    </row>
    <row r="4109" spans="1:1" x14ac:dyDescent="0.2">
      <c r="A4109" s="22">
        <v>0.76319760084152222</v>
      </c>
    </row>
    <row r="4110" spans="1:1" x14ac:dyDescent="0.2">
      <c r="A4110" s="22">
        <v>0.46447765827178955</v>
      </c>
    </row>
    <row r="4111" spans="1:1" x14ac:dyDescent="0.2">
      <c r="A4111" s="22">
        <v>0.97434598207473755</v>
      </c>
    </row>
    <row r="4112" spans="1:1" x14ac:dyDescent="0.2">
      <c r="A4112" s="22">
        <v>4.1115522384643555E-2</v>
      </c>
    </row>
    <row r="4113" spans="1:1" x14ac:dyDescent="0.2">
      <c r="A4113" s="22">
        <v>0.73918336629867554</v>
      </c>
    </row>
    <row r="4114" spans="1:1" x14ac:dyDescent="0.2">
      <c r="A4114" s="22">
        <v>0.88735044002532959</v>
      </c>
    </row>
    <row r="4115" spans="1:1" x14ac:dyDescent="0.2">
      <c r="A4115" s="22">
        <v>0.90323740243911743</v>
      </c>
    </row>
    <row r="4116" spans="1:1" x14ac:dyDescent="0.2">
      <c r="A4116" s="22">
        <v>0.91191196441650391</v>
      </c>
    </row>
    <row r="4117" spans="1:1" x14ac:dyDescent="0.2">
      <c r="A4117" s="22">
        <v>0.40438193082809448</v>
      </c>
    </row>
    <row r="4118" spans="1:1" x14ac:dyDescent="0.2">
      <c r="A4118" s="22">
        <v>0.30899107456207275</v>
      </c>
    </row>
    <row r="4119" spans="1:1" x14ac:dyDescent="0.2">
      <c r="A4119" s="22">
        <v>0.63660651445388794</v>
      </c>
    </row>
    <row r="4120" spans="1:1" x14ac:dyDescent="0.2">
      <c r="A4120" s="22">
        <v>0.96693158149719238</v>
      </c>
    </row>
    <row r="4121" spans="1:1" x14ac:dyDescent="0.2">
      <c r="A4121" s="22">
        <v>0.72394222021102905</v>
      </c>
    </row>
    <row r="4122" spans="1:1" x14ac:dyDescent="0.2">
      <c r="A4122" s="22">
        <v>0.14645278453826904</v>
      </c>
    </row>
    <row r="4123" spans="1:1" x14ac:dyDescent="0.2">
      <c r="A4123" s="22">
        <v>0.98579365015029907</v>
      </c>
    </row>
    <row r="4124" spans="1:1" x14ac:dyDescent="0.2">
      <c r="A4124" s="22">
        <v>0.58465337753295898</v>
      </c>
    </row>
    <row r="4125" spans="1:1" x14ac:dyDescent="0.2">
      <c r="A4125" s="22">
        <v>0.12492722272872925</v>
      </c>
    </row>
    <row r="4126" spans="1:1" x14ac:dyDescent="0.2">
      <c r="A4126" s="22">
        <v>0.43104660511016846</v>
      </c>
    </row>
    <row r="4127" spans="1:1" x14ac:dyDescent="0.2">
      <c r="A4127" s="22">
        <v>0.91936570405960083</v>
      </c>
    </row>
    <row r="4128" spans="1:1" x14ac:dyDescent="0.2">
      <c r="A4128" s="22">
        <v>0.67187666893005371</v>
      </c>
    </row>
    <row r="4129" spans="1:1" x14ac:dyDescent="0.2">
      <c r="A4129" s="22">
        <v>0.44943898916244507</v>
      </c>
    </row>
    <row r="4130" spans="1:1" x14ac:dyDescent="0.2">
      <c r="A4130" s="22">
        <v>0.948966383934021</v>
      </c>
    </row>
    <row r="4131" spans="1:1" x14ac:dyDescent="0.2">
      <c r="A4131" s="22">
        <v>0.14124113321304321</v>
      </c>
    </row>
    <row r="4132" spans="1:1" x14ac:dyDescent="0.2">
      <c r="A4132" s="22">
        <v>0.92934608459472656</v>
      </c>
    </row>
    <row r="4133" spans="1:1" x14ac:dyDescent="0.2">
      <c r="A4133" s="22">
        <v>0.15774363279342651</v>
      </c>
    </row>
    <row r="4134" spans="1:1" x14ac:dyDescent="0.2">
      <c r="A4134" s="22">
        <v>0.63191378116607666</v>
      </c>
    </row>
    <row r="4135" spans="1:1" x14ac:dyDescent="0.2">
      <c r="A4135" s="22">
        <v>0.91881495714187622</v>
      </c>
    </row>
    <row r="4136" spans="1:1" x14ac:dyDescent="0.2">
      <c r="A4136" s="22">
        <v>0.36737656593322754</v>
      </c>
    </row>
    <row r="4137" spans="1:1" x14ac:dyDescent="0.2">
      <c r="A4137" s="22">
        <v>0.78139632940292358</v>
      </c>
    </row>
    <row r="4138" spans="1:1" x14ac:dyDescent="0.2">
      <c r="A4138" s="22">
        <v>0.19772326946258545</v>
      </c>
    </row>
    <row r="4139" spans="1:1" x14ac:dyDescent="0.2">
      <c r="A4139" s="22">
        <v>0.16108375787734985</v>
      </c>
    </row>
    <row r="4140" spans="1:1" x14ac:dyDescent="0.2">
      <c r="A4140" s="22">
        <v>7.1478366851806641E-2</v>
      </c>
    </row>
    <row r="4141" spans="1:1" x14ac:dyDescent="0.2">
      <c r="A4141" s="22">
        <v>0.62636631727218628</v>
      </c>
    </row>
    <row r="4142" spans="1:1" x14ac:dyDescent="0.2">
      <c r="A4142" s="22">
        <v>4.0987133979797363E-2</v>
      </c>
    </row>
    <row r="4143" spans="1:1" x14ac:dyDescent="0.2">
      <c r="A4143" s="22">
        <v>0.74677067995071411</v>
      </c>
    </row>
    <row r="4144" spans="1:1" x14ac:dyDescent="0.2">
      <c r="A4144" s="22">
        <v>0.21798205375671387</v>
      </c>
    </row>
    <row r="4145" spans="1:1" x14ac:dyDescent="0.2">
      <c r="A4145" s="22">
        <v>0.7261618971824646</v>
      </c>
    </row>
    <row r="4146" spans="1:1" x14ac:dyDescent="0.2">
      <c r="A4146" s="22">
        <v>0.3736804723739624</v>
      </c>
    </row>
    <row r="4147" spans="1:1" x14ac:dyDescent="0.2">
      <c r="A4147" s="22">
        <v>0.10245043039321899</v>
      </c>
    </row>
    <row r="4148" spans="1:1" x14ac:dyDescent="0.2">
      <c r="A4148" s="22">
        <v>0.33966350555419922</v>
      </c>
    </row>
    <row r="4149" spans="1:1" x14ac:dyDescent="0.2">
      <c r="A4149" s="22">
        <v>4.4955432415008545E-2</v>
      </c>
    </row>
    <row r="4150" spans="1:1" x14ac:dyDescent="0.2">
      <c r="A4150" s="22">
        <v>0.61578619480133057</v>
      </c>
    </row>
    <row r="4151" spans="1:1" x14ac:dyDescent="0.2">
      <c r="A4151" s="22">
        <v>3.0674278736114502E-2</v>
      </c>
    </row>
    <row r="4152" spans="1:1" x14ac:dyDescent="0.2">
      <c r="A4152" s="22">
        <v>0.8413689136505127</v>
      </c>
    </row>
    <row r="4153" spans="1:1" x14ac:dyDescent="0.2">
      <c r="A4153" s="22">
        <v>0.93070834875106812</v>
      </c>
    </row>
    <row r="4154" spans="1:1" x14ac:dyDescent="0.2">
      <c r="A4154" s="22">
        <v>3.5920023918151855E-2</v>
      </c>
    </row>
    <row r="4155" spans="1:1" x14ac:dyDescent="0.2">
      <c r="A4155" s="22">
        <v>0.78809505701065063</v>
      </c>
    </row>
    <row r="4156" spans="1:1" x14ac:dyDescent="0.2">
      <c r="A4156" s="22">
        <v>0.7656397819519043</v>
      </c>
    </row>
    <row r="4157" spans="1:1" x14ac:dyDescent="0.2">
      <c r="A4157" s="22">
        <v>0.81829613447189331</v>
      </c>
    </row>
    <row r="4158" spans="1:1" x14ac:dyDescent="0.2">
      <c r="A4158" s="22">
        <v>0.64195549488067627</v>
      </c>
    </row>
    <row r="4159" spans="1:1" x14ac:dyDescent="0.2">
      <c r="A4159" s="22">
        <v>0.41359215974807739</v>
      </c>
    </row>
    <row r="4160" spans="1:1" x14ac:dyDescent="0.2">
      <c r="A4160" s="22">
        <v>0.80833792686462402</v>
      </c>
    </row>
    <row r="4161" spans="1:1" x14ac:dyDescent="0.2">
      <c r="A4161" s="22">
        <v>0.18263334035873413</v>
      </c>
    </row>
    <row r="4162" spans="1:1" x14ac:dyDescent="0.2">
      <c r="A4162" s="22">
        <v>0.32164895534515381</v>
      </c>
    </row>
    <row r="4163" spans="1:1" x14ac:dyDescent="0.2">
      <c r="A4163" s="22">
        <v>0.30639654397964478</v>
      </c>
    </row>
    <row r="4164" spans="1:1" x14ac:dyDescent="0.2">
      <c r="A4164" s="22">
        <v>0.58427047729492188</v>
      </c>
    </row>
    <row r="4165" spans="1:1" x14ac:dyDescent="0.2">
      <c r="A4165" s="22">
        <v>0.74179857969284058</v>
      </c>
    </row>
    <row r="4166" spans="1:1" x14ac:dyDescent="0.2">
      <c r="A4166" s="22">
        <v>0.23326456546783447</v>
      </c>
    </row>
    <row r="4167" spans="1:1" x14ac:dyDescent="0.2">
      <c r="A4167" s="22">
        <v>5.4215729236602783E-2</v>
      </c>
    </row>
    <row r="4168" spans="1:1" x14ac:dyDescent="0.2">
      <c r="A4168" s="22">
        <v>0.14281487464904785</v>
      </c>
    </row>
    <row r="4169" spans="1:1" x14ac:dyDescent="0.2">
      <c r="A4169" s="22">
        <v>0.91015952825546265</v>
      </c>
    </row>
    <row r="4170" spans="1:1" x14ac:dyDescent="0.2">
      <c r="A4170" s="22">
        <v>0.44619929790496826</v>
      </c>
    </row>
    <row r="4171" spans="1:1" x14ac:dyDescent="0.2">
      <c r="A4171" s="22">
        <v>0.51135879755020142</v>
      </c>
    </row>
    <row r="4172" spans="1:1" x14ac:dyDescent="0.2">
      <c r="A4172" s="22">
        <v>0.73354387283325195</v>
      </c>
    </row>
    <row r="4173" spans="1:1" x14ac:dyDescent="0.2">
      <c r="A4173" s="22">
        <v>0.50149792432785034</v>
      </c>
    </row>
    <row r="4174" spans="1:1" x14ac:dyDescent="0.2">
      <c r="A4174" s="22">
        <v>0.83160793781280518</v>
      </c>
    </row>
    <row r="4175" spans="1:1" x14ac:dyDescent="0.2">
      <c r="A4175" s="22">
        <v>0.12686139345169067</v>
      </c>
    </row>
    <row r="4176" spans="1:1" x14ac:dyDescent="0.2">
      <c r="A4176" s="22">
        <v>0.82185053825378418</v>
      </c>
    </row>
    <row r="4177" spans="1:1" x14ac:dyDescent="0.2">
      <c r="A4177" s="22">
        <v>0.68213456869125366</v>
      </c>
    </row>
    <row r="4178" spans="1:1" x14ac:dyDescent="0.2">
      <c r="A4178" s="22">
        <v>0.20302808284759521</v>
      </c>
    </row>
    <row r="4179" spans="1:1" x14ac:dyDescent="0.2">
      <c r="A4179" s="22">
        <v>0.52261072397232056</v>
      </c>
    </row>
    <row r="4180" spans="1:1" x14ac:dyDescent="0.2">
      <c r="A4180" s="22">
        <v>0.35457324981689453</v>
      </c>
    </row>
    <row r="4181" spans="1:1" x14ac:dyDescent="0.2">
      <c r="A4181" s="22">
        <v>0.17405432462692261</v>
      </c>
    </row>
    <row r="4182" spans="1:1" x14ac:dyDescent="0.2">
      <c r="A4182" s="22">
        <v>0.70700514316558838</v>
      </c>
    </row>
    <row r="4183" spans="1:1" x14ac:dyDescent="0.2">
      <c r="A4183" s="22">
        <v>0.32147055864334106</v>
      </c>
    </row>
    <row r="4184" spans="1:1" x14ac:dyDescent="0.2">
      <c r="A4184" s="22">
        <v>0.27562069892883301</v>
      </c>
    </row>
    <row r="4185" spans="1:1" x14ac:dyDescent="0.2">
      <c r="A4185" s="22">
        <v>0.70803111791610718</v>
      </c>
    </row>
    <row r="4186" spans="1:1" x14ac:dyDescent="0.2">
      <c r="A4186" s="22">
        <v>0.46371734142303467</v>
      </c>
    </row>
    <row r="4187" spans="1:1" x14ac:dyDescent="0.2">
      <c r="A4187" s="22">
        <v>0.2254062294960022</v>
      </c>
    </row>
    <row r="4188" spans="1:1" x14ac:dyDescent="0.2">
      <c r="A4188" s="22">
        <v>0.29159688949584961</v>
      </c>
    </row>
    <row r="4189" spans="1:1" x14ac:dyDescent="0.2">
      <c r="A4189" s="22">
        <v>0.72675293684005737</v>
      </c>
    </row>
    <row r="4190" spans="1:1" x14ac:dyDescent="0.2">
      <c r="A4190" s="22">
        <v>0.45760071277618408</v>
      </c>
    </row>
    <row r="4191" spans="1:1" x14ac:dyDescent="0.2">
      <c r="A4191" s="22">
        <v>0.34360963106155396</v>
      </c>
    </row>
    <row r="4192" spans="1:1" x14ac:dyDescent="0.2">
      <c r="A4192" s="22">
        <v>0.88742613792419434</v>
      </c>
    </row>
    <row r="4193" spans="1:1" x14ac:dyDescent="0.2">
      <c r="A4193" s="22">
        <v>0.33794683218002319</v>
      </c>
    </row>
    <row r="4194" spans="1:1" x14ac:dyDescent="0.2">
      <c r="A4194" s="22">
        <v>0.67797410488128662</v>
      </c>
    </row>
    <row r="4195" spans="1:1" x14ac:dyDescent="0.2">
      <c r="A4195" s="22">
        <v>0.77062422037124634</v>
      </c>
    </row>
    <row r="4196" spans="1:1" x14ac:dyDescent="0.2">
      <c r="A4196" s="22">
        <v>0.59197807312011719</v>
      </c>
    </row>
    <row r="4197" spans="1:1" x14ac:dyDescent="0.2">
      <c r="A4197" s="22">
        <v>0.51750391721725464</v>
      </c>
    </row>
    <row r="4198" spans="1:1" x14ac:dyDescent="0.2">
      <c r="A4198" s="22">
        <v>0.50966417789459229</v>
      </c>
    </row>
    <row r="4199" spans="1:1" x14ac:dyDescent="0.2">
      <c r="A4199" s="22">
        <v>0.41447001695632935</v>
      </c>
    </row>
    <row r="4200" spans="1:1" x14ac:dyDescent="0.2">
      <c r="A4200" s="22">
        <v>0.49369263648986816</v>
      </c>
    </row>
    <row r="4201" spans="1:1" x14ac:dyDescent="0.2">
      <c r="A4201" s="22">
        <v>0.56260436773300171</v>
      </c>
    </row>
    <row r="4202" spans="1:1" x14ac:dyDescent="0.2">
      <c r="A4202" s="22">
        <v>0.37363040447235107</v>
      </c>
    </row>
    <row r="4203" spans="1:1" x14ac:dyDescent="0.2">
      <c r="A4203" s="22">
        <v>7.4768602848052979E-2</v>
      </c>
    </row>
    <row r="4204" spans="1:1" x14ac:dyDescent="0.2">
      <c r="A4204" s="22">
        <v>6.2050819396972656E-3</v>
      </c>
    </row>
    <row r="4205" spans="1:1" x14ac:dyDescent="0.2">
      <c r="A4205" s="22">
        <v>0.7948424220085144</v>
      </c>
    </row>
    <row r="4206" spans="1:1" x14ac:dyDescent="0.2">
      <c r="A4206" s="22">
        <v>0.61759006977081299</v>
      </c>
    </row>
    <row r="4207" spans="1:1" x14ac:dyDescent="0.2">
      <c r="A4207" s="22">
        <v>0.77086812257766724</v>
      </c>
    </row>
    <row r="4208" spans="1:1" x14ac:dyDescent="0.2">
      <c r="A4208" s="22">
        <v>0.88397097587585449</v>
      </c>
    </row>
    <row r="4209" spans="1:1" x14ac:dyDescent="0.2">
      <c r="A4209" s="22">
        <v>0.51335138082504272</v>
      </c>
    </row>
    <row r="4210" spans="1:1" x14ac:dyDescent="0.2">
      <c r="A4210" s="22">
        <v>0.65664327144622803</v>
      </c>
    </row>
    <row r="4211" spans="1:1" x14ac:dyDescent="0.2">
      <c r="A4211" s="22">
        <v>0.31996828317642212</v>
      </c>
    </row>
    <row r="4212" spans="1:1" x14ac:dyDescent="0.2">
      <c r="A4212" s="22">
        <v>0.48789119720458984</v>
      </c>
    </row>
    <row r="4213" spans="1:1" x14ac:dyDescent="0.2">
      <c r="A4213" s="22">
        <v>0.19792860746383667</v>
      </c>
    </row>
    <row r="4214" spans="1:1" x14ac:dyDescent="0.2">
      <c r="A4214" s="22">
        <v>0.36389791965484619</v>
      </c>
    </row>
    <row r="4215" spans="1:1" x14ac:dyDescent="0.2">
      <c r="A4215" s="22">
        <v>0.16524535417556763</v>
      </c>
    </row>
    <row r="4216" spans="1:1" x14ac:dyDescent="0.2">
      <c r="A4216" s="22">
        <v>0.30093693733215332</v>
      </c>
    </row>
    <row r="4217" spans="1:1" x14ac:dyDescent="0.2">
      <c r="A4217" s="22">
        <v>0.96216052770614624</v>
      </c>
    </row>
    <row r="4218" spans="1:1" x14ac:dyDescent="0.2">
      <c r="A4218" s="22">
        <v>0.71109473705291748</v>
      </c>
    </row>
    <row r="4219" spans="1:1" x14ac:dyDescent="0.2">
      <c r="A4219" s="22">
        <v>0.45397716760635376</v>
      </c>
    </row>
    <row r="4220" spans="1:1" x14ac:dyDescent="0.2">
      <c r="A4220" s="22">
        <v>0.69377470016479492</v>
      </c>
    </row>
    <row r="4221" spans="1:1" x14ac:dyDescent="0.2">
      <c r="A4221" s="22">
        <v>0.25654762983322144</v>
      </c>
    </row>
    <row r="4222" spans="1:1" x14ac:dyDescent="0.2">
      <c r="A4222" s="22">
        <v>0.65923225879669189</v>
      </c>
    </row>
    <row r="4223" spans="1:1" x14ac:dyDescent="0.2">
      <c r="A4223" s="22">
        <v>0.36566811800003052</v>
      </c>
    </row>
    <row r="4224" spans="1:1" x14ac:dyDescent="0.2">
      <c r="A4224" s="22">
        <v>0.94039130210876465</v>
      </c>
    </row>
    <row r="4225" spans="1:1" x14ac:dyDescent="0.2">
      <c r="A4225" s="22">
        <v>0.82162946462631226</v>
      </c>
    </row>
    <row r="4226" spans="1:1" x14ac:dyDescent="0.2">
      <c r="A4226" s="22">
        <v>0.29919183254241943</v>
      </c>
    </row>
    <row r="4227" spans="1:1" x14ac:dyDescent="0.2">
      <c r="A4227" s="22">
        <v>0.6901741623878479</v>
      </c>
    </row>
    <row r="4228" spans="1:1" x14ac:dyDescent="0.2">
      <c r="A4228" s="22">
        <v>0.4837188720703125</v>
      </c>
    </row>
    <row r="4229" spans="1:1" x14ac:dyDescent="0.2">
      <c r="A4229" s="22">
        <v>0.8911096453666687</v>
      </c>
    </row>
    <row r="4230" spans="1:1" x14ac:dyDescent="0.2">
      <c r="A4230" s="22">
        <v>0.2423626184463501</v>
      </c>
    </row>
    <row r="4231" spans="1:1" x14ac:dyDescent="0.2">
      <c r="A4231" s="22">
        <v>0.65582782030105591</v>
      </c>
    </row>
    <row r="4232" spans="1:1" x14ac:dyDescent="0.2">
      <c r="A4232" s="22">
        <v>0.45125985145568848</v>
      </c>
    </row>
    <row r="4233" spans="1:1" x14ac:dyDescent="0.2">
      <c r="A4233" s="22">
        <v>0.64498084783554077</v>
      </c>
    </row>
    <row r="4234" spans="1:1" x14ac:dyDescent="0.2">
      <c r="A4234" s="22">
        <v>0.26126658916473389</v>
      </c>
    </row>
    <row r="4235" spans="1:1" x14ac:dyDescent="0.2">
      <c r="A4235" s="22">
        <v>7.563173770904541E-3</v>
      </c>
    </row>
    <row r="4236" spans="1:1" x14ac:dyDescent="0.2">
      <c r="A4236" s="22">
        <v>0.42071199417114258</v>
      </c>
    </row>
    <row r="4237" spans="1:1" x14ac:dyDescent="0.2">
      <c r="A4237" s="22">
        <v>0.91264981031417847</v>
      </c>
    </row>
    <row r="4238" spans="1:1" x14ac:dyDescent="0.2">
      <c r="A4238" s="22">
        <v>0.1801835298538208</v>
      </c>
    </row>
    <row r="4239" spans="1:1" x14ac:dyDescent="0.2">
      <c r="A4239" s="22">
        <v>0.3350408673286438</v>
      </c>
    </row>
    <row r="4240" spans="1:1" x14ac:dyDescent="0.2">
      <c r="A4240" s="22">
        <v>0.4355933666229248</v>
      </c>
    </row>
    <row r="4241" spans="1:1" x14ac:dyDescent="0.2">
      <c r="A4241" s="22">
        <v>0.12606233358383179</v>
      </c>
    </row>
    <row r="4242" spans="1:1" x14ac:dyDescent="0.2">
      <c r="A4242" s="22">
        <v>1.577603816986084E-2</v>
      </c>
    </row>
    <row r="4243" spans="1:1" x14ac:dyDescent="0.2">
      <c r="A4243" s="22">
        <v>0.65077310800552368</v>
      </c>
    </row>
    <row r="4244" spans="1:1" x14ac:dyDescent="0.2">
      <c r="A4244" s="22">
        <v>0.27086734771728516</v>
      </c>
    </row>
    <row r="4245" spans="1:1" x14ac:dyDescent="0.2">
      <c r="A4245" s="22">
        <v>0.52282828092575073</v>
      </c>
    </row>
    <row r="4246" spans="1:1" x14ac:dyDescent="0.2">
      <c r="A4246" s="22">
        <v>0.367714524269104</v>
      </c>
    </row>
    <row r="4247" spans="1:1" x14ac:dyDescent="0.2">
      <c r="A4247" s="22">
        <v>0.21824866533279419</v>
      </c>
    </row>
    <row r="4248" spans="1:1" x14ac:dyDescent="0.2">
      <c r="A4248" s="22">
        <v>0.94856762886047363</v>
      </c>
    </row>
    <row r="4249" spans="1:1" x14ac:dyDescent="0.2">
      <c r="A4249" s="22">
        <v>0.5993465781211853</v>
      </c>
    </row>
    <row r="4250" spans="1:1" x14ac:dyDescent="0.2">
      <c r="A4250" s="22">
        <v>5.9302210807800293E-2</v>
      </c>
    </row>
    <row r="4251" spans="1:1" x14ac:dyDescent="0.2">
      <c r="A4251" s="22">
        <v>0.63005787134170532</v>
      </c>
    </row>
    <row r="4252" spans="1:1" x14ac:dyDescent="0.2">
      <c r="A4252" s="22">
        <v>0.50342321395874023</v>
      </c>
    </row>
    <row r="4253" spans="1:1" x14ac:dyDescent="0.2">
      <c r="A4253" s="22">
        <v>0.8139302134513855</v>
      </c>
    </row>
    <row r="4254" spans="1:1" x14ac:dyDescent="0.2">
      <c r="A4254" s="22">
        <v>2.8100132942199707E-2</v>
      </c>
    </row>
    <row r="4255" spans="1:1" x14ac:dyDescent="0.2">
      <c r="A4255" s="22">
        <v>0.13601762056350708</v>
      </c>
    </row>
    <row r="4256" spans="1:1" x14ac:dyDescent="0.2">
      <c r="A4256" s="22">
        <v>0.99848341941833496</v>
      </c>
    </row>
    <row r="4257" spans="1:1" x14ac:dyDescent="0.2">
      <c r="A4257" s="22">
        <v>0.53993123769760132</v>
      </c>
    </row>
    <row r="4258" spans="1:1" x14ac:dyDescent="0.2">
      <c r="A4258" s="22">
        <v>0.46655213832855225</v>
      </c>
    </row>
    <row r="4259" spans="1:1" x14ac:dyDescent="0.2">
      <c r="A4259" s="22">
        <v>0.22129637002944946</v>
      </c>
    </row>
    <row r="4260" spans="1:1" x14ac:dyDescent="0.2">
      <c r="A4260" s="22">
        <v>0.79074287414550781</v>
      </c>
    </row>
    <row r="4261" spans="1:1" x14ac:dyDescent="0.2">
      <c r="A4261" s="22">
        <v>0.26886576414108276</v>
      </c>
    </row>
    <row r="4262" spans="1:1" x14ac:dyDescent="0.2">
      <c r="A4262" s="22">
        <v>0.21260988712310791</v>
      </c>
    </row>
    <row r="4263" spans="1:1" x14ac:dyDescent="0.2">
      <c r="A4263" s="22">
        <v>0.43453913927078247</v>
      </c>
    </row>
    <row r="4264" spans="1:1" x14ac:dyDescent="0.2">
      <c r="A4264" s="22">
        <v>4.6766519546508789E-2</v>
      </c>
    </row>
    <row r="4265" spans="1:1" x14ac:dyDescent="0.2">
      <c r="A4265" s="22">
        <v>6.3538968563079834E-2</v>
      </c>
    </row>
    <row r="4266" spans="1:1" x14ac:dyDescent="0.2">
      <c r="A4266" s="22">
        <v>0.3903578519821167</v>
      </c>
    </row>
    <row r="4267" spans="1:1" x14ac:dyDescent="0.2">
      <c r="A4267" s="22">
        <v>0.4659925103187561</v>
      </c>
    </row>
    <row r="4268" spans="1:1" x14ac:dyDescent="0.2">
      <c r="A4268" s="22">
        <v>0.50831460952758789</v>
      </c>
    </row>
    <row r="4269" spans="1:1" x14ac:dyDescent="0.2">
      <c r="A4269" s="22">
        <v>0.26117008924484253</v>
      </c>
    </row>
    <row r="4270" spans="1:1" x14ac:dyDescent="0.2">
      <c r="A4270" s="22">
        <v>0.30063831806182861</v>
      </c>
    </row>
    <row r="4271" spans="1:1" x14ac:dyDescent="0.2">
      <c r="A4271" s="22">
        <v>0.47562962770462036</v>
      </c>
    </row>
    <row r="4272" spans="1:1" x14ac:dyDescent="0.2">
      <c r="A4272" s="22">
        <v>0.50796771049499512</v>
      </c>
    </row>
    <row r="4273" spans="1:1" x14ac:dyDescent="0.2">
      <c r="A4273" s="22">
        <v>0.42651742696762085</v>
      </c>
    </row>
    <row r="4274" spans="1:1" x14ac:dyDescent="0.2">
      <c r="A4274" s="22">
        <v>0.56167638301849365</v>
      </c>
    </row>
    <row r="4275" spans="1:1" x14ac:dyDescent="0.2">
      <c r="A4275" s="22">
        <v>0.67127519845962524</v>
      </c>
    </row>
    <row r="4276" spans="1:1" x14ac:dyDescent="0.2">
      <c r="A4276" s="22">
        <v>0.23475170135498047</v>
      </c>
    </row>
    <row r="4277" spans="1:1" x14ac:dyDescent="0.2">
      <c r="A4277" s="22">
        <v>0.55500334501266479</v>
      </c>
    </row>
    <row r="4278" spans="1:1" x14ac:dyDescent="0.2">
      <c r="A4278" s="22">
        <v>0.49970495700836182</v>
      </c>
    </row>
    <row r="4279" spans="1:1" x14ac:dyDescent="0.2">
      <c r="A4279" s="22">
        <v>0.13673049211502075</v>
      </c>
    </row>
    <row r="4280" spans="1:1" x14ac:dyDescent="0.2">
      <c r="A4280" s="22">
        <v>0.24976277351379395</v>
      </c>
    </row>
    <row r="4281" spans="1:1" x14ac:dyDescent="0.2">
      <c r="A4281" s="22">
        <v>0.52583926916122437</v>
      </c>
    </row>
    <row r="4282" spans="1:1" x14ac:dyDescent="0.2">
      <c r="A4282" s="22">
        <v>0.78958976268768311</v>
      </c>
    </row>
    <row r="4283" spans="1:1" x14ac:dyDescent="0.2">
      <c r="A4283" s="22">
        <v>0.90989834070205688</v>
      </c>
    </row>
    <row r="4284" spans="1:1" x14ac:dyDescent="0.2">
      <c r="A4284" s="22">
        <v>0.25179243087768555</v>
      </c>
    </row>
    <row r="4285" spans="1:1" x14ac:dyDescent="0.2">
      <c r="A4285" s="22">
        <v>0.80515068769454956</v>
      </c>
    </row>
    <row r="4286" spans="1:1" x14ac:dyDescent="0.2">
      <c r="A4286" s="22">
        <v>0.34545433521270752</v>
      </c>
    </row>
    <row r="4287" spans="1:1" x14ac:dyDescent="0.2">
      <c r="A4287" s="22">
        <v>0.31090813875198364</v>
      </c>
    </row>
    <row r="4288" spans="1:1" x14ac:dyDescent="0.2">
      <c r="A4288" s="22">
        <v>9.2952489852905273E-2</v>
      </c>
    </row>
    <row r="4289" spans="1:1" x14ac:dyDescent="0.2">
      <c r="A4289" s="22">
        <v>0.39910215139389038</v>
      </c>
    </row>
    <row r="4290" spans="1:1" x14ac:dyDescent="0.2">
      <c r="A4290" s="22">
        <v>0.46130502223968506</v>
      </c>
    </row>
    <row r="4291" spans="1:1" x14ac:dyDescent="0.2">
      <c r="A4291" s="22">
        <v>0.52024084329605103</v>
      </c>
    </row>
    <row r="4292" spans="1:1" x14ac:dyDescent="0.2">
      <c r="A4292" s="22">
        <v>4.4300079345703125E-2</v>
      </c>
    </row>
    <row r="4293" spans="1:1" x14ac:dyDescent="0.2">
      <c r="A4293" s="22">
        <v>5.7022273540496826E-2</v>
      </c>
    </row>
    <row r="4294" spans="1:1" x14ac:dyDescent="0.2">
      <c r="A4294" s="22">
        <v>0.20165598392486572</v>
      </c>
    </row>
    <row r="4295" spans="1:1" x14ac:dyDescent="0.2">
      <c r="A4295" s="22">
        <v>0.40685397386550903</v>
      </c>
    </row>
    <row r="4296" spans="1:1" x14ac:dyDescent="0.2">
      <c r="A4296" s="22">
        <v>0.3114626407623291</v>
      </c>
    </row>
    <row r="4297" spans="1:1" x14ac:dyDescent="0.2">
      <c r="A4297" s="22">
        <v>0.7245287299156189</v>
      </c>
    </row>
    <row r="4298" spans="1:1" x14ac:dyDescent="0.2">
      <c r="A4298" s="22">
        <v>4.2154192924499512E-2</v>
      </c>
    </row>
    <row r="4299" spans="1:1" x14ac:dyDescent="0.2">
      <c r="A4299" s="22">
        <v>0.60630661249160767</v>
      </c>
    </row>
    <row r="4300" spans="1:1" x14ac:dyDescent="0.2">
      <c r="A4300" s="22">
        <v>0.8002629280090332</v>
      </c>
    </row>
    <row r="4301" spans="1:1" x14ac:dyDescent="0.2">
      <c r="A4301" s="22">
        <v>0.24665325880050659</v>
      </c>
    </row>
    <row r="4302" spans="1:1" x14ac:dyDescent="0.2">
      <c r="A4302" s="22">
        <v>0.76020443439483643</v>
      </c>
    </row>
    <row r="4303" spans="1:1" x14ac:dyDescent="0.2">
      <c r="A4303" s="22">
        <v>0.84888440370559692</v>
      </c>
    </row>
    <row r="4304" spans="1:1" x14ac:dyDescent="0.2">
      <c r="A4304" s="22">
        <v>0.13234400749206543</v>
      </c>
    </row>
    <row r="4305" spans="1:1" x14ac:dyDescent="0.2">
      <c r="A4305" s="22">
        <v>0.32096666097640991</v>
      </c>
    </row>
    <row r="4306" spans="1:1" x14ac:dyDescent="0.2">
      <c r="A4306" s="22">
        <v>0.57559430599212646</v>
      </c>
    </row>
    <row r="4307" spans="1:1" x14ac:dyDescent="0.2">
      <c r="A4307" s="22">
        <v>0.53772455453872681</v>
      </c>
    </row>
    <row r="4308" spans="1:1" x14ac:dyDescent="0.2">
      <c r="A4308" s="22">
        <v>0.91079425811767578</v>
      </c>
    </row>
    <row r="4309" spans="1:1" x14ac:dyDescent="0.2">
      <c r="A4309" s="22">
        <v>0.70070379972457886</v>
      </c>
    </row>
    <row r="4310" spans="1:1" x14ac:dyDescent="0.2">
      <c r="A4310" s="22">
        <v>0.54111921787261963</v>
      </c>
    </row>
    <row r="4311" spans="1:1" x14ac:dyDescent="0.2">
      <c r="A4311" s="22">
        <v>0.57694083452224731</v>
      </c>
    </row>
    <row r="4312" spans="1:1" x14ac:dyDescent="0.2">
      <c r="A4312" s="22">
        <v>0.23577237129211426</v>
      </c>
    </row>
    <row r="4313" spans="1:1" x14ac:dyDescent="0.2">
      <c r="A4313" s="22">
        <v>0.64788860082626343</v>
      </c>
    </row>
    <row r="4314" spans="1:1" x14ac:dyDescent="0.2">
      <c r="A4314" s="22">
        <v>0.18320739269256592</v>
      </c>
    </row>
    <row r="4315" spans="1:1" x14ac:dyDescent="0.2">
      <c r="A4315" s="22">
        <v>0.44974857568740845</v>
      </c>
    </row>
    <row r="4316" spans="1:1" x14ac:dyDescent="0.2">
      <c r="A4316" s="22">
        <v>0.47013235092163086</v>
      </c>
    </row>
    <row r="4317" spans="1:1" x14ac:dyDescent="0.2">
      <c r="A4317" s="22">
        <v>0.63645905256271362</v>
      </c>
    </row>
    <row r="4318" spans="1:1" x14ac:dyDescent="0.2">
      <c r="A4318" s="22">
        <v>0.39254486560821533</v>
      </c>
    </row>
    <row r="4319" spans="1:1" x14ac:dyDescent="0.2">
      <c r="A4319" s="22">
        <v>0.54658967256546021</v>
      </c>
    </row>
    <row r="4320" spans="1:1" x14ac:dyDescent="0.2">
      <c r="A4320" s="22">
        <v>0.25504851341247559</v>
      </c>
    </row>
    <row r="4321" spans="1:1" x14ac:dyDescent="0.2">
      <c r="A4321" s="22">
        <v>0.30539220571517944</v>
      </c>
    </row>
    <row r="4322" spans="1:1" x14ac:dyDescent="0.2">
      <c r="A4322" s="22">
        <v>0.56470048427581787</v>
      </c>
    </row>
    <row r="4323" spans="1:1" x14ac:dyDescent="0.2">
      <c r="A4323" s="22">
        <v>0.74325758218765259</v>
      </c>
    </row>
    <row r="4324" spans="1:1" x14ac:dyDescent="0.2">
      <c r="A4324" s="22">
        <v>0.77564048767089844</v>
      </c>
    </row>
    <row r="4325" spans="1:1" x14ac:dyDescent="0.2">
      <c r="A4325" s="22">
        <v>0.66182917356491089</v>
      </c>
    </row>
    <row r="4326" spans="1:1" x14ac:dyDescent="0.2">
      <c r="A4326" s="22">
        <v>0.99075090885162354</v>
      </c>
    </row>
    <row r="4327" spans="1:1" x14ac:dyDescent="0.2">
      <c r="A4327" s="22">
        <v>0.2290223240852356</v>
      </c>
    </row>
    <row r="4328" spans="1:1" x14ac:dyDescent="0.2">
      <c r="A4328" s="22">
        <v>0.27659821510314941</v>
      </c>
    </row>
    <row r="4329" spans="1:1" x14ac:dyDescent="0.2">
      <c r="A4329" s="22">
        <v>0.53420013189315796</v>
      </c>
    </row>
    <row r="4330" spans="1:1" x14ac:dyDescent="0.2">
      <c r="A4330" s="22">
        <v>0.49790561199188232</v>
      </c>
    </row>
    <row r="4331" spans="1:1" x14ac:dyDescent="0.2">
      <c r="A4331" s="22">
        <v>0.58475548028945923</v>
      </c>
    </row>
    <row r="4332" spans="1:1" x14ac:dyDescent="0.2">
      <c r="A4332" s="22">
        <v>0.82780694961547852</v>
      </c>
    </row>
    <row r="4333" spans="1:1" x14ac:dyDescent="0.2">
      <c r="A4333" s="22">
        <v>0.27534931898117065</v>
      </c>
    </row>
    <row r="4334" spans="1:1" x14ac:dyDescent="0.2">
      <c r="A4334" s="22">
        <v>0.34013187885284424</v>
      </c>
    </row>
    <row r="4335" spans="1:1" x14ac:dyDescent="0.2">
      <c r="A4335" s="22">
        <v>0.11105519533157349</v>
      </c>
    </row>
    <row r="4336" spans="1:1" x14ac:dyDescent="0.2">
      <c r="A4336" s="22">
        <v>0.33997225761413574</v>
      </c>
    </row>
    <row r="4337" spans="1:1" x14ac:dyDescent="0.2">
      <c r="A4337" s="22">
        <v>0.71566003561019897</v>
      </c>
    </row>
    <row r="4338" spans="1:1" x14ac:dyDescent="0.2">
      <c r="A4338" s="22">
        <v>0.33877980709075928</v>
      </c>
    </row>
    <row r="4339" spans="1:1" x14ac:dyDescent="0.2">
      <c r="A4339" s="22">
        <v>0.40637117624282837</v>
      </c>
    </row>
    <row r="4340" spans="1:1" x14ac:dyDescent="0.2">
      <c r="A4340" s="22">
        <v>0.83024501800537109</v>
      </c>
    </row>
    <row r="4341" spans="1:1" x14ac:dyDescent="0.2">
      <c r="A4341" s="22">
        <v>0.36617964506149292</v>
      </c>
    </row>
    <row r="4342" spans="1:1" x14ac:dyDescent="0.2">
      <c r="A4342" s="22">
        <v>0.27320730686187744</v>
      </c>
    </row>
    <row r="4343" spans="1:1" x14ac:dyDescent="0.2">
      <c r="A4343" s="22">
        <v>0.19512969255447388</v>
      </c>
    </row>
    <row r="4344" spans="1:1" x14ac:dyDescent="0.2">
      <c r="A4344" s="22">
        <v>0.93784642219543457</v>
      </c>
    </row>
    <row r="4345" spans="1:1" x14ac:dyDescent="0.2">
      <c r="A4345" s="22">
        <v>0.87174457311630249</v>
      </c>
    </row>
    <row r="4346" spans="1:1" x14ac:dyDescent="0.2">
      <c r="A4346" s="22">
        <v>0.52140510082244873</v>
      </c>
    </row>
    <row r="4347" spans="1:1" x14ac:dyDescent="0.2">
      <c r="A4347" s="22">
        <v>0.40585857629776001</v>
      </c>
    </row>
    <row r="4348" spans="1:1" x14ac:dyDescent="0.2">
      <c r="A4348" s="22">
        <v>0.68969297409057617</v>
      </c>
    </row>
    <row r="4349" spans="1:1" x14ac:dyDescent="0.2">
      <c r="A4349" s="22">
        <v>0.71410530805587769</v>
      </c>
    </row>
    <row r="4350" spans="1:1" x14ac:dyDescent="0.2">
      <c r="A4350" s="22">
        <v>0.95062172412872314</v>
      </c>
    </row>
    <row r="4351" spans="1:1" x14ac:dyDescent="0.2">
      <c r="A4351" s="22">
        <v>0.49931222200393677</v>
      </c>
    </row>
    <row r="4352" spans="1:1" x14ac:dyDescent="0.2">
      <c r="A4352" s="22">
        <v>0.5160214900970459</v>
      </c>
    </row>
    <row r="4353" spans="1:1" x14ac:dyDescent="0.2">
      <c r="A4353" s="22">
        <v>0.16505140066146851</v>
      </c>
    </row>
    <row r="4354" spans="1:1" x14ac:dyDescent="0.2">
      <c r="A4354" s="22">
        <v>5.7988524436950684E-2</v>
      </c>
    </row>
    <row r="4355" spans="1:1" x14ac:dyDescent="0.2">
      <c r="A4355" s="22">
        <v>4.659658670425415E-2</v>
      </c>
    </row>
    <row r="4356" spans="1:1" x14ac:dyDescent="0.2">
      <c r="A4356" s="22">
        <v>0.51601409912109375</v>
      </c>
    </row>
    <row r="4357" spans="1:1" x14ac:dyDescent="0.2">
      <c r="A4357" s="22">
        <v>0.48953646421432495</v>
      </c>
    </row>
    <row r="4358" spans="1:1" x14ac:dyDescent="0.2">
      <c r="A4358" s="22">
        <v>0.36114466190338135</v>
      </c>
    </row>
    <row r="4359" spans="1:1" x14ac:dyDescent="0.2">
      <c r="A4359" s="22">
        <v>0.55729418992996216</v>
      </c>
    </row>
    <row r="4360" spans="1:1" x14ac:dyDescent="0.2">
      <c r="A4360" s="22">
        <v>0.97342324256896973</v>
      </c>
    </row>
    <row r="4361" spans="1:1" x14ac:dyDescent="0.2">
      <c r="A4361" s="22">
        <v>0.39880317449569702</v>
      </c>
    </row>
    <row r="4362" spans="1:1" x14ac:dyDescent="0.2">
      <c r="A4362" s="22">
        <v>3.8862109184265137E-2</v>
      </c>
    </row>
    <row r="4363" spans="1:1" x14ac:dyDescent="0.2">
      <c r="A4363" s="22">
        <v>0.55758911371231079</v>
      </c>
    </row>
    <row r="4364" spans="1:1" x14ac:dyDescent="0.2">
      <c r="A4364" s="22">
        <v>0.12219667434692383</v>
      </c>
    </row>
    <row r="4365" spans="1:1" x14ac:dyDescent="0.2">
      <c r="A4365" s="22">
        <v>0.75350826978683472</v>
      </c>
    </row>
    <row r="4366" spans="1:1" x14ac:dyDescent="0.2">
      <c r="A4366" s="22">
        <v>0.82167065143585205</v>
      </c>
    </row>
    <row r="4367" spans="1:1" x14ac:dyDescent="0.2">
      <c r="A4367" s="22">
        <v>0.91839200258255005</v>
      </c>
    </row>
    <row r="4368" spans="1:1" x14ac:dyDescent="0.2">
      <c r="A4368" s="22">
        <v>0.16210246086120605</v>
      </c>
    </row>
    <row r="4369" spans="1:1" x14ac:dyDescent="0.2">
      <c r="A4369" s="22">
        <v>0.51684755086898804</v>
      </c>
    </row>
    <row r="4370" spans="1:1" x14ac:dyDescent="0.2">
      <c r="A4370" s="22">
        <v>0.13248288631439209</v>
      </c>
    </row>
    <row r="4371" spans="1:1" x14ac:dyDescent="0.2">
      <c r="A4371" s="22">
        <v>0.43346506357192993</v>
      </c>
    </row>
    <row r="4372" spans="1:1" x14ac:dyDescent="0.2">
      <c r="A4372" s="22">
        <v>0.52435398101806641</v>
      </c>
    </row>
    <row r="4373" spans="1:1" x14ac:dyDescent="0.2">
      <c r="A4373" s="22">
        <v>0.95768088102340698</v>
      </c>
    </row>
    <row r="4374" spans="1:1" x14ac:dyDescent="0.2">
      <c r="A4374" s="22">
        <v>0.47721922397613525</v>
      </c>
    </row>
    <row r="4375" spans="1:1" x14ac:dyDescent="0.2">
      <c r="A4375" s="22">
        <v>0.64754706621170044</v>
      </c>
    </row>
    <row r="4376" spans="1:1" x14ac:dyDescent="0.2">
      <c r="A4376" s="22">
        <v>0.38723492622375488</v>
      </c>
    </row>
    <row r="4377" spans="1:1" x14ac:dyDescent="0.2">
      <c r="A4377" s="22">
        <v>0.10365718603134155</v>
      </c>
    </row>
    <row r="4378" spans="1:1" x14ac:dyDescent="0.2">
      <c r="A4378" s="22">
        <v>8.5432887077331543E-2</v>
      </c>
    </row>
    <row r="4379" spans="1:1" x14ac:dyDescent="0.2">
      <c r="A4379" s="22">
        <v>0.93447834253311157</v>
      </c>
    </row>
    <row r="4380" spans="1:1" x14ac:dyDescent="0.2">
      <c r="A4380" s="22">
        <v>0.44172430038452148</v>
      </c>
    </row>
    <row r="4381" spans="1:1" x14ac:dyDescent="0.2">
      <c r="A4381" s="22">
        <v>0.44433945417404175</v>
      </c>
    </row>
    <row r="4382" spans="1:1" x14ac:dyDescent="0.2">
      <c r="A4382" s="22">
        <v>0.80093491077423096</v>
      </c>
    </row>
    <row r="4383" spans="1:1" x14ac:dyDescent="0.2">
      <c r="A4383" s="22">
        <v>0.82532578706741333</v>
      </c>
    </row>
    <row r="4384" spans="1:1" x14ac:dyDescent="0.2">
      <c r="A4384" s="22">
        <v>0.90712141990661621</v>
      </c>
    </row>
    <row r="4385" spans="1:1" x14ac:dyDescent="0.2">
      <c r="A4385" s="22">
        <v>0.88432973623275757</v>
      </c>
    </row>
    <row r="4386" spans="1:1" x14ac:dyDescent="0.2">
      <c r="A4386" s="22">
        <v>0.2224191427230835</v>
      </c>
    </row>
    <row r="4387" spans="1:1" x14ac:dyDescent="0.2">
      <c r="A4387" s="22">
        <v>0.58650785684585571</v>
      </c>
    </row>
    <row r="4388" spans="1:1" x14ac:dyDescent="0.2">
      <c r="A4388" s="22">
        <v>0.79667091369628906</v>
      </c>
    </row>
    <row r="4389" spans="1:1" x14ac:dyDescent="0.2">
      <c r="A4389" s="22">
        <v>0.94639414548873901</v>
      </c>
    </row>
    <row r="4390" spans="1:1" x14ac:dyDescent="0.2">
      <c r="A4390" s="22">
        <v>9.408724308013916E-2</v>
      </c>
    </row>
    <row r="4391" spans="1:1" x14ac:dyDescent="0.2">
      <c r="A4391" s="22">
        <v>4.7919571399688721E-2</v>
      </c>
    </row>
    <row r="4392" spans="1:1" x14ac:dyDescent="0.2">
      <c r="A4392" s="22">
        <v>0.43318772315979004</v>
      </c>
    </row>
    <row r="4393" spans="1:1" x14ac:dyDescent="0.2">
      <c r="A4393" s="22">
        <v>0.22458785772323608</v>
      </c>
    </row>
    <row r="4394" spans="1:1" x14ac:dyDescent="0.2">
      <c r="A4394" s="22">
        <v>0.94627368450164795</v>
      </c>
    </row>
    <row r="4395" spans="1:1" x14ac:dyDescent="0.2">
      <c r="A4395" s="22">
        <v>0.68105751276016235</v>
      </c>
    </row>
    <row r="4396" spans="1:1" x14ac:dyDescent="0.2">
      <c r="A4396" s="22">
        <v>0.21468210220336914</v>
      </c>
    </row>
    <row r="4397" spans="1:1" x14ac:dyDescent="0.2">
      <c r="A4397" s="22">
        <v>8.7380111217498779E-2</v>
      </c>
    </row>
    <row r="4398" spans="1:1" x14ac:dyDescent="0.2">
      <c r="A4398" s="22">
        <v>0.98607075214385986</v>
      </c>
    </row>
    <row r="4399" spans="1:1" x14ac:dyDescent="0.2">
      <c r="A4399" s="22">
        <v>0.92714482545852661</v>
      </c>
    </row>
    <row r="4400" spans="1:1" x14ac:dyDescent="0.2">
      <c r="A4400" s="22">
        <v>0.62998461723327637</v>
      </c>
    </row>
    <row r="4401" spans="1:1" x14ac:dyDescent="0.2">
      <c r="A4401" s="22">
        <v>0.6307792067527771</v>
      </c>
    </row>
    <row r="4402" spans="1:1" x14ac:dyDescent="0.2">
      <c r="A4402" s="22">
        <v>0.2379535436630249</v>
      </c>
    </row>
    <row r="4403" spans="1:1" x14ac:dyDescent="0.2">
      <c r="A4403" s="22">
        <v>0.77525621652603149</v>
      </c>
    </row>
    <row r="4404" spans="1:1" x14ac:dyDescent="0.2">
      <c r="A4404" s="22">
        <v>0.52437114715576172</v>
      </c>
    </row>
    <row r="4405" spans="1:1" x14ac:dyDescent="0.2">
      <c r="A4405" s="22">
        <v>0.88145750761032104</v>
      </c>
    </row>
    <row r="4406" spans="1:1" x14ac:dyDescent="0.2">
      <c r="A4406" s="22">
        <v>0.93440496921539307</v>
      </c>
    </row>
    <row r="4407" spans="1:1" x14ac:dyDescent="0.2">
      <c r="A4407" s="22">
        <v>0.590442955493927</v>
      </c>
    </row>
    <row r="4408" spans="1:1" x14ac:dyDescent="0.2">
      <c r="A4408" s="22">
        <v>0.6151878833770752</v>
      </c>
    </row>
    <row r="4409" spans="1:1" x14ac:dyDescent="0.2">
      <c r="A4409" s="22">
        <v>0.24987643957138062</v>
      </c>
    </row>
    <row r="4410" spans="1:1" x14ac:dyDescent="0.2">
      <c r="A4410" s="22">
        <v>0.15654075145721436</v>
      </c>
    </row>
    <row r="4411" spans="1:1" x14ac:dyDescent="0.2">
      <c r="A4411" s="22">
        <v>0.19185787439346313</v>
      </c>
    </row>
    <row r="4412" spans="1:1" x14ac:dyDescent="0.2">
      <c r="A4412" s="22">
        <v>0.2574763298034668</v>
      </c>
    </row>
    <row r="4413" spans="1:1" x14ac:dyDescent="0.2">
      <c r="A4413" s="22">
        <v>0.23341149091720581</v>
      </c>
    </row>
    <row r="4414" spans="1:1" x14ac:dyDescent="0.2">
      <c r="A4414" s="22">
        <v>0.72473442554473877</v>
      </c>
    </row>
    <row r="4415" spans="1:1" x14ac:dyDescent="0.2">
      <c r="A4415" s="22">
        <v>0.18088036775588989</v>
      </c>
    </row>
    <row r="4416" spans="1:1" x14ac:dyDescent="0.2">
      <c r="A4416" s="22">
        <v>0.45959830284118652</v>
      </c>
    </row>
    <row r="4417" spans="1:1" x14ac:dyDescent="0.2">
      <c r="A4417" s="22">
        <v>0.36947721242904663</v>
      </c>
    </row>
    <row r="4418" spans="1:1" x14ac:dyDescent="0.2">
      <c r="A4418" s="22">
        <v>0.33924233913421631</v>
      </c>
    </row>
    <row r="4419" spans="1:1" x14ac:dyDescent="0.2">
      <c r="A4419" s="22">
        <v>0.51924139261245728</v>
      </c>
    </row>
    <row r="4420" spans="1:1" x14ac:dyDescent="0.2">
      <c r="A4420" s="22">
        <v>0.14886093139648438</v>
      </c>
    </row>
    <row r="4421" spans="1:1" x14ac:dyDescent="0.2">
      <c r="A4421" s="22">
        <v>0.43865221738815308</v>
      </c>
    </row>
    <row r="4422" spans="1:1" x14ac:dyDescent="0.2">
      <c r="A4422" s="22">
        <v>0.97082865238189697</v>
      </c>
    </row>
    <row r="4423" spans="1:1" x14ac:dyDescent="0.2">
      <c r="A4423" s="22">
        <v>0.35714846849441528</v>
      </c>
    </row>
    <row r="4424" spans="1:1" x14ac:dyDescent="0.2">
      <c r="A4424" s="22">
        <v>0.68714165687561035</v>
      </c>
    </row>
    <row r="4425" spans="1:1" x14ac:dyDescent="0.2">
      <c r="A4425" s="22">
        <v>0.91780418157577515</v>
      </c>
    </row>
    <row r="4426" spans="1:1" x14ac:dyDescent="0.2">
      <c r="A4426" s="22">
        <v>0.50139033794403076</v>
      </c>
    </row>
    <row r="4427" spans="1:1" x14ac:dyDescent="0.2">
      <c r="A4427" s="22">
        <v>0.11141067743301392</v>
      </c>
    </row>
    <row r="4428" spans="1:1" x14ac:dyDescent="0.2">
      <c r="A4428" s="22">
        <v>0.63651323318481445</v>
      </c>
    </row>
    <row r="4429" spans="1:1" x14ac:dyDescent="0.2">
      <c r="A4429" s="22">
        <v>0.68321484327316284</v>
      </c>
    </row>
    <row r="4430" spans="1:1" x14ac:dyDescent="0.2">
      <c r="A4430" s="22">
        <v>0.61458218097686768</v>
      </c>
    </row>
    <row r="4431" spans="1:1" x14ac:dyDescent="0.2">
      <c r="A4431" s="22">
        <v>0.79356366395950317</v>
      </c>
    </row>
    <row r="4432" spans="1:1" x14ac:dyDescent="0.2">
      <c r="A4432" s="22">
        <v>0.77486872673034668</v>
      </c>
    </row>
    <row r="4433" spans="1:1" x14ac:dyDescent="0.2">
      <c r="A4433" s="22">
        <v>0.96370500326156616</v>
      </c>
    </row>
    <row r="4434" spans="1:1" x14ac:dyDescent="0.2">
      <c r="A4434" s="22">
        <v>0.93644177913665771</v>
      </c>
    </row>
    <row r="4435" spans="1:1" x14ac:dyDescent="0.2">
      <c r="A4435" s="22">
        <v>0.58799463510513306</v>
      </c>
    </row>
    <row r="4436" spans="1:1" x14ac:dyDescent="0.2">
      <c r="A4436" s="22">
        <v>0.36154651641845703</v>
      </c>
    </row>
    <row r="4437" spans="1:1" x14ac:dyDescent="0.2">
      <c r="A4437" s="22">
        <v>0.54375952482223511</v>
      </c>
    </row>
    <row r="4438" spans="1:1" x14ac:dyDescent="0.2">
      <c r="A4438" s="22">
        <v>0.42601454257965088</v>
      </c>
    </row>
    <row r="4439" spans="1:1" x14ac:dyDescent="0.2">
      <c r="A4439" s="22">
        <v>0.68006736040115356</v>
      </c>
    </row>
    <row r="4440" spans="1:1" x14ac:dyDescent="0.2">
      <c r="A4440" s="22">
        <v>0.65295529365539551</v>
      </c>
    </row>
    <row r="4441" spans="1:1" x14ac:dyDescent="0.2">
      <c r="A4441" s="22">
        <v>0.21665233373641968</v>
      </c>
    </row>
    <row r="4442" spans="1:1" x14ac:dyDescent="0.2">
      <c r="A4442" s="22">
        <v>1.5978693962097168E-2</v>
      </c>
    </row>
    <row r="4443" spans="1:1" x14ac:dyDescent="0.2">
      <c r="A4443" s="22">
        <v>0.3342471718788147</v>
      </c>
    </row>
    <row r="4444" spans="1:1" x14ac:dyDescent="0.2">
      <c r="A4444" s="22">
        <v>0.66819906234741211</v>
      </c>
    </row>
    <row r="4445" spans="1:1" x14ac:dyDescent="0.2">
      <c r="A4445" s="22">
        <v>0.48757141828536987</v>
      </c>
    </row>
    <row r="4446" spans="1:1" x14ac:dyDescent="0.2">
      <c r="A4446" s="22">
        <v>0.50327026844024658</v>
      </c>
    </row>
    <row r="4447" spans="1:1" x14ac:dyDescent="0.2">
      <c r="A4447" s="22">
        <v>0.22222596406936646</v>
      </c>
    </row>
    <row r="4448" spans="1:1" x14ac:dyDescent="0.2">
      <c r="A4448" s="22">
        <v>0.20470213890075684</v>
      </c>
    </row>
    <row r="4449" spans="1:1" x14ac:dyDescent="0.2">
      <c r="A4449" s="22">
        <v>0.52674382925033569</v>
      </c>
    </row>
    <row r="4450" spans="1:1" x14ac:dyDescent="0.2">
      <c r="A4450" s="22">
        <v>0.68970811367034912</v>
      </c>
    </row>
    <row r="4451" spans="1:1" x14ac:dyDescent="0.2">
      <c r="A4451" s="22">
        <v>1.0471940040588379E-3</v>
      </c>
    </row>
    <row r="4452" spans="1:1" x14ac:dyDescent="0.2">
      <c r="A4452" s="22">
        <v>0.10383415222167969</v>
      </c>
    </row>
    <row r="4453" spans="1:1" x14ac:dyDescent="0.2">
      <c r="A4453" s="22">
        <v>0.37256067991256714</v>
      </c>
    </row>
    <row r="4454" spans="1:1" x14ac:dyDescent="0.2">
      <c r="A4454" s="22">
        <v>0.77261888980865479</v>
      </c>
    </row>
    <row r="4455" spans="1:1" x14ac:dyDescent="0.2">
      <c r="A4455" s="22">
        <v>0.14123088121414185</v>
      </c>
    </row>
    <row r="4456" spans="1:1" x14ac:dyDescent="0.2">
      <c r="A4456" s="22">
        <v>0.76653504371643066</v>
      </c>
    </row>
    <row r="4457" spans="1:1" x14ac:dyDescent="0.2">
      <c r="A4457" s="22">
        <v>0.38470214605331421</v>
      </c>
    </row>
    <row r="4458" spans="1:1" x14ac:dyDescent="0.2">
      <c r="A4458" s="22">
        <v>0.98546206951141357</v>
      </c>
    </row>
    <row r="4459" spans="1:1" x14ac:dyDescent="0.2">
      <c r="A4459" s="22">
        <v>4.8986077308654785E-3</v>
      </c>
    </row>
    <row r="4460" spans="1:1" x14ac:dyDescent="0.2">
      <c r="A4460" s="22">
        <v>0.91894006729125977</v>
      </c>
    </row>
    <row r="4461" spans="1:1" x14ac:dyDescent="0.2">
      <c r="A4461" s="22">
        <v>0.9472624659538269</v>
      </c>
    </row>
    <row r="4462" spans="1:1" x14ac:dyDescent="0.2">
      <c r="A4462" s="22">
        <v>0.48845493793487549</v>
      </c>
    </row>
    <row r="4463" spans="1:1" x14ac:dyDescent="0.2">
      <c r="A4463" s="22">
        <v>0.17389851808547974</v>
      </c>
    </row>
    <row r="4464" spans="1:1" x14ac:dyDescent="0.2">
      <c r="A4464" s="22">
        <v>0.62800478935241699</v>
      </c>
    </row>
    <row r="4465" spans="1:1" x14ac:dyDescent="0.2">
      <c r="A4465" s="22">
        <v>0.42187494039535522</v>
      </c>
    </row>
    <row r="4466" spans="1:1" x14ac:dyDescent="0.2">
      <c r="A4466" s="22">
        <v>0.50919759273529053</v>
      </c>
    </row>
    <row r="4467" spans="1:1" x14ac:dyDescent="0.2">
      <c r="A4467" s="22">
        <v>2.7930319309234619E-2</v>
      </c>
    </row>
    <row r="4468" spans="1:1" x14ac:dyDescent="0.2">
      <c r="A4468" s="22">
        <v>0.56713008880615234</v>
      </c>
    </row>
    <row r="4469" spans="1:1" x14ac:dyDescent="0.2">
      <c r="A4469" s="22">
        <v>0.35083693265914917</v>
      </c>
    </row>
    <row r="4470" spans="1:1" x14ac:dyDescent="0.2">
      <c r="A4470" s="22">
        <v>0.73329794406890869</v>
      </c>
    </row>
    <row r="4471" spans="1:1" x14ac:dyDescent="0.2">
      <c r="A4471" s="22">
        <v>0.57267028093338013</v>
      </c>
    </row>
    <row r="4472" spans="1:1" x14ac:dyDescent="0.2">
      <c r="A4472" s="22">
        <v>0.53178715705871582</v>
      </c>
    </row>
    <row r="4473" spans="1:1" x14ac:dyDescent="0.2">
      <c r="A4473" s="22">
        <v>0.91023486852645874</v>
      </c>
    </row>
    <row r="4474" spans="1:1" x14ac:dyDescent="0.2">
      <c r="A4474" s="22">
        <v>0.94499671459197998</v>
      </c>
    </row>
    <row r="4475" spans="1:1" x14ac:dyDescent="0.2">
      <c r="A4475" s="22">
        <v>0.51789623498916626</v>
      </c>
    </row>
    <row r="4476" spans="1:1" x14ac:dyDescent="0.2">
      <c r="A4476" s="22">
        <v>0.20514249801635742</v>
      </c>
    </row>
    <row r="4477" spans="1:1" x14ac:dyDescent="0.2">
      <c r="A4477" s="22">
        <v>0.61306923627853394</v>
      </c>
    </row>
    <row r="4478" spans="1:1" x14ac:dyDescent="0.2">
      <c r="A4478" s="22">
        <v>0.91779243946075439</v>
      </c>
    </row>
    <row r="4479" spans="1:1" x14ac:dyDescent="0.2">
      <c r="A4479" s="22">
        <v>0.60561257600784302</v>
      </c>
    </row>
    <row r="4480" spans="1:1" x14ac:dyDescent="0.2">
      <c r="A4480" s="22">
        <v>0.17368292808532715</v>
      </c>
    </row>
    <row r="4481" spans="1:1" x14ac:dyDescent="0.2">
      <c r="A4481" s="22">
        <v>0.26237958669662476</v>
      </c>
    </row>
    <row r="4482" spans="1:1" x14ac:dyDescent="0.2">
      <c r="A4482" s="22">
        <v>0.55506646633148193</v>
      </c>
    </row>
    <row r="4483" spans="1:1" x14ac:dyDescent="0.2">
      <c r="A4483" s="22">
        <v>0.1881752610206604</v>
      </c>
    </row>
    <row r="4484" spans="1:1" x14ac:dyDescent="0.2">
      <c r="A4484" s="22">
        <v>0.192840576171875</v>
      </c>
    </row>
    <row r="4485" spans="1:1" x14ac:dyDescent="0.2">
      <c r="A4485" s="22">
        <v>0.1543695330619812</v>
      </c>
    </row>
    <row r="4486" spans="1:1" x14ac:dyDescent="0.2">
      <c r="A4486" s="22">
        <v>0.2807079553604126</v>
      </c>
    </row>
    <row r="4487" spans="1:1" x14ac:dyDescent="0.2">
      <c r="A4487" s="22">
        <v>5.6416809558868408E-2</v>
      </c>
    </row>
    <row r="4488" spans="1:1" x14ac:dyDescent="0.2">
      <c r="A4488" s="22">
        <v>0.70261788368225098</v>
      </c>
    </row>
    <row r="4489" spans="1:1" x14ac:dyDescent="0.2">
      <c r="A4489" s="22">
        <v>0.53153175115585327</v>
      </c>
    </row>
    <row r="4490" spans="1:1" x14ac:dyDescent="0.2">
      <c r="A4490" s="22">
        <v>0.67973887920379639</v>
      </c>
    </row>
    <row r="4491" spans="1:1" x14ac:dyDescent="0.2">
      <c r="A4491" s="22">
        <v>0.51777130365371704</v>
      </c>
    </row>
    <row r="4492" spans="1:1" x14ac:dyDescent="0.2">
      <c r="A4492" s="22">
        <v>0.59321260452270508</v>
      </c>
    </row>
    <row r="4493" spans="1:1" x14ac:dyDescent="0.2">
      <c r="A4493" s="22">
        <v>0.28577297925949097</v>
      </c>
    </row>
    <row r="4494" spans="1:1" x14ac:dyDescent="0.2">
      <c r="A4494" s="22">
        <v>0.3889390230178833</v>
      </c>
    </row>
    <row r="4495" spans="1:1" x14ac:dyDescent="0.2">
      <c r="A4495" s="22">
        <v>0.7243993878364563</v>
      </c>
    </row>
    <row r="4496" spans="1:1" x14ac:dyDescent="0.2">
      <c r="A4496" s="22">
        <v>0.2206428050994873</v>
      </c>
    </row>
    <row r="4497" spans="1:1" x14ac:dyDescent="0.2">
      <c r="A4497" s="22">
        <v>0.91153901815414429</v>
      </c>
    </row>
    <row r="4498" spans="1:1" x14ac:dyDescent="0.2">
      <c r="A4498" s="22">
        <v>0.23747098445892334</v>
      </c>
    </row>
    <row r="4499" spans="1:1" x14ac:dyDescent="0.2">
      <c r="A4499" s="22">
        <v>0.25131326913833618</v>
      </c>
    </row>
    <row r="4500" spans="1:1" x14ac:dyDescent="0.2">
      <c r="A4500" s="22">
        <v>0.67237186431884766</v>
      </c>
    </row>
    <row r="4501" spans="1:1" x14ac:dyDescent="0.2">
      <c r="A4501" s="22">
        <v>0.70893973112106323</v>
      </c>
    </row>
    <row r="4502" spans="1:1" x14ac:dyDescent="0.2">
      <c r="A4502" s="22">
        <v>0.6375051736831665</v>
      </c>
    </row>
    <row r="4503" spans="1:1" x14ac:dyDescent="0.2">
      <c r="A4503" s="22">
        <v>0.92450171709060669</v>
      </c>
    </row>
    <row r="4504" spans="1:1" x14ac:dyDescent="0.2">
      <c r="A4504" s="22">
        <v>0.28293347358703613</v>
      </c>
    </row>
    <row r="4505" spans="1:1" x14ac:dyDescent="0.2">
      <c r="A4505" s="22">
        <v>0.2368740439414978</v>
      </c>
    </row>
    <row r="4506" spans="1:1" x14ac:dyDescent="0.2">
      <c r="A4506" s="22">
        <v>0.22484481334686279</v>
      </c>
    </row>
    <row r="4507" spans="1:1" x14ac:dyDescent="0.2">
      <c r="A4507" s="22">
        <v>0.89905506372451782</v>
      </c>
    </row>
    <row r="4508" spans="1:1" x14ac:dyDescent="0.2">
      <c r="A4508" s="22">
        <v>0.39955663681030273</v>
      </c>
    </row>
    <row r="4509" spans="1:1" x14ac:dyDescent="0.2">
      <c r="A4509" s="22">
        <v>1.6154944896697998E-2</v>
      </c>
    </row>
    <row r="4510" spans="1:1" x14ac:dyDescent="0.2">
      <c r="A4510" s="22">
        <v>0.74955093860626221</v>
      </c>
    </row>
    <row r="4511" spans="1:1" x14ac:dyDescent="0.2">
      <c r="A4511" s="22">
        <v>0.98729020357131958</v>
      </c>
    </row>
    <row r="4512" spans="1:1" x14ac:dyDescent="0.2">
      <c r="A4512" s="22">
        <v>0.39779067039489746</v>
      </c>
    </row>
    <row r="4513" spans="1:1" x14ac:dyDescent="0.2">
      <c r="A4513" s="22">
        <v>0.48263448476791382</v>
      </c>
    </row>
    <row r="4514" spans="1:1" x14ac:dyDescent="0.2">
      <c r="A4514" s="22">
        <v>0.21656739711761475</v>
      </c>
    </row>
    <row r="4515" spans="1:1" x14ac:dyDescent="0.2">
      <c r="A4515" s="22">
        <v>0.23687559366226196</v>
      </c>
    </row>
    <row r="4516" spans="1:1" x14ac:dyDescent="0.2">
      <c r="A4516" s="22">
        <v>0.94713020324707031</v>
      </c>
    </row>
    <row r="4517" spans="1:1" x14ac:dyDescent="0.2">
      <c r="A4517" s="22">
        <v>0.19032877683639526</v>
      </c>
    </row>
    <row r="4518" spans="1:1" x14ac:dyDescent="0.2">
      <c r="A4518" s="22">
        <v>0.27634584903717041</v>
      </c>
    </row>
    <row r="4519" spans="1:1" x14ac:dyDescent="0.2">
      <c r="A4519" s="22">
        <v>0.75895625352859497</v>
      </c>
    </row>
    <row r="4520" spans="1:1" x14ac:dyDescent="0.2">
      <c r="A4520" s="22">
        <v>0.52664017677307129</v>
      </c>
    </row>
    <row r="4521" spans="1:1" x14ac:dyDescent="0.2">
      <c r="A4521" s="22">
        <v>0.26454299688339233</v>
      </c>
    </row>
    <row r="4522" spans="1:1" x14ac:dyDescent="0.2">
      <c r="A4522" s="22">
        <v>0.8654707670211792</v>
      </c>
    </row>
    <row r="4523" spans="1:1" x14ac:dyDescent="0.2">
      <c r="A4523" s="22">
        <v>0.8062787652015686</v>
      </c>
    </row>
    <row r="4524" spans="1:1" x14ac:dyDescent="0.2">
      <c r="A4524" s="22">
        <v>0.19058084487915039</v>
      </c>
    </row>
    <row r="4525" spans="1:1" x14ac:dyDescent="0.2">
      <c r="A4525" s="22">
        <v>0.10499638319015503</v>
      </c>
    </row>
    <row r="4526" spans="1:1" x14ac:dyDescent="0.2">
      <c r="A4526" s="22">
        <v>9.7284436225891113E-2</v>
      </c>
    </row>
    <row r="4527" spans="1:1" x14ac:dyDescent="0.2">
      <c r="A4527" s="22">
        <v>0.10131627321243286</v>
      </c>
    </row>
    <row r="4528" spans="1:1" x14ac:dyDescent="0.2">
      <c r="A4528" s="22">
        <v>0.58403277397155762</v>
      </c>
    </row>
    <row r="4529" spans="1:1" x14ac:dyDescent="0.2">
      <c r="A4529" s="22">
        <v>0.33894723653793335</v>
      </c>
    </row>
    <row r="4530" spans="1:1" x14ac:dyDescent="0.2">
      <c r="A4530" s="22">
        <v>0.40251195430755615</v>
      </c>
    </row>
    <row r="4531" spans="1:1" x14ac:dyDescent="0.2">
      <c r="A4531" s="22">
        <v>0.41439348459243774</v>
      </c>
    </row>
    <row r="4532" spans="1:1" x14ac:dyDescent="0.2">
      <c r="A4532" s="22">
        <v>0.20852184295654297</v>
      </c>
    </row>
    <row r="4533" spans="1:1" x14ac:dyDescent="0.2">
      <c r="A4533" s="22">
        <v>2.4317920207977295E-2</v>
      </c>
    </row>
    <row r="4534" spans="1:1" x14ac:dyDescent="0.2">
      <c r="A4534" s="22">
        <v>0.91988623142242432</v>
      </c>
    </row>
    <row r="4535" spans="1:1" x14ac:dyDescent="0.2">
      <c r="A4535" s="22">
        <v>0.39181166887283325</v>
      </c>
    </row>
    <row r="4536" spans="1:1" x14ac:dyDescent="0.2">
      <c r="A4536" s="22">
        <v>0.93764424324035645</v>
      </c>
    </row>
    <row r="4537" spans="1:1" x14ac:dyDescent="0.2">
      <c r="A4537" s="22">
        <v>0.10281985998153687</v>
      </c>
    </row>
    <row r="4538" spans="1:1" x14ac:dyDescent="0.2">
      <c r="A4538" s="22">
        <v>0.13677299022674561</v>
      </c>
    </row>
    <row r="4539" spans="1:1" x14ac:dyDescent="0.2">
      <c r="A4539" s="22">
        <v>0.63397365808486938</v>
      </c>
    </row>
    <row r="4540" spans="1:1" x14ac:dyDescent="0.2">
      <c r="A4540" s="22">
        <v>0.78269147872924805</v>
      </c>
    </row>
    <row r="4541" spans="1:1" x14ac:dyDescent="0.2">
      <c r="A4541" s="22">
        <v>0.10307854413986206</v>
      </c>
    </row>
    <row r="4542" spans="1:1" x14ac:dyDescent="0.2">
      <c r="A4542" s="22">
        <v>0.77979576587677002</v>
      </c>
    </row>
    <row r="4543" spans="1:1" x14ac:dyDescent="0.2">
      <c r="A4543" s="22">
        <v>2.3508846759796143E-2</v>
      </c>
    </row>
    <row r="4544" spans="1:1" x14ac:dyDescent="0.2">
      <c r="A4544" s="22">
        <v>0.90827536582946777</v>
      </c>
    </row>
    <row r="4545" spans="1:1" x14ac:dyDescent="0.2">
      <c r="A4545" s="22">
        <v>9.3758523464202881E-2</v>
      </c>
    </row>
    <row r="4546" spans="1:1" x14ac:dyDescent="0.2">
      <c r="A4546" s="22">
        <v>0.95546090602874756</v>
      </c>
    </row>
    <row r="4547" spans="1:1" x14ac:dyDescent="0.2">
      <c r="A4547" s="22">
        <v>0.30339819192886353</v>
      </c>
    </row>
    <row r="4548" spans="1:1" x14ac:dyDescent="0.2">
      <c r="A4548" s="22">
        <v>0.89795303344726563</v>
      </c>
    </row>
    <row r="4549" spans="1:1" x14ac:dyDescent="0.2">
      <c r="A4549" s="22">
        <v>0.88668841123580933</v>
      </c>
    </row>
    <row r="4550" spans="1:1" x14ac:dyDescent="0.2">
      <c r="A4550" s="22">
        <v>0.54078257083892822</v>
      </c>
    </row>
    <row r="4551" spans="1:1" x14ac:dyDescent="0.2">
      <c r="A4551" s="22">
        <v>0.90509921312332153</v>
      </c>
    </row>
    <row r="4552" spans="1:1" x14ac:dyDescent="0.2">
      <c r="A4552" s="22">
        <v>0.2698519229888916</v>
      </c>
    </row>
    <row r="4553" spans="1:1" x14ac:dyDescent="0.2">
      <c r="A4553" s="22">
        <v>0.4899858832359314</v>
      </c>
    </row>
    <row r="4554" spans="1:1" x14ac:dyDescent="0.2">
      <c r="A4554" s="22">
        <v>0.82390773296356201</v>
      </c>
    </row>
    <row r="4555" spans="1:1" x14ac:dyDescent="0.2">
      <c r="A4555" s="22">
        <v>2.6670992374420166E-2</v>
      </c>
    </row>
    <row r="4556" spans="1:1" x14ac:dyDescent="0.2">
      <c r="A4556" s="22">
        <v>0.2422947883605957</v>
      </c>
    </row>
    <row r="4557" spans="1:1" x14ac:dyDescent="0.2">
      <c r="A4557" s="22">
        <v>0.81118267774581909</v>
      </c>
    </row>
    <row r="4558" spans="1:1" x14ac:dyDescent="0.2">
      <c r="A4558" s="22">
        <v>0.39474117755889893</v>
      </c>
    </row>
    <row r="4559" spans="1:1" x14ac:dyDescent="0.2">
      <c r="A4559" s="22">
        <v>0.96089917421340942</v>
      </c>
    </row>
    <row r="4560" spans="1:1" x14ac:dyDescent="0.2">
      <c r="A4560" s="22">
        <v>0.74942469596862793</v>
      </c>
    </row>
    <row r="4561" spans="1:1" x14ac:dyDescent="0.2">
      <c r="A4561" s="22">
        <v>0.61034959554672241</v>
      </c>
    </row>
    <row r="4562" spans="1:1" x14ac:dyDescent="0.2">
      <c r="A4562" s="22">
        <v>0.28557050228118896</v>
      </c>
    </row>
    <row r="4563" spans="1:1" x14ac:dyDescent="0.2">
      <c r="A4563" s="22">
        <v>0.67342096567153931</v>
      </c>
    </row>
    <row r="4564" spans="1:1" x14ac:dyDescent="0.2">
      <c r="A4564" s="22">
        <v>0.70683002471923828</v>
      </c>
    </row>
    <row r="4565" spans="1:1" x14ac:dyDescent="0.2">
      <c r="A4565" s="22">
        <v>0.70322149991989136</v>
      </c>
    </row>
    <row r="4566" spans="1:1" x14ac:dyDescent="0.2">
      <c r="A4566" s="22">
        <v>0.36169111728668213</v>
      </c>
    </row>
    <row r="4567" spans="1:1" x14ac:dyDescent="0.2">
      <c r="A4567" s="22">
        <v>0.63085013628005981</v>
      </c>
    </row>
    <row r="4568" spans="1:1" x14ac:dyDescent="0.2">
      <c r="A4568" s="22">
        <v>0.52716946601867676</v>
      </c>
    </row>
    <row r="4569" spans="1:1" x14ac:dyDescent="0.2">
      <c r="A4569" s="22">
        <v>0.41432231664657593</v>
      </c>
    </row>
    <row r="4570" spans="1:1" x14ac:dyDescent="0.2">
      <c r="A4570" s="22">
        <v>0.96203124523162842</v>
      </c>
    </row>
    <row r="4571" spans="1:1" x14ac:dyDescent="0.2">
      <c r="A4571" s="22">
        <v>0.87890201807022095</v>
      </c>
    </row>
    <row r="4572" spans="1:1" x14ac:dyDescent="0.2">
      <c r="A4572" s="22">
        <v>0.88579702377319336</v>
      </c>
    </row>
    <row r="4573" spans="1:1" x14ac:dyDescent="0.2">
      <c r="A4573" s="22">
        <v>0.28009003400802612</v>
      </c>
    </row>
    <row r="4574" spans="1:1" x14ac:dyDescent="0.2">
      <c r="A4574" s="22">
        <v>0.78977692127227783</v>
      </c>
    </row>
    <row r="4575" spans="1:1" x14ac:dyDescent="0.2">
      <c r="A4575" s="22">
        <v>0.37051850557327271</v>
      </c>
    </row>
    <row r="4576" spans="1:1" x14ac:dyDescent="0.2">
      <c r="A4576" s="22">
        <v>0.73638701438903809</v>
      </c>
    </row>
    <row r="4577" spans="1:1" x14ac:dyDescent="0.2">
      <c r="A4577" s="22">
        <v>2.0017027854919434E-3</v>
      </c>
    </row>
    <row r="4578" spans="1:1" x14ac:dyDescent="0.2">
      <c r="A4578" s="22">
        <v>5.2996993064880371E-2</v>
      </c>
    </row>
    <row r="4579" spans="1:1" x14ac:dyDescent="0.2">
      <c r="A4579" s="22">
        <v>0.54399305582046509</v>
      </c>
    </row>
    <row r="4580" spans="1:1" x14ac:dyDescent="0.2">
      <c r="A4580" s="22">
        <v>0.57655906677246094</v>
      </c>
    </row>
    <row r="4581" spans="1:1" x14ac:dyDescent="0.2">
      <c r="A4581" s="22">
        <v>0.64969843626022339</v>
      </c>
    </row>
    <row r="4582" spans="1:1" x14ac:dyDescent="0.2">
      <c r="A4582" s="22">
        <v>0.85526812076568604</v>
      </c>
    </row>
    <row r="4583" spans="1:1" x14ac:dyDescent="0.2">
      <c r="A4583" s="22">
        <v>0.1510956883430481</v>
      </c>
    </row>
    <row r="4584" spans="1:1" x14ac:dyDescent="0.2">
      <c r="A4584" s="22">
        <v>0.96350312232971191</v>
      </c>
    </row>
    <row r="4585" spans="1:1" x14ac:dyDescent="0.2">
      <c r="A4585" s="22">
        <v>0.11411041021347046</v>
      </c>
    </row>
    <row r="4586" spans="1:1" x14ac:dyDescent="0.2">
      <c r="A4586" s="22">
        <v>0.83629977703094482</v>
      </c>
    </row>
    <row r="4587" spans="1:1" x14ac:dyDescent="0.2">
      <c r="A4587" s="22">
        <v>0.33519798517227173</v>
      </c>
    </row>
    <row r="4588" spans="1:1" x14ac:dyDescent="0.2">
      <c r="A4588" s="22">
        <v>0.27960443496704102</v>
      </c>
    </row>
    <row r="4589" spans="1:1" x14ac:dyDescent="0.2">
      <c r="A4589" s="22">
        <v>0.81058186292648315</v>
      </c>
    </row>
    <row r="4590" spans="1:1" x14ac:dyDescent="0.2">
      <c r="A4590" s="22">
        <v>6.2559247016906738E-2</v>
      </c>
    </row>
    <row r="4591" spans="1:1" x14ac:dyDescent="0.2">
      <c r="A4591" s="22">
        <v>0.95939809083938599</v>
      </c>
    </row>
    <row r="4592" spans="1:1" x14ac:dyDescent="0.2">
      <c r="A4592" s="22">
        <v>0.74806857109069824</v>
      </c>
    </row>
    <row r="4593" spans="1:1" x14ac:dyDescent="0.2">
      <c r="A4593" s="22">
        <v>0.63199609518051147</v>
      </c>
    </row>
    <row r="4594" spans="1:1" x14ac:dyDescent="0.2">
      <c r="A4594" s="22">
        <v>0.16789662837982178</v>
      </c>
    </row>
    <row r="4595" spans="1:1" x14ac:dyDescent="0.2">
      <c r="A4595" s="22">
        <v>0.18464571237564087</v>
      </c>
    </row>
    <row r="4596" spans="1:1" x14ac:dyDescent="0.2">
      <c r="A4596" s="22">
        <v>0.69854640960693359</v>
      </c>
    </row>
    <row r="4597" spans="1:1" x14ac:dyDescent="0.2">
      <c r="A4597" s="22">
        <v>0.15190047025680542</v>
      </c>
    </row>
    <row r="4598" spans="1:1" x14ac:dyDescent="0.2">
      <c r="A4598" s="22">
        <v>0.74416983127593994</v>
      </c>
    </row>
    <row r="4599" spans="1:1" x14ac:dyDescent="0.2">
      <c r="A4599" s="22">
        <v>0.29786711931228638</v>
      </c>
    </row>
    <row r="4600" spans="1:1" x14ac:dyDescent="0.2">
      <c r="A4600" s="22">
        <v>8.275914192199707E-2</v>
      </c>
    </row>
    <row r="4601" spans="1:1" x14ac:dyDescent="0.2">
      <c r="A4601" s="22">
        <v>7.763141393661499E-2</v>
      </c>
    </row>
    <row r="4602" spans="1:1" x14ac:dyDescent="0.2">
      <c r="A4602" s="22">
        <v>0.98186957836151123</v>
      </c>
    </row>
    <row r="4603" spans="1:1" x14ac:dyDescent="0.2">
      <c r="A4603" s="22">
        <v>0.79009014368057251</v>
      </c>
    </row>
    <row r="4604" spans="1:1" x14ac:dyDescent="0.2">
      <c r="A4604" s="22">
        <v>0.24012327194213867</v>
      </c>
    </row>
    <row r="4605" spans="1:1" x14ac:dyDescent="0.2">
      <c r="A4605" s="22">
        <v>0.95343941450119019</v>
      </c>
    </row>
    <row r="4606" spans="1:1" x14ac:dyDescent="0.2">
      <c r="A4606" s="22">
        <v>0.56074440479278564</v>
      </c>
    </row>
    <row r="4607" spans="1:1" x14ac:dyDescent="0.2">
      <c r="A4607" s="22">
        <v>0.68456918001174927</v>
      </c>
    </row>
    <row r="4608" spans="1:1" x14ac:dyDescent="0.2">
      <c r="A4608" s="22">
        <v>0.9133756160736084</v>
      </c>
    </row>
    <row r="4609" spans="1:1" x14ac:dyDescent="0.2">
      <c r="A4609" s="22">
        <v>0.11361402273178101</v>
      </c>
    </row>
    <row r="4610" spans="1:1" x14ac:dyDescent="0.2">
      <c r="A4610" s="22">
        <v>0.79042565822601318</v>
      </c>
    </row>
    <row r="4611" spans="1:1" x14ac:dyDescent="0.2">
      <c r="A4611" s="22">
        <v>0.11491018533706665</v>
      </c>
    </row>
    <row r="4612" spans="1:1" x14ac:dyDescent="0.2">
      <c r="A4612" s="22">
        <v>0.51419830322265625</v>
      </c>
    </row>
    <row r="4613" spans="1:1" x14ac:dyDescent="0.2">
      <c r="A4613" s="22">
        <v>0.88560885190963745</v>
      </c>
    </row>
    <row r="4614" spans="1:1" x14ac:dyDescent="0.2">
      <c r="A4614" s="22">
        <v>1.0524988174438477E-3</v>
      </c>
    </row>
    <row r="4615" spans="1:1" x14ac:dyDescent="0.2">
      <c r="A4615" s="22">
        <v>0.15319567918777466</v>
      </c>
    </row>
    <row r="4616" spans="1:1" x14ac:dyDescent="0.2">
      <c r="A4616" s="22">
        <v>0.63884377479553223</v>
      </c>
    </row>
    <row r="4617" spans="1:1" x14ac:dyDescent="0.2">
      <c r="A4617" s="22">
        <v>4.3166577816009521E-2</v>
      </c>
    </row>
    <row r="4618" spans="1:1" x14ac:dyDescent="0.2">
      <c r="A4618" s="22">
        <v>0.18389689922332764</v>
      </c>
    </row>
    <row r="4619" spans="1:1" x14ac:dyDescent="0.2">
      <c r="A4619" s="22">
        <v>0.88810974359512329</v>
      </c>
    </row>
    <row r="4620" spans="1:1" x14ac:dyDescent="0.2">
      <c r="A4620" s="22">
        <v>0.83375978469848633</v>
      </c>
    </row>
    <row r="4621" spans="1:1" x14ac:dyDescent="0.2">
      <c r="A4621" s="22">
        <v>0.50944393873214722</v>
      </c>
    </row>
    <row r="4622" spans="1:1" x14ac:dyDescent="0.2">
      <c r="A4622" s="22">
        <v>0.88198864459991455</v>
      </c>
    </row>
    <row r="4623" spans="1:1" x14ac:dyDescent="0.2">
      <c r="A4623" s="22">
        <v>0.75306302309036255</v>
      </c>
    </row>
    <row r="4624" spans="1:1" x14ac:dyDescent="0.2">
      <c r="A4624" s="22">
        <v>0.61121439933776855</v>
      </c>
    </row>
    <row r="4625" spans="1:1" x14ac:dyDescent="0.2">
      <c r="A4625" s="22">
        <v>0.31013673543930054</v>
      </c>
    </row>
    <row r="4626" spans="1:1" x14ac:dyDescent="0.2">
      <c r="A4626" s="22">
        <v>0.33074033260345459</v>
      </c>
    </row>
    <row r="4627" spans="1:1" x14ac:dyDescent="0.2">
      <c r="A4627" s="22">
        <v>0.10431772470474243</v>
      </c>
    </row>
    <row r="4628" spans="1:1" x14ac:dyDescent="0.2">
      <c r="A4628" s="22">
        <v>0.71492099761962891</v>
      </c>
    </row>
    <row r="4629" spans="1:1" x14ac:dyDescent="0.2">
      <c r="A4629" s="22">
        <v>0.77660483121871948</v>
      </c>
    </row>
    <row r="4630" spans="1:1" x14ac:dyDescent="0.2">
      <c r="A4630" s="22">
        <v>0.84857237339019775</v>
      </c>
    </row>
    <row r="4631" spans="1:1" x14ac:dyDescent="0.2">
      <c r="A4631" s="22">
        <v>4.9112617969512939E-2</v>
      </c>
    </row>
    <row r="4632" spans="1:1" x14ac:dyDescent="0.2">
      <c r="A4632" s="22">
        <v>0.63566327095031738</v>
      </c>
    </row>
    <row r="4633" spans="1:1" x14ac:dyDescent="0.2">
      <c r="A4633" s="22">
        <v>0.99899715185165405</v>
      </c>
    </row>
    <row r="4634" spans="1:1" x14ac:dyDescent="0.2">
      <c r="A4634" s="22">
        <v>0.47753798961639404</v>
      </c>
    </row>
    <row r="4635" spans="1:1" x14ac:dyDescent="0.2">
      <c r="A4635" s="22">
        <v>0.52378803491592407</v>
      </c>
    </row>
    <row r="4636" spans="1:1" x14ac:dyDescent="0.2">
      <c r="A4636" s="22">
        <v>0.37692022323608398</v>
      </c>
    </row>
    <row r="4637" spans="1:1" x14ac:dyDescent="0.2">
      <c r="A4637" s="22">
        <v>0.52937668561935425</v>
      </c>
    </row>
    <row r="4638" spans="1:1" x14ac:dyDescent="0.2">
      <c r="A4638" s="22">
        <v>0.87394821643829346</v>
      </c>
    </row>
    <row r="4639" spans="1:1" x14ac:dyDescent="0.2">
      <c r="A4639" s="22">
        <v>0.62191087007522583</v>
      </c>
    </row>
    <row r="4640" spans="1:1" x14ac:dyDescent="0.2">
      <c r="A4640" s="22">
        <v>0.47049117088317871</v>
      </c>
    </row>
    <row r="4641" spans="1:1" x14ac:dyDescent="0.2">
      <c r="A4641" s="22">
        <v>0.33484548330307007</v>
      </c>
    </row>
    <row r="4642" spans="1:1" x14ac:dyDescent="0.2">
      <c r="A4642" s="22">
        <v>0.448996901512146</v>
      </c>
    </row>
    <row r="4643" spans="1:1" x14ac:dyDescent="0.2">
      <c r="A4643" s="22">
        <v>0.17239958047866821</v>
      </c>
    </row>
    <row r="4644" spans="1:1" x14ac:dyDescent="0.2">
      <c r="A4644" s="22">
        <v>0.24212074279785156</v>
      </c>
    </row>
    <row r="4645" spans="1:1" x14ac:dyDescent="0.2">
      <c r="A4645" s="22">
        <v>6.6965818405151367E-4</v>
      </c>
    </row>
    <row r="4646" spans="1:1" x14ac:dyDescent="0.2">
      <c r="A4646" s="22">
        <v>0.75938570499420166</v>
      </c>
    </row>
    <row r="4647" spans="1:1" x14ac:dyDescent="0.2">
      <c r="A4647" s="22">
        <v>0.56764918565750122</v>
      </c>
    </row>
    <row r="4648" spans="1:1" x14ac:dyDescent="0.2">
      <c r="A4648" s="22">
        <v>0.32712388038635254</v>
      </c>
    </row>
    <row r="4649" spans="1:1" x14ac:dyDescent="0.2">
      <c r="A4649" s="22">
        <v>0.18340438604354858</v>
      </c>
    </row>
    <row r="4650" spans="1:1" x14ac:dyDescent="0.2">
      <c r="A4650" s="22">
        <v>0.14794909954071045</v>
      </c>
    </row>
    <row r="4651" spans="1:1" x14ac:dyDescent="0.2">
      <c r="A4651" s="22">
        <v>0.84165626764297485</v>
      </c>
    </row>
    <row r="4652" spans="1:1" x14ac:dyDescent="0.2">
      <c r="A4652" s="22">
        <v>0.43601083755493164</v>
      </c>
    </row>
    <row r="4653" spans="1:1" x14ac:dyDescent="0.2">
      <c r="A4653" s="22">
        <v>0.31401890516281128</v>
      </c>
    </row>
    <row r="4654" spans="1:1" x14ac:dyDescent="0.2">
      <c r="A4654" s="22">
        <v>0.63427937030792236</v>
      </c>
    </row>
    <row r="4655" spans="1:1" x14ac:dyDescent="0.2">
      <c r="A4655" s="22">
        <v>0.99814397096633911</v>
      </c>
    </row>
    <row r="4656" spans="1:1" x14ac:dyDescent="0.2">
      <c r="A4656" s="22">
        <v>0.37011218070983887</v>
      </c>
    </row>
    <row r="4657" spans="1:1" x14ac:dyDescent="0.2">
      <c r="A4657" s="22">
        <v>0.5510215163230896</v>
      </c>
    </row>
    <row r="4658" spans="1:1" x14ac:dyDescent="0.2">
      <c r="A4658" s="22">
        <v>5.5351614952087402E-2</v>
      </c>
    </row>
    <row r="4659" spans="1:1" x14ac:dyDescent="0.2">
      <c r="A4659" s="22">
        <v>0.58868700265884399</v>
      </c>
    </row>
    <row r="4660" spans="1:1" x14ac:dyDescent="0.2">
      <c r="A4660" s="22">
        <v>0.28720378875732422</v>
      </c>
    </row>
    <row r="4661" spans="1:1" x14ac:dyDescent="0.2">
      <c r="A4661" s="22">
        <v>0.98358458280563354</v>
      </c>
    </row>
    <row r="4662" spans="1:1" x14ac:dyDescent="0.2">
      <c r="A4662" s="22">
        <v>0.45614874362945557</v>
      </c>
    </row>
    <row r="4663" spans="1:1" x14ac:dyDescent="0.2">
      <c r="A4663" s="22">
        <v>0.5408366322517395</v>
      </c>
    </row>
    <row r="4664" spans="1:1" x14ac:dyDescent="0.2">
      <c r="A4664" s="22">
        <v>0.2171318531036377</v>
      </c>
    </row>
    <row r="4665" spans="1:1" x14ac:dyDescent="0.2">
      <c r="A4665" s="22">
        <v>8.4669530391693115E-2</v>
      </c>
    </row>
    <row r="4666" spans="1:1" x14ac:dyDescent="0.2">
      <c r="A4666" s="22">
        <v>0.73028647899627686</v>
      </c>
    </row>
    <row r="4667" spans="1:1" x14ac:dyDescent="0.2">
      <c r="A4667" s="22">
        <v>0.23624569177627563</v>
      </c>
    </row>
    <row r="4668" spans="1:1" x14ac:dyDescent="0.2">
      <c r="A4668" s="22">
        <v>0.8274378776550293</v>
      </c>
    </row>
    <row r="4669" spans="1:1" x14ac:dyDescent="0.2">
      <c r="A4669" s="22">
        <v>0.41415184736251831</v>
      </c>
    </row>
    <row r="4670" spans="1:1" x14ac:dyDescent="0.2">
      <c r="A4670" s="22">
        <v>0.51063835620880127</v>
      </c>
    </row>
    <row r="4671" spans="1:1" x14ac:dyDescent="0.2">
      <c r="A4671" s="22">
        <v>0.83879357576370239</v>
      </c>
    </row>
    <row r="4672" spans="1:1" x14ac:dyDescent="0.2">
      <c r="A4672" s="22">
        <v>0.43898367881774902</v>
      </c>
    </row>
    <row r="4673" spans="1:1" x14ac:dyDescent="0.2">
      <c r="A4673" s="22">
        <v>0.57194608449935913</v>
      </c>
    </row>
    <row r="4674" spans="1:1" x14ac:dyDescent="0.2">
      <c r="A4674" s="22">
        <v>0.30996072292327881</v>
      </c>
    </row>
    <row r="4675" spans="1:1" x14ac:dyDescent="0.2">
      <c r="A4675" s="22">
        <v>0.87271124124526978</v>
      </c>
    </row>
    <row r="4676" spans="1:1" x14ac:dyDescent="0.2">
      <c r="A4676" s="22">
        <v>0.29157638549804688</v>
      </c>
    </row>
    <row r="4677" spans="1:1" x14ac:dyDescent="0.2">
      <c r="A4677" s="22">
        <v>0.40113085508346558</v>
      </c>
    </row>
    <row r="4678" spans="1:1" x14ac:dyDescent="0.2">
      <c r="A4678" s="22">
        <v>0.91151773929595947</v>
      </c>
    </row>
    <row r="4679" spans="1:1" x14ac:dyDescent="0.2">
      <c r="A4679" s="22">
        <v>5.0706207752227783E-2</v>
      </c>
    </row>
    <row r="4680" spans="1:1" x14ac:dyDescent="0.2">
      <c r="A4680" s="22">
        <v>5.9593439102172852E-2</v>
      </c>
    </row>
    <row r="4681" spans="1:1" x14ac:dyDescent="0.2">
      <c r="A4681" s="22">
        <v>0.44107383489608765</v>
      </c>
    </row>
    <row r="4682" spans="1:1" x14ac:dyDescent="0.2">
      <c r="A4682" s="22">
        <v>9.7063779830932617E-3</v>
      </c>
    </row>
    <row r="4683" spans="1:1" x14ac:dyDescent="0.2">
      <c r="A4683" s="22">
        <v>0.35208755731582642</v>
      </c>
    </row>
    <row r="4684" spans="1:1" x14ac:dyDescent="0.2">
      <c r="A4684" s="22">
        <v>0.61760759353637695</v>
      </c>
    </row>
    <row r="4685" spans="1:1" x14ac:dyDescent="0.2">
      <c r="A4685" s="22">
        <v>0.63055676221847534</v>
      </c>
    </row>
    <row r="4686" spans="1:1" x14ac:dyDescent="0.2">
      <c r="A4686" s="22">
        <v>0.10068142414093018</v>
      </c>
    </row>
    <row r="4687" spans="1:1" x14ac:dyDescent="0.2">
      <c r="A4687" s="22">
        <v>0.35089093446731567</v>
      </c>
    </row>
    <row r="4688" spans="1:1" x14ac:dyDescent="0.2">
      <c r="A4688" s="22">
        <v>5.601191520690918E-2</v>
      </c>
    </row>
    <row r="4689" spans="1:1" x14ac:dyDescent="0.2">
      <c r="A4689" s="22">
        <v>0.26090043783187866</v>
      </c>
    </row>
    <row r="4690" spans="1:1" x14ac:dyDescent="0.2">
      <c r="A4690" s="22">
        <v>0.62298047542572021</v>
      </c>
    </row>
    <row r="4691" spans="1:1" x14ac:dyDescent="0.2">
      <c r="A4691" s="22">
        <v>0.79400354623794556</v>
      </c>
    </row>
    <row r="4692" spans="1:1" x14ac:dyDescent="0.2">
      <c r="A4692" s="22">
        <v>0.94664478302001953</v>
      </c>
    </row>
    <row r="4693" spans="1:1" x14ac:dyDescent="0.2">
      <c r="A4693" s="22">
        <v>0.17908972501754761</v>
      </c>
    </row>
    <row r="4694" spans="1:1" x14ac:dyDescent="0.2">
      <c r="A4694" s="22">
        <v>0.34814894199371338</v>
      </c>
    </row>
    <row r="4695" spans="1:1" x14ac:dyDescent="0.2">
      <c r="A4695" s="22">
        <v>0.42928916215896606</v>
      </c>
    </row>
    <row r="4696" spans="1:1" x14ac:dyDescent="0.2">
      <c r="A4696" s="22">
        <v>0.85841488838195801</v>
      </c>
    </row>
    <row r="4697" spans="1:1" x14ac:dyDescent="0.2">
      <c r="A4697" s="22">
        <v>0.24089854955673218</v>
      </c>
    </row>
    <row r="4698" spans="1:1" x14ac:dyDescent="0.2">
      <c r="A4698" s="22">
        <v>2.1365046501159668E-2</v>
      </c>
    </row>
    <row r="4699" spans="1:1" x14ac:dyDescent="0.2">
      <c r="A4699" s="22">
        <v>8.3713114261627197E-2</v>
      </c>
    </row>
    <row r="4700" spans="1:1" x14ac:dyDescent="0.2">
      <c r="A4700" s="22">
        <v>0.12292623519897461</v>
      </c>
    </row>
    <row r="4701" spans="1:1" x14ac:dyDescent="0.2">
      <c r="A4701" s="22">
        <v>1.4014899730682373E-2</v>
      </c>
    </row>
    <row r="4702" spans="1:1" x14ac:dyDescent="0.2">
      <c r="A4702" s="22">
        <v>0.25206482410430908</v>
      </c>
    </row>
    <row r="4703" spans="1:1" x14ac:dyDescent="0.2">
      <c r="A4703" s="22">
        <v>0.99146729707717896</v>
      </c>
    </row>
    <row r="4704" spans="1:1" x14ac:dyDescent="0.2">
      <c r="A4704" s="22">
        <v>0.85010313987731934</v>
      </c>
    </row>
    <row r="4705" spans="1:1" x14ac:dyDescent="0.2">
      <c r="A4705" s="22">
        <v>0.73116582632064819</v>
      </c>
    </row>
    <row r="4706" spans="1:1" x14ac:dyDescent="0.2">
      <c r="A4706" s="22">
        <v>0.65456712245941162</v>
      </c>
    </row>
    <row r="4707" spans="1:1" x14ac:dyDescent="0.2">
      <c r="A4707" s="22">
        <v>0.37209516763687134</v>
      </c>
    </row>
    <row r="4708" spans="1:1" x14ac:dyDescent="0.2">
      <c r="A4708" s="22">
        <v>0.19381523132324219</v>
      </c>
    </row>
    <row r="4709" spans="1:1" x14ac:dyDescent="0.2">
      <c r="A4709" s="22">
        <v>0.49324244260787964</v>
      </c>
    </row>
    <row r="4710" spans="1:1" x14ac:dyDescent="0.2">
      <c r="A4710" s="22">
        <v>0.23869860172271729</v>
      </c>
    </row>
    <row r="4711" spans="1:1" x14ac:dyDescent="0.2">
      <c r="A4711" s="22">
        <v>0.25861674547195435</v>
      </c>
    </row>
    <row r="4712" spans="1:1" x14ac:dyDescent="0.2">
      <c r="A4712" s="22">
        <v>0.86750245094299316</v>
      </c>
    </row>
    <row r="4713" spans="1:1" x14ac:dyDescent="0.2">
      <c r="A4713" s="22">
        <v>0.72242492437362671</v>
      </c>
    </row>
    <row r="4714" spans="1:1" x14ac:dyDescent="0.2">
      <c r="A4714" s="22">
        <v>5.0418734550476074E-2</v>
      </c>
    </row>
    <row r="4715" spans="1:1" x14ac:dyDescent="0.2">
      <c r="A4715" s="22">
        <v>0.57565361261367798</v>
      </c>
    </row>
    <row r="4716" spans="1:1" x14ac:dyDescent="0.2">
      <c r="A4716" s="22">
        <v>0.90980005264282227</v>
      </c>
    </row>
    <row r="4717" spans="1:1" x14ac:dyDescent="0.2">
      <c r="A4717" s="22">
        <v>0.8653075098991394</v>
      </c>
    </row>
    <row r="4718" spans="1:1" x14ac:dyDescent="0.2">
      <c r="A4718" s="22">
        <v>6.2444806098937988E-2</v>
      </c>
    </row>
    <row r="4719" spans="1:1" x14ac:dyDescent="0.2">
      <c r="A4719" s="22">
        <v>0.46755391359329224</v>
      </c>
    </row>
    <row r="4720" spans="1:1" x14ac:dyDescent="0.2">
      <c r="A4720" s="22">
        <v>0.70016360282897949</v>
      </c>
    </row>
    <row r="4721" spans="1:1" x14ac:dyDescent="0.2">
      <c r="A4721" s="22">
        <v>0.34602349996566772</v>
      </c>
    </row>
    <row r="4722" spans="1:1" x14ac:dyDescent="0.2">
      <c r="A4722" s="22">
        <v>0.31487691402435303</v>
      </c>
    </row>
    <row r="4723" spans="1:1" x14ac:dyDescent="0.2">
      <c r="A4723" s="22">
        <v>0.87651735544204712</v>
      </c>
    </row>
    <row r="4724" spans="1:1" x14ac:dyDescent="0.2">
      <c r="A4724" s="22">
        <v>0.22449398040771484</v>
      </c>
    </row>
    <row r="4725" spans="1:1" x14ac:dyDescent="0.2">
      <c r="A4725" s="22">
        <v>0.76937025785446167</v>
      </c>
    </row>
    <row r="4726" spans="1:1" x14ac:dyDescent="0.2">
      <c r="A4726" s="22">
        <v>0.30582296848297119</v>
      </c>
    </row>
    <row r="4727" spans="1:1" x14ac:dyDescent="0.2">
      <c r="A4727" s="22">
        <v>0.37072020769119263</v>
      </c>
    </row>
    <row r="4728" spans="1:1" x14ac:dyDescent="0.2">
      <c r="A4728" s="22">
        <v>0.59076237678527832</v>
      </c>
    </row>
    <row r="4729" spans="1:1" x14ac:dyDescent="0.2">
      <c r="A4729" s="22">
        <v>0.37393420934677124</v>
      </c>
    </row>
    <row r="4730" spans="1:1" x14ac:dyDescent="0.2">
      <c r="A4730" s="22">
        <v>0.63202369213104248</v>
      </c>
    </row>
    <row r="4731" spans="1:1" x14ac:dyDescent="0.2">
      <c r="A4731" s="22">
        <v>0.22244030237197876</v>
      </c>
    </row>
    <row r="4732" spans="1:1" x14ac:dyDescent="0.2">
      <c r="A4732" s="22">
        <v>0.79463529586791992</v>
      </c>
    </row>
    <row r="4733" spans="1:1" x14ac:dyDescent="0.2">
      <c r="A4733" s="22">
        <v>0.73521584272384644</v>
      </c>
    </row>
    <row r="4734" spans="1:1" x14ac:dyDescent="0.2">
      <c r="A4734" s="22">
        <v>0.87947762012481689</v>
      </c>
    </row>
    <row r="4735" spans="1:1" x14ac:dyDescent="0.2">
      <c r="A4735" s="22">
        <v>0.73618203401565552</v>
      </c>
    </row>
    <row r="4736" spans="1:1" x14ac:dyDescent="0.2">
      <c r="A4736" s="22">
        <v>0.73509955406188965</v>
      </c>
    </row>
    <row r="4737" spans="1:1" x14ac:dyDescent="0.2">
      <c r="A4737" s="22">
        <v>0.71875470876693726</v>
      </c>
    </row>
    <row r="4738" spans="1:1" x14ac:dyDescent="0.2">
      <c r="A4738" s="22">
        <v>0.76406610012054443</v>
      </c>
    </row>
    <row r="4739" spans="1:1" x14ac:dyDescent="0.2">
      <c r="A4739" s="22">
        <v>0.8268013596534729</v>
      </c>
    </row>
    <row r="4740" spans="1:1" x14ac:dyDescent="0.2">
      <c r="A4740" s="22">
        <v>0.4800872802734375</v>
      </c>
    </row>
    <row r="4741" spans="1:1" x14ac:dyDescent="0.2">
      <c r="A4741" s="22">
        <v>0.6832544207572937</v>
      </c>
    </row>
    <row r="4742" spans="1:1" x14ac:dyDescent="0.2">
      <c r="A4742" s="22">
        <v>0.5221782922744751</v>
      </c>
    </row>
    <row r="4743" spans="1:1" x14ac:dyDescent="0.2">
      <c r="A4743" s="22">
        <v>0.84763079881668091</v>
      </c>
    </row>
    <row r="4744" spans="1:1" x14ac:dyDescent="0.2">
      <c r="A4744" s="22">
        <v>0.78210091590881348</v>
      </c>
    </row>
    <row r="4745" spans="1:1" x14ac:dyDescent="0.2">
      <c r="A4745" s="22">
        <v>0.93370765447616577</v>
      </c>
    </row>
    <row r="4746" spans="1:1" x14ac:dyDescent="0.2">
      <c r="A4746" s="22">
        <v>0.55133616924285889</v>
      </c>
    </row>
    <row r="4747" spans="1:1" x14ac:dyDescent="0.2">
      <c r="A4747" s="22">
        <v>0.66860443353652954</v>
      </c>
    </row>
    <row r="4748" spans="1:1" x14ac:dyDescent="0.2">
      <c r="A4748" s="22">
        <v>0.84383821487426758</v>
      </c>
    </row>
    <row r="4749" spans="1:1" x14ac:dyDescent="0.2">
      <c r="A4749" s="22">
        <v>0.42452114820480347</v>
      </c>
    </row>
    <row r="4750" spans="1:1" x14ac:dyDescent="0.2">
      <c r="A4750" s="22">
        <v>0.3008195161819458</v>
      </c>
    </row>
    <row r="4751" spans="1:1" x14ac:dyDescent="0.2">
      <c r="A4751" s="22">
        <v>4.3829083442687988E-3</v>
      </c>
    </row>
    <row r="4752" spans="1:1" x14ac:dyDescent="0.2">
      <c r="A4752" s="22">
        <v>0.3338172435760498</v>
      </c>
    </row>
    <row r="4753" spans="1:1" x14ac:dyDescent="0.2">
      <c r="A4753" s="22">
        <v>0.71264070272445679</v>
      </c>
    </row>
    <row r="4754" spans="1:1" x14ac:dyDescent="0.2">
      <c r="A4754" s="22">
        <v>0.41229093074798584</v>
      </c>
    </row>
    <row r="4755" spans="1:1" x14ac:dyDescent="0.2">
      <c r="A4755" s="22">
        <v>0.99247843027114868</v>
      </c>
    </row>
    <row r="4756" spans="1:1" x14ac:dyDescent="0.2">
      <c r="A4756" s="22">
        <v>0.65200138092041016</v>
      </c>
    </row>
    <row r="4757" spans="1:1" x14ac:dyDescent="0.2">
      <c r="A4757" s="22">
        <v>0.16067618131637573</v>
      </c>
    </row>
    <row r="4758" spans="1:1" x14ac:dyDescent="0.2">
      <c r="A4758" s="22">
        <v>0.110420823097229</v>
      </c>
    </row>
    <row r="4759" spans="1:1" x14ac:dyDescent="0.2">
      <c r="A4759" s="22">
        <v>2.1379768848419189E-2</v>
      </c>
    </row>
    <row r="4760" spans="1:1" x14ac:dyDescent="0.2">
      <c r="A4760" s="22">
        <v>0.44542431831359863</v>
      </c>
    </row>
    <row r="4761" spans="1:1" x14ac:dyDescent="0.2">
      <c r="A4761" s="22">
        <v>0.3900265097618103</v>
      </c>
    </row>
    <row r="4762" spans="1:1" x14ac:dyDescent="0.2">
      <c r="A4762" s="22">
        <v>0.84351241588592529</v>
      </c>
    </row>
    <row r="4763" spans="1:1" x14ac:dyDescent="0.2">
      <c r="A4763" s="22">
        <v>0.80867725610733032</v>
      </c>
    </row>
    <row r="4764" spans="1:1" x14ac:dyDescent="0.2">
      <c r="A4764" s="22">
        <v>0.37381505966186523</v>
      </c>
    </row>
    <row r="4765" spans="1:1" x14ac:dyDescent="0.2">
      <c r="A4765" s="22">
        <v>0.9840046763420105</v>
      </c>
    </row>
    <row r="4766" spans="1:1" x14ac:dyDescent="0.2">
      <c r="A4766" s="22">
        <v>0.17412674427032471</v>
      </c>
    </row>
    <row r="4767" spans="1:1" x14ac:dyDescent="0.2">
      <c r="A4767" s="22">
        <v>0.72918778657913208</v>
      </c>
    </row>
    <row r="4768" spans="1:1" x14ac:dyDescent="0.2">
      <c r="A4768" s="22">
        <v>0.12522292137145996</v>
      </c>
    </row>
    <row r="4769" spans="1:1" x14ac:dyDescent="0.2">
      <c r="A4769" s="22">
        <v>0.44096273183822632</v>
      </c>
    </row>
    <row r="4770" spans="1:1" x14ac:dyDescent="0.2">
      <c r="A4770" s="22">
        <v>0.91970765590667725</v>
      </c>
    </row>
    <row r="4771" spans="1:1" x14ac:dyDescent="0.2">
      <c r="A4771" s="22">
        <v>0.39307981729507446</v>
      </c>
    </row>
    <row r="4772" spans="1:1" x14ac:dyDescent="0.2">
      <c r="A4772" s="22">
        <v>0.68164253234863281</v>
      </c>
    </row>
    <row r="4773" spans="1:1" x14ac:dyDescent="0.2">
      <c r="A4773" s="22">
        <v>0.37741678953170776</v>
      </c>
    </row>
    <row r="4774" spans="1:1" x14ac:dyDescent="0.2">
      <c r="A4774" s="22">
        <v>0.54320681095123291</v>
      </c>
    </row>
    <row r="4775" spans="1:1" x14ac:dyDescent="0.2">
      <c r="A4775" s="22">
        <v>0.47399836778640747</v>
      </c>
    </row>
    <row r="4776" spans="1:1" x14ac:dyDescent="0.2">
      <c r="A4776" s="22">
        <v>0.83463883399963379</v>
      </c>
    </row>
    <row r="4777" spans="1:1" x14ac:dyDescent="0.2">
      <c r="A4777" s="22">
        <v>0.98117202520370483</v>
      </c>
    </row>
    <row r="4778" spans="1:1" x14ac:dyDescent="0.2">
      <c r="A4778" s="22">
        <v>0.7937086820602417</v>
      </c>
    </row>
    <row r="4779" spans="1:1" x14ac:dyDescent="0.2">
      <c r="A4779" s="22">
        <v>0.7871900200843811</v>
      </c>
    </row>
    <row r="4780" spans="1:1" x14ac:dyDescent="0.2">
      <c r="A4780" s="22">
        <v>0.95097208023071289</v>
      </c>
    </row>
    <row r="4781" spans="1:1" x14ac:dyDescent="0.2">
      <c r="A4781" s="22">
        <v>0.71444767713546753</v>
      </c>
    </row>
    <row r="4782" spans="1:1" x14ac:dyDescent="0.2">
      <c r="A4782" s="22">
        <v>0.59705555438995361</v>
      </c>
    </row>
    <row r="4783" spans="1:1" x14ac:dyDescent="0.2">
      <c r="A4783" s="22">
        <v>0.61762791872024536</v>
      </c>
    </row>
    <row r="4784" spans="1:1" x14ac:dyDescent="0.2">
      <c r="A4784" s="22">
        <v>0.98822283744812012</v>
      </c>
    </row>
    <row r="4785" spans="1:1" x14ac:dyDescent="0.2">
      <c r="A4785" s="22">
        <v>0.26700204610824585</v>
      </c>
    </row>
    <row r="4786" spans="1:1" x14ac:dyDescent="0.2">
      <c r="A4786" s="22">
        <v>0.19647252559661865</v>
      </c>
    </row>
    <row r="4787" spans="1:1" x14ac:dyDescent="0.2">
      <c r="A4787" s="22">
        <v>0.29813677072525024</v>
      </c>
    </row>
    <row r="4788" spans="1:1" x14ac:dyDescent="0.2">
      <c r="A4788" s="22">
        <v>0.76041698455810547</v>
      </c>
    </row>
    <row r="4789" spans="1:1" x14ac:dyDescent="0.2">
      <c r="A4789" s="22">
        <v>0.75925749540328979</v>
      </c>
    </row>
    <row r="4790" spans="1:1" x14ac:dyDescent="0.2">
      <c r="A4790" s="22">
        <v>0.54319250583648682</v>
      </c>
    </row>
    <row r="4791" spans="1:1" x14ac:dyDescent="0.2">
      <c r="A4791" s="22">
        <v>3.7517845630645752E-2</v>
      </c>
    </row>
    <row r="4792" spans="1:1" x14ac:dyDescent="0.2">
      <c r="A4792" s="22">
        <v>0.45365071296691895</v>
      </c>
    </row>
    <row r="4793" spans="1:1" x14ac:dyDescent="0.2">
      <c r="A4793" s="22">
        <v>0.19542545080184937</v>
      </c>
    </row>
    <row r="4794" spans="1:1" x14ac:dyDescent="0.2">
      <c r="A4794" s="22">
        <v>0.93708121776580811</v>
      </c>
    </row>
    <row r="4795" spans="1:1" x14ac:dyDescent="0.2">
      <c r="A4795" s="22">
        <v>0.99867397546768188</v>
      </c>
    </row>
    <row r="4796" spans="1:1" x14ac:dyDescent="0.2">
      <c r="A4796" s="22">
        <v>0.39171552658081055</v>
      </c>
    </row>
    <row r="4797" spans="1:1" x14ac:dyDescent="0.2">
      <c r="A4797" s="22">
        <v>0.16663140058517456</v>
      </c>
    </row>
    <row r="4798" spans="1:1" x14ac:dyDescent="0.2">
      <c r="A4798" s="22">
        <v>0.91726219654083252</v>
      </c>
    </row>
    <row r="4799" spans="1:1" x14ac:dyDescent="0.2">
      <c r="A4799" s="22">
        <v>0.62673455476760864</v>
      </c>
    </row>
    <row r="4800" spans="1:1" x14ac:dyDescent="0.2">
      <c r="A4800" s="22">
        <v>5.1723241806030273E-2</v>
      </c>
    </row>
    <row r="4801" spans="1:1" x14ac:dyDescent="0.2">
      <c r="A4801" s="22">
        <v>0.80403989553451538</v>
      </c>
    </row>
    <row r="4802" spans="1:1" x14ac:dyDescent="0.2">
      <c r="A4802" s="22">
        <v>0.40274178981781006</v>
      </c>
    </row>
    <row r="4803" spans="1:1" x14ac:dyDescent="0.2">
      <c r="A4803" s="22">
        <v>0.22718054056167603</v>
      </c>
    </row>
    <row r="4804" spans="1:1" x14ac:dyDescent="0.2">
      <c r="A4804" s="22">
        <v>0.32973098754882813</v>
      </c>
    </row>
    <row r="4805" spans="1:1" x14ac:dyDescent="0.2">
      <c r="A4805" s="22">
        <v>0.98197954893112183</v>
      </c>
    </row>
    <row r="4806" spans="1:1" x14ac:dyDescent="0.2">
      <c r="A4806" s="22">
        <v>8.3034157752990723E-2</v>
      </c>
    </row>
    <row r="4807" spans="1:1" x14ac:dyDescent="0.2">
      <c r="A4807" s="22">
        <v>0.79396945238113403</v>
      </c>
    </row>
    <row r="4808" spans="1:1" x14ac:dyDescent="0.2">
      <c r="A4808" s="22">
        <v>5.6366205215454102E-2</v>
      </c>
    </row>
    <row r="4809" spans="1:1" x14ac:dyDescent="0.2">
      <c r="A4809" s="22">
        <v>0.7710680365562439</v>
      </c>
    </row>
    <row r="4810" spans="1:1" x14ac:dyDescent="0.2">
      <c r="A4810" s="22">
        <v>5.8786273002624512E-2</v>
      </c>
    </row>
    <row r="4811" spans="1:1" x14ac:dyDescent="0.2">
      <c r="A4811" s="22">
        <v>8.7660372257232666E-2</v>
      </c>
    </row>
    <row r="4812" spans="1:1" x14ac:dyDescent="0.2">
      <c r="A4812" s="22">
        <v>0.7624516487121582</v>
      </c>
    </row>
    <row r="4813" spans="1:1" x14ac:dyDescent="0.2">
      <c r="A4813" s="22">
        <v>0.14133709669113159</v>
      </c>
    </row>
    <row r="4814" spans="1:1" x14ac:dyDescent="0.2">
      <c r="A4814" s="22">
        <v>0.73240292072296143</v>
      </c>
    </row>
    <row r="4815" spans="1:1" x14ac:dyDescent="0.2">
      <c r="A4815" s="22">
        <v>0.96353894472122192</v>
      </c>
    </row>
    <row r="4816" spans="1:1" x14ac:dyDescent="0.2">
      <c r="A4816" s="22">
        <v>0.69463038444519043</v>
      </c>
    </row>
    <row r="4817" spans="1:1" x14ac:dyDescent="0.2">
      <c r="A4817" s="22">
        <v>0.91535753011703491</v>
      </c>
    </row>
    <row r="4818" spans="1:1" x14ac:dyDescent="0.2">
      <c r="A4818" s="22">
        <v>0.94867169857025146</v>
      </c>
    </row>
    <row r="4819" spans="1:1" x14ac:dyDescent="0.2">
      <c r="A4819" s="22">
        <v>0.94974237680435181</v>
      </c>
    </row>
    <row r="4820" spans="1:1" x14ac:dyDescent="0.2">
      <c r="A4820" s="22">
        <v>8.0990791320800781E-2</v>
      </c>
    </row>
    <row r="4821" spans="1:1" x14ac:dyDescent="0.2">
      <c r="A4821" s="22">
        <v>0.97136420011520386</v>
      </c>
    </row>
    <row r="4822" spans="1:1" x14ac:dyDescent="0.2">
      <c r="A4822" s="22">
        <v>0.38538801670074463</v>
      </c>
    </row>
    <row r="4823" spans="1:1" x14ac:dyDescent="0.2">
      <c r="A4823" s="22">
        <v>7.5384438037872314E-2</v>
      </c>
    </row>
    <row r="4824" spans="1:1" x14ac:dyDescent="0.2">
      <c r="A4824" s="22">
        <v>0.64669156074523926</v>
      </c>
    </row>
    <row r="4825" spans="1:1" x14ac:dyDescent="0.2">
      <c r="A4825" s="22">
        <v>0.69638103246688843</v>
      </c>
    </row>
    <row r="4826" spans="1:1" x14ac:dyDescent="0.2">
      <c r="A4826" s="22">
        <v>0.19398009777069092</v>
      </c>
    </row>
    <row r="4827" spans="1:1" x14ac:dyDescent="0.2">
      <c r="A4827" s="22">
        <v>0.94868046045303345</v>
      </c>
    </row>
    <row r="4828" spans="1:1" x14ac:dyDescent="0.2">
      <c r="A4828" s="22">
        <v>0.37958669662475586</v>
      </c>
    </row>
    <row r="4829" spans="1:1" x14ac:dyDescent="0.2">
      <c r="A4829" s="22">
        <v>0.68934601545333862</v>
      </c>
    </row>
    <row r="4830" spans="1:1" x14ac:dyDescent="0.2">
      <c r="A4830" s="22">
        <v>0.89013397693634033</v>
      </c>
    </row>
    <row r="4831" spans="1:1" x14ac:dyDescent="0.2">
      <c r="A4831" s="22">
        <v>8.5072338581085205E-2</v>
      </c>
    </row>
    <row r="4832" spans="1:1" x14ac:dyDescent="0.2">
      <c r="A4832" s="22">
        <v>0.54585051536560059</v>
      </c>
    </row>
    <row r="4833" spans="1:1" x14ac:dyDescent="0.2">
      <c r="A4833" s="22">
        <v>0.71423619985580444</v>
      </c>
    </row>
    <row r="4834" spans="1:1" x14ac:dyDescent="0.2">
      <c r="A4834" s="22">
        <v>0.49441850185394287</v>
      </c>
    </row>
    <row r="4835" spans="1:1" x14ac:dyDescent="0.2">
      <c r="A4835" s="22">
        <v>0.48535352945327759</v>
      </c>
    </row>
    <row r="4836" spans="1:1" x14ac:dyDescent="0.2">
      <c r="A4836" s="22">
        <v>0.95560264587402344</v>
      </c>
    </row>
    <row r="4837" spans="1:1" x14ac:dyDescent="0.2">
      <c r="A4837" s="22">
        <v>0.90319269895553589</v>
      </c>
    </row>
    <row r="4838" spans="1:1" x14ac:dyDescent="0.2">
      <c r="A4838" s="22">
        <v>0.92291033267974854</v>
      </c>
    </row>
    <row r="4839" spans="1:1" x14ac:dyDescent="0.2">
      <c r="A4839" s="22">
        <v>0.4637940526008606</v>
      </c>
    </row>
    <row r="4840" spans="1:1" x14ac:dyDescent="0.2">
      <c r="A4840" s="22">
        <v>0.47853302955627441</v>
      </c>
    </row>
    <row r="4841" spans="1:1" x14ac:dyDescent="0.2">
      <c r="A4841" s="22">
        <v>0.20964568853378296</v>
      </c>
    </row>
    <row r="4842" spans="1:1" x14ac:dyDescent="0.2">
      <c r="A4842" s="22">
        <v>0.62781894207000732</v>
      </c>
    </row>
    <row r="4843" spans="1:1" x14ac:dyDescent="0.2">
      <c r="A4843" s="22">
        <v>0.72626549005508423</v>
      </c>
    </row>
    <row r="4844" spans="1:1" x14ac:dyDescent="0.2">
      <c r="A4844" s="22">
        <v>0.80952692031860352</v>
      </c>
    </row>
    <row r="4845" spans="1:1" x14ac:dyDescent="0.2">
      <c r="A4845" s="22">
        <v>0.11143940687179565</v>
      </c>
    </row>
    <row r="4846" spans="1:1" x14ac:dyDescent="0.2">
      <c r="A4846" s="22">
        <v>0.48811161518096924</v>
      </c>
    </row>
    <row r="4847" spans="1:1" x14ac:dyDescent="0.2">
      <c r="A4847" s="22">
        <v>0.69836598634719849</v>
      </c>
    </row>
    <row r="4848" spans="1:1" x14ac:dyDescent="0.2">
      <c r="A4848" s="22">
        <v>0.48428988456726074</v>
      </c>
    </row>
    <row r="4849" spans="1:1" x14ac:dyDescent="0.2">
      <c r="A4849" s="22">
        <v>0.56395715475082397</v>
      </c>
    </row>
    <row r="4850" spans="1:1" x14ac:dyDescent="0.2">
      <c r="A4850" s="22">
        <v>0.95013844966888428</v>
      </c>
    </row>
    <row r="4851" spans="1:1" x14ac:dyDescent="0.2">
      <c r="A4851" s="22">
        <v>0.10354524850845337</v>
      </c>
    </row>
    <row r="4852" spans="1:1" x14ac:dyDescent="0.2">
      <c r="A4852" s="22">
        <v>0.14497280120849609</v>
      </c>
    </row>
    <row r="4853" spans="1:1" x14ac:dyDescent="0.2">
      <c r="A4853" s="22">
        <v>0.20324629545211792</v>
      </c>
    </row>
    <row r="4854" spans="1:1" x14ac:dyDescent="0.2">
      <c r="A4854" s="22">
        <v>0.41825735569000244</v>
      </c>
    </row>
    <row r="4855" spans="1:1" x14ac:dyDescent="0.2">
      <c r="A4855" s="22">
        <v>0.79122954607009888</v>
      </c>
    </row>
    <row r="4856" spans="1:1" x14ac:dyDescent="0.2">
      <c r="A4856" s="22">
        <v>5.579686164855957E-2</v>
      </c>
    </row>
    <row r="4857" spans="1:1" x14ac:dyDescent="0.2">
      <c r="A4857" s="22">
        <v>0.79914325475692749</v>
      </c>
    </row>
    <row r="4858" spans="1:1" x14ac:dyDescent="0.2">
      <c r="A4858" s="22">
        <v>0.89545905590057373</v>
      </c>
    </row>
    <row r="4859" spans="1:1" x14ac:dyDescent="0.2">
      <c r="A4859" s="22">
        <v>0.81494671106338501</v>
      </c>
    </row>
    <row r="4860" spans="1:1" x14ac:dyDescent="0.2">
      <c r="A4860" s="22">
        <v>0.86867856979370117</v>
      </c>
    </row>
    <row r="4861" spans="1:1" x14ac:dyDescent="0.2">
      <c r="A4861" s="22">
        <v>0.95839852094650269</v>
      </c>
    </row>
    <row r="4862" spans="1:1" x14ac:dyDescent="0.2">
      <c r="A4862" s="22">
        <v>0.87399208545684814</v>
      </c>
    </row>
    <row r="4863" spans="1:1" x14ac:dyDescent="0.2">
      <c r="A4863" s="22">
        <v>0.76045113801956177</v>
      </c>
    </row>
    <row r="4864" spans="1:1" x14ac:dyDescent="0.2">
      <c r="A4864" s="22">
        <v>0.6388547420501709</v>
      </c>
    </row>
    <row r="4865" spans="1:1" x14ac:dyDescent="0.2">
      <c r="A4865" s="22">
        <v>7.7801644802093506E-2</v>
      </c>
    </row>
    <row r="4866" spans="1:1" x14ac:dyDescent="0.2">
      <c r="A4866" s="22">
        <v>0.47598779201507568</v>
      </c>
    </row>
    <row r="4867" spans="1:1" x14ac:dyDescent="0.2">
      <c r="A4867" s="22">
        <v>0.32384878396987915</v>
      </c>
    </row>
    <row r="4868" spans="1:1" x14ac:dyDescent="0.2">
      <c r="A4868" s="22">
        <v>9.050750732421875E-2</v>
      </c>
    </row>
    <row r="4869" spans="1:1" x14ac:dyDescent="0.2">
      <c r="A4869" s="22">
        <v>0.54730623960494995</v>
      </c>
    </row>
    <row r="4870" spans="1:1" x14ac:dyDescent="0.2">
      <c r="A4870" s="22">
        <v>0.84408533573150635</v>
      </c>
    </row>
    <row r="4871" spans="1:1" x14ac:dyDescent="0.2">
      <c r="A4871" s="22">
        <v>0.13972216844558716</v>
      </c>
    </row>
    <row r="4872" spans="1:1" x14ac:dyDescent="0.2">
      <c r="A4872" s="22">
        <v>0.13238930702209473</v>
      </c>
    </row>
    <row r="4873" spans="1:1" x14ac:dyDescent="0.2">
      <c r="A4873" s="22">
        <v>0.20315498113632202</v>
      </c>
    </row>
    <row r="4874" spans="1:1" x14ac:dyDescent="0.2">
      <c r="A4874" s="22">
        <v>0.78205668926239014</v>
      </c>
    </row>
    <row r="4875" spans="1:1" x14ac:dyDescent="0.2">
      <c r="A4875" s="22">
        <v>0.85925537347793579</v>
      </c>
    </row>
    <row r="4876" spans="1:1" x14ac:dyDescent="0.2">
      <c r="A4876" s="22">
        <v>0.62344789505004883</v>
      </c>
    </row>
    <row r="4877" spans="1:1" x14ac:dyDescent="0.2">
      <c r="A4877" s="22">
        <v>3.1004607677459717E-2</v>
      </c>
    </row>
    <row r="4878" spans="1:1" x14ac:dyDescent="0.2">
      <c r="A4878" s="22">
        <v>0.64543163776397705</v>
      </c>
    </row>
    <row r="4879" spans="1:1" x14ac:dyDescent="0.2">
      <c r="A4879" s="22">
        <v>0.47835904359817505</v>
      </c>
    </row>
    <row r="4880" spans="1:1" x14ac:dyDescent="0.2">
      <c r="A4880" s="22">
        <v>0.38845133781433105</v>
      </c>
    </row>
    <row r="4881" spans="1:1" x14ac:dyDescent="0.2">
      <c r="A4881" s="22">
        <v>0.11905092000961304</v>
      </c>
    </row>
    <row r="4882" spans="1:1" x14ac:dyDescent="0.2">
      <c r="A4882" s="22">
        <v>0.48212277889251709</v>
      </c>
    </row>
    <row r="4883" spans="1:1" x14ac:dyDescent="0.2">
      <c r="A4883" s="22">
        <v>0.91579538583755493</v>
      </c>
    </row>
    <row r="4884" spans="1:1" x14ac:dyDescent="0.2">
      <c r="A4884" s="22">
        <v>0.48361301422119141</v>
      </c>
    </row>
    <row r="4885" spans="1:1" x14ac:dyDescent="0.2">
      <c r="A4885" s="22">
        <v>0.86115378141403198</v>
      </c>
    </row>
    <row r="4886" spans="1:1" x14ac:dyDescent="0.2">
      <c r="A4886" s="22">
        <v>0.42305052280426025</v>
      </c>
    </row>
    <row r="4887" spans="1:1" x14ac:dyDescent="0.2">
      <c r="A4887" s="22">
        <v>0.84130316972732544</v>
      </c>
    </row>
    <row r="4888" spans="1:1" x14ac:dyDescent="0.2">
      <c r="A4888" s="22">
        <v>0.71221661567687988</v>
      </c>
    </row>
    <row r="4889" spans="1:1" x14ac:dyDescent="0.2">
      <c r="A4889" s="22">
        <v>0.40996211767196655</v>
      </c>
    </row>
    <row r="4890" spans="1:1" x14ac:dyDescent="0.2">
      <c r="A4890" s="22">
        <v>0.32276809215545654</v>
      </c>
    </row>
    <row r="4891" spans="1:1" x14ac:dyDescent="0.2">
      <c r="A4891" s="22">
        <v>0.75372272729873657</v>
      </c>
    </row>
    <row r="4892" spans="1:1" x14ac:dyDescent="0.2">
      <c r="A4892" s="22">
        <v>0.39024114608764648</v>
      </c>
    </row>
    <row r="4893" spans="1:1" x14ac:dyDescent="0.2">
      <c r="A4893" s="22">
        <v>0.38003891706466675</v>
      </c>
    </row>
    <row r="4894" spans="1:1" x14ac:dyDescent="0.2">
      <c r="A4894" s="22">
        <v>0.65008652210235596</v>
      </c>
    </row>
    <row r="4895" spans="1:1" x14ac:dyDescent="0.2">
      <c r="A4895" s="22">
        <v>0.30912095308303833</v>
      </c>
    </row>
    <row r="4896" spans="1:1" x14ac:dyDescent="0.2">
      <c r="A4896" s="22">
        <v>0.36198592185974121</v>
      </c>
    </row>
    <row r="4897" spans="1:1" x14ac:dyDescent="0.2">
      <c r="A4897" s="22">
        <v>0.80098623037338257</v>
      </c>
    </row>
    <row r="4898" spans="1:1" x14ac:dyDescent="0.2">
      <c r="A4898" s="22">
        <v>0.6286996603012085</v>
      </c>
    </row>
    <row r="4899" spans="1:1" x14ac:dyDescent="0.2">
      <c r="A4899" s="22">
        <v>0.89891630411148071</v>
      </c>
    </row>
    <row r="4900" spans="1:1" x14ac:dyDescent="0.2">
      <c r="A4900" s="22">
        <v>0.26569557189941406</v>
      </c>
    </row>
    <row r="4901" spans="1:1" x14ac:dyDescent="0.2">
      <c r="A4901" s="22">
        <v>0.32057017087936401</v>
      </c>
    </row>
    <row r="4902" spans="1:1" x14ac:dyDescent="0.2">
      <c r="A4902" s="22">
        <v>0.62780916690826416</v>
      </c>
    </row>
    <row r="4903" spans="1:1" x14ac:dyDescent="0.2">
      <c r="A4903" s="22">
        <v>0.47800379991531372</v>
      </c>
    </row>
    <row r="4904" spans="1:1" x14ac:dyDescent="0.2">
      <c r="A4904" s="22">
        <v>4.9185037612915039E-2</v>
      </c>
    </row>
    <row r="4905" spans="1:1" x14ac:dyDescent="0.2">
      <c r="A4905" s="22">
        <v>0.65784591436386108</v>
      </c>
    </row>
    <row r="4906" spans="1:1" x14ac:dyDescent="0.2">
      <c r="A4906" s="22">
        <v>0.80274951457977295</v>
      </c>
    </row>
    <row r="4907" spans="1:1" x14ac:dyDescent="0.2">
      <c r="A4907" s="22">
        <v>0.64288002252578735</v>
      </c>
    </row>
    <row r="4908" spans="1:1" x14ac:dyDescent="0.2">
      <c r="A4908" s="22">
        <v>0.73546457290649414</v>
      </c>
    </row>
    <row r="4909" spans="1:1" x14ac:dyDescent="0.2">
      <c r="A4909" s="22">
        <v>0.30628269910812378</v>
      </c>
    </row>
    <row r="4910" spans="1:1" x14ac:dyDescent="0.2">
      <c r="A4910" s="22">
        <v>0.98561298847198486</v>
      </c>
    </row>
    <row r="4911" spans="1:1" x14ac:dyDescent="0.2">
      <c r="A4911" s="22">
        <v>0.95976811647415161</v>
      </c>
    </row>
    <row r="4912" spans="1:1" x14ac:dyDescent="0.2">
      <c r="A4912" s="22">
        <v>0.43836474418640137</v>
      </c>
    </row>
    <row r="4913" spans="1:1" x14ac:dyDescent="0.2">
      <c r="A4913" s="22">
        <v>0.4868888258934021</v>
      </c>
    </row>
    <row r="4914" spans="1:1" x14ac:dyDescent="0.2">
      <c r="A4914" s="22">
        <v>0.8258746862411499</v>
      </c>
    </row>
    <row r="4915" spans="1:1" x14ac:dyDescent="0.2">
      <c r="A4915" s="22">
        <v>0.54274278879165649</v>
      </c>
    </row>
    <row r="4916" spans="1:1" x14ac:dyDescent="0.2">
      <c r="A4916" s="22">
        <v>0.62816143035888672</v>
      </c>
    </row>
    <row r="4917" spans="1:1" x14ac:dyDescent="0.2">
      <c r="A4917" s="22">
        <v>0.35133665800094604</v>
      </c>
    </row>
    <row r="4918" spans="1:1" x14ac:dyDescent="0.2">
      <c r="A4918" s="22">
        <v>0.18101751804351807</v>
      </c>
    </row>
    <row r="4919" spans="1:1" x14ac:dyDescent="0.2">
      <c r="A4919" s="22">
        <v>0.881855309009552</v>
      </c>
    </row>
    <row r="4920" spans="1:1" x14ac:dyDescent="0.2">
      <c r="A4920" s="22">
        <v>0.6472008228302002</v>
      </c>
    </row>
    <row r="4921" spans="1:1" x14ac:dyDescent="0.2">
      <c r="A4921" s="22">
        <v>0.43508762121200562</v>
      </c>
    </row>
    <row r="4922" spans="1:1" x14ac:dyDescent="0.2">
      <c r="A4922" s="22">
        <v>0.75715720653533936</v>
      </c>
    </row>
    <row r="4923" spans="1:1" x14ac:dyDescent="0.2">
      <c r="A4923" s="22">
        <v>0.92125850915908813</v>
      </c>
    </row>
    <row r="4924" spans="1:1" x14ac:dyDescent="0.2">
      <c r="A4924" s="22">
        <v>0.4755244255065918</v>
      </c>
    </row>
    <row r="4925" spans="1:1" x14ac:dyDescent="0.2">
      <c r="A4925" s="22">
        <v>0.36051720380783081</v>
      </c>
    </row>
    <row r="4926" spans="1:1" x14ac:dyDescent="0.2">
      <c r="A4926" s="22">
        <v>0.99966728687286377</v>
      </c>
    </row>
    <row r="4927" spans="1:1" x14ac:dyDescent="0.2">
      <c r="A4927" s="22">
        <v>0.38733178377151489</v>
      </c>
    </row>
    <row r="4928" spans="1:1" x14ac:dyDescent="0.2">
      <c r="A4928" s="22">
        <v>0.74649405479431152</v>
      </c>
    </row>
    <row r="4929" spans="1:1" x14ac:dyDescent="0.2">
      <c r="A4929" s="22">
        <v>0.79003995656967163</v>
      </c>
    </row>
    <row r="4930" spans="1:1" x14ac:dyDescent="0.2">
      <c r="A4930" s="22">
        <v>0.23380410671234131</v>
      </c>
    </row>
    <row r="4931" spans="1:1" x14ac:dyDescent="0.2">
      <c r="A4931" s="22">
        <v>0.36680608987808228</v>
      </c>
    </row>
    <row r="4932" spans="1:1" x14ac:dyDescent="0.2">
      <c r="A4932" s="22">
        <v>1.2416839599609375E-2</v>
      </c>
    </row>
    <row r="4933" spans="1:1" x14ac:dyDescent="0.2">
      <c r="A4933" s="22">
        <v>0.62923449277877808</v>
      </c>
    </row>
    <row r="4934" spans="1:1" x14ac:dyDescent="0.2">
      <c r="A4934" s="22">
        <v>5.5331826210021973E-2</v>
      </c>
    </row>
    <row r="4935" spans="1:1" x14ac:dyDescent="0.2">
      <c r="A4935" s="22">
        <v>0.13488894701004028</v>
      </c>
    </row>
    <row r="4936" spans="1:1" x14ac:dyDescent="0.2">
      <c r="A4936" s="22">
        <v>0.26017022132873535</v>
      </c>
    </row>
    <row r="4937" spans="1:1" x14ac:dyDescent="0.2">
      <c r="A4937" s="22">
        <v>0.47996848821640015</v>
      </c>
    </row>
    <row r="4938" spans="1:1" x14ac:dyDescent="0.2">
      <c r="A4938" s="22">
        <v>0.97114741802215576</v>
      </c>
    </row>
    <row r="4939" spans="1:1" x14ac:dyDescent="0.2">
      <c r="A4939" s="22">
        <v>0.23338943719863892</v>
      </c>
    </row>
    <row r="4940" spans="1:1" x14ac:dyDescent="0.2">
      <c r="A4940" s="22">
        <v>0.67682695388793945</v>
      </c>
    </row>
    <row r="4941" spans="1:1" x14ac:dyDescent="0.2">
      <c r="A4941" s="22">
        <v>0.34352368116378784</v>
      </c>
    </row>
    <row r="4942" spans="1:1" x14ac:dyDescent="0.2">
      <c r="A4942" s="22">
        <v>0.28990566730499268</v>
      </c>
    </row>
    <row r="4943" spans="1:1" x14ac:dyDescent="0.2">
      <c r="A4943" s="22">
        <v>0.79884320497512817</v>
      </c>
    </row>
    <row r="4944" spans="1:1" x14ac:dyDescent="0.2">
      <c r="A4944" s="22">
        <v>0.66528010368347168</v>
      </c>
    </row>
    <row r="4945" spans="1:1" x14ac:dyDescent="0.2">
      <c r="A4945" s="22">
        <v>0.57372087240219116</v>
      </c>
    </row>
    <row r="4946" spans="1:1" x14ac:dyDescent="0.2">
      <c r="A4946" s="22">
        <v>0.26264417171478271</v>
      </c>
    </row>
    <row r="4947" spans="1:1" x14ac:dyDescent="0.2">
      <c r="A4947" s="22">
        <v>0.14063745737075806</v>
      </c>
    </row>
    <row r="4948" spans="1:1" x14ac:dyDescent="0.2">
      <c r="A4948" s="22">
        <v>0.10986804962158203</v>
      </c>
    </row>
    <row r="4949" spans="1:1" x14ac:dyDescent="0.2">
      <c r="A4949" s="22">
        <v>8.0044925212860107E-2</v>
      </c>
    </row>
    <row r="4950" spans="1:1" x14ac:dyDescent="0.2">
      <c r="A4950" s="22">
        <v>0.47340834140777588</v>
      </c>
    </row>
    <row r="4951" spans="1:1" x14ac:dyDescent="0.2">
      <c r="A4951" s="22">
        <v>0.56913596391677856</v>
      </c>
    </row>
    <row r="4952" spans="1:1" x14ac:dyDescent="0.2">
      <c r="A4952" s="22">
        <v>0.89199948310852051</v>
      </c>
    </row>
    <row r="4953" spans="1:1" x14ac:dyDescent="0.2">
      <c r="A4953" s="22">
        <v>0.78076976537704468</v>
      </c>
    </row>
    <row r="4954" spans="1:1" x14ac:dyDescent="0.2">
      <c r="A4954" s="22">
        <v>0.47987639904022217</v>
      </c>
    </row>
    <row r="4955" spans="1:1" x14ac:dyDescent="0.2">
      <c r="A4955" s="22">
        <v>0.4738040566444397</v>
      </c>
    </row>
    <row r="4956" spans="1:1" x14ac:dyDescent="0.2">
      <c r="A4956" s="22">
        <v>0.65577840805053711</v>
      </c>
    </row>
    <row r="4957" spans="1:1" x14ac:dyDescent="0.2">
      <c r="A4957" s="22">
        <v>0.30608338117599487</v>
      </c>
    </row>
    <row r="4958" spans="1:1" x14ac:dyDescent="0.2">
      <c r="A4958" s="22">
        <v>0.70398437976837158</v>
      </c>
    </row>
    <row r="4959" spans="1:1" x14ac:dyDescent="0.2">
      <c r="A4959" s="22">
        <v>0.65133363008499146</v>
      </c>
    </row>
    <row r="4960" spans="1:1" x14ac:dyDescent="0.2">
      <c r="A4960" s="22">
        <v>0.82362914085388184</v>
      </c>
    </row>
    <row r="4961" spans="1:1" x14ac:dyDescent="0.2">
      <c r="A4961" s="22">
        <v>0.95121282339096069</v>
      </c>
    </row>
    <row r="4962" spans="1:1" x14ac:dyDescent="0.2">
      <c r="A4962" s="22">
        <v>0.57255113124847412</v>
      </c>
    </row>
    <row r="4963" spans="1:1" x14ac:dyDescent="0.2">
      <c r="A4963" s="22">
        <v>0.88376814126968384</v>
      </c>
    </row>
    <row r="4964" spans="1:1" x14ac:dyDescent="0.2">
      <c r="A4964" s="22">
        <v>0.86192131042480469</v>
      </c>
    </row>
    <row r="4965" spans="1:1" x14ac:dyDescent="0.2">
      <c r="A4965" s="22">
        <v>0.87954920530319214</v>
      </c>
    </row>
    <row r="4966" spans="1:1" x14ac:dyDescent="0.2">
      <c r="A4966" s="22">
        <v>0.90790331363677979</v>
      </c>
    </row>
    <row r="4967" spans="1:1" x14ac:dyDescent="0.2">
      <c r="A4967" s="22">
        <v>0.76662760972976685</v>
      </c>
    </row>
    <row r="4968" spans="1:1" x14ac:dyDescent="0.2">
      <c r="A4968" s="22">
        <v>0.79659485816955566</v>
      </c>
    </row>
    <row r="4969" spans="1:1" x14ac:dyDescent="0.2">
      <c r="A4969" s="22">
        <v>0.57577270269393921</v>
      </c>
    </row>
    <row r="4970" spans="1:1" x14ac:dyDescent="0.2">
      <c r="A4970" s="22">
        <v>0.56850039958953857</v>
      </c>
    </row>
    <row r="4971" spans="1:1" x14ac:dyDescent="0.2">
      <c r="A4971" s="22">
        <v>0.78703361749649048</v>
      </c>
    </row>
    <row r="4972" spans="1:1" x14ac:dyDescent="0.2">
      <c r="A4972" s="22">
        <v>0.97878503799438477</v>
      </c>
    </row>
    <row r="4973" spans="1:1" x14ac:dyDescent="0.2">
      <c r="A4973" s="22">
        <v>0.5489775538444519</v>
      </c>
    </row>
    <row r="4974" spans="1:1" x14ac:dyDescent="0.2">
      <c r="A4974" s="22">
        <v>0.33955967426300049</v>
      </c>
    </row>
    <row r="4975" spans="1:1" x14ac:dyDescent="0.2">
      <c r="A4975" s="22">
        <v>0.65183430910110474</v>
      </c>
    </row>
    <row r="4976" spans="1:1" x14ac:dyDescent="0.2">
      <c r="A4976" s="22">
        <v>0.10044741630554199</v>
      </c>
    </row>
    <row r="4977" spans="1:1" x14ac:dyDescent="0.2">
      <c r="A4977" s="22">
        <v>0.28579705953598022</v>
      </c>
    </row>
    <row r="4978" spans="1:1" x14ac:dyDescent="0.2">
      <c r="A4978" s="22">
        <v>7.3681235313415527E-2</v>
      </c>
    </row>
    <row r="4979" spans="1:1" x14ac:dyDescent="0.2">
      <c r="A4979" s="22">
        <v>0.86572939157485962</v>
      </c>
    </row>
    <row r="4980" spans="1:1" x14ac:dyDescent="0.2">
      <c r="A4980" s="22">
        <v>0.45998287200927734</v>
      </c>
    </row>
    <row r="4981" spans="1:1" x14ac:dyDescent="0.2">
      <c r="A4981" s="22">
        <v>0.45352858304977417</v>
      </c>
    </row>
    <row r="4982" spans="1:1" x14ac:dyDescent="0.2">
      <c r="A4982" s="22">
        <v>8.1472992897033691E-2</v>
      </c>
    </row>
    <row r="4983" spans="1:1" x14ac:dyDescent="0.2">
      <c r="A4983" s="22">
        <v>0.55939513444900513</v>
      </c>
    </row>
    <row r="4984" spans="1:1" x14ac:dyDescent="0.2">
      <c r="A4984" s="22">
        <v>0.47786259651184082</v>
      </c>
    </row>
    <row r="4985" spans="1:1" x14ac:dyDescent="0.2">
      <c r="A4985" s="22">
        <v>0.35325855016708374</v>
      </c>
    </row>
    <row r="4986" spans="1:1" x14ac:dyDescent="0.2">
      <c r="A4986" s="22">
        <v>0.77217566967010498</v>
      </c>
    </row>
    <row r="4987" spans="1:1" x14ac:dyDescent="0.2">
      <c r="A4987" s="22">
        <v>0.56760936975479126</v>
      </c>
    </row>
    <row r="4988" spans="1:1" x14ac:dyDescent="0.2">
      <c r="A4988" s="22">
        <v>0.46225309371948242</v>
      </c>
    </row>
    <row r="4989" spans="1:1" x14ac:dyDescent="0.2">
      <c r="A4989" s="22">
        <v>0.62298744916915894</v>
      </c>
    </row>
    <row r="4990" spans="1:1" x14ac:dyDescent="0.2">
      <c r="A4990" s="22">
        <v>0.54428780078887939</v>
      </c>
    </row>
    <row r="4991" spans="1:1" x14ac:dyDescent="0.2">
      <c r="A4991" s="22">
        <v>0.75737649202346802</v>
      </c>
    </row>
    <row r="4992" spans="1:1" x14ac:dyDescent="0.2">
      <c r="A4992" s="22">
        <v>0.62464118003845215</v>
      </c>
    </row>
    <row r="4993" spans="1:1" x14ac:dyDescent="0.2">
      <c r="A4993" s="22">
        <v>0.19075483083724976</v>
      </c>
    </row>
    <row r="4994" spans="1:1" x14ac:dyDescent="0.2">
      <c r="A4994" s="22">
        <v>0.92619073390960693</v>
      </c>
    </row>
    <row r="4995" spans="1:1" x14ac:dyDescent="0.2">
      <c r="A4995" s="22">
        <v>0.6060524582862854</v>
      </c>
    </row>
    <row r="4996" spans="1:1" x14ac:dyDescent="0.2">
      <c r="A4996" s="22">
        <v>0.345458984375</v>
      </c>
    </row>
    <row r="4997" spans="1:1" x14ac:dyDescent="0.2">
      <c r="A4997" s="22">
        <v>0.4777643084526062</v>
      </c>
    </row>
    <row r="4998" spans="1:1" x14ac:dyDescent="0.2">
      <c r="A4998" s="22">
        <v>0.9667736291885376</v>
      </c>
    </row>
    <row r="4999" spans="1:1" x14ac:dyDescent="0.2">
      <c r="A4999" s="22">
        <v>2.9469788074493408E-2</v>
      </c>
    </row>
    <row r="5000" spans="1:1" x14ac:dyDescent="0.2">
      <c r="A5000" s="22">
        <v>0.68970894813537598</v>
      </c>
    </row>
    <row r="5001" spans="1:1" x14ac:dyDescent="0.2">
      <c r="A5001" s="22">
        <v>0.85150855779647827</v>
      </c>
    </row>
    <row r="5002" spans="1:1" x14ac:dyDescent="0.2">
      <c r="A5002" s="22">
        <v>0.87605845928192139</v>
      </c>
    </row>
    <row r="5003" spans="1:1" x14ac:dyDescent="0.2">
      <c r="A5003" s="22">
        <v>0.46006256341934204</v>
      </c>
    </row>
    <row r="5004" spans="1:1" x14ac:dyDescent="0.2">
      <c r="A5004" s="22">
        <v>0.17258882522583008</v>
      </c>
    </row>
    <row r="5005" spans="1:1" x14ac:dyDescent="0.2">
      <c r="A5005" s="22">
        <v>0.32889431715011597</v>
      </c>
    </row>
    <row r="5006" spans="1:1" x14ac:dyDescent="0.2">
      <c r="A5006" s="22">
        <v>0.9158250093460083</v>
      </c>
    </row>
    <row r="5007" spans="1:1" x14ac:dyDescent="0.2">
      <c r="A5007" s="22">
        <v>0.1749914288520813</v>
      </c>
    </row>
    <row r="5008" spans="1:1" x14ac:dyDescent="0.2">
      <c r="A5008" s="22">
        <v>0.7751166820526123</v>
      </c>
    </row>
    <row r="5009" spans="1:1" x14ac:dyDescent="0.2">
      <c r="A5009" s="22">
        <v>0.52936738729476929</v>
      </c>
    </row>
    <row r="5010" spans="1:1" x14ac:dyDescent="0.2">
      <c r="A5010" s="22">
        <v>0.54023587703704834</v>
      </c>
    </row>
    <row r="5011" spans="1:1" x14ac:dyDescent="0.2">
      <c r="A5011" s="22">
        <v>0.87426859140396118</v>
      </c>
    </row>
    <row r="5012" spans="1:1" x14ac:dyDescent="0.2">
      <c r="A5012" s="22">
        <v>0.20975589752197266</v>
      </c>
    </row>
    <row r="5013" spans="1:1" x14ac:dyDescent="0.2">
      <c r="A5013" s="22">
        <v>0.87803763151168823</v>
      </c>
    </row>
    <row r="5014" spans="1:1" x14ac:dyDescent="0.2">
      <c r="A5014" s="22">
        <v>0.7864614725112915</v>
      </c>
    </row>
    <row r="5015" spans="1:1" x14ac:dyDescent="0.2">
      <c r="A5015" s="22">
        <v>0.50888282060623169</v>
      </c>
    </row>
    <row r="5016" spans="1:1" x14ac:dyDescent="0.2">
      <c r="A5016" s="22">
        <v>0.43604016304016113</v>
      </c>
    </row>
    <row r="5017" spans="1:1" x14ac:dyDescent="0.2">
      <c r="A5017" s="22">
        <v>5.8803975582122803E-2</v>
      </c>
    </row>
    <row r="5018" spans="1:1" x14ac:dyDescent="0.2">
      <c r="A5018" s="22">
        <v>0.91530501842498779</v>
      </c>
    </row>
    <row r="5019" spans="1:1" x14ac:dyDescent="0.2">
      <c r="A5019" s="22">
        <v>0.35892444849014282</v>
      </c>
    </row>
    <row r="5020" spans="1:1" x14ac:dyDescent="0.2">
      <c r="A5020" s="22">
        <v>0.42619848251342773</v>
      </c>
    </row>
    <row r="5021" spans="1:1" x14ac:dyDescent="0.2">
      <c r="A5021" s="22">
        <v>0.717479407787323</v>
      </c>
    </row>
    <row r="5022" spans="1:1" x14ac:dyDescent="0.2">
      <c r="A5022" s="22">
        <v>0.30182754993438721</v>
      </c>
    </row>
    <row r="5023" spans="1:1" x14ac:dyDescent="0.2">
      <c r="A5023" s="22">
        <v>0.36171036958694458</v>
      </c>
    </row>
    <row r="5024" spans="1:1" x14ac:dyDescent="0.2">
      <c r="A5024" s="22">
        <v>0.18078017234802246</v>
      </c>
    </row>
    <row r="5025" spans="1:1" x14ac:dyDescent="0.2">
      <c r="A5025" s="22">
        <v>0.41491597890853882</v>
      </c>
    </row>
    <row r="5026" spans="1:1" x14ac:dyDescent="0.2">
      <c r="A5026" s="22">
        <v>0.57597291469573975</v>
      </c>
    </row>
    <row r="5027" spans="1:1" x14ac:dyDescent="0.2">
      <c r="A5027" s="22">
        <v>0.68990904092788696</v>
      </c>
    </row>
    <row r="5028" spans="1:1" x14ac:dyDescent="0.2">
      <c r="A5028" s="22">
        <v>0.99427986145019531</v>
      </c>
    </row>
    <row r="5029" spans="1:1" x14ac:dyDescent="0.2">
      <c r="A5029" s="22">
        <v>0.83012980222702026</v>
      </c>
    </row>
    <row r="5030" spans="1:1" x14ac:dyDescent="0.2">
      <c r="A5030" s="22">
        <v>1.319277286529541E-2</v>
      </c>
    </row>
    <row r="5031" spans="1:1" x14ac:dyDescent="0.2">
      <c r="A5031" s="22">
        <v>0.57966548204421997</v>
      </c>
    </row>
    <row r="5032" spans="1:1" x14ac:dyDescent="0.2">
      <c r="A5032" s="22">
        <v>0.97076249122619629</v>
      </c>
    </row>
    <row r="5033" spans="1:1" x14ac:dyDescent="0.2">
      <c r="A5033" s="22">
        <v>0.21342605352401733</v>
      </c>
    </row>
    <row r="5034" spans="1:1" x14ac:dyDescent="0.2">
      <c r="A5034" s="22">
        <v>0.1750715970993042</v>
      </c>
    </row>
    <row r="5035" spans="1:1" x14ac:dyDescent="0.2">
      <c r="A5035" s="22">
        <v>0.4087262749671936</v>
      </c>
    </row>
    <row r="5036" spans="1:1" x14ac:dyDescent="0.2">
      <c r="A5036" s="22">
        <v>0.78948831558227539</v>
      </c>
    </row>
    <row r="5037" spans="1:1" x14ac:dyDescent="0.2">
      <c r="A5037" s="22">
        <v>8.9523971080780029E-2</v>
      </c>
    </row>
    <row r="5038" spans="1:1" x14ac:dyDescent="0.2">
      <c r="A5038" s="22">
        <v>0.79995167255401611</v>
      </c>
    </row>
    <row r="5039" spans="1:1" x14ac:dyDescent="0.2">
      <c r="A5039" s="22">
        <v>2.4564564228057861E-2</v>
      </c>
    </row>
    <row r="5040" spans="1:1" x14ac:dyDescent="0.2">
      <c r="A5040" s="22">
        <v>0.72053790092468262</v>
      </c>
    </row>
    <row r="5041" spans="1:1" x14ac:dyDescent="0.2">
      <c r="A5041" s="22">
        <v>0.21068185567855835</v>
      </c>
    </row>
    <row r="5042" spans="1:1" x14ac:dyDescent="0.2">
      <c r="A5042" s="22">
        <v>0.94355809688568115</v>
      </c>
    </row>
    <row r="5043" spans="1:1" x14ac:dyDescent="0.2">
      <c r="A5043" s="22">
        <v>0.32250505685806274</v>
      </c>
    </row>
    <row r="5044" spans="1:1" x14ac:dyDescent="0.2">
      <c r="A5044" s="22">
        <v>0.89043712615966797</v>
      </c>
    </row>
    <row r="5045" spans="1:1" x14ac:dyDescent="0.2">
      <c r="A5045" s="22">
        <v>0.75982207059860229</v>
      </c>
    </row>
    <row r="5046" spans="1:1" x14ac:dyDescent="0.2">
      <c r="A5046" s="22">
        <v>0.36962378025054932</v>
      </c>
    </row>
    <row r="5047" spans="1:1" x14ac:dyDescent="0.2">
      <c r="A5047" s="22">
        <v>7.3849022388458252E-2</v>
      </c>
    </row>
    <row r="5048" spans="1:1" x14ac:dyDescent="0.2">
      <c r="A5048" s="22">
        <v>0.79778218269348145</v>
      </c>
    </row>
    <row r="5049" spans="1:1" x14ac:dyDescent="0.2">
      <c r="A5049" s="22">
        <v>0.80365604162216187</v>
      </c>
    </row>
    <row r="5050" spans="1:1" x14ac:dyDescent="0.2">
      <c r="A5050" s="22">
        <v>0.19051444530487061</v>
      </c>
    </row>
    <row r="5051" spans="1:1" x14ac:dyDescent="0.2">
      <c r="A5051" s="22">
        <v>3.9992928504943848E-3</v>
      </c>
    </row>
    <row r="5052" spans="1:1" x14ac:dyDescent="0.2">
      <c r="A5052" s="22">
        <v>7.8864574432373047E-2</v>
      </c>
    </row>
    <row r="5053" spans="1:1" x14ac:dyDescent="0.2">
      <c r="A5053" s="22">
        <v>0.99580925703048706</v>
      </c>
    </row>
    <row r="5054" spans="1:1" x14ac:dyDescent="0.2">
      <c r="A5054" s="22">
        <v>0.75785362720489502</v>
      </c>
    </row>
    <row r="5055" spans="1:1" x14ac:dyDescent="0.2">
      <c r="A5055" s="22">
        <v>0.12058526277542114</v>
      </c>
    </row>
    <row r="5056" spans="1:1" x14ac:dyDescent="0.2">
      <c r="A5056" s="22">
        <v>0.52329611778259277</v>
      </c>
    </row>
    <row r="5057" spans="1:1" x14ac:dyDescent="0.2">
      <c r="A5057" s="22">
        <v>0.52994626760482788</v>
      </c>
    </row>
    <row r="5058" spans="1:1" x14ac:dyDescent="0.2">
      <c r="A5058" s="22">
        <v>0.80314767360687256</v>
      </c>
    </row>
    <row r="5059" spans="1:1" x14ac:dyDescent="0.2">
      <c r="A5059" s="22">
        <v>0.29158788919448853</v>
      </c>
    </row>
    <row r="5060" spans="1:1" x14ac:dyDescent="0.2">
      <c r="A5060" s="22">
        <v>0.33963394165039063</v>
      </c>
    </row>
    <row r="5061" spans="1:1" x14ac:dyDescent="0.2">
      <c r="A5061" s="22">
        <v>0.34289568662643433</v>
      </c>
    </row>
    <row r="5062" spans="1:1" x14ac:dyDescent="0.2">
      <c r="A5062" s="22">
        <v>0.82841074466705322</v>
      </c>
    </row>
    <row r="5063" spans="1:1" x14ac:dyDescent="0.2">
      <c r="A5063" s="22">
        <v>7.3464691638946533E-2</v>
      </c>
    </row>
    <row r="5064" spans="1:1" x14ac:dyDescent="0.2">
      <c r="A5064" s="22">
        <v>0.6710054874420166</v>
      </c>
    </row>
    <row r="5065" spans="1:1" x14ac:dyDescent="0.2">
      <c r="A5065" s="22">
        <v>0.5677751898765564</v>
      </c>
    </row>
    <row r="5066" spans="1:1" x14ac:dyDescent="0.2">
      <c r="A5066" s="22">
        <v>0.74678981304168701</v>
      </c>
    </row>
    <row r="5067" spans="1:1" x14ac:dyDescent="0.2">
      <c r="A5067" s="22">
        <v>0.78927475214004517</v>
      </c>
    </row>
    <row r="5068" spans="1:1" x14ac:dyDescent="0.2">
      <c r="A5068" s="22">
        <v>0.3607335090637207</v>
      </c>
    </row>
    <row r="5069" spans="1:1" x14ac:dyDescent="0.2">
      <c r="A5069" s="22">
        <v>0.23711651563644409</v>
      </c>
    </row>
    <row r="5070" spans="1:1" x14ac:dyDescent="0.2">
      <c r="A5070" s="22">
        <v>0.77318966388702393</v>
      </c>
    </row>
    <row r="5071" spans="1:1" x14ac:dyDescent="0.2">
      <c r="A5071" s="22">
        <v>0.85680371522903442</v>
      </c>
    </row>
    <row r="5072" spans="1:1" x14ac:dyDescent="0.2">
      <c r="A5072" s="22">
        <v>0.96796107292175293</v>
      </c>
    </row>
    <row r="5073" spans="1:1" x14ac:dyDescent="0.2">
      <c r="A5073" s="22">
        <v>0.23599046468734741</v>
      </c>
    </row>
    <row r="5074" spans="1:1" x14ac:dyDescent="0.2">
      <c r="A5074" s="22">
        <v>0.56489789485931396</v>
      </c>
    </row>
    <row r="5075" spans="1:1" x14ac:dyDescent="0.2">
      <c r="A5075" s="22">
        <v>0.36668878793716431</v>
      </c>
    </row>
    <row r="5076" spans="1:1" x14ac:dyDescent="0.2">
      <c r="A5076" s="22">
        <v>3.3276557922363281E-2</v>
      </c>
    </row>
    <row r="5077" spans="1:1" x14ac:dyDescent="0.2">
      <c r="A5077" s="22">
        <v>0.50513190031051636</v>
      </c>
    </row>
    <row r="5078" spans="1:1" x14ac:dyDescent="0.2">
      <c r="A5078" s="22">
        <v>0.61220991611480713</v>
      </c>
    </row>
    <row r="5079" spans="1:1" x14ac:dyDescent="0.2">
      <c r="A5079" s="22">
        <v>0.91054373979568481</v>
      </c>
    </row>
    <row r="5080" spans="1:1" x14ac:dyDescent="0.2">
      <c r="A5080" s="22">
        <v>0.59433865547180176</v>
      </c>
    </row>
    <row r="5081" spans="1:1" x14ac:dyDescent="0.2">
      <c r="A5081" s="22">
        <v>0.49406474828720093</v>
      </c>
    </row>
    <row r="5082" spans="1:1" x14ac:dyDescent="0.2">
      <c r="A5082" s="22">
        <v>0.87905395030975342</v>
      </c>
    </row>
    <row r="5083" spans="1:1" x14ac:dyDescent="0.2">
      <c r="A5083" s="22">
        <v>0.65908390283584595</v>
      </c>
    </row>
    <row r="5084" spans="1:1" x14ac:dyDescent="0.2">
      <c r="A5084" s="22">
        <v>0.95150136947631836</v>
      </c>
    </row>
    <row r="5085" spans="1:1" x14ac:dyDescent="0.2">
      <c r="A5085" s="22">
        <v>0.86422699689865112</v>
      </c>
    </row>
    <row r="5086" spans="1:1" x14ac:dyDescent="0.2">
      <c r="A5086" s="22">
        <v>0.69361603260040283</v>
      </c>
    </row>
    <row r="5087" spans="1:1" x14ac:dyDescent="0.2">
      <c r="A5087" s="22">
        <v>0.69025117158889771</v>
      </c>
    </row>
    <row r="5088" spans="1:1" x14ac:dyDescent="0.2">
      <c r="A5088" s="22">
        <v>0.68343901634216309</v>
      </c>
    </row>
    <row r="5089" spans="1:1" x14ac:dyDescent="0.2">
      <c r="A5089" s="22">
        <v>0.44209569692611694</v>
      </c>
    </row>
    <row r="5090" spans="1:1" x14ac:dyDescent="0.2">
      <c r="A5090" s="22">
        <v>0.88896501064300537</v>
      </c>
    </row>
    <row r="5091" spans="1:1" x14ac:dyDescent="0.2">
      <c r="A5091" s="22">
        <v>0.56733900308609009</v>
      </c>
    </row>
    <row r="5092" spans="1:1" x14ac:dyDescent="0.2">
      <c r="A5092" s="22">
        <v>0.91277122497558594</v>
      </c>
    </row>
    <row r="5093" spans="1:1" x14ac:dyDescent="0.2">
      <c r="A5093" s="22">
        <v>0.42231196165084839</v>
      </c>
    </row>
    <row r="5094" spans="1:1" x14ac:dyDescent="0.2">
      <c r="A5094" s="22">
        <v>0.19367754459381104</v>
      </c>
    </row>
    <row r="5095" spans="1:1" x14ac:dyDescent="0.2">
      <c r="A5095" s="22">
        <v>0.1671174168586731</v>
      </c>
    </row>
    <row r="5096" spans="1:1" x14ac:dyDescent="0.2">
      <c r="A5096" s="22">
        <v>0.82168793678283691</v>
      </c>
    </row>
    <row r="5097" spans="1:1" x14ac:dyDescent="0.2">
      <c r="A5097" s="22">
        <v>0.82080596685409546</v>
      </c>
    </row>
    <row r="5098" spans="1:1" x14ac:dyDescent="0.2">
      <c r="A5098" s="22">
        <v>0.87246310710906982</v>
      </c>
    </row>
    <row r="5099" spans="1:1" x14ac:dyDescent="0.2">
      <c r="A5099" s="22">
        <v>0.75795799493789673</v>
      </c>
    </row>
    <row r="5100" spans="1:1" x14ac:dyDescent="0.2">
      <c r="A5100" s="22">
        <v>0.41757440567016602</v>
      </c>
    </row>
    <row r="5101" spans="1:1" x14ac:dyDescent="0.2">
      <c r="A5101" s="22">
        <v>0.17792195081710815</v>
      </c>
    </row>
    <row r="5102" spans="1:1" x14ac:dyDescent="0.2">
      <c r="A5102" s="22">
        <v>0.61678898334503174</v>
      </c>
    </row>
    <row r="5103" spans="1:1" x14ac:dyDescent="0.2">
      <c r="A5103" s="22">
        <v>0.32795888185501099</v>
      </c>
    </row>
    <row r="5104" spans="1:1" x14ac:dyDescent="0.2">
      <c r="A5104" s="22">
        <v>0.54863619804382324</v>
      </c>
    </row>
    <row r="5105" spans="1:1" x14ac:dyDescent="0.2">
      <c r="A5105" s="22">
        <v>0.51154321432113647</v>
      </c>
    </row>
    <row r="5106" spans="1:1" x14ac:dyDescent="0.2">
      <c r="A5106" s="22">
        <v>0.68550527095794678</v>
      </c>
    </row>
    <row r="5107" spans="1:1" x14ac:dyDescent="0.2">
      <c r="A5107" s="22">
        <v>0.16306978464126587</v>
      </c>
    </row>
    <row r="5108" spans="1:1" x14ac:dyDescent="0.2">
      <c r="A5108" s="22">
        <v>0.16952419281005859</v>
      </c>
    </row>
    <row r="5109" spans="1:1" x14ac:dyDescent="0.2">
      <c r="A5109" s="22">
        <v>0.52021712064743042</v>
      </c>
    </row>
    <row r="5110" spans="1:1" x14ac:dyDescent="0.2">
      <c r="A5110" s="22">
        <v>0.29546988010406494</v>
      </c>
    </row>
    <row r="5111" spans="1:1" x14ac:dyDescent="0.2">
      <c r="A5111" s="22">
        <v>0.67521697282791138</v>
      </c>
    </row>
    <row r="5112" spans="1:1" x14ac:dyDescent="0.2">
      <c r="A5112" s="22">
        <v>0.85695958137512207</v>
      </c>
    </row>
    <row r="5113" spans="1:1" x14ac:dyDescent="0.2">
      <c r="A5113" s="22">
        <v>3.628009557723999E-2</v>
      </c>
    </row>
    <row r="5114" spans="1:1" x14ac:dyDescent="0.2">
      <c r="A5114" s="22">
        <v>0.26217353343963623</v>
      </c>
    </row>
    <row r="5115" spans="1:1" x14ac:dyDescent="0.2">
      <c r="A5115" s="22">
        <v>0.48042827844619751</v>
      </c>
    </row>
    <row r="5116" spans="1:1" x14ac:dyDescent="0.2">
      <c r="A5116" s="22">
        <v>0.57535886764526367</v>
      </c>
    </row>
    <row r="5117" spans="1:1" x14ac:dyDescent="0.2">
      <c r="A5117" s="22">
        <v>0.72898262739181519</v>
      </c>
    </row>
    <row r="5118" spans="1:1" x14ac:dyDescent="0.2">
      <c r="A5118" s="22">
        <v>0.89036476612091064</v>
      </c>
    </row>
    <row r="5119" spans="1:1" x14ac:dyDescent="0.2">
      <c r="A5119" s="22">
        <v>0.72695809602737427</v>
      </c>
    </row>
    <row r="5120" spans="1:1" x14ac:dyDescent="0.2">
      <c r="A5120" s="22">
        <v>0.6924588680267334</v>
      </c>
    </row>
    <row r="5121" spans="1:1" x14ac:dyDescent="0.2">
      <c r="A5121" s="22">
        <v>5.7614266872406006E-2</v>
      </c>
    </row>
    <row r="5122" spans="1:1" x14ac:dyDescent="0.2">
      <c r="A5122" s="22">
        <v>0.11467492580413818</v>
      </c>
    </row>
    <row r="5123" spans="1:1" x14ac:dyDescent="0.2">
      <c r="A5123" s="22">
        <v>0.67341238260269165</v>
      </c>
    </row>
    <row r="5124" spans="1:1" x14ac:dyDescent="0.2">
      <c r="A5124" s="22">
        <v>0.24494171142578125</v>
      </c>
    </row>
    <row r="5125" spans="1:1" x14ac:dyDescent="0.2">
      <c r="A5125" s="22">
        <v>0.47462862730026245</v>
      </c>
    </row>
    <row r="5126" spans="1:1" x14ac:dyDescent="0.2">
      <c r="A5126" s="22">
        <v>0.89024317264556885</v>
      </c>
    </row>
    <row r="5127" spans="1:1" x14ac:dyDescent="0.2">
      <c r="A5127" s="22">
        <v>0.51687365770339966</v>
      </c>
    </row>
    <row r="5128" spans="1:1" x14ac:dyDescent="0.2">
      <c r="A5128" s="22">
        <v>0.45405983924865723</v>
      </c>
    </row>
    <row r="5129" spans="1:1" x14ac:dyDescent="0.2">
      <c r="A5129" s="22">
        <v>0.87876838445663452</v>
      </c>
    </row>
    <row r="5130" spans="1:1" x14ac:dyDescent="0.2">
      <c r="A5130" s="22">
        <v>0.83334147930145264</v>
      </c>
    </row>
    <row r="5131" spans="1:1" x14ac:dyDescent="0.2">
      <c r="A5131" s="22">
        <v>0.47102600336074829</v>
      </c>
    </row>
    <row r="5132" spans="1:1" x14ac:dyDescent="0.2">
      <c r="A5132" s="22">
        <v>0.49126100540161133</v>
      </c>
    </row>
    <row r="5133" spans="1:1" x14ac:dyDescent="0.2">
      <c r="A5133" s="22">
        <v>0.31819027662277222</v>
      </c>
    </row>
    <row r="5134" spans="1:1" x14ac:dyDescent="0.2">
      <c r="A5134" s="22">
        <v>0.11199963092803955</v>
      </c>
    </row>
    <row r="5135" spans="1:1" x14ac:dyDescent="0.2">
      <c r="A5135" s="22">
        <v>9.4280064105987549E-2</v>
      </c>
    </row>
    <row r="5136" spans="1:1" x14ac:dyDescent="0.2">
      <c r="A5136" s="22">
        <v>0.49381327629089355</v>
      </c>
    </row>
    <row r="5137" spans="1:1" x14ac:dyDescent="0.2">
      <c r="A5137" s="22">
        <v>0.94359010457992554</v>
      </c>
    </row>
    <row r="5138" spans="1:1" x14ac:dyDescent="0.2">
      <c r="A5138" s="22">
        <v>0.58663022518157959</v>
      </c>
    </row>
    <row r="5139" spans="1:1" x14ac:dyDescent="0.2">
      <c r="A5139" s="22">
        <v>0.86789804697036743</v>
      </c>
    </row>
    <row r="5140" spans="1:1" x14ac:dyDescent="0.2">
      <c r="A5140" s="22">
        <v>0.83043003082275391</v>
      </c>
    </row>
    <row r="5141" spans="1:1" x14ac:dyDescent="0.2">
      <c r="A5141" s="22">
        <v>0.21132773160934448</v>
      </c>
    </row>
    <row r="5142" spans="1:1" x14ac:dyDescent="0.2">
      <c r="A5142" s="22">
        <v>0.20065367221832275</v>
      </c>
    </row>
    <row r="5143" spans="1:1" x14ac:dyDescent="0.2">
      <c r="A5143" s="22">
        <v>2.4118721485137939E-2</v>
      </c>
    </row>
    <row r="5144" spans="1:1" x14ac:dyDescent="0.2">
      <c r="A5144" s="22">
        <v>0.61689496040344238</v>
      </c>
    </row>
    <row r="5145" spans="1:1" x14ac:dyDescent="0.2">
      <c r="A5145" s="22">
        <v>0.33655208349227905</v>
      </c>
    </row>
    <row r="5146" spans="1:1" x14ac:dyDescent="0.2">
      <c r="A5146" s="22">
        <v>0.62112319469451904</v>
      </c>
    </row>
    <row r="5147" spans="1:1" x14ac:dyDescent="0.2">
      <c r="A5147" s="22">
        <v>0.62428241968154907</v>
      </c>
    </row>
    <row r="5148" spans="1:1" x14ac:dyDescent="0.2">
      <c r="A5148" s="22">
        <v>0.48168706893920898</v>
      </c>
    </row>
    <row r="5149" spans="1:1" x14ac:dyDescent="0.2">
      <c r="A5149" s="22">
        <v>0.99632614850997925</v>
      </c>
    </row>
    <row r="5150" spans="1:1" x14ac:dyDescent="0.2">
      <c r="A5150" s="22">
        <v>0.12934982776641846</v>
      </c>
    </row>
    <row r="5151" spans="1:1" x14ac:dyDescent="0.2">
      <c r="A5151" s="22">
        <v>0.88695603609085083</v>
      </c>
    </row>
    <row r="5152" spans="1:1" x14ac:dyDescent="0.2">
      <c r="A5152" s="22">
        <v>0.58160567283630371</v>
      </c>
    </row>
    <row r="5153" spans="1:1" x14ac:dyDescent="0.2">
      <c r="A5153" s="22">
        <v>0.28275197744369507</v>
      </c>
    </row>
    <row r="5154" spans="1:1" x14ac:dyDescent="0.2">
      <c r="A5154" s="22">
        <v>0.761527419090271</v>
      </c>
    </row>
    <row r="5155" spans="1:1" x14ac:dyDescent="0.2">
      <c r="A5155" s="22">
        <v>0.76605802774429321</v>
      </c>
    </row>
    <row r="5156" spans="1:1" x14ac:dyDescent="0.2">
      <c r="A5156" s="22">
        <v>0.86739540100097656</v>
      </c>
    </row>
    <row r="5157" spans="1:1" x14ac:dyDescent="0.2">
      <c r="A5157" s="22">
        <v>0.90609568357467651</v>
      </c>
    </row>
    <row r="5158" spans="1:1" x14ac:dyDescent="0.2">
      <c r="A5158" s="22">
        <v>0.69935762882232666</v>
      </c>
    </row>
    <row r="5159" spans="1:1" x14ac:dyDescent="0.2">
      <c r="A5159" s="22">
        <v>0.77898341417312622</v>
      </c>
    </row>
    <row r="5160" spans="1:1" x14ac:dyDescent="0.2">
      <c r="A5160" s="22">
        <v>0.59937119483947754</v>
      </c>
    </row>
    <row r="5161" spans="1:1" x14ac:dyDescent="0.2">
      <c r="A5161" s="22">
        <v>0.64791244268417358</v>
      </c>
    </row>
    <row r="5162" spans="1:1" x14ac:dyDescent="0.2">
      <c r="A5162" s="22">
        <v>0.91067492961883545</v>
      </c>
    </row>
    <row r="5163" spans="1:1" x14ac:dyDescent="0.2">
      <c r="A5163" s="22">
        <v>8.4728777408599854E-2</v>
      </c>
    </row>
    <row r="5164" spans="1:1" x14ac:dyDescent="0.2">
      <c r="A5164" s="22">
        <v>0.11304330825805664</v>
      </c>
    </row>
    <row r="5165" spans="1:1" x14ac:dyDescent="0.2">
      <c r="A5165" s="22">
        <v>6.4171493053436279E-2</v>
      </c>
    </row>
    <row r="5166" spans="1:1" x14ac:dyDescent="0.2">
      <c r="A5166" s="22">
        <v>4.0071606636047363E-2</v>
      </c>
    </row>
    <row r="5167" spans="1:1" x14ac:dyDescent="0.2">
      <c r="A5167" s="22">
        <v>0.81201726198196411</v>
      </c>
    </row>
    <row r="5168" spans="1:1" x14ac:dyDescent="0.2">
      <c r="A5168" s="22">
        <v>0.83474230766296387</v>
      </c>
    </row>
    <row r="5169" spans="1:1" x14ac:dyDescent="0.2">
      <c r="A5169" s="22">
        <v>0.4383811354637146</v>
      </c>
    </row>
    <row r="5170" spans="1:1" x14ac:dyDescent="0.2">
      <c r="A5170" s="22">
        <v>0.5495227575302124</v>
      </c>
    </row>
    <row r="5171" spans="1:1" x14ac:dyDescent="0.2">
      <c r="A5171" s="22">
        <v>0.63742357492446899</v>
      </c>
    </row>
    <row r="5172" spans="1:1" x14ac:dyDescent="0.2">
      <c r="A5172" s="22">
        <v>0.54724407196044922</v>
      </c>
    </row>
    <row r="5173" spans="1:1" x14ac:dyDescent="0.2">
      <c r="A5173" s="22">
        <v>0.98471373319625854</v>
      </c>
    </row>
    <row r="5174" spans="1:1" x14ac:dyDescent="0.2">
      <c r="A5174" s="22">
        <v>0.10901129245758057</v>
      </c>
    </row>
    <row r="5175" spans="1:1" x14ac:dyDescent="0.2">
      <c r="A5175" s="22">
        <v>0.6134989857673645</v>
      </c>
    </row>
    <row r="5176" spans="1:1" x14ac:dyDescent="0.2">
      <c r="A5176" s="22">
        <v>0.9053947925567627</v>
      </c>
    </row>
    <row r="5177" spans="1:1" x14ac:dyDescent="0.2">
      <c r="A5177" s="22">
        <v>0.30113071203231812</v>
      </c>
    </row>
    <row r="5178" spans="1:1" x14ac:dyDescent="0.2">
      <c r="A5178" s="22">
        <v>0.23715293407440186</v>
      </c>
    </row>
    <row r="5179" spans="1:1" x14ac:dyDescent="0.2">
      <c r="A5179" s="22">
        <v>0.24689632654190063</v>
      </c>
    </row>
    <row r="5180" spans="1:1" x14ac:dyDescent="0.2">
      <c r="A5180" s="22">
        <v>0.2017359733581543</v>
      </c>
    </row>
    <row r="5181" spans="1:1" x14ac:dyDescent="0.2">
      <c r="A5181" s="22">
        <v>7.2507560253143311E-2</v>
      </c>
    </row>
    <row r="5182" spans="1:1" x14ac:dyDescent="0.2">
      <c r="A5182" s="22">
        <v>0.19182121753692627</v>
      </c>
    </row>
    <row r="5183" spans="1:1" x14ac:dyDescent="0.2">
      <c r="A5183" s="22">
        <v>0.82649499177932739</v>
      </c>
    </row>
    <row r="5184" spans="1:1" x14ac:dyDescent="0.2">
      <c r="A5184" s="22">
        <v>0.38212943077087402</v>
      </c>
    </row>
    <row r="5185" spans="1:1" x14ac:dyDescent="0.2">
      <c r="A5185" s="22">
        <v>2.3758828639984131E-2</v>
      </c>
    </row>
    <row r="5186" spans="1:1" x14ac:dyDescent="0.2">
      <c r="A5186" s="22">
        <v>0.11077249050140381</v>
      </c>
    </row>
    <row r="5187" spans="1:1" x14ac:dyDescent="0.2">
      <c r="A5187" s="22">
        <v>1.5259385108947754E-3</v>
      </c>
    </row>
    <row r="5188" spans="1:1" x14ac:dyDescent="0.2">
      <c r="A5188" s="22">
        <v>0.31138229370117188</v>
      </c>
    </row>
    <row r="5189" spans="1:1" x14ac:dyDescent="0.2">
      <c r="A5189" s="22">
        <v>0.12296313047409058</v>
      </c>
    </row>
    <row r="5190" spans="1:1" x14ac:dyDescent="0.2">
      <c r="A5190" s="22">
        <v>0.40227091312408447</v>
      </c>
    </row>
    <row r="5191" spans="1:1" x14ac:dyDescent="0.2">
      <c r="A5191" s="22">
        <v>0.60969668626785278</v>
      </c>
    </row>
    <row r="5192" spans="1:1" x14ac:dyDescent="0.2">
      <c r="A5192" s="22">
        <v>0.28887200355529785</v>
      </c>
    </row>
    <row r="5193" spans="1:1" x14ac:dyDescent="0.2">
      <c r="A5193" s="22">
        <v>3.4488141536712646E-2</v>
      </c>
    </row>
    <row r="5194" spans="1:1" x14ac:dyDescent="0.2">
      <c r="A5194" s="22">
        <v>0.38571345806121826</v>
      </c>
    </row>
    <row r="5195" spans="1:1" x14ac:dyDescent="0.2">
      <c r="A5195" s="22">
        <v>0.75531631708145142</v>
      </c>
    </row>
    <row r="5196" spans="1:1" x14ac:dyDescent="0.2">
      <c r="A5196" s="22">
        <v>0.81417131423950195</v>
      </c>
    </row>
    <row r="5197" spans="1:1" x14ac:dyDescent="0.2">
      <c r="A5197" s="22">
        <v>0.82211560010910034</v>
      </c>
    </row>
    <row r="5198" spans="1:1" x14ac:dyDescent="0.2">
      <c r="A5198" s="22">
        <v>0.18225491046905518</v>
      </c>
    </row>
    <row r="5199" spans="1:1" x14ac:dyDescent="0.2">
      <c r="A5199" s="22">
        <v>0.13742047548294067</v>
      </c>
    </row>
    <row r="5200" spans="1:1" x14ac:dyDescent="0.2">
      <c r="A5200" s="22">
        <v>0.60267329216003418</v>
      </c>
    </row>
    <row r="5201" spans="1:1" x14ac:dyDescent="0.2">
      <c r="A5201" s="22">
        <v>0.90216630697250366</v>
      </c>
    </row>
    <row r="5202" spans="1:1" x14ac:dyDescent="0.2">
      <c r="A5202" s="22">
        <v>0.85543286800384521</v>
      </c>
    </row>
    <row r="5203" spans="1:1" x14ac:dyDescent="0.2">
      <c r="A5203" s="22">
        <v>0.62789636850357056</v>
      </c>
    </row>
    <row r="5204" spans="1:1" x14ac:dyDescent="0.2">
      <c r="A5204" s="22">
        <v>0.85121631622314453</v>
      </c>
    </row>
    <row r="5205" spans="1:1" x14ac:dyDescent="0.2">
      <c r="A5205" s="22">
        <v>0.24662512540817261</v>
      </c>
    </row>
    <row r="5206" spans="1:1" x14ac:dyDescent="0.2">
      <c r="A5206" s="22">
        <v>0.80179274082183838</v>
      </c>
    </row>
    <row r="5207" spans="1:1" x14ac:dyDescent="0.2">
      <c r="A5207" s="22">
        <v>9.9607765674591064E-2</v>
      </c>
    </row>
    <row r="5208" spans="1:1" x14ac:dyDescent="0.2">
      <c r="A5208" s="22">
        <v>0.75370907783508301</v>
      </c>
    </row>
    <row r="5209" spans="1:1" x14ac:dyDescent="0.2">
      <c r="A5209" s="22">
        <v>0.83626598119735718</v>
      </c>
    </row>
    <row r="5210" spans="1:1" x14ac:dyDescent="0.2">
      <c r="A5210" s="22">
        <v>0.39151275157928467</v>
      </c>
    </row>
    <row r="5211" spans="1:1" x14ac:dyDescent="0.2">
      <c r="A5211" s="22">
        <v>0.5045199990272522</v>
      </c>
    </row>
    <row r="5212" spans="1:1" x14ac:dyDescent="0.2">
      <c r="A5212" s="22">
        <v>0.26675558090209961</v>
      </c>
    </row>
    <row r="5213" spans="1:1" x14ac:dyDescent="0.2">
      <c r="A5213" s="22">
        <v>0.36377686262130737</v>
      </c>
    </row>
    <row r="5214" spans="1:1" x14ac:dyDescent="0.2">
      <c r="A5214" s="22">
        <v>0.85902893543243408</v>
      </c>
    </row>
    <row r="5215" spans="1:1" x14ac:dyDescent="0.2">
      <c r="A5215" s="22">
        <v>0.20182496309280396</v>
      </c>
    </row>
    <row r="5216" spans="1:1" x14ac:dyDescent="0.2">
      <c r="A5216" s="22">
        <v>0.12528014183044434</v>
      </c>
    </row>
    <row r="5217" spans="1:1" x14ac:dyDescent="0.2">
      <c r="A5217" s="22">
        <v>0.18688482046127319</v>
      </c>
    </row>
    <row r="5218" spans="1:1" x14ac:dyDescent="0.2">
      <c r="A5218" s="22">
        <v>0.44366014003753662</v>
      </c>
    </row>
    <row r="5219" spans="1:1" x14ac:dyDescent="0.2">
      <c r="A5219" s="22">
        <v>0.53606611490249634</v>
      </c>
    </row>
    <row r="5220" spans="1:1" x14ac:dyDescent="0.2">
      <c r="A5220" s="22">
        <v>0.10815238952636719</v>
      </c>
    </row>
    <row r="5221" spans="1:1" x14ac:dyDescent="0.2">
      <c r="A5221" s="22">
        <v>0.53148096799850464</v>
      </c>
    </row>
    <row r="5222" spans="1:1" x14ac:dyDescent="0.2">
      <c r="A5222" s="22">
        <v>0.78023302555084229</v>
      </c>
    </row>
    <row r="5223" spans="1:1" x14ac:dyDescent="0.2">
      <c r="A5223" s="22">
        <v>0.66526347398757935</v>
      </c>
    </row>
    <row r="5224" spans="1:1" x14ac:dyDescent="0.2">
      <c r="A5224" s="22">
        <v>0.55381226539611816</v>
      </c>
    </row>
    <row r="5225" spans="1:1" x14ac:dyDescent="0.2">
      <c r="A5225" s="22">
        <v>0.94474548101425171</v>
      </c>
    </row>
    <row r="5226" spans="1:1" x14ac:dyDescent="0.2">
      <c r="A5226" s="22">
        <v>0.53970706462860107</v>
      </c>
    </row>
    <row r="5227" spans="1:1" x14ac:dyDescent="0.2">
      <c r="A5227" s="22">
        <v>0.63903862237930298</v>
      </c>
    </row>
    <row r="5228" spans="1:1" x14ac:dyDescent="0.2">
      <c r="A5228" s="22">
        <v>0.12589502334594727</v>
      </c>
    </row>
    <row r="5229" spans="1:1" x14ac:dyDescent="0.2">
      <c r="A5229" s="22">
        <v>0.9982725977897644</v>
      </c>
    </row>
    <row r="5230" spans="1:1" x14ac:dyDescent="0.2">
      <c r="A5230" s="22">
        <v>0.31979954242706299</v>
      </c>
    </row>
    <row r="5231" spans="1:1" x14ac:dyDescent="0.2">
      <c r="A5231" s="22">
        <v>0.72673970460891724</v>
      </c>
    </row>
    <row r="5232" spans="1:1" x14ac:dyDescent="0.2">
      <c r="A5232" s="22">
        <v>0.82885622978210449</v>
      </c>
    </row>
    <row r="5233" spans="1:1" x14ac:dyDescent="0.2">
      <c r="A5233" s="22">
        <v>0.24119561910629272</v>
      </c>
    </row>
    <row r="5234" spans="1:1" x14ac:dyDescent="0.2">
      <c r="A5234" s="22">
        <v>0.78561055660247803</v>
      </c>
    </row>
    <row r="5235" spans="1:1" x14ac:dyDescent="0.2">
      <c r="A5235" s="22">
        <v>0.99556642770767212</v>
      </c>
    </row>
    <row r="5236" spans="1:1" x14ac:dyDescent="0.2">
      <c r="A5236" s="22">
        <v>0.27359676361083984</v>
      </c>
    </row>
    <row r="5237" spans="1:1" x14ac:dyDescent="0.2">
      <c r="A5237" s="22">
        <v>0.40331190824508667</v>
      </c>
    </row>
    <row r="5238" spans="1:1" x14ac:dyDescent="0.2">
      <c r="A5238" s="22">
        <v>6.0248017311096191E-2</v>
      </c>
    </row>
    <row r="5239" spans="1:1" x14ac:dyDescent="0.2">
      <c r="A5239" s="22">
        <v>0.13869506120681763</v>
      </c>
    </row>
    <row r="5240" spans="1:1" x14ac:dyDescent="0.2">
      <c r="A5240" s="22">
        <v>0.19308781623840332</v>
      </c>
    </row>
    <row r="5241" spans="1:1" x14ac:dyDescent="0.2">
      <c r="A5241" s="22">
        <v>0.84820789098739624</v>
      </c>
    </row>
    <row r="5242" spans="1:1" x14ac:dyDescent="0.2">
      <c r="A5242" s="22">
        <v>0.36545264720916748</v>
      </c>
    </row>
    <row r="5243" spans="1:1" x14ac:dyDescent="0.2">
      <c r="A5243" s="22">
        <v>0.55340343713760376</v>
      </c>
    </row>
    <row r="5244" spans="1:1" x14ac:dyDescent="0.2">
      <c r="A5244" s="22">
        <v>0.20799589157104492</v>
      </c>
    </row>
    <row r="5245" spans="1:1" x14ac:dyDescent="0.2">
      <c r="A5245" s="22">
        <v>0.27638405561447144</v>
      </c>
    </row>
    <row r="5246" spans="1:1" x14ac:dyDescent="0.2">
      <c r="A5246" s="22">
        <v>0.91222298145294189</v>
      </c>
    </row>
    <row r="5247" spans="1:1" x14ac:dyDescent="0.2">
      <c r="A5247" s="22">
        <v>0.66919595003128052</v>
      </c>
    </row>
    <row r="5248" spans="1:1" x14ac:dyDescent="0.2">
      <c r="A5248" s="22">
        <v>0.84230780601501465</v>
      </c>
    </row>
    <row r="5249" spans="1:1" x14ac:dyDescent="0.2">
      <c r="A5249" s="22">
        <v>0.67837995290756226</v>
      </c>
    </row>
    <row r="5250" spans="1:1" x14ac:dyDescent="0.2">
      <c r="A5250" s="22">
        <v>4.1440367698669434E-2</v>
      </c>
    </row>
    <row r="5251" spans="1:1" x14ac:dyDescent="0.2">
      <c r="A5251" s="22">
        <v>0.5259285569190979</v>
      </c>
    </row>
    <row r="5252" spans="1:1" x14ac:dyDescent="0.2">
      <c r="A5252" s="22">
        <v>0.7889556884765625</v>
      </c>
    </row>
    <row r="5253" spans="1:1" x14ac:dyDescent="0.2">
      <c r="A5253" s="22">
        <v>0.5378991961479187</v>
      </c>
    </row>
    <row r="5254" spans="1:1" x14ac:dyDescent="0.2">
      <c r="A5254" s="22">
        <v>0.6144939661026001</v>
      </c>
    </row>
    <row r="5255" spans="1:1" x14ac:dyDescent="0.2">
      <c r="A5255" s="22">
        <v>0.60193377733230591</v>
      </c>
    </row>
    <row r="5256" spans="1:1" x14ac:dyDescent="0.2">
      <c r="A5256" s="22">
        <v>0.42544198036193848</v>
      </c>
    </row>
    <row r="5257" spans="1:1" x14ac:dyDescent="0.2">
      <c r="A5257" s="22">
        <v>0.28493446111679077</v>
      </c>
    </row>
    <row r="5258" spans="1:1" x14ac:dyDescent="0.2">
      <c r="A5258" s="22">
        <v>0.65390574932098389</v>
      </c>
    </row>
    <row r="5259" spans="1:1" x14ac:dyDescent="0.2">
      <c r="A5259" s="22">
        <v>0.89214569330215454</v>
      </c>
    </row>
    <row r="5260" spans="1:1" x14ac:dyDescent="0.2">
      <c r="A5260" s="22">
        <v>0.57946443557739258</v>
      </c>
    </row>
    <row r="5261" spans="1:1" x14ac:dyDescent="0.2">
      <c r="A5261" s="22">
        <v>0.99889248609542847</v>
      </c>
    </row>
    <row r="5262" spans="1:1" x14ac:dyDescent="0.2">
      <c r="A5262" s="22">
        <v>0.2339555025100708</v>
      </c>
    </row>
    <row r="5263" spans="1:1" x14ac:dyDescent="0.2">
      <c r="A5263" s="22">
        <v>0.2362249493598938</v>
      </c>
    </row>
    <row r="5264" spans="1:1" x14ac:dyDescent="0.2">
      <c r="A5264" s="22">
        <v>0.5445411205291748</v>
      </c>
    </row>
    <row r="5265" spans="1:1" x14ac:dyDescent="0.2">
      <c r="A5265" s="22">
        <v>0.36171907186508179</v>
      </c>
    </row>
    <row r="5266" spans="1:1" x14ac:dyDescent="0.2">
      <c r="A5266" s="22">
        <v>0.62130582332611084</v>
      </c>
    </row>
    <row r="5267" spans="1:1" x14ac:dyDescent="0.2">
      <c r="A5267" s="22">
        <v>0.89668375253677368</v>
      </c>
    </row>
    <row r="5268" spans="1:1" x14ac:dyDescent="0.2">
      <c r="A5268" s="22">
        <v>0.34563541412353516</v>
      </c>
    </row>
    <row r="5269" spans="1:1" x14ac:dyDescent="0.2">
      <c r="A5269" s="22">
        <v>0.86102408170700073</v>
      </c>
    </row>
    <row r="5270" spans="1:1" x14ac:dyDescent="0.2">
      <c r="A5270" s="22">
        <v>0.665627121925354</v>
      </c>
    </row>
    <row r="5271" spans="1:1" x14ac:dyDescent="0.2">
      <c r="A5271" s="22">
        <v>0.38701087236404419</v>
      </c>
    </row>
    <row r="5272" spans="1:1" x14ac:dyDescent="0.2">
      <c r="A5272" s="22">
        <v>0.25478100776672363</v>
      </c>
    </row>
    <row r="5273" spans="1:1" x14ac:dyDescent="0.2">
      <c r="A5273" s="22">
        <v>0.2432064414024353</v>
      </c>
    </row>
    <row r="5274" spans="1:1" x14ac:dyDescent="0.2">
      <c r="A5274" s="22">
        <v>0.44022262096405029</v>
      </c>
    </row>
    <row r="5275" spans="1:1" x14ac:dyDescent="0.2">
      <c r="A5275" s="22">
        <v>0.54979664087295532</v>
      </c>
    </row>
    <row r="5276" spans="1:1" x14ac:dyDescent="0.2">
      <c r="A5276" s="22">
        <v>0.55670690536499023</v>
      </c>
    </row>
    <row r="5277" spans="1:1" x14ac:dyDescent="0.2">
      <c r="A5277" s="22">
        <v>0.2165791392326355</v>
      </c>
    </row>
    <row r="5278" spans="1:1" x14ac:dyDescent="0.2">
      <c r="A5278" s="22">
        <v>0.13265335559844971</v>
      </c>
    </row>
    <row r="5279" spans="1:1" x14ac:dyDescent="0.2">
      <c r="A5279" s="22">
        <v>0.88485795259475708</v>
      </c>
    </row>
    <row r="5280" spans="1:1" x14ac:dyDescent="0.2">
      <c r="A5280" s="22">
        <v>0.56446242332458496</v>
      </c>
    </row>
    <row r="5281" spans="1:1" x14ac:dyDescent="0.2">
      <c r="A5281" s="22">
        <v>0.40449422597885132</v>
      </c>
    </row>
    <row r="5282" spans="1:1" x14ac:dyDescent="0.2">
      <c r="A5282" s="22">
        <v>0.18536317348480225</v>
      </c>
    </row>
    <row r="5283" spans="1:1" x14ac:dyDescent="0.2">
      <c r="A5283" s="22">
        <v>0.12736326456069946</v>
      </c>
    </row>
    <row r="5284" spans="1:1" x14ac:dyDescent="0.2">
      <c r="A5284" s="22">
        <v>0.88504219055175781</v>
      </c>
    </row>
    <row r="5285" spans="1:1" x14ac:dyDescent="0.2">
      <c r="A5285" s="22">
        <v>0.54846781492233276</v>
      </c>
    </row>
    <row r="5286" spans="1:1" x14ac:dyDescent="0.2">
      <c r="A5286" s="22">
        <v>0.68630373477935791</v>
      </c>
    </row>
    <row r="5287" spans="1:1" x14ac:dyDescent="0.2">
      <c r="A5287" s="22">
        <v>7.5957596302032471E-2</v>
      </c>
    </row>
    <row r="5288" spans="1:1" x14ac:dyDescent="0.2">
      <c r="A5288" s="22">
        <v>0.93501114845275879</v>
      </c>
    </row>
    <row r="5289" spans="1:1" x14ac:dyDescent="0.2">
      <c r="A5289" s="22">
        <v>0.96130508184432983</v>
      </c>
    </row>
    <row r="5290" spans="1:1" x14ac:dyDescent="0.2">
      <c r="A5290" s="22">
        <v>9.5595121383666992E-3</v>
      </c>
    </row>
    <row r="5291" spans="1:1" x14ac:dyDescent="0.2">
      <c r="A5291" s="22">
        <v>0.6708875298500061</v>
      </c>
    </row>
    <row r="5292" spans="1:1" x14ac:dyDescent="0.2">
      <c r="A5292" s="22">
        <v>0.70612955093383789</v>
      </c>
    </row>
    <row r="5293" spans="1:1" x14ac:dyDescent="0.2">
      <c r="A5293" s="22">
        <v>0.23022526502609253</v>
      </c>
    </row>
    <row r="5294" spans="1:1" x14ac:dyDescent="0.2">
      <c r="A5294" s="22">
        <v>0.70597279071807861</v>
      </c>
    </row>
    <row r="5295" spans="1:1" x14ac:dyDescent="0.2">
      <c r="A5295" s="22">
        <v>0.32212620973587036</v>
      </c>
    </row>
    <row r="5296" spans="1:1" x14ac:dyDescent="0.2">
      <c r="A5296" s="22">
        <v>0.78097796440124512</v>
      </c>
    </row>
    <row r="5297" spans="1:1" x14ac:dyDescent="0.2">
      <c r="A5297" s="22">
        <v>0.16998666524887085</v>
      </c>
    </row>
    <row r="5298" spans="1:1" x14ac:dyDescent="0.2">
      <c r="A5298" s="22">
        <v>0.64376866817474365</v>
      </c>
    </row>
    <row r="5299" spans="1:1" x14ac:dyDescent="0.2">
      <c r="A5299" s="22">
        <v>0.48749834299087524</v>
      </c>
    </row>
    <row r="5300" spans="1:1" x14ac:dyDescent="0.2">
      <c r="A5300" s="22">
        <v>0.59858226776123047</v>
      </c>
    </row>
    <row r="5301" spans="1:1" x14ac:dyDescent="0.2">
      <c r="A5301" s="22">
        <v>2.6011645793914795E-2</v>
      </c>
    </row>
    <row r="5302" spans="1:1" x14ac:dyDescent="0.2">
      <c r="A5302" s="22">
        <v>0.39918005466461182</v>
      </c>
    </row>
    <row r="5303" spans="1:1" x14ac:dyDescent="0.2">
      <c r="A5303" s="22">
        <v>0.50080519914627075</v>
      </c>
    </row>
    <row r="5304" spans="1:1" x14ac:dyDescent="0.2">
      <c r="A5304" s="22">
        <v>0.97003865242004395</v>
      </c>
    </row>
    <row r="5305" spans="1:1" x14ac:dyDescent="0.2">
      <c r="A5305" s="22">
        <v>0.92751163244247437</v>
      </c>
    </row>
    <row r="5306" spans="1:1" x14ac:dyDescent="0.2">
      <c r="A5306" s="22">
        <v>0.89707267284393311</v>
      </c>
    </row>
    <row r="5307" spans="1:1" x14ac:dyDescent="0.2">
      <c r="A5307" s="22">
        <v>0.64994961023330688</v>
      </c>
    </row>
    <row r="5308" spans="1:1" x14ac:dyDescent="0.2">
      <c r="A5308" s="22">
        <v>0.84413862228393555</v>
      </c>
    </row>
    <row r="5309" spans="1:1" x14ac:dyDescent="0.2">
      <c r="A5309" s="22">
        <v>0.59061211347579956</v>
      </c>
    </row>
    <row r="5310" spans="1:1" x14ac:dyDescent="0.2">
      <c r="A5310" s="22">
        <v>0.30157005786895752</v>
      </c>
    </row>
    <row r="5311" spans="1:1" x14ac:dyDescent="0.2">
      <c r="A5311" s="22">
        <v>0.50506097078323364</v>
      </c>
    </row>
    <row r="5312" spans="1:1" x14ac:dyDescent="0.2">
      <c r="A5312" s="22">
        <v>0.32299399375915527</v>
      </c>
    </row>
    <row r="5313" spans="1:1" x14ac:dyDescent="0.2">
      <c r="A5313" s="22">
        <v>0.27147763967514038</v>
      </c>
    </row>
    <row r="5314" spans="1:1" x14ac:dyDescent="0.2">
      <c r="A5314" s="22">
        <v>0.15667855739593506</v>
      </c>
    </row>
    <row r="5315" spans="1:1" x14ac:dyDescent="0.2">
      <c r="A5315" s="22">
        <v>0.49662023782730103</v>
      </c>
    </row>
    <row r="5316" spans="1:1" x14ac:dyDescent="0.2">
      <c r="A5316" s="22">
        <v>0.92766189575195313</v>
      </c>
    </row>
    <row r="5317" spans="1:1" x14ac:dyDescent="0.2">
      <c r="A5317" s="22">
        <v>0.96943682432174683</v>
      </c>
    </row>
    <row r="5318" spans="1:1" x14ac:dyDescent="0.2">
      <c r="A5318" s="22">
        <v>0.77691233158111572</v>
      </c>
    </row>
    <row r="5319" spans="1:1" x14ac:dyDescent="0.2">
      <c r="A5319" s="22">
        <v>0.74358493089675903</v>
      </c>
    </row>
    <row r="5320" spans="1:1" x14ac:dyDescent="0.2">
      <c r="A5320" s="22">
        <v>0.1137697696685791</v>
      </c>
    </row>
    <row r="5321" spans="1:1" x14ac:dyDescent="0.2">
      <c r="A5321" s="22">
        <v>0.8801073431968689</v>
      </c>
    </row>
    <row r="5322" spans="1:1" x14ac:dyDescent="0.2">
      <c r="A5322" s="22">
        <v>0.88791835308074951</v>
      </c>
    </row>
    <row r="5323" spans="1:1" x14ac:dyDescent="0.2">
      <c r="A5323" s="22">
        <v>0.13151413202285767</v>
      </c>
    </row>
    <row r="5324" spans="1:1" x14ac:dyDescent="0.2">
      <c r="A5324" s="22">
        <v>3.7140369415283203E-2</v>
      </c>
    </row>
    <row r="5325" spans="1:1" x14ac:dyDescent="0.2">
      <c r="A5325" s="22">
        <v>9.8520934581756592E-2</v>
      </c>
    </row>
    <row r="5326" spans="1:1" x14ac:dyDescent="0.2">
      <c r="A5326" s="22">
        <v>0.51710140705108643</v>
      </c>
    </row>
    <row r="5327" spans="1:1" x14ac:dyDescent="0.2">
      <c r="A5327" s="22">
        <v>0.64069348573684692</v>
      </c>
    </row>
    <row r="5328" spans="1:1" x14ac:dyDescent="0.2">
      <c r="A5328" s="22">
        <v>0.56941676139831543</v>
      </c>
    </row>
    <row r="5329" spans="1:1" x14ac:dyDescent="0.2">
      <c r="A5329" s="22">
        <v>0.57224839925765991</v>
      </c>
    </row>
    <row r="5330" spans="1:1" x14ac:dyDescent="0.2">
      <c r="A5330" s="22">
        <v>0.13424909114837646</v>
      </c>
    </row>
    <row r="5331" spans="1:1" x14ac:dyDescent="0.2">
      <c r="A5331" s="22">
        <v>0.92426019906997681</v>
      </c>
    </row>
    <row r="5332" spans="1:1" x14ac:dyDescent="0.2">
      <c r="A5332" s="22">
        <v>0.56368732452392578</v>
      </c>
    </row>
    <row r="5333" spans="1:1" x14ac:dyDescent="0.2">
      <c r="A5333" s="22">
        <v>0.30452460050582886</v>
      </c>
    </row>
    <row r="5334" spans="1:1" x14ac:dyDescent="0.2">
      <c r="A5334" s="22">
        <v>4.2156815528869629E-2</v>
      </c>
    </row>
    <row r="5335" spans="1:1" x14ac:dyDescent="0.2">
      <c r="A5335" s="22">
        <v>0.13632804155349731</v>
      </c>
    </row>
    <row r="5336" spans="1:1" x14ac:dyDescent="0.2">
      <c r="A5336" s="22">
        <v>0.37011075019836426</v>
      </c>
    </row>
    <row r="5337" spans="1:1" x14ac:dyDescent="0.2">
      <c r="A5337" s="22">
        <v>0.80737346410751343</v>
      </c>
    </row>
    <row r="5338" spans="1:1" x14ac:dyDescent="0.2">
      <c r="A5338" s="22">
        <v>1.7252802848815918E-2</v>
      </c>
    </row>
    <row r="5339" spans="1:1" x14ac:dyDescent="0.2">
      <c r="A5339" s="22">
        <v>1.0112345218658447E-2</v>
      </c>
    </row>
    <row r="5340" spans="1:1" x14ac:dyDescent="0.2">
      <c r="A5340" s="22">
        <v>0.60154104232788086</v>
      </c>
    </row>
    <row r="5341" spans="1:1" x14ac:dyDescent="0.2">
      <c r="A5341" s="22">
        <v>0.80473297834396362</v>
      </c>
    </row>
    <row r="5342" spans="1:1" x14ac:dyDescent="0.2">
      <c r="A5342" s="22">
        <v>0.20022308826446533</v>
      </c>
    </row>
    <row r="5343" spans="1:1" x14ac:dyDescent="0.2">
      <c r="A5343" s="22">
        <v>0.18605500459671021</v>
      </c>
    </row>
    <row r="5344" spans="1:1" x14ac:dyDescent="0.2">
      <c r="A5344" s="22">
        <v>0.14915251731872559</v>
      </c>
    </row>
    <row r="5345" spans="1:1" x14ac:dyDescent="0.2">
      <c r="A5345" s="22">
        <v>0.18558019399642944</v>
      </c>
    </row>
    <row r="5346" spans="1:1" x14ac:dyDescent="0.2">
      <c r="A5346" s="22">
        <v>0.23663651943206787</v>
      </c>
    </row>
    <row r="5347" spans="1:1" x14ac:dyDescent="0.2">
      <c r="A5347" s="22">
        <v>0.78994947671890259</v>
      </c>
    </row>
    <row r="5348" spans="1:1" x14ac:dyDescent="0.2">
      <c r="A5348" s="22">
        <v>0.44806480407714844</v>
      </c>
    </row>
    <row r="5349" spans="1:1" x14ac:dyDescent="0.2">
      <c r="A5349" s="22">
        <v>0.20705622434616089</v>
      </c>
    </row>
    <row r="5350" spans="1:1" x14ac:dyDescent="0.2">
      <c r="A5350" s="22">
        <v>0.66756975650787354</v>
      </c>
    </row>
    <row r="5351" spans="1:1" x14ac:dyDescent="0.2">
      <c r="A5351" s="22">
        <v>0.2610657811164856</v>
      </c>
    </row>
    <row r="5352" spans="1:1" x14ac:dyDescent="0.2">
      <c r="A5352" s="22">
        <v>0.99296784400939941</v>
      </c>
    </row>
    <row r="5353" spans="1:1" x14ac:dyDescent="0.2">
      <c r="A5353" s="22">
        <v>0.94759124517440796</v>
      </c>
    </row>
    <row r="5354" spans="1:1" x14ac:dyDescent="0.2">
      <c r="A5354" s="22">
        <v>0.57023227214813232</v>
      </c>
    </row>
    <row r="5355" spans="1:1" x14ac:dyDescent="0.2">
      <c r="A5355" s="22">
        <v>0.43027549982070923</v>
      </c>
    </row>
    <row r="5356" spans="1:1" x14ac:dyDescent="0.2">
      <c r="A5356" s="22">
        <v>0.10374689102172852</v>
      </c>
    </row>
    <row r="5357" spans="1:1" x14ac:dyDescent="0.2">
      <c r="A5357" s="22">
        <v>1.0029494762420654E-2</v>
      </c>
    </row>
    <row r="5358" spans="1:1" x14ac:dyDescent="0.2">
      <c r="A5358" s="22">
        <v>0.44859135150909424</v>
      </c>
    </row>
    <row r="5359" spans="1:1" x14ac:dyDescent="0.2">
      <c r="A5359" s="22">
        <v>0.84817677736282349</v>
      </c>
    </row>
    <row r="5360" spans="1:1" x14ac:dyDescent="0.2">
      <c r="A5360" s="22">
        <v>0.94110751152038574</v>
      </c>
    </row>
    <row r="5361" spans="1:1" x14ac:dyDescent="0.2">
      <c r="A5361" s="22">
        <v>0.47475427389144897</v>
      </c>
    </row>
    <row r="5362" spans="1:1" x14ac:dyDescent="0.2">
      <c r="A5362" s="22">
        <v>0.37399709224700928</v>
      </c>
    </row>
    <row r="5363" spans="1:1" x14ac:dyDescent="0.2">
      <c r="A5363" s="22">
        <v>0.36321932077407837</v>
      </c>
    </row>
    <row r="5364" spans="1:1" x14ac:dyDescent="0.2">
      <c r="A5364" s="22">
        <v>0.77220058441162109</v>
      </c>
    </row>
    <row r="5365" spans="1:1" x14ac:dyDescent="0.2">
      <c r="A5365" s="22">
        <v>0.10281294584274292</v>
      </c>
    </row>
    <row r="5366" spans="1:1" x14ac:dyDescent="0.2">
      <c r="A5366" s="22">
        <v>0.37580740451812744</v>
      </c>
    </row>
    <row r="5367" spans="1:1" x14ac:dyDescent="0.2">
      <c r="A5367" s="22">
        <v>0.94982939958572388</v>
      </c>
    </row>
    <row r="5368" spans="1:1" x14ac:dyDescent="0.2">
      <c r="A5368" s="22">
        <v>0.48624730110168457</v>
      </c>
    </row>
    <row r="5369" spans="1:1" x14ac:dyDescent="0.2">
      <c r="A5369" s="22">
        <v>0.78904193639755249</v>
      </c>
    </row>
    <row r="5370" spans="1:1" x14ac:dyDescent="0.2">
      <c r="A5370" s="22">
        <v>8.201301097869873E-2</v>
      </c>
    </row>
    <row r="5371" spans="1:1" x14ac:dyDescent="0.2">
      <c r="A5371" s="22">
        <v>0.78653484582901001</v>
      </c>
    </row>
    <row r="5372" spans="1:1" x14ac:dyDescent="0.2">
      <c r="A5372" s="22">
        <v>0.36016416549682617</v>
      </c>
    </row>
    <row r="5373" spans="1:1" x14ac:dyDescent="0.2">
      <c r="A5373" s="22">
        <v>0.26519173383712769</v>
      </c>
    </row>
    <row r="5374" spans="1:1" x14ac:dyDescent="0.2">
      <c r="A5374" s="22">
        <v>0.60986244678497314</v>
      </c>
    </row>
    <row r="5375" spans="1:1" x14ac:dyDescent="0.2">
      <c r="A5375" s="22">
        <v>0.58409005403518677</v>
      </c>
    </row>
    <row r="5376" spans="1:1" x14ac:dyDescent="0.2">
      <c r="A5376" s="22">
        <v>7.4187994003295898E-2</v>
      </c>
    </row>
    <row r="5377" spans="1:1" x14ac:dyDescent="0.2">
      <c r="A5377" s="22">
        <v>5.3051888942718506E-2</v>
      </c>
    </row>
    <row r="5378" spans="1:1" x14ac:dyDescent="0.2">
      <c r="A5378" s="22">
        <v>0.70648705959320068</v>
      </c>
    </row>
    <row r="5379" spans="1:1" x14ac:dyDescent="0.2">
      <c r="A5379" s="22">
        <v>0.16360098123550415</v>
      </c>
    </row>
    <row r="5380" spans="1:1" x14ac:dyDescent="0.2">
      <c r="A5380" s="22">
        <v>0.97750091552734375</v>
      </c>
    </row>
    <row r="5381" spans="1:1" x14ac:dyDescent="0.2">
      <c r="A5381" s="22">
        <v>0.66757601499557495</v>
      </c>
    </row>
    <row r="5382" spans="1:1" x14ac:dyDescent="0.2">
      <c r="A5382" s="22">
        <v>0.13952600955963135</v>
      </c>
    </row>
    <row r="5383" spans="1:1" x14ac:dyDescent="0.2">
      <c r="A5383" s="22">
        <v>0.28465014696121216</v>
      </c>
    </row>
    <row r="5384" spans="1:1" x14ac:dyDescent="0.2">
      <c r="A5384" s="22">
        <v>0.60385537147521973</v>
      </c>
    </row>
    <row r="5385" spans="1:1" x14ac:dyDescent="0.2">
      <c r="A5385" s="22">
        <v>7.0006787776947021E-2</v>
      </c>
    </row>
    <row r="5386" spans="1:1" x14ac:dyDescent="0.2">
      <c r="A5386" s="22">
        <v>0.33775126934051514</v>
      </c>
    </row>
    <row r="5387" spans="1:1" x14ac:dyDescent="0.2">
      <c r="A5387" s="22">
        <v>0.72342163324356079</v>
      </c>
    </row>
    <row r="5388" spans="1:1" x14ac:dyDescent="0.2">
      <c r="A5388" s="22">
        <v>0.43719911575317383</v>
      </c>
    </row>
    <row r="5389" spans="1:1" x14ac:dyDescent="0.2">
      <c r="A5389" s="22">
        <v>0.37100094556808472</v>
      </c>
    </row>
    <row r="5390" spans="1:1" x14ac:dyDescent="0.2">
      <c r="A5390" s="22">
        <v>0.28169262409210205</v>
      </c>
    </row>
    <row r="5391" spans="1:1" x14ac:dyDescent="0.2">
      <c r="A5391" s="22">
        <v>0.60082608461380005</v>
      </c>
    </row>
    <row r="5392" spans="1:1" x14ac:dyDescent="0.2">
      <c r="A5392" s="22">
        <v>0.92730021476745605</v>
      </c>
    </row>
    <row r="5393" spans="1:1" x14ac:dyDescent="0.2">
      <c r="A5393" s="22">
        <v>0.78375428915023804</v>
      </c>
    </row>
    <row r="5394" spans="1:1" x14ac:dyDescent="0.2">
      <c r="A5394" s="22">
        <v>0.64426267147064209</v>
      </c>
    </row>
    <row r="5395" spans="1:1" x14ac:dyDescent="0.2">
      <c r="A5395" s="22">
        <v>0.96062570810317993</v>
      </c>
    </row>
    <row r="5396" spans="1:1" x14ac:dyDescent="0.2">
      <c r="A5396" s="22">
        <v>0.75537204742431641</v>
      </c>
    </row>
    <row r="5397" spans="1:1" x14ac:dyDescent="0.2">
      <c r="A5397" s="22">
        <v>0.82712668180465698</v>
      </c>
    </row>
    <row r="5398" spans="1:1" x14ac:dyDescent="0.2">
      <c r="A5398" s="22">
        <v>0.18138182163238525</v>
      </c>
    </row>
    <row r="5399" spans="1:1" x14ac:dyDescent="0.2">
      <c r="A5399" s="22">
        <v>0.59755927324295044</v>
      </c>
    </row>
    <row r="5400" spans="1:1" x14ac:dyDescent="0.2">
      <c r="A5400" s="22">
        <v>0.34969830513000488</v>
      </c>
    </row>
    <row r="5401" spans="1:1" x14ac:dyDescent="0.2">
      <c r="A5401" s="22">
        <v>0.77876704931259155</v>
      </c>
    </row>
    <row r="5402" spans="1:1" x14ac:dyDescent="0.2">
      <c r="A5402" s="22">
        <v>0.37260329723358154</v>
      </c>
    </row>
    <row r="5403" spans="1:1" x14ac:dyDescent="0.2">
      <c r="A5403" s="22">
        <v>0.13546711206436157</v>
      </c>
    </row>
    <row r="5404" spans="1:1" x14ac:dyDescent="0.2">
      <c r="A5404" s="22">
        <v>0.65125799179077148</v>
      </c>
    </row>
    <row r="5405" spans="1:1" x14ac:dyDescent="0.2">
      <c r="A5405" s="22">
        <v>0.37823837995529175</v>
      </c>
    </row>
    <row r="5406" spans="1:1" x14ac:dyDescent="0.2">
      <c r="A5406" s="22">
        <v>0.31173813343048096</v>
      </c>
    </row>
    <row r="5407" spans="1:1" x14ac:dyDescent="0.2">
      <c r="A5407" s="22">
        <v>0.35541611909866333</v>
      </c>
    </row>
    <row r="5408" spans="1:1" x14ac:dyDescent="0.2">
      <c r="A5408" s="22">
        <v>0.12935042381286621</v>
      </c>
    </row>
    <row r="5409" spans="1:1" x14ac:dyDescent="0.2">
      <c r="A5409" s="22">
        <v>0.78014272451400757</v>
      </c>
    </row>
    <row r="5410" spans="1:1" x14ac:dyDescent="0.2">
      <c r="A5410" s="22">
        <v>0.8474801778793335</v>
      </c>
    </row>
    <row r="5411" spans="1:1" x14ac:dyDescent="0.2">
      <c r="A5411" s="22">
        <v>0.77382475137710571</v>
      </c>
    </row>
    <row r="5412" spans="1:1" x14ac:dyDescent="0.2">
      <c r="A5412" s="22">
        <v>4.7220230102539063E-2</v>
      </c>
    </row>
    <row r="5413" spans="1:1" x14ac:dyDescent="0.2">
      <c r="A5413" s="22">
        <v>0.75724619626998901</v>
      </c>
    </row>
    <row r="5414" spans="1:1" x14ac:dyDescent="0.2">
      <c r="A5414" s="22">
        <v>0.97403109073638916</v>
      </c>
    </row>
    <row r="5415" spans="1:1" x14ac:dyDescent="0.2">
      <c r="A5415" s="22">
        <v>0.47058802843093872</v>
      </c>
    </row>
    <row r="5416" spans="1:1" x14ac:dyDescent="0.2">
      <c r="A5416" s="22">
        <v>0.97768235206604004</v>
      </c>
    </row>
    <row r="5417" spans="1:1" x14ac:dyDescent="0.2">
      <c r="A5417" s="22">
        <v>0.15360397100448608</v>
      </c>
    </row>
    <row r="5418" spans="1:1" x14ac:dyDescent="0.2">
      <c r="A5418" s="22">
        <v>0.47172534465789795</v>
      </c>
    </row>
    <row r="5419" spans="1:1" x14ac:dyDescent="0.2">
      <c r="A5419" s="22">
        <v>0.16720253229141235</v>
      </c>
    </row>
    <row r="5420" spans="1:1" x14ac:dyDescent="0.2">
      <c r="A5420" s="22">
        <v>0.56874704360961914</v>
      </c>
    </row>
    <row r="5421" spans="1:1" x14ac:dyDescent="0.2">
      <c r="A5421" s="22">
        <v>0.58768528699874878</v>
      </c>
    </row>
    <row r="5422" spans="1:1" x14ac:dyDescent="0.2">
      <c r="A5422" s="22">
        <v>0.79765522480010986</v>
      </c>
    </row>
    <row r="5423" spans="1:1" x14ac:dyDescent="0.2">
      <c r="A5423" s="22">
        <v>0.55489140748977661</v>
      </c>
    </row>
    <row r="5424" spans="1:1" x14ac:dyDescent="0.2">
      <c r="A5424" s="22">
        <v>0.55924487113952637</v>
      </c>
    </row>
    <row r="5425" spans="1:1" x14ac:dyDescent="0.2">
      <c r="A5425" s="22">
        <v>0.4054984450340271</v>
      </c>
    </row>
    <row r="5426" spans="1:1" x14ac:dyDescent="0.2">
      <c r="A5426" s="22">
        <v>0.2262958288192749</v>
      </c>
    </row>
    <row r="5427" spans="1:1" x14ac:dyDescent="0.2">
      <c r="A5427" s="22">
        <v>0.87272936105728149</v>
      </c>
    </row>
    <row r="5428" spans="1:1" x14ac:dyDescent="0.2">
      <c r="A5428" s="22">
        <v>4.4451713562011719E-2</v>
      </c>
    </row>
    <row r="5429" spans="1:1" x14ac:dyDescent="0.2">
      <c r="A5429" s="22">
        <v>0.88371580839157104</v>
      </c>
    </row>
    <row r="5430" spans="1:1" x14ac:dyDescent="0.2">
      <c r="A5430" s="22">
        <v>0.24013006687164307</v>
      </c>
    </row>
    <row r="5431" spans="1:1" x14ac:dyDescent="0.2">
      <c r="A5431" s="22">
        <v>0.735767662525177</v>
      </c>
    </row>
    <row r="5432" spans="1:1" x14ac:dyDescent="0.2">
      <c r="A5432" s="22">
        <v>0.9917137622833252</v>
      </c>
    </row>
    <row r="5433" spans="1:1" x14ac:dyDescent="0.2">
      <c r="A5433" s="22">
        <v>0.68279880285263062</v>
      </c>
    </row>
    <row r="5434" spans="1:1" x14ac:dyDescent="0.2">
      <c r="A5434" s="22">
        <v>0.17027366161346436</v>
      </c>
    </row>
    <row r="5435" spans="1:1" x14ac:dyDescent="0.2">
      <c r="A5435" s="22">
        <v>0.21315914392471313</v>
      </c>
    </row>
    <row r="5436" spans="1:1" x14ac:dyDescent="0.2">
      <c r="A5436" s="22">
        <v>6.0725212097167969E-3</v>
      </c>
    </row>
    <row r="5437" spans="1:1" x14ac:dyDescent="0.2">
      <c r="A5437" s="22">
        <v>0.55012291669845581</v>
      </c>
    </row>
    <row r="5438" spans="1:1" x14ac:dyDescent="0.2">
      <c r="A5438" s="22">
        <v>8.710014820098877E-2</v>
      </c>
    </row>
    <row r="5439" spans="1:1" x14ac:dyDescent="0.2">
      <c r="A5439" s="22">
        <v>0.15628319978713989</v>
      </c>
    </row>
    <row r="5440" spans="1:1" x14ac:dyDescent="0.2">
      <c r="A5440" s="22">
        <v>0.34588980674743652</v>
      </c>
    </row>
    <row r="5441" spans="1:1" x14ac:dyDescent="0.2">
      <c r="A5441" s="22">
        <v>0.27310270071029663</v>
      </c>
    </row>
    <row r="5442" spans="1:1" x14ac:dyDescent="0.2">
      <c r="A5442" s="22">
        <v>0.94086587429046631</v>
      </c>
    </row>
    <row r="5443" spans="1:1" x14ac:dyDescent="0.2">
      <c r="A5443" s="22">
        <v>0.77687078714370728</v>
      </c>
    </row>
    <row r="5444" spans="1:1" x14ac:dyDescent="0.2">
      <c r="A5444" s="22">
        <v>0.18847274780273438</v>
      </c>
    </row>
    <row r="5445" spans="1:1" x14ac:dyDescent="0.2">
      <c r="A5445" s="22">
        <v>0.88231676816940308</v>
      </c>
    </row>
    <row r="5446" spans="1:1" x14ac:dyDescent="0.2">
      <c r="A5446" s="22">
        <v>0.95233500003814697</v>
      </c>
    </row>
    <row r="5447" spans="1:1" x14ac:dyDescent="0.2">
      <c r="A5447" s="22">
        <v>0.47512942552566528</v>
      </c>
    </row>
    <row r="5448" spans="1:1" x14ac:dyDescent="0.2">
      <c r="A5448" s="22">
        <v>0.14569878578186035</v>
      </c>
    </row>
    <row r="5449" spans="1:1" x14ac:dyDescent="0.2">
      <c r="A5449" s="22">
        <v>0.10463279485702515</v>
      </c>
    </row>
    <row r="5450" spans="1:1" x14ac:dyDescent="0.2">
      <c r="A5450" s="22">
        <v>0.25340449810028076</v>
      </c>
    </row>
    <row r="5451" spans="1:1" x14ac:dyDescent="0.2">
      <c r="A5451" s="22">
        <v>0.91786819696426392</v>
      </c>
    </row>
    <row r="5452" spans="1:1" x14ac:dyDescent="0.2">
      <c r="A5452" s="22">
        <v>2.9640674591064453E-2</v>
      </c>
    </row>
    <row r="5453" spans="1:1" x14ac:dyDescent="0.2">
      <c r="A5453" s="22">
        <v>6.6332519054412842E-2</v>
      </c>
    </row>
    <row r="5454" spans="1:1" x14ac:dyDescent="0.2">
      <c r="A5454" s="22">
        <v>0.77772915363311768</v>
      </c>
    </row>
    <row r="5455" spans="1:1" x14ac:dyDescent="0.2">
      <c r="A5455" s="22">
        <v>0.36662274599075317</v>
      </c>
    </row>
    <row r="5456" spans="1:1" x14ac:dyDescent="0.2">
      <c r="A5456" s="22">
        <v>0.86819148063659668</v>
      </c>
    </row>
    <row r="5457" spans="1:1" x14ac:dyDescent="0.2">
      <c r="A5457" s="22">
        <v>0.24623674154281616</v>
      </c>
    </row>
    <row r="5458" spans="1:1" x14ac:dyDescent="0.2">
      <c r="A5458" s="22">
        <v>0.40134656429290771</v>
      </c>
    </row>
    <row r="5459" spans="1:1" x14ac:dyDescent="0.2">
      <c r="A5459" s="22">
        <v>0.25578027963638306</v>
      </c>
    </row>
    <row r="5460" spans="1:1" x14ac:dyDescent="0.2">
      <c r="A5460" s="22">
        <v>0.17068958282470703</v>
      </c>
    </row>
    <row r="5461" spans="1:1" x14ac:dyDescent="0.2">
      <c r="A5461" s="22">
        <v>0.67883032560348511</v>
      </c>
    </row>
    <row r="5462" spans="1:1" x14ac:dyDescent="0.2">
      <c r="A5462" s="22">
        <v>0.33330214023590088</v>
      </c>
    </row>
    <row r="5463" spans="1:1" x14ac:dyDescent="0.2">
      <c r="A5463" s="22">
        <v>2.0704567432403564E-2</v>
      </c>
    </row>
    <row r="5464" spans="1:1" x14ac:dyDescent="0.2">
      <c r="A5464" s="22">
        <v>0.44354367256164551</v>
      </c>
    </row>
    <row r="5465" spans="1:1" x14ac:dyDescent="0.2">
      <c r="A5465" s="22">
        <v>0.40738719701766968</v>
      </c>
    </row>
    <row r="5466" spans="1:1" x14ac:dyDescent="0.2">
      <c r="A5466" s="22">
        <v>0.75627410411834717</v>
      </c>
    </row>
    <row r="5467" spans="1:1" x14ac:dyDescent="0.2">
      <c r="A5467" s="22">
        <v>0.1758609414100647</v>
      </c>
    </row>
    <row r="5468" spans="1:1" x14ac:dyDescent="0.2">
      <c r="A5468" s="22">
        <v>0.95585775375366211</v>
      </c>
    </row>
    <row r="5469" spans="1:1" x14ac:dyDescent="0.2">
      <c r="A5469" s="22">
        <v>0.18709534406661987</v>
      </c>
    </row>
    <row r="5470" spans="1:1" x14ac:dyDescent="0.2">
      <c r="A5470" s="22">
        <v>0.71719849109649658</v>
      </c>
    </row>
    <row r="5471" spans="1:1" x14ac:dyDescent="0.2">
      <c r="A5471" s="22">
        <v>0.64294129610061646</v>
      </c>
    </row>
    <row r="5472" spans="1:1" x14ac:dyDescent="0.2">
      <c r="A5472" s="22">
        <v>0.75505614280700684</v>
      </c>
    </row>
    <row r="5473" spans="1:1" x14ac:dyDescent="0.2">
      <c r="A5473" s="22">
        <v>0.43818181753158569</v>
      </c>
    </row>
    <row r="5474" spans="1:1" x14ac:dyDescent="0.2">
      <c r="A5474" s="22">
        <v>0.26789414882659912</v>
      </c>
    </row>
    <row r="5475" spans="1:1" x14ac:dyDescent="0.2">
      <c r="A5475" s="22">
        <v>0.32898908853530884</v>
      </c>
    </row>
    <row r="5476" spans="1:1" x14ac:dyDescent="0.2">
      <c r="A5476" s="22">
        <v>0.93250846862792969</v>
      </c>
    </row>
    <row r="5477" spans="1:1" x14ac:dyDescent="0.2">
      <c r="A5477" s="22">
        <v>0.44903773069381714</v>
      </c>
    </row>
    <row r="5478" spans="1:1" x14ac:dyDescent="0.2">
      <c r="A5478" s="22">
        <v>0.85568773746490479</v>
      </c>
    </row>
    <row r="5479" spans="1:1" x14ac:dyDescent="0.2">
      <c r="A5479" s="22">
        <v>0.95452433824539185</v>
      </c>
    </row>
    <row r="5480" spans="1:1" x14ac:dyDescent="0.2">
      <c r="A5480" s="22">
        <v>0.13915467262268066</v>
      </c>
    </row>
    <row r="5481" spans="1:1" x14ac:dyDescent="0.2">
      <c r="A5481" s="22">
        <v>0.82934325933456421</v>
      </c>
    </row>
    <row r="5482" spans="1:1" x14ac:dyDescent="0.2">
      <c r="A5482" s="22">
        <v>0.96403872966766357</v>
      </c>
    </row>
    <row r="5483" spans="1:1" x14ac:dyDescent="0.2">
      <c r="A5483" s="22">
        <v>0.13166862726211548</v>
      </c>
    </row>
    <row r="5484" spans="1:1" x14ac:dyDescent="0.2">
      <c r="A5484" s="22">
        <v>0.35113000869750977</v>
      </c>
    </row>
    <row r="5485" spans="1:1" x14ac:dyDescent="0.2">
      <c r="A5485" s="22">
        <v>0.2131926417350769</v>
      </c>
    </row>
    <row r="5486" spans="1:1" x14ac:dyDescent="0.2">
      <c r="A5486" s="22">
        <v>3.1644105911254883E-3</v>
      </c>
    </row>
    <row r="5487" spans="1:1" x14ac:dyDescent="0.2">
      <c r="A5487" s="22">
        <v>0.69227010011672974</v>
      </c>
    </row>
    <row r="5488" spans="1:1" x14ac:dyDescent="0.2">
      <c r="A5488" s="22">
        <v>0.88539004325866699</v>
      </c>
    </row>
    <row r="5489" spans="1:1" x14ac:dyDescent="0.2">
      <c r="A5489" s="22">
        <v>0.21221917867660522</v>
      </c>
    </row>
    <row r="5490" spans="1:1" x14ac:dyDescent="0.2">
      <c r="A5490" s="22">
        <v>0.45066487789154053</v>
      </c>
    </row>
    <row r="5491" spans="1:1" x14ac:dyDescent="0.2">
      <c r="A5491" s="22">
        <v>0.26602846384048462</v>
      </c>
    </row>
    <row r="5492" spans="1:1" x14ac:dyDescent="0.2">
      <c r="A5492" s="22">
        <v>0.66533565521240234</v>
      </c>
    </row>
    <row r="5493" spans="1:1" x14ac:dyDescent="0.2">
      <c r="A5493" s="22">
        <v>0.61872023344039917</v>
      </c>
    </row>
    <row r="5494" spans="1:1" x14ac:dyDescent="0.2">
      <c r="A5494" s="22">
        <v>0.24214804172515869</v>
      </c>
    </row>
    <row r="5495" spans="1:1" x14ac:dyDescent="0.2">
      <c r="A5495" s="22">
        <v>0.10861998796463013</v>
      </c>
    </row>
    <row r="5496" spans="1:1" x14ac:dyDescent="0.2">
      <c r="A5496" s="22">
        <v>0.73643803596496582</v>
      </c>
    </row>
    <row r="5497" spans="1:1" x14ac:dyDescent="0.2">
      <c r="A5497" s="22">
        <v>0.85878223180770874</v>
      </c>
    </row>
    <row r="5498" spans="1:1" x14ac:dyDescent="0.2">
      <c r="A5498" s="22">
        <v>0.41185462474822998</v>
      </c>
    </row>
    <row r="5499" spans="1:1" x14ac:dyDescent="0.2">
      <c r="A5499" s="22">
        <v>0.17982250452041626</v>
      </c>
    </row>
    <row r="5500" spans="1:1" x14ac:dyDescent="0.2">
      <c r="A5500" s="22">
        <v>3.1863689422607422E-2</v>
      </c>
    </row>
    <row r="5501" spans="1:1" x14ac:dyDescent="0.2">
      <c r="A5501" s="22">
        <v>0.69540566205978394</v>
      </c>
    </row>
    <row r="5502" spans="1:1" x14ac:dyDescent="0.2">
      <c r="A5502" s="22">
        <v>0.98328316211700439</v>
      </c>
    </row>
    <row r="5503" spans="1:1" x14ac:dyDescent="0.2">
      <c r="A5503" s="22">
        <v>0.47164040803909302</v>
      </c>
    </row>
    <row r="5504" spans="1:1" x14ac:dyDescent="0.2">
      <c r="A5504" s="22">
        <v>0.38809943199157715</v>
      </c>
    </row>
    <row r="5505" spans="1:1" x14ac:dyDescent="0.2">
      <c r="A5505" s="22">
        <v>0.18163007497787476</v>
      </c>
    </row>
    <row r="5506" spans="1:1" x14ac:dyDescent="0.2">
      <c r="A5506" s="22">
        <v>0.10981500148773193</v>
      </c>
    </row>
    <row r="5507" spans="1:1" x14ac:dyDescent="0.2">
      <c r="A5507" s="22">
        <v>0.5864296555519104</v>
      </c>
    </row>
    <row r="5508" spans="1:1" x14ac:dyDescent="0.2">
      <c r="A5508" s="22">
        <v>0.810577392578125</v>
      </c>
    </row>
    <row r="5509" spans="1:1" x14ac:dyDescent="0.2">
      <c r="A5509" s="22">
        <v>0.8636590838432312</v>
      </c>
    </row>
    <row r="5510" spans="1:1" x14ac:dyDescent="0.2">
      <c r="A5510" s="22">
        <v>0.4653393030166626</v>
      </c>
    </row>
    <row r="5511" spans="1:1" x14ac:dyDescent="0.2">
      <c r="A5511" s="22">
        <v>0.56502276659011841</v>
      </c>
    </row>
    <row r="5512" spans="1:1" x14ac:dyDescent="0.2">
      <c r="A5512" s="22">
        <v>0.98930001258850098</v>
      </c>
    </row>
    <row r="5513" spans="1:1" x14ac:dyDescent="0.2">
      <c r="A5513" s="22">
        <v>0.23398536443710327</v>
      </c>
    </row>
    <row r="5514" spans="1:1" x14ac:dyDescent="0.2">
      <c r="A5514" s="22">
        <v>0.88487803936004639</v>
      </c>
    </row>
    <row r="5515" spans="1:1" x14ac:dyDescent="0.2">
      <c r="A5515" s="22">
        <v>0.96485382318496704</v>
      </c>
    </row>
    <row r="5516" spans="1:1" x14ac:dyDescent="0.2">
      <c r="A5516" s="22">
        <v>6.4465045928955078E-2</v>
      </c>
    </row>
    <row r="5517" spans="1:1" x14ac:dyDescent="0.2">
      <c r="A5517" s="22">
        <v>0.43451565504074097</v>
      </c>
    </row>
    <row r="5518" spans="1:1" x14ac:dyDescent="0.2">
      <c r="A5518" s="22">
        <v>0.2552109956741333</v>
      </c>
    </row>
    <row r="5519" spans="1:1" x14ac:dyDescent="0.2">
      <c r="A5519" s="22">
        <v>0.1880834698677063</v>
      </c>
    </row>
    <row r="5520" spans="1:1" x14ac:dyDescent="0.2">
      <c r="A5520" s="22">
        <v>0.6420905590057373</v>
      </c>
    </row>
    <row r="5521" spans="1:1" x14ac:dyDescent="0.2">
      <c r="A5521" s="22">
        <v>0.20969575643539429</v>
      </c>
    </row>
    <row r="5522" spans="1:1" x14ac:dyDescent="0.2">
      <c r="A5522" s="22">
        <v>0.65550076961517334</v>
      </c>
    </row>
    <row r="5523" spans="1:1" x14ac:dyDescent="0.2">
      <c r="A5523" s="22">
        <v>5.9723913669586182E-2</v>
      </c>
    </row>
    <row r="5524" spans="1:1" x14ac:dyDescent="0.2">
      <c r="A5524" s="22">
        <v>5.9639930725097656E-2</v>
      </c>
    </row>
    <row r="5525" spans="1:1" x14ac:dyDescent="0.2">
      <c r="A5525" s="22">
        <v>0.10963553190231323</v>
      </c>
    </row>
    <row r="5526" spans="1:1" x14ac:dyDescent="0.2">
      <c r="A5526" s="22">
        <v>0.7479177713394165</v>
      </c>
    </row>
    <row r="5527" spans="1:1" x14ac:dyDescent="0.2">
      <c r="A5527" s="22">
        <v>0.65576392412185669</v>
      </c>
    </row>
    <row r="5528" spans="1:1" x14ac:dyDescent="0.2">
      <c r="A5528" s="22">
        <v>0.90164685249328613</v>
      </c>
    </row>
    <row r="5529" spans="1:1" x14ac:dyDescent="0.2">
      <c r="A5529" s="22">
        <v>0.9432339072227478</v>
      </c>
    </row>
    <row r="5530" spans="1:1" x14ac:dyDescent="0.2">
      <c r="A5530" s="22">
        <v>0.41826522350311279</v>
      </c>
    </row>
    <row r="5531" spans="1:1" x14ac:dyDescent="0.2">
      <c r="A5531" s="22">
        <v>0.38129383325576782</v>
      </c>
    </row>
    <row r="5532" spans="1:1" x14ac:dyDescent="0.2">
      <c r="A5532" s="22">
        <v>0.76534032821655273</v>
      </c>
    </row>
    <row r="5533" spans="1:1" x14ac:dyDescent="0.2">
      <c r="A5533" s="22">
        <v>0.481303870677948</v>
      </c>
    </row>
    <row r="5534" spans="1:1" x14ac:dyDescent="0.2">
      <c r="A5534" s="22">
        <v>0.66660416126251221</v>
      </c>
    </row>
    <row r="5535" spans="1:1" x14ac:dyDescent="0.2">
      <c r="A5535" s="22">
        <v>0.29863053560256958</v>
      </c>
    </row>
    <row r="5536" spans="1:1" x14ac:dyDescent="0.2">
      <c r="A5536" s="22">
        <v>0.27626967430114746</v>
      </c>
    </row>
    <row r="5537" spans="1:1" x14ac:dyDescent="0.2">
      <c r="A5537" s="22">
        <v>0.40969747304916382</v>
      </c>
    </row>
    <row r="5538" spans="1:1" x14ac:dyDescent="0.2">
      <c r="A5538" s="22">
        <v>0.74787843227386475</v>
      </c>
    </row>
    <row r="5539" spans="1:1" x14ac:dyDescent="0.2">
      <c r="A5539" s="22">
        <v>0.70544248819351196</v>
      </c>
    </row>
    <row r="5540" spans="1:1" x14ac:dyDescent="0.2">
      <c r="A5540" s="22">
        <v>0.35392951965332031</v>
      </c>
    </row>
    <row r="5541" spans="1:1" x14ac:dyDescent="0.2">
      <c r="A5541" s="22">
        <v>0.53243082761764526</v>
      </c>
    </row>
    <row r="5542" spans="1:1" x14ac:dyDescent="0.2">
      <c r="A5542" s="22">
        <v>0.56253969669342041</v>
      </c>
    </row>
    <row r="5543" spans="1:1" x14ac:dyDescent="0.2">
      <c r="A5543" s="22">
        <v>0.96287471055984497</v>
      </c>
    </row>
    <row r="5544" spans="1:1" x14ac:dyDescent="0.2">
      <c r="A5544" s="22">
        <v>0.72738480567932129</v>
      </c>
    </row>
    <row r="5545" spans="1:1" x14ac:dyDescent="0.2">
      <c r="A5545" s="22">
        <v>0.22480911016464233</v>
      </c>
    </row>
    <row r="5546" spans="1:1" x14ac:dyDescent="0.2">
      <c r="A5546" s="22">
        <v>0.2971724271774292</v>
      </c>
    </row>
    <row r="5547" spans="1:1" x14ac:dyDescent="0.2">
      <c r="A5547" s="22">
        <v>0.5736737847328186</v>
      </c>
    </row>
    <row r="5548" spans="1:1" x14ac:dyDescent="0.2">
      <c r="A5548" s="22">
        <v>0.70089578628540039</v>
      </c>
    </row>
    <row r="5549" spans="1:1" x14ac:dyDescent="0.2">
      <c r="A5549" s="22">
        <v>0.13655155897140503</v>
      </c>
    </row>
    <row r="5550" spans="1:1" x14ac:dyDescent="0.2">
      <c r="A5550" s="22">
        <v>0.31511890888214111</v>
      </c>
    </row>
    <row r="5551" spans="1:1" x14ac:dyDescent="0.2">
      <c r="A5551" s="22">
        <v>0.51031285524368286</v>
      </c>
    </row>
    <row r="5552" spans="1:1" x14ac:dyDescent="0.2">
      <c r="A5552" s="22">
        <v>0.16954302787780762</v>
      </c>
    </row>
    <row r="5553" spans="1:1" x14ac:dyDescent="0.2">
      <c r="A5553" s="22">
        <v>0.14491647481918335</v>
      </c>
    </row>
    <row r="5554" spans="1:1" x14ac:dyDescent="0.2">
      <c r="A5554" s="22">
        <v>0.29710423946380615</v>
      </c>
    </row>
    <row r="5555" spans="1:1" x14ac:dyDescent="0.2">
      <c r="A5555" s="22">
        <v>0.79311662912368774</v>
      </c>
    </row>
    <row r="5556" spans="1:1" x14ac:dyDescent="0.2">
      <c r="A5556" s="22">
        <v>0.88485240936279297</v>
      </c>
    </row>
    <row r="5557" spans="1:1" x14ac:dyDescent="0.2">
      <c r="A5557" s="22">
        <v>0.55782622098922729</v>
      </c>
    </row>
    <row r="5558" spans="1:1" x14ac:dyDescent="0.2">
      <c r="A5558" s="22">
        <v>0.63186132907867432</v>
      </c>
    </row>
    <row r="5559" spans="1:1" x14ac:dyDescent="0.2">
      <c r="A5559" s="22">
        <v>0.31838637590408325</v>
      </c>
    </row>
    <row r="5560" spans="1:1" x14ac:dyDescent="0.2">
      <c r="A5560" s="22">
        <v>0.97042012214660645</v>
      </c>
    </row>
    <row r="5561" spans="1:1" x14ac:dyDescent="0.2">
      <c r="A5561" s="22">
        <v>0.56699222326278687</v>
      </c>
    </row>
    <row r="5562" spans="1:1" x14ac:dyDescent="0.2">
      <c r="A5562" s="22">
        <v>5.6755900382995605E-2</v>
      </c>
    </row>
    <row r="5563" spans="1:1" x14ac:dyDescent="0.2">
      <c r="A5563" s="22">
        <v>0.93652492761611938</v>
      </c>
    </row>
    <row r="5564" spans="1:1" x14ac:dyDescent="0.2">
      <c r="A5564" s="22">
        <v>0.68753767013549805</v>
      </c>
    </row>
    <row r="5565" spans="1:1" x14ac:dyDescent="0.2">
      <c r="A5565" s="22">
        <v>0.95103996992111206</v>
      </c>
    </row>
    <row r="5566" spans="1:1" x14ac:dyDescent="0.2">
      <c r="A5566" s="22">
        <v>0.54841148853302002</v>
      </c>
    </row>
    <row r="5567" spans="1:1" x14ac:dyDescent="0.2">
      <c r="A5567" s="22">
        <v>0.78016167879104614</v>
      </c>
    </row>
    <row r="5568" spans="1:1" x14ac:dyDescent="0.2">
      <c r="A5568" s="22">
        <v>0.45081686973571777</v>
      </c>
    </row>
    <row r="5569" spans="1:1" x14ac:dyDescent="0.2">
      <c r="A5569" s="22">
        <v>2.8634011745452881E-2</v>
      </c>
    </row>
    <row r="5570" spans="1:1" x14ac:dyDescent="0.2">
      <c r="A5570" s="22">
        <v>0.46333444118499756</v>
      </c>
    </row>
    <row r="5571" spans="1:1" x14ac:dyDescent="0.2">
      <c r="A5571" s="22">
        <v>0.84227758646011353</v>
      </c>
    </row>
    <row r="5572" spans="1:1" x14ac:dyDescent="0.2">
      <c r="A5572" s="22">
        <v>9.3814849853515625E-2</v>
      </c>
    </row>
    <row r="5573" spans="1:1" x14ac:dyDescent="0.2">
      <c r="A5573" s="22">
        <v>0.86160296201705933</v>
      </c>
    </row>
    <row r="5574" spans="1:1" x14ac:dyDescent="0.2">
      <c r="A5574" s="22">
        <v>0.92853891849517822</v>
      </c>
    </row>
    <row r="5575" spans="1:1" x14ac:dyDescent="0.2">
      <c r="A5575" s="22">
        <v>0.80433017015457153</v>
      </c>
    </row>
    <row r="5576" spans="1:1" x14ac:dyDescent="0.2">
      <c r="A5576" s="22">
        <v>0.3846590518951416</v>
      </c>
    </row>
    <row r="5577" spans="1:1" x14ac:dyDescent="0.2">
      <c r="A5577" s="22">
        <v>0.7080644965171814</v>
      </c>
    </row>
    <row r="5578" spans="1:1" x14ac:dyDescent="0.2">
      <c r="A5578" s="22">
        <v>0.48217189311981201</v>
      </c>
    </row>
    <row r="5579" spans="1:1" x14ac:dyDescent="0.2">
      <c r="A5579" s="22">
        <v>0.11437851190567017</v>
      </c>
    </row>
    <row r="5580" spans="1:1" x14ac:dyDescent="0.2">
      <c r="A5580" s="22">
        <v>0.7916722297668457</v>
      </c>
    </row>
    <row r="5581" spans="1:1" x14ac:dyDescent="0.2">
      <c r="A5581" s="22">
        <v>0.72555035352706909</v>
      </c>
    </row>
    <row r="5582" spans="1:1" x14ac:dyDescent="0.2">
      <c r="A5582" s="22">
        <v>0.96413815021514893</v>
      </c>
    </row>
    <row r="5583" spans="1:1" x14ac:dyDescent="0.2">
      <c r="A5583" s="22">
        <v>0.31520825624465942</v>
      </c>
    </row>
    <row r="5584" spans="1:1" x14ac:dyDescent="0.2">
      <c r="A5584" s="22">
        <v>0.49899744987487793</v>
      </c>
    </row>
    <row r="5585" spans="1:1" x14ac:dyDescent="0.2">
      <c r="A5585" s="22">
        <v>0.92413133382797241</v>
      </c>
    </row>
    <row r="5586" spans="1:1" x14ac:dyDescent="0.2">
      <c r="A5586" s="22">
        <v>0.65672528743743896</v>
      </c>
    </row>
    <row r="5587" spans="1:1" x14ac:dyDescent="0.2">
      <c r="A5587" s="22">
        <v>0.62245661020278931</v>
      </c>
    </row>
    <row r="5588" spans="1:1" x14ac:dyDescent="0.2">
      <c r="A5588" s="22">
        <v>0.67222309112548828</v>
      </c>
    </row>
    <row r="5589" spans="1:1" x14ac:dyDescent="0.2">
      <c r="A5589" s="22">
        <v>0.36954230070114136</v>
      </c>
    </row>
    <row r="5590" spans="1:1" x14ac:dyDescent="0.2">
      <c r="A5590" s="22">
        <v>0.67522871494293213</v>
      </c>
    </row>
    <row r="5591" spans="1:1" x14ac:dyDescent="0.2">
      <c r="A5591" s="22">
        <v>0.75273734331130981</v>
      </c>
    </row>
    <row r="5592" spans="1:1" x14ac:dyDescent="0.2">
      <c r="A5592" s="22">
        <v>0.97400784492492676</v>
      </c>
    </row>
    <row r="5593" spans="1:1" x14ac:dyDescent="0.2">
      <c r="A5593" s="22">
        <v>0.63630717992782593</v>
      </c>
    </row>
    <row r="5594" spans="1:1" x14ac:dyDescent="0.2">
      <c r="A5594" s="22">
        <v>0.60857665538787842</v>
      </c>
    </row>
    <row r="5595" spans="1:1" x14ac:dyDescent="0.2">
      <c r="A5595" s="22">
        <v>1.7657876014709473E-3</v>
      </c>
    </row>
    <row r="5596" spans="1:1" x14ac:dyDescent="0.2">
      <c r="A5596" s="22">
        <v>0.32970571517944336</v>
      </c>
    </row>
    <row r="5597" spans="1:1" x14ac:dyDescent="0.2">
      <c r="A5597" s="22">
        <v>0.51086395978927612</v>
      </c>
    </row>
    <row r="5598" spans="1:1" x14ac:dyDescent="0.2">
      <c r="A5598" s="22">
        <v>0.40995514392852783</v>
      </c>
    </row>
    <row r="5599" spans="1:1" x14ac:dyDescent="0.2">
      <c r="A5599" s="22">
        <v>0.57248383760452271</v>
      </c>
    </row>
    <row r="5600" spans="1:1" x14ac:dyDescent="0.2">
      <c r="A5600" s="22">
        <v>0.94299101829528809</v>
      </c>
    </row>
    <row r="5601" spans="1:1" x14ac:dyDescent="0.2">
      <c r="A5601" s="22">
        <v>0.94468969106674194</v>
      </c>
    </row>
    <row r="5602" spans="1:1" x14ac:dyDescent="0.2">
      <c r="A5602" s="22">
        <v>0.53743302822113037</v>
      </c>
    </row>
    <row r="5603" spans="1:1" x14ac:dyDescent="0.2">
      <c r="A5603" s="22">
        <v>0.15318495035171509</v>
      </c>
    </row>
    <row r="5604" spans="1:1" x14ac:dyDescent="0.2">
      <c r="A5604" s="22">
        <v>0.56148338317871094</v>
      </c>
    </row>
    <row r="5605" spans="1:1" x14ac:dyDescent="0.2">
      <c r="A5605" s="22">
        <v>0.25742548704147339</v>
      </c>
    </row>
    <row r="5606" spans="1:1" x14ac:dyDescent="0.2">
      <c r="A5606" s="22">
        <v>0.34458696842193604</v>
      </c>
    </row>
    <row r="5607" spans="1:1" x14ac:dyDescent="0.2">
      <c r="A5607" s="22">
        <v>0.7456391453742981</v>
      </c>
    </row>
    <row r="5608" spans="1:1" x14ac:dyDescent="0.2">
      <c r="A5608" s="22">
        <v>0.99237275123596191</v>
      </c>
    </row>
    <row r="5609" spans="1:1" x14ac:dyDescent="0.2">
      <c r="A5609" s="22">
        <v>0.59000152349472046</v>
      </c>
    </row>
    <row r="5610" spans="1:1" x14ac:dyDescent="0.2">
      <c r="A5610" s="22">
        <v>0.72112643718719482</v>
      </c>
    </row>
    <row r="5611" spans="1:1" x14ac:dyDescent="0.2">
      <c r="A5611" s="22">
        <v>0.74321800470352173</v>
      </c>
    </row>
    <row r="5612" spans="1:1" x14ac:dyDescent="0.2">
      <c r="A5612" s="22">
        <v>0.86804437637329102</v>
      </c>
    </row>
    <row r="5613" spans="1:1" x14ac:dyDescent="0.2">
      <c r="A5613" s="22">
        <v>0.60776203870773315</v>
      </c>
    </row>
    <row r="5614" spans="1:1" x14ac:dyDescent="0.2">
      <c r="A5614" s="22">
        <v>0.98351871967315674</v>
      </c>
    </row>
    <row r="5615" spans="1:1" x14ac:dyDescent="0.2">
      <c r="A5615" s="22">
        <v>0.25901967287063599</v>
      </c>
    </row>
    <row r="5616" spans="1:1" x14ac:dyDescent="0.2">
      <c r="A5616" s="22">
        <v>0.66170382499694824</v>
      </c>
    </row>
    <row r="5617" spans="1:1" x14ac:dyDescent="0.2">
      <c r="A5617" s="22">
        <v>0.45359033346176147</v>
      </c>
    </row>
    <row r="5618" spans="1:1" x14ac:dyDescent="0.2">
      <c r="A5618" s="22">
        <v>1.5613913536071777E-2</v>
      </c>
    </row>
    <row r="5619" spans="1:1" x14ac:dyDescent="0.2">
      <c r="A5619" s="22">
        <v>0.70399385690689087</v>
      </c>
    </row>
    <row r="5620" spans="1:1" x14ac:dyDescent="0.2">
      <c r="A5620" s="22">
        <v>0.95300197601318359</v>
      </c>
    </row>
    <row r="5621" spans="1:1" x14ac:dyDescent="0.2">
      <c r="A5621" s="22">
        <v>0.95103377103805542</v>
      </c>
    </row>
    <row r="5622" spans="1:1" x14ac:dyDescent="0.2">
      <c r="A5622" s="22">
        <v>0.65926992893218994</v>
      </c>
    </row>
    <row r="5623" spans="1:1" x14ac:dyDescent="0.2">
      <c r="A5623" s="22">
        <v>0.61506682634353638</v>
      </c>
    </row>
    <row r="5624" spans="1:1" x14ac:dyDescent="0.2">
      <c r="A5624" s="22">
        <v>0.94366002082824707</v>
      </c>
    </row>
    <row r="5625" spans="1:1" x14ac:dyDescent="0.2">
      <c r="A5625" s="22">
        <v>5.742877721786499E-2</v>
      </c>
    </row>
    <row r="5626" spans="1:1" x14ac:dyDescent="0.2">
      <c r="A5626" s="22">
        <v>0.35497748851776123</v>
      </c>
    </row>
    <row r="5627" spans="1:1" x14ac:dyDescent="0.2">
      <c r="A5627" s="22">
        <v>0.73326641321182251</v>
      </c>
    </row>
    <row r="5628" spans="1:1" x14ac:dyDescent="0.2">
      <c r="A5628" s="22">
        <v>0.22309446334838867</v>
      </c>
    </row>
    <row r="5629" spans="1:1" x14ac:dyDescent="0.2">
      <c r="A5629" s="22">
        <v>0.56702584028244019</v>
      </c>
    </row>
    <row r="5630" spans="1:1" x14ac:dyDescent="0.2">
      <c r="A5630" s="22">
        <v>3.2485127449035645E-2</v>
      </c>
    </row>
    <row r="5631" spans="1:1" x14ac:dyDescent="0.2">
      <c r="A5631" s="22">
        <v>0.33184701204299927</v>
      </c>
    </row>
    <row r="5632" spans="1:1" x14ac:dyDescent="0.2">
      <c r="A5632" s="22">
        <v>0.7840421199798584</v>
      </c>
    </row>
    <row r="5633" spans="1:1" x14ac:dyDescent="0.2">
      <c r="A5633" s="22">
        <v>6.4114511013031006E-2</v>
      </c>
    </row>
    <row r="5634" spans="1:1" x14ac:dyDescent="0.2">
      <c r="A5634" s="22">
        <v>0.25142419338226318</v>
      </c>
    </row>
    <row r="5635" spans="1:1" x14ac:dyDescent="0.2">
      <c r="A5635" s="22">
        <v>0.79441457986831665</v>
      </c>
    </row>
    <row r="5636" spans="1:1" x14ac:dyDescent="0.2">
      <c r="A5636" s="22">
        <v>0.28818511962890625</v>
      </c>
    </row>
    <row r="5637" spans="1:1" x14ac:dyDescent="0.2">
      <c r="A5637" s="22">
        <v>0.12614840269088745</v>
      </c>
    </row>
    <row r="5638" spans="1:1" x14ac:dyDescent="0.2">
      <c r="A5638" s="22">
        <v>0.59193384647369385</v>
      </c>
    </row>
    <row r="5639" spans="1:1" x14ac:dyDescent="0.2">
      <c r="A5639" s="22">
        <v>0.44305163621902466</v>
      </c>
    </row>
    <row r="5640" spans="1:1" x14ac:dyDescent="0.2">
      <c r="A5640" s="22">
        <v>0.58177590370178223</v>
      </c>
    </row>
    <row r="5641" spans="1:1" x14ac:dyDescent="0.2">
      <c r="A5641" s="22">
        <v>0.77687019109725952</v>
      </c>
    </row>
    <row r="5642" spans="1:1" x14ac:dyDescent="0.2">
      <c r="A5642" s="22">
        <v>0.29528605937957764</v>
      </c>
    </row>
    <row r="5643" spans="1:1" x14ac:dyDescent="0.2">
      <c r="A5643" s="22">
        <v>0.61644226312637329</v>
      </c>
    </row>
    <row r="5644" spans="1:1" x14ac:dyDescent="0.2">
      <c r="A5644" s="22">
        <v>0.46126222610473633</v>
      </c>
    </row>
    <row r="5645" spans="1:1" x14ac:dyDescent="0.2">
      <c r="A5645" s="22">
        <v>0.18943661451339722</v>
      </c>
    </row>
    <row r="5646" spans="1:1" x14ac:dyDescent="0.2">
      <c r="A5646" s="22">
        <v>0.15451061725616455</v>
      </c>
    </row>
    <row r="5647" spans="1:1" x14ac:dyDescent="0.2">
      <c r="A5647" s="22">
        <v>0.99799710512161255</v>
      </c>
    </row>
    <row r="5648" spans="1:1" x14ac:dyDescent="0.2">
      <c r="A5648" s="22">
        <v>0.68891215324401855</v>
      </c>
    </row>
    <row r="5649" spans="1:1" x14ac:dyDescent="0.2">
      <c r="A5649" s="22">
        <v>0.63954347372055054</v>
      </c>
    </row>
    <row r="5650" spans="1:1" x14ac:dyDescent="0.2">
      <c r="A5650" s="22">
        <v>0.65502011775970459</v>
      </c>
    </row>
    <row r="5651" spans="1:1" x14ac:dyDescent="0.2">
      <c r="A5651" s="22">
        <v>0.19397836923599243</v>
      </c>
    </row>
    <row r="5652" spans="1:1" x14ac:dyDescent="0.2">
      <c r="A5652" s="22">
        <v>0.25843906402587891</v>
      </c>
    </row>
    <row r="5653" spans="1:1" x14ac:dyDescent="0.2">
      <c r="A5653" s="22">
        <v>0.70855063199996948</v>
      </c>
    </row>
    <row r="5654" spans="1:1" x14ac:dyDescent="0.2">
      <c r="A5654" s="22">
        <v>0.36523497104644775</v>
      </c>
    </row>
    <row r="5655" spans="1:1" x14ac:dyDescent="0.2">
      <c r="A5655" s="22">
        <v>0.56162482500076294</v>
      </c>
    </row>
    <row r="5656" spans="1:1" x14ac:dyDescent="0.2">
      <c r="A5656" s="22">
        <v>0.91062664985656738</v>
      </c>
    </row>
    <row r="5657" spans="1:1" x14ac:dyDescent="0.2">
      <c r="A5657" s="22">
        <v>0.73660701513290405</v>
      </c>
    </row>
    <row r="5658" spans="1:1" x14ac:dyDescent="0.2">
      <c r="A5658" s="22">
        <v>0.57720839977264404</v>
      </c>
    </row>
    <row r="5659" spans="1:1" x14ac:dyDescent="0.2">
      <c r="A5659" s="22">
        <v>0.28727680444717407</v>
      </c>
    </row>
    <row r="5660" spans="1:1" x14ac:dyDescent="0.2">
      <c r="A5660" s="22">
        <v>0.89895391464233398</v>
      </c>
    </row>
    <row r="5661" spans="1:1" x14ac:dyDescent="0.2">
      <c r="A5661" s="22">
        <v>0.52577561140060425</v>
      </c>
    </row>
    <row r="5662" spans="1:1" x14ac:dyDescent="0.2">
      <c r="A5662" s="22">
        <v>0.19725143909454346</v>
      </c>
    </row>
    <row r="5663" spans="1:1" x14ac:dyDescent="0.2">
      <c r="A5663" s="22">
        <v>0.71450120210647583</v>
      </c>
    </row>
    <row r="5664" spans="1:1" x14ac:dyDescent="0.2">
      <c r="A5664" s="22">
        <v>5.2201747894287109E-3</v>
      </c>
    </row>
    <row r="5665" spans="1:1" x14ac:dyDescent="0.2">
      <c r="A5665" s="22">
        <v>0.29315847158432007</v>
      </c>
    </row>
    <row r="5666" spans="1:1" x14ac:dyDescent="0.2">
      <c r="A5666" s="22">
        <v>0.886557936668396</v>
      </c>
    </row>
    <row r="5667" spans="1:1" x14ac:dyDescent="0.2">
      <c r="A5667" s="22">
        <v>0.92221647500991821</v>
      </c>
    </row>
    <row r="5668" spans="1:1" x14ac:dyDescent="0.2">
      <c r="A5668" s="22">
        <v>0.80517005920410156</v>
      </c>
    </row>
    <row r="5669" spans="1:1" x14ac:dyDescent="0.2">
      <c r="A5669" s="22">
        <v>0.87402170896530151</v>
      </c>
    </row>
    <row r="5670" spans="1:1" x14ac:dyDescent="0.2">
      <c r="A5670" s="22">
        <v>0.45182955265045166</v>
      </c>
    </row>
    <row r="5671" spans="1:1" x14ac:dyDescent="0.2">
      <c r="A5671" s="22">
        <v>0.55281764268875122</v>
      </c>
    </row>
    <row r="5672" spans="1:1" x14ac:dyDescent="0.2">
      <c r="A5672" s="22">
        <v>0.18411850929260254</v>
      </c>
    </row>
    <row r="5673" spans="1:1" x14ac:dyDescent="0.2">
      <c r="A5673" s="22">
        <v>0.17492049932479858</v>
      </c>
    </row>
    <row r="5674" spans="1:1" x14ac:dyDescent="0.2">
      <c r="A5674" s="22">
        <v>0.48590075969696045</v>
      </c>
    </row>
    <row r="5675" spans="1:1" x14ac:dyDescent="0.2">
      <c r="A5675" s="22">
        <v>0.89030128717422485</v>
      </c>
    </row>
    <row r="5676" spans="1:1" x14ac:dyDescent="0.2">
      <c r="A5676" s="22">
        <v>0.10257577896118164</v>
      </c>
    </row>
    <row r="5677" spans="1:1" x14ac:dyDescent="0.2">
      <c r="A5677" s="22">
        <v>0.87682408094406128</v>
      </c>
    </row>
    <row r="5678" spans="1:1" x14ac:dyDescent="0.2">
      <c r="A5678" s="22">
        <v>0.25836384296417236</v>
      </c>
    </row>
    <row r="5679" spans="1:1" x14ac:dyDescent="0.2">
      <c r="A5679" s="22">
        <v>0.18839055299758911</v>
      </c>
    </row>
    <row r="5680" spans="1:1" x14ac:dyDescent="0.2">
      <c r="A5680" s="22">
        <v>0.61187243461608887</v>
      </c>
    </row>
    <row r="5681" spans="1:1" x14ac:dyDescent="0.2">
      <c r="A5681" s="22">
        <v>0.3882407546043396</v>
      </c>
    </row>
    <row r="5682" spans="1:1" x14ac:dyDescent="0.2">
      <c r="A5682" s="22">
        <v>0.8561939001083374</v>
      </c>
    </row>
    <row r="5683" spans="1:1" x14ac:dyDescent="0.2">
      <c r="A5683" s="22">
        <v>0.24866014719009399</v>
      </c>
    </row>
    <row r="5684" spans="1:1" x14ac:dyDescent="0.2">
      <c r="A5684" s="22">
        <v>0.11978435516357422</v>
      </c>
    </row>
    <row r="5685" spans="1:1" x14ac:dyDescent="0.2">
      <c r="A5685" s="22">
        <v>4.8342883586883545E-2</v>
      </c>
    </row>
    <row r="5686" spans="1:1" x14ac:dyDescent="0.2">
      <c r="A5686" s="22">
        <v>0.57437384128570557</v>
      </c>
    </row>
    <row r="5687" spans="1:1" x14ac:dyDescent="0.2">
      <c r="A5687" s="22">
        <v>0.2486613392829895</v>
      </c>
    </row>
    <row r="5688" spans="1:1" x14ac:dyDescent="0.2">
      <c r="A5688" s="22">
        <v>0.9061577320098877</v>
      </c>
    </row>
    <row r="5689" spans="1:1" x14ac:dyDescent="0.2">
      <c r="A5689" s="22">
        <v>0.58009189367294312</v>
      </c>
    </row>
    <row r="5690" spans="1:1" x14ac:dyDescent="0.2">
      <c r="A5690" s="22">
        <v>0.55651938915252686</v>
      </c>
    </row>
    <row r="5691" spans="1:1" x14ac:dyDescent="0.2">
      <c r="A5691" s="22">
        <v>0.82004696130752563</v>
      </c>
    </row>
    <row r="5692" spans="1:1" x14ac:dyDescent="0.2">
      <c r="A5692" s="22">
        <v>0.8885340690612793</v>
      </c>
    </row>
    <row r="5693" spans="1:1" x14ac:dyDescent="0.2">
      <c r="A5693" s="22">
        <v>0.79336327314376831</v>
      </c>
    </row>
    <row r="5694" spans="1:1" x14ac:dyDescent="0.2">
      <c r="A5694" s="22">
        <v>0.68550407886505127</v>
      </c>
    </row>
    <row r="5695" spans="1:1" x14ac:dyDescent="0.2">
      <c r="A5695" s="22">
        <v>0.37669640779495239</v>
      </c>
    </row>
    <row r="5696" spans="1:1" x14ac:dyDescent="0.2">
      <c r="A5696" s="22">
        <v>0.63777518272399902</v>
      </c>
    </row>
    <row r="5697" spans="1:1" x14ac:dyDescent="0.2">
      <c r="A5697" s="22">
        <v>0.53807157278060913</v>
      </c>
    </row>
    <row r="5698" spans="1:1" x14ac:dyDescent="0.2">
      <c r="A5698" s="22">
        <v>0.72408425807952881</v>
      </c>
    </row>
    <row r="5699" spans="1:1" x14ac:dyDescent="0.2">
      <c r="A5699" s="22">
        <v>0.69284063577651978</v>
      </c>
    </row>
    <row r="5700" spans="1:1" x14ac:dyDescent="0.2">
      <c r="A5700" s="22">
        <v>0.64368820190429688</v>
      </c>
    </row>
    <row r="5701" spans="1:1" x14ac:dyDescent="0.2">
      <c r="A5701" s="22">
        <v>0.90729540586471558</v>
      </c>
    </row>
    <row r="5702" spans="1:1" x14ac:dyDescent="0.2">
      <c r="A5702" s="22">
        <v>0.70552408695220947</v>
      </c>
    </row>
    <row r="5703" spans="1:1" x14ac:dyDescent="0.2">
      <c r="A5703" s="22">
        <v>0.73118716478347778</v>
      </c>
    </row>
    <row r="5704" spans="1:1" x14ac:dyDescent="0.2">
      <c r="A5704" s="22">
        <v>0.83065056800842285</v>
      </c>
    </row>
    <row r="5705" spans="1:1" x14ac:dyDescent="0.2">
      <c r="A5705" s="22">
        <v>0.69040244817733765</v>
      </c>
    </row>
    <row r="5706" spans="1:1" x14ac:dyDescent="0.2">
      <c r="A5706" s="22">
        <v>0.57422053813934326</v>
      </c>
    </row>
    <row r="5707" spans="1:1" x14ac:dyDescent="0.2">
      <c r="A5707" s="22">
        <v>0.72104507684707642</v>
      </c>
    </row>
    <row r="5708" spans="1:1" x14ac:dyDescent="0.2">
      <c r="A5708" s="22">
        <v>0.32323503494262695</v>
      </c>
    </row>
    <row r="5709" spans="1:1" x14ac:dyDescent="0.2">
      <c r="A5709" s="22">
        <v>7.6174437999725342E-2</v>
      </c>
    </row>
    <row r="5710" spans="1:1" x14ac:dyDescent="0.2">
      <c r="A5710" s="22">
        <v>7.6328396797180176E-2</v>
      </c>
    </row>
    <row r="5711" spans="1:1" x14ac:dyDescent="0.2">
      <c r="A5711" s="22">
        <v>0.48645001649856567</v>
      </c>
    </row>
    <row r="5712" spans="1:1" x14ac:dyDescent="0.2">
      <c r="A5712" s="22">
        <v>0.46183466911315918</v>
      </c>
    </row>
    <row r="5713" spans="1:1" x14ac:dyDescent="0.2">
      <c r="A5713" s="22">
        <v>0.60593217611312866</v>
      </c>
    </row>
    <row r="5714" spans="1:1" x14ac:dyDescent="0.2">
      <c r="A5714" s="22">
        <v>0.90038526058197021</v>
      </c>
    </row>
    <row r="5715" spans="1:1" x14ac:dyDescent="0.2">
      <c r="A5715" s="22">
        <v>2.4289190769195557E-2</v>
      </c>
    </row>
    <row r="5716" spans="1:1" x14ac:dyDescent="0.2">
      <c r="A5716" s="22">
        <v>6.8287849426269531E-2</v>
      </c>
    </row>
    <row r="5717" spans="1:1" x14ac:dyDescent="0.2">
      <c r="A5717" s="22">
        <v>0.37666052579879761</v>
      </c>
    </row>
    <row r="5718" spans="1:1" x14ac:dyDescent="0.2">
      <c r="A5718" s="22">
        <v>6.7936539649963379E-2</v>
      </c>
    </row>
    <row r="5719" spans="1:1" x14ac:dyDescent="0.2">
      <c r="A5719" s="22">
        <v>0.33242636919021606</v>
      </c>
    </row>
    <row r="5720" spans="1:1" x14ac:dyDescent="0.2">
      <c r="A5720" s="22">
        <v>0.96150326728820801</v>
      </c>
    </row>
    <row r="5721" spans="1:1" x14ac:dyDescent="0.2">
      <c r="A5721" s="22">
        <v>0.49413341283798218</v>
      </c>
    </row>
    <row r="5722" spans="1:1" x14ac:dyDescent="0.2">
      <c r="A5722" s="22">
        <v>0.57416045665740967</v>
      </c>
    </row>
    <row r="5723" spans="1:1" x14ac:dyDescent="0.2">
      <c r="A5723" s="22">
        <v>0.4878268837928772</v>
      </c>
    </row>
    <row r="5724" spans="1:1" x14ac:dyDescent="0.2">
      <c r="A5724" s="22">
        <v>0.72308492660522461</v>
      </c>
    </row>
    <row r="5725" spans="1:1" x14ac:dyDescent="0.2">
      <c r="A5725" s="22">
        <v>0.77603882551193237</v>
      </c>
    </row>
    <row r="5726" spans="1:1" x14ac:dyDescent="0.2">
      <c r="A5726" s="22">
        <v>0.27849304676055908</v>
      </c>
    </row>
    <row r="5727" spans="1:1" x14ac:dyDescent="0.2">
      <c r="A5727" s="22">
        <v>0.97468262910842896</v>
      </c>
    </row>
    <row r="5728" spans="1:1" x14ac:dyDescent="0.2">
      <c r="A5728" s="22">
        <v>0.71295714378356934</v>
      </c>
    </row>
    <row r="5729" spans="1:1" x14ac:dyDescent="0.2">
      <c r="A5729" s="22">
        <v>0.70510381460189819</v>
      </c>
    </row>
    <row r="5730" spans="1:1" x14ac:dyDescent="0.2">
      <c r="A5730" s="22">
        <v>4.5253157615661621E-2</v>
      </c>
    </row>
    <row r="5731" spans="1:1" x14ac:dyDescent="0.2">
      <c r="A5731" s="22">
        <v>0.26253706216812134</v>
      </c>
    </row>
    <row r="5732" spans="1:1" x14ac:dyDescent="0.2">
      <c r="A5732" s="22">
        <v>0.33498954772949219</v>
      </c>
    </row>
    <row r="5733" spans="1:1" x14ac:dyDescent="0.2">
      <c r="A5733" s="22">
        <v>0.63221949338912964</v>
      </c>
    </row>
    <row r="5734" spans="1:1" x14ac:dyDescent="0.2">
      <c r="A5734" s="22">
        <v>0.13426744937896729</v>
      </c>
    </row>
    <row r="5735" spans="1:1" x14ac:dyDescent="0.2">
      <c r="A5735" s="22">
        <v>0.63441020250320435</v>
      </c>
    </row>
    <row r="5736" spans="1:1" x14ac:dyDescent="0.2">
      <c r="A5736" s="22">
        <v>0.55262207984924316</v>
      </c>
    </row>
    <row r="5737" spans="1:1" x14ac:dyDescent="0.2">
      <c r="A5737" s="22">
        <v>0.22956603765487671</v>
      </c>
    </row>
    <row r="5738" spans="1:1" x14ac:dyDescent="0.2">
      <c r="A5738" s="22">
        <v>0.84149539470672607</v>
      </c>
    </row>
    <row r="5739" spans="1:1" x14ac:dyDescent="0.2">
      <c r="A5739" s="22">
        <v>0.26492363214492798</v>
      </c>
    </row>
    <row r="5740" spans="1:1" x14ac:dyDescent="0.2">
      <c r="A5740" s="22">
        <v>0.65448999404907227</v>
      </c>
    </row>
    <row r="5741" spans="1:1" x14ac:dyDescent="0.2">
      <c r="A5741" s="22">
        <v>0.1937376856803894</v>
      </c>
    </row>
    <row r="5742" spans="1:1" x14ac:dyDescent="0.2">
      <c r="A5742" s="22">
        <v>0.38965427875518799</v>
      </c>
    </row>
    <row r="5743" spans="1:1" x14ac:dyDescent="0.2">
      <c r="A5743" s="22">
        <v>0.54842549562454224</v>
      </c>
    </row>
    <row r="5744" spans="1:1" x14ac:dyDescent="0.2">
      <c r="A5744" s="22">
        <v>0.27004885673522949</v>
      </c>
    </row>
    <row r="5745" spans="1:1" x14ac:dyDescent="0.2">
      <c r="A5745" s="22">
        <v>0.19886773824691772</v>
      </c>
    </row>
    <row r="5746" spans="1:1" x14ac:dyDescent="0.2">
      <c r="A5746" s="22">
        <v>6.8844199180603027E-2</v>
      </c>
    </row>
    <row r="5747" spans="1:1" x14ac:dyDescent="0.2">
      <c r="A5747" s="22">
        <v>0.67711549997329712</v>
      </c>
    </row>
    <row r="5748" spans="1:1" x14ac:dyDescent="0.2">
      <c r="A5748" s="22">
        <v>0.63519954681396484</v>
      </c>
    </row>
    <row r="5749" spans="1:1" x14ac:dyDescent="0.2">
      <c r="A5749" s="22">
        <v>9.975355863571167E-2</v>
      </c>
    </row>
    <row r="5750" spans="1:1" x14ac:dyDescent="0.2">
      <c r="A5750" s="22">
        <v>0.62717306613922119</v>
      </c>
    </row>
    <row r="5751" spans="1:1" x14ac:dyDescent="0.2">
      <c r="A5751" s="22">
        <v>0.46916991472244263</v>
      </c>
    </row>
    <row r="5752" spans="1:1" x14ac:dyDescent="0.2">
      <c r="A5752" s="22">
        <v>0.10791325569152832</v>
      </c>
    </row>
    <row r="5753" spans="1:1" x14ac:dyDescent="0.2">
      <c r="A5753" s="22">
        <v>0.38498157262802124</v>
      </c>
    </row>
    <row r="5754" spans="1:1" x14ac:dyDescent="0.2">
      <c r="A5754" s="22">
        <v>0.91138160228729248</v>
      </c>
    </row>
    <row r="5755" spans="1:1" x14ac:dyDescent="0.2">
      <c r="A5755" s="22">
        <v>0.44686657190322876</v>
      </c>
    </row>
    <row r="5756" spans="1:1" x14ac:dyDescent="0.2">
      <c r="A5756" s="22">
        <v>0.93385648727416992</v>
      </c>
    </row>
    <row r="5757" spans="1:1" x14ac:dyDescent="0.2">
      <c r="A5757" s="22">
        <v>0.88005226850509644</v>
      </c>
    </row>
    <row r="5758" spans="1:1" x14ac:dyDescent="0.2">
      <c r="A5758" s="22">
        <v>0.75746834278106689</v>
      </c>
    </row>
    <row r="5759" spans="1:1" x14ac:dyDescent="0.2">
      <c r="A5759" s="22">
        <v>0.16470986604690552</v>
      </c>
    </row>
    <row r="5760" spans="1:1" x14ac:dyDescent="0.2">
      <c r="A5760" s="22">
        <v>0.26201605796813965</v>
      </c>
    </row>
    <row r="5761" spans="1:1" x14ac:dyDescent="0.2">
      <c r="A5761" s="22">
        <v>0.70050519704818726</v>
      </c>
    </row>
    <row r="5762" spans="1:1" x14ac:dyDescent="0.2">
      <c r="A5762" s="22">
        <v>0.13131463527679443</v>
      </c>
    </row>
    <row r="5763" spans="1:1" x14ac:dyDescent="0.2">
      <c r="A5763" s="22">
        <v>0.7875557541847229</v>
      </c>
    </row>
    <row r="5764" spans="1:1" x14ac:dyDescent="0.2">
      <c r="A5764" s="22">
        <v>0.4103240966796875</v>
      </c>
    </row>
    <row r="5765" spans="1:1" x14ac:dyDescent="0.2">
      <c r="A5765" s="22">
        <v>0.4550439715385437</v>
      </c>
    </row>
    <row r="5766" spans="1:1" x14ac:dyDescent="0.2">
      <c r="A5766" s="22">
        <v>0.5193096399307251</v>
      </c>
    </row>
    <row r="5767" spans="1:1" x14ac:dyDescent="0.2">
      <c r="A5767" s="22">
        <v>0.91873675584793091</v>
      </c>
    </row>
    <row r="5768" spans="1:1" x14ac:dyDescent="0.2">
      <c r="A5768" s="22">
        <v>0.38128304481506348</v>
      </c>
    </row>
    <row r="5769" spans="1:1" x14ac:dyDescent="0.2">
      <c r="A5769" s="22">
        <v>0.69866126775741577</v>
      </c>
    </row>
    <row r="5770" spans="1:1" x14ac:dyDescent="0.2">
      <c r="A5770" s="22">
        <v>0.56897532939910889</v>
      </c>
    </row>
    <row r="5771" spans="1:1" x14ac:dyDescent="0.2">
      <c r="A5771" s="22">
        <v>0.67818695306777954</v>
      </c>
    </row>
    <row r="5772" spans="1:1" x14ac:dyDescent="0.2">
      <c r="A5772" s="22">
        <v>0.62759065628051758</v>
      </c>
    </row>
    <row r="5773" spans="1:1" x14ac:dyDescent="0.2">
      <c r="A5773" s="22">
        <v>0.63576382398605347</v>
      </c>
    </row>
    <row r="5774" spans="1:1" x14ac:dyDescent="0.2">
      <c r="A5774" s="22">
        <v>0.9795914888381958</v>
      </c>
    </row>
    <row r="5775" spans="1:1" x14ac:dyDescent="0.2">
      <c r="A5775" s="22">
        <v>3.0566990375518799E-2</v>
      </c>
    </row>
    <row r="5776" spans="1:1" x14ac:dyDescent="0.2">
      <c r="A5776" s="22">
        <v>6.7764997482299805E-2</v>
      </c>
    </row>
    <row r="5777" spans="1:1" x14ac:dyDescent="0.2">
      <c r="A5777" s="22">
        <v>7.3297441005706787E-2</v>
      </c>
    </row>
    <row r="5778" spans="1:1" x14ac:dyDescent="0.2">
      <c r="A5778" s="22">
        <v>0.64282071590423584</v>
      </c>
    </row>
    <row r="5779" spans="1:1" x14ac:dyDescent="0.2">
      <c r="A5779" s="22">
        <v>0.36338907480239868</v>
      </c>
    </row>
    <row r="5780" spans="1:1" x14ac:dyDescent="0.2">
      <c r="A5780" s="22">
        <v>0.35176944732666016</v>
      </c>
    </row>
    <row r="5781" spans="1:1" x14ac:dyDescent="0.2">
      <c r="A5781" s="22">
        <v>0.62387198209762573</v>
      </c>
    </row>
    <row r="5782" spans="1:1" x14ac:dyDescent="0.2">
      <c r="A5782" s="22">
        <v>3.3333420753479004E-2</v>
      </c>
    </row>
    <row r="5783" spans="1:1" x14ac:dyDescent="0.2">
      <c r="A5783" s="22">
        <v>0.31514197587966919</v>
      </c>
    </row>
    <row r="5784" spans="1:1" x14ac:dyDescent="0.2">
      <c r="A5784" s="22">
        <v>0.37663769721984863</v>
      </c>
    </row>
    <row r="5785" spans="1:1" x14ac:dyDescent="0.2">
      <c r="A5785" s="22">
        <v>0.1588863730430603</v>
      </c>
    </row>
    <row r="5786" spans="1:1" x14ac:dyDescent="0.2">
      <c r="A5786" s="22">
        <v>0.84943282604217529</v>
      </c>
    </row>
    <row r="5787" spans="1:1" x14ac:dyDescent="0.2">
      <c r="A5787" s="22">
        <v>0.85341602563858032</v>
      </c>
    </row>
    <row r="5788" spans="1:1" x14ac:dyDescent="0.2">
      <c r="A5788" s="22">
        <v>5.2098751068115234E-2</v>
      </c>
    </row>
    <row r="5789" spans="1:1" x14ac:dyDescent="0.2">
      <c r="A5789" s="22">
        <v>0.5116536021232605</v>
      </c>
    </row>
    <row r="5790" spans="1:1" x14ac:dyDescent="0.2">
      <c r="A5790" s="22">
        <v>0.90367996692657471</v>
      </c>
    </row>
    <row r="5791" spans="1:1" x14ac:dyDescent="0.2">
      <c r="A5791" s="22">
        <v>0.60302811861038208</v>
      </c>
    </row>
    <row r="5792" spans="1:1" x14ac:dyDescent="0.2">
      <c r="A5792" s="22">
        <v>0.31620192527770996</v>
      </c>
    </row>
    <row r="5793" spans="1:1" x14ac:dyDescent="0.2">
      <c r="A5793" s="22">
        <v>0.43052572011947632</v>
      </c>
    </row>
    <row r="5794" spans="1:1" x14ac:dyDescent="0.2">
      <c r="A5794" s="22">
        <v>0.26351869106292725</v>
      </c>
    </row>
    <row r="5795" spans="1:1" x14ac:dyDescent="0.2">
      <c r="A5795" s="22">
        <v>0.42414671182632446</v>
      </c>
    </row>
    <row r="5796" spans="1:1" x14ac:dyDescent="0.2">
      <c r="A5796" s="22">
        <v>0.40094184875488281</v>
      </c>
    </row>
    <row r="5797" spans="1:1" x14ac:dyDescent="0.2">
      <c r="A5797" s="22">
        <v>0.78201884031295776</v>
      </c>
    </row>
    <row r="5798" spans="1:1" x14ac:dyDescent="0.2">
      <c r="A5798" s="22">
        <v>0.64190065860748291</v>
      </c>
    </row>
    <row r="5799" spans="1:1" x14ac:dyDescent="0.2">
      <c r="A5799" s="22">
        <v>0.24041682481765747</v>
      </c>
    </row>
    <row r="5800" spans="1:1" x14ac:dyDescent="0.2">
      <c r="A5800" s="22">
        <v>0.34788346290588379</v>
      </c>
    </row>
    <row r="5801" spans="1:1" x14ac:dyDescent="0.2">
      <c r="A5801" s="22">
        <v>3.938138484954834E-3</v>
      </c>
    </row>
    <row r="5802" spans="1:1" x14ac:dyDescent="0.2">
      <c r="A5802" s="22">
        <v>3.7910342216491699E-2</v>
      </c>
    </row>
    <row r="5803" spans="1:1" x14ac:dyDescent="0.2">
      <c r="A5803" s="22">
        <v>0.1170850396156311</v>
      </c>
    </row>
    <row r="5804" spans="1:1" x14ac:dyDescent="0.2">
      <c r="A5804" s="22">
        <v>0.77378702163696289</v>
      </c>
    </row>
    <row r="5805" spans="1:1" x14ac:dyDescent="0.2">
      <c r="A5805" s="22">
        <v>0.80850285291671753</v>
      </c>
    </row>
    <row r="5806" spans="1:1" x14ac:dyDescent="0.2">
      <c r="A5806" s="22">
        <v>0.62739002704620361</v>
      </c>
    </row>
    <row r="5807" spans="1:1" x14ac:dyDescent="0.2">
      <c r="A5807" s="22">
        <v>0.58912450075149536</v>
      </c>
    </row>
    <row r="5808" spans="1:1" x14ac:dyDescent="0.2">
      <c r="A5808" s="22">
        <v>0.88623309135437012</v>
      </c>
    </row>
    <row r="5809" spans="1:1" x14ac:dyDescent="0.2">
      <c r="A5809" s="22">
        <v>0.13547128438949585</v>
      </c>
    </row>
    <row r="5810" spans="1:1" x14ac:dyDescent="0.2">
      <c r="A5810" s="22">
        <v>0.90356481075286865</v>
      </c>
    </row>
    <row r="5811" spans="1:1" x14ac:dyDescent="0.2">
      <c r="A5811" s="22">
        <v>0.23935991525650024</v>
      </c>
    </row>
    <row r="5812" spans="1:1" x14ac:dyDescent="0.2">
      <c r="A5812" s="22">
        <v>0.74924755096435547</v>
      </c>
    </row>
    <row r="5813" spans="1:1" x14ac:dyDescent="0.2">
      <c r="A5813" s="22">
        <v>0.35526579618453979</v>
      </c>
    </row>
    <row r="5814" spans="1:1" x14ac:dyDescent="0.2">
      <c r="A5814" s="22">
        <v>6.7667603492736816E-2</v>
      </c>
    </row>
    <row r="5815" spans="1:1" x14ac:dyDescent="0.2">
      <c r="A5815" s="22">
        <v>0.52659255266189575</v>
      </c>
    </row>
    <row r="5816" spans="1:1" x14ac:dyDescent="0.2">
      <c r="A5816" s="22">
        <v>0.79892659187316895</v>
      </c>
    </row>
    <row r="5817" spans="1:1" x14ac:dyDescent="0.2">
      <c r="A5817" s="22">
        <v>0.72209781408309937</v>
      </c>
    </row>
    <row r="5818" spans="1:1" x14ac:dyDescent="0.2">
      <c r="A5818" s="22">
        <v>0.66956412792205811</v>
      </c>
    </row>
    <row r="5819" spans="1:1" x14ac:dyDescent="0.2">
      <c r="A5819" s="22">
        <v>0.86372524499893188</v>
      </c>
    </row>
    <row r="5820" spans="1:1" x14ac:dyDescent="0.2">
      <c r="A5820" s="22">
        <v>0.60906171798706055</v>
      </c>
    </row>
    <row r="5821" spans="1:1" x14ac:dyDescent="0.2">
      <c r="A5821" s="22">
        <v>7.7092826366424561E-2</v>
      </c>
    </row>
    <row r="5822" spans="1:1" x14ac:dyDescent="0.2">
      <c r="A5822" s="22">
        <v>0.49837791919708252</v>
      </c>
    </row>
    <row r="5823" spans="1:1" x14ac:dyDescent="0.2">
      <c r="A5823" s="22">
        <v>0.94588738679885864</v>
      </c>
    </row>
    <row r="5824" spans="1:1" x14ac:dyDescent="0.2">
      <c r="A5824" s="22">
        <v>0.90676474571228027</v>
      </c>
    </row>
    <row r="5825" spans="1:1" x14ac:dyDescent="0.2">
      <c r="A5825" s="22">
        <v>0.80141538381576538</v>
      </c>
    </row>
    <row r="5826" spans="1:1" x14ac:dyDescent="0.2">
      <c r="A5826" s="22">
        <v>0.72311532497406006</v>
      </c>
    </row>
    <row r="5827" spans="1:1" x14ac:dyDescent="0.2">
      <c r="A5827" s="22">
        <v>0.32855993509292603</v>
      </c>
    </row>
    <row r="5828" spans="1:1" x14ac:dyDescent="0.2">
      <c r="A5828" s="22">
        <v>0.83809280395507813</v>
      </c>
    </row>
    <row r="5829" spans="1:1" x14ac:dyDescent="0.2">
      <c r="A5829" s="22">
        <v>1.9394099712371826E-2</v>
      </c>
    </row>
    <row r="5830" spans="1:1" x14ac:dyDescent="0.2">
      <c r="A5830" s="22">
        <v>0.28329050540924072</v>
      </c>
    </row>
    <row r="5831" spans="1:1" x14ac:dyDescent="0.2">
      <c r="A5831" s="22">
        <v>0.25570040941238403</v>
      </c>
    </row>
    <row r="5832" spans="1:1" x14ac:dyDescent="0.2">
      <c r="A5832" s="22">
        <v>0.4836733341217041</v>
      </c>
    </row>
    <row r="5833" spans="1:1" x14ac:dyDescent="0.2">
      <c r="A5833" s="22">
        <v>5.1646649837493896E-2</v>
      </c>
    </row>
    <row r="5834" spans="1:1" x14ac:dyDescent="0.2">
      <c r="A5834" s="22">
        <v>0.52955043315887451</v>
      </c>
    </row>
    <row r="5835" spans="1:1" x14ac:dyDescent="0.2">
      <c r="A5835" s="22">
        <v>0.73786789178848267</v>
      </c>
    </row>
    <row r="5836" spans="1:1" x14ac:dyDescent="0.2">
      <c r="A5836" s="22">
        <v>0.6243290901184082</v>
      </c>
    </row>
    <row r="5837" spans="1:1" x14ac:dyDescent="0.2">
      <c r="A5837" s="22">
        <v>0.11820477247238159</v>
      </c>
    </row>
    <row r="5838" spans="1:1" x14ac:dyDescent="0.2">
      <c r="A5838" s="22">
        <v>0.11429989337921143</v>
      </c>
    </row>
    <row r="5839" spans="1:1" x14ac:dyDescent="0.2">
      <c r="A5839" s="22">
        <v>0.88034802675247192</v>
      </c>
    </row>
    <row r="5840" spans="1:1" x14ac:dyDescent="0.2">
      <c r="A5840" s="22">
        <v>0.75670313835144043</v>
      </c>
    </row>
    <row r="5841" spans="1:1" x14ac:dyDescent="0.2">
      <c r="A5841" s="22">
        <v>0.29163926839828491</v>
      </c>
    </row>
    <row r="5842" spans="1:1" x14ac:dyDescent="0.2">
      <c r="A5842" s="22">
        <v>0.13232648372650146</v>
      </c>
    </row>
    <row r="5843" spans="1:1" x14ac:dyDescent="0.2">
      <c r="A5843" s="22">
        <v>0.46127802133560181</v>
      </c>
    </row>
    <row r="5844" spans="1:1" x14ac:dyDescent="0.2">
      <c r="A5844" s="22">
        <v>0.35888385772705078</v>
      </c>
    </row>
    <row r="5845" spans="1:1" x14ac:dyDescent="0.2">
      <c r="A5845" s="22">
        <v>0.70018500089645386</v>
      </c>
    </row>
    <row r="5846" spans="1:1" x14ac:dyDescent="0.2">
      <c r="A5846" s="22">
        <v>0.51142561435699463</v>
      </c>
    </row>
    <row r="5847" spans="1:1" x14ac:dyDescent="0.2">
      <c r="A5847" s="22">
        <v>0.75977164506912231</v>
      </c>
    </row>
    <row r="5848" spans="1:1" x14ac:dyDescent="0.2">
      <c r="A5848" s="22">
        <v>0.40602993965148926</v>
      </c>
    </row>
    <row r="5849" spans="1:1" x14ac:dyDescent="0.2">
      <c r="A5849" s="22">
        <v>0.98086589574813843</v>
      </c>
    </row>
    <row r="5850" spans="1:1" x14ac:dyDescent="0.2">
      <c r="A5850" s="22">
        <v>0.65302550792694092</v>
      </c>
    </row>
    <row r="5851" spans="1:1" x14ac:dyDescent="0.2">
      <c r="A5851" s="22">
        <v>0.63404422998428345</v>
      </c>
    </row>
    <row r="5852" spans="1:1" x14ac:dyDescent="0.2">
      <c r="A5852" s="22">
        <v>0.13599538803100586</v>
      </c>
    </row>
    <row r="5853" spans="1:1" x14ac:dyDescent="0.2">
      <c r="A5853" s="22">
        <v>0.98261994123458862</v>
      </c>
    </row>
    <row r="5854" spans="1:1" x14ac:dyDescent="0.2">
      <c r="A5854" s="22">
        <v>0.32281219959259033</v>
      </c>
    </row>
    <row r="5855" spans="1:1" x14ac:dyDescent="0.2">
      <c r="A5855" s="22">
        <v>0.84953767061233521</v>
      </c>
    </row>
    <row r="5856" spans="1:1" x14ac:dyDescent="0.2">
      <c r="A5856" s="22">
        <v>6.4954519271850586E-2</v>
      </c>
    </row>
    <row r="5857" spans="1:1" x14ac:dyDescent="0.2">
      <c r="A5857" s="22">
        <v>0.71942418813705444</v>
      </c>
    </row>
    <row r="5858" spans="1:1" x14ac:dyDescent="0.2">
      <c r="A5858" s="22">
        <v>0.79135453701019287</v>
      </c>
    </row>
    <row r="5859" spans="1:1" x14ac:dyDescent="0.2">
      <c r="A5859" s="22">
        <v>0.65704542398452759</v>
      </c>
    </row>
    <row r="5860" spans="1:1" x14ac:dyDescent="0.2">
      <c r="A5860" s="22">
        <v>0.25302696228027344</v>
      </c>
    </row>
    <row r="5861" spans="1:1" x14ac:dyDescent="0.2">
      <c r="A5861" s="22">
        <v>0.57341974973678589</v>
      </c>
    </row>
    <row r="5862" spans="1:1" x14ac:dyDescent="0.2">
      <c r="A5862" s="22">
        <v>0.22472918033599854</v>
      </c>
    </row>
    <row r="5863" spans="1:1" x14ac:dyDescent="0.2">
      <c r="A5863" s="22">
        <v>0.6208375096321106</v>
      </c>
    </row>
    <row r="5864" spans="1:1" x14ac:dyDescent="0.2">
      <c r="A5864" s="22">
        <v>0.81990265846252441</v>
      </c>
    </row>
    <row r="5865" spans="1:1" x14ac:dyDescent="0.2">
      <c r="A5865" s="22">
        <v>0.74803680181503296</v>
      </c>
    </row>
    <row r="5866" spans="1:1" x14ac:dyDescent="0.2">
      <c r="A5866" s="22">
        <v>0.32514560222625732</v>
      </c>
    </row>
    <row r="5867" spans="1:1" x14ac:dyDescent="0.2">
      <c r="A5867" s="22">
        <v>0.69678550958633423</v>
      </c>
    </row>
    <row r="5868" spans="1:1" x14ac:dyDescent="0.2">
      <c r="A5868" s="22">
        <v>0.71046686172485352</v>
      </c>
    </row>
    <row r="5869" spans="1:1" x14ac:dyDescent="0.2">
      <c r="A5869" s="22">
        <v>0.97111958265304565</v>
      </c>
    </row>
    <row r="5870" spans="1:1" x14ac:dyDescent="0.2">
      <c r="A5870" s="22">
        <v>0.22157108783721924</v>
      </c>
    </row>
    <row r="5871" spans="1:1" x14ac:dyDescent="0.2">
      <c r="A5871" s="22">
        <v>0.56048756837844849</v>
      </c>
    </row>
    <row r="5872" spans="1:1" x14ac:dyDescent="0.2">
      <c r="A5872" s="22">
        <v>0.71042513847351074</v>
      </c>
    </row>
    <row r="5873" spans="1:1" x14ac:dyDescent="0.2">
      <c r="A5873" s="22">
        <v>0.44805139303207397</v>
      </c>
    </row>
    <row r="5874" spans="1:1" x14ac:dyDescent="0.2">
      <c r="A5874" s="22">
        <v>0.61035573482513428</v>
      </c>
    </row>
    <row r="5875" spans="1:1" x14ac:dyDescent="0.2">
      <c r="A5875" s="22">
        <v>0.18539339303970337</v>
      </c>
    </row>
    <row r="5876" spans="1:1" x14ac:dyDescent="0.2">
      <c r="A5876" s="22">
        <v>0.71192836761474609</v>
      </c>
    </row>
    <row r="5877" spans="1:1" x14ac:dyDescent="0.2">
      <c r="A5877" s="22">
        <v>6.487959623336792E-2</v>
      </c>
    </row>
    <row r="5878" spans="1:1" x14ac:dyDescent="0.2">
      <c r="A5878" s="22">
        <v>0.14585745334625244</v>
      </c>
    </row>
    <row r="5879" spans="1:1" x14ac:dyDescent="0.2">
      <c r="A5879" s="22">
        <v>0.67092925310134888</v>
      </c>
    </row>
    <row r="5880" spans="1:1" x14ac:dyDescent="0.2">
      <c r="A5880" s="22">
        <v>0.22919774055480957</v>
      </c>
    </row>
    <row r="5881" spans="1:1" x14ac:dyDescent="0.2">
      <c r="A5881" s="22">
        <v>0.84144061803817749</v>
      </c>
    </row>
    <row r="5882" spans="1:1" x14ac:dyDescent="0.2">
      <c r="A5882" s="22">
        <v>8.106696605682373E-2</v>
      </c>
    </row>
    <row r="5883" spans="1:1" x14ac:dyDescent="0.2">
      <c r="A5883" s="22">
        <v>0.32062298059463501</v>
      </c>
    </row>
    <row r="5884" spans="1:1" x14ac:dyDescent="0.2">
      <c r="A5884" s="22">
        <v>0.16414976119995117</v>
      </c>
    </row>
    <row r="5885" spans="1:1" x14ac:dyDescent="0.2">
      <c r="A5885" s="22">
        <v>0.63448494672775269</v>
      </c>
    </row>
    <row r="5886" spans="1:1" x14ac:dyDescent="0.2">
      <c r="A5886" s="22">
        <v>0.15823280811309814</v>
      </c>
    </row>
    <row r="5887" spans="1:1" x14ac:dyDescent="0.2">
      <c r="A5887" s="22">
        <v>0.97022897005081177</v>
      </c>
    </row>
    <row r="5888" spans="1:1" x14ac:dyDescent="0.2">
      <c r="A5888" s="22">
        <v>0.8220212459564209</v>
      </c>
    </row>
    <row r="5889" spans="1:1" x14ac:dyDescent="0.2">
      <c r="A5889" s="22">
        <v>9.0802133083343506E-2</v>
      </c>
    </row>
    <row r="5890" spans="1:1" x14ac:dyDescent="0.2">
      <c r="A5890" s="22">
        <v>0.74948632717132568</v>
      </c>
    </row>
    <row r="5891" spans="1:1" x14ac:dyDescent="0.2">
      <c r="A5891" s="22">
        <v>0.56585317850112915</v>
      </c>
    </row>
    <row r="5892" spans="1:1" x14ac:dyDescent="0.2">
      <c r="A5892" s="22">
        <v>0.17699432373046875</v>
      </c>
    </row>
    <row r="5893" spans="1:1" x14ac:dyDescent="0.2">
      <c r="A5893" s="22">
        <v>0.85034579038619995</v>
      </c>
    </row>
    <row r="5894" spans="1:1" x14ac:dyDescent="0.2">
      <c r="A5894" s="22">
        <v>0.24746668338775635</v>
      </c>
    </row>
    <row r="5895" spans="1:1" x14ac:dyDescent="0.2">
      <c r="A5895" s="22">
        <v>0.99207812547683716</v>
      </c>
    </row>
    <row r="5896" spans="1:1" x14ac:dyDescent="0.2">
      <c r="A5896" s="22">
        <v>0.38782143592834473</v>
      </c>
    </row>
    <row r="5897" spans="1:1" x14ac:dyDescent="0.2">
      <c r="A5897" s="22">
        <v>0.99935859441757202</v>
      </c>
    </row>
    <row r="5898" spans="1:1" x14ac:dyDescent="0.2">
      <c r="A5898" s="22">
        <v>0.70594584941864014</v>
      </c>
    </row>
    <row r="5899" spans="1:1" x14ac:dyDescent="0.2">
      <c r="A5899" s="22">
        <v>0.15008789300918579</v>
      </c>
    </row>
    <row r="5900" spans="1:1" x14ac:dyDescent="0.2">
      <c r="A5900" s="22">
        <v>0.56345033645629883</v>
      </c>
    </row>
    <row r="5901" spans="1:1" x14ac:dyDescent="0.2">
      <c r="A5901" s="22">
        <v>0.77349728345870972</v>
      </c>
    </row>
    <row r="5902" spans="1:1" x14ac:dyDescent="0.2">
      <c r="A5902" s="22">
        <v>0.73045361042022705</v>
      </c>
    </row>
    <row r="5903" spans="1:1" x14ac:dyDescent="0.2">
      <c r="A5903" s="22">
        <v>0.28579312562942505</v>
      </c>
    </row>
    <row r="5904" spans="1:1" x14ac:dyDescent="0.2">
      <c r="A5904" s="22">
        <v>0.77864909172058105</v>
      </c>
    </row>
    <row r="5905" spans="1:1" x14ac:dyDescent="0.2">
      <c r="A5905" s="22">
        <v>0.51095765829086304</v>
      </c>
    </row>
    <row r="5906" spans="1:1" x14ac:dyDescent="0.2">
      <c r="A5906" s="22">
        <v>0.61890256404876709</v>
      </c>
    </row>
    <row r="5907" spans="1:1" x14ac:dyDescent="0.2">
      <c r="A5907" s="22">
        <v>0.56795603036880493</v>
      </c>
    </row>
    <row r="5908" spans="1:1" x14ac:dyDescent="0.2">
      <c r="A5908" s="22">
        <v>0.33963108062744141</v>
      </c>
    </row>
    <row r="5909" spans="1:1" x14ac:dyDescent="0.2">
      <c r="A5909" s="22">
        <v>0.85559958219528198</v>
      </c>
    </row>
    <row r="5910" spans="1:1" x14ac:dyDescent="0.2">
      <c r="A5910" s="22">
        <v>0.75221312046051025</v>
      </c>
    </row>
    <row r="5911" spans="1:1" x14ac:dyDescent="0.2">
      <c r="A5911" s="22">
        <v>0.91631537675857544</v>
      </c>
    </row>
    <row r="5912" spans="1:1" x14ac:dyDescent="0.2">
      <c r="A5912" s="22">
        <v>0.29967999458312988</v>
      </c>
    </row>
    <row r="5913" spans="1:1" x14ac:dyDescent="0.2">
      <c r="A5913" s="22">
        <v>0.21007198095321655</v>
      </c>
    </row>
    <row r="5914" spans="1:1" x14ac:dyDescent="0.2">
      <c r="A5914" s="22">
        <v>0.23493850231170654</v>
      </c>
    </row>
    <row r="5915" spans="1:1" x14ac:dyDescent="0.2">
      <c r="A5915" s="22">
        <v>7.9711496829986572E-2</v>
      </c>
    </row>
    <row r="5916" spans="1:1" x14ac:dyDescent="0.2">
      <c r="A5916" s="22">
        <v>0.22477483749389648</v>
      </c>
    </row>
    <row r="5917" spans="1:1" x14ac:dyDescent="0.2">
      <c r="A5917" s="22">
        <v>0.43893784284591675</v>
      </c>
    </row>
    <row r="5918" spans="1:1" x14ac:dyDescent="0.2">
      <c r="A5918" s="22">
        <v>0.78588974475860596</v>
      </c>
    </row>
    <row r="5919" spans="1:1" x14ac:dyDescent="0.2">
      <c r="A5919" s="22">
        <v>0.96421128511428833</v>
      </c>
    </row>
    <row r="5920" spans="1:1" x14ac:dyDescent="0.2">
      <c r="A5920" s="22">
        <v>0.20921492576599121</v>
      </c>
    </row>
    <row r="5921" spans="1:1" x14ac:dyDescent="0.2">
      <c r="A5921" s="22">
        <v>0.82179921865463257</v>
      </c>
    </row>
    <row r="5922" spans="1:1" x14ac:dyDescent="0.2">
      <c r="A5922" s="22">
        <v>0.8787606954574585</v>
      </c>
    </row>
    <row r="5923" spans="1:1" x14ac:dyDescent="0.2">
      <c r="A5923" s="22">
        <v>0.21123319864273071</v>
      </c>
    </row>
    <row r="5924" spans="1:1" x14ac:dyDescent="0.2">
      <c r="A5924" s="22">
        <v>0.14124488830566406</v>
      </c>
    </row>
    <row r="5925" spans="1:1" x14ac:dyDescent="0.2">
      <c r="A5925" s="22">
        <v>0.25642222166061401</v>
      </c>
    </row>
    <row r="5926" spans="1:1" x14ac:dyDescent="0.2">
      <c r="A5926" s="22">
        <v>0.13275301456451416</v>
      </c>
    </row>
    <row r="5927" spans="1:1" x14ac:dyDescent="0.2">
      <c r="A5927" s="22">
        <v>2.5672256946563721E-2</v>
      </c>
    </row>
    <row r="5928" spans="1:1" x14ac:dyDescent="0.2">
      <c r="A5928" s="22">
        <v>0.21867966651916504</v>
      </c>
    </row>
    <row r="5929" spans="1:1" x14ac:dyDescent="0.2">
      <c r="A5929" s="22">
        <v>0.71186202764511108</v>
      </c>
    </row>
    <row r="5930" spans="1:1" x14ac:dyDescent="0.2">
      <c r="A5930" s="22">
        <v>0.95320117473602295</v>
      </c>
    </row>
    <row r="5931" spans="1:1" x14ac:dyDescent="0.2">
      <c r="A5931" s="22">
        <v>0.25402504205703735</v>
      </c>
    </row>
    <row r="5932" spans="1:1" x14ac:dyDescent="0.2">
      <c r="A5932" s="22">
        <v>0.71452951431274414</v>
      </c>
    </row>
    <row r="5933" spans="1:1" x14ac:dyDescent="0.2">
      <c r="A5933" s="22">
        <v>0.93158787488937378</v>
      </c>
    </row>
    <row r="5934" spans="1:1" x14ac:dyDescent="0.2">
      <c r="A5934" s="22">
        <v>0.42219746112823486</v>
      </c>
    </row>
    <row r="5935" spans="1:1" x14ac:dyDescent="0.2">
      <c r="A5935" s="22">
        <v>0.71251469850540161</v>
      </c>
    </row>
    <row r="5936" spans="1:1" x14ac:dyDescent="0.2">
      <c r="A5936" s="22">
        <v>0.99262499809265137</v>
      </c>
    </row>
    <row r="5937" spans="1:1" x14ac:dyDescent="0.2">
      <c r="A5937" s="22">
        <v>0.3866080641746521</v>
      </c>
    </row>
    <row r="5938" spans="1:1" x14ac:dyDescent="0.2">
      <c r="A5938" s="22">
        <v>0.4392169713973999</v>
      </c>
    </row>
    <row r="5939" spans="1:1" x14ac:dyDescent="0.2">
      <c r="A5939" s="22">
        <v>0.76521593332290649</v>
      </c>
    </row>
    <row r="5940" spans="1:1" x14ac:dyDescent="0.2">
      <c r="A5940" s="22">
        <v>0.77324199676513672</v>
      </c>
    </row>
    <row r="5941" spans="1:1" x14ac:dyDescent="0.2">
      <c r="A5941" s="22">
        <v>0.47859495878219604</v>
      </c>
    </row>
    <row r="5942" spans="1:1" x14ac:dyDescent="0.2">
      <c r="A5942" s="22">
        <v>0.11174261569976807</v>
      </c>
    </row>
    <row r="5943" spans="1:1" x14ac:dyDescent="0.2">
      <c r="A5943" s="22">
        <v>0.152180016040802</v>
      </c>
    </row>
    <row r="5944" spans="1:1" x14ac:dyDescent="0.2">
      <c r="A5944" s="22">
        <v>0.6487267017364502</v>
      </c>
    </row>
    <row r="5945" spans="1:1" x14ac:dyDescent="0.2">
      <c r="A5945" s="22">
        <v>0.99300998449325562</v>
      </c>
    </row>
    <row r="5946" spans="1:1" x14ac:dyDescent="0.2">
      <c r="A5946" s="22">
        <v>0.39589011669158936</v>
      </c>
    </row>
    <row r="5947" spans="1:1" x14ac:dyDescent="0.2">
      <c r="A5947" s="22">
        <v>6.7559778690338135E-2</v>
      </c>
    </row>
    <row r="5948" spans="1:1" x14ac:dyDescent="0.2">
      <c r="A5948" s="22">
        <v>0.8491206169128418</v>
      </c>
    </row>
    <row r="5949" spans="1:1" x14ac:dyDescent="0.2">
      <c r="A5949" s="22">
        <v>0.80222862958908081</v>
      </c>
    </row>
    <row r="5950" spans="1:1" x14ac:dyDescent="0.2">
      <c r="A5950" s="22">
        <v>0.98703300952911377</v>
      </c>
    </row>
    <row r="5951" spans="1:1" x14ac:dyDescent="0.2">
      <c r="A5951" s="22">
        <v>0.48773461580276489</v>
      </c>
    </row>
    <row r="5952" spans="1:1" x14ac:dyDescent="0.2">
      <c r="A5952" s="22">
        <v>0.25778555870056152</v>
      </c>
    </row>
    <row r="5953" spans="1:1" x14ac:dyDescent="0.2">
      <c r="A5953" s="22">
        <v>0.81866544485092163</v>
      </c>
    </row>
    <row r="5954" spans="1:1" x14ac:dyDescent="0.2">
      <c r="A5954" s="22">
        <v>0.46042764186859131</v>
      </c>
    </row>
    <row r="5955" spans="1:1" x14ac:dyDescent="0.2">
      <c r="A5955" s="22">
        <v>0.74943548440933228</v>
      </c>
    </row>
    <row r="5956" spans="1:1" x14ac:dyDescent="0.2">
      <c r="A5956" s="22">
        <v>0.67702865600585938</v>
      </c>
    </row>
    <row r="5957" spans="1:1" x14ac:dyDescent="0.2">
      <c r="A5957" s="22">
        <v>0.19789904356002808</v>
      </c>
    </row>
    <row r="5958" spans="1:1" x14ac:dyDescent="0.2">
      <c r="A5958" s="22">
        <v>0.66183817386627197</v>
      </c>
    </row>
    <row r="5959" spans="1:1" x14ac:dyDescent="0.2">
      <c r="A5959" s="22">
        <v>0.37786990404129028</v>
      </c>
    </row>
    <row r="5960" spans="1:1" x14ac:dyDescent="0.2">
      <c r="A5960" s="22">
        <v>0.34372735023498535</v>
      </c>
    </row>
    <row r="5961" spans="1:1" x14ac:dyDescent="0.2">
      <c r="A5961" s="22">
        <v>0.79179710149765015</v>
      </c>
    </row>
    <row r="5962" spans="1:1" x14ac:dyDescent="0.2">
      <c r="A5962" s="22">
        <v>0.34816157817840576</v>
      </c>
    </row>
    <row r="5963" spans="1:1" x14ac:dyDescent="0.2">
      <c r="A5963" s="22">
        <v>0.16484695672988892</v>
      </c>
    </row>
    <row r="5964" spans="1:1" x14ac:dyDescent="0.2">
      <c r="A5964" s="22">
        <v>0.69495439529418945</v>
      </c>
    </row>
    <row r="5965" spans="1:1" x14ac:dyDescent="0.2">
      <c r="A5965" s="22">
        <v>0.85164135694503784</v>
      </c>
    </row>
    <row r="5966" spans="1:1" x14ac:dyDescent="0.2">
      <c r="A5966" s="22">
        <v>7.8052639961242676E-2</v>
      </c>
    </row>
    <row r="5967" spans="1:1" x14ac:dyDescent="0.2">
      <c r="A5967" s="22">
        <v>0.49690228700637817</v>
      </c>
    </row>
    <row r="5968" spans="1:1" x14ac:dyDescent="0.2">
      <c r="A5968" s="22">
        <v>0.38360285758972168</v>
      </c>
    </row>
    <row r="5969" spans="1:1" x14ac:dyDescent="0.2">
      <c r="A5969" s="22">
        <v>0.98125261068344116</v>
      </c>
    </row>
    <row r="5970" spans="1:1" x14ac:dyDescent="0.2">
      <c r="A5970" s="22">
        <v>0.35254895687103271</v>
      </c>
    </row>
    <row r="5971" spans="1:1" x14ac:dyDescent="0.2">
      <c r="A5971" s="22">
        <v>0.93342310190200806</v>
      </c>
    </row>
    <row r="5972" spans="1:1" x14ac:dyDescent="0.2">
      <c r="A5972" s="22">
        <v>0.54401111602783203</v>
      </c>
    </row>
    <row r="5973" spans="1:1" x14ac:dyDescent="0.2">
      <c r="A5973" s="22">
        <v>0.34011572599411011</v>
      </c>
    </row>
    <row r="5974" spans="1:1" x14ac:dyDescent="0.2">
      <c r="A5974" s="22">
        <v>5.6959390640258789E-3</v>
      </c>
    </row>
    <row r="5975" spans="1:1" x14ac:dyDescent="0.2">
      <c r="A5975" s="22">
        <v>3.4773170948028564E-2</v>
      </c>
    </row>
    <row r="5976" spans="1:1" x14ac:dyDescent="0.2">
      <c r="A5976" s="22">
        <v>0.30758786201477051</v>
      </c>
    </row>
    <row r="5977" spans="1:1" x14ac:dyDescent="0.2">
      <c r="A5977" s="22">
        <v>9.6504628658294678E-2</v>
      </c>
    </row>
    <row r="5978" spans="1:1" x14ac:dyDescent="0.2">
      <c r="A5978" s="22">
        <v>0.84517180919647217</v>
      </c>
    </row>
    <row r="5979" spans="1:1" x14ac:dyDescent="0.2">
      <c r="A5979" s="22">
        <v>0.4404178261756897</v>
      </c>
    </row>
    <row r="5980" spans="1:1" x14ac:dyDescent="0.2">
      <c r="A5980" s="22">
        <v>0.56843709945678711</v>
      </c>
    </row>
    <row r="5981" spans="1:1" x14ac:dyDescent="0.2">
      <c r="A5981" s="22">
        <v>0.13060730695724487</v>
      </c>
    </row>
    <row r="5982" spans="1:1" x14ac:dyDescent="0.2">
      <c r="A5982" s="22">
        <v>0.54291260242462158</v>
      </c>
    </row>
    <row r="5983" spans="1:1" x14ac:dyDescent="0.2">
      <c r="A5983" s="22">
        <v>0.19704896211624146</v>
      </c>
    </row>
    <row r="5984" spans="1:1" x14ac:dyDescent="0.2">
      <c r="A5984" s="22">
        <v>0.99898314476013184</v>
      </c>
    </row>
    <row r="5985" spans="1:1" x14ac:dyDescent="0.2">
      <c r="A5985" s="22">
        <v>0.98765081167221069</v>
      </c>
    </row>
    <row r="5986" spans="1:1" x14ac:dyDescent="0.2">
      <c r="A5986" s="22">
        <v>0.77573716640472412</v>
      </c>
    </row>
    <row r="5987" spans="1:1" x14ac:dyDescent="0.2">
      <c r="A5987" s="22">
        <v>0.33671003580093384</v>
      </c>
    </row>
    <row r="5988" spans="1:1" x14ac:dyDescent="0.2">
      <c r="A5988" s="22">
        <v>0.31559562683105469</v>
      </c>
    </row>
    <row r="5989" spans="1:1" x14ac:dyDescent="0.2">
      <c r="A5989" s="22">
        <v>8.1026256084442139E-2</v>
      </c>
    </row>
    <row r="5990" spans="1:1" x14ac:dyDescent="0.2">
      <c r="A5990" s="22">
        <v>0.61597216129302979</v>
      </c>
    </row>
    <row r="5991" spans="1:1" x14ac:dyDescent="0.2">
      <c r="A5991" s="22">
        <v>0.70492106676101685</v>
      </c>
    </row>
    <row r="5992" spans="1:1" x14ac:dyDescent="0.2">
      <c r="A5992" s="22">
        <v>0.79421448707580566</v>
      </c>
    </row>
    <row r="5993" spans="1:1" x14ac:dyDescent="0.2">
      <c r="A5993" s="22">
        <v>0.14541381597518921</v>
      </c>
    </row>
    <row r="5994" spans="1:1" x14ac:dyDescent="0.2">
      <c r="A5994" s="22">
        <v>0.17207705974578857</v>
      </c>
    </row>
    <row r="5995" spans="1:1" x14ac:dyDescent="0.2">
      <c r="A5995" s="22">
        <v>3.8803637027740479E-2</v>
      </c>
    </row>
    <row r="5996" spans="1:1" x14ac:dyDescent="0.2">
      <c r="A5996" s="22">
        <v>3.5974979400634766E-2</v>
      </c>
    </row>
    <row r="5997" spans="1:1" x14ac:dyDescent="0.2">
      <c r="A5997" s="22">
        <v>0.9399077296257019</v>
      </c>
    </row>
    <row r="5998" spans="1:1" x14ac:dyDescent="0.2">
      <c r="A5998" s="22">
        <v>0.47926914691925049</v>
      </c>
    </row>
    <row r="5999" spans="1:1" x14ac:dyDescent="0.2">
      <c r="A5999" s="22">
        <v>0.29520589113235474</v>
      </c>
    </row>
    <row r="6000" spans="1:1" x14ac:dyDescent="0.2">
      <c r="A6000" s="22">
        <v>0.98283267021179199</v>
      </c>
    </row>
    <row r="6001" spans="1:1" x14ac:dyDescent="0.2">
      <c r="A6001" s="22">
        <v>0.20114129781723022</v>
      </c>
    </row>
    <row r="6002" spans="1:1" x14ac:dyDescent="0.2">
      <c r="A6002" s="22">
        <v>0.64014852046966553</v>
      </c>
    </row>
    <row r="6003" spans="1:1" x14ac:dyDescent="0.2">
      <c r="A6003" s="22">
        <v>0.22882753610610962</v>
      </c>
    </row>
    <row r="6004" spans="1:1" x14ac:dyDescent="0.2">
      <c r="A6004" s="22">
        <v>0.18318843841552734</v>
      </c>
    </row>
    <row r="6005" spans="1:1" x14ac:dyDescent="0.2">
      <c r="A6005" s="22">
        <v>0.84641188383102417</v>
      </c>
    </row>
    <row r="6006" spans="1:1" x14ac:dyDescent="0.2">
      <c r="A6006" s="22">
        <v>0.21532309055328369</v>
      </c>
    </row>
    <row r="6007" spans="1:1" x14ac:dyDescent="0.2">
      <c r="A6007" s="22">
        <v>0.22034484148025513</v>
      </c>
    </row>
    <row r="6008" spans="1:1" x14ac:dyDescent="0.2">
      <c r="A6008" s="22">
        <v>0.30751347541809082</v>
      </c>
    </row>
    <row r="6009" spans="1:1" x14ac:dyDescent="0.2">
      <c r="A6009" s="22">
        <v>0.42680591344833374</v>
      </c>
    </row>
    <row r="6010" spans="1:1" x14ac:dyDescent="0.2">
      <c r="A6010" s="22">
        <v>0.86403357982635498</v>
      </c>
    </row>
    <row r="6011" spans="1:1" x14ac:dyDescent="0.2">
      <c r="A6011" s="22">
        <v>0.35453563928604126</v>
      </c>
    </row>
    <row r="6012" spans="1:1" x14ac:dyDescent="0.2">
      <c r="A6012" s="22">
        <v>0.91397428512573242</v>
      </c>
    </row>
    <row r="6013" spans="1:1" x14ac:dyDescent="0.2">
      <c r="A6013" s="22">
        <v>0.83032387495040894</v>
      </c>
    </row>
    <row r="6014" spans="1:1" x14ac:dyDescent="0.2">
      <c r="A6014" s="22">
        <v>0.23477852344512939</v>
      </c>
    </row>
    <row r="6015" spans="1:1" x14ac:dyDescent="0.2">
      <c r="A6015" s="22">
        <v>0.74840432405471802</v>
      </c>
    </row>
    <row r="6016" spans="1:1" x14ac:dyDescent="0.2">
      <c r="A6016" s="22">
        <v>0.46405768394470215</v>
      </c>
    </row>
    <row r="6017" spans="1:1" x14ac:dyDescent="0.2">
      <c r="A6017" s="22">
        <v>0.23500531911849976</v>
      </c>
    </row>
    <row r="6018" spans="1:1" x14ac:dyDescent="0.2">
      <c r="A6018" s="22">
        <v>0.10593926906585693</v>
      </c>
    </row>
    <row r="6019" spans="1:1" x14ac:dyDescent="0.2">
      <c r="A6019" s="22">
        <v>0.1293068528175354</v>
      </c>
    </row>
    <row r="6020" spans="1:1" x14ac:dyDescent="0.2">
      <c r="A6020" s="22">
        <v>0.58819580078125</v>
      </c>
    </row>
    <row r="6021" spans="1:1" x14ac:dyDescent="0.2">
      <c r="A6021" s="22">
        <v>0.3120538592338562</v>
      </c>
    </row>
    <row r="6022" spans="1:1" x14ac:dyDescent="0.2">
      <c r="A6022" s="22">
        <v>0.7764049768447876</v>
      </c>
    </row>
    <row r="6023" spans="1:1" x14ac:dyDescent="0.2">
      <c r="A6023" s="22">
        <v>0.66307574510574341</v>
      </c>
    </row>
    <row r="6024" spans="1:1" x14ac:dyDescent="0.2">
      <c r="A6024" s="22">
        <v>0.60139107704162598</v>
      </c>
    </row>
    <row r="6025" spans="1:1" x14ac:dyDescent="0.2">
      <c r="A6025" s="22">
        <v>0.67896217107772827</v>
      </c>
    </row>
    <row r="6026" spans="1:1" x14ac:dyDescent="0.2">
      <c r="A6026" s="22">
        <v>0.70619761943817139</v>
      </c>
    </row>
    <row r="6027" spans="1:1" x14ac:dyDescent="0.2">
      <c r="A6027" s="22">
        <v>3.2145082950592041E-2</v>
      </c>
    </row>
    <row r="6028" spans="1:1" x14ac:dyDescent="0.2">
      <c r="A6028" s="22">
        <v>0.26884126663208008</v>
      </c>
    </row>
    <row r="6029" spans="1:1" x14ac:dyDescent="0.2">
      <c r="A6029" s="22">
        <v>0.60263699293136597</v>
      </c>
    </row>
    <row r="6030" spans="1:1" x14ac:dyDescent="0.2">
      <c r="A6030" s="22">
        <v>0.4070969820022583</v>
      </c>
    </row>
    <row r="6031" spans="1:1" x14ac:dyDescent="0.2">
      <c r="A6031" s="22">
        <v>0.7636755108833313</v>
      </c>
    </row>
    <row r="6032" spans="1:1" x14ac:dyDescent="0.2">
      <c r="A6032" s="22">
        <v>0.8215644359588623</v>
      </c>
    </row>
    <row r="6033" spans="1:1" x14ac:dyDescent="0.2">
      <c r="A6033" s="22">
        <v>0.95252412557601929</v>
      </c>
    </row>
    <row r="6034" spans="1:1" x14ac:dyDescent="0.2">
      <c r="A6034" s="22">
        <v>0.58326566219329834</v>
      </c>
    </row>
    <row r="6035" spans="1:1" x14ac:dyDescent="0.2">
      <c r="A6035" s="22">
        <v>0.80767923593521118</v>
      </c>
    </row>
    <row r="6036" spans="1:1" x14ac:dyDescent="0.2">
      <c r="A6036" s="22">
        <v>0.22202396392822266</v>
      </c>
    </row>
    <row r="6037" spans="1:1" x14ac:dyDescent="0.2">
      <c r="A6037" s="22">
        <v>0.40373343229293823</v>
      </c>
    </row>
    <row r="6038" spans="1:1" x14ac:dyDescent="0.2">
      <c r="A6038" s="22">
        <v>0.5218740701675415</v>
      </c>
    </row>
    <row r="6039" spans="1:1" x14ac:dyDescent="0.2">
      <c r="A6039" s="22">
        <v>0.36514502763748169</v>
      </c>
    </row>
    <row r="6040" spans="1:1" x14ac:dyDescent="0.2">
      <c r="A6040" s="22">
        <v>0.67975354194641113</v>
      </c>
    </row>
    <row r="6041" spans="1:1" x14ac:dyDescent="0.2">
      <c r="A6041" s="22">
        <v>0.8901638388633728</v>
      </c>
    </row>
    <row r="6042" spans="1:1" x14ac:dyDescent="0.2">
      <c r="A6042" s="22">
        <v>0.73372542858123779</v>
      </c>
    </row>
    <row r="6043" spans="1:1" x14ac:dyDescent="0.2">
      <c r="A6043" s="22">
        <v>0.96616321802139282</v>
      </c>
    </row>
    <row r="6044" spans="1:1" x14ac:dyDescent="0.2">
      <c r="A6044" s="22">
        <v>0.41698217391967773</v>
      </c>
    </row>
    <row r="6045" spans="1:1" x14ac:dyDescent="0.2">
      <c r="A6045" s="22">
        <v>0.307628333568573</v>
      </c>
    </row>
    <row r="6046" spans="1:1" x14ac:dyDescent="0.2">
      <c r="A6046" s="22">
        <v>0.84388077259063721</v>
      </c>
    </row>
    <row r="6047" spans="1:1" x14ac:dyDescent="0.2">
      <c r="A6047" s="22">
        <v>0.79805070161819458</v>
      </c>
    </row>
    <row r="6048" spans="1:1" x14ac:dyDescent="0.2">
      <c r="A6048" s="22">
        <v>0.68425917625427246</v>
      </c>
    </row>
    <row r="6049" spans="1:1" x14ac:dyDescent="0.2">
      <c r="A6049" s="22">
        <v>0.46697896718978882</v>
      </c>
    </row>
    <row r="6050" spans="1:1" x14ac:dyDescent="0.2">
      <c r="A6050" s="22">
        <v>0.73228394985198975</v>
      </c>
    </row>
    <row r="6051" spans="1:1" x14ac:dyDescent="0.2">
      <c r="A6051" s="22">
        <v>0.28347593545913696</v>
      </c>
    </row>
    <row r="6052" spans="1:1" x14ac:dyDescent="0.2">
      <c r="A6052" s="22">
        <v>2.6079177856445313E-2</v>
      </c>
    </row>
    <row r="6053" spans="1:1" x14ac:dyDescent="0.2">
      <c r="A6053" s="22">
        <v>0.29723185300827026</v>
      </c>
    </row>
    <row r="6054" spans="1:1" x14ac:dyDescent="0.2">
      <c r="A6054" s="22">
        <v>0.92438662052154541</v>
      </c>
    </row>
    <row r="6055" spans="1:1" x14ac:dyDescent="0.2">
      <c r="A6055" s="22">
        <v>0.90858393907546997</v>
      </c>
    </row>
    <row r="6056" spans="1:1" x14ac:dyDescent="0.2">
      <c r="A6056" s="22">
        <v>0.79650712013244629</v>
      </c>
    </row>
    <row r="6057" spans="1:1" x14ac:dyDescent="0.2">
      <c r="A6057" s="22">
        <v>0.29869216680526733</v>
      </c>
    </row>
    <row r="6058" spans="1:1" x14ac:dyDescent="0.2">
      <c r="A6058" s="22">
        <v>0.2317732572555542</v>
      </c>
    </row>
    <row r="6059" spans="1:1" x14ac:dyDescent="0.2">
      <c r="A6059" s="22">
        <v>0.3011212944984436</v>
      </c>
    </row>
    <row r="6060" spans="1:1" x14ac:dyDescent="0.2">
      <c r="A6060" s="22">
        <v>0.92480325698852539</v>
      </c>
    </row>
    <row r="6061" spans="1:1" x14ac:dyDescent="0.2">
      <c r="A6061" s="22">
        <v>0.24607914686203003</v>
      </c>
    </row>
    <row r="6062" spans="1:1" x14ac:dyDescent="0.2">
      <c r="A6062" s="22">
        <v>0.64278614521026611</v>
      </c>
    </row>
    <row r="6063" spans="1:1" x14ac:dyDescent="0.2">
      <c r="A6063" s="22">
        <v>0.55856114625930786</v>
      </c>
    </row>
    <row r="6064" spans="1:1" x14ac:dyDescent="0.2">
      <c r="A6064" s="22">
        <v>0.93104815483093262</v>
      </c>
    </row>
    <row r="6065" spans="1:1" x14ac:dyDescent="0.2">
      <c r="A6065" s="22">
        <v>0.14165109395980835</v>
      </c>
    </row>
    <row r="6066" spans="1:1" x14ac:dyDescent="0.2">
      <c r="A6066" s="22">
        <v>0.46315038204193115</v>
      </c>
    </row>
    <row r="6067" spans="1:1" x14ac:dyDescent="0.2">
      <c r="A6067" s="22">
        <v>0.82622820138931274</v>
      </c>
    </row>
    <row r="6068" spans="1:1" x14ac:dyDescent="0.2">
      <c r="A6068" s="22">
        <v>0.19176769256591797</v>
      </c>
    </row>
    <row r="6069" spans="1:1" x14ac:dyDescent="0.2">
      <c r="A6069" s="22">
        <v>0.41833037137985229</v>
      </c>
    </row>
    <row r="6070" spans="1:1" x14ac:dyDescent="0.2">
      <c r="A6070" s="22">
        <v>0.70659887790679932</v>
      </c>
    </row>
    <row r="6071" spans="1:1" x14ac:dyDescent="0.2">
      <c r="A6071" s="22">
        <v>0.12542372941970825</v>
      </c>
    </row>
    <row r="6072" spans="1:1" x14ac:dyDescent="0.2">
      <c r="A6072" s="22">
        <v>0.45555806159973145</v>
      </c>
    </row>
    <row r="6073" spans="1:1" x14ac:dyDescent="0.2">
      <c r="A6073" s="22">
        <v>0.39282840490341187</v>
      </c>
    </row>
    <row r="6074" spans="1:1" x14ac:dyDescent="0.2">
      <c r="A6074" s="22">
        <v>0.73549735546112061</v>
      </c>
    </row>
    <row r="6075" spans="1:1" x14ac:dyDescent="0.2">
      <c r="A6075" s="22">
        <v>0.43155056238174438</v>
      </c>
    </row>
    <row r="6076" spans="1:1" x14ac:dyDescent="0.2">
      <c r="A6076" s="22">
        <v>0.60871076583862305</v>
      </c>
    </row>
    <row r="6077" spans="1:1" x14ac:dyDescent="0.2">
      <c r="A6077" s="22">
        <v>0.96877068281173706</v>
      </c>
    </row>
    <row r="6078" spans="1:1" x14ac:dyDescent="0.2">
      <c r="A6078" s="22">
        <v>0.15146934986114502</v>
      </c>
    </row>
    <row r="6079" spans="1:1" x14ac:dyDescent="0.2">
      <c r="A6079" s="22">
        <v>2.2380948066711426E-3</v>
      </c>
    </row>
    <row r="6080" spans="1:1" x14ac:dyDescent="0.2">
      <c r="A6080" s="22">
        <v>0.69083762168884277</v>
      </c>
    </row>
    <row r="6081" spans="1:1" x14ac:dyDescent="0.2">
      <c r="A6081" s="22">
        <v>0.58982175588607788</v>
      </c>
    </row>
    <row r="6082" spans="1:1" x14ac:dyDescent="0.2">
      <c r="A6082" s="22">
        <v>0.93602120876312256</v>
      </c>
    </row>
    <row r="6083" spans="1:1" x14ac:dyDescent="0.2">
      <c r="A6083" s="22">
        <v>0.95546728372573853</v>
      </c>
    </row>
    <row r="6084" spans="1:1" x14ac:dyDescent="0.2">
      <c r="A6084" s="22">
        <v>0.16049575805664063</v>
      </c>
    </row>
    <row r="6085" spans="1:1" x14ac:dyDescent="0.2">
      <c r="A6085" s="22">
        <v>0.44281023740768433</v>
      </c>
    </row>
    <row r="6086" spans="1:1" x14ac:dyDescent="0.2">
      <c r="A6086" s="22">
        <v>0.84116709232330322</v>
      </c>
    </row>
    <row r="6087" spans="1:1" x14ac:dyDescent="0.2">
      <c r="A6087" s="22">
        <v>9.7695648670196533E-2</v>
      </c>
    </row>
    <row r="6088" spans="1:1" x14ac:dyDescent="0.2">
      <c r="A6088" s="22">
        <v>0.4108126163482666</v>
      </c>
    </row>
    <row r="6089" spans="1:1" x14ac:dyDescent="0.2">
      <c r="A6089" s="22">
        <v>0.9108538031578064</v>
      </c>
    </row>
    <row r="6090" spans="1:1" x14ac:dyDescent="0.2">
      <c r="A6090" s="22">
        <v>3.0053973197937012E-2</v>
      </c>
    </row>
    <row r="6091" spans="1:1" x14ac:dyDescent="0.2">
      <c r="A6091" s="22">
        <v>1.982271671295166E-3</v>
      </c>
    </row>
    <row r="6092" spans="1:1" x14ac:dyDescent="0.2">
      <c r="A6092" s="22">
        <v>0.5351109504699707</v>
      </c>
    </row>
    <row r="6093" spans="1:1" x14ac:dyDescent="0.2">
      <c r="A6093" s="22">
        <v>0.27648419141769409</v>
      </c>
    </row>
    <row r="6094" spans="1:1" x14ac:dyDescent="0.2">
      <c r="A6094" s="22">
        <v>0.96758663654327393</v>
      </c>
    </row>
    <row r="6095" spans="1:1" x14ac:dyDescent="0.2">
      <c r="A6095" s="22">
        <v>0.33611279726028442</v>
      </c>
    </row>
    <row r="6096" spans="1:1" x14ac:dyDescent="0.2">
      <c r="A6096" s="22">
        <v>0.34253382682800293</v>
      </c>
    </row>
    <row r="6097" spans="1:1" x14ac:dyDescent="0.2">
      <c r="A6097" s="22">
        <v>0.67477220296859741</v>
      </c>
    </row>
    <row r="6098" spans="1:1" x14ac:dyDescent="0.2">
      <c r="A6098" s="22">
        <v>0.56105268001556396</v>
      </c>
    </row>
    <row r="6099" spans="1:1" x14ac:dyDescent="0.2">
      <c r="A6099" s="22">
        <v>0.44072443246841431</v>
      </c>
    </row>
    <row r="6100" spans="1:1" x14ac:dyDescent="0.2">
      <c r="A6100" s="22">
        <v>0.62366962432861328</v>
      </c>
    </row>
    <row r="6101" spans="1:1" x14ac:dyDescent="0.2">
      <c r="A6101" s="22">
        <v>0.29645270109176636</v>
      </c>
    </row>
    <row r="6102" spans="1:1" x14ac:dyDescent="0.2">
      <c r="A6102" s="22">
        <v>0.55074751377105713</v>
      </c>
    </row>
    <row r="6103" spans="1:1" x14ac:dyDescent="0.2">
      <c r="A6103" s="22">
        <v>0.15743094682693481</v>
      </c>
    </row>
    <row r="6104" spans="1:1" x14ac:dyDescent="0.2">
      <c r="A6104" s="22">
        <v>0.66617703437805176</v>
      </c>
    </row>
    <row r="6105" spans="1:1" x14ac:dyDescent="0.2">
      <c r="A6105" s="22">
        <v>0.84104961156845093</v>
      </c>
    </row>
    <row r="6106" spans="1:1" x14ac:dyDescent="0.2">
      <c r="A6106" s="22">
        <v>0.15059936046600342</v>
      </c>
    </row>
    <row r="6107" spans="1:1" x14ac:dyDescent="0.2">
      <c r="A6107" s="22">
        <v>0.90694767236709595</v>
      </c>
    </row>
    <row r="6108" spans="1:1" x14ac:dyDescent="0.2">
      <c r="A6108" s="22">
        <v>2.0410060882568359E-2</v>
      </c>
    </row>
    <row r="6109" spans="1:1" x14ac:dyDescent="0.2">
      <c r="A6109" s="22">
        <v>0.22000092267990112</v>
      </c>
    </row>
    <row r="6110" spans="1:1" x14ac:dyDescent="0.2">
      <c r="A6110" s="22">
        <v>0.93879425525665283</v>
      </c>
    </row>
    <row r="6111" spans="1:1" x14ac:dyDescent="0.2">
      <c r="A6111" s="22">
        <v>1.7216503620147705E-2</v>
      </c>
    </row>
    <row r="6112" spans="1:1" x14ac:dyDescent="0.2">
      <c r="A6112" s="22">
        <v>0.51504302024841309</v>
      </c>
    </row>
    <row r="6113" spans="1:1" x14ac:dyDescent="0.2">
      <c r="A6113" s="22">
        <v>0.50978368520736694</v>
      </c>
    </row>
    <row r="6114" spans="1:1" x14ac:dyDescent="0.2">
      <c r="A6114" s="22">
        <v>0.99840104579925537</v>
      </c>
    </row>
    <row r="6115" spans="1:1" x14ac:dyDescent="0.2">
      <c r="A6115" s="22">
        <v>0.30153089761734009</v>
      </c>
    </row>
    <row r="6116" spans="1:1" x14ac:dyDescent="0.2">
      <c r="A6116" s="22">
        <v>0.52269554138183594</v>
      </c>
    </row>
    <row r="6117" spans="1:1" x14ac:dyDescent="0.2">
      <c r="A6117" s="22">
        <v>0.15503901243209839</v>
      </c>
    </row>
    <row r="6118" spans="1:1" x14ac:dyDescent="0.2">
      <c r="A6118" s="22">
        <v>0.30799639225006104</v>
      </c>
    </row>
    <row r="6119" spans="1:1" x14ac:dyDescent="0.2">
      <c r="A6119" s="22">
        <v>0.8866608738899231</v>
      </c>
    </row>
    <row r="6120" spans="1:1" x14ac:dyDescent="0.2">
      <c r="A6120" s="22">
        <v>0.47555756568908691</v>
      </c>
    </row>
    <row r="6121" spans="1:1" x14ac:dyDescent="0.2">
      <c r="A6121" s="22">
        <v>0.42169708013534546</v>
      </c>
    </row>
    <row r="6122" spans="1:1" x14ac:dyDescent="0.2">
      <c r="A6122" s="22">
        <v>0.38228976726531982</v>
      </c>
    </row>
    <row r="6123" spans="1:1" x14ac:dyDescent="0.2">
      <c r="A6123" s="22">
        <v>0.29097801446914673</v>
      </c>
    </row>
    <row r="6124" spans="1:1" x14ac:dyDescent="0.2">
      <c r="A6124" s="22">
        <v>0.63101434707641602</v>
      </c>
    </row>
    <row r="6125" spans="1:1" x14ac:dyDescent="0.2">
      <c r="A6125" s="22">
        <v>0.10010212659835815</v>
      </c>
    </row>
    <row r="6126" spans="1:1" x14ac:dyDescent="0.2">
      <c r="A6126" s="22">
        <v>0.16274845600128174</v>
      </c>
    </row>
    <row r="6127" spans="1:1" x14ac:dyDescent="0.2">
      <c r="A6127" s="22">
        <v>0.75258046388626099</v>
      </c>
    </row>
    <row r="6128" spans="1:1" x14ac:dyDescent="0.2">
      <c r="A6128" s="22">
        <v>8.7271451950073242E-2</v>
      </c>
    </row>
    <row r="6129" spans="1:1" x14ac:dyDescent="0.2">
      <c r="A6129" s="22">
        <v>0.45813745260238647</v>
      </c>
    </row>
    <row r="6130" spans="1:1" x14ac:dyDescent="0.2">
      <c r="A6130" s="22">
        <v>0.15822255611419678</v>
      </c>
    </row>
    <row r="6131" spans="1:1" x14ac:dyDescent="0.2">
      <c r="A6131" s="22">
        <v>0.80741792917251587</v>
      </c>
    </row>
    <row r="6132" spans="1:1" x14ac:dyDescent="0.2">
      <c r="A6132" s="22">
        <v>4.8979759216308594E-2</v>
      </c>
    </row>
    <row r="6133" spans="1:1" x14ac:dyDescent="0.2">
      <c r="A6133" s="22">
        <v>0.44435042142868042</v>
      </c>
    </row>
    <row r="6134" spans="1:1" x14ac:dyDescent="0.2">
      <c r="A6134" s="22">
        <v>0.83556997776031494</v>
      </c>
    </row>
    <row r="6135" spans="1:1" x14ac:dyDescent="0.2">
      <c r="A6135" s="22">
        <v>0.11741667985916138</v>
      </c>
    </row>
    <row r="6136" spans="1:1" x14ac:dyDescent="0.2">
      <c r="A6136" s="22">
        <v>0.34286046028137207</v>
      </c>
    </row>
    <row r="6137" spans="1:1" x14ac:dyDescent="0.2">
      <c r="A6137" s="22">
        <v>0.14107745885848999</v>
      </c>
    </row>
    <row r="6138" spans="1:1" x14ac:dyDescent="0.2">
      <c r="A6138" s="22">
        <v>0.26028144359588623</v>
      </c>
    </row>
    <row r="6139" spans="1:1" x14ac:dyDescent="0.2">
      <c r="A6139" s="22">
        <v>0.54860454797744751</v>
      </c>
    </row>
    <row r="6140" spans="1:1" x14ac:dyDescent="0.2">
      <c r="A6140" s="22">
        <v>0.18333005905151367</v>
      </c>
    </row>
    <row r="6141" spans="1:1" x14ac:dyDescent="0.2">
      <c r="A6141" s="22">
        <v>0.46756905317306519</v>
      </c>
    </row>
    <row r="6142" spans="1:1" x14ac:dyDescent="0.2">
      <c r="A6142" s="22">
        <v>0.98710548877716064</v>
      </c>
    </row>
    <row r="6143" spans="1:1" x14ac:dyDescent="0.2">
      <c r="A6143" s="22">
        <v>0.49923592805862427</v>
      </c>
    </row>
    <row r="6144" spans="1:1" x14ac:dyDescent="0.2">
      <c r="A6144" s="22">
        <v>0.1881253719329834</v>
      </c>
    </row>
    <row r="6145" spans="1:1" x14ac:dyDescent="0.2">
      <c r="A6145" s="22">
        <v>0.13311475515365601</v>
      </c>
    </row>
    <row r="6146" spans="1:1" x14ac:dyDescent="0.2">
      <c r="A6146" s="22">
        <v>0.20067346096038818</v>
      </c>
    </row>
    <row r="6147" spans="1:1" x14ac:dyDescent="0.2">
      <c r="A6147" s="22">
        <v>0.47791677713394165</v>
      </c>
    </row>
    <row r="6148" spans="1:1" x14ac:dyDescent="0.2">
      <c r="A6148" s="22">
        <v>0.64392852783203125</v>
      </c>
    </row>
    <row r="6149" spans="1:1" x14ac:dyDescent="0.2">
      <c r="A6149" s="22">
        <v>0.84016817808151245</v>
      </c>
    </row>
    <row r="6150" spans="1:1" x14ac:dyDescent="0.2">
      <c r="A6150" s="22">
        <v>0.10612452030181885</v>
      </c>
    </row>
    <row r="6151" spans="1:1" x14ac:dyDescent="0.2">
      <c r="A6151" s="22">
        <v>0.93172961473464966</v>
      </c>
    </row>
    <row r="6152" spans="1:1" x14ac:dyDescent="0.2">
      <c r="A6152" s="22">
        <v>2.1991968154907227E-2</v>
      </c>
    </row>
    <row r="6153" spans="1:1" x14ac:dyDescent="0.2">
      <c r="A6153" s="22">
        <v>0.73747199773788452</v>
      </c>
    </row>
    <row r="6154" spans="1:1" x14ac:dyDescent="0.2">
      <c r="A6154" s="22">
        <v>0.56973063945770264</v>
      </c>
    </row>
    <row r="6155" spans="1:1" x14ac:dyDescent="0.2">
      <c r="A6155" s="22">
        <v>0.32435852289199829</v>
      </c>
    </row>
    <row r="6156" spans="1:1" x14ac:dyDescent="0.2">
      <c r="A6156" s="22">
        <v>0.74376344680786133</v>
      </c>
    </row>
    <row r="6157" spans="1:1" x14ac:dyDescent="0.2">
      <c r="A6157" s="22">
        <v>0.12318295240402222</v>
      </c>
    </row>
    <row r="6158" spans="1:1" x14ac:dyDescent="0.2">
      <c r="A6158" s="22">
        <v>9.5216035842895508E-3</v>
      </c>
    </row>
    <row r="6159" spans="1:1" x14ac:dyDescent="0.2">
      <c r="A6159" s="22">
        <v>0.46421414613723755</v>
      </c>
    </row>
    <row r="6160" spans="1:1" x14ac:dyDescent="0.2">
      <c r="A6160" s="22">
        <v>0.19651103019714355</v>
      </c>
    </row>
    <row r="6161" spans="1:1" x14ac:dyDescent="0.2">
      <c r="A6161" s="22">
        <v>0.39799684286117554</v>
      </c>
    </row>
    <row r="6162" spans="1:1" x14ac:dyDescent="0.2">
      <c r="A6162" s="22">
        <v>0.53591001033782959</v>
      </c>
    </row>
    <row r="6163" spans="1:1" x14ac:dyDescent="0.2">
      <c r="A6163" s="22">
        <v>8.2558691501617432E-2</v>
      </c>
    </row>
    <row r="6164" spans="1:1" x14ac:dyDescent="0.2">
      <c r="A6164" s="22">
        <v>0.99894809722900391</v>
      </c>
    </row>
    <row r="6165" spans="1:1" x14ac:dyDescent="0.2">
      <c r="A6165" s="22">
        <v>0.26827353239059448</v>
      </c>
    </row>
    <row r="6166" spans="1:1" x14ac:dyDescent="0.2">
      <c r="A6166" s="22">
        <v>0.34231626987457275</v>
      </c>
    </row>
    <row r="6167" spans="1:1" x14ac:dyDescent="0.2">
      <c r="A6167" s="22">
        <v>0.66163092851638794</v>
      </c>
    </row>
    <row r="6168" spans="1:1" x14ac:dyDescent="0.2">
      <c r="A6168" s="22">
        <v>0.51685833930969238</v>
      </c>
    </row>
    <row r="6169" spans="1:1" x14ac:dyDescent="0.2">
      <c r="A6169" s="22">
        <v>0.19916194677352905</v>
      </c>
    </row>
    <row r="6170" spans="1:1" x14ac:dyDescent="0.2">
      <c r="A6170" s="22">
        <v>0.34579360485076904</v>
      </c>
    </row>
    <row r="6171" spans="1:1" x14ac:dyDescent="0.2">
      <c r="A6171" s="22">
        <v>0.51277118921279907</v>
      </c>
    </row>
    <row r="6172" spans="1:1" x14ac:dyDescent="0.2">
      <c r="A6172" s="22">
        <v>0.62872076034545898</v>
      </c>
    </row>
    <row r="6173" spans="1:1" x14ac:dyDescent="0.2">
      <c r="A6173" s="22">
        <v>0.11772507429122925</v>
      </c>
    </row>
    <row r="6174" spans="1:1" x14ac:dyDescent="0.2">
      <c r="A6174" s="22">
        <v>7.7653050422668457E-2</v>
      </c>
    </row>
    <row r="6175" spans="1:1" x14ac:dyDescent="0.2">
      <c r="A6175" s="22">
        <v>0.10454636812210083</v>
      </c>
    </row>
    <row r="6176" spans="1:1" x14ac:dyDescent="0.2">
      <c r="A6176" s="22">
        <v>0.74133467674255371</v>
      </c>
    </row>
    <row r="6177" spans="1:1" x14ac:dyDescent="0.2">
      <c r="A6177" s="22">
        <v>0.36606496572494507</v>
      </c>
    </row>
    <row r="6178" spans="1:1" x14ac:dyDescent="0.2">
      <c r="A6178" s="22">
        <v>0.824088454246521</v>
      </c>
    </row>
    <row r="6179" spans="1:1" x14ac:dyDescent="0.2">
      <c r="A6179" s="22">
        <v>0.64087492227554321</v>
      </c>
    </row>
    <row r="6180" spans="1:1" x14ac:dyDescent="0.2">
      <c r="A6180" s="22">
        <v>5.5444717407226563E-2</v>
      </c>
    </row>
    <row r="6181" spans="1:1" x14ac:dyDescent="0.2">
      <c r="A6181" s="22">
        <v>0.90444773435592651</v>
      </c>
    </row>
    <row r="6182" spans="1:1" x14ac:dyDescent="0.2">
      <c r="A6182" s="22">
        <v>1.680147647857666E-2</v>
      </c>
    </row>
    <row r="6183" spans="1:1" x14ac:dyDescent="0.2">
      <c r="A6183" s="22">
        <v>0.88915187120437622</v>
      </c>
    </row>
    <row r="6184" spans="1:1" x14ac:dyDescent="0.2">
      <c r="A6184" s="22">
        <v>8.1365823745727539E-2</v>
      </c>
    </row>
    <row r="6185" spans="1:1" x14ac:dyDescent="0.2">
      <c r="A6185" s="22">
        <v>0.76442855596542358</v>
      </c>
    </row>
    <row r="6186" spans="1:1" x14ac:dyDescent="0.2">
      <c r="A6186" s="22">
        <v>0.87362658977508545</v>
      </c>
    </row>
    <row r="6187" spans="1:1" x14ac:dyDescent="0.2">
      <c r="A6187" s="22">
        <v>0.25837379693984985</v>
      </c>
    </row>
    <row r="6188" spans="1:1" x14ac:dyDescent="0.2">
      <c r="A6188" s="22">
        <v>0.40460824966430664</v>
      </c>
    </row>
    <row r="6189" spans="1:1" x14ac:dyDescent="0.2">
      <c r="A6189" s="22">
        <v>0.75197666883468628</v>
      </c>
    </row>
    <row r="6190" spans="1:1" x14ac:dyDescent="0.2">
      <c r="A6190" s="22">
        <v>0.28915607929229736</v>
      </c>
    </row>
    <row r="6191" spans="1:1" x14ac:dyDescent="0.2">
      <c r="A6191" s="22">
        <v>0.12726384401321411</v>
      </c>
    </row>
    <row r="6192" spans="1:1" x14ac:dyDescent="0.2">
      <c r="A6192" s="22">
        <v>0.70150256156921387</v>
      </c>
    </row>
    <row r="6193" spans="1:1" x14ac:dyDescent="0.2">
      <c r="A6193" s="22">
        <v>0.4006003737449646</v>
      </c>
    </row>
    <row r="6194" spans="1:1" x14ac:dyDescent="0.2">
      <c r="A6194" s="22">
        <v>0.9753650426864624</v>
      </c>
    </row>
    <row r="6195" spans="1:1" x14ac:dyDescent="0.2">
      <c r="A6195" s="22">
        <v>0.42239671945571899</v>
      </c>
    </row>
    <row r="6196" spans="1:1" x14ac:dyDescent="0.2">
      <c r="A6196" s="22">
        <v>4.8246383666992188E-3</v>
      </c>
    </row>
    <row r="6197" spans="1:1" x14ac:dyDescent="0.2">
      <c r="A6197" s="22">
        <v>0.17447203397750854</v>
      </c>
    </row>
    <row r="6198" spans="1:1" x14ac:dyDescent="0.2">
      <c r="A6198" s="22">
        <v>0.85223639011383057</v>
      </c>
    </row>
    <row r="6199" spans="1:1" x14ac:dyDescent="0.2">
      <c r="A6199" s="22">
        <v>0.4463236927986145</v>
      </c>
    </row>
    <row r="6200" spans="1:1" x14ac:dyDescent="0.2">
      <c r="A6200" s="22">
        <v>0.2194206714630127</v>
      </c>
    </row>
    <row r="6201" spans="1:1" x14ac:dyDescent="0.2">
      <c r="A6201" s="22">
        <v>0.92155307531356812</v>
      </c>
    </row>
    <row r="6202" spans="1:1" x14ac:dyDescent="0.2">
      <c r="A6202" s="22">
        <v>0.68838584423065186</v>
      </c>
    </row>
    <row r="6203" spans="1:1" x14ac:dyDescent="0.2">
      <c r="A6203" s="22">
        <v>0.95569759607315063</v>
      </c>
    </row>
    <row r="6204" spans="1:1" x14ac:dyDescent="0.2">
      <c r="A6204" s="22">
        <v>0.8878321647644043</v>
      </c>
    </row>
    <row r="6205" spans="1:1" x14ac:dyDescent="0.2">
      <c r="A6205" s="22">
        <v>0.57671898603439331</v>
      </c>
    </row>
    <row r="6206" spans="1:1" x14ac:dyDescent="0.2">
      <c r="A6206" s="22">
        <v>0.99168694019317627</v>
      </c>
    </row>
    <row r="6207" spans="1:1" x14ac:dyDescent="0.2">
      <c r="A6207" s="22">
        <v>0.48939782381057739</v>
      </c>
    </row>
    <row r="6208" spans="1:1" x14ac:dyDescent="0.2">
      <c r="A6208" s="22">
        <v>0.20592093467712402</v>
      </c>
    </row>
    <row r="6209" spans="1:1" x14ac:dyDescent="0.2">
      <c r="A6209" s="22">
        <v>0.11488431692123413</v>
      </c>
    </row>
    <row r="6210" spans="1:1" x14ac:dyDescent="0.2">
      <c r="A6210" s="22">
        <v>0.14989602565765381</v>
      </c>
    </row>
    <row r="6211" spans="1:1" x14ac:dyDescent="0.2">
      <c r="A6211" s="22">
        <v>0.94665533304214478</v>
      </c>
    </row>
    <row r="6212" spans="1:1" x14ac:dyDescent="0.2">
      <c r="A6212" s="22">
        <v>0.28849411010742188</v>
      </c>
    </row>
    <row r="6213" spans="1:1" x14ac:dyDescent="0.2">
      <c r="A6213" s="22">
        <v>0.75412768125534058</v>
      </c>
    </row>
    <row r="6214" spans="1:1" x14ac:dyDescent="0.2">
      <c r="A6214" s="22">
        <v>0.82127726078033447</v>
      </c>
    </row>
    <row r="6215" spans="1:1" x14ac:dyDescent="0.2">
      <c r="A6215" s="22">
        <v>0.41517764329910278</v>
      </c>
    </row>
    <row r="6216" spans="1:1" x14ac:dyDescent="0.2">
      <c r="A6216" s="22">
        <v>0.68492913246154785</v>
      </c>
    </row>
    <row r="6217" spans="1:1" x14ac:dyDescent="0.2">
      <c r="A6217" s="22">
        <v>0.40881675481796265</v>
      </c>
    </row>
    <row r="6218" spans="1:1" x14ac:dyDescent="0.2">
      <c r="A6218" s="22">
        <v>0.57522761821746826</v>
      </c>
    </row>
    <row r="6219" spans="1:1" x14ac:dyDescent="0.2">
      <c r="A6219" s="22">
        <v>0.24927383661270142</v>
      </c>
    </row>
    <row r="6220" spans="1:1" x14ac:dyDescent="0.2">
      <c r="A6220" s="22">
        <v>0.14479875564575195</v>
      </c>
    </row>
    <row r="6221" spans="1:1" x14ac:dyDescent="0.2">
      <c r="A6221" s="22">
        <v>0.39273327589035034</v>
      </c>
    </row>
    <row r="6222" spans="1:1" x14ac:dyDescent="0.2">
      <c r="A6222" s="22">
        <v>0.78290188312530518</v>
      </c>
    </row>
    <row r="6223" spans="1:1" x14ac:dyDescent="0.2">
      <c r="A6223" s="22">
        <v>0.39797955751419067</v>
      </c>
    </row>
    <row r="6224" spans="1:1" x14ac:dyDescent="0.2">
      <c r="A6224" s="22">
        <v>0.63349604606628418</v>
      </c>
    </row>
    <row r="6225" spans="1:1" x14ac:dyDescent="0.2">
      <c r="A6225" s="22">
        <v>0.37219804525375366</v>
      </c>
    </row>
    <row r="6226" spans="1:1" x14ac:dyDescent="0.2">
      <c r="A6226" s="22">
        <v>0.75783765316009521</v>
      </c>
    </row>
    <row r="6227" spans="1:1" x14ac:dyDescent="0.2">
      <c r="A6227" s="22">
        <v>0.98318201303482056</v>
      </c>
    </row>
    <row r="6228" spans="1:1" x14ac:dyDescent="0.2">
      <c r="A6228" s="22">
        <v>0.59785938262939453</v>
      </c>
    </row>
    <row r="6229" spans="1:1" x14ac:dyDescent="0.2">
      <c r="A6229" s="22">
        <v>0.56919592618942261</v>
      </c>
    </row>
    <row r="6230" spans="1:1" x14ac:dyDescent="0.2">
      <c r="A6230" s="22">
        <v>0.14658033847808838</v>
      </c>
    </row>
    <row r="6231" spans="1:1" x14ac:dyDescent="0.2">
      <c r="A6231" s="22">
        <v>0.12774497270584106</v>
      </c>
    </row>
    <row r="6232" spans="1:1" x14ac:dyDescent="0.2">
      <c r="A6232" s="22">
        <v>0.48179745674133301</v>
      </c>
    </row>
    <row r="6233" spans="1:1" x14ac:dyDescent="0.2">
      <c r="A6233" s="22">
        <v>0.21450084447860718</v>
      </c>
    </row>
    <row r="6234" spans="1:1" x14ac:dyDescent="0.2">
      <c r="A6234" s="22">
        <v>0.56930816173553467</v>
      </c>
    </row>
    <row r="6235" spans="1:1" x14ac:dyDescent="0.2">
      <c r="A6235" s="22">
        <v>3.3633768558502197E-2</v>
      </c>
    </row>
    <row r="6236" spans="1:1" x14ac:dyDescent="0.2">
      <c r="A6236" s="22">
        <v>0.49191427230834961</v>
      </c>
    </row>
    <row r="6237" spans="1:1" x14ac:dyDescent="0.2">
      <c r="A6237" s="22">
        <v>0.25080078840255737</v>
      </c>
    </row>
    <row r="6238" spans="1:1" x14ac:dyDescent="0.2">
      <c r="A6238" s="22">
        <v>0.51045715808868408</v>
      </c>
    </row>
    <row r="6239" spans="1:1" x14ac:dyDescent="0.2">
      <c r="A6239" s="22">
        <v>0.31004029512405396</v>
      </c>
    </row>
    <row r="6240" spans="1:1" x14ac:dyDescent="0.2">
      <c r="A6240" s="22">
        <v>0.61313414573669434</v>
      </c>
    </row>
    <row r="6241" spans="1:1" x14ac:dyDescent="0.2">
      <c r="A6241" s="22">
        <v>0.28582280874252319</v>
      </c>
    </row>
    <row r="6242" spans="1:1" x14ac:dyDescent="0.2">
      <c r="A6242" s="22">
        <v>0.45934617519378662</v>
      </c>
    </row>
    <row r="6243" spans="1:1" x14ac:dyDescent="0.2">
      <c r="A6243" s="22">
        <v>0.55150800943374634</v>
      </c>
    </row>
    <row r="6244" spans="1:1" x14ac:dyDescent="0.2">
      <c r="A6244" s="22">
        <v>0.87432670593261719</v>
      </c>
    </row>
    <row r="6245" spans="1:1" x14ac:dyDescent="0.2">
      <c r="A6245" s="22">
        <v>0.79545801877975464</v>
      </c>
    </row>
    <row r="6246" spans="1:1" x14ac:dyDescent="0.2">
      <c r="A6246" s="22">
        <v>0.30080187320709229</v>
      </c>
    </row>
    <row r="6247" spans="1:1" x14ac:dyDescent="0.2">
      <c r="A6247" s="22">
        <v>0.16605693101882935</v>
      </c>
    </row>
    <row r="6248" spans="1:1" x14ac:dyDescent="0.2">
      <c r="A6248" s="22">
        <v>0.86393189430236816</v>
      </c>
    </row>
    <row r="6249" spans="1:1" x14ac:dyDescent="0.2">
      <c r="A6249" s="22">
        <v>0.57688659429550171</v>
      </c>
    </row>
    <row r="6250" spans="1:1" x14ac:dyDescent="0.2">
      <c r="A6250" s="22">
        <v>0.95578372478485107</v>
      </c>
    </row>
    <row r="6251" spans="1:1" x14ac:dyDescent="0.2">
      <c r="A6251" s="22">
        <v>0.45330864191055298</v>
      </c>
    </row>
    <row r="6252" spans="1:1" x14ac:dyDescent="0.2">
      <c r="A6252" s="22">
        <v>0.49558496475219727</v>
      </c>
    </row>
    <row r="6253" spans="1:1" x14ac:dyDescent="0.2">
      <c r="A6253" s="22">
        <v>0.4517027735710144</v>
      </c>
    </row>
    <row r="6254" spans="1:1" x14ac:dyDescent="0.2">
      <c r="A6254" s="22">
        <v>0.27200901508331299</v>
      </c>
    </row>
    <row r="6255" spans="1:1" x14ac:dyDescent="0.2">
      <c r="A6255" s="22">
        <v>0.93261128664016724</v>
      </c>
    </row>
    <row r="6256" spans="1:1" x14ac:dyDescent="0.2">
      <c r="A6256" s="22">
        <v>2.3741483688354492E-2</v>
      </c>
    </row>
    <row r="6257" spans="1:1" x14ac:dyDescent="0.2">
      <c r="A6257" s="22">
        <v>0.21903985738754272</v>
      </c>
    </row>
    <row r="6258" spans="1:1" x14ac:dyDescent="0.2">
      <c r="A6258" s="22">
        <v>0.16457784175872803</v>
      </c>
    </row>
    <row r="6259" spans="1:1" x14ac:dyDescent="0.2">
      <c r="A6259" s="22">
        <v>0.92116457223892212</v>
      </c>
    </row>
    <row r="6260" spans="1:1" x14ac:dyDescent="0.2">
      <c r="A6260" s="22">
        <v>0.30930233001708984</v>
      </c>
    </row>
    <row r="6261" spans="1:1" x14ac:dyDescent="0.2">
      <c r="A6261" s="22">
        <v>0.85869520902633667</v>
      </c>
    </row>
    <row r="6262" spans="1:1" x14ac:dyDescent="0.2">
      <c r="A6262" s="22">
        <v>6.5981149673461914E-3</v>
      </c>
    </row>
    <row r="6263" spans="1:1" x14ac:dyDescent="0.2">
      <c r="A6263" s="22">
        <v>0.36214476823806763</v>
      </c>
    </row>
    <row r="6264" spans="1:1" x14ac:dyDescent="0.2">
      <c r="A6264" s="22">
        <v>0.33523869514465332</v>
      </c>
    </row>
    <row r="6265" spans="1:1" x14ac:dyDescent="0.2">
      <c r="A6265" s="22">
        <v>0.98425525426864624</v>
      </c>
    </row>
    <row r="6266" spans="1:1" x14ac:dyDescent="0.2">
      <c r="A6266" s="22">
        <v>0.26981055736541748</v>
      </c>
    </row>
    <row r="6267" spans="1:1" x14ac:dyDescent="0.2">
      <c r="A6267" s="22">
        <v>0.90282970666885376</v>
      </c>
    </row>
    <row r="6268" spans="1:1" x14ac:dyDescent="0.2">
      <c r="A6268" s="22">
        <v>0.97221708297729492</v>
      </c>
    </row>
    <row r="6269" spans="1:1" x14ac:dyDescent="0.2">
      <c r="A6269" s="22">
        <v>0.54622048139572144</v>
      </c>
    </row>
    <row r="6270" spans="1:1" x14ac:dyDescent="0.2">
      <c r="A6270" s="22">
        <v>0.41521370410919189</v>
      </c>
    </row>
    <row r="6271" spans="1:1" x14ac:dyDescent="0.2">
      <c r="A6271" s="22">
        <v>0.22272378206253052</v>
      </c>
    </row>
    <row r="6272" spans="1:1" x14ac:dyDescent="0.2">
      <c r="A6272" s="22">
        <v>0.99422430992126465</v>
      </c>
    </row>
    <row r="6273" spans="1:1" x14ac:dyDescent="0.2">
      <c r="A6273" s="22">
        <v>0.78513044118881226</v>
      </c>
    </row>
    <row r="6274" spans="1:1" x14ac:dyDescent="0.2">
      <c r="A6274" s="22">
        <v>3.3688902854919434E-2</v>
      </c>
    </row>
    <row r="6275" spans="1:1" x14ac:dyDescent="0.2">
      <c r="A6275" s="22">
        <v>0.6116829514503479</v>
      </c>
    </row>
    <row r="6276" spans="1:1" x14ac:dyDescent="0.2">
      <c r="A6276" s="22">
        <v>0.3441925048828125</v>
      </c>
    </row>
    <row r="6277" spans="1:1" x14ac:dyDescent="0.2">
      <c r="A6277" s="22">
        <v>0.4346887469291687</v>
      </c>
    </row>
    <row r="6278" spans="1:1" x14ac:dyDescent="0.2">
      <c r="A6278" s="22">
        <v>0.2366253137588501</v>
      </c>
    </row>
    <row r="6279" spans="1:1" x14ac:dyDescent="0.2">
      <c r="A6279" s="22">
        <v>0.79803973436355591</v>
      </c>
    </row>
    <row r="6280" spans="1:1" x14ac:dyDescent="0.2">
      <c r="A6280" s="22">
        <v>0.64962410926818848</v>
      </c>
    </row>
    <row r="6281" spans="1:1" x14ac:dyDescent="0.2">
      <c r="A6281" s="22">
        <v>0.17488807439804077</v>
      </c>
    </row>
    <row r="6282" spans="1:1" x14ac:dyDescent="0.2">
      <c r="A6282" s="22">
        <v>0.29654490947723389</v>
      </c>
    </row>
    <row r="6283" spans="1:1" x14ac:dyDescent="0.2">
      <c r="A6283" s="22">
        <v>2.6728212833404541E-2</v>
      </c>
    </row>
    <row r="6284" spans="1:1" x14ac:dyDescent="0.2">
      <c r="A6284" s="22">
        <v>0.98821687698364258</v>
      </c>
    </row>
    <row r="6285" spans="1:1" x14ac:dyDescent="0.2">
      <c r="A6285" s="22">
        <v>0.33513516187667847</v>
      </c>
    </row>
    <row r="6286" spans="1:1" x14ac:dyDescent="0.2">
      <c r="A6286" s="22">
        <v>0.5377274751663208</v>
      </c>
    </row>
    <row r="6287" spans="1:1" x14ac:dyDescent="0.2">
      <c r="A6287" s="22">
        <v>0.3874090313911438</v>
      </c>
    </row>
    <row r="6288" spans="1:1" x14ac:dyDescent="0.2">
      <c r="A6288" s="22">
        <v>0.9034888744354248</v>
      </c>
    </row>
    <row r="6289" spans="1:1" x14ac:dyDescent="0.2">
      <c r="A6289" s="22">
        <v>0.84737581014633179</v>
      </c>
    </row>
    <row r="6290" spans="1:1" x14ac:dyDescent="0.2">
      <c r="A6290" s="22">
        <v>0.47683560848236084</v>
      </c>
    </row>
    <row r="6291" spans="1:1" x14ac:dyDescent="0.2">
      <c r="A6291" s="22">
        <v>0.39259439706802368</v>
      </c>
    </row>
    <row r="6292" spans="1:1" x14ac:dyDescent="0.2">
      <c r="A6292" s="22">
        <v>0.67040348052978516</v>
      </c>
    </row>
    <row r="6293" spans="1:1" x14ac:dyDescent="0.2">
      <c r="A6293" s="22">
        <v>0.44921988248825073</v>
      </c>
    </row>
    <row r="6294" spans="1:1" x14ac:dyDescent="0.2">
      <c r="A6294" s="22">
        <v>0.213539719581604</v>
      </c>
    </row>
    <row r="6295" spans="1:1" x14ac:dyDescent="0.2">
      <c r="A6295" s="22">
        <v>0.80577307939529419</v>
      </c>
    </row>
    <row r="6296" spans="1:1" x14ac:dyDescent="0.2">
      <c r="A6296" s="22">
        <v>0.81099438667297363</v>
      </c>
    </row>
    <row r="6297" spans="1:1" x14ac:dyDescent="0.2">
      <c r="A6297" s="22">
        <v>0.1370663046836853</v>
      </c>
    </row>
    <row r="6298" spans="1:1" x14ac:dyDescent="0.2">
      <c r="A6298" s="22">
        <v>7.1143031120300293E-2</v>
      </c>
    </row>
    <row r="6299" spans="1:1" x14ac:dyDescent="0.2">
      <c r="A6299" s="22">
        <v>0.71953541040420532</v>
      </c>
    </row>
    <row r="6300" spans="1:1" x14ac:dyDescent="0.2">
      <c r="A6300" s="22">
        <v>0.85999059677124023</v>
      </c>
    </row>
    <row r="6301" spans="1:1" x14ac:dyDescent="0.2">
      <c r="A6301" s="22">
        <v>0.8692280650138855</v>
      </c>
    </row>
    <row r="6302" spans="1:1" x14ac:dyDescent="0.2">
      <c r="A6302" s="22">
        <v>0.48720657825469971</v>
      </c>
    </row>
    <row r="6303" spans="1:1" x14ac:dyDescent="0.2">
      <c r="A6303" s="22">
        <v>0.88369828462600708</v>
      </c>
    </row>
    <row r="6304" spans="1:1" x14ac:dyDescent="0.2">
      <c r="A6304" s="22">
        <v>0.38044142723083496</v>
      </c>
    </row>
    <row r="6305" spans="1:1" x14ac:dyDescent="0.2">
      <c r="A6305" s="22">
        <v>0.51905721426010132</v>
      </c>
    </row>
    <row r="6306" spans="1:1" x14ac:dyDescent="0.2">
      <c r="A6306" s="22">
        <v>0.15417420864105225</v>
      </c>
    </row>
    <row r="6307" spans="1:1" x14ac:dyDescent="0.2">
      <c r="A6307" s="22">
        <v>0.28343015909194946</v>
      </c>
    </row>
    <row r="6308" spans="1:1" x14ac:dyDescent="0.2">
      <c r="A6308" s="22">
        <v>0.22934150695800781</v>
      </c>
    </row>
    <row r="6309" spans="1:1" x14ac:dyDescent="0.2">
      <c r="A6309" s="22">
        <v>7.8069865703582764E-2</v>
      </c>
    </row>
    <row r="6310" spans="1:1" x14ac:dyDescent="0.2">
      <c r="A6310" s="22">
        <v>0.40999758243560791</v>
      </c>
    </row>
    <row r="6311" spans="1:1" x14ac:dyDescent="0.2">
      <c r="A6311" s="22">
        <v>0.96737605333328247</v>
      </c>
    </row>
    <row r="6312" spans="1:1" x14ac:dyDescent="0.2">
      <c r="A6312" s="22">
        <v>7.3255777359008789E-2</v>
      </c>
    </row>
    <row r="6313" spans="1:1" x14ac:dyDescent="0.2">
      <c r="A6313" s="22">
        <v>0.10907119512557983</v>
      </c>
    </row>
    <row r="6314" spans="1:1" x14ac:dyDescent="0.2">
      <c r="A6314" s="22">
        <v>0.8787611722946167</v>
      </c>
    </row>
    <row r="6315" spans="1:1" x14ac:dyDescent="0.2">
      <c r="A6315" s="22">
        <v>0.1257825493812561</v>
      </c>
    </row>
    <row r="6316" spans="1:1" x14ac:dyDescent="0.2">
      <c r="A6316" s="22">
        <v>0.15394449234008789</v>
      </c>
    </row>
    <row r="6317" spans="1:1" x14ac:dyDescent="0.2">
      <c r="A6317" s="22">
        <v>0.44928044080734253</v>
      </c>
    </row>
    <row r="6318" spans="1:1" x14ac:dyDescent="0.2">
      <c r="A6318" s="22">
        <v>0.36130726337432861</v>
      </c>
    </row>
    <row r="6319" spans="1:1" x14ac:dyDescent="0.2">
      <c r="A6319" s="22">
        <v>0.41862279176712036</v>
      </c>
    </row>
    <row r="6320" spans="1:1" x14ac:dyDescent="0.2">
      <c r="A6320" s="22">
        <v>0.30398821830749512</v>
      </c>
    </row>
    <row r="6321" spans="1:1" x14ac:dyDescent="0.2">
      <c r="A6321" s="22">
        <v>0.16345590353012085</v>
      </c>
    </row>
    <row r="6322" spans="1:1" x14ac:dyDescent="0.2">
      <c r="A6322" s="22">
        <v>0.97586095333099365</v>
      </c>
    </row>
    <row r="6323" spans="1:1" x14ac:dyDescent="0.2">
      <c r="A6323" s="22">
        <v>0.55372148752212524</v>
      </c>
    </row>
    <row r="6324" spans="1:1" x14ac:dyDescent="0.2">
      <c r="A6324" s="22">
        <v>0.21241283416748047</v>
      </c>
    </row>
    <row r="6325" spans="1:1" x14ac:dyDescent="0.2">
      <c r="A6325" s="22">
        <v>0.74701994657516479</v>
      </c>
    </row>
    <row r="6326" spans="1:1" x14ac:dyDescent="0.2">
      <c r="A6326" s="22">
        <v>0.54865515232086182</v>
      </c>
    </row>
    <row r="6327" spans="1:1" x14ac:dyDescent="0.2">
      <c r="A6327" s="22">
        <v>0.11487990617752075</v>
      </c>
    </row>
    <row r="6328" spans="1:1" x14ac:dyDescent="0.2">
      <c r="A6328" s="22">
        <v>0.94031453132629395</v>
      </c>
    </row>
    <row r="6329" spans="1:1" x14ac:dyDescent="0.2">
      <c r="A6329" s="22">
        <v>0.57918399572372437</v>
      </c>
    </row>
    <row r="6330" spans="1:1" x14ac:dyDescent="0.2">
      <c r="A6330" s="22">
        <v>0.25455558300018311</v>
      </c>
    </row>
    <row r="6331" spans="1:1" x14ac:dyDescent="0.2">
      <c r="A6331" s="22">
        <v>0.64000087976455688</v>
      </c>
    </row>
    <row r="6332" spans="1:1" x14ac:dyDescent="0.2">
      <c r="A6332" s="22">
        <v>0.68648481369018555</v>
      </c>
    </row>
    <row r="6333" spans="1:1" x14ac:dyDescent="0.2">
      <c r="A6333" s="22">
        <v>0.62607353925704956</v>
      </c>
    </row>
    <row r="6334" spans="1:1" x14ac:dyDescent="0.2">
      <c r="A6334" s="22">
        <v>0.50768578052520752</v>
      </c>
    </row>
    <row r="6335" spans="1:1" x14ac:dyDescent="0.2">
      <c r="A6335" s="22">
        <v>0.94921380281448364</v>
      </c>
    </row>
    <row r="6336" spans="1:1" x14ac:dyDescent="0.2">
      <c r="A6336" s="22">
        <v>0.80303549766540527</v>
      </c>
    </row>
    <row r="6337" spans="1:1" x14ac:dyDescent="0.2">
      <c r="A6337" s="22">
        <v>0.39385312795639038</v>
      </c>
    </row>
    <row r="6338" spans="1:1" x14ac:dyDescent="0.2">
      <c r="A6338" s="22">
        <v>0.10205209255218506</v>
      </c>
    </row>
    <row r="6339" spans="1:1" x14ac:dyDescent="0.2">
      <c r="A6339" s="22">
        <v>0.72299963235855103</v>
      </c>
    </row>
    <row r="6340" spans="1:1" x14ac:dyDescent="0.2">
      <c r="A6340" s="22">
        <v>6.1023712158203125E-2</v>
      </c>
    </row>
    <row r="6341" spans="1:1" x14ac:dyDescent="0.2">
      <c r="A6341" s="22">
        <v>0.13185137510299683</v>
      </c>
    </row>
    <row r="6342" spans="1:1" x14ac:dyDescent="0.2">
      <c r="A6342" s="22">
        <v>0.60216867923736572</v>
      </c>
    </row>
    <row r="6343" spans="1:1" x14ac:dyDescent="0.2">
      <c r="A6343" s="22">
        <v>0.33031588792800903</v>
      </c>
    </row>
    <row r="6344" spans="1:1" x14ac:dyDescent="0.2">
      <c r="A6344" s="22">
        <v>0.1660768985748291</v>
      </c>
    </row>
    <row r="6345" spans="1:1" x14ac:dyDescent="0.2">
      <c r="A6345" s="22">
        <v>0.2856859564781189</v>
      </c>
    </row>
    <row r="6346" spans="1:1" x14ac:dyDescent="0.2">
      <c r="A6346" s="22">
        <v>0.98368251323699951</v>
      </c>
    </row>
    <row r="6347" spans="1:1" x14ac:dyDescent="0.2">
      <c r="A6347" s="22">
        <v>0.90672165155410767</v>
      </c>
    </row>
    <row r="6348" spans="1:1" x14ac:dyDescent="0.2">
      <c r="A6348" s="22">
        <v>0.5240178108215332</v>
      </c>
    </row>
    <row r="6349" spans="1:1" x14ac:dyDescent="0.2">
      <c r="A6349" s="22">
        <v>0.20038861036300659</v>
      </c>
    </row>
    <row r="6350" spans="1:1" x14ac:dyDescent="0.2">
      <c r="A6350" s="22">
        <v>0.52399837970733643</v>
      </c>
    </row>
    <row r="6351" spans="1:1" x14ac:dyDescent="0.2">
      <c r="A6351" s="22">
        <v>0.68250256776809692</v>
      </c>
    </row>
    <row r="6352" spans="1:1" x14ac:dyDescent="0.2">
      <c r="A6352" s="22">
        <v>0.25648951530456543</v>
      </c>
    </row>
    <row r="6353" spans="1:1" x14ac:dyDescent="0.2">
      <c r="A6353" s="22">
        <v>7.3530137538909912E-2</v>
      </c>
    </row>
    <row r="6354" spans="1:1" x14ac:dyDescent="0.2">
      <c r="A6354" s="22">
        <v>0.94290387630462646</v>
      </c>
    </row>
    <row r="6355" spans="1:1" x14ac:dyDescent="0.2">
      <c r="A6355" s="22">
        <v>0.56079584360122681</v>
      </c>
    </row>
    <row r="6356" spans="1:1" x14ac:dyDescent="0.2">
      <c r="A6356" s="22">
        <v>0.46658039093017578</v>
      </c>
    </row>
    <row r="6357" spans="1:1" x14ac:dyDescent="0.2">
      <c r="A6357" s="22">
        <v>0.15834540128707886</v>
      </c>
    </row>
    <row r="6358" spans="1:1" x14ac:dyDescent="0.2">
      <c r="A6358" s="22">
        <v>0.79319441318511963</v>
      </c>
    </row>
    <row r="6359" spans="1:1" x14ac:dyDescent="0.2">
      <c r="A6359" s="22">
        <v>0.94571524858474731</v>
      </c>
    </row>
    <row r="6360" spans="1:1" x14ac:dyDescent="0.2">
      <c r="A6360" s="22">
        <v>0.75444912910461426</v>
      </c>
    </row>
    <row r="6361" spans="1:1" x14ac:dyDescent="0.2">
      <c r="A6361" s="22">
        <v>0.21685832738876343</v>
      </c>
    </row>
    <row r="6362" spans="1:1" x14ac:dyDescent="0.2">
      <c r="A6362" s="22">
        <v>0.10129821300506592</v>
      </c>
    </row>
    <row r="6363" spans="1:1" x14ac:dyDescent="0.2">
      <c r="A6363" s="22">
        <v>0.82047611474990845</v>
      </c>
    </row>
    <row r="6364" spans="1:1" x14ac:dyDescent="0.2">
      <c r="A6364" s="22">
        <v>0.98294973373413086</v>
      </c>
    </row>
    <row r="6365" spans="1:1" x14ac:dyDescent="0.2">
      <c r="A6365" s="22">
        <v>0.22300690412521362</v>
      </c>
    </row>
    <row r="6366" spans="1:1" x14ac:dyDescent="0.2">
      <c r="A6366" s="22">
        <v>0.25790131092071533</v>
      </c>
    </row>
    <row r="6367" spans="1:1" x14ac:dyDescent="0.2">
      <c r="A6367" s="22">
        <v>7.5520336627960205E-2</v>
      </c>
    </row>
    <row r="6368" spans="1:1" x14ac:dyDescent="0.2">
      <c r="A6368" s="22">
        <v>0.29325652122497559</v>
      </c>
    </row>
    <row r="6369" spans="1:1" x14ac:dyDescent="0.2">
      <c r="A6369" s="22">
        <v>0.31576818227767944</v>
      </c>
    </row>
    <row r="6370" spans="1:1" x14ac:dyDescent="0.2">
      <c r="A6370" s="22">
        <v>0.15857255458831787</v>
      </c>
    </row>
    <row r="6371" spans="1:1" x14ac:dyDescent="0.2">
      <c r="A6371" s="22">
        <v>8.6641371250152588E-2</v>
      </c>
    </row>
    <row r="6372" spans="1:1" x14ac:dyDescent="0.2">
      <c r="A6372" s="22">
        <v>0.37048912048339844</v>
      </c>
    </row>
    <row r="6373" spans="1:1" x14ac:dyDescent="0.2">
      <c r="A6373" s="22">
        <v>2.2832751274108887E-3</v>
      </c>
    </row>
    <row r="6374" spans="1:1" x14ac:dyDescent="0.2">
      <c r="A6374" s="22">
        <v>0.59438860416412354</v>
      </c>
    </row>
    <row r="6375" spans="1:1" x14ac:dyDescent="0.2">
      <c r="A6375" s="22">
        <v>0.5431092381477356</v>
      </c>
    </row>
    <row r="6376" spans="1:1" x14ac:dyDescent="0.2">
      <c r="A6376" s="22">
        <v>0.95933747291564941</v>
      </c>
    </row>
    <row r="6377" spans="1:1" x14ac:dyDescent="0.2">
      <c r="A6377" s="22">
        <v>0.61098235845565796</v>
      </c>
    </row>
    <row r="6378" spans="1:1" x14ac:dyDescent="0.2">
      <c r="A6378" s="22">
        <v>0.89255893230438232</v>
      </c>
    </row>
    <row r="6379" spans="1:1" x14ac:dyDescent="0.2">
      <c r="A6379" s="22">
        <v>0.52579551935195923</v>
      </c>
    </row>
    <row r="6380" spans="1:1" x14ac:dyDescent="0.2">
      <c r="A6380" s="22">
        <v>0.62968683242797852</v>
      </c>
    </row>
    <row r="6381" spans="1:1" x14ac:dyDescent="0.2">
      <c r="A6381" s="22">
        <v>0.99470967054367065</v>
      </c>
    </row>
    <row r="6382" spans="1:1" x14ac:dyDescent="0.2">
      <c r="A6382" s="22">
        <v>0.80705082416534424</v>
      </c>
    </row>
    <row r="6383" spans="1:1" x14ac:dyDescent="0.2">
      <c r="A6383" s="22">
        <v>0.83529835939407349</v>
      </c>
    </row>
    <row r="6384" spans="1:1" x14ac:dyDescent="0.2">
      <c r="A6384" s="22">
        <v>0.79224276542663574</v>
      </c>
    </row>
    <row r="6385" spans="1:1" x14ac:dyDescent="0.2">
      <c r="A6385" s="22">
        <v>0.48384851217269897</v>
      </c>
    </row>
    <row r="6386" spans="1:1" x14ac:dyDescent="0.2">
      <c r="A6386" s="22">
        <v>0.65921437740325928</v>
      </c>
    </row>
    <row r="6387" spans="1:1" x14ac:dyDescent="0.2">
      <c r="A6387" s="22">
        <v>0.57006746530532837</v>
      </c>
    </row>
    <row r="6388" spans="1:1" x14ac:dyDescent="0.2">
      <c r="A6388" s="22">
        <v>0.96415615081787109</v>
      </c>
    </row>
    <row r="6389" spans="1:1" x14ac:dyDescent="0.2">
      <c r="A6389" s="22">
        <v>8.944624662399292E-2</v>
      </c>
    </row>
    <row r="6390" spans="1:1" x14ac:dyDescent="0.2">
      <c r="A6390" s="22">
        <v>0.72840750217437744</v>
      </c>
    </row>
    <row r="6391" spans="1:1" x14ac:dyDescent="0.2">
      <c r="A6391" s="22">
        <v>0.95452910661697388</v>
      </c>
    </row>
    <row r="6392" spans="1:1" x14ac:dyDescent="0.2">
      <c r="A6392" s="22">
        <v>0.28464818000793457</v>
      </c>
    </row>
    <row r="6393" spans="1:1" x14ac:dyDescent="0.2">
      <c r="A6393" s="22">
        <v>0.95633929967880249</v>
      </c>
    </row>
    <row r="6394" spans="1:1" x14ac:dyDescent="0.2">
      <c r="A6394" s="22">
        <v>0.89262092113494873</v>
      </c>
    </row>
    <row r="6395" spans="1:1" x14ac:dyDescent="0.2">
      <c r="A6395" s="22">
        <v>0.41721111536026001</v>
      </c>
    </row>
    <row r="6396" spans="1:1" x14ac:dyDescent="0.2">
      <c r="A6396" s="22">
        <v>0.28063535690307617</v>
      </c>
    </row>
    <row r="6397" spans="1:1" x14ac:dyDescent="0.2">
      <c r="A6397" s="22">
        <v>6.6278159618377686E-2</v>
      </c>
    </row>
    <row r="6398" spans="1:1" x14ac:dyDescent="0.2">
      <c r="A6398" s="22">
        <v>0.51910316944122314</v>
      </c>
    </row>
    <row r="6399" spans="1:1" x14ac:dyDescent="0.2">
      <c r="A6399" s="22">
        <v>0.91886788606643677</v>
      </c>
    </row>
    <row r="6400" spans="1:1" x14ac:dyDescent="0.2">
      <c r="A6400" s="22">
        <v>0.8823544979095459</v>
      </c>
    </row>
    <row r="6401" spans="1:1" x14ac:dyDescent="0.2">
      <c r="A6401" s="22">
        <v>0.19105237722396851</v>
      </c>
    </row>
    <row r="6402" spans="1:1" x14ac:dyDescent="0.2">
      <c r="A6402" s="22">
        <v>0.60498559474945068</v>
      </c>
    </row>
    <row r="6403" spans="1:1" x14ac:dyDescent="0.2">
      <c r="A6403" s="22">
        <v>0.53060537576675415</v>
      </c>
    </row>
    <row r="6404" spans="1:1" x14ac:dyDescent="0.2">
      <c r="A6404" s="22">
        <v>0.68898773193359375</v>
      </c>
    </row>
    <row r="6405" spans="1:1" x14ac:dyDescent="0.2">
      <c r="A6405" s="22">
        <v>9.5615565776824951E-2</v>
      </c>
    </row>
    <row r="6406" spans="1:1" x14ac:dyDescent="0.2">
      <c r="A6406" s="22">
        <v>0.16790735721588135</v>
      </c>
    </row>
    <row r="6407" spans="1:1" x14ac:dyDescent="0.2">
      <c r="A6407" s="22">
        <v>0.26200610399246216</v>
      </c>
    </row>
    <row r="6408" spans="1:1" x14ac:dyDescent="0.2">
      <c r="A6408" s="22">
        <v>0.48428750038146973</v>
      </c>
    </row>
    <row r="6409" spans="1:1" x14ac:dyDescent="0.2">
      <c r="A6409" s="22">
        <v>0.99121040105819702</v>
      </c>
    </row>
    <row r="6410" spans="1:1" x14ac:dyDescent="0.2">
      <c r="A6410" s="22">
        <v>0.88664042949676514</v>
      </c>
    </row>
    <row r="6411" spans="1:1" x14ac:dyDescent="0.2">
      <c r="A6411" s="22">
        <v>0.13925415277481079</v>
      </c>
    </row>
    <row r="6412" spans="1:1" x14ac:dyDescent="0.2">
      <c r="A6412" s="22">
        <v>2.2015571594238281E-3</v>
      </c>
    </row>
    <row r="6413" spans="1:1" x14ac:dyDescent="0.2">
      <c r="A6413" s="22">
        <v>0.23849362134933472</v>
      </c>
    </row>
    <row r="6414" spans="1:1" x14ac:dyDescent="0.2">
      <c r="A6414" s="22">
        <v>0.99171459674835205</v>
      </c>
    </row>
    <row r="6415" spans="1:1" x14ac:dyDescent="0.2">
      <c r="A6415" s="22">
        <v>0.53326016664505005</v>
      </c>
    </row>
    <row r="6416" spans="1:1" x14ac:dyDescent="0.2">
      <c r="A6416" s="22">
        <v>0.94249796867370605</v>
      </c>
    </row>
    <row r="6417" spans="1:1" x14ac:dyDescent="0.2">
      <c r="A6417" s="22">
        <v>0.30066102743148804</v>
      </c>
    </row>
    <row r="6418" spans="1:1" x14ac:dyDescent="0.2">
      <c r="A6418" s="22">
        <v>0.40604245662689209</v>
      </c>
    </row>
    <row r="6419" spans="1:1" x14ac:dyDescent="0.2">
      <c r="A6419" s="22">
        <v>0.73778635263442993</v>
      </c>
    </row>
    <row r="6420" spans="1:1" x14ac:dyDescent="0.2">
      <c r="A6420" s="22">
        <v>0.23639011383056641</v>
      </c>
    </row>
    <row r="6421" spans="1:1" x14ac:dyDescent="0.2">
      <c r="A6421" s="22">
        <v>0.94657248258590698</v>
      </c>
    </row>
    <row r="6422" spans="1:1" x14ac:dyDescent="0.2">
      <c r="A6422" s="22">
        <v>0.13554441928863525</v>
      </c>
    </row>
    <row r="6423" spans="1:1" x14ac:dyDescent="0.2">
      <c r="A6423" s="22">
        <v>0.79757148027420044</v>
      </c>
    </row>
    <row r="6424" spans="1:1" x14ac:dyDescent="0.2">
      <c r="A6424" s="22">
        <v>0.56216168403625488</v>
      </c>
    </row>
    <row r="6425" spans="1:1" x14ac:dyDescent="0.2">
      <c r="A6425" s="22">
        <v>0.70387691259384155</v>
      </c>
    </row>
    <row r="6426" spans="1:1" x14ac:dyDescent="0.2">
      <c r="A6426" s="22">
        <v>0.90977370738983154</v>
      </c>
    </row>
    <row r="6427" spans="1:1" x14ac:dyDescent="0.2">
      <c r="A6427" s="22">
        <v>0.58645588159561157</v>
      </c>
    </row>
    <row r="6428" spans="1:1" x14ac:dyDescent="0.2">
      <c r="A6428" s="22">
        <v>0.11079168319702148</v>
      </c>
    </row>
    <row r="6429" spans="1:1" x14ac:dyDescent="0.2">
      <c r="A6429" s="22">
        <v>0.56213730573654175</v>
      </c>
    </row>
    <row r="6430" spans="1:1" x14ac:dyDescent="0.2">
      <c r="A6430" s="22">
        <v>7.2541356086730957E-2</v>
      </c>
    </row>
    <row r="6431" spans="1:1" x14ac:dyDescent="0.2">
      <c r="A6431" s="22">
        <v>0.13550645112991333</v>
      </c>
    </row>
    <row r="6432" spans="1:1" x14ac:dyDescent="0.2">
      <c r="A6432" s="22">
        <v>0.60157942771911621</v>
      </c>
    </row>
    <row r="6433" spans="1:1" x14ac:dyDescent="0.2">
      <c r="A6433" s="22">
        <v>0.92595571279525757</v>
      </c>
    </row>
    <row r="6434" spans="1:1" x14ac:dyDescent="0.2">
      <c r="A6434" s="22">
        <v>0.7225412130355835</v>
      </c>
    </row>
    <row r="6435" spans="1:1" x14ac:dyDescent="0.2">
      <c r="A6435" s="22">
        <v>0.21114164590835571</v>
      </c>
    </row>
    <row r="6436" spans="1:1" x14ac:dyDescent="0.2">
      <c r="A6436" s="22">
        <v>0.54776954650878906</v>
      </c>
    </row>
    <row r="6437" spans="1:1" x14ac:dyDescent="0.2">
      <c r="A6437" s="22">
        <v>0.81809824705123901</v>
      </c>
    </row>
    <row r="6438" spans="1:1" x14ac:dyDescent="0.2">
      <c r="A6438" s="22">
        <v>0.10397493839263916</v>
      </c>
    </row>
    <row r="6439" spans="1:1" x14ac:dyDescent="0.2">
      <c r="A6439" s="22">
        <v>0.14325648546218872</v>
      </c>
    </row>
    <row r="6440" spans="1:1" x14ac:dyDescent="0.2">
      <c r="A6440" s="22">
        <v>0.77217698097229004</v>
      </c>
    </row>
    <row r="6441" spans="1:1" x14ac:dyDescent="0.2">
      <c r="A6441" s="22">
        <v>0.33262008428573608</v>
      </c>
    </row>
    <row r="6442" spans="1:1" x14ac:dyDescent="0.2">
      <c r="A6442" s="22">
        <v>0.24717700481414795</v>
      </c>
    </row>
    <row r="6443" spans="1:1" x14ac:dyDescent="0.2">
      <c r="A6443" s="22">
        <v>0.90334755182266235</v>
      </c>
    </row>
    <row r="6444" spans="1:1" x14ac:dyDescent="0.2">
      <c r="A6444" s="22">
        <v>0.17281198501586914</v>
      </c>
    </row>
    <row r="6445" spans="1:1" x14ac:dyDescent="0.2">
      <c r="A6445" s="22">
        <v>0.33799046277999878</v>
      </c>
    </row>
    <row r="6446" spans="1:1" x14ac:dyDescent="0.2">
      <c r="A6446" s="22">
        <v>0.85923969745635986</v>
      </c>
    </row>
    <row r="6447" spans="1:1" x14ac:dyDescent="0.2">
      <c r="A6447" s="22">
        <v>0.43263798952102661</v>
      </c>
    </row>
    <row r="6448" spans="1:1" x14ac:dyDescent="0.2">
      <c r="A6448" s="22">
        <v>0.73850512504577637</v>
      </c>
    </row>
    <row r="6449" spans="1:1" x14ac:dyDescent="0.2">
      <c r="A6449" s="22">
        <v>0.4302176833152771</v>
      </c>
    </row>
    <row r="6450" spans="1:1" x14ac:dyDescent="0.2">
      <c r="A6450" s="22">
        <v>0.4646381139755249</v>
      </c>
    </row>
    <row r="6451" spans="1:1" x14ac:dyDescent="0.2">
      <c r="A6451" s="22">
        <v>0.22020250558853149</v>
      </c>
    </row>
    <row r="6452" spans="1:1" x14ac:dyDescent="0.2">
      <c r="A6452" s="22">
        <v>0.81453227996826172</v>
      </c>
    </row>
    <row r="6453" spans="1:1" x14ac:dyDescent="0.2">
      <c r="A6453" s="22">
        <v>0.13597410917282104</v>
      </c>
    </row>
    <row r="6454" spans="1:1" x14ac:dyDescent="0.2">
      <c r="A6454" s="22">
        <v>0.79585516452789307</v>
      </c>
    </row>
    <row r="6455" spans="1:1" x14ac:dyDescent="0.2">
      <c r="A6455" s="22">
        <v>0.131092369556427</v>
      </c>
    </row>
    <row r="6456" spans="1:1" x14ac:dyDescent="0.2">
      <c r="A6456" s="22">
        <v>0.6182396411895752</v>
      </c>
    </row>
    <row r="6457" spans="1:1" x14ac:dyDescent="0.2">
      <c r="A6457" s="22">
        <v>0.36572116613388062</v>
      </c>
    </row>
    <row r="6458" spans="1:1" x14ac:dyDescent="0.2">
      <c r="A6458" s="22">
        <v>0.43400657176971436</v>
      </c>
    </row>
    <row r="6459" spans="1:1" x14ac:dyDescent="0.2">
      <c r="A6459" s="22">
        <v>0.48446041345596313</v>
      </c>
    </row>
    <row r="6460" spans="1:1" x14ac:dyDescent="0.2">
      <c r="A6460" s="22">
        <v>4.6687126159667969E-3</v>
      </c>
    </row>
    <row r="6461" spans="1:1" x14ac:dyDescent="0.2">
      <c r="A6461" s="22">
        <v>0.11683434247970581</v>
      </c>
    </row>
    <row r="6462" spans="1:1" x14ac:dyDescent="0.2">
      <c r="A6462" s="22">
        <v>0.69946587085723877</v>
      </c>
    </row>
    <row r="6463" spans="1:1" x14ac:dyDescent="0.2">
      <c r="A6463" s="22">
        <v>0.38168603181838989</v>
      </c>
    </row>
    <row r="6464" spans="1:1" x14ac:dyDescent="0.2">
      <c r="A6464" s="22">
        <v>0.48218131065368652</v>
      </c>
    </row>
    <row r="6465" spans="1:1" x14ac:dyDescent="0.2">
      <c r="A6465" s="22">
        <v>0.42672818899154663</v>
      </c>
    </row>
    <row r="6466" spans="1:1" x14ac:dyDescent="0.2">
      <c r="A6466" s="22">
        <v>0.79248940944671631</v>
      </c>
    </row>
    <row r="6467" spans="1:1" x14ac:dyDescent="0.2">
      <c r="A6467" s="22">
        <v>0.28450018167495728</v>
      </c>
    </row>
    <row r="6468" spans="1:1" x14ac:dyDescent="0.2">
      <c r="A6468" s="22">
        <v>0.47808456420898438</v>
      </c>
    </row>
    <row r="6469" spans="1:1" x14ac:dyDescent="0.2">
      <c r="A6469" s="22">
        <v>0.57598131895065308</v>
      </c>
    </row>
    <row r="6470" spans="1:1" x14ac:dyDescent="0.2">
      <c r="A6470" s="22">
        <v>0.18384134769439697</v>
      </c>
    </row>
    <row r="6471" spans="1:1" x14ac:dyDescent="0.2">
      <c r="A6471" s="22">
        <v>0.84311038255691528</v>
      </c>
    </row>
    <row r="6472" spans="1:1" x14ac:dyDescent="0.2">
      <c r="A6472" s="22">
        <v>0.85425591468811035</v>
      </c>
    </row>
    <row r="6473" spans="1:1" x14ac:dyDescent="0.2">
      <c r="A6473" s="22">
        <v>0.54146140813827515</v>
      </c>
    </row>
    <row r="6474" spans="1:1" x14ac:dyDescent="0.2">
      <c r="A6474" s="22">
        <v>0.25541865825653076</v>
      </c>
    </row>
    <row r="6475" spans="1:1" x14ac:dyDescent="0.2">
      <c r="A6475" s="22">
        <v>0.97432571649551392</v>
      </c>
    </row>
    <row r="6476" spans="1:1" x14ac:dyDescent="0.2">
      <c r="A6476" s="22">
        <v>0.67276811599731445</v>
      </c>
    </row>
    <row r="6477" spans="1:1" x14ac:dyDescent="0.2">
      <c r="A6477" s="22">
        <v>0.69945019483566284</v>
      </c>
    </row>
    <row r="6478" spans="1:1" x14ac:dyDescent="0.2">
      <c r="A6478" s="22">
        <v>0.19087612628936768</v>
      </c>
    </row>
    <row r="6479" spans="1:1" x14ac:dyDescent="0.2">
      <c r="A6479" s="22">
        <v>0.18968182802200317</v>
      </c>
    </row>
    <row r="6480" spans="1:1" x14ac:dyDescent="0.2">
      <c r="A6480" s="22">
        <v>0.21151423454284668</v>
      </c>
    </row>
    <row r="6481" spans="1:1" x14ac:dyDescent="0.2">
      <c r="A6481" s="22">
        <v>0.77876847982406616</v>
      </c>
    </row>
    <row r="6482" spans="1:1" x14ac:dyDescent="0.2">
      <c r="A6482" s="22">
        <v>0.11625134944915771</v>
      </c>
    </row>
    <row r="6483" spans="1:1" x14ac:dyDescent="0.2">
      <c r="A6483" s="22">
        <v>0.17356592416763306</v>
      </c>
    </row>
    <row r="6484" spans="1:1" x14ac:dyDescent="0.2">
      <c r="A6484" s="22">
        <v>0.22983264923095703</v>
      </c>
    </row>
    <row r="6485" spans="1:1" x14ac:dyDescent="0.2">
      <c r="A6485" s="22">
        <v>6.3901126384735107E-2</v>
      </c>
    </row>
    <row r="6486" spans="1:1" x14ac:dyDescent="0.2">
      <c r="A6486" s="22">
        <v>0.49058973789215088</v>
      </c>
    </row>
    <row r="6487" spans="1:1" x14ac:dyDescent="0.2">
      <c r="A6487" s="22">
        <v>0.61134177446365356</v>
      </c>
    </row>
    <row r="6488" spans="1:1" x14ac:dyDescent="0.2">
      <c r="A6488" s="22">
        <v>0.48413205146789551</v>
      </c>
    </row>
    <row r="6489" spans="1:1" x14ac:dyDescent="0.2">
      <c r="A6489" s="22">
        <v>0.84812206029891968</v>
      </c>
    </row>
    <row r="6490" spans="1:1" x14ac:dyDescent="0.2">
      <c r="A6490" s="22">
        <v>0.74656951427459717</v>
      </c>
    </row>
    <row r="6491" spans="1:1" x14ac:dyDescent="0.2">
      <c r="A6491" s="22">
        <v>0.2674747109413147</v>
      </c>
    </row>
    <row r="6492" spans="1:1" x14ac:dyDescent="0.2">
      <c r="A6492" s="22">
        <v>0.49351644515991211</v>
      </c>
    </row>
    <row r="6493" spans="1:1" x14ac:dyDescent="0.2">
      <c r="A6493" s="22">
        <v>0.13661926984786987</v>
      </c>
    </row>
    <row r="6494" spans="1:1" x14ac:dyDescent="0.2">
      <c r="A6494" s="22">
        <v>0.18112671375274658</v>
      </c>
    </row>
    <row r="6495" spans="1:1" x14ac:dyDescent="0.2">
      <c r="A6495" s="22">
        <v>0.31365662813186646</v>
      </c>
    </row>
    <row r="6496" spans="1:1" x14ac:dyDescent="0.2">
      <c r="A6496" s="22">
        <v>0.55541014671325684</v>
      </c>
    </row>
    <row r="6497" spans="1:1" x14ac:dyDescent="0.2">
      <c r="A6497" s="22">
        <v>0.59961980581283569</v>
      </c>
    </row>
    <row r="6498" spans="1:1" x14ac:dyDescent="0.2">
      <c r="A6498" s="22">
        <v>9.6080183982849121E-2</v>
      </c>
    </row>
    <row r="6499" spans="1:1" x14ac:dyDescent="0.2">
      <c r="A6499" s="22">
        <v>0.90693098306655884</v>
      </c>
    </row>
    <row r="6500" spans="1:1" x14ac:dyDescent="0.2">
      <c r="A6500" s="22">
        <v>1.1182785034179688E-2</v>
      </c>
    </row>
    <row r="6501" spans="1:1" x14ac:dyDescent="0.2">
      <c r="A6501" s="22">
        <v>0.77551478147506714</v>
      </c>
    </row>
    <row r="6502" spans="1:1" x14ac:dyDescent="0.2">
      <c r="A6502" s="22">
        <v>0.18875658512115479</v>
      </c>
    </row>
    <row r="6503" spans="1:1" x14ac:dyDescent="0.2">
      <c r="A6503" s="22">
        <v>1.7817795276641846E-2</v>
      </c>
    </row>
    <row r="6504" spans="1:1" x14ac:dyDescent="0.2">
      <c r="A6504" s="22">
        <v>0.76177430152893066</v>
      </c>
    </row>
    <row r="6505" spans="1:1" x14ac:dyDescent="0.2">
      <c r="A6505" s="22">
        <v>0.52398437261581421</v>
      </c>
    </row>
    <row r="6506" spans="1:1" x14ac:dyDescent="0.2">
      <c r="A6506" s="22">
        <v>0.19261538982391357</v>
      </c>
    </row>
    <row r="6507" spans="1:1" x14ac:dyDescent="0.2">
      <c r="A6507" s="22">
        <v>0.50843864679336548</v>
      </c>
    </row>
    <row r="6508" spans="1:1" x14ac:dyDescent="0.2">
      <c r="A6508" s="22">
        <v>3.3319950103759766E-2</v>
      </c>
    </row>
    <row r="6509" spans="1:1" x14ac:dyDescent="0.2">
      <c r="A6509" s="22">
        <v>0.7291228175163269</v>
      </c>
    </row>
    <row r="6510" spans="1:1" x14ac:dyDescent="0.2">
      <c r="A6510" s="22">
        <v>0.76787388324737549</v>
      </c>
    </row>
    <row r="6511" spans="1:1" x14ac:dyDescent="0.2">
      <c r="A6511" s="22">
        <v>0.46064168214797974</v>
      </c>
    </row>
    <row r="6512" spans="1:1" x14ac:dyDescent="0.2">
      <c r="A6512" s="22">
        <v>0.39277529716491699</v>
      </c>
    </row>
    <row r="6513" spans="1:1" x14ac:dyDescent="0.2">
      <c r="A6513" s="22">
        <v>0.25256341695785522</v>
      </c>
    </row>
    <row r="6514" spans="1:1" x14ac:dyDescent="0.2">
      <c r="A6514" s="22">
        <v>0.64213216304779053</v>
      </c>
    </row>
    <row r="6515" spans="1:1" x14ac:dyDescent="0.2">
      <c r="A6515" s="22">
        <v>0.75412660837173462</v>
      </c>
    </row>
    <row r="6516" spans="1:1" x14ac:dyDescent="0.2">
      <c r="A6516" s="22">
        <v>1.3541221618652344E-2</v>
      </c>
    </row>
    <row r="6517" spans="1:1" x14ac:dyDescent="0.2">
      <c r="A6517" s="22">
        <v>0.13660353422164917</v>
      </c>
    </row>
    <row r="6518" spans="1:1" x14ac:dyDescent="0.2">
      <c r="A6518" s="22">
        <v>9.9813938140869141E-4</v>
      </c>
    </row>
    <row r="6519" spans="1:1" x14ac:dyDescent="0.2">
      <c r="A6519" s="22">
        <v>0.89456969499588013</v>
      </c>
    </row>
    <row r="6520" spans="1:1" x14ac:dyDescent="0.2">
      <c r="A6520" s="22">
        <v>0.19108891487121582</v>
      </c>
    </row>
    <row r="6521" spans="1:1" x14ac:dyDescent="0.2">
      <c r="A6521" s="22">
        <v>5.732959508895874E-2</v>
      </c>
    </row>
    <row r="6522" spans="1:1" x14ac:dyDescent="0.2">
      <c r="A6522" s="22">
        <v>0.12871253490447998</v>
      </c>
    </row>
    <row r="6523" spans="1:1" x14ac:dyDescent="0.2">
      <c r="A6523" s="22">
        <v>9.174877405166626E-2</v>
      </c>
    </row>
    <row r="6524" spans="1:1" x14ac:dyDescent="0.2">
      <c r="A6524" s="22">
        <v>0.10858488082885742</v>
      </c>
    </row>
    <row r="6525" spans="1:1" x14ac:dyDescent="0.2">
      <c r="A6525" s="22">
        <v>2.7742087841033936E-2</v>
      </c>
    </row>
    <row r="6526" spans="1:1" x14ac:dyDescent="0.2">
      <c r="A6526" s="22">
        <v>0.29877388477325439</v>
      </c>
    </row>
    <row r="6527" spans="1:1" x14ac:dyDescent="0.2">
      <c r="A6527" s="22">
        <v>0.58766824007034302</v>
      </c>
    </row>
    <row r="6528" spans="1:1" x14ac:dyDescent="0.2">
      <c r="A6528" s="22">
        <v>0.85251593589782715</v>
      </c>
    </row>
    <row r="6529" spans="1:1" x14ac:dyDescent="0.2">
      <c r="A6529" s="22">
        <v>0.35088056325912476</v>
      </c>
    </row>
    <row r="6530" spans="1:1" x14ac:dyDescent="0.2">
      <c r="A6530" s="22">
        <v>0.91456353664398193</v>
      </c>
    </row>
    <row r="6531" spans="1:1" x14ac:dyDescent="0.2">
      <c r="A6531" s="22">
        <v>0.2346840500831604</v>
      </c>
    </row>
    <row r="6532" spans="1:1" x14ac:dyDescent="0.2">
      <c r="A6532" s="22">
        <v>0.678314208984375</v>
      </c>
    </row>
    <row r="6533" spans="1:1" x14ac:dyDescent="0.2">
      <c r="A6533" s="22">
        <v>0.8229486346244812</v>
      </c>
    </row>
    <row r="6534" spans="1:1" x14ac:dyDescent="0.2">
      <c r="A6534" s="22">
        <v>0.8999706506729126</v>
      </c>
    </row>
    <row r="6535" spans="1:1" x14ac:dyDescent="0.2">
      <c r="A6535" s="22">
        <v>0.32362872362136841</v>
      </c>
    </row>
    <row r="6536" spans="1:1" x14ac:dyDescent="0.2">
      <c r="A6536" s="22">
        <v>0.52598214149475098</v>
      </c>
    </row>
    <row r="6537" spans="1:1" x14ac:dyDescent="0.2">
      <c r="A6537" s="22">
        <v>0.18643897771835327</v>
      </c>
    </row>
    <row r="6538" spans="1:1" x14ac:dyDescent="0.2">
      <c r="A6538" s="22">
        <v>0.34001719951629639</v>
      </c>
    </row>
    <row r="6539" spans="1:1" x14ac:dyDescent="0.2">
      <c r="A6539" s="22">
        <v>0.66193634271621704</v>
      </c>
    </row>
    <row r="6540" spans="1:1" x14ac:dyDescent="0.2">
      <c r="A6540" s="22">
        <v>0.78571748733520508</v>
      </c>
    </row>
    <row r="6541" spans="1:1" x14ac:dyDescent="0.2">
      <c r="A6541" s="22">
        <v>0.83325833082199097</v>
      </c>
    </row>
    <row r="6542" spans="1:1" x14ac:dyDescent="0.2">
      <c r="A6542" s="22">
        <v>0.3714829683303833</v>
      </c>
    </row>
    <row r="6543" spans="1:1" x14ac:dyDescent="0.2">
      <c r="A6543" s="22">
        <v>0.9017675518989563</v>
      </c>
    </row>
    <row r="6544" spans="1:1" x14ac:dyDescent="0.2">
      <c r="A6544" s="22">
        <v>0.3135383129119873</v>
      </c>
    </row>
    <row r="6545" spans="1:1" x14ac:dyDescent="0.2">
      <c r="A6545" s="22">
        <v>0.75785249471664429</v>
      </c>
    </row>
    <row r="6546" spans="1:1" x14ac:dyDescent="0.2">
      <c r="A6546" s="22">
        <v>0.32353055477142334</v>
      </c>
    </row>
    <row r="6547" spans="1:1" x14ac:dyDescent="0.2">
      <c r="A6547" s="22">
        <v>0.11813455820083618</v>
      </c>
    </row>
    <row r="6548" spans="1:1" x14ac:dyDescent="0.2">
      <c r="A6548" s="22">
        <v>0.69690799713134766</v>
      </c>
    </row>
    <row r="6549" spans="1:1" x14ac:dyDescent="0.2">
      <c r="A6549" s="22">
        <v>0.76033133268356323</v>
      </c>
    </row>
    <row r="6550" spans="1:1" x14ac:dyDescent="0.2">
      <c r="A6550" s="22">
        <v>0.1083303689956665</v>
      </c>
    </row>
    <row r="6551" spans="1:1" x14ac:dyDescent="0.2">
      <c r="A6551" s="22">
        <v>0.63702613115310669</v>
      </c>
    </row>
    <row r="6552" spans="1:1" x14ac:dyDescent="0.2">
      <c r="A6552" s="22">
        <v>0.77036023139953613</v>
      </c>
    </row>
    <row r="6553" spans="1:1" x14ac:dyDescent="0.2">
      <c r="A6553" s="22">
        <v>0.8995937705039978</v>
      </c>
    </row>
    <row r="6554" spans="1:1" x14ac:dyDescent="0.2">
      <c r="A6554" s="22">
        <v>0.86168563365936279</v>
      </c>
    </row>
    <row r="6555" spans="1:1" x14ac:dyDescent="0.2">
      <c r="A6555" s="22">
        <v>0.11353260278701782</v>
      </c>
    </row>
    <row r="6556" spans="1:1" x14ac:dyDescent="0.2">
      <c r="A6556" s="22">
        <v>0.38112401962280273</v>
      </c>
    </row>
    <row r="6557" spans="1:1" x14ac:dyDescent="0.2">
      <c r="A6557" s="22">
        <v>0.196452796459198</v>
      </c>
    </row>
    <row r="6558" spans="1:1" x14ac:dyDescent="0.2">
      <c r="A6558" s="22">
        <v>0.83365738391876221</v>
      </c>
    </row>
    <row r="6559" spans="1:1" x14ac:dyDescent="0.2">
      <c r="A6559" s="22">
        <v>0.85997086763381958</v>
      </c>
    </row>
    <row r="6560" spans="1:1" x14ac:dyDescent="0.2">
      <c r="A6560" s="22">
        <v>0.40474867820739746</v>
      </c>
    </row>
    <row r="6561" spans="1:1" x14ac:dyDescent="0.2">
      <c r="A6561" s="22">
        <v>0.58676046133041382</v>
      </c>
    </row>
    <row r="6562" spans="1:1" x14ac:dyDescent="0.2">
      <c r="A6562" s="22">
        <v>0.52918946743011475</v>
      </c>
    </row>
    <row r="6563" spans="1:1" x14ac:dyDescent="0.2">
      <c r="A6563" s="22">
        <v>0.42400938272476196</v>
      </c>
    </row>
    <row r="6564" spans="1:1" x14ac:dyDescent="0.2">
      <c r="A6564" s="22">
        <v>1.0728836059570313E-2</v>
      </c>
    </row>
    <row r="6565" spans="1:1" x14ac:dyDescent="0.2">
      <c r="A6565" s="22">
        <v>0.12453287839889526</v>
      </c>
    </row>
    <row r="6566" spans="1:1" x14ac:dyDescent="0.2">
      <c r="A6566" s="22">
        <v>9.873354434967041E-2</v>
      </c>
    </row>
    <row r="6567" spans="1:1" x14ac:dyDescent="0.2">
      <c r="A6567" s="22">
        <v>0.41679316759109497</v>
      </c>
    </row>
    <row r="6568" spans="1:1" x14ac:dyDescent="0.2">
      <c r="A6568" s="22">
        <v>0.17812943458557129</v>
      </c>
    </row>
    <row r="6569" spans="1:1" x14ac:dyDescent="0.2">
      <c r="A6569" s="22">
        <v>0.43507522344589233</v>
      </c>
    </row>
    <row r="6570" spans="1:1" x14ac:dyDescent="0.2">
      <c r="A6570" s="22">
        <v>0.9788740873336792</v>
      </c>
    </row>
    <row r="6571" spans="1:1" x14ac:dyDescent="0.2">
      <c r="A6571" s="22">
        <v>0.5910688042640686</v>
      </c>
    </row>
    <row r="6572" spans="1:1" x14ac:dyDescent="0.2">
      <c r="A6572" s="22">
        <v>0.46121072769165039</v>
      </c>
    </row>
    <row r="6573" spans="1:1" x14ac:dyDescent="0.2">
      <c r="A6573" s="22">
        <v>0.41810673475265503</v>
      </c>
    </row>
    <row r="6574" spans="1:1" x14ac:dyDescent="0.2">
      <c r="A6574" s="22">
        <v>0.78295338153839111</v>
      </c>
    </row>
    <row r="6575" spans="1:1" x14ac:dyDescent="0.2">
      <c r="A6575" s="22">
        <v>0.16930943727493286</v>
      </c>
    </row>
    <row r="6576" spans="1:1" x14ac:dyDescent="0.2">
      <c r="A6576" s="22">
        <v>5.0532817840576172E-3</v>
      </c>
    </row>
    <row r="6577" spans="1:1" x14ac:dyDescent="0.2">
      <c r="A6577" s="22">
        <v>0.20088571310043335</v>
      </c>
    </row>
    <row r="6578" spans="1:1" x14ac:dyDescent="0.2">
      <c r="A6578" s="22">
        <v>0.44169652462005615</v>
      </c>
    </row>
    <row r="6579" spans="1:1" x14ac:dyDescent="0.2">
      <c r="A6579" s="22">
        <v>0.42183977365493774</v>
      </c>
    </row>
    <row r="6580" spans="1:1" x14ac:dyDescent="0.2">
      <c r="A6580" s="22">
        <v>0.81118297576904297</v>
      </c>
    </row>
    <row r="6581" spans="1:1" x14ac:dyDescent="0.2">
      <c r="A6581" s="22">
        <v>0.34133452177047729</v>
      </c>
    </row>
    <row r="6582" spans="1:1" x14ac:dyDescent="0.2">
      <c r="A6582" s="22">
        <v>0.59383642673492432</v>
      </c>
    </row>
    <row r="6583" spans="1:1" x14ac:dyDescent="0.2">
      <c r="A6583" s="22">
        <v>0.49496108293533325</v>
      </c>
    </row>
    <row r="6584" spans="1:1" x14ac:dyDescent="0.2">
      <c r="A6584" s="22">
        <v>0.25319600105285645</v>
      </c>
    </row>
    <row r="6585" spans="1:1" x14ac:dyDescent="0.2">
      <c r="A6585" s="22">
        <v>0.28116458654403687</v>
      </c>
    </row>
    <row r="6586" spans="1:1" x14ac:dyDescent="0.2">
      <c r="A6586" s="22">
        <v>0.22673881053924561</v>
      </c>
    </row>
    <row r="6587" spans="1:1" x14ac:dyDescent="0.2">
      <c r="A6587" s="22">
        <v>0.48907619714736938</v>
      </c>
    </row>
    <row r="6588" spans="1:1" x14ac:dyDescent="0.2">
      <c r="A6588" s="22">
        <v>0.84238386154174805</v>
      </c>
    </row>
    <row r="6589" spans="1:1" x14ac:dyDescent="0.2">
      <c r="A6589" s="22">
        <v>4.9001395702362061E-2</v>
      </c>
    </row>
    <row r="6590" spans="1:1" x14ac:dyDescent="0.2">
      <c r="A6590" s="22">
        <v>0.56702721118927002</v>
      </c>
    </row>
    <row r="6591" spans="1:1" x14ac:dyDescent="0.2">
      <c r="A6591" s="22">
        <v>0.78681451082229614</v>
      </c>
    </row>
    <row r="6592" spans="1:1" x14ac:dyDescent="0.2">
      <c r="A6592" s="22">
        <v>0.24335837364196777</v>
      </c>
    </row>
    <row r="6593" spans="1:1" x14ac:dyDescent="0.2">
      <c r="A6593" s="22">
        <v>0.21350950002670288</v>
      </c>
    </row>
    <row r="6594" spans="1:1" x14ac:dyDescent="0.2">
      <c r="A6594" s="22">
        <v>0.22120797634124756</v>
      </c>
    </row>
    <row r="6595" spans="1:1" x14ac:dyDescent="0.2">
      <c r="A6595" s="22">
        <v>0.63115698099136353</v>
      </c>
    </row>
    <row r="6596" spans="1:1" x14ac:dyDescent="0.2">
      <c r="A6596" s="22">
        <v>0.53967666625976563</v>
      </c>
    </row>
    <row r="6597" spans="1:1" x14ac:dyDescent="0.2">
      <c r="A6597" s="22">
        <v>8.6517512798309326E-2</v>
      </c>
    </row>
    <row r="6598" spans="1:1" x14ac:dyDescent="0.2">
      <c r="A6598" s="22">
        <v>0.56629526615142822</v>
      </c>
    </row>
    <row r="6599" spans="1:1" x14ac:dyDescent="0.2">
      <c r="A6599" s="22">
        <v>0.95356112718582153</v>
      </c>
    </row>
    <row r="6600" spans="1:1" x14ac:dyDescent="0.2">
      <c r="A6600" s="22">
        <v>0.7494661808013916</v>
      </c>
    </row>
    <row r="6601" spans="1:1" x14ac:dyDescent="0.2">
      <c r="A6601" s="22">
        <v>0.1761431097984314</v>
      </c>
    </row>
    <row r="6602" spans="1:1" x14ac:dyDescent="0.2">
      <c r="A6602" s="22">
        <v>0.39043605327606201</v>
      </c>
    </row>
    <row r="6603" spans="1:1" x14ac:dyDescent="0.2">
      <c r="A6603" s="22">
        <v>0.45208603143692017</v>
      </c>
    </row>
    <row r="6604" spans="1:1" x14ac:dyDescent="0.2">
      <c r="A6604" s="22">
        <v>0.5910496711730957</v>
      </c>
    </row>
    <row r="6605" spans="1:1" x14ac:dyDescent="0.2">
      <c r="A6605" s="22">
        <v>0.88991802930831909</v>
      </c>
    </row>
    <row r="6606" spans="1:1" x14ac:dyDescent="0.2">
      <c r="A6606" s="22">
        <v>0.78353512287139893</v>
      </c>
    </row>
    <row r="6607" spans="1:1" x14ac:dyDescent="0.2">
      <c r="A6607" s="22">
        <v>0.91951733827590942</v>
      </c>
    </row>
    <row r="6608" spans="1:1" x14ac:dyDescent="0.2">
      <c r="A6608" s="22">
        <v>0.49857020378112793</v>
      </c>
    </row>
    <row r="6609" spans="1:1" x14ac:dyDescent="0.2">
      <c r="A6609" s="22">
        <v>0.48791307210922241</v>
      </c>
    </row>
    <row r="6610" spans="1:1" x14ac:dyDescent="0.2">
      <c r="A6610" s="22">
        <v>0.27788007259368896</v>
      </c>
    </row>
    <row r="6611" spans="1:1" x14ac:dyDescent="0.2">
      <c r="A6611" s="22">
        <v>0.82149225473403931</v>
      </c>
    </row>
    <row r="6612" spans="1:1" x14ac:dyDescent="0.2">
      <c r="A6612" s="22">
        <v>0.88761615753173828</v>
      </c>
    </row>
    <row r="6613" spans="1:1" x14ac:dyDescent="0.2">
      <c r="A6613" s="22">
        <v>0.28586310148239136</v>
      </c>
    </row>
    <row r="6614" spans="1:1" x14ac:dyDescent="0.2">
      <c r="A6614" s="22">
        <v>0.23876631259918213</v>
      </c>
    </row>
    <row r="6615" spans="1:1" x14ac:dyDescent="0.2">
      <c r="A6615" s="22">
        <v>0.12462455034255981</v>
      </c>
    </row>
    <row r="6616" spans="1:1" x14ac:dyDescent="0.2">
      <c r="A6616" s="22">
        <v>0.67084622383117676</v>
      </c>
    </row>
    <row r="6617" spans="1:1" x14ac:dyDescent="0.2">
      <c r="A6617" s="22">
        <v>0.10829204320907593</v>
      </c>
    </row>
    <row r="6618" spans="1:1" x14ac:dyDescent="0.2">
      <c r="A6618" s="22">
        <v>0.50512206554412842</v>
      </c>
    </row>
    <row r="6619" spans="1:1" x14ac:dyDescent="0.2">
      <c r="A6619" s="22">
        <v>0.37462955713272095</v>
      </c>
    </row>
    <row r="6620" spans="1:1" x14ac:dyDescent="0.2">
      <c r="A6620" s="22">
        <v>2.3614406585693359E-2</v>
      </c>
    </row>
    <row r="6621" spans="1:1" x14ac:dyDescent="0.2">
      <c r="A6621" s="22">
        <v>0.99163788557052612</v>
      </c>
    </row>
    <row r="6622" spans="1:1" x14ac:dyDescent="0.2">
      <c r="A6622" s="22">
        <v>0.28013336658477783</v>
      </c>
    </row>
    <row r="6623" spans="1:1" x14ac:dyDescent="0.2">
      <c r="A6623" s="22">
        <v>2.4449169635772705E-2</v>
      </c>
    </row>
    <row r="6624" spans="1:1" x14ac:dyDescent="0.2">
      <c r="A6624" s="22">
        <v>0.39959502220153809</v>
      </c>
    </row>
    <row r="6625" spans="1:1" x14ac:dyDescent="0.2">
      <c r="A6625" s="22">
        <v>0.13737767934799194</v>
      </c>
    </row>
    <row r="6626" spans="1:1" x14ac:dyDescent="0.2">
      <c r="A6626" s="22">
        <v>0.27186906337738037</v>
      </c>
    </row>
    <row r="6627" spans="1:1" x14ac:dyDescent="0.2">
      <c r="A6627" s="22">
        <v>1.2376844882965088E-2</v>
      </c>
    </row>
    <row r="6628" spans="1:1" x14ac:dyDescent="0.2">
      <c r="A6628" s="22">
        <v>0.79640769958496094</v>
      </c>
    </row>
    <row r="6629" spans="1:1" x14ac:dyDescent="0.2">
      <c r="A6629" s="22">
        <v>0.11515253782272339</v>
      </c>
    </row>
    <row r="6630" spans="1:1" x14ac:dyDescent="0.2">
      <c r="A6630" s="22">
        <v>8.3905816078186035E-2</v>
      </c>
    </row>
    <row r="6631" spans="1:1" x14ac:dyDescent="0.2">
      <c r="A6631" s="22">
        <v>0.5901826024055481</v>
      </c>
    </row>
    <row r="6632" spans="1:1" x14ac:dyDescent="0.2">
      <c r="A6632" s="22">
        <v>0.27124238014221191</v>
      </c>
    </row>
    <row r="6633" spans="1:1" x14ac:dyDescent="0.2">
      <c r="A6633" s="22">
        <v>0.31589263677597046</v>
      </c>
    </row>
    <row r="6634" spans="1:1" x14ac:dyDescent="0.2">
      <c r="A6634" s="22">
        <v>0.85595309734344482</v>
      </c>
    </row>
    <row r="6635" spans="1:1" x14ac:dyDescent="0.2">
      <c r="A6635" s="22">
        <v>0.40123802423477173</v>
      </c>
    </row>
    <row r="6636" spans="1:1" x14ac:dyDescent="0.2">
      <c r="A6636" s="22">
        <v>0.70648431777954102</v>
      </c>
    </row>
    <row r="6637" spans="1:1" x14ac:dyDescent="0.2">
      <c r="A6637" s="22">
        <v>0.65494221448898315</v>
      </c>
    </row>
    <row r="6638" spans="1:1" x14ac:dyDescent="0.2">
      <c r="A6638" s="22">
        <v>0.15447819232940674</v>
      </c>
    </row>
    <row r="6639" spans="1:1" x14ac:dyDescent="0.2">
      <c r="A6639" s="22">
        <v>0.80864125490188599</v>
      </c>
    </row>
    <row r="6640" spans="1:1" x14ac:dyDescent="0.2">
      <c r="A6640" s="22">
        <v>0.82533907890319824</v>
      </c>
    </row>
    <row r="6641" spans="1:1" x14ac:dyDescent="0.2">
      <c r="A6641" s="22">
        <v>0.52518457174301147</v>
      </c>
    </row>
    <row r="6642" spans="1:1" x14ac:dyDescent="0.2">
      <c r="A6642" s="22">
        <v>0.11333119869232178</v>
      </c>
    </row>
    <row r="6643" spans="1:1" x14ac:dyDescent="0.2">
      <c r="A6643" s="22">
        <v>0.47334200143814087</v>
      </c>
    </row>
    <row r="6644" spans="1:1" x14ac:dyDescent="0.2">
      <c r="A6644" s="22">
        <v>0.45745754241943359</v>
      </c>
    </row>
    <row r="6645" spans="1:1" x14ac:dyDescent="0.2">
      <c r="A6645" s="22">
        <v>1.6707181930541992E-4</v>
      </c>
    </row>
    <row r="6646" spans="1:1" x14ac:dyDescent="0.2">
      <c r="A6646" s="22">
        <v>0.82437002658843994</v>
      </c>
    </row>
    <row r="6647" spans="1:1" x14ac:dyDescent="0.2">
      <c r="A6647" s="22">
        <v>0.18226653337478638</v>
      </c>
    </row>
    <row r="6648" spans="1:1" x14ac:dyDescent="0.2">
      <c r="A6648" s="22">
        <v>5.456089973449707E-2</v>
      </c>
    </row>
    <row r="6649" spans="1:1" x14ac:dyDescent="0.2">
      <c r="A6649" s="22">
        <v>0.28722614049911499</v>
      </c>
    </row>
    <row r="6650" spans="1:1" x14ac:dyDescent="0.2">
      <c r="A6650" s="22">
        <v>0.97808539867401123</v>
      </c>
    </row>
    <row r="6651" spans="1:1" x14ac:dyDescent="0.2">
      <c r="A6651" s="22">
        <v>0.92644268274307251</v>
      </c>
    </row>
    <row r="6652" spans="1:1" x14ac:dyDescent="0.2">
      <c r="A6652" s="22">
        <v>0.45606565475463867</v>
      </c>
    </row>
    <row r="6653" spans="1:1" x14ac:dyDescent="0.2">
      <c r="A6653" s="22">
        <v>0.43061226606369019</v>
      </c>
    </row>
    <row r="6654" spans="1:1" x14ac:dyDescent="0.2">
      <c r="A6654" s="22">
        <v>0.75422585010528564</v>
      </c>
    </row>
    <row r="6655" spans="1:1" x14ac:dyDescent="0.2">
      <c r="A6655" s="22">
        <v>0.22912484407424927</v>
      </c>
    </row>
    <row r="6656" spans="1:1" x14ac:dyDescent="0.2">
      <c r="A6656" s="22">
        <v>0.9047086238861084</v>
      </c>
    </row>
    <row r="6657" spans="1:1" x14ac:dyDescent="0.2">
      <c r="A6657" s="22">
        <v>0.26461499929428101</v>
      </c>
    </row>
    <row r="6658" spans="1:1" x14ac:dyDescent="0.2">
      <c r="A6658" s="22">
        <v>0.96242272853851318</v>
      </c>
    </row>
    <row r="6659" spans="1:1" x14ac:dyDescent="0.2">
      <c r="A6659" s="22">
        <v>0.72391897439956665</v>
      </c>
    </row>
    <row r="6660" spans="1:1" x14ac:dyDescent="0.2">
      <c r="A6660" s="22">
        <v>0.31217193603515625</v>
      </c>
    </row>
    <row r="6661" spans="1:1" x14ac:dyDescent="0.2">
      <c r="A6661" s="22">
        <v>0.61668795347213745</v>
      </c>
    </row>
    <row r="6662" spans="1:1" x14ac:dyDescent="0.2">
      <c r="A6662" s="22">
        <v>0.43281519412994385</v>
      </c>
    </row>
    <row r="6663" spans="1:1" x14ac:dyDescent="0.2">
      <c r="A6663" s="22">
        <v>0.98290759325027466</v>
      </c>
    </row>
    <row r="6664" spans="1:1" x14ac:dyDescent="0.2">
      <c r="A6664" s="22">
        <v>0.77470803260803223</v>
      </c>
    </row>
    <row r="6665" spans="1:1" x14ac:dyDescent="0.2">
      <c r="A6665" s="22">
        <v>0.76057380437850952</v>
      </c>
    </row>
    <row r="6666" spans="1:1" x14ac:dyDescent="0.2">
      <c r="A6666" s="22">
        <v>0.65667521953582764</v>
      </c>
    </row>
    <row r="6667" spans="1:1" x14ac:dyDescent="0.2">
      <c r="A6667" s="22">
        <v>0.59477478265762329</v>
      </c>
    </row>
    <row r="6668" spans="1:1" x14ac:dyDescent="0.2">
      <c r="A6668" s="22">
        <v>0.33876466751098633</v>
      </c>
    </row>
    <row r="6669" spans="1:1" x14ac:dyDescent="0.2">
      <c r="A6669" s="22">
        <v>0.11942929029464722</v>
      </c>
    </row>
    <row r="6670" spans="1:1" x14ac:dyDescent="0.2">
      <c r="A6670" s="22">
        <v>0.67703258991241455</v>
      </c>
    </row>
    <row r="6671" spans="1:1" x14ac:dyDescent="0.2">
      <c r="A6671" s="22">
        <v>0.49293118715286255</v>
      </c>
    </row>
    <row r="6672" spans="1:1" x14ac:dyDescent="0.2">
      <c r="A6672" s="22">
        <v>1.6609907150268555E-2</v>
      </c>
    </row>
    <row r="6673" spans="1:1" x14ac:dyDescent="0.2">
      <c r="A6673" s="22">
        <v>0.21895021200180054</v>
      </c>
    </row>
    <row r="6674" spans="1:1" x14ac:dyDescent="0.2">
      <c r="A6674" s="22">
        <v>0.22929990291595459</v>
      </c>
    </row>
    <row r="6675" spans="1:1" x14ac:dyDescent="0.2">
      <c r="A6675" s="22">
        <v>0.53363901376724243</v>
      </c>
    </row>
    <row r="6676" spans="1:1" x14ac:dyDescent="0.2">
      <c r="A6676" s="22">
        <v>5.1957130432128906E-2</v>
      </c>
    </row>
    <row r="6677" spans="1:1" x14ac:dyDescent="0.2">
      <c r="A6677" s="22">
        <v>0.89049643278121948</v>
      </c>
    </row>
    <row r="6678" spans="1:1" x14ac:dyDescent="0.2">
      <c r="A6678" s="22">
        <v>0.13189756870269775</v>
      </c>
    </row>
    <row r="6679" spans="1:1" x14ac:dyDescent="0.2">
      <c r="A6679" s="22">
        <v>0.32413703203201294</v>
      </c>
    </row>
    <row r="6680" spans="1:1" x14ac:dyDescent="0.2">
      <c r="A6680" s="22">
        <v>0.43559002876281738</v>
      </c>
    </row>
    <row r="6681" spans="1:1" x14ac:dyDescent="0.2">
      <c r="A6681" s="22">
        <v>0.72421687841415405</v>
      </c>
    </row>
    <row r="6682" spans="1:1" x14ac:dyDescent="0.2">
      <c r="A6682" s="22">
        <v>0.92687880992889404</v>
      </c>
    </row>
    <row r="6683" spans="1:1" x14ac:dyDescent="0.2">
      <c r="A6683" s="22">
        <v>0.30076557397842407</v>
      </c>
    </row>
    <row r="6684" spans="1:1" x14ac:dyDescent="0.2">
      <c r="A6684" s="22">
        <v>0.67098760604858398</v>
      </c>
    </row>
    <row r="6685" spans="1:1" x14ac:dyDescent="0.2">
      <c r="A6685" s="22">
        <v>0.77217453718185425</v>
      </c>
    </row>
    <row r="6686" spans="1:1" x14ac:dyDescent="0.2">
      <c r="A6686" s="22">
        <v>0.77055466175079346</v>
      </c>
    </row>
    <row r="6687" spans="1:1" x14ac:dyDescent="0.2">
      <c r="A6687" s="22">
        <v>5.709153413772583E-2</v>
      </c>
    </row>
    <row r="6688" spans="1:1" x14ac:dyDescent="0.2">
      <c r="A6688" s="22">
        <v>0.78994917869567871</v>
      </c>
    </row>
    <row r="6689" spans="1:1" x14ac:dyDescent="0.2">
      <c r="A6689" s="22">
        <v>0.50147145986557007</v>
      </c>
    </row>
    <row r="6690" spans="1:1" x14ac:dyDescent="0.2">
      <c r="A6690" s="22">
        <v>0.574118971824646</v>
      </c>
    </row>
    <row r="6691" spans="1:1" x14ac:dyDescent="0.2">
      <c r="A6691" s="22">
        <v>0.92203336954116821</v>
      </c>
    </row>
    <row r="6692" spans="1:1" x14ac:dyDescent="0.2">
      <c r="A6692" s="22">
        <v>0.61821937561035156</v>
      </c>
    </row>
    <row r="6693" spans="1:1" x14ac:dyDescent="0.2">
      <c r="A6693" s="22">
        <v>0.99737375974655151</v>
      </c>
    </row>
    <row r="6694" spans="1:1" x14ac:dyDescent="0.2">
      <c r="A6694" s="22">
        <v>0.39427340030670166</v>
      </c>
    </row>
    <row r="6695" spans="1:1" x14ac:dyDescent="0.2">
      <c r="A6695" s="22">
        <v>0.78798609972000122</v>
      </c>
    </row>
    <row r="6696" spans="1:1" x14ac:dyDescent="0.2">
      <c r="A6696" s="22">
        <v>0.29111313819885254</v>
      </c>
    </row>
    <row r="6697" spans="1:1" x14ac:dyDescent="0.2">
      <c r="A6697" s="22">
        <v>0.41643661260604858</v>
      </c>
    </row>
    <row r="6698" spans="1:1" x14ac:dyDescent="0.2">
      <c r="A6698" s="22">
        <v>7.3852419853210449E-2</v>
      </c>
    </row>
    <row r="6699" spans="1:1" x14ac:dyDescent="0.2">
      <c r="A6699" s="22">
        <v>0.18894630670547485</v>
      </c>
    </row>
    <row r="6700" spans="1:1" x14ac:dyDescent="0.2">
      <c r="A6700" s="22">
        <v>1.9140720367431641E-2</v>
      </c>
    </row>
    <row r="6701" spans="1:1" x14ac:dyDescent="0.2">
      <c r="A6701" s="22">
        <v>0.68962925672531128</v>
      </c>
    </row>
    <row r="6702" spans="1:1" x14ac:dyDescent="0.2">
      <c r="A6702" s="22">
        <v>0.13244831562042236</v>
      </c>
    </row>
    <row r="6703" spans="1:1" x14ac:dyDescent="0.2">
      <c r="A6703" s="22">
        <v>0.62863713502883911</v>
      </c>
    </row>
    <row r="6704" spans="1:1" x14ac:dyDescent="0.2">
      <c r="A6704" s="22">
        <v>0.10363268852233887</v>
      </c>
    </row>
    <row r="6705" spans="1:1" x14ac:dyDescent="0.2">
      <c r="A6705" s="22">
        <v>0.4754599928855896</v>
      </c>
    </row>
    <row r="6706" spans="1:1" x14ac:dyDescent="0.2">
      <c r="A6706" s="22">
        <v>0.9070361852645874</v>
      </c>
    </row>
    <row r="6707" spans="1:1" x14ac:dyDescent="0.2">
      <c r="A6707" s="22">
        <v>0.15863329172134399</v>
      </c>
    </row>
    <row r="6708" spans="1:1" x14ac:dyDescent="0.2">
      <c r="A6708" s="22">
        <v>0.20236492156982422</v>
      </c>
    </row>
    <row r="6709" spans="1:1" x14ac:dyDescent="0.2">
      <c r="A6709" s="22">
        <v>0.36310118436813354</v>
      </c>
    </row>
    <row r="6710" spans="1:1" x14ac:dyDescent="0.2">
      <c r="A6710" s="22">
        <v>0.94259893894195557</v>
      </c>
    </row>
    <row r="6711" spans="1:1" x14ac:dyDescent="0.2">
      <c r="A6711" s="22">
        <v>0.2064860463142395</v>
      </c>
    </row>
    <row r="6712" spans="1:1" x14ac:dyDescent="0.2">
      <c r="A6712" s="22">
        <v>0.8451836109161377</v>
      </c>
    </row>
    <row r="6713" spans="1:1" x14ac:dyDescent="0.2">
      <c r="A6713" s="22">
        <v>0.32551425695419312</v>
      </c>
    </row>
    <row r="6714" spans="1:1" x14ac:dyDescent="0.2">
      <c r="A6714" s="22">
        <v>0.63275229930877686</v>
      </c>
    </row>
    <row r="6715" spans="1:1" x14ac:dyDescent="0.2">
      <c r="A6715" s="22">
        <v>0.65384823083877563</v>
      </c>
    </row>
    <row r="6716" spans="1:1" x14ac:dyDescent="0.2">
      <c r="A6716" s="22">
        <v>0.1996302604675293</v>
      </c>
    </row>
    <row r="6717" spans="1:1" x14ac:dyDescent="0.2">
      <c r="A6717" s="22">
        <v>0.42257469892501831</v>
      </c>
    </row>
    <row r="6718" spans="1:1" x14ac:dyDescent="0.2">
      <c r="A6718" s="22">
        <v>0.11036980152130127</v>
      </c>
    </row>
    <row r="6719" spans="1:1" x14ac:dyDescent="0.2">
      <c r="A6719" s="22">
        <v>0.16459923982620239</v>
      </c>
    </row>
    <row r="6720" spans="1:1" x14ac:dyDescent="0.2">
      <c r="A6720" s="22">
        <v>8.6566686630249023E-2</v>
      </c>
    </row>
    <row r="6721" spans="1:1" x14ac:dyDescent="0.2">
      <c r="A6721" s="22">
        <v>0.75419706106185913</v>
      </c>
    </row>
    <row r="6722" spans="1:1" x14ac:dyDescent="0.2">
      <c r="A6722" s="22">
        <v>0.38820779323577881</v>
      </c>
    </row>
    <row r="6723" spans="1:1" x14ac:dyDescent="0.2">
      <c r="A6723" s="22">
        <v>0.76297003030776978</v>
      </c>
    </row>
    <row r="6724" spans="1:1" x14ac:dyDescent="0.2">
      <c r="A6724" s="22">
        <v>0.24580001831054688</v>
      </c>
    </row>
    <row r="6725" spans="1:1" x14ac:dyDescent="0.2">
      <c r="A6725" s="22">
        <v>0.66345995664596558</v>
      </c>
    </row>
    <row r="6726" spans="1:1" x14ac:dyDescent="0.2">
      <c r="A6726" s="22">
        <v>0.74953043460845947</v>
      </c>
    </row>
    <row r="6727" spans="1:1" x14ac:dyDescent="0.2">
      <c r="A6727" s="22">
        <v>0.66166812181472778</v>
      </c>
    </row>
    <row r="6728" spans="1:1" x14ac:dyDescent="0.2">
      <c r="A6728" s="22">
        <v>0.85170769691467285</v>
      </c>
    </row>
    <row r="6729" spans="1:1" x14ac:dyDescent="0.2">
      <c r="A6729" s="22">
        <v>0.18973106145858765</v>
      </c>
    </row>
    <row r="6730" spans="1:1" x14ac:dyDescent="0.2">
      <c r="A6730" s="22">
        <v>0.38873469829559326</v>
      </c>
    </row>
    <row r="6731" spans="1:1" x14ac:dyDescent="0.2">
      <c r="A6731" s="22">
        <v>0.34000259637832642</v>
      </c>
    </row>
    <row r="6732" spans="1:1" x14ac:dyDescent="0.2">
      <c r="A6732" s="22">
        <v>0.27886247634887695</v>
      </c>
    </row>
    <row r="6733" spans="1:1" x14ac:dyDescent="0.2">
      <c r="A6733" s="22">
        <v>0.77179211378097534</v>
      </c>
    </row>
    <row r="6734" spans="1:1" x14ac:dyDescent="0.2">
      <c r="A6734" s="22">
        <v>0.30197536945343018</v>
      </c>
    </row>
    <row r="6735" spans="1:1" x14ac:dyDescent="0.2">
      <c r="A6735" s="22">
        <v>0.87200909852981567</v>
      </c>
    </row>
    <row r="6736" spans="1:1" x14ac:dyDescent="0.2">
      <c r="A6736" s="22">
        <v>0.11765742301940918</v>
      </c>
    </row>
    <row r="6737" spans="1:1" x14ac:dyDescent="0.2">
      <c r="A6737" s="22">
        <v>0.20096391439437866</v>
      </c>
    </row>
    <row r="6738" spans="1:1" x14ac:dyDescent="0.2">
      <c r="A6738" s="22">
        <v>0.42779004573822021</v>
      </c>
    </row>
    <row r="6739" spans="1:1" x14ac:dyDescent="0.2">
      <c r="A6739" s="22">
        <v>0.50457483530044556</v>
      </c>
    </row>
    <row r="6740" spans="1:1" x14ac:dyDescent="0.2">
      <c r="A6740" s="22">
        <v>0.43993091583251953</v>
      </c>
    </row>
    <row r="6741" spans="1:1" x14ac:dyDescent="0.2">
      <c r="A6741" s="22">
        <v>0.82423132658004761</v>
      </c>
    </row>
    <row r="6742" spans="1:1" x14ac:dyDescent="0.2">
      <c r="A6742" s="22">
        <v>3.7724137306213379E-2</v>
      </c>
    </row>
    <row r="6743" spans="1:1" x14ac:dyDescent="0.2">
      <c r="A6743" s="22">
        <v>0.48556357622146606</v>
      </c>
    </row>
    <row r="6744" spans="1:1" x14ac:dyDescent="0.2">
      <c r="A6744" s="22">
        <v>0.31459164619445801</v>
      </c>
    </row>
    <row r="6745" spans="1:1" x14ac:dyDescent="0.2">
      <c r="A6745" s="22">
        <v>0.99736827611923218</v>
      </c>
    </row>
    <row r="6746" spans="1:1" x14ac:dyDescent="0.2">
      <c r="A6746" s="22">
        <v>0.37695586681365967</v>
      </c>
    </row>
    <row r="6747" spans="1:1" x14ac:dyDescent="0.2">
      <c r="A6747" s="22">
        <v>0.1419406533241272</v>
      </c>
    </row>
    <row r="6748" spans="1:1" x14ac:dyDescent="0.2">
      <c r="A6748" s="22">
        <v>0.57324361801147461</v>
      </c>
    </row>
    <row r="6749" spans="1:1" x14ac:dyDescent="0.2">
      <c r="A6749" s="22">
        <v>0.78806275129318237</v>
      </c>
    </row>
    <row r="6750" spans="1:1" x14ac:dyDescent="0.2">
      <c r="A6750" s="22">
        <v>0.55492126941680908</v>
      </c>
    </row>
    <row r="6751" spans="1:1" x14ac:dyDescent="0.2">
      <c r="A6751" s="22">
        <v>0.20789796113967896</v>
      </c>
    </row>
    <row r="6752" spans="1:1" x14ac:dyDescent="0.2">
      <c r="A6752" s="22">
        <v>0.82581114768981934</v>
      </c>
    </row>
    <row r="6753" spans="1:1" x14ac:dyDescent="0.2">
      <c r="A6753" s="22">
        <v>0.92904180288314819</v>
      </c>
    </row>
    <row r="6754" spans="1:1" x14ac:dyDescent="0.2">
      <c r="A6754" s="22">
        <v>0.68593919277191162</v>
      </c>
    </row>
    <row r="6755" spans="1:1" x14ac:dyDescent="0.2">
      <c r="A6755" s="22">
        <v>0.40297895669937134</v>
      </c>
    </row>
    <row r="6756" spans="1:1" x14ac:dyDescent="0.2">
      <c r="A6756" s="22">
        <v>0.72616386413574219</v>
      </c>
    </row>
    <row r="6757" spans="1:1" x14ac:dyDescent="0.2">
      <c r="A6757" s="22">
        <v>2.1196544170379639E-2</v>
      </c>
    </row>
    <row r="6758" spans="1:1" x14ac:dyDescent="0.2">
      <c r="A6758" s="22">
        <v>0.27983629703521729</v>
      </c>
    </row>
    <row r="6759" spans="1:1" x14ac:dyDescent="0.2">
      <c r="A6759" s="22">
        <v>0.26020365953445435</v>
      </c>
    </row>
    <row r="6760" spans="1:1" x14ac:dyDescent="0.2">
      <c r="A6760" s="22">
        <v>0.48774170875549316</v>
      </c>
    </row>
    <row r="6761" spans="1:1" x14ac:dyDescent="0.2">
      <c r="A6761" s="22">
        <v>0.98670715093612671</v>
      </c>
    </row>
    <row r="6762" spans="1:1" x14ac:dyDescent="0.2">
      <c r="A6762" s="22">
        <v>0.88257205486297607</v>
      </c>
    </row>
    <row r="6763" spans="1:1" x14ac:dyDescent="0.2">
      <c r="A6763" s="22">
        <v>0.20419365167617798</v>
      </c>
    </row>
    <row r="6764" spans="1:1" x14ac:dyDescent="0.2">
      <c r="A6764" s="22">
        <v>0.64917993545532227</v>
      </c>
    </row>
    <row r="6765" spans="1:1" x14ac:dyDescent="0.2">
      <c r="A6765" s="22">
        <v>0.7721678614616394</v>
      </c>
    </row>
    <row r="6766" spans="1:1" x14ac:dyDescent="0.2">
      <c r="A6766" s="22">
        <v>0.96686375141143799</v>
      </c>
    </row>
    <row r="6767" spans="1:1" x14ac:dyDescent="0.2">
      <c r="A6767" s="22">
        <v>0.87929707765579224</v>
      </c>
    </row>
    <row r="6768" spans="1:1" x14ac:dyDescent="0.2">
      <c r="A6768" s="22">
        <v>8.9934110641479492E-2</v>
      </c>
    </row>
    <row r="6769" spans="1:1" x14ac:dyDescent="0.2">
      <c r="A6769" s="22">
        <v>0.30171197652816772</v>
      </c>
    </row>
    <row r="6770" spans="1:1" x14ac:dyDescent="0.2">
      <c r="A6770" s="22">
        <v>7.2811484336853027E-2</v>
      </c>
    </row>
    <row r="6771" spans="1:1" x14ac:dyDescent="0.2">
      <c r="A6771" s="22">
        <v>0.72771364450454712</v>
      </c>
    </row>
    <row r="6772" spans="1:1" x14ac:dyDescent="0.2">
      <c r="A6772" s="22">
        <v>0.29590511322021484</v>
      </c>
    </row>
    <row r="6773" spans="1:1" x14ac:dyDescent="0.2">
      <c r="A6773" s="22">
        <v>0.68013685941696167</v>
      </c>
    </row>
    <row r="6774" spans="1:1" x14ac:dyDescent="0.2">
      <c r="A6774" s="22">
        <v>0.19852316379547119</v>
      </c>
    </row>
    <row r="6775" spans="1:1" x14ac:dyDescent="0.2">
      <c r="A6775" s="22">
        <v>0.81761962175369263</v>
      </c>
    </row>
    <row r="6776" spans="1:1" x14ac:dyDescent="0.2">
      <c r="A6776" s="22">
        <v>0.87506413459777832</v>
      </c>
    </row>
    <row r="6777" spans="1:1" x14ac:dyDescent="0.2">
      <c r="A6777" s="22">
        <v>0.64602893590927124</v>
      </c>
    </row>
    <row r="6778" spans="1:1" x14ac:dyDescent="0.2">
      <c r="A6778" s="22">
        <v>0.44073951244354248</v>
      </c>
    </row>
    <row r="6779" spans="1:1" x14ac:dyDescent="0.2">
      <c r="A6779" s="22">
        <v>0.92129284143447876</v>
      </c>
    </row>
    <row r="6780" spans="1:1" x14ac:dyDescent="0.2">
      <c r="A6780" s="22">
        <v>0.32307767868041992</v>
      </c>
    </row>
    <row r="6781" spans="1:1" x14ac:dyDescent="0.2">
      <c r="A6781" s="22">
        <v>0.27488869428634644</v>
      </c>
    </row>
    <row r="6782" spans="1:1" x14ac:dyDescent="0.2">
      <c r="A6782" s="22">
        <v>0.88545906543731689</v>
      </c>
    </row>
    <row r="6783" spans="1:1" x14ac:dyDescent="0.2">
      <c r="A6783" s="22">
        <v>0.84323769807815552</v>
      </c>
    </row>
    <row r="6784" spans="1:1" x14ac:dyDescent="0.2">
      <c r="A6784" s="22">
        <v>3.8932561874389648E-2</v>
      </c>
    </row>
    <row r="6785" spans="1:1" x14ac:dyDescent="0.2">
      <c r="A6785" s="22">
        <v>0.93225568532943726</v>
      </c>
    </row>
    <row r="6786" spans="1:1" x14ac:dyDescent="0.2">
      <c r="A6786" s="22">
        <v>0.74856317043304443</v>
      </c>
    </row>
    <row r="6787" spans="1:1" x14ac:dyDescent="0.2">
      <c r="A6787" s="22">
        <v>0.9983101487159729</v>
      </c>
    </row>
    <row r="6788" spans="1:1" x14ac:dyDescent="0.2">
      <c r="A6788" s="22">
        <v>0.5905609130859375</v>
      </c>
    </row>
    <row r="6789" spans="1:1" x14ac:dyDescent="0.2">
      <c r="A6789" s="22">
        <v>0.4768335223197937</v>
      </c>
    </row>
    <row r="6790" spans="1:1" x14ac:dyDescent="0.2">
      <c r="A6790" s="22">
        <v>0.7664409875869751</v>
      </c>
    </row>
    <row r="6791" spans="1:1" x14ac:dyDescent="0.2">
      <c r="A6791" s="22">
        <v>0.23984271287918091</v>
      </c>
    </row>
    <row r="6792" spans="1:1" x14ac:dyDescent="0.2">
      <c r="A6792" s="22">
        <v>0.23046517372131348</v>
      </c>
    </row>
    <row r="6793" spans="1:1" x14ac:dyDescent="0.2">
      <c r="A6793" s="22">
        <v>0.71361488103866577</v>
      </c>
    </row>
    <row r="6794" spans="1:1" x14ac:dyDescent="0.2">
      <c r="A6794" s="22">
        <v>0.83661448955535889</v>
      </c>
    </row>
    <row r="6795" spans="1:1" x14ac:dyDescent="0.2">
      <c r="A6795" s="22">
        <v>0.93776947259902954</v>
      </c>
    </row>
    <row r="6796" spans="1:1" x14ac:dyDescent="0.2">
      <c r="A6796" s="22">
        <v>0.66134309768676758</v>
      </c>
    </row>
    <row r="6797" spans="1:1" x14ac:dyDescent="0.2">
      <c r="A6797" s="22">
        <v>9.7006499767303467E-2</v>
      </c>
    </row>
    <row r="6798" spans="1:1" x14ac:dyDescent="0.2">
      <c r="A6798" s="22">
        <v>0.9083634614944458</v>
      </c>
    </row>
    <row r="6799" spans="1:1" x14ac:dyDescent="0.2">
      <c r="A6799" s="22">
        <v>0.3067510724067688</v>
      </c>
    </row>
    <row r="6800" spans="1:1" x14ac:dyDescent="0.2">
      <c r="A6800" s="22">
        <v>5.1712751388549805E-2</v>
      </c>
    </row>
    <row r="6801" spans="1:1" x14ac:dyDescent="0.2">
      <c r="A6801" s="22">
        <v>0.68395417928695679</v>
      </c>
    </row>
    <row r="6802" spans="1:1" x14ac:dyDescent="0.2">
      <c r="A6802" s="22">
        <v>0.12335050106048584</v>
      </c>
    </row>
    <row r="6803" spans="1:1" x14ac:dyDescent="0.2">
      <c r="A6803" s="22">
        <v>0.98429971933364868</v>
      </c>
    </row>
    <row r="6804" spans="1:1" x14ac:dyDescent="0.2">
      <c r="A6804" s="22">
        <v>0.30153751373291016</v>
      </c>
    </row>
    <row r="6805" spans="1:1" x14ac:dyDescent="0.2">
      <c r="A6805" s="22">
        <v>0.33706778287887573</v>
      </c>
    </row>
    <row r="6806" spans="1:1" x14ac:dyDescent="0.2">
      <c r="A6806" s="22">
        <v>0.206246018409729</v>
      </c>
    </row>
    <row r="6807" spans="1:1" x14ac:dyDescent="0.2">
      <c r="A6807" s="22">
        <v>0.85890418291091919</v>
      </c>
    </row>
    <row r="6808" spans="1:1" x14ac:dyDescent="0.2">
      <c r="A6808" s="22">
        <v>0.55785107612609863</v>
      </c>
    </row>
    <row r="6809" spans="1:1" x14ac:dyDescent="0.2">
      <c r="A6809" s="22">
        <v>0.1777462363243103</v>
      </c>
    </row>
    <row r="6810" spans="1:1" x14ac:dyDescent="0.2">
      <c r="A6810" s="22">
        <v>0.10535323619842529</v>
      </c>
    </row>
    <row r="6811" spans="1:1" x14ac:dyDescent="0.2">
      <c r="A6811" s="22">
        <v>0.14815479516983032</v>
      </c>
    </row>
    <row r="6812" spans="1:1" x14ac:dyDescent="0.2">
      <c r="A6812" s="22">
        <v>0.98038244247436523</v>
      </c>
    </row>
    <row r="6813" spans="1:1" x14ac:dyDescent="0.2">
      <c r="A6813" s="22">
        <v>0.2893025279045105</v>
      </c>
    </row>
    <row r="6814" spans="1:1" x14ac:dyDescent="0.2">
      <c r="A6814" s="22">
        <v>0.88323318958282471</v>
      </c>
    </row>
    <row r="6815" spans="1:1" x14ac:dyDescent="0.2">
      <c r="A6815" s="22">
        <v>0.72686845064163208</v>
      </c>
    </row>
    <row r="6816" spans="1:1" x14ac:dyDescent="0.2">
      <c r="A6816" s="22">
        <v>0.75718092918395996</v>
      </c>
    </row>
    <row r="6817" spans="1:1" x14ac:dyDescent="0.2">
      <c r="A6817" s="22">
        <v>0.67008870840072632</v>
      </c>
    </row>
    <row r="6818" spans="1:1" x14ac:dyDescent="0.2">
      <c r="A6818" s="22">
        <v>0.85732972621917725</v>
      </c>
    </row>
    <row r="6819" spans="1:1" x14ac:dyDescent="0.2">
      <c r="A6819" s="22">
        <v>0.70521360635757446</v>
      </c>
    </row>
    <row r="6820" spans="1:1" x14ac:dyDescent="0.2">
      <c r="A6820" s="22">
        <v>0.37024116516113281</v>
      </c>
    </row>
    <row r="6821" spans="1:1" x14ac:dyDescent="0.2">
      <c r="A6821" s="22">
        <v>0.43662089109420776</v>
      </c>
    </row>
    <row r="6822" spans="1:1" x14ac:dyDescent="0.2">
      <c r="A6822" s="22">
        <v>0.99059450626373291</v>
      </c>
    </row>
    <row r="6823" spans="1:1" x14ac:dyDescent="0.2">
      <c r="A6823" s="22">
        <v>0.25683528184890747</v>
      </c>
    </row>
    <row r="6824" spans="1:1" x14ac:dyDescent="0.2">
      <c r="A6824" s="22">
        <v>0.11112809181213379</v>
      </c>
    </row>
    <row r="6825" spans="1:1" x14ac:dyDescent="0.2">
      <c r="A6825" s="22">
        <v>0.27670425176620483</v>
      </c>
    </row>
    <row r="6826" spans="1:1" x14ac:dyDescent="0.2">
      <c r="A6826" s="22">
        <v>0.5321120023727417</v>
      </c>
    </row>
    <row r="6827" spans="1:1" x14ac:dyDescent="0.2">
      <c r="A6827" s="22">
        <v>0.6969800591468811</v>
      </c>
    </row>
    <row r="6828" spans="1:1" x14ac:dyDescent="0.2">
      <c r="A6828" s="22">
        <v>0.84660196304321289</v>
      </c>
    </row>
    <row r="6829" spans="1:1" x14ac:dyDescent="0.2">
      <c r="A6829" s="22">
        <v>0.15255802869796753</v>
      </c>
    </row>
    <row r="6830" spans="1:1" x14ac:dyDescent="0.2">
      <c r="A6830" s="22">
        <v>0.90772449970245361</v>
      </c>
    </row>
    <row r="6831" spans="1:1" x14ac:dyDescent="0.2">
      <c r="A6831" s="22">
        <v>0.81062108278274536</v>
      </c>
    </row>
    <row r="6832" spans="1:1" x14ac:dyDescent="0.2">
      <c r="A6832" s="22">
        <v>3.4243345260620117E-2</v>
      </c>
    </row>
    <row r="6833" spans="1:1" x14ac:dyDescent="0.2">
      <c r="A6833" s="22">
        <v>0.25394052267074585</v>
      </c>
    </row>
    <row r="6834" spans="1:1" x14ac:dyDescent="0.2">
      <c r="A6834" s="22">
        <v>0.86065709590911865</v>
      </c>
    </row>
    <row r="6835" spans="1:1" x14ac:dyDescent="0.2">
      <c r="A6835" s="22">
        <v>0.43058305978775024</v>
      </c>
    </row>
    <row r="6836" spans="1:1" x14ac:dyDescent="0.2">
      <c r="A6836" s="22">
        <v>0.98807811737060547</v>
      </c>
    </row>
    <row r="6837" spans="1:1" x14ac:dyDescent="0.2">
      <c r="A6837" s="22">
        <v>0.20127409696578979</v>
      </c>
    </row>
    <row r="6838" spans="1:1" x14ac:dyDescent="0.2">
      <c r="A6838" s="22">
        <v>0.84214270114898682</v>
      </c>
    </row>
    <row r="6839" spans="1:1" x14ac:dyDescent="0.2">
      <c r="A6839" s="22">
        <v>0.26566725969314575</v>
      </c>
    </row>
    <row r="6840" spans="1:1" x14ac:dyDescent="0.2">
      <c r="A6840" s="22">
        <v>0.39420247077941895</v>
      </c>
    </row>
    <row r="6841" spans="1:1" x14ac:dyDescent="0.2">
      <c r="A6841" s="22">
        <v>0.49877017736434937</v>
      </c>
    </row>
    <row r="6842" spans="1:1" x14ac:dyDescent="0.2">
      <c r="A6842" s="22">
        <v>0.65204703807830811</v>
      </c>
    </row>
    <row r="6843" spans="1:1" x14ac:dyDescent="0.2">
      <c r="A6843" s="22">
        <v>0.97877651453018188</v>
      </c>
    </row>
    <row r="6844" spans="1:1" x14ac:dyDescent="0.2">
      <c r="A6844" s="22">
        <v>7.6407909393310547E-2</v>
      </c>
    </row>
    <row r="6845" spans="1:1" x14ac:dyDescent="0.2">
      <c r="A6845" s="22">
        <v>0.23755425214767456</v>
      </c>
    </row>
    <row r="6846" spans="1:1" x14ac:dyDescent="0.2">
      <c r="A6846" s="22">
        <v>0.32949364185333252</v>
      </c>
    </row>
    <row r="6847" spans="1:1" x14ac:dyDescent="0.2">
      <c r="A6847" s="22">
        <v>0.51504021883010864</v>
      </c>
    </row>
    <row r="6848" spans="1:1" x14ac:dyDescent="0.2">
      <c r="A6848" s="22">
        <v>1.1806249618530273E-2</v>
      </c>
    </row>
    <row r="6849" spans="1:1" x14ac:dyDescent="0.2">
      <c r="A6849" s="22">
        <v>4.8790872097015381E-2</v>
      </c>
    </row>
    <row r="6850" spans="1:1" x14ac:dyDescent="0.2">
      <c r="A6850" s="22">
        <v>0.29348886013031006</v>
      </c>
    </row>
    <row r="6851" spans="1:1" x14ac:dyDescent="0.2">
      <c r="A6851" s="22">
        <v>0.67993932962417603</v>
      </c>
    </row>
    <row r="6852" spans="1:1" x14ac:dyDescent="0.2">
      <c r="A6852" s="22">
        <v>0.59645462036132813</v>
      </c>
    </row>
    <row r="6853" spans="1:1" x14ac:dyDescent="0.2">
      <c r="A6853" s="22">
        <v>0.30680865049362183</v>
      </c>
    </row>
    <row r="6854" spans="1:1" x14ac:dyDescent="0.2">
      <c r="A6854" s="22">
        <v>0.73354685306549072</v>
      </c>
    </row>
    <row r="6855" spans="1:1" x14ac:dyDescent="0.2">
      <c r="A6855" s="22">
        <v>0.96743136644363403</v>
      </c>
    </row>
    <row r="6856" spans="1:1" x14ac:dyDescent="0.2">
      <c r="A6856" s="22">
        <v>0.1609804630279541</v>
      </c>
    </row>
    <row r="6857" spans="1:1" x14ac:dyDescent="0.2">
      <c r="A6857" s="22">
        <v>0.5822252631187439</v>
      </c>
    </row>
    <row r="6858" spans="1:1" x14ac:dyDescent="0.2">
      <c r="A6858" s="22">
        <v>0.25031459331512451</v>
      </c>
    </row>
    <row r="6859" spans="1:1" x14ac:dyDescent="0.2">
      <c r="A6859" s="22">
        <v>0.63807541131973267</v>
      </c>
    </row>
    <row r="6860" spans="1:1" x14ac:dyDescent="0.2">
      <c r="A6860" s="22">
        <v>0.7362065315246582</v>
      </c>
    </row>
    <row r="6861" spans="1:1" x14ac:dyDescent="0.2">
      <c r="A6861" s="22">
        <v>0.34507244825363159</v>
      </c>
    </row>
    <row r="6862" spans="1:1" x14ac:dyDescent="0.2">
      <c r="A6862" s="22">
        <v>0.74619686603546143</v>
      </c>
    </row>
    <row r="6863" spans="1:1" x14ac:dyDescent="0.2">
      <c r="A6863" s="22">
        <v>4.7157108783721924E-2</v>
      </c>
    </row>
    <row r="6864" spans="1:1" x14ac:dyDescent="0.2">
      <c r="A6864" s="22">
        <v>6.877589225769043E-2</v>
      </c>
    </row>
    <row r="6865" spans="1:1" x14ac:dyDescent="0.2">
      <c r="A6865" s="22">
        <v>0.91792100667953491</v>
      </c>
    </row>
    <row r="6866" spans="1:1" x14ac:dyDescent="0.2">
      <c r="A6866" s="22">
        <v>0.56598126888275146</v>
      </c>
    </row>
    <row r="6867" spans="1:1" x14ac:dyDescent="0.2">
      <c r="A6867" s="22">
        <v>0.22281366586685181</v>
      </c>
    </row>
    <row r="6868" spans="1:1" x14ac:dyDescent="0.2">
      <c r="A6868" s="22">
        <v>0.88677692413330078</v>
      </c>
    </row>
    <row r="6869" spans="1:1" x14ac:dyDescent="0.2">
      <c r="A6869" s="22">
        <v>0.67900580167770386</v>
      </c>
    </row>
    <row r="6870" spans="1:1" x14ac:dyDescent="0.2">
      <c r="A6870" s="22">
        <v>0.88746321201324463</v>
      </c>
    </row>
    <row r="6871" spans="1:1" x14ac:dyDescent="0.2">
      <c r="A6871" s="22">
        <v>0.69415885210037231</v>
      </c>
    </row>
    <row r="6872" spans="1:1" x14ac:dyDescent="0.2">
      <c r="A6872" s="22">
        <v>0.41536831855773926</v>
      </c>
    </row>
    <row r="6873" spans="1:1" x14ac:dyDescent="0.2">
      <c r="A6873" s="22">
        <v>0.51535075902938843</v>
      </c>
    </row>
    <row r="6874" spans="1:1" x14ac:dyDescent="0.2">
      <c r="A6874" s="22">
        <v>0.36207091808319092</v>
      </c>
    </row>
    <row r="6875" spans="1:1" x14ac:dyDescent="0.2">
      <c r="A6875" s="22">
        <v>0.56940799951553345</v>
      </c>
    </row>
    <row r="6876" spans="1:1" x14ac:dyDescent="0.2">
      <c r="A6876" s="22">
        <v>0.14240407943725586</v>
      </c>
    </row>
    <row r="6877" spans="1:1" x14ac:dyDescent="0.2">
      <c r="A6877" s="22">
        <v>0.52589386701583862</v>
      </c>
    </row>
    <row r="6878" spans="1:1" x14ac:dyDescent="0.2">
      <c r="A6878" s="22">
        <v>5.490422248840332E-3</v>
      </c>
    </row>
    <row r="6879" spans="1:1" x14ac:dyDescent="0.2">
      <c r="A6879" s="22">
        <v>0.86400300264358521</v>
      </c>
    </row>
    <row r="6880" spans="1:1" x14ac:dyDescent="0.2">
      <c r="A6880" s="22">
        <v>0.83405852317810059</v>
      </c>
    </row>
    <row r="6881" spans="1:1" x14ac:dyDescent="0.2">
      <c r="A6881" s="22">
        <v>0.97461217641830444</v>
      </c>
    </row>
    <row r="6882" spans="1:1" x14ac:dyDescent="0.2">
      <c r="A6882" s="22">
        <v>0.33829057216644287</v>
      </c>
    </row>
    <row r="6883" spans="1:1" x14ac:dyDescent="0.2">
      <c r="A6883" s="22">
        <v>7.8737318515777588E-2</v>
      </c>
    </row>
    <row r="6884" spans="1:1" x14ac:dyDescent="0.2">
      <c r="A6884" s="22">
        <v>0.80045127868652344</v>
      </c>
    </row>
    <row r="6885" spans="1:1" x14ac:dyDescent="0.2">
      <c r="A6885" s="22">
        <v>0.49364680051803589</v>
      </c>
    </row>
    <row r="6886" spans="1:1" x14ac:dyDescent="0.2">
      <c r="A6886" s="22">
        <v>0.77654802799224854</v>
      </c>
    </row>
    <row r="6887" spans="1:1" x14ac:dyDescent="0.2">
      <c r="A6887" s="22">
        <v>2.7880966663360596E-2</v>
      </c>
    </row>
    <row r="6888" spans="1:1" x14ac:dyDescent="0.2">
      <c r="A6888" s="22">
        <v>0.41127228736877441</v>
      </c>
    </row>
    <row r="6889" spans="1:1" x14ac:dyDescent="0.2">
      <c r="A6889" s="22">
        <v>0.53642791509628296</v>
      </c>
    </row>
    <row r="6890" spans="1:1" x14ac:dyDescent="0.2">
      <c r="A6890" s="22">
        <v>0.27247226238250732</v>
      </c>
    </row>
    <row r="6891" spans="1:1" x14ac:dyDescent="0.2">
      <c r="A6891" s="22">
        <v>0.91730552911758423</v>
      </c>
    </row>
    <row r="6892" spans="1:1" x14ac:dyDescent="0.2">
      <c r="A6892" s="22">
        <v>0.86140680313110352</v>
      </c>
    </row>
    <row r="6893" spans="1:1" x14ac:dyDescent="0.2">
      <c r="A6893" s="22">
        <v>8.0799758434295654E-2</v>
      </c>
    </row>
    <row r="6894" spans="1:1" x14ac:dyDescent="0.2">
      <c r="A6894" s="22">
        <v>0.20503056049346924</v>
      </c>
    </row>
    <row r="6895" spans="1:1" x14ac:dyDescent="0.2">
      <c r="A6895" s="22">
        <v>0.67260915040969849</v>
      </c>
    </row>
    <row r="6896" spans="1:1" x14ac:dyDescent="0.2">
      <c r="A6896" s="22">
        <v>0.18656039237976074</v>
      </c>
    </row>
    <row r="6897" spans="1:1" x14ac:dyDescent="0.2">
      <c r="A6897" s="22">
        <v>0.58214563131332397</v>
      </c>
    </row>
    <row r="6898" spans="1:1" x14ac:dyDescent="0.2">
      <c r="A6898" s="22">
        <v>0.52057301998138428</v>
      </c>
    </row>
    <row r="6899" spans="1:1" x14ac:dyDescent="0.2">
      <c r="A6899" s="22">
        <v>0.51724153757095337</v>
      </c>
    </row>
    <row r="6900" spans="1:1" x14ac:dyDescent="0.2">
      <c r="A6900" s="22">
        <v>0.52888393402099609</v>
      </c>
    </row>
    <row r="6901" spans="1:1" x14ac:dyDescent="0.2">
      <c r="A6901" s="22">
        <v>0.17651289701461792</v>
      </c>
    </row>
    <row r="6902" spans="1:1" x14ac:dyDescent="0.2">
      <c r="A6902" s="22">
        <v>0.12345755100250244</v>
      </c>
    </row>
    <row r="6903" spans="1:1" x14ac:dyDescent="0.2">
      <c r="A6903" s="22">
        <v>0.80062896013259888</v>
      </c>
    </row>
    <row r="6904" spans="1:1" x14ac:dyDescent="0.2">
      <c r="A6904" s="22">
        <v>0.65259861946105957</v>
      </c>
    </row>
    <row r="6905" spans="1:1" x14ac:dyDescent="0.2">
      <c r="A6905" s="22">
        <v>0.13373798131942749</v>
      </c>
    </row>
    <row r="6906" spans="1:1" x14ac:dyDescent="0.2">
      <c r="A6906" s="22">
        <v>0.51667487621307373</v>
      </c>
    </row>
    <row r="6907" spans="1:1" x14ac:dyDescent="0.2">
      <c r="A6907" s="22">
        <v>7.629925012588501E-2</v>
      </c>
    </row>
    <row r="6908" spans="1:1" x14ac:dyDescent="0.2">
      <c r="A6908" s="22">
        <v>0.70962095260620117</v>
      </c>
    </row>
    <row r="6909" spans="1:1" x14ac:dyDescent="0.2">
      <c r="A6909" s="22">
        <v>0.56057137250900269</v>
      </c>
    </row>
    <row r="6910" spans="1:1" x14ac:dyDescent="0.2">
      <c r="A6910" s="22">
        <v>0.69247353076934814</v>
      </c>
    </row>
    <row r="6911" spans="1:1" x14ac:dyDescent="0.2">
      <c r="A6911" s="22">
        <v>0.43000680208206177</v>
      </c>
    </row>
    <row r="6912" spans="1:1" x14ac:dyDescent="0.2">
      <c r="A6912" s="22">
        <v>0.2551877498626709</v>
      </c>
    </row>
    <row r="6913" spans="1:1" x14ac:dyDescent="0.2">
      <c r="A6913" s="22">
        <v>0.35380262136459351</v>
      </c>
    </row>
    <row r="6914" spans="1:1" x14ac:dyDescent="0.2">
      <c r="A6914" s="22">
        <v>0.27298486232757568</v>
      </c>
    </row>
    <row r="6915" spans="1:1" x14ac:dyDescent="0.2">
      <c r="A6915" s="22">
        <v>5.785757303237915E-2</v>
      </c>
    </row>
    <row r="6916" spans="1:1" x14ac:dyDescent="0.2">
      <c r="A6916" s="22">
        <v>0.51348114013671875</v>
      </c>
    </row>
    <row r="6917" spans="1:1" x14ac:dyDescent="0.2">
      <c r="A6917" s="22">
        <v>0.40338534116744995</v>
      </c>
    </row>
    <row r="6918" spans="1:1" x14ac:dyDescent="0.2">
      <c r="A6918" s="22">
        <v>0.90084803104400635</v>
      </c>
    </row>
    <row r="6919" spans="1:1" x14ac:dyDescent="0.2">
      <c r="A6919" s="22">
        <v>9.4434082508087158E-2</v>
      </c>
    </row>
    <row r="6920" spans="1:1" x14ac:dyDescent="0.2">
      <c r="A6920" s="22">
        <v>0.89325356483459473</v>
      </c>
    </row>
    <row r="6921" spans="1:1" x14ac:dyDescent="0.2">
      <c r="A6921" s="22">
        <v>4.5562207698822021E-2</v>
      </c>
    </row>
    <row r="6922" spans="1:1" x14ac:dyDescent="0.2">
      <c r="A6922" s="22">
        <v>0.87983500957489014</v>
      </c>
    </row>
    <row r="6923" spans="1:1" x14ac:dyDescent="0.2">
      <c r="A6923" s="22">
        <v>0.69092041254043579</v>
      </c>
    </row>
    <row r="6924" spans="1:1" x14ac:dyDescent="0.2">
      <c r="A6924" s="22">
        <v>0.75345277786254883</v>
      </c>
    </row>
    <row r="6925" spans="1:1" x14ac:dyDescent="0.2">
      <c r="A6925" s="22">
        <v>0.76598995923995972</v>
      </c>
    </row>
    <row r="6926" spans="1:1" x14ac:dyDescent="0.2">
      <c r="A6926" s="22">
        <v>6.5475583076477051E-2</v>
      </c>
    </row>
    <row r="6927" spans="1:1" x14ac:dyDescent="0.2">
      <c r="A6927" s="22">
        <v>0.34322720766067505</v>
      </c>
    </row>
    <row r="6928" spans="1:1" x14ac:dyDescent="0.2">
      <c r="A6928" s="22">
        <v>0.41884684562683105</v>
      </c>
    </row>
    <row r="6929" spans="1:1" x14ac:dyDescent="0.2">
      <c r="A6929" s="22">
        <v>0.15286439657211304</v>
      </c>
    </row>
    <row r="6930" spans="1:1" x14ac:dyDescent="0.2">
      <c r="A6930" s="22">
        <v>5.6823492050170898E-3</v>
      </c>
    </row>
    <row r="6931" spans="1:1" x14ac:dyDescent="0.2">
      <c r="A6931" s="22">
        <v>0.47011667490005493</v>
      </c>
    </row>
    <row r="6932" spans="1:1" x14ac:dyDescent="0.2">
      <c r="A6932" s="22">
        <v>0.44564914703369141</v>
      </c>
    </row>
    <row r="6933" spans="1:1" x14ac:dyDescent="0.2">
      <c r="A6933" s="22">
        <v>0.10004538297653198</v>
      </c>
    </row>
    <row r="6934" spans="1:1" x14ac:dyDescent="0.2">
      <c r="A6934" s="22">
        <v>0.33137571811676025</v>
      </c>
    </row>
    <row r="6935" spans="1:1" x14ac:dyDescent="0.2">
      <c r="A6935" s="22">
        <v>0.24132758378982544</v>
      </c>
    </row>
    <row r="6936" spans="1:1" x14ac:dyDescent="0.2">
      <c r="A6936" s="22">
        <v>0.13714337348937988</v>
      </c>
    </row>
    <row r="6937" spans="1:1" x14ac:dyDescent="0.2">
      <c r="A6937" s="22">
        <v>0.26018184423446655</v>
      </c>
    </row>
    <row r="6938" spans="1:1" x14ac:dyDescent="0.2">
      <c r="A6938" s="22">
        <v>0.39710891246795654</v>
      </c>
    </row>
    <row r="6939" spans="1:1" x14ac:dyDescent="0.2">
      <c r="A6939" s="22">
        <v>0.65570026636123657</v>
      </c>
    </row>
    <row r="6940" spans="1:1" x14ac:dyDescent="0.2">
      <c r="A6940" s="22">
        <v>0.30930852890014648</v>
      </c>
    </row>
    <row r="6941" spans="1:1" x14ac:dyDescent="0.2">
      <c r="A6941" s="22">
        <v>0.74783676862716675</v>
      </c>
    </row>
    <row r="6942" spans="1:1" x14ac:dyDescent="0.2">
      <c r="A6942" s="22">
        <v>0.17169296741485596</v>
      </c>
    </row>
    <row r="6943" spans="1:1" x14ac:dyDescent="0.2">
      <c r="A6943" s="22">
        <v>0.86930161714553833</v>
      </c>
    </row>
    <row r="6944" spans="1:1" x14ac:dyDescent="0.2">
      <c r="A6944" s="22">
        <v>0.30644392967224121</v>
      </c>
    </row>
    <row r="6945" spans="1:1" x14ac:dyDescent="0.2">
      <c r="A6945" s="22">
        <v>9.2612206935882568E-2</v>
      </c>
    </row>
    <row r="6946" spans="1:1" x14ac:dyDescent="0.2">
      <c r="A6946" s="22">
        <v>0.3788217306137085</v>
      </c>
    </row>
    <row r="6947" spans="1:1" x14ac:dyDescent="0.2">
      <c r="A6947" s="22">
        <v>0.77355009317398071</v>
      </c>
    </row>
    <row r="6948" spans="1:1" x14ac:dyDescent="0.2">
      <c r="A6948" s="22">
        <v>0.26679420471191406</v>
      </c>
    </row>
    <row r="6949" spans="1:1" x14ac:dyDescent="0.2">
      <c r="A6949" s="22">
        <v>0.44227427244186401</v>
      </c>
    </row>
    <row r="6950" spans="1:1" x14ac:dyDescent="0.2">
      <c r="A6950" s="22">
        <v>0.88769686222076416</v>
      </c>
    </row>
    <row r="6951" spans="1:1" x14ac:dyDescent="0.2">
      <c r="A6951" s="22">
        <v>0.82334071397781372</v>
      </c>
    </row>
    <row r="6952" spans="1:1" x14ac:dyDescent="0.2">
      <c r="A6952" s="22">
        <v>0.63817429542541504</v>
      </c>
    </row>
    <row r="6953" spans="1:1" x14ac:dyDescent="0.2">
      <c r="A6953" s="22">
        <v>1.5878140926361084E-2</v>
      </c>
    </row>
    <row r="6954" spans="1:1" x14ac:dyDescent="0.2">
      <c r="A6954" s="22">
        <v>0.35365283489227295</v>
      </c>
    </row>
    <row r="6955" spans="1:1" x14ac:dyDescent="0.2">
      <c r="A6955" s="22">
        <v>0.11517006158828735</v>
      </c>
    </row>
    <row r="6956" spans="1:1" x14ac:dyDescent="0.2">
      <c r="A6956" s="22">
        <v>0.94359445571899414</v>
      </c>
    </row>
    <row r="6957" spans="1:1" x14ac:dyDescent="0.2">
      <c r="A6957" s="22">
        <v>0.80689305067062378</v>
      </c>
    </row>
    <row r="6958" spans="1:1" x14ac:dyDescent="0.2">
      <c r="A6958" s="22">
        <v>0.10878193378448486</v>
      </c>
    </row>
    <row r="6959" spans="1:1" x14ac:dyDescent="0.2">
      <c r="A6959" s="22">
        <v>0.71526128053665161</v>
      </c>
    </row>
    <row r="6960" spans="1:1" x14ac:dyDescent="0.2">
      <c r="A6960" s="22">
        <v>0.79688525199890137</v>
      </c>
    </row>
    <row r="6961" spans="1:1" x14ac:dyDescent="0.2">
      <c r="A6961" s="22">
        <v>0.5363273024559021</v>
      </c>
    </row>
    <row r="6962" spans="1:1" x14ac:dyDescent="0.2">
      <c r="A6962" s="22">
        <v>0.3025592565536499</v>
      </c>
    </row>
    <row r="6963" spans="1:1" x14ac:dyDescent="0.2">
      <c r="A6963" s="22">
        <v>0.23768907785415649</v>
      </c>
    </row>
    <row r="6964" spans="1:1" x14ac:dyDescent="0.2">
      <c r="A6964" s="22">
        <v>0.16832256317138672</v>
      </c>
    </row>
    <row r="6965" spans="1:1" x14ac:dyDescent="0.2">
      <c r="A6965" s="22">
        <v>0.85585325956344604</v>
      </c>
    </row>
    <row r="6966" spans="1:1" x14ac:dyDescent="0.2">
      <c r="A6966" s="22">
        <v>0.29246771335601807</v>
      </c>
    </row>
    <row r="6967" spans="1:1" x14ac:dyDescent="0.2">
      <c r="A6967" s="22">
        <v>0.672504723072052</v>
      </c>
    </row>
    <row r="6968" spans="1:1" x14ac:dyDescent="0.2">
      <c r="A6968" s="22">
        <v>0.9002525806427002</v>
      </c>
    </row>
    <row r="6969" spans="1:1" x14ac:dyDescent="0.2">
      <c r="A6969" s="22">
        <v>0.80093234777450562</v>
      </c>
    </row>
    <row r="6970" spans="1:1" x14ac:dyDescent="0.2">
      <c r="A6970" s="22">
        <v>0.28462302684783936</v>
      </c>
    </row>
    <row r="6971" spans="1:1" x14ac:dyDescent="0.2">
      <c r="A6971" s="22">
        <v>0.46386104822158813</v>
      </c>
    </row>
    <row r="6972" spans="1:1" x14ac:dyDescent="0.2">
      <c r="A6972" s="22">
        <v>0.4727168083190918</v>
      </c>
    </row>
    <row r="6973" spans="1:1" x14ac:dyDescent="0.2">
      <c r="A6973" s="22">
        <v>0.49394005537033081</v>
      </c>
    </row>
    <row r="6974" spans="1:1" x14ac:dyDescent="0.2">
      <c r="A6974" s="22">
        <v>0.22439873218536377</v>
      </c>
    </row>
    <row r="6975" spans="1:1" x14ac:dyDescent="0.2">
      <c r="A6975" s="22">
        <v>0.83813744783401489</v>
      </c>
    </row>
    <row r="6976" spans="1:1" x14ac:dyDescent="0.2">
      <c r="A6976" s="22">
        <v>1.9077062606811523E-2</v>
      </c>
    </row>
    <row r="6977" spans="1:1" x14ac:dyDescent="0.2">
      <c r="A6977" s="22">
        <v>9.7290933132171631E-2</v>
      </c>
    </row>
    <row r="6978" spans="1:1" x14ac:dyDescent="0.2">
      <c r="A6978" s="22">
        <v>0.93705117702484131</v>
      </c>
    </row>
    <row r="6979" spans="1:1" x14ac:dyDescent="0.2">
      <c r="A6979" s="22">
        <v>0.38206487894058228</v>
      </c>
    </row>
    <row r="6980" spans="1:1" x14ac:dyDescent="0.2">
      <c r="A6980" s="22">
        <v>0.59164047241210938</v>
      </c>
    </row>
    <row r="6981" spans="1:1" x14ac:dyDescent="0.2">
      <c r="A6981" s="22">
        <v>1.6563594341278076E-2</v>
      </c>
    </row>
    <row r="6982" spans="1:1" x14ac:dyDescent="0.2">
      <c r="A6982" s="22">
        <v>0.51834452152252197</v>
      </c>
    </row>
    <row r="6983" spans="1:1" x14ac:dyDescent="0.2">
      <c r="A6983" s="22">
        <v>0.87085086107254028</v>
      </c>
    </row>
    <row r="6984" spans="1:1" x14ac:dyDescent="0.2">
      <c r="A6984" s="22">
        <v>0.67728447914123535</v>
      </c>
    </row>
    <row r="6985" spans="1:1" x14ac:dyDescent="0.2">
      <c r="A6985" s="22">
        <v>0.35362571477890015</v>
      </c>
    </row>
    <row r="6986" spans="1:1" x14ac:dyDescent="0.2">
      <c r="A6986" s="22">
        <v>0.97517573833465576</v>
      </c>
    </row>
    <row r="6987" spans="1:1" x14ac:dyDescent="0.2">
      <c r="A6987" s="22">
        <v>0.34630447626113892</v>
      </c>
    </row>
    <row r="6988" spans="1:1" x14ac:dyDescent="0.2">
      <c r="A6988" s="22">
        <v>0.96308183670043945</v>
      </c>
    </row>
    <row r="6989" spans="1:1" x14ac:dyDescent="0.2">
      <c r="A6989" s="22">
        <v>0.60975903272628784</v>
      </c>
    </row>
    <row r="6990" spans="1:1" x14ac:dyDescent="0.2">
      <c r="A6990" s="22">
        <v>0.11619961261749268</v>
      </c>
    </row>
    <row r="6991" spans="1:1" x14ac:dyDescent="0.2">
      <c r="A6991" s="22">
        <v>0.44496136903762817</v>
      </c>
    </row>
    <row r="6992" spans="1:1" x14ac:dyDescent="0.2">
      <c r="A6992" s="22">
        <v>0.35192561149597168</v>
      </c>
    </row>
    <row r="6993" spans="1:1" x14ac:dyDescent="0.2">
      <c r="A6993" s="22">
        <v>0.63878434896469116</v>
      </c>
    </row>
    <row r="6994" spans="1:1" x14ac:dyDescent="0.2">
      <c r="A6994" s="22">
        <v>0.69245374202728271</v>
      </c>
    </row>
    <row r="6995" spans="1:1" x14ac:dyDescent="0.2">
      <c r="A6995" s="22">
        <v>0.97620874643325806</v>
      </c>
    </row>
    <row r="6996" spans="1:1" x14ac:dyDescent="0.2">
      <c r="A6996" s="22">
        <v>0.22815418243408203</v>
      </c>
    </row>
    <row r="6997" spans="1:1" x14ac:dyDescent="0.2">
      <c r="A6997" s="22">
        <v>0.85018652677536011</v>
      </c>
    </row>
    <row r="6998" spans="1:1" x14ac:dyDescent="0.2">
      <c r="A6998" s="22">
        <v>0.78798353672027588</v>
      </c>
    </row>
    <row r="6999" spans="1:1" x14ac:dyDescent="0.2">
      <c r="A6999" s="22">
        <v>0.75041037797927856</v>
      </c>
    </row>
    <row r="7000" spans="1:1" x14ac:dyDescent="0.2">
      <c r="A7000" s="22">
        <v>0.97317624092102051</v>
      </c>
    </row>
    <row r="7001" spans="1:1" x14ac:dyDescent="0.2">
      <c r="A7001" s="22">
        <v>0.66223949193954468</v>
      </c>
    </row>
    <row r="7002" spans="1:1" x14ac:dyDescent="0.2">
      <c r="A7002" s="22">
        <v>0.46046721935272217</v>
      </c>
    </row>
    <row r="7003" spans="1:1" x14ac:dyDescent="0.2">
      <c r="A7003" s="22">
        <v>0.6570315957069397</v>
      </c>
    </row>
    <row r="7004" spans="1:1" x14ac:dyDescent="0.2">
      <c r="A7004" s="22">
        <v>0.73109579086303711</v>
      </c>
    </row>
    <row r="7005" spans="1:1" x14ac:dyDescent="0.2">
      <c r="A7005" s="22">
        <v>0.20513123273849487</v>
      </c>
    </row>
    <row r="7006" spans="1:1" x14ac:dyDescent="0.2">
      <c r="A7006" s="22">
        <v>0.63184082508087158</v>
      </c>
    </row>
    <row r="7007" spans="1:1" x14ac:dyDescent="0.2">
      <c r="A7007" s="22">
        <v>0.99276429414749146</v>
      </c>
    </row>
    <row r="7008" spans="1:1" x14ac:dyDescent="0.2">
      <c r="A7008" s="22">
        <v>0.42433714866638184</v>
      </c>
    </row>
    <row r="7009" spans="1:1" x14ac:dyDescent="0.2">
      <c r="A7009" s="22">
        <v>0.27408879995346069</v>
      </c>
    </row>
    <row r="7010" spans="1:1" x14ac:dyDescent="0.2">
      <c r="A7010" s="22">
        <v>0.22892320156097412</v>
      </c>
    </row>
    <row r="7011" spans="1:1" x14ac:dyDescent="0.2">
      <c r="A7011" s="22">
        <v>3.9651930332183838E-2</v>
      </c>
    </row>
    <row r="7012" spans="1:1" x14ac:dyDescent="0.2">
      <c r="A7012" s="22">
        <v>1.9269943237304688E-2</v>
      </c>
    </row>
    <row r="7013" spans="1:1" x14ac:dyDescent="0.2">
      <c r="A7013" s="22">
        <v>0.53250330686569214</v>
      </c>
    </row>
    <row r="7014" spans="1:1" x14ac:dyDescent="0.2">
      <c r="A7014" s="22">
        <v>0.57404100894927979</v>
      </c>
    </row>
    <row r="7015" spans="1:1" x14ac:dyDescent="0.2">
      <c r="A7015" s="22">
        <v>0.89321452379226685</v>
      </c>
    </row>
    <row r="7016" spans="1:1" x14ac:dyDescent="0.2">
      <c r="A7016" s="22">
        <v>4.1834115982055664E-2</v>
      </c>
    </row>
    <row r="7017" spans="1:1" x14ac:dyDescent="0.2">
      <c r="A7017" s="22">
        <v>0.96505492925643921</v>
      </c>
    </row>
    <row r="7018" spans="1:1" x14ac:dyDescent="0.2">
      <c r="A7018" s="22">
        <v>2.5653719902038574E-2</v>
      </c>
    </row>
    <row r="7019" spans="1:1" x14ac:dyDescent="0.2">
      <c r="A7019" s="22">
        <v>0.54057365655899048</v>
      </c>
    </row>
    <row r="7020" spans="1:1" x14ac:dyDescent="0.2">
      <c r="A7020" s="22">
        <v>0.34316492080688477</v>
      </c>
    </row>
    <row r="7021" spans="1:1" x14ac:dyDescent="0.2">
      <c r="A7021" s="22">
        <v>0.5808379054069519</v>
      </c>
    </row>
    <row r="7022" spans="1:1" x14ac:dyDescent="0.2">
      <c r="A7022" s="22">
        <v>0.86897861957550049</v>
      </c>
    </row>
    <row r="7023" spans="1:1" x14ac:dyDescent="0.2">
      <c r="A7023" s="22">
        <v>0.18857747316360474</v>
      </c>
    </row>
    <row r="7024" spans="1:1" x14ac:dyDescent="0.2">
      <c r="A7024" s="22">
        <v>0.11521792411804199</v>
      </c>
    </row>
    <row r="7025" spans="1:1" x14ac:dyDescent="0.2">
      <c r="A7025" s="22">
        <v>0.36648553609848022</v>
      </c>
    </row>
    <row r="7026" spans="1:1" x14ac:dyDescent="0.2">
      <c r="A7026" s="22">
        <v>0.45661580562591553</v>
      </c>
    </row>
    <row r="7027" spans="1:1" x14ac:dyDescent="0.2">
      <c r="A7027" s="22">
        <v>0.84192568063735962</v>
      </c>
    </row>
    <row r="7028" spans="1:1" x14ac:dyDescent="0.2">
      <c r="A7028" s="22">
        <v>0.15639400482177734</v>
      </c>
    </row>
    <row r="7029" spans="1:1" x14ac:dyDescent="0.2">
      <c r="A7029" s="22">
        <v>0.48929518461227417</v>
      </c>
    </row>
    <row r="7030" spans="1:1" x14ac:dyDescent="0.2">
      <c r="A7030" s="22">
        <v>0.59917318820953369</v>
      </c>
    </row>
    <row r="7031" spans="1:1" x14ac:dyDescent="0.2">
      <c r="A7031" s="22">
        <v>0.13129454851150513</v>
      </c>
    </row>
    <row r="7032" spans="1:1" x14ac:dyDescent="0.2">
      <c r="A7032" s="22">
        <v>0.38716435432434082</v>
      </c>
    </row>
    <row r="7033" spans="1:1" x14ac:dyDescent="0.2">
      <c r="A7033" s="22">
        <v>0.75035327672958374</v>
      </c>
    </row>
    <row r="7034" spans="1:1" x14ac:dyDescent="0.2">
      <c r="A7034" s="22">
        <v>0.20589148998260498</v>
      </c>
    </row>
    <row r="7035" spans="1:1" x14ac:dyDescent="0.2">
      <c r="A7035" s="22">
        <v>0.39146190881729126</v>
      </c>
    </row>
    <row r="7036" spans="1:1" x14ac:dyDescent="0.2">
      <c r="A7036" s="22">
        <v>0.61569547653198242</v>
      </c>
    </row>
    <row r="7037" spans="1:1" x14ac:dyDescent="0.2">
      <c r="A7037" s="22">
        <v>0.28766030073165894</v>
      </c>
    </row>
    <row r="7038" spans="1:1" x14ac:dyDescent="0.2">
      <c r="A7038" s="22">
        <v>0.17526924610137939</v>
      </c>
    </row>
    <row r="7039" spans="1:1" x14ac:dyDescent="0.2">
      <c r="A7039" s="22">
        <v>0.98943215608596802</v>
      </c>
    </row>
    <row r="7040" spans="1:1" x14ac:dyDescent="0.2">
      <c r="A7040" s="22">
        <v>0.55347418785095215</v>
      </c>
    </row>
    <row r="7041" spans="1:1" x14ac:dyDescent="0.2">
      <c r="A7041" s="22">
        <v>0.52925580739974976</v>
      </c>
    </row>
    <row r="7042" spans="1:1" x14ac:dyDescent="0.2">
      <c r="A7042" s="22">
        <v>0.53568780422210693</v>
      </c>
    </row>
    <row r="7043" spans="1:1" x14ac:dyDescent="0.2">
      <c r="A7043" s="22">
        <v>0.9025612473487854</v>
      </c>
    </row>
    <row r="7044" spans="1:1" x14ac:dyDescent="0.2">
      <c r="A7044" s="22">
        <v>8.09326171875E-2</v>
      </c>
    </row>
    <row r="7045" spans="1:1" x14ac:dyDescent="0.2">
      <c r="A7045" s="22">
        <v>0.3963434100151062</v>
      </c>
    </row>
    <row r="7046" spans="1:1" x14ac:dyDescent="0.2">
      <c r="A7046" s="22">
        <v>0.8360363245010376</v>
      </c>
    </row>
    <row r="7047" spans="1:1" x14ac:dyDescent="0.2">
      <c r="A7047" s="22">
        <v>0.54668170213699341</v>
      </c>
    </row>
    <row r="7048" spans="1:1" x14ac:dyDescent="0.2">
      <c r="A7048" s="22">
        <v>0.76307320594787598</v>
      </c>
    </row>
    <row r="7049" spans="1:1" x14ac:dyDescent="0.2">
      <c r="A7049" s="22">
        <v>0.75641578435897827</v>
      </c>
    </row>
    <row r="7050" spans="1:1" x14ac:dyDescent="0.2">
      <c r="A7050" s="22">
        <v>0.78633677959442139</v>
      </c>
    </row>
    <row r="7051" spans="1:1" x14ac:dyDescent="0.2">
      <c r="A7051" s="22">
        <v>0.85422760248184204</v>
      </c>
    </row>
    <row r="7052" spans="1:1" x14ac:dyDescent="0.2">
      <c r="A7052" s="22">
        <v>0.61509370803833008</v>
      </c>
    </row>
    <row r="7053" spans="1:1" x14ac:dyDescent="0.2">
      <c r="A7053" s="22">
        <v>0.12637966871261597</v>
      </c>
    </row>
    <row r="7054" spans="1:1" x14ac:dyDescent="0.2">
      <c r="A7054" s="22">
        <v>0.1483689546585083</v>
      </c>
    </row>
    <row r="7055" spans="1:1" x14ac:dyDescent="0.2">
      <c r="A7055" s="22">
        <v>0.6023595929145813</v>
      </c>
    </row>
    <row r="7056" spans="1:1" x14ac:dyDescent="0.2">
      <c r="A7056" s="22">
        <v>0.1180121898651123</v>
      </c>
    </row>
    <row r="7057" spans="1:1" x14ac:dyDescent="0.2">
      <c r="A7057" s="22">
        <v>0.62568086385726929</v>
      </c>
    </row>
    <row r="7058" spans="1:1" x14ac:dyDescent="0.2">
      <c r="A7058" s="22">
        <v>0.87629544734954834</v>
      </c>
    </row>
    <row r="7059" spans="1:1" x14ac:dyDescent="0.2">
      <c r="A7059" s="22">
        <v>0.99108988046646118</v>
      </c>
    </row>
    <row r="7060" spans="1:1" x14ac:dyDescent="0.2">
      <c r="A7060" s="22">
        <v>0.48429203033447266</v>
      </c>
    </row>
    <row r="7061" spans="1:1" x14ac:dyDescent="0.2">
      <c r="A7061" s="22">
        <v>0.17942923307418823</v>
      </c>
    </row>
    <row r="7062" spans="1:1" x14ac:dyDescent="0.2">
      <c r="A7062" s="22">
        <v>0.5072866678237915</v>
      </c>
    </row>
    <row r="7063" spans="1:1" x14ac:dyDescent="0.2">
      <c r="A7063" s="22">
        <v>0.47140723466873169</v>
      </c>
    </row>
    <row r="7064" spans="1:1" x14ac:dyDescent="0.2">
      <c r="A7064" s="22">
        <v>0.17346692085266113</v>
      </c>
    </row>
    <row r="7065" spans="1:1" x14ac:dyDescent="0.2">
      <c r="A7065" s="22">
        <v>0.9715237021446228</v>
      </c>
    </row>
    <row r="7066" spans="1:1" x14ac:dyDescent="0.2">
      <c r="A7066" s="22">
        <v>0.80214583873748779</v>
      </c>
    </row>
    <row r="7067" spans="1:1" x14ac:dyDescent="0.2">
      <c r="A7067" s="22">
        <v>0.82340198755264282</v>
      </c>
    </row>
    <row r="7068" spans="1:1" x14ac:dyDescent="0.2">
      <c r="A7068" s="22">
        <v>0.65776586532592773</v>
      </c>
    </row>
    <row r="7069" spans="1:1" x14ac:dyDescent="0.2">
      <c r="A7069" s="22">
        <v>0.147777259349823</v>
      </c>
    </row>
    <row r="7070" spans="1:1" x14ac:dyDescent="0.2">
      <c r="A7070" s="22">
        <v>0.63593399524688721</v>
      </c>
    </row>
    <row r="7071" spans="1:1" x14ac:dyDescent="0.2">
      <c r="A7071" s="22">
        <v>0.48439103364944458</v>
      </c>
    </row>
    <row r="7072" spans="1:1" x14ac:dyDescent="0.2">
      <c r="A7072" s="22">
        <v>0.43773818016052246</v>
      </c>
    </row>
    <row r="7073" spans="1:1" x14ac:dyDescent="0.2">
      <c r="A7073" s="22">
        <v>0.76904195547103882</v>
      </c>
    </row>
    <row r="7074" spans="1:1" x14ac:dyDescent="0.2">
      <c r="A7074" s="22">
        <v>0.13859498500823975</v>
      </c>
    </row>
    <row r="7075" spans="1:1" x14ac:dyDescent="0.2">
      <c r="A7075" s="22">
        <v>0.12704282999038696</v>
      </c>
    </row>
    <row r="7076" spans="1:1" x14ac:dyDescent="0.2">
      <c r="A7076" s="22">
        <v>0.30787849426269531</v>
      </c>
    </row>
    <row r="7077" spans="1:1" x14ac:dyDescent="0.2">
      <c r="A7077" s="22">
        <v>1.4333903789520264E-2</v>
      </c>
    </row>
    <row r="7078" spans="1:1" x14ac:dyDescent="0.2">
      <c r="A7078" s="22">
        <v>8.558046817779541E-2</v>
      </c>
    </row>
    <row r="7079" spans="1:1" x14ac:dyDescent="0.2">
      <c r="A7079" s="22">
        <v>0.48750239610671997</v>
      </c>
    </row>
    <row r="7080" spans="1:1" x14ac:dyDescent="0.2">
      <c r="A7080" s="22">
        <v>0.87225174903869629</v>
      </c>
    </row>
    <row r="7081" spans="1:1" x14ac:dyDescent="0.2">
      <c r="A7081" s="22">
        <v>0.63395828008651733</v>
      </c>
    </row>
    <row r="7082" spans="1:1" x14ac:dyDescent="0.2">
      <c r="A7082" s="22">
        <v>0.5384749174118042</v>
      </c>
    </row>
    <row r="7083" spans="1:1" x14ac:dyDescent="0.2">
      <c r="A7083" s="22">
        <v>0.4435163140296936</v>
      </c>
    </row>
    <row r="7084" spans="1:1" x14ac:dyDescent="0.2">
      <c r="A7084" s="22">
        <v>0.31011819839477539</v>
      </c>
    </row>
    <row r="7085" spans="1:1" x14ac:dyDescent="0.2">
      <c r="A7085" s="22">
        <v>0.65263432264328003</v>
      </c>
    </row>
    <row r="7086" spans="1:1" x14ac:dyDescent="0.2">
      <c r="A7086" s="22">
        <v>0.73562061786651611</v>
      </c>
    </row>
    <row r="7087" spans="1:1" x14ac:dyDescent="0.2">
      <c r="A7087" s="22">
        <v>0.34255772829055786</v>
      </c>
    </row>
    <row r="7088" spans="1:1" x14ac:dyDescent="0.2">
      <c r="A7088" s="22">
        <v>0.39155840873718262</v>
      </c>
    </row>
    <row r="7089" spans="1:1" x14ac:dyDescent="0.2">
      <c r="A7089" s="22">
        <v>0.32262033224105835</v>
      </c>
    </row>
    <row r="7090" spans="1:1" x14ac:dyDescent="0.2">
      <c r="A7090" s="22">
        <v>0.23274266719818115</v>
      </c>
    </row>
    <row r="7091" spans="1:1" x14ac:dyDescent="0.2">
      <c r="A7091" s="22">
        <v>0.57995134592056274</v>
      </c>
    </row>
    <row r="7092" spans="1:1" x14ac:dyDescent="0.2">
      <c r="A7092" s="22">
        <v>0.74309825897216797</v>
      </c>
    </row>
    <row r="7093" spans="1:1" x14ac:dyDescent="0.2">
      <c r="A7093" s="22">
        <v>0.32683867216110229</v>
      </c>
    </row>
    <row r="7094" spans="1:1" x14ac:dyDescent="0.2">
      <c r="A7094" s="22">
        <v>0.29357397556304932</v>
      </c>
    </row>
    <row r="7095" spans="1:1" x14ac:dyDescent="0.2">
      <c r="A7095" s="22">
        <v>0.42699843645095825</v>
      </c>
    </row>
    <row r="7096" spans="1:1" x14ac:dyDescent="0.2">
      <c r="A7096" s="22">
        <v>0.36333394050598145</v>
      </c>
    </row>
    <row r="7097" spans="1:1" x14ac:dyDescent="0.2">
      <c r="A7097" s="22">
        <v>0.23200076818466187</v>
      </c>
    </row>
    <row r="7098" spans="1:1" x14ac:dyDescent="0.2">
      <c r="A7098" s="22">
        <v>0.53048026561737061</v>
      </c>
    </row>
    <row r="7099" spans="1:1" x14ac:dyDescent="0.2">
      <c r="A7099" s="22">
        <v>0.10910183191299438</v>
      </c>
    </row>
    <row r="7100" spans="1:1" x14ac:dyDescent="0.2">
      <c r="A7100" s="22">
        <v>0.38855695724487305</v>
      </c>
    </row>
    <row r="7101" spans="1:1" x14ac:dyDescent="0.2">
      <c r="A7101" s="22">
        <v>0.19173210859298706</v>
      </c>
    </row>
    <row r="7102" spans="1:1" x14ac:dyDescent="0.2">
      <c r="A7102" s="22">
        <v>0.79508507251739502</v>
      </c>
    </row>
    <row r="7103" spans="1:1" x14ac:dyDescent="0.2">
      <c r="A7103" s="22">
        <v>0.13389092683792114</v>
      </c>
    </row>
    <row r="7104" spans="1:1" x14ac:dyDescent="0.2">
      <c r="A7104" s="22">
        <v>0.10837912559509277</v>
      </c>
    </row>
    <row r="7105" spans="1:1" x14ac:dyDescent="0.2">
      <c r="A7105" s="22">
        <v>0.89969724416732788</v>
      </c>
    </row>
    <row r="7106" spans="1:1" x14ac:dyDescent="0.2">
      <c r="A7106" s="22">
        <v>0.31889474391937256</v>
      </c>
    </row>
    <row r="7107" spans="1:1" x14ac:dyDescent="0.2">
      <c r="A7107" s="22">
        <v>0.86934667825698853</v>
      </c>
    </row>
    <row r="7108" spans="1:1" x14ac:dyDescent="0.2">
      <c r="A7108" s="22">
        <v>0.23135757446289063</v>
      </c>
    </row>
    <row r="7109" spans="1:1" x14ac:dyDescent="0.2">
      <c r="A7109" s="22">
        <v>0.79272478818893433</v>
      </c>
    </row>
    <row r="7110" spans="1:1" x14ac:dyDescent="0.2">
      <c r="A7110" s="22">
        <v>0.10392343997955322</v>
      </c>
    </row>
    <row r="7111" spans="1:1" x14ac:dyDescent="0.2">
      <c r="A7111" s="22">
        <v>0.37192660570144653</v>
      </c>
    </row>
    <row r="7112" spans="1:1" x14ac:dyDescent="0.2">
      <c r="A7112" s="22">
        <v>0.4006197452545166</v>
      </c>
    </row>
    <row r="7113" spans="1:1" x14ac:dyDescent="0.2">
      <c r="A7113" s="22">
        <v>0.5039324164390564</v>
      </c>
    </row>
    <row r="7114" spans="1:1" x14ac:dyDescent="0.2">
      <c r="A7114" s="22">
        <v>0.56331813335418701</v>
      </c>
    </row>
    <row r="7115" spans="1:1" x14ac:dyDescent="0.2">
      <c r="A7115" s="22">
        <v>0.46468979120254517</v>
      </c>
    </row>
    <row r="7116" spans="1:1" x14ac:dyDescent="0.2">
      <c r="A7116" s="22">
        <v>0.9594883918762207</v>
      </c>
    </row>
    <row r="7117" spans="1:1" x14ac:dyDescent="0.2">
      <c r="A7117" s="22">
        <v>0.56585186719894409</v>
      </c>
    </row>
    <row r="7118" spans="1:1" x14ac:dyDescent="0.2">
      <c r="A7118" s="22">
        <v>0.41198360919952393</v>
      </c>
    </row>
    <row r="7119" spans="1:1" x14ac:dyDescent="0.2">
      <c r="A7119" s="22">
        <v>6.5421879291534424E-2</v>
      </c>
    </row>
    <row r="7120" spans="1:1" x14ac:dyDescent="0.2">
      <c r="A7120" s="22">
        <v>0.96710658073425293</v>
      </c>
    </row>
    <row r="7121" spans="1:1" x14ac:dyDescent="0.2">
      <c r="A7121" s="22">
        <v>0.36355394124984741</v>
      </c>
    </row>
    <row r="7122" spans="1:1" x14ac:dyDescent="0.2">
      <c r="A7122" s="22">
        <v>0.80720746517181396</v>
      </c>
    </row>
    <row r="7123" spans="1:1" x14ac:dyDescent="0.2">
      <c r="A7123" s="22">
        <v>0.76476007699966431</v>
      </c>
    </row>
    <row r="7124" spans="1:1" x14ac:dyDescent="0.2">
      <c r="A7124" s="22">
        <v>0.46406269073486328</v>
      </c>
    </row>
    <row r="7125" spans="1:1" x14ac:dyDescent="0.2">
      <c r="A7125" s="22">
        <v>0.33777350187301636</v>
      </c>
    </row>
    <row r="7126" spans="1:1" x14ac:dyDescent="0.2">
      <c r="A7126" s="22">
        <v>0.73928511142730713</v>
      </c>
    </row>
    <row r="7127" spans="1:1" x14ac:dyDescent="0.2">
      <c r="A7127" s="22">
        <v>0.65431815385818481</v>
      </c>
    </row>
    <row r="7128" spans="1:1" x14ac:dyDescent="0.2">
      <c r="A7128" s="22">
        <v>0.98801541328430176</v>
      </c>
    </row>
    <row r="7129" spans="1:1" x14ac:dyDescent="0.2">
      <c r="A7129" s="22">
        <v>0.43803447484970093</v>
      </c>
    </row>
    <row r="7130" spans="1:1" x14ac:dyDescent="0.2">
      <c r="A7130" s="22">
        <v>0.67214477062225342</v>
      </c>
    </row>
    <row r="7131" spans="1:1" x14ac:dyDescent="0.2">
      <c r="A7131" s="22">
        <v>0.40481144189834595</v>
      </c>
    </row>
    <row r="7132" spans="1:1" x14ac:dyDescent="0.2">
      <c r="A7132" s="22">
        <v>0.33931875228881836</v>
      </c>
    </row>
    <row r="7133" spans="1:1" x14ac:dyDescent="0.2">
      <c r="A7133" s="22">
        <v>0.82577484846115112</v>
      </c>
    </row>
    <row r="7134" spans="1:1" x14ac:dyDescent="0.2">
      <c r="A7134" s="22">
        <v>0.43397247791290283</v>
      </c>
    </row>
    <row r="7135" spans="1:1" x14ac:dyDescent="0.2">
      <c r="A7135" s="22">
        <v>0.59418183565139771</v>
      </c>
    </row>
    <row r="7136" spans="1:1" x14ac:dyDescent="0.2">
      <c r="A7136" s="22">
        <v>0.59664702415466309</v>
      </c>
    </row>
    <row r="7137" spans="1:1" x14ac:dyDescent="0.2">
      <c r="A7137" s="22">
        <v>0.82747167348861694</v>
      </c>
    </row>
    <row r="7138" spans="1:1" x14ac:dyDescent="0.2">
      <c r="A7138" s="22">
        <v>0.35783708095550537</v>
      </c>
    </row>
    <row r="7139" spans="1:1" x14ac:dyDescent="0.2">
      <c r="A7139" s="22">
        <v>0.28572279214859009</v>
      </c>
    </row>
    <row r="7140" spans="1:1" x14ac:dyDescent="0.2">
      <c r="A7140" s="22">
        <v>0.38261985778808594</v>
      </c>
    </row>
    <row r="7141" spans="1:1" x14ac:dyDescent="0.2">
      <c r="A7141" s="22">
        <v>0.13776606321334839</v>
      </c>
    </row>
    <row r="7142" spans="1:1" x14ac:dyDescent="0.2">
      <c r="A7142" s="22">
        <v>0.67231523990631104</v>
      </c>
    </row>
    <row r="7143" spans="1:1" x14ac:dyDescent="0.2">
      <c r="A7143" s="22">
        <v>0.8562043309211731</v>
      </c>
    </row>
    <row r="7144" spans="1:1" x14ac:dyDescent="0.2">
      <c r="A7144" s="22">
        <v>0.37942719459533691</v>
      </c>
    </row>
    <row r="7145" spans="1:1" x14ac:dyDescent="0.2">
      <c r="A7145" s="22">
        <v>0.27258819341659546</v>
      </c>
    </row>
    <row r="7146" spans="1:1" x14ac:dyDescent="0.2">
      <c r="A7146" s="22">
        <v>0.14211642742156982</v>
      </c>
    </row>
    <row r="7147" spans="1:1" x14ac:dyDescent="0.2">
      <c r="A7147" s="22">
        <v>7.3998034000396729E-2</v>
      </c>
    </row>
    <row r="7148" spans="1:1" x14ac:dyDescent="0.2">
      <c r="A7148" s="22">
        <v>9.4454288482666016E-2</v>
      </c>
    </row>
    <row r="7149" spans="1:1" x14ac:dyDescent="0.2">
      <c r="A7149" s="22">
        <v>0.27228230237960815</v>
      </c>
    </row>
    <row r="7150" spans="1:1" x14ac:dyDescent="0.2">
      <c r="A7150" s="22">
        <v>0.95870792865753174</v>
      </c>
    </row>
    <row r="7151" spans="1:1" x14ac:dyDescent="0.2">
      <c r="A7151" s="22">
        <v>0.42720204591751099</v>
      </c>
    </row>
    <row r="7152" spans="1:1" x14ac:dyDescent="0.2">
      <c r="A7152" s="22">
        <v>0.87590670585632324</v>
      </c>
    </row>
    <row r="7153" spans="1:1" x14ac:dyDescent="0.2">
      <c r="A7153" s="22">
        <v>0.65473169088363647</v>
      </c>
    </row>
    <row r="7154" spans="1:1" x14ac:dyDescent="0.2">
      <c r="A7154" s="22">
        <v>0.88093984127044678</v>
      </c>
    </row>
    <row r="7155" spans="1:1" x14ac:dyDescent="0.2">
      <c r="A7155" s="22">
        <v>0.70176607370376587</v>
      </c>
    </row>
    <row r="7156" spans="1:1" x14ac:dyDescent="0.2">
      <c r="A7156" s="22">
        <v>0.17843532562255859</v>
      </c>
    </row>
    <row r="7157" spans="1:1" x14ac:dyDescent="0.2">
      <c r="A7157" s="22">
        <v>0.61848372220993042</v>
      </c>
    </row>
    <row r="7158" spans="1:1" x14ac:dyDescent="0.2">
      <c r="A7158" s="22">
        <v>0.62567007541656494</v>
      </c>
    </row>
    <row r="7159" spans="1:1" x14ac:dyDescent="0.2">
      <c r="A7159" s="22">
        <v>0.80961638689041138</v>
      </c>
    </row>
    <row r="7160" spans="1:1" x14ac:dyDescent="0.2">
      <c r="A7160" s="22">
        <v>7.876133918762207E-2</v>
      </c>
    </row>
    <row r="7161" spans="1:1" x14ac:dyDescent="0.2">
      <c r="A7161" s="22">
        <v>0.49587482213973999</v>
      </c>
    </row>
    <row r="7162" spans="1:1" x14ac:dyDescent="0.2">
      <c r="A7162" s="22">
        <v>0.50838935375213623</v>
      </c>
    </row>
    <row r="7163" spans="1:1" x14ac:dyDescent="0.2">
      <c r="A7163" s="22">
        <v>0.86678081750869751</v>
      </c>
    </row>
    <row r="7164" spans="1:1" x14ac:dyDescent="0.2">
      <c r="A7164" s="22">
        <v>4.1301250457763672E-2</v>
      </c>
    </row>
    <row r="7165" spans="1:1" x14ac:dyDescent="0.2">
      <c r="A7165" s="22">
        <v>0.45615547895431519</v>
      </c>
    </row>
    <row r="7166" spans="1:1" x14ac:dyDescent="0.2">
      <c r="A7166" s="22">
        <v>0.33384621143341064</v>
      </c>
    </row>
    <row r="7167" spans="1:1" x14ac:dyDescent="0.2">
      <c r="A7167" s="22">
        <v>0.52151376008987427</v>
      </c>
    </row>
    <row r="7168" spans="1:1" x14ac:dyDescent="0.2">
      <c r="A7168" s="22">
        <v>0.9337918758392334</v>
      </c>
    </row>
    <row r="7169" spans="1:1" x14ac:dyDescent="0.2">
      <c r="A7169" s="22">
        <v>0.45861524343490601</v>
      </c>
    </row>
    <row r="7170" spans="1:1" x14ac:dyDescent="0.2">
      <c r="A7170" s="22">
        <v>0.53667199611663818</v>
      </c>
    </row>
    <row r="7171" spans="1:1" x14ac:dyDescent="0.2">
      <c r="A7171" s="22">
        <v>0.53242117166519165</v>
      </c>
    </row>
    <row r="7172" spans="1:1" x14ac:dyDescent="0.2">
      <c r="A7172" s="22">
        <v>0.29291534423828125</v>
      </c>
    </row>
    <row r="7173" spans="1:1" x14ac:dyDescent="0.2">
      <c r="A7173" s="22">
        <v>0.45570772886276245</v>
      </c>
    </row>
    <row r="7174" spans="1:1" x14ac:dyDescent="0.2">
      <c r="A7174" s="22">
        <v>0.57200586795806885</v>
      </c>
    </row>
    <row r="7175" spans="1:1" x14ac:dyDescent="0.2">
      <c r="A7175" s="22">
        <v>0.59658557176589966</v>
      </c>
    </row>
    <row r="7176" spans="1:1" x14ac:dyDescent="0.2">
      <c r="A7176" s="22">
        <v>0.83992409706115723</v>
      </c>
    </row>
    <row r="7177" spans="1:1" x14ac:dyDescent="0.2">
      <c r="A7177" s="22">
        <v>0.84617561101913452</v>
      </c>
    </row>
    <row r="7178" spans="1:1" x14ac:dyDescent="0.2">
      <c r="A7178" s="22">
        <v>0.55611979961395264</v>
      </c>
    </row>
    <row r="7179" spans="1:1" x14ac:dyDescent="0.2">
      <c r="A7179" s="22">
        <v>0.42769104242324829</v>
      </c>
    </row>
    <row r="7180" spans="1:1" x14ac:dyDescent="0.2">
      <c r="A7180" s="22">
        <v>0.24626588821411133</v>
      </c>
    </row>
    <row r="7181" spans="1:1" x14ac:dyDescent="0.2">
      <c r="A7181" s="22">
        <v>0.17817562818527222</v>
      </c>
    </row>
    <row r="7182" spans="1:1" x14ac:dyDescent="0.2">
      <c r="A7182" s="22">
        <v>0.15704357624053955</v>
      </c>
    </row>
    <row r="7183" spans="1:1" x14ac:dyDescent="0.2">
      <c r="A7183" s="22">
        <v>8.4148228168487549E-2</v>
      </c>
    </row>
    <row r="7184" spans="1:1" x14ac:dyDescent="0.2">
      <c r="A7184" s="22">
        <v>0.14920878410339355</v>
      </c>
    </row>
    <row r="7185" spans="1:1" x14ac:dyDescent="0.2">
      <c r="A7185" s="22">
        <v>0.10240358114242554</v>
      </c>
    </row>
    <row r="7186" spans="1:1" x14ac:dyDescent="0.2">
      <c r="A7186" s="22">
        <v>0.73518979549407959</v>
      </c>
    </row>
    <row r="7187" spans="1:1" x14ac:dyDescent="0.2">
      <c r="A7187" s="22">
        <v>0.54721933603286743</v>
      </c>
    </row>
    <row r="7188" spans="1:1" x14ac:dyDescent="0.2">
      <c r="A7188" s="22">
        <v>0.41746616363525391</v>
      </c>
    </row>
    <row r="7189" spans="1:1" x14ac:dyDescent="0.2">
      <c r="A7189" s="22">
        <v>0.57521933317184448</v>
      </c>
    </row>
    <row r="7190" spans="1:1" x14ac:dyDescent="0.2">
      <c r="A7190" s="22">
        <v>0.73397886753082275</v>
      </c>
    </row>
    <row r="7191" spans="1:1" x14ac:dyDescent="0.2">
      <c r="A7191" s="22">
        <v>0.54914313554763794</v>
      </c>
    </row>
    <row r="7192" spans="1:1" x14ac:dyDescent="0.2">
      <c r="A7192" s="22">
        <v>0.66682171821594238</v>
      </c>
    </row>
    <row r="7193" spans="1:1" x14ac:dyDescent="0.2">
      <c r="A7193" s="22">
        <v>0.31177181005477905</v>
      </c>
    </row>
    <row r="7194" spans="1:1" x14ac:dyDescent="0.2">
      <c r="A7194" s="22">
        <v>0.32046401500701904</v>
      </c>
    </row>
    <row r="7195" spans="1:1" x14ac:dyDescent="0.2">
      <c r="A7195" s="22">
        <v>0.65125995874404907</v>
      </c>
    </row>
    <row r="7196" spans="1:1" x14ac:dyDescent="0.2">
      <c r="A7196" s="22">
        <v>2.5754451751708984E-2</v>
      </c>
    </row>
    <row r="7197" spans="1:1" x14ac:dyDescent="0.2">
      <c r="A7197" s="22">
        <v>0.48912400007247925</v>
      </c>
    </row>
    <row r="7198" spans="1:1" x14ac:dyDescent="0.2">
      <c r="A7198" s="22">
        <v>0.27595627307891846</v>
      </c>
    </row>
    <row r="7199" spans="1:1" x14ac:dyDescent="0.2">
      <c r="A7199" s="22">
        <v>0.57213670015335083</v>
      </c>
    </row>
    <row r="7200" spans="1:1" x14ac:dyDescent="0.2">
      <c r="A7200" s="22">
        <v>0.15106368064880371</v>
      </c>
    </row>
    <row r="7201" spans="1:1" x14ac:dyDescent="0.2">
      <c r="A7201" s="22">
        <v>0.69937795400619507</v>
      </c>
    </row>
    <row r="7202" spans="1:1" x14ac:dyDescent="0.2">
      <c r="A7202" s="22">
        <v>0.136649489402771</v>
      </c>
    </row>
    <row r="7203" spans="1:1" x14ac:dyDescent="0.2">
      <c r="A7203" s="22">
        <v>0.76569181680679321</v>
      </c>
    </row>
    <row r="7204" spans="1:1" x14ac:dyDescent="0.2">
      <c r="A7204" s="22">
        <v>0.49349403381347656</v>
      </c>
    </row>
    <row r="7205" spans="1:1" x14ac:dyDescent="0.2">
      <c r="A7205" s="22">
        <v>0.15279978513717651</v>
      </c>
    </row>
    <row r="7206" spans="1:1" x14ac:dyDescent="0.2">
      <c r="A7206" s="22">
        <v>0.58424532413482666</v>
      </c>
    </row>
    <row r="7207" spans="1:1" x14ac:dyDescent="0.2">
      <c r="A7207" s="22">
        <v>0.24932032823562622</v>
      </c>
    </row>
    <row r="7208" spans="1:1" x14ac:dyDescent="0.2">
      <c r="A7208" s="22">
        <v>0.81336045265197754</v>
      </c>
    </row>
    <row r="7209" spans="1:1" x14ac:dyDescent="0.2">
      <c r="A7209" s="22">
        <v>0.13094466924667358</v>
      </c>
    </row>
    <row r="7210" spans="1:1" x14ac:dyDescent="0.2">
      <c r="A7210" s="22">
        <v>8.6578249931335449E-2</v>
      </c>
    </row>
    <row r="7211" spans="1:1" x14ac:dyDescent="0.2">
      <c r="A7211" s="22">
        <v>0.68201881647109985</v>
      </c>
    </row>
    <row r="7212" spans="1:1" x14ac:dyDescent="0.2">
      <c r="A7212" s="22">
        <v>0.94617319107055664</v>
      </c>
    </row>
    <row r="7213" spans="1:1" x14ac:dyDescent="0.2">
      <c r="A7213" s="22">
        <v>0.68978184461593628</v>
      </c>
    </row>
    <row r="7214" spans="1:1" x14ac:dyDescent="0.2">
      <c r="A7214" s="22">
        <v>0.78824055194854736</v>
      </c>
    </row>
    <row r="7215" spans="1:1" x14ac:dyDescent="0.2">
      <c r="A7215" s="22">
        <v>0.69251042604446411</v>
      </c>
    </row>
    <row r="7216" spans="1:1" x14ac:dyDescent="0.2">
      <c r="A7216" s="22">
        <v>0.81826281547546387</v>
      </c>
    </row>
    <row r="7217" spans="1:1" x14ac:dyDescent="0.2">
      <c r="A7217" s="22">
        <v>0.6128196120262146</v>
      </c>
    </row>
    <row r="7218" spans="1:1" x14ac:dyDescent="0.2">
      <c r="A7218" s="22">
        <v>0.6512073278427124</v>
      </c>
    </row>
    <row r="7219" spans="1:1" x14ac:dyDescent="0.2">
      <c r="A7219" s="22">
        <v>0.45736986398696899</v>
      </c>
    </row>
    <row r="7220" spans="1:1" x14ac:dyDescent="0.2">
      <c r="A7220" s="22">
        <v>0.71240520477294922</v>
      </c>
    </row>
    <row r="7221" spans="1:1" x14ac:dyDescent="0.2">
      <c r="A7221" s="22">
        <v>0.61423033475875854</v>
      </c>
    </row>
    <row r="7222" spans="1:1" x14ac:dyDescent="0.2">
      <c r="A7222" s="22">
        <v>0.84546148777008057</v>
      </c>
    </row>
    <row r="7223" spans="1:1" x14ac:dyDescent="0.2">
      <c r="A7223" s="22">
        <v>0.5291483998298645</v>
      </c>
    </row>
    <row r="7224" spans="1:1" x14ac:dyDescent="0.2">
      <c r="A7224" s="22">
        <v>0.7834465503692627</v>
      </c>
    </row>
    <row r="7225" spans="1:1" x14ac:dyDescent="0.2">
      <c r="A7225" s="22">
        <v>0.79197543859481812</v>
      </c>
    </row>
    <row r="7226" spans="1:1" x14ac:dyDescent="0.2">
      <c r="A7226" s="22">
        <v>0.38961875438690186</v>
      </c>
    </row>
    <row r="7227" spans="1:1" x14ac:dyDescent="0.2">
      <c r="A7227" s="22">
        <v>0.91449886560440063</v>
      </c>
    </row>
    <row r="7228" spans="1:1" x14ac:dyDescent="0.2">
      <c r="A7228" s="22">
        <v>0.8239283561706543</v>
      </c>
    </row>
    <row r="7229" spans="1:1" x14ac:dyDescent="0.2">
      <c r="A7229" s="22">
        <v>0.33093041181564331</v>
      </c>
    </row>
    <row r="7230" spans="1:1" x14ac:dyDescent="0.2">
      <c r="A7230" s="22">
        <v>4.155266284942627E-2</v>
      </c>
    </row>
    <row r="7231" spans="1:1" x14ac:dyDescent="0.2">
      <c r="A7231" s="22">
        <v>0.40230065584182739</v>
      </c>
    </row>
    <row r="7232" spans="1:1" x14ac:dyDescent="0.2">
      <c r="A7232" s="22">
        <v>0.27971243858337402</v>
      </c>
    </row>
    <row r="7233" spans="1:1" x14ac:dyDescent="0.2">
      <c r="A7233" s="22">
        <v>0.45600980520248413</v>
      </c>
    </row>
    <row r="7234" spans="1:1" x14ac:dyDescent="0.2">
      <c r="A7234" s="22">
        <v>0.43901956081390381</v>
      </c>
    </row>
    <row r="7235" spans="1:1" x14ac:dyDescent="0.2">
      <c r="A7235" s="22">
        <v>0.14178472757339478</v>
      </c>
    </row>
    <row r="7236" spans="1:1" x14ac:dyDescent="0.2">
      <c r="A7236" s="22">
        <v>0.51560592651367188</v>
      </c>
    </row>
    <row r="7237" spans="1:1" x14ac:dyDescent="0.2">
      <c r="A7237" s="22">
        <v>0.63529223203659058</v>
      </c>
    </row>
    <row r="7238" spans="1:1" x14ac:dyDescent="0.2">
      <c r="A7238" s="22">
        <v>0.49028360843658447</v>
      </c>
    </row>
    <row r="7239" spans="1:1" x14ac:dyDescent="0.2">
      <c r="A7239" s="22">
        <v>0.47065860033035278</v>
      </c>
    </row>
    <row r="7240" spans="1:1" x14ac:dyDescent="0.2">
      <c r="A7240" s="22">
        <v>0.33098626136779785</v>
      </c>
    </row>
    <row r="7241" spans="1:1" x14ac:dyDescent="0.2">
      <c r="A7241" s="22">
        <v>3.3145368099212646E-2</v>
      </c>
    </row>
    <row r="7242" spans="1:1" x14ac:dyDescent="0.2">
      <c r="A7242" s="22">
        <v>1.4741778373718262E-2</v>
      </c>
    </row>
    <row r="7243" spans="1:1" x14ac:dyDescent="0.2">
      <c r="A7243" s="22">
        <v>0.99323135614395142</v>
      </c>
    </row>
    <row r="7244" spans="1:1" x14ac:dyDescent="0.2">
      <c r="A7244" s="22">
        <v>0.72542619705200195</v>
      </c>
    </row>
    <row r="7245" spans="1:1" x14ac:dyDescent="0.2">
      <c r="A7245" s="22">
        <v>0.21335095167160034</v>
      </c>
    </row>
    <row r="7246" spans="1:1" x14ac:dyDescent="0.2">
      <c r="A7246" s="22">
        <v>0.63354885578155518</v>
      </c>
    </row>
    <row r="7247" spans="1:1" x14ac:dyDescent="0.2">
      <c r="A7247" s="22">
        <v>0.90853863954544067</v>
      </c>
    </row>
    <row r="7248" spans="1:1" x14ac:dyDescent="0.2">
      <c r="A7248" s="22">
        <v>0.91431879997253418</v>
      </c>
    </row>
    <row r="7249" spans="1:1" x14ac:dyDescent="0.2">
      <c r="A7249" s="22">
        <v>9.2229783535003662E-2</v>
      </c>
    </row>
    <row r="7250" spans="1:1" x14ac:dyDescent="0.2">
      <c r="A7250" s="22">
        <v>0.91024243831634521</v>
      </c>
    </row>
    <row r="7251" spans="1:1" x14ac:dyDescent="0.2">
      <c r="A7251" s="22">
        <v>0.58846765756607056</v>
      </c>
    </row>
    <row r="7252" spans="1:1" x14ac:dyDescent="0.2">
      <c r="A7252" s="22">
        <v>0.59450244903564453</v>
      </c>
    </row>
    <row r="7253" spans="1:1" x14ac:dyDescent="0.2">
      <c r="A7253" s="22">
        <v>0.14176672697067261</v>
      </c>
    </row>
    <row r="7254" spans="1:1" x14ac:dyDescent="0.2">
      <c r="A7254" s="22">
        <v>0.74136793613433838</v>
      </c>
    </row>
    <row r="7255" spans="1:1" x14ac:dyDescent="0.2">
      <c r="A7255" s="22">
        <v>0.40588217973709106</v>
      </c>
    </row>
    <row r="7256" spans="1:1" x14ac:dyDescent="0.2">
      <c r="A7256" s="22">
        <v>0.45988583564758301</v>
      </c>
    </row>
    <row r="7257" spans="1:1" x14ac:dyDescent="0.2">
      <c r="A7257" s="22">
        <v>0.84273570775985718</v>
      </c>
    </row>
    <row r="7258" spans="1:1" x14ac:dyDescent="0.2">
      <c r="A7258" s="22">
        <v>0.99710357189178467</v>
      </c>
    </row>
    <row r="7259" spans="1:1" x14ac:dyDescent="0.2">
      <c r="A7259" s="22">
        <v>0.8127475380897522</v>
      </c>
    </row>
    <row r="7260" spans="1:1" x14ac:dyDescent="0.2">
      <c r="A7260" s="22">
        <v>0.96707296371459961</v>
      </c>
    </row>
    <row r="7261" spans="1:1" x14ac:dyDescent="0.2">
      <c r="A7261" s="22">
        <v>0.38782471418380737</v>
      </c>
    </row>
    <row r="7262" spans="1:1" x14ac:dyDescent="0.2">
      <c r="A7262" s="22">
        <v>0.41188538074493408</v>
      </c>
    </row>
    <row r="7263" spans="1:1" x14ac:dyDescent="0.2">
      <c r="A7263" s="22">
        <v>0.66825562715530396</v>
      </c>
    </row>
    <row r="7264" spans="1:1" x14ac:dyDescent="0.2">
      <c r="A7264" s="22">
        <v>0.35098814964294434</v>
      </c>
    </row>
    <row r="7265" spans="1:1" x14ac:dyDescent="0.2">
      <c r="A7265" s="22">
        <v>0.63476079702377319</v>
      </c>
    </row>
    <row r="7266" spans="1:1" x14ac:dyDescent="0.2">
      <c r="A7266" s="22">
        <v>0.72503221035003662</v>
      </c>
    </row>
    <row r="7267" spans="1:1" x14ac:dyDescent="0.2">
      <c r="A7267" s="22">
        <v>0.81694990396499634</v>
      </c>
    </row>
    <row r="7268" spans="1:1" x14ac:dyDescent="0.2">
      <c r="A7268" s="22">
        <v>0.89050102233886719</v>
      </c>
    </row>
    <row r="7269" spans="1:1" x14ac:dyDescent="0.2">
      <c r="A7269" s="22">
        <v>0.30943506956100464</v>
      </c>
    </row>
    <row r="7270" spans="1:1" x14ac:dyDescent="0.2">
      <c r="A7270" s="22">
        <v>7.1370720863342285E-2</v>
      </c>
    </row>
    <row r="7271" spans="1:1" x14ac:dyDescent="0.2">
      <c r="A7271" s="22">
        <v>0.91685038805007935</v>
      </c>
    </row>
    <row r="7272" spans="1:1" x14ac:dyDescent="0.2">
      <c r="A7272" s="22">
        <v>0.42405152320861816</v>
      </c>
    </row>
    <row r="7273" spans="1:1" x14ac:dyDescent="0.2">
      <c r="A7273" s="22">
        <v>0.45902770757675171</v>
      </c>
    </row>
    <row r="7274" spans="1:1" x14ac:dyDescent="0.2">
      <c r="A7274" s="22">
        <v>0.62186038494110107</v>
      </c>
    </row>
    <row r="7275" spans="1:1" x14ac:dyDescent="0.2">
      <c r="A7275" s="22">
        <v>0.51757866144180298</v>
      </c>
    </row>
    <row r="7276" spans="1:1" x14ac:dyDescent="0.2">
      <c r="A7276" s="22">
        <v>0.11527490615844727</v>
      </c>
    </row>
    <row r="7277" spans="1:1" x14ac:dyDescent="0.2">
      <c r="A7277" s="22">
        <v>0.1551329493522644</v>
      </c>
    </row>
    <row r="7278" spans="1:1" x14ac:dyDescent="0.2">
      <c r="A7278" s="22">
        <v>0.47421848773956299</v>
      </c>
    </row>
    <row r="7279" spans="1:1" x14ac:dyDescent="0.2">
      <c r="A7279" s="22">
        <v>0.38848286867141724</v>
      </c>
    </row>
    <row r="7280" spans="1:1" x14ac:dyDescent="0.2">
      <c r="A7280" s="22">
        <v>0.46862673759460449</v>
      </c>
    </row>
    <row r="7281" spans="1:1" x14ac:dyDescent="0.2">
      <c r="A7281" s="22">
        <v>0.44688409566879272</v>
      </c>
    </row>
    <row r="7282" spans="1:1" x14ac:dyDescent="0.2">
      <c r="A7282" s="22">
        <v>0.79354512691497803</v>
      </c>
    </row>
    <row r="7283" spans="1:1" x14ac:dyDescent="0.2">
      <c r="A7283" s="22">
        <v>9.6762716770172119E-2</v>
      </c>
    </row>
    <row r="7284" spans="1:1" x14ac:dyDescent="0.2">
      <c r="A7284" s="22">
        <v>0.59500789642333984</v>
      </c>
    </row>
    <row r="7285" spans="1:1" x14ac:dyDescent="0.2">
      <c r="A7285" s="22">
        <v>0.56407850980758667</v>
      </c>
    </row>
    <row r="7286" spans="1:1" x14ac:dyDescent="0.2">
      <c r="A7286" s="22">
        <v>0.20294821262359619</v>
      </c>
    </row>
    <row r="7287" spans="1:1" x14ac:dyDescent="0.2">
      <c r="A7287" s="22">
        <v>0.83559447526931763</v>
      </c>
    </row>
    <row r="7288" spans="1:1" x14ac:dyDescent="0.2">
      <c r="A7288" s="22">
        <v>0.72738957405090332</v>
      </c>
    </row>
    <row r="7289" spans="1:1" x14ac:dyDescent="0.2">
      <c r="A7289" s="22">
        <v>0.37030261754989624</v>
      </c>
    </row>
    <row r="7290" spans="1:1" x14ac:dyDescent="0.2">
      <c r="A7290" s="22">
        <v>0.42416846752166748</v>
      </c>
    </row>
    <row r="7291" spans="1:1" x14ac:dyDescent="0.2">
      <c r="A7291" s="22">
        <v>0.50225597620010376</v>
      </c>
    </row>
    <row r="7292" spans="1:1" x14ac:dyDescent="0.2">
      <c r="A7292" s="22">
        <v>0.98643827438354492</v>
      </c>
    </row>
    <row r="7293" spans="1:1" x14ac:dyDescent="0.2">
      <c r="A7293" s="22">
        <v>6.6056907176971436E-2</v>
      </c>
    </row>
    <row r="7294" spans="1:1" x14ac:dyDescent="0.2">
      <c r="A7294" s="22">
        <v>0.16820442676544189</v>
      </c>
    </row>
    <row r="7295" spans="1:1" x14ac:dyDescent="0.2">
      <c r="A7295" s="22">
        <v>2.6251614093780518E-2</v>
      </c>
    </row>
    <row r="7296" spans="1:1" x14ac:dyDescent="0.2">
      <c r="A7296" s="22">
        <v>0.39614081382751465</v>
      </c>
    </row>
    <row r="7297" spans="1:1" x14ac:dyDescent="0.2">
      <c r="A7297" s="22">
        <v>0.14188092947006226</v>
      </c>
    </row>
    <row r="7298" spans="1:1" x14ac:dyDescent="0.2">
      <c r="A7298" s="22">
        <v>0.27593743801116943</v>
      </c>
    </row>
    <row r="7299" spans="1:1" x14ac:dyDescent="0.2">
      <c r="A7299" s="22">
        <v>0.9474373459815979</v>
      </c>
    </row>
    <row r="7300" spans="1:1" x14ac:dyDescent="0.2">
      <c r="A7300" s="22">
        <v>0.1494293212890625</v>
      </c>
    </row>
    <row r="7301" spans="1:1" x14ac:dyDescent="0.2">
      <c r="A7301" s="22">
        <v>0.5814782977104187</v>
      </c>
    </row>
    <row r="7302" spans="1:1" x14ac:dyDescent="0.2">
      <c r="A7302" s="22">
        <v>0.1087566614151001</v>
      </c>
    </row>
    <row r="7303" spans="1:1" x14ac:dyDescent="0.2">
      <c r="A7303" s="22">
        <v>0.24414569139480591</v>
      </c>
    </row>
    <row r="7304" spans="1:1" x14ac:dyDescent="0.2">
      <c r="A7304" s="22">
        <v>0.12380623817443848</v>
      </c>
    </row>
    <row r="7305" spans="1:1" x14ac:dyDescent="0.2">
      <c r="A7305" s="22">
        <v>0.31484168767929077</v>
      </c>
    </row>
    <row r="7306" spans="1:1" x14ac:dyDescent="0.2">
      <c r="A7306" s="22">
        <v>0.18918406963348389</v>
      </c>
    </row>
    <row r="7307" spans="1:1" x14ac:dyDescent="0.2">
      <c r="A7307" s="22">
        <v>0.41131073236465454</v>
      </c>
    </row>
    <row r="7308" spans="1:1" x14ac:dyDescent="0.2">
      <c r="A7308" s="22">
        <v>0.64696931838989258</v>
      </c>
    </row>
    <row r="7309" spans="1:1" x14ac:dyDescent="0.2">
      <c r="A7309" s="22">
        <v>0.92137783765792847</v>
      </c>
    </row>
    <row r="7310" spans="1:1" x14ac:dyDescent="0.2">
      <c r="A7310" s="22">
        <v>9.1499447822570801E-2</v>
      </c>
    </row>
    <row r="7311" spans="1:1" x14ac:dyDescent="0.2">
      <c r="A7311" s="22">
        <v>0.7885931134223938</v>
      </c>
    </row>
    <row r="7312" spans="1:1" x14ac:dyDescent="0.2">
      <c r="A7312" s="22">
        <v>0.5124366283416748</v>
      </c>
    </row>
    <row r="7313" spans="1:1" x14ac:dyDescent="0.2">
      <c r="A7313" s="22">
        <v>0.58303254842758179</v>
      </c>
    </row>
    <row r="7314" spans="1:1" x14ac:dyDescent="0.2">
      <c r="A7314" s="22">
        <v>0.58236539363861084</v>
      </c>
    </row>
    <row r="7315" spans="1:1" x14ac:dyDescent="0.2">
      <c r="A7315" s="22">
        <v>0.13850504159927368</v>
      </c>
    </row>
    <row r="7316" spans="1:1" x14ac:dyDescent="0.2">
      <c r="A7316" s="22">
        <v>0.24517154693603516</v>
      </c>
    </row>
    <row r="7317" spans="1:1" x14ac:dyDescent="0.2">
      <c r="A7317" s="22">
        <v>0.28741568326950073</v>
      </c>
    </row>
    <row r="7318" spans="1:1" x14ac:dyDescent="0.2">
      <c r="A7318" s="22">
        <v>1.1452317237854004E-2</v>
      </c>
    </row>
    <row r="7319" spans="1:1" x14ac:dyDescent="0.2">
      <c r="A7319" s="22">
        <v>0.47453528642654419</v>
      </c>
    </row>
    <row r="7320" spans="1:1" x14ac:dyDescent="0.2">
      <c r="A7320" s="22">
        <v>0.61720776557922363</v>
      </c>
    </row>
    <row r="7321" spans="1:1" x14ac:dyDescent="0.2">
      <c r="A7321" s="22">
        <v>0.2809261679649353</v>
      </c>
    </row>
    <row r="7322" spans="1:1" x14ac:dyDescent="0.2">
      <c r="A7322" s="22">
        <v>0.95206344127655029</v>
      </c>
    </row>
    <row r="7323" spans="1:1" x14ac:dyDescent="0.2">
      <c r="A7323" s="22">
        <v>0.13927417993545532</v>
      </c>
    </row>
    <row r="7324" spans="1:1" x14ac:dyDescent="0.2">
      <c r="A7324" s="22">
        <v>0.41327428817749023</v>
      </c>
    </row>
    <row r="7325" spans="1:1" x14ac:dyDescent="0.2">
      <c r="A7325" s="22">
        <v>0.7718769907951355</v>
      </c>
    </row>
    <row r="7326" spans="1:1" x14ac:dyDescent="0.2">
      <c r="A7326" s="22">
        <v>9.1759800910949707E-2</v>
      </c>
    </row>
    <row r="7327" spans="1:1" x14ac:dyDescent="0.2">
      <c r="A7327" s="22">
        <v>0.13253861665725708</v>
      </c>
    </row>
    <row r="7328" spans="1:1" x14ac:dyDescent="0.2">
      <c r="A7328" s="22">
        <v>0.44642043113708496</v>
      </c>
    </row>
    <row r="7329" spans="1:1" x14ac:dyDescent="0.2">
      <c r="A7329" s="22">
        <v>0.88362020254135132</v>
      </c>
    </row>
    <row r="7330" spans="1:1" x14ac:dyDescent="0.2">
      <c r="A7330" s="22">
        <v>0.37298524379730225</v>
      </c>
    </row>
    <row r="7331" spans="1:1" x14ac:dyDescent="0.2">
      <c r="A7331" s="22">
        <v>0.68949705362319946</v>
      </c>
    </row>
    <row r="7332" spans="1:1" x14ac:dyDescent="0.2">
      <c r="A7332" s="22">
        <v>0.82364082336425781</v>
      </c>
    </row>
    <row r="7333" spans="1:1" x14ac:dyDescent="0.2">
      <c r="A7333" s="22">
        <v>0.85767191648483276</v>
      </c>
    </row>
    <row r="7334" spans="1:1" x14ac:dyDescent="0.2">
      <c r="A7334" s="22">
        <v>0.38369143009185791</v>
      </c>
    </row>
    <row r="7335" spans="1:1" x14ac:dyDescent="0.2">
      <c r="A7335" s="22">
        <v>0.10879451036453247</v>
      </c>
    </row>
    <row r="7336" spans="1:1" x14ac:dyDescent="0.2">
      <c r="A7336" s="22">
        <v>0.46150040626525879</v>
      </c>
    </row>
    <row r="7337" spans="1:1" x14ac:dyDescent="0.2">
      <c r="A7337" s="22">
        <v>0.50683730840682983</v>
      </c>
    </row>
    <row r="7338" spans="1:1" x14ac:dyDescent="0.2">
      <c r="A7338" s="22">
        <v>0.9979628324508667</v>
      </c>
    </row>
    <row r="7339" spans="1:1" x14ac:dyDescent="0.2">
      <c r="A7339" s="22">
        <v>0.8306775689125061</v>
      </c>
    </row>
    <row r="7340" spans="1:1" x14ac:dyDescent="0.2">
      <c r="A7340" s="22">
        <v>0.85175943374633789</v>
      </c>
    </row>
    <row r="7341" spans="1:1" x14ac:dyDescent="0.2">
      <c r="A7341" s="22">
        <v>0.91833561658859253</v>
      </c>
    </row>
    <row r="7342" spans="1:1" x14ac:dyDescent="0.2">
      <c r="A7342" s="22">
        <v>0.26664173603057861</v>
      </c>
    </row>
    <row r="7343" spans="1:1" x14ac:dyDescent="0.2">
      <c r="A7343" s="22">
        <v>0.76511937379837036</v>
      </c>
    </row>
    <row r="7344" spans="1:1" x14ac:dyDescent="0.2">
      <c r="A7344" s="22">
        <v>7.6998472213745117E-2</v>
      </c>
    </row>
    <row r="7345" spans="1:1" x14ac:dyDescent="0.2">
      <c r="A7345" s="22">
        <v>0.40692514181137085</v>
      </c>
    </row>
    <row r="7346" spans="1:1" x14ac:dyDescent="0.2">
      <c r="A7346" s="22">
        <v>0.55795323848724365</v>
      </c>
    </row>
    <row r="7347" spans="1:1" x14ac:dyDescent="0.2">
      <c r="A7347" s="22">
        <v>0.86994463205337524</v>
      </c>
    </row>
    <row r="7348" spans="1:1" x14ac:dyDescent="0.2">
      <c r="A7348" s="22">
        <v>7.6243400573730469E-2</v>
      </c>
    </row>
    <row r="7349" spans="1:1" x14ac:dyDescent="0.2">
      <c r="A7349" s="22">
        <v>0.71802824735641479</v>
      </c>
    </row>
    <row r="7350" spans="1:1" x14ac:dyDescent="0.2">
      <c r="A7350" s="22">
        <v>0.94813024997711182</v>
      </c>
    </row>
    <row r="7351" spans="1:1" x14ac:dyDescent="0.2">
      <c r="A7351" s="22">
        <v>0.97895461320877075</v>
      </c>
    </row>
    <row r="7352" spans="1:1" x14ac:dyDescent="0.2">
      <c r="A7352" s="22">
        <v>0.16059041023254395</v>
      </c>
    </row>
    <row r="7353" spans="1:1" x14ac:dyDescent="0.2">
      <c r="A7353" s="22">
        <v>0.48085635900497437</v>
      </c>
    </row>
    <row r="7354" spans="1:1" x14ac:dyDescent="0.2">
      <c r="A7354" s="22">
        <v>0.86203849315643311</v>
      </c>
    </row>
    <row r="7355" spans="1:1" x14ac:dyDescent="0.2">
      <c r="A7355" s="22">
        <v>0.88005214929580688</v>
      </c>
    </row>
    <row r="7356" spans="1:1" x14ac:dyDescent="0.2">
      <c r="A7356" s="22">
        <v>0.77883100509643555</v>
      </c>
    </row>
    <row r="7357" spans="1:1" x14ac:dyDescent="0.2">
      <c r="A7357" s="22">
        <v>0.91153496503829956</v>
      </c>
    </row>
    <row r="7358" spans="1:1" x14ac:dyDescent="0.2">
      <c r="A7358" s="22">
        <v>0.96380150318145752</v>
      </c>
    </row>
    <row r="7359" spans="1:1" x14ac:dyDescent="0.2">
      <c r="A7359" s="22">
        <v>0.64336663484573364</v>
      </c>
    </row>
    <row r="7360" spans="1:1" x14ac:dyDescent="0.2">
      <c r="A7360" s="22">
        <v>0.53307700157165527</v>
      </c>
    </row>
    <row r="7361" spans="1:1" x14ac:dyDescent="0.2">
      <c r="A7361" s="22">
        <v>0.76622861623764038</v>
      </c>
    </row>
    <row r="7362" spans="1:1" x14ac:dyDescent="0.2">
      <c r="A7362" s="22">
        <v>0.29742562770843506</v>
      </c>
    </row>
    <row r="7363" spans="1:1" x14ac:dyDescent="0.2">
      <c r="A7363" s="22">
        <v>0.19937902688980103</v>
      </c>
    </row>
    <row r="7364" spans="1:1" x14ac:dyDescent="0.2">
      <c r="A7364" s="22">
        <v>0.44438552856445313</v>
      </c>
    </row>
    <row r="7365" spans="1:1" x14ac:dyDescent="0.2">
      <c r="A7365" s="22">
        <v>0.54426592588424683</v>
      </c>
    </row>
    <row r="7366" spans="1:1" x14ac:dyDescent="0.2">
      <c r="A7366" s="22">
        <v>0.67742502689361572</v>
      </c>
    </row>
    <row r="7367" spans="1:1" x14ac:dyDescent="0.2">
      <c r="A7367" s="22">
        <v>0.16704684495925903</v>
      </c>
    </row>
    <row r="7368" spans="1:1" x14ac:dyDescent="0.2">
      <c r="A7368" s="22">
        <v>0.4683840274810791</v>
      </c>
    </row>
    <row r="7369" spans="1:1" x14ac:dyDescent="0.2">
      <c r="A7369" s="22">
        <v>0.9412645697593689</v>
      </c>
    </row>
    <row r="7370" spans="1:1" x14ac:dyDescent="0.2">
      <c r="A7370" s="22">
        <v>0.32944667339324951</v>
      </c>
    </row>
    <row r="7371" spans="1:1" x14ac:dyDescent="0.2">
      <c r="A7371" s="22">
        <v>0.93192917108535767</v>
      </c>
    </row>
    <row r="7372" spans="1:1" x14ac:dyDescent="0.2">
      <c r="A7372" s="22">
        <v>0.2608952522277832</v>
      </c>
    </row>
    <row r="7373" spans="1:1" x14ac:dyDescent="0.2">
      <c r="A7373" s="22">
        <v>0.55225628614425659</v>
      </c>
    </row>
    <row r="7374" spans="1:1" x14ac:dyDescent="0.2">
      <c r="A7374" s="22">
        <v>0.78089535236358643</v>
      </c>
    </row>
    <row r="7375" spans="1:1" x14ac:dyDescent="0.2">
      <c r="A7375" s="22">
        <v>0.97431164979934692</v>
      </c>
    </row>
    <row r="7376" spans="1:1" x14ac:dyDescent="0.2">
      <c r="A7376" s="22">
        <v>0.19356226921081543</v>
      </c>
    </row>
    <row r="7377" spans="1:1" x14ac:dyDescent="0.2">
      <c r="A7377" s="22">
        <v>0.82481187582015991</v>
      </c>
    </row>
    <row r="7378" spans="1:1" x14ac:dyDescent="0.2">
      <c r="A7378" s="22">
        <v>1.5586614608764648E-3</v>
      </c>
    </row>
    <row r="7379" spans="1:1" x14ac:dyDescent="0.2">
      <c r="A7379" s="22">
        <v>0.44733148813247681</v>
      </c>
    </row>
    <row r="7380" spans="1:1" x14ac:dyDescent="0.2">
      <c r="A7380" s="22">
        <v>0.61947345733642578</v>
      </c>
    </row>
    <row r="7381" spans="1:1" x14ac:dyDescent="0.2">
      <c r="A7381" s="22">
        <v>0.26216620206832886</v>
      </c>
    </row>
    <row r="7382" spans="1:1" x14ac:dyDescent="0.2">
      <c r="A7382" s="22">
        <v>0.79423201084136963</v>
      </c>
    </row>
    <row r="7383" spans="1:1" x14ac:dyDescent="0.2">
      <c r="A7383" s="22">
        <v>5.1024556159973145E-3</v>
      </c>
    </row>
    <row r="7384" spans="1:1" x14ac:dyDescent="0.2">
      <c r="A7384" s="22">
        <v>0.38878750801086426</v>
      </c>
    </row>
    <row r="7385" spans="1:1" x14ac:dyDescent="0.2">
      <c r="A7385" s="22">
        <v>0.87634319067001343</v>
      </c>
    </row>
    <row r="7386" spans="1:1" x14ac:dyDescent="0.2">
      <c r="A7386" s="22">
        <v>0.43534362316131592</v>
      </c>
    </row>
    <row r="7387" spans="1:1" x14ac:dyDescent="0.2">
      <c r="A7387" s="22">
        <v>0.88083988428115845</v>
      </c>
    </row>
    <row r="7388" spans="1:1" x14ac:dyDescent="0.2">
      <c r="A7388" s="22">
        <v>0.61435842514038086</v>
      </c>
    </row>
    <row r="7389" spans="1:1" x14ac:dyDescent="0.2">
      <c r="A7389" s="22">
        <v>0.89128082990646362</v>
      </c>
    </row>
    <row r="7390" spans="1:1" x14ac:dyDescent="0.2">
      <c r="A7390" s="22">
        <v>0.56557953357696533</v>
      </c>
    </row>
    <row r="7391" spans="1:1" x14ac:dyDescent="0.2">
      <c r="A7391" s="22">
        <v>0.21498566865921021</v>
      </c>
    </row>
    <row r="7392" spans="1:1" x14ac:dyDescent="0.2">
      <c r="A7392" s="22">
        <v>0.68736052513122559</v>
      </c>
    </row>
    <row r="7393" spans="1:1" x14ac:dyDescent="0.2">
      <c r="A7393" s="22">
        <v>0.69595617055892944</v>
      </c>
    </row>
    <row r="7394" spans="1:1" x14ac:dyDescent="0.2">
      <c r="A7394" s="22">
        <v>0.33050858974456787</v>
      </c>
    </row>
    <row r="7395" spans="1:1" x14ac:dyDescent="0.2">
      <c r="A7395" s="22">
        <v>0.63333326578140259</v>
      </c>
    </row>
    <row r="7396" spans="1:1" x14ac:dyDescent="0.2">
      <c r="A7396" s="22">
        <v>0.54291343688964844</v>
      </c>
    </row>
    <row r="7397" spans="1:1" x14ac:dyDescent="0.2">
      <c r="A7397" s="22">
        <v>4.7510325908660889E-2</v>
      </c>
    </row>
    <row r="7398" spans="1:1" x14ac:dyDescent="0.2">
      <c r="A7398" s="22">
        <v>0.77120745182037354</v>
      </c>
    </row>
    <row r="7399" spans="1:1" x14ac:dyDescent="0.2">
      <c r="A7399" s="22">
        <v>7.5152695178985596E-2</v>
      </c>
    </row>
    <row r="7400" spans="1:1" x14ac:dyDescent="0.2">
      <c r="A7400" s="22">
        <v>0.17570710182189941</v>
      </c>
    </row>
    <row r="7401" spans="1:1" x14ac:dyDescent="0.2">
      <c r="A7401" s="22">
        <v>0.52437347173690796</v>
      </c>
    </row>
    <row r="7402" spans="1:1" x14ac:dyDescent="0.2">
      <c r="A7402" s="22">
        <v>0.46488559246063232</v>
      </c>
    </row>
    <row r="7403" spans="1:1" x14ac:dyDescent="0.2">
      <c r="A7403" s="22">
        <v>0.87131553888320923</v>
      </c>
    </row>
    <row r="7404" spans="1:1" x14ac:dyDescent="0.2">
      <c r="A7404" s="22">
        <v>0.40562677383422852</v>
      </c>
    </row>
    <row r="7405" spans="1:1" x14ac:dyDescent="0.2">
      <c r="A7405" s="22">
        <v>0.22938984632492065</v>
      </c>
    </row>
    <row r="7406" spans="1:1" x14ac:dyDescent="0.2">
      <c r="A7406" s="22">
        <v>0.41551029682159424</v>
      </c>
    </row>
    <row r="7407" spans="1:1" x14ac:dyDescent="0.2">
      <c r="A7407" s="22">
        <v>7.2419941425323486E-2</v>
      </c>
    </row>
    <row r="7408" spans="1:1" x14ac:dyDescent="0.2">
      <c r="A7408" s="22">
        <v>0.89337801933288574</v>
      </c>
    </row>
    <row r="7409" spans="1:1" x14ac:dyDescent="0.2">
      <c r="A7409" s="22">
        <v>0.74294275045394897</v>
      </c>
    </row>
    <row r="7410" spans="1:1" x14ac:dyDescent="0.2">
      <c r="A7410" s="22">
        <v>0.19443166255950928</v>
      </c>
    </row>
    <row r="7411" spans="1:1" x14ac:dyDescent="0.2">
      <c r="A7411" s="22">
        <v>2.6915609836578369E-2</v>
      </c>
    </row>
    <row r="7412" spans="1:1" x14ac:dyDescent="0.2">
      <c r="A7412" s="22">
        <v>0.40611171722412109</v>
      </c>
    </row>
    <row r="7413" spans="1:1" x14ac:dyDescent="0.2">
      <c r="A7413" s="22">
        <v>0.32607954740524292</v>
      </c>
    </row>
    <row r="7414" spans="1:1" x14ac:dyDescent="0.2">
      <c r="A7414" s="22">
        <v>0.33100759983062744</v>
      </c>
    </row>
    <row r="7415" spans="1:1" x14ac:dyDescent="0.2">
      <c r="A7415" s="22">
        <v>0.20922881364822388</v>
      </c>
    </row>
    <row r="7416" spans="1:1" x14ac:dyDescent="0.2">
      <c r="A7416" s="22">
        <v>0.33304905891418457</v>
      </c>
    </row>
    <row r="7417" spans="1:1" x14ac:dyDescent="0.2">
      <c r="A7417" s="22">
        <v>0.37363666296005249</v>
      </c>
    </row>
    <row r="7418" spans="1:1" x14ac:dyDescent="0.2">
      <c r="A7418" s="22">
        <v>0.95322883129119873</v>
      </c>
    </row>
    <row r="7419" spans="1:1" x14ac:dyDescent="0.2">
      <c r="A7419" s="22">
        <v>0.29788738489151001</v>
      </c>
    </row>
    <row r="7420" spans="1:1" x14ac:dyDescent="0.2">
      <c r="A7420" s="22">
        <v>0.45110654830932617</v>
      </c>
    </row>
    <row r="7421" spans="1:1" x14ac:dyDescent="0.2">
      <c r="A7421" s="22">
        <v>0.11736458539962769</v>
      </c>
    </row>
    <row r="7422" spans="1:1" x14ac:dyDescent="0.2">
      <c r="A7422" s="22">
        <v>0.67834389209747314</v>
      </c>
    </row>
    <row r="7423" spans="1:1" x14ac:dyDescent="0.2">
      <c r="A7423" s="22">
        <v>0.50364571809768677</v>
      </c>
    </row>
    <row r="7424" spans="1:1" x14ac:dyDescent="0.2">
      <c r="A7424" s="22">
        <v>0.9405210018157959</v>
      </c>
    </row>
    <row r="7425" spans="1:1" x14ac:dyDescent="0.2">
      <c r="A7425" s="22">
        <v>0.57905286550521851</v>
      </c>
    </row>
    <row r="7426" spans="1:1" x14ac:dyDescent="0.2">
      <c r="A7426" s="22">
        <v>0.75348412990570068</v>
      </c>
    </row>
    <row r="7427" spans="1:1" x14ac:dyDescent="0.2">
      <c r="A7427" s="22">
        <v>0.14760977029800415</v>
      </c>
    </row>
    <row r="7428" spans="1:1" x14ac:dyDescent="0.2">
      <c r="A7428" s="22">
        <v>0.65047454833984375</v>
      </c>
    </row>
    <row r="7429" spans="1:1" x14ac:dyDescent="0.2">
      <c r="A7429" s="22">
        <v>0.77365511655807495</v>
      </c>
    </row>
    <row r="7430" spans="1:1" x14ac:dyDescent="0.2">
      <c r="A7430" s="22">
        <v>0.44628870487213135</v>
      </c>
    </row>
    <row r="7431" spans="1:1" x14ac:dyDescent="0.2">
      <c r="A7431" s="22">
        <v>0.48936206102371216</v>
      </c>
    </row>
    <row r="7432" spans="1:1" x14ac:dyDescent="0.2">
      <c r="A7432" s="22">
        <v>0.61471962928771973</v>
      </c>
    </row>
    <row r="7433" spans="1:1" x14ac:dyDescent="0.2">
      <c r="A7433" s="22">
        <v>0.16241401433944702</v>
      </c>
    </row>
    <row r="7434" spans="1:1" x14ac:dyDescent="0.2">
      <c r="A7434" s="22">
        <v>0.68552958965301514</v>
      </c>
    </row>
    <row r="7435" spans="1:1" x14ac:dyDescent="0.2">
      <c r="A7435" s="22">
        <v>0.80508667230606079</v>
      </c>
    </row>
    <row r="7436" spans="1:1" x14ac:dyDescent="0.2">
      <c r="A7436" s="22">
        <v>0.81720399856567383</v>
      </c>
    </row>
    <row r="7437" spans="1:1" x14ac:dyDescent="0.2">
      <c r="A7437" s="22">
        <v>0.35598629713058472</v>
      </c>
    </row>
    <row r="7438" spans="1:1" x14ac:dyDescent="0.2">
      <c r="A7438" s="22">
        <v>0.95173656940460205</v>
      </c>
    </row>
    <row r="7439" spans="1:1" x14ac:dyDescent="0.2">
      <c r="A7439" s="22">
        <v>0.71569424867630005</v>
      </c>
    </row>
    <row r="7440" spans="1:1" x14ac:dyDescent="0.2">
      <c r="A7440" s="22">
        <v>0.20769572257995605</v>
      </c>
    </row>
    <row r="7441" spans="1:1" x14ac:dyDescent="0.2">
      <c r="A7441" s="22">
        <v>6.7567765712738037E-2</v>
      </c>
    </row>
    <row r="7442" spans="1:1" x14ac:dyDescent="0.2">
      <c r="A7442" s="22">
        <v>0.41782224178314209</v>
      </c>
    </row>
    <row r="7443" spans="1:1" x14ac:dyDescent="0.2">
      <c r="A7443" s="22">
        <v>0.76494699716567993</v>
      </c>
    </row>
    <row r="7444" spans="1:1" x14ac:dyDescent="0.2">
      <c r="A7444" s="22">
        <v>0.96740818023681641</v>
      </c>
    </row>
    <row r="7445" spans="1:1" x14ac:dyDescent="0.2">
      <c r="A7445" s="22">
        <v>0.31601828336715698</v>
      </c>
    </row>
    <row r="7446" spans="1:1" x14ac:dyDescent="0.2">
      <c r="A7446" s="22">
        <v>0.33970701694488525</v>
      </c>
    </row>
    <row r="7447" spans="1:1" x14ac:dyDescent="0.2">
      <c r="A7447" s="22">
        <v>0.24758368730545044</v>
      </c>
    </row>
    <row r="7448" spans="1:1" x14ac:dyDescent="0.2">
      <c r="A7448" s="22">
        <v>2.4625062942504883E-2</v>
      </c>
    </row>
    <row r="7449" spans="1:1" x14ac:dyDescent="0.2">
      <c r="A7449" s="22">
        <v>0.87898677587509155</v>
      </c>
    </row>
    <row r="7450" spans="1:1" x14ac:dyDescent="0.2">
      <c r="A7450" s="22">
        <v>0.69694411754608154</v>
      </c>
    </row>
    <row r="7451" spans="1:1" x14ac:dyDescent="0.2">
      <c r="A7451" s="22">
        <v>0.28744465112686157</v>
      </c>
    </row>
    <row r="7452" spans="1:1" x14ac:dyDescent="0.2">
      <c r="A7452" s="22">
        <v>0.82032537460327148</v>
      </c>
    </row>
    <row r="7453" spans="1:1" x14ac:dyDescent="0.2">
      <c r="A7453" s="22">
        <v>0.99603623151779175</v>
      </c>
    </row>
    <row r="7454" spans="1:1" x14ac:dyDescent="0.2">
      <c r="A7454" s="22">
        <v>8.3344578742980957E-2</v>
      </c>
    </row>
    <row r="7455" spans="1:1" x14ac:dyDescent="0.2">
      <c r="A7455" s="22">
        <v>0.16559678316116333</v>
      </c>
    </row>
    <row r="7456" spans="1:1" x14ac:dyDescent="0.2">
      <c r="A7456" s="22">
        <v>0.32380843162536621</v>
      </c>
    </row>
    <row r="7457" spans="1:1" x14ac:dyDescent="0.2">
      <c r="A7457" s="22">
        <v>0.32176870107650757</v>
      </c>
    </row>
    <row r="7458" spans="1:1" x14ac:dyDescent="0.2">
      <c r="A7458" s="22">
        <v>0.8476022481918335</v>
      </c>
    </row>
    <row r="7459" spans="1:1" x14ac:dyDescent="0.2">
      <c r="A7459" s="22">
        <v>0.89845854043960571</v>
      </c>
    </row>
    <row r="7460" spans="1:1" x14ac:dyDescent="0.2">
      <c r="A7460" s="22">
        <v>0.29831886291503906</v>
      </c>
    </row>
    <row r="7461" spans="1:1" x14ac:dyDescent="0.2">
      <c r="A7461" s="22">
        <v>0.12895029783248901</v>
      </c>
    </row>
    <row r="7462" spans="1:1" x14ac:dyDescent="0.2">
      <c r="A7462" s="22">
        <v>0.48391878604888916</v>
      </c>
    </row>
    <row r="7463" spans="1:1" x14ac:dyDescent="0.2">
      <c r="A7463" s="22">
        <v>6.5924942493438721E-2</v>
      </c>
    </row>
    <row r="7464" spans="1:1" x14ac:dyDescent="0.2">
      <c r="A7464" s="22">
        <v>0.81667160987854004</v>
      </c>
    </row>
    <row r="7465" spans="1:1" x14ac:dyDescent="0.2">
      <c r="A7465" s="22">
        <v>0.76163619756698608</v>
      </c>
    </row>
    <row r="7466" spans="1:1" x14ac:dyDescent="0.2">
      <c r="A7466" s="22">
        <v>0.27262866497039795</v>
      </c>
    </row>
    <row r="7467" spans="1:1" x14ac:dyDescent="0.2">
      <c r="A7467" s="22">
        <v>0.88949257135391235</v>
      </c>
    </row>
    <row r="7468" spans="1:1" x14ac:dyDescent="0.2">
      <c r="A7468" s="22">
        <v>2.6876926422119141E-2</v>
      </c>
    </row>
    <row r="7469" spans="1:1" x14ac:dyDescent="0.2">
      <c r="A7469" s="22">
        <v>0.33829563856124878</v>
      </c>
    </row>
    <row r="7470" spans="1:1" x14ac:dyDescent="0.2">
      <c r="A7470" s="22">
        <v>0.17082417011260986</v>
      </c>
    </row>
    <row r="7471" spans="1:1" x14ac:dyDescent="0.2">
      <c r="A7471" s="22">
        <v>0.56038457155227661</v>
      </c>
    </row>
    <row r="7472" spans="1:1" x14ac:dyDescent="0.2">
      <c r="A7472" s="22">
        <v>0.16776537895202637</v>
      </c>
    </row>
    <row r="7473" spans="1:1" x14ac:dyDescent="0.2">
      <c r="A7473" s="22">
        <v>0.7049369215965271</v>
      </c>
    </row>
    <row r="7474" spans="1:1" x14ac:dyDescent="0.2">
      <c r="A7474" s="22">
        <v>0.9529803991317749</v>
      </c>
    </row>
    <row r="7475" spans="1:1" x14ac:dyDescent="0.2">
      <c r="A7475" s="22">
        <v>0.81767565011978149</v>
      </c>
    </row>
    <row r="7476" spans="1:1" x14ac:dyDescent="0.2">
      <c r="A7476" s="22">
        <v>0.83461284637451172</v>
      </c>
    </row>
    <row r="7477" spans="1:1" x14ac:dyDescent="0.2">
      <c r="A7477" s="22">
        <v>0.63823240995407104</v>
      </c>
    </row>
    <row r="7478" spans="1:1" x14ac:dyDescent="0.2">
      <c r="A7478" s="22">
        <v>0.60158026218414307</v>
      </c>
    </row>
    <row r="7479" spans="1:1" x14ac:dyDescent="0.2">
      <c r="A7479" s="22">
        <v>0.776417076587677</v>
      </c>
    </row>
    <row r="7480" spans="1:1" x14ac:dyDescent="0.2">
      <c r="A7480" s="22">
        <v>0.4947655200958252</v>
      </c>
    </row>
    <row r="7481" spans="1:1" x14ac:dyDescent="0.2">
      <c r="A7481" s="22">
        <v>0.29864352941513062</v>
      </c>
    </row>
    <row r="7482" spans="1:1" x14ac:dyDescent="0.2">
      <c r="A7482" s="22">
        <v>0.94773948192596436</v>
      </c>
    </row>
    <row r="7483" spans="1:1" x14ac:dyDescent="0.2">
      <c r="A7483" s="22">
        <v>5.7616829872131348E-3</v>
      </c>
    </row>
    <row r="7484" spans="1:1" x14ac:dyDescent="0.2">
      <c r="A7484" s="22">
        <v>0.2532649040222168</v>
      </c>
    </row>
    <row r="7485" spans="1:1" x14ac:dyDescent="0.2">
      <c r="A7485" s="22">
        <v>0.93354576826095581</v>
      </c>
    </row>
    <row r="7486" spans="1:1" x14ac:dyDescent="0.2">
      <c r="A7486" s="22">
        <v>0.56183159351348877</v>
      </c>
    </row>
    <row r="7487" spans="1:1" x14ac:dyDescent="0.2">
      <c r="A7487" s="22">
        <v>0.85708886384963989</v>
      </c>
    </row>
    <row r="7488" spans="1:1" x14ac:dyDescent="0.2">
      <c r="A7488" s="22">
        <v>0.86847281455993652</v>
      </c>
    </row>
    <row r="7489" spans="1:1" x14ac:dyDescent="0.2">
      <c r="A7489" s="22">
        <v>0.83035367727279663</v>
      </c>
    </row>
    <row r="7490" spans="1:1" x14ac:dyDescent="0.2">
      <c r="A7490" s="22">
        <v>0.89411294460296631</v>
      </c>
    </row>
    <row r="7491" spans="1:1" x14ac:dyDescent="0.2">
      <c r="A7491" s="22">
        <v>4.2129576206207275E-2</v>
      </c>
    </row>
    <row r="7492" spans="1:1" x14ac:dyDescent="0.2">
      <c r="A7492" s="22">
        <v>1.7696380615234375E-2</v>
      </c>
    </row>
    <row r="7493" spans="1:1" x14ac:dyDescent="0.2">
      <c r="A7493" s="22">
        <v>0.51964586973190308</v>
      </c>
    </row>
    <row r="7494" spans="1:1" x14ac:dyDescent="0.2">
      <c r="A7494" s="22">
        <v>0.66534769535064697</v>
      </c>
    </row>
    <row r="7495" spans="1:1" x14ac:dyDescent="0.2">
      <c r="A7495" s="22">
        <v>0.46109133958816528</v>
      </c>
    </row>
    <row r="7496" spans="1:1" x14ac:dyDescent="0.2">
      <c r="A7496" s="22">
        <v>0.81281304359436035</v>
      </c>
    </row>
    <row r="7497" spans="1:1" x14ac:dyDescent="0.2">
      <c r="A7497" s="22">
        <v>0.22829002141952515</v>
      </c>
    </row>
    <row r="7498" spans="1:1" x14ac:dyDescent="0.2">
      <c r="A7498" s="22">
        <v>0.50743281841278076</v>
      </c>
    </row>
    <row r="7499" spans="1:1" x14ac:dyDescent="0.2">
      <c r="A7499" s="22">
        <v>0.28078323602676392</v>
      </c>
    </row>
    <row r="7500" spans="1:1" x14ac:dyDescent="0.2">
      <c r="A7500" s="22">
        <v>0.56589555740356445</v>
      </c>
    </row>
    <row r="7501" spans="1:1" x14ac:dyDescent="0.2">
      <c r="A7501" s="22">
        <v>0.58256787061691284</v>
      </c>
    </row>
    <row r="7502" spans="1:1" x14ac:dyDescent="0.2">
      <c r="A7502" s="22">
        <v>0.85402309894561768</v>
      </c>
    </row>
    <row r="7503" spans="1:1" x14ac:dyDescent="0.2">
      <c r="A7503" s="22">
        <v>0.26274091005325317</v>
      </c>
    </row>
    <row r="7504" spans="1:1" x14ac:dyDescent="0.2">
      <c r="A7504" s="22">
        <v>0.80483698844909668</v>
      </c>
    </row>
    <row r="7505" spans="1:1" x14ac:dyDescent="0.2">
      <c r="A7505" s="22">
        <v>0.56130021810531616</v>
      </c>
    </row>
    <row r="7506" spans="1:1" x14ac:dyDescent="0.2">
      <c r="A7506" s="22">
        <v>8.1156134605407715E-2</v>
      </c>
    </row>
    <row r="7507" spans="1:1" x14ac:dyDescent="0.2">
      <c r="A7507" s="22">
        <v>0.34135156869888306</v>
      </c>
    </row>
    <row r="7508" spans="1:1" x14ac:dyDescent="0.2">
      <c r="A7508" s="22">
        <v>0.53897571563720703</v>
      </c>
    </row>
    <row r="7509" spans="1:1" x14ac:dyDescent="0.2">
      <c r="A7509" s="22">
        <v>0.69897192716598511</v>
      </c>
    </row>
    <row r="7510" spans="1:1" x14ac:dyDescent="0.2">
      <c r="A7510" s="22">
        <v>0.89787733554840088</v>
      </c>
    </row>
    <row r="7511" spans="1:1" x14ac:dyDescent="0.2">
      <c r="A7511" s="22">
        <v>0.45197898149490356</v>
      </c>
    </row>
    <row r="7512" spans="1:1" x14ac:dyDescent="0.2">
      <c r="A7512" s="22">
        <v>0.77472043037414551</v>
      </c>
    </row>
    <row r="7513" spans="1:1" x14ac:dyDescent="0.2">
      <c r="A7513" s="22">
        <v>0.53885692358016968</v>
      </c>
    </row>
    <row r="7514" spans="1:1" x14ac:dyDescent="0.2">
      <c r="A7514" s="22">
        <v>0.98686492443084717</v>
      </c>
    </row>
    <row r="7515" spans="1:1" x14ac:dyDescent="0.2">
      <c r="A7515" s="22">
        <v>0.6090884804725647</v>
      </c>
    </row>
    <row r="7516" spans="1:1" x14ac:dyDescent="0.2">
      <c r="A7516" s="22">
        <v>0.28117513656616211</v>
      </c>
    </row>
    <row r="7517" spans="1:1" x14ac:dyDescent="0.2">
      <c r="A7517" s="22">
        <v>0.33614319562911987</v>
      </c>
    </row>
    <row r="7518" spans="1:1" x14ac:dyDescent="0.2">
      <c r="A7518" s="22">
        <v>0.89505493640899658</v>
      </c>
    </row>
    <row r="7519" spans="1:1" x14ac:dyDescent="0.2">
      <c r="A7519" s="22">
        <v>0.23437196016311646</v>
      </c>
    </row>
    <row r="7520" spans="1:1" x14ac:dyDescent="0.2">
      <c r="A7520" s="22">
        <v>0.60576415061950684</v>
      </c>
    </row>
    <row r="7521" spans="1:1" x14ac:dyDescent="0.2">
      <c r="A7521" s="22">
        <v>1.1057794094085693E-2</v>
      </c>
    </row>
    <row r="7522" spans="1:1" x14ac:dyDescent="0.2">
      <c r="A7522" s="22">
        <v>0.17426621913909912</v>
      </c>
    </row>
    <row r="7523" spans="1:1" x14ac:dyDescent="0.2">
      <c r="A7523" s="22">
        <v>0.73487287759780884</v>
      </c>
    </row>
    <row r="7524" spans="1:1" x14ac:dyDescent="0.2">
      <c r="A7524" s="22">
        <v>0.33985710144042969</v>
      </c>
    </row>
    <row r="7525" spans="1:1" x14ac:dyDescent="0.2">
      <c r="A7525" s="22">
        <v>0.35199183225631714</v>
      </c>
    </row>
    <row r="7526" spans="1:1" x14ac:dyDescent="0.2">
      <c r="A7526" s="22">
        <v>0.77182543277740479</v>
      </c>
    </row>
    <row r="7527" spans="1:1" x14ac:dyDescent="0.2">
      <c r="A7527" s="22">
        <v>0.33111125230789185</v>
      </c>
    </row>
    <row r="7528" spans="1:1" x14ac:dyDescent="0.2">
      <c r="A7528" s="22">
        <v>0.63439393043518066</v>
      </c>
    </row>
    <row r="7529" spans="1:1" x14ac:dyDescent="0.2">
      <c r="A7529" s="22">
        <v>0.46862548589706421</v>
      </c>
    </row>
    <row r="7530" spans="1:1" x14ac:dyDescent="0.2">
      <c r="A7530" s="22">
        <v>0.67119204998016357</v>
      </c>
    </row>
    <row r="7531" spans="1:1" x14ac:dyDescent="0.2">
      <c r="A7531" s="22">
        <v>0.13520866632461548</v>
      </c>
    </row>
    <row r="7532" spans="1:1" x14ac:dyDescent="0.2">
      <c r="A7532" s="22">
        <v>0.96550989151000977</v>
      </c>
    </row>
    <row r="7533" spans="1:1" x14ac:dyDescent="0.2">
      <c r="A7533" s="22">
        <v>0.4950529932975769</v>
      </c>
    </row>
    <row r="7534" spans="1:1" x14ac:dyDescent="0.2">
      <c r="A7534" s="22">
        <v>0.78258335590362549</v>
      </c>
    </row>
    <row r="7535" spans="1:1" x14ac:dyDescent="0.2">
      <c r="A7535" s="22">
        <v>0.47901326417922974</v>
      </c>
    </row>
    <row r="7536" spans="1:1" x14ac:dyDescent="0.2">
      <c r="A7536" s="22">
        <v>0.15016055107116699</v>
      </c>
    </row>
    <row r="7537" spans="1:1" x14ac:dyDescent="0.2">
      <c r="A7537" s="22">
        <v>0.54290765523910522</v>
      </c>
    </row>
    <row r="7538" spans="1:1" x14ac:dyDescent="0.2">
      <c r="A7538" s="22">
        <v>8.3599448204040527E-2</v>
      </c>
    </row>
    <row r="7539" spans="1:1" x14ac:dyDescent="0.2">
      <c r="A7539" s="22">
        <v>0.49222475290298462</v>
      </c>
    </row>
    <row r="7540" spans="1:1" x14ac:dyDescent="0.2">
      <c r="A7540" s="22">
        <v>0.61174678802490234</v>
      </c>
    </row>
    <row r="7541" spans="1:1" x14ac:dyDescent="0.2">
      <c r="A7541" s="22">
        <v>0.90448683500289917</v>
      </c>
    </row>
    <row r="7542" spans="1:1" x14ac:dyDescent="0.2">
      <c r="A7542" s="22">
        <v>9.8482370376586914E-3</v>
      </c>
    </row>
    <row r="7543" spans="1:1" x14ac:dyDescent="0.2">
      <c r="A7543" s="22">
        <v>0.93051940202713013</v>
      </c>
    </row>
    <row r="7544" spans="1:1" x14ac:dyDescent="0.2">
      <c r="A7544" s="22">
        <v>0.89573979377746582</v>
      </c>
    </row>
    <row r="7545" spans="1:1" x14ac:dyDescent="0.2">
      <c r="A7545" s="22">
        <v>0.50587695837020874</v>
      </c>
    </row>
    <row r="7546" spans="1:1" x14ac:dyDescent="0.2">
      <c r="A7546" s="22">
        <v>9.557044506072998E-2</v>
      </c>
    </row>
    <row r="7547" spans="1:1" x14ac:dyDescent="0.2">
      <c r="A7547" s="22">
        <v>0.25367504358291626</v>
      </c>
    </row>
    <row r="7548" spans="1:1" x14ac:dyDescent="0.2">
      <c r="A7548" s="22">
        <v>0.43530607223510742</v>
      </c>
    </row>
    <row r="7549" spans="1:1" x14ac:dyDescent="0.2">
      <c r="A7549" s="22">
        <v>0.61007851362228394</v>
      </c>
    </row>
    <row r="7550" spans="1:1" x14ac:dyDescent="0.2">
      <c r="A7550" s="22">
        <v>0.86426460742950439</v>
      </c>
    </row>
    <row r="7551" spans="1:1" x14ac:dyDescent="0.2">
      <c r="A7551" s="22">
        <v>0.95369607210159302</v>
      </c>
    </row>
    <row r="7552" spans="1:1" x14ac:dyDescent="0.2">
      <c r="A7552" s="22">
        <v>0.56693243980407715</v>
      </c>
    </row>
    <row r="7553" spans="1:1" x14ac:dyDescent="0.2">
      <c r="A7553" s="22">
        <v>0.77013105154037476</v>
      </c>
    </row>
    <row r="7554" spans="1:1" x14ac:dyDescent="0.2">
      <c r="A7554" s="22">
        <v>0.96931207180023193</v>
      </c>
    </row>
    <row r="7555" spans="1:1" x14ac:dyDescent="0.2">
      <c r="A7555" s="22">
        <v>0.1329384446144104</v>
      </c>
    </row>
    <row r="7556" spans="1:1" x14ac:dyDescent="0.2">
      <c r="A7556" s="22">
        <v>0.796051025390625</v>
      </c>
    </row>
    <row r="7557" spans="1:1" x14ac:dyDescent="0.2">
      <c r="A7557" s="22">
        <v>3.2238185405731201E-2</v>
      </c>
    </row>
    <row r="7558" spans="1:1" x14ac:dyDescent="0.2">
      <c r="A7558" s="22">
        <v>0.5846019983291626</v>
      </c>
    </row>
    <row r="7559" spans="1:1" x14ac:dyDescent="0.2">
      <c r="A7559" s="22">
        <v>0.33223468065261841</v>
      </c>
    </row>
    <row r="7560" spans="1:1" x14ac:dyDescent="0.2">
      <c r="A7560" s="22">
        <v>0.31266427040100098</v>
      </c>
    </row>
    <row r="7561" spans="1:1" x14ac:dyDescent="0.2">
      <c r="A7561" s="22">
        <v>0.38889259099960327</v>
      </c>
    </row>
    <row r="7562" spans="1:1" x14ac:dyDescent="0.2">
      <c r="A7562" s="22">
        <v>4.5156359672546387E-2</v>
      </c>
    </row>
    <row r="7563" spans="1:1" x14ac:dyDescent="0.2">
      <c r="A7563" s="22">
        <v>0.60901886224746704</v>
      </c>
    </row>
    <row r="7564" spans="1:1" x14ac:dyDescent="0.2">
      <c r="A7564" s="22">
        <v>0.75696992874145508</v>
      </c>
    </row>
    <row r="7565" spans="1:1" x14ac:dyDescent="0.2">
      <c r="A7565" s="22">
        <v>0.48200100660324097</v>
      </c>
    </row>
    <row r="7566" spans="1:1" x14ac:dyDescent="0.2">
      <c r="A7566" s="22">
        <v>0.7377549409866333</v>
      </c>
    </row>
    <row r="7567" spans="1:1" x14ac:dyDescent="0.2">
      <c r="A7567" s="22">
        <v>0.8654516339302063</v>
      </c>
    </row>
    <row r="7568" spans="1:1" x14ac:dyDescent="0.2">
      <c r="A7568" s="22">
        <v>0.2349860668182373</v>
      </c>
    </row>
    <row r="7569" spans="1:1" x14ac:dyDescent="0.2">
      <c r="A7569" s="22">
        <v>0.55600923299789429</v>
      </c>
    </row>
    <row r="7570" spans="1:1" x14ac:dyDescent="0.2">
      <c r="A7570" s="22">
        <v>0.24156033992767334</v>
      </c>
    </row>
    <row r="7571" spans="1:1" x14ac:dyDescent="0.2">
      <c r="A7571" s="22">
        <v>0.42654520273208618</v>
      </c>
    </row>
    <row r="7572" spans="1:1" x14ac:dyDescent="0.2">
      <c r="A7572" s="22">
        <v>0.58417606353759766</v>
      </c>
    </row>
    <row r="7573" spans="1:1" x14ac:dyDescent="0.2">
      <c r="A7573" s="22">
        <v>0.66102713346481323</v>
      </c>
    </row>
    <row r="7574" spans="1:1" x14ac:dyDescent="0.2">
      <c r="A7574" s="22">
        <v>0.7187429666519165</v>
      </c>
    </row>
    <row r="7575" spans="1:1" x14ac:dyDescent="0.2">
      <c r="A7575" s="22">
        <v>0.86828833818435669</v>
      </c>
    </row>
    <row r="7576" spans="1:1" x14ac:dyDescent="0.2">
      <c r="A7576" s="22">
        <v>0.88907361030578613</v>
      </c>
    </row>
    <row r="7577" spans="1:1" x14ac:dyDescent="0.2">
      <c r="A7577" s="22">
        <v>0.1059536337852478</v>
      </c>
    </row>
    <row r="7578" spans="1:1" x14ac:dyDescent="0.2">
      <c r="A7578" s="22">
        <v>0.55510604381561279</v>
      </c>
    </row>
    <row r="7579" spans="1:1" x14ac:dyDescent="0.2">
      <c r="A7579" s="22">
        <v>9.5771372318267822E-2</v>
      </c>
    </row>
    <row r="7580" spans="1:1" x14ac:dyDescent="0.2">
      <c r="A7580" s="22">
        <v>0.24690771102905273</v>
      </c>
    </row>
    <row r="7581" spans="1:1" x14ac:dyDescent="0.2">
      <c r="A7581" s="22">
        <v>0.161601722240448</v>
      </c>
    </row>
    <row r="7582" spans="1:1" x14ac:dyDescent="0.2">
      <c r="A7582" s="22">
        <v>0.25071060657501221</v>
      </c>
    </row>
    <row r="7583" spans="1:1" x14ac:dyDescent="0.2">
      <c r="A7583" s="22">
        <v>0.67131119966506958</v>
      </c>
    </row>
    <row r="7584" spans="1:1" x14ac:dyDescent="0.2">
      <c r="A7584" s="22">
        <v>0.78322768211364746</v>
      </c>
    </row>
    <row r="7585" spans="1:1" x14ac:dyDescent="0.2">
      <c r="A7585" s="22">
        <v>1.3823449611663818E-2</v>
      </c>
    </row>
    <row r="7586" spans="1:1" x14ac:dyDescent="0.2">
      <c r="A7586" s="22">
        <v>0.56050050258636475</v>
      </c>
    </row>
    <row r="7587" spans="1:1" x14ac:dyDescent="0.2">
      <c r="A7587" s="22">
        <v>0.39257627725601196</v>
      </c>
    </row>
    <row r="7588" spans="1:1" x14ac:dyDescent="0.2">
      <c r="A7588" s="22">
        <v>0.91752815246582031</v>
      </c>
    </row>
    <row r="7589" spans="1:1" x14ac:dyDescent="0.2">
      <c r="A7589" s="22">
        <v>0.96663492918014526</v>
      </c>
    </row>
    <row r="7590" spans="1:1" x14ac:dyDescent="0.2">
      <c r="A7590" s="22">
        <v>0.88492739200592041</v>
      </c>
    </row>
    <row r="7591" spans="1:1" x14ac:dyDescent="0.2">
      <c r="A7591" s="22">
        <v>0.12071162462234497</v>
      </c>
    </row>
    <row r="7592" spans="1:1" x14ac:dyDescent="0.2">
      <c r="A7592" s="22">
        <v>0.87887406349182129</v>
      </c>
    </row>
    <row r="7593" spans="1:1" x14ac:dyDescent="0.2">
      <c r="A7593" s="22">
        <v>0.89534133672714233</v>
      </c>
    </row>
    <row r="7594" spans="1:1" x14ac:dyDescent="0.2">
      <c r="A7594" s="22">
        <v>0.9105757474899292</v>
      </c>
    </row>
    <row r="7595" spans="1:1" x14ac:dyDescent="0.2">
      <c r="A7595" s="22">
        <v>0.8584638237953186</v>
      </c>
    </row>
    <row r="7596" spans="1:1" x14ac:dyDescent="0.2">
      <c r="A7596" s="22">
        <v>0.47152566909790039</v>
      </c>
    </row>
    <row r="7597" spans="1:1" x14ac:dyDescent="0.2">
      <c r="A7597" s="22">
        <v>0.94966191053390503</v>
      </c>
    </row>
    <row r="7598" spans="1:1" x14ac:dyDescent="0.2">
      <c r="A7598" s="22">
        <v>0.50078785419464111</v>
      </c>
    </row>
    <row r="7599" spans="1:1" x14ac:dyDescent="0.2">
      <c r="A7599" s="22">
        <v>7.8306019306182861E-2</v>
      </c>
    </row>
    <row r="7600" spans="1:1" x14ac:dyDescent="0.2">
      <c r="A7600" s="22">
        <v>9.0563535690307617E-2</v>
      </c>
    </row>
    <row r="7601" spans="1:1" x14ac:dyDescent="0.2">
      <c r="A7601" s="22">
        <v>0.50685495138168335</v>
      </c>
    </row>
    <row r="7602" spans="1:1" x14ac:dyDescent="0.2">
      <c r="A7602" s="22">
        <v>0.83628880977630615</v>
      </c>
    </row>
    <row r="7603" spans="1:1" x14ac:dyDescent="0.2">
      <c r="A7603" s="22">
        <v>0.30056291818618774</v>
      </c>
    </row>
    <row r="7604" spans="1:1" x14ac:dyDescent="0.2">
      <c r="A7604" s="22">
        <v>0.98751354217529297</v>
      </c>
    </row>
    <row r="7605" spans="1:1" x14ac:dyDescent="0.2">
      <c r="A7605" s="22">
        <v>0.37484282255172729</v>
      </c>
    </row>
    <row r="7606" spans="1:1" x14ac:dyDescent="0.2">
      <c r="A7606" s="22">
        <v>0.80581152439117432</v>
      </c>
    </row>
    <row r="7607" spans="1:1" x14ac:dyDescent="0.2">
      <c r="A7607" s="22">
        <v>0.92153578996658325</v>
      </c>
    </row>
    <row r="7608" spans="1:1" x14ac:dyDescent="0.2">
      <c r="A7608" s="22">
        <v>0.78597187995910645</v>
      </c>
    </row>
    <row r="7609" spans="1:1" x14ac:dyDescent="0.2">
      <c r="A7609" s="22">
        <v>0.24533694982528687</v>
      </c>
    </row>
    <row r="7610" spans="1:1" x14ac:dyDescent="0.2">
      <c r="A7610" s="22">
        <v>0.64672172069549561</v>
      </c>
    </row>
    <row r="7611" spans="1:1" x14ac:dyDescent="0.2">
      <c r="A7611" s="22">
        <v>0.29162746667861938</v>
      </c>
    </row>
    <row r="7612" spans="1:1" x14ac:dyDescent="0.2">
      <c r="A7612" s="22">
        <v>0.24723005294799805</v>
      </c>
    </row>
    <row r="7613" spans="1:1" x14ac:dyDescent="0.2">
      <c r="A7613" s="22">
        <v>0.39696282148361206</v>
      </c>
    </row>
    <row r="7614" spans="1:1" x14ac:dyDescent="0.2">
      <c r="A7614" s="22">
        <v>0.83564293384552002</v>
      </c>
    </row>
    <row r="7615" spans="1:1" x14ac:dyDescent="0.2">
      <c r="A7615" s="22">
        <v>4.3467342853546143E-2</v>
      </c>
    </row>
    <row r="7616" spans="1:1" x14ac:dyDescent="0.2">
      <c r="A7616" s="22">
        <v>0.28589987754821777</v>
      </c>
    </row>
    <row r="7617" spans="1:1" x14ac:dyDescent="0.2">
      <c r="A7617" s="22">
        <v>0.64838498830795288</v>
      </c>
    </row>
    <row r="7618" spans="1:1" x14ac:dyDescent="0.2">
      <c r="A7618" s="22">
        <v>0.22908151149749756</v>
      </c>
    </row>
    <row r="7619" spans="1:1" x14ac:dyDescent="0.2">
      <c r="A7619" s="22">
        <v>0.67003637552261353</v>
      </c>
    </row>
    <row r="7620" spans="1:1" x14ac:dyDescent="0.2">
      <c r="A7620" s="22">
        <v>0.23553848266601563</v>
      </c>
    </row>
    <row r="7621" spans="1:1" x14ac:dyDescent="0.2">
      <c r="A7621" s="22">
        <v>0.56143206357955933</v>
      </c>
    </row>
    <row r="7622" spans="1:1" x14ac:dyDescent="0.2">
      <c r="A7622" s="22">
        <v>0.45405161380767822</v>
      </c>
    </row>
    <row r="7623" spans="1:1" x14ac:dyDescent="0.2">
      <c r="A7623" s="22">
        <v>0.35279208421707153</v>
      </c>
    </row>
    <row r="7624" spans="1:1" x14ac:dyDescent="0.2">
      <c r="A7624" s="22">
        <v>0.3642733097076416</v>
      </c>
    </row>
    <row r="7625" spans="1:1" x14ac:dyDescent="0.2">
      <c r="A7625" s="22">
        <v>0.8942217230796814</v>
      </c>
    </row>
    <row r="7626" spans="1:1" x14ac:dyDescent="0.2">
      <c r="A7626" s="22">
        <v>0.54870021343231201</v>
      </c>
    </row>
    <row r="7627" spans="1:1" x14ac:dyDescent="0.2">
      <c r="A7627" s="22">
        <v>3.9793550968170166E-2</v>
      </c>
    </row>
    <row r="7628" spans="1:1" x14ac:dyDescent="0.2">
      <c r="A7628" s="22">
        <v>0.6404271125793457</v>
      </c>
    </row>
    <row r="7629" spans="1:1" x14ac:dyDescent="0.2">
      <c r="A7629" s="22">
        <v>0.30428570508956909</v>
      </c>
    </row>
    <row r="7630" spans="1:1" x14ac:dyDescent="0.2">
      <c r="A7630" s="22">
        <v>0.85293209552764893</v>
      </c>
    </row>
    <row r="7631" spans="1:1" x14ac:dyDescent="0.2">
      <c r="A7631" s="22">
        <v>0.77382642030715942</v>
      </c>
    </row>
    <row r="7632" spans="1:1" x14ac:dyDescent="0.2">
      <c r="A7632" s="22">
        <v>0.74814295768737793</v>
      </c>
    </row>
    <row r="7633" spans="1:1" x14ac:dyDescent="0.2">
      <c r="A7633" s="22">
        <v>0.30169481039047241</v>
      </c>
    </row>
    <row r="7634" spans="1:1" x14ac:dyDescent="0.2">
      <c r="A7634" s="22">
        <v>0.14903485774993896</v>
      </c>
    </row>
    <row r="7635" spans="1:1" x14ac:dyDescent="0.2">
      <c r="A7635" s="22">
        <v>0.27052789926528931</v>
      </c>
    </row>
    <row r="7636" spans="1:1" x14ac:dyDescent="0.2">
      <c r="A7636" s="22">
        <v>0.35300922393798828</v>
      </c>
    </row>
    <row r="7637" spans="1:1" x14ac:dyDescent="0.2">
      <c r="A7637" s="22">
        <v>0.45218390226364136</v>
      </c>
    </row>
    <row r="7638" spans="1:1" x14ac:dyDescent="0.2">
      <c r="A7638" s="22">
        <v>5.2303910255432129E-2</v>
      </c>
    </row>
    <row r="7639" spans="1:1" x14ac:dyDescent="0.2">
      <c r="A7639" s="22">
        <v>0.74651175737380981</v>
      </c>
    </row>
    <row r="7640" spans="1:1" x14ac:dyDescent="0.2">
      <c r="A7640" s="22">
        <v>0.61768460273742676</v>
      </c>
    </row>
    <row r="7641" spans="1:1" x14ac:dyDescent="0.2">
      <c r="A7641" s="22">
        <v>0.83027690649032593</v>
      </c>
    </row>
    <row r="7642" spans="1:1" x14ac:dyDescent="0.2">
      <c r="A7642" s="22">
        <v>0.65166747570037842</v>
      </c>
    </row>
    <row r="7643" spans="1:1" x14ac:dyDescent="0.2">
      <c r="A7643" s="22">
        <v>0.99749332666397095</v>
      </c>
    </row>
    <row r="7644" spans="1:1" x14ac:dyDescent="0.2">
      <c r="A7644" s="22">
        <v>0.96752309799194336</v>
      </c>
    </row>
    <row r="7645" spans="1:1" x14ac:dyDescent="0.2">
      <c r="A7645" s="22">
        <v>0.72241181135177612</v>
      </c>
    </row>
    <row r="7646" spans="1:1" x14ac:dyDescent="0.2">
      <c r="A7646" s="22">
        <v>0.40031158924102783</v>
      </c>
    </row>
    <row r="7647" spans="1:1" x14ac:dyDescent="0.2">
      <c r="A7647" s="22">
        <v>0.72641450166702271</v>
      </c>
    </row>
    <row r="7648" spans="1:1" x14ac:dyDescent="0.2">
      <c r="A7648" s="22">
        <v>0.10619902610778809</v>
      </c>
    </row>
    <row r="7649" spans="1:1" x14ac:dyDescent="0.2">
      <c r="A7649" s="22">
        <v>0.58006566762924194</v>
      </c>
    </row>
    <row r="7650" spans="1:1" x14ac:dyDescent="0.2">
      <c r="A7650" s="22">
        <v>0.25630509853363037</v>
      </c>
    </row>
    <row r="7651" spans="1:1" x14ac:dyDescent="0.2">
      <c r="A7651" s="22">
        <v>0.12156873941421509</v>
      </c>
    </row>
    <row r="7652" spans="1:1" x14ac:dyDescent="0.2">
      <c r="A7652" s="22">
        <v>0.28133201599121094</v>
      </c>
    </row>
    <row r="7653" spans="1:1" x14ac:dyDescent="0.2">
      <c r="A7653" s="22">
        <v>0.22287958860397339</v>
      </c>
    </row>
    <row r="7654" spans="1:1" x14ac:dyDescent="0.2">
      <c r="A7654" s="22">
        <v>7.3224663734436035E-2</v>
      </c>
    </row>
    <row r="7655" spans="1:1" x14ac:dyDescent="0.2">
      <c r="A7655" s="22">
        <v>0.6847260594367981</v>
      </c>
    </row>
    <row r="7656" spans="1:1" x14ac:dyDescent="0.2">
      <c r="A7656" s="22">
        <v>0.80011200904846191</v>
      </c>
    </row>
    <row r="7657" spans="1:1" x14ac:dyDescent="0.2">
      <c r="A7657" s="22">
        <v>0.29178375005722046</v>
      </c>
    </row>
    <row r="7658" spans="1:1" x14ac:dyDescent="0.2">
      <c r="A7658" s="22">
        <v>0.24077975749969482</v>
      </c>
    </row>
    <row r="7659" spans="1:1" x14ac:dyDescent="0.2">
      <c r="A7659" s="22">
        <v>0.30925804376602173</v>
      </c>
    </row>
    <row r="7660" spans="1:1" x14ac:dyDescent="0.2">
      <c r="A7660" s="22">
        <v>0.79492425918579102</v>
      </c>
    </row>
    <row r="7661" spans="1:1" x14ac:dyDescent="0.2">
      <c r="A7661" s="22">
        <v>0.95212239027023315</v>
      </c>
    </row>
    <row r="7662" spans="1:1" x14ac:dyDescent="0.2">
      <c r="A7662" s="22">
        <v>0.57543766498565674</v>
      </c>
    </row>
    <row r="7663" spans="1:1" x14ac:dyDescent="0.2">
      <c r="A7663" s="22">
        <v>0.60826283693313599</v>
      </c>
    </row>
    <row r="7664" spans="1:1" x14ac:dyDescent="0.2">
      <c r="A7664" s="22">
        <v>0.23897433280944824</v>
      </c>
    </row>
    <row r="7665" spans="1:1" x14ac:dyDescent="0.2">
      <c r="A7665" s="22">
        <v>0.84677881002426147</v>
      </c>
    </row>
    <row r="7666" spans="1:1" x14ac:dyDescent="0.2">
      <c r="A7666" s="22">
        <v>0.46104848384857178</v>
      </c>
    </row>
    <row r="7667" spans="1:1" x14ac:dyDescent="0.2">
      <c r="A7667" s="22">
        <v>0.49269014596939087</v>
      </c>
    </row>
    <row r="7668" spans="1:1" x14ac:dyDescent="0.2">
      <c r="A7668" s="22">
        <v>0.21191310882568359</v>
      </c>
    </row>
    <row r="7669" spans="1:1" x14ac:dyDescent="0.2">
      <c r="A7669" s="22">
        <v>0.29930037260055542</v>
      </c>
    </row>
    <row r="7670" spans="1:1" x14ac:dyDescent="0.2">
      <c r="A7670" s="22">
        <v>0.23947012424468994</v>
      </c>
    </row>
    <row r="7671" spans="1:1" x14ac:dyDescent="0.2">
      <c r="A7671" s="22">
        <v>0.99946624040603638</v>
      </c>
    </row>
    <row r="7672" spans="1:1" x14ac:dyDescent="0.2">
      <c r="A7672" s="22">
        <v>0.41546177864074707</v>
      </c>
    </row>
    <row r="7673" spans="1:1" x14ac:dyDescent="0.2">
      <c r="A7673" s="22">
        <v>0.76702350378036499</v>
      </c>
    </row>
    <row r="7674" spans="1:1" x14ac:dyDescent="0.2">
      <c r="A7674" s="22">
        <v>0.85119330883026123</v>
      </c>
    </row>
    <row r="7675" spans="1:1" x14ac:dyDescent="0.2">
      <c r="A7675" s="22">
        <v>0.36961895227432251</v>
      </c>
    </row>
    <row r="7676" spans="1:1" x14ac:dyDescent="0.2">
      <c r="A7676" s="22">
        <v>0.93903684616088867</v>
      </c>
    </row>
    <row r="7677" spans="1:1" x14ac:dyDescent="0.2">
      <c r="A7677" s="22">
        <v>0.54419869184494019</v>
      </c>
    </row>
    <row r="7678" spans="1:1" x14ac:dyDescent="0.2">
      <c r="A7678" s="22">
        <v>0.72596657276153564</v>
      </c>
    </row>
    <row r="7679" spans="1:1" x14ac:dyDescent="0.2">
      <c r="A7679" s="22">
        <v>0.37640267610549927</v>
      </c>
    </row>
    <row r="7680" spans="1:1" x14ac:dyDescent="0.2">
      <c r="A7680" s="22">
        <v>0.2753751277923584</v>
      </c>
    </row>
    <row r="7681" spans="1:1" x14ac:dyDescent="0.2">
      <c r="A7681" s="22">
        <v>0.71511548757553101</v>
      </c>
    </row>
    <row r="7682" spans="1:1" x14ac:dyDescent="0.2">
      <c r="A7682" s="22">
        <v>0.92342126369476318</v>
      </c>
    </row>
    <row r="7683" spans="1:1" x14ac:dyDescent="0.2">
      <c r="A7683" s="22">
        <v>0.90342336893081665</v>
      </c>
    </row>
    <row r="7684" spans="1:1" x14ac:dyDescent="0.2">
      <c r="A7684" s="22">
        <v>0.58615875244140625</v>
      </c>
    </row>
    <row r="7685" spans="1:1" x14ac:dyDescent="0.2">
      <c r="A7685" s="22">
        <v>0.35722750425338745</v>
      </c>
    </row>
    <row r="7686" spans="1:1" x14ac:dyDescent="0.2">
      <c r="A7686" s="22">
        <v>0.52369654178619385</v>
      </c>
    </row>
    <row r="7687" spans="1:1" x14ac:dyDescent="0.2">
      <c r="A7687" s="22">
        <v>0.77276355028152466</v>
      </c>
    </row>
    <row r="7688" spans="1:1" x14ac:dyDescent="0.2">
      <c r="A7688" s="22">
        <v>0.21764016151428223</v>
      </c>
    </row>
    <row r="7689" spans="1:1" x14ac:dyDescent="0.2">
      <c r="A7689" s="22">
        <v>0.99427741765975952</v>
      </c>
    </row>
    <row r="7690" spans="1:1" x14ac:dyDescent="0.2">
      <c r="A7690" s="22">
        <v>0.26806437969207764</v>
      </c>
    </row>
    <row r="7691" spans="1:1" x14ac:dyDescent="0.2">
      <c r="A7691" s="22">
        <v>0.82310730218887329</v>
      </c>
    </row>
    <row r="7692" spans="1:1" x14ac:dyDescent="0.2">
      <c r="A7692" s="22">
        <v>0.46626710891723633</v>
      </c>
    </row>
    <row r="7693" spans="1:1" x14ac:dyDescent="0.2">
      <c r="A7693" s="22">
        <v>0.29942196607589722</v>
      </c>
    </row>
    <row r="7694" spans="1:1" x14ac:dyDescent="0.2">
      <c r="A7694" s="22">
        <v>0.44955456256866455</v>
      </c>
    </row>
    <row r="7695" spans="1:1" x14ac:dyDescent="0.2">
      <c r="A7695" s="22">
        <v>0.23786526918411255</v>
      </c>
    </row>
    <row r="7696" spans="1:1" x14ac:dyDescent="0.2">
      <c r="A7696" s="22">
        <v>0.59430766105651855</v>
      </c>
    </row>
    <row r="7697" spans="1:1" x14ac:dyDescent="0.2">
      <c r="A7697" s="22">
        <v>4.8356950283050537E-2</v>
      </c>
    </row>
    <row r="7698" spans="1:1" x14ac:dyDescent="0.2">
      <c r="A7698" s="22">
        <v>5.357968807220459E-2</v>
      </c>
    </row>
    <row r="7699" spans="1:1" x14ac:dyDescent="0.2">
      <c r="A7699" s="22">
        <v>0.12329965829849243</v>
      </c>
    </row>
    <row r="7700" spans="1:1" x14ac:dyDescent="0.2">
      <c r="A7700" s="22">
        <v>9.5475196838378906E-2</v>
      </c>
    </row>
    <row r="7701" spans="1:1" x14ac:dyDescent="0.2">
      <c r="A7701" s="22">
        <v>0.32244223356246948</v>
      </c>
    </row>
    <row r="7702" spans="1:1" x14ac:dyDescent="0.2">
      <c r="A7702" s="22">
        <v>0.14856016635894775</v>
      </c>
    </row>
    <row r="7703" spans="1:1" x14ac:dyDescent="0.2">
      <c r="A7703" s="22">
        <v>0.33664923906326294</v>
      </c>
    </row>
    <row r="7704" spans="1:1" x14ac:dyDescent="0.2">
      <c r="A7704" s="22">
        <v>0.21055340766906738</v>
      </c>
    </row>
    <row r="7705" spans="1:1" x14ac:dyDescent="0.2">
      <c r="A7705" s="22">
        <v>0.96182674169540405</v>
      </c>
    </row>
    <row r="7706" spans="1:1" x14ac:dyDescent="0.2">
      <c r="A7706" s="22">
        <v>0.52654922008514404</v>
      </c>
    </row>
    <row r="7707" spans="1:1" x14ac:dyDescent="0.2">
      <c r="A7707" s="22">
        <v>0.56425434350967407</v>
      </c>
    </row>
    <row r="7708" spans="1:1" x14ac:dyDescent="0.2">
      <c r="A7708" s="22">
        <v>0.69302129745483398</v>
      </c>
    </row>
    <row r="7709" spans="1:1" x14ac:dyDescent="0.2">
      <c r="A7709" s="22">
        <v>0.26857346296310425</v>
      </c>
    </row>
    <row r="7710" spans="1:1" x14ac:dyDescent="0.2">
      <c r="A7710" s="22">
        <v>0.59385788440704346</v>
      </c>
    </row>
    <row r="7711" spans="1:1" x14ac:dyDescent="0.2">
      <c r="A7711" s="22">
        <v>0.64968186616897583</v>
      </c>
    </row>
    <row r="7712" spans="1:1" x14ac:dyDescent="0.2">
      <c r="A7712" s="22">
        <v>0.82467818260192871</v>
      </c>
    </row>
    <row r="7713" spans="1:1" x14ac:dyDescent="0.2">
      <c r="A7713" s="22">
        <v>0.95978444814682007</v>
      </c>
    </row>
    <row r="7714" spans="1:1" x14ac:dyDescent="0.2">
      <c r="A7714" s="22">
        <v>0.511680006980896</v>
      </c>
    </row>
    <row r="7715" spans="1:1" x14ac:dyDescent="0.2">
      <c r="A7715" s="22">
        <v>0.17185026407241821</v>
      </c>
    </row>
    <row r="7716" spans="1:1" x14ac:dyDescent="0.2">
      <c r="A7716" s="22">
        <v>0.68126869201660156</v>
      </c>
    </row>
    <row r="7717" spans="1:1" x14ac:dyDescent="0.2">
      <c r="A7717" s="22">
        <v>0.37072581052780151</v>
      </c>
    </row>
    <row r="7718" spans="1:1" x14ac:dyDescent="0.2">
      <c r="A7718" s="22">
        <v>0.58671724796295166</v>
      </c>
    </row>
    <row r="7719" spans="1:1" x14ac:dyDescent="0.2">
      <c r="A7719" s="22">
        <v>0.27315455675125122</v>
      </c>
    </row>
    <row r="7720" spans="1:1" x14ac:dyDescent="0.2">
      <c r="A7720" s="22">
        <v>0.64810776710510254</v>
      </c>
    </row>
    <row r="7721" spans="1:1" x14ac:dyDescent="0.2">
      <c r="A7721" s="22">
        <v>0.90795272588729858</v>
      </c>
    </row>
    <row r="7722" spans="1:1" x14ac:dyDescent="0.2">
      <c r="A7722" s="22">
        <v>0.91180408000946045</v>
      </c>
    </row>
    <row r="7723" spans="1:1" x14ac:dyDescent="0.2">
      <c r="A7723" s="22">
        <v>0.73759132623672485</v>
      </c>
    </row>
    <row r="7724" spans="1:1" x14ac:dyDescent="0.2">
      <c r="A7724" s="22">
        <v>0.18570566177368164</v>
      </c>
    </row>
    <row r="7725" spans="1:1" x14ac:dyDescent="0.2">
      <c r="A7725" s="22">
        <v>0.75243443250656128</v>
      </c>
    </row>
    <row r="7726" spans="1:1" x14ac:dyDescent="0.2">
      <c r="A7726" s="22">
        <v>0.25653278827667236</v>
      </c>
    </row>
    <row r="7727" spans="1:1" x14ac:dyDescent="0.2">
      <c r="A7727" s="22">
        <v>0.31888371706008911</v>
      </c>
    </row>
    <row r="7728" spans="1:1" x14ac:dyDescent="0.2">
      <c r="A7728" s="22">
        <v>0.84539294242858887</v>
      </c>
    </row>
    <row r="7729" spans="1:1" x14ac:dyDescent="0.2">
      <c r="A7729" s="22">
        <v>0.8126792311668396</v>
      </c>
    </row>
    <row r="7730" spans="1:1" x14ac:dyDescent="0.2">
      <c r="A7730" s="22">
        <v>0.2078784704208374</v>
      </c>
    </row>
    <row r="7731" spans="1:1" x14ac:dyDescent="0.2">
      <c r="A7731" s="22">
        <v>0.31860643625259399</v>
      </c>
    </row>
    <row r="7732" spans="1:1" x14ac:dyDescent="0.2">
      <c r="A7732" s="22">
        <v>0.53494548797607422</v>
      </c>
    </row>
    <row r="7733" spans="1:1" x14ac:dyDescent="0.2">
      <c r="A7733" s="22">
        <v>0.92785948514938354</v>
      </c>
    </row>
    <row r="7734" spans="1:1" x14ac:dyDescent="0.2">
      <c r="A7734" s="22">
        <v>0.56082403659820557</v>
      </c>
    </row>
    <row r="7735" spans="1:1" x14ac:dyDescent="0.2">
      <c r="A7735" s="22">
        <v>0.4143107533454895</v>
      </c>
    </row>
    <row r="7736" spans="1:1" x14ac:dyDescent="0.2">
      <c r="A7736" s="22">
        <v>3.4209489822387695E-2</v>
      </c>
    </row>
    <row r="7737" spans="1:1" x14ac:dyDescent="0.2">
      <c r="A7737" s="22">
        <v>0.32093662023544312</v>
      </c>
    </row>
    <row r="7738" spans="1:1" x14ac:dyDescent="0.2">
      <c r="A7738" s="22">
        <v>0.95898520946502686</v>
      </c>
    </row>
    <row r="7739" spans="1:1" x14ac:dyDescent="0.2">
      <c r="A7739" s="22">
        <v>0.73764950037002563</v>
      </c>
    </row>
    <row r="7740" spans="1:1" x14ac:dyDescent="0.2">
      <c r="A7740" s="22">
        <v>0.7607264518737793</v>
      </c>
    </row>
    <row r="7741" spans="1:1" x14ac:dyDescent="0.2">
      <c r="A7741" s="22">
        <v>0.30178612470626831</v>
      </c>
    </row>
    <row r="7742" spans="1:1" x14ac:dyDescent="0.2">
      <c r="A7742" s="22">
        <v>0.78523552417755127</v>
      </c>
    </row>
    <row r="7743" spans="1:1" x14ac:dyDescent="0.2">
      <c r="A7743" s="22">
        <v>0.20250207185745239</v>
      </c>
    </row>
    <row r="7744" spans="1:1" x14ac:dyDescent="0.2">
      <c r="A7744" s="22">
        <v>0.78535819053649902</v>
      </c>
    </row>
    <row r="7745" spans="1:1" x14ac:dyDescent="0.2">
      <c r="A7745" s="22">
        <v>0.22032254934310913</v>
      </c>
    </row>
    <row r="7746" spans="1:1" x14ac:dyDescent="0.2">
      <c r="A7746" s="22">
        <v>0.30233132839202881</v>
      </c>
    </row>
    <row r="7747" spans="1:1" x14ac:dyDescent="0.2">
      <c r="A7747" s="22">
        <v>8.3099424839019775E-2</v>
      </c>
    </row>
    <row r="7748" spans="1:1" x14ac:dyDescent="0.2">
      <c r="A7748" s="22">
        <v>9.7911834716796875E-2</v>
      </c>
    </row>
    <row r="7749" spans="1:1" x14ac:dyDescent="0.2">
      <c r="A7749" s="22">
        <v>0.66962450742721558</v>
      </c>
    </row>
    <row r="7750" spans="1:1" x14ac:dyDescent="0.2">
      <c r="A7750" s="22">
        <v>4.3536782264709473E-2</v>
      </c>
    </row>
    <row r="7751" spans="1:1" x14ac:dyDescent="0.2">
      <c r="A7751" s="22">
        <v>0.84214907884597778</v>
      </c>
    </row>
    <row r="7752" spans="1:1" x14ac:dyDescent="0.2">
      <c r="A7752" s="22">
        <v>0.12276482582092285</v>
      </c>
    </row>
    <row r="7753" spans="1:1" x14ac:dyDescent="0.2">
      <c r="A7753" s="22">
        <v>0.93905967473983765</v>
      </c>
    </row>
    <row r="7754" spans="1:1" x14ac:dyDescent="0.2">
      <c r="A7754" s="22">
        <v>0.45324885845184326</v>
      </c>
    </row>
    <row r="7755" spans="1:1" x14ac:dyDescent="0.2">
      <c r="A7755" s="22">
        <v>0.20896011590957642</v>
      </c>
    </row>
    <row r="7756" spans="1:1" x14ac:dyDescent="0.2">
      <c r="A7756" s="22">
        <v>0.48448991775512695</v>
      </c>
    </row>
    <row r="7757" spans="1:1" x14ac:dyDescent="0.2">
      <c r="A7757" s="22">
        <v>0.71740978956222534</v>
      </c>
    </row>
    <row r="7758" spans="1:1" x14ac:dyDescent="0.2">
      <c r="A7758" s="22">
        <v>0.77762234210968018</v>
      </c>
    </row>
    <row r="7759" spans="1:1" x14ac:dyDescent="0.2">
      <c r="A7759" s="22">
        <v>0.50756818056106567</v>
      </c>
    </row>
    <row r="7760" spans="1:1" x14ac:dyDescent="0.2">
      <c r="A7760" s="22">
        <v>2.348017692565918E-2</v>
      </c>
    </row>
    <row r="7761" spans="1:1" x14ac:dyDescent="0.2">
      <c r="A7761" s="22">
        <v>4.5995652675628662E-2</v>
      </c>
    </row>
    <row r="7762" spans="1:1" x14ac:dyDescent="0.2">
      <c r="A7762" s="22">
        <v>0.20519483089447021</v>
      </c>
    </row>
    <row r="7763" spans="1:1" x14ac:dyDescent="0.2">
      <c r="A7763" s="22">
        <v>0.23486047983169556</v>
      </c>
    </row>
    <row r="7764" spans="1:1" x14ac:dyDescent="0.2">
      <c r="A7764" s="22">
        <v>6.1573982238769531E-2</v>
      </c>
    </row>
    <row r="7765" spans="1:1" x14ac:dyDescent="0.2">
      <c r="A7765" s="22">
        <v>0.52180212736129761</v>
      </c>
    </row>
    <row r="7766" spans="1:1" x14ac:dyDescent="0.2">
      <c r="A7766" s="22">
        <v>0.25751173496246338</v>
      </c>
    </row>
    <row r="7767" spans="1:1" x14ac:dyDescent="0.2">
      <c r="A7767" s="22">
        <v>0.88870078325271606</v>
      </c>
    </row>
    <row r="7768" spans="1:1" x14ac:dyDescent="0.2">
      <c r="A7768" s="22">
        <v>0.91768002510070801</v>
      </c>
    </row>
    <row r="7769" spans="1:1" x14ac:dyDescent="0.2">
      <c r="A7769" s="22">
        <v>0.75060313940048218</v>
      </c>
    </row>
    <row r="7770" spans="1:1" x14ac:dyDescent="0.2">
      <c r="A7770" s="22">
        <v>0.42975127696990967</v>
      </c>
    </row>
    <row r="7771" spans="1:1" x14ac:dyDescent="0.2">
      <c r="A7771" s="22">
        <v>4.6054422855377197E-2</v>
      </c>
    </row>
    <row r="7772" spans="1:1" x14ac:dyDescent="0.2">
      <c r="A7772" s="22">
        <v>0.67340230941772461</v>
      </c>
    </row>
    <row r="7773" spans="1:1" x14ac:dyDescent="0.2">
      <c r="A7773" s="22">
        <v>5.0086677074432373E-2</v>
      </c>
    </row>
    <row r="7774" spans="1:1" x14ac:dyDescent="0.2">
      <c r="A7774" s="22">
        <v>8.1349492073059082E-2</v>
      </c>
    </row>
    <row r="7775" spans="1:1" x14ac:dyDescent="0.2">
      <c r="A7775" s="22">
        <v>0.69111329317092896</v>
      </c>
    </row>
    <row r="7776" spans="1:1" x14ac:dyDescent="0.2">
      <c r="A7776" s="22">
        <v>0.18866515159606934</v>
      </c>
    </row>
    <row r="7777" spans="1:1" x14ac:dyDescent="0.2">
      <c r="A7777" s="22">
        <v>0.40297979116439819</v>
      </c>
    </row>
    <row r="7778" spans="1:1" x14ac:dyDescent="0.2">
      <c r="A7778" s="22">
        <v>0.57662522792816162</v>
      </c>
    </row>
    <row r="7779" spans="1:1" x14ac:dyDescent="0.2">
      <c r="A7779" s="22">
        <v>0.79342085123062134</v>
      </c>
    </row>
    <row r="7780" spans="1:1" x14ac:dyDescent="0.2">
      <c r="A7780" s="22">
        <v>0.36733818054199219</v>
      </c>
    </row>
    <row r="7781" spans="1:1" x14ac:dyDescent="0.2">
      <c r="A7781" s="22">
        <v>0.66017359495162964</v>
      </c>
    </row>
    <row r="7782" spans="1:1" x14ac:dyDescent="0.2">
      <c r="A7782" s="22">
        <v>0.67540514469146729</v>
      </c>
    </row>
    <row r="7783" spans="1:1" x14ac:dyDescent="0.2">
      <c r="A7783" s="22">
        <v>0.13599711656570435</v>
      </c>
    </row>
    <row r="7784" spans="1:1" x14ac:dyDescent="0.2">
      <c r="A7784" s="22">
        <v>0.67286133766174316</v>
      </c>
    </row>
    <row r="7785" spans="1:1" x14ac:dyDescent="0.2">
      <c r="A7785" s="22">
        <v>0.99384826421737671</v>
      </c>
    </row>
    <row r="7786" spans="1:1" x14ac:dyDescent="0.2">
      <c r="A7786" s="22">
        <v>0.17364871501922607</v>
      </c>
    </row>
    <row r="7787" spans="1:1" x14ac:dyDescent="0.2">
      <c r="A7787" s="22">
        <v>0.39346367120742798</v>
      </c>
    </row>
    <row r="7788" spans="1:1" x14ac:dyDescent="0.2">
      <c r="A7788" s="22">
        <v>0.89386987686157227</v>
      </c>
    </row>
    <row r="7789" spans="1:1" x14ac:dyDescent="0.2">
      <c r="A7789" s="22">
        <v>0.6005980372428894</v>
      </c>
    </row>
    <row r="7790" spans="1:1" x14ac:dyDescent="0.2">
      <c r="A7790" s="22">
        <v>0.79407322406768799</v>
      </c>
    </row>
    <row r="7791" spans="1:1" x14ac:dyDescent="0.2">
      <c r="A7791" s="22">
        <v>0.46016865968704224</v>
      </c>
    </row>
    <row r="7792" spans="1:1" x14ac:dyDescent="0.2">
      <c r="A7792" s="22">
        <v>0.15981936454772949</v>
      </c>
    </row>
    <row r="7793" spans="1:1" x14ac:dyDescent="0.2">
      <c r="A7793" s="22">
        <v>0.65455621480941772</v>
      </c>
    </row>
    <row r="7794" spans="1:1" x14ac:dyDescent="0.2">
      <c r="A7794" s="22">
        <v>0.32677876949310303</v>
      </c>
    </row>
    <row r="7795" spans="1:1" x14ac:dyDescent="0.2">
      <c r="A7795" s="22">
        <v>2.8311789035797119E-2</v>
      </c>
    </row>
    <row r="7796" spans="1:1" x14ac:dyDescent="0.2">
      <c r="A7796" s="22">
        <v>0.20661067962646484</v>
      </c>
    </row>
    <row r="7797" spans="1:1" x14ac:dyDescent="0.2">
      <c r="A7797" s="22">
        <v>0.51052016019821167</v>
      </c>
    </row>
    <row r="7798" spans="1:1" x14ac:dyDescent="0.2">
      <c r="A7798" s="22">
        <v>1.9873261451721191E-2</v>
      </c>
    </row>
    <row r="7799" spans="1:1" x14ac:dyDescent="0.2">
      <c r="A7799" s="22">
        <v>0.41606932878494263</v>
      </c>
    </row>
    <row r="7800" spans="1:1" x14ac:dyDescent="0.2">
      <c r="A7800" s="22">
        <v>0.89221501350402832</v>
      </c>
    </row>
    <row r="7801" spans="1:1" x14ac:dyDescent="0.2">
      <c r="A7801" s="22">
        <v>0.15707629919052124</v>
      </c>
    </row>
    <row r="7802" spans="1:1" x14ac:dyDescent="0.2">
      <c r="A7802" s="22">
        <v>0.22009742259979248</v>
      </c>
    </row>
    <row r="7803" spans="1:1" x14ac:dyDescent="0.2">
      <c r="A7803" s="22">
        <v>0.64571911096572876</v>
      </c>
    </row>
    <row r="7804" spans="1:1" x14ac:dyDescent="0.2">
      <c r="A7804" s="22">
        <v>0.96229887008666992</v>
      </c>
    </row>
    <row r="7805" spans="1:1" x14ac:dyDescent="0.2">
      <c r="A7805" s="22">
        <v>0.91972512006759644</v>
      </c>
    </row>
    <row r="7806" spans="1:1" x14ac:dyDescent="0.2">
      <c r="A7806" s="22">
        <v>0.26344978809356689</v>
      </c>
    </row>
    <row r="7807" spans="1:1" x14ac:dyDescent="0.2">
      <c r="A7807" s="22">
        <v>0.77176553010940552</v>
      </c>
    </row>
    <row r="7808" spans="1:1" x14ac:dyDescent="0.2">
      <c r="A7808" s="22">
        <v>6.5849065780639648E-2</v>
      </c>
    </row>
    <row r="7809" spans="1:1" x14ac:dyDescent="0.2">
      <c r="A7809" s="22">
        <v>0.41400617361068726</v>
      </c>
    </row>
    <row r="7810" spans="1:1" x14ac:dyDescent="0.2">
      <c r="A7810" s="22">
        <v>0.61581170558929443</v>
      </c>
    </row>
    <row r="7811" spans="1:1" x14ac:dyDescent="0.2">
      <c r="A7811" s="22">
        <v>0.4590645432472229</v>
      </c>
    </row>
    <row r="7812" spans="1:1" x14ac:dyDescent="0.2">
      <c r="A7812" s="22">
        <v>2.07977294921875E-2</v>
      </c>
    </row>
    <row r="7813" spans="1:1" x14ac:dyDescent="0.2">
      <c r="A7813" s="22">
        <v>0.7486230731010437</v>
      </c>
    </row>
    <row r="7814" spans="1:1" x14ac:dyDescent="0.2">
      <c r="A7814" s="22">
        <v>0.2635723352432251</v>
      </c>
    </row>
    <row r="7815" spans="1:1" x14ac:dyDescent="0.2">
      <c r="A7815" s="22">
        <v>0.81094866991043091</v>
      </c>
    </row>
    <row r="7816" spans="1:1" x14ac:dyDescent="0.2">
      <c r="A7816" s="22">
        <v>0.32964730262756348</v>
      </c>
    </row>
    <row r="7817" spans="1:1" x14ac:dyDescent="0.2">
      <c r="A7817" s="22">
        <v>0.97856849431991577</v>
      </c>
    </row>
    <row r="7818" spans="1:1" x14ac:dyDescent="0.2">
      <c r="A7818" s="22">
        <v>0.35425364971160889</v>
      </c>
    </row>
    <row r="7819" spans="1:1" x14ac:dyDescent="0.2">
      <c r="A7819" s="22">
        <v>0.44735199213027954</v>
      </c>
    </row>
    <row r="7820" spans="1:1" x14ac:dyDescent="0.2">
      <c r="A7820" s="22">
        <v>0.94509553909301758</v>
      </c>
    </row>
    <row r="7821" spans="1:1" x14ac:dyDescent="0.2">
      <c r="A7821" s="22">
        <v>0.80824917554855347</v>
      </c>
    </row>
    <row r="7822" spans="1:1" x14ac:dyDescent="0.2">
      <c r="A7822" s="22">
        <v>8.7135434150695801E-2</v>
      </c>
    </row>
    <row r="7823" spans="1:1" x14ac:dyDescent="0.2">
      <c r="A7823" s="22">
        <v>0.8329351544380188</v>
      </c>
    </row>
    <row r="7824" spans="1:1" x14ac:dyDescent="0.2">
      <c r="A7824" s="22">
        <v>0.2856605052947998</v>
      </c>
    </row>
    <row r="7825" spans="1:1" x14ac:dyDescent="0.2">
      <c r="A7825" s="22">
        <v>0.54461091756820679</v>
      </c>
    </row>
    <row r="7826" spans="1:1" x14ac:dyDescent="0.2">
      <c r="A7826" s="22">
        <v>0.85388028621673584</v>
      </c>
    </row>
    <row r="7827" spans="1:1" x14ac:dyDescent="0.2">
      <c r="A7827" s="22">
        <v>0.85521036386489868</v>
      </c>
    </row>
    <row r="7828" spans="1:1" x14ac:dyDescent="0.2">
      <c r="A7828" s="22">
        <v>0.50130558013916016</v>
      </c>
    </row>
    <row r="7829" spans="1:1" x14ac:dyDescent="0.2">
      <c r="A7829" s="22">
        <v>0.30026358366012573</v>
      </c>
    </row>
    <row r="7830" spans="1:1" x14ac:dyDescent="0.2">
      <c r="A7830" s="22">
        <v>0.629158616065979</v>
      </c>
    </row>
    <row r="7831" spans="1:1" x14ac:dyDescent="0.2">
      <c r="A7831" s="22">
        <v>0.65266638994216919</v>
      </c>
    </row>
    <row r="7832" spans="1:1" x14ac:dyDescent="0.2">
      <c r="A7832" s="22">
        <v>0.98906445503234863</v>
      </c>
    </row>
    <row r="7833" spans="1:1" x14ac:dyDescent="0.2">
      <c r="A7833" s="22">
        <v>0.4466060996055603</v>
      </c>
    </row>
    <row r="7834" spans="1:1" x14ac:dyDescent="0.2">
      <c r="A7834" s="22">
        <v>0.61127364635467529</v>
      </c>
    </row>
    <row r="7835" spans="1:1" x14ac:dyDescent="0.2">
      <c r="A7835" s="22">
        <v>0.69289356470108032</v>
      </c>
    </row>
    <row r="7836" spans="1:1" x14ac:dyDescent="0.2">
      <c r="A7836" s="22">
        <v>0.15866613388061523</v>
      </c>
    </row>
    <row r="7837" spans="1:1" x14ac:dyDescent="0.2">
      <c r="A7837" s="22">
        <v>0.3169514536857605</v>
      </c>
    </row>
    <row r="7838" spans="1:1" x14ac:dyDescent="0.2">
      <c r="A7838" s="22">
        <v>0.11278641223907471</v>
      </c>
    </row>
    <row r="7839" spans="1:1" x14ac:dyDescent="0.2">
      <c r="A7839" s="22">
        <v>0.10070878267288208</v>
      </c>
    </row>
    <row r="7840" spans="1:1" x14ac:dyDescent="0.2">
      <c r="A7840" s="22">
        <v>0.44815993309020996</v>
      </c>
    </row>
    <row r="7841" spans="1:1" x14ac:dyDescent="0.2">
      <c r="A7841" s="22">
        <v>0.15965169668197632</v>
      </c>
    </row>
    <row r="7842" spans="1:1" x14ac:dyDescent="0.2">
      <c r="A7842" s="22">
        <v>0.70114076137542725</v>
      </c>
    </row>
    <row r="7843" spans="1:1" x14ac:dyDescent="0.2">
      <c r="A7843" s="22">
        <v>0.23628050088882446</v>
      </c>
    </row>
    <row r="7844" spans="1:1" x14ac:dyDescent="0.2">
      <c r="A7844" s="22">
        <v>0.58954048156738281</v>
      </c>
    </row>
    <row r="7845" spans="1:1" x14ac:dyDescent="0.2">
      <c r="A7845" s="22">
        <v>0.34122294187545776</v>
      </c>
    </row>
    <row r="7846" spans="1:1" x14ac:dyDescent="0.2">
      <c r="A7846" s="22">
        <v>0.58928835391998291</v>
      </c>
    </row>
    <row r="7847" spans="1:1" x14ac:dyDescent="0.2">
      <c r="A7847" s="22">
        <v>0.52325373888015747</v>
      </c>
    </row>
    <row r="7848" spans="1:1" x14ac:dyDescent="0.2">
      <c r="A7848" s="22">
        <v>0.12437272071838379</v>
      </c>
    </row>
    <row r="7849" spans="1:1" x14ac:dyDescent="0.2">
      <c r="A7849" s="22">
        <v>0.79947036504745483</v>
      </c>
    </row>
    <row r="7850" spans="1:1" x14ac:dyDescent="0.2">
      <c r="A7850" s="22">
        <v>0.2763136625289917</v>
      </c>
    </row>
    <row r="7851" spans="1:1" x14ac:dyDescent="0.2">
      <c r="A7851" s="22">
        <v>0.5268750786781311</v>
      </c>
    </row>
    <row r="7852" spans="1:1" x14ac:dyDescent="0.2">
      <c r="A7852" s="22">
        <v>0.16941690444946289</v>
      </c>
    </row>
    <row r="7853" spans="1:1" x14ac:dyDescent="0.2">
      <c r="A7853" s="22">
        <v>0.74661320447921753</v>
      </c>
    </row>
    <row r="7854" spans="1:1" x14ac:dyDescent="0.2">
      <c r="A7854" s="22">
        <v>0.43805897235870361</v>
      </c>
    </row>
    <row r="7855" spans="1:1" x14ac:dyDescent="0.2">
      <c r="A7855" s="22">
        <v>0.28211766481399536</v>
      </c>
    </row>
    <row r="7856" spans="1:1" x14ac:dyDescent="0.2">
      <c r="A7856" s="22">
        <v>0.43225359916687012</v>
      </c>
    </row>
    <row r="7857" spans="1:1" x14ac:dyDescent="0.2">
      <c r="A7857" s="22">
        <v>0.62240976095199585</v>
      </c>
    </row>
    <row r="7858" spans="1:1" x14ac:dyDescent="0.2">
      <c r="A7858" s="22">
        <v>6.7749381065368652E-2</v>
      </c>
    </row>
    <row r="7859" spans="1:1" x14ac:dyDescent="0.2">
      <c r="A7859" s="22">
        <v>0.87180620431900024</v>
      </c>
    </row>
    <row r="7860" spans="1:1" x14ac:dyDescent="0.2">
      <c r="A7860" s="22">
        <v>0.47690868377685547</v>
      </c>
    </row>
    <row r="7861" spans="1:1" x14ac:dyDescent="0.2">
      <c r="A7861" s="22">
        <v>0.29728239774703979</v>
      </c>
    </row>
    <row r="7862" spans="1:1" x14ac:dyDescent="0.2">
      <c r="A7862" s="22">
        <v>0.86661779880523682</v>
      </c>
    </row>
    <row r="7863" spans="1:1" x14ac:dyDescent="0.2">
      <c r="A7863" s="22">
        <v>0.25474196672439575</v>
      </c>
    </row>
    <row r="7864" spans="1:1" x14ac:dyDescent="0.2">
      <c r="A7864" s="22">
        <v>0.23947834968566895</v>
      </c>
    </row>
    <row r="7865" spans="1:1" x14ac:dyDescent="0.2">
      <c r="A7865" s="22">
        <v>0.52544254064559937</v>
      </c>
    </row>
    <row r="7866" spans="1:1" x14ac:dyDescent="0.2">
      <c r="A7866" s="22">
        <v>0.88452994823455811</v>
      </c>
    </row>
    <row r="7867" spans="1:1" x14ac:dyDescent="0.2">
      <c r="A7867" s="22">
        <v>0.34382778406143188</v>
      </c>
    </row>
    <row r="7868" spans="1:1" x14ac:dyDescent="0.2">
      <c r="A7868" s="22">
        <v>0.79375410079956055</v>
      </c>
    </row>
    <row r="7869" spans="1:1" x14ac:dyDescent="0.2">
      <c r="A7869" s="22">
        <v>0.64801567792892456</v>
      </c>
    </row>
    <row r="7870" spans="1:1" x14ac:dyDescent="0.2">
      <c r="A7870" s="22">
        <v>0.41060936450958252</v>
      </c>
    </row>
    <row r="7871" spans="1:1" x14ac:dyDescent="0.2">
      <c r="A7871" s="22">
        <v>0.33419305086135864</v>
      </c>
    </row>
    <row r="7872" spans="1:1" x14ac:dyDescent="0.2">
      <c r="A7872" s="22">
        <v>0.36684775352478027</v>
      </c>
    </row>
    <row r="7873" spans="1:1" x14ac:dyDescent="0.2">
      <c r="A7873" s="22">
        <v>0.54616636037826538</v>
      </c>
    </row>
    <row r="7874" spans="1:1" x14ac:dyDescent="0.2">
      <c r="A7874" s="22">
        <v>0.11386239528656006</v>
      </c>
    </row>
    <row r="7875" spans="1:1" x14ac:dyDescent="0.2">
      <c r="A7875" s="22">
        <v>0.28131872415542603</v>
      </c>
    </row>
    <row r="7876" spans="1:1" x14ac:dyDescent="0.2">
      <c r="A7876" s="22">
        <v>0.60481643676757813</v>
      </c>
    </row>
    <row r="7877" spans="1:1" x14ac:dyDescent="0.2">
      <c r="A7877" s="22">
        <v>0.84422320127487183</v>
      </c>
    </row>
    <row r="7878" spans="1:1" x14ac:dyDescent="0.2">
      <c r="A7878" s="22">
        <v>0.43380320072174072</v>
      </c>
    </row>
    <row r="7879" spans="1:1" x14ac:dyDescent="0.2">
      <c r="A7879" s="22">
        <v>0.92916232347488403</v>
      </c>
    </row>
    <row r="7880" spans="1:1" x14ac:dyDescent="0.2">
      <c r="A7880" s="22">
        <v>8.8287591934204102E-2</v>
      </c>
    </row>
    <row r="7881" spans="1:1" x14ac:dyDescent="0.2">
      <c r="A7881" s="22">
        <v>0.3628038763999939</v>
      </c>
    </row>
    <row r="7882" spans="1:1" x14ac:dyDescent="0.2">
      <c r="A7882" s="22">
        <v>0.22107875347137451</v>
      </c>
    </row>
    <row r="7883" spans="1:1" x14ac:dyDescent="0.2">
      <c r="A7883" s="22">
        <v>0.78828293085098267</v>
      </c>
    </row>
    <row r="7884" spans="1:1" x14ac:dyDescent="0.2">
      <c r="A7884" s="22">
        <v>9.8083972930908203E-2</v>
      </c>
    </row>
    <row r="7885" spans="1:1" x14ac:dyDescent="0.2">
      <c r="A7885" s="22">
        <v>0.82194012403488159</v>
      </c>
    </row>
    <row r="7886" spans="1:1" x14ac:dyDescent="0.2">
      <c r="A7886" s="22">
        <v>0.62809383869171143</v>
      </c>
    </row>
    <row r="7887" spans="1:1" x14ac:dyDescent="0.2">
      <c r="A7887" s="22">
        <v>0.46396619081497192</v>
      </c>
    </row>
    <row r="7888" spans="1:1" x14ac:dyDescent="0.2">
      <c r="A7888" s="22">
        <v>0.63084864616394043</v>
      </c>
    </row>
    <row r="7889" spans="1:1" x14ac:dyDescent="0.2">
      <c r="A7889" s="22">
        <v>0.79420274496078491</v>
      </c>
    </row>
    <row r="7890" spans="1:1" x14ac:dyDescent="0.2">
      <c r="A7890" s="22">
        <v>0.24963605403900146</v>
      </c>
    </row>
    <row r="7891" spans="1:1" x14ac:dyDescent="0.2">
      <c r="A7891" s="22">
        <v>0.23434931039810181</v>
      </c>
    </row>
    <row r="7892" spans="1:1" x14ac:dyDescent="0.2">
      <c r="A7892" s="22">
        <v>0.66466999053955078</v>
      </c>
    </row>
    <row r="7893" spans="1:1" x14ac:dyDescent="0.2">
      <c r="A7893" s="22">
        <v>0.90782660245895386</v>
      </c>
    </row>
    <row r="7894" spans="1:1" x14ac:dyDescent="0.2">
      <c r="A7894" s="22">
        <v>0.51350080966949463</v>
      </c>
    </row>
    <row r="7895" spans="1:1" x14ac:dyDescent="0.2">
      <c r="A7895" s="22">
        <v>0.87854605913162231</v>
      </c>
    </row>
    <row r="7896" spans="1:1" x14ac:dyDescent="0.2">
      <c r="A7896" s="22">
        <v>0.67470669746398926</v>
      </c>
    </row>
    <row r="7897" spans="1:1" x14ac:dyDescent="0.2">
      <c r="A7897" s="22">
        <v>0.29983562231063843</v>
      </c>
    </row>
    <row r="7898" spans="1:1" x14ac:dyDescent="0.2">
      <c r="A7898" s="22">
        <v>0.32111632823944092</v>
      </c>
    </row>
    <row r="7899" spans="1:1" x14ac:dyDescent="0.2">
      <c r="A7899" s="22">
        <v>0.75477176904678345</v>
      </c>
    </row>
    <row r="7900" spans="1:1" x14ac:dyDescent="0.2">
      <c r="A7900" s="22">
        <v>0.39881277084350586</v>
      </c>
    </row>
    <row r="7901" spans="1:1" x14ac:dyDescent="0.2">
      <c r="A7901" s="22">
        <v>0.31916779279708862</v>
      </c>
    </row>
    <row r="7902" spans="1:1" x14ac:dyDescent="0.2">
      <c r="A7902" s="22">
        <v>0.93816864490509033</v>
      </c>
    </row>
    <row r="7903" spans="1:1" x14ac:dyDescent="0.2">
      <c r="A7903" s="22">
        <v>0.12846833467483521</v>
      </c>
    </row>
    <row r="7904" spans="1:1" x14ac:dyDescent="0.2">
      <c r="A7904" s="22">
        <v>0.85316252708435059</v>
      </c>
    </row>
    <row r="7905" spans="1:1" x14ac:dyDescent="0.2">
      <c r="A7905" s="22">
        <v>0.47980016469955444</v>
      </c>
    </row>
    <row r="7906" spans="1:1" x14ac:dyDescent="0.2">
      <c r="A7906" s="22">
        <v>0.13522660732269287</v>
      </c>
    </row>
    <row r="7907" spans="1:1" x14ac:dyDescent="0.2">
      <c r="A7907" s="22">
        <v>0.75042921304702759</v>
      </c>
    </row>
    <row r="7908" spans="1:1" x14ac:dyDescent="0.2">
      <c r="A7908" s="22">
        <v>0.59787559509277344</v>
      </c>
    </row>
    <row r="7909" spans="1:1" x14ac:dyDescent="0.2">
      <c r="A7909" s="22">
        <v>0.66387385129928589</v>
      </c>
    </row>
    <row r="7910" spans="1:1" x14ac:dyDescent="0.2">
      <c r="A7910" s="22">
        <v>0.57836687564849854</v>
      </c>
    </row>
    <row r="7911" spans="1:1" x14ac:dyDescent="0.2">
      <c r="A7911" s="22">
        <v>0.6849244236946106</v>
      </c>
    </row>
    <row r="7912" spans="1:1" x14ac:dyDescent="0.2">
      <c r="A7912" s="22">
        <v>0.25264191627502441</v>
      </c>
    </row>
    <row r="7913" spans="1:1" x14ac:dyDescent="0.2">
      <c r="A7913" s="22">
        <v>0.57481902837753296</v>
      </c>
    </row>
    <row r="7914" spans="1:1" x14ac:dyDescent="0.2">
      <c r="A7914" s="22">
        <v>0.46979892253875732</v>
      </c>
    </row>
    <row r="7915" spans="1:1" x14ac:dyDescent="0.2">
      <c r="A7915" s="22">
        <v>0.38782554864883423</v>
      </c>
    </row>
    <row r="7916" spans="1:1" x14ac:dyDescent="0.2">
      <c r="A7916" s="22">
        <v>0.26234674453735352</v>
      </c>
    </row>
    <row r="7917" spans="1:1" x14ac:dyDescent="0.2">
      <c r="A7917" s="22">
        <v>0.44047993421554565</v>
      </c>
    </row>
    <row r="7918" spans="1:1" x14ac:dyDescent="0.2">
      <c r="A7918" s="22">
        <v>0.43849003314971924</v>
      </c>
    </row>
    <row r="7919" spans="1:1" x14ac:dyDescent="0.2">
      <c r="A7919" s="22">
        <v>3.4730732440948486E-2</v>
      </c>
    </row>
    <row r="7920" spans="1:1" x14ac:dyDescent="0.2">
      <c r="A7920" s="22">
        <v>0.91269564628601074</v>
      </c>
    </row>
    <row r="7921" spans="1:1" x14ac:dyDescent="0.2">
      <c r="A7921" s="22">
        <v>0.96623986959457397</v>
      </c>
    </row>
    <row r="7922" spans="1:1" x14ac:dyDescent="0.2">
      <c r="A7922" s="22">
        <v>0.68079030513763428</v>
      </c>
    </row>
    <row r="7923" spans="1:1" x14ac:dyDescent="0.2">
      <c r="A7923" s="22">
        <v>9.9089682102203369E-2</v>
      </c>
    </row>
    <row r="7924" spans="1:1" x14ac:dyDescent="0.2">
      <c r="A7924" s="22">
        <v>0.59583950042724609</v>
      </c>
    </row>
    <row r="7925" spans="1:1" x14ac:dyDescent="0.2">
      <c r="A7925" s="22">
        <v>0.53814619779586792</v>
      </c>
    </row>
    <row r="7926" spans="1:1" x14ac:dyDescent="0.2">
      <c r="A7926" s="22">
        <v>0.35105764865875244</v>
      </c>
    </row>
    <row r="7927" spans="1:1" x14ac:dyDescent="0.2">
      <c r="A7927" s="22">
        <v>0.18032866716384888</v>
      </c>
    </row>
    <row r="7928" spans="1:1" x14ac:dyDescent="0.2">
      <c r="A7928" s="22">
        <v>0.32599949836730957</v>
      </c>
    </row>
    <row r="7929" spans="1:1" x14ac:dyDescent="0.2">
      <c r="A7929" s="22">
        <v>0.67603534460067749</v>
      </c>
    </row>
    <row r="7930" spans="1:1" x14ac:dyDescent="0.2">
      <c r="A7930" s="22">
        <v>0.20228278636932373</v>
      </c>
    </row>
    <row r="7931" spans="1:1" x14ac:dyDescent="0.2">
      <c r="A7931" s="22">
        <v>8.197551965713501E-2</v>
      </c>
    </row>
    <row r="7932" spans="1:1" x14ac:dyDescent="0.2">
      <c r="A7932" s="22">
        <v>0.50509214401245117</v>
      </c>
    </row>
    <row r="7933" spans="1:1" x14ac:dyDescent="0.2">
      <c r="A7933" s="22">
        <v>0.73665779829025269</v>
      </c>
    </row>
    <row r="7934" spans="1:1" x14ac:dyDescent="0.2">
      <c r="A7934" s="22">
        <v>0.47671425342559814</v>
      </c>
    </row>
    <row r="7935" spans="1:1" x14ac:dyDescent="0.2">
      <c r="A7935" s="22">
        <v>0.13978463411331177</v>
      </c>
    </row>
    <row r="7936" spans="1:1" x14ac:dyDescent="0.2">
      <c r="A7936" s="22">
        <v>0.9383542537689209</v>
      </c>
    </row>
    <row r="7937" spans="1:1" x14ac:dyDescent="0.2">
      <c r="A7937" s="22">
        <v>0.86680310964584351</v>
      </c>
    </row>
    <row r="7938" spans="1:1" x14ac:dyDescent="0.2">
      <c r="A7938" s="22">
        <v>4.6483397483825684E-2</v>
      </c>
    </row>
    <row r="7939" spans="1:1" x14ac:dyDescent="0.2">
      <c r="A7939" s="22">
        <v>0.79986196756362915</v>
      </c>
    </row>
    <row r="7940" spans="1:1" x14ac:dyDescent="0.2">
      <c r="A7940" s="22">
        <v>9.996795654296875E-2</v>
      </c>
    </row>
    <row r="7941" spans="1:1" x14ac:dyDescent="0.2">
      <c r="A7941" s="22">
        <v>0.20642489194869995</v>
      </c>
    </row>
    <row r="7942" spans="1:1" x14ac:dyDescent="0.2">
      <c r="A7942" s="22">
        <v>0.80422937870025635</v>
      </c>
    </row>
    <row r="7943" spans="1:1" x14ac:dyDescent="0.2">
      <c r="A7943" s="22">
        <v>0.44679003953933716</v>
      </c>
    </row>
    <row r="7944" spans="1:1" x14ac:dyDescent="0.2">
      <c r="A7944" s="22">
        <v>0.64868569374084473</v>
      </c>
    </row>
    <row r="7945" spans="1:1" x14ac:dyDescent="0.2">
      <c r="A7945" s="22">
        <v>0.34176582098007202</v>
      </c>
    </row>
    <row r="7946" spans="1:1" x14ac:dyDescent="0.2">
      <c r="A7946" s="22">
        <v>0.30372416973114014</v>
      </c>
    </row>
    <row r="7947" spans="1:1" x14ac:dyDescent="0.2">
      <c r="A7947" s="22">
        <v>0.48175293207168579</v>
      </c>
    </row>
    <row r="7948" spans="1:1" x14ac:dyDescent="0.2">
      <c r="A7948" s="22">
        <v>0.19345521926879883</v>
      </c>
    </row>
    <row r="7949" spans="1:1" x14ac:dyDescent="0.2">
      <c r="A7949" s="22">
        <v>8.4826350212097168E-3</v>
      </c>
    </row>
    <row r="7950" spans="1:1" x14ac:dyDescent="0.2">
      <c r="A7950" s="22">
        <v>0.65049755573272705</v>
      </c>
    </row>
    <row r="7951" spans="1:1" x14ac:dyDescent="0.2">
      <c r="A7951" s="22">
        <v>0.65066128969192505</v>
      </c>
    </row>
    <row r="7952" spans="1:1" x14ac:dyDescent="0.2">
      <c r="A7952" s="22">
        <v>0.30904459953308105</v>
      </c>
    </row>
    <row r="7953" spans="1:1" x14ac:dyDescent="0.2">
      <c r="A7953" s="22">
        <v>4.4771134853363037E-2</v>
      </c>
    </row>
    <row r="7954" spans="1:1" x14ac:dyDescent="0.2">
      <c r="A7954" s="22">
        <v>0.64246213436126709</v>
      </c>
    </row>
    <row r="7955" spans="1:1" x14ac:dyDescent="0.2">
      <c r="A7955" s="22">
        <v>0.62227731943130493</v>
      </c>
    </row>
    <row r="7956" spans="1:1" x14ac:dyDescent="0.2">
      <c r="A7956" s="22">
        <v>0.80166721343994141</v>
      </c>
    </row>
    <row r="7957" spans="1:1" x14ac:dyDescent="0.2">
      <c r="A7957" s="22">
        <v>0.59449118375778198</v>
      </c>
    </row>
    <row r="7958" spans="1:1" x14ac:dyDescent="0.2">
      <c r="A7958" s="22">
        <v>0.16053831577301025</v>
      </c>
    </row>
    <row r="7959" spans="1:1" x14ac:dyDescent="0.2">
      <c r="A7959" s="22">
        <v>0.81633979082107544</v>
      </c>
    </row>
    <row r="7960" spans="1:1" x14ac:dyDescent="0.2">
      <c r="A7960" s="22">
        <v>0.22460675239562988</v>
      </c>
    </row>
    <row r="7961" spans="1:1" x14ac:dyDescent="0.2">
      <c r="A7961" s="22">
        <v>0.56029170751571655</v>
      </c>
    </row>
    <row r="7962" spans="1:1" x14ac:dyDescent="0.2">
      <c r="A7962" s="22">
        <v>0.80927932262420654</v>
      </c>
    </row>
    <row r="7963" spans="1:1" x14ac:dyDescent="0.2">
      <c r="A7963" s="22">
        <v>0.48168903589248657</v>
      </c>
    </row>
    <row r="7964" spans="1:1" x14ac:dyDescent="0.2">
      <c r="A7964" s="22">
        <v>0.64384222030639648</v>
      </c>
    </row>
    <row r="7965" spans="1:1" x14ac:dyDescent="0.2">
      <c r="A7965" s="22">
        <v>0.30673569440841675</v>
      </c>
    </row>
    <row r="7966" spans="1:1" x14ac:dyDescent="0.2">
      <c r="A7966" s="22">
        <v>0.80749619007110596</v>
      </c>
    </row>
    <row r="7967" spans="1:1" x14ac:dyDescent="0.2">
      <c r="A7967" s="22">
        <v>2.439194917678833E-2</v>
      </c>
    </row>
    <row r="7968" spans="1:1" x14ac:dyDescent="0.2">
      <c r="A7968" s="22">
        <v>0.65367293357849121</v>
      </c>
    </row>
    <row r="7969" spans="1:1" x14ac:dyDescent="0.2">
      <c r="A7969" s="22">
        <v>0.61342519521713257</v>
      </c>
    </row>
    <row r="7970" spans="1:1" x14ac:dyDescent="0.2">
      <c r="A7970" s="22">
        <v>0.1288827657699585</v>
      </c>
    </row>
    <row r="7971" spans="1:1" x14ac:dyDescent="0.2">
      <c r="A7971" s="22">
        <v>0.58586698770523071</v>
      </c>
    </row>
    <row r="7972" spans="1:1" x14ac:dyDescent="0.2">
      <c r="A7972" s="22">
        <v>0.64234352111816406</v>
      </c>
    </row>
    <row r="7973" spans="1:1" x14ac:dyDescent="0.2">
      <c r="A7973" s="22">
        <v>0.87812632322311401</v>
      </c>
    </row>
    <row r="7974" spans="1:1" x14ac:dyDescent="0.2">
      <c r="A7974" s="22">
        <v>0.89264070987701416</v>
      </c>
    </row>
    <row r="7975" spans="1:1" x14ac:dyDescent="0.2">
      <c r="A7975" s="22">
        <v>0.87100917100906372</v>
      </c>
    </row>
    <row r="7976" spans="1:1" x14ac:dyDescent="0.2">
      <c r="A7976" s="22">
        <v>0.30766892433166504</v>
      </c>
    </row>
    <row r="7977" spans="1:1" x14ac:dyDescent="0.2">
      <c r="A7977" s="22">
        <v>0.56989425420761108</v>
      </c>
    </row>
    <row r="7978" spans="1:1" x14ac:dyDescent="0.2">
      <c r="A7978" s="22">
        <v>4.1044950485229492E-3</v>
      </c>
    </row>
    <row r="7979" spans="1:1" x14ac:dyDescent="0.2">
      <c r="A7979" s="22">
        <v>0.22631508111953735</v>
      </c>
    </row>
    <row r="7980" spans="1:1" x14ac:dyDescent="0.2">
      <c r="A7980" s="22">
        <v>0.42265939712524414</v>
      </c>
    </row>
    <row r="7981" spans="1:1" x14ac:dyDescent="0.2">
      <c r="A7981" s="22">
        <v>0.93219822645187378</v>
      </c>
    </row>
    <row r="7982" spans="1:1" x14ac:dyDescent="0.2">
      <c r="A7982" s="22">
        <v>4.5366406440734863E-2</v>
      </c>
    </row>
    <row r="7983" spans="1:1" x14ac:dyDescent="0.2">
      <c r="A7983" s="22">
        <v>0.96800786256790161</v>
      </c>
    </row>
    <row r="7984" spans="1:1" x14ac:dyDescent="0.2">
      <c r="A7984" s="22">
        <v>0.85114550590515137</v>
      </c>
    </row>
    <row r="7985" spans="1:1" x14ac:dyDescent="0.2">
      <c r="A7985" s="22">
        <v>0.9360465407371521</v>
      </c>
    </row>
    <row r="7986" spans="1:1" x14ac:dyDescent="0.2">
      <c r="A7986" s="22">
        <v>0.4159015417098999</v>
      </c>
    </row>
    <row r="7987" spans="1:1" x14ac:dyDescent="0.2">
      <c r="A7987" s="22">
        <v>0.96016222238540649</v>
      </c>
    </row>
    <row r="7988" spans="1:1" x14ac:dyDescent="0.2">
      <c r="A7988" s="22">
        <v>0.81340312957763672</v>
      </c>
    </row>
    <row r="7989" spans="1:1" x14ac:dyDescent="0.2">
      <c r="A7989" s="22">
        <v>0.48311156034469604</v>
      </c>
    </row>
    <row r="7990" spans="1:1" x14ac:dyDescent="0.2">
      <c r="A7990" s="22">
        <v>0.72319281101226807</v>
      </c>
    </row>
    <row r="7991" spans="1:1" x14ac:dyDescent="0.2">
      <c r="A7991" s="22">
        <v>0.442829430103302</v>
      </c>
    </row>
    <row r="7992" spans="1:1" x14ac:dyDescent="0.2">
      <c r="A7992" s="22">
        <v>0.4017784595489502</v>
      </c>
    </row>
    <row r="7993" spans="1:1" x14ac:dyDescent="0.2">
      <c r="A7993" s="22">
        <v>0.85885471105575562</v>
      </c>
    </row>
    <row r="7994" spans="1:1" x14ac:dyDescent="0.2">
      <c r="A7994" s="22">
        <v>0.42335593700408936</v>
      </c>
    </row>
    <row r="7995" spans="1:1" x14ac:dyDescent="0.2">
      <c r="A7995" s="22">
        <v>0.11016231775283813</v>
      </c>
    </row>
    <row r="7996" spans="1:1" x14ac:dyDescent="0.2">
      <c r="A7996" s="22">
        <v>0.3463129997253418</v>
      </c>
    </row>
    <row r="7997" spans="1:1" x14ac:dyDescent="0.2">
      <c r="A7997" s="22">
        <v>0.43565148115158081</v>
      </c>
    </row>
    <row r="7998" spans="1:1" x14ac:dyDescent="0.2">
      <c r="A7998" s="22">
        <v>0.71176445484161377</v>
      </c>
    </row>
    <row r="7999" spans="1:1" x14ac:dyDescent="0.2">
      <c r="A7999" s="22">
        <v>0.43854027986526489</v>
      </c>
    </row>
    <row r="8000" spans="1:1" x14ac:dyDescent="0.2">
      <c r="A8000" s="22">
        <v>3.0368566513061523E-2</v>
      </c>
    </row>
    <row r="8001" spans="1:1" x14ac:dyDescent="0.2">
      <c r="A8001" s="22">
        <v>0.62591642141342163</v>
      </c>
    </row>
    <row r="8002" spans="1:1" x14ac:dyDescent="0.2">
      <c r="A8002" s="22">
        <v>0.66367471218109131</v>
      </c>
    </row>
    <row r="8003" spans="1:1" x14ac:dyDescent="0.2">
      <c r="A8003" s="22">
        <v>0.26469427347183228</v>
      </c>
    </row>
    <row r="8004" spans="1:1" x14ac:dyDescent="0.2">
      <c r="A8004" s="22">
        <v>0.75625228881835938</v>
      </c>
    </row>
    <row r="8005" spans="1:1" x14ac:dyDescent="0.2">
      <c r="A8005" s="22">
        <v>8.5228145122528076E-2</v>
      </c>
    </row>
    <row r="8006" spans="1:1" x14ac:dyDescent="0.2">
      <c r="A8006" s="22">
        <v>0.62485086917877197</v>
      </c>
    </row>
    <row r="8007" spans="1:1" x14ac:dyDescent="0.2">
      <c r="A8007" s="22">
        <v>0.61383181810379028</v>
      </c>
    </row>
    <row r="8008" spans="1:1" x14ac:dyDescent="0.2">
      <c r="A8008" s="22">
        <v>0.26084160804748535</v>
      </c>
    </row>
    <row r="8009" spans="1:1" x14ac:dyDescent="0.2">
      <c r="A8009" s="22">
        <v>0.16545432806015015</v>
      </c>
    </row>
    <row r="8010" spans="1:1" x14ac:dyDescent="0.2">
      <c r="A8010" s="22">
        <v>0.85218989849090576</v>
      </c>
    </row>
    <row r="8011" spans="1:1" x14ac:dyDescent="0.2">
      <c r="A8011" s="22">
        <v>0.77776199579238892</v>
      </c>
    </row>
    <row r="8012" spans="1:1" x14ac:dyDescent="0.2">
      <c r="A8012" s="22">
        <v>0.48120927810668945</v>
      </c>
    </row>
    <row r="8013" spans="1:1" x14ac:dyDescent="0.2">
      <c r="A8013" s="22">
        <v>0.61787670850753784</v>
      </c>
    </row>
    <row r="8014" spans="1:1" x14ac:dyDescent="0.2">
      <c r="A8014" s="22">
        <v>0.40434658527374268</v>
      </c>
    </row>
    <row r="8015" spans="1:1" x14ac:dyDescent="0.2">
      <c r="A8015" s="22">
        <v>0.64302045106887817</v>
      </c>
    </row>
    <row r="8016" spans="1:1" x14ac:dyDescent="0.2">
      <c r="A8016" s="22">
        <v>0.57024836540222168</v>
      </c>
    </row>
    <row r="8017" spans="1:1" x14ac:dyDescent="0.2">
      <c r="A8017" s="22">
        <v>0.54631608724594116</v>
      </c>
    </row>
    <row r="8018" spans="1:1" x14ac:dyDescent="0.2">
      <c r="A8018" s="22">
        <v>0.28235852718353271</v>
      </c>
    </row>
    <row r="8019" spans="1:1" x14ac:dyDescent="0.2">
      <c r="A8019" s="22">
        <v>0.26899439096450806</v>
      </c>
    </row>
    <row r="8020" spans="1:1" x14ac:dyDescent="0.2">
      <c r="A8020" s="22">
        <v>0.16229724884033203</v>
      </c>
    </row>
    <row r="8021" spans="1:1" x14ac:dyDescent="0.2">
      <c r="A8021" s="22">
        <v>0.61025732755661011</v>
      </c>
    </row>
    <row r="8022" spans="1:1" x14ac:dyDescent="0.2">
      <c r="A8022" s="22">
        <v>0.82027113437652588</v>
      </c>
    </row>
    <row r="8023" spans="1:1" x14ac:dyDescent="0.2">
      <c r="A8023" s="22">
        <v>0.71604758501052856</v>
      </c>
    </row>
    <row r="8024" spans="1:1" x14ac:dyDescent="0.2">
      <c r="A8024" s="22">
        <v>0.88876461982727051</v>
      </c>
    </row>
    <row r="8025" spans="1:1" x14ac:dyDescent="0.2">
      <c r="A8025" s="22">
        <v>0.47797435522079468</v>
      </c>
    </row>
    <row r="8026" spans="1:1" x14ac:dyDescent="0.2">
      <c r="A8026" s="22">
        <v>0.32576262950897217</v>
      </c>
    </row>
    <row r="8027" spans="1:1" x14ac:dyDescent="0.2">
      <c r="A8027" s="22">
        <v>0.1236453652381897</v>
      </c>
    </row>
    <row r="8028" spans="1:1" x14ac:dyDescent="0.2">
      <c r="A8028" s="22">
        <v>0.14375448226928711</v>
      </c>
    </row>
    <row r="8029" spans="1:1" x14ac:dyDescent="0.2">
      <c r="A8029" s="22">
        <v>0.52965515851974487</v>
      </c>
    </row>
    <row r="8030" spans="1:1" x14ac:dyDescent="0.2">
      <c r="A8030" s="22">
        <v>0.97076904773712158</v>
      </c>
    </row>
    <row r="8031" spans="1:1" x14ac:dyDescent="0.2">
      <c r="A8031" s="22">
        <v>3.8479626178741455E-2</v>
      </c>
    </row>
    <row r="8032" spans="1:1" x14ac:dyDescent="0.2">
      <c r="A8032" s="22">
        <v>9.9691152572631836E-2</v>
      </c>
    </row>
    <row r="8033" spans="1:1" x14ac:dyDescent="0.2">
      <c r="A8033" s="22">
        <v>0.81052678823471069</v>
      </c>
    </row>
    <row r="8034" spans="1:1" x14ac:dyDescent="0.2">
      <c r="A8034" s="22">
        <v>0.93210923671722412</v>
      </c>
    </row>
    <row r="8035" spans="1:1" x14ac:dyDescent="0.2">
      <c r="A8035" s="22">
        <v>0.99259382486343384</v>
      </c>
    </row>
    <row r="8036" spans="1:1" x14ac:dyDescent="0.2">
      <c r="A8036" s="22">
        <v>0.97294425964355469</v>
      </c>
    </row>
    <row r="8037" spans="1:1" x14ac:dyDescent="0.2">
      <c r="A8037" s="22">
        <v>0.23398035764694214</v>
      </c>
    </row>
    <row r="8038" spans="1:1" x14ac:dyDescent="0.2">
      <c r="A8038" s="22">
        <v>0.78210985660552979</v>
      </c>
    </row>
    <row r="8039" spans="1:1" x14ac:dyDescent="0.2">
      <c r="A8039" s="22">
        <v>0.33150798082351685</v>
      </c>
    </row>
    <row r="8040" spans="1:1" x14ac:dyDescent="0.2">
      <c r="A8040" s="22">
        <v>0.53945374488830566</v>
      </c>
    </row>
    <row r="8041" spans="1:1" x14ac:dyDescent="0.2">
      <c r="A8041" s="22">
        <v>3.4696042537689209E-2</v>
      </c>
    </row>
    <row r="8042" spans="1:1" x14ac:dyDescent="0.2">
      <c r="A8042" s="22">
        <v>0.12923038005828857</v>
      </c>
    </row>
    <row r="8043" spans="1:1" x14ac:dyDescent="0.2">
      <c r="A8043" s="22">
        <v>0.29234367609024048</v>
      </c>
    </row>
    <row r="8044" spans="1:1" x14ac:dyDescent="0.2">
      <c r="A8044" s="22">
        <v>0.90035486221313477</v>
      </c>
    </row>
    <row r="8045" spans="1:1" x14ac:dyDescent="0.2">
      <c r="A8045" s="22">
        <v>0.4717680811882019</v>
      </c>
    </row>
    <row r="8046" spans="1:1" x14ac:dyDescent="0.2">
      <c r="A8046" s="22">
        <v>0.50868809223175049</v>
      </c>
    </row>
    <row r="8047" spans="1:1" x14ac:dyDescent="0.2">
      <c r="A8047" s="22">
        <v>0.33194905519485474</v>
      </c>
    </row>
    <row r="8048" spans="1:1" x14ac:dyDescent="0.2">
      <c r="A8048" s="22">
        <v>0.49760317802429199</v>
      </c>
    </row>
    <row r="8049" spans="1:1" x14ac:dyDescent="0.2">
      <c r="A8049" s="22">
        <v>0.78182977437973022</v>
      </c>
    </row>
    <row r="8050" spans="1:1" x14ac:dyDescent="0.2">
      <c r="A8050" s="22">
        <v>0.52308309078216553</v>
      </c>
    </row>
    <row r="8051" spans="1:1" x14ac:dyDescent="0.2">
      <c r="A8051" s="22">
        <v>0.70502382516860962</v>
      </c>
    </row>
    <row r="8052" spans="1:1" x14ac:dyDescent="0.2">
      <c r="A8052" s="22">
        <v>0.37959957122802734</v>
      </c>
    </row>
    <row r="8053" spans="1:1" x14ac:dyDescent="0.2">
      <c r="A8053" s="22">
        <v>0.38217848539352417</v>
      </c>
    </row>
    <row r="8054" spans="1:1" x14ac:dyDescent="0.2">
      <c r="A8054" s="22">
        <v>0.23302328586578369</v>
      </c>
    </row>
    <row r="8055" spans="1:1" x14ac:dyDescent="0.2">
      <c r="A8055" s="22">
        <v>0.29224425554275513</v>
      </c>
    </row>
    <row r="8056" spans="1:1" x14ac:dyDescent="0.2">
      <c r="A8056" s="22">
        <v>0.71681523323059082</v>
      </c>
    </row>
    <row r="8057" spans="1:1" x14ac:dyDescent="0.2">
      <c r="A8057" s="22">
        <v>0.32390064001083374</v>
      </c>
    </row>
    <row r="8058" spans="1:1" x14ac:dyDescent="0.2">
      <c r="A8058" s="22">
        <v>0.79774940013885498</v>
      </c>
    </row>
    <row r="8059" spans="1:1" x14ac:dyDescent="0.2">
      <c r="A8059" s="22">
        <v>0.67838817834854126</v>
      </c>
    </row>
    <row r="8060" spans="1:1" x14ac:dyDescent="0.2">
      <c r="A8060" s="22">
        <v>0.56741666793823242</v>
      </c>
    </row>
    <row r="8061" spans="1:1" x14ac:dyDescent="0.2">
      <c r="A8061" s="22">
        <v>0.99499672651290894</v>
      </c>
    </row>
    <row r="8062" spans="1:1" x14ac:dyDescent="0.2">
      <c r="A8062" s="22">
        <v>0.36575996875762939</v>
      </c>
    </row>
    <row r="8063" spans="1:1" x14ac:dyDescent="0.2">
      <c r="A8063" s="22">
        <v>0.48045998811721802</v>
      </c>
    </row>
    <row r="8064" spans="1:1" x14ac:dyDescent="0.2">
      <c r="A8064" s="22">
        <v>0.89289069175720215</v>
      </c>
    </row>
    <row r="8065" spans="1:1" x14ac:dyDescent="0.2">
      <c r="A8065" s="22">
        <v>7.3506295680999756E-2</v>
      </c>
    </row>
    <row r="8066" spans="1:1" x14ac:dyDescent="0.2">
      <c r="A8066" s="22">
        <v>0.21543633937835693</v>
      </c>
    </row>
    <row r="8067" spans="1:1" x14ac:dyDescent="0.2">
      <c r="A8067" s="22">
        <v>0.9258156418800354</v>
      </c>
    </row>
    <row r="8068" spans="1:1" x14ac:dyDescent="0.2">
      <c r="A8068" s="22">
        <v>0.82366943359375</v>
      </c>
    </row>
    <row r="8069" spans="1:1" x14ac:dyDescent="0.2">
      <c r="A8069" s="22">
        <v>0.7306329607963562</v>
      </c>
    </row>
    <row r="8070" spans="1:1" x14ac:dyDescent="0.2">
      <c r="A8070" s="22">
        <v>0.1456676721572876</v>
      </c>
    </row>
    <row r="8071" spans="1:1" x14ac:dyDescent="0.2">
      <c r="A8071" s="22">
        <v>0.68028765916824341</v>
      </c>
    </row>
    <row r="8072" spans="1:1" x14ac:dyDescent="0.2">
      <c r="A8072" s="22">
        <v>0.17475533485412598</v>
      </c>
    </row>
    <row r="8073" spans="1:1" x14ac:dyDescent="0.2">
      <c r="A8073" s="22">
        <v>8.3869397640228271E-2</v>
      </c>
    </row>
    <row r="8074" spans="1:1" x14ac:dyDescent="0.2">
      <c r="A8074" s="22">
        <v>0.11647593975067139</v>
      </c>
    </row>
    <row r="8075" spans="1:1" x14ac:dyDescent="0.2">
      <c r="A8075" s="22">
        <v>0.92631012201309204</v>
      </c>
    </row>
    <row r="8076" spans="1:1" x14ac:dyDescent="0.2">
      <c r="A8076" s="22">
        <v>0.21134614944458008</v>
      </c>
    </row>
    <row r="8077" spans="1:1" x14ac:dyDescent="0.2">
      <c r="A8077" s="22">
        <v>0.90012234449386597</v>
      </c>
    </row>
    <row r="8078" spans="1:1" x14ac:dyDescent="0.2">
      <c r="A8078" s="22">
        <v>0.1396409273147583</v>
      </c>
    </row>
    <row r="8079" spans="1:1" x14ac:dyDescent="0.2">
      <c r="A8079" s="22">
        <v>0.6910436749458313</v>
      </c>
    </row>
    <row r="8080" spans="1:1" x14ac:dyDescent="0.2">
      <c r="A8080" s="22">
        <v>0.6644599437713623</v>
      </c>
    </row>
    <row r="8081" spans="1:1" x14ac:dyDescent="0.2">
      <c r="A8081" s="22">
        <v>0.54883760213851929</v>
      </c>
    </row>
    <row r="8082" spans="1:1" x14ac:dyDescent="0.2">
      <c r="A8082" s="22">
        <v>0.41932523250579834</v>
      </c>
    </row>
    <row r="8083" spans="1:1" x14ac:dyDescent="0.2">
      <c r="A8083" s="22">
        <v>0.42450052499771118</v>
      </c>
    </row>
    <row r="8084" spans="1:1" x14ac:dyDescent="0.2">
      <c r="A8084" s="22">
        <v>0.99656009674072266</v>
      </c>
    </row>
    <row r="8085" spans="1:1" x14ac:dyDescent="0.2">
      <c r="A8085" s="22">
        <v>0.20512503385543823</v>
      </c>
    </row>
    <row r="8086" spans="1:1" x14ac:dyDescent="0.2">
      <c r="A8086" s="22">
        <v>0.7426992654800415</v>
      </c>
    </row>
    <row r="8087" spans="1:1" x14ac:dyDescent="0.2">
      <c r="A8087" s="22">
        <v>0.82766944169998169</v>
      </c>
    </row>
    <row r="8088" spans="1:1" x14ac:dyDescent="0.2">
      <c r="A8088" s="22">
        <v>0.91718029975891113</v>
      </c>
    </row>
    <row r="8089" spans="1:1" x14ac:dyDescent="0.2">
      <c r="A8089" s="22">
        <v>0.3028835654258728</v>
      </c>
    </row>
    <row r="8090" spans="1:1" x14ac:dyDescent="0.2">
      <c r="A8090" s="22">
        <v>0.12056624889373779</v>
      </c>
    </row>
    <row r="8091" spans="1:1" x14ac:dyDescent="0.2">
      <c r="A8091" s="22">
        <v>0.93064075708389282</v>
      </c>
    </row>
    <row r="8092" spans="1:1" x14ac:dyDescent="0.2">
      <c r="A8092" s="22">
        <v>0.14854955673217773</v>
      </c>
    </row>
    <row r="8093" spans="1:1" x14ac:dyDescent="0.2">
      <c r="A8093" s="22">
        <v>0.237926185131073</v>
      </c>
    </row>
    <row r="8094" spans="1:1" x14ac:dyDescent="0.2">
      <c r="A8094" s="22">
        <v>0.67798721790313721</v>
      </c>
    </row>
    <row r="8095" spans="1:1" x14ac:dyDescent="0.2">
      <c r="A8095" s="22">
        <v>0.42073136568069458</v>
      </c>
    </row>
    <row r="8096" spans="1:1" x14ac:dyDescent="0.2">
      <c r="A8096" s="22">
        <v>0.44121718406677246</v>
      </c>
    </row>
    <row r="8097" spans="1:1" x14ac:dyDescent="0.2">
      <c r="A8097" s="22">
        <v>0.32110494375228882</v>
      </c>
    </row>
    <row r="8098" spans="1:1" x14ac:dyDescent="0.2">
      <c r="A8098" s="22">
        <v>0.79490602016448975</v>
      </c>
    </row>
    <row r="8099" spans="1:1" x14ac:dyDescent="0.2">
      <c r="A8099" s="22">
        <v>0.22060972452163696</v>
      </c>
    </row>
    <row r="8100" spans="1:1" x14ac:dyDescent="0.2">
      <c r="A8100" s="22">
        <v>0.83967781066894531</v>
      </c>
    </row>
    <row r="8101" spans="1:1" x14ac:dyDescent="0.2">
      <c r="A8101" s="22">
        <v>0.98143595457077026</v>
      </c>
    </row>
    <row r="8102" spans="1:1" x14ac:dyDescent="0.2">
      <c r="A8102" s="22">
        <v>0.49677431583404541</v>
      </c>
    </row>
    <row r="8103" spans="1:1" x14ac:dyDescent="0.2">
      <c r="A8103" s="22">
        <v>0.31642085313796997</v>
      </c>
    </row>
    <row r="8104" spans="1:1" x14ac:dyDescent="0.2">
      <c r="A8104" s="22">
        <v>0.19799637794494629</v>
      </c>
    </row>
    <row r="8105" spans="1:1" x14ac:dyDescent="0.2">
      <c r="A8105" s="22">
        <v>0.21922439336776733</v>
      </c>
    </row>
    <row r="8106" spans="1:1" x14ac:dyDescent="0.2">
      <c r="A8106" s="22">
        <v>9.5176577568054199E-2</v>
      </c>
    </row>
    <row r="8107" spans="1:1" x14ac:dyDescent="0.2">
      <c r="A8107" s="22">
        <v>0.8359113335609436</v>
      </c>
    </row>
    <row r="8108" spans="1:1" x14ac:dyDescent="0.2">
      <c r="A8108" s="22">
        <v>0.94543313980102539</v>
      </c>
    </row>
    <row r="8109" spans="1:1" x14ac:dyDescent="0.2">
      <c r="A8109" s="22">
        <v>0.30918949842453003</v>
      </c>
    </row>
    <row r="8110" spans="1:1" x14ac:dyDescent="0.2">
      <c r="A8110" s="22">
        <v>7.8455090522766113E-2</v>
      </c>
    </row>
    <row r="8111" spans="1:1" x14ac:dyDescent="0.2">
      <c r="A8111" s="22">
        <v>0.37655431032180786</v>
      </c>
    </row>
    <row r="8112" spans="1:1" x14ac:dyDescent="0.2">
      <c r="A8112" s="22">
        <v>0.10206866264343262</v>
      </c>
    </row>
    <row r="8113" spans="1:1" x14ac:dyDescent="0.2">
      <c r="A8113" s="22">
        <v>0.75358957052230835</v>
      </c>
    </row>
    <row r="8114" spans="1:1" x14ac:dyDescent="0.2">
      <c r="A8114" s="22">
        <v>0.25233495235443115</v>
      </c>
    </row>
    <row r="8115" spans="1:1" x14ac:dyDescent="0.2">
      <c r="A8115" s="22">
        <v>0.58367449045181274</v>
      </c>
    </row>
    <row r="8116" spans="1:1" x14ac:dyDescent="0.2">
      <c r="A8116" s="22">
        <v>0.54442882537841797</v>
      </c>
    </row>
    <row r="8117" spans="1:1" x14ac:dyDescent="0.2">
      <c r="A8117" s="22">
        <v>0.48534697294235229</v>
      </c>
    </row>
    <row r="8118" spans="1:1" x14ac:dyDescent="0.2">
      <c r="A8118" s="22">
        <v>0.13054907321929932</v>
      </c>
    </row>
    <row r="8119" spans="1:1" x14ac:dyDescent="0.2">
      <c r="A8119" s="22">
        <v>0.97857314348220825</v>
      </c>
    </row>
    <row r="8120" spans="1:1" x14ac:dyDescent="0.2">
      <c r="A8120" s="22">
        <v>0.52110981941223145</v>
      </c>
    </row>
    <row r="8121" spans="1:1" x14ac:dyDescent="0.2">
      <c r="A8121" s="22">
        <v>0.32117313146591187</v>
      </c>
    </row>
    <row r="8122" spans="1:1" x14ac:dyDescent="0.2">
      <c r="A8122" s="22">
        <v>0.57546317577362061</v>
      </c>
    </row>
    <row r="8123" spans="1:1" x14ac:dyDescent="0.2">
      <c r="A8123" s="22">
        <v>3.6653101444244385E-2</v>
      </c>
    </row>
    <row r="8124" spans="1:1" x14ac:dyDescent="0.2">
      <c r="A8124" s="22">
        <v>0.41840314865112305</v>
      </c>
    </row>
    <row r="8125" spans="1:1" x14ac:dyDescent="0.2">
      <c r="A8125" s="22">
        <v>0.66469353437423706</v>
      </c>
    </row>
    <row r="8126" spans="1:1" x14ac:dyDescent="0.2">
      <c r="A8126" s="22">
        <v>0.68870079517364502</v>
      </c>
    </row>
    <row r="8127" spans="1:1" x14ac:dyDescent="0.2">
      <c r="A8127" s="22">
        <v>0.51554375886917114</v>
      </c>
    </row>
    <row r="8128" spans="1:1" x14ac:dyDescent="0.2">
      <c r="A8128" s="22">
        <v>0.77592062950134277</v>
      </c>
    </row>
    <row r="8129" spans="1:1" x14ac:dyDescent="0.2">
      <c r="A8129" s="22">
        <v>0.45957273244857788</v>
      </c>
    </row>
    <row r="8130" spans="1:1" x14ac:dyDescent="0.2">
      <c r="A8130" s="22">
        <v>0.95176827907562256</v>
      </c>
    </row>
    <row r="8131" spans="1:1" x14ac:dyDescent="0.2">
      <c r="A8131" s="22">
        <v>3.3226072788238525E-2</v>
      </c>
    </row>
    <row r="8132" spans="1:1" x14ac:dyDescent="0.2">
      <c r="A8132" s="22">
        <v>0.55221939086914063</v>
      </c>
    </row>
    <row r="8133" spans="1:1" x14ac:dyDescent="0.2">
      <c r="A8133" s="22">
        <v>0.39263933897018433</v>
      </c>
    </row>
    <row r="8134" spans="1:1" x14ac:dyDescent="0.2">
      <c r="A8134" s="22">
        <v>0.61667978763580322</v>
      </c>
    </row>
    <row r="8135" spans="1:1" x14ac:dyDescent="0.2">
      <c r="A8135" s="22">
        <v>0.89615756273269653</v>
      </c>
    </row>
    <row r="8136" spans="1:1" x14ac:dyDescent="0.2">
      <c r="A8136" s="22">
        <v>0.6404268741607666</v>
      </c>
    </row>
    <row r="8137" spans="1:1" x14ac:dyDescent="0.2">
      <c r="A8137" s="22">
        <v>0.3470110297203064</v>
      </c>
    </row>
    <row r="8138" spans="1:1" x14ac:dyDescent="0.2">
      <c r="A8138" s="22">
        <v>0.34658229351043701</v>
      </c>
    </row>
    <row r="8139" spans="1:1" x14ac:dyDescent="0.2">
      <c r="A8139" s="22">
        <v>0.17739731073379517</v>
      </c>
    </row>
    <row r="8140" spans="1:1" x14ac:dyDescent="0.2">
      <c r="A8140" s="22">
        <v>0.6338658332824707</v>
      </c>
    </row>
    <row r="8141" spans="1:1" x14ac:dyDescent="0.2">
      <c r="A8141" s="22">
        <v>0.10521954298019409</v>
      </c>
    </row>
    <row r="8142" spans="1:1" x14ac:dyDescent="0.2">
      <c r="A8142" s="22">
        <v>0.10638058185577393</v>
      </c>
    </row>
    <row r="8143" spans="1:1" x14ac:dyDescent="0.2">
      <c r="A8143" s="22">
        <v>4.4730961322784424E-2</v>
      </c>
    </row>
    <row r="8144" spans="1:1" x14ac:dyDescent="0.2">
      <c r="A8144" s="22">
        <v>0.84167933464050293</v>
      </c>
    </row>
    <row r="8145" spans="1:1" x14ac:dyDescent="0.2">
      <c r="A8145" s="22">
        <v>0.30233567953109741</v>
      </c>
    </row>
    <row r="8146" spans="1:1" x14ac:dyDescent="0.2">
      <c r="A8146" s="22">
        <v>0.30336225032806396</v>
      </c>
    </row>
    <row r="8147" spans="1:1" x14ac:dyDescent="0.2">
      <c r="A8147" s="22">
        <v>0.33879572153091431</v>
      </c>
    </row>
    <row r="8148" spans="1:1" x14ac:dyDescent="0.2">
      <c r="A8148" s="22">
        <v>0.55445575714111328</v>
      </c>
    </row>
    <row r="8149" spans="1:1" x14ac:dyDescent="0.2">
      <c r="A8149" s="22">
        <v>0.62909430265426636</v>
      </c>
    </row>
    <row r="8150" spans="1:1" x14ac:dyDescent="0.2">
      <c r="A8150" s="22">
        <v>0.17782270908355713</v>
      </c>
    </row>
    <row r="8151" spans="1:1" x14ac:dyDescent="0.2">
      <c r="A8151" s="22">
        <v>0.40120536088943481</v>
      </c>
    </row>
    <row r="8152" spans="1:1" x14ac:dyDescent="0.2">
      <c r="A8152" s="22">
        <v>0.55985379219055176</v>
      </c>
    </row>
    <row r="8153" spans="1:1" x14ac:dyDescent="0.2">
      <c r="A8153" s="22">
        <v>0.28501933813095093</v>
      </c>
    </row>
    <row r="8154" spans="1:1" x14ac:dyDescent="0.2">
      <c r="A8154" s="22">
        <v>0.44369018077850342</v>
      </c>
    </row>
    <row r="8155" spans="1:1" x14ac:dyDescent="0.2">
      <c r="A8155" s="22">
        <v>0.15267521142959595</v>
      </c>
    </row>
    <row r="8156" spans="1:1" x14ac:dyDescent="0.2">
      <c r="A8156" s="22">
        <v>0.90822744369506836</v>
      </c>
    </row>
    <row r="8157" spans="1:1" x14ac:dyDescent="0.2">
      <c r="A8157" s="22">
        <v>0.68154877424240112</v>
      </c>
    </row>
    <row r="8158" spans="1:1" x14ac:dyDescent="0.2">
      <c r="A8158" s="22">
        <v>0.17915070056915283</v>
      </c>
    </row>
    <row r="8159" spans="1:1" x14ac:dyDescent="0.2">
      <c r="A8159" s="22">
        <v>0.42114716768264771</v>
      </c>
    </row>
    <row r="8160" spans="1:1" x14ac:dyDescent="0.2">
      <c r="A8160" s="22">
        <v>0.92825102806091309</v>
      </c>
    </row>
    <row r="8161" spans="1:1" x14ac:dyDescent="0.2">
      <c r="A8161" s="22">
        <v>0.39515966176986694</v>
      </c>
    </row>
    <row r="8162" spans="1:1" x14ac:dyDescent="0.2">
      <c r="A8162" s="22">
        <v>0.96727311611175537</v>
      </c>
    </row>
    <row r="8163" spans="1:1" x14ac:dyDescent="0.2">
      <c r="A8163" s="22">
        <v>0.51991468667984009</v>
      </c>
    </row>
    <row r="8164" spans="1:1" x14ac:dyDescent="0.2">
      <c r="A8164" s="22">
        <v>0.49254417419433594</v>
      </c>
    </row>
    <row r="8165" spans="1:1" x14ac:dyDescent="0.2">
      <c r="A8165" s="22">
        <v>0.37049311399459839</v>
      </c>
    </row>
    <row r="8166" spans="1:1" x14ac:dyDescent="0.2">
      <c r="A8166" s="22">
        <v>0.28663408756256104</v>
      </c>
    </row>
    <row r="8167" spans="1:1" x14ac:dyDescent="0.2">
      <c r="A8167" s="22">
        <v>7.5747787952423096E-2</v>
      </c>
    </row>
    <row r="8168" spans="1:1" x14ac:dyDescent="0.2">
      <c r="A8168" s="22">
        <v>0.53329682350158691</v>
      </c>
    </row>
    <row r="8169" spans="1:1" x14ac:dyDescent="0.2">
      <c r="A8169" s="22">
        <v>0.37347930669784546</v>
      </c>
    </row>
    <row r="8170" spans="1:1" x14ac:dyDescent="0.2">
      <c r="A8170" s="22">
        <v>0.15194308757781982</v>
      </c>
    </row>
    <row r="8171" spans="1:1" x14ac:dyDescent="0.2">
      <c r="A8171" s="22">
        <v>0.10701805353164673</v>
      </c>
    </row>
    <row r="8172" spans="1:1" x14ac:dyDescent="0.2">
      <c r="A8172" s="22">
        <v>0.80789422988891602</v>
      </c>
    </row>
    <row r="8173" spans="1:1" x14ac:dyDescent="0.2">
      <c r="A8173" s="22">
        <v>0.69446247816085815</v>
      </c>
    </row>
    <row r="8174" spans="1:1" x14ac:dyDescent="0.2">
      <c r="A8174" s="22">
        <v>4.6674013137817383E-3</v>
      </c>
    </row>
    <row r="8175" spans="1:1" x14ac:dyDescent="0.2">
      <c r="A8175" s="22">
        <v>0.35182362794876099</v>
      </c>
    </row>
    <row r="8176" spans="1:1" x14ac:dyDescent="0.2">
      <c r="A8176" s="22">
        <v>0.91454195976257324</v>
      </c>
    </row>
    <row r="8177" spans="1:1" x14ac:dyDescent="0.2">
      <c r="A8177" s="22">
        <v>0.10132592916488647</v>
      </c>
    </row>
    <row r="8178" spans="1:1" x14ac:dyDescent="0.2">
      <c r="A8178" s="22">
        <v>0.85365712642669678</v>
      </c>
    </row>
    <row r="8179" spans="1:1" x14ac:dyDescent="0.2">
      <c r="A8179" s="22">
        <v>0.84611421823501587</v>
      </c>
    </row>
    <row r="8180" spans="1:1" x14ac:dyDescent="0.2">
      <c r="A8180" s="22">
        <v>0.55789089202880859</v>
      </c>
    </row>
    <row r="8181" spans="1:1" x14ac:dyDescent="0.2">
      <c r="A8181" s="22">
        <v>4.261702299118042E-2</v>
      </c>
    </row>
    <row r="8182" spans="1:1" x14ac:dyDescent="0.2">
      <c r="A8182" s="22">
        <v>0.66577017307281494</v>
      </c>
    </row>
    <row r="8183" spans="1:1" x14ac:dyDescent="0.2">
      <c r="A8183" s="22">
        <v>0.75181609392166138</v>
      </c>
    </row>
    <row r="8184" spans="1:1" x14ac:dyDescent="0.2">
      <c r="A8184" s="22">
        <v>6.466221809387207E-2</v>
      </c>
    </row>
    <row r="8185" spans="1:1" x14ac:dyDescent="0.2">
      <c r="A8185" s="22">
        <v>0.10067218542098999</v>
      </c>
    </row>
    <row r="8186" spans="1:1" x14ac:dyDescent="0.2">
      <c r="A8186" s="22">
        <v>6.4972639083862305E-3</v>
      </c>
    </row>
    <row r="8187" spans="1:1" x14ac:dyDescent="0.2">
      <c r="A8187" s="22">
        <v>0.43495708703994751</v>
      </c>
    </row>
    <row r="8188" spans="1:1" x14ac:dyDescent="0.2">
      <c r="A8188" s="22">
        <v>0.14927244186401367</v>
      </c>
    </row>
    <row r="8189" spans="1:1" x14ac:dyDescent="0.2">
      <c r="A8189" s="22">
        <v>0.69474190473556519</v>
      </c>
    </row>
    <row r="8190" spans="1:1" x14ac:dyDescent="0.2">
      <c r="A8190" s="22">
        <v>0.93058693408966064</v>
      </c>
    </row>
    <row r="8191" spans="1:1" x14ac:dyDescent="0.2">
      <c r="A8191" s="22">
        <v>0.79379159212112427</v>
      </c>
    </row>
    <row r="8192" spans="1:1" x14ac:dyDescent="0.2">
      <c r="A8192" s="22">
        <v>0.9294583797454834</v>
      </c>
    </row>
    <row r="8193" spans="1:1" x14ac:dyDescent="0.2">
      <c r="A8193" s="22">
        <v>3.4115731716156006E-2</v>
      </c>
    </row>
    <row r="8194" spans="1:1" x14ac:dyDescent="0.2">
      <c r="A8194" s="22">
        <v>0.12267053127288818</v>
      </c>
    </row>
    <row r="8195" spans="1:1" x14ac:dyDescent="0.2">
      <c r="A8195" s="22">
        <v>0.83692556619644165</v>
      </c>
    </row>
    <row r="8196" spans="1:1" x14ac:dyDescent="0.2">
      <c r="A8196" s="22">
        <v>0.19190216064453125</v>
      </c>
    </row>
    <row r="8197" spans="1:1" x14ac:dyDescent="0.2">
      <c r="A8197" s="22">
        <v>0.32124727964401245</v>
      </c>
    </row>
    <row r="8198" spans="1:1" x14ac:dyDescent="0.2">
      <c r="A8198" s="22">
        <v>0.28788721561431885</v>
      </c>
    </row>
    <row r="8199" spans="1:1" x14ac:dyDescent="0.2">
      <c r="A8199" s="22">
        <v>0.51144152879714966</v>
      </c>
    </row>
    <row r="8200" spans="1:1" x14ac:dyDescent="0.2">
      <c r="A8200" s="22">
        <v>0.90785622596740723</v>
      </c>
    </row>
    <row r="8201" spans="1:1" x14ac:dyDescent="0.2">
      <c r="A8201" s="22">
        <v>0.20487922430038452</v>
      </c>
    </row>
    <row r="8202" spans="1:1" x14ac:dyDescent="0.2">
      <c r="A8202" s="22">
        <v>0.79250895977020264</v>
      </c>
    </row>
    <row r="8203" spans="1:1" x14ac:dyDescent="0.2">
      <c r="A8203" s="22">
        <v>0.78102356195449829</v>
      </c>
    </row>
    <row r="8204" spans="1:1" x14ac:dyDescent="0.2">
      <c r="A8204" s="22">
        <v>0.99876832962036133</v>
      </c>
    </row>
    <row r="8205" spans="1:1" x14ac:dyDescent="0.2">
      <c r="A8205" s="22">
        <v>0.48316830396652222</v>
      </c>
    </row>
    <row r="8206" spans="1:1" x14ac:dyDescent="0.2">
      <c r="A8206" s="22">
        <v>0.55456554889678955</v>
      </c>
    </row>
    <row r="8207" spans="1:1" x14ac:dyDescent="0.2">
      <c r="A8207" s="22">
        <v>0.95408231019973755</v>
      </c>
    </row>
    <row r="8208" spans="1:1" x14ac:dyDescent="0.2">
      <c r="A8208" s="22">
        <v>0.35190653800964355</v>
      </c>
    </row>
    <row r="8209" spans="1:1" x14ac:dyDescent="0.2">
      <c r="A8209" s="22">
        <v>5.6810319423675537E-2</v>
      </c>
    </row>
    <row r="8210" spans="1:1" x14ac:dyDescent="0.2">
      <c r="A8210" s="22">
        <v>0.18446958065032959</v>
      </c>
    </row>
    <row r="8211" spans="1:1" x14ac:dyDescent="0.2">
      <c r="A8211" s="22">
        <v>0.26187998056411743</v>
      </c>
    </row>
    <row r="8212" spans="1:1" x14ac:dyDescent="0.2">
      <c r="A8212" s="22">
        <v>8.5984230041503906E-2</v>
      </c>
    </row>
    <row r="8213" spans="1:1" x14ac:dyDescent="0.2">
      <c r="A8213" s="22">
        <v>0.13216513395309448</v>
      </c>
    </row>
    <row r="8214" spans="1:1" x14ac:dyDescent="0.2">
      <c r="A8214" s="22">
        <v>0.37564146518707275</v>
      </c>
    </row>
    <row r="8215" spans="1:1" x14ac:dyDescent="0.2">
      <c r="A8215" s="22">
        <v>0.68665534257888794</v>
      </c>
    </row>
    <row r="8216" spans="1:1" x14ac:dyDescent="0.2">
      <c r="A8216" s="22">
        <v>6.6785097122192383E-2</v>
      </c>
    </row>
    <row r="8217" spans="1:1" x14ac:dyDescent="0.2">
      <c r="A8217" s="22">
        <v>0.67438167333602905</v>
      </c>
    </row>
    <row r="8218" spans="1:1" x14ac:dyDescent="0.2">
      <c r="A8218" s="22">
        <v>0.54513442516326904</v>
      </c>
    </row>
    <row r="8219" spans="1:1" x14ac:dyDescent="0.2">
      <c r="A8219" s="22">
        <v>3.9748728275299072E-2</v>
      </c>
    </row>
    <row r="8220" spans="1:1" x14ac:dyDescent="0.2">
      <c r="A8220" s="22">
        <v>0.67278814315795898</v>
      </c>
    </row>
    <row r="8221" spans="1:1" x14ac:dyDescent="0.2">
      <c r="A8221" s="22">
        <v>0.11052292585372925</v>
      </c>
    </row>
    <row r="8222" spans="1:1" x14ac:dyDescent="0.2">
      <c r="A8222" s="22">
        <v>0.72425949573516846</v>
      </c>
    </row>
    <row r="8223" spans="1:1" x14ac:dyDescent="0.2">
      <c r="A8223" s="22">
        <v>0.28972703218460083</v>
      </c>
    </row>
    <row r="8224" spans="1:1" x14ac:dyDescent="0.2">
      <c r="A8224" s="22">
        <v>0.81079268455505371</v>
      </c>
    </row>
    <row r="8225" spans="1:1" x14ac:dyDescent="0.2">
      <c r="A8225" s="22">
        <v>0.28269094228744507</v>
      </c>
    </row>
    <row r="8226" spans="1:1" x14ac:dyDescent="0.2">
      <c r="A8226" s="22">
        <v>0.699210524559021</v>
      </c>
    </row>
    <row r="8227" spans="1:1" x14ac:dyDescent="0.2">
      <c r="A8227" s="22">
        <v>0.14050871133804321</v>
      </c>
    </row>
    <row r="8228" spans="1:1" x14ac:dyDescent="0.2">
      <c r="A8228" s="22">
        <v>0.18154335021972656</v>
      </c>
    </row>
    <row r="8229" spans="1:1" x14ac:dyDescent="0.2">
      <c r="A8229" s="22">
        <v>0.65115183591842651</v>
      </c>
    </row>
    <row r="8230" spans="1:1" x14ac:dyDescent="0.2">
      <c r="A8230" s="22">
        <v>0.40168917179107666</v>
      </c>
    </row>
    <row r="8231" spans="1:1" x14ac:dyDescent="0.2">
      <c r="A8231" s="22">
        <v>0.85948878526687622</v>
      </c>
    </row>
    <row r="8232" spans="1:1" x14ac:dyDescent="0.2">
      <c r="A8232" s="22">
        <v>0.79535508155822754</v>
      </c>
    </row>
    <row r="8233" spans="1:1" x14ac:dyDescent="0.2">
      <c r="A8233" s="22">
        <v>0.74746078252792358</v>
      </c>
    </row>
    <row r="8234" spans="1:1" x14ac:dyDescent="0.2">
      <c r="A8234" s="22">
        <v>0.54952991008758545</v>
      </c>
    </row>
    <row r="8235" spans="1:1" x14ac:dyDescent="0.2">
      <c r="A8235" s="22">
        <v>0.35566383600234985</v>
      </c>
    </row>
    <row r="8236" spans="1:1" x14ac:dyDescent="0.2">
      <c r="A8236" s="22">
        <v>0.73773813247680664</v>
      </c>
    </row>
    <row r="8237" spans="1:1" x14ac:dyDescent="0.2">
      <c r="A8237" s="22">
        <v>0.87758702039718628</v>
      </c>
    </row>
    <row r="8238" spans="1:1" x14ac:dyDescent="0.2">
      <c r="A8238" s="22">
        <v>0.53732502460479736</v>
      </c>
    </row>
    <row r="8239" spans="1:1" x14ac:dyDescent="0.2">
      <c r="A8239" s="22">
        <v>0.50775700807571411</v>
      </c>
    </row>
    <row r="8240" spans="1:1" x14ac:dyDescent="0.2">
      <c r="A8240" s="22">
        <v>0.18502306938171387</v>
      </c>
    </row>
    <row r="8241" spans="1:1" x14ac:dyDescent="0.2">
      <c r="A8241" s="22">
        <v>7.50388503074646E-2</v>
      </c>
    </row>
    <row r="8242" spans="1:1" x14ac:dyDescent="0.2">
      <c r="A8242" s="22">
        <v>0.5770496129989624</v>
      </c>
    </row>
    <row r="8243" spans="1:1" x14ac:dyDescent="0.2">
      <c r="A8243" s="22">
        <v>0.74234300851821899</v>
      </c>
    </row>
    <row r="8244" spans="1:1" x14ac:dyDescent="0.2">
      <c r="A8244" s="22">
        <v>0.66998577117919922</v>
      </c>
    </row>
    <row r="8245" spans="1:1" x14ac:dyDescent="0.2">
      <c r="A8245" s="22">
        <v>0.30398863554000854</v>
      </c>
    </row>
    <row r="8246" spans="1:1" x14ac:dyDescent="0.2">
      <c r="A8246" s="22">
        <v>8.8686585426330566E-2</v>
      </c>
    </row>
    <row r="8247" spans="1:1" x14ac:dyDescent="0.2">
      <c r="A8247" s="22">
        <v>0.8619731068611145</v>
      </c>
    </row>
    <row r="8248" spans="1:1" x14ac:dyDescent="0.2">
      <c r="A8248" s="22">
        <v>0.5974724292755127</v>
      </c>
    </row>
    <row r="8249" spans="1:1" x14ac:dyDescent="0.2">
      <c r="A8249" s="22">
        <v>0.91239780187606812</v>
      </c>
    </row>
    <row r="8250" spans="1:1" x14ac:dyDescent="0.2">
      <c r="A8250" s="22">
        <v>0.34085166454315186</v>
      </c>
    </row>
    <row r="8251" spans="1:1" x14ac:dyDescent="0.2">
      <c r="A8251" s="22">
        <v>0.12330013513565063</v>
      </c>
    </row>
    <row r="8252" spans="1:1" x14ac:dyDescent="0.2">
      <c r="A8252" s="22">
        <v>1.0024547576904297E-2</v>
      </c>
    </row>
    <row r="8253" spans="1:1" x14ac:dyDescent="0.2">
      <c r="A8253" s="22">
        <v>0.33514183759689331</v>
      </c>
    </row>
    <row r="8254" spans="1:1" x14ac:dyDescent="0.2">
      <c r="A8254" s="22">
        <v>0.34141838550567627</v>
      </c>
    </row>
    <row r="8255" spans="1:1" x14ac:dyDescent="0.2">
      <c r="A8255" s="22">
        <v>0.56520348787307739</v>
      </c>
    </row>
    <row r="8256" spans="1:1" x14ac:dyDescent="0.2">
      <c r="A8256" s="22">
        <v>0.60350394248962402</v>
      </c>
    </row>
    <row r="8257" spans="1:1" x14ac:dyDescent="0.2">
      <c r="A8257" s="22">
        <v>4.7135293483734131E-2</v>
      </c>
    </row>
    <row r="8258" spans="1:1" x14ac:dyDescent="0.2">
      <c r="A8258" s="22">
        <v>0.97814309597015381</v>
      </c>
    </row>
    <row r="8259" spans="1:1" x14ac:dyDescent="0.2">
      <c r="A8259" s="22">
        <v>0.58691412210464478</v>
      </c>
    </row>
    <row r="8260" spans="1:1" x14ac:dyDescent="0.2">
      <c r="A8260" s="22">
        <v>0.99271774291992188</v>
      </c>
    </row>
    <row r="8261" spans="1:1" x14ac:dyDescent="0.2">
      <c r="A8261" s="22">
        <v>0.76645678281784058</v>
      </c>
    </row>
    <row r="8262" spans="1:1" x14ac:dyDescent="0.2">
      <c r="A8262" s="22">
        <v>0.40928995609283447</v>
      </c>
    </row>
    <row r="8263" spans="1:1" x14ac:dyDescent="0.2">
      <c r="A8263" s="22">
        <v>0.77613955736160278</v>
      </c>
    </row>
    <row r="8264" spans="1:1" x14ac:dyDescent="0.2">
      <c r="A8264" s="22">
        <v>0.22704339027404785</v>
      </c>
    </row>
    <row r="8265" spans="1:1" x14ac:dyDescent="0.2">
      <c r="A8265" s="22">
        <v>0.90747398138046265</v>
      </c>
    </row>
    <row r="8266" spans="1:1" x14ac:dyDescent="0.2">
      <c r="A8266" s="22">
        <v>0.70425593852996826</v>
      </c>
    </row>
    <row r="8267" spans="1:1" x14ac:dyDescent="0.2">
      <c r="A8267" s="22">
        <v>0.98718887567520142</v>
      </c>
    </row>
    <row r="8268" spans="1:1" x14ac:dyDescent="0.2">
      <c r="A8268" s="22">
        <v>0.55605363845825195</v>
      </c>
    </row>
    <row r="8269" spans="1:1" x14ac:dyDescent="0.2">
      <c r="A8269" s="22">
        <v>0.28396862745285034</v>
      </c>
    </row>
    <row r="8270" spans="1:1" x14ac:dyDescent="0.2">
      <c r="A8270" s="22">
        <v>0.73419582843780518</v>
      </c>
    </row>
    <row r="8271" spans="1:1" x14ac:dyDescent="0.2">
      <c r="A8271" s="22">
        <v>0.66909772157669067</v>
      </c>
    </row>
    <row r="8272" spans="1:1" x14ac:dyDescent="0.2">
      <c r="A8272" s="22">
        <v>0.44514155387878418</v>
      </c>
    </row>
    <row r="8273" spans="1:1" x14ac:dyDescent="0.2">
      <c r="A8273" s="22">
        <v>6.2261521816253662E-2</v>
      </c>
    </row>
    <row r="8274" spans="1:1" x14ac:dyDescent="0.2">
      <c r="A8274" s="22">
        <v>0.31264722347259521</v>
      </c>
    </row>
    <row r="8275" spans="1:1" x14ac:dyDescent="0.2">
      <c r="A8275" s="22">
        <v>0.44375330209732056</v>
      </c>
    </row>
    <row r="8276" spans="1:1" x14ac:dyDescent="0.2">
      <c r="A8276" s="22">
        <v>0.84114551544189453</v>
      </c>
    </row>
    <row r="8277" spans="1:1" x14ac:dyDescent="0.2">
      <c r="A8277" s="22">
        <v>0.96433752775192261</v>
      </c>
    </row>
    <row r="8278" spans="1:1" x14ac:dyDescent="0.2">
      <c r="A8278" s="22">
        <v>0.58615553379058838</v>
      </c>
    </row>
    <row r="8279" spans="1:1" x14ac:dyDescent="0.2">
      <c r="A8279" s="22">
        <v>0.93401938676834106</v>
      </c>
    </row>
    <row r="8280" spans="1:1" x14ac:dyDescent="0.2">
      <c r="A8280" s="22">
        <v>0.68797421455383301</v>
      </c>
    </row>
    <row r="8281" spans="1:1" x14ac:dyDescent="0.2">
      <c r="A8281" s="22">
        <v>0.72097057104110718</v>
      </c>
    </row>
    <row r="8282" spans="1:1" x14ac:dyDescent="0.2">
      <c r="A8282" s="22">
        <v>0.67489898204803467</v>
      </c>
    </row>
    <row r="8283" spans="1:1" x14ac:dyDescent="0.2">
      <c r="A8283" s="22">
        <v>0.8418613076210022</v>
      </c>
    </row>
    <row r="8284" spans="1:1" x14ac:dyDescent="0.2">
      <c r="A8284" s="22">
        <v>0.69223165512084961</v>
      </c>
    </row>
    <row r="8285" spans="1:1" x14ac:dyDescent="0.2">
      <c r="A8285" s="22">
        <v>0.77484863996505737</v>
      </c>
    </row>
    <row r="8286" spans="1:1" x14ac:dyDescent="0.2">
      <c r="A8286" s="22">
        <v>0.56331360340118408</v>
      </c>
    </row>
    <row r="8287" spans="1:1" x14ac:dyDescent="0.2">
      <c r="A8287" s="22">
        <v>0.27647095918655396</v>
      </c>
    </row>
    <row r="8288" spans="1:1" x14ac:dyDescent="0.2">
      <c r="A8288" s="22">
        <v>0.33884215354919434</v>
      </c>
    </row>
    <row r="8289" spans="1:1" x14ac:dyDescent="0.2">
      <c r="A8289" s="22">
        <v>0.23369878530502319</v>
      </c>
    </row>
    <row r="8290" spans="1:1" x14ac:dyDescent="0.2">
      <c r="A8290" s="22">
        <v>0.24071824550628662</v>
      </c>
    </row>
    <row r="8291" spans="1:1" x14ac:dyDescent="0.2">
      <c r="A8291" s="22">
        <v>0.33239179849624634</v>
      </c>
    </row>
    <row r="8292" spans="1:1" x14ac:dyDescent="0.2">
      <c r="A8292" s="22">
        <v>0.15667533874511719</v>
      </c>
    </row>
    <row r="8293" spans="1:1" x14ac:dyDescent="0.2">
      <c r="A8293" s="22">
        <v>7.3412120342254639E-2</v>
      </c>
    </row>
    <row r="8294" spans="1:1" x14ac:dyDescent="0.2">
      <c r="A8294" s="22">
        <v>9.1939568519592285E-2</v>
      </c>
    </row>
    <row r="8295" spans="1:1" x14ac:dyDescent="0.2">
      <c r="A8295" s="22">
        <v>0.91764384508132935</v>
      </c>
    </row>
    <row r="8296" spans="1:1" x14ac:dyDescent="0.2">
      <c r="A8296" s="22">
        <v>0.23417115211486816</v>
      </c>
    </row>
    <row r="8297" spans="1:1" x14ac:dyDescent="0.2">
      <c r="A8297" s="22">
        <v>0.59116882085800171</v>
      </c>
    </row>
    <row r="8298" spans="1:1" x14ac:dyDescent="0.2">
      <c r="A8298" s="22">
        <v>0.53793704509735107</v>
      </c>
    </row>
    <row r="8299" spans="1:1" x14ac:dyDescent="0.2">
      <c r="A8299" s="22">
        <v>0.83184868097305298</v>
      </c>
    </row>
    <row r="8300" spans="1:1" x14ac:dyDescent="0.2">
      <c r="A8300" s="22">
        <v>0.98496484756469727</v>
      </c>
    </row>
    <row r="8301" spans="1:1" x14ac:dyDescent="0.2">
      <c r="A8301" s="22">
        <v>0.1085631251335144</v>
      </c>
    </row>
    <row r="8302" spans="1:1" x14ac:dyDescent="0.2">
      <c r="A8302" s="22">
        <v>0.92642796039581299</v>
      </c>
    </row>
    <row r="8303" spans="1:1" x14ac:dyDescent="0.2">
      <c r="A8303" s="22">
        <v>9.4354450702667236E-2</v>
      </c>
    </row>
    <row r="8304" spans="1:1" x14ac:dyDescent="0.2">
      <c r="A8304" s="22">
        <v>0.16351199150085449</v>
      </c>
    </row>
    <row r="8305" spans="1:1" x14ac:dyDescent="0.2">
      <c r="A8305" s="22">
        <v>0.92472833395004272</v>
      </c>
    </row>
    <row r="8306" spans="1:1" x14ac:dyDescent="0.2">
      <c r="A8306" s="22">
        <v>0.67251241207122803</v>
      </c>
    </row>
    <row r="8307" spans="1:1" x14ac:dyDescent="0.2">
      <c r="A8307" s="22">
        <v>0.52236086130142212</v>
      </c>
    </row>
    <row r="8308" spans="1:1" x14ac:dyDescent="0.2">
      <c r="A8308" s="22">
        <v>0.13071346282958984</v>
      </c>
    </row>
    <row r="8309" spans="1:1" x14ac:dyDescent="0.2">
      <c r="A8309" s="22">
        <v>0.51946181058883667</v>
      </c>
    </row>
    <row r="8310" spans="1:1" x14ac:dyDescent="0.2">
      <c r="A8310" s="22">
        <v>0.64929831027984619</v>
      </c>
    </row>
    <row r="8311" spans="1:1" x14ac:dyDescent="0.2">
      <c r="A8311" s="22">
        <v>0.55904418230056763</v>
      </c>
    </row>
    <row r="8312" spans="1:1" x14ac:dyDescent="0.2">
      <c r="A8312" s="22">
        <v>0.36954045295715332</v>
      </c>
    </row>
    <row r="8313" spans="1:1" x14ac:dyDescent="0.2">
      <c r="A8313" s="22">
        <v>6.3499808311462402E-3</v>
      </c>
    </row>
    <row r="8314" spans="1:1" x14ac:dyDescent="0.2">
      <c r="A8314" s="22">
        <v>0.82852637767791748</v>
      </c>
    </row>
    <row r="8315" spans="1:1" x14ac:dyDescent="0.2">
      <c r="A8315" s="22">
        <v>0.35168224573135376</v>
      </c>
    </row>
    <row r="8316" spans="1:1" x14ac:dyDescent="0.2">
      <c r="A8316" s="22">
        <v>0.25065946578979492</v>
      </c>
    </row>
    <row r="8317" spans="1:1" x14ac:dyDescent="0.2">
      <c r="A8317" s="22">
        <v>0.83589333295822144</v>
      </c>
    </row>
    <row r="8318" spans="1:1" x14ac:dyDescent="0.2">
      <c r="A8318" s="22">
        <v>0.17119514942169189</v>
      </c>
    </row>
    <row r="8319" spans="1:1" x14ac:dyDescent="0.2">
      <c r="A8319" s="22">
        <v>7.9779446125030518E-2</v>
      </c>
    </row>
    <row r="8320" spans="1:1" x14ac:dyDescent="0.2">
      <c r="A8320" s="22">
        <v>4.8057317733764648E-2</v>
      </c>
    </row>
    <row r="8321" spans="1:1" x14ac:dyDescent="0.2">
      <c r="A8321" s="22">
        <v>0.74863141775131226</v>
      </c>
    </row>
    <row r="8322" spans="1:1" x14ac:dyDescent="0.2">
      <c r="A8322" s="22">
        <v>0.76818597316741943</v>
      </c>
    </row>
    <row r="8323" spans="1:1" x14ac:dyDescent="0.2">
      <c r="A8323" s="22">
        <v>0.5331917405128479</v>
      </c>
    </row>
    <row r="8324" spans="1:1" x14ac:dyDescent="0.2">
      <c r="A8324" s="22">
        <v>0.2046661376953125</v>
      </c>
    </row>
    <row r="8325" spans="1:1" x14ac:dyDescent="0.2">
      <c r="A8325" s="22">
        <v>0.9782678484916687</v>
      </c>
    </row>
    <row r="8326" spans="1:1" x14ac:dyDescent="0.2">
      <c r="A8326" s="22">
        <v>0.2308880090713501</v>
      </c>
    </row>
    <row r="8327" spans="1:1" x14ac:dyDescent="0.2">
      <c r="A8327" s="22">
        <v>0.94025164842605591</v>
      </c>
    </row>
    <row r="8328" spans="1:1" x14ac:dyDescent="0.2">
      <c r="A8328" s="22">
        <v>0.84798836708068848</v>
      </c>
    </row>
    <row r="8329" spans="1:1" x14ac:dyDescent="0.2">
      <c r="A8329" s="22">
        <v>0.70479530096054077</v>
      </c>
    </row>
    <row r="8330" spans="1:1" x14ac:dyDescent="0.2">
      <c r="A8330" s="22">
        <v>0.33182322978973389</v>
      </c>
    </row>
    <row r="8331" spans="1:1" x14ac:dyDescent="0.2">
      <c r="A8331" s="22">
        <v>4.5893251895904541E-2</v>
      </c>
    </row>
    <row r="8332" spans="1:1" x14ac:dyDescent="0.2">
      <c r="A8332" s="22">
        <v>0.55572175979614258</v>
      </c>
    </row>
    <row r="8333" spans="1:1" x14ac:dyDescent="0.2">
      <c r="A8333" s="22">
        <v>0.75762051343917847</v>
      </c>
    </row>
    <row r="8334" spans="1:1" x14ac:dyDescent="0.2">
      <c r="A8334" s="22">
        <v>0.8952714204788208</v>
      </c>
    </row>
    <row r="8335" spans="1:1" x14ac:dyDescent="0.2">
      <c r="A8335" s="22">
        <v>0.4397771954536438</v>
      </c>
    </row>
    <row r="8336" spans="1:1" x14ac:dyDescent="0.2">
      <c r="A8336" s="22">
        <v>0.3713843822479248</v>
      </c>
    </row>
    <row r="8337" spans="1:1" x14ac:dyDescent="0.2">
      <c r="A8337" s="22">
        <v>0.56868928670883179</v>
      </c>
    </row>
    <row r="8338" spans="1:1" x14ac:dyDescent="0.2">
      <c r="A8338" s="22">
        <v>0.93789517879486084</v>
      </c>
    </row>
    <row r="8339" spans="1:1" x14ac:dyDescent="0.2">
      <c r="A8339" s="22">
        <v>0.13441568613052368</v>
      </c>
    </row>
    <row r="8340" spans="1:1" x14ac:dyDescent="0.2">
      <c r="A8340" s="22">
        <v>6.9939613342285156E-2</v>
      </c>
    </row>
    <row r="8341" spans="1:1" x14ac:dyDescent="0.2">
      <c r="A8341" s="22">
        <v>0.37561148405075073</v>
      </c>
    </row>
    <row r="8342" spans="1:1" x14ac:dyDescent="0.2">
      <c r="A8342" s="22">
        <v>5.9364914894104004E-2</v>
      </c>
    </row>
    <row r="8343" spans="1:1" x14ac:dyDescent="0.2">
      <c r="A8343" s="22">
        <v>0.39329749345779419</v>
      </c>
    </row>
    <row r="8344" spans="1:1" x14ac:dyDescent="0.2">
      <c r="A8344" s="22">
        <v>0.67342114448547363</v>
      </c>
    </row>
    <row r="8345" spans="1:1" x14ac:dyDescent="0.2">
      <c r="A8345" s="22">
        <v>0.6747860312461853</v>
      </c>
    </row>
    <row r="8346" spans="1:1" x14ac:dyDescent="0.2">
      <c r="A8346" s="22">
        <v>8.2983851432800293E-2</v>
      </c>
    </row>
    <row r="8347" spans="1:1" x14ac:dyDescent="0.2">
      <c r="A8347" s="22">
        <v>0.80901294946670532</v>
      </c>
    </row>
    <row r="8348" spans="1:1" x14ac:dyDescent="0.2">
      <c r="A8348" s="22">
        <v>0.21655797958374023</v>
      </c>
    </row>
    <row r="8349" spans="1:1" x14ac:dyDescent="0.2">
      <c r="A8349" s="22">
        <v>0.9245259165763855</v>
      </c>
    </row>
    <row r="8350" spans="1:1" x14ac:dyDescent="0.2">
      <c r="A8350" s="22">
        <v>0.94631302356719971</v>
      </c>
    </row>
    <row r="8351" spans="1:1" x14ac:dyDescent="0.2">
      <c r="A8351" s="22">
        <v>0.63137894868850708</v>
      </c>
    </row>
    <row r="8352" spans="1:1" x14ac:dyDescent="0.2">
      <c r="A8352" s="22">
        <v>0.76239943504333496</v>
      </c>
    </row>
    <row r="8353" spans="1:1" x14ac:dyDescent="0.2">
      <c r="A8353" s="22">
        <v>0.49818319082260132</v>
      </c>
    </row>
    <row r="8354" spans="1:1" x14ac:dyDescent="0.2">
      <c r="A8354" s="22">
        <v>0.84179627895355225</v>
      </c>
    </row>
    <row r="8355" spans="1:1" x14ac:dyDescent="0.2">
      <c r="A8355" s="22">
        <v>0.34556394815444946</v>
      </c>
    </row>
    <row r="8356" spans="1:1" x14ac:dyDescent="0.2">
      <c r="A8356" s="22">
        <v>0.66794013977050781</v>
      </c>
    </row>
    <row r="8357" spans="1:1" x14ac:dyDescent="0.2">
      <c r="A8357" s="22">
        <v>0.88727396726608276</v>
      </c>
    </row>
    <row r="8358" spans="1:1" x14ac:dyDescent="0.2">
      <c r="A8358" s="22">
        <v>0.60738527774810791</v>
      </c>
    </row>
    <row r="8359" spans="1:1" x14ac:dyDescent="0.2">
      <c r="A8359" s="22">
        <v>0.50021296739578247</v>
      </c>
    </row>
    <row r="8360" spans="1:1" x14ac:dyDescent="0.2">
      <c r="A8360" s="22">
        <v>9.9745035171508789E-2</v>
      </c>
    </row>
    <row r="8361" spans="1:1" x14ac:dyDescent="0.2">
      <c r="A8361" s="22">
        <v>0.15460342168807983</v>
      </c>
    </row>
    <row r="8362" spans="1:1" x14ac:dyDescent="0.2">
      <c r="A8362" s="22">
        <v>0.3671644926071167</v>
      </c>
    </row>
    <row r="8363" spans="1:1" x14ac:dyDescent="0.2">
      <c r="A8363" s="22">
        <v>0.7855725884437561</v>
      </c>
    </row>
    <row r="8364" spans="1:1" x14ac:dyDescent="0.2">
      <c r="A8364" s="22">
        <v>0.79957437515258789</v>
      </c>
    </row>
    <row r="8365" spans="1:1" x14ac:dyDescent="0.2">
      <c r="A8365" s="22">
        <v>0.63739079236984253</v>
      </c>
    </row>
    <row r="8366" spans="1:1" x14ac:dyDescent="0.2">
      <c r="A8366" s="22">
        <v>0.42197620868682861</v>
      </c>
    </row>
    <row r="8367" spans="1:1" x14ac:dyDescent="0.2">
      <c r="A8367" s="22">
        <v>0.36161595582962036</v>
      </c>
    </row>
    <row r="8368" spans="1:1" x14ac:dyDescent="0.2">
      <c r="A8368" s="22">
        <v>0.10000872611999512</v>
      </c>
    </row>
    <row r="8369" spans="1:1" x14ac:dyDescent="0.2">
      <c r="A8369" s="22">
        <v>0.90039438009262085</v>
      </c>
    </row>
    <row r="8370" spans="1:1" x14ac:dyDescent="0.2">
      <c r="A8370" s="22">
        <v>0.39004552364349365</v>
      </c>
    </row>
    <row r="8371" spans="1:1" x14ac:dyDescent="0.2">
      <c r="A8371" s="22">
        <v>0.43616777658462524</v>
      </c>
    </row>
    <row r="8372" spans="1:1" x14ac:dyDescent="0.2">
      <c r="A8372" s="22">
        <v>0.19007396697998047</v>
      </c>
    </row>
    <row r="8373" spans="1:1" x14ac:dyDescent="0.2">
      <c r="A8373" s="22">
        <v>0.93903654813766479</v>
      </c>
    </row>
    <row r="8374" spans="1:1" x14ac:dyDescent="0.2">
      <c r="A8374" s="22">
        <v>0.59760534763336182</v>
      </c>
    </row>
    <row r="8375" spans="1:1" x14ac:dyDescent="0.2">
      <c r="A8375" s="22">
        <v>9.3029320240020752E-2</v>
      </c>
    </row>
    <row r="8376" spans="1:1" x14ac:dyDescent="0.2">
      <c r="A8376" s="22">
        <v>0.63086628913879395</v>
      </c>
    </row>
    <row r="8377" spans="1:1" x14ac:dyDescent="0.2">
      <c r="A8377" s="22">
        <v>0.63252872228622437</v>
      </c>
    </row>
    <row r="8378" spans="1:1" x14ac:dyDescent="0.2">
      <c r="A8378" s="22">
        <v>0.71952140331268311</v>
      </c>
    </row>
    <row r="8379" spans="1:1" x14ac:dyDescent="0.2">
      <c r="A8379" s="22">
        <v>0.37010341882705688</v>
      </c>
    </row>
    <row r="8380" spans="1:1" x14ac:dyDescent="0.2">
      <c r="A8380" s="22">
        <v>0.12117719650268555</v>
      </c>
    </row>
    <row r="8381" spans="1:1" x14ac:dyDescent="0.2">
      <c r="A8381" s="22">
        <v>0.44699639081954956</v>
      </c>
    </row>
    <row r="8382" spans="1:1" x14ac:dyDescent="0.2">
      <c r="A8382" s="22">
        <v>0.66991722583770752</v>
      </c>
    </row>
    <row r="8383" spans="1:1" x14ac:dyDescent="0.2">
      <c r="A8383" s="22">
        <v>0.58751946687698364</v>
      </c>
    </row>
    <row r="8384" spans="1:1" x14ac:dyDescent="0.2">
      <c r="A8384" s="22">
        <v>0.51311850547790527</v>
      </c>
    </row>
    <row r="8385" spans="1:1" x14ac:dyDescent="0.2">
      <c r="A8385" s="22">
        <v>0.38860410451889038</v>
      </c>
    </row>
    <row r="8386" spans="1:1" x14ac:dyDescent="0.2">
      <c r="A8386" s="22">
        <v>0.74279916286468506</v>
      </c>
    </row>
    <row r="8387" spans="1:1" x14ac:dyDescent="0.2">
      <c r="A8387" s="22">
        <v>0.92575842142105103</v>
      </c>
    </row>
    <row r="8388" spans="1:1" x14ac:dyDescent="0.2">
      <c r="A8388" s="22">
        <v>7.7747344970703125E-2</v>
      </c>
    </row>
    <row r="8389" spans="1:1" x14ac:dyDescent="0.2">
      <c r="A8389" s="22">
        <v>0.20668047666549683</v>
      </c>
    </row>
    <row r="8390" spans="1:1" x14ac:dyDescent="0.2">
      <c r="A8390" s="22">
        <v>2.6813745498657227E-3</v>
      </c>
    </row>
    <row r="8391" spans="1:1" x14ac:dyDescent="0.2">
      <c r="A8391" s="22">
        <v>0.25377780199050903</v>
      </c>
    </row>
    <row r="8392" spans="1:1" x14ac:dyDescent="0.2">
      <c r="A8392" s="22">
        <v>2.0691156387329102E-2</v>
      </c>
    </row>
    <row r="8393" spans="1:1" x14ac:dyDescent="0.2">
      <c r="A8393" s="22">
        <v>0.8468431830406189</v>
      </c>
    </row>
    <row r="8394" spans="1:1" x14ac:dyDescent="0.2">
      <c r="A8394" s="22">
        <v>0.92521083354949951</v>
      </c>
    </row>
    <row r="8395" spans="1:1" x14ac:dyDescent="0.2">
      <c r="A8395" s="22">
        <v>0.20713669061660767</v>
      </c>
    </row>
    <row r="8396" spans="1:1" x14ac:dyDescent="0.2">
      <c r="A8396" s="22">
        <v>0.2477726936340332</v>
      </c>
    </row>
    <row r="8397" spans="1:1" x14ac:dyDescent="0.2">
      <c r="A8397" s="22">
        <v>0.15412396192550659</v>
      </c>
    </row>
    <row r="8398" spans="1:1" x14ac:dyDescent="0.2">
      <c r="A8398" s="22">
        <v>0.28779232501983643</v>
      </c>
    </row>
    <row r="8399" spans="1:1" x14ac:dyDescent="0.2">
      <c r="A8399" s="22">
        <v>0.51612073183059692</v>
      </c>
    </row>
    <row r="8400" spans="1:1" x14ac:dyDescent="0.2">
      <c r="A8400" s="22">
        <v>0.38063502311706543</v>
      </c>
    </row>
    <row r="8401" spans="1:1" x14ac:dyDescent="0.2">
      <c r="A8401" s="22">
        <v>0.82609361410140991</v>
      </c>
    </row>
    <row r="8402" spans="1:1" x14ac:dyDescent="0.2">
      <c r="A8402" s="22">
        <v>0.31021344661712646</v>
      </c>
    </row>
    <row r="8403" spans="1:1" x14ac:dyDescent="0.2">
      <c r="A8403" s="22">
        <v>0.58386713266372681</v>
      </c>
    </row>
    <row r="8404" spans="1:1" x14ac:dyDescent="0.2">
      <c r="A8404" s="22">
        <v>2.2366523742675781E-2</v>
      </c>
    </row>
    <row r="8405" spans="1:1" x14ac:dyDescent="0.2">
      <c r="A8405" s="22">
        <v>0.61598700284957886</v>
      </c>
    </row>
    <row r="8406" spans="1:1" x14ac:dyDescent="0.2">
      <c r="A8406" s="22">
        <v>4.5269608497619629E-2</v>
      </c>
    </row>
    <row r="8407" spans="1:1" x14ac:dyDescent="0.2">
      <c r="A8407" s="22">
        <v>0.31448966264724731</v>
      </c>
    </row>
    <row r="8408" spans="1:1" x14ac:dyDescent="0.2">
      <c r="A8408" s="22">
        <v>0.27312588691711426</v>
      </c>
    </row>
    <row r="8409" spans="1:1" x14ac:dyDescent="0.2">
      <c r="A8409" s="22">
        <v>0.78582805395126343</v>
      </c>
    </row>
    <row r="8410" spans="1:1" x14ac:dyDescent="0.2">
      <c r="A8410" s="22">
        <v>1.9389033317565918E-2</v>
      </c>
    </row>
    <row r="8411" spans="1:1" x14ac:dyDescent="0.2">
      <c r="A8411" s="22">
        <v>0.19120365381240845</v>
      </c>
    </row>
    <row r="8412" spans="1:1" x14ac:dyDescent="0.2">
      <c r="A8412" s="22">
        <v>0.49576711654663086</v>
      </c>
    </row>
    <row r="8413" spans="1:1" x14ac:dyDescent="0.2">
      <c r="A8413" s="22">
        <v>0.80955475568771362</v>
      </c>
    </row>
    <row r="8414" spans="1:1" x14ac:dyDescent="0.2">
      <c r="A8414" s="22">
        <v>0.12325775623321533</v>
      </c>
    </row>
    <row r="8415" spans="1:1" x14ac:dyDescent="0.2">
      <c r="A8415" s="22">
        <v>0.60445100069046021</v>
      </c>
    </row>
    <row r="8416" spans="1:1" x14ac:dyDescent="0.2">
      <c r="A8416" s="22">
        <v>0.33146452903747559</v>
      </c>
    </row>
    <row r="8417" spans="1:1" x14ac:dyDescent="0.2">
      <c r="A8417" s="22">
        <v>0.32614415884017944</v>
      </c>
    </row>
    <row r="8418" spans="1:1" x14ac:dyDescent="0.2">
      <c r="A8418" s="22">
        <v>0.75244462490081787</v>
      </c>
    </row>
    <row r="8419" spans="1:1" x14ac:dyDescent="0.2">
      <c r="A8419" s="22">
        <v>0.43002516031265259</v>
      </c>
    </row>
    <row r="8420" spans="1:1" x14ac:dyDescent="0.2">
      <c r="A8420" s="22">
        <v>0.96533775329589844</v>
      </c>
    </row>
    <row r="8421" spans="1:1" x14ac:dyDescent="0.2">
      <c r="A8421" s="22">
        <v>0.34273737668991089</v>
      </c>
    </row>
    <row r="8422" spans="1:1" x14ac:dyDescent="0.2">
      <c r="A8422" s="22">
        <v>0.19802629947662354</v>
      </c>
    </row>
    <row r="8423" spans="1:1" x14ac:dyDescent="0.2">
      <c r="A8423" s="22">
        <v>0.8571961522102356</v>
      </c>
    </row>
    <row r="8424" spans="1:1" x14ac:dyDescent="0.2">
      <c r="A8424" s="22">
        <v>0.64207673072814941</v>
      </c>
    </row>
    <row r="8425" spans="1:1" x14ac:dyDescent="0.2">
      <c r="A8425" s="22">
        <v>0.68776458501815796</v>
      </c>
    </row>
    <row r="8426" spans="1:1" x14ac:dyDescent="0.2">
      <c r="A8426" s="22">
        <v>0.28721225261688232</v>
      </c>
    </row>
    <row r="8427" spans="1:1" x14ac:dyDescent="0.2">
      <c r="A8427" s="22">
        <v>0.46683555841445923</v>
      </c>
    </row>
    <row r="8428" spans="1:1" x14ac:dyDescent="0.2">
      <c r="A8428" s="22">
        <v>0.43156671524047852</v>
      </c>
    </row>
    <row r="8429" spans="1:1" x14ac:dyDescent="0.2">
      <c r="A8429" s="22">
        <v>0.71407002210617065</v>
      </c>
    </row>
    <row r="8430" spans="1:1" x14ac:dyDescent="0.2">
      <c r="A8430" s="22">
        <v>0.27396976947784424</v>
      </c>
    </row>
    <row r="8431" spans="1:1" x14ac:dyDescent="0.2">
      <c r="A8431" s="22">
        <v>0.55954152345657349</v>
      </c>
    </row>
    <row r="8432" spans="1:1" x14ac:dyDescent="0.2">
      <c r="A8432" s="22">
        <v>0.24451327323913574</v>
      </c>
    </row>
    <row r="8433" spans="1:1" x14ac:dyDescent="0.2">
      <c r="A8433" s="22">
        <v>0.25203698873519897</v>
      </c>
    </row>
    <row r="8434" spans="1:1" x14ac:dyDescent="0.2">
      <c r="A8434" s="22">
        <v>0.97964894771575928</v>
      </c>
    </row>
    <row r="8435" spans="1:1" x14ac:dyDescent="0.2">
      <c r="A8435" s="22">
        <v>0.73376375436782837</v>
      </c>
    </row>
    <row r="8436" spans="1:1" x14ac:dyDescent="0.2">
      <c r="A8436" s="22">
        <v>9.8067283630371094E-2</v>
      </c>
    </row>
    <row r="8437" spans="1:1" x14ac:dyDescent="0.2">
      <c r="A8437" s="22">
        <v>0.81271284818649292</v>
      </c>
    </row>
    <row r="8438" spans="1:1" x14ac:dyDescent="0.2">
      <c r="A8438" s="22">
        <v>0.18360769748687744</v>
      </c>
    </row>
    <row r="8439" spans="1:1" x14ac:dyDescent="0.2">
      <c r="A8439" s="22">
        <v>0.71392852067947388</v>
      </c>
    </row>
    <row r="8440" spans="1:1" x14ac:dyDescent="0.2">
      <c r="A8440" s="22">
        <v>0.63144993782043457</v>
      </c>
    </row>
    <row r="8441" spans="1:1" x14ac:dyDescent="0.2">
      <c r="A8441" s="22">
        <v>4.093402624130249E-2</v>
      </c>
    </row>
    <row r="8442" spans="1:1" x14ac:dyDescent="0.2">
      <c r="A8442" s="22">
        <v>0.26383674144744873</v>
      </c>
    </row>
    <row r="8443" spans="1:1" x14ac:dyDescent="0.2">
      <c r="A8443" s="22">
        <v>0.42856365442276001</v>
      </c>
    </row>
    <row r="8444" spans="1:1" x14ac:dyDescent="0.2">
      <c r="A8444" s="22">
        <v>0.87157773971557617</v>
      </c>
    </row>
    <row r="8445" spans="1:1" x14ac:dyDescent="0.2">
      <c r="A8445" s="22">
        <v>0.41845101118087769</v>
      </c>
    </row>
    <row r="8446" spans="1:1" x14ac:dyDescent="0.2">
      <c r="A8446" s="22">
        <v>8.7584614753723145E-2</v>
      </c>
    </row>
    <row r="8447" spans="1:1" x14ac:dyDescent="0.2">
      <c r="A8447" s="22">
        <v>0.33842355012893677</v>
      </c>
    </row>
    <row r="8448" spans="1:1" x14ac:dyDescent="0.2">
      <c r="A8448" s="22">
        <v>0.2486875057220459</v>
      </c>
    </row>
    <row r="8449" spans="1:1" x14ac:dyDescent="0.2">
      <c r="A8449" s="22">
        <v>0.21705335378646851</v>
      </c>
    </row>
    <row r="8450" spans="1:1" x14ac:dyDescent="0.2">
      <c r="A8450" s="22">
        <v>0.15198266506195068</v>
      </c>
    </row>
    <row r="8451" spans="1:1" x14ac:dyDescent="0.2">
      <c r="A8451" s="22">
        <v>1.461416482925415E-2</v>
      </c>
    </row>
    <row r="8452" spans="1:1" x14ac:dyDescent="0.2">
      <c r="A8452" s="22">
        <v>0.86196136474609375</v>
      </c>
    </row>
    <row r="8453" spans="1:1" x14ac:dyDescent="0.2">
      <c r="A8453" s="22">
        <v>0.70169466733932495</v>
      </c>
    </row>
    <row r="8454" spans="1:1" x14ac:dyDescent="0.2">
      <c r="A8454" s="22">
        <v>0.97467005252838135</v>
      </c>
    </row>
    <row r="8455" spans="1:1" x14ac:dyDescent="0.2">
      <c r="A8455" s="22">
        <v>0.96671801805496216</v>
      </c>
    </row>
    <row r="8456" spans="1:1" x14ac:dyDescent="0.2">
      <c r="A8456" s="22">
        <v>0.99515175819396973</v>
      </c>
    </row>
    <row r="8457" spans="1:1" x14ac:dyDescent="0.2">
      <c r="A8457" s="22">
        <v>0.58361762762069702</v>
      </c>
    </row>
    <row r="8458" spans="1:1" x14ac:dyDescent="0.2">
      <c r="A8458" s="22">
        <v>0.73441874980926514</v>
      </c>
    </row>
    <row r="8459" spans="1:1" x14ac:dyDescent="0.2">
      <c r="A8459" s="22">
        <v>0.72091919183731079</v>
      </c>
    </row>
    <row r="8460" spans="1:1" x14ac:dyDescent="0.2">
      <c r="A8460" s="22">
        <v>0.88220643997192383</v>
      </c>
    </row>
    <row r="8461" spans="1:1" x14ac:dyDescent="0.2">
      <c r="A8461" s="22">
        <v>0.72347897291183472</v>
      </c>
    </row>
    <row r="8462" spans="1:1" x14ac:dyDescent="0.2">
      <c r="A8462" s="22">
        <v>0.16175854206085205</v>
      </c>
    </row>
    <row r="8463" spans="1:1" x14ac:dyDescent="0.2">
      <c r="A8463" s="22">
        <v>0.14812833070755005</v>
      </c>
    </row>
    <row r="8464" spans="1:1" x14ac:dyDescent="0.2">
      <c r="A8464" s="22">
        <v>0.72289347648620605</v>
      </c>
    </row>
    <row r="8465" spans="1:1" x14ac:dyDescent="0.2">
      <c r="A8465" s="22">
        <v>8.4474503993988037E-2</v>
      </c>
    </row>
    <row r="8466" spans="1:1" x14ac:dyDescent="0.2">
      <c r="A8466" s="22">
        <v>0.67960202693939209</v>
      </c>
    </row>
    <row r="8467" spans="1:1" x14ac:dyDescent="0.2">
      <c r="A8467" s="22">
        <v>4.2107641696929932E-2</v>
      </c>
    </row>
    <row r="8468" spans="1:1" x14ac:dyDescent="0.2">
      <c r="A8468" s="22">
        <v>0.94842624664306641</v>
      </c>
    </row>
    <row r="8469" spans="1:1" x14ac:dyDescent="0.2">
      <c r="A8469" s="22">
        <v>0.93546408414840698</v>
      </c>
    </row>
    <row r="8470" spans="1:1" x14ac:dyDescent="0.2">
      <c r="A8470" s="22">
        <v>0.79386961460113525</v>
      </c>
    </row>
    <row r="8471" spans="1:1" x14ac:dyDescent="0.2">
      <c r="A8471" s="22">
        <v>0.94759589433670044</v>
      </c>
    </row>
    <row r="8472" spans="1:1" x14ac:dyDescent="0.2">
      <c r="A8472" s="22">
        <v>0.73708844184875488</v>
      </c>
    </row>
    <row r="8473" spans="1:1" x14ac:dyDescent="0.2">
      <c r="A8473" s="22">
        <v>0.30409663915634155</v>
      </c>
    </row>
    <row r="8474" spans="1:1" x14ac:dyDescent="0.2">
      <c r="A8474" s="22">
        <v>0.73411452770233154</v>
      </c>
    </row>
    <row r="8475" spans="1:1" x14ac:dyDescent="0.2">
      <c r="A8475" s="22">
        <v>0.23843342065811157</v>
      </c>
    </row>
    <row r="8476" spans="1:1" x14ac:dyDescent="0.2">
      <c r="A8476" s="22">
        <v>0.77985906600952148</v>
      </c>
    </row>
    <row r="8477" spans="1:1" x14ac:dyDescent="0.2">
      <c r="A8477" s="22">
        <v>0.67993515729904175</v>
      </c>
    </row>
    <row r="8478" spans="1:1" x14ac:dyDescent="0.2">
      <c r="A8478" s="22">
        <v>0.34414780139923096</v>
      </c>
    </row>
    <row r="8479" spans="1:1" x14ac:dyDescent="0.2">
      <c r="A8479" s="22">
        <v>0.44568711519241333</v>
      </c>
    </row>
    <row r="8480" spans="1:1" x14ac:dyDescent="0.2">
      <c r="A8480" s="22">
        <v>0.29603743553161621</v>
      </c>
    </row>
    <row r="8481" spans="1:1" x14ac:dyDescent="0.2">
      <c r="A8481" s="22">
        <v>0.96758168935775757</v>
      </c>
    </row>
    <row r="8482" spans="1:1" x14ac:dyDescent="0.2">
      <c r="A8482" s="22">
        <v>0.2226632833480835</v>
      </c>
    </row>
    <row r="8483" spans="1:1" x14ac:dyDescent="0.2">
      <c r="A8483" s="22">
        <v>0.83577543497085571</v>
      </c>
    </row>
    <row r="8484" spans="1:1" x14ac:dyDescent="0.2">
      <c r="A8484" s="22">
        <v>0.29886817932128906</v>
      </c>
    </row>
    <row r="8485" spans="1:1" x14ac:dyDescent="0.2">
      <c r="A8485" s="22">
        <v>0.68980234861373901</v>
      </c>
    </row>
    <row r="8486" spans="1:1" x14ac:dyDescent="0.2">
      <c r="A8486" s="22">
        <v>0.11386263370513916</v>
      </c>
    </row>
    <row r="8487" spans="1:1" x14ac:dyDescent="0.2">
      <c r="A8487" s="22">
        <v>0.23859339952468872</v>
      </c>
    </row>
    <row r="8488" spans="1:1" x14ac:dyDescent="0.2">
      <c r="A8488" s="22">
        <v>0.11116623878479004</v>
      </c>
    </row>
    <row r="8489" spans="1:1" x14ac:dyDescent="0.2">
      <c r="A8489" s="22">
        <v>0.44065231084823608</v>
      </c>
    </row>
    <row r="8490" spans="1:1" x14ac:dyDescent="0.2">
      <c r="A8490" s="22">
        <v>0.54808032512664795</v>
      </c>
    </row>
    <row r="8491" spans="1:1" x14ac:dyDescent="0.2">
      <c r="A8491" s="22">
        <v>0.12563759088516235</v>
      </c>
    </row>
    <row r="8492" spans="1:1" x14ac:dyDescent="0.2">
      <c r="A8492" s="22">
        <v>0.13094186782836914</v>
      </c>
    </row>
    <row r="8493" spans="1:1" x14ac:dyDescent="0.2">
      <c r="A8493" s="22">
        <v>0.58860081434249878</v>
      </c>
    </row>
    <row r="8494" spans="1:1" x14ac:dyDescent="0.2">
      <c r="A8494" s="22">
        <v>0.73240864276885986</v>
      </c>
    </row>
    <row r="8495" spans="1:1" x14ac:dyDescent="0.2">
      <c r="A8495" s="22">
        <v>0.93813115358352661</v>
      </c>
    </row>
    <row r="8496" spans="1:1" x14ac:dyDescent="0.2">
      <c r="A8496" s="22">
        <v>0.84702563285827637</v>
      </c>
    </row>
    <row r="8497" spans="1:1" x14ac:dyDescent="0.2">
      <c r="A8497" s="22">
        <v>0.2296561598777771</v>
      </c>
    </row>
    <row r="8498" spans="1:1" x14ac:dyDescent="0.2">
      <c r="A8498" s="22">
        <v>0.6913226842880249</v>
      </c>
    </row>
    <row r="8499" spans="1:1" x14ac:dyDescent="0.2">
      <c r="A8499" s="22">
        <v>0.66514879465103149</v>
      </c>
    </row>
    <row r="8500" spans="1:1" x14ac:dyDescent="0.2">
      <c r="A8500" s="22">
        <v>0.10469341278076172</v>
      </c>
    </row>
    <row r="8501" spans="1:1" x14ac:dyDescent="0.2">
      <c r="A8501" s="22">
        <v>0.39049071073532104</v>
      </c>
    </row>
    <row r="8502" spans="1:1" x14ac:dyDescent="0.2">
      <c r="A8502" s="22">
        <v>0.65730535984039307</v>
      </c>
    </row>
    <row r="8503" spans="1:1" x14ac:dyDescent="0.2">
      <c r="A8503" s="22">
        <v>0.671741783618927</v>
      </c>
    </row>
    <row r="8504" spans="1:1" x14ac:dyDescent="0.2">
      <c r="A8504" s="22">
        <v>0.6212913990020752</v>
      </c>
    </row>
    <row r="8505" spans="1:1" x14ac:dyDescent="0.2">
      <c r="A8505" s="22">
        <v>0.48156589269638062</v>
      </c>
    </row>
    <row r="8506" spans="1:1" x14ac:dyDescent="0.2">
      <c r="A8506" s="22">
        <v>0.71147239208221436</v>
      </c>
    </row>
    <row r="8507" spans="1:1" x14ac:dyDescent="0.2">
      <c r="A8507" s="22">
        <v>0.77706295251846313</v>
      </c>
    </row>
    <row r="8508" spans="1:1" x14ac:dyDescent="0.2">
      <c r="A8508" s="22">
        <v>0.7518610954284668</v>
      </c>
    </row>
    <row r="8509" spans="1:1" x14ac:dyDescent="0.2">
      <c r="A8509" s="22">
        <v>2.5719404220581055E-4</v>
      </c>
    </row>
    <row r="8510" spans="1:1" x14ac:dyDescent="0.2">
      <c r="A8510" s="22">
        <v>0.67419731616973877</v>
      </c>
    </row>
    <row r="8511" spans="1:1" x14ac:dyDescent="0.2">
      <c r="A8511" s="22">
        <v>0.58249169588088989</v>
      </c>
    </row>
    <row r="8512" spans="1:1" x14ac:dyDescent="0.2">
      <c r="A8512" s="22">
        <v>0.50476431846618652</v>
      </c>
    </row>
    <row r="8513" spans="1:1" x14ac:dyDescent="0.2">
      <c r="A8513" s="22">
        <v>0.48397916555404663</v>
      </c>
    </row>
    <row r="8514" spans="1:1" x14ac:dyDescent="0.2">
      <c r="A8514" s="22">
        <v>0.24573647975921631</v>
      </c>
    </row>
    <row r="8515" spans="1:1" x14ac:dyDescent="0.2">
      <c r="A8515" s="22">
        <v>4.9758970737457275E-2</v>
      </c>
    </row>
    <row r="8516" spans="1:1" x14ac:dyDescent="0.2">
      <c r="A8516" s="22">
        <v>0.80730819702148438</v>
      </c>
    </row>
    <row r="8517" spans="1:1" x14ac:dyDescent="0.2">
      <c r="A8517" s="22">
        <v>0.71331042051315308</v>
      </c>
    </row>
    <row r="8518" spans="1:1" x14ac:dyDescent="0.2">
      <c r="A8518" s="22">
        <v>0.39685404300689697</v>
      </c>
    </row>
    <row r="8519" spans="1:1" x14ac:dyDescent="0.2">
      <c r="A8519" s="22">
        <v>0.32907229661941528</v>
      </c>
    </row>
    <row r="8520" spans="1:1" x14ac:dyDescent="0.2">
      <c r="A8520" s="22">
        <v>2.1370172500610352E-2</v>
      </c>
    </row>
    <row r="8521" spans="1:1" x14ac:dyDescent="0.2">
      <c r="A8521" s="22">
        <v>0.16511863470077515</v>
      </c>
    </row>
    <row r="8522" spans="1:1" x14ac:dyDescent="0.2">
      <c r="A8522" s="22">
        <v>9.4469785690307617E-3</v>
      </c>
    </row>
    <row r="8523" spans="1:1" x14ac:dyDescent="0.2">
      <c r="A8523" s="22">
        <v>0.83724075555801392</v>
      </c>
    </row>
    <row r="8524" spans="1:1" x14ac:dyDescent="0.2">
      <c r="A8524" s="22">
        <v>0.70902299880981445</v>
      </c>
    </row>
    <row r="8525" spans="1:1" x14ac:dyDescent="0.2">
      <c r="A8525" s="22">
        <v>0.71568554639816284</v>
      </c>
    </row>
    <row r="8526" spans="1:1" x14ac:dyDescent="0.2">
      <c r="A8526" s="22">
        <v>0.76717007160186768</v>
      </c>
    </row>
    <row r="8527" spans="1:1" x14ac:dyDescent="0.2">
      <c r="A8527" s="22">
        <v>0.58579999208450317</v>
      </c>
    </row>
    <row r="8528" spans="1:1" x14ac:dyDescent="0.2">
      <c r="A8528" s="22">
        <v>0.64815974235534668</v>
      </c>
    </row>
    <row r="8529" spans="1:1" x14ac:dyDescent="0.2">
      <c r="A8529" s="22">
        <v>0.59383195638656616</v>
      </c>
    </row>
    <row r="8530" spans="1:1" x14ac:dyDescent="0.2">
      <c r="A8530" s="22">
        <v>0.29606091976165771</v>
      </c>
    </row>
    <row r="8531" spans="1:1" x14ac:dyDescent="0.2">
      <c r="A8531" s="22">
        <v>0.75913721323013306</v>
      </c>
    </row>
    <row r="8532" spans="1:1" x14ac:dyDescent="0.2">
      <c r="A8532" s="22">
        <v>9.8118782043457031E-2</v>
      </c>
    </row>
    <row r="8533" spans="1:1" x14ac:dyDescent="0.2">
      <c r="A8533" s="22">
        <v>0.58404272794723511</v>
      </c>
    </row>
    <row r="8534" spans="1:1" x14ac:dyDescent="0.2">
      <c r="A8534" s="22">
        <v>0.55516493320465088</v>
      </c>
    </row>
    <row r="8535" spans="1:1" x14ac:dyDescent="0.2">
      <c r="A8535" s="22">
        <v>0.54261618852615356</v>
      </c>
    </row>
    <row r="8536" spans="1:1" x14ac:dyDescent="0.2">
      <c r="A8536" s="22">
        <v>0.31530880928039551</v>
      </c>
    </row>
    <row r="8537" spans="1:1" x14ac:dyDescent="0.2">
      <c r="A8537" s="22">
        <v>0.47959178686141968</v>
      </c>
    </row>
    <row r="8538" spans="1:1" x14ac:dyDescent="0.2">
      <c r="A8538" s="22">
        <v>0.47716033458709717</v>
      </c>
    </row>
    <row r="8539" spans="1:1" x14ac:dyDescent="0.2">
      <c r="A8539" s="22">
        <v>0.2007022500038147</v>
      </c>
    </row>
    <row r="8540" spans="1:1" x14ac:dyDescent="0.2">
      <c r="A8540" s="22">
        <v>0.31883382797241211</v>
      </c>
    </row>
    <row r="8541" spans="1:1" x14ac:dyDescent="0.2">
      <c r="A8541" s="22">
        <v>0.78566712141036987</v>
      </c>
    </row>
    <row r="8542" spans="1:1" x14ac:dyDescent="0.2">
      <c r="A8542" s="22">
        <v>0.85898315906524658</v>
      </c>
    </row>
    <row r="8543" spans="1:1" x14ac:dyDescent="0.2">
      <c r="A8543" s="22">
        <v>0.40508729219436646</v>
      </c>
    </row>
    <row r="8544" spans="1:1" x14ac:dyDescent="0.2">
      <c r="A8544" s="22">
        <v>0.90611815452575684</v>
      </c>
    </row>
    <row r="8545" spans="1:1" x14ac:dyDescent="0.2">
      <c r="A8545" s="22">
        <v>0.67249578237533569</v>
      </c>
    </row>
    <row r="8546" spans="1:1" x14ac:dyDescent="0.2">
      <c r="A8546" s="22">
        <v>0.50245225429534912</v>
      </c>
    </row>
    <row r="8547" spans="1:1" x14ac:dyDescent="0.2">
      <c r="A8547" s="22">
        <v>0.81281477212905884</v>
      </c>
    </row>
    <row r="8548" spans="1:1" x14ac:dyDescent="0.2">
      <c r="A8548" s="22">
        <v>0.91853141784667969</v>
      </c>
    </row>
    <row r="8549" spans="1:1" x14ac:dyDescent="0.2">
      <c r="A8549" s="22">
        <v>0.17846888303756714</v>
      </c>
    </row>
    <row r="8550" spans="1:1" x14ac:dyDescent="0.2">
      <c r="A8550" s="22">
        <v>0.60489428043365479</v>
      </c>
    </row>
    <row r="8551" spans="1:1" x14ac:dyDescent="0.2">
      <c r="A8551" s="22">
        <v>0.89440470933914185</v>
      </c>
    </row>
    <row r="8552" spans="1:1" x14ac:dyDescent="0.2">
      <c r="A8552" s="22">
        <v>0.75701355934143066</v>
      </c>
    </row>
    <row r="8553" spans="1:1" x14ac:dyDescent="0.2">
      <c r="A8553" s="22">
        <v>0.66326659917831421</v>
      </c>
    </row>
    <row r="8554" spans="1:1" x14ac:dyDescent="0.2">
      <c r="A8554" s="22">
        <v>0.39976871013641357</v>
      </c>
    </row>
    <row r="8555" spans="1:1" x14ac:dyDescent="0.2">
      <c r="A8555" s="22">
        <v>1.1978685855865479E-2</v>
      </c>
    </row>
    <row r="8556" spans="1:1" x14ac:dyDescent="0.2">
      <c r="A8556" s="22">
        <v>0.14769983291625977</v>
      </c>
    </row>
    <row r="8557" spans="1:1" x14ac:dyDescent="0.2">
      <c r="A8557" s="22">
        <v>0.5109831690788269</v>
      </c>
    </row>
    <row r="8558" spans="1:1" x14ac:dyDescent="0.2">
      <c r="A8558" s="22">
        <v>4.7292828559875488E-2</v>
      </c>
    </row>
    <row r="8559" spans="1:1" x14ac:dyDescent="0.2">
      <c r="A8559" s="22">
        <v>0.74738484621047974</v>
      </c>
    </row>
    <row r="8560" spans="1:1" x14ac:dyDescent="0.2">
      <c r="A8560" s="22">
        <v>0.15754580497741699</v>
      </c>
    </row>
    <row r="8561" spans="1:1" x14ac:dyDescent="0.2">
      <c r="A8561" s="22">
        <v>8.3251893520355225E-2</v>
      </c>
    </row>
    <row r="8562" spans="1:1" x14ac:dyDescent="0.2">
      <c r="A8562" s="22">
        <v>0.77506673336029053</v>
      </c>
    </row>
    <row r="8563" spans="1:1" x14ac:dyDescent="0.2">
      <c r="A8563" s="22">
        <v>0.48032289743423462</v>
      </c>
    </row>
    <row r="8564" spans="1:1" x14ac:dyDescent="0.2">
      <c r="A8564" s="22">
        <v>0.45995235443115234</v>
      </c>
    </row>
    <row r="8565" spans="1:1" x14ac:dyDescent="0.2">
      <c r="A8565" s="22">
        <v>0.92237013578414917</v>
      </c>
    </row>
    <row r="8566" spans="1:1" x14ac:dyDescent="0.2">
      <c r="A8566" s="22">
        <v>0.26869833469390869</v>
      </c>
    </row>
    <row r="8567" spans="1:1" x14ac:dyDescent="0.2">
      <c r="A8567" s="22">
        <v>0.21646910905838013</v>
      </c>
    </row>
    <row r="8568" spans="1:1" x14ac:dyDescent="0.2">
      <c r="A8568" s="22">
        <v>0.85039067268371582</v>
      </c>
    </row>
    <row r="8569" spans="1:1" x14ac:dyDescent="0.2">
      <c r="A8569" s="22">
        <v>0.20442432165145874</v>
      </c>
    </row>
    <row r="8570" spans="1:1" x14ac:dyDescent="0.2">
      <c r="A8570" s="22">
        <v>0.31242835521697998</v>
      </c>
    </row>
    <row r="8571" spans="1:1" x14ac:dyDescent="0.2">
      <c r="A8571" s="22">
        <v>0.66560131311416626</v>
      </c>
    </row>
    <row r="8572" spans="1:1" x14ac:dyDescent="0.2">
      <c r="A8572" s="22">
        <v>1.2027263641357422E-2</v>
      </c>
    </row>
    <row r="8573" spans="1:1" x14ac:dyDescent="0.2">
      <c r="A8573" s="22">
        <v>0.44241493940353394</v>
      </c>
    </row>
    <row r="8574" spans="1:1" x14ac:dyDescent="0.2">
      <c r="A8574" s="22">
        <v>0.67975533008575439</v>
      </c>
    </row>
    <row r="8575" spans="1:1" x14ac:dyDescent="0.2">
      <c r="A8575" s="22">
        <v>0.56972390413284302</v>
      </c>
    </row>
    <row r="8576" spans="1:1" x14ac:dyDescent="0.2">
      <c r="A8576" s="22">
        <v>0.53134894371032715</v>
      </c>
    </row>
    <row r="8577" spans="1:1" x14ac:dyDescent="0.2">
      <c r="A8577" s="22">
        <v>0.43938153982162476</v>
      </c>
    </row>
    <row r="8578" spans="1:1" x14ac:dyDescent="0.2">
      <c r="A8578" s="22">
        <v>0.27406060695648193</v>
      </c>
    </row>
    <row r="8579" spans="1:1" x14ac:dyDescent="0.2">
      <c r="A8579" s="22">
        <v>0.2811928391456604</v>
      </c>
    </row>
    <row r="8580" spans="1:1" x14ac:dyDescent="0.2">
      <c r="A8580" s="22">
        <v>0.163787841796875</v>
      </c>
    </row>
    <row r="8581" spans="1:1" x14ac:dyDescent="0.2">
      <c r="A8581" s="22">
        <v>0.4915277361869812</v>
      </c>
    </row>
    <row r="8582" spans="1:1" x14ac:dyDescent="0.2">
      <c r="A8582" s="22">
        <v>0.5192333459854126</v>
      </c>
    </row>
    <row r="8583" spans="1:1" x14ac:dyDescent="0.2">
      <c r="A8583" s="22">
        <v>0.59084063768386841</v>
      </c>
    </row>
    <row r="8584" spans="1:1" x14ac:dyDescent="0.2">
      <c r="A8584" s="22">
        <v>0.34934639930725098</v>
      </c>
    </row>
    <row r="8585" spans="1:1" x14ac:dyDescent="0.2">
      <c r="A8585" s="22">
        <v>0.84134620428085327</v>
      </c>
    </row>
    <row r="8586" spans="1:1" x14ac:dyDescent="0.2">
      <c r="A8586" s="22">
        <v>2.9551982879638672E-4</v>
      </c>
    </row>
    <row r="8587" spans="1:1" x14ac:dyDescent="0.2">
      <c r="A8587" s="22">
        <v>0.80610138177871704</v>
      </c>
    </row>
    <row r="8588" spans="1:1" x14ac:dyDescent="0.2">
      <c r="A8588" s="22">
        <v>0.97822237014770508</v>
      </c>
    </row>
    <row r="8589" spans="1:1" x14ac:dyDescent="0.2">
      <c r="A8589" s="22">
        <v>0.38074368238449097</v>
      </c>
    </row>
    <row r="8590" spans="1:1" x14ac:dyDescent="0.2">
      <c r="A8590" s="22">
        <v>0.3540269136428833</v>
      </c>
    </row>
    <row r="8591" spans="1:1" x14ac:dyDescent="0.2">
      <c r="A8591" s="22">
        <v>7.9135715961456299E-2</v>
      </c>
    </row>
    <row r="8592" spans="1:1" x14ac:dyDescent="0.2">
      <c r="A8592" s="22">
        <v>0.4064338207244873</v>
      </c>
    </row>
    <row r="8593" spans="1:1" x14ac:dyDescent="0.2">
      <c r="A8593" s="22">
        <v>0.60416597127914429</v>
      </c>
    </row>
    <row r="8594" spans="1:1" x14ac:dyDescent="0.2">
      <c r="A8594" s="22">
        <v>0.40959012508392334</v>
      </c>
    </row>
    <row r="8595" spans="1:1" x14ac:dyDescent="0.2">
      <c r="A8595" s="22">
        <v>0.98495584726333618</v>
      </c>
    </row>
    <row r="8596" spans="1:1" x14ac:dyDescent="0.2">
      <c r="A8596" s="22">
        <v>0.72144412994384766</v>
      </c>
    </row>
    <row r="8597" spans="1:1" x14ac:dyDescent="0.2">
      <c r="A8597" s="22">
        <v>0.81172293424606323</v>
      </c>
    </row>
    <row r="8598" spans="1:1" x14ac:dyDescent="0.2">
      <c r="A8598" s="22">
        <v>0.5791555643081665</v>
      </c>
    </row>
    <row r="8599" spans="1:1" x14ac:dyDescent="0.2">
      <c r="A8599" s="22">
        <v>0.34955054521560669</v>
      </c>
    </row>
    <row r="8600" spans="1:1" x14ac:dyDescent="0.2">
      <c r="A8600" s="22">
        <v>0.25778698921203613</v>
      </c>
    </row>
    <row r="8601" spans="1:1" x14ac:dyDescent="0.2">
      <c r="A8601" s="22">
        <v>0.5623134970664978</v>
      </c>
    </row>
    <row r="8602" spans="1:1" x14ac:dyDescent="0.2">
      <c r="A8602" s="22">
        <v>0.49852645397186279</v>
      </c>
    </row>
    <row r="8603" spans="1:1" x14ac:dyDescent="0.2">
      <c r="A8603" s="22">
        <v>0.32801014184951782</v>
      </c>
    </row>
    <row r="8604" spans="1:1" x14ac:dyDescent="0.2">
      <c r="A8604" s="22">
        <v>0.36269140243530273</v>
      </c>
    </row>
    <row r="8605" spans="1:1" x14ac:dyDescent="0.2">
      <c r="A8605" s="22">
        <v>0.376750648021698</v>
      </c>
    </row>
    <row r="8606" spans="1:1" x14ac:dyDescent="0.2">
      <c r="A8606" s="22">
        <v>0.91776382923126221</v>
      </c>
    </row>
    <row r="8607" spans="1:1" x14ac:dyDescent="0.2">
      <c r="A8607" s="22">
        <v>0.73265153169631958</v>
      </c>
    </row>
    <row r="8608" spans="1:1" x14ac:dyDescent="0.2">
      <c r="A8608" s="22">
        <v>0.41170668601989746</v>
      </c>
    </row>
    <row r="8609" spans="1:1" x14ac:dyDescent="0.2">
      <c r="A8609" s="22">
        <v>0.69088643789291382</v>
      </c>
    </row>
    <row r="8610" spans="1:1" x14ac:dyDescent="0.2">
      <c r="A8610" s="22">
        <v>0.84181153774261475</v>
      </c>
    </row>
    <row r="8611" spans="1:1" x14ac:dyDescent="0.2">
      <c r="A8611" s="22">
        <v>0.61114317178726196</v>
      </c>
    </row>
    <row r="8612" spans="1:1" x14ac:dyDescent="0.2">
      <c r="A8612" s="22">
        <v>7.4327468872070313E-2</v>
      </c>
    </row>
    <row r="8613" spans="1:1" x14ac:dyDescent="0.2">
      <c r="A8613" s="22">
        <v>5.8736979961395264E-2</v>
      </c>
    </row>
    <row r="8614" spans="1:1" x14ac:dyDescent="0.2">
      <c r="A8614" s="22">
        <v>0.92112123966217041</v>
      </c>
    </row>
    <row r="8615" spans="1:1" x14ac:dyDescent="0.2">
      <c r="A8615" s="22">
        <v>7.4630081653594971E-2</v>
      </c>
    </row>
    <row r="8616" spans="1:1" x14ac:dyDescent="0.2">
      <c r="A8616" s="22">
        <v>0.82961869239807129</v>
      </c>
    </row>
    <row r="8617" spans="1:1" x14ac:dyDescent="0.2">
      <c r="A8617" s="22">
        <v>0.60560745000839233</v>
      </c>
    </row>
    <row r="8618" spans="1:1" x14ac:dyDescent="0.2">
      <c r="A8618" s="22">
        <v>9.2277407646179199E-2</v>
      </c>
    </row>
    <row r="8619" spans="1:1" x14ac:dyDescent="0.2">
      <c r="A8619" s="22">
        <v>0.3758588433265686</v>
      </c>
    </row>
    <row r="8620" spans="1:1" x14ac:dyDescent="0.2">
      <c r="A8620" s="22">
        <v>0.73184061050415039</v>
      </c>
    </row>
    <row r="8621" spans="1:1" x14ac:dyDescent="0.2">
      <c r="A8621" s="22">
        <v>0.73121708631515503</v>
      </c>
    </row>
    <row r="8622" spans="1:1" x14ac:dyDescent="0.2">
      <c r="A8622" s="22">
        <v>0.46862232685089111</v>
      </c>
    </row>
    <row r="8623" spans="1:1" x14ac:dyDescent="0.2">
      <c r="A8623" s="22">
        <v>0.23730260133743286</v>
      </c>
    </row>
    <row r="8624" spans="1:1" x14ac:dyDescent="0.2">
      <c r="A8624" s="22">
        <v>0.42607378959655762</v>
      </c>
    </row>
    <row r="8625" spans="1:1" x14ac:dyDescent="0.2">
      <c r="A8625" s="22">
        <v>6.282418966293335E-2</v>
      </c>
    </row>
    <row r="8626" spans="1:1" x14ac:dyDescent="0.2">
      <c r="A8626" s="22">
        <v>0.48088109493255615</v>
      </c>
    </row>
    <row r="8627" spans="1:1" x14ac:dyDescent="0.2">
      <c r="A8627" s="22">
        <v>0.42928606271743774</v>
      </c>
    </row>
    <row r="8628" spans="1:1" x14ac:dyDescent="0.2">
      <c r="A8628" s="22">
        <v>0.41384410858154297</v>
      </c>
    </row>
    <row r="8629" spans="1:1" x14ac:dyDescent="0.2">
      <c r="A8629" s="22">
        <v>0.65835112333297729</v>
      </c>
    </row>
    <row r="8630" spans="1:1" x14ac:dyDescent="0.2">
      <c r="A8630" s="22">
        <v>0.26778662204742432</v>
      </c>
    </row>
    <row r="8631" spans="1:1" x14ac:dyDescent="0.2">
      <c r="A8631" s="22">
        <v>0.59811049699783325</v>
      </c>
    </row>
    <row r="8632" spans="1:1" x14ac:dyDescent="0.2">
      <c r="A8632" s="22">
        <v>0.56874775886535645</v>
      </c>
    </row>
    <row r="8633" spans="1:1" x14ac:dyDescent="0.2">
      <c r="A8633" s="22">
        <v>0.45950931310653687</v>
      </c>
    </row>
    <row r="8634" spans="1:1" x14ac:dyDescent="0.2">
      <c r="A8634" s="22">
        <v>0.31670463085174561</v>
      </c>
    </row>
    <row r="8635" spans="1:1" x14ac:dyDescent="0.2">
      <c r="A8635" s="22">
        <v>0.34417873620986938</v>
      </c>
    </row>
    <row r="8636" spans="1:1" x14ac:dyDescent="0.2">
      <c r="A8636" s="22">
        <v>0.90207624435424805</v>
      </c>
    </row>
    <row r="8637" spans="1:1" x14ac:dyDescent="0.2">
      <c r="A8637" s="22">
        <v>0.99492424726486206</v>
      </c>
    </row>
    <row r="8638" spans="1:1" x14ac:dyDescent="0.2">
      <c r="A8638" s="22">
        <v>0.35425865650177002</v>
      </c>
    </row>
    <row r="8639" spans="1:1" x14ac:dyDescent="0.2">
      <c r="A8639" s="22">
        <v>0.55012017488479614</v>
      </c>
    </row>
    <row r="8640" spans="1:1" x14ac:dyDescent="0.2">
      <c r="A8640" s="22">
        <v>0.57844138145446777</v>
      </c>
    </row>
    <row r="8641" spans="1:1" x14ac:dyDescent="0.2">
      <c r="A8641" s="22">
        <v>0.33326047658920288</v>
      </c>
    </row>
    <row r="8642" spans="1:1" x14ac:dyDescent="0.2">
      <c r="A8642" s="22">
        <v>0.48695504665374756</v>
      </c>
    </row>
    <row r="8643" spans="1:1" x14ac:dyDescent="0.2">
      <c r="A8643" s="22">
        <v>0.95891577005386353</v>
      </c>
    </row>
    <row r="8644" spans="1:1" x14ac:dyDescent="0.2">
      <c r="A8644" s="22">
        <v>0.18140029907226563</v>
      </c>
    </row>
    <row r="8645" spans="1:1" x14ac:dyDescent="0.2">
      <c r="A8645" s="22">
        <v>0.28634661436080933</v>
      </c>
    </row>
    <row r="8646" spans="1:1" x14ac:dyDescent="0.2">
      <c r="A8646" s="22">
        <v>0.59180796146392822</v>
      </c>
    </row>
    <row r="8647" spans="1:1" x14ac:dyDescent="0.2">
      <c r="A8647" s="22">
        <v>2.0230412483215332E-3</v>
      </c>
    </row>
    <row r="8648" spans="1:1" x14ac:dyDescent="0.2">
      <c r="A8648" s="22">
        <v>0.2290804386138916</v>
      </c>
    </row>
    <row r="8649" spans="1:1" x14ac:dyDescent="0.2">
      <c r="A8649" s="22">
        <v>0.8623003363609314</v>
      </c>
    </row>
    <row r="8650" spans="1:1" x14ac:dyDescent="0.2">
      <c r="A8650" s="22">
        <v>0.95696437358856201</v>
      </c>
    </row>
    <row r="8651" spans="1:1" x14ac:dyDescent="0.2">
      <c r="A8651" s="22">
        <v>0.87750107049942017</v>
      </c>
    </row>
    <row r="8652" spans="1:1" x14ac:dyDescent="0.2">
      <c r="A8652" s="22">
        <v>0.9398045539855957</v>
      </c>
    </row>
    <row r="8653" spans="1:1" x14ac:dyDescent="0.2">
      <c r="A8653" s="22">
        <v>0.96865338087081909</v>
      </c>
    </row>
    <row r="8654" spans="1:1" x14ac:dyDescent="0.2">
      <c r="A8654" s="22">
        <v>0.17232906818389893</v>
      </c>
    </row>
    <row r="8655" spans="1:1" x14ac:dyDescent="0.2">
      <c r="A8655" s="22">
        <v>0.87813550233840942</v>
      </c>
    </row>
    <row r="8656" spans="1:1" x14ac:dyDescent="0.2">
      <c r="A8656" s="22">
        <v>0.24771571159362793</v>
      </c>
    </row>
    <row r="8657" spans="1:1" x14ac:dyDescent="0.2">
      <c r="A8657" s="22">
        <v>0.36547654867172241</v>
      </c>
    </row>
    <row r="8658" spans="1:1" x14ac:dyDescent="0.2">
      <c r="A8658" s="22">
        <v>0.27018964290618896</v>
      </c>
    </row>
    <row r="8659" spans="1:1" x14ac:dyDescent="0.2">
      <c r="A8659" s="22">
        <v>0.96956354379653931</v>
      </c>
    </row>
    <row r="8660" spans="1:1" x14ac:dyDescent="0.2">
      <c r="A8660" s="22">
        <v>6.8402290344238281E-2</v>
      </c>
    </row>
    <row r="8661" spans="1:1" x14ac:dyDescent="0.2">
      <c r="A8661" s="22">
        <v>0.86850470304489136</v>
      </c>
    </row>
    <row r="8662" spans="1:1" x14ac:dyDescent="0.2">
      <c r="A8662" s="22">
        <v>0.11584150791168213</v>
      </c>
    </row>
    <row r="8663" spans="1:1" x14ac:dyDescent="0.2">
      <c r="A8663" s="22">
        <v>0.61839896440505981</v>
      </c>
    </row>
    <row r="8664" spans="1:1" x14ac:dyDescent="0.2">
      <c r="A8664" s="22">
        <v>0.81452298164367676</v>
      </c>
    </row>
    <row r="8665" spans="1:1" x14ac:dyDescent="0.2">
      <c r="A8665" s="22">
        <v>0.80226176977157593</v>
      </c>
    </row>
    <row r="8666" spans="1:1" x14ac:dyDescent="0.2">
      <c r="A8666" s="22">
        <v>4.8212885856628418E-2</v>
      </c>
    </row>
    <row r="8667" spans="1:1" x14ac:dyDescent="0.2">
      <c r="A8667" s="22">
        <v>0.87035709619522095</v>
      </c>
    </row>
    <row r="8668" spans="1:1" x14ac:dyDescent="0.2">
      <c r="A8668" s="22">
        <v>0.16143178939819336</v>
      </c>
    </row>
    <row r="8669" spans="1:1" x14ac:dyDescent="0.2">
      <c r="A8669" s="22">
        <v>0.70318573713302612</v>
      </c>
    </row>
    <row r="8670" spans="1:1" x14ac:dyDescent="0.2">
      <c r="A8670" s="22">
        <v>0.77048981189727783</v>
      </c>
    </row>
    <row r="8671" spans="1:1" x14ac:dyDescent="0.2">
      <c r="A8671" s="22">
        <v>0.67837983369827271</v>
      </c>
    </row>
    <row r="8672" spans="1:1" x14ac:dyDescent="0.2">
      <c r="A8672" s="22">
        <v>6.2803030014038086E-2</v>
      </c>
    </row>
    <row r="8673" spans="1:1" x14ac:dyDescent="0.2">
      <c r="A8673" s="22">
        <v>0.27275365591049194</v>
      </c>
    </row>
    <row r="8674" spans="1:1" x14ac:dyDescent="0.2">
      <c r="A8674" s="22">
        <v>0.49074113368988037</v>
      </c>
    </row>
    <row r="8675" spans="1:1" x14ac:dyDescent="0.2">
      <c r="A8675" s="22">
        <v>0.48076063394546509</v>
      </c>
    </row>
    <row r="8676" spans="1:1" x14ac:dyDescent="0.2">
      <c r="A8676" s="22">
        <v>1.6256332397460938E-2</v>
      </c>
    </row>
    <row r="8677" spans="1:1" x14ac:dyDescent="0.2">
      <c r="A8677" s="22">
        <v>0.58060663938522339</v>
      </c>
    </row>
    <row r="8678" spans="1:1" x14ac:dyDescent="0.2">
      <c r="A8678" s="22">
        <v>0.31254351139068604</v>
      </c>
    </row>
    <row r="8679" spans="1:1" x14ac:dyDescent="0.2">
      <c r="A8679" s="22">
        <v>2.9269516468048096E-2</v>
      </c>
    </row>
    <row r="8680" spans="1:1" x14ac:dyDescent="0.2">
      <c r="A8680" s="22">
        <v>0.57898163795471191</v>
      </c>
    </row>
    <row r="8681" spans="1:1" x14ac:dyDescent="0.2">
      <c r="A8681" s="22">
        <v>0.51767486333847046</v>
      </c>
    </row>
    <row r="8682" spans="1:1" x14ac:dyDescent="0.2">
      <c r="A8682" s="22">
        <v>0.87560641765594482</v>
      </c>
    </row>
    <row r="8683" spans="1:1" x14ac:dyDescent="0.2">
      <c r="A8683" s="22">
        <v>0.46727806329727173</v>
      </c>
    </row>
    <row r="8684" spans="1:1" x14ac:dyDescent="0.2">
      <c r="A8684" s="22">
        <v>0.13336420059204102</v>
      </c>
    </row>
    <row r="8685" spans="1:1" x14ac:dyDescent="0.2">
      <c r="A8685" s="22">
        <v>0.49930256605148315</v>
      </c>
    </row>
    <row r="8686" spans="1:1" x14ac:dyDescent="0.2">
      <c r="A8686" s="22">
        <v>0.24639713764190674</v>
      </c>
    </row>
    <row r="8687" spans="1:1" x14ac:dyDescent="0.2">
      <c r="A8687" s="22">
        <v>0.65788441896438599</v>
      </c>
    </row>
    <row r="8688" spans="1:1" x14ac:dyDescent="0.2">
      <c r="A8688" s="22">
        <v>0.90260958671569824</v>
      </c>
    </row>
    <row r="8689" spans="1:1" x14ac:dyDescent="0.2">
      <c r="A8689" s="22">
        <v>0.41837304830551147</v>
      </c>
    </row>
    <row r="8690" spans="1:1" x14ac:dyDescent="0.2">
      <c r="A8690" s="22">
        <v>5.8765769004821777E-2</v>
      </c>
    </row>
    <row r="8691" spans="1:1" x14ac:dyDescent="0.2">
      <c r="A8691" s="22">
        <v>0.76203829050064087</v>
      </c>
    </row>
    <row r="8692" spans="1:1" x14ac:dyDescent="0.2">
      <c r="A8692" s="22">
        <v>0.21636867523193359</v>
      </c>
    </row>
    <row r="8693" spans="1:1" x14ac:dyDescent="0.2">
      <c r="A8693" s="22">
        <v>0.84843367338180542</v>
      </c>
    </row>
    <row r="8694" spans="1:1" x14ac:dyDescent="0.2">
      <c r="A8694" s="22">
        <v>0.90457022190093994</v>
      </c>
    </row>
    <row r="8695" spans="1:1" x14ac:dyDescent="0.2">
      <c r="A8695" s="22">
        <v>6.6665947437286377E-2</v>
      </c>
    </row>
    <row r="8696" spans="1:1" x14ac:dyDescent="0.2">
      <c r="A8696" s="22">
        <v>2.636265754699707E-2</v>
      </c>
    </row>
  </sheetData>
  <pageMargins left="0.7" right="0.7" top="0.75" bottom="0.75" header="0.3" footer="0.3"/>
  <pageSetup paperSize="9" orientation="portrait" horizontalDpi="1200" verticalDpi="1200" r:id="rId1"/>
</worksheet>
</file>

<file path=customUI/customUI.xml><?xml version="1.0" encoding="utf-8"?>
<customUI xmlns="http://schemas.microsoft.com/office/2006/01/customui" onLoad="OnMainLoad">
  <ribbon>
    <tabs>
      <tab id="SAVI_tab" label="SAVI Tool">
        <group id="Group1" label="Home">
          <button id="Button_MainPage" imageMso="BlogHomePage" size="large" label="Main Page" onAction="GoToMenu" getEnabled="ToolEnabled"/>
          <button id="Button_Fix_Ribbon" imageMso="AccessRefreshAllLists" size="large" label="Refresh SAVI Ribbon" onAction="GoToMenu"/>
        </group>
        <group id="Group2" label="Edit Data">
          <button id="Button_Edit" imageMso="EditQuery" size="large" label="Edit Data" screentip="Enter EDIT MODE to modify SAVI input data" onAction="GoToMenu" getEnabled="ToolEnabled"/>
          <button id="Button_EditClose" imageMso="FileDocumentEncrypt" size="large" label="Close Editing" screentip="Close EDIT MODE to modify run SAVI analyses" onAction="GoToMenu" getEnabled="ToolEnabled"/>
          <button id="Button_Empty_Tool" imageMso="TableStyleClear" size="large" label="Clear Data" onAction="GoToMenu" getEnabled="ToolEnabled"/>
          <button id="Button_Show_Refs" imageMso="WindowSwitchWindowsMenuExcel" size="large" label="Show/Hide References" onAction="GoToMenu" getEnabled="ToolEnabled"/>
        </group>
        <group id="Group3" label="Run Analysis">
          <button id="Button_Run_Valuation" imageMso="InternationalCurrency" size="large" label="Valuation" onAction="GoToMenu" getEnabled="ToolEnabled"/>
          <button id="Button_Run_SAMP" imageMso="ValidationMessage" size="large" label="Short-term AMP" onAction="GoToMenu" getEnabled="ToolEnabled"/>
          <button id="Button_Run_LAMP" imageMso="TabOrder" size="large" label="Long-term AMP" onAction="GoToMenu" getEnabled="ToolEnabled"/>
          <button id="Button_Run_All" imageMso="FileStartWorkflow" size="large" label="Full Analysis" screentip="This runs Valuation, SAMP and LAMP in sequence" onAction="GoToMenu" getEnabled="ToolEnabled"/>
          <button id="Button_Clear_Analysis" imageMso="ClearFormatting" size="large" label="Clear Analysis" onAction="GoToMenu" getEnabled="ToolEnabled"/>
        </group>
        <group id="Group4" label="View Outputs">
          <button id="Button_Show_Valuation" imageMso="SlidesFromOutline" size="large" label="Valuation" screentip="Available once Valuation has completed" onAction="GoToMenu" getEnabled="ToolEnabled"/>
          <button id="Button_Show_SAMP" imageMso="SlidesFromOutline" size="large" label="Short-term AMP" screentip="Available once SAMP has completed" onAction="GoToMenu" getEnabled="ToolEnabled"/>
          <button id="Button_Show_LAMP" imageMso="SlidesFromOutline" size="large" label="Long-term AMP" screentip="Available once LAMP has completed" onAction="GoToMenu" getEnabled="ToolEnabled"/>
        </group>
        <group id="Group5" label="View/Hide">
          <button id="Button_Show_Analyses" imageMso="WindowsArrangeIcons" size="large" label="Show/Hide Analysis Tabs" screentip="Available once ANY analysis has been run" onAction="GoToMenu" getEnabled="ToolEnabled"/>
          <button id="Button_Show_All" imageMso="ReviewShowAllComments" size="large" label="Show/Hide All Tabs" onAction="GoToMenu" getEnabled="ToolEnabled"/>
        </group>
        <group id="Group6" label="Tools">
          <button id="Button_Import_LAMP" imageMso="ImportTextFile" size="large" label="Import Asset Data" screentip="Only Available in EDIT MODE" onAction="GoToMenu" getEnabled="ToolEnabled"/>
          <button id="Button_Export_Data" imageMso="ExportTextFile" size="large" label="Export Asset Data" onAction="GoToMenu" getEnabled="ToolEnabled"/>
          <button id="Button_Export_Valuation" imageMso="FileSave" size="large" label="Export Value Dashboard" onAction="GoToMenu" getEnabled="ToolEnabled"/>
          <button id="Button_Export_SAMP" imageMso="FileSave" size="large" label="Export SAMP Dashboard" onAction="GoToMenu" getEnabled="ToolEnabled"/>
          <button id="Button_Export_LAMP" imageMso="FileSave" size="large" label="Export LAMP Dashboard" onAction="GoToMenu" getEnabled="ToolEnabled"/>
          <button id="Button_Export_LAMP_Results" imageMso="ChartPrimaryHorizontalGridlines" size="large" label="Export LAMP Results" onAction="GoToMenu" getEnabled="ToolEnabled"/>
          <checkBox id="Checkbox2" label="Export LAMP analysis" supertip="To export the analysis for each year of the LAMP, CLICK this box" screentip="IMPORTANT" getPressed="Checkbox2_getPressed" onAction="Set_Export"/>
        </group>
      </tab>
    </tabs>
  </ribbon>
</customUI>
</file>

<file path=docMetadata/LabelInfo.xml><?xml version="1.0" encoding="utf-8"?>
<clbl:labelList xmlns:clbl="http://schemas.microsoft.com/office/2020/mipLabelMetadata">
  <clbl:label id="{53e92c36-6617-4e71-a989-dd739ad32a4d}" enabled="0" method="" siteId="{53e92c36-6617-4e71-a989-dd739ad32a4d}" removed="1"/>
  <clbl:label id="{82fa3fd3-029b-403d-91b4-1dc930cb0e60}" enabled="1" method="Standard" siteId="{4ae48b41-0137-4599-8661-fc641fe77bea}"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113</vt:i4>
      </vt:variant>
    </vt:vector>
  </HeadingPairs>
  <TitlesOfParts>
    <vt:vector size="147" baseType="lpstr">
      <vt:lpstr>NamedRanges</vt:lpstr>
      <vt:lpstr>Version Control</vt:lpstr>
      <vt:lpstr>Main Page</vt:lpstr>
      <vt:lpstr>Structures</vt:lpstr>
      <vt:lpstr>Elements</vt:lpstr>
      <vt:lpstr>Planned</vt:lpstr>
      <vt:lpstr>Routine</vt:lpstr>
      <vt:lpstr>Y0</vt:lpstr>
      <vt:lpstr>Value</vt:lpstr>
      <vt:lpstr>Y5</vt:lpstr>
      <vt:lpstr>Yn</vt:lpstr>
      <vt:lpstr>Value Dashboard</vt:lpstr>
      <vt:lpstr>Valuation Certificate</vt:lpstr>
      <vt:lpstr>SAMP Dashboard</vt:lpstr>
      <vt:lpstr>Project List</vt:lpstr>
      <vt:lpstr>Element List</vt:lpstr>
      <vt:lpstr>LAMP Dashboard</vt:lpstr>
      <vt:lpstr>LAMP Results</vt:lpstr>
      <vt:lpstr>ECS Profile</vt:lpstr>
      <vt:lpstr>Ref00</vt:lpstr>
      <vt:lpstr>Ref02i</vt:lpstr>
      <vt:lpstr>Ref02ii</vt:lpstr>
      <vt:lpstr>Ref03&amp;04i</vt:lpstr>
      <vt:lpstr>Ref03&amp;04ii</vt:lpstr>
      <vt:lpstr>Ref05&amp;07</vt:lpstr>
      <vt:lpstr>Ref06</vt:lpstr>
      <vt:lpstr>Ref07&amp;08</vt:lpstr>
      <vt:lpstr>Ref09</vt:lpstr>
      <vt:lpstr>Ref10</vt:lpstr>
      <vt:lpstr>Ref11i</vt:lpstr>
      <vt:lpstr>Ref11ii</vt:lpstr>
      <vt:lpstr>Ref12</vt:lpstr>
      <vt:lpstr>Ref14</vt:lpstr>
      <vt:lpstr>Ref15</vt:lpstr>
      <vt:lpstr>ComponentMaterialLists_Matrix</vt:lpstr>
      <vt:lpstr>ComponentMaterialLists_Matrix_StartCell</vt:lpstr>
      <vt:lpstr>ConductingFULL</vt:lpstr>
      <vt:lpstr>DATAVALID</vt:lpstr>
      <vt:lpstr>DateWorkbankCalculated</vt:lpstr>
      <vt:lpstr>DefinedMainMultiplier</vt:lpstr>
      <vt:lpstr>DefinedNewBuildMultiplier</vt:lpstr>
      <vt:lpstr>ECS_RUN_DATE</vt:lpstr>
      <vt:lpstr>ECS_RUN_TIME</vt:lpstr>
      <vt:lpstr>ECS_RUN_USER</vt:lpstr>
      <vt:lpstr>ELROWCOUNT</vt:lpstr>
      <vt:lpstr>EXPORT_LAMP</vt:lpstr>
      <vt:lpstr>FULL_END_DATE</vt:lpstr>
      <vt:lpstr>FULL_RUNTIME</vt:lpstr>
      <vt:lpstr>FULL_START_DATE</vt:lpstr>
      <vt:lpstr>ImportingAssets</vt:lpstr>
      <vt:lpstr>LAMP_AveAnnualExpen</vt:lpstr>
      <vt:lpstr>LAMP_DiscExpenditure</vt:lpstr>
      <vt:lpstr>LAMP_DiscPlannedMaint</vt:lpstr>
      <vt:lpstr>LAMP_DiscRoutineMaint</vt:lpstr>
      <vt:lpstr>LAMP_DiscWorkbank</vt:lpstr>
      <vt:lpstr>LAMP_Expenditure</vt:lpstr>
      <vt:lpstr>LAMP_PivotResults</vt:lpstr>
      <vt:lpstr>LAMP_PlannedMaintenance</vt:lpstr>
      <vt:lpstr>LAMP_RoutineMaintenance</vt:lpstr>
      <vt:lpstr>LAMP_RUN_DATE</vt:lpstr>
      <vt:lpstr>LAMP_RUN_STATUS</vt:lpstr>
      <vt:lpstr>LAMP_RUN_TIME</vt:lpstr>
      <vt:lpstr>LAMP_RUN_USER</vt:lpstr>
      <vt:lpstr>LAMP_TotalBudget</vt:lpstr>
      <vt:lpstr>LAMP_Workbank</vt:lpstr>
      <vt:lpstr>'LAMP Results'!LAMP_Years</vt:lpstr>
      <vt:lpstr>Main_AuthorityType</vt:lpstr>
      <vt:lpstr>Main_DataInputDate</vt:lpstr>
      <vt:lpstr>Main_DeteriorationReductionFactor</vt:lpstr>
      <vt:lpstr>Main_InflationIndexMaintenance</vt:lpstr>
      <vt:lpstr>Main_InflationIndexNewBuild</vt:lpstr>
      <vt:lpstr>Main_InflationYear</vt:lpstr>
      <vt:lpstr>Main_NumberOfElements</vt:lpstr>
      <vt:lpstr>Main_NumberOfStructures</vt:lpstr>
      <vt:lpstr>Main_OrgName</vt:lpstr>
      <vt:lpstr>Main_ScenarioToAnalyse</vt:lpstr>
      <vt:lpstr>Main_ValuationDate</vt:lpstr>
      <vt:lpstr>Main_y5AnnualBudget</vt:lpstr>
      <vt:lpstr>Main_ynNumberofYears</vt:lpstr>
      <vt:lpstr>MaintenanceActions</vt:lpstr>
      <vt:lpstr>MntnceStrategyTypes</vt:lpstr>
      <vt:lpstr>MODE</vt:lpstr>
      <vt:lpstr>PlannedElem</vt:lpstr>
      <vt:lpstr>PLROWCOUNT</vt:lpstr>
      <vt:lpstr>Ref00_Condition</vt:lpstr>
      <vt:lpstr>Ref00_ECS</vt:lpstr>
      <vt:lpstr>Ref00_ElementImportanceTypes</vt:lpstr>
      <vt:lpstr>Ref00_ElementLifeTypes</vt:lpstr>
      <vt:lpstr>Ref00_SprayZoneProximity</vt:lpstr>
      <vt:lpstr>Ref00_StructureLocation</vt:lpstr>
      <vt:lpstr>Ref02i_ExposureScenarioID</vt:lpstr>
      <vt:lpstr>Ref02ii_Exposure</vt:lpstr>
      <vt:lpstr>Ref02ii_ExposureID</vt:lpstr>
      <vt:lpstr>Ref0304i_MaterialType</vt:lpstr>
      <vt:lpstr>Ref0304ii_MaterialExposureCode</vt:lpstr>
      <vt:lpstr>Ref0304ii_MeanTimetoFailure</vt:lpstr>
      <vt:lpstr>Ref06_ScenarioCodes</vt:lpstr>
      <vt:lpstr>Ref06_ScenarioName</vt:lpstr>
      <vt:lpstr>Ref10_DailyTrafficDelayRate</vt:lpstr>
      <vt:lpstr>Ref10_LengthGroupTrafficDelay</vt:lpstr>
      <vt:lpstr>Ref10_TrafficDelayDays</vt:lpstr>
      <vt:lpstr>Ref10_TrafficRestrictionCode</vt:lpstr>
      <vt:lpstr>Ref10_TrafficVolume</vt:lpstr>
      <vt:lpstr>Ref11i_ObstacleCrossed</vt:lpstr>
      <vt:lpstr>Ref11i_Route</vt:lpstr>
      <vt:lpstr>Ref11i_StructureType</vt:lpstr>
      <vt:lpstr>Ref11i_Traffic</vt:lpstr>
      <vt:lpstr>Ref11ii_ElementLists_Matrix</vt:lpstr>
      <vt:lpstr>Ref11ii_ElementLists_Matrix_StartCell</vt:lpstr>
      <vt:lpstr>Ref12_GRCRates</vt:lpstr>
      <vt:lpstr>Ref14_EIF</vt:lpstr>
      <vt:lpstr>Ref14_ElementImportance</vt:lpstr>
      <vt:lpstr>Ref14_ElementLifeType</vt:lpstr>
      <vt:lpstr>Ref98_nYear_plus1</vt:lpstr>
      <vt:lpstr>RIBBON</vt:lpstr>
      <vt:lpstr>RUN_TIME_15MIN</vt:lpstr>
      <vt:lpstr>RUN_TIME_1HR</vt:lpstr>
      <vt:lpstr>RunningAll</vt:lpstr>
      <vt:lpstr>SAMP_RUN_DATE</vt:lpstr>
      <vt:lpstr>SAMP_RUN_STATUS</vt:lpstr>
      <vt:lpstr>SAMP_RUN_TIME</vt:lpstr>
      <vt:lpstr>SAMP_RUN_USER</vt:lpstr>
      <vt:lpstr>STROWCOUNT</vt:lpstr>
      <vt:lpstr>VBConstants!TestMode</vt:lpstr>
      <vt:lpstr>TR_Y5_A2BD</vt:lpstr>
      <vt:lpstr>TrafficManagement_On...</vt:lpstr>
      <vt:lpstr>TrafficManagement_Types</vt:lpstr>
      <vt:lpstr>VALUE_RUN_DATE</vt:lpstr>
      <vt:lpstr>VALUE_RUN_STATUS</vt:lpstr>
      <vt:lpstr>VALUE_RUN_TIME</vt:lpstr>
      <vt:lpstr>VALUE_RUN_USER</vt:lpstr>
      <vt:lpstr>ViewAllTabs</vt:lpstr>
      <vt:lpstr>ViewAnalysisTabs</vt:lpstr>
      <vt:lpstr>ViewRefTabs</vt:lpstr>
      <vt:lpstr>Y0_RUN_DATE</vt:lpstr>
      <vt:lpstr>Y0_RUN_TIME</vt:lpstr>
      <vt:lpstr>Y0_RUN_USER</vt:lpstr>
      <vt:lpstr>y5_Expenditure</vt:lpstr>
      <vt:lpstr>y5_PlannedMaintenance</vt:lpstr>
      <vt:lpstr>y5_RemainingBudget</vt:lpstr>
      <vt:lpstr>y5_RoutineMaintenance</vt:lpstr>
      <vt:lpstr>y5_TotalBudget</vt:lpstr>
      <vt:lpstr>yn_BudgetFromLastYear</vt:lpstr>
      <vt:lpstr>yn_RemainingBudgetLastYear</vt:lpstr>
      <vt:lpstr>yn_TotalYearsOfAnalysis</vt:lpstr>
      <vt:lpstr>yn_YearofAnalysis</vt:lpstr>
      <vt:lpstr>yn_YearsofAnalysis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SAVI v1.09</dc:title>
  <dc:creator>Arup</dc:creator>
  <cp:lastModifiedBy>Matilda Fisher | CIHT</cp:lastModifiedBy>
  <cp:lastPrinted>2019-11-29T16:58:43Z</cp:lastPrinted>
  <dcterms:created xsi:type="dcterms:W3CDTF">2019-03-05T11:35:08Z</dcterms:created>
  <dcterms:modified xsi:type="dcterms:W3CDTF">2026-05-28T10:47:49Z</dcterms:modified>
  <cp:contentStatus>SAVI v1.09</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2020-06-16T13:14:47Z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10b19c8f-df87-457d-99a1-954a78ccaf25</vt:lpwstr>
  </property>
  <property fmtid="{D5CDD505-2E9C-101B-9397-08002B2CF9AE}" pid="8" name="MSIP_Label_82fa3fd3-029b-403d-91b4-1dc930cb0e60_ContentBits">
    <vt:lpwstr>0</vt:lpwstr>
  </property>
</Properties>
</file>